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94398552-D8B7-4EDD-8386-8DC8F366A0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939" i="2" l="1"/>
  <c r="G5938" i="2"/>
  <c r="G5937" i="2"/>
  <c r="G5936" i="2"/>
  <c r="G5935" i="2"/>
  <c r="G5934" i="2"/>
  <c r="G5933" i="2"/>
  <c r="G5932" i="2"/>
  <c r="G5931" i="2"/>
  <c r="G5930" i="2"/>
  <c r="G5929" i="2"/>
  <c r="G5928" i="2"/>
  <c r="G5927" i="2"/>
  <c r="G5926" i="2"/>
  <c r="G5925" i="2"/>
  <c r="G5924" i="2"/>
  <c r="G5923" i="2"/>
  <c r="G5922" i="2"/>
  <c r="G5921" i="2"/>
  <c r="G5920" i="2"/>
  <c r="G5919" i="2"/>
  <c r="G5918" i="2"/>
  <c r="G5917" i="2"/>
  <c r="G5916" i="2"/>
  <c r="G5915" i="2"/>
  <c r="G5914" i="2"/>
  <c r="G5913" i="2"/>
  <c r="G5912" i="2"/>
  <c r="G5911" i="2"/>
  <c r="G5910" i="2"/>
  <c r="G5909" i="2"/>
  <c r="G5908" i="2"/>
  <c r="G5907" i="2"/>
  <c r="G5906" i="2"/>
  <c r="G5905" i="2"/>
  <c r="G5904" i="2"/>
  <c r="G5903" i="2"/>
  <c r="G5902" i="2"/>
  <c r="G5901" i="2"/>
  <c r="G5900" i="2"/>
  <c r="G5899" i="2"/>
  <c r="G5898" i="2"/>
  <c r="G5897" i="2"/>
  <c r="G5896" i="2"/>
  <c r="G5895" i="2"/>
  <c r="G5894" i="2"/>
  <c r="G5893" i="2"/>
  <c r="G5892" i="2"/>
  <c r="G5891" i="2"/>
  <c r="G5890" i="2"/>
  <c r="G5889" i="2"/>
  <c r="G5888" i="2"/>
  <c r="G5887" i="2"/>
  <c r="G5886" i="2"/>
  <c r="G5885" i="2"/>
  <c r="G5884" i="2"/>
  <c r="G5883" i="2"/>
  <c r="G5882" i="2"/>
  <c r="G5881" i="2"/>
  <c r="G5880" i="2"/>
  <c r="G5879" i="2"/>
  <c r="G5878" i="2"/>
  <c r="G5877" i="2"/>
  <c r="G5876" i="2"/>
  <c r="G5875" i="2"/>
  <c r="G5874" i="2"/>
  <c r="G5873" i="2"/>
  <c r="G5872" i="2"/>
  <c r="G5871" i="2"/>
  <c r="G5870" i="2"/>
  <c r="G5869" i="2"/>
  <c r="G5868" i="2"/>
  <c r="G5867" i="2"/>
  <c r="G5866" i="2"/>
  <c r="G5865" i="2"/>
  <c r="G5864" i="2"/>
  <c r="G5863" i="2"/>
  <c r="G5862" i="2"/>
  <c r="G5861" i="2"/>
  <c r="G5860" i="2"/>
  <c r="G5859" i="2"/>
  <c r="G5858" i="2"/>
  <c r="G5857" i="2"/>
  <c r="G5856" i="2"/>
  <c r="G5855" i="2"/>
  <c r="G5854" i="2"/>
  <c r="G5853" i="2"/>
  <c r="G5852" i="2"/>
  <c r="G5851" i="2"/>
  <c r="G5850" i="2"/>
  <c r="G5849" i="2"/>
  <c r="G5848" i="2"/>
  <c r="G5847" i="2"/>
  <c r="G5846" i="2"/>
  <c r="G5845" i="2"/>
  <c r="G5844" i="2"/>
  <c r="G5843" i="2"/>
  <c r="G5842" i="2"/>
  <c r="G5841" i="2"/>
  <c r="G5840" i="2"/>
  <c r="G5839" i="2"/>
  <c r="G5838" i="2"/>
  <c r="G5837" i="2"/>
  <c r="G5836" i="2"/>
  <c r="G5835" i="2"/>
  <c r="G5834" i="2"/>
  <c r="G5833" i="2"/>
  <c r="G5832" i="2"/>
  <c r="G5831" i="2"/>
  <c r="G5830" i="2"/>
  <c r="G5829" i="2"/>
  <c r="G5828" i="2"/>
  <c r="G5827" i="2"/>
  <c r="G5826" i="2"/>
  <c r="G5825" i="2"/>
  <c r="G5824" i="2"/>
  <c r="G5823" i="2"/>
  <c r="G5822" i="2"/>
  <c r="G5821" i="2"/>
  <c r="G5820" i="2"/>
  <c r="G5819" i="2"/>
  <c r="G5818" i="2"/>
  <c r="G5817" i="2"/>
  <c r="G5816" i="2"/>
  <c r="G5815" i="2"/>
  <c r="G5814" i="2"/>
  <c r="G5813" i="2"/>
  <c r="G5812" i="2"/>
  <c r="G5811" i="2"/>
  <c r="G5810" i="2"/>
  <c r="G5809" i="2"/>
  <c r="G5808" i="2"/>
  <c r="G5807" i="2"/>
  <c r="G5806" i="2"/>
  <c r="G5805" i="2"/>
  <c r="G5804" i="2"/>
  <c r="G5803" i="2"/>
  <c r="G5802" i="2"/>
  <c r="G5801" i="2"/>
  <c r="G5800" i="2"/>
  <c r="G5799" i="2"/>
  <c r="G5798" i="2"/>
  <c r="G5797" i="2"/>
  <c r="G5796" i="2"/>
  <c r="G5795" i="2"/>
  <c r="G5794" i="2"/>
  <c r="G5793" i="2"/>
  <c r="G5792" i="2"/>
  <c r="G5791" i="2"/>
  <c r="G5790" i="2"/>
  <c r="G5789" i="2"/>
  <c r="G5788" i="2"/>
  <c r="G5787" i="2"/>
  <c r="G5786" i="2"/>
  <c r="G5785" i="2"/>
  <c r="G5784" i="2"/>
  <c r="G5783" i="2"/>
  <c r="G5782" i="2"/>
  <c r="G5781" i="2"/>
  <c r="G5780" i="2"/>
  <c r="G5779" i="2"/>
  <c r="G5778" i="2"/>
  <c r="G5777" i="2"/>
  <c r="G5776" i="2"/>
  <c r="G5775" i="2"/>
  <c r="G5774" i="2"/>
  <c r="G5773" i="2"/>
  <c r="G5772" i="2"/>
  <c r="G5771" i="2"/>
  <c r="G5770" i="2"/>
  <c r="G5769" i="2"/>
  <c r="G5768" i="2"/>
  <c r="G5767" i="2"/>
  <c r="G5766" i="2"/>
  <c r="G5765" i="2"/>
  <c r="G5764" i="2"/>
  <c r="G5763" i="2"/>
  <c r="G5762" i="2"/>
  <c r="G5761" i="2"/>
  <c r="G5760" i="2"/>
  <c r="G5759" i="2"/>
  <c r="G5758" i="2"/>
  <c r="G5757" i="2"/>
  <c r="G5756" i="2"/>
  <c r="G5755" i="2"/>
  <c r="G5754" i="2"/>
  <c r="G5753" i="2"/>
  <c r="G5752" i="2"/>
  <c r="G5751" i="2"/>
  <c r="G5750" i="2"/>
  <c r="G5749" i="2"/>
  <c r="G5748" i="2"/>
  <c r="G5747" i="2"/>
  <c r="G5746" i="2"/>
  <c r="G5745" i="2"/>
  <c r="G5744" i="2"/>
  <c r="G5743" i="2"/>
  <c r="G5742" i="2"/>
  <c r="G5741" i="2"/>
  <c r="G5740" i="2"/>
  <c r="G5739" i="2"/>
  <c r="G5738" i="2"/>
  <c r="G5737" i="2"/>
  <c r="G5736" i="2"/>
  <c r="G5735" i="2"/>
  <c r="G5734" i="2"/>
  <c r="G5733" i="2"/>
  <c r="G5732" i="2"/>
  <c r="G5731" i="2"/>
  <c r="G5730" i="2"/>
  <c r="G5729" i="2"/>
  <c r="G5728" i="2"/>
  <c r="G5727" i="2"/>
  <c r="G5726" i="2"/>
  <c r="G5725" i="2"/>
  <c r="G5724" i="2"/>
  <c r="G5723" i="2"/>
  <c r="G5722" i="2"/>
  <c r="G5721" i="2"/>
  <c r="G5720" i="2"/>
  <c r="G5719" i="2"/>
  <c r="G5718" i="2"/>
  <c r="G5717" i="2"/>
  <c r="G5716" i="2"/>
  <c r="G5715" i="2"/>
  <c r="G5714" i="2"/>
  <c r="G5713" i="2"/>
  <c r="G5712" i="2"/>
  <c r="G5711" i="2"/>
  <c r="G5710" i="2"/>
  <c r="G5709" i="2"/>
  <c r="G5708" i="2"/>
  <c r="G5707" i="2"/>
  <c r="G5706" i="2"/>
  <c r="G5705" i="2"/>
  <c r="G5704" i="2"/>
  <c r="G5703" i="2"/>
  <c r="G5702" i="2"/>
  <c r="G5701" i="2"/>
  <c r="G5700" i="2"/>
  <c r="G5699" i="2"/>
  <c r="G5698" i="2"/>
  <c r="G5697" i="2"/>
  <c r="G5696" i="2"/>
  <c r="G5695" i="2"/>
  <c r="G5694" i="2"/>
  <c r="G5693" i="2"/>
  <c r="G5692" i="2"/>
  <c r="G5691" i="2"/>
  <c r="G5690" i="2"/>
  <c r="G5689" i="2"/>
  <c r="G5688" i="2"/>
  <c r="G5687" i="2"/>
  <c r="G5686" i="2"/>
  <c r="G5685" i="2"/>
  <c r="G5684" i="2"/>
  <c r="G5683" i="2"/>
  <c r="G5682" i="2"/>
  <c r="G5681" i="2"/>
  <c r="G5680" i="2"/>
  <c r="G5679" i="2"/>
  <c r="G5678" i="2"/>
  <c r="G5677" i="2"/>
  <c r="G5676" i="2"/>
  <c r="G5675" i="2"/>
  <c r="G5674" i="2"/>
  <c r="G5673" i="2"/>
  <c r="G5672" i="2"/>
  <c r="G5671" i="2"/>
  <c r="G5670" i="2"/>
  <c r="G5669" i="2"/>
  <c r="G5668" i="2"/>
  <c r="G5667" i="2"/>
  <c r="G5666" i="2"/>
  <c r="G5665" i="2"/>
  <c r="G5664" i="2"/>
  <c r="G5663" i="2"/>
  <c r="G5662" i="2"/>
  <c r="G5661" i="2"/>
  <c r="G5660" i="2"/>
  <c r="G5659" i="2"/>
  <c r="G5658" i="2"/>
  <c r="G5657" i="2"/>
  <c r="G5656" i="2"/>
  <c r="G5655" i="2"/>
  <c r="G5654" i="2"/>
  <c r="G5653" i="2"/>
  <c r="G5652" i="2"/>
  <c r="G5651" i="2"/>
  <c r="G5650" i="2"/>
  <c r="G5649" i="2"/>
  <c r="G5648" i="2"/>
  <c r="G5647" i="2"/>
  <c r="G5646" i="2"/>
  <c r="G5645" i="2"/>
  <c r="G5644" i="2"/>
  <c r="G5643" i="2"/>
  <c r="G5642" i="2"/>
  <c r="G5641" i="2"/>
  <c r="G5640" i="2"/>
  <c r="G5639" i="2"/>
  <c r="G5638" i="2"/>
  <c r="G5637" i="2"/>
  <c r="G5636" i="2"/>
  <c r="G5635" i="2"/>
  <c r="G5634" i="2"/>
  <c r="G5633" i="2"/>
  <c r="G5632" i="2"/>
  <c r="G5631" i="2"/>
  <c r="G5630" i="2"/>
  <c r="G5629" i="2"/>
  <c r="G5628" i="2"/>
  <c r="G5627" i="2"/>
  <c r="G5626" i="2"/>
  <c r="G5625" i="2"/>
  <c r="G5624" i="2"/>
  <c r="G5623" i="2"/>
  <c r="G5622" i="2"/>
  <c r="G5621" i="2"/>
  <c r="G5620" i="2"/>
  <c r="G5619" i="2"/>
  <c r="G5618" i="2"/>
  <c r="G5617" i="2"/>
  <c r="G5616" i="2"/>
  <c r="G5615" i="2"/>
  <c r="G5614" i="2"/>
  <c r="G5613" i="2"/>
  <c r="G5612" i="2"/>
  <c r="G5611" i="2"/>
  <c r="G5610" i="2"/>
  <c r="G5609" i="2"/>
  <c r="G5608" i="2"/>
  <c r="G5607" i="2"/>
  <c r="G5606" i="2"/>
  <c r="G5605" i="2"/>
  <c r="G5604" i="2"/>
  <c r="G5603" i="2"/>
  <c r="G5602" i="2"/>
  <c r="G5601" i="2"/>
  <c r="G5600" i="2"/>
  <c r="G5599" i="2"/>
  <c r="G5598" i="2"/>
  <c r="G5597" i="2"/>
  <c r="G5596" i="2"/>
  <c r="G5595" i="2"/>
  <c r="G5594" i="2"/>
  <c r="G5593" i="2"/>
  <c r="G5592" i="2"/>
  <c r="G5591" i="2"/>
  <c r="G5590" i="2"/>
  <c r="G5589" i="2"/>
  <c r="G5588" i="2"/>
  <c r="G5587" i="2"/>
  <c r="G5586" i="2"/>
  <c r="G5585" i="2"/>
  <c r="G5584" i="2"/>
  <c r="G5583" i="2"/>
  <c r="G5582" i="2"/>
  <c r="G5581" i="2"/>
  <c r="G5580" i="2"/>
  <c r="G5579" i="2"/>
  <c r="G5578" i="2"/>
  <c r="G5577" i="2"/>
  <c r="G5576" i="2"/>
  <c r="G5575" i="2"/>
  <c r="G5574" i="2"/>
  <c r="G5573" i="2"/>
  <c r="G5572" i="2"/>
  <c r="G5571" i="2"/>
  <c r="G5570" i="2"/>
  <c r="G5569" i="2"/>
  <c r="G5568" i="2"/>
  <c r="G5567" i="2"/>
  <c r="G5566" i="2"/>
  <c r="G5565" i="2"/>
  <c r="G5564" i="2"/>
  <c r="G5563" i="2"/>
  <c r="G5562" i="2"/>
  <c r="G5561" i="2"/>
  <c r="G5560" i="2"/>
  <c r="G5559" i="2"/>
  <c r="G5558" i="2"/>
  <c r="G5557" i="2"/>
  <c r="G5556" i="2"/>
  <c r="G5555" i="2"/>
  <c r="G5554" i="2"/>
  <c r="G5553" i="2"/>
  <c r="G5552" i="2"/>
  <c r="G5551" i="2"/>
  <c r="G5550" i="2"/>
  <c r="G5549" i="2"/>
  <c r="G5548" i="2"/>
  <c r="G5547" i="2"/>
  <c r="G5546" i="2"/>
  <c r="G5545" i="2"/>
  <c r="G5544" i="2"/>
  <c r="G5543" i="2"/>
  <c r="G5542" i="2"/>
  <c r="G5541" i="2"/>
  <c r="G5540" i="2"/>
  <c r="G5539" i="2"/>
  <c r="G5538" i="2"/>
  <c r="G5537" i="2"/>
  <c r="G5536" i="2"/>
  <c r="G5535" i="2"/>
  <c r="G5534" i="2"/>
  <c r="G5533" i="2"/>
  <c r="G5532" i="2"/>
  <c r="G5531" i="2"/>
  <c r="G5530" i="2"/>
  <c r="G5529" i="2"/>
  <c r="G5528" i="2"/>
  <c r="G5527" i="2"/>
  <c r="G5526" i="2"/>
  <c r="G5525" i="2"/>
  <c r="G5524" i="2"/>
  <c r="G5523" i="2"/>
  <c r="G5522" i="2"/>
  <c r="G5521" i="2"/>
  <c r="G5520" i="2"/>
  <c r="G5519" i="2"/>
  <c r="G5518" i="2"/>
  <c r="G5517" i="2"/>
  <c r="G5516" i="2"/>
  <c r="G5515" i="2"/>
  <c r="G5514" i="2"/>
  <c r="G5513" i="2"/>
  <c r="G5512" i="2"/>
  <c r="G5511" i="2"/>
  <c r="G5510" i="2"/>
  <c r="G5509" i="2"/>
  <c r="G5508" i="2"/>
  <c r="G5507" i="2"/>
  <c r="G5506" i="2"/>
  <c r="G5505" i="2"/>
  <c r="G5504" i="2"/>
  <c r="G5503" i="2"/>
  <c r="G5502" i="2"/>
  <c r="G5501" i="2"/>
  <c r="G5500" i="2"/>
  <c r="G5499" i="2"/>
  <c r="G5498" i="2"/>
  <c r="G5497" i="2"/>
  <c r="G5496" i="2"/>
  <c r="G5495" i="2"/>
  <c r="G5494" i="2"/>
  <c r="G5493" i="2"/>
  <c r="G5492" i="2"/>
  <c r="G5491" i="2"/>
  <c r="G5490" i="2"/>
  <c r="G5489" i="2"/>
  <c r="G5488" i="2"/>
  <c r="G5487" i="2"/>
  <c r="G5486" i="2"/>
  <c r="G5485" i="2"/>
  <c r="G5484" i="2"/>
  <c r="G5483" i="2"/>
  <c r="G5482" i="2"/>
  <c r="G5481" i="2"/>
  <c r="G5480" i="2"/>
  <c r="G5479" i="2"/>
  <c r="G5478" i="2"/>
  <c r="G5477" i="2"/>
  <c r="G5476" i="2"/>
  <c r="G5475" i="2"/>
  <c r="G5474" i="2"/>
  <c r="G5473" i="2"/>
  <c r="G5472" i="2"/>
  <c r="G5471" i="2"/>
  <c r="G5470" i="2"/>
  <c r="G5469" i="2"/>
  <c r="G5468" i="2"/>
  <c r="G5467" i="2"/>
  <c r="G5466" i="2"/>
  <c r="G5465" i="2"/>
  <c r="G5464" i="2"/>
  <c r="G5463" i="2"/>
  <c r="G5462" i="2"/>
  <c r="G5461" i="2"/>
  <c r="G5460" i="2"/>
  <c r="G5459" i="2"/>
  <c r="G5458" i="2"/>
  <c r="G5457" i="2"/>
  <c r="G5456" i="2"/>
  <c r="G5455" i="2"/>
  <c r="G5454" i="2"/>
  <c r="G5453" i="2"/>
  <c r="G5452" i="2"/>
  <c r="G5451" i="2"/>
  <c r="G5450" i="2"/>
  <c r="G5449" i="2"/>
  <c r="G5448" i="2"/>
  <c r="G5447" i="2"/>
  <c r="G5446" i="2"/>
  <c r="G5445" i="2"/>
  <c r="G5444" i="2"/>
  <c r="G5443" i="2"/>
  <c r="G5442" i="2"/>
  <c r="G5441" i="2"/>
  <c r="G5440" i="2"/>
  <c r="G5439" i="2"/>
  <c r="G5438" i="2"/>
  <c r="G5437" i="2"/>
  <c r="G5436" i="2"/>
  <c r="G5435" i="2"/>
  <c r="G5434" i="2"/>
  <c r="G5433" i="2"/>
  <c r="G5432" i="2"/>
  <c r="G5431" i="2"/>
  <c r="G5430" i="2"/>
  <c r="G5429" i="2"/>
  <c r="G5428" i="2"/>
  <c r="G5427" i="2"/>
  <c r="G5426" i="2"/>
  <c r="G5425" i="2"/>
  <c r="G5424" i="2"/>
  <c r="G5423" i="2"/>
  <c r="G5422" i="2"/>
  <c r="G5421" i="2"/>
  <c r="G5420" i="2"/>
  <c r="G5419" i="2"/>
  <c r="G5418" i="2"/>
  <c r="G5417" i="2"/>
  <c r="G5416" i="2"/>
  <c r="G5415" i="2"/>
  <c r="G5414" i="2"/>
  <c r="G5413" i="2"/>
  <c r="G5412" i="2"/>
  <c r="G5411" i="2"/>
  <c r="G5410" i="2"/>
  <c r="G5409" i="2"/>
  <c r="G5408" i="2"/>
  <c r="G5407" i="2"/>
  <c r="G5406" i="2"/>
  <c r="G5405" i="2"/>
  <c r="G5404" i="2"/>
  <c r="G5403" i="2"/>
  <c r="G5402" i="2"/>
  <c r="G5401" i="2"/>
  <c r="G5400" i="2"/>
  <c r="G5399" i="2"/>
  <c r="G5398" i="2"/>
  <c r="G5397" i="2"/>
  <c r="G5396" i="2"/>
  <c r="G5395" i="2"/>
  <c r="G5394" i="2"/>
  <c r="G5393" i="2"/>
  <c r="G5392" i="2"/>
  <c r="G5391" i="2"/>
  <c r="G5390" i="2"/>
  <c r="G5389" i="2"/>
  <c r="G5388" i="2"/>
  <c r="G5387" i="2"/>
  <c r="G5386" i="2"/>
  <c r="G5385" i="2"/>
  <c r="G5384" i="2"/>
  <c r="G5383" i="2"/>
  <c r="G5382" i="2"/>
  <c r="G5381" i="2"/>
  <c r="G5380" i="2"/>
  <c r="G5379" i="2"/>
  <c r="G5378" i="2"/>
  <c r="G5377" i="2"/>
  <c r="G5376" i="2"/>
  <c r="G5375" i="2"/>
  <c r="G5374" i="2"/>
  <c r="G5373" i="2"/>
  <c r="G5372" i="2"/>
  <c r="G5371" i="2"/>
  <c r="G5370" i="2"/>
  <c r="G5369" i="2"/>
  <c r="G5368" i="2"/>
  <c r="G5367" i="2"/>
  <c r="G5366" i="2"/>
  <c r="G5365" i="2"/>
  <c r="G5364" i="2"/>
  <c r="G5363" i="2"/>
  <c r="G5362" i="2"/>
  <c r="G5361" i="2"/>
  <c r="G5360" i="2"/>
  <c r="G5359" i="2"/>
  <c r="G5358" i="2"/>
  <c r="G5357" i="2"/>
  <c r="G5356" i="2"/>
  <c r="G5355" i="2"/>
  <c r="G5354" i="2"/>
  <c r="G5353" i="2"/>
  <c r="G5352" i="2"/>
  <c r="G5351" i="2"/>
  <c r="G5350" i="2"/>
  <c r="G5349" i="2"/>
  <c r="G5348" i="2"/>
  <c r="G5347" i="2"/>
  <c r="G5346" i="2"/>
  <c r="G5345" i="2"/>
  <c r="G5344" i="2"/>
  <c r="G5343" i="2"/>
  <c r="G5342" i="2"/>
  <c r="G5341" i="2"/>
  <c r="G5340" i="2"/>
  <c r="G5339" i="2"/>
  <c r="G5338" i="2"/>
  <c r="G5337" i="2"/>
  <c r="G5336" i="2"/>
  <c r="G5335" i="2"/>
  <c r="G5334" i="2"/>
  <c r="G5333" i="2"/>
  <c r="G5332" i="2"/>
  <c r="G5331" i="2"/>
  <c r="G5330" i="2"/>
  <c r="G5329" i="2"/>
  <c r="G5328" i="2"/>
  <c r="G5327" i="2"/>
  <c r="G5326" i="2"/>
  <c r="G5325" i="2"/>
  <c r="G5324" i="2"/>
  <c r="G5323" i="2"/>
  <c r="G5322" i="2"/>
  <c r="G5321" i="2"/>
  <c r="G5320" i="2"/>
  <c r="G5319" i="2"/>
  <c r="G5318" i="2"/>
  <c r="G5317" i="2"/>
  <c r="G5316" i="2"/>
  <c r="G5315" i="2"/>
  <c r="G5314" i="2"/>
  <c r="G5313" i="2"/>
  <c r="G5312" i="2"/>
  <c r="G5311" i="2"/>
  <c r="G5310" i="2"/>
  <c r="G5309" i="2"/>
  <c r="G5308" i="2"/>
  <c r="G5307" i="2"/>
  <c r="G5306" i="2"/>
  <c r="G5305" i="2"/>
  <c r="G5304" i="2"/>
  <c r="G5303" i="2"/>
  <c r="G5302" i="2"/>
  <c r="G5301" i="2"/>
  <c r="G5300" i="2"/>
  <c r="G5299" i="2"/>
  <c r="G5298" i="2"/>
  <c r="G5297" i="2"/>
  <c r="G5296" i="2"/>
  <c r="G5295" i="2"/>
  <c r="G5294" i="2"/>
  <c r="G5293" i="2"/>
  <c r="G5292" i="2"/>
  <c r="G5291" i="2"/>
  <c r="G5290" i="2"/>
  <c r="G5289" i="2"/>
  <c r="G5288" i="2"/>
  <c r="G5287" i="2"/>
  <c r="G5286" i="2"/>
  <c r="G5285" i="2"/>
  <c r="G5284" i="2"/>
  <c r="G5283" i="2"/>
  <c r="G5282" i="2"/>
  <c r="G5281" i="2"/>
  <c r="G5280" i="2"/>
  <c r="G5279" i="2"/>
  <c r="G5278" i="2"/>
  <c r="G5277" i="2"/>
  <c r="G5276" i="2"/>
  <c r="G5275" i="2"/>
  <c r="G5274" i="2"/>
  <c r="G5273" i="2"/>
  <c r="G5272" i="2"/>
  <c r="G5271" i="2"/>
  <c r="G5270" i="2"/>
  <c r="G5269" i="2"/>
  <c r="G5268" i="2"/>
  <c r="G5267" i="2"/>
  <c r="G5266" i="2"/>
  <c r="G5265" i="2"/>
  <c r="G5264" i="2"/>
  <c r="G5263" i="2"/>
  <c r="G5262" i="2"/>
  <c r="G5261" i="2"/>
  <c r="G5260" i="2"/>
  <c r="G5259" i="2"/>
  <c r="G5258" i="2"/>
  <c r="G5257" i="2"/>
  <c r="G5256" i="2"/>
  <c r="G5255" i="2"/>
  <c r="G5254" i="2"/>
  <c r="G5253" i="2"/>
  <c r="G5252" i="2"/>
  <c r="G5251" i="2"/>
  <c r="G5250" i="2"/>
  <c r="G5249" i="2"/>
  <c r="G5248" i="2"/>
  <c r="G5247" i="2"/>
  <c r="G5246" i="2"/>
  <c r="G5245" i="2"/>
  <c r="G5244" i="2"/>
  <c r="G5243" i="2"/>
  <c r="G5242" i="2"/>
  <c r="G5241" i="2"/>
  <c r="G5240" i="2"/>
  <c r="G5239" i="2"/>
  <c r="G5238" i="2"/>
  <c r="G5237" i="2"/>
  <c r="G5236" i="2"/>
  <c r="G5235" i="2"/>
  <c r="G5234" i="2"/>
  <c r="G5233" i="2"/>
  <c r="G5232" i="2"/>
  <c r="G5231" i="2"/>
  <c r="G5230" i="2"/>
  <c r="G5229" i="2"/>
  <c r="G5228" i="2"/>
  <c r="G5227" i="2"/>
  <c r="G5226" i="2"/>
  <c r="G5225" i="2"/>
  <c r="G5224" i="2"/>
  <c r="G5223" i="2"/>
  <c r="G5222" i="2"/>
  <c r="G5221" i="2"/>
  <c r="G5220" i="2"/>
  <c r="G5219" i="2"/>
  <c r="G5218" i="2"/>
  <c r="G5217" i="2"/>
  <c r="G5216" i="2"/>
  <c r="G5215" i="2"/>
  <c r="G5214" i="2"/>
  <c r="G5213" i="2"/>
  <c r="G5212" i="2"/>
  <c r="G5211" i="2"/>
  <c r="G5210" i="2"/>
  <c r="G5209" i="2"/>
  <c r="G5208" i="2"/>
  <c r="G5207" i="2"/>
  <c r="G5206" i="2"/>
  <c r="G5205" i="2"/>
  <c r="G5204" i="2"/>
  <c r="G5203" i="2"/>
  <c r="G5202" i="2"/>
  <c r="G5201" i="2"/>
  <c r="G5200" i="2"/>
  <c r="G5199" i="2"/>
  <c r="G5198" i="2"/>
  <c r="G5197" i="2"/>
  <c r="G5196" i="2"/>
  <c r="G5195" i="2"/>
  <c r="G5194" i="2"/>
  <c r="G5193" i="2"/>
  <c r="G5192" i="2"/>
  <c r="G5191" i="2"/>
  <c r="G5190" i="2"/>
  <c r="G5189" i="2"/>
  <c r="G5188" i="2"/>
  <c r="G5187" i="2"/>
  <c r="G5186" i="2"/>
  <c r="G5185" i="2"/>
  <c r="G5184" i="2"/>
  <c r="G5183" i="2"/>
  <c r="G5182" i="2"/>
  <c r="G5181" i="2"/>
  <c r="G5180" i="2"/>
  <c r="G5179" i="2"/>
  <c r="G5178" i="2"/>
  <c r="G5177" i="2"/>
  <c r="G5176" i="2"/>
  <c r="G5175" i="2"/>
  <c r="G5174" i="2"/>
  <c r="G5173" i="2"/>
  <c r="G5172" i="2"/>
  <c r="G5171" i="2"/>
  <c r="G5170" i="2"/>
  <c r="G5169" i="2"/>
  <c r="G5168" i="2"/>
  <c r="G5167" i="2"/>
  <c r="G5166" i="2"/>
  <c r="G5165" i="2"/>
  <c r="G5164" i="2"/>
  <c r="G5163" i="2"/>
  <c r="G5162" i="2"/>
  <c r="G5161" i="2"/>
  <c r="G5160" i="2"/>
  <c r="G5159" i="2"/>
  <c r="G5158" i="2"/>
  <c r="G5157" i="2"/>
  <c r="G5156" i="2"/>
  <c r="G5155" i="2"/>
  <c r="G5154" i="2"/>
  <c r="G5153" i="2"/>
  <c r="G5152" i="2"/>
  <c r="G5151" i="2"/>
  <c r="G5150" i="2"/>
  <c r="G5149" i="2"/>
  <c r="G5148" i="2"/>
  <c r="G5147" i="2"/>
  <c r="G5146" i="2"/>
  <c r="G5145" i="2"/>
  <c r="G5144" i="2"/>
  <c r="G5143" i="2"/>
  <c r="G5142" i="2"/>
  <c r="G5141" i="2"/>
  <c r="G5140" i="2"/>
  <c r="G5139" i="2"/>
  <c r="G5138" i="2"/>
  <c r="G5137" i="2"/>
  <c r="G5136" i="2"/>
  <c r="G5135" i="2"/>
  <c r="G5134" i="2"/>
  <c r="G5133" i="2"/>
  <c r="G5132" i="2"/>
  <c r="G5131" i="2"/>
  <c r="G5130" i="2"/>
  <c r="G5129" i="2"/>
  <c r="G5128" i="2"/>
  <c r="G5127" i="2"/>
  <c r="G5126" i="2"/>
  <c r="G5125" i="2"/>
  <c r="G5124" i="2"/>
  <c r="G5123" i="2"/>
  <c r="G5122" i="2"/>
  <c r="G5121" i="2"/>
  <c r="G5120" i="2"/>
  <c r="G5119" i="2"/>
  <c r="G5118" i="2"/>
  <c r="G5117" i="2"/>
  <c r="G5116" i="2"/>
  <c r="G5115" i="2"/>
  <c r="G5114" i="2"/>
  <c r="G5113" i="2"/>
  <c r="G5112" i="2"/>
  <c r="G5111" i="2"/>
  <c r="G5110" i="2"/>
  <c r="G5109" i="2"/>
  <c r="G5108" i="2"/>
  <c r="G5107" i="2"/>
  <c r="G5106" i="2"/>
  <c r="G5105" i="2"/>
  <c r="G5104" i="2"/>
  <c r="G5103" i="2"/>
  <c r="G5102" i="2"/>
  <c r="G5101" i="2"/>
  <c r="G5100" i="2"/>
  <c r="G5099" i="2"/>
  <c r="G5098" i="2"/>
  <c r="G5097" i="2"/>
  <c r="G5096" i="2"/>
  <c r="G5095" i="2"/>
  <c r="G5094" i="2"/>
  <c r="G5093" i="2"/>
  <c r="G5092" i="2"/>
  <c r="G5091" i="2"/>
  <c r="G5090" i="2"/>
  <c r="G5089" i="2"/>
  <c r="G5088" i="2"/>
  <c r="G5087" i="2"/>
  <c r="G5086" i="2"/>
  <c r="G5085" i="2"/>
  <c r="G5084" i="2"/>
  <c r="G5083" i="2"/>
  <c r="G5082" i="2"/>
  <c r="G5081" i="2"/>
  <c r="G5080" i="2"/>
  <c r="G5079" i="2"/>
  <c r="G5078" i="2"/>
  <c r="G5077" i="2"/>
  <c r="G5076" i="2"/>
  <c r="G5075" i="2"/>
  <c r="G5074" i="2"/>
  <c r="G5073" i="2"/>
  <c r="G5072" i="2"/>
  <c r="G5071" i="2"/>
  <c r="G5070" i="2"/>
  <c r="G5069" i="2"/>
  <c r="G5068" i="2"/>
  <c r="G5067" i="2"/>
  <c r="G5066" i="2"/>
  <c r="G5065" i="2"/>
  <c r="G5064" i="2"/>
  <c r="G5063" i="2"/>
  <c r="G5062" i="2"/>
  <c r="G5061" i="2"/>
  <c r="G5060" i="2"/>
  <c r="G5059" i="2"/>
  <c r="G5058" i="2"/>
  <c r="G5057" i="2"/>
  <c r="G5056" i="2"/>
  <c r="G5055" i="2"/>
  <c r="G5054" i="2"/>
  <c r="G5053" i="2"/>
  <c r="G5052" i="2"/>
  <c r="G5051" i="2"/>
  <c r="G5050" i="2"/>
  <c r="G5049" i="2"/>
  <c r="G5048" i="2"/>
  <c r="G5047" i="2"/>
  <c r="G5046" i="2"/>
  <c r="G5045" i="2"/>
  <c r="G5044" i="2"/>
  <c r="G5043" i="2"/>
  <c r="G5042" i="2"/>
  <c r="G5041" i="2"/>
  <c r="G5040" i="2"/>
  <c r="G5039" i="2"/>
  <c r="G5038" i="2"/>
  <c r="G5037" i="2"/>
  <c r="G5036" i="2"/>
  <c r="G5035" i="2"/>
  <c r="G5034" i="2"/>
  <c r="G5033" i="2"/>
  <c r="G5032" i="2"/>
  <c r="G5031" i="2"/>
  <c r="G5030" i="2"/>
  <c r="G5029" i="2"/>
  <c r="G5028" i="2"/>
  <c r="G5027" i="2"/>
  <c r="G5026" i="2"/>
  <c r="G5025" i="2"/>
  <c r="G5024" i="2"/>
  <c r="G5023" i="2"/>
  <c r="G5022" i="2"/>
  <c r="G5021" i="2"/>
  <c r="G5020" i="2"/>
  <c r="G5019" i="2"/>
  <c r="G5018" i="2"/>
  <c r="G5017" i="2"/>
  <c r="G5016" i="2"/>
  <c r="G5015" i="2"/>
  <c r="G5014" i="2"/>
  <c r="G5013" i="2"/>
  <c r="G5012" i="2"/>
  <c r="G5011" i="2"/>
  <c r="G5010" i="2"/>
  <c r="G5009" i="2"/>
  <c r="G5008" i="2"/>
  <c r="G5007" i="2"/>
  <c r="G5006" i="2"/>
  <c r="G5005" i="2"/>
  <c r="G5004" i="2"/>
  <c r="G5003" i="2"/>
  <c r="G5002" i="2"/>
  <c r="G5001" i="2"/>
  <c r="G5000" i="2"/>
  <c r="G4999" i="2"/>
  <c r="G4998" i="2"/>
  <c r="G4997" i="2"/>
  <c r="G4996" i="2"/>
  <c r="G4995" i="2"/>
  <c r="G4994" i="2"/>
  <c r="G4993" i="2"/>
  <c r="G4992" i="2"/>
  <c r="G4991" i="2"/>
  <c r="G4990" i="2"/>
  <c r="G4989" i="2"/>
  <c r="G4988" i="2"/>
  <c r="G4987" i="2"/>
  <c r="G4986" i="2"/>
  <c r="G4985" i="2"/>
  <c r="G4984" i="2"/>
  <c r="G4983" i="2"/>
  <c r="G4982" i="2"/>
  <c r="G4981" i="2"/>
  <c r="G4980" i="2"/>
  <c r="G4979" i="2"/>
  <c r="G4978" i="2"/>
  <c r="G4977" i="2"/>
  <c r="G4976" i="2"/>
  <c r="G4975" i="2"/>
  <c r="G4974" i="2"/>
  <c r="G4973" i="2"/>
  <c r="G4972" i="2"/>
  <c r="G4971" i="2"/>
  <c r="G4970" i="2"/>
  <c r="G4969" i="2"/>
  <c r="G4968" i="2"/>
  <c r="G4967" i="2"/>
  <c r="G4966" i="2"/>
  <c r="G4965" i="2"/>
  <c r="G4964" i="2"/>
  <c r="G4963" i="2"/>
  <c r="G4962" i="2"/>
  <c r="G4961" i="2"/>
  <c r="G4960" i="2"/>
  <c r="G4959" i="2"/>
  <c r="G4958" i="2"/>
  <c r="G4957" i="2"/>
  <c r="G4956" i="2"/>
  <c r="G4955" i="2"/>
  <c r="G4954" i="2"/>
  <c r="G4953" i="2"/>
  <c r="G4952" i="2"/>
  <c r="G4951" i="2"/>
  <c r="G4950" i="2"/>
  <c r="G4949" i="2"/>
  <c r="G4948" i="2"/>
  <c r="G4947" i="2"/>
  <c r="G4946" i="2"/>
  <c r="G4945" i="2"/>
  <c r="G4944" i="2"/>
  <c r="G4943" i="2"/>
  <c r="G4942" i="2"/>
  <c r="G4941" i="2"/>
  <c r="G4940" i="2"/>
  <c r="G4939" i="2"/>
  <c r="G4938" i="2"/>
  <c r="G4937" i="2"/>
  <c r="G4936" i="2"/>
  <c r="G4935" i="2"/>
  <c r="G4934" i="2"/>
  <c r="G4933" i="2"/>
  <c r="G4932" i="2"/>
  <c r="G4931" i="2"/>
  <c r="G4930" i="2"/>
  <c r="G4929" i="2"/>
  <c r="G4928" i="2"/>
  <c r="G4927" i="2"/>
  <c r="G4926" i="2"/>
  <c r="G4925" i="2"/>
  <c r="G4924" i="2"/>
  <c r="G4923" i="2"/>
  <c r="G4922" i="2"/>
  <c r="G4921" i="2"/>
  <c r="G4920" i="2"/>
  <c r="G4919" i="2"/>
  <c r="G4918" i="2"/>
  <c r="G4917" i="2"/>
  <c r="G4916" i="2"/>
  <c r="G4915" i="2"/>
  <c r="G4914" i="2"/>
  <c r="G4913" i="2"/>
  <c r="G4912" i="2"/>
  <c r="G4911" i="2"/>
  <c r="G4910" i="2"/>
  <c r="G4909" i="2"/>
  <c r="G4908" i="2"/>
  <c r="G4907" i="2"/>
  <c r="G4906" i="2"/>
  <c r="G4905" i="2"/>
  <c r="G4904" i="2"/>
  <c r="G4903" i="2"/>
  <c r="G4902" i="2"/>
  <c r="G4901" i="2"/>
  <c r="G4900" i="2"/>
  <c r="G4899" i="2"/>
  <c r="G4898" i="2"/>
  <c r="G4897" i="2"/>
  <c r="G4896" i="2"/>
  <c r="G4895" i="2"/>
  <c r="G4894" i="2"/>
  <c r="G4893" i="2"/>
  <c r="G4892" i="2"/>
  <c r="G4891" i="2"/>
  <c r="G4890" i="2"/>
  <c r="G4889" i="2"/>
  <c r="G4888" i="2"/>
  <c r="G4887" i="2"/>
  <c r="G4886" i="2"/>
  <c r="G4885" i="2"/>
  <c r="G4884" i="2"/>
  <c r="G4883" i="2"/>
  <c r="G4882" i="2"/>
  <c r="G4881" i="2"/>
  <c r="G4880" i="2"/>
  <c r="G4879" i="2"/>
  <c r="G4878" i="2"/>
  <c r="G4877" i="2"/>
  <c r="G4876" i="2"/>
  <c r="G4875" i="2"/>
  <c r="G4874" i="2"/>
  <c r="G4873" i="2"/>
  <c r="G4872" i="2"/>
  <c r="G4871" i="2"/>
  <c r="G4870" i="2"/>
  <c r="G4869" i="2"/>
  <c r="G4868" i="2"/>
  <c r="G4867" i="2"/>
  <c r="G4866" i="2"/>
  <c r="G4865" i="2"/>
  <c r="G4864" i="2"/>
  <c r="G4863" i="2"/>
  <c r="G4862" i="2"/>
  <c r="G4861" i="2"/>
  <c r="G4860" i="2"/>
  <c r="G4859" i="2"/>
  <c r="G4858" i="2"/>
  <c r="G4857" i="2"/>
  <c r="G4856" i="2"/>
  <c r="G4855" i="2"/>
  <c r="G4854" i="2"/>
  <c r="G4853" i="2"/>
  <c r="G4852" i="2"/>
  <c r="G4851" i="2"/>
  <c r="G4850" i="2"/>
  <c r="G4849" i="2"/>
  <c r="G4848" i="2"/>
  <c r="G4847" i="2"/>
  <c r="G4846" i="2"/>
  <c r="G4845" i="2"/>
  <c r="G4844" i="2"/>
  <c r="G4843" i="2"/>
  <c r="G4842" i="2"/>
  <c r="G4841" i="2"/>
  <c r="G4840" i="2"/>
  <c r="G4839" i="2"/>
  <c r="G4838" i="2"/>
  <c r="G4837" i="2"/>
  <c r="G4836" i="2"/>
  <c r="G4835" i="2"/>
  <c r="G4834" i="2"/>
  <c r="G4833" i="2"/>
  <c r="G4832" i="2"/>
  <c r="G4831" i="2"/>
  <c r="G4830" i="2"/>
  <c r="G4829" i="2"/>
  <c r="G4828" i="2"/>
  <c r="G4827" i="2"/>
  <c r="G4826" i="2"/>
  <c r="G4825" i="2"/>
  <c r="G4824" i="2"/>
  <c r="G4823" i="2"/>
  <c r="G4822" i="2"/>
  <c r="G4821" i="2"/>
  <c r="G4820" i="2"/>
  <c r="G4819" i="2"/>
  <c r="G4818" i="2"/>
  <c r="G4817" i="2"/>
  <c r="G4816" i="2"/>
  <c r="G4815" i="2"/>
  <c r="G4814" i="2"/>
  <c r="G4813" i="2"/>
  <c r="G4812" i="2"/>
  <c r="G4811" i="2"/>
  <c r="G4810" i="2"/>
  <c r="G4809" i="2"/>
  <c r="G4808" i="2"/>
  <c r="G4807" i="2"/>
  <c r="G4806" i="2"/>
  <c r="G4805" i="2"/>
  <c r="G4804" i="2"/>
  <c r="G4803" i="2"/>
  <c r="G4802" i="2"/>
  <c r="G4801" i="2"/>
  <c r="G4800" i="2"/>
  <c r="G4799" i="2"/>
  <c r="G4798" i="2"/>
  <c r="G4797" i="2"/>
  <c r="G4796" i="2"/>
  <c r="G4795" i="2"/>
  <c r="G4794" i="2"/>
  <c r="G4793" i="2"/>
  <c r="G4792" i="2"/>
  <c r="G4791" i="2"/>
  <c r="G4790" i="2"/>
  <c r="G4789" i="2"/>
  <c r="G4788" i="2"/>
  <c r="G4787" i="2"/>
  <c r="G4786" i="2"/>
  <c r="G4785" i="2"/>
  <c r="G4784" i="2"/>
  <c r="G4783" i="2"/>
  <c r="G4782" i="2"/>
  <c r="G4781" i="2"/>
  <c r="G4780" i="2"/>
  <c r="G4779" i="2"/>
  <c r="G4778" i="2"/>
  <c r="G4777" i="2"/>
  <c r="G4776" i="2"/>
  <c r="G4775" i="2"/>
  <c r="G4774" i="2"/>
  <c r="G4773" i="2"/>
  <c r="G4772" i="2"/>
  <c r="G4771" i="2"/>
  <c r="G4770" i="2"/>
  <c r="G4769" i="2"/>
  <c r="G4768" i="2"/>
  <c r="G4767" i="2"/>
  <c r="G4766" i="2"/>
  <c r="G4765" i="2"/>
  <c r="G4764" i="2"/>
  <c r="G4763" i="2"/>
  <c r="G4762" i="2"/>
  <c r="G4761" i="2"/>
  <c r="G4760" i="2"/>
  <c r="G4759" i="2"/>
  <c r="G4758" i="2"/>
  <c r="G4757" i="2"/>
  <c r="G4756" i="2"/>
  <c r="G4755" i="2"/>
  <c r="G4754" i="2"/>
  <c r="G4753" i="2"/>
  <c r="G4752" i="2"/>
  <c r="G4751" i="2"/>
  <c r="G4750" i="2"/>
  <c r="G4749" i="2"/>
  <c r="G4748" i="2"/>
  <c r="G4747" i="2"/>
  <c r="G4746" i="2"/>
  <c r="G4745" i="2"/>
  <c r="G4744" i="2"/>
  <c r="G4743" i="2"/>
  <c r="G4742" i="2"/>
  <c r="G4741" i="2"/>
  <c r="G4740" i="2"/>
  <c r="G4739" i="2"/>
  <c r="G4738" i="2"/>
  <c r="G4737" i="2"/>
  <c r="G4736" i="2"/>
  <c r="G4735" i="2"/>
  <c r="G4734" i="2"/>
  <c r="G4733" i="2"/>
  <c r="G4732" i="2"/>
  <c r="G4731" i="2"/>
  <c r="G4730" i="2"/>
  <c r="G4729" i="2"/>
  <c r="G4728" i="2"/>
  <c r="G4727" i="2"/>
  <c r="G4726" i="2"/>
  <c r="G4725" i="2"/>
  <c r="G4724" i="2"/>
  <c r="G4723" i="2"/>
  <c r="G4722" i="2"/>
  <c r="G4721" i="2"/>
  <c r="G4720" i="2"/>
  <c r="G4719" i="2"/>
  <c r="G4718" i="2"/>
  <c r="G4717" i="2"/>
  <c r="G4716" i="2"/>
  <c r="G4715" i="2"/>
  <c r="G4714" i="2"/>
  <c r="G4713" i="2"/>
  <c r="G4712" i="2"/>
  <c r="G4711" i="2"/>
  <c r="G4710" i="2"/>
  <c r="G4709" i="2"/>
  <c r="G4708" i="2"/>
  <c r="G4707" i="2"/>
  <c r="G4706" i="2"/>
  <c r="G4705" i="2"/>
  <c r="G4704" i="2"/>
  <c r="G4703" i="2"/>
  <c r="G4702" i="2"/>
  <c r="G4701" i="2"/>
  <c r="G4700" i="2"/>
  <c r="G4699" i="2"/>
  <c r="G4698" i="2"/>
  <c r="G4697" i="2"/>
  <c r="G4696" i="2"/>
  <c r="G4695" i="2"/>
  <c r="G4694" i="2"/>
  <c r="G4693" i="2"/>
  <c r="G4692" i="2"/>
  <c r="G4691" i="2"/>
  <c r="G4690" i="2"/>
  <c r="G4689" i="2"/>
  <c r="G4688" i="2"/>
  <c r="G4687" i="2"/>
  <c r="G4686" i="2"/>
  <c r="G4685" i="2"/>
  <c r="G4684" i="2"/>
  <c r="G4683" i="2"/>
  <c r="G4682" i="2"/>
  <c r="G4681" i="2"/>
  <c r="G4680" i="2"/>
  <c r="G4679" i="2"/>
  <c r="G4678" i="2"/>
  <c r="G4677" i="2"/>
  <c r="G4676" i="2"/>
  <c r="G4675" i="2"/>
  <c r="G4674" i="2"/>
  <c r="G4673" i="2"/>
  <c r="G4672" i="2"/>
  <c r="G4671" i="2"/>
  <c r="G4670" i="2"/>
  <c r="G4669" i="2"/>
  <c r="G4668" i="2"/>
  <c r="G4667" i="2"/>
  <c r="G4666" i="2"/>
  <c r="G4665" i="2"/>
  <c r="G4664" i="2"/>
  <c r="G4663" i="2"/>
  <c r="G4662" i="2"/>
  <c r="G4661" i="2"/>
  <c r="G4660" i="2"/>
  <c r="G4659" i="2"/>
  <c r="G4658" i="2"/>
  <c r="G4657" i="2"/>
  <c r="G4656" i="2"/>
  <c r="G4655" i="2"/>
  <c r="G4654" i="2"/>
  <c r="G4653" i="2"/>
  <c r="G4652" i="2"/>
  <c r="G4651" i="2"/>
  <c r="G4650" i="2"/>
  <c r="G4649" i="2"/>
  <c r="G4648" i="2"/>
  <c r="G4647" i="2"/>
  <c r="G4646" i="2"/>
  <c r="G4645" i="2"/>
  <c r="G4644" i="2"/>
  <c r="G4643" i="2"/>
  <c r="G4642" i="2"/>
  <c r="G4641" i="2"/>
  <c r="G4640" i="2"/>
  <c r="G4639" i="2"/>
  <c r="G4638" i="2"/>
  <c r="G4637" i="2"/>
  <c r="G4636" i="2"/>
  <c r="G4635" i="2"/>
  <c r="G4634" i="2"/>
  <c r="G4633" i="2"/>
  <c r="G4632" i="2"/>
  <c r="G4631" i="2"/>
  <c r="G4630" i="2"/>
  <c r="G4629" i="2"/>
  <c r="G4628" i="2"/>
  <c r="G4627" i="2"/>
  <c r="G4626" i="2"/>
  <c r="G4625" i="2"/>
  <c r="G4624" i="2"/>
  <c r="G4623" i="2"/>
  <c r="G4622" i="2"/>
  <c r="G4621" i="2"/>
  <c r="G4620" i="2"/>
  <c r="G4619" i="2"/>
  <c r="G4618" i="2"/>
  <c r="G4617" i="2"/>
  <c r="G4616" i="2"/>
  <c r="G4615" i="2"/>
  <c r="G4614" i="2"/>
  <c r="G4613" i="2"/>
  <c r="G4612" i="2"/>
  <c r="G4611" i="2"/>
  <c r="G4610" i="2"/>
  <c r="G4609" i="2"/>
  <c r="G4608" i="2"/>
  <c r="G4607" i="2"/>
  <c r="G4606" i="2"/>
  <c r="G4605" i="2"/>
  <c r="G4604" i="2"/>
  <c r="G4603" i="2"/>
  <c r="G4602" i="2"/>
  <c r="G4601" i="2"/>
  <c r="G4600" i="2"/>
  <c r="G4599" i="2"/>
  <c r="G4598" i="2"/>
  <c r="G4597" i="2"/>
  <c r="G4596" i="2"/>
  <c r="G4595" i="2"/>
  <c r="G4594" i="2"/>
  <c r="G4593" i="2"/>
  <c r="G4592" i="2"/>
  <c r="G4591" i="2"/>
  <c r="G4590" i="2"/>
  <c r="G4589" i="2"/>
  <c r="G4588" i="2"/>
  <c r="G4587" i="2"/>
  <c r="G4586" i="2"/>
  <c r="G4585" i="2"/>
  <c r="G4584" i="2"/>
  <c r="G4583" i="2"/>
  <c r="G4582" i="2"/>
  <c r="G4581" i="2"/>
  <c r="G4580" i="2"/>
  <c r="G4579" i="2"/>
  <c r="G4578" i="2"/>
  <c r="G4577" i="2"/>
  <c r="G4576" i="2"/>
  <c r="G4575" i="2"/>
  <c r="G4574" i="2"/>
  <c r="G4573" i="2"/>
  <c r="G4572" i="2"/>
  <c r="G4571" i="2"/>
  <c r="G4570" i="2"/>
  <c r="G4569" i="2"/>
  <c r="G4568" i="2"/>
  <c r="G4567" i="2"/>
  <c r="G4566" i="2"/>
  <c r="G4565" i="2"/>
  <c r="G4564" i="2"/>
  <c r="G4563" i="2"/>
  <c r="G4562" i="2"/>
  <c r="G4561" i="2"/>
  <c r="G4560" i="2"/>
  <c r="G4559" i="2"/>
  <c r="G4558" i="2"/>
  <c r="G4557" i="2"/>
  <c r="G4556" i="2"/>
  <c r="G4555" i="2"/>
  <c r="G4554" i="2"/>
  <c r="G4553" i="2"/>
  <c r="G4552" i="2"/>
  <c r="G4551" i="2"/>
  <c r="G4550" i="2"/>
  <c r="G4549" i="2"/>
  <c r="G4548" i="2"/>
  <c r="G4547" i="2"/>
  <c r="G4546" i="2"/>
  <c r="G4545" i="2"/>
  <c r="G4544" i="2"/>
  <c r="G4543" i="2"/>
  <c r="G4542" i="2"/>
  <c r="G4541" i="2"/>
  <c r="G4540" i="2"/>
  <c r="G4539" i="2"/>
  <c r="G4538" i="2"/>
  <c r="G4537" i="2"/>
  <c r="G4536" i="2"/>
  <c r="G4535" i="2"/>
  <c r="G4534" i="2"/>
  <c r="G4533" i="2"/>
  <c r="G4532" i="2"/>
  <c r="G4531" i="2"/>
  <c r="G4530" i="2"/>
  <c r="G4529" i="2"/>
  <c r="G4528" i="2"/>
  <c r="G4527" i="2"/>
  <c r="G4526" i="2"/>
  <c r="G4525" i="2"/>
  <c r="G4524" i="2"/>
  <c r="G4523" i="2"/>
  <c r="G4522" i="2"/>
  <c r="G4521" i="2"/>
  <c r="G4520" i="2"/>
  <c r="G4519" i="2"/>
  <c r="G4518" i="2"/>
  <c r="G4517" i="2"/>
  <c r="G4516" i="2"/>
  <c r="G4515" i="2"/>
  <c r="G4514" i="2"/>
  <c r="G4513" i="2"/>
  <c r="G4512" i="2"/>
  <c r="G4511" i="2"/>
  <c r="G4510" i="2"/>
  <c r="G4509" i="2"/>
  <c r="G4508" i="2"/>
  <c r="G4507" i="2"/>
  <c r="G4506" i="2"/>
  <c r="G4505" i="2"/>
  <c r="G4504" i="2"/>
  <c r="G4503" i="2"/>
  <c r="G4502" i="2"/>
  <c r="G4501" i="2"/>
  <c r="G4500" i="2"/>
  <c r="G4499" i="2"/>
  <c r="G4498" i="2"/>
  <c r="G4497" i="2"/>
  <c r="G4496" i="2"/>
  <c r="G4495" i="2"/>
  <c r="G4494" i="2"/>
  <c r="G4493" i="2"/>
  <c r="G4492" i="2"/>
  <c r="G4491" i="2"/>
  <c r="G4490" i="2"/>
  <c r="G4489" i="2"/>
  <c r="G4488" i="2"/>
  <c r="G4487" i="2"/>
  <c r="G4486" i="2"/>
  <c r="G4485" i="2"/>
  <c r="G4484" i="2"/>
  <c r="G4483" i="2"/>
  <c r="G4482" i="2"/>
  <c r="G4481" i="2"/>
  <c r="G4480" i="2"/>
  <c r="G4479" i="2"/>
  <c r="G4478" i="2"/>
  <c r="G4477" i="2"/>
  <c r="G4476" i="2"/>
  <c r="G4475" i="2"/>
  <c r="G4474" i="2"/>
  <c r="G4473" i="2"/>
  <c r="G4472" i="2"/>
  <c r="G4471" i="2"/>
  <c r="G4470" i="2"/>
  <c r="G4469" i="2"/>
  <c r="G4468" i="2"/>
  <c r="G4467" i="2"/>
  <c r="G4466" i="2"/>
  <c r="G4465" i="2"/>
  <c r="G4464" i="2"/>
  <c r="G4463" i="2"/>
  <c r="G4462" i="2"/>
  <c r="G4461" i="2"/>
  <c r="G4460" i="2"/>
  <c r="G4459" i="2"/>
  <c r="G4458" i="2"/>
  <c r="G4457" i="2"/>
  <c r="G4456" i="2"/>
  <c r="G4455" i="2"/>
  <c r="G4454" i="2"/>
  <c r="G4453" i="2"/>
  <c r="G4452" i="2"/>
  <c r="G4451" i="2"/>
  <c r="G4450" i="2"/>
  <c r="G4449" i="2"/>
  <c r="G4448" i="2"/>
  <c r="G4447" i="2"/>
  <c r="G4446" i="2"/>
  <c r="G4445" i="2"/>
  <c r="G4444" i="2"/>
  <c r="G4443" i="2"/>
  <c r="G4442" i="2"/>
  <c r="G4441" i="2"/>
  <c r="G4440" i="2"/>
  <c r="G4439" i="2"/>
  <c r="G4438" i="2"/>
  <c r="G4437" i="2"/>
  <c r="G4436" i="2"/>
  <c r="G4435" i="2"/>
  <c r="G4434" i="2"/>
  <c r="G4433" i="2"/>
  <c r="G4432" i="2"/>
  <c r="G4431" i="2"/>
  <c r="G4430" i="2"/>
  <c r="G4429" i="2"/>
  <c r="G4428" i="2"/>
  <c r="G4427" i="2"/>
  <c r="G4426" i="2"/>
  <c r="G4425" i="2"/>
  <c r="G4424" i="2"/>
  <c r="G4423" i="2"/>
  <c r="G4422" i="2"/>
  <c r="G4421" i="2"/>
  <c r="G4420" i="2"/>
  <c r="G4419" i="2"/>
  <c r="G4418" i="2"/>
  <c r="G4417" i="2"/>
  <c r="G4416" i="2"/>
  <c r="G4415" i="2"/>
  <c r="G4414" i="2"/>
  <c r="G4413" i="2"/>
  <c r="G4412" i="2"/>
  <c r="G4411" i="2"/>
  <c r="G4410" i="2"/>
  <c r="G4409" i="2"/>
  <c r="G4408" i="2"/>
  <c r="G4407" i="2"/>
  <c r="G4406" i="2"/>
  <c r="G4405" i="2"/>
  <c r="G4404" i="2"/>
  <c r="G4403" i="2"/>
  <c r="G4402" i="2"/>
  <c r="G4401" i="2"/>
  <c r="G4400" i="2"/>
  <c r="G4399" i="2"/>
  <c r="G4398" i="2"/>
  <c r="G4397" i="2"/>
  <c r="G4396" i="2"/>
  <c r="G4395" i="2"/>
  <c r="G4394" i="2"/>
  <c r="G4393" i="2"/>
  <c r="G4392" i="2"/>
  <c r="G4391" i="2"/>
  <c r="G4390" i="2"/>
  <c r="G4389" i="2"/>
  <c r="G4388" i="2"/>
  <c r="G4387" i="2"/>
  <c r="G4386" i="2"/>
  <c r="G4385" i="2"/>
  <c r="G4384" i="2"/>
  <c r="G4383" i="2"/>
  <c r="G4382" i="2"/>
  <c r="G4381" i="2"/>
  <c r="G4380" i="2"/>
  <c r="G4379" i="2"/>
  <c r="G4378" i="2"/>
  <c r="G4377" i="2"/>
  <c r="G4376" i="2"/>
  <c r="G4375" i="2"/>
  <c r="G4374" i="2"/>
  <c r="G4373" i="2"/>
  <c r="G4372" i="2"/>
  <c r="G4371" i="2"/>
  <c r="G4370" i="2"/>
  <c r="G4369" i="2"/>
  <c r="G4368" i="2"/>
  <c r="G4367" i="2"/>
  <c r="G4366" i="2"/>
  <c r="G4365" i="2"/>
  <c r="G4364" i="2"/>
  <c r="G4363" i="2"/>
  <c r="G4362" i="2"/>
  <c r="G4361" i="2"/>
  <c r="G4360" i="2"/>
  <c r="G4359" i="2"/>
  <c r="G4358" i="2"/>
  <c r="G4357" i="2"/>
  <c r="G4356" i="2"/>
  <c r="G4355" i="2"/>
  <c r="G4354" i="2"/>
  <c r="G4353" i="2"/>
  <c r="G4352" i="2"/>
  <c r="G4351" i="2"/>
  <c r="G4350" i="2"/>
  <c r="G4349" i="2"/>
  <c r="G4348" i="2"/>
  <c r="G4347" i="2"/>
  <c r="G4346" i="2"/>
  <c r="G4345" i="2"/>
  <c r="G4344" i="2"/>
  <c r="G4343" i="2"/>
  <c r="G4342" i="2"/>
  <c r="G4341" i="2"/>
  <c r="G4340" i="2"/>
  <c r="G4339" i="2"/>
  <c r="G4338" i="2"/>
  <c r="G4337" i="2"/>
  <c r="G4336" i="2"/>
  <c r="G4335" i="2"/>
  <c r="G4334" i="2"/>
  <c r="G4333" i="2"/>
  <c r="G4332" i="2"/>
  <c r="G4331" i="2"/>
  <c r="G4330" i="2"/>
  <c r="G4329" i="2"/>
  <c r="G4328" i="2"/>
  <c r="G4327" i="2"/>
  <c r="G4326" i="2"/>
  <c r="G4325" i="2"/>
  <c r="G4324" i="2"/>
  <c r="G4323" i="2"/>
  <c r="G4322" i="2"/>
  <c r="G4321" i="2"/>
  <c r="G4320" i="2"/>
  <c r="G4319" i="2"/>
  <c r="G4318" i="2"/>
  <c r="G4317" i="2"/>
  <c r="G4316" i="2"/>
  <c r="G4315" i="2"/>
  <c r="G4314" i="2"/>
  <c r="G4313" i="2"/>
  <c r="G4312" i="2"/>
  <c r="G4311" i="2"/>
  <c r="G4310" i="2"/>
  <c r="G4309" i="2"/>
  <c r="G4308" i="2"/>
  <c r="G4307" i="2"/>
  <c r="G4306" i="2"/>
  <c r="G4305" i="2"/>
  <c r="G4304" i="2"/>
  <c r="G4303" i="2"/>
  <c r="G4302" i="2"/>
  <c r="G4301" i="2"/>
  <c r="G4300" i="2"/>
  <c r="G4299" i="2"/>
  <c r="G4298" i="2"/>
  <c r="G4297" i="2"/>
  <c r="G4296" i="2"/>
  <c r="G4295" i="2"/>
  <c r="G4294" i="2"/>
  <c r="G4293" i="2"/>
  <c r="G4292" i="2"/>
  <c r="G4291" i="2"/>
  <c r="G4290" i="2"/>
  <c r="G4289" i="2"/>
  <c r="G4288" i="2"/>
  <c r="G4287" i="2"/>
  <c r="G4286" i="2"/>
  <c r="G4285" i="2"/>
  <c r="G4284" i="2"/>
  <c r="G4283" i="2"/>
  <c r="G4282" i="2"/>
  <c r="G4281" i="2"/>
  <c r="G4280" i="2"/>
  <c r="G4279" i="2"/>
  <c r="G4278" i="2"/>
  <c r="G4277" i="2"/>
  <c r="G4276" i="2"/>
  <c r="G4275" i="2"/>
  <c r="G4274" i="2"/>
  <c r="G4273" i="2"/>
  <c r="G4272" i="2"/>
  <c r="G4271" i="2"/>
  <c r="G4270" i="2"/>
  <c r="G4269" i="2"/>
  <c r="G4268" i="2"/>
  <c r="G4267" i="2"/>
  <c r="G4266" i="2"/>
  <c r="G4265" i="2"/>
  <c r="G4264" i="2"/>
  <c r="G4263" i="2"/>
  <c r="G4262" i="2"/>
  <c r="G4261" i="2"/>
  <c r="G4260" i="2"/>
  <c r="G4259" i="2"/>
  <c r="G4258" i="2"/>
  <c r="G4257" i="2"/>
  <c r="G4256" i="2"/>
  <c r="G4255" i="2"/>
  <c r="G4254" i="2"/>
  <c r="G4253" i="2"/>
  <c r="G4252" i="2"/>
  <c r="G4251" i="2"/>
  <c r="G4250" i="2"/>
  <c r="G4249" i="2"/>
  <c r="G4248" i="2"/>
  <c r="G4247" i="2"/>
  <c r="G4246" i="2"/>
  <c r="G4245" i="2"/>
  <c r="G4244" i="2"/>
  <c r="G4243" i="2"/>
  <c r="G4242" i="2"/>
  <c r="G4241" i="2"/>
  <c r="G4240" i="2"/>
  <c r="G4239" i="2"/>
  <c r="G4238" i="2"/>
  <c r="G4237" i="2"/>
  <c r="G4236" i="2"/>
  <c r="G4235" i="2"/>
  <c r="G4234" i="2"/>
  <c r="G4233" i="2"/>
  <c r="G4232" i="2"/>
  <c r="G4231" i="2"/>
  <c r="G4230" i="2"/>
  <c r="G4229" i="2"/>
  <c r="G4228" i="2"/>
  <c r="G4227" i="2"/>
  <c r="G4226" i="2"/>
  <c r="G4225" i="2"/>
  <c r="G4224" i="2"/>
  <c r="G4223" i="2"/>
  <c r="G4222" i="2"/>
  <c r="G4221" i="2"/>
  <c r="G4220" i="2"/>
  <c r="G4219" i="2"/>
  <c r="G4218" i="2"/>
  <c r="G4217" i="2"/>
  <c r="G4216" i="2"/>
  <c r="G4215" i="2"/>
  <c r="G4214" i="2"/>
  <c r="G4213" i="2"/>
  <c r="G4212" i="2"/>
  <c r="G4211" i="2"/>
  <c r="G4210" i="2"/>
  <c r="G4209" i="2"/>
  <c r="G4208" i="2"/>
  <c r="G4207" i="2"/>
  <c r="G4206" i="2"/>
  <c r="G4205" i="2"/>
  <c r="G4204" i="2"/>
  <c r="G4203" i="2"/>
  <c r="G4202" i="2"/>
  <c r="G4201" i="2"/>
  <c r="G4200" i="2"/>
  <c r="G4199" i="2"/>
  <c r="G4198" i="2"/>
  <c r="G4197" i="2"/>
  <c r="G4196" i="2"/>
  <c r="G4195" i="2"/>
  <c r="G4194" i="2"/>
  <c r="G4193" i="2"/>
  <c r="G4192" i="2"/>
  <c r="G4191" i="2"/>
  <c r="G4190" i="2"/>
  <c r="G4189" i="2"/>
  <c r="G4188" i="2"/>
  <c r="G4187" i="2"/>
  <c r="G4186" i="2"/>
  <c r="G4185" i="2"/>
  <c r="G4184" i="2"/>
  <c r="G4183" i="2"/>
  <c r="G4182" i="2"/>
  <c r="G4181" i="2"/>
  <c r="G4180" i="2"/>
  <c r="G4179" i="2"/>
  <c r="G4178" i="2"/>
  <c r="G4177" i="2"/>
  <c r="G4176" i="2"/>
  <c r="G4175" i="2"/>
  <c r="G4174" i="2"/>
  <c r="G4173" i="2"/>
  <c r="G4172" i="2"/>
  <c r="G4171" i="2"/>
  <c r="G4170" i="2"/>
  <c r="G4169" i="2"/>
  <c r="G4168" i="2"/>
  <c r="G4167" i="2"/>
  <c r="G4166" i="2"/>
  <c r="G4165" i="2"/>
  <c r="G4164" i="2"/>
  <c r="G4163" i="2"/>
  <c r="G4162" i="2"/>
  <c r="G4161" i="2"/>
  <c r="G4160" i="2"/>
  <c r="G4159" i="2"/>
  <c r="G4158" i="2"/>
  <c r="G4157" i="2"/>
  <c r="G4156" i="2"/>
  <c r="G4155" i="2"/>
  <c r="G4154" i="2"/>
  <c r="G4153" i="2"/>
  <c r="G4152" i="2"/>
  <c r="G4151" i="2"/>
  <c r="G4150" i="2"/>
  <c r="G4149" i="2"/>
  <c r="G4148" i="2"/>
  <c r="G4147" i="2"/>
  <c r="G4146" i="2"/>
  <c r="G4145" i="2"/>
  <c r="G4144" i="2"/>
  <c r="G4143" i="2"/>
  <c r="G4142" i="2"/>
  <c r="G4141" i="2"/>
  <c r="G4140" i="2"/>
  <c r="G4139" i="2"/>
  <c r="G4138" i="2"/>
  <c r="G4137" i="2"/>
  <c r="G4136" i="2"/>
  <c r="G4135" i="2"/>
  <c r="G4134" i="2"/>
  <c r="G4133" i="2"/>
  <c r="G4132" i="2"/>
  <c r="G4131" i="2"/>
  <c r="G4130" i="2"/>
  <c r="G4129" i="2"/>
  <c r="G4128" i="2"/>
  <c r="G4127" i="2"/>
  <c r="G4126" i="2"/>
  <c r="G4125" i="2"/>
  <c r="G4124" i="2"/>
  <c r="G4123" i="2"/>
  <c r="G4122" i="2"/>
  <c r="G4121" i="2"/>
  <c r="G4120" i="2"/>
  <c r="G4119" i="2"/>
  <c r="G4118" i="2"/>
  <c r="G4117" i="2"/>
  <c r="G4116" i="2"/>
  <c r="G4115" i="2"/>
  <c r="G4114" i="2"/>
  <c r="G4113" i="2"/>
  <c r="G4112" i="2"/>
  <c r="G4111" i="2"/>
  <c r="G4110" i="2"/>
  <c r="G4109" i="2"/>
  <c r="G4108" i="2"/>
  <c r="G4107" i="2"/>
  <c r="G4106" i="2"/>
  <c r="G4105" i="2"/>
  <c r="G4104" i="2"/>
  <c r="G4103" i="2"/>
  <c r="G4102" i="2"/>
  <c r="G4101" i="2"/>
  <c r="G4100" i="2"/>
  <c r="G4099" i="2"/>
  <c r="G4098" i="2"/>
  <c r="G4097" i="2"/>
  <c r="G4096" i="2"/>
  <c r="G4095" i="2"/>
  <c r="G4094" i="2"/>
  <c r="G4093" i="2"/>
  <c r="G4092" i="2"/>
  <c r="G4091" i="2"/>
  <c r="G4090" i="2"/>
  <c r="G4089" i="2"/>
  <c r="G4088" i="2"/>
  <c r="G4087" i="2"/>
  <c r="G4086" i="2"/>
  <c r="G4085" i="2"/>
  <c r="G4084" i="2"/>
  <c r="G4083" i="2"/>
  <c r="G4082" i="2"/>
  <c r="G4081" i="2"/>
  <c r="G4080" i="2"/>
  <c r="G4079" i="2"/>
  <c r="G4078" i="2"/>
  <c r="G4077" i="2"/>
  <c r="G4076" i="2"/>
  <c r="G4075" i="2"/>
  <c r="G4074" i="2"/>
  <c r="G4073" i="2"/>
  <c r="G4072" i="2"/>
  <c r="G4071" i="2"/>
  <c r="G4070" i="2"/>
  <c r="G4069" i="2"/>
  <c r="G4068" i="2"/>
  <c r="G4067" i="2"/>
  <c r="G4066" i="2"/>
  <c r="G4065" i="2"/>
  <c r="G4064" i="2"/>
  <c r="G4063" i="2"/>
  <c r="G4062" i="2"/>
  <c r="G4061" i="2"/>
  <c r="G4060" i="2"/>
  <c r="G4059" i="2"/>
  <c r="G4058" i="2"/>
  <c r="G4057" i="2"/>
  <c r="G4056" i="2"/>
  <c r="G4055" i="2"/>
  <c r="G4054" i="2"/>
  <c r="G4053" i="2"/>
  <c r="G4052" i="2"/>
  <c r="G4051" i="2"/>
  <c r="G4050" i="2"/>
  <c r="G4049" i="2"/>
  <c r="G4048" i="2"/>
  <c r="G4047" i="2"/>
  <c r="G4046" i="2"/>
  <c r="G4045" i="2"/>
  <c r="G4044" i="2"/>
  <c r="G4043" i="2"/>
  <c r="G4042" i="2"/>
  <c r="G4041" i="2"/>
  <c r="G4040" i="2"/>
  <c r="G4039" i="2"/>
  <c r="G4038" i="2"/>
  <c r="G4037" i="2"/>
  <c r="G4036" i="2"/>
  <c r="G4035" i="2"/>
  <c r="G4034" i="2"/>
  <c r="G4033" i="2"/>
  <c r="G4032" i="2"/>
  <c r="G4031" i="2"/>
  <c r="G4030" i="2"/>
  <c r="G4029" i="2"/>
  <c r="G4028" i="2"/>
  <c r="G4027" i="2"/>
  <c r="G4026" i="2"/>
  <c r="G4025" i="2"/>
  <c r="G4024" i="2"/>
  <c r="G4023" i="2"/>
  <c r="G4022" i="2"/>
  <c r="G4021" i="2"/>
  <c r="G4020" i="2"/>
  <c r="G4019" i="2"/>
  <c r="G4018" i="2"/>
  <c r="G4017" i="2"/>
  <c r="G4016" i="2"/>
  <c r="G4015" i="2"/>
  <c r="G4014" i="2"/>
  <c r="G4013" i="2"/>
  <c r="G4012" i="2"/>
  <c r="G4011" i="2"/>
  <c r="G4010" i="2"/>
  <c r="G4009" i="2"/>
  <c r="G4008" i="2"/>
  <c r="G4007" i="2"/>
  <c r="G4006" i="2"/>
  <c r="G4005" i="2"/>
  <c r="G4004" i="2"/>
  <c r="G4003" i="2"/>
  <c r="G4002" i="2"/>
  <c r="G4001" i="2"/>
  <c r="G4000" i="2"/>
  <c r="G3999" i="2"/>
  <c r="G3998" i="2"/>
  <c r="G3997" i="2"/>
  <c r="G3996" i="2"/>
  <c r="G3995" i="2"/>
  <c r="G3994" i="2"/>
  <c r="G3993" i="2"/>
  <c r="G3992" i="2"/>
  <c r="G3991" i="2"/>
  <c r="G3990" i="2"/>
  <c r="G3989" i="2"/>
  <c r="G3988" i="2"/>
  <c r="G3987" i="2"/>
  <c r="G3986" i="2"/>
  <c r="G3985" i="2"/>
  <c r="G3984" i="2"/>
  <c r="G3983" i="2"/>
  <c r="G3982" i="2"/>
  <c r="G3981" i="2"/>
  <c r="G3980" i="2"/>
  <c r="G3979" i="2"/>
  <c r="G3978" i="2"/>
  <c r="G3977" i="2"/>
  <c r="G3976" i="2"/>
  <c r="G3975" i="2"/>
  <c r="G3974" i="2"/>
  <c r="G3973" i="2"/>
  <c r="G3972" i="2"/>
  <c r="G3971" i="2"/>
  <c r="G3970" i="2"/>
  <c r="G3969" i="2"/>
  <c r="G3968" i="2"/>
  <c r="G3967" i="2"/>
  <c r="G3966" i="2"/>
  <c r="G3965" i="2"/>
  <c r="G3964" i="2"/>
  <c r="G3963" i="2"/>
  <c r="G3962" i="2"/>
  <c r="G3961" i="2"/>
  <c r="G3960" i="2"/>
  <c r="G3959" i="2"/>
  <c r="G3958" i="2"/>
  <c r="G3957" i="2"/>
  <c r="G3956" i="2"/>
  <c r="G3955" i="2"/>
  <c r="G3954" i="2"/>
  <c r="G3953" i="2"/>
  <c r="G3952" i="2"/>
  <c r="G3951" i="2"/>
  <c r="G3950" i="2"/>
  <c r="G3949" i="2"/>
  <c r="G3948" i="2"/>
  <c r="G3947" i="2"/>
  <c r="G3946" i="2"/>
  <c r="G3945" i="2"/>
  <c r="G3944" i="2"/>
  <c r="G3943" i="2"/>
  <c r="G3942" i="2"/>
  <c r="G3941" i="2"/>
  <c r="G3940" i="2"/>
  <c r="G3939" i="2"/>
  <c r="G3938" i="2"/>
  <c r="G3937" i="2"/>
  <c r="G3936" i="2"/>
  <c r="G3935" i="2"/>
  <c r="G3934" i="2"/>
  <c r="G3933" i="2"/>
  <c r="G3932" i="2"/>
  <c r="G3931" i="2"/>
  <c r="G3930" i="2"/>
  <c r="G3929" i="2"/>
  <c r="G3928" i="2"/>
  <c r="G3927" i="2"/>
  <c r="G3926" i="2"/>
  <c r="G3925" i="2"/>
  <c r="G3924" i="2"/>
  <c r="G3923" i="2"/>
  <c r="G3922" i="2"/>
  <c r="G3921" i="2"/>
  <c r="G3920" i="2"/>
  <c r="G3919" i="2"/>
  <c r="G3918" i="2"/>
  <c r="G3917" i="2"/>
  <c r="G3916" i="2"/>
  <c r="G3915" i="2"/>
  <c r="G3914" i="2"/>
  <c r="G3913" i="2"/>
  <c r="G3912" i="2"/>
  <c r="G3911" i="2"/>
  <c r="G3910" i="2"/>
  <c r="G3909" i="2"/>
  <c r="G3908" i="2"/>
  <c r="G3907" i="2"/>
  <c r="G3906" i="2"/>
  <c r="G3905" i="2"/>
  <c r="G3904" i="2"/>
  <c r="G3903" i="2"/>
  <c r="G3902" i="2"/>
  <c r="G3901" i="2"/>
  <c r="G3900" i="2"/>
  <c r="G3899" i="2"/>
  <c r="G3898" i="2"/>
  <c r="G3897" i="2"/>
  <c r="G3896" i="2"/>
  <c r="G3895" i="2"/>
  <c r="G3894" i="2"/>
  <c r="G3893" i="2"/>
  <c r="G3892" i="2"/>
  <c r="G3891" i="2"/>
  <c r="G3890" i="2"/>
  <c r="G3889" i="2"/>
  <c r="G3888" i="2"/>
  <c r="G3887" i="2"/>
  <c r="G3886" i="2"/>
  <c r="G3885" i="2"/>
  <c r="G3884" i="2"/>
  <c r="G3883" i="2"/>
  <c r="G3882" i="2"/>
  <c r="G3881" i="2"/>
  <c r="G3880" i="2"/>
  <c r="G3879" i="2"/>
  <c r="G3878" i="2"/>
  <c r="G3877" i="2"/>
  <c r="G3876" i="2"/>
  <c r="G3875" i="2"/>
  <c r="G3874" i="2"/>
  <c r="G3873" i="2"/>
  <c r="G3872" i="2"/>
  <c r="G3871" i="2"/>
  <c r="G3870" i="2"/>
  <c r="G3869" i="2"/>
  <c r="G3868" i="2"/>
  <c r="G3867" i="2"/>
  <c r="G3866" i="2"/>
  <c r="G3865" i="2"/>
  <c r="G3864" i="2"/>
  <c r="G3863" i="2"/>
  <c r="G3862" i="2"/>
  <c r="G3861" i="2"/>
  <c r="G3860" i="2"/>
  <c r="G3859" i="2"/>
  <c r="G3858" i="2"/>
  <c r="G3857" i="2"/>
  <c r="G3856" i="2"/>
  <c r="G3855" i="2"/>
  <c r="G3854" i="2"/>
  <c r="G3853" i="2"/>
  <c r="G3852" i="2"/>
  <c r="G3851" i="2"/>
  <c r="G3850" i="2"/>
  <c r="G3849" i="2"/>
  <c r="G3848" i="2"/>
  <c r="G3847" i="2"/>
  <c r="G3846" i="2"/>
  <c r="G3845" i="2"/>
  <c r="G3844" i="2"/>
  <c r="G3843" i="2"/>
  <c r="G3842" i="2"/>
  <c r="G3841" i="2"/>
  <c r="G3840" i="2"/>
  <c r="G3839" i="2"/>
  <c r="G3838" i="2"/>
  <c r="G3837" i="2"/>
  <c r="G3836" i="2"/>
  <c r="G3835" i="2"/>
  <c r="G3834" i="2"/>
  <c r="G3833" i="2"/>
  <c r="G3832" i="2"/>
  <c r="G3831" i="2"/>
  <c r="G3830" i="2"/>
  <c r="G3829" i="2"/>
  <c r="G3828" i="2"/>
  <c r="G3827" i="2"/>
  <c r="G3826" i="2"/>
  <c r="G3825" i="2"/>
  <c r="G3824" i="2"/>
  <c r="G3823" i="2"/>
  <c r="G3822" i="2"/>
  <c r="G3821" i="2"/>
  <c r="G3820" i="2"/>
  <c r="G3819" i="2"/>
  <c r="G3818" i="2"/>
  <c r="G3817" i="2"/>
  <c r="G3816" i="2"/>
  <c r="G3815" i="2"/>
  <c r="G3814" i="2"/>
  <c r="G3813" i="2"/>
  <c r="G3812" i="2"/>
  <c r="G3811" i="2"/>
  <c r="G3810" i="2"/>
  <c r="G3809" i="2"/>
  <c r="G3808" i="2"/>
  <c r="G3807" i="2"/>
  <c r="G3806" i="2"/>
  <c r="G3805" i="2"/>
  <c r="G3804" i="2"/>
  <c r="G3803" i="2"/>
  <c r="G3802" i="2"/>
  <c r="G3801" i="2"/>
  <c r="G3800" i="2"/>
  <c r="G3799" i="2"/>
  <c r="G3798" i="2"/>
  <c r="G3797" i="2"/>
  <c r="G3796" i="2"/>
  <c r="G3795" i="2"/>
  <c r="G3794" i="2"/>
  <c r="G3793" i="2"/>
  <c r="G3792" i="2"/>
  <c r="G3791" i="2"/>
  <c r="G3790" i="2"/>
  <c r="G3789" i="2"/>
  <c r="G3788" i="2"/>
  <c r="G3787" i="2"/>
  <c r="G3786" i="2"/>
  <c r="G3785" i="2"/>
  <c r="G3784" i="2"/>
  <c r="G3783" i="2"/>
  <c r="G3782" i="2"/>
  <c r="G3781" i="2"/>
  <c r="G3780" i="2"/>
  <c r="G3779" i="2"/>
  <c r="G3778" i="2"/>
  <c r="G3777" i="2"/>
  <c r="G3776" i="2"/>
  <c r="G3775" i="2"/>
  <c r="G3774" i="2"/>
  <c r="G3773" i="2"/>
  <c r="G3772" i="2"/>
  <c r="G3771" i="2"/>
  <c r="G3770" i="2"/>
  <c r="G3769" i="2"/>
  <c r="G3768" i="2"/>
  <c r="G3767" i="2"/>
  <c r="G3766" i="2"/>
  <c r="G3765" i="2"/>
  <c r="G3764" i="2"/>
  <c r="G3763" i="2"/>
  <c r="G3762" i="2"/>
  <c r="G3761" i="2"/>
  <c r="G3760" i="2"/>
  <c r="G3759" i="2"/>
  <c r="G3758" i="2"/>
  <c r="G3757" i="2"/>
  <c r="G3756" i="2"/>
  <c r="G3755" i="2"/>
  <c r="G3754" i="2"/>
  <c r="G3753" i="2"/>
  <c r="G3752" i="2"/>
  <c r="G3751" i="2"/>
  <c r="G3750" i="2"/>
  <c r="G3749" i="2"/>
  <c r="G3748" i="2"/>
  <c r="G3747" i="2"/>
  <c r="G3746" i="2"/>
  <c r="G3745" i="2"/>
  <c r="G3744" i="2"/>
  <c r="G3743" i="2"/>
  <c r="G3742" i="2"/>
  <c r="G3741" i="2"/>
  <c r="G3740" i="2"/>
  <c r="G3739" i="2"/>
  <c r="G3738" i="2"/>
  <c r="G3737" i="2"/>
  <c r="G3736" i="2"/>
  <c r="G3735" i="2"/>
  <c r="G3734" i="2"/>
  <c r="G3733" i="2"/>
  <c r="G3732" i="2"/>
  <c r="G3731" i="2"/>
  <c r="G3730" i="2"/>
  <c r="G3729" i="2"/>
  <c r="G3728" i="2"/>
  <c r="G3727" i="2"/>
  <c r="G3726" i="2"/>
  <c r="G3725" i="2"/>
  <c r="G3724" i="2"/>
  <c r="G3723" i="2"/>
  <c r="G3722" i="2"/>
  <c r="G3721" i="2"/>
  <c r="G3720" i="2"/>
  <c r="G3719" i="2"/>
  <c r="G3718" i="2"/>
  <c r="G3717" i="2"/>
  <c r="G3716" i="2"/>
  <c r="G3715" i="2"/>
  <c r="G3714" i="2"/>
  <c r="G3713" i="2"/>
  <c r="G3712" i="2"/>
  <c r="G3711" i="2"/>
  <c r="G3710" i="2"/>
  <c r="G3709" i="2"/>
  <c r="G3708" i="2"/>
  <c r="G3707" i="2"/>
  <c r="G3706" i="2"/>
  <c r="G3705" i="2"/>
  <c r="G3704" i="2"/>
  <c r="G3703" i="2"/>
  <c r="G3702" i="2"/>
  <c r="G3701" i="2"/>
  <c r="G3700" i="2"/>
  <c r="G3699" i="2"/>
  <c r="G3698" i="2"/>
  <c r="G3697" i="2"/>
  <c r="G3696" i="2"/>
  <c r="G3695" i="2"/>
  <c r="G3694" i="2"/>
  <c r="G3693" i="2"/>
  <c r="G3692" i="2"/>
  <c r="G3691" i="2"/>
  <c r="G3690" i="2"/>
  <c r="G3689" i="2"/>
  <c r="G3688" i="2"/>
  <c r="G3687" i="2"/>
  <c r="G3686" i="2"/>
  <c r="G3685" i="2"/>
  <c r="G3684" i="2"/>
  <c r="G3683" i="2"/>
  <c r="G3682" i="2"/>
  <c r="G3681" i="2"/>
  <c r="G3680" i="2"/>
  <c r="G3679" i="2"/>
  <c r="G3678" i="2"/>
  <c r="G3677" i="2"/>
  <c r="G3676" i="2"/>
  <c r="G3675" i="2"/>
  <c r="G3674" i="2"/>
  <c r="G3673" i="2"/>
  <c r="G3672" i="2"/>
  <c r="G3671" i="2"/>
  <c r="G3670" i="2"/>
  <c r="G3669" i="2"/>
  <c r="G3668" i="2"/>
  <c r="G3667" i="2"/>
  <c r="G3666" i="2"/>
  <c r="G3665" i="2"/>
  <c r="G3664" i="2"/>
  <c r="G3663" i="2"/>
  <c r="G3662" i="2"/>
  <c r="G3661" i="2"/>
  <c r="G3660" i="2"/>
  <c r="G3659" i="2"/>
  <c r="G3658" i="2"/>
  <c r="G3657" i="2"/>
  <c r="G3656" i="2"/>
  <c r="G3655" i="2"/>
  <c r="G3654" i="2"/>
  <c r="G3653" i="2"/>
  <c r="G3652" i="2"/>
  <c r="G3651" i="2"/>
  <c r="G3650" i="2"/>
  <c r="G3649" i="2"/>
  <c r="G3648" i="2"/>
  <c r="G3647" i="2"/>
  <c r="G3646" i="2"/>
  <c r="G3645" i="2"/>
  <c r="G3644" i="2"/>
  <c r="G3643" i="2"/>
  <c r="G3642" i="2"/>
  <c r="G3641" i="2"/>
  <c r="G3640" i="2"/>
  <c r="G3639" i="2"/>
  <c r="G3638" i="2"/>
  <c r="G3637" i="2"/>
  <c r="G3636" i="2"/>
  <c r="G3635" i="2"/>
  <c r="G3634" i="2"/>
  <c r="G3633" i="2"/>
  <c r="G3632" i="2"/>
  <c r="G3631" i="2"/>
  <c r="G3630" i="2"/>
  <c r="G3629" i="2"/>
  <c r="G3628" i="2"/>
  <c r="G3627" i="2"/>
  <c r="G3626" i="2"/>
  <c r="G3625" i="2"/>
  <c r="G3624" i="2"/>
  <c r="G3623" i="2"/>
  <c r="G3622" i="2"/>
  <c r="G3621" i="2"/>
  <c r="G3620" i="2"/>
  <c r="G3619" i="2"/>
  <c r="G3618" i="2"/>
  <c r="G3617" i="2"/>
  <c r="G3616" i="2"/>
  <c r="G3615" i="2"/>
  <c r="G3614" i="2"/>
  <c r="G3613" i="2"/>
  <c r="G3612" i="2"/>
  <c r="G3611" i="2"/>
  <c r="G3610" i="2"/>
  <c r="G3609" i="2"/>
  <c r="G3608" i="2"/>
  <c r="G3607" i="2"/>
  <c r="G3606" i="2"/>
  <c r="G3605" i="2"/>
  <c r="G3604" i="2"/>
  <c r="G3603" i="2"/>
  <c r="G3602" i="2"/>
  <c r="G3601" i="2"/>
  <c r="G3600" i="2"/>
  <c r="G3599" i="2"/>
  <c r="G3598" i="2"/>
  <c r="G3597" i="2"/>
  <c r="G3596" i="2"/>
  <c r="G3595" i="2"/>
  <c r="G3594" i="2"/>
  <c r="G3593" i="2"/>
  <c r="G3592" i="2"/>
  <c r="G3591" i="2"/>
  <c r="G3590" i="2"/>
  <c r="G3589" i="2"/>
  <c r="G3588" i="2"/>
  <c r="G3587" i="2"/>
  <c r="G3586" i="2"/>
  <c r="G3585" i="2"/>
  <c r="G3584" i="2"/>
  <c r="G3583" i="2"/>
  <c r="G3582" i="2"/>
  <c r="G3581" i="2"/>
  <c r="G3580" i="2"/>
  <c r="G3579" i="2"/>
  <c r="G3578" i="2"/>
  <c r="G3577" i="2"/>
  <c r="G3576" i="2"/>
  <c r="G3575" i="2"/>
  <c r="G3574" i="2"/>
  <c r="G3573" i="2"/>
  <c r="G3572" i="2"/>
  <c r="G3571" i="2"/>
  <c r="G3570" i="2"/>
  <c r="G3569" i="2"/>
  <c r="G3568" i="2"/>
  <c r="G3567" i="2"/>
  <c r="G3566" i="2"/>
  <c r="G3565" i="2"/>
  <c r="G3564" i="2"/>
  <c r="G3563" i="2"/>
  <c r="G3562" i="2"/>
  <c r="G3561" i="2"/>
  <c r="G3560" i="2"/>
  <c r="G3559" i="2"/>
  <c r="G3558" i="2"/>
  <c r="G3557" i="2"/>
  <c r="G3556" i="2"/>
  <c r="G3555" i="2"/>
  <c r="G3554" i="2"/>
  <c r="G3553" i="2"/>
  <c r="G3552" i="2"/>
  <c r="G3551" i="2"/>
  <c r="G3550" i="2"/>
  <c r="G3549" i="2"/>
  <c r="G3548" i="2"/>
  <c r="G3547" i="2"/>
  <c r="G3546" i="2"/>
  <c r="G3545" i="2"/>
  <c r="G3544" i="2"/>
  <c r="G3543" i="2"/>
  <c r="G3542" i="2"/>
  <c r="G3541" i="2"/>
  <c r="G3540" i="2"/>
  <c r="G3539" i="2"/>
  <c r="G3538" i="2"/>
  <c r="G3537" i="2"/>
  <c r="G3536" i="2"/>
  <c r="G3535" i="2"/>
  <c r="G3534" i="2"/>
  <c r="G3533" i="2"/>
  <c r="G3532" i="2"/>
  <c r="G3531" i="2"/>
  <c r="G3530" i="2"/>
  <c r="G3529" i="2"/>
  <c r="G3528" i="2"/>
  <c r="G3527" i="2"/>
  <c r="G3526" i="2"/>
  <c r="G3525" i="2"/>
  <c r="G3524" i="2"/>
  <c r="G3523" i="2"/>
  <c r="G3522" i="2"/>
  <c r="G3521" i="2"/>
  <c r="G3520" i="2"/>
  <c r="G3519" i="2"/>
  <c r="G3518" i="2"/>
  <c r="G3517" i="2"/>
  <c r="G3516" i="2"/>
  <c r="G3515" i="2"/>
  <c r="G3514" i="2"/>
  <c r="G3513" i="2"/>
  <c r="G3512" i="2"/>
  <c r="G3511" i="2"/>
  <c r="G3510" i="2"/>
  <c r="G3509" i="2"/>
  <c r="G3508" i="2"/>
  <c r="G3507" i="2"/>
  <c r="G3506" i="2"/>
  <c r="G3505" i="2"/>
  <c r="G3504" i="2"/>
  <c r="G3503" i="2"/>
  <c r="G3502" i="2"/>
  <c r="G3501" i="2"/>
  <c r="G3500" i="2"/>
  <c r="G3499" i="2"/>
  <c r="G3498" i="2"/>
  <c r="G3497" i="2"/>
  <c r="G3496" i="2"/>
  <c r="G3495" i="2"/>
  <c r="G3494" i="2"/>
  <c r="G3493" i="2"/>
  <c r="G3492" i="2"/>
  <c r="G3491" i="2"/>
  <c r="G3490" i="2"/>
  <c r="G3489" i="2"/>
  <c r="G3488" i="2"/>
  <c r="G3487" i="2"/>
  <c r="G3486" i="2"/>
  <c r="G3485" i="2"/>
  <c r="G3484" i="2"/>
  <c r="G3483" i="2"/>
  <c r="G3482" i="2"/>
  <c r="G3481" i="2"/>
  <c r="G3480" i="2"/>
  <c r="G3479" i="2"/>
  <c r="G3478" i="2"/>
  <c r="G3477" i="2"/>
  <c r="G3476" i="2"/>
  <c r="G3475" i="2"/>
  <c r="G3474" i="2"/>
  <c r="G3473" i="2"/>
  <c r="G3472" i="2"/>
  <c r="G3471" i="2"/>
  <c r="G3470" i="2"/>
  <c r="G3469" i="2"/>
  <c r="G3468" i="2"/>
  <c r="G3467" i="2"/>
  <c r="G3466" i="2"/>
  <c r="G3465" i="2"/>
  <c r="G3464" i="2"/>
  <c r="G3463" i="2"/>
  <c r="G3462" i="2"/>
  <c r="G3461" i="2"/>
  <c r="G3460" i="2"/>
  <c r="G3459" i="2"/>
  <c r="G3458" i="2"/>
  <c r="G3457" i="2"/>
  <c r="G3456" i="2"/>
  <c r="G3455" i="2"/>
  <c r="G3454" i="2"/>
  <c r="G3453" i="2"/>
  <c r="G3452" i="2"/>
  <c r="G3451" i="2"/>
  <c r="G3450" i="2"/>
  <c r="G3449" i="2"/>
  <c r="G3448" i="2"/>
  <c r="G3447" i="2"/>
  <c r="G3446" i="2"/>
  <c r="G3445" i="2"/>
  <c r="G3444" i="2"/>
  <c r="G3443" i="2"/>
  <c r="G3442" i="2"/>
  <c r="G3441" i="2"/>
  <c r="G3440" i="2"/>
  <c r="G3439" i="2"/>
  <c r="G3438" i="2"/>
  <c r="G3437" i="2"/>
  <c r="G3436" i="2"/>
  <c r="G3435" i="2"/>
  <c r="G3434" i="2"/>
  <c r="G3433" i="2"/>
  <c r="G3432" i="2"/>
  <c r="G3431" i="2"/>
  <c r="G3430" i="2"/>
  <c r="G3429" i="2"/>
  <c r="G3428" i="2"/>
  <c r="G3427" i="2"/>
  <c r="G3426" i="2"/>
  <c r="G3425" i="2"/>
  <c r="G3424" i="2"/>
  <c r="G3423" i="2"/>
  <c r="G3422" i="2"/>
  <c r="G3421" i="2"/>
  <c r="G3420" i="2"/>
  <c r="G3419" i="2"/>
  <c r="G3418" i="2"/>
  <c r="G3417" i="2"/>
  <c r="G3416" i="2"/>
  <c r="G3415" i="2"/>
  <c r="G3414" i="2"/>
  <c r="G3413" i="2"/>
  <c r="G3412" i="2"/>
  <c r="G3411" i="2"/>
  <c r="G3410" i="2"/>
  <c r="G3409" i="2"/>
  <c r="G3408" i="2"/>
  <c r="G3407" i="2"/>
  <c r="G3406" i="2"/>
  <c r="G3405" i="2"/>
  <c r="G3404" i="2"/>
  <c r="G3403" i="2"/>
  <c r="G3402" i="2"/>
  <c r="G3401" i="2"/>
  <c r="G3400" i="2"/>
  <c r="G3399" i="2"/>
  <c r="G3398" i="2"/>
  <c r="G3397" i="2"/>
  <c r="G3396" i="2"/>
  <c r="G3395" i="2"/>
  <c r="G3394" i="2"/>
  <c r="G3393" i="2"/>
  <c r="G3392" i="2"/>
  <c r="G3391" i="2"/>
  <c r="G3390" i="2"/>
  <c r="G3389" i="2"/>
  <c r="G3388" i="2"/>
  <c r="G3387" i="2"/>
  <c r="G3386" i="2"/>
  <c r="G3385" i="2"/>
  <c r="G3384" i="2"/>
  <c r="G3383" i="2"/>
  <c r="G3382" i="2"/>
  <c r="G3381" i="2"/>
  <c r="G3380" i="2"/>
  <c r="G3379" i="2"/>
  <c r="G3378" i="2"/>
  <c r="G3377" i="2"/>
  <c r="G3376" i="2"/>
  <c r="G3375" i="2"/>
  <c r="G3374" i="2"/>
  <c r="G3373" i="2"/>
  <c r="G3372" i="2"/>
  <c r="G3371" i="2"/>
  <c r="G3370" i="2"/>
  <c r="G3369" i="2"/>
  <c r="G3368" i="2"/>
  <c r="G3367" i="2"/>
  <c r="G3366" i="2"/>
  <c r="G3365" i="2"/>
  <c r="G3364" i="2"/>
  <c r="G3363" i="2"/>
  <c r="G3362" i="2"/>
  <c r="G3361" i="2"/>
  <c r="G3360" i="2"/>
  <c r="G3359" i="2"/>
  <c r="G3358" i="2"/>
  <c r="G3357" i="2"/>
  <c r="G3356" i="2"/>
  <c r="G3355" i="2"/>
  <c r="G3354" i="2"/>
  <c r="G3353" i="2"/>
  <c r="G3352" i="2"/>
  <c r="G3351" i="2"/>
  <c r="G3350" i="2"/>
  <c r="G3349" i="2"/>
  <c r="G3348" i="2"/>
  <c r="G3347" i="2"/>
  <c r="G3346" i="2"/>
  <c r="G3345" i="2"/>
  <c r="G3344" i="2"/>
  <c r="G3343" i="2"/>
  <c r="G3342" i="2"/>
  <c r="G3341" i="2"/>
  <c r="G3340" i="2"/>
  <c r="G3339" i="2"/>
  <c r="G3338" i="2"/>
  <c r="G3337" i="2"/>
  <c r="G3336" i="2"/>
  <c r="G3335" i="2"/>
  <c r="G3334" i="2"/>
  <c r="G3333" i="2"/>
  <c r="G3332" i="2"/>
  <c r="G3331" i="2"/>
  <c r="G3330" i="2"/>
  <c r="G3329" i="2"/>
  <c r="G3328" i="2"/>
  <c r="G3327" i="2"/>
  <c r="G3326" i="2"/>
  <c r="G3325" i="2"/>
  <c r="G3324" i="2"/>
  <c r="G3323" i="2"/>
  <c r="G3322" i="2"/>
  <c r="G3321" i="2"/>
  <c r="G3320" i="2"/>
  <c r="G3319" i="2"/>
  <c r="G3318" i="2"/>
  <c r="G3317" i="2"/>
  <c r="G3316" i="2"/>
  <c r="G3315" i="2"/>
  <c r="G3314" i="2"/>
  <c r="G3313" i="2"/>
  <c r="G3312" i="2"/>
  <c r="G3311" i="2"/>
  <c r="G3310" i="2"/>
  <c r="G3309" i="2"/>
  <c r="G3308" i="2"/>
  <c r="G3307" i="2"/>
  <c r="G3306" i="2"/>
  <c r="G3305" i="2"/>
  <c r="G3304" i="2"/>
  <c r="G3303" i="2"/>
  <c r="G3302" i="2"/>
  <c r="G3301" i="2"/>
  <c r="G3300" i="2"/>
  <c r="G3299" i="2"/>
  <c r="G3298" i="2"/>
  <c r="G3297" i="2"/>
  <c r="G3296" i="2"/>
  <c r="G3295" i="2"/>
  <c r="G3294" i="2"/>
  <c r="G3293" i="2"/>
  <c r="G3292" i="2"/>
  <c r="G3291" i="2"/>
  <c r="G3290" i="2"/>
  <c r="G3289" i="2"/>
  <c r="G3288" i="2"/>
  <c r="G3287" i="2"/>
  <c r="G3286" i="2"/>
  <c r="G3285" i="2"/>
  <c r="G3284" i="2"/>
  <c r="G3283" i="2"/>
  <c r="G3282" i="2"/>
  <c r="G3281" i="2"/>
  <c r="G3280" i="2"/>
  <c r="G3279" i="2"/>
  <c r="G3278" i="2"/>
  <c r="G3277" i="2"/>
  <c r="G3276" i="2"/>
  <c r="G3275" i="2"/>
  <c r="G3274" i="2"/>
  <c r="G3273" i="2"/>
  <c r="G3272" i="2"/>
  <c r="G3271" i="2"/>
  <c r="G3270" i="2"/>
  <c r="G3269" i="2"/>
  <c r="G3268" i="2"/>
  <c r="G3267" i="2"/>
  <c r="G3266" i="2"/>
  <c r="G3265" i="2"/>
  <c r="G3264" i="2"/>
  <c r="G3263" i="2"/>
  <c r="G3262" i="2"/>
  <c r="G3261" i="2"/>
  <c r="G3260" i="2"/>
  <c r="G3259" i="2"/>
  <c r="G3258" i="2"/>
  <c r="G3257" i="2"/>
  <c r="G3256" i="2"/>
  <c r="G3255" i="2"/>
  <c r="G3254" i="2"/>
  <c r="G3253" i="2"/>
  <c r="G3252" i="2"/>
  <c r="G3251" i="2"/>
  <c r="G3250" i="2"/>
  <c r="G3249" i="2"/>
  <c r="G3248" i="2"/>
  <c r="G3247" i="2"/>
  <c r="G3246" i="2"/>
  <c r="G3245" i="2"/>
  <c r="G3244" i="2"/>
  <c r="G3243" i="2"/>
  <c r="G3242" i="2"/>
  <c r="G3241" i="2"/>
  <c r="G3240" i="2"/>
  <c r="G3239" i="2"/>
  <c r="G3238" i="2"/>
  <c r="G3237" i="2"/>
  <c r="G3236" i="2"/>
  <c r="G3235" i="2"/>
  <c r="G3234" i="2"/>
  <c r="G3233" i="2"/>
  <c r="G3232" i="2"/>
  <c r="G3231" i="2"/>
  <c r="G3230" i="2"/>
  <c r="G3229" i="2"/>
  <c r="G3228" i="2"/>
  <c r="G3227" i="2"/>
  <c r="G3226" i="2"/>
  <c r="G3225" i="2"/>
  <c r="G3224" i="2"/>
  <c r="G3223" i="2"/>
  <c r="G3222" i="2"/>
  <c r="G3221" i="2"/>
  <c r="G3220" i="2"/>
  <c r="G3219" i="2"/>
  <c r="G3218" i="2"/>
  <c r="G3217" i="2"/>
  <c r="G3216" i="2"/>
  <c r="G3215" i="2"/>
  <c r="G3214" i="2"/>
  <c r="G3213" i="2"/>
  <c r="G3212" i="2"/>
  <c r="G3211" i="2"/>
  <c r="G3210" i="2"/>
  <c r="G3209" i="2"/>
  <c r="G3208" i="2"/>
  <c r="G3207" i="2"/>
  <c r="G3206" i="2"/>
  <c r="G3205" i="2"/>
  <c r="G3204" i="2"/>
  <c r="G3203" i="2"/>
  <c r="G3202" i="2"/>
  <c r="G3201" i="2"/>
  <c r="G3200" i="2"/>
  <c r="G3199" i="2"/>
  <c r="G3198" i="2"/>
  <c r="G3197" i="2"/>
  <c r="G3196" i="2"/>
  <c r="G3195" i="2"/>
  <c r="G3194" i="2"/>
  <c r="G3193" i="2"/>
  <c r="G3192" i="2"/>
  <c r="G3191" i="2"/>
  <c r="G3190" i="2"/>
  <c r="G3189" i="2"/>
  <c r="G3188" i="2"/>
  <c r="G3187" i="2"/>
  <c r="G3186" i="2"/>
  <c r="G3185" i="2"/>
  <c r="G3184" i="2"/>
  <c r="G3183" i="2"/>
  <c r="G3182" i="2"/>
  <c r="G3181" i="2"/>
  <c r="G3180" i="2"/>
  <c r="G3179" i="2"/>
  <c r="G3178" i="2"/>
  <c r="G3177" i="2"/>
  <c r="G3176" i="2"/>
  <c r="G3175" i="2"/>
  <c r="G3174" i="2"/>
  <c r="G3173" i="2"/>
  <c r="G3172" i="2"/>
  <c r="G3171" i="2"/>
  <c r="G3170" i="2"/>
  <c r="G3169" i="2"/>
  <c r="G3168" i="2"/>
  <c r="G3167" i="2"/>
  <c r="G3166" i="2"/>
  <c r="G3165" i="2"/>
  <c r="G3164" i="2"/>
  <c r="G3163" i="2"/>
  <c r="G3162" i="2"/>
  <c r="G3161" i="2"/>
  <c r="G3160" i="2"/>
  <c r="G3159" i="2"/>
  <c r="G3158" i="2"/>
  <c r="G3157" i="2"/>
  <c r="G3156" i="2"/>
  <c r="G3155" i="2"/>
  <c r="G3154" i="2"/>
  <c r="G3153" i="2"/>
  <c r="G3152" i="2"/>
  <c r="G3151" i="2"/>
  <c r="G3150" i="2"/>
  <c r="G3149" i="2"/>
  <c r="G3148" i="2"/>
  <c r="G3147" i="2"/>
  <c r="G3146" i="2"/>
  <c r="G3145" i="2"/>
  <c r="G3144" i="2"/>
  <c r="G3143" i="2"/>
  <c r="G3142" i="2"/>
  <c r="G3141" i="2"/>
  <c r="G3140" i="2"/>
  <c r="G3139" i="2"/>
  <c r="G3138" i="2"/>
  <c r="G3137" i="2"/>
  <c r="G3136" i="2"/>
  <c r="G3135" i="2"/>
  <c r="G3134" i="2"/>
  <c r="G3133" i="2"/>
  <c r="G3132" i="2"/>
  <c r="G3131" i="2"/>
  <c r="G3130" i="2"/>
  <c r="G3129" i="2"/>
  <c r="G3128" i="2"/>
  <c r="G3127" i="2"/>
  <c r="G3126" i="2"/>
  <c r="G3125" i="2"/>
  <c r="G3124" i="2"/>
  <c r="G3123" i="2"/>
  <c r="G3122" i="2"/>
  <c r="G3121" i="2"/>
  <c r="G3120" i="2"/>
  <c r="G3119" i="2"/>
  <c r="G3118" i="2"/>
  <c r="G3117" i="2"/>
  <c r="G3116" i="2"/>
  <c r="G3115" i="2"/>
  <c r="G3114" i="2"/>
  <c r="G3113" i="2"/>
  <c r="G3112" i="2"/>
  <c r="G3111" i="2"/>
  <c r="G3110" i="2"/>
  <c r="G3109" i="2"/>
  <c r="G3108" i="2"/>
  <c r="G3107" i="2"/>
  <c r="G3106" i="2"/>
  <c r="G3105" i="2"/>
  <c r="G3104" i="2"/>
  <c r="G3103" i="2"/>
  <c r="G3102" i="2"/>
  <c r="G3101" i="2"/>
  <c r="G3100" i="2"/>
  <c r="G3099" i="2"/>
  <c r="G3098" i="2"/>
  <c r="G3097" i="2"/>
  <c r="G3096" i="2"/>
  <c r="G3095" i="2"/>
  <c r="G3094" i="2"/>
  <c r="G3093" i="2"/>
  <c r="G3092" i="2"/>
  <c r="G3091" i="2"/>
  <c r="G3090" i="2"/>
  <c r="G3089" i="2"/>
  <c r="G3088" i="2"/>
  <c r="G3087" i="2"/>
  <c r="G3086" i="2"/>
  <c r="G3085" i="2"/>
  <c r="G3084" i="2"/>
  <c r="G3083" i="2"/>
  <c r="G3082" i="2"/>
  <c r="G3081" i="2"/>
  <c r="G3080" i="2"/>
  <c r="G3079" i="2"/>
  <c r="G3078" i="2"/>
  <c r="G3077" i="2"/>
  <c r="G3076" i="2"/>
  <c r="G3075" i="2"/>
  <c r="G3074" i="2"/>
  <c r="G3073" i="2"/>
  <c r="G3072" i="2"/>
  <c r="G3071" i="2"/>
  <c r="G3070" i="2"/>
  <c r="G3069" i="2"/>
  <c r="G3068" i="2"/>
  <c r="G3067" i="2"/>
  <c r="G3066" i="2"/>
  <c r="G3065" i="2"/>
  <c r="G3064" i="2"/>
  <c r="G3063" i="2"/>
  <c r="G3062" i="2"/>
  <c r="G3061" i="2"/>
  <c r="G3060" i="2"/>
  <c r="G3059" i="2"/>
  <c r="G3058" i="2"/>
  <c r="G3057" i="2"/>
  <c r="G3056" i="2"/>
  <c r="G3055" i="2"/>
  <c r="G3054" i="2"/>
  <c r="G3053" i="2"/>
  <c r="G3052" i="2"/>
  <c r="G3051" i="2"/>
  <c r="G3050" i="2"/>
  <c r="G3049" i="2"/>
  <c r="G3048" i="2"/>
  <c r="G3047" i="2"/>
  <c r="G3046" i="2"/>
  <c r="G3045" i="2"/>
  <c r="G3044" i="2"/>
  <c r="G3043" i="2"/>
  <c r="G3042" i="2"/>
  <c r="G3041" i="2"/>
  <c r="G3040" i="2"/>
  <c r="G3039" i="2"/>
  <c r="G3038" i="2"/>
  <c r="G3037" i="2"/>
  <c r="G3036" i="2"/>
  <c r="G3035" i="2"/>
  <c r="G3034" i="2"/>
  <c r="G3033" i="2"/>
  <c r="G3032" i="2"/>
  <c r="G3031" i="2"/>
  <c r="G3030" i="2"/>
  <c r="G3029" i="2"/>
  <c r="G3028" i="2"/>
  <c r="G3027" i="2"/>
  <c r="G3026" i="2"/>
  <c r="G3025" i="2"/>
  <c r="G3024" i="2"/>
  <c r="G3023" i="2"/>
  <c r="G3022" i="2"/>
  <c r="G3021" i="2"/>
  <c r="G3020" i="2"/>
  <c r="G3019" i="2"/>
  <c r="G3018" i="2"/>
  <c r="G3017" i="2"/>
  <c r="G3016" i="2"/>
  <c r="G3015" i="2"/>
  <c r="G3014" i="2"/>
  <c r="G3013" i="2"/>
  <c r="G3012" i="2"/>
  <c r="G3011" i="2"/>
  <c r="G3010" i="2"/>
  <c r="G3009" i="2"/>
  <c r="G3008" i="2"/>
  <c r="G3007" i="2"/>
  <c r="G3006" i="2"/>
  <c r="G3005" i="2"/>
  <c r="G3004" i="2"/>
  <c r="G3003" i="2"/>
  <c r="G3002" i="2"/>
  <c r="G3001" i="2"/>
  <c r="G3000" i="2"/>
  <c r="G2999" i="2"/>
  <c r="G2998" i="2"/>
  <c r="G2997" i="2"/>
  <c r="G2996" i="2"/>
  <c r="G2995" i="2"/>
  <c r="G2994" i="2"/>
  <c r="G2993" i="2"/>
  <c r="G2992" i="2"/>
  <c r="G2991" i="2"/>
  <c r="G2990" i="2"/>
  <c r="G2989" i="2"/>
  <c r="G2988" i="2"/>
  <c r="G2987" i="2"/>
  <c r="G2986" i="2"/>
  <c r="G2985" i="2"/>
  <c r="G2984" i="2"/>
  <c r="G2983" i="2"/>
  <c r="G2982" i="2"/>
  <c r="G2981" i="2"/>
  <c r="G2980" i="2"/>
  <c r="G2979" i="2"/>
  <c r="G2978" i="2"/>
  <c r="G2977" i="2"/>
  <c r="G2976" i="2"/>
  <c r="G2975" i="2"/>
  <c r="G2974" i="2"/>
  <c r="G2973" i="2"/>
  <c r="G2972" i="2"/>
  <c r="G2971" i="2"/>
  <c r="G2970" i="2"/>
  <c r="G2969" i="2"/>
  <c r="G2968" i="2"/>
  <c r="G2967" i="2"/>
  <c r="G2966" i="2"/>
  <c r="G2965" i="2"/>
  <c r="G2964" i="2"/>
  <c r="G2963" i="2"/>
  <c r="G2962" i="2"/>
  <c r="G2961" i="2"/>
  <c r="G2960" i="2"/>
  <c r="G2959" i="2"/>
  <c r="G2958" i="2"/>
  <c r="G2957" i="2"/>
  <c r="G2956" i="2"/>
  <c r="G2955" i="2"/>
  <c r="G2954" i="2"/>
  <c r="G2953" i="2"/>
  <c r="G2952" i="2"/>
  <c r="G2951" i="2"/>
  <c r="G2950" i="2"/>
  <c r="G2949" i="2"/>
  <c r="G2948" i="2"/>
  <c r="G2947" i="2"/>
  <c r="G2946" i="2"/>
  <c r="G2945" i="2"/>
  <c r="G2944" i="2"/>
  <c r="G2943" i="2"/>
  <c r="G2942" i="2"/>
  <c r="G2941" i="2"/>
  <c r="G2940" i="2"/>
  <c r="G2939" i="2"/>
  <c r="G2938" i="2"/>
  <c r="G2937" i="2"/>
  <c r="G2936" i="2"/>
  <c r="G2935" i="2"/>
  <c r="G2934" i="2"/>
  <c r="G2933" i="2"/>
  <c r="G2932" i="2"/>
  <c r="G2931" i="2"/>
  <c r="G2930" i="2"/>
  <c r="G2929" i="2"/>
  <c r="G2928" i="2"/>
  <c r="G2927" i="2"/>
  <c r="G2926" i="2"/>
  <c r="G2925" i="2"/>
  <c r="G2924" i="2"/>
  <c r="G2923" i="2"/>
  <c r="G2922" i="2"/>
  <c r="G2921" i="2"/>
  <c r="G2920" i="2"/>
  <c r="G2919" i="2"/>
  <c r="G2918" i="2"/>
  <c r="G2917" i="2"/>
  <c r="G2916" i="2"/>
  <c r="G2915" i="2"/>
  <c r="G2914" i="2"/>
  <c r="G2913" i="2"/>
  <c r="G2912" i="2"/>
  <c r="G2911" i="2"/>
  <c r="G2910" i="2"/>
  <c r="G2909" i="2"/>
  <c r="G2908" i="2"/>
  <c r="G2907" i="2"/>
  <c r="G2906" i="2"/>
  <c r="G2905" i="2"/>
  <c r="G2904" i="2"/>
  <c r="G2903" i="2"/>
  <c r="G2902" i="2"/>
  <c r="G2901" i="2"/>
  <c r="G2900" i="2"/>
  <c r="G2899" i="2"/>
  <c r="G2898" i="2"/>
  <c r="G2897" i="2"/>
  <c r="G2896" i="2"/>
  <c r="G2895" i="2"/>
  <c r="G2894" i="2"/>
  <c r="G2893" i="2"/>
  <c r="G2892" i="2"/>
  <c r="G2891" i="2"/>
  <c r="G2890" i="2"/>
  <c r="G2889" i="2"/>
  <c r="G2888" i="2"/>
  <c r="G2887" i="2"/>
  <c r="G2886" i="2"/>
  <c r="G2885" i="2"/>
  <c r="G2884" i="2"/>
  <c r="G2883" i="2"/>
  <c r="G2882" i="2"/>
  <c r="G2881" i="2"/>
  <c r="G2880" i="2"/>
  <c r="G2879" i="2"/>
  <c r="G2878" i="2"/>
  <c r="G2877" i="2"/>
  <c r="G2876" i="2"/>
  <c r="G2875" i="2"/>
  <c r="G2874" i="2"/>
  <c r="G2873" i="2"/>
  <c r="G2872" i="2"/>
  <c r="G2871" i="2"/>
  <c r="G2870" i="2"/>
  <c r="G2869" i="2"/>
  <c r="G2868" i="2"/>
  <c r="G2867" i="2"/>
  <c r="G2866" i="2"/>
  <c r="G2865" i="2"/>
  <c r="G2864" i="2"/>
  <c r="G2863" i="2"/>
  <c r="G2862" i="2"/>
  <c r="G2861" i="2"/>
  <c r="G2860" i="2"/>
  <c r="G2859" i="2"/>
  <c r="G2858" i="2"/>
  <c r="G2857" i="2"/>
  <c r="G2856" i="2"/>
  <c r="G2855" i="2"/>
  <c r="G2854" i="2"/>
  <c r="G2853" i="2"/>
  <c r="G2852" i="2"/>
  <c r="G2851" i="2"/>
  <c r="G2850" i="2"/>
  <c r="G2849" i="2"/>
  <c r="G2848" i="2"/>
  <c r="G2847" i="2"/>
  <c r="G2846" i="2"/>
  <c r="G2845" i="2"/>
  <c r="G2844" i="2"/>
  <c r="G2843" i="2"/>
  <c r="G2842" i="2"/>
  <c r="G2841" i="2"/>
  <c r="G2840" i="2"/>
  <c r="G2839" i="2"/>
  <c r="G2838" i="2"/>
  <c r="G2837" i="2"/>
  <c r="G2836" i="2"/>
  <c r="G2835" i="2"/>
  <c r="G2834" i="2"/>
  <c r="G2833" i="2"/>
  <c r="G2832" i="2"/>
  <c r="G2831" i="2"/>
  <c r="G2830" i="2"/>
  <c r="G2829" i="2"/>
  <c r="G2828" i="2"/>
  <c r="G2827" i="2"/>
  <c r="G2826" i="2"/>
  <c r="G2825" i="2"/>
  <c r="G2824" i="2"/>
  <c r="G2823" i="2"/>
  <c r="G2822" i="2"/>
  <c r="G2821" i="2"/>
  <c r="G2820" i="2"/>
  <c r="G2819" i="2"/>
  <c r="G2818" i="2"/>
  <c r="G2817" i="2"/>
  <c r="G2816" i="2"/>
  <c r="G2815" i="2"/>
  <c r="G2814" i="2"/>
  <c r="G2813" i="2"/>
  <c r="G2812" i="2"/>
  <c r="G2811" i="2"/>
  <c r="G2810" i="2"/>
  <c r="G2809" i="2"/>
  <c r="G2808" i="2"/>
  <c r="G2807" i="2"/>
  <c r="G2806" i="2"/>
  <c r="G2805" i="2"/>
  <c r="G2804" i="2"/>
  <c r="G2803" i="2"/>
  <c r="G2802" i="2"/>
  <c r="G2801" i="2"/>
  <c r="G2800" i="2"/>
  <c r="G2799" i="2"/>
  <c r="G2798" i="2"/>
  <c r="G2797" i="2"/>
  <c r="G2796" i="2"/>
  <c r="G2795" i="2"/>
  <c r="G2794" i="2"/>
  <c r="G2793" i="2"/>
  <c r="G2792" i="2"/>
  <c r="G2791" i="2"/>
  <c r="G2790" i="2"/>
  <c r="G2789" i="2"/>
  <c r="G2788" i="2"/>
  <c r="G2787" i="2"/>
  <c r="G2786" i="2"/>
  <c r="G2785" i="2"/>
  <c r="G2784" i="2"/>
  <c r="G2783" i="2"/>
  <c r="G2782" i="2"/>
  <c r="G2781" i="2"/>
  <c r="G2780" i="2"/>
  <c r="G2779" i="2"/>
  <c r="G2778" i="2"/>
  <c r="G2777" i="2"/>
  <c r="G2776" i="2"/>
  <c r="G2775" i="2"/>
  <c r="G2774" i="2"/>
  <c r="G2773" i="2"/>
  <c r="G2772" i="2"/>
  <c r="G2771" i="2"/>
  <c r="G2770" i="2"/>
  <c r="G2769" i="2"/>
  <c r="G2768" i="2"/>
  <c r="G2767" i="2"/>
  <c r="G2766" i="2"/>
  <c r="G2765" i="2"/>
  <c r="G2764" i="2"/>
  <c r="G2763" i="2"/>
  <c r="G2762" i="2"/>
  <c r="G2761" i="2"/>
  <c r="G2760" i="2"/>
  <c r="G2759" i="2"/>
  <c r="G2758" i="2"/>
  <c r="G2757" i="2"/>
  <c r="G2756" i="2"/>
  <c r="G2755" i="2"/>
  <c r="G2754" i="2"/>
  <c r="G2753" i="2"/>
  <c r="G2752" i="2"/>
  <c r="G2751" i="2"/>
  <c r="G2750" i="2"/>
  <c r="G2749" i="2"/>
  <c r="G2748" i="2"/>
  <c r="G2747" i="2"/>
  <c r="G2746" i="2"/>
  <c r="G2745" i="2"/>
  <c r="G2744" i="2"/>
  <c r="G2743" i="2"/>
  <c r="G2742" i="2"/>
  <c r="G2741" i="2"/>
  <c r="G2740" i="2"/>
  <c r="G2739" i="2"/>
  <c r="G2738" i="2"/>
  <c r="G2737" i="2"/>
  <c r="G2736" i="2"/>
  <c r="G2735" i="2"/>
  <c r="G2734" i="2"/>
  <c r="G2733" i="2"/>
  <c r="G2732" i="2"/>
  <c r="G2731" i="2"/>
  <c r="G2730" i="2"/>
  <c r="G2729" i="2"/>
  <c r="G2728" i="2"/>
  <c r="G2727" i="2"/>
  <c r="G2726" i="2"/>
  <c r="G2725" i="2"/>
  <c r="G2724" i="2"/>
  <c r="G2723" i="2"/>
  <c r="G2722" i="2"/>
  <c r="G2721" i="2"/>
  <c r="G2720" i="2"/>
  <c r="G2719" i="2"/>
  <c r="G2718" i="2"/>
  <c r="G2717" i="2"/>
  <c r="G2716" i="2"/>
  <c r="G2715" i="2"/>
  <c r="G2714" i="2"/>
  <c r="G2713" i="2"/>
  <c r="G2712" i="2"/>
  <c r="G2711" i="2"/>
  <c r="G2710" i="2"/>
  <c r="G2709" i="2"/>
  <c r="G2708" i="2"/>
  <c r="G2707" i="2"/>
  <c r="G2706" i="2"/>
  <c r="G2705" i="2"/>
  <c r="G2704" i="2"/>
  <c r="G2703" i="2"/>
  <c r="G2702" i="2"/>
  <c r="G2701" i="2"/>
  <c r="G2700" i="2"/>
  <c r="G2699" i="2"/>
  <c r="G2698" i="2"/>
  <c r="G2697" i="2"/>
  <c r="G2696" i="2"/>
  <c r="G2695" i="2"/>
  <c r="G2694" i="2"/>
  <c r="G2693" i="2"/>
  <c r="G2692" i="2"/>
  <c r="G2691" i="2"/>
  <c r="G2690" i="2"/>
  <c r="G2689" i="2"/>
  <c r="G2688" i="2"/>
  <c r="G2687" i="2"/>
  <c r="G2686" i="2"/>
  <c r="G2685" i="2"/>
  <c r="G2684" i="2"/>
  <c r="G2683" i="2"/>
  <c r="G2682" i="2"/>
  <c r="G2681" i="2"/>
  <c r="G2680" i="2"/>
  <c r="G2679" i="2"/>
  <c r="G2678" i="2"/>
  <c r="G2677" i="2"/>
  <c r="G2676" i="2"/>
  <c r="G2675" i="2"/>
  <c r="G2674" i="2"/>
  <c r="G2673" i="2"/>
  <c r="G2672" i="2"/>
  <c r="G2671" i="2"/>
  <c r="G2670" i="2"/>
  <c r="G2669" i="2"/>
  <c r="G2668" i="2"/>
  <c r="G2667" i="2"/>
  <c r="G2666" i="2"/>
  <c r="G2665" i="2"/>
  <c r="G2664" i="2"/>
  <c r="G2663" i="2"/>
  <c r="G2662" i="2"/>
  <c r="G2661" i="2"/>
  <c r="G2660" i="2"/>
  <c r="G2659" i="2"/>
  <c r="G2658" i="2"/>
  <c r="G2657" i="2"/>
  <c r="G2656" i="2"/>
  <c r="G2655" i="2"/>
  <c r="G2654" i="2"/>
  <c r="G2653" i="2"/>
  <c r="G2652" i="2"/>
  <c r="G2651" i="2"/>
  <c r="G2650" i="2"/>
  <c r="G2649" i="2"/>
  <c r="G2648" i="2"/>
  <c r="G2647" i="2"/>
  <c r="G2646" i="2"/>
  <c r="G2645" i="2"/>
  <c r="G2644" i="2"/>
  <c r="G2643" i="2"/>
  <c r="G2642" i="2"/>
  <c r="G2641" i="2"/>
  <c r="G2640" i="2"/>
  <c r="G2639" i="2"/>
  <c r="G2638" i="2"/>
  <c r="G2637" i="2"/>
  <c r="G2636" i="2"/>
  <c r="G2635" i="2"/>
  <c r="G2634" i="2"/>
  <c r="G2633" i="2"/>
  <c r="G2632" i="2"/>
  <c r="G2631" i="2"/>
  <c r="G2630" i="2"/>
  <c r="G2629" i="2"/>
  <c r="G2628" i="2"/>
  <c r="G2627" i="2"/>
  <c r="G2626" i="2"/>
  <c r="G2625" i="2"/>
  <c r="G2624" i="2"/>
  <c r="G2623" i="2"/>
  <c r="G2622" i="2"/>
  <c r="G2621" i="2"/>
  <c r="G2620" i="2"/>
  <c r="G2619" i="2"/>
  <c r="G2618" i="2"/>
  <c r="G2617" i="2"/>
  <c r="G2616" i="2"/>
  <c r="G2615" i="2"/>
  <c r="G2614" i="2"/>
  <c r="G2613" i="2"/>
  <c r="G2612" i="2"/>
  <c r="G2611" i="2"/>
  <c r="G2610" i="2"/>
  <c r="G2609" i="2"/>
  <c r="G2608" i="2"/>
  <c r="G2607" i="2"/>
  <c r="G2606" i="2"/>
  <c r="G2605" i="2"/>
  <c r="G2604" i="2"/>
  <c r="G2603" i="2"/>
  <c r="G2602" i="2"/>
  <c r="G2601" i="2"/>
  <c r="G2600" i="2"/>
  <c r="G2599" i="2"/>
  <c r="G2598" i="2"/>
  <c r="G2597" i="2"/>
  <c r="G2596" i="2"/>
  <c r="G2595" i="2"/>
  <c r="G2594" i="2"/>
  <c r="G2593" i="2"/>
  <c r="G2592" i="2"/>
  <c r="G2591" i="2"/>
  <c r="G2590" i="2"/>
  <c r="G2589" i="2"/>
  <c r="G2588" i="2"/>
  <c r="G2587" i="2"/>
  <c r="G2586" i="2"/>
  <c r="G2585" i="2"/>
  <c r="G2584" i="2"/>
  <c r="G2583" i="2"/>
  <c r="G2582" i="2"/>
  <c r="G2581" i="2"/>
  <c r="G2580" i="2"/>
  <c r="G2579" i="2"/>
  <c r="G2578" i="2"/>
  <c r="G2577" i="2"/>
  <c r="G2576" i="2"/>
  <c r="G2575" i="2"/>
  <c r="G2574" i="2"/>
  <c r="G2573" i="2"/>
  <c r="G2572" i="2"/>
  <c r="G2571" i="2"/>
  <c r="G2570" i="2"/>
  <c r="G2569" i="2"/>
  <c r="G2568" i="2"/>
  <c r="G2567" i="2"/>
  <c r="G2566" i="2"/>
  <c r="G2565" i="2"/>
  <c r="G2564" i="2"/>
  <c r="G2563" i="2"/>
  <c r="G2562" i="2"/>
  <c r="G2561" i="2"/>
  <c r="G2560" i="2"/>
  <c r="G2559" i="2"/>
  <c r="G2558" i="2"/>
  <c r="G2557" i="2"/>
  <c r="G2556" i="2"/>
  <c r="G2555" i="2"/>
  <c r="G2554" i="2"/>
  <c r="G2553" i="2"/>
  <c r="G2552" i="2"/>
  <c r="G2551" i="2"/>
  <c r="G2550" i="2"/>
  <c r="G2549" i="2"/>
  <c r="G2548" i="2"/>
  <c r="G2547" i="2"/>
  <c r="G2546" i="2"/>
  <c r="G2545" i="2"/>
  <c r="G2544" i="2"/>
  <c r="G2543" i="2"/>
  <c r="G2542" i="2"/>
  <c r="G2541" i="2"/>
  <c r="G2540" i="2"/>
  <c r="G2539" i="2"/>
  <c r="G2538" i="2"/>
  <c r="G2537" i="2"/>
  <c r="G2536" i="2"/>
  <c r="G2535" i="2"/>
  <c r="G2534" i="2"/>
  <c r="G2533" i="2"/>
  <c r="G2532" i="2"/>
  <c r="G2531" i="2"/>
  <c r="G2530" i="2"/>
  <c r="G2529" i="2"/>
  <c r="G2528" i="2"/>
  <c r="G2527" i="2"/>
  <c r="G2526" i="2"/>
  <c r="G2525" i="2"/>
  <c r="G2524" i="2"/>
  <c r="G2523" i="2"/>
  <c r="G2522" i="2"/>
  <c r="G2521" i="2"/>
  <c r="G2520" i="2"/>
  <c r="G2519" i="2"/>
  <c r="G2518" i="2"/>
  <c r="G2517" i="2"/>
  <c r="G2516" i="2"/>
  <c r="G2515" i="2"/>
  <c r="G2514" i="2"/>
  <c r="G2513" i="2"/>
  <c r="G2512" i="2"/>
  <c r="G2511" i="2"/>
  <c r="G2510" i="2"/>
  <c r="G2509" i="2"/>
  <c r="G2508" i="2"/>
  <c r="G2507" i="2"/>
  <c r="G2506" i="2"/>
  <c r="G2505" i="2"/>
  <c r="G2504" i="2"/>
  <c r="G2503" i="2"/>
  <c r="G2502" i="2"/>
  <c r="G2501" i="2"/>
  <c r="G2500" i="2"/>
  <c r="G2499" i="2"/>
  <c r="G2498" i="2"/>
  <c r="G2497" i="2"/>
  <c r="G2496" i="2"/>
  <c r="G2495" i="2"/>
  <c r="G2494" i="2"/>
  <c r="G2493" i="2"/>
  <c r="G2492" i="2"/>
  <c r="G2491" i="2"/>
  <c r="G2490" i="2"/>
  <c r="G2489" i="2"/>
  <c r="G2488" i="2"/>
  <c r="G2487" i="2"/>
  <c r="G2486" i="2"/>
  <c r="G2485" i="2"/>
  <c r="G2484" i="2"/>
  <c r="G2483" i="2"/>
  <c r="G2482" i="2"/>
  <c r="G2481" i="2"/>
  <c r="G2480" i="2"/>
  <c r="G2479" i="2"/>
  <c r="G2478" i="2"/>
  <c r="G2477" i="2"/>
  <c r="G2476" i="2"/>
  <c r="G2475" i="2"/>
  <c r="G2474" i="2"/>
  <c r="G2473" i="2"/>
  <c r="G2472" i="2"/>
  <c r="G2471" i="2"/>
  <c r="G2470" i="2"/>
  <c r="G2469" i="2"/>
  <c r="G2468" i="2"/>
  <c r="G2467" i="2"/>
  <c r="G2466" i="2"/>
  <c r="G2465" i="2"/>
  <c r="G2464" i="2"/>
  <c r="G2463" i="2"/>
  <c r="G2462" i="2"/>
  <c r="G2461" i="2"/>
  <c r="G2460" i="2"/>
  <c r="G2459" i="2"/>
  <c r="G2458" i="2"/>
  <c r="G2457" i="2"/>
  <c r="G2456" i="2"/>
  <c r="G2455" i="2"/>
  <c r="G2454" i="2"/>
  <c r="G2453" i="2"/>
  <c r="G2452" i="2"/>
  <c r="G2451" i="2"/>
  <c r="G2450" i="2"/>
  <c r="G2449" i="2"/>
  <c r="G2448" i="2"/>
  <c r="G2447" i="2"/>
  <c r="G2446" i="2"/>
  <c r="G2445" i="2"/>
  <c r="G2444" i="2"/>
  <c r="G2443" i="2"/>
  <c r="G2442" i="2"/>
  <c r="G2441" i="2"/>
  <c r="G2440" i="2"/>
  <c r="G2439" i="2"/>
  <c r="G2438" i="2"/>
  <c r="G2437" i="2"/>
  <c r="G2436" i="2"/>
  <c r="G2435" i="2"/>
  <c r="G2434" i="2"/>
  <c r="G2433" i="2"/>
  <c r="G2432" i="2"/>
  <c r="G2431" i="2"/>
  <c r="G2430" i="2"/>
  <c r="G2429" i="2"/>
  <c r="G2428" i="2"/>
  <c r="G2427" i="2"/>
  <c r="G2426" i="2"/>
  <c r="G2425" i="2"/>
  <c r="G2424" i="2"/>
  <c r="G2423" i="2"/>
  <c r="G2422" i="2"/>
  <c r="G2421" i="2"/>
  <c r="G2420" i="2"/>
  <c r="G2419" i="2"/>
  <c r="G2418" i="2"/>
  <c r="G2417" i="2"/>
  <c r="G2416" i="2"/>
  <c r="G2415" i="2"/>
  <c r="G2414" i="2"/>
  <c r="G2413" i="2"/>
  <c r="G2412" i="2"/>
  <c r="G2411" i="2"/>
  <c r="G2410" i="2"/>
  <c r="G2409" i="2"/>
  <c r="G2408" i="2"/>
  <c r="G2407" i="2"/>
  <c r="G2406" i="2"/>
  <c r="G2405" i="2"/>
  <c r="G2404" i="2"/>
  <c r="G2403" i="2"/>
  <c r="G2402" i="2"/>
  <c r="G2401" i="2"/>
  <c r="G2400" i="2"/>
  <c r="G2399" i="2"/>
  <c r="G2398" i="2"/>
  <c r="G2397" i="2"/>
  <c r="G2396" i="2"/>
  <c r="G2395" i="2"/>
  <c r="G2394" i="2"/>
  <c r="G2393" i="2"/>
  <c r="G2392" i="2"/>
  <c r="G2391" i="2"/>
  <c r="G2390" i="2"/>
  <c r="G2389" i="2"/>
  <c r="G2388" i="2"/>
  <c r="G2387" i="2"/>
  <c r="G2386" i="2"/>
  <c r="G2385" i="2"/>
  <c r="G2384" i="2"/>
  <c r="G2383" i="2"/>
  <c r="G2382" i="2"/>
  <c r="G2381" i="2"/>
  <c r="G2380" i="2"/>
  <c r="G2379" i="2"/>
  <c r="G2378" i="2"/>
  <c r="G2377" i="2"/>
  <c r="G2376" i="2"/>
  <c r="G2375" i="2"/>
  <c r="G2374" i="2"/>
  <c r="G2373" i="2"/>
  <c r="G2372" i="2"/>
  <c r="G2371" i="2"/>
  <c r="G2370" i="2"/>
  <c r="G2369" i="2"/>
  <c r="G2368" i="2"/>
  <c r="G2367" i="2"/>
  <c r="G2366" i="2"/>
  <c r="G2365" i="2"/>
  <c r="G2364" i="2"/>
  <c r="G2363" i="2"/>
  <c r="G2362" i="2"/>
  <c r="G2361" i="2"/>
  <c r="G2360" i="2"/>
  <c r="G2359" i="2"/>
  <c r="G2358" i="2"/>
  <c r="G2357" i="2"/>
  <c r="G2356" i="2"/>
  <c r="G2355" i="2"/>
  <c r="G2354" i="2"/>
  <c r="G2353" i="2"/>
  <c r="G2352" i="2"/>
  <c r="G2351" i="2"/>
  <c r="G2350" i="2"/>
  <c r="G2349" i="2"/>
  <c r="G2348" i="2"/>
  <c r="G2347" i="2"/>
  <c r="G2346" i="2"/>
  <c r="G2345" i="2"/>
  <c r="G2344" i="2"/>
  <c r="G2343" i="2"/>
  <c r="G2342" i="2"/>
  <c r="G2341" i="2"/>
  <c r="G2340" i="2"/>
  <c r="G2339" i="2"/>
  <c r="G2338" i="2"/>
  <c r="G2337" i="2"/>
  <c r="G2336" i="2"/>
  <c r="G2335" i="2"/>
  <c r="G2334" i="2"/>
  <c r="G2333" i="2"/>
  <c r="G2332" i="2"/>
  <c r="G2331" i="2"/>
  <c r="G2330" i="2"/>
  <c r="G2329" i="2"/>
  <c r="G2328" i="2"/>
  <c r="G2327" i="2"/>
  <c r="G2326" i="2"/>
  <c r="G2325" i="2"/>
  <c r="G2324" i="2"/>
  <c r="G2323" i="2"/>
  <c r="G2322" i="2"/>
  <c r="G2321" i="2"/>
  <c r="G2320" i="2"/>
  <c r="G2319" i="2"/>
  <c r="G2318" i="2"/>
  <c r="G2317" i="2"/>
  <c r="G2316" i="2"/>
  <c r="G2315" i="2"/>
  <c r="G2314" i="2"/>
  <c r="G2313" i="2"/>
  <c r="G2312" i="2"/>
  <c r="G2311" i="2"/>
  <c r="G2310" i="2"/>
  <c r="G2309" i="2"/>
  <c r="G2308" i="2"/>
  <c r="G2307" i="2"/>
  <c r="G2306" i="2"/>
  <c r="G2305" i="2"/>
  <c r="G2304" i="2"/>
  <c r="G2303" i="2"/>
  <c r="G2302" i="2"/>
  <c r="G2301" i="2"/>
  <c r="G2300" i="2"/>
  <c r="G2299" i="2"/>
  <c r="G2298" i="2"/>
  <c r="G2297" i="2"/>
  <c r="G2296" i="2"/>
  <c r="G2295" i="2"/>
  <c r="G2294" i="2"/>
  <c r="G2293" i="2"/>
  <c r="G2292" i="2"/>
  <c r="G2291" i="2"/>
  <c r="G2290" i="2"/>
  <c r="G2289" i="2"/>
  <c r="G2288" i="2"/>
  <c r="G2287" i="2"/>
  <c r="G2286" i="2"/>
  <c r="G2285" i="2"/>
  <c r="G2284" i="2"/>
  <c r="G2283" i="2"/>
  <c r="G2282" i="2"/>
  <c r="G2281" i="2"/>
  <c r="G2280" i="2"/>
  <c r="G2279" i="2"/>
  <c r="G2278" i="2"/>
  <c r="G2277" i="2"/>
  <c r="G2276" i="2"/>
  <c r="G2275" i="2"/>
  <c r="G2274" i="2"/>
  <c r="G2273" i="2"/>
  <c r="G2272" i="2"/>
  <c r="G2271" i="2"/>
  <c r="G2270" i="2"/>
  <c r="G2269" i="2"/>
  <c r="G2268" i="2"/>
  <c r="G2267" i="2"/>
  <c r="G2266" i="2"/>
  <c r="G2265" i="2"/>
  <c r="G2264" i="2"/>
  <c r="G2263" i="2"/>
  <c r="G2262" i="2"/>
  <c r="G2261" i="2"/>
  <c r="G2260" i="2"/>
  <c r="G2259" i="2"/>
  <c r="G2258" i="2"/>
  <c r="G2257" i="2"/>
  <c r="G2256" i="2"/>
  <c r="G2255" i="2"/>
  <c r="G2254" i="2"/>
  <c r="G2253" i="2"/>
  <c r="G2252" i="2"/>
  <c r="G2251" i="2"/>
  <c r="G2250" i="2"/>
  <c r="G2249" i="2"/>
  <c r="G2248" i="2"/>
  <c r="G2247" i="2"/>
  <c r="G2246" i="2"/>
  <c r="G2245" i="2"/>
  <c r="G2244" i="2"/>
  <c r="G2243" i="2"/>
  <c r="G2242" i="2"/>
  <c r="G2241" i="2"/>
  <c r="G2240" i="2"/>
  <c r="G2239" i="2"/>
  <c r="G2238" i="2"/>
  <c r="G2237" i="2"/>
  <c r="G2236" i="2"/>
  <c r="G2235" i="2"/>
  <c r="G2234" i="2"/>
  <c r="G2233" i="2"/>
  <c r="G2232" i="2"/>
  <c r="G2231" i="2"/>
  <c r="G2230" i="2"/>
  <c r="G2229" i="2"/>
  <c r="G2228" i="2"/>
  <c r="G2227" i="2"/>
  <c r="G2226" i="2"/>
  <c r="G2225" i="2"/>
  <c r="G2224" i="2"/>
  <c r="G2223" i="2"/>
  <c r="G2222" i="2"/>
  <c r="G2221" i="2"/>
  <c r="G2220" i="2"/>
  <c r="G2219" i="2"/>
  <c r="G2218" i="2"/>
  <c r="G2217" i="2"/>
  <c r="G2216" i="2"/>
  <c r="G2215" i="2"/>
  <c r="G2214" i="2"/>
  <c r="G2213" i="2"/>
  <c r="G2212" i="2"/>
  <c r="G2211" i="2"/>
  <c r="G2210" i="2"/>
  <c r="G2209" i="2"/>
  <c r="G2208" i="2"/>
  <c r="G2207" i="2"/>
  <c r="G2206" i="2"/>
  <c r="G2205" i="2"/>
  <c r="G2204" i="2"/>
  <c r="G2203" i="2"/>
  <c r="G2202" i="2"/>
  <c r="G2201" i="2"/>
  <c r="G2200" i="2"/>
  <c r="G2199" i="2"/>
  <c r="G2198" i="2"/>
  <c r="G2197" i="2"/>
  <c r="G2196" i="2"/>
  <c r="G2195" i="2"/>
  <c r="G2194" i="2"/>
  <c r="G2193" i="2"/>
  <c r="G2192" i="2"/>
  <c r="G2191" i="2"/>
  <c r="G2190" i="2"/>
  <c r="G2189" i="2"/>
  <c r="G2188" i="2"/>
  <c r="G2187" i="2"/>
  <c r="G2186" i="2"/>
  <c r="G2185" i="2"/>
  <c r="G2184" i="2"/>
  <c r="G2183" i="2"/>
  <c r="G2182" i="2"/>
  <c r="G2181" i="2"/>
  <c r="G2180" i="2"/>
  <c r="G2179" i="2"/>
  <c r="G2178" i="2"/>
  <c r="G2177" i="2"/>
  <c r="G2176" i="2"/>
  <c r="G2175" i="2"/>
  <c r="G2174" i="2"/>
  <c r="G2173" i="2"/>
  <c r="G2172" i="2"/>
  <c r="G2171" i="2"/>
  <c r="G2170" i="2"/>
  <c r="G2169" i="2"/>
  <c r="G2168" i="2"/>
  <c r="G2167" i="2"/>
  <c r="G2166" i="2"/>
  <c r="G2165" i="2"/>
  <c r="G2164" i="2"/>
  <c r="G2163" i="2"/>
  <c r="G2162" i="2"/>
  <c r="G2161" i="2"/>
  <c r="G2160" i="2"/>
  <c r="G2159" i="2"/>
  <c r="G2158" i="2"/>
  <c r="G2157" i="2"/>
  <c r="G2156" i="2"/>
  <c r="G2155" i="2"/>
  <c r="G2154" i="2"/>
  <c r="G2153" i="2"/>
  <c r="G2152" i="2"/>
  <c r="G2151" i="2"/>
  <c r="G2150" i="2"/>
  <c r="G2149" i="2"/>
  <c r="G2148" i="2"/>
  <c r="G2147" i="2"/>
  <c r="G2146" i="2"/>
  <c r="G2145" i="2"/>
  <c r="G2144" i="2"/>
  <c r="G2143" i="2"/>
  <c r="G2142" i="2"/>
  <c r="G2141" i="2"/>
  <c r="G2140" i="2"/>
  <c r="G2139" i="2"/>
  <c r="G2138" i="2"/>
  <c r="G2137" i="2"/>
  <c r="G2136" i="2"/>
  <c r="G2135" i="2"/>
  <c r="G2134" i="2"/>
  <c r="G2133" i="2"/>
  <c r="G2132" i="2"/>
  <c r="G2131" i="2"/>
  <c r="G2130" i="2"/>
  <c r="G2129" i="2"/>
  <c r="G2128" i="2"/>
  <c r="G2127" i="2"/>
  <c r="G2126" i="2"/>
  <c r="G2125" i="2"/>
  <c r="G2124" i="2"/>
  <c r="G2123" i="2"/>
  <c r="G2122" i="2"/>
  <c r="G2121" i="2"/>
  <c r="G2120" i="2"/>
  <c r="G2119" i="2"/>
  <c r="G2118" i="2"/>
  <c r="G2117" i="2"/>
  <c r="G2116" i="2"/>
  <c r="G2115" i="2"/>
  <c r="G2114" i="2"/>
  <c r="G2113" i="2"/>
  <c r="G2112" i="2"/>
  <c r="G2111" i="2"/>
  <c r="G2110" i="2"/>
  <c r="G2109" i="2"/>
  <c r="G2108" i="2"/>
  <c r="G2107" i="2"/>
  <c r="G2106" i="2"/>
  <c r="G2105" i="2"/>
  <c r="G2104" i="2"/>
  <c r="G2103" i="2"/>
  <c r="G2102" i="2"/>
  <c r="G2101" i="2"/>
  <c r="G2100" i="2"/>
  <c r="G2099" i="2"/>
  <c r="G2098" i="2"/>
  <c r="G2097" i="2"/>
  <c r="G2096" i="2"/>
  <c r="G2095" i="2"/>
  <c r="G2094" i="2"/>
  <c r="G2093" i="2"/>
  <c r="G2092" i="2"/>
  <c r="G2091" i="2"/>
  <c r="G2090" i="2"/>
  <c r="G2089" i="2"/>
  <c r="G2088" i="2"/>
  <c r="G2087" i="2"/>
  <c r="G2086" i="2"/>
  <c r="G2085" i="2"/>
  <c r="G2084" i="2"/>
  <c r="G2083" i="2"/>
  <c r="G2082" i="2"/>
  <c r="G2081" i="2"/>
  <c r="G2080" i="2"/>
  <c r="G2079" i="2"/>
  <c r="G2078" i="2"/>
  <c r="G2077" i="2"/>
  <c r="G2076" i="2"/>
  <c r="G2075" i="2"/>
  <c r="G2074" i="2"/>
  <c r="G2073" i="2"/>
  <c r="G2072" i="2"/>
  <c r="G2071" i="2"/>
  <c r="G2070" i="2"/>
  <c r="G2069" i="2"/>
  <c r="G2068" i="2"/>
  <c r="G2067" i="2"/>
  <c r="G2066" i="2"/>
  <c r="G2065" i="2"/>
  <c r="G2064" i="2"/>
  <c r="G2063" i="2"/>
  <c r="G2062" i="2"/>
  <c r="G2061" i="2"/>
  <c r="G2060" i="2"/>
  <c r="G2059" i="2"/>
  <c r="G2058" i="2"/>
  <c r="G2057" i="2"/>
  <c r="G2056" i="2"/>
  <c r="G2055" i="2"/>
  <c r="G2054" i="2"/>
  <c r="G2053" i="2"/>
  <c r="G2052" i="2"/>
  <c r="G2051" i="2"/>
  <c r="G2050" i="2"/>
  <c r="G2049" i="2"/>
  <c r="G2048" i="2"/>
  <c r="G2047" i="2"/>
  <c r="G2046" i="2"/>
  <c r="G2045" i="2"/>
  <c r="G2044" i="2"/>
  <c r="G2043" i="2"/>
  <c r="G2042" i="2"/>
  <c r="G2041" i="2"/>
  <c r="G2040" i="2"/>
  <c r="G2039" i="2"/>
  <c r="G2038" i="2"/>
  <c r="G2037" i="2"/>
  <c r="G2036" i="2"/>
  <c r="G2035" i="2"/>
  <c r="G2034" i="2"/>
  <c r="G2033" i="2"/>
  <c r="G2032" i="2"/>
  <c r="G2031" i="2"/>
  <c r="G2030" i="2"/>
  <c r="G2029" i="2"/>
  <c r="G2028" i="2"/>
  <c r="G2027" i="2"/>
  <c r="G2026" i="2"/>
  <c r="G2025" i="2"/>
  <c r="G2024" i="2"/>
  <c r="G2023" i="2"/>
  <c r="G2022" i="2"/>
  <c r="G2021" i="2"/>
  <c r="G2020" i="2"/>
  <c r="G2019" i="2"/>
  <c r="G2018" i="2"/>
  <c r="G2017" i="2"/>
  <c r="G2016" i="2"/>
  <c r="G2015" i="2"/>
  <c r="G2014" i="2"/>
  <c r="G2013" i="2"/>
  <c r="G2012" i="2"/>
  <c r="G2011" i="2"/>
  <c r="G2010" i="2"/>
  <c r="G2009" i="2"/>
  <c r="G2008" i="2"/>
  <c r="G2007" i="2"/>
  <c r="G2006" i="2"/>
  <c r="G2005" i="2"/>
  <c r="G2004" i="2"/>
  <c r="G2003" i="2"/>
  <c r="G2002" i="2"/>
  <c r="G2001" i="2"/>
  <c r="G2000" i="2"/>
  <c r="G1999" i="2"/>
  <c r="G1998" i="2"/>
  <c r="G1997" i="2"/>
  <c r="G1996" i="2"/>
  <c r="G1995" i="2"/>
  <c r="G1994" i="2"/>
  <c r="G1993" i="2"/>
  <c r="G1992" i="2"/>
  <c r="G1991" i="2"/>
  <c r="G1990" i="2"/>
  <c r="G1989" i="2"/>
  <c r="G1988" i="2"/>
  <c r="G1987" i="2"/>
  <c r="G1986" i="2"/>
  <c r="G1985" i="2"/>
  <c r="G1984" i="2"/>
  <c r="G1983" i="2"/>
  <c r="G1982" i="2"/>
  <c r="G1981" i="2"/>
  <c r="G1980" i="2"/>
  <c r="G1979" i="2"/>
  <c r="G1978" i="2"/>
  <c r="G1977" i="2"/>
  <c r="G1976" i="2"/>
  <c r="G1975" i="2"/>
  <c r="G1974" i="2"/>
  <c r="G1973" i="2"/>
  <c r="G1972" i="2"/>
  <c r="G1971" i="2"/>
  <c r="G1970" i="2"/>
  <c r="G1969" i="2"/>
  <c r="G1968" i="2"/>
  <c r="G1967" i="2"/>
  <c r="G1966" i="2"/>
  <c r="G1965" i="2"/>
  <c r="G1964" i="2"/>
  <c r="G1963" i="2"/>
  <c r="G1962" i="2"/>
  <c r="G1961" i="2"/>
  <c r="G1960" i="2"/>
  <c r="G1959" i="2"/>
  <c r="G1958" i="2"/>
  <c r="G1957" i="2"/>
  <c r="G1956" i="2"/>
  <c r="G1955" i="2"/>
  <c r="G1954" i="2"/>
  <c r="G1953" i="2"/>
  <c r="G1952" i="2"/>
  <c r="G1951" i="2"/>
  <c r="G1950" i="2"/>
  <c r="G1949" i="2"/>
  <c r="G1948" i="2"/>
  <c r="G1947" i="2"/>
  <c r="G1946" i="2"/>
  <c r="G1945" i="2"/>
  <c r="G1944" i="2"/>
  <c r="G1943" i="2"/>
  <c r="G1942" i="2"/>
  <c r="G1941" i="2"/>
  <c r="G1940" i="2"/>
  <c r="G1939" i="2"/>
  <c r="G1938" i="2"/>
  <c r="G1937" i="2"/>
  <c r="G1936" i="2"/>
  <c r="G1935" i="2"/>
  <c r="G1934" i="2"/>
  <c r="G1933" i="2"/>
  <c r="G1932" i="2"/>
  <c r="G1931" i="2"/>
  <c r="G1930" i="2"/>
  <c r="G1929" i="2"/>
  <c r="G1928" i="2"/>
  <c r="G1927" i="2"/>
  <c r="G1926" i="2"/>
  <c r="G1925" i="2"/>
  <c r="G1924" i="2"/>
  <c r="G1923" i="2"/>
  <c r="G1922" i="2"/>
  <c r="G1921" i="2"/>
  <c r="G1920" i="2"/>
  <c r="G1919" i="2"/>
  <c r="G1918" i="2"/>
  <c r="G1917" i="2"/>
  <c r="G1916" i="2"/>
  <c r="G1915" i="2"/>
  <c r="G1914" i="2"/>
  <c r="G1913" i="2"/>
  <c r="G1912" i="2"/>
  <c r="G1911" i="2"/>
  <c r="G1910" i="2"/>
  <c r="G1909" i="2"/>
  <c r="G1908" i="2"/>
  <c r="G1907" i="2"/>
  <c r="G1906" i="2"/>
  <c r="G1905" i="2"/>
  <c r="G1904" i="2"/>
  <c r="G1903" i="2"/>
  <c r="G1902" i="2"/>
  <c r="G1901" i="2"/>
  <c r="G1900" i="2"/>
  <c r="G1899" i="2"/>
  <c r="G1898" i="2"/>
  <c r="G1897" i="2"/>
  <c r="G1896" i="2"/>
  <c r="G1895" i="2"/>
  <c r="G1894" i="2"/>
  <c r="G1893" i="2"/>
  <c r="G1892" i="2"/>
  <c r="G1891" i="2"/>
  <c r="G1890" i="2"/>
  <c r="G1889" i="2"/>
  <c r="G1888" i="2"/>
  <c r="G1887" i="2"/>
  <c r="G1886" i="2"/>
  <c r="G1885" i="2"/>
  <c r="G1884" i="2"/>
  <c r="G1883" i="2"/>
  <c r="G1882" i="2"/>
  <c r="G1881" i="2"/>
  <c r="G1880" i="2"/>
  <c r="G1879" i="2"/>
  <c r="G1878" i="2"/>
  <c r="G1877" i="2"/>
  <c r="G1876" i="2"/>
  <c r="G1875" i="2"/>
  <c r="G1874" i="2"/>
  <c r="G1873" i="2"/>
  <c r="G1872" i="2"/>
  <c r="G1871" i="2"/>
  <c r="G1870" i="2"/>
  <c r="G1869" i="2"/>
  <c r="G1868" i="2"/>
  <c r="G1867" i="2"/>
  <c r="G1866" i="2"/>
  <c r="G1865" i="2"/>
  <c r="G1864" i="2"/>
  <c r="G1863" i="2"/>
  <c r="G1862" i="2"/>
  <c r="G1861" i="2"/>
  <c r="G1860" i="2"/>
  <c r="G1859" i="2"/>
  <c r="G1858" i="2"/>
  <c r="G1857" i="2"/>
  <c r="G1856" i="2"/>
  <c r="G1855" i="2"/>
  <c r="G1854" i="2"/>
  <c r="G1853" i="2"/>
  <c r="G1852" i="2"/>
  <c r="G1851" i="2"/>
  <c r="G1850" i="2"/>
  <c r="G1849" i="2"/>
  <c r="G1848" i="2"/>
  <c r="G1847" i="2"/>
  <c r="G1846" i="2"/>
  <c r="G1845" i="2"/>
  <c r="G1844" i="2"/>
  <c r="G1843" i="2"/>
  <c r="G1842" i="2"/>
  <c r="G1841" i="2"/>
  <c r="G1840" i="2"/>
  <c r="G1839" i="2"/>
  <c r="G1838" i="2"/>
  <c r="G1837" i="2"/>
  <c r="G1836" i="2"/>
  <c r="G1835" i="2"/>
  <c r="G1834" i="2"/>
  <c r="G1833" i="2"/>
  <c r="G1832" i="2"/>
  <c r="G1831" i="2"/>
  <c r="G1830" i="2"/>
  <c r="G1829" i="2"/>
  <c r="G1828" i="2"/>
  <c r="G1827" i="2"/>
  <c r="G1826" i="2"/>
  <c r="G1825" i="2"/>
  <c r="G1824" i="2"/>
  <c r="G1823" i="2"/>
  <c r="G1822" i="2"/>
  <c r="G1821" i="2"/>
  <c r="G1820" i="2"/>
  <c r="G1819" i="2"/>
  <c r="G1818" i="2"/>
  <c r="G1817" i="2"/>
  <c r="G1816" i="2"/>
  <c r="G1815" i="2"/>
  <c r="G1814" i="2"/>
  <c r="G1813" i="2"/>
  <c r="G1812" i="2"/>
  <c r="G1811" i="2"/>
  <c r="G1810" i="2"/>
  <c r="G1809" i="2"/>
  <c r="G1808" i="2"/>
  <c r="G1807" i="2"/>
  <c r="G1806" i="2"/>
  <c r="G1805" i="2"/>
  <c r="G1804" i="2"/>
  <c r="G1803" i="2"/>
  <c r="G1802" i="2"/>
  <c r="G1801" i="2"/>
  <c r="G1800" i="2"/>
  <c r="G1799" i="2"/>
  <c r="G1798" i="2"/>
  <c r="G1797" i="2"/>
  <c r="G1796" i="2"/>
  <c r="G1795" i="2"/>
  <c r="G1794" i="2"/>
  <c r="G1793" i="2"/>
  <c r="G1792" i="2"/>
  <c r="G1791" i="2"/>
  <c r="G1790" i="2"/>
  <c r="G1789" i="2"/>
  <c r="G1788" i="2"/>
  <c r="G1787" i="2"/>
  <c r="G1786" i="2"/>
  <c r="G1785" i="2"/>
  <c r="G1784" i="2"/>
  <c r="G1783" i="2"/>
  <c r="G1782" i="2"/>
  <c r="G1781" i="2"/>
  <c r="G1780" i="2"/>
  <c r="G1779" i="2"/>
  <c r="G1778" i="2"/>
  <c r="G1777" i="2"/>
  <c r="G1776" i="2"/>
  <c r="G1775" i="2"/>
  <c r="G1774" i="2"/>
  <c r="G1773" i="2"/>
  <c r="G1772" i="2"/>
  <c r="G1771" i="2"/>
  <c r="G1770" i="2"/>
  <c r="G1769" i="2"/>
  <c r="G1768" i="2"/>
  <c r="G1767" i="2"/>
  <c r="G1766" i="2"/>
  <c r="G1765" i="2"/>
  <c r="G1764" i="2"/>
  <c r="G1763" i="2"/>
  <c r="G1762" i="2"/>
  <c r="G1761" i="2"/>
  <c r="G1760" i="2"/>
  <c r="G1759" i="2"/>
  <c r="G1758" i="2"/>
  <c r="G1757" i="2"/>
  <c r="G1756" i="2"/>
  <c r="G1755" i="2"/>
  <c r="G1754" i="2"/>
  <c r="G1753" i="2"/>
  <c r="G1752" i="2"/>
  <c r="G1751" i="2"/>
  <c r="G1750" i="2"/>
  <c r="G1749" i="2"/>
  <c r="G1748" i="2"/>
  <c r="G1747" i="2"/>
  <c r="G1746" i="2"/>
  <c r="G1745" i="2"/>
  <c r="G1744" i="2"/>
  <c r="G1743" i="2"/>
  <c r="G1742" i="2"/>
  <c r="G1741" i="2"/>
  <c r="G1740" i="2"/>
  <c r="G1739" i="2"/>
  <c r="G1738" i="2"/>
  <c r="G1737" i="2"/>
  <c r="G1736" i="2"/>
  <c r="G1735" i="2"/>
  <c r="G1734" i="2"/>
  <c r="G1733" i="2"/>
  <c r="G1732" i="2"/>
  <c r="G1731" i="2"/>
  <c r="G1730" i="2"/>
  <c r="G1729" i="2"/>
  <c r="G1728" i="2"/>
  <c r="G1727" i="2"/>
  <c r="G1726" i="2"/>
  <c r="G1725" i="2"/>
  <c r="G1724" i="2"/>
  <c r="G1723" i="2"/>
  <c r="G1722" i="2"/>
  <c r="G1721" i="2"/>
  <c r="G1720" i="2"/>
  <c r="G1719" i="2"/>
  <c r="G1718" i="2"/>
  <c r="G1717" i="2"/>
  <c r="G1716" i="2"/>
  <c r="G1715" i="2"/>
  <c r="G1714" i="2"/>
  <c r="G1713" i="2"/>
  <c r="G1712" i="2"/>
  <c r="G1711" i="2"/>
  <c r="G1710" i="2"/>
  <c r="G1709" i="2"/>
  <c r="G1708" i="2"/>
  <c r="G1707" i="2"/>
  <c r="G1706" i="2"/>
  <c r="G1705" i="2"/>
  <c r="G1704" i="2"/>
  <c r="G1703" i="2"/>
  <c r="G1702" i="2"/>
  <c r="G1701" i="2"/>
  <c r="G1700" i="2"/>
  <c r="G1699" i="2"/>
  <c r="G1698" i="2"/>
  <c r="G1697" i="2"/>
  <c r="G1696" i="2"/>
  <c r="G1695" i="2"/>
  <c r="G1694" i="2"/>
  <c r="G1693" i="2"/>
  <c r="G1692" i="2"/>
  <c r="G1691" i="2"/>
  <c r="G1690" i="2"/>
  <c r="G1689" i="2"/>
  <c r="G1688" i="2"/>
  <c r="G1687" i="2"/>
  <c r="G1686" i="2"/>
  <c r="G1685" i="2"/>
  <c r="G1684" i="2"/>
  <c r="G1683" i="2"/>
  <c r="G1682" i="2"/>
  <c r="G1681" i="2"/>
  <c r="G1680" i="2"/>
  <c r="G1679" i="2"/>
  <c r="G1678" i="2"/>
  <c r="G1677" i="2"/>
  <c r="G1676" i="2"/>
  <c r="G1675" i="2"/>
  <c r="G1674" i="2"/>
  <c r="G1673" i="2"/>
  <c r="G1672" i="2"/>
  <c r="G1671" i="2"/>
  <c r="G1670" i="2"/>
  <c r="G1669" i="2"/>
  <c r="G1668" i="2"/>
  <c r="G1667" i="2"/>
  <c r="G1666" i="2"/>
  <c r="G1665" i="2"/>
  <c r="G1664" i="2"/>
  <c r="G1663" i="2"/>
  <c r="G1662" i="2"/>
  <c r="G1661" i="2"/>
  <c r="G1660" i="2"/>
  <c r="G1659" i="2"/>
  <c r="G1658" i="2"/>
  <c r="G1657" i="2"/>
  <c r="G1656" i="2"/>
  <c r="G1655" i="2"/>
  <c r="G1654" i="2"/>
  <c r="G1653" i="2"/>
  <c r="G1652" i="2"/>
  <c r="G1651" i="2"/>
  <c r="G1650" i="2"/>
  <c r="G1649" i="2"/>
  <c r="G1648" i="2"/>
  <c r="G1647" i="2"/>
  <c r="G1646" i="2"/>
  <c r="G1645" i="2"/>
  <c r="G1644" i="2"/>
  <c r="G1643" i="2"/>
  <c r="G1642" i="2"/>
  <c r="G1641" i="2"/>
  <c r="G1640" i="2"/>
  <c r="G1639" i="2"/>
  <c r="G1638" i="2"/>
  <c r="G1637" i="2"/>
  <c r="G1636" i="2"/>
  <c r="G1635" i="2"/>
  <c r="G1634" i="2"/>
  <c r="G1633" i="2"/>
  <c r="G1632" i="2"/>
  <c r="G1631" i="2"/>
  <c r="G1630" i="2"/>
  <c r="G1629" i="2"/>
  <c r="G1628" i="2"/>
  <c r="G1627" i="2"/>
  <c r="G1626" i="2"/>
  <c r="G1625" i="2"/>
  <c r="G1624" i="2"/>
  <c r="G1623" i="2"/>
  <c r="G1622" i="2"/>
  <c r="G1621" i="2"/>
  <c r="G1620" i="2"/>
  <c r="G1619" i="2"/>
  <c r="G1618" i="2"/>
  <c r="G1617" i="2"/>
  <c r="G1616" i="2"/>
  <c r="G1615" i="2"/>
  <c r="G1614" i="2"/>
  <c r="G1613" i="2"/>
  <c r="G1612" i="2"/>
  <c r="G1611" i="2"/>
  <c r="G1610" i="2"/>
  <c r="G1609" i="2"/>
  <c r="G1608" i="2"/>
  <c r="G1607" i="2"/>
  <c r="G1606" i="2"/>
  <c r="G1605" i="2"/>
  <c r="G1604" i="2"/>
  <c r="G1603" i="2"/>
  <c r="G1602" i="2"/>
  <c r="G1601" i="2"/>
  <c r="G1600" i="2"/>
  <c r="G1599" i="2"/>
  <c r="G1598" i="2"/>
  <c r="G1597" i="2"/>
  <c r="G1596" i="2"/>
  <c r="G1595" i="2"/>
  <c r="G1594" i="2"/>
  <c r="G1593" i="2"/>
  <c r="G1592" i="2"/>
  <c r="G1591" i="2"/>
  <c r="G1590" i="2"/>
  <c r="G1589" i="2"/>
  <c r="G1588" i="2"/>
  <c r="G1587" i="2"/>
  <c r="G1586" i="2"/>
  <c r="G1585" i="2"/>
  <c r="G1584" i="2"/>
  <c r="G1583" i="2"/>
  <c r="G1582" i="2"/>
  <c r="G1581" i="2"/>
  <c r="G1580" i="2"/>
  <c r="G1579" i="2"/>
  <c r="G1578" i="2"/>
  <c r="G1577" i="2"/>
  <c r="G1576" i="2"/>
  <c r="G1575" i="2"/>
  <c r="G1574" i="2"/>
  <c r="G1573" i="2"/>
  <c r="G1572" i="2"/>
  <c r="G1571" i="2"/>
  <c r="G1570" i="2"/>
  <c r="G1569" i="2"/>
  <c r="G1568" i="2"/>
  <c r="G1567" i="2"/>
  <c r="G1566" i="2"/>
  <c r="G1565" i="2"/>
  <c r="G1564" i="2"/>
  <c r="G1563" i="2"/>
  <c r="G1562" i="2"/>
  <c r="G1561" i="2"/>
  <c r="G1560" i="2"/>
  <c r="G1559" i="2"/>
  <c r="G1558" i="2"/>
  <c r="G1557" i="2"/>
  <c r="G1556" i="2"/>
  <c r="G1555" i="2"/>
  <c r="G1554" i="2"/>
  <c r="G1553" i="2"/>
  <c r="G1552" i="2"/>
  <c r="G1551" i="2"/>
  <c r="G1550" i="2"/>
  <c r="G1549" i="2"/>
  <c r="G1548" i="2"/>
  <c r="G1547" i="2"/>
  <c r="G1546" i="2"/>
  <c r="G1545" i="2"/>
  <c r="G1544" i="2"/>
  <c r="G1543" i="2"/>
  <c r="G1542" i="2"/>
  <c r="G1541" i="2"/>
  <c r="G1540" i="2"/>
  <c r="G1539" i="2"/>
  <c r="G1538" i="2"/>
  <c r="G1537" i="2"/>
  <c r="G1536" i="2"/>
  <c r="G1535" i="2"/>
  <c r="G1534" i="2"/>
  <c r="G1533" i="2"/>
  <c r="G1532" i="2"/>
  <c r="G1531" i="2"/>
  <c r="G1530" i="2"/>
  <c r="G1529" i="2"/>
  <c r="G1528" i="2"/>
  <c r="G1527" i="2"/>
  <c r="G1526" i="2"/>
  <c r="G1525" i="2"/>
  <c r="G1524" i="2"/>
  <c r="G1523" i="2"/>
  <c r="G1522" i="2"/>
  <c r="G1521" i="2"/>
  <c r="G1520" i="2"/>
  <c r="G1519" i="2"/>
  <c r="G1518" i="2"/>
  <c r="G1517" i="2"/>
  <c r="G1516" i="2"/>
  <c r="G1515" i="2"/>
  <c r="G1514" i="2"/>
  <c r="G1513" i="2"/>
  <c r="G1512" i="2"/>
  <c r="G1511" i="2"/>
  <c r="G1510" i="2"/>
  <c r="G1509" i="2"/>
  <c r="G1508" i="2"/>
  <c r="G1507" i="2"/>
  <c r="G1506" i="2"/>
  <c r="G1505" i="2"/>
  <c r="G1504" i="2"/>
  <c r="G1503" i="2"/>
  <c r="G1502" i="2"/>
  <c r="G1501" i="2"/>
  <c r="G1500" i="2"/>
  <c r="G1499" i="2"/>
  <c r="G1498" i="2"/>
  <c r="G1497" i="2"/>
  <c r="G1496" i="2"/>
  <c r="G1495" i="2"/>
  <c r="G1494" i="2"/>
  <c r="G1493" i="2"/>
  <c r="G1492" i="2"/>
  <c r="G1491" i="2"/>
  <c r="G1490" i="2"/>
  <c r="G1489" i="2"/>
  <c r="G1488" i="2"/>
  <c r="G1487" i="2"/>
  <c r="G1486" i="2"/>
  <c r="G1485" i="2"/>
  <c r="G1484" i="2"/>
  <c r="G1483" i="2"/>
  <c r="G1482" i="2"/>
  <c r="G1481" i="2"/>
  <c r="G1480" i="2"/>
  <c r="G1479" i="2"/>
  <c r="G1478" i="2"/>
  <c r="G1477" i="2"/>
  <c r="G1476" i="2"/>
  <c r="G1475" i="2"/>
  <c r="G1474" i="2"/>
  <c r="G1473" i="2"/>
  <c r="G1472" i="2"/>
  <c r="G1471" i="2"/>
  <c r="G1470" i="2"/>
  <c r="G1469" i="2"/>
  <c r="G1468" i="2"/>
  <c r="G1467" i="2"/>
  <c r="G1466" i="2"/>
  <c r="G1465" i="2"/>
  <c r="G1464" i="2"/>
  <c r="G1463" i="2"/>
  <c r="G1462" i="2"/>
  <c r="G1461" i="2"/>
  <c r="G1460" i="2"/>
  <c r="G1459" i="2"/>
  <c r="G1458" i="2"/>
  <c r="G1457" i="2"/>
  <c r="G1456" i="2"/>
  <c r="G1455" i="2"/>
  <c r="G1454" i="2"/>
  <c r="G1453" i="2"/>
  <c r="G1452" i="2"/>
  <c r="G1451" i="2"/>
  <c r="G1450" i="2"/>
  <c r="G1449" i="2"/>
  <c r="G1448" i="2"/>
  <c r="G1447" i="2"/>
  <c r="G1446" i="2"/>
  <c r="G1445" i="2"/>
  <c r="G1444" i="2"/>
  <c r="G1443" i="2"/>
  <c r="G1442" i="2"/>
  <c r="G1441" i="2"/>
  <c r="G1440" i="2"/>
  <c r="G1439" i="2"/>
  <c r="G1438" i="2"/>
  <c r="G1437" i="2"/>
  <c r="G1436" i="2"/>
  <c r="G1435" i="2"/>
  <c r="G1434" i="2"/>
  <c r="G1433" i="2"/>
  <c r="G1432" i="2"/>
  <c r="G1431" i="2"/>
  <c r="G1430" i="2"/>
  <c r="G1429" i="2"/>
  <c r="G1428" i="2"/>
  <c r="G1427" i="2"/>
  <c r="G1426" i="2"/>
  <c r="G1425" i="2"/>
  <c r="G1424" i="2"/>
  <c r="G1423" i="2"/>
  <c r="G1422" i="2"/>
  <c r="G1421" i="2"/>
  <c r="G1420" i="2"/>
  <c r="G1419" i="2"/>
  <c r="G1418" i="2"/>
  <c r="G1417" i="2"/>
  <c r="G1416" i="2"/>
  <c r="G1415" i="2"/>
  <c r="G1414" i="2"/>
  <c r="G1413" i="2"/>
  <c r="G1412" i="2"/>
  <c r="G1411" i="2"/>
  <c r="G1410" i="2"/>
  <c r="G1409" i="2"/>
  <c r="G1408" i="2"/>
  <c r="G1407" i="2"/>
  <c r="G1406" i="2"/>
  <c r="G1405" i="2"/>
  <c r="G1404" i="2"/>
  <c r="G1403" i="2"/>
  <c r="G1402" i="2"/>
  <c r="G1401" i="2"/>
  <c r="G1400" i="2"/>
  <c r="G1399" i="2"/>
  <c r="G1398" i="2"/>
  <c r="G1397" i="2"/>
  <c r="G1396" i="2"/>
  <c r="G1395" i="2"/>
  <c r="G1394" i="2"/>
  <c r="G1393" i="2"/>
  <c r="G1392" i="2"/>
  <c r="G1391" i="2"/>
  <c r="G1390" i="2"/>
  <c r="G1389" i="2"/>
  <c r="G1388" i="2"/>
  <c r="G1387" i="2"/>
  <c r="G1386" i="2"/>
  <c r="G1385" i="2"/>
  <c r="G1384" i="2"/>
  <c r="G1383" i="2"/>
  <c r="G1382" i="2"/>
  <c r="G1381" i="2"/>
  <c r="G1380" i="2"/>
  <c r="G1379" i="2"/>
  <c r="G1378" i="2"/>
  <c r="G1377" i="2"/>
  <c r="G1376" i="2"/>
  <c r="G1375" i="2"/>
  <c r="G1374" i="2"/>
  <c r="G1373" i="2"/>
  <c r="G1372" i="2"/>
  <c r="G1371" i="2"/>
  <c r="G1370" i="2"/>
  <c r="G1369" i="2"/>
  <c r="G1368" i="2"/>
  <c r="G1367" i="2"/>
  <c r="G1366" i="2"/>
  <c r="G1365" i="2"/>
  <c r="G1364" i="2"/>
  <c r="G1363" i="2"/>
  <c r="G1362" i="2"/>
  <c r="G1361" i="2"/>
  <c r="G1360" i="2"/>
  <c r="G1359" i="2"/>
  <c r="G1358" i="2"/>
  <c r="G1357" i="2"/>
  <c r="G1356" i="2"/>
  <c r="G1355" i="2"/>
  <c r="G1354" i="2"/>
  <c r="G1353" i="2"/>
  <c r="G1352" i="2"/>
  <c r="G1351" i="2"/>
  <c r="G1350" i="2"/>
  <c r="G1349" i="2"/>
  <c r="G1348" i="2"/>
  <c r="G1347" i="2"/>
  <c r="G1346" i="2"/>
  <c r="G1345" i="2"/>
  <c r="G1344" i="2"/>
  <c r="G1343" i="2"/>
  <c r="G1342" i="2"/>
  <c r="G1341" i="2"/>
  <c r="G1340" i="2"/>
  <c r="G1339" i="2"/>
  <c r="G1338" i="2"/>
  <c r="G1337" i="2"/>
  <c r="G1336" i="2"/>
  <c r="G1335" i="2"/>
  <c r="G1334" i="2"/>
  <c r="G1333" i="2"/>
  <c r="G1332" i="2"/>
  <c r="G1331" i="2"/>
  <c r="G1330" i="2"/>
  <c r="G1329" i="2"/>
  <c r="G1328" i="2"/>
  <c r="G1327" i="2"/>
  <c r="G1326" i="2"/>
  <c r="G1325" i="2"/>
  <c r="G1324" i="2"/>
  <c r="G1323" i="2"/>
  <c r="G1322" i="2"/>
  <c r="G1321" i="2"/>
  <c r="G1320" i="2"/>
  <c r="G1319" i="2"/>
  <c r="G1318" i="2"/>
  <c r="G1317" i="2"/>
  <c r="G1316" i="2"/>
  <c r="G1315" i="2"/>
  <c r="G1314" i="2"/>
  <c r="G1313" i="2"/>
  <c r="G1312" i="2"/>
  <c r="G1311" i="2"/>
  <c r="G1310" i="2"/>
  <c r="G1309" i="2"/>
  <c r="G1308" i="2"/>
  <c r="G1307" i="2"/>
  <c r="G1306" i="2"/>
  <c r="G1305" i="2"/>
  <c r="G1304" i="2"/>
  <c r="G1303" i="2"/>
  <c r="G1302" i="2"/>
  <c r="G1301" i="2"/>
  <c r="G1300" i="2"/>
  <c r="G1299" i="2"/>
  <c r="G1298" i="2"/>
  <c r="G1297" i="2"/>
  <c r="G1296" i="2"/>
  <c r="G1295" i="2"/>
  <c r="G1294" i="2"/>
  <c r="G1293" i="2"/>
  <c r="G1292" i="2"/>
  <c r="G1291" i="2"/>
  <c r="G1290" i="2"/>
  <c r="G1289" i="2"/>
  <c r="G1288" i="2"/>
  <c r="G1287" i="2"/>
  <c r="G1286" i="2"/>
  <c r="G1285" i="2"/>
  <c r="G1284" i="2"/>
  <c r="G1283" i="2"/>
  <c r="G1282" i="2"/>
  <c r="G1281" i="2"/>
  <c r="G1280" i="2"/>
  <c r="G1279" i="2"/>
  <c r="G1278" i="2"/>
  <c r="G1277" i="2"/>
  <c r="G1276" i="2"/>
  <c r="G1275" i="2"/>
  <c r="G1274" i="2"/>
  <c r="G1273" i="2"/>
  <c r="G1272" i="2"/>
  <c r="G1271" i="2"/>
  <c r="G1270" i="2"/>
  <c r="G1269" i="2"/>
  <c r="G1268" i="2"/>
  <c r="G1267" i="2"/>
  <c r="G1266" i="2"/>
  <c r="G1265" i="2"/>
  <c r="G1264" i="2"/>
  <c r="G1263" i="2"/>
  <c r="G1262" i="2"/>
  <c r="G1261" i="2"/>
  <c r="G1260" i="2"/>
  <c r="G1259" i="2"/>
  <c r="G1258" i="2"/>
  <c r="G1257" i="2"/>
  <c r="G1256" i="2"/>
  <c r="G1255" i="2"/>
  <c r="G1254" i="2"/>
  <c r="G1253" i="2"/>
  <c r="G1252" i="2"/>
  <c r="G1251" i="2"/>
  <c r="G1250" i="2"/>
  <c r="G1249" i="2"/>
  <c r="G1248" i="2"/>
  <c r="G1247" i="2"/>
  <c r="G1246" i="2"/>
  <c r="G1245" i="2"/>
  <c r="G1244" i="2"/>
  <c r="G1243" i="2"/>
  <c r="G1242" i="2"/>
  <c r="G1241" i="2"/>
  <c r="G1240" i="2"/>
  <c r="G1239" i="2"/>
  <c r="G1238" i="2"/>
  <c r="G1237" i="2"/>
  <c r="G1236" i="2"/>
  <c r="G1235" i="2"/>
  <c r="G1234" i="2"/>
  <c r="G1233" i="2"/>
  <c r="G1232" i="2"/>
  <c r="G1231" i="2"/>
  <c r="G1230" i="2"/>
  <c r="G1229" i="2"/>
  <c r="G1228" i="2"/>
  <c r="G1227" i="2"/>
  <c r="G1226" i="2"/>
  <c r="G1225" i="2"/>
  <c r="G1224" i="2"/>
  <c r="G1223" i="2"/>
  <c r="G1222" i="2"/>
  <c r="G1221" i="2"/>
  <c r="G1220" i="2"/>
  <c r="G1219" i="2"/>
  <c r="G1218" i="2"/>
  <c r="G1217" i="2"/>
  <c r="G1216" i="2"/>
  <c r="G1215" i="2"/>
  <c r="G1214" i="2"/>
  <c r="G1213" i="2"/>
  <c r="G1212" i="2"/>
  <c r="G1211" i="2"/>
  <c r="G1210" i="2"/>
  <c r="G1209" i="2"/>
  <c r="G1208" i="2"/>
  <c r="G1207" i="2"/>
  <c r="G1206" i="2"/>
  <c r="G1205" i="2"/>
  <c r="G1204" i="2"/>
  <c r="G1203" i="2"/>
  <c r="G1202" i="2"/>
  <c r="G1201" i="2"/>
  <c r="G1200" i="2"/>
  <c r="G1199" i="2"/>
  <c r="G1198" i="2"/>
  <c r="G1197" i="2"/>
  <c r="G1196" i="2"/>
  <c r="G1195" i="2"/>
  <c r="G1194" i="2"/>
  <c r="G1193" i="2"/>
  <c r="G1192" i="2"/>
  <c r="G1191" i="2"/>
  <c r="G1190" i="2"/>
  <c r="G1189" i="2"/>
  <c r="G1188" i="2"/>
  <c r="G1187" i="2"/>
  <c r="G1186" i="2"/>
  <c r="G1185" i="2"/>
  <c r="G1184" i="2"/>
  <c r="G1183" i="2"/>
  <c r="G1182" i="2"/>
  <c r="G1181" i="2"/>
  <c r="G1180" i="2"/>
  <c r="G1179" i="2"/>
  <c r="G1178" i="2"/>
  <c r="G1177" i="2"/>
  <c r="G1176" i="2"/>
  <c r="G1175" i="2"/>
  <c r="G1174" i="2"/>
  <c r="G1173" i="2"/>
  <c r="G1172" i="2"/>
  <c r="G1171" i="2"/>
  <c r="G1170" i="2"/>
  <c r="G1169" i="2"/>
  <c r="G1168" i="2"/>
  <c r="G1167" i="2"/>
  <c r="G1166" i="2"/>
  <c r="G1165" i="2"/>
  <c r="G1164" i="2"/>
  <c r="G1163" i="2"/>
  <c r="G1162" i="2"/>
  <c r="G1161" i="2"/>
  <c r="G1160" i="2"/>
  <c r="G1159" i="2"/>
  <c r="G1158" i="2"/>
  <c r="G1157" i="2"/>
  <c r="G1156" i="2"/>
  <c r="G1155" i="2"/>
  <c r="G1154" i="2"/>
  <c r="G1153" i="2"/>
  <c r="G1152" i="2"/>
  <c r="G1151" i="2"/>
  <c r="G1150" i="2"/>
  <c r="G1149" i="2"/>
  <c r="G1148" i="2"/>
  <c r="G1147" i="2"/>
  <c r="G1146" i="2"/>
  <c r="G1145" i="2"/>
  <c r="G1144" i="2"/>
  <c r="G1143" i="2"/>
  <c r="G1142" i="2"/>
  <c r="G1141" i="2"/>
  <c r="G1140" i="2"/>
  <c r="G1139" i="2"/>
  <c r="G1138" i="2"/>
  <c r="G1137" i="2"/>
  <c r="G1136" i="2"/>
  <c r="G1135" i="2"/>
  <c r="G1134" i="2"/>
  <c r="G1133" i="2"/>
  <c r="G1132" i="2"/>
  <c r="G1131" i="2"/>
  <c r="G1130" i="2"/>
  <c r="G1129" i="2"/>
  <c r="G1128" i="2"/>
  <c r="G1127" i="2"/>
  <c r="G1126" i="2"/>
  <c r="G1125" i="2"/>
  <c r="G1124" i="2"/>
  <c r="G1123" i="2"/>
  <c r="G1122" i="2"/>
  <c r="G1121" i="2"/>
  <c r="G1120" i="2"/>
  <c r="G1119" i="2"/>
  <c r="G1118" i="2"/>
  <c r="G1117" i="2"/>
  <c r="G1116" i="2"/>
  <c r="G1115" i="2"/>
  <c r="G1114" i="2"/>
  <c r="G1113" i="2"/>
  <c r="G1112" i="2"/>
  <c r="G1111" i="2"/>
  <c r="G1110" i="2"/>
  <c r="G1109" i="2"/>
  <c r="G1108" i="2"/>
  <c r="G1107" i="2"/>
  <c r="G1106" i="2"/>
  <c r="G1105" i="2"/>
  <c r="G1104" i="2"/>
  <c r="G1103" i="2"/>
  <c r="G1102" i="2"/>
  <c r="G1101" i="2"/>
  <c r="G1100" i="2"/>
  <c r="G1099" i="2"/>
  <c r="G1098" i="2"/>
  <c r="G1097" i="2"/>
  <c r="G1096" i="2"/>
  <c r="G1095" i="2"/>
  <c r="G1094" i="2"/>
  <c r="G1093" i="2"/>
  <c r="G1092" i="2"/>
  <c r="G1091" i="2"/>
  <c r="G1090" i="2"/>
  <c r="G1089" i="2"/>
  <c r="G1088" i="2"/>
  <c r="G1087" i="2"/>
  <c r="G1086" i="2"/>
  <c r="G1085" i="2"/>
  <c r="G1084" i="2"/>
  <c r="G1083" i="2"/>
  <c r="G1082" i="2"/>
  <c r="G1081" i="2"/>
  <c r="G1080" i="2"/>
  <c r="G1079" i="2"/>
  <c r="G1078" i="2"/>
  <c r="G1077" i="2"/>
  <c r="G1076" i="2"/>
  <c r="G1075" i="2"/>
  <c r="G1074" i="2"/>
  <c r="G1073" i="2"/>
  <c r="G1072" i="2"/>
  <c r="G1071" i="2"/>
  <c r="G1070" i="2"/>
  <c r="G1069" i="2"/>
  <c r="G1068" i="2"/>
  <c r="G1067" i="2"/>
  <c r="G1066" i="2"/>
  <c r="G1065" i="2"/>
  <c r="G1064" i="2"/>
  <c r="G1063" i="2"/>
  <c r="G1062" i="2"/>
  <c r="G1061" i="2"/>
  <c r="G1060" i="2"/>
  <c r="G1059" i="2"/>
  <c r="G1058" i="2"/>
  <c r="G1057" i="2"/>
  <c r="G1056" i="2"/>
  <c r="G1055" i="2"/>
  <c r="G1054" i="2"/>
  <c r="G1053" i="2"/>
  <c r="G1052" i="2"/>
  <c r="G1051" i="2"/>
  <c r="G1050" i="2"/>
  <c r="G1049" i="2"/>
  <c r="G1048" i="2"/>
  <c r="G1047" i="2"/>
  <c r="G1046" i="2"/>
  <c r="G1045" i="2"/>
  <c r="G1044" i="2"/>
  <c r="G1043" i="2"/>
  <c r="G1042" i="2"/>
  <c r="G1041" i="2"/>
  <c r="G1040" i="2"/>
  <c r="G1039" i="2"/>
  <c r="G1038" i="2"/>
  <c r="G1037" i="2"/>
  <c r="G1036" i="2"/>
  <c r="G1035" i="2"/>
  <c r="G1034" i="2"/>
  <c r="G1033" i="2"/>
  <c r="G1032" i="2"/>
  <c r="G1031" i="2"/>
  <c r="G1030" i="2"/>
  <c r="G1029" i="2"/>
  <c r="G1028" i="2"/>
  <c r="G1027" i="2"/>
  <c r="G1026" i="2"/>
  <c r="G1025" i="2"/>
  <c r="G1024" i="2"/>
  <c r="G1023" i="2"/>
  <c r="G1022" i="2"/>
  <c r="G1021" i="2"/>
  <c r="G1020" i="2"/>
  <c r="G1019" i="2"/>
  <c r="G1018" i="2"/>
  <c r="G1017" i="2"/>
  <c r="G1016" i="2"/>
  <c r="G1015" i="2"/>
  <c r="G1014" i="2"/>
  <c r="G1013" i="2"/>
  <c r="G1012" i="2"/>
  <c r="G1011" i="2"/>
  <c r="G1010" i="2"/>
  <c r="G1009" i="2"/>
  <c r="G1008" i="2"/>
  <c r="G1007" i="2"/>
  <c r="G1006" i="2"/>
  <c r="G1005" i="2"/>
  <c r="G1004" i="2"/>
  <c r="G1003" i="2"/>
  <c r="G1002" i="2"/>
  <c r="G1001" i="2"/>
  <c r="G1000" i="2"/>
  <c r="G999" i="2"/>
  <c r="G998" i="2"/>
  <c r="G997" i="2"/>
  <c r="G996" i="2"/>
  <c r="G995" i="2"/>
  <c r="G994" i="2"/>
  <c r="G993" i="2"/>
  <c r="G992" i="2"/>
  <c r="G991" i="2"/>
  <c r="G990" i="2"/>
  <c r="G989" i="2"/>
  <c r="G988" i="2"/>
  <c r="G987" i="2"/>
  <c r="G986" i="2"/>
  <c r="G985" i="2"/>
  <c r="G984" i="2"/>
  <c r="G983" i="2"/>
  <c r="G982" i="2"/>
  <c r="G981" i="2"/>
  <c r="G980" i="2"/>
  <c r="G979" i="2"/>
  <c r="G978" i="2"/>
  <c r="G977" i="2"/>
  <c r="G976" i="2"/>
  <c r="G975" i="2"/>
  <c r="G974" i="2"/>
  <c r="G973" i="2"/>
  <c r="G972" i="2"/>
  <c r="G971" i="2"/>
  <c r="G970" i="2"/>
  <c r="G969" i="2"/>
  <c r="G968" i="2"/>
  <c r="G967" i="2"/>
  <c r="G966" i="2"/>
  <c r="G965" i="2"/>
  <c r="G964" i="2"/>
  <c r="G963" i="2"/>
  <c r="G962" i="2"/>
  <c r="G961" i="2"/>
  <c r="G960" i="2"/>
  <c r="G959" i="2"/>
  <c r="G958" i="2"/>
  <c r="G957" i="2"/>
  <c r="G956" i="2"/>
  <c r="G955" i="2"/>
  <c r="G954" i="2"/>
  <c r="G953" i="2"/>
  <c r="G952" i="2"/>
  <c r="G951" i="2"/>
  <c r="G950" i="2"/>
  <c r="G949" i="2"/>
  <c r="G948" i="2"/>
  <c r="G947" i="2"/>
  <c r="G946" i="2"/>
  <c r="G945" i="2"/>
  <c r="G944" i="2"/>
  <c r="G943" i="2"/>
  <c r="G942" i="2"/>
  <c r="G941" i="2"/>
  <c r="G940" i="2"/>
  <c r="G939" i="2"/>
  <c r="G938" i="2"/>
  <c r="G937" i="2"/>
  <c r="G936" i="2"/>
  <c r="G935" i="2"/>
  <c r="G934" i="2"/>
  <c r="G933" i="2"/>
  <c r="G932" i="2"/>
  <c r="G931" i="2"/>
  <c r="G930" i="2"/>
  <c r="G929" i="2"/>
  <c r="G928" i="2"/>
  <c r="G927" i="2"/>
  <c r="G926" i="2"/>
  <c r="G925" i="2"/>
  <c r="G924" i="2"/>
  <c r="G923" i="2"/>
  <c r="G922" i="2"/>
  <c r="G921" i="2"/>
  <c r="G920" i="2"/>
  <c r="G919" i="2"/>
  <c r="G918" i="2"/>
  <c r="G917" i="2"/>
  <c r="G916" i="2"/>
  <c r="G915" i="2"/>
  <c r="G914" i="2"/>
  <c r="G913" i="2"/>
  <c r="G912" i="2"/>
  <c r="G911" i="2"/>
  <c r="G910" i="2"/>
  <c r="G909" i="2"/>
  <c r="G908" i="2"/>
  <c r="G907" i="2"/>
  <c r="G906" i="2"/>
  <c r="G905" i="2"/>
  <c r="G904" i="2"/>
  <c r="G903" i="2"/>
  <c r="G902" i="2"/>
  <c r="G901" i="2"/>
  <c r="G900" i="2"/>
  <c r="G899" i="2"/>
  <c r="G898" i="2"/>
  <c r="G897" i="2"/>
  <c r="G896" i="2"/>
  <c r="G895" i="2"/>
  <c r="G894" i="2"/>
  <c r="G893" i="2"/>
  <c r="G892" i="2"/>
  <c r="G891" i="2"/>
  <c r="G890" i="2"/>
  <c r="G889" i="2"/>
  <c r="G888" i="2"/>
  <c r="G887" i="2"/>
  <c r="G886" i="2"/>
  <c r="G885" i="2"/>
  <c r="G884" i="2"/>
  <c r="G883" i="2"/>
  <c r="G882" i="2"/>
  <c r="G881" i="2"/>
  <c r="G880" i="2"/>
  <c r="G879" i="2"/>
  <c r="G878" i="2"/>
  <c r="G877" i="2"/>
  <c r="G876" i="2"/>
  <c r="G875" i="2"/>
  <c r="G874" i="2"/>
  <c r="G873" i="2"/>
  <c r="G872" i="2"/>
  <c r="G871" i="2"/>
  <c r="G870" i="2"/>
  <c r="G869" i="2"/>
  <c r="G868" i="2"/>
  <c r="G867" i="2"/>
  <c r="G866" i="2"/>
  <c r="G865" i="2"/>
  <c r="G864" i="2"/>
  <c r="G863" i="2"/>
  <c r="G862" i="2"/>
  <c r="G861" i="2"/>
  <c r="G860" i="2"/>
  <c r="G859" i="2"/>
  <c r="G858" i="2"/>
  <c r="G857" i="2"/>
  <c r="G856" i="2"/>
  <c r="G855" i="2"/>
  <c r="G854" i="2"/>
  <c r="G853" i="2"/>
  <c r="G852" i="2"/>
  <c r="G851" i="2"/>
  <c r="G850" i="2"/>
  <c r="G849" i="2"/>
  <c r="G848" i="2"/>
  <c r="G847" i="2"/>
  <c r="G846" i="2"/>
  <c r="G845" i="2"/>
  <c r="G844" i="2"/>
  <c r="G843" i="2"/>
  <c r="G842" i="2"/>
  <c r="G841" i="2"/>
  <c r="G840" i="2"/>
  <c r="G839" i="2"/>
  <c r="G838" i="2"/>
  <c r="G837" i="2"/>
  <c r="G836" i="2"/>
  <c r="G835" i="2"/>
  <c r="G834" i="2"/>
  <c r="G833" i="2"/>
  <c r="G832" i="2"/>
  <c r="G831" i="2"/>
  <c r="G830" i="2"/>
  <c r="G829" i="2"/>
  <c r="G828" i="2"/>
  <c r="G827" i="2"/>
  <c r="G826" i="2"/>
  <c r="G825" i="2"/>
  <c r="G824" i="2"/>
  <c r="G823" i="2"/>
  <c r="G822" i="2"/>
  <c r="G821" i="2"/>
  <c r="G820" i="2"/>
  <c r="G819" i="2"/>
  <c r="G818" i="2"/>
  <c r="G817" i="2"/>
  <c r="G816" i="2"/>
  <c r="G815" i="2"/>
  <c r="G814" i="2"/>
  <c r="G813" i="2"/>
  <c r="G812" i="2"/>
  <c r="G811" i="2"/>
  <c r="G810" i="2"/>
  <c r="G809" i="2"/>
  <c r="G808" i="2"/>
  <c r="G807" i="2"/>
  <c r="G806" i="2"/>
  <c r="G805" i="2"/>
  <c r="G804" i="2"/>
  <c r="G803" i="2"/>
  <c r="G802" i="2"/>
  <c r="G801" i="2"/>
  <c r="G800" i="2"/>
  <c r="G799" i="2"/>
  <c r="G798" i="2"/>
  <c r="G797" i="2"/>
  <c r="G796" i="2"/>
  <c r="G795" i="2"/>
  <c r="G794" i="2"/>
  <c r="G793" i="2"/>
  <c r="G792" i="2"/>
  <c r="G791" i="2"/>
  <c r="G790" i="2"/>
  <c r="G789" i="2"/>
  <c r="G788" i="2"/>
  <c r="G787" i="2"/>
  <c r="G786" i="2"/>
  <c r="G785" i="2"/>
  <c r="G784" i="2"/>
  <c r="G783" i="2"/>
  <c r="G782" i="2"/>
  <c r="G781" i="2"/>
  <c r="G780" i="2"/>
  <c r="G779" i="2"/>
  <c r="G778" i="2"/>
  <c r="G777" i="2"/>
  <c r="G776" i="2"/>
  <c r="G775" i="2"/>
  <c r="G774" i="2"/>
  <c r="G773" i="2"/>
  <c r="G772" i="2"/>
  <c r="G771" i="2"/>
  <c r="G770" i="2"/>
  <c r="G769" i="2"/>
  <c r="G768" i="2"/>
  <c r="G767" i="2"/>
  <c r="G766" i="2"/>
  <c r="G765" i="2"/>
  <c r="G764" i="2"/>
  <c r="G763" i="2"/>
  <c r="G762" i="2"/>
  <c r="G761" i="2"/>
  <c r="G760" i="2"/>
  <c r="G759" i="2"/>
  <c r="G758" i="2"/>
  <c r="G757" i="2"/>
  <c r="G756" i="2"/>
  <c r="G755" i="2"/>
  <c r="G754" i="2"/>
  <c r="G753" i="2"/>
  <c r="G752" i="2"/>
  <c r="G751" i="2"/>
  <c r="G750" i="2"/>
  <c r="G749" i="2"/>
  <c r="G748" i="2"/>
  <c r="G747" i="2"/>
  <c r="G746" i="2"/>
  <c r="G745" i="2"/>
  <c r="G744" i="2"/>
  <c r="G743" i="2"/>
  <c r="G742" i="2"/>
  <c r="G741" i="2"/>
  <c r="G740" i="2"/>
  <c r="G739" i="2"/>
  <c r="G738" i="2"/>
  <c r="G737" i="2"/>
  <c r="G736" i="2"/>
  <c r="G735" i="2"/>
  <c r="G734" i="2"/>
  <c r="G733" i="2"/>
  <c r="G732" i="2"/>
  <c r="G731" i="2"/>
  <c r="G730" i="2"/>
  <c r="G729" i="2"/>
  <c r="G728" i="2"/>
  <c r="G727" i="2"/>
  <c r="G726" i="2"/>
  <c r="G725" i="2"/>
  <c r="G724" i="2"/>
  <c r="G723" i="2"/>
  <c r="G722" i="2"/>
  <c r="G721" i="2"/>
  <c r="G720" i="2"/>
  <c r="G719" i="2"/>
  <c r="G718" i="2"/>
  <c r="G717" i="2"/>
  <c r="G716" i="2"/>
  <c r="G715" i="2"/>
  <c r="G714" i="2"/>
  <c r="G713" i="2"/>
  <c r="G712" i="2"/>
  <c r="G711" i="2"/>
  <c r="G710" i="2"/>
  <c r="G709" i="2"/>
  <c r="G708" i="2"/>
  <c r="G707" i="2"/>
  <c r="G706" i="2"/>
  <c r="G705" i="2"/>
  <c r="G704" i="2"/>
  <c r="G703" i="2"/>
  <c r="G702" i="2"/>
  <c r="G701" i="2"/>
  <c r="G700" i="2"/>
  <c r="G699" i="2"/>
  <c r="G698" i="2"/>
  <c r="G697" i="2"/>
  <c r="G696" i="2"/>
  <c r="G695" i="2"/>
  <c r="G694" i="2"/>
  <c r="G693" i="2"/>
  <c r="G692" i="2"/>
  <c r="G691" i="2"/>
  <c r="G690" i="2"/>
  <c r="G689" i="2"/>
  <c r="G688" i="2"/>
  <c r="G687" i="2"/>
  <c r="G686" i="2"/>
  <c r="G685" i="2"/>
  <c r="G684" i="2"/>
  <c r="G683" i="2"/>
  <c r="G682" i="2"/>
  <c r="G681" i="2"/>
  <c r="G680" i="2"/>
  <c r="G679" i="2"/>
  <c r="G678" i="2"/>
  <c r="G677" i="2"/>
  <c r="G676" i="2"/>
  <c r="G675" i="2"/>
  <c r="G674" i="2"/>
  <c r="G673" i="2"/>
  <c r="G672" i="2"/>
  <c r="G671" i="2"/>
  <c r="G670" i="2"/>
  <c r="G669" i="2"/>
  <c r="G668" i="2"/>
  <c r="G667" i="2"/>
  <c r="G666" i="2"/>
  <c r="G665" i="2"/>
  <c r="G664" i="2"/>
  <c r="G663" i="2"/>
  <c r="G662" i="2"/>
  <c r="G661" i="2"/>
  <c r="G660" i="2"/>
  <c r="G659" i="2"/>
  <c r="G658" i="2"/>
  <c r="G657" i="2"/>
  <c r="G656" i="2"/>
  <c r="G655" i="2"/>
  <c r="G654" i="2"/>
  <c r="G653" i="2"/>
  <c r="G652" i="2"/>
  <c r="G651" i="2"/>
  <c r="G650" i="2"/>
  <c r="G649" i="2"/>
  <c r="G648" i="2"/>
  <c r="G647" i="2"/>
  <c r="G646" i="2"/>
  <c r="G645" i="2"/>
  <c r="G644" i="2"/>
  <c r="G643" i="2"/>
  <c r="G642" i="2"/>
  <c r="G641" i="2"/>
  <c r="G640" i="2"/>
  <c r="G639" i="2"/>
  <c r="G638" i="2"/>
  <c r="G637" i="2"/>
  <c r="G636" i="2"/>
  <c r="G635" i="2"/>
  <c r="G634" i="2"/>
  <c r="G633" i="2"/>
  <c r="G632" i="2"/>
  <c r="G631" i="2"/>
  <c r="G630" i="2"/>
  <c r="G629" i="2"/>
  <c r="G628" i="2"/>
  <c r="G627" i="2"/>
  <c r="G626" i="2"/>
  <c r="G625" i="2"/>
  <c r="G624" i="2"/>
  <c r="G623" i="2"/>
  <c r="G622" i="2"/>
  <c r="G621" i="2"/>
  <c r="G620" i="2"/>
  <c r="G619" i="2"/>
  <c r="G618" i="2"/>
  <c r="G617" i="2"/>
  <c r="G616" i="2"/>
  <c r="G615" i="2"/>
  <c r="G614" i="2"/>
  <c r="G613" i="2"/>
  <c r="G612" i="2"/>
  <c r="G611" i="2"/>
  <c r="G610" i="2"/>
  <c r="G609" i="2"/>
  <c r="G608" i="2"/>
  <c r="G607" i="2"/>
  <c r="G606" i="2"/>
  <c r="G605" i="2"/>
  <c r="G604" i="2"/>
  <c r="G603" i="2"/>
  <c r="G602" i="2"/>
  <c r="G601" i="2"/>
  <c r="G600" i="2"/>
  <c r="G599" i="2"/>
  <c r="G598" i="2"/>
  <c r="G597" i="2"/>
  <c r="G596" i="2"/>
  <c r="G595" i="2"/>
  <c r="G594" i="2"/>
  <c r="G593" i="2"/>
  <c r="G592" i="2"/>
  <c r="G591" i="2"/>
  <c r="G590" i="2"/>
  <c r="G589" i="2"/>
  <c r="G588" i="2"/>
  <c r="G587" i="2"/>
  <c r="G586" i="2"/>
  <c r="G585" i="2"/>
  <c r="G584" i="2"/>
  <c r="G583" i="2"/>
  <c r="G582" i="2"/>
  <c r="G581" i="2"/>
  <c r="G580" i="2"/>
  <c r="G579" i="2"/>
  <c r="G578" i="2"/>
  <c r="G577" i="2"/>
  <c r="G576" i="2"/>
  <c r="G575" i="2"/>
  <c r="G574" i="2"/>
  <c r="G573" i="2"/>
  <c r="G572" i="2"/>
  <c r="G571" i="2"/>
  <c r="G570" i="2"/>
  <c r="G569" i="2"/>
  <c r="G568" i="2"/>
  <c r="G567" i="2"/>
  <c r="G566" i="2"/>
  <c r="G565" i="2"/>
  <c r="G564" i="2"/>
  <c r="G563" i="2"/>
  <c r="G562" i="2"/>
  <c r="G561" i="2"/>
  <c r="G560" i="2"/>
  <c r="G559" i="2"/>
  <c r="G558" i="2"/>
  <c r="G557" i="2"/>
  <c r="G556" i="2"/>
  <c r="G555" i="2"/>
  <c r="G554" i="2"/>
  <c r="G553" i="2"/>
  <c r="G552" i="2"/>
  <c r="G551" i="2"/>
  <c r="G550" i="2"/>
  <c r="G549" i="2"/>
  <c r="G548" i="2"/>
  <c r="G547" i="2"/>
  <c r="G546" i="2"/>
  <c r="G545" i="2"/>
  <c r="G544" i="2"/>
  <c r="G543" i="2"/>
  <c r="G542" i="2"/>
  <c r="G541" i="2"/>
  <c r="G540" i="2"/>
  <c r="G539" i="2"/>
  <c r="G538" i="2"/>
  <c r="G537" i="2"/>
  <c r="G536" i="2"/>
  <c r="G535" i="2"/>
  <c r="G534" i="2"/>
  <c r="G533" i="2"/>
  <c r="G532" i="2"/>
  <c r="G531" i="2"/>
  <c r="G530" i="2"/>
  <c r="G529" i="2"/>
  <c r="G528" i="2"/>
  <c r="G527" i="2"/>
  <c r="G526" i="2"/>
  <c r="G525" i="2"/>
  <c r="G524" i="2"/>
  <c r="G523" i="2"/>
  <c r="G522" i="2"/>
  <c r="G521" i="2"/>
  <c r="G520" i="2"/>
  <c r="G519" i="2"/>
  <c r="G518" i="2"/>
  <c r="G517" i="2"/>
  <c r="G516" i="2"/>
  <c r="G515" i="2"/>
  <c r="G514" i="2"/>
  <c r="G513" i="2"/>
  <c r="G512" i="2"/>
  <c r="G511" i="2"/>
  <c r="G510" i="2"/>
  <c r="G509" i="2"/>
  <c r="G508" i="2"/>
  <c r="G507" i="2"/>
  <c r="G506" i="2"/>
  <c r="G505" i="2"/>
  <c r="G504" i="2"/>
  <c r="G503" i="2"/>
  <c r="G502" i="2"/>
  <c r="G501" i="2"/>
  <c r="G500" i="2"/>
  <c r="G499" i="2"/>
  <c r="G498" i="2"/>
  <c r="G497" i="2"/>
  <c r="G496" i="2"/>
  <c r="G495" i="2"/>
  <c r="G494" i="2"/>
  <c r="G493" i="2"/>
  <c r="G492" i="2"/>
  <c r="G491" i="2"/>
  <c r="G490" i="2"/>
  <c r="G489" i="2"/>
  <c r="G488" i="2"/>
  <c r="G487" i="2"/>
  <c r="G486" i="2"/>
  <c r="G485" i="2"/>
  <c r="G484" i="2"/>
  <c r="G483" i="2"/>
  <c r="G482" i="2"/>
  <c r="G481" i="2"/>
  <c r="G480" i="2"/>
  <c r="G479" i="2"/>
  <c r="G478" i="2"/>
  <c r="G477" i="2"/>
  <c r="G476" i="2"/>
  <c r="G475" i="2"/>
  <c r="G474" i="2"/>
  <c r="G473" i="2"/>
  <c r="G472" i="2"/>
  <c r="G471" i="2"/>
  <c r="G470" i="2"/>
  <c r="G469" i="2"/>
  <c r="G468" i="2"/>
  <c r="G467" i="2"/>
  <c r="G466" i="2"/>
  <c r="G465" i="2"/>
  <c r="G464" i="2"/>
  <c r="G463" i="2"/>
  <c r="G462" i="2"/>
  <c r="G461" i="2"/>
  <c r="G460" i="2"/>
  <c r="G459" i="2"/>
  <c r="G458" i="2"/>
  <c r="G457" i="2"/>
  <c r="G456" i="2"/>
  <c r="G455" i="2"/>
  <c r="G454" i="2"/>
  <c r="G453" i="2"/>
  <c r="G452" i="2"/>
  <c r="G451" i="2"/>
  <c r="G450" i="2"/>
  <c r="G449" i="2"/>
  <c r="G448" i="2"/>
  <c r="G447" i="2"/>
  <c r="G446" i="2"/>
  <c r="G445" i="2"/>
  <c r="G444" i="2"/>
  <c r="G443" i="2"/>
  <c r="G442" i="2"/>
  <c r="G441" i="2"/>
  <c r="G440" i="2"/>
  <c r="G439" i="2"/>
  <c r="G438" i="2"/>
  <c r="G437" i="2"/>
  <c r="G436" i="2"/>
  <c r="G435" i="2"/>
  <c r="G434" i="2"/>
  <c r="G433" i="2"/>
  <c r="G432" i="2"/>
  <c r="G431" i="2"/>
  <c r="G430" i="2"/>
  <c r="G429" i="2"/>
  <c r="G428" i="2"/>
  <c r="G427" i="2"/>
  <c r="G426" i="2"/>
  <c r="G425" i="2"/>
  <c r="G424" i="2"/>
  <c r="G423" i="2"/>
  <c r="G422" i="2"/>
  <c r="G421" i="2"/>
  <c r="G420" i="2"/>
  <c r="G419" i="2"/>
  <c r="G418" i="2"/>
  <c r="G417" i="2"/>
  <c r="G416" i="2"/>
  <c r="G415" i="2"/>
  <c r="G414" i="2"/>
  <c r="G413" i="2"/>
  <c r="G412" i="2"/>
  <c r="G411" i="2"/>
  <c r="G410" i="2"/>
  <c r="G409" i="2"/>
  <c r="G408" i="2"/>
  <c r="G407" i="2"/>
  <c r="G406" i="2"/>
  <c r="G405" i="2"/>
  <c r="G404" i="2"/>
  <c r="G403" i="2"/>
  <c r="G402" i="2"/>
  <c r="G401" i="2"/>
  <c r="G400" i="2"/>
  <c r="G399" i="2"/>
  <c r="G398" i="2"/>
  <c r="G397" i="2"/>
  <c r="G396" i="2"/>
  <c r="G395" i="2"/>
  <c r="G394" i="2"/>
  <c r="G393" i="2"/>
  <c r="G392" i="2"/>
  <c r="G391" i="2"/>
  <c r="G390" i="2"/>
  <c r="G389" i="2"/>
  <c r="G388" i="2"/>
  <c r="G387" i="2"/>
  <c r="G386" i="2"/>
  <c r="G385" i="2"/>
  <c r="G384" i="2"/>
  <c r="G383" i="2"/>
  <c r="G382" i="2"/>
  <c r="G381" i="2"/>
  <c r="G380" i="2"/>
  <c r="G379" i="2"/>
  <c r="G378" i="2"/>
  <c r="G377" i="2"/>
  <c r="G376" i="2"/>
  <c r="G375" i="2"/>
  <c r="G374" i="2"/>
  <c r="G373" i="2"/>
  <c r="G372" i="2"/>
  <c r="G371" i="2"/>
  <c r="G370" i="2"/>
  <c r="G369" i="2"/>
  <c r="G368" i="2"/>
  <c r="G367" i="2"/>
  <c r="G366" i="2"/>
  <c r="G365" i="2"/>
  <c r="G364" i="2"/>
  <c r="G363" i="2"/>
  <c r="G362" i="2"/>
  <c r="G361" i="2"/>
  <c r="G360" i="2"/>
  <c r="G359" i="2"/>
  <c r="G358" i="2"/>
  <c r="G357" i="2"/>
  <c r="G356" i="2"/>
  <c r="G355" i="2"/>
  <c r="G354" i="2"/>
  <c r="G353" i="2"/>
  <c r="G352" i="2"/>
  <c r="G351" i="2"/>
  <c r="G350" i="2"/>
  <c r="G349" i="2"/>
  <c r="G348" i="2"/>
  <c r="G347" i="2"/>
  <c r="G346" i="2"/>
  <c r="G345" i="2"/>
  <c r="G344" i="2"/>
  <c r="G343" i="2"/>
  <c r="G342" i="2"/>
  <c r="G341" i="2"/>
  <c r="G340" i="2"/>
  <c r="G339" i="2"/>
  <c r="G338" i="2"/>
  <c r="G337" i="2"/>
  <c r="G336" i="2"/>
  <c r="G335" i="2"/>
  <c r="G334" i="2"/>
  <c r="G333" i="2"/>
  <c r="G332" i="2"/>
  <c r="G331" i="2"/>
  <c r="G330" i="2"/>
  <c r="G329" i="2"/>
  <c r="G328" i="2"/>
  <c r="G327" i="2"/>
  <c r="G326" i="2"/>
  <c r="G325" i="2"/>
  <c r="G324" i="2"/>
  <c r="G323" i="2"/>
  <c r="G322" i="2"/>
  <c r="G321" i="2"/>
  <c r="G320" i="2"/>
  <c r="G319" i="2"/>
  <c r="G318" i="2"/>
  <c r="G317" i="2"/>
  <c r="G316" i="2"/>
  <c r="G315" i="2"/>
  <c r="G314" i="2"/>
  <c r="G313" i="2"/>
  <c r="G312" i="2"/>
  <c r="G311" i="2"/>
  <c r="G310" i="2"/>
  <c r="G309" i="2"/>
  <c r="G308" i="2"/>
  <c r="G307" i="2"/>
  <c r="G306" i="2"/>
  <c r="G305" i="2"/>
  <c r="G304" i="2"/>
  <c r="G303" i="2"/>
  <c r="G302" i="2"/>
  <c r="G301" i="2"/>
  <c r="G300" i="2"/>
  <c r="G299" i="2"/>
  <c r="G298" i="2"/>
  <c r="G297" i="2"/>
  <c r="G296" i="2"/>
  <c r="G295" i="2"/>
  <c r="G294" i="2"/>
  <c r="G293" i="2"/>
  <c r="G292" i="2"/>
  <c r="G291" i="2"/>
  <c r="G290" i="2"/>
  <c r="G289" i="2"/>
  <c r="G288" i="2"/>
  <c r="G287" i="2"/>
  <c r="G286" i="2"/>
  <c r="G285" i="2"/>
  <c r="G284" i="2"/>
  <c r="G283" i="2"/>
  <c r="G282" i="2"/>
  <c r="G281" i="2"/>
  <c r="G280" i="2"/>
  <c r="G279" i="2"/>
  <c r="G278" i="2"/>
  <c r="G277" i="2"/>
  <c r="G276" i="2"/>
  <c r="G275" i="2"/>
  <c r="G274" i="2"/>
  <c r="G273" i="2"/>
  <c r="G272" i="2"/>
  <c r="G271" i="2"/>
  <c r="G270" i="2"/>
  <c r="G269" i="2"/>
  <c r="G268" i="2"/>
  <c r="G267" i="2"/>
  <c r="G266" i="2"/>
  <c r="G265" i="2"/>
  <c r="G264" i="2"/>
  <c r="G263" i="2"/>
  <c r="G262" i="2"/>
  <c r="G261" i="2"/>
  <c r="G260" i="2"/>
  <c r="G259" i="2"/>
  <c r="G258" i="2"/>
  <c r="G257" i="2"/>
  <c r="G256" i="2"/>
  <c r="G255" i="2"/>
  <c r="G254" i="2"/>
  <c r="G253" i="2"/>
  <c r="G252" i="2"/>
  <c r="G251" i="2"/>
  <c r="G250" i="2"/>
  <c r="G249" i="2"/>
  <c r="G248" i="2"/>
  <c r="G247" i="2"/>
  <c r="G246" i="2"/>
  <c r="G245" i="2"/>
  <c r="G244" i="2"/>
  <c r="G243" i="2"/>
  <c r="G242" i="2"/>
  <c r="G241" i="2"/>
  <c r="G240" i="2"/>
  <c r="G239" i="2"/>
  <c r="G238" i="2"/>
  <c r="G237" i="2"/>
  <c r="G236" i="2"/>
  <c r="G235" i="2"/>
  <c r="G234" i="2"/>
  <c r="G233" i="2"/>
  <c r="G232" i="2"/>
  <c r="G231" i="2"/>
  <c r="G230" i="2"/>
  <c r="G229" i="2"/>
  <c r="G228" i="2"/>
  <c r="G227" i="2"/>
  <c r="G226" i="2"/>
  <c r="G225" i="2"/>
  <c r="G224" i="2"/>
  <c r="G223" i="2"/>
  <c r="G222" i="2"/>
  <c r="G221" i="2"/>
  <c r="G220" i="2"/>
  <c r="G219" i="2"/>
  <c r="G218" i="2"/>
  <c r="G217" i="2"/>
  <c r="G216" i="2"/>
  <c r="G215" i="2"/>
  <c r="G214" i="2"/>
  <c r="G213" i="2"/>
  <c r="G212" i="2"/>
  <c r="G211" i="2"/>
  <c r="G210" i="2"/>
  <c r="G209" i="2"/>
  <c r="G208" i="2"/>
  <c r="G207" i="2"/>
  <c r="G206" i="2"/>
  <c r="G205" i="2"/>
  <c r="G204" i="2"/>
  <c r="G203" i="2"/>
  <c r="G202" i="2"/>
  <c r="G201" i="2"/>
  <c r="G200" i="2"/>
  <c r="G199" i="2"/>
  <c r="G198" i="2"/>
  <c r="G197" i="2"/>
  <c r="G196" i="2"/>
  <c r="G195" i="2"/>
  <c r="G194" i="2"/>
  <c r="G193" i="2"/>
  <c r="G192" i="2"/>
  <c r="G191" i="2"/>
  <c r="G190" i="2"/>
  <c r="G189" i="2"/>
  <c r="G188" i="2"/>
  <c r="G187" i="2"/>
  <c r="G186" i="2"/>
  <c r="G185" i="2"/>
  <c r="G184" i="2"/>
  <c r="G183" i="2"/>
  <c r="G182" i="2"/>
  <c r="G181" i="2"/>
  <c r="G180" i="2"/>
  <c r="G179" i="2"/>
  <c r="G178" i="2"/>
  <c r="G177" i="2"/>
  <c r="G176" i="2"/>
  <c r="G175" i="2"/>
  <c r="G174" i="2"/>
  <c r="G173" i="2"/>
  <c r="G172" i="2"/>
  <c r="G171" i="2"/>
  <c r="G170" i="2"/>
  <c r="G169" i="2"/>
  <c r="G168" i="2"/>
  <c r="G167" i="2"/>
  <c r="G166" i="2"/>
  <c r="G165" i="2"/>
  <c r="G164" i="2"/>
  <c r="G163" i="2"/>
  <c r="G162" i="2"/>
  <c r="G161" i="2"/>
  <c r="G160" i="2"/>
  <c r="G159" i="2"/>
  <c r="G158" i="2"/>
  <c r="G157" i="2"/>
  <c r="G156" i="2"/>
  <c r="G155" i="2"/>
  <c r="G154" i="2"/>
  <c r="G153" i="2"/>
  <c r="G152" i="2"/>
  <c r="G151" i="2"/>
  <c r="G150" i="2"/>
  <c r="G149" i="2"/>
  <c r="G148" i="2"/>
  <c r="G147" i="2"/>
  <c r="G146" i="2"/>
  <c r="G145" i="2"/>
  <c r="G144" i="2"/>
  <c r="G143" i="2"/>
  <c r="G142" i="2"/>
  <c r="G141" i="2"/>
  <c r="G140" i="2"/>
  <c r="G139" i="2"/>
  <c r="G138" i="2"/>
  <c r="G137" i="2"/>
  <c r="G136" i="2"/>
  <c r="G135" i="2"/>
  <c r="G134" i="2"/>
  <c r="G133" i="2"/>
  <c r="G132" i="2"/>
  <c r="G131" i="2"/>
  <c r="G130" i="2"/>
  <c r="G129" i="2"/>
  <c r="G128" i="2"/>
  <c r="G127" i="2"/>
  <c r="G126" i="2"/>
  <c r="G125" i="2"/>
  <c r="G124" i="2"/>
  <c r="G123" i="2"/>
  <c r="G122" i="2"/>
  <c r="G121" i="2"/>
  <c r="G120" i="2"/>
  <c r="G119" i="2"/>
  <c r="G118" i="2"/>
  <c r="G117" i="2"/>
  <c r="G116" i="2"/>
  <c r="G115" i="2"/>
  <c r="G114" i="2"/>
  <c r="G113" i="2"/>
  <c r="G112" i="2"/>
  <c r="G111" i="2"/>
  <c r="G110" i="2"/>
  <c r="G109" i="2"/>
  <c r="G108" i="2"/>
  <c r="G107" i="2"/>
  <c r="G106" i="2"/>
  <c r="G105" i="2"/>
  <c r="G104" i="2"/>
  <c r="G103" i="2"/>
  <c r="G102" i="2"/>
  <c r="G101" i="2"/>
  <c r="G100" i="2"/>
  <c r="G99" i="2"/>
  <c r="G98" i="2"/>
  <c r="G97" i="2"/>
  <c r="G96" i="2"/>
  <c r="G95" i="2"/>
  <c r="G94" i="2"/>
  <c r="G93" i="2"/>
  <c r="G92" i="2"/>
  <c r="G91" i="2"/>
  <c r="G90" i="2"/>
  <c r="G89" i="2"/>
  <c r="G88" i="2"/>
  <c r="G87" i="2"/>
  <c r="G86" i="2"/>
  <c r="G85" i="2"/>
  <c r="G84" i="2"/>
  <c r="G83" i="2"/>
  <c r="G82" i="2"/>
  <c r="G81" i="2"/>
  <c r="G80" i="2"/>
  <c r="G79" i="2"/>
  <c r="G78" i="2"/>
  <c r="G77" i="2"/>
  <c r="G76" i="2"/>
  <c r="G75" i="2"/>
  <c r="G74" i="2"/>
  <c r="G73" i="2"/>
  <c r="G72" i="2"/>
  <c r="G71" i="2"/>
  <c r="G70" i="2"/>
  <c r="G69" i="2"/>
  <c r="G68" i="2"/>
  <c r="G67" i="2"/>
  <c r="G66" i="2"/>
  <c r="G65" i="2"/>
  <c r="G64" i="2"/>
  <c r="G63" i="2"/>
  <c r="G62" i="2"/>
  <c r="G61" i="2"/>
  <c r="G60" i="2"/>
  <c r="G59" i="2"/>
  <c r="G58" i="2"/>
  <c r="G57" i="2"/>
  <c r="G56" i="2"/>
  <c r="G55" i="2"/>
  <c r="G54" i="2"/>
  <c r="G53" i="2"/>
  <c r="G52" i="2"/>
  <c r="G51" i="2"/>
  <c r="G50" i="2"/>
  <c r="G49" i="2"/>
  <c r="G48" i="2"/>
  <c r="G47" i="2"/>
  <c r="G46" i="2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G5" i="2"/>
  <c r="G4" i="2"/>
  <c r="G3" i="2"/>
</calcChain>
</file>

<file path=xl/sharedStrings.xml><?xml version="1.0" encoding="utf-8"?>
<sst xmlns="http://schemas.openxmlformats.org/spreadsheetml/2006/main" count="81507" uniqueCount="38687">
  <si>
    <t>ID</t>
  </si>
  <si>
    <t>m/z</t>
  </si>
  <si>
    <t>Retention time (min)</t>
  </si>
  <si>
    <t>Ion mode</t>
  </si>
  <si>
    <t>Metabolites</t>
  </si>
  <si>
    <t>cid</t>
  </si>
  <si>
    <t>cidlink</t>
  </si>
  <si>
    <t>HMDB</t>
  </si>
  <si>
    <t>METLIN</t>
  </si>
  <si>
    <t>Lipidmaps</t>
  </si>
  <si>
    <t>PubChem</t>
  </si>
  <si>
    <t>KEGG</t>
  </si>
  <si>
    <t>ID Annotation</t>
  </si>
  <si>
    <t>Annotation</t>
  </si>
  <si>
    <t>ChEBI</t>
  </si>
  <si>
    <t>Reactome_id</t>
  </si>
  <si>
    <t>Reactome_Description</t>
  </si>
  <si>
    <t>CAS</t>
  </si>
  <si>
    <t>smiles</t>
  </si>
  <si>
    <t>InChIKey</t>
  </si>
  <si>
    <t>Super Class</t>
  </si>
  <si>
    <t>Class</t>
  </si>
  <si>
    <t>Sub Class</t>
  </si>
  <si>
    <t>level</t>
  </si>
  <si>
    <t>Score</t>
  </si>
  <si>
    <t>Fragmentation Score/Total spectrum similarity</t>
  </si>
  <si>
    <t>Adducts</t>
  </si>
  <si>
    <t>Formula</t>
  </si>
  <si>
    <t>Mass Error (ppm)</t>
  </si>
  <si>
    <t>Average RI</t>
  </si>
  <si>
    <t>VIP</t>
  </si>
  <si>
    <t>Average(POCD)</t>
  </si>
  <si>
    <t>Average(no-pocd)</t>
  </si>
  <si>
    <t>FoldChange</t>
  </si>
  <si>
    <t>log2FoldChange</t>
  </si>
  <si>
    <t>Regulation</t>
  </si>
  <si>
    <t>p-value</t>
  </si>
  <si>
    <t>q-value</t>
  </si>
  <si>
    <t>POCD-1</t>
  </si>
  <si>
    <t>POCD-2</t>
  </si>
  <si>
    <t>POCD-3</t>
  </si>
  <si>
    <t>POCD-4</t>
  </si>
  <si>
    <t>POCD-5</t>
  </si>
  <si>
    <t>POCD-6</t>
  </si>
  <si>
    <t>no-pocd-1</t>
  </si>
  <si>
    <t>no-pocd-2</t>
  </si>
  <si>
    <t>no-pocd-3</t>
  </si>
  <si>
    <t>no-pocd-4</t>
  </si>
  <si>
    <t>no-pocd-5</t>
  </si>
  <si>
    <t>no-pocd-6</t>
  </si>
  <si>
    <t>13.32_779.5463n</t>
  </si>
  <si>
    <t>LCMS</t>
  </si>
  <si>
    <t>PC(20:5(5Z,8Z,10E,14Z,17Z)-OH(12)/P-16:0)</t>
  </si>
  <si>
    <t>HMDB0289490</t>
  </si>
  <si>
    <t>[H][C@@](COC(=O)CCC\C=C/C\C=C/C=C/C(O)C\C=C/C\C=C/CC)(COP([O-])(=O)OCC[N+](C)(C)C)O\C=C\CCCCCCCCCCCCCC</t>
  </si>
  <si>
    <t>FFBTYMURFSFFLQ-PYXOSDMMSA-N</t>
  </si>
  <si>
    <t>Lipids and lipid-like molecules</t>
  </si>
  <si>
    <t>Glycerophospholipids</t>
  </si>
  <si>
    <t>Glycerophosphocholines</t>
  </si>
  <si>
    <t>Level 3</t>
  </si>
  <si>
    <t>M+H, M+Na</t>
  </si>
  <si>
    <t>C44H78NO8P</t>
  </si>
  <si>
    <t>Down</t>
  </si>
  <si>
    <t>10.41_519.3337n</t>
  </si>
  <si>
    <t>LysoPC(0:0/18:2(9Z,12Z))</t>
  </si>
  <si>
    <t>HMDB0061700</t>
  </si>
  <si>
    <t>27304-12-7</t>
  </si>
  <si>
    <t>CCCCC\C=C/C\C=C/CCCCCCCC(=O)O[C@H](CO)COP([O-])(=O)OCC[N+](C)(C)C</t>
  </si>
  <si>
    <t>LSUXCWJOIAWGOU-FTJOPAKQSA-N</t>
  </si>
  <si>
    <t>Level 1</t>
  </si>
  <si>
    <t>M+H, M+Na, M+K, M+H-H2O</t>
  </si>
  <si>
    <t>C26H50NO7P</t>
  </si>
  <si>
    <t>13.51_779.5462n</t>
  </si>
  <si>
    <t>PC(20:5(6E,8Z,11Z,14Z,17Z)-OH(5)/P-16:0)</t>
  </si>
  <si>
    <t>HMDB0289492</t>
  </si>
  <si>
    <t>[H][C@@](COC(=O)CCCC(O)\C=C\C=C/C\C=C/C\C=C/C\C=C/CC)(COP([O-])(=O)OCC[N+](C)(C)C)O\C=C\CCCCCCCCCCCCCC</t>
  </si>
  <si>
    <t>BWZXIMHBVSNRRI-VGIYOCRISA-N</t>
  </si>
  <si>
    <t>12.70_797.5568n</t>
  </si>
  <si>
    <t>PS(O-20:0/18:4(6Z,9Z,12Z,15Z))</t>
  </si>
  <si>
    <t>LMGP03020056</t>
  </si>
  <si>
    <t>C(O)(=O)[C@@]([H])(N)COP(OC[C@]([H])(OC(CCCC/C=C\C/C=C\C/C=C\C/C=C\CC)=O)COCCCCCCCCCCCCCCCCCCCC)(=O)O</t>
  </si>
  <si>
    <t>RTGRBWCZJSZFHC-VUAATOSCSA-N</t>
  </si>
  <si>
    <t>Glycerophosphoserines</t>
  </si>
  <si>
    <t>Level 2</t>
  </si>
  <si>
    <t>M+H-H2O, M+K</t>
  </si>
  <si>
    <t>C44H80NO9P</t>
  </si>
  <si>
    <t>12.72_806.5704m/z</t>
  </si>
  <si>
    <t>PC(14:1(9Z)/22:2(13Z,16Z))</t>
  </si>
  <si>
    <t>HMDB0007921</t>
  </si>
  <si>
    <t>LMGP01011406</t>
  </si>
  <si>
    <t>C00157</t>
  </si>
  <si>
    <t>hsa00564,hsa00590,hsa00591,hsa00592,hsa05231</t>
  </si>
  <si>
    <t>Glycerophospholipid metabolism|Arachidonic acid metabolism|Linoleic acid metabolism|alpha-Linolenic acid metabolism|Choline metabolism in cancer</t>
  </si>
  <si>
    <t>[C@](COP(=O)([O-])OCC[N+](C)(C)C)([H])(OC(CCCCCCCCCCC/C=C\C/C=C\CCCCC)=O)COC(CCCCCCC/C=C\CCCC)=O</t>
  </si>
  <si>
    <t>LMYYUVAVNWPEPG-GXAHKNHCSA-N</t>
  </si>
  <si>
    <t>M+Na</t>
  </si>
  <si>
    <t>C44H82NO8P</t>
  </si>
  <si>
    <t>5.43_279.9982n</t>
  </si>
  <si>
    <t>Photinus luciferin</t>
  </si>
  <si>
    <t>C02740</t>
  </si>
  <si>
    <t>2591-17-5</t>
  </si>
  <si>
    <t>C1C(N=C(S1)C2=NC3=C(S2)C=C(C=C3)O)C(=O)O</t>
  </si>
  <si>
    <t>BJGNCJDXODQBOB-SSDOTTSWSA-N</t>
  </si>
  <si>
    <t>Organic acids and derivatives</t>
  </si>
  <si>
    <t>Carboxylic acids and derivatives</t>
  </si>
  <si>
    <t>Amino acids, peptides, and analogues</t>
  </si>
  <si>
    <t>M+H, M+Na, M+K</t>
  </si>
  <si>
    <t>C11H8N2O3S2</t>
  </si>
  <si>
    <t>0.67_104.1076m/z</t>
  </si>
  <si>
    <t>Choline</t>
  </si>
  <si>
    <t>HMDB0000097</t>
  </si>
  <si>
    <t>C00114</t>
  </si>
  <si>
    <t>hsa00260,hsa00564,hsa04725,hsa05231</t>
  </si>
  <si>
    <t>Glycine, serine and threonine metabolism|Glycerophospholipid metabolism|Cholinergic synapse|Choline metabolism in cancer</t>
  </si>
  <si>
    <t>R-HSA-112310,R-HSA-112311,R-HSA-112315,R-HSA-112316,R-HSA-1430728,R-HSA-1483101,R-HSA-1483115,R-HSA-1483148,R-HSA-1483166,R-HSA-1483191,R-HSA-1483206,R-HSA-1483255,R-HSA-1483257,R-HSA-1643685,R-HSA-168249,R-HSA-168256,R-HSA-2029480,R-HSA-2029485,R-HSA-264642,R-HSA-382551,R-HSA-425366,R-HSA-425407,R-HSA-549127,R-HSA-549132,R-HSA-556833,R-HSA-5619102,R-HSA-5619114,R-HSA-5619115,R-HSA-5658471,R-HSA-6798163,R-HSA-6814848,R-HSA-71291</t>
  </si>
  <si>
    <t>Neurotransmitter release cycle|Neurotransmitter clearance|Transmission across Chemical Synapses|Neuronal System|Metabolism|Synthesis of PS|Hydrolysis of LPC|Synthesis of PG|Synthesis of PA|Synthesis of PC|Glycerophospholipid biosynthesis|PI Metabolism|Phospholipid metabolism|Disease|Innate Immune System|Immune System|Fcgamma receptor (FCGR) dependent phagocytosis|Role of phospholipids in phagocytosis|Acetylcholine Neurotransmitter Release Cycle|Transport of small molecules|Transport of bile salts and organic acids, metal ions and amine compounds|SLC-mediated transmembrane transport|Organic cation transport|Organic cation/anion/zwitterion transport|Metabolism of lipids|SLC transporter disorders|Defective SLC5A7 causes distal hereditary motor neuronopathy 7A (HMN7A)|Disorders of transmembrane transporters|Defective SLC5A7 causes distal hereditary motor neuronopathy 7A (HMN7A)|Choline catabolism|Glycerophospholipid catabolism|Metabolism of amino acids and derivatives</t>
  </si>
  <si>
    <t>62-49-7</t>
  </si>
  <si>
    <t>C[N+](C)(C)CCO</t>
  </si>
  <si>
    <t>OEYIOHPDSNJKLS-UHFFFAOYSA-N</t>
  </si>
  <si>
    <t>Organic nitrogen compounds</t>
  </si>
  <si>
    <t>Organonitrogen compounds</t>
  </si>
  <si>
    <t>Quaternary ammonium salts</t>
  </si>
  <si>
    <t>M+</t>
  </si>
  <si>
    <t>C5H14NO+</t>
  </si>
  <si>
    <t>122</t>
  </si>
  <si>
    <t>GCMS</t>
  </si>
  <si>
    <t>Urea</t>
  </si>
  <si>
    <t>HMDB0000294</t>
  </si>
  <si>
    <t>C00086</t>
  </si>
  <si>
    <t>hsa00220,hsa00230,hsa00240,hsa00330,hsa00780,hsa02010,hsa05120</t>
  </si>
  <si>
    <t>Arginine biosynthesis|Purine metabolism|Pyrimidine metabolism|Arginine and proline metabolism|Biotin metabolism|ABC transporters|Epithelial cell signaling in Helicobacter pylori infection</t>
  </si>
  <si>
    <t>R-HSA-1430728,R-HSA-351143,R-HSA-351202,R-HSA-382551,R-HSA-425366,R-HSA-425407,R-HSA-432047,R-HSA-445717,R-HSA-70635,R-HSA-71291</t>
  </si>
  <si>
    <t>Metabolism|Agmatine biosynthesis|Metabolism of polyamines|Transport of small molecules|Transport of bile salts and organic acids, metal ions and amine compounds|SLC-mediated transmembrane transport|Passive transport by Aquaporins|Aquaporin-mediated transport|Urea cycle|Metabolism of amino acids and derivatives</t>
  </si>
  <si>
    <t>57-13-6</t>
  </si>
  <si>
    <t>NC(N)=O</t>
  </si>
  <si>
    <t>XSQUKJJJFZCRTK-UHFFFAOYSA-N</t>
  </si>
  <si>
    <t>Organic carbonic acids and derivatives</t>
  </si>
  <si>
    <t>Ureas</t>
  </si>
  <si>
    <t>CH4N2O</t>
  </si>
  <si>
    <t>Up</t>
  </si>
  <si>
    <t>12.16_332.2935n</t>
  </si>
  <si>
    <t>1-O-(2R-hydroxy-hexadecyl)-sn-glycerol</t>
  </si>
  <si>
    <t>LMGL01020063</t>
  </si>
  <si>
    <t>[C@](CO)([H])(O)COC[C@H](O)CCCCCCCCCCCCCC</t>
  </si>
  <si>
    <t>TUBKELMMEOOVKO-MOPGFXCFSA-N</t>
  </si>
  <si>
    <t>Fatty Acyls</t>
  </si>
  <si>
    <t>Fatty alcohols</t>
  </si>
  <si>
    <t>Level 4</t>
  </si>
  <si>
    <t>M+NH4, M+Na, M+H</t>
  </si>
  <si>
    <t>C19H40O4</t>
  </si>
  <si>
    <t>12.72_766.5753m/z</t>
  </si>
  <si>
    <t>PE(21:0/18:3(9Z,12Z,15Z))</t>
  </si>
  <si>
    <t>LMGP02011002</t>
  </si>
  <si>
    <t>[C@](COP(=O)(O)OCCN)([H])(OC(CCCCCCC/C=C\C/C=C\C/C=C\CC)=O)COC(CCCCCCCCCCCCCCCCCCCC)=O</t>
  </si>
  <si>
    <t>ADHWANPCIRKWRZ-BNSBBXAHSA-N</t>
  </si>
  <si>
    <t>Glycerophosphoethanolamines</t>
  </si>
  <si>
    <t>M+H-H2O</t>
  </si>
  <si>
    <t>13.33_747.5192m/z</t>
  </si>
  <si>
    <t>LBPA(16:0/18:1(9Z))</t>
  </si>
  <si>
    <t>LMGP04100002</t>
  </si>
  <si>
    <t>O(P(OC[C@](OC(CCCCCCC/C=C\CCCCCCCC)=O)([H])CO)(O)=O)C[C@@]([H])(OC(CCCCCCCCCCCCCCC)=O)CO</t>
  </si>
  <si>
    <t>SYTYABKFFXZOKX-GSXCXXIQSA-N</t>
  </si>
  <si>
    <t>Lysobisphosphatidic acids</t>
  </si>
  <si>
    <t>M-H</t>
  </si>
  <si>
    <t>C40H77O10P</t>
  </si>
  <si>
    <t>13.51_805.5613n</t>
  </si>
  <si>
    <t>PC(20:5(5Z,8Z,11Z,14Z,16E)-OH(18R)/P-18:1(11Z))</t>
  </si>
  <si>
    <t>HMDB0289694</t>
  </si>
  <si>
    <t>[H][C@@](COC(=O)CCC\C=C/C\C=C/C\C=C/C\C=C/C=C/[C@@H](O)CC)(COP([O-])(=O)OCC[N+](C)(C)C)O\C=C\CCCCCCCC\C=C/CCCCCC</t>
  </si>
  <si>
    <t>ATXQLZASEWMWFZ-ZJLOTAJNSA-N</t>
  </si>
  <si>
    <t>C46H80NO8P</t>
  </si>
  <si>
    <t>9.65_318.2204n</t>
  </si>
  <si>
    <t>12alpha-12-Hydroxy-7,13-abietadien-18-oic acid</t>
  </si>
  <si>
    <t>HMDB0039716</t>
  </si>
  <si>
    <t>3484-61-5</t>
  </si>
  <si>
    <t>CC(C)C1=CC2=CCC3C(C)(CCCC3(C)C(O)=O)C2CC1O</t>
  </si>
  <si>
    <t>DYNISIGUMYFVJW-UHFFFAOYSA-N</t>
  </si>
  <si>
    <t>Prenol lipids</t>
  </si>
  <si>
    <t>Diterpenoids</t>
  </si>
  <si>
    <t>M+H-H2O, M+H</t>
  </si>
  <si>
    <t>C20H30O3</t>
  </si>
  <si>
    <t>9.25_335.2230m/z</t>
  </si>
  <si>
    <t>17,18-DiHETE</t>
  </si>
  <si>
    <t>HMDB0010211</t>
  </si>
  <si>
    <t>LMFA03060078</t>
  </si>
  <si>
    <t>C(CCC/C=C\C/C=C\C/C=C\C/C=C\CC(O)C(O)CC)(=O)O</t>
  </si>
  <si>
    <t>XYDVGNAQQFWZEF-JPURVOHMSA-N</t>
  </si>
  <si>
    <t>Eicosanoids</t>
  </si>
  <si>
    <t>C20H32O4</t>
  </si>
  <si>
    <t>11.55_481.3185n</t>
  </si>
  <si>
    <t>PE(18:0/0:0)</t>
  </si>
  <si>
    <t>HMDB0011130</t>
  </si>
  <si>
    <t>LMGP02050001</t>
  </si>
  <si>
    <t>69747-55-3</t>
  </si>
  <si>
    <t>[C@](COP(=O)(O)OCCN)([H])(O)COC(CCCCCCCCCCCCCCCCC)=O</t>
  </si>
  <si>
    <t>BBYWOYAFBUOUFP-JOCHJYFZSA-N</t>
  </si>
  <si>
    <t>M+H, M+Na, M+H-H2O</t>
  </si>
  <si>
    <t>C23H48NO7P</t>
  </si>
  <si>
    <t>10.99_320.2350n</t>
  </si>
  <si>
    <t>Epoxyeicosatrienoic acid</t>
  </si>
  <si>
    <t>HMDB0251881</t>
  </si>
  <si>
    <t>OC(=O)CCCCCCCCCCCCCC=CC=CC1=CO1</t>
  </si>
  <si>
    <t>XTNOEYFQXCQKLC-UHFFFAOYSA-N</t>
  </si>
  <si>
    <t>Lineolic acids and derivatives</t>
  </si>
  <si>
    <t>M-H, 2M-H, M-H2O-H</t>
  </si>
  <si>
    <t>C20H32O3</t>
  </si>
  <si>
    <t>9.56_334.2165n</t>
  </si>
  <si>
    <t>5-epi-12-A2-IsoP</t>
  </si>
  <si>
    <t>LMFA03110250</t>
  </si>
  <si>
    <t>C(CCC[C@@H]1C(=O)C=C[C@H]1/C=C/[C@@H](O)C/C=C\CCCCC)(=O)O</t>
  </si>
  <si>
    <t>MTFMYYFQAUYNRG-SDLOHEQWSA-N</t>
  </si>
  <si>
    <t>M+H-H2O, M+K, M+Na</t>
  </si>
  <si>
    <t>C20H30O4</t>
  </si>
  <si>
    <t>12.03_858.5507m/z</t>
  </si>
  <si>
    <t>PC(18:3(9Z,12Z,15Z)/18:1(12Z)-2OH(9,10))</t>
  </si>
  <si>
    <t>HMDB0286780</t>
  </si>
  <si>
    <t>[H][C@@](COC(=O)CCCCCCC\C=C/C\C=C/C\C=C/CC)(COP([O-])(=O)OCC[N+](C)(C)C)OC(=O)CCCCCCC[C@H](O)[C@@H](O)C\C=C/CCCCC</t>
  </si>
  <si>
    <t>SSIRPXYQZHAVMD-QGLHOOSMSA-N</t>
  </si>
  <si>
    <t>M+FA-H</t>
  </si>
  <si>
    <t>C44H80NO10P</t>
  </si>
  <si>
    <t>12.35_637.3968n</t>
  </si>
  <si>
    <t>PS(12:0/13:0)</t>
  </si>
  <si>
    <t>LMGP03010001</t>
  </si>
  <si>
    <t>C(O)(=O)[C@@]([H])(N)COP(OC[C@]([H])(OC(CCCCCCCCCCCC)=O)COC(CCCCCCCCCCC)=O)(=O)O</t>
  </si>
  <si>
    <t>QOJBRSNGFBBNKT-IZLXSDGUSA-N</t>
  </si>
  <si>
    <t>C31H60NO10P</t>
  </si>
  <si>
    <t>9.24_358.2138n</t>
  </si>
  <si>
    <t>20-epi-20-A4-NeuroP</t>
  </si>
  <si>
    <t>LMFA04010451</t>
  </si>
  <si>
    <t>C(CC/C=C\C/C=C\C/C=C\C[C@H]1C(=O)C=C[C@H]1/C=C/[C@H](O)CC)(=O)O</t>
  </si>
  <si>
    <t>DLGHMOIPLKOVLU-TVCKGYJTSA-N</t>
  </si>
  <si>
    <t>Fatty acids and conjugates</t>
  </si>
  <si>
    <t>C22H30O4</t>
  </si>
  <si>
    <t>8.59_480.3001n</t>
  </si>
  <si>
    <t>Emetine</t>
  </si>
  <si>
    <t>HMDB0251773</t>
  </si>
  <si>
    <t>CCC1CN2CCC3=CC(OC)=C(OC)C=C3C2CC1CC1NCCC2=CC(OC)=C(OC)C=C12</t>
  </si>
  <si>
    <t>AUVVAXYIELKVAI-UHFFFAOYSA-N</t>
  </si>
  <si>
    <t>Alkaloids and derivatives</t>
  </si>
  <si>
    <t>Emetine alkaloids</t>
  </si>
  <si>
    <t>Unclassified</t>
  </si>
  <si>
    <t>M-H, M+FA-H</t>
  </si>
  <si>
    <t>C29H40N2O4</t>
  </si>
  <si>
    <t>10.97_609.3657n</t>
  </si>
  <si>
    <t>PC(16:0/5:0(COOH))</t>
  </si>
  <si>
    <t>LMGP20010006</t>
  </si>
  <si>
    <t>89947-79-5</t>
  </si>
  <si>
    <t>[C@](COP(=O)([O-])OCC[N+](C)(C)C)([H])(OC(CCCC(O)=O)=O)COC(CCCCCCCCCCCCCCC)=O</t>
  </si>
  <si>
    <t>CDZVJFRXJAUXPP-AREMUKBSSA-N</t>
  </si>
  <si>
    <t>C29H56NO10P</t>
  </si>
  <si>
    <t>12.74_772.5870m/z</t>
  </si>
  <si>
    <t>PE(20:1(11Z)/18:1(9Z))</t>
  </si>
  <si>
    <t>HMDB0009257</t>
  </si>
  <si>
    <t>LMGP02010853</t>
  </si>
  <si>
    <t>C00350</t>
  </si>
  <si>
    <t>hsa00563,hsa00564,hsa04136,hsa04140,hsa05130,hsa05167</t>
  </si>
  <si>
    <t>Glycosylphosphatidylinositol (GPI)-anchor biosynthesis|Glycerophospholipid metabolism|Autophagy - other|Autophagy - animal|Pathogenic Escherichia coli infection|Kaposi sarcoma-associated herpesvirus infection</t>
  </si>
  <si>
    <t>[C@](COP(=O)(O)OCCN)([H])(OC(CCCCCCC/C=C\CCCCCCCC)=O)COC(CCCCCCCCC/C=C\CCCCCCCC)=O</t>
  </si>
  <si>
    <t>BUCLJVJCFFPNPB-HLHBCVTMSA-N</t>
  </si>
  <si>
    <t>M+H</t>
  </si>
  <si>
    <t>C43H82NO8P</t>
  </si>
  <si>
    <t>13.80_584.0297n</t>
  </si>
  <si>
    <t>Cefodizime,(S)</t>
  </si>
  <si>
    <t>HMDB0249767</t>
  </si>
  <si>
    <t>CON=C(C(=O)NC1C2SCC(CSC3=NC(C)=C(CC(O)=O)S3)=C(N2C1=O)C(O)=O)C1=CSC(N)=N1</t>
  </si>
  <si>
    <t>XDZKBRJLTGRPSS-UHFFFAOYSA-N</t>
  </si>
  <si>
    <t>Organoheterocyclic compounds</t>
  </si>
  <si>
    <t>Lactams</t>
  </si>
  <si>
    <t>Beta lactams</t>
  </si>
  <si>
    <t>M-H, M+FA-H, M-H2O-H</t>
  </si>
  <si>
    <t>C20H20N6O7S4</t>
  </si>
  <si>
    <t>12.72_768.5907m/z</t>
  </si>
  <si>
    <t>PE(20:2(11Z,14Z)/19:0)</t>
  </si>
  <si>
    <t>LMGP02010888</t>
  </si>
  <si>
    <t>[C@](COP(=O)(O)OCCN)([H])(OC(CCCCCCCCCCCCCCCCCC)=O)COC(CCCCCCCCC/C=C\C/C=C\CCCCC)=O</t>
  </si>
  <si>
    <t>FRXTXNIGHDSOLA-GZHHDXNOSA-N</t>
  </si>
  <si>
    <t>C44H84NO8P</t>
  </si>
  <si>
    <t>8.15_351.2179m/z</t>
  </si>
  <si>
    <t>16-alpha-Hydroxyandrosterone</t>
  </si>
  <si>
    <t>HMDB0013156</t>
  </si>
  <si>
    <t>C14519</t>
  </si>
  <si>
    <t>C[C@]12CCC3C(CCC4C[C@H](O)CC[C@]34C)C1C[C@@H](O)C2=O</t>
  </si>
  <si>
    <t>HLQYTKUIIJTNHH-LIEJGXIJSA-N</t>
  </si>
  <si>
    <t>Steroids and steroid derivatives</t>
  </si>
  <si>
    <t>Androstane steroids</t>
  </si>
  <si>
    <t>C19H30O3</t>
  </si>
  <si>
    <t>14.45_580.0351n</t>
  </si>
  <si>
    <t>UDP-D-galacturonic acid</t>
  </si>
  <si>
    <t>HMDB0012302</t>
  </si>
  <si>
    <t>C00617</t>
  </si>
  <si>
    <t>hsa00053,hsa00520</t>
  </si>
  <si>
    <t>Ascorbate and aldarate metabolism|Amino sugar and nucleotide sugar metabolism</t>
  </si>
  <si>
    <t>50722-58-2</t>
  </si>
  <si>
    <t>O[C@@H]1[C@@H](COP(O)(=O)OP(O)(=O)O[C@H]2O[C@@H]([C@H](O)[C@H](O)[C@H]2O)C(O)=O)O[C@H]([C@@H]1O)N1C=CC(=O)NC1=O</t>
  </si>
  <si>
    <t>HDYANYHVCAPMJV-GXNRKQDOSA-N</t>
  </si>
  <si>
    <t>Nucleosides, nucleotides, and analogues</t>
  </si>
  <si>
    <t>Pyrimidine nucleotides</t>
  </si>
  <si>
    <t>Pyrimidine nucleotide sugars</t>
  </si>
  <si>
    <t>M-H2O-H, M-H</t>
  </si>
  <si>
    <t>C15H22N2O18P2</t>
  </si>
  <si>
    <t>6.70_369.2284m/z</t>
  </si>
  <si>
    <t>6-keto-PGF1alpha</t>
  </si>
  <si>
    <t>HMDB0002886</t>
  </si>
  <si>
    <t>LMFA03010001</t>
  </si>
  <si>
    <t>C05961</t>
  </si>
  <si>
    <t>hsa00590</t>
  </si>
  <si>
    <t>Arachidonic acid metabolism</t>
  </si>
  <si>
    <t>R-HSA-1430728,R-HSA-2142753,R-HSA-2162123,R-HSA-556833,R-HSA-8978868</t>
  </si>
  <si>
    <t>Metabolism|Arachidonic acid metabolism|Synthesis of Prostaglandins (PG) and Thromboxanes (TX)|Metabolism of lipids|Fatty acid metabolism</t>
  </si>
  <si>
    <t>58962-34-8</t>
  </si>
  <si>
    <t>[C@H]1(/C=C/[C@@H](O)CCCCC)[C@H](O)C[C@H](O)[C@@H]1CC(=O)CCCCC(=O)O</t>
  </si>
  <si>
    <t>KFGOFTHODYBSGM-ZUNNJUQCSA-N</t>
  </si>
  <si>
    <t>C20H34O6</t>
  </si>
  <si>
    <t>10.23_477.2873n</t>
  </si>
  <si>
    <t>PE(18:2(9Z,12Z)/0:0)</t>
  </si>
  <si>
    <t>HMDB0011507</t>
  </si>
  <si>
    <t>LMGP02050011</t>
  </si>
  <si>
    <t>85046-18-0</t>
  </si>
  <si>
    <t>[C@](COP(=O)(O)OCCN)([H])(O)COC(CCCCCCC/C=C\C/C=C\CCCCC)=O</t>
  </si>
  <si>
    <t>DBHKHNGBVGWQJE-USWSLJGRSA-N</t>
  </si>
  <si>
    <t>C23H44NO7P</t>
  </si>
  <si>
    <t>9.66_403.2104m/z</t>
  </si>
  <si>
    <t>10-epi-10-J4-NeuroP</t>
  </si>
  <si>
    <t>LMFA04010475</t>
  </si>
  <si>
    <t>C(CC/C=C\C/C=C\C[C@@H](O)/C=C/[C@H]1C=CC(=O)[C@H]1C/C=C\CC)(=O)O</t>
  </si>
  <si>
    <t>QVPVDJWKESJLRD-KLVIXCKSSA-N</t>
  </si>
  <si>
    <t>7.39_369.2284m/z</t>
  </si>
  <si>
    <t>delta9-11-IsoF</t>
  </si>
  <si>
    <t>LMFA03130006</t>
  </si>
  <si>
    <t>C(CCC/C=C\CC(O)/C=C/C1C(O)CC(C(O)CCCCC)O1)(=O)O</t>
  </si>
  <si>
    <t>IDPHQPFMXGIJHP-ZQDYKODVSA-N</t>
  </si>
  <si>
    <t>Organic oxygen compounds</t>
  </si>
  <si>
    <t>Organooxygen compounds</t>
  </si>
  <si>
    <t>Carbohydrates and carbohydrate conjugates</t>
  </si>
  <si>
    <t>6.49_369.2284m/z</t>
  </si>
  <si>
    <t>20-hydroxy-PGE1</t>
  </si>
  <si>
    <t>LMFA03010232</t>
  </si>
  <si>
    <t>[C@H]1(/C=C/[C@@H](O)CCCCCO)[C@H](O)CC(=O)[C@@H]1CCCCCCC(=O)O</t>
  </si>
  <si>
    <t>LDUBDFDZFOQXGF-HTGUDJHRSA-N</t>
  </si>
  <si>
    <t>12.29_772.5874m/z</t>
  </si>
  <si>
    <t>Termitomycesphin D</t>
  </si>
  <si>
    <t>LMSP05010098</t>
  </si>
  <si>
    <t>C([C@H](NC([C@H](O)CCCCCCCCCCCCCCCC)=O)[C@H](O)/C=C/C/C=C/C(O)(C)CCCCCCCCC)O[C@H]1[C@H](O)[C@@H](O)[C@H](O)[C@@H](CO)O1</t>
  </si>
  <si>
    <t>QAILYARUQKXWON-FLBUHPAXSA-N</t>
  </si>
  <si>
    <t>Sphingolipids</t>
  </si>
  <si>
    <t>Glycosphingolipids</t>
  </si>
  <si>
    <t>C43H81NO10</t>
  </si>
  <si>
    <t>12.33_872.5661m/z</t>
  </si>
  <si>
    <t>PS(20:3(8Z,11Z,14Z)-2OH(5,6)/20:1(11Z))</t>
  </si>
  <si>
    <t>HMDB0282192</t>
  </si>
  <si>
    <t>[H][C@@](COC(=O)CCCC(O)C(O)C\C=C/C\C=C/C\C=C/CCCCC)(COP(O)(=O)OC[C@H](N)C(O)=O)OC(=O)CCCCCCCCC\C=C/CCCCCCCC</t>
  </si>
  <si>
    <t>KZLJSABIEXHRMT-FWYKLJMRSA-N</t>
  </si>
  <si>
    <t>C46H82NO12P</t>
  </si>
  <si>
    <t>9.58_333.2074m/z</t>
  </si>
  <si>
    <t>13,14-dihydro-15-keto-PGA2</t>
  </si>
  <si>
    <t>HMDB0001244</t>
  </si>
  <si>
    <t>LMFA03010033</t>
  </si>
  <si>
    <t>74872-89-2</t>
  </si>
  <si>
    <t>[C@H]1(CCC(=O)CCCCC)C=CC(=O)[C@@H]1C/C=C\CCCC(=O)O</t>
  </si>
  <si>
    <t>FMKLAIBZMCURLI-BFVRRIQPSA-N</t>
  </si>
  <si>
    <t>9.85_359.2207m/z</t>
  </si>
  <si>
    <t>5S,6R-DiHETE</t>
  </si>
  <si>
    <t>LMFA03060017</t>
  </si>
  <si>
    <t>82948-88-7</t>
  </si>
  <si>
    <t>C(/C=C\CCCCC)/C=C\C=C\C=C\[C@@H](O)[C@@H](O)CCCC(=O)O</t>
  </si>
  <si>
    <t>UVZBUUTTYHTDRR-NSEFZGNTSA-N</t>
  </si>
  <si>
    <t>11.75_882.5510m/z</t>
  </si>
  <si>
    <t>PC(18:1(11Z)/PGJ2)</t>
  </si>
  <si>
    <t>HMDB0286343</t>
  </si>
  <si>
    <t>CCCCCC\C=C/CCCCCCCCCC(=O)OC[C@H](COP([O-])(=O)OCC[N+](C)(C)C)OC(=O)CCC\C=C/C[C@H]1C=CC(=O)[C@@H]1\C=C\[C@@H](O)CCCCC</t>
  </si>
  <si>
    <t>CTEQJLDFHIFHKR-NHBADTOVSA-N</t>
  </si>
  <si>
    <t>C46H80NO10P</t>
  </si>
  <si>
    <t>10.04_333.2073m/z</t>
  </si>
  <si>
    <t>Dioxolane A3</t>
  </si>
  <si>
    <t>LMFA03150001</t>
  </si>
  <si>
    <t>C(CCC/C=C\CC(O)C1OOC(/C=C/C=C\CCCCC)C1)(=O)O</t>
  </si>
  <si>
    <t>IGWFXAJHDWVKER-INPWPUSLSA-N</t>
  </si>
  <si>
    <t>Hydroxy acids and derivatives</t>
  </si>
  <si>
    <t>Medium-chain hydroxy acids and derivatives</t>
  </si>
  <si>
    <t>M-H2O-H</t>
  </si>
  <si>
    <t>C20H32O5</t>
  </si>
  <si>
    <t>10.84_788.5453m/z</t>
  </si>
  <si>
    <t>PE(18:2(9Z,12Z)/18:0)</t>
  </si>
  <si>
    <t>HMDB0009090</t>
  </si>
  <si>
    <t>LMGP02011193</t>
  </si>
  <si>
    <t>[C@](COP(=O)(O)OCCN)([H])(OC(CCCCCCCCCCCCCCCCC)=O)COC(CCCCCCC/C=C\C/C=C\CCCCC)=O</t>
  </si>
  <si>
    <t>DXXUYBAISOHOLM-XRIXOMQFSA-N</t>
  </si>
  <si>
    <t>C41H78NO8P</t>
  </si>
  <si>
    <t>2.68_471.2005m/z</t>
  </si>
  <si>
    <t>Glucosyl (2E,6E,10x)-10,11-dihydroxy-2,6-farnesadienoate</t>
  </si>
  <si>
    <t>HMDB0037823</t>
  </si>
  <si>
    <t>204927-92-4</t>
  </si>
  <si>
    <t>C\C(CCC(O)C(C)(C)O)=C/CC\C(C)=C\C(=O)OC1OC(CO)C(O)C(O)C1O</t>
  </si>
  <si>
    <t>MSRVZJWXQUEINS-WAAHFECUSA-N</t>
  </si>
  <si>
    <t>Terpene glycosides</t>
  </si>
  <si>
    <t>M+K</t>
  </si>
  <si>
    <t>C21H36O9</t>
  </si>
  <si>
    <t>5.79_385.2234m/z</t>
  </si>
  <si>
    <t>(Z)-7-[(1R,2R,3R,5S)-2-(1,2-Dihydroxy-3-oxooctyl)-3,5-dihydroxycyclopentyl]hept-5-enoic acid</t>
  </si>
  <si>
    <t>HMDB0244520</t>
  </si>
  <si>
    <t>CCCCCC(=O)C(O)C(O)C1C(O)CC(O)C1CC=CCCCC(O)=O</t>
  </si>
  <si>
    <t>MUEUGPOTDVINAD-UHFFFAOYSA-N</t>
  </si>
  <si>
    <t>C20H34O7</t>
  </si>
  <si>
    <t>10.88_608.3184m/z</t>
  </si>
  <si>
    <t>OOB-PE</t>
  </si>
  <si>
    <t>LMGP20020034</t>
  </si>
  <si>
    <t>[C@](COP(=O)(O)OCCN)([H])(OC(CCC=O)=O)COC(CCCCCCC/C=C\CCCCCCCC)=O</t>
  </si>
  <si>
    <t>APSYPNRWQOKMHI-HAAQQRBASA-N</t>
  </si>
  <si>
    <t>C27H50NO9P</t>
  </si>
  <si>
    <t>7.44_394.2359n</t>
  </si>
  <si>
    <t>delta15-11-NeuroF</t>
  </si>
  <si>
    <t>LMFA04020014</t>
  </si>
  <si>
    <t>C(CC/C=C\C/C=C\CC(O)C1OC(/C=C/C(O)C/C=C\CC)C(O)C1)(=O)O</t>
  </si>
  <si>
    <t>AGFIBXIWRJTBJA-HOGCIABESA-N</t>
  </si>
  <si>
    <t>C22H34O6</t>
  </si>
  <si>
    <t>8.53_501.2239m/z</t>
  </si>
  <si>
    <t>26,26,26,27,27,27-hexafluoro-25-hydroxy-16,17,23,23,24,24-hexadehydrovitamin D3</t>
  </si>
  <si>
    <t>LMST03020077</t>
  </si>
  <si>
    <t>C1C(=C)/C(=C\C=C2\[C@]3([H])CC=C([C@@](C)([H])CC#CC(O)(C(F)(F)F)C(F)(F)F)[C@@]3(C)CCC\2)/C[C@@H](O)C1</t>
  </si>
  <si>
    <t>NOBBWSSRJIMZOR-NXNMRTBWSA-N</t>
  </si>
  <si>
    <t>Vitamin D and derivatives</t>
  </si>
  <si>
    <t>C27H32F6O2</t>
  </si>
  <si>
    <t>10.89_814.5605m/z</t>
  </si>
  <si>
    <t>PE(20:3(6,8,11)-OH(5)/P-18:0)</t>
  </si>
  <si>
    <t>HMDB0285373</t>
  </si>
  <si>
    <t>[H][C@@](COC(=O)CCCC(O)\C=C\C=C\C\C=C\CCCCCCCC)(COP(O)(=O)OCCN)O\C=C\CCCCCCCCCCCCCCCC</t>
  </si>
  <si>
    <t>BGEPHDSJYIQUIM-RNUSMIDKSA-N</t>
  </si>
  <si>
    <t>C43H80NO8P</t>
  </si>
  <si>
    <t>13.55_102.0920m/z</t>
  </si>
  <si>
    <t>Betaine aldehyde</t>
  </si>
  <si>
    <t>HMDB0001252</t>
  </si>
  <si>
    <t>C00576</t>
  </si>
  <si>
    <t>hsa00260</t>
  </si>
  <si>
    <t>Glycine, serine and threonine metabolism</t>
  </si>
  <si>
    <t>R-HSA-1430728,R-HSA-6798163,R-HSA-71291</t>
  </si>
  <si>
    <t>Metabolism|Choline catabolism|Metabolism of amino acids and derivatives</t>
  </si>
  <si>
    <t>7418-61-3</t>
  </si>
  <si>
    <t>C[N+](C)(C)CC=O</t>
  </si>
  <si>
    <t>SXKNCCSPZDCRFD-UHFFFAOYSA-N</t>
  </si>
  <si>
    <t>C5H12NO+</t>
  </si>
  <si>
    <t>8.59_547.2805m/z</t>
  </si>
  <si>
    <t>Armochaetoglasin K</t>
  </si>
  <si>
    <t>LMPK11000032</t>
  </si>
  <si>
    <t>[C@@H]1(C)[C@](O)(C)[C@@H](O)[C@@H]2C=CC[C@H](C)C=C(C)C(=O)[C@H](O)CCC(=O)[C@@]32C(=O)N[C@@H](CC2=CNC4C=CC=CC2=4)[C@]13[H]</t>
  </si>
  <si>
    <t>RDGPYVKATNNNKN-DNGZFULMSA-N</t>
  </si>
  <si>
    <t>Indoles and derivatives</t>
  </si>
  <si>
    <t>Indoles</t>
  </si>
  <si>
    <t>C32H40N2O6</t>
  </si>
  <si>
    <t>10.11_334.2156n</t>
  </si>
  <si>
    <t>14,15-epoxy,13-HETE</t>
  </si>
  <si>
    <t>LMFA03060117</t>
  </si>
  <si>
    <t>C(CCC/C=C\C/C=C\C/C=C\C(O)C1OC1C/C=C\CC)(=O)O</t>
  </si>
  <si>
    <t>BWLVNHSVAJJJFW-QXGJGMMHSA-N</t>
  </si>
  <si>
    <t>M+H, M+Na, M+NH4</t>
  </si>
  <si>
    <t>8.81_351.2179m/z</t>
  </si>
  <si>
    <t>5-epi-5-iso-LGE2</t>
  </si>
  <si>
    <t>LMFA03100017</t>
  </si>
  <si>
    <t>C(CCC[C@@H](O)/C=C/[C@H](C(=O)C)[C@@H](C/C=C\CCCCC)C=O)(=O)O</t>
  </si>
  <si>
    <t>NAVKVZDJPSOUFI-KFODYRDWSA-N</t>
  </si>
  <si>
    <t>11.01_565.4123m/z</t>
  </si>
  <si>
    <t>PE(0:0/24:0)</t>
  </si>
  <si>
    <t>HMDB0011497</t>
  </si>
  <si>
    <t>LMGP02050061</t>
  </si>
  <si>
    <t>C(OP(OCCN)(O)=O)[C@]([H])(OC(=O)CCCCCCCCCCCCCCCCCCCCCCC)CO</t>
  </si>
  <si>
    <t>BVNCTQAYPBVJJU-MUUNZHRXSA-N</t>
  </si>
  <si>
    <t>C29H60NO7P</t>
  </si>
  <si>
    <t>11.84_688.4191m/z</t>
  </si>
  <si>
    <t>PC(16:0/9:0(COOH))</t>
  </si>
  <si>
    <t>LMGP20010007</t>
  </si>
  <si>
    <t>117746-89-1</t>
  </si>
  <si>
    <t>[C@](COP(=O)([O-])OCC[N+](C)(C)C)([H])(OC(CCCCCCCC(O)=O)=O)COC(CCCCCCCCCCCCCCC)=O</t>
  </si>
  <si>
    <t>GHQQYDSARXURNG-SSEXGKCCSA-N</t>
  </si>
  <si>
    <t>C33H64NO10P</t>
  </si>
  <si>
    <t>10.35_459.2522m/z</t>
  </si>
  <si>
    <t>15-octadecene-9,11,13-triynoic acid</t>
  </si>
  <si>
    <t>LMFA01030559</t>
  </si>
  <si>
    <t>C(CCCCCCCC#CC#CC#CC)(=O)O</t>
  </si>
  <si>
    <t>HZBWORWQUKIWJQ-UHFFFAOYSA-N</t>
  </si>
  <si>
    <t>2M-H</t>
  </si>
  <si>
    <t>C15H18O2</t>
  </si>
  <si>
    <t>12.07_874.5434m/z</t>
  </si>
  <si>
    <t>PS(18:3(10,12,15)-OH(9)/20:0)</t>
  </si>
  <si>
    <t>HMDB0282134</t>
  </si>
  <si>
    <t>[H][C@@](COC(=O)CCCCCCCC(O)\C=C\C=C\C\C=C\CC)(COP(O)(=O)OC[C@H](N)C(O)=O)OC(=O)CCCCCCCCCCCCCCCCCCC</t>
  </si>
  <si>
    <t>CXWCYCWEILFORK-WQXAJIAQSA-N</t>
  </si>
  <si>
    <t>C44H80NO11P</t>
  </si>
  <si>
    <t>6.96_391.2129m/z</t>
  </si>
  <si>
    <t>19-Hydroxydeoxycorticosterone</t>
  </si>
  <si>
    <t>HMDB0012612</t>
  </si>
  <si>
    <t>2394-23-2</t>
  </si>
  <si>
    <t>C[C@]12CCC3C(CCC4=CC(=O)CC[C@]34CO)C1CC[C@@H]2C(=O)CO</t>
  </si>
  <si>
    <t>LFISWQXWWGJHBL-RJPFGDFGSA-N</t>
  </si>
  <si>
    <t>Hydroxysteroids</t>
  </si>
  <si>
    <t>C21H30O4</t>
  </si>
  <si>
    <t>4.90_438.1504n</t>
  </si>
  <si>
    <t>7-Hydroxy-5-(4-hydroxy-2-oxopentyl)-2-methylchromone 7-glucoside</t>
  </si>
  <si>
    <t>HMDB0034698</t>
  </si>
  <si>
    <t>128701-05-3</t>
  </si>
  <si>
    <t>CC(O)CC(=O)CC1=CC(OC2OC(CO)C(O)C(O)C2O)=CC2=C1C(=O)C=C(C)O2</t>
  </si>
  <si>
    <t>UCHJBTMJIHWPDI-UHFFFAOYSA-N</t>
  </si>
  <si>
    <t>C21H26O10</t>
  </si>
  <si>
    <t>7.53_369.2283m/z</t>
  </si>
  <si>
    <t>(6S,9S,12S)-d10-5-IsoF[5R,8R]</t>
  </si>
  <si>
    <t>LMFA03130136</t>
  </si>
  <si>
    <t>C(CCC[C@@]1([H])O[C@@]([H])([C@@H](O)/C=C\[C@@H](O)C/C=C\CCCCC)C[C@@H]1O)(=O)O</t>
  </si>
  <si>
    <t>DCDVQFUNHMSNRJ-AMKWCZOGSA-N</t>
  </si>
  <si>
    <t>9.81_330.3376m/z</t>
  </si>
  <si>
    <t>Emulphor</t>
  </si>
  <si>
    <t>HMDB0251781</t>
  </si>
  <si>
    <t>CCCCCCCCC=CCCCCCCCCOCCO</t>
  </si>
  <si>
    <t>KWVPFECTOKLOBL-UHFFFAOYSA-N</t>
  </si>
  <si>
    <t>Ethers</t>
  </si>
  <si>
    <t>M+NH4</t>
  </si>
  <si>
    <t>C20H40O2</t>
  </si>
  <si>
    <t>7.35_367.2126m/z</t>
  </si>
  <si>
    <t>17-hydroxy-1-oxo-2,3-seco-androstan-3-oic acid</t>
  </si>
  <si>
    <t>LMST02020113</t>
  </si>
  <si>
    <t>CC(=O)[C@@]1(C)[C@@]([H])(CC[C@@]2([H])[C@]3([H])CC[C@H](O)[C@@]3(C)CC[C@]12[H])CC(O)=O</t>
  </si>
  <si>
    <t>UVMGMKYQPLCEGR-LUJOEAJASA-N</t>
  </si>
  <si>
    <t>Alcohols and polyols</t>
  </si>
  <si>
    <t>C19H30O4</t>
  </si>
  <si>
    <t>11.23_598.4128n</t>
  </si>
  <si>
    <t>DG(10:0/0:0/TXB2)</t>
  </si>
  <si>
    <t>HMDB0294483</t>
  </si>
  <si>
    <t>CCCCCCCCCC(=O)OC[C@@H](O)COC(=O)CCC\C=C/C[C@H]1[C@@H](O)CC(O)O[C@@H]1\C=C\[C@@H](O)CCCCC</t>
  </si>
  <si>
    <t>PARFEDOXMKOIGA-CVOZYXSZSA-N</t>
  </si>
  <si>
    <t>M+NH4, M+Na</t>
  </si>
  <si>
    <t>C33H58O9</t>
  </si>
  <si>
    <t>9.52_368.2199n</t>
  </si>
  <si>
    <t>5,15-diHPETE</t>
  </si>
  <si>
    <t>LMFA03060047</t>
  </si>
  <si>
    <t>C(/C/C=C\C=C\C(OO)CCCCC)=C/C=C/C(OO)CCCC(=O)O</t>
  </si>
  <si>
    <t>PCIOUQYHTPPZEM-PCTZFDORSA-N</t>
  </si>
  <si>
    <t>C20H32O6</t>
  </si>
  <si>
    <t>14.19_619.0220m/z</t>
  </si>
  <si>
    <t>Gossypetin 8-glucuronide 3-sulfate</t>
  </si>
  <si>
    <t>HMDB0037752</t>
  </si>
  <si>
    <t>81074-98-8</t>
  </si>
  <si>
    <t>OC1C(O)C(OC2=C(O)C=C(O)C3=C2OC(C2=CC(O)=C(O)C=C2)=C(OS(O)(=O)=O)C3=O)OC(C1O)C(O)=O</t>
  </si>
  <si>
    <t>HUZYIABAGFALTN-UHFFFAOYSA-N</t>
  </si>
  <si>
    <t>Phenylpropanoids and polyketides</t>
  </si>
  <si>
    <t>Flavonoids</t>
  </si>
  <si>
    <t>Flavonoid glycosides</t>
  </si>
  <si>
    <t>C21H18O17S</t>
  </si>
  <si>
    <t>9.38_353.2336m/z</t>
  </si>
  <si>
    <t>11,12,15-TriHETRE</t>
  </si>
  <si>
    <t>HMDB0010170</t>
  </si>
  <si>
    <t>LMFA03050023</t>
  </si>
  <si>
    <t>C(/CCCCCCC(=O)O)=C\C/C(/O)=C(/O)\C=C\C(O)CCCCC</t>
  </si>
  <si>
    <t>PBCZCSXKHMNACJ-RWEAINGASA-N</t>
  </si>
  <si>
    <t>C20H34O5</t>
  </si>
  <si>
    <t>10.25_766.5749m/z</t>
  </si>
  <si>
    <t>PC(20:4(5Z,8Z,11Z,14Z)/P-16:0)</t>
  </si>
  <si>
    <t>HMDB0008455</t>
  </si>
  <si>
    <t>CCCCCCCCCCCCCC\C=C/OC(COC(=O)CCC\C=C/C\C=C/C\C=C/C\C=C/CCCCC)COP([O-])(=O)OCC[N+](C)(C)C</t>
  </si>
  <si>
    <t>QXWMNDJZPMHJJC-ZBYLXILXSA-N</t>
  </si>
  <si>
    <t>C44H80NO7P</t>
  </si>
  <si>
    <t>8.31_353.2337m/z</t>
  </si>
  <si>
    <t>8,8a-Deoxyoleandolide</t>
  </si>
  <si>
    <t>LMPK04000030</t>
  </si>
  <si>
    <t>C11989</t>
  </si>
  <si>
    <t>[C@H]1(C)C(=O)[C@H](C)[C@@H](O)[C@@H](C)[C@@H](C)OC(=O)[C@H](C)[C@@H](O)[C@H](C)[C@@H](O)[C@@H](C)C1</t>
  </si>
  <si>
    <t>OLPAVFVRSHWADO-KYEFFAPUSA-N</t>
  </si>
  <si>
    <t>Macrolides and analogues</t>
  </si>
  <si>
    <t>C20H36O6</t>
  </si>
  <si>
    <t>13.33_773.5348m/z</t>
  </si>
  <si>
    <t>PG(18:1(11Z)/18:1(11Z))</t>
  </si>
  <si>
    <t>HMDB0010618</t>
  </si>
  <si>
    <t>[H][C@](O)(CO)COP(O)(=O)OC[C@@]([H])(COC(=O)CCCCCCCCC\C=C/CCCCCC)OC(=O)CCCCCCCCC\C=C/CCCCCC</t>
  </si>
  <si>
    <t>SOLXJHKVRWSNJX-HKFASTTNSA-N</t>
  </si>
  <si>
    <t>Glycerophosphoglycerols</t>
  </si>
  <si>
    <t>C42H79O10P</t>
  </si>
  <si>
    <t>13.51_794.5692m/z</t>
  </si>
  <si>
    <t>PE(22:2(13Z,16Z)/18:3(6Z,9Z,12Z))</t>
  </si>
  <si>
    <t>HMDB0009556</t>
  </si>
  <si>
    <t>LMGP02011085</t>
  </si>
  <si>
    <t>[C@](COP(=O)(O)OCCN)([H])(OC(CCCC/C=C\C/C=C\C/C=C\CCCCC)=O)COC(CCCCCCCCCCC/C=C\C/C=C\CCCCC)=O</t>
  </si>
  <si>
    <t>BRZHNCZGBULDIZ-XYHFPQPRSA-N</t>
  </si>
  <si>
    <t>C45H80NO8P</t>
  </si>
  <si>
    <t>6.89_415.2101m/z</t>
  </si>
  <si>
    <t>Arthriniumsteroid B</t>
  </si>
  <si>
    <t>LMST02030236</t>
  </si>
  <si>
    <t>C1[C@H](O)C2[C@@](C)([C@]34O[C@H]3C[C@@]3([C@](O)([C@H](C)C[C@@]3([H])[C@]14[H])C(=O)COC(=O)C)C)CCC(=O)C=2</t>
  </si>
  <si>
    <t>YVYJVBAUVGMWLF-JRNNXUHZSA-N</t>
  </si>
  <si>
    <t>Monoterpenoids</t>
  </si>
  <si>
    <t>C24H32O7</t>
  </si>
  <si>
    <t>436</t>
  </si>
  <si>
    <t>Linoleic Acid</t>
  </si>
  <si>
    <t>HMDB0000673</t>
  </si>
  <si>
    <t>LMFA01030120</t>
  </si>
  <si>
    <t>C01595</t>
  </si>
  <si>
    <t>hsa00591,hsa01040</t>
  </si>
  <si>
    <t>Linoleic acid metabolism|Biosynthesis of unsaturated fatty acids</t>
  </si>
  <si>
    <t>R-HSA-1266738,R-HSA-1368082,R-HSA-1368108,R-HSA-1430728,R-HSA-1592230,R-HSA-1643685,R-HSA-1655829,R-HSA-1852241,R-HSA-196854,R-HSA-1989781,R-HSA-2046104,R-HSA-2046105,R-HSA-2151201,R-HSA-2187338,R-HSA-2262752,R-HSA-2426168,R-HSA-2453902,R-HSA-381340,R-HSA-382551,R-HSA-400206,R-HSA-400253,R-HSA-425397,R-HSA-425407,R-HSA-556833,R-HSA-5619102,R-HSA-5619108,R-HSA-5619115,R-HSA-6806667,R-HSA-804914,R-HSA-8953897,R-HSA-8957322,R-HSA-8978868,R-HSA-9707564,R-HSA-9707616,R-HSA-9709957,R-HSA-9711123,R-HSA-975634</t>
  </si>
  <si>
    <t>Developmental Biology|RORA activates gene expression|BMAL1:CLOCK,NPAS2 activates circadian gene expression|Metabolism|Mitochondrial biogenesis|Disease|Regulation of cholesterol biosynthesis by SREBP (SREBF)|Organelle biogenesis and maintenance|Metabolism of vitamins and cofactors|PPARA activates gene expression|alpha-linolenic (omega3) and linoleic (omega6) acid metabolism|Linoleic acid (LA) metabolism|Transcriptional activation of mitochondrial biogenesis|Visual phototransduction|Cellular responses to stress|Activation of gene expression by SREBF (SREBP)|The canonical retinoid cycle in rods (twilight vision)|Transcriptional regulation of white adipocyte differentiation|Transport of small molecules|Regulation of lipid metabolism by PPARalpha|Circadian Clock|Transport of vitamins, nucleosides, and related molecules|SLC-mediated transmembrane transport|Metabolism of lipids|SLC transporter disorders|Defective SLC27A4 causes ichthyosis prematurity syndrome (IPS)|Disorders of transmembrane transporters|Metabolism of fat-soluble vitamins|Transport of fatty acids|Cellular responses to stimuli|Metabolism of steroids|Fatty acid metabolism|Cytoprotection by HMOX1|Heme signaling|Sensory Perception|Cellular response to chemical stress|Retinoid metabolism and transport</t>
  </si>
  <si>
    <t>60-33-3</t>
  </si>
  <si>
    <t>C(CCCCCCC(=O)O)/C=C\C/C=C\CCCCC</t>
  </si>
  <si>
    <t>OYHQOLUKZRVURQ-HZJYTTRNSA-N</t>
  </si>
  <si>
    <t>C18H32O2</t>
  </si>
  <si>
    <t>11.51_651.4127n</t>
  </si>
  <si>
    <t>PS(12:0/14:0)</t>
  </si>
  <si>
    <t>LMGP03010972</t>
  </si>
  <si>
    <t>C(O)(=O)[C@@]([H])(N)COP(OC[C@]([H])(OC(CCCCCCCCCCCCC)=O)COC(CCCCCCCCCCC)=O)(=O)O</t>
  </si>
  <si>
    <t>GLMVRWSEXIQXQH-WDYNHAJCSA-N</t>
  </si>
  <si>
    <t>C32H62NO10P</t>
  </si>
  <si>
    <t>9.60_351.2179m/z</t>
  </si>
  <si>
    <t>[6]-Gingerdiol acetate methyl ether</t>
  </si>
  <si>
    <t>HMDB0303098</t>
  </si>
  <si>
    <t>CCCCCC(CC(O)CCC1=CC(OC)=C(OC)C=C1)OC(C)=O</t>
  </si>
  <si>
    <t>MVMCYBCRYZSVDR-UHFFFAOYSA-N</t>
  </si>
  <si>
    <t>Benzenoids</t>
  </si>
  <si>
    <t>Benzene and substituted derivatives</t>
  </si>
  <si>
    <t>Methoxybenzenes</t>
  </si>
  <si>
    <t>9.34_351.2179m/z</t>
  </si>
  <si>
    <t>5-hydroperoxy-15-HETE</t>
  </si>
  <si>
    <t>HMDB0062798</t>
  </si>
  <si>
    <t>[H]\C(C\C([H])=C(\[H])C([H])=C([H])C(CCCC(O)=O)OO)=C(/[H])C([H])=C([H])C(O)CCCCC</t>
  </si>
  <si>
    <t>AZHSPOPOMNJPFD-HRIRBLAHSA-N</t>
  </si>
  <si>
    <t>14.47_284.2716n</t>
  </si>
  <si>
    <t>2,6-dimethyl-hexadecanoic acid</t>
  </si>
  <si>
    <t>LMFA01020042</t>
  </si>
  <si>
    <t>C(CCCCCC)CCCC(C)CCCC(C)C(=O)O</t>
  </si>
  <si>
    <t>AIJKUSCCAPFTGP-UHFFFAOYSA-N</t>
  </si>
  <si>
    <t>M-H, M+FA-H, 2M-H</t>
  </si>
  <si>
    <t>C18H36O2</t>
  </si>
  <si>
    <t>11.21_635.3811n</t>
  </si>
  <si>
    <t>OG-PC</t>
  </si>
  <si>
    <t>LMGP20010027</t>
  </si>
  <si>
    <t>[C@](COP(=O)([O-])OCC[N+](C)(C)C)([H])(OC(CCCC(=O)O)=O)COC(CCCCCCC/C=C\CCCCCCCC)=O</t>
  </si>
  <si>
    <t>YCUCDGWRMUWTRU-FQGSIFQHSA-N</t>
  </si>
  <si>
    <t>C31H58NO10P</t>
  </si>
  <si>
    <t>6.70_437.2164m/z</t>
  </si>
  <si>
    <t>Penicildione D</t>
  </si>
  <si>
    <t>LMST02030241</t>
  </si>
  <si>
    <t>C1CC2[C@@](C)([C@@]3(O)[C@@H](O)C[C@@]4([C@](O)([C@H](C)C[C@@]4([H])[C@]13[H])C(=O)CO)C)CCC(=O)C=2</t>
  </si>
  <si>
    <t>KPHGRQINQWTBGR-CXSFZGCWSA-N</t>
  </si>
  <si>
    <t>C22H32O6</t>
  </si>
  <si>
    <t>7.75_351.2179m/z</t>
  </si>
  <si>
    <t>5-trans Prostaglandin D2</t>
  </si>
  <si>
    <t>CCCCCC(C=CC1C(C(CC1=O)O)CC=CCCCC(=O)O)O</t>
  </si>
  <si>
    <t>BHMBVRSPMRCCGG-IAVHXZOJSA-N</t>
  </si>
  <si>
    <t>9.87_317.2121m/z</t>
  </si>
  <si>
    <t>12-oxo-LTB4</t>
  </si>
  <si>
    <t>HMDB0004234</t>
  </si>
  <si>
    <t>LMFA03020024</t>
  </si>
  <si>
    <t>C05949</t>
  </si>
  <si>
    <t>R-HSA-1430728,R-HSA-2142691,R-HSA-2142753,R-HSA-556833,R-HSA-8978868</t>
  </si>
  <si>
    <t>Metabolism|Synthesis of Leukotrienes (LT) and Eoxins (EX)|Arachidonic acid metabolism|Metabolism of lipids|Fatty acid metabolism</t>
  </si>
  <si>
    <t>136696-10-1</t>
  </si>
  <si>
    <t>C(C(=O)/C=C/C=C/C=C\[C@@H](O)CCCC(O)=O)/C=C\CCCCC</t>
  </si>
  <si>
    <t>SJVWVCVZWMJXOK-NOJHDUNKSA-N</t>
  </si>
  <si>
    <t>7.53_351.2179m/z</t>
  </si>
  <si>
    <t>PGE2</t>
  </si>
  <si>
    <t>HMDB0001220</t>
  </si>
  <si>
    <t>LMFA03010003</t>
  </si>
  <si>
    <t>C00584</t>
  </si>
  <si>
    <t>hsa00590,hsa04024,hsa04080,hsa04148,hsa04625,hsa04750,hsa04921,hsa04923,hsa04924,hsa05140,hsa05143,hsa05146,hsa05163,hsa05165,hsa05200,hsa05323</t>
  </si>
  <si>
    <t>Arachidonic acid metabolism|cAMP signaling pathway|Neuroactive ligand-receptor interaction|Efferocytosis|C-type lectin receptor signaling pathway|Inflammatory mediator regulation of TRP channels|Oxytocin signaling pathway|Regulation of lipolysis in adipocytes|Renin secretion|Leishmaniasis|African trypanosomiasis|Amoebiasis|Human cytomegalovirus infection|Human papillomavirus infection|Pathways in cancer|Rheumatoid arthritis</t>
  </si>
  <si>
    <t>R-HSA-1430728,R-HSA-162582,R-HSA-1643685,R-HSA-2142753,R-HSA-2162123,R-HSA-372790,R-HSA-373076,R-HSA-382551,R-HSA-388396,R-HSA-391903,R-HSA-391908,R-HSA-416476,R-HSA-418555,R-HSA-418594,R-HSA-425397,R-HSA-425407,R-HSA-500792,R-HSA-556833,R-HSA-5619095,R-HSA-5619102,R-HSA-5619115,R-HSA-879518,R-HSA-8978868</t>
  </si>
  <si>
    <t>Metabolism|Signal Transduction|Disease|Arachidonic acid metabolism|Synthesis of Prostaglandins (PG) and Thromboxanes (TX)|Signaling by GPCR|Class A/1 (Rhodopsin-like receptors)|Transport of small molecules|GPCR downstream signalling|Eicosanoid ligand-binding receptors|Prostanoid ligand receptors|G alpha (q) signalling events|G alpha (s) signalling events|G alpha (i) signalling events|Transport of vitamins, nucleosides, and related molecules|SLC-mediated transmembrane transport|GPCR ligand binding|Metabolism of lipids|Defective SLCO2A1 causes primary, autosomal recessive hypertrophic osteoarthropathy 2 (PHOAR2)|SLC transporter disorders|Disorders of transmembrane transporters|Transport of organic anions|Fatty acid metabolism</t>
  </si>
  <si>
    <t>363-24-6</t>
  </si>
  <si>
    <t>[C@H]1(/C=C/[C@@H](O)CCCCC)[C@H](O)CC(=O)[C@@H]1C/C=C\CCCC(=O)O</t>
  </si>
  <si>
    <t>XEYBRNLFEZDVAW-ARSRFYASSA-N</t>
  </si>
  <si>
    <t>10.91_318.2195n</t>
  </si>
  <si>
    <t>CAY10410</t>
  </si>
  <si>
    <t>CCCCCC=CC=C1C(CCC1=O)CC=CCCCC(=O)O</t>
  </si>
  <si>
    <t>AFBJLDUEEOOVHL-WKELIDJCSA-N</t>
  </si>
  <si>
    <t>M-H, 2M-H</t>
  </si>
  <si>
    <t>8.58_869.5979m/z</t>
  </si>
  <si>
    <t>PE(18:3(9,11,15)-OH(13)/DiMe(13,5))</t>
  </si>
  <si>
    <t>HMDB0284949</t>
  </si>
  <si>
    <t>[H][C@@](COC(=O)CCCCCCC\C=C\C=C\C(O)C\C=C\CC)(COP(O)(=O)OCCN)OC(=O)CCCCCCCCCCCCC1=C(C)C(C)=C(CCCCC)O1</t>
  </si>
  <si>
    <t>BCTWWCTWNPJECZ-UXMMXQQPSA-N</t>
  </si>
  <si>
    <t>C47H82NO10P</t>
  </si>
  <si>
    <t>120</t>
  </si>
  <si>
    <t>Diphosphoric Acid</t>
  </si>
  <si>
    <t>HMDB0000250</t>
  </si>
  <si>
    <t>C00013</t>
  </si>
  <si>
    <t>hsa00190,hsa05012,hsa05022</t>
  </si>
  <si>
    <t>Oxidative phosphorylation|Parkinson disease|Pathways of neurodegeneration - multiple diseases</t>
  </si>
  <si>
    <t>14000-31-8</t>
  </si>
  <si>
    <t>OP(O)(=O)OP(O)(O)=O</t>
  </si>
  <si>
    <t>XPPKVPWEQAFLFU-UHFFFAOYSA-N</t>
  </si>
  <si>
    <t>Homogeneous non-metal compounds</t>
  </si>
  <si>
    <t>Non-metal oxoanionic compounds</t>
  </si>
  <si>
    <t>Non-metal pyrophosphates</t>
  </si>
  <si>
    <t>H4O7P2</t>
  </si>
  <si>
    <t>12.72_590.4563m/z</t>
  </si>
  <si>
    <t>PC(24:0/0:0)</t>
  </si>
  <si>
    <t>HMDB0010405</t>
  </si>
  <si>
    <t>LMGP01050057</t>
  </si>
  <si>
    <t>C04230</t>
  </si>
  <si>
    <t>hsa00564,hsa04148,hsa05231</t>
  </si>
  <si>
    <t>Glycerophospholipid metabolism|Efferocytosis|Choline metabolism in cancer</t>
  </si>
  <si>
    <t>[C@](COP(=O)([O-])OCC[N+](C)(C)C)([H])(O)COC(CCCCCCCCCCCCCCCCCCCCCCC)=O</t>
  </si>
  <si>
    <t>SKJMUADLQLZAGH-WJOKGBTCSA-N</t>
  </si>
  <si>
    <t>C32H66NO7P</t>
  </si>
  <si>
    <t>10.55_602.4309m/z</t>
  </si>
  <si>
    <t>PA(P-16:0/14:1(9Z))</t>
  </si>
  <si>
    <t>LMGP10030004</t>
  </si>
  <si>
    <t>[C@](COP(=O)(O)O)([H])(OC(CCCCCCC/C=C\CCCC)=O)CO/C=C\CCCCCCCCCCCCCC</t>
  </si>
  <si>
    <t>SCKYVMUDCFXGAV-YRKBNYTQSA-N</t>
  </si>
  <si>
    <t>Glycerophosphates</t>
  </si>
  <si>
    <t>C33H63O7P</t>
  </si>
  <si>
    <t>10.01_317.2120m/z</t>
  </si>
  <si>
    <t>Bacchabolivic acid</t>
  </si>
  <si>
    <t>CC1=CCCC2C1(CCC(C2(C)CCC3=COC=C3)C(=O)O)C</t>
  </si>
  <si>
    <t>KQFDQVMJLKUUDA-HNBVOPMISA-N</t>
  </si>
  <si>
    <t>C20H28O3</t>
  </si>
  <si>
    <t>10.72_312.2302n</t>
  </si>
  <si>
    <t>octadecenedioate</t>
  </si>
  <si>
    <t>HMDB0304442</t>
  </si>
  <si>
    <t>[H]\C(CCCCCCCCCCCCCCC(O)=O)=C(\[H])C(O)=O</t>
  </si>
  <si>
    <t>YDPSQMGOAILWPE-FYWRMAATSA-N</t>
  </si>
  <si>
    <t>C18H32O4</t>
  </si>
  <si>
    <t>10.99_608.3569m/z</t>
  </si>
  <si>
    <t>PC(2:0/18:1(9Z))</t>
  </si>
  <si>
    <t>LMGP01010991</t>
  </si>
  <si>
    <t>[C@](COP(=O)([O-])OCC[N+](C)(C)C)([H])(OC(CCCCCCC/C=C\CCCCCCCC)=O)COC(C)=O</t>
  </si>
  <si>
    <t>QXMOMRCLDDYEGS-ZYRNGQCSSA-N</t>
  </si>
  <si>
    <t>C28H54NO8P</t>
  </si>
  <si>
    <t>6.85_423.2366m/z</t>
  </si>
  <si>
    <t>Nifekalant</t>
  </si>
  <si>
    <t>HMDB0255595</t>
  </si>
  <si>
    <t>CN1C([O-])=CC(=NCCN(CCO)CCCC2=CC=C(C=C2)[N+]([O-])=O)[NH+](C)C1=O</t>
  </si>
  <si>
    <t>XECRMKUDCPXAHD-UHFFFAOYSA-N</t>
  </si>
  <si>
    <t>Phenylpropylamines</t>
  </si>
  <si>
    <t>C19H27N5O5</t>
  </si>
  <si>
    <t>11.92_579.4276m/z</t>
  </si>
  <si>
    <t>PC(22:0/0:0)</t>
  </si>
  <si>
    <t>HMDB0010398</t>
  </si>
  <si>
    <t>LMGP01050053</t>
  </si>
  <si>
    <t>[C@](COP(=O)([O-])OCC[N+](C)(C)C)([H])(O)COC(CCCCCCCCCCCCCCCCCCCCC)=O</t>
  </si>
  <si>
    <t>UIINDYGXBHJQHX-GDLZYMKVSA-N</t>
  </si>
  <si>
    <t>C30H62NO7P</t>
  </si>
  <si>
    <t>14.45_529.0290m/z</t>
  </si>
  <si>
    <t>UDP-4-dehydro-6-deoxy-D-glucose</t>
  </si>
  <si>
    <t>HMDB0012300</t>
  </si>
  <si>
    <t>C04089</t>
  </si>
  <si>
    <t>hsa00520</t>
  </si>
  <si>
    <t>Amino sugar and nucleotide sugar metabolism</t>
  </si>
  <si>
    <t>13094-28-5</t>
  </si>
  <si>
    <t>C[C@H]1O[C@H](OP(O)(=O)OP(O)(=O)OC[C@H]2O[C@H]([C@H](O)[C@@H]2O)N2C=CC(=O)NC2=O)[C@H](O)[C@@H](O)C1=O</t>
  </si>
  <si>
    <t>DDWGQQADOIMFOI-JPHISPRKSA-N</t>
  </si>
  <si>
    <t>C15H22N2O16P2</t>
  </si>
  <si>
    <t>8.13_317.2122m/z</t>
  </si>
  <si>
    <t>17beta-Hydroxy-17-methylandrost-4-ene-3,11-dione</t>
  </si>
  <si>
    <t>C14615</t>
  </si>
  <si>
    <t>5419-48-7</t>
  </si>
  <si>
    <t>CC12CCC(=O)C=C1CCC3C2C(=O)CC4(C3CCC4(C)O)C</t>
  </si>
  <si>
    <t>KYLCHXHHSBPYCB-GECNCUIPSA-N</t>
  </si>
  <si>
    <t>10.25_552.0207n</t>
  </si>
  <si>
    <t>Myricatin</t>
  </si>
  <si>
    <t>HMDB0029513</t>
  </si>
  <si>
    <t>87388-96-3</t>
  </si>
  <si>
    <t>OC1=CC(O)=C2C(=O)C(OC(=O)C3=CC(O)=C(O)C(O)=C3)C(OC2=C1)C1=CC(O)=C(O)C(OS(O)(=O)=O)=C1</t>
  </si>
  <si>
    <t>NIOPKCMFVWJHLB-UHFFFAOYSA-N</t>
  </si>
  <si>
    <t>Flavans</t>
  </si>
  <si>
    <t>C22H16O15S</t>
  </si>
  <si>
    <t>11.74_601.4412m/z</t>
  </si>
  <si>
    <t>Asimilobin</t>
  </si>
  <si>
    <t>HMDB0029960</t>
  </si>
  <si>
    <t>168075-15-8</t>
  </si>
  <si>
    <t>CCCCCCCCCCCCCCC(O)C1CCC(O1)C1CCC(CCCCCC(O)CC2=CC(C)OC2=O)O1</t>
  </si>
  <si>
    <t>ICSXGOKNISTZTO-UHFFFAOYSA-N</t>
  </si>
  <si>
    <t>C35H62O6</t>
  </si>
  <si>
    <t>7.34_391.2106m/z</t>
  </si>
  <si>
    <t>TXB3</t>
  </si>
  <si>
    <t>LMFA03030006</t>
  </si>
  <si>
    <t>71953-80-5</t>
  </si>
  <si>
    <t>C([C@H]1[C@@H](O)CC(O)O[C@@H]1/C=C/[C@@H](O)C/C=C\CC)/C=C\CCCC(=O)O</t>
  </si>
  <si>
    <t>OYPPJMLKAYYWHH-NXJDUNGTSA-N</t>
  </si>
  <si>
    <t>5.77_386.2319n</t>
  </si>
  <si>
    <t>10,11-dihydro-20-trihydroxy-leukotriene B4</t>
  </si>
  <si>
    <t>HMDB0012503</t>
  </si>
  <si>
    <t>LMFA03020044</t>
  </si>
  <si>
    <t>O([H])[C@@]([H])(C([H])([H])/C(/[H])=C(/[H])\C([H])([H])C([H])([H])C([H])([H])C([H])([H])C(O[H])(O[H])O[H])C([H])([H])C([H])([H])/C(/[H])=C(\[H])/C(/[H])=C(/[H])\[C@@]([H])(C([H])([H])C([H])([H])C([H])([H])C(=O)O[H])O[H]</t>
  </si>
  <si>
    <t>LSVHZFZMMXHHBS-MNBASXMYSA-N</t>
  </si>
  <si>
    <t>M+NH4, M+Na, M+H-H2O</t>
  </si>
  <si>
    <t>9.99_474.2392n</t>
  </si>
  <si>
    <t>Flemiphyllin</t>
  </si>
  <si>
    <t>LMPK12050193</t>
  </si>
  <si>
    <t>C1(O)C=C(O)C2C(=O)C(C3=CC(C/C=C(/C)\C)=C(O)C(C/C=C(\C)/C)=C3)=COC=2C=1C/C=C(/C)\C</t>
  </si>
  <si>
    <t>FKQMIMOLIFCHFV-UHFFFAOYSA-N</t>
  </si>
  <si>
    <t>Isoflavonoids</t>
  </si>
  <si>
    <t>Isoflav-2-enes</t>
  </si>
  <si>
    <t>M+H-H2O, M+Na</t>
  </si>
  <si>
    <t>C30H34O5</t>
  </si>
  <si>
    <t>8.59_496.2833m/z</t>
  </si>
  <si>
    <t>PC(18:4(6Z,9Z,12Z,15Z)/0:0)</t>
  </si>
  <si>
    <t>HMDB0010389</t>
  </si>
  <si>
    <t>LMGP01050129</t>
  </si>
  <si>
    <t>[C@](COP(=O)([O-])OCC[N+](C)(C)C)([H])(O)COC(CCCC/C=C\C/C=C\C/C=C\C/C=C\CC)=O</t>
  </si>
  <si>
    <t>RVSJNDKZLRQIIG-VDNIJTNNSA-N</t>
  </si>
  <si>
    <t>C26H46NO7P</t>
  </si>
  <si>
    <t>11.31_711.5072m/z</t>
  </si>
  <si>
    <t>SM(d16:2(4E,8Z)/18:3(10,12,15)-OH(9))</t>
  </si>
  <si>
    <t>HMDB0290340</t>
  </si>
  <si>
    <t>[H][C@@](COP([O-])(=O)OCC[N+](C)(C)C)(NC(=O)CCCCCCCC(O)\C=C\C=C\C\C=C\CC)[C@H](O)\C=C\CC\C=C/CCCCCCC</t>
  </si>
  <si>
    <t>NQSYHIVCYVGRNC-FDZFSJGVSA-N</t>
  </si>
  <si>
    <t>C39H71N2O7P</t>
  </si>
  <si>
    <t>9.66_375.2155m/z</t>
  </si>
  <si>
    <t>11,12-Dimethylrosmanol</t>
  </si>
  <si>
    <t>HMDB0040525</t>
  </si>
  <si>
    <t>COC1=C(C=C2C(O)C3OC(=O)C4(CCCC(C)(C)C34)C2=C1OC)C(C)C</t>
  </si>
  <si>
    <t>WLRZIPVGEMNPES-UHFFFAOYSA-N</t>
  </si>
  <si>
    <t>Terpene lactones</t>
  </si>
  <si>
    <t>C22H30O5</t>
  </si>
  <si>
    <t>12.97_496.9726m/z</t>
  </si>
  <si>
    <t>Dnpns</t>
  </si>
  <si>
    <t>HMDB0256394</t>
  </si>
  <si>
    <t>OC1=C2C=CC(=CC2=CC(=C1N=NC1=C(C=C(C=C1)[N+]([O-])=O)[N+]([O-])=O)S(O)(=O)=O)S(O)(=O)=O</t>
  </si>
  <si>
    <t>AYCFJUKXFTYTGH-UHFFFAOYSA-N</t>
  </si>
  <si>
    <t>Naphthalenes</t>
  </si>
  <si>
    <t>Naphthalene sulfonic acids and derivatives</t>
  </si>
  <si>
    <t>C16H10N4O11S2</t>
  </si>
  <si>
    <t>5.81_291.0075m/z</t>
  </si>
  <si>
    <t>O-Ethyl S,S-diphenyl phosphorodithioate</t>
  </si>
  <si>
    <t>HMDB0031781</t>
  </si>
  <si>
    <t>C14436</t>
  </si>
  <si>
    <t>17109-49-8</t>
  </si>
  <si>
    <t>CCOP(=O)(SC1=CC=CC=C1)SC1=CC=CC=C1</t>
  </si>
  <si>
    <t>AWZOLILCOUMRDG-UHFFFAOYSA-N</t>
  </si>
  <si>
    <t>C14H15O2PS2</t>
  </si>
  <si>
    <t>12.08_622.4091m/z</t>
  </si>
  <si>
    <t>Bafilomycin A1(Baf-A1)</t>
  </si>
  <si>
    <t>HMDB0247559</t>
  </si>
  <si>
    <t>COC1C=CC=C(C)CC(C)C(O)C(C)C=C(C)C=C(OC)C(=O)OC1C(C)C(O)C(C)C1(O)CC(O)C(C)C(O1)C(C)C</t>
  </si>
  <si>
    <t>XDHNQDDQEHDUTM-UHFFFAOYSA-N</t>
  </si>
  <si>
    <t>C35H58O9</t>
  </si>
  <si>
    <t>12.71_347.2204m/z</t>
  </si>
  <si>
    <t>5Z,8Z,14Z-Eicosatrien-11-ynoic acid</t>
  </si>
  <si>
    <t>LMFA01030693</t>
  </si>
  <si>
    <t>C(CCC/C=C\C/C=C\CC#CC/C=C\CCCCC)(=O)O</t>
  </si>
  <si>
    <t>VGCBBIXUNNBXPC-IJJPYCETSA-N</t>
  </si>
  <si>
    <t>C20H30O2</t>
  </si>
  <si>
    <t>12.36_636.3882m/z</t>
  </si>
  <si>
    <t>PC(4:0/18:1(9Z))</t>
  </si>
  <si>
    <t>LMGP01011221</t>
  </si>
  <si>
    <t>[C@](COP(=O)([O-])OCC[N+](C)(C)C)([H])(OC(CCCCCCC/C=C\CCCCCCCC)=O)COC(CCC)=O</t>
  </si>
  <si>
    <t>IMHOVHFGWLRYFW-KYEYSNFOSA-N</t>
  </si>
  <si>
    <t>C30H58NO8P</t>
  </si>
  <si>
    <t>6.71_370.2370n</t>
  </si>
  <si>
    <t>6,15-Diketo-13,14-dihydro-PGF1alpha</t>
  </si>
  <si>
    <t>HMDB0247162</t>
  </si>
  <si>
    <t>CCCCCC(=O)CCC1C(O)CC(O)C1CC(=O)CCCCC(O)=O</t>
  </si>
  <si>
    <t>KBHLXKOKUVJZIS-UHFFFAOYSA-N</t>
  </si>
  <si>
    <t>10.71_320.2358n</t>
  </si>
  <si>
    <t>19S-HETE</t>
  </si>
  <si>
    <t>HMDB0011136</t>
  </si>
  <si>
    <t>LMFA03060074</t>
  </si>
  <si>
    <t>C14749</t>
  </si>
  <si>
    <t>79551-85-2</t>
  </si>
  <si>
    <t>C(/C/C=C\C/C=C\CCC[C@@H](O)C)=C/C/C=C\CCCC(=O)O</t>
  </si>
  <si>
    <t>XFUXZHQUWPFWPR-DZBJBCEBSA-N</t>
  </si>
  <si>
    <t>6.20_528.2640m/z</t>
  </si>
  <si>
    <t>Ergosine</t>
  </si>
  <si>
    <t>HMDB0251913</t>
  </si>
  <si>
    <t>CC(C)CC1N2C(=O)C(C)(NC(=O)C3CN(C)C4CC5=CNC6=CC=CC(=C56)C4=C3)OC2(O)C2CCCN2C1=O</t>
  </si>
  <si>
    <t>NESVMZOPWPCFAU-UHFFFAOYSA-N</t>
  </si>
  <si>
    <t>Ergoline and derivatives</t>
  </si>
  <si>
    <t>Lysergic acids and derivatives</t>
  </si>
  <si>
    <t>C30H37N5O5</t>
  </si>
  <si>
    <t>11.78_696.5012m/z</t>
  </si>
  <si>
    <t>PE(18:3(10,12,15)-OH(9)/P-16:0)</t>
  </si>
  <si>
    <t>HMDB0285259</t>
  </si>
  <si>
    <t>[H][C@@](COC(=O)CCCCCCCC(O)\C=C\C=C\C\C=C\CC)(COP(O)(=O)OCCN)O\C=C\CCCCCCCCCCCCCC</t>
  </si>
  <si>
    <t>QBXQGQDGUFLVIY-CRPORZFTSA-N</t>
  </si>
  <si>
    <t>C39H72NO8P</t>
  </si>
  <si>
    <t>233</t>
  </si>
  <si>
    <t>4-Hydroxyproline</t>
  </si>
  <si>
    <t>HMDB0000725</t>
  </si>
  <si>
    <t>C01157</t>
  </si>
  <si>
    <t>hsa00330,hsa00470,hsa02010</t>
  </si>
  <si>
    <t>Arginine and proline metabolism|D-Amino acid metabolism|ABC transporters</t>
  </si>
  <si>
    <t>51-35-4</t>
  </si>
  <si>
    <t>O[C@H]1CN[C@@H](C1)C(O)=O</t>
  </si>
  <si>
    <t>PMMYEEVYMWASQN-DMTCNVIQSA-N</t>
  </si>
  <si>
    <t>C5H9NO3</t>
  </si>
  <si>
    <t>10.89_318.2202n</t>
  </si>
  <si>
    <t>8S-HEPE</t>
  </si>
  <si>
    <t>LMFA03070003</t>
  </si>
  <si>
    <t>118492-81-2</t>
  </si>
  <si>
    <t>C(/C=C/[C@@H](O)C/C=C\CCCC(=O)O)=C/C/C=C\C/C=C\CC</t>
  </si>
  <si>
    <t>WLOUCHKFBGGNEB-CHGUASJCSA-N</t>
  </si>
  <si>
    <t>9.34_335.2224m/z</t>
  </si>
  <si>
    <t>Resolvin E3</t>
  </si>
  <si>
    <t>HMDB0257164</t>
  </si>
  <si>
    <t>CCC(O)C(O)C=CC=CC=CCC=CCC=CCCCC(O)=O</t>
  </si>
  <si>
    <t>WYCMUVNNXSREQB-UHFFFAOYSA-N</t>
  </si>
  <si>
    <t>14.59_499.0197m/z</t>
  </si>
  <si>
    <t>Hydroxymethoxyphenylcarboxylic acid-O-sulphate</t>
  </si>
  <si>
    <t>HMDB0060000</t>
  </si>
  <si>
    <t>COC1=CC(O)=C(C=C1)C(O)OS(O)(=O)=O</t>
  </si>
  <si>
    <t>DCXMBZPFKOPATQ-UHFFFAOYSA-N</t>
  </si>
  <si>
    <t>Phenols</t>
  </si>
  <si>
    <t>Methoxyphenols</t>
  </si>
  <si>
    <t>C8H10O7S</t>
  </si>
  <si>
    <t>6.37_368.2219n</t>
  </si>
  <si>
    <t>19-Hydroxyprostaglandin E2</t>
  </si>
  <si>
    <t>HMDB0246952</t>
  </si>
  <si>
    <t>54142-29-9</t>
  </si>
  <si>
    <t>CC(O)CCCC(O)C=CC1C(O)CC(=O)C1CC=CCCCC(O)=O</t>
  </si>
  <si>
    <t>WTJYDBMHYPQFNJ-UHFFFAOYSA-N</t>
  </si>
  <si>
    <t>M+H-H2O, M+Na, M+H</t>
  </si>
  <si>
    <t>9.65_392.1508n</t>
  </si>
  <si>
    <t>1,1'-Bis(2-hydroxy-3-methylcarbazole)</t>
  </si>
  <si>
    <t>HMDB0040776</t>
  </si>
  <si>
    <t>155519-83-8</t>
  </si>
  <si>
    <t>CC1=CC2=C(NC3=CC=CC=C23)C(=C1O)C1=C(O)C(C)=CC2=C1NC1=CC=CC=C21</t>
  </si>
  <si>
    <t>BZVSIHKEOLSGNL-UHFFFAOYSA-N</t>
  </si>
  <si>
    <t>Carbazoles</t>
  </si>
  <si>
    <t>C26H20N2O2</t>
  </si>
  <si>
    <t>11.67_265.1479m/z</t>
  </si>
  <si>
    <t>6,7-Dihydro-4-(hydroxymethyl)-2-(p-hydroxyphenethyl)-7-methyl-5H-2-pyrindinium</t>
  </si>
  <si>
    <t>HMDB0033483</t>
  </si>
  <si>
    <t>15794-93-1</t>
  </si>
  <si>
    <t>CC1CCC2=C(CO)C=[N+](CCC3=CC=C(O)C=C3)C=C12</t>
  </si>
  <si>
    <t>XLWXLZKPQFKGJS-UHFFFAOYSA-O</t>
  </si>
  <si>
    <t>1-hydroxy-2-unsubstituted benzenoids</t>
  </si>
  <si>
    <t>C18H22NO2+</t>
  </si>
  <si>
    <t>9.65_636.4406n</t>
  </si>
  <si>
    <t>Mactraxanthin</t>
  </si>
  <si>
    <t>HMDB0036928</t>
  </si>
  <si>
    <t>LMPR01070679</t>
  </si>
  <si>
    <t>86105-69-3</t>
  </si>
  <si>
    <t>C1C(C)(C)[C@](O)(/C=C/C(/C)=C/C=C/C(/C)=C/C=C/C=C(\C)/C=C/C=C(\C)/C=C/[C@]2(O)[C@@](O)(C)C[C@@H](O)CC2(C)C)[C@](C)(O)C[C@H]1O</t>
  </si>
  <si>
    <t>QOXCNWZDKKXAOL-AOXVFRMFSA-N</t>
  </si>
  <si>
    <t>Tetraterpenoids</t>
  </si>
  <si>
    <t>C40H60O6</t>
  </si>
  <si>
    <t>12.77_450.9939m/z</t>
  </si>
  <si>
    <t>Flavogallol</t>
  </si>
  <si>
    <t>HMDB0302901</t>
  </si>
  <si>
    <t>OC1=CC2=C(C(O)=C1O)C1=C(OC2=O)C(O)=C2OC(=O)C3=CC(O)=C(O)C4=C3C2=C1C(=O)O4</t>
  </si>
  <si>
    <t>JTFOBWXMEHITKZ-UHFFFAOYSA-N</t>
  </si>
  <si>
    <t>Tannins</t>
  </si>
  <si>
    <t>Hydrolyzable tannins</t>
  </si>
  <si>
    <t>C21H8O12</t>
  </si>
  <si>
    <t>11.64_662.4045m/z</t>
  </si>
  <si>
    <t>OHOHA-PC</t>
  </si>
  <si>
    <t>LMGP20010033</t>
  </si>
  <si>
    <t>[C@](COP(=O)([O-])OCC[N+](C)(C)C)([H])(OC(CCC(O)/C=C/C=O)=O)COC(CCCCCCC/C=C\CCCCCCCC)=O</t>
  </si>
  <si>
    <t>VIHIBPOYYZRFIB-VIRDTXNUSA-N</t>
  </si>
  <si>
    <t>C33H60NO10P</t>
  </si>
  <si>
    <t>7.32_350.2104n</t>
  </si>
  <si>
    <t>15-Epi-lipoxin B5</t>
  </si>
  <si>
    <t>HMDB0012588</t>
  </si>
  <si>
    <t>LMFA03020053</t>
  </si>
  <si>
    <t>CC/C=C\C[C@H]([C@@H](/C=C/C=C/C=C\C=C\[C@@H](CCCC(=O)O)O)O)O</t>
  </si>
  <si>
    <t>VLLDKSJDBRLUOY-XIFXWWOOSA-N</t>
  </si>
  <si>
    <t>C20H30O5</t>
  </si>
  <si>
    <t>9.93_399.2650m/z</t>
  </si>
  <si>
    <t>10'-Apo-beta-carotenal</t>
  </si>
  <si>
    <t>HMDB0059605</t>
  </si>
  <si>
    <t>R-HSA-1430728,R-HSA-196854,R-HSA-2187338,R-HSA-6806667,R-HSA-9709957,R-HSA-975634</t>
  </si>
  <si>
    <t>Metabolism|Metabolism of vitamins and cofactors|Visual phototransduction|Metabolism of fat-soluble vitamins|Sensory Perception|Retinoid metabolism and transport</t>
  </si>
  <si>
    <t>640-49-3</t>
  </si>
  <si>
    <t>C\C(\C=C\C=O)=C/C=C/C=C(\C)/C=C/C=C(\C)/C=C/C1=C(C)CCCC1(C)C</t>
  </si>
  <si>
    <t>PJEHRCCPERVGEC-FLHUAPOTSA-N</t>
  </si>
  <si>
    <t>Sesterterpenoids</t>
  </si>
  <si>
    <t>C27H36O</t>
  </si>
  <si>
    <t>12.23_634.4096m/z</t>
  </si>
  <si>
    <t>PS(13:0/13:0)</t>
  </si>
  <si>
    <t>LMGP03010971</t>
  </si>
  <si>
    <t>C(O)(=O)[C@@]([H])(N)COP(OC[C@]([H])(OC(CCCCCCCCCCCC)=O)COC(CCCCCCCCCCCC)=O)(=O)O</t>
  </si>
  <si>
    <t>WARVLDUQGPRJFS-WDYNHAJCSA-N</t>
  </si>
  <si>
    <t>10.95_704.5003m/z</t>
  </si>
  <si>
    <t>PG(P-16:0/16:1(9Z))</t>
  </si>
  <si>
    <t>LMGP04030008</t>
  </si>
  <si>
    <t>[C@]([H])(OC(CCCCCCC/C=C\CCCCCC)=O)(COP(=O)(O)OC[C@@]([H])(O)CO)CO/C=C\CCCCCCCCCCCCCC</t>
  </si>
  <si>
    <t>CIQXNUVMZXADFV-IPHPUKPPSA-N</t>
  </si>
  <si>
    <t>C38H73O9P</t>
  </si>
  <si>
    <t>5.22_156.0214m/z</t>
  </si>
  <si>
    <t>(4-Aminophenyl)phosphonic acid</t>
  </si>
  <si>
    <t>HMDB0243614</t>
  </si>
  <si>
    <t>NC1=CC=C(C=C1)P(O)(O)=O</t>
  </si>
  <si>
    <t>OAOBMEMWHJWPNA-UHFFFAOYSA-N</t>
  </si>
  <si>
    <t>Aniline and substituted anilines</t>
  </si>
  <si>
    <t>C6H8NO3P</t>
  </si>
  <si>
    <t>4.90_460.1326n</t>
  </si>
  <si>
    <t>Apremilast</t>
  </si>
  <si>
    <t>HMDB0248531</t>
  </si>
  <si>
    <t>CCOC1=C(OC)C=CC(=C1)C(CS(C)(=O)=O)N1C(=O)C2=C(C1=O)C(NC(C)=O)=CC=C2</t>
  </si>
  <si>
    <t>IMOZEMNVLZVGJZ-UHFFFAOYSA-N</t>
  </si>
  <si>
    <t>Isoindoles and derivatives</t>
  </si>
  <si>
    <t>Isoindolines</t>
  </si>
  <si>
    <t>C22H24N2O7S</t>
  </si>
  <si>
    <t>11.62_622.4094m/z</t>
  </si>
  <si>
    <t>PA(10:0/18:1(9Z)-O(12,13))</t>
  </si>
  <si>
    <t>HMDB0262701</t>
  </si>
  <si>
    <t>[H][C@@](COC(=O)CCCCCCCCC)(COP(O)(O)=O)OC(=O)CCCCCCC\C=C/CC1OC1CCCCC</t>
  </si>
  <si>
    <t>DEXKYTZVXQLROK-HXYRWNHWSA-N</t>
  </si>
  <si>
    <t>C31H57O9P</t>
  </si>
  <si>
    <t>12.31_646.4095m/z</t>
  </si>
  <si>
    <t>PS(15:1(9Z)/12:0)</t>
  </si>
  <si>
    <t>LMGP03010161</t>
  </si>
  <si>
    <t>C(O)(=O)[C@@]([H])(N)COP(OC[C@]([H])(OC(CCCCCCCCCCC)=O)COC(CCCCCCC/C=C\CCCCC)=O)(=O)O</t>
  </si>
  <si>
    <t>SHFDUEUCBVUBOB-SGLFAEFCSA-N</t>
  </si>
  <si>
    <t>C33H62NO10P</t>
  </si>
  <si>
    <t>9.91_540.3078m/z</t>
  </si>
  <si>
    <t>PC(6:2(3E,5E)/14:2(11E,13E))</t>
  </si>
  <si>
    <t>HMDB0256166</t>
  </si>
  <si>
    <t>C[N+](C)(C)CCOP([O-])(=O)OCC(COC(=O)CC=CC=C)OC(=O)CCCCCCCCCC=CC=C</t>
  </si>
  <si>
    <t>PCVXFMVFELOBDV-UHFFFAOYSA-N</t>
  </si>
  <si>
    <t>C28H48NO8P</t>
  </si>
  <si>
    <t>4.84_696.3348m/z</t>
  </si>
  <si>
    <t>PC(6 keto-PGF1alpha/2:0)</t>
  </si>
  <si>
    <t>HMDB0288831</t>
  </si>
  <si>
    <t>CCCCC[C@H](O)\C=C\[C@H]1[C@H](O)C[C@H](O)[C@@H]1CC(=O)CCCCC(=O)OC[C@H](COP([O-])(=O)OCC[N+](C)(C)C)OC(C)=O</t>
  </si>
  <si>
    <t>ITAKUNZFEAUARB-ODUHEXQXSA-N</t>
  </si>
  <si>
    <t>C30H54NO12P</t>
  </si>
  <si>
    <t>5.79_453.2112m/z</t>
  </si>
  <si>
    <t>Anhydrocinnzeylanine</t>
  </si>
  <si>
    <t>HMDB0036864</t>
  </si>
  <si>
    <t>68799-62-2</t>
  </si>
  <si>
    <t>CC(C)C1=C(C)C2(O)C(O)(C1)C1(C)CC(=O)OC22C(OC(C)=O)C(C)CCC12O</t>
  </si>
  <si>
    <t>UEXGXCDLLOHGAS-UHFFFAOYSA-N</t>
  </si>
  <si>
    <t>C22H32O7</t>
  </si>
  <si>
    <t>14.80_661.0328m/z</t>
  </si>
  <si>
    <t>GDP-mannuronate</t>
  </si>
  <si>
    <t>HMDB0304366</t>
  </si>
  <si>
    <t>NC1=NC2=C(N=CN2[C@@H]2O[C@H](COP([O-])(=O)OP([O-])(=O)OC3O[C@@H]([C@@H](O)[C@H](O)[C@@H]3O)C([O-])=O)[C@@H](O)[C@H]2O)C(=O)N1</t>
  </si>
  <si>
    <t>DNBSDUDYNPJVCN-MVUGPJFESA-K</t>
  </si>
  <si>
    <t>Purine nucleotides</t>
  </si>
  <si>
    <t>Purine nucleotide sugars</t>
  </si>
  <si>
    <t>C16H20N5O17P2-3</t>
  </si>
  <si>
    <t>8.83_349.2022m/z</t>
  </si>
  <si>
    <t>15-oxo-5S,6R-dihydroxy-7E,9E,11Z,13E-eicosatetraenoic acid</t>
  </si>
  <si>
    <t>HMDB0062300</t>
  </si>
  <si>
    <t>[H]\C(\C(\[H])=C(/[H])\C(\[H])=C(/[H])[C@@]([H])(O)[C@@]([H])(O)CCCC(O)=O)=C(/[H])C([H])=C([H])C(=O)CCCCC</t>
  </si>
  <si>
    <t>KMQGFEBCBYXSPZ-LJWKICLNSA-N</t>
  </si>
  <si>
    <t>10.37_529.3834m/z</t>
  </si>
  <si>
    <t>Hexadehydro-beta-caroten-3-ol</t>
  </si>
  <si>
    <t>LMPR01070630</t>
  </si>
  <si>
    <t>C1C(C)(C)C(C#C/C(/C)=C/C=C/C(/C)=C/C=C/C=C(\C)/C=C/C=C(\C)/C#CC2=C(C)C=CCC2(C)C)=C(C)C[C@H]1O</t>
  </si>
  <si>
    <t>HHSVFCTVGDLNGW-HWKXDCSISA-N</t>
  </si>
  <si>
    <t>C40H50O</t>
  </si>
  <si>
    <t>9.36_377.2315m/z</t>
  </si>
  <si>
    <t>(10S,13S,17S)-d15-11-NeuroF[11R,14R]</t>
  </si>
  <si>
    <t>LMFA04020109</t>
  </si>
  <si>
    <t>C(CC/C=C\C/C=C\C[C@H](O)[C@]1([H])O[C@]([H])(/C=C/[C@@H](O)C/C=C\CC)[C@@H](O)C1)(=O)O</t>
  </si>
  <si>
    <t>AGFIBXIWRJTBJA-AMQJWRPTSA-N</t>
  </si>
  <si>
    <t>6.59_383.2077m/z</t>
  </si>
  <si>
    <t>1beta,3beta,5alpha,6beta-tetrahydroxyandrostan-17-one</t>
  </si>
  <si>
    <t>LMST02020108</t>
  </si>
  <si>
    <t>C1[C@H](O)C[C@@]2(O)[C@@](C)([C@@]3([H])CC[C@]4(C)C(=O)CC[C@@]4([H])[C@]3([H])C[C@H]2O)[C@@H]1O</t>
  </si>
  <si>
    <t>ONHQGXIEYFYVDF-MESRZZFMSA-N</t>
  </si>
  <si>
    <t>C19H30O5</t>
  </si>
  <si>
    <t>8.59_615.2679m/z</t>
  </si>
  <si>
    <t>2-Carboxy-1-[5-(2-carboxy-1-pyrrolidinyl)-2-hydroxy-2,4-pentadienylidene]pyrrolidinium</t>
  </si>
  <si>
    <t>HMDB0035173</t>
  </si>
  <si>
    <t>214150-43-3</t>
  </si>
  <si>
    <t>OC(=O)C1CCC\[N+]1=C/C=C/C(/O)=C\N1CCCC1C([O-])=O</t>
  </si>
  <si>
    <t>DJTFHMOANYEGKP-UHFFFAOYSA-N</t>
  </si>
  <si>
    <t>C15H20N2O5</t>
  </si>
  <si>
    <t>6.35_383.2077m/z</t>
  </si>
  <si>
    <t>20-Trihydroxy-leukotriene-B4</t>
  </si>
  <si>
    <t>HMDB0012643</t>
  </si>
  <si>
    <t>LMFA03020066</t>
  </si>
  <si>
    <t>O[C@@H](/C=C\C=C\C=C\[C@H](C/C=C\CCCCC(O)(O)O)O)CCCC(=O)O</t>
  </si>
  <si>
    <t>UZWWTCBNUQJEPB-WLMOLUCVSA-N</t>
  </si>
  <si>
    <t>C20H32O7</t>
  </si>
  <si>
    <t>8.21_397.1987m/z</t>
  </si>
  <si>
    <t>oscr#21</t>
  </si>
  <si>
    <t>LMFA13040080</t>
  </si>
  <si>
    <t>O[C@@H]1C[C@@H](O)[C@H](C)O[C@H]1OCCCCCCCCCC/C=C/C(=O)O</t>
  </si>
  <si>
    <t>DEQPIGLSNWHDFR-VATKAKJBSA-N</t>
  </si>
  <si>
    <t>C19H34O6</t>
  </si>
  <si>
    <t>12.93_309.1742m/z</t>
  </si>
  <si>
    <t>8-O-Methyloblongine</t>
  </si>
  <si>
    <t>HMDB0034579</t>
  </si>
  <si>
    <t>152230-58-5</t>
  </si>
  <si>
    <t>COC1=C(OC)C2=C(CC[N+](C)(C)C2CC2=CC=C(O)C=C2)C=C1</t>
  </si>
  <si>
    <t>QZJMBSSODVCTRD-UHFFFAOYSA-O</t>
  </si>
  <si>
    <t>Isoquinolines and derivatives</t>
  </si>
  <si>
    <t>Benzylisoquinolines</t>
  </si>
  <si>
    <t>C20H26NO3+</t>
  </si>
  <si>
    <t>401</t>
  </si>
  <si>
    <t>Myo-Inositol</t>
  </si>
  <si>
    <t>C00137</t>
  </si>
  <si>
    <t>hsa00052,hsa00053,hsa00562,hsa02010,hsa04070</t>
  </si>
  <si>
    <t>Galactose metabolism|Ascorbate and aldarate metabolism|Inositol phosphate metabolism|ABC transporters|Phosphatidylinositol signaling system</t>
  </si>
  <si>
    <t>87-9-8</t>
  </si>
  <si>
    <t>C1(C(C(C(C(C1O)O)O)O)O)O</t>
  </si>
  <si>
    <t>CDAISMWEOUEBRE-UHFFFAOYSA-N</t>
  </si>
  <si>
    <t>C6H12O6</t>
  </si>
  <si>
    <t>12.32_898.5462m/z</t>
  </si>
  <si>
    <t>PS(20:5(5Z,8Z,11Z,14Z,16E)-OH(18)/20:0)</t>
  </si>
  <si>
    <t>HMDB0282108</t>
  </si>
  <si>
    <t>[H][C@@](COC(=O)CCC\C=C/C\C=C/C\C=C/C=C/CC(O)\C=C/CC)(COP(O)(=O)OC[C@H](N)C(O)=O)OC(=O)CCCCCCCCCCCCCCCCCCC</t>
  </si>
  <si>
    <t>HOGUIDAPHCCIPG-GRWJXYCOSA-N</t>
  </si>
  <si>
    <t>C46H80NO11P</t>
  </si>
  <si>
    <t>11.11_612.3268m/z</t>
  </si>
  <si>
    <t>PI(19:1(9Z)/0:0)</t>
  </si>
  <si>
    <t>LMGP06050018</t>
  </si>
  <si>
    <t>[C@]([H])(O)(COP(=O)(O)O[C@H]1[C@H](O)[C@@H](O)[C@H](O)[C@@H](O)[C@H]1O)COC(CCCCCCC/C=C\CCCCCCCCC)=O</t>
  </si>
  <si>
    <t>USRBSGCIOAIXMX-PVUGVYIOSA-N</t>
  </si>
  <si>
    <t>Glycerophosphoinositols</t>
  </si>
  <si>
    <t>C28H53O12P</t>
  </si>
  <si>
    <t>10.09_405.3683m/z</t>
  </si>
  <si>
    <t>25-hydroxy-cholesterol(d3)</t>
  </si>
  <si>
    <t>HMDB06247</t>
  </si>
  <si>
    <t>LMST01010002</t>
  </si>
  <si>
    <t>C15519</t>
  </si>
  <si>
    <t>hsa00120,hsa04148</t>
  </si>
  <si>
    <t>Primary bile acid biosynthesis|Efferocytosis</t>
  </si>
  <si>
    <t>[C@]12(CC=C3C[C@@H](O)CC[C@]3(C)[C@@]1([H])CC[C@]1(C)[C@@]([H])([C@@](C)([H])CCCC(C([2H])([2H])[2H])(O)C)CC[C@@]21[H])[H]</t>
  </si>
  <si>
    <t>INBGSXNNRGWLJU-HQTLNVIASA-N</t>
  </si>
  <si>
    <t>Cholestane steroids</t>
  </si>
  <si>
    <t>C27H[2]3H[1]43O2</t>
  </si>
  <si>
    <t>4.25_243.1712m/z</t>
  </si>
  <si>
    <t>Leucyl-Isoleucine</t>
  </si>
  <si>
    <t>HMDB0028932</t>
  </si>
  <si>
    <t>CCC(C)C(NC(=O)C(N)CC(C)C)C(O)=O</t>
  </si>
  <si>
    <t>AZLASBBHHSLQDB-UHFFFAOYSA-N</t>
  </si>
  <si>
    <t>C12H24N2O3</t>
  </si>
  <si>
    <t>0.64_390.2782n</t>
  </si>
  <si>
    <t>D8'-Merulinic acid A</t>
  </si>
  <si>
    <t>HMDB0041454</t>
  </si>
  <si>
    <t>69506-65-6</t>
  </si>
  <si>
    <t>CCCCCCCC\C=C\CCCCCCCC1=CC(O)=CC(O)=C1C(O)=O</t>
  </si>
  <si>
    <t>IXDZSQUQSCLSSD-MDZDMXLPSA-N</t>
  </si>
  <si>
    <t>Benzoic acids and derivatives</t>
  </si>
  <si>
    <t>M+Na, M+K</t>
  </si>
  <si>
    <t>C24H38O4</t>
  </si>
  <si>
    <t>12.14_630.4619m/z</t>
  </si>
  <si>
    <t>PA(P-16:0/16:1(9Z))</t>
  </si>
  <si>
    <t>LMGP10030008</t>
  </si>
  <si>
    <t>[C@](COP(=O)(O)O)([H])(OC(CCCCCCC/C=C\CCCCCC)=O)CO/C=C\CCCCCCCCCCCCCC</t>
  </si>
  <si>
    <t>QXUJUCDNIZRFCB-DZRJQAFYSA-N</t>
  </si>
  <si>
    <t>C35H67O7P</t>
  </si>
  <si>
    <t>9.66_411.0072m/z</t>
  </si>
  <si>
    <t>3-Oxalomalic acid</t>
  </si>
  <si>
    <t>HMDB0245962</t>
  </si>
  <si>
    <t>C01990</t>
  </si>
  <si>
    <t>hsa00630</t>
  </si>
  <si>
    <t>Glyoxylate and dicarboxylate metabolism</t>
  </si>
  <si>
    <t>OC(C(C(O)=O)C(=O)C(O)=O)C(O)=O</t>
  </si>
  <si>
    <t>YILAUJBAPQXZGM-UHFFFAOYSA-N</t>
  </si>
  <si>
    <t>Tricarboxylic acids and derivatives</t>
  </si>
  <si>
    <t>C6H6O8</t>
  </si>
  <si>
    <t>9.66_370.2599m/z</t>
  </si>
  <si>
    <t>ent-5-E2c-IsoP</t>
  </si>
  <si>
    <t>LMFA03110181</t>
  </si>
  <si>
    <t>C(CCC[C@@H](O)/C=C/[C@@H]1C(=O)C[C@H](O)[C@@H]1C/C=C\CCCCC)(=O)O</t>
  </si>
  <si>
    <t>CGZQBRAFJZQQFI-BXGMEBJPSA-N</t>
  </si>
  <si>
    <t>12.00_557.4149m/z</t>
  </si>
  <si>
    <t>DG(i-12:0/20:5(5Z,8Z,11Z,14Z,16E)-OH(18R)/0:0)</t>
  </si>
  <si>
    <t>HMDB0298430</t>
  </si>
  <si>
    <t>CC[C@@H](O)\C=C\C=C/C\C=C/C\C=C/C\C=C/CCCC(=O)O[C@@H](CO)COC(=O)CCCCCCCCC(C)C</t>
  </si>
  <si>
    <t>NYPUUFSVARMLGP-ONRDFDFESA-N</t>
  </si>
  <si>
    <t>C35H58O6</t>
  </si>
  <si>
    <t>8.73_353.2335m/z</t>
  </si>
  <si>
    <t>13,14-Dihydro-15-keto-PGE1</t>
  </si>
  <si>
    <t>HMDB0244516</t>
  </si>
  <si>
    <t>CCCCCC(=O)CCC1C(O)CC(=O)C1CCCCCCC(O)=O</t>
  </si>
  <si>
    <t>CDUVSQMTLOYKTR-UHFFFAOYSA-N</t>
  </si>
  <si>
    <t>9.91_561.0365m/z</t>
  </si>
  <si>
    <t>Ajocysteine</t>
  </si>
  <si>
    <t>HMDB0041052</t>
  </si>
  <si>
    <t>NC(CSS\C=C\CS(=O)CC=C)C(O)=O</t>
  </si>
  <si>
    <t>URBPKPSYQPHFAT-ONEGZZNKSA-N</t>
  </si>
  <si>
    <t>C9H15NO3S3</t>
  </si>
  <si>
    <t>8.53_311.2229m/z</t>
  </si>
  <si>
    <t>8-nonylenic acid</t>
  </si>
  <si>
    <t>LMFA01030028</t>
  </si>
  <si>
    <t>C(CCCCCCC(=O)O)=C</t>
  </si>
  <si>
    <t>AWQOXJOAQMCOED-UHFFFAOYSA-N</t>
  </si>
  <si>
    <t>C9H16O2</t>
  </si>
  <si>
    <t>14.81_401.3426m/z</t>
  </si>
  <si>
    <t>7beta-Hydroxycholest-4-en-3-one</t>
  </si>
  <si>
    <t>LMST04030126</t>
  </si>
  <si>
    <t>C1[C@]2(C)[C@@]3([H])CC[C@]4(C)[C@@]([H])([C@]([H])(C)CCCC(C)C)CC[C@@]4([H])[C@]3([H])[C@@H](O)CC2=CC(=O)C1</t>
  </si>
  <si>
    <t>IOIZWEJGGCZDOL-BXLWXSRCSA-N</t>
  </si>
  <si>
    <t>C27H44O2</t>
  </si>
  <si>
    <t>12.17_886.5459m/z</t>
  </si>
  <si>
    <t>Palmitoyl rhizoxin</t>
  </si>
  <si>
    <t>HMDB0256089</t>
  </si>
  <si>
    <t>CCCCCCCCCCCCCCCC(=O)OC1CC(OC(=O)C2OC2CC2CC(OC(=O)C2)C(C)C=CC2OC12C)C(C)C(OC)C(C)=CC=CC(C)=CC1=COC(C)=N1</t>
  </si>
  <si>
    <t>ZFYKZAKRJRNXGF-UHFFFAOYSA-N</t>
  </si>
  <si>
    <t>C51H77NO10</t>
  </si>
  <si>
    <t>11.03_258.1838n</t>
  </si>
  <si>
    <t>Diisobutyl adipate</t>
  </si>
  <si>
    <t>HMDB0041618</t>
  </si>
  <si>
    <t>C14260</t>
  </si>
  <si>
    <t>141-04-8</t>
  </si>
  <si>
    <t>CC(C)COC(=O)CCCCC(=O)OCC(C)C</t>
  </si>
  <si>
    <t>RDOFJDLLWVCMRU-UHFFFAOYSA-N</t>
  </si>
  <si>
    <t>Fatty acid esters</t>
  </si>
  <si>
    <t>C14H26O4</t>
  </si>
  <si>
    <t>0.70_136.0485m/z</t>
  </si>
  <si>
    <t>Creatinine</t>
  </si>
  <si>
    <t>HMDB0000562</t>
  </si>
  <si>
    <t>C00791</t>
  </si>
  <si>
    <t>hsa00330</t>
  </si>
  <si>
    <t>Arginine and proline metabolism</t>
  </si>
  <si>
    <t>R-HSA-1430728,R-HSA-382551,R-HSA-425366,R-HSA-425407,R-HSA-549127,R-HSA-549132,R-HSA-71288,R-HSA-71291</t>
  </si>
  <si>
    <t>Metabolism|Transport of small molecules|Transport of bile salts and organic acids, metal ions and amine compounds|SLC-mediated transmembrane transport|Organic cation transport|Organic cation/anion/zwitterion transport|Creatine metabolism|Metabolism of amino acids and derivatives</t>
  </si>
  <si>
    <t>60-27-5</t>
  </si>
  <si>
    <t>CN1CC(=O)NC1=N</t>
  </si>
  <si>
    <t>DDRJAANPRJIHGJ-UHFFFAOYSA-N</t>
  </si>
  <si>
    <t>C4H7N3O</t>
  </si>
  <si>
    <t>5.06_189.1125m/z</t>
  </si>
  <si>
    <t>5R-Hydroxy-4S-methylheptan-3-one</t>
  </si>
  <si>
    <t>LMFA12000093</t>
  </si>
  <si>
    <t>CCC(=O)[C@@H](C)[C@H](O)CC</t>
  </si>
  <si>
    <t>GEZUGFBWAPDBGZ-NKWVEPMBSA-N</t>
  </si>
  <si>
    <t>Carbonyl compounds</t>
  </si>
  <si>
    <t>C8H16O2</t>
  </si>
  <si>
    <t>15.02_395.3644m/z</t>
  </si>
  <si>
    <t>(3beta,4alpha,5alpha,23E)-4-Methylergosta-7,23-dien-3-ol</t>
  </si>
  <si>
    <t>HMDB0033869</t>
  </si>
  <si>
    <t>79683-95-7</t>
  </si>
  <si>
    <t>CC(C)C(\C)=C\CC(C)C1CCC2C3=CCC4C(C)C(O)CCC4(C)C3CCC12C</t>
  </si>
  <si>
    <t>CTWRZEHGRSDRPG-UFWORHAWSA-N</t>
  </si>
  <si>
    <t>Ergostane steroids</t>
  </si>
  <si>
    <t>C29H48O</t>
  </si>
  <si>
    <t>9.24_354.2650m/z</t>
  </si>
  <si>
    <t>PGA1</t>
  </si>
  <si>
    <t>HMDB0002656</t>
  </si>
  <si>
    <t>LMFA03010005</t>
  </si>
  <si>
    <t>C04685</t>
  </si>
  <si>
    <t>14152-28-4</t>
  </si>
  <si>
    <t>C1C(=O)[C@H](CCCCCCC(O)=O)[C@@H](/C=C/[C@@H](O)CCCCC)C=1</t>
  </si>
  <si>
    <t>BGKHCLZFGPIKKU-LDDQNKHRSA-N</t>
  </si>
  <si>
    <t>9.66_415.0018m/z</t>
  </si>
  <si>
    <t>(Z)-[3-(Methylsulfinyl)-1-propenyl] 2-propenyl disulfide</t>
  </si>
  <si>
    <t>HMDB0032653</t>
  </si>
  <si>
    <t>104324-40-5</t>
  </si>
  <si>
    <t>CS(=O)C\C=C\SSCC=C</t>
  </si>
  <si>
    <t>FPQGSXSLZNUUFB-GQCTYLIASA-N</t>
  </si>
  <si>
    <t>Organosulfur compounds</t>
  </si>
  <si>
    <t>Sulfoxides</t>
  </si>
  <si>
    <t>C7H12OS3</t>
  </si>
  <si>
    <t>10.65_697.4918m/z</t>
  </si>
  <si>
    <t>PE-Cer(d16:2(4E,6E)/18:0(2OH))</t>
  </si>
  <si>
    <t>LMSP03020088</t>
  </si>
  <si>
    <t>[C@](COP(=O)(O)OCCN)([H])(NC(C(O)CCCCCCCCCCCCCCCC)=O)[C@]([H])(O)/C=C/C=C/CCCCCCCCC</t>
  </si>
  <si>
    <t>CYHSTOZGRZLJKI-ZOEVFGNZSA-N</t>
  </si>
  <si>
    <t>Phosphosphingolipids</t>
  </si>
  <si>
    <t>C36H71N2O7P</t>
  </si>
  <si>
    <t>11.78_620.3933m/z</t>
  </si>
  <si>
    <t>OOV-PC</t>
  </si>
  <si>
    <t>LMGP20010028</t>
  </si>
  <si>
    <t>[C@](COP(=O)([O-])OCC[N+](C)(C)C)([H])(OC(CCCC=O)=O)COC(CCCCCCC/C=C\CCCCCCCC)=O</t>
  </si>
  <si>
    <t>QIJHXUVSEDYOIU-BKAVPCLVSA-N</t>
  </si>
  <si>
    <t>C31H58NO9P</t>
  </si>
  <si>
    <t>6.20_393.2288m/z</t>
  </si>
  <si>
    <t>Ataprost</t>
  </si>
  <si>
    <t>HMDB0248693</t>
  </si>
  <si>
    <t>OC(C=CC1C(O)CC2CC(CC12)=CCCCC(O)=O)C1CCCC1</t>
  </si>
  <si>
    <t>DKLGLHQHLFISGJ-UHFFFAOYSA-N</t>
  </si>
  <si>
    <t>C21H32O4</t>
  </si>
  <si>
    <t>12.05_345.2048m/z</t>
  </si>
  <si>
    <t>Dehydroabietic acid</t>
  </si>
  <si>
    <t>HMDB0061925</t>
  </si>
  <si>
    <t>LMPR0104050005</t>
  </si>
  <si>
    <t>C12078</t>
  </si>
  <si>
    <t>1740-19-8</t>
  </si>
  <si>
    <t>[C@@]1([C@@]2([H])[C@@](CCC1)(C)C1=CC=C(C=C1CC2)C(C)C)(C)C(O)=O</t>
  </si>
  <si>
    <t>NFWKVWVWBFBAOV-MISYRCLQSA-N</t>
  </si>
  <si>
    <t>C20H28O2</t>
  </si>
  <si>
    <t>10.97_377.1632m/z</t>
  </si>
  <si>
    <t>O-Demethylencainide</t>
  </si>
  <si>
    <t>HMDB0255848</t>
  </si>
  <si>
    <t>CN1CCCCC1CCC1=CC=CC=C1NC(=O)C1=CC=C(O)C=C1</t>
  </si>
  <si>
    <t>QMHJFCPHRGVEAF-UHFFFAOYSA-N</t>
  </si>
  <si>
    <t>Anilides</t>
  </si>
  <si>
    <t>C21H26N2O2</t>
  </si>
  <si>
    <t>11.57_740.5269m/z</t>
  </si>
  <si>
    <t>PE-NMe2(14:0/18:1(9Z))</t>
  </si>
  <si>
    <t>HMDB0113851</t>
  </si>
  <si>
    <t>[H]C(COC(=O)CCCCCCCCCCCCC)(COP(O)(=O)OCCN(C)C)OC(=O)CCCCCCC\C=C/CCCCCCCC</t>
  </si>
  <si>
    <t>IURHFFODMKHYOZ-HNENSFHCSA-N</t>
  </si>
  <si>
    <t>C39H76NO8P</t>
  </si>
  <si>
    <t>9.83_452.9985m/z</t>
  </si>
  <si>
    <t>Nitroglycerin</t>
  </si>
  <si>
    <t>HMDB0014865</t>
  </si>
  <si>
    <t>C07455</t>
  </si>
  <si>
    <t>R-HSA-397014,R-HSA-445355</t>
  </si>
  <si>
    <t>Muscle contraction|Smooth Muscle Contraction</t>
  </si>
  <si>
    <t>55-63-0</t>
  </si>
  <si>
    <t>[O-][N+](=O)OCC(CO[N+]([O-])=O)O[N+]([O-])=O</t>
  </si>
  <si>
    <t>SNIOPGDIGTZGOP-UHFFFAOYSA-N</t>
  </si>
  <si>
    <t>Organic oxoanionic compounds</t>
  </si>
  <si>
    <t>Organic nitrates</t>
  </si>
  <si>
    <t>C3H5N3O9</t>
  </si>
  <si>
    <t>8.78_374.2084n</t>
  </si>
  <si>
    <t>8-oxo-Resolvin D1</t>
  </si>
  <si>
    <t>LMFA04030009</t>
  </si>
  <si>
    <t>R-HSA-1430728,R-HSA-556833,R-HSA-9018676,R-HSA-9018677,R-HSA-9018678</t>
  </si>
  <si>
    <t>Metabolism|Metabolism of lipids|Biosynthesis of D-series resolvins|Biosynthesis of DHA-derived SPMs|Biosynthesis of specialized proresolving mediators (SPMs)</t>
  </si>
  <si>
    <t>C(CC/C=C\C[C@H](O)C(=O)/C=C/C=C/C=C\C=C\[C@@H](O)C/C=C\CC)(=O)O</t>
  </si>
  <si>
    <t>LUPPRXHPUZNWES-BZRROHBCSA-N</t>
  </si>
  <si>
    <t>13.51_429.2620m/z</t>
  </si>
  <si>
    <t>Solacetal B</t>
  </si>
  <si>
    <t>LMFA02000382</t>
  </si>
  <si>
    <t>C(CCCCCCC[C@@H]1O[C@H](C2=CC=C(O)C=C2)O[C@H](/C=C\C/C=C/CC)[C@H]1O)(=O)OC</t>
  </si>
  <si>
    <t>DNRPVMBGWBVXOO-QFDBAHOHSA-N</t>
  </si>
  <si>
    <t>C26H38O6</t>
  </si>
  <si>
    <t>8.81_419.2055m/z</t>
  </si>
  <si>
    <t>Armillane</t>
  </si>
  <si>
    <t>HMDB0035779</t>
  </si>
  <si>
    <t>126006-69-7</t>
  </si>
  <si>
    <t>CC1=CC(C(=O)OC2CC3(C)C4CC(C)(C)CC4C(O)C(CO)C23O)=C(O)C=C1O</t>
  </si>
  <si>
    <t>XAJFXYLALLZDAD-UHFFFAOYSA-N</t>
  </si>
  <si>
    <t>C23H32O7</t>
  </si>
  <si>
    <t>12.06_692.4514m/z</t>
  </si>
  <si>
    <t>DG(13:0/LTE4/0:0)</t>
  </si>
  <si>
    <t>HMDB0294889</t>
  </si>
  <si>
    <t>CCCCCCCCCCCCC(=O)OC[C@H](CO)OC(=O)[C@@H](N)CS[C@H](\C=C\C=C\C=C/C\C=C/CCCCC)[C@@H](O)CCCC(O)=O</t>
  </si>
  <si>
    <t>IAUUSUSEZKZQMQ-WTUWNYNPSA-N</t>
  </si>
  <si>
    <t>C39H67NO8S</t>
  </si>
  <si>
    <t>5.71_319.0597m/z</t>
  </si>
  <si>
    <t>4-Sulfoxyphenylacetyl dehydroalanine</t>
  </si>
  <si>
    <t>HMDB0246581</t>
  </si>
  <si>
    <t>OC(=O)C(=C)NC(=O)CC1=CC=C(OS(O)(=O)=O)C=C1</t>
  </si>
  <si>
    <t>BTLKSOMRDDBUNH-UHFFFAOYSA-N</t>
  </si>
  <si>
    <t>C11H11NO7S</t>
  </si>
  <si>
    <t>13.51_349.2361m/z</t>
  </si>
  <si>
    <t>Statine</t>
  </si>
  <si>
    <t>HMDB0258487</t>
  </si>
  <si>
    <t>CC(C)CC(N)C(O)CC(O)=O</t>
  </si>
  <si>
    <t>DFVFTMTWCUHJBL-UHFFFAOYSA-N</t>
  </si>
  <si>
    <t>C8H17NO3</t>
  </si>
  <si>
    <t>10.33_692.4510m/z</t>
  </si>
  <si>
    <t>PS(17:0/12:0)</t>
  </si>
  <si>
    <t>LMGP03010226</t>
  </si>
  <si>
    <t>C(O)(=O)[C@@]([H])(N)COP(OC[C@]([H])(OC(CCCCCCCCCCC)=O)COC(CCCCCCCCCCCCCCCC)=O)(=O)O</t>
  </si>
  <si>
    <t>RSJVOQDJKGVTOI-ZWXJPIIXSA-N</t>
  </si>
  <si>
    <t>C35H68NO10P</t>
  </si>
  <si>
    <t>9.28_414.2022n</t>
  </si>
  <si>
    <t>Eplerenone</t>
  </si>
  <si>
    <t>HMDB0014838</t>
  </si>
  <si>
    <t>C12512</t>
  </si>
  <si>
    <t>107724-20-9</t>
  </si>
  <si>
    <t>[H][C@@]12CC[C@@]3(CCC(=O)O3)[C@@]1(C)C[C@H]1O[C@@]11[C@@]2([H])[C@@H](CC2=CC(=O)CC[C@]12C)C(=O)OC</t>
  </si>
  <si>
    <t>JUKPWJGBANNWMW-VWBFHTRKSA-N</t>
  </si>
  <si>
    <t>Steroid lactones</t>
  </si>
  <si>
    <t>M+Na, M+K, M+H, M+H-H2O</t>
  </si>
  <si>
    <t>C24H30O6</t>
  </si>
  <si>
    <t>11.29_638.4049m/z</t>
  </si>
  <si>
    <t>PHODA-PA</t>
  </si>
  <si>
    <t>LMGP20070001</t>
  </si>
  <si>
    <t>[C@](COP(=O)(O)O)([H])(OC(CCCCCCCC(O)/C=C/C([H])=O)=O)COC(CCCCCCCCCCCCCCC)=O</t>
  </si>
  <si>
    <t>QVIJALCHDWNZAH-SROCVZBCSA-N</t>
  </si>
  <si>
    <t>C31H57O10P</t>
  </si>
  <si>
    <t>6.58_384.2161n</t>
  </si>
  <si>
    <t>Berkeleylactone E</t>
  </si>
  <si>
    <t>LMFA07040165</t>
  </si>
  <si>
    <t>[C@@H]1([C@@H](OC(=O)CCC(=O)O)CCCCCCCCC[C@@H](C)OC(=O)C=C1)O</t>
  </si>
  <si>
    <t>FHTCEVVYDAAWIA-OVPLUVTGSA-N</t>
  </si>
  <si>
    <t>13.51_334.9955m/z</t>
  </si>
  <si>
    <t>1,1,1,2,3,3-Hexafluoro-2-propanol</t>
  </si>
  <si>
    <t>HMDB0244036</t>
  </si>
  <si>
    <t>OC(F)(C(F)F)C(F)(F)F</t>
  </si>
  <si>
    <t>NMFQPFSIPWZZMR-UHFFFAOYSA-N</t>
  </si>
  <si>
    <t>Organohalogen compounds</t>
  </si>
  <si>
    <t>Halohydrins</t>
  </si>
  <si>
    <t>Fluorohydrins</t>
  </si>
  <si>
    <t>C3H2F6O</t>
  </si>
  <si>
    <t>8.31_421.2219m/z</t>
  </si>
  <si>
    <t>7-epi-7-E4t-NeuroP</t>
  </si>
  <si>
    <t>LMFA04010290</t>
  </si>
  <si>
    <t>C(CC/C=C\C[C@@H](O)/C=C/[C@@H]1C(=O)C[C@@H](O)[C@@H]1C/C=C\C/C=C\CC)(=O)O</t>
  </si>
  <si>
    <t>KSUMVDZATHWLCP-AUUAYTDOSA-N</t>
  </si>
  <si>
    <t>C22H32O5</t>
  </si>
  <si>
    <t>12.56_656.4291n</t>
  </si>
  <si>
    <t>Enalkiren</t>
  </si>
  <si>
    <t>HMDB0251784</t>
  </si>
  <si>
    <t>COC1=CC=C(CC(NC(=O)CC(C)(C)N)C(=O)NC(CC2=CN=CN2)C(=O)NC(CC2CCCCC2)C(O)C(O)CC(C)C)C=C1</t>
  </si>
  <si>
    <t>KQXVERRYBYGQJZ-UHFFFAOYSA-N</t>
  </si>
  <si>
    <t>Peptidomimetics</t>
  </si>
  <si>
    <t>Hybrid peptides</t>
  </si>
  <si>
    <t>C35H56N6O6</t>
  </si>
  <si>
    <t>10.59_586.3099m/z</t>
  </si>
  <si>
    <t>17-AAG</t>
  </si>
  <si>
    <t>HMDB0244762</t>
  </si>
  <si>
    <t>COC1CC(C)CC2=C(NCC=C)C(=O)C=C(NC(=O)C(C)=CC=CC(OC)C(OC(N)=O)C(C)=CC(C)C1O)C2=O</t>
  </si>
  <si>
    <t>AYUNIORJHRXIBJ-UHFFFAOYSA-N</t>
  </si>
  <si>
    <t>Macrolactams</t>
  </si>
  <si>
    <t>C31H43N3O8</t>
  </si>
  <si>
    <t>11.31_321.2432m/z</t>
  </si>
  <si>
    <t>(5E,8E,11E,14E)-19-Hydroxyicosa-5,8,11,14-tetraenoic acid</t>
  </si>
  <si>
    <t>HMDB0243622</t>
  </si>
  <si>
    <t>115461-39-7</t>
  </si>
  <si>
    <t>CC(O)CCCC=CCC=CCC=CCC=CCCCC(O)=O</t>
  </si>
  <si>
    <t>XFUXZHQUWPFWPR-UHFFFAOYSA-N</t>
  </si>
  <si>
    <t>12.70_376.1941m/z</t>
  </si>
  <si>
    <t>10-(2-(Diethylamino)ethyl)-9(10H)-acridinone (4,5-dihydro-2-thiazolyl)hydrazone</t>
  </si>
  <si>
    <t>HMDB0257256</t>
  </si>
  <si>
    <t>CCN(CC)CCN1C2=CC=CC=C2C(=NNC2=NCCS2)C2=CC=CC=C12</t>
  </si>
  <si>
    <t>OFJBLFHGVVUQEU-UHFFFAOYSA-N</t>
  </si>
  <si>
    <t>Quinolines and derivatives</t>
  </si>
  <si>
    <t>Benzoquinolines</t>
  </si>
  <si>
    <t>C22H27N5S</t>
  </si>
  <si>
    <t>9.01_337.2386m/z</t>
  </si>
  <si>
    <t>3a,17a-Dihydroxy-5b-androstane</t>
  </si>
  <si>
    <t>HMDB0000383</t>
  </si>
  <si>
    <t>C07632</t>
  </si>
  <si>
    <t>5856-10-0</t>
  </si>
  <si>
    <t>C[C@]12CCC3C(CCC4C[C@H](O)CC[C@]34C)C1CC[C@H]2O</t>
  </si>
  <si>
    <t>CBMYJHIOYJEBSB-CRQQDORFSA-N</t>
  </si>
  <si>
    <t>C19H32O2</t>
  </si>
  <si>
    <t>9.66_377.0042m/z</t>
  </si>
  <si>
    <t>1-[[Difluoro-(2,3,4-trifluorophenyl)methoxy]-difluoromethyl]-2,3,4-trifluorobenzene</t>
  </si>
  <si>
    <t>HMDB0257902</t>
  </si>
  <si>
    <t>FC1=C(F)C(F)=C(C=C1)C(F)(F)OC(F)(F)C1=C(F)C(F)=C(F)C=C1</t>
  </si>
  <si>
    <t>BLAVPXRZQITLLF-UHFFFAOYSA-N</t>
  </si>
  <si>
    <t>Halobenzenes</t>
  </si>
  <si>
    <t>C14H4F10O</t>
  </si>
  <si>
    <t>548</t>
  </si>
  <si>
    <t>Cholesterol</t>
  </si>
  <si>
    <t>HMDB0000067</t>
  </si>
  <si>
    <t>LMST01010001</t>
  </si>
  <si>
    <t>C00187</t>
  </si>
  <si>
    <t>hsa00100,hsa00120,hsa00140,hsa04148,hsa04913,hsa04925,hsa04927,hsa04934,hsa04975,hsa04976,hsa04977,hsa04979,hsa05200,hsa05217,hsa05417</t>
  </si>
  <si>
    <t>Steroid biosynthesis|Primary bile acid biosynthesis|Steroid hormone biosynthesis|Efferocytosis|Ovarian steroidogenesis|Aldosterone synthesis and secretion|Cortisol synthesis and secretion|Cushing syndrome|Fat digestion and absorption|Bile secretion|Vitamin digestion and absorption|Cholesterol metabolism|Pathways in cancer|Basal cell carcinoma|Lipid and atherosclerosis</t>
  </si>
  <si>
    <t>R-HSA-109582,R-HSA-1266738,R-HSA-1369062,R-HSA-1430728,R-HSA-156580,R-HSA-156584,R-HSA-162582,R-HSA-163560,R-HSA-1643685,R-HSA-1655829,R-HSA-168249,R-HSA-168256,R-HSA-168898,R-HSA-174824,R-HSA-191273,R-HSA-192105,R-HSA-192456,R-HSA-193368,R-HSA-193775,R-HSA-193807,R-HSA-194068,R-HSA-196071,R-HSA-196108,R-HSA-196854,R-HSA-199991,R-HSA-202733,R-HSA-211859,R-HSA-211897,R-HSA-211945,R-HSA-211976,R-HSA-2168880,R-HSA-2173782,R-HSA-2187338,R-HSA-2262752,R-HSA-3000471,R-HSA-3000480,R-HSA-3000484,R-HSA-3000497,R-HSA-382551,R-HSA-382556,R-HSA-418346,R-HSA-432142,R-HSA-5358346,R-HSA-5358351,R-HSA-5362768,R-HSA-5387390,R-HSA-556833,R-HSA-5619084,R-HSA-5619115,R-HSA-5653656,R-HSA-5663202,R-HSA-5679090,R-HSA-5679096,R-HSA-5682113,R-HSA-5686938,R-HSA-6805567,R-HSA-6806667,R-HSA-6807047,R-HSA-6807062,R-HSA-6809371,R-HSA-8856825,R-HSA-8856828,R-HSA-8866423,R-HSA-8935690,R-HSA-8953897,R-HSA-8957322,R-HSA-8963676,R-HSA-8963678,R-HSA-8963743,R-HSA-8963888,R-HSA-8963896,R-HSA-8963898,R-HSA-8963899,R-HSA-8963901,R-HSA-8964011,R-HSA-8964026,R-HSA-8964038,R-HSA-8964041,R-HSA-8964043,R-HSA-8964046,R-HSA-8964058,R-HSA-8979227,R-HSA-9707616,R-HSA-9709957,R-HSA-975634</t>
  </si>
  <si>
    <t>Hemostasis|Developmental Biology|ABC transporters in lipid homeostasis|Metabolism|Phase II - Conjugation of compounds|Cytosolic sulfonation of small molecules|Signal Transduction|Triglyceride catabolism|Disease|Regulation of cholesterol biosynthesis by SREBP (SREBF)|Innate Immune System|Immune System|Toll-like Receptor Cascades|Plasma lipoprotein assembly, remodeling, and clearance|Cholesterol biosynthesis|Synthesis of bile acids and bile salts|Digestion of dietary lipid|Synthesis of bile acids and bile salts via 7alpha-hydroxycholesterol|Synthesis of bile acids and bile salts via 24-hydroxycholesterol|Synthesis of bile acids and bile salts via 27-hydroxycholesterol|Bile acid and bile salt metabolism|Metabolism of steroid hormones|Pregnenolone biosynthesis|Metabolism of vitamins and cofactors|Membrane Trafficking|Cell surface interactions at the vascular wall|Biological oxidations|Cytochrome P450 - arranged by substrate type|Phase I - Functionalization of compounds|Endogenous sterols|Scavenging of heme from plasma|Binding and Uptake of Ligands by Scavenger Receptors|Visual phototransduction|Cellular responses to stress|Scavenging by Class B Receptors|Scavenging by Class A Receptors|Scavenging by Class F Receptors|Scavenging by Class H Receptors|Transport of small molecules|ABC-family proteins mediated transport|Platelet homeostasis|Platelet sensitization by LDL|Hedgehog ligand biogenesis|Signaling by Hedgehog|Hh mutants are degraded by ERAD|Hh mutants abrogate ligand secretion|Metabolism of lipids|ABC transporter disorders|Disorders of transmembrane transporters|Vesicle-mediated transport|Diseases of signal transduction by growth factor receptors and second messengers|Defective ABCG8 causes GBD4 and sitosterolemia|Defective ABCG5 causes sitosterolemia|Defective ABCA1 causes TGD|Regulation of TLR by endogenous ligand|Keratinization|Metabolism of fat-soluble vitamins|Cholesterol biosynthesis via desmosterol|Cholesterol biosynthesis via lathosterol|Formation of the cornified envelope|Cargo recognition for clathrin-mediated endocytosis|Clathrin-mediated endocytosis|VLDL assembly|Digestion|Cellular responses to stimuli|Metabolism of steroids|Intestinal absorption|Intestinal lipid absorption|Digestion and absorption|Chylomicron assembly|HDL assembly|Plasma lipoprotein assembly|Plasma lipoprotein remodeling|Chylomicron remodeling|HDL clearance|Chylomicron clearance|LDL clearance|LDL remodeling|Plasma lipoprotein clearance|VLDL clearance|HDL remodeling|Triglyceride metabolism|Heme signaling|Sensory Perception|Retinoid metabolism and transport</t>
  </si>
  <si>
    <t>57-88-5</t>
  </si>
  <si>
    <t>[C@]12(CC=C3C[C@@H](O)CC[C@]3(C)[C@@]1([H])CC[C@]1(C)[C@@]([H])([C@@](C)([H])CCCC(C)C)CC[C@@]21[H])[H]</t>
  </si>
  <si>
    <t>HVYWMOMLDIMFJA-DPAQBDIFSA-N</t>
  </si>
  <si>
    <t>C27H46O</t>
  </si>
  <si>
    <t>4.51_131.0703m/z</t>
  </si>
  <si>
    <t>2-hydroxy-3-methyl-pentanoic acid</t>
  </si>
  <si>
    <t>HMDB0000317</t>
  </si>
  <si>
    <t>LMFA01050380</t>
  </si>
  <si>
    <t>488-15-3</t>
  </si>
  <si>
    <t>C(=O)(O)[C@H](O)[C@H](C)CC</t>
  </si>
  <si>
    <t>RILPIWOPNGRASR-RFZPGFLSSA-N</t>
  </si>
  <si>
    <t>C6H12O3</t>
  </si>
  <si>
    <t>9.32_219.1387m/z</t>
  </si>
  <si>
    <t>5,7,9,11,13-tetradecapentaenoic acid</t>
  </si>
  <si>
    <t>LMFA01030258</t>
  </si>
  <si>
    <t>C(CCC/C=C/C=C/C=C/C=C/C=C)(=O)O</t>
  </si>
  <si>
    <t>LQROPCHYRPLGPB-BYFNFPHLSA-N</t>
  </si>
  <si>
    <t>C14H18O2</t>
  </si>
  <si>
    <t>7.31_353.2335m/z</t>
  </si>
  <si>
    <t>PGF2alpha</t>
  </si>
  <si>
    <t>HMDB01139</t>
  </si>
  <si>
    <t>LMFA03010002</t>
  </si>
  <si>
    <t>C00639</t>
  </si>
  <si>
    <t>hsa00590,hsa04072,hsa04080,hsa04913,hsa04921</t>
  </si>
  <si>
    <t>Arachidonic acid metabolism|Phospholipase D signaling pathway|Neuroactive ligand-receptor interaction|Ovarian steroidogenesis|Oxytocin signaling pathway</t>
  </si>
  <si>
    <t>R-HSA-1430728,R-HSA-162582,R-HSA-1643685,R-HSA-2142753,R-HSA-2162123,R-HSA-372790,R-HSA-373076,R-HSA-382551,R-HSA-388396,R-HSA-391903,R-HSA-391908,R-HSA-416476,R-HSA-425397,R-HSA-425407,R-HSA-500792,R-HSA-556833,R-HSA-5619095,R-HSA-5619102,R-HSA-5619115,R-HSA-879518,R-HSA-8978868</t>
  </si>
  <si>
    <t>Metabolism|Signal Transduction|Disease|Arachidonic acid metabolism|Synthesis of Prostaglandins (PG) and Thromboxanes (TX)|Signaling by GPCR|Class A/1 (Rhodopsin-like receptors)|Transport of small molecules|GPCR downstream signalling|Eicosanoid ligand-binding receptors|Prostanoid ligand receptors|G alpha (q) signalling events|Transport of vitamins, nucleosides, and related molecules|SLC-mediated transmembrane transport|GPCR ligand binding|Metabolism of lipids|Defective SLCO2A1 causes primary, autosomal recessive hypertrophic osteoarthropathy 2 (PHOAR2)|SLC transporter disorders|Disorders of transmembrane transporters|Transport of organic anions|Fatty acid metabolism</t>
  </si>
  <si>
    <t>551-11-1</t>
  </si>
  <si>
    <t>[C@H]1(/C=C/[C@@H](O)CCCCC)[C@H](O)C[C@H](O)[C@@H]1C/C=C\CCCC(=O)O</t>
  </si>
  <si>
    <t>PXGPLTODNUVGFL-YNNPMVKQSA-N</t>
  </si>
  <si>
    <t>8.11_335.2227m/z</t>
  </si>
  <si>
    <t>13,14-dihydro-15-keto-PGE2</t>
  </si>
  <si>
    <t>HMDB0002776</t>
  </si>
  <si>
    <t>LMFA03010031</t>
  </si>
  <si>
    <t>C04671</t>
  </si>
  <si>
    <t>363-23-5</t>
  </si>
  <si>
    <t>[C@H]1(CCC(=O)CCCCC)[C@H](O)CC(=O)[C@@H]1C/C=C\CCCC(=O)O</t>
  </si>
  <si>
    <t>CUJMXIQZWPZMNQ-XYYGWQPLSA-N</t>
  </si>
  <si>
    <t>11.51_455.3468m/z</t>
  </si>
  <si>
    <t>13'-Hydroxy-gamma-tocopherol</t>
  </si>
  <si>
    <t>HMDB0012561</t>
  </si>
  <si>
    <t>CC(CO)CCC[C@H](C)CCC[C@H](C)CCC[C@]1(C)CCC2=C(O1)C(C)=C(C)C(O)=C2</t>
  </si>
  <si>
    <t>QNBPVJMQPAQXML-SLGTZZLGSA-N</t>
  </si>
  <si>
    <t>Quinone and hydroquinone lipids</t>
  </si>
  <si>
    <t>C28H48O3</t>
  </si>
  <si>
    <t>7.99_369.2284m/z</t>
  </si>
  <si>
    <t>TXB2</t>
  </si>
  <si>
    <t>HMDB0003252</t>
  </si>
  <si>
    <t>LMFA03030002</t>
  </si>
  <si>
    <t>C05963</t>
  </si>
  <si>
    <t>54397-85-2</t>
  </si>
  <si>
    <t>C(O)(=O)CCC/C=C\C[C@H]1[C@@H](O)CC(O)O[C@@H]1/C=C/[C@@H](O)CCCCC</t>
  </si>
  <si>
    <t>XNRNNGPBEPRNAR-JQBLCGNGSA-N</t>
  </si>
  <si>
    <t>10.10_431.0133m/z</t>
  </si>
  <si>
    <t>3- Acetylphenol sulfate</t>
  </si>
  <si>
    <t>HMDB0304930</t>
  </si>
  <si>
    <t>CC(=O)C1=CC(OS(O)(=O)=O)=CC=C1</t>
  </si>
  <si>
    <t>CGFRVKXGZRODPA-UHFFFAOYSA-N</t>
  </si>
  <si>
    <t>C8H8O5S</t>
  </si>
  <si>
    <t>10.21_617.4363m/z</t>
  </si>
  <si>
    <t>cis-Annonacin-10-one</t>
  </si>
  <si>
    <t>HMDB0041524</t>
  </si>
  <si>
    <t>172488-91-4</t>
  </si>
  <si>
    <t>CCCCCCCCCCCCC(O)C1CCC(O1)C(O)CCCCC(=O)CCCCCC(O)CC1=C(C)COC1=O</t>
  </si>
  <si>
    <t>HGGYZUZQVNVDDD-UHFFFAOYSA-N</t>
  </si>
  <si>
    <t>C35H62O7</t>
  </si>
  <si>
    <t>10.19_284.3320m/z</t>
  </si>
  <si>
    <t>14S-Methyl-1-octadecene</t>
  </si>
  <si>
    <t>LMFA11000019</t>
  </si>
  <si>
    <t>C=CCCCCCCCCCCC[C@@H](C)CCCC</t>
  </si>
  <si>
    <t>NAEZQVWAWSVOSD-IBGZPJMESA-N</t>
  </si>
  <si>
    <t>Hydrocarbons</t>
  </si>
  <si>
    <t>Unsaturated hydrocarbons</t>
  </si>
  <si>
    <t>Unsaturated aliphatic hydrocarbons</t>
  </si>
  <si>
    <t>C19H38</t>
  </si>
  <si>
    <t>6.93_333.2071m/z</t>
  </si>
  <si>
    <t>Sebiferumnin L</t>
  </si>
  <si>
    <t>LMPR0104150011</t>
  </si>
  <si>
    <t>[C@@H]1(O)C(=O)C[C@@]2(C)[C@]3([H])C[C@@H]4CC(=O)[C@]3([C@@H](O)C4=C)CC[C@]2([H])[C@@]1(C)C</t>
  </si>
  <si>
    <t>ZFHYMONQRAXFJF-XCBBIKKWSA-N</t>
  </si>
  <si>
    <t>C20H28O4</t>
  </si>
  <si>
    <t>6.89_349.2024m/z</t>
  </si>
  <si>
    <t>14-Deoxy-12-hydroxyandrographolide</t>
  </si>
  <si>
    <t>CC12CCC(C(C1CCC(=C)C2CC(C3=CCOC3=O)O)(C)CO)O</t>
  </si>
  <si>
    <t>KHQNSSJNIXVKMK-XWIHJEQYSA-N</t>
  </si>
  <si>
    <t>6.49_437.2165m/z</t>
  </si>
  <si>
    <t>10-Hydroperoxy-H4-neuroprostane</t>
  </si>
  <si>
    <t>HMDB0062274</t>
  </si>
  <si>
    <t>CC\C=C/C[C@H]1[C@H]2C[C@H](OO2)[C@H]1\C=C\[C@H](C\C=C/C\C=C/CCC(O)=O)OO</t>
  </si>
  <si>
    <t>QMVMCSYNPSQOII-CQZHOLLOSA-N</t>
  </si>
  <si>
    <t>5.60_477.2107m/z</t>
  </si>
  <si>
    <t>Glaucarubin</t>
  </si>
  <si>
    <t>HMDB0035626</t>
  </si>
  <si>
    <t>C08760</t>
  </si>
  <si>
    <t>1448-23-3</t>
  </si>
  <si>
    <t>CCC(C)(O)C(=O)OC1C2C(C)C(O)C3(O)OCC22C3C3(C)C(O)C(O)C=C(C)C3CC2OC1=O</t>
  </si>
  <si>
    <t>LZKVXMYVBSNXER-UHFFFAOYSA-N</t>
  </si>
  <si>
    <t>C25H36O10</t>
  </si>
  <si>
    <t>4.90_454.1335m/z</t>
  </si>
  <si>
    <t>Dhurrin 6'-glucoside</t>
  </si>
  <si>
    <t>HMDB0029776</t>
  </si>
  <si>
    <t>OCC1OC(OCC2OC(OC(C#N)C3=CC=C(O)C=C3)C(O)C(O)C2O)C(O)C(O)C1O</t>
  </si>
  <si>
    <t>FPYKJQSRWXKDRY-UHFFFAOYSA-N</t>
  </si>
  <si>
    <t>C20H27NO12</t>
  </si>
  <si>
    <t>5.20_423.2027m/z</t>
  </si>
  <si>
    <t>18-Hydroxycortisol</t>
  </si>
  <si>
    <t>HMDB0000418</t>
  </si>
  <si>
    <t>LMST02030193</t>
  </si>
  <si>
    <t>86002-90-6</t>
  </si>
  <si>
    <t>[C@@]12([H])CCC3=CC(=O)CC[C@]3(C)[C@@]1([H])[C@@H](O)C[C@]1(CO)[C@](O)(C(=O)CO)CC[C@@]21[H]</t>
  </si>
  <si>
    <t>HESFZGWRDUVOMS-FJNAKSJRSA-N</t>
  </si>
  <si>
    <t>C21H30O6</t>
  </si>
  <si>
    <t>13.33_323.2204m/z</t>
  </si>
  <si>
    <t>Sodium palmitate</t>
  </si>
  <si>
    <t>HMDB0303302</t>
  </si>
  <si>
    <t>[Na+].CCCCCCCCCCCCCCCC([O-])=O</t>
  </si>
  <si>
    <t>GGXKEBACDBNFAF-UHFFFAOYSA-M</t>
  </si>
  <si>
    <t>C16H31NaO2</t>
  </si>
  <si>
    <t>12.66_264.2458n</t>
  </si>
  <si>
    <t>2E,13Z-Octadecadienal</t>
  </si>
  <si>
    <t>LMFA06000234</t>
  </si>
  <si>
    <t>C(/C=C/CCCCCCCCC/C=C\CCCC)(=O)[H]</t>
  </si>
  <si>
    <t>NCFULMZVHNTQOK-RAPDCGKPSA-N</t>
  </si>
  <si>
    <t>Fatty aldehydes</t>
  </si>
  <si>
    <t>M+H, M+NH4, M+H-H2O</t>
  </si>
  <si>
    <t>C18H32O</t>
  </si>
  <si>
    <t>11.09_521.3493n</t>
  </si>
  <si>
    <t>PC(18:1(6Z)/0:0)</t>
  </si>
  <si>
    <t>HMDB0256159</t>
  </si>
  <si>
    <t>CCCCCCCCCCCC=CCCCCC(=O)OCC(O)COP([O-])(=O)OCC[N+](C)(C)C</t>
  </si>
  <si>
    <t>ADOCFGYWKPSJCY-UHFFFAOYSA-N</t>
  </si>
  <si>
    <t>C26H52NO7P</t>
  </si>
  <si>
    <t>6.90_354.1679n</t>
  </si>
  <si>
    <t>Propofol glucuronide</t>
  </si>
  <si>
    <t>HMDB0060933</t>
  </si>
  <si>
    <t>114991-26-3</t>
  </si>
  <si>
    <t>CC(C)C1=CC=CC(C(C)C)=C1O[C@@H]1O[C@@H]([C@@H](O)[C@H](O)[C@H]1O)C(O)=O</t>
  </si>
  <si>
    <t>JZSJIASBMOIIKI-RUKPJNHUSA-N</t>
  </si>
  <si>
    <t>C18H26O7</t>
  </si>
  <si>
    <t>0.68_215.0322m/z</t>
  </si>
  <si>
    <t>2-C-methyl-D-erythritol-4-phosphate</t>
  </si>
  <si>
    <t>HMDB0304061</t>
  </si>
  <si>
    <t>C11434</t>
  </si>
  <si>
    <t>hsa00900</t>
  </si>
  <si>
    <t>Terpenoid backbone biosynthesis</t>
  </si>
  <si>
    <t>[H][C@@](O)(COP(O)(O)=O)[C@@](C)(O)CO</t>
  </si>
  <si>
    <t>XMWHRVNVKDKBRG-UHNVWZDZSA-N</t>
  </si>
  <si>
    <t>Organic phosphoric acids and derivatives</t>
  </si>
  <si>
    <t>Phosphate esters</t>
  </si>
  <si>
    <t>C5H13O7P</t>
  </si>
  <si>
    <t>10.82_540.3306m/z</t>
  </si>
  <si>
    <t>PC(16:0/0:0)</t>
  </si>
  <si>
    <t>HMDB0010382</t>
  </si>
  <si>
    <t>LMGP01050018</t>
  </si>
  <si>
    <t>17364-16-8</t>
  </si>
  <si>
    <t>[C@](COP(=O)([O-])OCC[N+](C)(C)C)([H])(O)COC(CCCCCCCCCCCCCCC)=O</t>
  </si>
  <si>
    <t>ASWBNKHCZGQVJV-HSZRJFAPSA-N</t>
  </si>
  <si>
    <t>C24H50NO7P</t>
  </si>
  <si>
    <t>3.11_172.0720m/z</t>
  </si>
  <si>
    <t>Metronidazole</t>
  </si>
  <si>
    <t>HMDB0015052</t>
  </si>
  <si>
    <t>C07203</t>
  </si>
  <si>
    <t>443-48-1</t>
  </si>
  <si>
    <t>CC1=NC=C(N1CCO)[N+]([O-])=O</t>
  </si>
  <si>
    <t>VAOCPAMSLUNLGC-UHFFFAOYSA-N</t>
  </si>
  <si>
    <t>Azoles</t>
  </si>
  <si>
    <t>Imidazoles</t>
  </si>
  <si>
    <t>C6H9N3O3</t>
  </si>
  <si>
    <t>13.81_292.2774n</t>
  </si>
  <si>
    <t>6R,7S-Epoxy-3Z,9Z-eicosadiene</t>
  </si>
  <si>
    <t>LMFA12000311</t>
  </si>
  <si>
    <t>CC/C=C\C[C@@H]1O[C@@H]1C/C=C\CCCCCCCCCC</t>
  </si>
  <si>
    <t>QBCBDINXYRUHGT-QEZHFABXSA-N</t>
  </si>
  <si>
    <t>Epoxides</t>
  </si>
  <si>
    <t>C20H36O</t>
  </si>
  <si>
    <t>10.63_703.5767m/z</t>
  </si>
  <si>
    <t>SM(d18:0/16:1(9Z))</t>
  </si>
  <si>
    <t>HMDB0013464</t>
  </si>
  <si>
    <t>C00550</t>
  </si>
  <si>
    <t>hsa00600,hsa04071,hsa04217</t>
  </si>
  <si>
    <t>Sphingolipid metabolism|Sphingolipid signaling pathway|Necroptosis</t>
  </si>
  <si>
    <t>CCCCCCCCCCCCCCC[C@@H](O)[C@H](COP([O-])(=O)OCC[N+](C)(C)C)NC(=O)CCCCCCC\C=C/CCCCCC</t>
  </si>
  <si>
    <t>CGVOQSQIYSUXAT-PPLFXBRHSA-N</t>
  </si>
  <si>
    <t>C39H79N2O6P</t>
  </si>
  <si>
    <t>121</t>
  </si>
  <si>
    <t>2-Ethyl-3-Hydroxypropionic Acid</t>
  </si>
  <si>
    <t>HMDB0000396</t>
  </si>
  <si>
    <t>LMFA01050388</t>
  </si>
  <si>
    <t>4374-62-3</t>
  </si>
  <si>
    <t>C(=O)(O)C(CC)CO</t>
  </si>
  <si>
    <t>ZMZQVAUJTDKQGE-UHFFFAOYSA-N</t>
  </si>
  <si>
    <t>C5H10O3</t>
  </si>
  <si>
    <t>12.41_256.2639m/z</t>
  </si>
  <si>
    <t>Bacillamidin F</t>
  </si>
  <si>
    <t>LMFA08010029</t>
  </si>
  <si>
    <t>C(CCCCCCCCCCCCC(C)C)(=O)N</t>
  </si>
  <si>
    <t>OIJPFLBLDNXHOL-UHFFFAOYSA-N</t>
  </si>
  <si>
    <t>Fatty amides</t>
  </si>
  <si>
    <t>C16H33NO</t>
  </si>
  <si>
    <t>10.39_543.3338n</t>
  </si>
  <si>
    <t>PC(20:4(8Z,11Z,14Z,17Z)/0:0)</t>
  </si>
  <si>
    <t>HMDB0010396</t>
  </si>
  <si>
    <t>LMGP01050140</t>
  </si>
  <si>
    <t>C(OP(OCC[N+](C)(C)C)(=O)[O-])[C@]([H])(O)COC(=O)CCCCCC/C=C\C/C=C\C/C=C\C/C=C\CC</t>
  </si>
  <si>
    <t>GOMVPVRDBLLHQC-VEJNOCSESA-N</t>
  </si>
  <si>
    <t>C28H50NO7P</t>
  </si>
  <si>
    <t>12.70_546.3544m/z</t>
  </si>
  <si>
    <t>PC(O-16:0/2:0)</t>
  </si>
  <si>
    <t>HMDB0062195</t>
  </si>
  <si>
    <t>LMGP01020046</t>
  </si>
  <si>
    <t>74389-68-7</t>
  </si>
  <si>
    <t>[C@](COP(=O)([O-])OCC[N+](C)(C)C)([H])(OC(C)=O)COCCCCCCCCCCCCCCCC</t>
  </si>
  <si>
    <t>HVAUUPRFYPCOCA-AREMUKBSSA-N</t>
  </si>
  <si>
    <t>C26H54NO7P</t>
  </si>
  <si>
    <t>4.30_331.1341n</t>
  </si>
  <si>
    <t>Ciprofloxacin</t>
  </si>
  <si>
    <t>HMDB0014677</t>
  </si>
  <si>
    <t>C05349</t>
  </si>
  <si>
    <t>hsa02010</t>
  </si>
  <si>
    <t>ABC transporters</t>
  </si>
  <si>
    <t>85721-33-1</t>
  </si>
  <si>
    <t>OC(=O)C1=CN(C2CC2)C2=CC(N3CCNCC3)=C(F)C=C2C1=O</t>
  </si>
  <si>
    <t>MYSWGUAQZAJSOK-UHFFFAOYSA-N</t>
  </si>
  <si>
    <t>Quinoline carboxylic acids</t>
  </si>
  <si>
    <t>C17H18FN3O3</t>
  </si>
  <si>
    <t>10.43_564.3308m/z</t>
  </si>
  <si>
    <t>PC(18:2(9Z,12Z)/0:0)</t>
  </si>
  <si>
    <t>HMDB0010386</t>
  </si>
  <si>
    <t>LMGP01050035</t>
  </si>
  <si>
    <t>22252-07-9</t>
  </si>
  <si>
    <t>[C@](COP(=O)([O-])OCC[N+](C)(C)C)([H])(O)COC(CCCCCCC/C=C\C/C=C\CCCCC)=O</t>
  </si>
  <si>
    <t>SPJFYYJXNPEZDW-FTJOPAKQSA-N</t>
  </si>
  <si>
    <t>5.72_273.0803m/z</t>
  </si>
  <si>
    <t>N-(2-Hydroxyethyl)-2-(1-isoquinolinylmethylene)hydrazinecarbothioamide</t>
  </si>
  <si>
    <t>HMDB0247709</t>
  </si>
  <si>
    <t>NC(=S)NN=CC1=C(CCO)C2=CC=CC=C2C=N1</t>
  </si>
  <si>
    <t>HNBOCTKSSCVMAN-UHFFFAOYSA-N</t>
  </si>
  <si>
    <t>C13H14N4OS</t>
  </si>
  <si>
    <t>4.42_529.4018m/z</t>
  </si>
  <si>
    <t>Ergosteryl-3beta-O-L-aspartate</t>
  </si>
  <si>
    <t>LMST01031173</t>
  </si>
  <si>
    <t>C1[C@]2(C)[C@@]3([H])CC[C@]4(C)[C@@]([H])([C@]([H])(C)/C=C/[C@H](C)C(C)C)CC[C@@]4([H])C3=CC=C2C[C@@H](OC(=O)[C@@H](N)CC(=O)O)C1</t>
  </si>
  <si>
    <t>DHFWBWIMRDXKBG-QCNWGZANSA-N</t>
  </si>
  <si>
    <t>Steroid esters</t>
  </si>
  <si>
    <t>C32H49NO4</t>
  </si>
  <si>
    <t>10.37_262.2304n</t>
  </si>
  <si>
    <t>Farnesyl acetone</t>
  </si>
  <si>
    <t>CC(=CCC/C(=C/CC/C(=C/CCC(=O)C)/C)/C)C</t>
  </si>
  <si>
    <t>LTUMRKDLVGQMJU-IUBLYSDUSA-N</t>
  </si>
  <si>
    <t>C18H30O</t>
  </si>
  <si>
    <t>354</t>
  </si>
  <si>
    <t>Glucose</t>
  </si>
  <si>
    <t>HMDB0304632</t>
  </si>
  <si>
    <t>C00031</t>
  </si>
  <si>
    <t>hsa00010,hsa00030,hsa00052,hsa00500,hsa00520,hsa00524,hsa02010,hsa04066,hsa04068,hsa04148,hsa04152,hsa04910,hsa04911,hsa04917,hsa04922,hsa04930,hsa04931,hsa04932,hsa04933,hsa04973,hsa04976,hsa05230,hsa05415</t>
  </si>
  <si>
    <t>Glycolysis / Gluconeogenesis|Pentose phosphate pathway|Galactose metabolism|Starch and sucrose metabolism|Amino sugar and nucleotide sugar metabolism|Neomycin, kanamycin and gentamicin biosynthesis|ABC transporters|HIF-1 signaling pathway|FoxO signaling pathway|Efferocytosis|AMPK signaling pathway|Insulin signaling pathway|Insulin secretion|Prolactin signaling pathway|Glucagon signaling pathway|Type II diabetes mellitus|Insulin resistance|Non-alcoholic fatty liver disease|AGE-RAGE signaling pathway in diabetic complications|Carbohydrate digestion and absorption|Bile secretion|Central carbon metabolism in cancer|Diabetic cardiomyopathy</t>
  </si>
  <si>
    <t>[H]C1(O)O[C@]([H])(CO)[C@@]([H])(O)[C@]([H])(O)[C@@]1([H])O</t>
  </si>
  <si>
    <t>WQZGKKKJIJFFOK-GASJEMHNSA-N</t>
  </si>
  <si>
    <t>11.49_509.3498n</t>
  </si>
  <si>
    <t>1-O-(2-methoxy-4Z-hexadecenyl)-sn-glycero-3-phosphocholine</t>
  </si>
  <si>
    <t>LMGP01060043</t>
  </si>
  <si>
    <t>[C@](COP(=O)([O-])OCC[N+](C)(C)C)([H])(O)COCC(OC)C/C=C\CCCCCCCCCCC</t>
  </si>
  <si>
    <t>NYFGVUCTLCDUFF-KNSXHYFRSA-N</t>
  </si>
  <si>
    <t>C25H52NO7P</t>
  </si>
  <si>
    <t>11.19_479.3389n</t>
  </si>
  <si>
    <t>PC(O-16:1(11Z)/0:0)</t>
  </si>
  <si>
    <t>LMGP01060028</t>
  </si>
  <si>
    <t>[C@](COP(=O)([O-])OCC[N+](C)(C)C)([H])(O)COCCCCCCCCCC/C=C\CCCC</t>
  </si>
  <si>
    <t>CSVZQGDLAXUFQD-XXXZYALBSA-N</t>
  </si>
  <si>
    <t>C24H50NO6P</t>
  </si>
  <si>
    <t>10.62_540.3307m/z</t>
  </si>
  <si>
    <t>PC(0:0/16:0)</t>
  </si>
  <si>
    <t>HMDB0240262</t>
  </si>
  <si>
    <t>LMGP01050074</t>
  </si>
  <si>
    <t>66757-27-5</t>
  </si>
  <si>
    <t>[C@](COP(=O)([O-])OCC[N+](C)(C)C)([H])(OC(CCCCCCCCCCCCCCC)=O)CO</t>
  </si>
  <si>
    <t>NEGQHKSYEYVFTD-HSZRJFAPSA-N</t>
  </si>
  <si>
    <t>12.71_280.2401n</t>
  </si>
  <si>
    <t>13Z,16Z-octadecadienoic acid</t>
  </si>
  <si>
    <t>LMFA01030304</t>
  </si>
  <si>
    <t>C(CCCCCCCCCCC/C=C\C/C=C\C)(=O)O</t>
  </si>
  <si>
    <t>NWHQABJQXFAPON-QFBDUHRLSA-N</t>
  </si>
  <si>
    <t>4.89_274.2053n</t>
  </si>
  <si>
    <t>Ropivacaine</t>
  </si>
  <si>
    <t>HMDB0014441</t>
  </si>
  <si>
    <t>C07532</t>
  </si>
  <si>
    <t>84057-95-4</t>
  </si>
  <si>
    <t>CCCN1CCCC[C@H]1C(=O)NC1=C(C)C=CC=C1C</t>
  </si>
  <si>
    <t>ZKMNUMMKYBVTFN-HNNXBMFYSA-N</t>
  </si>
  <si>
    <t>C17H26N2O</t>
  </si>
  <si>
    <t>0.74_229.1554m/z</t>
  </si>
  <si>
    <t>Pro-Ile</t>
  </si>
  <si>
    <t>HMDB0304810</t>
  </si>
  <si>
    <t>[H][C@](C)(CC)[C@]([H])(N=C(O)[C@]1([H])CCCN1)C(O)=O</t>
  </si>
  <si>
    <t>OCYROESYHWUPBP-CIUDSAMLSA-N</t>
  </si>
  <si>
    <t>C11H20N2O3</t>
  </si>
  <si>
    <t>10.91_293.2122m/z</t>
  </si>
  <si>
    <t>gamma- 12(13)-EpODE</t>
  </si>
  <si>
    <t>HMDB0062288</t>
  </si>
  <si>
    <t>LMFA02000044</t>
  </si>
  <si>
    <t>C(CCCC/C=C\C/C=C\CC1OC1CCCCC)(=O)O</t>
  </si>
  <si>
    <t>TVHXKPMFCYEQTM-YMVJEYMASA-N</t>
  </si>
  <si>
    <t>C18H30O3</t>
  </si>
  <si>
    <t>10.49_870.5492m/z</t>
  </si>
  <si>
    <t>PC(6 keto-PGF1alpha/18:2(9Z,12Z))</t>
  </si>
  <si>
    <t>HMDB0286548</t>
  </si>
  <si>
    <t>CCCCC\C=C/C\C=C/CCCCCCCC(=O)O[C@H](COC(=O)CCCCC(=O)C[C@H]1[C@@H](O)C[C@@H](O)[C@@H]1\C=C\[C@@H](O)CCCCC)COP([O-])(=O)OCC[N+](C)(C)C</t>
  </si>
  <si>
    <t>SGNPUITVKXDZRF-PBOYMOADSA-N</t>
  </si>
  <si>
    <t>4.38_234.1739n</t>
  </si>
  <si>
    <t>Lidocaine</t>
  </si>
  <si>
    <t>HMDB0014426</t>
  </si>
  <si>
    <t>C07073</t>
  </si>
  <si>
    <t>137-58-6</t>
  </si>
  <si>
    <t>CCN(CC)CC(=O)NC1=C(C)C=CC=C1C</t>
  </si>
  <si>
    <t>NNJVILVZKWQKPM-UHFFFAOYSA-N</t>
  </si>
  <si>
    <t>Xylenes</t>
  </si>
  <si>
    <t>C14H22N2O</t>
  </si>
  <si>
    <t>4.42_265.2045m/z</t>
  </si>
  <si>
    <t>Micropine</t>
  </si>
  <si>
    <t>LMSP01080050</t>
  </si>
  <si>
    <t>[C@@H]1(/C=C/C=C/C=C/CCCC)CC[C@@H](O)[C@@H](CO)N1</t>
  </si>
  <si>
    <t>YVWVILBCUPRAIC-LKFDHHINSA-N</t>
  </si>
  <si>
    <t>Piperidines</t>
  </si>
  <si>
    <t>C16H27NO2</t>
  </si>
  <si>
    <t>3.13_436.3437m/z</t>
  </si>
  <si>
    <t>Furost-5-ene-3beta,22,26-triol</t>
  </si>
  <si>
    <t>HMDB0303029</t>
  </si>
  <si>
    <t>C[C@H]1C2C(CC3C4CC=C5C[C@@H](O)CC[C@]5(C)C4CC[C@]23C)O[C@]1(O)CCCCO</t>
  </si>
  <si>
    <t>DJVDLKHAJBHWLE-MWIJGBPOSA-N</t>
  </si>
  <si>
    <t>Furostanes and derivatives</t>
  </si>
  <si>
    <t>C26H42O4</t>
  </si>
  <si>
    <t>10.91_294.2202n</t>
  </si>
  <si>
    <t>9-OxoODE</t>
  </si>
  <si>
    <t>HMDB0004669</t>
  </si>
  <si>
    <t>LMFA02000274</t>
  </si>
  <si>
    <t>C14766</t>
  </si>
  <si>
    <t>hsa00591</t>
  </si>
  <si>
    <t>Linoleic acid metabolism</t>
  </si>
  <si>
    <t>54232-59-6</t>
  </si>
  <si>
    <t>OC(=O)CCCCCCCC(=O)/C=C/C=C\CCCCC</t>
  </si>
  <si>
    <t>LUZSWWYKKLTDHU-ZJHFMPGASA-N</t>
  </si>
  <si>
    <t>10.64_296.2350n</t>
  </si>
  <si>
    <t>13S-HODE</t>
  </si>
  <si>
    <t>HMDB0004667</t>
  </si>
  <si>
    <t>LMFA02000228</t>
  </si>
  <si>
    <t>C14762</t>
  </si>
  <si>
    <t>R-HSA-1257604,R-HSA-1266738,R-HSA-1430728,R-HSA-162582,R-HSA-1989781,R-HSA-381340,R-HSA-400206,R-HSA-556833,R-HSA-6807070,R-HSA-8943724,R-HSA-9006925</t>
  </si>
  <si>
    <t>PIP3 activates AKT signaling|Developmental Biology|Metabolism|Signal Transduction|PPARA activates gene expression|Transcriptional regulation of white adipocyte differentiation|Regulation of lipid metabolism by PPARalpha|Metabolism of lipids|PTEN Regulation|Regulation of PTEN gene transcription|Intracellular signaling by second messengers</t>
  </si>
  <si>
    <t>29623-28-7</t>
  </si>
  <si>
    <t>OC(=O)CCCCCCC/C=C\C=C\[C@@H](O)CCCCC</t>
  </si>
  <si>
    <t>HNICUWMFWZBIFP-IRQZEAMPSA-N</t>
  </si>
  <si>
    <t>M-H, M+FA-H, 2M-H, M-H2O-H</t>
  </si>
  <si>
    <t>C18H32O3</t>
  </si>
  <si>
    <t>11.23_870.5504m/z</t>
  </si>
  <si>
    <t>PE(PGJ2/20:0)</t>
  </si>
  <si>
    <t>HMDB0261851</t>
  </si>
  <si>
    <t>CCCCCCCCCCCCCCCCCCCC(=O)O[C@H](COC(=O)CCC\C=C/C[C@H]1C=CC(=O)[C@@H]1\C=C\[C@@H](O)CCCCC)COP(O)(=O)OCCN</t>
  </si>
  <si>
    <t>APOJPGQGVODAOE-AUPUWKESSA-N</t>
  </si>
  <si>
    <t>C45H80NO10P</t>
  </si>
  <si>
    <t>5.12_536.1817m/z</t>
  </si>
  <si>
    <t>Asticolorin B</t>
  </si>
  <si>
    <t>HMDB0030134</t>
  </si>
  <si>
    <t>93376-71-7</t>
  </si>
  <si>
    <t>CC1=CC2C3C(C)(C1)C1=C(OC4=CC(C)=CC(O)=C14)C(=O)C3(O)OC1=CC3=C(C4=C(O)C=C(C)C=C4O3)C(C)=C21</t>
  </si>
  <si>
    <t>QPGYUCLUVQROTF-UHFFFAOYSA-N</t>
  </si>
  <si>
    <t>Benzopyrans</t>
  </si>
  <si>
    <t>1-benzopyrans</t>
  </si>
  <si>
    <t>C33H28O7</t>
  </si>
  <si>
    <t>12.56_304.2401n</t>
  </si>
  <si>
    <t>8,11-Eicosadiynoic acid</t>
  </si>
  <si>
    <t>LMFA01030688</t>
  </si>
  <si>
    <t>82073-91-4</t>
  </si>
  <si>
    <t>C(CCCCCCC#CCC#CCCCCCCCC)(=O)O</t>
  </si>
  <si>
    <t>AJBBHZDIKZCZAI-UHFFFAOYSA-N</t>
  </si>
  <si>
    <t>C20H32O2</t>
  </si>
  <si>
    <t>12.05_568.3622m/z</t>
  </si>
  <si>
    <t>PC(18:0/0:0)</t>
  </si>
  <si>
    <t>HMDB0010384</t>
  </si>
  <si>
    <t>LMGP01050026</t>
  </si>
  <si>
    <t>19420-57-6</t>
  </si>
  <si>
    <t>[C@](COP(=O)([O-])OCC[N+](C)(C)C)([H])(O)COC(CCCCCCCCCCCCCCCCC)=O</t>
  </si>
  <si>
    <t>IHNKQIMGVNPMTC-RUZDIDTESA-N</t>
  </si>
  <si>
    <t>12.33_853.5482n</t>
  </si>
  <si>
    <t>PC(20:5(7Z,9Z,11E,13E,17Z)-3OH(5,6,15)/18:1(11Z))</t>
  </si>
  <si>
    <t>HMDB0286382</t>
  </si>
  <si>
    <t>[H][C@@](COC(=O)CCC[C@H](O)[C@@H](O)\C=C/C=C\C=C\C=C\[C@H](O)C\C=C/CC)(COP([O-])(=O)OCC[N+](C)(C)C)OC(=O)CCCCCCCCC\C=C/CCCCCC</t>
  </si>
  <si>
    <t>JDFZTAABSPNKSV-PJZHDLNMSA-N</t>
  </si>
  <si>
    <t>0.63_316.9477m/z</t>
  </si>
  <si>
    <t>beta-D-fructose 2,6-bisphosphate</t>
  </si>
  <si>
    <t>HMDB0304539</t>
  </si>
  <si>
    <t>OCC1(OP([O-])([O-])=O)OC(COP([O-])([O-])=O)C(O)C1O</t>
  </si>
  <si>
    <t>YXWOAJXNVLXPMU-UHFFFAOYSA-J</t>
  </si>
  <si>
    <t>C6H10O12P2-4</t>
  </si>
  <si>
    <t>4.38_574.1591m/z</t>
  </si>
  <si>
    <t>N-((2'R)-2'-Deoxy-2'-fluoro-2'-methyl-p-phenyl-5'-uridylyl)-L-alanine 1-methylethyl ester</t>
  </si>
  <si>
    <t>HMDB0256898</t>
  </si>
  <si>
    <t>CC(C)OC(=O)C(C)NP(=O)(OCC1OC(N2C=CC(=O)NC2=O)C(C)(F)C1O)OC1=CC=CC=C1</t>
  </si>
  <si>
    <t>TTZHDVOVKQGIBA-UHFFFAOYSA-N</t>
  </si>
  <si>
    <t>Pyrimidine nucleosides</t>
  </si>
  <si>
    <t>Pyrimidine 2'-deoxyribonucleosides</t>
  </si>
  <si>
    <t>C22H29FN3O9P</t>
  </si>
  <si>
    <t>9.66_414.2053n</t>
  </si>
  <si>
    <t>Clausarinol</t>
  </si>
  <si>
    <t>HMDB0041407</t>
  </si>
  <si>
    <t>CC(C)(C=C)C1=CC2=C(O)C3=C(OC(C)(C)C(O)C3O)C(=C2OC1=O)C(C)(C)C=C</t>
  </si>
  <si>
    <t>AMSRLBLJHNYGNW-UHFFFAOYSA-N</t>
  </si>
  <si>
    <t>Coumarins and derivatives</t>
  </si>
  <si>
    <t>Pyranocoumarins</t>
  </si>
  <si>
    <t>M+H, M+NH4, M+K</t>
  </si>
  <si>
    <t>149</t>
  </si>
  <si>
    <t>Glycine</t>
  </si>
  <si>
    <t>HMDB0000123</t>
  </si>
  <si>
    <t>C00037</t>
  </si>
  <si>
    <t>hsa00120,hsa00230,hsa00260,hsa00310,hsa00440,hsa00470,hsa00480,hsa00630,hsa00730,hsa00785,hsa00860,hsa00970,hsa04080,hsa04974,hsa04978,hsa05230</t>
  </si>
  <si>
    <t>Primary bile acid biosynthesis|Purine metabolism|Glycine, serine and threonine metabolism|Lysine degradation|Phosphonate and phosphinate metabolism|D-Amino acid metabolism|Glutathione metabolism|Glyoxylate and dicarboxylate metabolism|Thiamine metabolism|Lipoic acid metabolism|Porphyrin metabolism|Aminoacyl-tRNA biosynthesis|Neuroactive ligand-receptor interaction|Protein digestion and absorption|Mineral absorption|Central carbon metabolism in cancer</t>
  </si>
  <si>
    <t>56-40-6</t>
  </si>
  <si>
    <t>NCC(O)=O</t>
  </si>
  <si>
    <t>DHMQDGOQFOQNFH-UHFFFAOYSA-N</t>
  </si>
  <si>
    <t>C2H5NO2</t>
  </si>
  <si>
    <t>14.67_634.5187n</t>
  </si>
  <si>
    <t>DG(18:0/18:3(10,12,15)-OH(9)/0:0)</t>
  </si>
  <si>
    <t>HMDB0295991</t>
  </si>
  <si>
    <t>CCCCCCCCCCCCCCCCCC(=O)OC[C@H](CO)OC(=O)CCCCCCCC(O)\C=C\C=C\C\C=C\CC</t>
  </si>
  <si>
    <t>AKFZACOWFAPOET-HKAVQLQQSA-N</t>
  </si>
  <si>
    <t>M+Na, M+K, M+NH4, M+H-H2O</t>
  </si>
  <si>
    <t>C39H70O6</t>
  </si>
  <si>
    <t>3.64_200.0478m/z</t>
  </si>
  <si>
    <t>(2S)-2-(4-Chloroanilino)propanoic acid</t>
  </si>
  <si>
    <t>HMDB0243595</t>
  </si>
  <si>
    <t>CC(NC1=CC=C(Cl)C=C1)C(O)=O</t>
  </si>
  <si>
    <t>LKAFPNQADHUXMM-UHFFFAOYSA-N</t>
  </si>
  <si>
    <t>C9H10ClNO2</t>
  </si>
  <si>
    <t>10.82_1035.6632m/z</t>
  </si>
  <si>
    <t>GM4(d18:1/16:0)</t>
  </si>
  <si>
    <t>LMSP0601AA01</t>
  </si>
  <si>
    <t>[C@](CO[C@@H]1O[C@H](CO)[C@H](O)[C@H](O[C@]2(O[C@@]([H])([C@H](O)[C@H](O)CO)[C@H](NC(=O)C)[C@@H](O)C2)C(O)=O)[C@H]1O)([H])(NC(CCCCCCCCCCCCCCC)=O)[C@]([H])(O)/C=C/CCCCCCCCCCCCC</t>
  </si>
  <si>
    <t>PKLSFJOTJYLMTM-LXKOWMRQSA-N</t>
  </si>
  <si>
    <t>C51H94N2O16</t>
  </si>
  <si>
    <t>9.46_359.2230m/z</t>
  </si>
  <si>
    <t>Maresin 2</t>
  </si>
  <si>
    <t>LMFA04050004</t>
  </si>
  <si>
    <t>R-HSA-1430728,R-HSA-556833,R-HSA-9018677,R-HSA-9018678,R-HSA-9018682</t>
  </si>
  <si>
    <t>Metabolism|Metabolism of lipids|Biosynthesis of DHA-derived SPMs|Biosynthesis of specialized proresolving mediators (SPMs)|Biosynthesis of maresins</t>
  </si>
  <si>
    <t>C(CC/C=C\C/C=C\C=C\C=C\[C@@H](O)[C@@H](O)C/C=C\C/C=C\CC)(=O)O</t>
  </si>
  <si>
    <t>ALWYOLKNLLFCAY-GYROAIJESA-N</t>
  </si>
  <si>
    <t>C22H32O4</t>
  </si>
  <si>
    <t>10.63_725.5588m/z</t>
  </si>
  <si>
    <t>SM(d18:0/18:3(9,11,15)-OH(13))</t>
  </si>
  <si>
    <t>HMDB0290497</t>
  </si>
  <si>
    <t>[H][C@@](COP([O-])(=O)OCC[N+](C)(C)C)(NC(=O)CCCCCCC\C=C\C=C\C(O)C\C=C\CC)[C@H](O)CCCCCCCCCCCCCCC</t>
  </si>
  <si>
    <t>JHONKMAHMUMDIF-BPVKEAPRSA-N</t>
  </si>
  <si>
    <t>C41H79N2O7P</t>
  </si>
  <si>
    <t>10.75_545.3494n</t>
  </si>
  <si>
    <t>PC(20:3(8Z,11Z,14Z)/0:0)</t>
  </si>
  <si>
    <t>HMDB0010394</t>
  </si>
  <si>
    <t>LMGP01050133</t>
  </si>
  <si>
    <t>1006703-11-2</t>
  </si>
  <si>
    <t>[C@](COP(=O)([O-])OCC[N+](C)(C)C)([H])(O)COC(CCCCCC/C=C\C/C=C\C/C=C\CCCCC)=O</t>
  </si>
  <si>
    <t>BBNHCUBQEQJHIG-FZZJNMCHSA-N</t>
  </si>
  <si>
    <t>C28H52NO7P</t>
  </si>
  <si>
    <t>11.03_297.2676n</t>
  </si>
  <si>
    <t>Palmitoleoyl-EA</t>
  </si>
  <si>
    <t>HMDB0013648</t>
  </si>
  <si>
    <t>LMFA08040043</t>
  </si>
  <si>
    <t>94421-67-7</t>
  </si>
  <si>
    <t>C(CCCCCCC(=O)NCCO)/C=C\CCCCCC</t>
  </si>
  <si>
    <t>WFRLANWAASSSFV-FPLPWBNLSA-N</t>
  </si>
  <si>
    <t>Amines</t>
  </si>
  <si>
    <t>M+Na, M+K, M+H</t>
  </si>
  <si>
    <t>C18H35NO2</t>
  </si>
  <si>
    <t>0.77_128.0342m/z</t>
  </si>
  <si>
    <t>N-Methyl-D-aspartic acid</t>
  </si>
  <si>
    <t>HMDB0002393</t>
  </si>
  <si>
    <t>C12269</t>
  </si>
  <si>
    <t>R-HSA-392499,R-HSA-5676934</t>
  </si>
  <si>
    <t>Metabolism of proteins|Protein repair</t>
  </si>
  <si>
    <t>6384-92-5</t>
  </si>
  <si>
    <t>CN[C@H](CC(O)=O)C(O)=O</t>
  </si>
  <si>
    <t>HOKKHZGPKSLGJE-GSVOUGTGSA-N</t>
  </si>
  <si>
    <t>C5H9NO4</t>
  </si>
  <si>
    <t>361</t>
  </si>
  <si>
    <t>D-Glucose</t>
  </si>
  <si>
    <t>HMDB0000122</t>
  </si>
  <si>
    <t>C00221</t>
  </si>
  <si>
    <t>hsa00010,hsa00030</t>
  </si>
  <si>
    <t>Glycolysis / Gluconeogenesis|Pentose phosphate pathway</t>
  </si>
  <si>
    <t>R-HSA-1643685,R-HSA-5663205,R-HSA-9678108,R-HSA-9679506,R-HSA-9683686,R-HSA-9683701,R-HSA-9694516,R-HSA-9694548,R-HSA-9694635,R-HSA-9772573,R-HSA-9824446</t>
  </si>
  <si>
    <t>Disease|Infectious disease|SARS-CoV-1 Infection|SARS-CoV Infections|Maturation of spike protein|Translation of Structural Proteins|SARS-CoV-2 Infection|Maturation of spike protein|Translation of Structural Proteins|Late SARS-CoV-2 Infection Events|Viral Infection Pathways</t>
  </si>
  <si>
    <t>492-61-5</t>
  </si>
  <si>
    <t>OC[C@H]1O[C@@H](O)[C@H](O)[C@@H](O)[C@@H]1O</t>
  </si>
  <si>
    <t>WQZGKKKJIJFFOK-VFUOTHLCSA-N</t>
  </si>
  <si>
    <t>4.22_281.1636n</t>
  </si>
  <si>
    <t>3-{4-[2-Hydroxy-3-(propan-2-ylamino)propoxy]phenyl}propanoic acid</t>
  </si>
  <si>
    <t>HMDB0250054</t>
  </si>
  <si>
    <t>CC(C)NCC(O)COC1=CC=C(CCC(O)=O)C=C1</t>
  </si>
  <si>
    <t>ILSCWPMGTDPATI-UHFFFAOYSA-N</t>
  </si>
  <si>
    <t>Phenylpropanoic acids</t>
  </si>
  <si>
    <t>C15H23NO4</t>
  </si>
  <si>
    <t>4.83_357.1951n</t>
  </si>
  <si>
    <t>(S)-Laudanosine</t>
  </si>
  <si>
    <t>HMDB0030213</t>
  </si>
  <si>
    <t>C09558</t>
  </si>
  <si>
    <t>2688-77-9</t>
  </si>
  <si>
    <t>COC1=C(OC)C=C(CC2N(C)CCC3=CC(OC)=C(OC)C=C23)C=C1</t>
  </si>
  <si>
    <t>KGPAYJZAMGEDIQ-UHFFFAOYSA-N</t>
  </si>
  <si>
    <t>C21H27NO4</t>
  </si>
  <si>
    <t>10.25_501.2871n</t>
  </si>
  <si>
    <t>PE(0:0/20:4(8Z,11Z,14Z,17Z))</t>
  </si>
  <si>
    <t>HMDB0011488</t>
  </si>
  <si>
    <t>LMGP02050052</t>
  </si>
  <si>
    <t>C(OP(OCCN)(O)=O)[C@]([H])(OC(=O)CCCCCC/C=C\C/C=C\C/C=C\C/C=C\CC)CO</t>
  </si>
  <si>
    <t>BAKUYTLDCVITBO-YSKCIPFOSA-N</t>
  </si>
  <si>
    <t>C25H44NO7P</t>
  </si>
  <si>
    <t>11.70_507.3704n</t>
  </si>
  <si>
    <t>PC(O-18:1(9Z)/0:0)</t>
  </si>
  <si>
    <t>LMGP01060039</t>
  </si>
  <si>
    <t>[C@](COP(=O)([O-])OCC[N+](C)(C)C)([H])(O)COCCCCCCCC/C=C\CCCCCCCC</t>
  </si>
  <si>
    <t>XWYSLMAMRKYUFH-HTOVTZSWSA-N</t>
  </si>
  <si>
    <t>C26H54NO6P</t>
  </si>
  <si>
    <t>10.31_320.2568m/z</t>
  </si>
  <si>
    <t>Oxendolone</t>
  </si>
  <si>
    <t>HMDB0255978</t>
  </si>
  <si>
    <t>CCC1CC2C3CCC4=CC(=O)CCC4C3CCC2(C)C1O</t>
  </si>
  <si>
    <t>FCKLFGKATYPJPG-UHFFFAOYSA-N</t>
  </si>
  <si>
    <t>Estrane steroids</t>
  </si>
  <si>
    <t>1.40_142.0746n</t>
  </si>
  <si>
    <t>Piracetam</t>
  </si>
  <si>
    <t>HMDB0256585</t>
  </si>
  <si>
    <t>7491-74-9</t>
  </si>
  <si>
    <t>OC(=N)CN1CCCC1=O</t>
  </si>
  <si>
    <t>GMZVRMREEHBGGF-UHFFFAOYSA-N</t>
  </si>
  <si>
    <t>C6H10N2O2</t>
  </si>
  <si>
    <t>383</t>
  </si>
  <si>
    <t>D-Gulose</t>
  </si>
  <si>
    <t>HMDB0250761</t>
  </si>
  <si>
    <t>C00738</t>
  </si>
  <si>
    <t>OCC1OC(O)C(O)C(O)C1O</t>
  </si>
  <si>
    <t>WQZGKKKJIJFFOK-UHFFFAOYSA-N</t>
  </si>
  <si>
    <t>11.88_262.2303n</t>
  </si>
  <si>
    <t>9,12,15-octadecatrienal</t>
  </si>
  <si>
    <t>LMFA06000102</t>
  </si>
  <si>
    <t>C(/C/C=C/C/C=C/CC)=C\CCCCCCCC([H])=O</t>
  </si>
  <si>
    <t>TUCMDDWTBVMRTP-IUQGRGSQSA-N</t>
  </si>
  <si>
    <t>12.36_328.2402n</t>
  </si>
  <si>
    <t>(4E,7E,10Z,13E,16E,19E)-docosa-4,7,10,13,16,19-hexaenoic acid</t>
  </si>
  <si>
    <t>25167-62-8</t>
  </si>
  <si>
    <t>CCC=CCC=CCC=CCC=CCC=CCC=CCCC(=O)O</t>
  </si>
  <si>
    <t>MBMBGCFOFBJSGT-CHRIZAQASA-N</t>
  </si>
  <si>
    <t>C22H32O2</t>
  </si>
  <si>
    <t>11.09_1043.7053m/z</t>
  </si>
  <si>
    <t>Mdp-gdp</t>
  </si>
  <si>
    <t>HMDB0254384</t>
  </si>
  <si>
    <t>CCCCCCCCCCCCCCCC(=O)OCC(COC(=O)C(CCC(N)=O)NC(=O)C(C)NC(=O)C(C)OC1C(O)C(CO)OC(O)C1NC(C)=O)OC(=O)CCCCCCCCCCCCCCC</t>
  </si>
  <si>
    <t>QWBADGLTIJHEGX-UHFFFAOYSA-N</t>
  </si>
  <si>
    <t>C54H98N4O15</t>
  </si>
  <si>
    <t>10.80_478.2941m/z</t>
  </si>
  <si>
    <t>PE(0:0/18:1(11Z))</t>
  </si>
  <si>
    <t>HMDB0011475</t>
  </si>
  <si>
    <t>LMGP02050039</t>
  </si>
  <si>
    <t>C(OP(OCCN)(O)=O)[C@]([H])(OC(=O)CCCCCCCCC/C=C\CCCCCC)CO</t>
  </si>
  <si>
    <t>CZYOFWNORPEFDG-KOIKXXGWSA-N</t>
  </si>
  <si>
    <t>C23H46NO7P</t>
  </si>
  <si>
    <t>10.61_569.3494n</t>
  </si>
  <si>
    <t>Janthitrem C</t>
  </si>
  <si>
    <t>HMDB0040684</t>
  </si>
  <si>
    <t>73561-91-8</t>
  </si>
  <si>
    <t>CC(=C)C1OC2CCC3(C)C4(C)C(CC5=C4NC4=C5C=C5CC6C(=CC(C)(C)OC6(C)C)C5=C4)CCC3(O)C2=CC1O</t>
  </si>
  <si>
    <t>HVLXXQDJGPKVMK-UHFFFAOYSA-N</t>
  </si>
  <si>
    <t>Naphthopyrans</t>
  </si>
  <si>
    <t>C37H47NO4</t>
  </si>
  <si>
    <t>9.66_437.1949m/z</t>
  </si>
  <si>
    <t>4-O-Methylmelleolide</t>
  </si>
  <si>
    <t>HMDB0037039</t>
  </si>
  <si>
    <t>96627-13-3</t>
  </si>
  <si>
    <t>COC12C(CC1(C)C1CC(C)(C)CC1C=C2C=O)OC(=O)C1=C(O)C=C(O)C=C1C</t>
  </si>
  <si>
    <t>GYCBSZGIYPNYAB-UHFFFAOYSA-N</t>
  </si>
  <si>
    <t>Sesquiterpenoids</t>
  </si>
  <si>
    <t>10.97_302.2253n</t>
  </si>
  <si>
    <t>Salviol</t>
  </si>
  <si>
    <t>HMDB0302947</t>
  </si>
  <si>
    <t>CC(C)C1=C(O)C=C2C(CCC3C(C)(C)CC(O)C[C@]23C)=C1</t>
  </si>
  <si>
    <t>PRYXPGFZVGZNBL-FPMRRHDISA-N</t>
  </si>
  <si>
    <t>9.44_325.2172m/z</t>
  </si>
  <si>
    <t>17-Hydroxymethylethisterone</t>
  </si>
  <si>
    <t>HMDB0060710</t>
  </si>
  <si>
    <t>C[C@]12CC[C@H]3[C@@H](CCC4=CC(=O)[C@H](CO)C[C@]34C)[C@@H]1CCC2(O)C#C</t>
  </si>
  <si>
    <t>JGJFMZZHCOKXHX-RIONBYPISA-N</t>
  </si>
  <si>
    <t>C22H30O3</t>
  </si>
  <si>
    <t>13.30_369.3527m/z</t>
  </si>
  <si>
    <t>5beta-cholest-22E-en-3beta-ol</t>
  </si>
  <si>
    <t>LMST01010333</t>
  </si>
  <si>
    <t>C1[C@]2(C)[C@@]3([H])CC[C@]4(C)[C@@]([H])([C@]([H])(C)/C=C/CC(C)C)CC[C@@]4([H])[C@]3([H])CC[C@]2([H])C[C@@H](O)C1</t>
  </si>
  <si>
    <t>BWGQUGBECNWWDB-IYXROPMCSA-N</t>
  </si>
  <si>
    <t>10.91_732.5522m/z</t>
  </si>
  <si>
    <t>PC(17:0/15:1(9Z))</t>
  </si>
  <si>
    <t>LMGP01011500</t>
  </si>
  <si>
    <t>[C@](COP(=O)([O-])OCC[N+](C)(C)C)([H])(OC(CCCCCCC/C=C\CCCCC)=O)COC(CCCCCCCCCCCCCCCC)=O</t>
  </si>
  <si>
    <t>CHNIFSQBNKGORH-GFRFCNOLSA-N</t>
  </si>
  <si>
    <t>C40H78NO8P</t>
  </si>
  <si>
    <t>11.57_236.2147n</t>
  </si>
  <si>
    <t>6,11-hexadecadienal</t>
  </si>
  <si>
    <t>LMFA06000093</t>
  </si>
  <si>
    <t>C(/C=C/CCCC)CC/C=C/CCCCC([H])=O</t>
  </si>
  <si>
    <t>UVAAPIIWFSOFFC-RINXSNKBSA-N</t>
  </si>
  <si>
    <t>C16H28O</t>
  </si>
  <si>
    <t>9.44_382.2131n</t>
  </si>
  <si>
    <t>PA(14:0/0:0)</t>
  </si>
  <si>
    <t>HMDB0062321</t>
  </si>
  <si>
    <t>LMGP10050007</t>
  </si>
  <si>
    <t>R-HSA-1430728,R-HSA-1483166,R-HSA-1483206,R-HSA-1483257,R-HSA-556833</t>
  </si>
  <si>
    <t>Metabolism|Synthesis of PA|Glycerophospholipid biosynthesis|Phospholipid metabolism|Metabolism of lipids</t>
  </si>
  <si>
    <t>[C@](COP(=O)(O)O)([H])(O)COC(CCCCCCCCCCCCC)=O</t>
  </si>
  <si>
    <t>FAZBDRGXCKPVJU-MRXNPFEDSA-N</t>
  </si>
  <si>
    <t>C17H35O7P</t>
  </si>
  <si>
    <t>6.86_408.2877n</t>
  </si>
  <si>
    <t>Ursocholic acid</t>
  </si>
  <si>
    <t>HMDB0000917</t>
  </si>
  <si>
    <t>LMST04010088</t>
  </si>
  <si>
    <t>C17644</t>
  </si>
  <si>
    <t>2955-27-3</t>
  </si>
  <si>
    <t>C1[C@]2(C)[C@@]3([H])C[C@H](O)[C@]4(C)[C@@]([H])([C@]([H])(C)CCC(O)=O)CC[C@@]4([H])[C@]3([H])[C@@H](O)C[C@]2([H])C[C@H](O)C1</t>
  </si>
  <si>
    <t>BHQCQFFYRZLCQQ-UTLSPDKDSA-N</t>
  </si>
  <si>
    <t>Bile acids, alcohols and derivatives</t>
  </si>
  <si>
    <t>M-H, 2M-H, M+FA-H</t>
  </si>
  <si>
    <t>C24H40O5</t>
  </si>
  <si>
    <t>137</t>
  </si>
  <si>
    <t>Glycerol</t>
  </si>
  <si>
    <t>HMDB0000131</t>
  </si>
  <si>
    <t>C00116</t>
  </si>
  <si>
    <t>hsa00040,hsa00052,hsa00561,hsa02010,hsa04714,hsa04923</t>
  </si>
  <si>
    <t>Pentose and glucuronate interconversions|Galactose metabolism|Glycerolipid metabolism|ABC transporters|Thermogenesis|Regulation of lipolysis in adipocytes</t>
  </si>
  <si>
    <t>R-HSA-109582,R-HSA-114508,R-HSA-1430728,R-HSA-1482883,R-HSA-1483148,R-HSA-1483206,R-HSA-1483257,R-HSA-162582,R-HSA-163560,R-HSA-192456,R-HSA-372790,R-HSA-382551,R-HSA-388396,R-HSA-416476,R-HSA-426048,R-HSA-432030,R-HSA-432047,R-HSA-445717,R-HSA-556833,R-HSA-70171,R-HSA-70326,R-HSA-71387,R-HSA-75109,R-HSA-76002,R-HSA-8935690,R-HSA-8963743,R-HSA-8979227</t>
  </si>
  <si>
    <t>Hemostasis|Effects of PIP2 hydrolysis|Metabolism|Acyl chain remodeling of DAG and TAG|Synthesis of PG|Glycerophospholipid biosynthesis|Phospholipid metabolism|Signal Transduction|Triglyceride catabolism|Digestion of dietary lipid|Signaling by GPCR|Transport of small molecules|GPCR downstream signalling|G alpha (q) signalling events|Arachidonate production from DAG|Transport of glycerol from adipocytes to the liver by Aquaporins|Passive transport by Aquaporins|Aquaporin-mediated transport|Metabolism of lipids|Glycolysis|Glucose metabolism|Metabolism of carbohydrates|Triglyceride biosynthesis|Platelet activation, signaling and aggregation|Digestion|Digestion and absorption|Triglyceride metabolism</t>
  </si>
  <si>
    <t>56-81-5</t>
  </si>
  <si>
    <t>OCC(O)CO</t>
  </si>
  <si>
    <t>PEDCQBHIVMGVHV-UHFFFAOYSA-N</t>
  </si>
  <si>
    <t>C3H8O3</t>
  </si>
  <si>
    <t>12.49_636.3498m/z</t>
  </si>
  <si>
    <t>PC(PGF1alpha/2:0)</t>
  </si>
  <si>
    <t>HMDB0288899</t>
  </si>
  <si>
    <t>CCCCC[C@H](O)\C=C\[C@H]1[C@H](O)C[C@H](O)[C@@H]1CCCCCCC(=O)OC[C@H](COP([O-])(=O)OCC[N+](C)(C)C)OC(C)=O</t>
  </si>
  <si>
    <t>OFLGTVWXRZTMDE-QMHOTTKSSA-N</t>
  </si>
  <si>
    <t>C30H56NO11P</t>
  </si>
  <si>
    <t>0.74_158.1180m/z</t>
  </si>
  <si>
    <t>4Z,7-octadienoic acid</t>
  </si>
  <si>
    <t>LMFA01030441</t>
  </si>
  <si>
    <t>C(CC/C=C\CC=C)(=O)O</t>
  </si>
  <si>
    <t>DANMCTRTXMRTRY-PLNGDYQASA-N</t>
  </si>
  <si>
    <t>C8H12O2</t>
  </si>
  <si>
    <t>10.09_493.3184n</t>
  </si>
  <si>
    <t>(2R)-2-{[(9Z)-Hexadec-9-enoyl]oxy}-3-hydroxypropyl 2-(trimethylazaniumyl)ethyl phosphate</t>
  </si>
  <si>
    <t>HMDB0245288</t>
  </si>
  <si>
    <t>CCCCCCC=CCCCCCCCC(=O)OC(CO)COP([O-])(=O)OCC[N+](C)(C)C</t>
  </si>
  <si>
    <t>OEJYWQCXHNOOHC-UHFFFAOYSA-N</t>
  </si>
  <si>
    <t>C24H48NO7P</t>
  </si>
  <si>
    <t>11.28_866.5553m/z</t>
  </si>
  <si>
    <t>PC(P-16:0/22:6(4Z,7Z,11E,13Z,15E,19Z)-2OH(10S,17))</t>
  </si>
  <si>
    <t>HMDB0289509</t>
  </si>
  <si>
    <t>[H][C@@](CO\C=C\CCCCCCCCCCCCCC)(COP([O-])(=O)OCC[N+](C)(C)C)OC(=O)CC\C=C/C\C=C/C[C@@H](O)\C=C\C=C/C=C/[C@@H](O)C\C=C/CC</t>
  </si>
  <si>
    <t>NLGKEHFNVSGZKO-PFMCPOGWSA-N</t>
  </si>
  <si>
    <t>C46H80NO9P</t>
  </si>
  <si>
    <t>11.23_771.5805n</t>
  </si>
  <si>
    <t>PE(20:0/18:2(9Z,12Z))</t>
  </si>
  <si>
    <t>HMDB0009225</t>
  </si>
  <si>
    <t>LMGP02010125</t>
  </si>
  <si>
    <t>[C@](COP(=O)(O)OCCN)([H])(OC(CCCCCCC/C=C\C/C=C\CCCCC)=O)COC(CCCCCCCCCCCCCCCCCCC)=O</t>
  </si>
  <si>
    <t>CLPMAPXZURYSNH-CNBLIUODSA-N</t>
  </si>
  <si>
    <t>M+H, M+K</t>
  </si>
  <si>
    <t>10.23_526.2945m/z</t>
  </si>
  <si>
    <t>PE(22:6(4Z,7Z,10Z,13Z,16Z,19Z)/0:0)</t>
  </si>
  <si>
    <t>HMDB0011526</t>
  </si>
  <si>
    <t>LMGP02050013</t>
  </si>
  <si>
    <t>[C@](COP(=O)(O)OCCN)([H])(O)COC(CC/C=C\C/C=C\C/C=C\C/C=C\C/C=C\C/C=C\CC)=O</t>
  </si>
  <si>
    <t>XEVRBOQZSXWGQO-PAUXXPOVSA-N</t>
  </si>
  <si>
    <t>C27H44NO7P</t>
  </si>
  <si>
    <t>7.07_375.2179m/z</t>
  </si>
  <si>
    <t>11beta-Hydroxy-3,20-dioxopregn-4-en-21-oic acid</t>
  </si>
  <si>
    <t>HMDB0011652</t>
  </si>
  <si>
    <t>C[C@]12C[C@H](O)C3C(CCC4=CC(=O)CC[C@]34C)C1CCC2C(O)CC(O)=O</t>
  </si>
  <si>
    <t>MSUMOHDXPKCNSB-ZUNXIJJCSA-N</t>
  </si>
  <si>
    <t>0.68_367.1052m/z</t>
  </si>
  <si>
    <t>4'-O-Glucopyranosylsinapic acid</t>
  </si>
  <si>
    <t>HMDB0303764</t>
  </si>
  <si>
    <t>COC1=CC(\C=C\C(O)=O)=CC(OC)=C1OC1OC(CO)C(O)C(O)C1O</t>
  </si>
  <si>
    <t>KKLWTTVTWMTNBP-ONEGZZNKSA-N</t>
  </si>
  <si>
    <t>C17H22O10</t>
  </si>
  <si>
    <t>8.92_435.2273n</t>
  </si>
  <si>
    <t>Valsartan</t>
  </si>
  <si>
    <t>HMDB0014323</t>
  </si>
  <si>
    <t>R-HSA-162582,R-HSA-372790,R-HSA-373076,R-HSA-375276,R-HSA-500792</t>
  </si>
  <si>
    <t>Signal Transduction|Signaling by GPCR|Class A/1 (Rhodopsin-like receptors)|Peptide ligand-binding receptors|GPCR ligand binding</t>
  </si>
  <si>
    <t>137862-53-4</t>
  </si>
  <si>
    <t>CCCCC(=O)N(CC1=CC=C(C=C1)C1=CC=CC=C1C1=NNN=N1)[C@@H](C(C)C)C(O)=O</t>
  </si>
  <si>
    <t>ACWBQPMHZXGDFX-QFIPXVFZSA-N</t>
  </si>
  <si>
    <t>C24H29N5O3</t>
  </si>
  <si>
    <t>11.35_481.3545n</t>
  </si>
  <si>
    <t>PC(O-16:0/0:0)</t>
  </si>
  <si>
    <t>LMGP01060010</t>
  </si>
  <si>
    <t>[C@](COP(=O)([O-])OCC[N+](C)(C)C)([H])(O)COCCCCCCCCCCCCCCCC</t>
  </si>
  <si>
    <t>VLBPIWYTPAXCFJ-XMMPIXPASA-N</t>
  </si>
  <si>
    <t>M+H, M+K, M+Na</t>
  </si>
  <si>
    <t>C24H52NO6P</t>
  </si>
  <si>
    <t>0.85_201.0375m/z</t>
  </si>
  <si>
    <t>Chrycorin</t>
  </si>
  <si>
    <t>HMDB0035149</t>
  </si>
  <si>
    <t>91362-90-2</t>
  </si>
  <si>
    <t>O=C1CC2OCCCC2=C1C1=CC=CS1</t>
  </si>
  <si>
    <t>FCVWHDAKNZMSON-UHFFFAOYSA-N</t>
  </si>
  <si>
    <t>Oxanes</t>
  </si>
  <si>
    <t>C12H12O2S</t>
  </si>
  <si>
    <t>10.77_480.3094m/z</t>
  </si>
  <si>
    <t>PE(18:1(9Z)/0:0)</t>
  </si>
  <si>
    <t>HMDB0011506</t>
  </si>
  <si>
    <t>LMGP02050004</t>
  </si>
  <si>
    <t>89576-29-4</t>
  </si>
  <si>
    <t>[C@](COP(=O)(O)OCCN)([H])(O)COC(CCCCCCC/C=C\CCCCCCCC)=O</t>
  </si>
  <si>
    <t>PYVRVRFVLRNJLY-MZMPXXGTSA-N</t>
  </si>
  <si>
    <t>5.06_346.0812n</t>
  </si>
  <si>
    <t>Hydroxydehydro Nifedipine Carboxylate</t>
  </si>
  <si>
    <t>HMDB0246184</t>
  </si>
  <si>
    <t>34783-31-8</t>
  </si>
  <si>
    <t>COC(=O)C1=C(C)N=C(CO)C(C(O)=O)=C1C1=CC=CC=C1[N+]([O-])=O</t>
  </si>
  <si>
    <t>ARDQNVJJIRIJPD-UHFFFAOYSA-N</t>
  </si>
  <si>
    <t>Pyridines and derivatives</t>
  </si>
  <si>
    <t>Phenylpyridines</t>
  </si>
  <si>
    <t>C16H14N2O7</t>
  </si>
  <si>
    <t>8.68_304.2856m/z</t>
  </si>
  <si>
    <t>t17:0 phytosphingosine</t>
  </si>
  <si>
    <t>LMSP01030004</t>
  </si>
  <si>
    <t>OC[C@]([H])(N)[C@]([H])(O)[C@@](O)([H])CCCCCCCCCCCCC</t>
  </si>
  <si>
    <t>NKOLYWXODIHTSI-BBWFWOEESA-N</t>
  </si>
  <si>
    <t>C17H37NO3</t>
  </si>
  <si>
    <t>10.11_537.3809n</t>
  </si>
  <si>
    <t>PC(19:0/0:0)</t>
  </si>
  <si>
    <t>LMGP01050041</t>
  </si>
  <si>
    <t>[C@](COP(=O)([O-])OCC[N+](C)(C)C)([H])(O)COC(CCCCCCCCCCCCCCCCCC)=O</t>
  </si>
  <si>
    <t>WYIMORDZGCUBAA-AREMUKBSSA-N</t>
  </si>
  <si>
    <t>C27H56NO7P</t>
  </si>
  <si>
    <t>13.51_381.1740m/z</t>
  </si>
  <si>
    <t>S-Japonin</t>
  </si>
  <si>
    <t>HMDB0035802</t>
  </si>
  <si>
    <t>36031-35-3</t>
  </si>
  <si>
    <t>CS\C=C\C(=O)OC1CC(C)C2(C)CC(=C(C)C)C(=O)CC2C1</t>
  </si>
  <si>
    <t>HDHDUJDLKYTRAS-VOTSOKGWSA-N</t>
  </si>
  <si>
    <t>C19H28O3S</t>
  </si>
  <si>
    <t>11.11_634.3340m/z</t>
  </si>
  <si>
    <t>PC(2:0/PGE1)</t>
  </si>
  <si>
    <t>HMDB0288894</t>
  </si>
  <si>
    <t>CCCCC[C@H](O)\C=C\[C@H]1[C@H](O)CC(=O)[C@@H]1CCCCCCC(=O)O[C@H](COC(C)=O)COP([O-])(=O)OCC[N+](C)(C)C</t>
  </si>
  <si>
    <t>CTVXUMCEKKIZJE-GTUFVOORSA-N</t>
  </si>
  <si>
    <t>C30H54NO11P</t>
  </si>
  <si>
    <t>11.01_322.2506n</t>
  </si>
  <si>
    <t>20-Hydroxyeicosatrieneoic acid</t>
  </si>
  <si>
    <t>HMDB0245565</t>
  </si>
  <si>
    <t>OCCCCCCCCCCCCCC=CC=CC=CC(O)=O</t>
  </si>
  <si>
    <t>XTCDXMVKTWNLIQ-UHFFFAOYSA-N</t>
  </si>
  <si>
    <t>C20H34O3</t>
  </si>
  <si>
    <t>9.52_338.2459n</t>
  </si>
  <si>
    <t>11-deoxy-PGF2a</t>
  </si>
  <si>
    <t>LMFA03010078</t>
  </si>
  <si>
    <t>[C@H]1(/C=C/[C@@H](O)CCCCC)CC[C@H](O)[C@@H]1C/C=C\CCCC(=O)O</t>
  </si>
  <si>
    <t>YRFLKMLJQWGIIZ-APRRXLQMSA-N</t>
  </si>
  <si>
    <t>C20H34O4</t>
  </si>
  <si>
    <t>0.72_116.0711m/z</t>
  </si>
  <si>
    <t>L-Proline</t>
  </si>
  <si>
    <t>HMDB0000162</t>
  </si>
  <si>
    <t>C00148</t>
  </si>
  <si>
    <t>hsa00330,hsa00470,hsa00970,hsa04974,hsa05230</t>
  </si>
  <si>
    <t>Arginine and proline metabolism|D-Amino acid metabolism|Aminoacyl-tRNA biosynthesis|Protein digestion and absorption|Central carbon metabolism in cancer</t>
  </si>
  <si>
    <t>147-85-3</t>
  </si>
  <si>
    <t>OC(=O)[C@@H]1CCCN1</t>
  </si>
  <si>
    <t>ONIBWKKTOPOVIA-BYPYZUCNSA-N</t>
  </si>
  <si>
    <t>C5H9NO2</t>
  </si>
  <si>
    <t>5.72_341.0678m/z</t>
  </si>
  <si>
    <t>Phyllocoumarin</t>
  </si>
  <si>
    <t>LMPK12020070</t>
  </si>
  <si>
    <t>C12OC(=O)C=CC=1C1O[C@H](C3C=C(O)C(O)=CC=3)[C@@H](O)CC=1C(O)=C2</t>
  </si>
  <si>
    <t>JXVQELAURPRTFD-WMLDXEAASA-N</t>
  </si>
  <si>
    <t>C18H14O7</t>
  </si>
  <si>
    <t>9.22_318.3013m/z</t>
  </si>
  <si>
    <t>Phytosphingosine</t>
  </si>
  <si>
    <t>HMDB0004610</t>
  </si>
  <si>
    <t>LMSP01030001</t>
  </si>
  <si>
    <t>C12144</t>
  </si>
  <si>
    <t>hsa00600</t>
  </si>
  <si>
    <t>Sphingolipid metabolism</t>
  </si>
  <si>
    <t>R-HSA-1430728,R-HSA-1660661,R-HSA-428157,R-HSA-556833</t>
  </si>
  <si>
    <t>Metabolism|Sphingolipid de novo biosynthesis|Sphingolipid metabolism|Metabolism of lipids</t>
  </si>
  <si>
    <t>554-62-1</t>
  </si>
  <si>
    <t>OC[C@]([H])(N)[C@]([H])(O)[C@@](O)([H])CCCCCCCCCCCCCC</t>
  </si>
  <si>
    <t>AERBNCYCJBRYDG-KSZLIROESA-N</t>
  </si>
  <si>
    <t>C18H39NO3</t>
  </si>
  <si>
    <t>12.35_870.5500m/z</t>
  </si>
  <si>
    <t>PC(DiMe(9,3)/PGF2alpha)</t>
  </si>
  <si>
    <t>HMDB0289247</t>
  </si>
  <si>
    <t>CCCCC[C@H](O)\C=C\[C@H]1[C@H](O)C[C@H](O)[C@@H]1C\C=C\CCCC(=O)O[C@H](COC(=O)CCCCCCCCC1=C(C)C(C)=C(CCC)O1)COP([O-])(=O)OCC[N+](C)(C)C</t>
  </si>
  <si>
    <t>AMBIXKWTQFLDKD-CMPMEDAZSA-N</t>
  </si>
  <si>
    <t>C46H80NO12P</t>
  </si>
  <si>
    <t>10.41_588.3309m/z</t>
  </si>
  <si>
    <t>PC(20:4(5Z,8Z,11Z,14Z)/0:0)</t>
  </si>
  <si>
    <t>HMDB0010395</t>
  </si>
  <si>
    <t>LMGP01050048</t>
  </si>
  <si>
    <t>60701-99-7</t>
  </si>
  <si>
    <t>[C@](COP(=O)([O-])OCC[N+](C)(C)C)([H])(O)COC(CCC/C=C\C/C=C\C/C=C\C/C=C\CCCCC)=O</t>
  </si>
  <si>
    <t>LAXQYRRMGGEGOH-JXRLJXCWSA-N</t>
  </si>
  <si>
    <t>13.69_592.4723n</t>
  </si>
  <si>
    <t>DG(18:3(10,12,15)-OH(9)/a-15:0/0:0)</t>
  </si>
  <si>
    <t>HMDB0297656</t>
  </si>
  <si>
    <t>CC\C=C\C\C=C\C=C\C(O)CCCCCCCC(=O)OC[C@H](CO)OC(=O)CCCCCCCCCCC(C)CC</t>
  </si>
  <si>
    <t>JDMZUASZYLEXJD-YOFNQTPKSA-N</t>
  </si>
  <si>
    <t>M+H, M+NH4, M+Na, M+H-H2O</t>
  </si>
  <si>
    <t>C36H64O6</t>
  </si>
  <si>
    <t>10.37_612.3308m/z</t>
  </si>
  <si>
    <t>PC(22:6(4Z,7Z,10Z,13Z,16Z,19Z)/0:0)</t>
  </si>
  <si>
    <t>HMDB0010404</t>
  </si>
  <si>
    <t>LMGP01050056</t>
  </si>
  <si>
    <t>162440-05-3</t>
  </si>
  <si>
    <t>[C@](COP(=O)([O-])OCC[N+](C)(C)C)([H])(O)COC(CC/C=C\C/C=C\C/C=C\C/C=C\C/C=C\C/C=C\CC)=O</t>
  </si>
  <si>
    <t>LSOWKZULVQWMLY-APPDJCNMSA-N</t>
  </si>
  <si>
    <t>C30H50NO7P</t>
  </si>
  <si>
    <t>6.90_438.1383m/z</t>
  </si>
  <si>
    <t>4-(2-Aminoethylamino)-3-[bis(carboxymethyl)amino]-3-(carboxymethyl)hexanedioic acid</t>
  </si>
  <si>
    <t>HMDB0257978</t>
  </si>
  <si>
    <t>NCCNC(CC(O)=O)C(CC(O)=O)(CC(O)=O)N(CC(O)=O)CC(O)=O</t>
  </si>
  <si>
    <t>GBGYSOHUJQXGIX-UHFFFAOYSA-N</t>
  </si>
  <si>
    <t>Pentacarboxylic acids and derivatives</t>
  </si>
  <si>
    <t>C14H23N3O10</t>
  </si>
  <si>
    <t>10.17_320.2568m/z</t>
  </si>
  <si>
    <t>Yucalexin A16</t>
  </si>
  <si>
    <t>HMDB0036775</t>
  </si>
  <si>
    <t>119642-81-8</t>
  </si>
  <si>
    <t>CC1(O)CC23CCC4C(C)(C)C(=O)CCC4(C)C2CC1C=C3</t>
  </si>
  <si>
    <t>AFZCVSRIUXFFJO-UHFFFAOYSA-N</t>
  </si>
  <si>
    <t>10.65_296.2592m/z</t>
  </si>
  <si>
    <t>octadeca-11E,13E,15Z-trienoic acid</t>
  </si>
  <si>
    <t>LMFA01030777</t>
  </si>
  <si>
    <t>C(CCC(O)=O)CCCCCC/C=C/C=C/C=C\CC</t>
  </si>
  <si>
    <t>ZSXWVPXJLXTOQQ-ZRGCPWHVSA-N</t>
  </si>
  <si>
    <t>C18H30O2</t>
  </si>
  <si>
    <t>10.63_278.2252n</t>
  </si>
  <si>
    <t>alpha-calendic acid</t>
  </si>
  <si>
    <t>HMDB0030962</t>
  </si>
  <si>
    <t>LMFA01030144</t>
  </si>
  <si>
    <t>28872-28-8</t>
  </si>
  <si>
    <t>C(=C/C=C\CCCCC)\C=C\CCCCCCC(=O)O</t>
  </si>
  <si>
    <t>DQGMPXYVZZCNDQ-KBPWROHVSA-N</t>
  </si>
  <si>
    <t>4.48_610.2070n</t>
  </si>
  <si>
    <t>divinylchlorophyllide a</t>
  </si>
  <si>
    <t>HMDB0304341</t>
  </si>
  <si>
    <t>COC(=O)[C-]1C(=O)C2=C(C)C3=CC4=NC(=CC5=C(C=C)C(C)=C6C=C7N=C(C(CCC([O-])=O)C7C)C1=C2N3[Mg]N56)C(C)=C4C=C</t>
  </si>
  <si>
    <t>UNSKJTNUDHVNJT-UHFFFAOYSA-K</t>
  </si>
  <si>
    <t>Tetrapyrroles and derivatives</t>
  </si>
  <si>
    <t>Metallotetrapyrroles</t>
  </si>
  <si>
    <t>C35H30MgN4O5-2</t>
  </si>
  <si>
    <t>17</t>
  </si>
  <si>
    <t>L-Lactic Acid</t>
  </si>
  <si>
    <t>HMDB0000190</t>
  </si>
  <si>
    <t>C00186</t>
  </si>
  <si>
    <t>hsa00010,hsa00051,hsa00620,hsa00640,hsa04024,hsa04066,hsa04148,hsa04922,hsa05230</t>
  </si>
  <si>
    <t>Glycolysis / Gluconeogenesis|Fructose and mannose metabolism|Pyruvate metabolism|Propanoate metabolism|cAMP signaling pathway|HIF-1 signaling pathway|Efferocytosis|Glucagon signaling pathway|Central carbon metabolism in cancer</t>
  </si>
  <si>
    <t>R-HSA-1428517,R-HSA-1430728,R-HSA-162582,R-HSA-1643685,R-HSA-196807,R-HSA-196849,R-HSA-196854,R-HSA-197264,R-HSA-3296197,R-HSA-372790,R-HSA-373076,R-HSA-381753,R-HSA-382551,R-HSA-388396,R-HSA-418594,R-HSA-425366,R-HSA-425393,R-HSA-425407,R-HSA-427601,R-HSA-428643,R-HSA-433692,R-HSA-500792,R-HSA-549132,R-HSA-561048,R-HSA-5619070,R-HSA-5619071,R-HSA-5619102,R-HSA-5619115,R-HSA-70268,R-HSA-71406,R-HSA-9709957,R-HSA-9748784,R-HSA-9749641</t>
  </si>
  <si>
    <t>The citric acid (TCA) cycle and respiratory electron transport|Metabolism|Signal Transduction|Disease|Nicotinate metabolism|Metabolism of water-soluble vitamins and cofactors|Metabolism of vitamins and cofactors|Nicotinamide salvaging|Hydroxycarboxylic acid-binding receptors|Signaling by GPCR|Class A/1 (Rhodopsin-like receptors)|Olfactory Signaling Pathway|Transport of small molecules|GPCR downstream signalling|G alpha (i) signalling events|Transport of bile salts and organic acids, metal ions and amine compounds|Transport of inorganic cations/anions and amino acids/oligopeptides|SLC-mediated transmembrane transport|Multifunctional anion exchangers|Organic anion transporters|Proton-coupled monocarboxylate transport|GPCR ligand binding|Organic cation/anion/zwitterion transport|Organic anion transport|Defective SLC16A1 causes symptomatic deficiency in lactate transport (SDLT)|Defective SLC22A12 causes renal hypouricemia 1 (RHUC1)|SLC transporter disorders|Disorders of transmembrane transporters|Pyruvate metabolism|Pyruvate metabolism and Citric Acid (TCA) cycle|Sensory Perception|Drug ADME|Aspirin ADME</t>
  </si>
  <si>
    <t>79-33-4</t>
  </si>
  <si>
    <t>C[C@H](O)C(O)=O</t>
  </si>
  <si>
    <t>JVTAAEKCZFNVCJ-REOHCLBHSA-N</t>
  </si>
  <si>
    <t>Alpha hydroxy acids and derivatives</t>
  </si>
  <si>
    <t>C3H6O3</t>
  </si>
  <si>
    <t>12.66_563.5523m/z</t>
  </si>
  <si>
    <t>dirithromycin</t>
  </si>
  <si>
    <t>62013-04-1</t>
  </si>
  <si>
    <t>CCC1C(C2C(C(C(CC(C(C(C(C(C(=O)O1)C)OC3CC(C(C(O3)C)O)(C)OC)C)OC4C(C(CC(O4)C)N(C)C)O)(C)O)C)NC(O2)COCCOC)C)(C)O</t>
  </si>
  <si>
    <t>WLOHNSSYAXHWNR-DWIOZXRMSA-N</t>
  </si>
  <si>
    <t>C39H72</t>
  </si>
  <si>
    <t>10.62_608.3184m/z</t>
  </si>
  <si>
    <t>Boc-val-pro-arg-mca</t>
  </si>
  <si>
    <t>HMDB0249335</t>
  </si>
  <si>
    <t>CC(C)C(NC(=O)OC(C)(C)C)C(=O)N1CCCC1C(=O)NC(CCCN=C(N)N)C(=O)NC1=CC2=C(C=C1)C(C)=CC(=O)O2</t>
  </si>
  <si>
    <t>DFOSAUPKTFJBLO-UHFFFAOYSA-N</t>
  </si>
  <si>
    <t>C31H45N7O7</t>
  </si>
  <si>
    <t>7.60_397.2056m/z</t>
  </si>
  <si>
    <t>Allopregnanolone sulfate</t>
  </si>
  <si>
    <t>HMDB0240591</t>
  </si>
  <si>
    <t>29802-94-6</t>
  </si>
  <si>
    <t>[H][C@@]1(CC[C@@]2([H])[C@]3([H])CC[C@@]4([H])C[C@@H](CC[C@]4(C)[C@@]3([H])CC[C@]12C)OS(O)(=O)=O)C(C)=O</t>
  </si>
  <si>
    <t>MENQCIVHHONJLU-SYBPFIFISA-N</t>
  </si>
  <si>
    <t>Sulfated steroids</t>
  </si>
  <si>
    <t>C21H34O5S</t>
  </si>
  <si>
    <t>395</t>
  </si>
  <si>
    <t>Palmitic Acid</t>
  </si>
  <si>
    <t>HMDB0000220</t>
  </si>
  <si>
    <t>LMFA01010001</t>
  </si>
  <si>
    <t>C00249</t>
  </si>
  <si>
    <t>hsa00061,hsa00062,hsa00071,hsa01040</t>
  </si>
  <si>
    <t>Fatty acid biosynthesis|Fatty acid elongation|Fatty acid degradation|Biosynthesis of unsaturated fatty acids</t>
  </si>
  <si>
    <t>R-HSA-112310,R-HSA-112315,R-HSA-112316,R-HSA-1266738,R-HSA-1368082,R-HSA-1368108,R-HSA-1430728,R-HSA-1592230,R-HSA-162582,R-HSA-163685,R-HSA-1643685,R-HSA-1655829,R-HSA-1660661,R-HSA-1852241,R-HSA-192456,R-HSA-196854,R-HSA-1989781,R-HSA-202131,R-HSA-203615,R-HSA-2151201,R-HSA-2187335,R-HSA-2187338,R-HSA-2262752,R-HSA-2426168,R-HSA-2453902,R-HSA-2980736,R-HSA-372790,R-HSA-373076,R-HSA-373760,R-HSA-381340,R-HSA-381771,R-HSA-382551,R-HSA-388396,R-HSA-392499,R-HSA-400206,R-HSA-400253,R-HSA-400451,R-HSA-400508,R-HSA-400511,R-HSA-416476,R-HSA-422356,R-HSA-422475,R-HSA-425397,R-HSA-425407,R-HSA-428157,R-HSA-434313,R-HSA-434316,R-HSA-444209,R-HSA-500792,R-HSA-556833,R-HSA-5619102,R-HSA-5619108,R-HSA-5619115,R-HSA-6806667,R-HSA-75105,R-HSA-75876,R-HSA-75896,R-HSA-804914,R-HSA-8848584,R-HSA-8935690,R-HSA-8953897,R-HSA-8957322,R-HSA-8963743,R-HSA-8978868,R-HSA-9675108,R-HSA-9707564,R-HSA-9707616,R-HSA-9709957,R-HSA-9711123,R-HSA-975634</t>
  </si>
  <si>
    <t>Neurotransmitter release cycle|Transmission across Chemical Synapses|Neuronal System|Developmental Biology|RORA activates gene expression|BMAL1:CLOCK,NPAS2 activates circadian gene expression|Metabolism|Mitochondrial biogenesis|Signal Transduction|Integration of energy metabolism|Disease|Regulation of cholesterol biosynthesis by SREBP (SREBF)|Sphingolipid de novo biosynthesis|Organelle biogenesis and maintenance|Digestion of dietary lipid|Metabolism of vitamins and cofactors|PPARA activates gene expression|Metabolism of nitric oxide: NOS3 activation and regulation|eNOS activation|Transcriptional activation of mitochondrial biogenesis|The retinoid cycle in cones (daylight vision)|Visual phototransduction|Cellular responses to stress|Activation of gene expression by SREBF (SREBP)|The canonical retinoid cycle in rods (twilight vision)|Peptide hormone metabolism|Signaling by GPCR|Class A/1 (Rhodopsin-like receptors)|L1CAM interactions|Transcriptional regulation of white adipocyte differentiation|Synthesis, secretion, and inactivation of Glucagon-like Peptide-1 (GLP-1)|Transport of small molecules|GPCR downstream signalling|Metabolism of proteins|Regulation of lipid metabolism by PPARalpha|Circadian Clock|Free fatty acids regulate insulin secretion|Incretin synthesis, secretion, and inactivation|Synthesis, secretion, and inactivation of Glucose-dependent Insulinotropic Polypeptide (GIP)|G alpha (q) signalling events|Regulation of insulin secretion|Axon guidance|Transport of vitamins, nucleosides, and related molecules|SLC-mediated transmembrane transport|Sphingolipid metabolism|Intracellular metabolism of fatty acids regulates insulin secretion|Fatty Acids bound to GPR40 (FFAR1) regulate insulin secretion|Free fatty acid receptors|GPCR ligand binding|Metabolism of lipids|SLC transporter disorders|Defective SLC27A4 causes ichthyosis prematurity syndrome (IPS)|Disorders of transmembrane transporters|Metabolism of fat-soluble vitamins|Fatty acyl-CoA biosynthesis|Synthesis of very long-chain fatty acyl-CoAs|Plasmalogen biosynthesis|Transport of fatty acids|Wax and plasmalogen biosynthesis|Digestion|Cellular responses to stimuli|Metabolism of steroids|Digestion and absorption|Fatty acid metabolism|Nervous system development|Cytoprotection by HMOX1|Heme signaling|Sensory Perception|Cellular response to chemical stress|Retinoid metabolism and transport</t>
  </si>
  <si>
    <t>57-10-3</t>
  </si>
  <si>
    <t>OC(CCCCCCCCCCCCCCC)=O</t>
  </si>
  <si>
    <t>IPCSVZSSVZVIGE-UHFFFAOYSA-N</t>
  </si>
  <si>
    <t>C16H32O2</t>
  </si>
  <si>
    <t>13.33_355.1583m/z</t>
  </si>
  <si>
    <t>Hydroxyzine</t>
  </si>
  <si>
    <t>HMDB0014697</t>
  </si>
  <si>
    <t>C07045</t>
  </si>
  <si>
    <t>68-88-2</t>
  </si>
  <si>
    <t>OCCOCCN1CCN(CC1)C(C1=CC=CC=C1)C1=CC=C(Cl)C=C1</t>
  </si>
  <si>
    <t>ZQDWXGKKHFNSQK-UHFFFAOYSA-N</t>
  </si>
  <si>
    <t>Diphenylmethanes</t>
  </si>
  <si>
    <t>C21H27ClN2O2</t>
  </si>
  <si>
    <t>6.99_575.3242n</t>
  </si>
  <si>
    <t>PC(2:0/18:3(9,11,15)-OH(13))</t>
  </si>
  <si>
    <t>HMDB0288892</t>
  </si>
  <si>
    <t>[H][C@@](COC(C)=O)(COP([O-])(=O)OCC[N+](C)(C)C)OC(=O)CCCCCCC\C=C\C=C\C(O)C\C=C\CC</t>
  </si>
  <si>
    <t>JQPVMUMKLQVOGO-ONGUXFDVSA-N</t>
  </si>
  <si>
    <t>C28H50NO9P</t>
  </si>
  <si>
    <t>6.89_399.1404m/z</t>
  </si>
  <si>
    <t>4'-Methylliquiritigenin 7-rhamnoside</t>
  </si>
  <si>
    <t>HMDB0040545</t>
  </si>
  <si>
    <t>83697-43-2</t>
  </si>
  <si>
    <t>COC1=CC=C(C=C1)C1CC(=O)C2=C(O1)C=C(OC1OC(C)C(O)C(O)C1O)C=C2</t>
  </si>
  <si>
    <t>NWKQVQSCGKFWMB-UHFFFAOYSA-N</t>
  </si>
  <si>
    <t>C22H24O8</t>
  </si>
  <si>
    <t>6.15_391.2129m/z</t>
  </si>
  <si>
    <t>7'-Carboxy-alpha-tocotrienol</t>
  </si>
  <si>
    <t>HMDB0012849</t>
  </si>
  <si>
    <t>C\C(CCC(O)=O)=C/CC[C@]1(C)CCC2=C(O1)C(C)=C(C)C(O)=C2C</t>
  </si>
  <si>
    <t>UZOSSXSASNQFOI-FAKWYAOSSA-N</t>
  </si>
  <si>
    <t>10.91_566.3463m/z</t>
  </si>
  <si>
    <t>PC(0:0/18:1(6Z))</t>
  </si>
  <si>
    <t>LMGP01050079</t>
  </si>
  <si>
    <t>[C@](COP(=O)([O-])OCC[N+](C)(C)C)([H])(OC(CCCC/C=C\CCCCCCCCCCC)=O)CO</t>
  </si>
  <si>
    <t>LXHJYOQXXHUOHA-UPTOSOBMSA-N</t>
  </si>
  <si>
    <t>7.08_340.2051n</t>
  </si>
  <si>
    <t>Canrenone</t>
  </si>
  <si>
    <t>HMDB0003033</t>
  </si>
  <si>
    <t>976-71-6</t>
  </si>
  <si>
    <t>[H][C@@]12CC[C@@]3(CCC(=O)O3)[C@@]1(C)CC[C@@]1([H])[C@@]2([H])C=CC2=CC(=O)CC[C@]12C</t>
  </si>
  <si>
    <t>UJVLDDZCTMKXJK-WNHSNXHDSA-N</t>
  </si>
  <si>
    <t>C22H28O3</t>
  </si>
  <si>
    <t>7.17_367.1586m/z</t>
  </si>
  <si>
    <t>Porson</t>
  </si>
  <si>
    <t>HMDB0030810</t>
  </si>
  <si>
    <t>56222-03-8</t>
  </si>
  <si>
    <t>COC1=C2C=C(CC(O)C(=O)CCCCC3=CC2=C(OC)C(OC)=C3O)C=C1</t>
  </si>
  <si>
    <t>VHBRVHUPCPJJMZ-UHFFFAOYSA-N</t>
  </si>
  <si>
    <t>Diarylheptanoids</t>
  </si>
  <si>
    <t>Cyclic diarylheptanoids</t>
  </si>
  <si>
    <t>C22H26O6</t>
  </si>
  <si>
    <t>351</t>
  </si>
  <si>
    <t>D-Galactose</t>
  </si>
  <si>
    <t>HMDB0000143</t>
  </si>
  <si>
    <t>C00124</t>
  </si>
  <si>
    <t>hsa00052,hsa04973,hsa04978</t>
  </si>
  <si>
    <t>Galactose metabolism|Carbohydrate digestion and absorption|Mineral absorption</t>
  </si>
  <si>
    <t>59-23-4</t>
  </si>
  <si>
    <t>C(C1C(C(C(C(O1)O)O)O)O)O</t>
  </si>
  <si>
    <t>WQZGKKKJIJFFOK-SVZMEOIVSA-N</t>
  </si>
  <si>
    <t>12.71_330.2559n</t>
  </si>
  <si>
    <t>10-[5]-ladderane-decanoic acid</t>
  </si>
  <si>
    <t>LMFA01140013</t>
  </si>
  <si>
    <t>C1C2C3C4C5CC(CCCCCCCCCC(=O)O)C5C4C3C2C1</t>
  </si>
  <si>
    <t>LXZYGXNGSMYQAG-UHFFFAOYSA-N</t>
  </si>
  <si>
    <t>C22H34O2</t>
  </si>
  <si>
    <t>5.42_235.0002m/z</t>
  </si>
  <si>
    <t>S-(2-Benzothiazolyl)cysteine</t>
  </si>
  <si>
    <t>HMDB0257381</t>
  </si>
  <si>
    <t>NC(CSC1=NC2=CC=CC=C2S1)C(O)=O</t>
  </si>
  <si>
    <t>KRBPTLCTECPKGY-UHFFFAOYSA-N</t>
  </si>
  <si>
    <t>C10H10N2O2S2</t>
  </si>
  <si>
    <t>9.79_335.2212m/z</t>
  </si>
  <si>
    <t>Prostaglandin B2</t>
  </si>
  <si>
    <t>HMDB0004236</t>
  </si>
  <si>
    <t>C05954</t>
  </si>
  <si>
    <t>13367-85-6</t>
  </si>
  <si>
    <t>CCCCC[C@@H](O)\C=C\C1=C(C\C=C/CCCC(O)=O)C(=O)CC1</t>
  </si>
  <si>
    <t>PRFXRIUZNKLRHM-RYPCXPIFSA-N</t>
  </si>
  <si>
    <t>7.25_239.0922m/z</t>
  </si>
  <si>
    <t>2,6-Dimethoxy-4-(1-propenyl)phenol</t>
  </si>
  <si>
    <t>HMDB0037271</t>
  </si>
  <si>
    <t>6635-22-9</t>
  </si>
  <si>
    <t>COC1=CC(\C=C\C)=CC(OC)=C1O</t>
  </si>
  <si>
    <t>YFHOHYAUMDHSBX-SNAWJCMRSA-N</t>
  </si>
  <si>
    <t>C11H14O3</t>
  </si>
  <si>
    <t>9.58_361.2389m/z</t>
  </si>
  <si>
    <t>Mar1n-3 DPA</t>
  </si>
  <si>
    <t>LMFA04000098</t>
  </si>
  <si>
    <t>R-HSA-1430728,R-HSA-556833,R-HSA-9018678,R-HSA-9018683,R-HSA-9025094,R-HSA-9026290</t>
  </si>
  <si>
    <t>Metabolism|Metabolism of lipids|Biosynthesis of specialized proresolving mediators (SPMs)|Biosynthesis of DPA-derived SPMs|Biosynthesis of DPAn-3 SPMs|Biosynthesis of DPAn-3-derived maresins</t>
  </si>
  <si>
    <t>C(CCCCC[C@@H](O)/C=C/C=C/C=C\[C@@H](O)C/C=C\C/C=C\CC)(=O)O</t>
  </si>
  <si>
    <t>QWOUVGWCGKEVEB-NEVPTXAHSA-N</t>
  </si>
  <si>
    <t>C22H34O4</t>
  </si>
  <si>
    <t>2.04_327.1329n</t>
  </si>
  <si>
    <t>N-(1-Deoxy-1-fructosyl)phenylalanine</t>
  </si>
  <si>
    <t>HMDB0037846</t>
  </si>
  <si>
    <t>87251-83-0</t>
  </si>
  <si>
    <t>OC[C@H]1OC(O)(CN[C@@H](CC2=CC=CC=C2)C(O)=O)[C@@H](O)[C@@H]1O</t>
  </si>
  <si>
    <t>FAVRCIXPIVJIPN-VJDSNFAGSA-N</t>
  </si>
  <si>
    <t>C15H21NO7</t>
  </si>
  <si>
    <t>10.81_476.3596n</t>
  </si>
  <si>
    <t>Dehydrocarpaine I</t>
  </si>
  <si>
    <t>HMDB0030271</t>
  </si>
  <si>
    <t>72362-02-8</t>
  </si>
  <si>
    <t>CC1NC2CCC1OC(=O)CCCCCCCC1CCC(OC(=O)CCCCCCC2)C(C)=N1</t>
  </si>
  <si>
    <t>KGQYREIAHMZYSA-UHFFFAOYSA-N</t>
  </si>
  <si>
    <t>C28H48N2O4</t>
  </si>
  <si>
    <t>4.05_206.1426n</t>
  </si>
  <si>
    <t>Oxotremorine</t>
  </si>
  <si>
    <t>HMDB0256004</t>
  </si>
  <si>
    <t>C07485</t>
  </si>
  <si>
    <t>70-22-4</t>
  </si>
  <si>
    <t>O=C1CCCN1CC#CCN1CCCC1</t>
  </si>
  <si>
    <t>RSDOPYMFZBJHRL-UHFFFAOYSA-N</t>
  </si>
  <si>
    <t>Pyrrolidines</t>
  </si>
  <si>
    <t>N-alkylpyrrolidines</t>
  </si>
  <si>
    <t>C12H18N2O</t>
  </si>
  <si>
    <t>6.90_444.1374n</t>
  </si>
  <si>
    <t>Canagliflozin</t>
  </si>
  <si>
    <t>HMDB0249580</t>
  </si>
  <si>
    <t>CC1=C(CC2=CC=C(S2)C2=CC=C(F)C=C2)C=C(C=C1)C1OC(CO)C(O)C(O)C1O</t>
  </si>
  <si>
    <t>XTNGUQKDFGDXSJ-UHFFFAOYSA-N</t>
  </si>
  <si>
    <t>C24H25FO5S</t>
  </si>
  <si>
    <t>5.51_590.3121n</t>
  </si>
  <si>
    <t>Urobilinogen</t>
  </si>
  <si>
    <t>HMDB0004158</t>
  </si>
  <si>
    <t>C05791</t>
  </si>
  <si>
    <t>hsa00860</t>
  </si>
  <si>
    <t>Porphyrin metabolism</t>
  </si>
  <si>
    <t>R-HSA-1430728,R-HSA-189445,R-HSA-189483</t>
  </si>
  <si>
    <t>Metabolism|Metabolism of porphyrins|Heme degradation</t>
  </si>
  <si>
    <t>17208-65-0</t>
  </si>
  <si>
    <t>CCC1=C(C)C(=O)NC1CC1=C(C)C(CCC(O)=O)=C(CC2=C(CCC(O)=O)C(C)=C(CC3NC(=O)C(C=C)=C3C)N2)N1</t>
  </si>
  <si>
    <t>KSQFFJKKJAEKTB-UHFFFAOYSA-N</t>
  </si>
  <si>
    <t>Bilirubins</t>
  </si>
  <si>
    <t>C33H42N4O6</t>
  </si>
  <si>
    <t>8.79_512.2690m/z</t>
  </si>
  <si>
    <t>Sulfoglycolithocholate(2-)</t>
  </si>
  <si>
    <t>HMDB0062801</t>
  </si>
  <si>
    <t>CC(CCC(O)=NCC(O)=O)C1CCC2C3CCC4CC(CCC4(C)C3CCC12C)OS(O)(=O)=O</t>
  </si>
  <si>
    <t>FHXBAFXQVZOILS-UHFFFAOYSA-N</t>
  </si>
  <si>
    <t>C26H43NO7S</t>
  </si>
  <si>
    <t>11.39_728.5339n</t>
  </si>
  <si>
    <t>PA(14:1(9Z)/24:1(15Z))</t>
  </si>
  <si>
    <t>HMDB0114811</t>
  </si>
  <si>
    <t>[H][C@@](COC(=O)CCCCCCC\C=C/CCCC)(COP(O)(O)=O)OC(=O)CCCCCCCCCCCCC\C=C/CCCCCCCC</t>
  </si>
  <si>
    <t>GDDLDQULBNDGMO-ZDMXYWDMSA-N</t>
  </si>
  <si>
    <t>C41H77O8P</t>
  </si>
  <si>
    <t>7.06_398.2082n</t>
  </si>
  <si>
    <t>Taprostene</t>
  </si>
  <si>
    <t>87440-45-7</t>
  </si>
  <si>
    <t>C1CCC(CC1)C(C=CC2C(CC3C2CC(=CC4=CC(=CC=C4)C(=O)O)O3)O)O</t>
  </si>
  <si>
    <t>ZLJOKYGJNOQXDP-OZUBPDBUSA-N</t>
  </si>
  <si>
    <t>C24H30O5</t>
  </si>
  <si>
    <t>4.73_250.1691n</t>
  </si>
  <si>
    <t>Naepaine</t>
  </si>
  <si>
    <t>HMDB0255417</t>
  </si>
  <si>
    <t>CCCCCNCCOC(=O)C1=CC=C(N)C=C1</t>
  </si>
  <si>
    <t>UYXHCVFXDBNRQW-UHFFFAOYSA-N</t>
  </si>
  <si>
    <t>C14H22N2O2</t>
  </si>
  <si>
    <t>2.21_188.0672m/z</t>
  </si>
  <si>
    <t>1-(2-Hydroxyethyl)-2-hydroxymethyl-5-nitroimidazole</t>
  </si>
  <si>
    <t>HMDB0246690</t>
  </si>
  <si>
    <t>OCCN1C(CO)=NC=C1[N+]([O-])=O</t>
  </si>
  <si>
    <t>AEHPOYAOLCAMIU-UHFFFAOYSA-N</t>
  </si>
  <si>
    <t>C6H9N3O4</t>
  </si>
  <si>
    <t>5.43_431.2052m/z</t>
  </si>
  <si>
    <t>Cascarillin</t>
  </si>
  <si>
    <t>HMDB0036836</t>
  </si>
  <si>
    <t>C09071</t>
  </si>
  <si>
    <t>10118-56-6</t>
  </si>
  <si>
    <t>CC1C(CC2(C)C(CCC(O)C2(C)O)C1(CC(O)C1=COC=C1)C=O)OC(C)=O</t>
  </si>
  <si>
    <t>ZOWKQQIGQBVKSV-UHFFFAOYSA-N</t>
  </si>
  <si>
    <t>1.40_188.1400m/z</t>
  </si>
  <si>
    <t>(2S)-6-Amino-2-(2-iminoethylamino)hexanoic Acid</t>
  </si>
  <si>
    <t>HMDB0253432</t>
  </si>
  <si>
    <t>NCCCCC(NCC=N)C(O)=O</t>
  </si>
  <si>
    <t>NNRMAICNBIUGOW-UHFFFAOYSA-N</t>
  </si>
  <si>
    <t>C8H17N3O2</t>
  </si>
  <si>
    <t>11.11_262.2304n</t>
  </si>
  <si>
    <t>6-[3]-ladderane-1-hexanol</t>
  </si>
  <si>
    <t>LMFA05000065</t>
  </si>
  <si>
    <t>C1C2C3C4CCC4C3C2CC(CCCCCCO)C1</t>
  </si>
  <si>
    <t>OPEALXSBJSNYAZ-UHFFFAOYSA-N</t>
  </si>
  <si>
    <t>14.54_124.0874m/z</t>
  </si>
  <si>
    <t>L-Histidinol</t>
  </si>
  <si>
    <t>HMDB0003431</t>
  </si>
  <si>
    <t>C00860</t>
  </si>
  <si>
    <t>hsa00340</t>
  </si>
  <si>
    <t>Histidine metabolism</t>
  </si>
  <si>
    <t>4836-52-6</t>
  </si>
  <si>
    <t>N[C@H](CO)CC1=CNC=N1</t>
  </si>
  <si>
    <t>ZQISRDCJNBUVMM-YFKPBYRVSA-N</t>
  </si>
  <si>
    <t>C6H11N3O</t>
  </si>
  <si>
    <t>8.77_333.2073m/z</t>
  </si>
  <si>
    <t>ent-15-epi-15-A2-IsoP</t>
  </si>
  <si>
    <t>LMFA03110140</t>
  </si>
  <si>
    <t>C(CCC/C=C\C[C@@H]1C(=O)C=C[C@@H]1/C=C/[C@@H](O)CCCCC)(=O)O</t>
  </si>
  <si>
    <t>MYHXHCUNDDAEOZ-UKUWKSPLSA-N</t>
  </si>
  <si>
    <t>9.44_421.3185m/z</t>
  </si>
  <si>
    <t>Nb-Palmitoyltryptamine</t>
  </si>
  <si>
    <t>HMDB0040815</t>
  </si>
  <si>
    <t>21469-15-8</t>
  </si>
  <si>
    <t>CCCCCCCCCCCCCCCC(=O)NCCC1=CNC2=C1C=CC=C2</t>
  </si>
  <si>
    <t>YZWBXGMMZOEBAN-UHFFFAOYSA-N</t>
  </si>
  <si>
    <t>C26H42N2O</t>
  </si>
  <si>
    <t>4.96_625.2073n</t>
  </si>
  <si>
    <t>Dansylglutamyl-glycyl-arginine chloromethyl ketone</t>
  </si>
  <si>
    <t>HMDB0250847</t>
  </si>
  <si>
    <t>CN(C)C1=CC=CC2=C1C=CC=C2S(=O)(=O)NC(CCC(O)=O)C(=O)NCC(=O)NC(CCCN=C(N)N)C(=O)CCl</t>
  </si>
  <si>
    <t>LDMSFLLWFAFZAF-UHFFFAOYSA-N</t>
  </si>
  <si>
    <t>C26H36ClN7O7S</t>
  </si>
  <si>
    <t>3.11_128.0459m/z</t>
  </si>
  <si>
    <t>2-Methyl-5-nitroimidazole</t>
  </si>
  <si>
    <t>HMDB0245223</t>
  </si>
  <si>
    <t>CC1=NC=C(N1)N(=O)=O</t>
  </si>
  <si>
    <t>FFYTTYVSDVWNMY-UHFFFAOYSA-N</t>
  </si>
  <si>
    <t>C4H5N3O2</t>
  </si>
  <si>
    <t>6.90_355.1660m/z</t>
  </si>
  <si>
    <t>O-Desmethylquinidine</t>
  </si>
  <si>
    <t>HMDB0247073</t>
  </si>
  <si>
    <t>OC(C1CC2CCN1CC2C=C)C1=C2C=C(O)C=CC2=NC=C1</t>
  </si>
  <si>
    <t>VJFMSYZSFUWQPZ-UHFFFAOYSA-N</t>
  </si>
  <si>
    <t>Cinchona alkaloids</t>
  </si>
  <si>
    <t>C19H22N2O2</t>
  </si>
  <si>
    <t>5.56_465.1202m/z</t>
  </si>
  <si>
    <t>Flurbiprofen glucuronide</t>
  </si>
  <si>
    <t>HMDB0060918</t>
  </si>
  <si>
    <t>CC(C(=O)O[C@H]1O[C@H]([C@H](O)[C@@H](O)[C@@H]1O)C(O)=O)C1=CC(F)=C(C=C1)C1=CC=CC=C1</t>
  </si>
  <si>
    <t>PLPQBSOCUVSKTP-QGCNQZRGSA-N</t>
  </si>
  <si>
    <t>C21H21FO8</t>
  </si>
  <si>
    <t>8.60_372.2675n</t>
  </si>
  <si>
    <t>3alpha-Hydroxy-5beta-chola-7,9(11)-dien-24-oic Acid</t>
  </si>
  <si>
    <t>LMST04010330</t>
  </si>
  <si>
    <t>C1[C@]2(C)C3=CC[C@]4(C)[C@@]([H])([C@]([H])(C)CCC(O)=O)CC[C@@]4([H])C3=CC[C@]2([H])C[C@H](O)C1</t>
  </si>
  <si>
    <t>BCMBRGZVZCQHFO-GCIZHPIPSA-N</t>
  </si>
  <si>
    <t>C24H36O3</t>
  </si>
  <si>
    <t>4.48_273.2019m/z</t>
  </si>
  <si>
    <t>Fluasterone</t>
  </si>
  <si>
    <t>HMDB0252321</t>
  </si>
  <si>
    <t>CC12CCC3C(CC=C4CCCCC34C)C1CC(F)C2=O</t>
  </si>
  <si>
    <t>VHZXNQKVFDBFIK-UHFFFAOYSA-N</t>
  </si>
  <si>
    <t>C19H27FO</t>
  </si>
  <si>
    <t>6.13_415.2103m/z</t>
  </si>
  <si>
    <t>11-Hydroperoxy-H4-neuroprostane</t>
  </si>
  <si>
    <t>HMDB0062282</t>
  </si>
  <si>
    <t>CC\C=C/C\C=C/C\C=C/C[C@H](OO)\C=C\[C@H]1[C@H]2C[C@H](OO2)[C@H]1CCC(O)=O</t>
  </si>
  <si>
    <t>KTZHAQYYTVLGSR-GUGPZQRGSA-N</t>
  </si>
  <si>
    <t>10.99_305.2482m/z</t>
  </si>
  <si>
    <t>15S-HETrE</t>
  </si>
  <si>
    <t>HMDB0005045</t>
  </si>
  <si>
    <t>LMFA03050007</t>
  </si>
  <si>
    <t>13-16-1</t>
  </si>
  <si>
    <t>C(/C/C=C\C=C\[C@@H](O)CCCCC)=C/CCCCCCC(=O)O</t>
  </si>
  <si>
    <t>IUKXMNDGTWTNTP-OAHXIXLCSA-N</t>
  </si>
  <si>
    <t>7.68_399.2155m/z</t>
  </si>
  <si>
    <t>AT-Resolvin D1</t>
  </si>
  <si>
    <t>LMFA04030005</t>
  </si>
  <si>
    <t>C18178</t>
  </si>
  <si>
    <t>hsa04148</t>
  </si>
  <si>
    <t>Efferocytosis</t>
  </si>
  <si>
    <t>R-HSA-1430728,R-HSA-556833,R-HSA-9018677,R-HSA-9018678,R-HSA-9020265</t>
  </si>
  <si>
    <t>Metabolism|Metabolism of lipids|Biosynthesis of DHA-derived SPMs|Biosynthesis of specialized proresolving mediators (SPMs)|Biosynthesis of aspirin-triggered D-series resolvins</t>
  </si>
  <si>
    <t>528583-91-7</t>
  </si>
  <si>
    <t>C(CC/C=C\C[C@H](O)[C@H](O)/C=C/C=C/C=C\C=C\[C@H](O)C/C=C\CC)(=O)O</t>
  </si>
  <si>
    <t>OIWTWACQMDFHJG-BJEBZIPWSA-N</t>
  </si>
  <si>
    <t>4.38_560.1174n</t>
  </si>
  <si>
    <t>Herbacetin 8-(2'',3'',4''-triacetylxyloside)</t>
  </si>
  <si>
    <t>LMPK12113138</t>
  </si>
  <si>
    <t>C1(O)=C(O[C@@H]2OC[C@@H](OC(=O)C)[C@H](OC(C)=O)C2OC(C)=O)C2OC(C3C=CC(O)=CC=3)=C(O)C(=O)C=2C(O)=C1</t>
  </si>
  <si>
    <t>UUUFLHFLFWPUFF-QRJDBZLKSA-N</t>
  </si>
  <si>
    <t>M+H, M+NH4</t>
  </si>
  <si>
    <t>C26H24O14</t>
  </si>
  <si>
    <t>4.38_487.3910m/z</t>
  </si>
  <si>
    <t>29:2(5Z,9Z)(22Me)</t>
  </si>
  <si>
    <t>LMFA01020376</t>
  </si>
  <si>
    <t>C(CCC/C=C\CC/C=C\CCCCCCCCCCCC(C)CCCCCCC)(=O)O</t>
  </si>
  <si>
    <t>CIDYATGWQIHNDB-CCVDTEMHSA-N</t>
  </si>
  <si>
    <t>C30H56O2</t>
  </si>
  <si>
    <t>7.88_207.1021m/z</t>
  </si>
  <si>
    <t>Lycocasuarinen acid D</t>
  </si>
  <si>
    <t>LMFA01060238</t>
  </si>
  <si>
    <t>C(/C=C/C=C/C(=O)C/C=C/CCC)(=O)O</t>
  </si>
  <si>
    <t>XIGPNOYQSILRRJ-CQBMMRDZSA-N</t>
  </si>
  <si>
    <t>Keto acids and derivatives</t>
  </si>
  <si>
    <t>Medium-chain keto acids and derivatives</t>
  </si>
  <si>
    <t>C12H16O3</t>
  </si>
  <si>
    <t>13.51_672.4231m/z</t>
  </si>
  <si>
    <t>PON-PC</t>
  </si>
  <si>
    <t>LMGP20010008</t>
  </si>
  <si>
    <t>[C@](COP(=O)([O-])OCC[N+](C)(C)C)([H])(OC(CCCCCCCC([H])=O)=O)COC(CCCCCCCCCCCCCCC)=O</t>
  </si>
  <si>
    <t>PPTNNIINSOQWCE-WJOKGBTCSA-N</t>
  </si>
  <si>
    <t>C33H64NO9P</t>
  </si>
  <si>
    <t>11.49_689.5607m/z</t>
  </si>
  <si>
    <t>SM(d18:1/15:0)</t>
  </si>
  <si>
    <t>HMDB0240608</t>
  </si>
  <si>
    <t>LMSP03010038</t>
  </si>
  <si>
    <t>121999-58-4</t>
  </si>
  <si>
    <t>[C@](COP(=O)([O-])OCC[N+](C)(C)C)([H])(NC(CCCCCCCCCCCCCC)=O)[C@]([H])(O)/C=C/CCCCCCCCCCCCC</t>
  </si>
  <si>
    <t>LQINJRUGTUOHGS-YPDYIYJKSA-N</t>
  </si>
  <si>
    <t>C38H77N2O6P</t>
  </si>
  <si>
    <t>5.24_307.1387m/z</t>
  </si>
  <si>
    <t>(+/-)-(e)-4-Ethyl-2-[(z)-hydroxyimino]-5-nitro-3-hexen-1-yl-nicotinamide</t>
  </si>
  <si>
    <t>HMDB0242266</t>
  </si>
  <si>
    <t>CCON=C(CNC(=O)C1=CN=CC=C1)C=CC(C)[N+]([O-])=O</t>
  </si>
  <si>
    <t>BSMGQVOYPQZEOC-UHFFFAOYSA-N</t>
  </si>
  <si>
    <t>Pyridinecarboxylic acids and derivatives</t>
  </si>
  <si>
    <t>C14H18N4O4</t>
  </si>
  <si>
    <t>3.11_324.2181m/z</t>
  </si>
  <si>
    <t>Corrin</t>
  </si>
  <si>
    <t>HMDB0250457</t>
  </si>
  <si>
    <t>C1CC2=NC1C1CCC(C=C3CCC(C=C4CCC(N4)=C2)=N3)=N1</t>
  </si>
  <si>
    <t>PXOPDYTVWWQZEK-UHFFFAOYSA-N</t>
  </si>
  <si>
    <t>C19H22N4</t>
  </si>
  <si>
    <t>14.71_390.2779n</t>
  </si>
  <si>
    <t>Bis(2-ethylhexyl) phthalate</t>
  </si>
  <si>
    <t>HMDB0249243</t>
  </si>
  <si>
    <t>C03690</t>
  </si>
  <si>
    <t>hsa05207</t>
  </si>
  <si>
    <t>Chemical carcinogenesis - receptor activation</t>
  </si>
  <si>
    <t>117-81-7</t>
  </si>
  <si>
    <t>CCCCC(CC)COC(=O)C1=CC=CC=C1C(=O)OCC(CC)CCCC</t>
  </si>
  <si>
    <t>BJQHLKABXJIVAM-UHFFFAOYSA-N</t>
  </si>
  <si>
    <t>8.60_408.2875n</t>
  </si>
  <si>
    <t>1beta,3alpha,7alpha-Trihydroxy-5beta-cholan-24-oic Acid</t>
  </si>
  <si>
    <t>HMDB0000414</t>
  </si>
  <si>
    <t>LMST04010058</t>
  </si>
  <si>
    <t>99598-04-6</t>
  </si>
  <si>
    <t>[C@H]1(O)[C@]2(C)[C@@]3([H])CC[C@]4(C)[C@@]([H])([C@]([H])(C)CCC(O)=O)CC[C@@]4([H])[C@]3([H])[C@H](O)C[C@]2([H])C[C@H](O)C1</t>
  </si>
  <si>
    <t>GYUVAHWOVINGNE-RWXZXXAWSA-N</t>
  </si>
  <si>
    <t>9.26_343.2279m/z</t>
  </si>
  <si>
    <t>5-cis-15(R)-Iloprost</t>
  </si>
  <si>
    <t>CC#CCC(C)C(C=CC1C(CC2C1CC(=CCCCC(=O)O)C2)O)O</t>
  </si>
  <si>
    <t>HIFJCPQKFCZDDL-KESZHIOGSA-N</t>
  </si>
  <si>
    <t>7.37_528.2638m/z</t>
  </si>
  <si>
    <t>glycochenodeoxycholic acid 7-sulfate</t>
  </si>
  <si>
    <t>HMDB0002496</t>
  </si>
  <si>
    <t>LMST05030005</t>
  </si>
  <si>
    <t>C15559</t>
  </si>
  <si>
    <t>R-HSA-1474244,R-HSA-1474290,R-HSA-2022090,R-HSA-2243919,R-HSA-382551,R-HSA-432047,R-HSA-445717</t>
  </si>
  <si>
    <t>Extracellular matrix organization|Collagen formation|Assembly of collagen fibrils and other multimeric structures|Crosslinking of collagen fibrils|Transport of small molecules|Passive transport by Aquaporins|Aquaporin-mediated transport</t>
  </si>
  <si>
    <t>67030-55-1</t>
  </si>
  <si>
    <t>C1[C@@]2(C)[C@]([H])(C[C@@H](OS(O)(=O)=O)[C@@]3([H])[C@]4([H])CC[C@]([H])([C@H](C)CCC(=O)NCC(=O)O)[C@@]4(C)CC[C@]23[H])C[C@H](O)C1</t>
  </si>
  <si>
    <t>GLYPHOJMMLQNJQ-GYPHWSFCSA-N</t>
  </si>
  <si>
    <t>C26H43NO8S</t>
  </si>
  <si>
    <t>10.58_453.2857n</t>
  </si>
  <si>
    <t>PE(0:0/16:0)</t>
  </si>
  <si>
    <t>HMDB0011473</t>
  </si>
  <si>
    <t>LMGP02050036</t>
  </si>
  <si>
    <t>C(OP(OCCN)(O)=O)[C@]([H])(OC(=O)CCCCCCCCCCCCCCC)CO</t>
  </si>
  <si>
    <t>CKPBBEOJHAPPBT-HXUWFJFHSA-N</t>
  </si>
  <si>
    <t>C21H44NO7P</t>
  </si>
  <si>
    <t>9.85_346.3327m/z</t>
  </si>
  <si>
    <t>20-hydroxy-eicosanoic acid</t>
  </si>
  <si>
    <t>LMFA01050075</t>
  </si>
  <si>
    <t>C(CCCCCCCCCCO)CCCCCCCCC(=O)O</t>
  </si>
  <si>
    <t>JLDIWYKSFMPIDW-UHFFFAOYSA-N</t>
  </si>
  <si>
    <t>C20H40O3</t>
  </si>
  <si>
    <t>14.28_465.3046m/z</t>
  </si>
  <si>
    <t>cholesterol sulfate</t>
  </si>
  <si>
    <t>HMDB0000653</t>
  </si>
  <si>
    <t>LMST05020016</t>
  </si>
  <si>
    <t>C18043</t>
  </si>
  <si>
    <t>hsa00140</t>
  </si>
  <si>
    <t>Steroid hormone biosynthesis</t>
  </si>
  <si>
    <t>1256-86-6</t>
  </si>
  <si>
    <t>C1C[C@H](OS(=O)(=O)O)CC2=CC[C@]3([H])[C@@]([H])([C@]21C)CC[C@]1(C)[C@@]([H])([C@@H](CCCC(C)C)C)CC[C@]13[H]</t>
  </si>
  <si>
    <t>BHYOQNUELFTYRT-DPAQBDIFSA-N</t>
  </si>
  <si>
    <t>C27H46O4S</t>
  </si>
  <si>
    <t>484</t>
  </si>
  <si>
    <t>P-Cresol Glucuronide</t>
  </si>
  <si>
    <t>HMDB0011686</t>
  </si>
  <si>
    <t>CC1=CC=C(O[C@@H]2O[C@@H]([C@@H](O)[C@H](O)[C@H]2O)C(O)=O)C=C1</t>
  </si>
  <si>
    <t>JPAUCQAJHLSMQW-XPORZQOISA-N</t>
  </si>
  <si>
    <t>C13H16O7</t>
  </si>
  <si>
    <t>11.31_562.4245m/z</t>
  </si>
  <si>
    <t>PC(O-20:0/2:0)</t>
  </si>
  <si>
    <t>LMGP01020123</t>
  </si>
  <si>
    <t>[C@](COP(=O)([O-])OCC[N+](C)(C)C)([H])(OC(C)=O)COCCCCCCCCCCCCCCCCCCCC</t>
  </si>
  <si>
    <t>OGYIHFFSESISGW-SSEXGKCCSA-N</t>
  </si>
  <si>
    <t>9.44_311.0701m/z</t>
  </si>
  <si>
    <t>Acetaminophen mercapturate</t>
  </si>
  <si>
    <t>HMDB0242140</t>
  </si>
  <si>
    <t>R-HSA-9748784,R-HSA-9753281</t>
  </si>
  <si>
    <t>Drug ADME|Paracetamol ADME</t>
  </si>
  <si>
    <t>[H][C@@](CSC1=C(O)C=CC(=C1)N=C(C)O)(N=C(C)O)C(O)=O</t>
  </si>
  <si>
    <t>DVPRQNKJGQEICH-JTQLQIEISA-N</t>
  </si>
  <si>
    <t>C13H16N2O5S</t>
  </si>
  <si>
    <t>9.58_332.3169m/z</t>
  </si>
  <si>
    <t>10-methoxy-octadecanoic acid</t>
  </si>
  <si>
    <t>LMFA01080026</t>
  </si>
  <si>
    <t>CCCCCCCCC(OC)CCCCCCCCC(=O)O</t>
  </si>
  <si>
    <t>FNELHTCOGDXUFU-UHFFFAOYSA-N</t>
  </si>
  <si>
    <t>C19H38O3</t>
  </si>
  <si>
    <t>5.91_339.0346m/z</t>
  </si>
  <si>
    <t>2-Galloyl-1,4-galactarolactone methyl ester</t>
  </si>
  <si>
    <t>HMDB0037200</t>
  </si>
  <si>
    <t>COC(=O)C(O)C1OC(=O)C(OC(=O)C2=CC(O)=C(O)C(O)=C2)C1O</t>
  </si>
  <si>
    <t>DTDWLEXEERIYFQ-UHFFFAOYSA-N</t>
  </si>
  <si>
    <t>C14H14O11</t>
  </si>
  <si>
    <t>0.68_382.1098n</t>
  </si>
  <si>
    <t>Enterodiol sulfate</t>
  </si>
  <si>
    <t>HMDB0240504</t>
  </si>
  <si>
    <t>[H][C@@](CO)(CC1=CC(O)=CC=C1)[C@]([H])(CO)CC1=CC(OS(O)(=O)=O)=CC=C1</t>
  </si>
  <si>
    <t>QFWYXPNNPTWNSP-HOTGVXAUSA-N</t>
  </si>
  <si>
    <t>Lignans, neolignans and related compounds</t>
  </si>
  <si>
    <t>Dibenzylbutane lignans</t>
  </si>
  <si>
    <t>Dibenzylbutanediol lignans</t>
  </si>
  <si>
    <t>C18H22O7S</t>
  </si>
  <si>
    <t>435</t>
  </si>
  <si>
    <t>Linoelaidic Acid</t>
  </si>
  <si>
    <t>HMDB0006270</t>
  </si>
  <si>
    <t>LMFA01030123</t>
  </si>
  <si>
    <t>506-21-8</t>
  </si>
  <si>
    <t>C(CCCCCCC(=O)O)/C=C/C/C=C/CCCCC</t>
  </si>
  <si>
    <t>OYHQOLUKZRVURQ-AVQMFFATSA-N</t>
  </si>
  <si>
    <t>6.85_372.2677n</t>
  </si>
  <si>
    <t>(22E)-3beta-Hydroxy-5alpha-chola-7,22-dien-24-oic Acid</t>
  </si>
  <si>
    <t>LMST04010287</t>
  </si>
  <si>
    <t>C1[C@]2(C)[C@@]3([H])CC[C@]4(C)[C@@]([H])([C@]([H])(C)/C=C/C(O)=O)CC[C@@]4([H])C3=CC[C@@]2([H])C[C@@H](O)C1</t>
  </si>
  <si>
    <t>NNOXLBZOLJVTCY-DKFALFPQSA-N</t>
  </si>
  <si>
    <t>6.33_413.2006m/z</t>
  </si>
  <si>
    <t>(2-((3,5-Di-t-butyl-4-hydroxyphenyl)thio)-1-methylpropoxy)acetic acid</t>
  </si>
  <si>
    <t>HMDB0242455</t>
  </si>
  <si>
    <t>CC(OCC(O)=O)C(C)SC1=CC(=C(O)C(=C1)C(C)(C)C)C(C)(C)C</t>
  </si>
  <si>
    <t>ADVNUIUADIXWMI-UHFFFAOYSA-N</t>
  </si>
  <si>
    <t>Phenylpropanes</t>
  </si>
  <si>
    <t>C20H32O4S</t>
  </si>
  <si>
    <t>11.21_510.3570m/z</t>
  </si>
  <si>
    <t>PC(17:0/0:0)</t>
  </si>
  <si>
    <t>HMDB0012108</t>
  </si>
  <si>
    <t>LMGP01050024</t>
  </si>
  <si>
    <t>50930-23-9</t>
  </si>
  <si>
    <t>[C@](COP(=O)([O-])OCC[N+](C)(C)C)([H])(O)COC(CCCCCCCCCCCCCCCC)=O</t>
  </si>
  <si>
    <t>SRRQPVVYXBTRQK-XMMPIXPASA-N</t>
  </si>
  <si>
    <t>0.68_195.0504m/z</t>
  </si>
  <si>
    <t>L-(+)-Arabinose</t>
  </si>
  <si>
    <t>HMDB0000646</t>
  </si>
  <si>
    <t>C00259</t>
  </si>
  <si>
    <t>hsa00040,hsa00053,hsa00520,hsa02010</t>
  </si>
  <si>
    <t>Pentose and glucuronate interconversions|Ascorbate and aldarate metabolism|Amino sugar and nucleotide sugar metabolism|ABC transporters</t>
  </si>
  <si>
    <t>147-81-9</t>
  </si>
  <si>
    <t>C1C(C(C(C(O1)O)O)O)O</t>
  </si>
  <si>
    <t>SRBFZHDQGSBBOR-HWQSCIPKSA-N</t>
  </si>
  <si>
    <t>C5H10O5</t>
  </si>
  <si>
    <t>3.64_181.0724m/z</t>
  </si>
  <si>
    <t>Theophylline</t>
  </si>
  <si>
    <t>HMDB0001889</t>
  </si>
  <si>
    <t>C07130</t>
  </si>
  <si>
    <t>hsa00232</t>
  </si>
  <si>
    <t>Caffeine metabolism</t>
  </si>
  <si>
    <t>58-55-9</t>
  </si>
  <si>
    <t>CN1C2=C(NC=N2)C(=O)N(C)C1=O</t>
  </si>
  <si>
    <t>ZFXYFBGIUFBOJW-UHFFFAOYSA-N</t>
  </si>
  <si>
    <t>Imidazopyrimidines</t>
  </si>
  <si>
    <t>Purines and purine derivatives</t>
  </si>
  <si>
    <t>C7H8N4O2</t>
  </si>
  <si>
    <t>4.46_387.2283n</t>
  </si>
  <si>
    <t>urapidil</t>
  </si>
  <si>
    <t>HMDB0259712</t>
  </si>
  <si>
    <t>34661-75-1</t>
  </si>
  <si>
    <t>COC1=CC=CC=C1N1CCN(CCCNC2=CC(=O)N(C)C(=O)N2C)CC1</t>
  </si>
  <si>
    <t>ICMGLRUYEQNHPF-UHFFFAOYSA-N</t>
  </si>
  <si>
    <t>Diazinanes</t>
  </si>
  <si>
    <t>Piperazines</t>
  </si>
  <si>
    <t>C20H29N5O3</t>
  </si>
  <si>
    <t>1.00_168.0274n</t>
  </si>
  <si>
    <t>Uric acid</t>
  </si>
  <si>
    <t>HMDB0000289</t>
  </si>
  <si>
    <t>C00366</t>
  </si>
  <si>
    <t>hsa00230</t>
  </si>
  <si>
    <t>Purine metabolism</t>
  </si>
  <si>
    <t>R-HSA-1430728,R-HSA-15869,R-HSA-1643685,R-HSA-189200,R-HSA-2672351,R-HSA-382551,R-HSA-425366,R-HSA-425407,R-HSA-549132,R-HSA-561048,R-HSA-5619047,R-HSA-5619071,R-HSA-5619102,R-HSA-5619115,R-HSA-74259,R-HSA-8956319,R-HSA-983712</t>
  </si>
  <si>
    <t>Metabolism|Metabolism of nucleotides|Disease|Cellular hexose transport|Stimuli-sensing channels|Transport of small molecules|Transport of bile salts and organic acids, metal ions and amine compounds|SLC-mediated transmembrane transport|Organic cation/anion/zwitterion transport|Organic anion transport|Defective SLC2A9 causes hypouricemia renal 2 (RHUC2)|Defective SLC22A12 causes renal hypouricemia 1 (RHUC1)|SLC transporter disorders|Disorders of transmembrane transporters|Purine catabolism|Nucleotide catabolism|Ion channel transport</t>
  </si>
  <si>
    <t>69-93-2</t>
  </si>
  <si>
    <t>O=C1NC2=C(N1)C(=O)NC(=O)N2</t>
  </si>
  <si>
    <t>LEHOTFFKMJEONL-UHFFFAOYSA-N</t>
  </si>
  <si>
    <t>C5H4N4O3</t>
  </si>
  <si>
    <t>9.52_320.2360n</t>
  </si>
  <si>
    <t>(ent-2alpha,3beta,15beta)-16-Kaurene-2,3,15-triol</t>
  </si>
  <si>
    <t>HMDB0038689</t>
  </si>
  <si>
    <t>140636-09-5</t>
  </si>
  <si>
    <t>CC1(C)C(O)C(O)CC2(C)C3CCC4CC3(CCC12)C(O)C4=C</t>
  </si>
  <si>
    <t>RSUQJXHMFVYBBS-UHFFFAOYSA-N</t>
  </si>
  <si>
    <t>9.18_376.2262n</t>
  </si>
  <si>
    <t>4S-hydroperoxy-17S-HDHA</t>
  </si>
  <si>
    <t>LMFA04000068</t>
  </si>
  <si>
    <t>C(/[C@@H](OO)CCC(=O)O)=C\C=C/C/C=C\C/C=C\C=C\[C@@H](O)C/C=C\CC</t>
  </si>
  <si>
    <t>ZKUDWLWHTKEJGJ-OSKNXYPTSA-N</t>
  </si>
  <si>
    <t>0.69_196.0278m/z</t>
  </si>
  <si>
    <t>(S)C(S)S-S-Methylcysteine sulfoxide</t>
  </si>
  <si>
    <t>HMDB0029432</t>
  </si>
  <si>
    <t>32726-14-0</t>
  </si>
  <si>
    <t>CS(=O)CC(N)C(O)=O</t>
  </si>
  <si>
    <t>ZZLHPCSGGOGHFW-UHFFFAOYSA-N</t>
  </si>
  <si>
    <t>C4H9NO3S</t>
  </si>
  <si>
    <t>1.07_170.1062n</t>
  </si>
  <si>
    <t>Levetiracetam</t>
  </si>
  <si>
    <t>HMDB0015333</t>
  </si>
  <si>
    <t>C07841</t>
  </si>
  <si>
    <t>102767-28-2</t>
  </si>
  <si>
    <t>CC[C@@H](N1CCCC1=O)C(N)=O</t>
  </si>
  <si>
    <t>HPHUVLMMVZITSG-ZCFIWIBFSA-N</t>
  </si>
  <si>
    <t>C8H14N2O2</t>
  </si>
  <si>
    <t>8.99_471.2425m/z</t>
  </si>
  <si>
    <t>3-keto-petromyzonol sulfate</t>
  </si>
  <si>
    <t>LMST04010454</t>
  </si>
  <si>
    <t>C1CC(=O)C[C@]2([H])C[C@@H](O)[C@@]3([H])[C@]4([H])CC[C@H]([C@H](C)CCCOS(O)(=O)=O)[C@@]4(C)[C@@H](O)C[C@]3([H])[C@@]12C</t>
  </si>
  <si>
    <t>OAKDBNNISQJEJA-RTYFXBAISA-N</t>
  </si>
  <si>
    <t>C24H40O7S</t>
  </si>
  <si>
    <t>0.70_90.0309n</t>
  </si>
  <si>
    <t>D-Lactic acid</t>
  </si>
  <si>
    <t>HMDB0001311</t>
  </si>
  <si>
    <t>C00256</t>
  </si>
  <si>
    <t>hsa00620</t>
  </si>
  <si>
    <t>Pyruvate metabolism</t>
  </si>
  <si>
    <t>10326-41-7</t>
  </si>
  <si>
    <t>C[C@@H](O)C(O)=O</t>
  </si>
  <si>
    <t>JVTAAEKCZFNVCJ-UWTATZPHSA-N</t>
  </si>
  <si>
    <t>M+FA-H, 2M-H</t>
  </si>
  <si>
    <t>11.40_299.2592m/z</t>
  </si>
  <si>
    <t>18-hydroxy stearic acid</t>
  </si>
  <si>
    <t>LMFA02000136</t>
  </si>
  <si>
    <t>C(CCCCCCCCCCCCCCCO)CC(=O)O</t>
  </si>
  <si>
    <t>VLHZUYUOEGBBJB-UHFFFAOYSA-N</t>
  </si>
  <si>
    <t>C18H36O3</t>
  </si>
  <si>
    <t>12.71_379.1583m/z</t>
  </si>
  <si>
    <t>Ecabet</t>
  </si>
  <si>
    <t>HMDB0015613</t>
  </si>
  <si>
    <t>86408-72-2</t>
  </si>
  <si>
    <t>[H][C@@]12CCC3=CC(C(C)C)=C(C=C3[C@@]1(C)CCC[C@@]2(C)C(O)=O)S(O)(=O)=O</t>
  </si>
  <si>
    <t>IWCWQNVIUXZOMJ-MISYRCLQSA-N</t>
  </si>
  <si>
    <t>C20H28O5S</t>
  </si>
  <si>
    <t>1.27_293.1485n</t>
  </si>
  <si>
    <t>3,4,5-Trihydroxypentanoylcarnitine</t>
  </si>
  <si>
    <t>HMDB0241652</t>
  </si>
  <si>
    <t>C[N+](C)(C)CC(CC([O-])=O)OC(=O)CC(O)C(O)CO</t>
  </si>
  <si>
    <t>CLDWQVMPZRSBPB-UHFFFAOYSA-N</t>
  </si>
  <si>
    <t>C12H23NO7</t>
  </si>
  <si>
    <t>0.68_221.1866m/z</t>
  </si>
  <si>
    <t>6Z-Tridecen-2R-ol</t>
  </si>
  <si>
    <t>LMFA05000520</t>
  </si>
  <si>
    <t>C[C@@H](O)CCC/C=C\CCCCCC</t>
  </si>
  <si>
    <t>YGVBKNKMXWGWPI-LJTDUEICSA-N</t>
  </si>
  <si>
    <t>C13H26O</t>
  </si>
  <si>
    <t>11.19_524.3360m/z</t>
  </si>
  <si>
    <t>PC(P-16:0/0:0)</t>
  </si>
  <si>
    <t>HMDB0010407</t>
  </si>
  <si>
    <t>LMGP01070006</t>
  </si>
  <si>
    <t>[C@](COP(=O)([O-])OCC[N+](C)(C)C)([H])(O)CO/C=C\CCCCCCCCCCCCCC</t>
  </si>
  <si>
    <t>HTZINLFNXLXRBC-CQLBIITFSA-N</t>
  </si>
  <si>
    <t>0.74_180.0328m/z</t>
  </si>
  <si>
    <t>Thiomorpholine 1,1-dioxide</t>
  </si>
  <si>
    <t>HMDB0259018</t>
  </si>
  <si>
    <t>O=S1(=O)CCNCC1</t>
  </si>
  <si>
    <t>NDOVLWQBFFJETK-UHFFFAOYSA-N</t>
  </si>
  <si>
    <t>Thiazinanes</t>
  </si>
  <si>
    <t>Thiomorpholines</t>
  </si>
  <si>
    <t>C4H9NO2S</t>
  </si>
  <si>
    <t>10.27_500.2786m/z</t>
  </si>
  <si>
    <t>PE(0:0/20:4(5Z,8Z,11Z,14Z))</t>
  </si>
  <si>
    <t>HMDB0011487</t>
  </si>
  <si>
    <t>LMGP02050051</t>
  </si>
  <si>
    <t>C(OP(OCCN)(O)=O)[C@]([H])(OC(=O)CCC/C=C\C/C=C\C/C=C\C/C=C\CCCCC)CO</t>
  </si>
  <si>
    <t>YWOCITMXHHTBAW-XSQXPFHXSA-N</t>
  </si>
  <si>
    <t>8.21_536.3366m/z</t>
  </si>
  <si>
    <t>PS(20:0/0:0)</t>
  </si>
  <si>
    <t>LMGP03050012</t>
  </si>
  <si>
    <t>C(O)(=O)[C@@]([H])(N)COP(OC[C@]([H])(O)COC(CCCCCCCCCCCCCCCCCCC)=O)(=O)O</t>
  </si>
  <si>
    <t>JRLGKCGUDLONSO-RPWUZVMVSA-N</t>
  </si>
  <si>
    <t>C26H52NO9P</t>
  </si>
  <si>
    <t>0.72_117.0795n</t>
  </si>
  <si>
    <t>5-amino-pentanoic acid</t>
  </si>
  <si>
    <t>HMDB0003355</t>
  </si>
  <si>
    <t>LMFA01100040</t>
  </si>
  <si>
    <t>C00431</t>
  </si>
  <si>
    <t>hsa00310,hsa00330,hsa00470</t>
  </si>
  <si>
    <t>Lysine degradation|Arginine and proline metabolism|D-Amino acid metabolism</t>
  </si>
  <si>
    <t>660-88-8</t>
  </si>
  <si>
    <t>C(C(=O)O)CCCN</t>
  </si>
  <si>
    <t>JJMDCOVWQOJGCB-UHFFFAOYSA-N</t>
  </si>
  <si>
    <t>C5H11NO2</t>
  </si>
  <si>
    <t>0.74_172.0853n</t>
  </si>
  <si>
    <t>Glycyl-D-proline</t>
  </si>
  <si>
    <t>HMDB0252876</t>
  </si>
  <si>
    <t>704-15-4</t>
  </si>
  <si>
    <t>NCC(=O)N1CCCC1C(O)=O</t>
  </si>
  <si>
    <t>KZNQNBZMBZJQJO-UHFFFAOYSA-N</t>
  </si>
  <si>
    <t>C7H12N2O3</t>
  </si>
  <si>
    <t>10.25_476.2785m/z</t>
  </si>
  <si>
    <t>PE(0:0/18:2(9Z,12Z))</t>
  </si>
  <si>
    <t>HMDB0011477</t>
  </si>
  <si>
    <t>LMGP02050041</t>
  </si>
  <si>
    <t>C(OP(OCCN)(O)=O)[C@]([H])(OC(=O)CCCCCCC/C=C\C/C=C\CCCCC)CO</t>
  </si>
  <si>
    <t>SVRBKLJIDJHADS-USWSLJGRSA-N</t>
  </si>
  <si>
    <t>11.07_344.2351n</t>
  </si>
  <si>
    <t>4-HDoHE</t>
  </si>
  <si>
    <t>HMDB0060049</t>
  </si>
  <si>
    <t>CC\C=C/C\C=C/C\C=C/C\C=C/C\C=C/C=C\C(O)CCC(O)=O</t>
  </si>
  <si>
    <t>IFRKCNPQVIJFAQ-JGDWKEERSA-N</t>
  </si>
  <si>
    <t>C22H32O3</t>
  </si>
  <si>
    <t>7.02_620.3210m/z</t>
  </si>
  <si>
    <t>PC(0:0/20:4;O2)</t>
  </si>
  <si>
    <t>LMGP20010056</t>
  </si>
  <si>
    <t>C(O[C@@]([H])(COP([O-])(=O)OCC[N+](C)(C)C)CO)(CCC/C=C\C/C=C\C=C\[C@@H](OO)C/C=C\CCCCC)=O</t>
  </si>
  <si>
    <t>AOZZZHHDWMLKEX-LLQMCKOFSA-N</t>
  </si>
  <si>
    <t>8.54_376.2261n</t>
  </si>
  <si>
    <t>ent-7-epi-4-D4c-NeuroP</t>
  </si>
  <si>
    <t>LMFA04010140</t>
  </si>
  <si>
    <t>C(CC[C@@H](O)/C=C/[C@H]1[C@H](O)CC(=O)[C@@H]1C/C=C\C/C=C\C/C=C\CC)(=O)O</t>
  </si>
  <si>
    <t>IDXBOXWUWDDSSX-BDFFTPARSA-N</t>
  </si>
  <si>
    <t>13.16_311.1687m/z</t>
  </si>
  <si>
    <t>N-Undecylbenzenesulfonic acid</t>
  </si>
  <si>
    <t>HMDB0032549</t>
  </si>
  <si>
    <t>50854-94-9</t>
  </si>
  <si>
    <t>CCCCCCCCCCCC1=CC=C(C=C1)S(O)(=O)=O</t>
  </si>
  <si>
    <t>UCDCOJNNUVYFKJ-UHFFFAOYSA-N</t>
  </si>
  <si>
    <t>Benzenesulfonic acids and derivatives</t>
  </si>
  <si>
    <t>C17H28O3S</t>
  </si>
  <si>
    <t>11.34_480.3099m/z</t>
  </si>
  <si>
    <t>PE(0:0/18:0)</t>
  </si>
  <si>
    <t>HMDB0011129</t>
  </si>
  <si>
    <t>LMGP02050038</t>
  </si>
  <si>
    <t>899443-67-5</t>
  </si>
  <si>
    <t>C(OP(OCCN)(O)=O)[C@]([H])(OC(=O)CCCCCCCCCCCCCCCCC)CO</t>
  </si>
  <si>
    <t>KIHAGWUUUHJRMS-JOCHJYFZSA-N</t>
  </si>
  <si>
    <t>7.07_329.2335m/z</t>
  </si>
  <si>
    <t>9,10,18-TriHOME(12)</t>
  </si>
  <si>
    <t>LMFA02000222</t>
  </si>
  <si>
    <t>C(CCCCCCCC(O)C(O)C/C=C/CCCCCO)(=O)O</t>
  </si>
  <si>
    <t>NFBTXRAFZLIQAU-XBXARRHUSA-N</t>
  </si>
  <si>
    <t>C18H34O5</t>
  </si>
  <si>
    <t>4.85_330.0861n</t>
  </si>
  <si>
    <t>1-Nitrohydroxyphenyl-N-benzoylalanine</t>
  </si>
  <si>
    <t>HMDB0243965</t>
  </si>
  <si>
    <t>OC(=O)C(CC1=CC(=C(O)C=C1)[N+]([O-])=O)NC(=O)C1=CC=CC=C1</t>
  </si>
  <si>
    <t>CYNAPIVXKRLDER-UHFFFAOYSA-N</t>
  </si>
  <si>
    <t>C16H14N2O6</t>
  </si>
  <si>
    <t>5.84_369.0771n</t>
  </si>
  <si>
    <t>Lansoprazole</t>
  </si>
  <si>
    <t>HMDB0005008</t>
  </si>
  <si>
    <t>C07067</t>
  </si>
  <si>
    <t>103577-45-3</t>
  </si>
  <si>
    <t>CC1=C(OCC(F)(F)F)C=CN=C1CS(=O)C1=NC2=CC=CC=C2N1</t>
  </si>
  <si>
    <t>MJIHNNLFOKEZEW-UHFFFAOYSA-N</t>
  </si>
  <si>
    <t>Benzimidazoles</t>
  </si>
  <si>
    <t>Sulfinylbenzimidazoles</t>
  </si>
  <si>
    <t>C16H14F3N3O2S</t>
  </si>
  <si>
    <t>9.93_562.3154m/z</t>
  </si>
  <si>
    <t>PC(18:3(9Z,12Z,15Z)/0:0)</t>
  </si>
  <si>
    <t>HMDB0010388</t>
  </si>
  <si>
    <t>LMGP01050038</t>
  </si>
  <si>
    <t>[C@](COP(=O)([O-])OCC[N+](C)(C)C)([H])(O)COC(CCCCCCC/C=C\C/C=C\C/C=C\CC)=O</t>
  </si>
  <si>
    <t>WKQNRCYKYCKESD-YVHLTTHBSA-N</t>
  </si>
  <si>
    <t>C26H48NO7P</t>
  </si>
  <si>
    <t>4.48_545.3969m/z</t>
  </si>
  <si>
    <t>Panaxydol linoleate</t>
  </si>
  <si>
    <t>HMDB0041205</t>
  </si>
  <si>
    <t>155551-19-2</t>
  </si>
  <si>
    <t>CCCCCCCC1OC1CC#CC#CC(OC(=O)CCCCCCC\C=C\C\C=C\CCCCC)C=C</t>
  </si>
  <si>
    <t>MGQITZGZKLABCX-XUPYMNJSSA-N</t>
  </si>
  <si>
    <t>C35H54O3</t>
  </si>
  <si>
    <t>6.20_369.1557m/z</t>
  </si>
  <si>
    <t>Blumealactone C</t>
  </si>
  <si>
    <t>HMDB0035357</t>
  </si>
  <si>
    <t>111545-48-3</t>
  </si>
  <si>
    <t>CC1CCCC2(C)OC2C(O)C2C(OC(=O)C2=C)C1OC(C)=O</t>
  </si>
  <si>
    <t>ZZIWIHVMLLHIPS-UHFFFAOYSA-N</t>
  </si>
  <si>
    <t>C17H24O6</t>
  </si>
  <si>
    <t>0.68_162.1128m/z</t>
  </si>
  <si>
    <t>L-Carnitine</t>
  </si>
  <si>
    <t>C15025</t>
  </si>
  <si>
    <t>6645-46-1</t>
  </si>
  <si>
    <t>C[N+](C)(C)CC(CC(=O)[O-])O</t>
  </si>
  <si>
    <t>PHIQHXFUZVPYII-ZCFIWIBFSA-N</t>
  </si>
  <si>
    <t>C7H15NO3</t>
  </si>
  <si>
    <t>11.25_408.2539m/z</t>
  </si>
  <si>
    <t>RU-0211</t>
  </si>
  <si>
    <t>C13707</t>
  </si>
  <si>
    <t>136790-76-6</t>
  </si>
  <si>
    <t>CCCCC(C1(CCC2C(O1)CC(=O)C2CCCCCCC(=O)O)O)(F)F</t>
  </si>
  <si>
    <t>WGFOBBZOWHGYQH-MXHNKVEKSA-N</t>
  </si>
  <si>
    <t>C20H32F2O5</t>
  </si>
  <si>
    <t>14.33_668.5251n</t>
  </si>
  <si>
    <t>DG(16:0/PGF1alpha/0:0)</t>
  </si>
  <si>
    <t>HMDB0295591</t>
  </si>
  <si>
    <t>CCCCCCCCCCCCCCCC(=O)OC[C@H](CO)OC(=O)CCCCCC[C@H]1[C@@H](O)C[C@@H](O)[C@@H]1\C=C\[C@@H](O)CCCCC</t>
  </si>
  <si>
    <t>CGUMOSJHILLTLD-PYMSSIGWSA-N</t>
  </si>
  <si>
    <t>C39H72O8</t>
  </si>
  <si>
    <t>11.41_566.4558m/z</t>
  </si>
  <si>
    <t>Cer(t18:0/14:0)</t>
  </si>
  <si>
    <t>LMSP02030051</t>
  </si>
  <si>
    <t>OC[C@]([H])(NC(=O)CCCCCCCCCCCCC)[C@]([H])(O)[C@H](O)CCCCCCCCCCCCCC</t>
  </si>
  <si>
    <t>GULXQHPLVZZOTF-WTGSTYHVSA-N</t>
  </si>
  <si>
    <t>Ceramides</t>
  </si>
  <si>
    <t>C32H65NO4</t>
  </si>
  <si>
    <t>5.18_492.1932m/z</t>
  </si>
  <si>
    <t>alpha-D-Xylopyranosyl-(1-&gt;6)-beta-D-glucopyranosyl-(1-&gt;4)-D-glucose</t>
  </si>
  <si>
    <t>HMDB0039705</t>
  </si>
  <si>
    <t>69637-98-5</t>
  </si>
  <si>
    <t>OCC1OC(O)C(O)C(O)C1OC1OC(COC2OCC(O)C(O)C2O)C(O)C(O)C1O</t>
  </si>
  <si>
    <t>BSCUNSVAACYEAI-UHFFFAOYSA-N</t>
  </si>
  <si>
    <t>C17H30O15</t>
  </si>
  <si>
    <t>5.43_333.1453m/z</t>
  </si>
  <si>
    <t>Tanacetol A</t>
  </si>
  <si>
    <t>HMDB0035722</t>
  </si>
  <si>
    <t>86778-06-5</t>
  </si>
  <si>
    <t>CC(=O)O\C1=C(C)\CCC(CC(=O)C(=C)CC1)C(C)(C)O</t>
  </si>
  <si>
    <t>IULUGGNZUILXOI-FOWTUZBSSA-N</t>
  </si>
  <si>
    <t>C17H26O4</t>
  </si>
  <si>
    <t>4.46_331.2118n</t>
  </si>
  <si>
    <t>Ser Leu Ile</t>
  </si>
  <si>
    <t>CCC(C)C(C(=O)O)NC(=O)C(CC(C)C)NC(=O)C(CO)N</t>
  </si>
  <si>
    <t>HEUVHBXOVZONPU-BJDJZHNGSA-N</t>
  </si>
  <si>
    <t>C15H29N3O5</t>
  </si>
  <si>
    <t>0.74_191.0190m/z</t>
  </si>
  <si>
    <t>Oxoglutaric acid</t>
  </si>
  <si>
    <t>HMDB0000208</t>
  </si>
  <si>
    <t>C00026</t>
  </si>
  <si>
    <t>hsa00020,hsa00040,hsa00053,hsa00220,hsa00250,hsa00310,hsa00340,hsa00430,hsa00470,hsa00630,hsa00650,hsa00785,hsa04066,hsa04727,hsa04922,hsa04964,hsa05230</t>
  </si>
  <si>
    <t>Citrate cycle (TCA cycle)|Pentose and glucuronate interconversions|Ascorbate and aldarate metabolism|Arginine biosynthesis|Alanine, aspartate and glutamate metabolism|Lysine degradation|Histidine metabolism|Taurine and hypotaurine metabolism|D-Amino acid metabolism|Glyoxylate and dicarboxylate metabolism|Butanoate metabolism|Lipoic acid metabolism|HIF-1 signaling pathway|GABAergic synapse|Glucagon signaling pathway|Proximal tubule bicarbonate reclamation|Central carbon metabolism in cancer</t>
  </si>
  <si>
    <t>328-50-7</t>
  </si>
  <si>
    <t>OC(=O)CCC(=O)C(O)=O</t>
  </si>
  <si>
    <t>KPGXRSRHYNQIFN-UHFFFAOYSA-N</t>
  </si>
  <si>
    <t>Gamma-keto acids and derivatives</t>
  </si>
  <si>
    <t>C5H6O5</t>
  </si>
  <si>
    <t>4.83_708.3345n</t>
  </si>
  <si>
    <t>Scillipheosidin 3-[glucosyl-(1-&gt;2)-rhamnoside]</t>
  </si>
  <si>
    <t>HMDB0036946</t>
  </si>
  <si>
    <t>261158-68-3</t>
  </si>
  <si>
    <t>CC1OC(OC2CCC3(C)C4CC(O)C5(C)C(CCC5(O)C4CCC3=C2)C2=COC(=O)C=C2)C(OC2OC(CO)C(O)C(O)C2O)C(O)C1O</t>
  </si>
  <si>
    <t>AZXOOWUNELCFPH-UHFFFAOYSA-N</t>
  </si>
  <si>
    <t>C36H52O14</t>
  </si>
  <si>
    <t>6.68_415.2100m/z</t>
  </si>
  <si>
    <t>bhos#22</t>
  </si>
  <si>
    <t>LMFA13040082</t>
  </si>
  <si>
    <t>O[C@@H]1C[C@@H](O)[C@H](C)O[C@H]1OCCCCCCCCCC[C@@H](O)CC(=O)O</t>
  </si>
  <si>
    <t>XUIRIUDIZICRKQ-SEFVSHJNSA-N</t>
  </si>
  <si>
    <t>C19H36O7</t>
  </si>
  <si>
    <t>2.08_232.0579m/z</t>
  </si>
  <si>
    <t>Desmethylmisonidazole</t>
  </si>
  <si>
    <t>HMDB0244560</t>
  </si>
  <si>
    <t>OCC(O)CN1C=CN=C1[N+]([O-])=O</t>
  </si>
  <si>
    <t>NUGLIYXAARVRPQ-UHFFFAOYSA-N</t>
  </si>
  <si>
    <t>Organic 1,3-dipolar compounds</t>
  </si>
  <si>
    <t>Allyl-type 1,3-dipolar organic compounds</t>
  </si>
  <si>
    <t>Organic nitro compounds</t>
  </si>
  <si>
    <t>13.32_685.4660m/z</t>
  </si>
  <si>
    <t>DG(20:5(7Z,9Z,11E,13E,17Z)-3OH(5,6,15)/i-16:0/0:0)</t>
  </si>
  <si>
    <t>HMDB0299281</t>
  </si>
  <si>
    <t>CC\C=C/C[C@@H](O)\C=C\C=C\C=C/C=C\[C@H](O)[C@@H](O)CCCC(=O)OC[C@H](CO)OC(=O)CCCCCCCCCCCCC(C)C</t>
  </si>
  <si>
    <t>BKJNKJITNQSWHC-QJHHKFMTSA-N</t>
  </si>
  <si>
    <t>C39H66O8</t>
  </si>
  <si>
    <t>9.46_315.2785n</t>
  </si>
  <si>
    <t>Dehydrophytosphingosine</t>
  </si>
  <si>
    <t>LMSP01030002</t>
  </si>
  <si>
    <t>OC[C@]([H])(N)[C@]([H])(O)[C@@](O)([H])CCC/C=C/CCCCCCCCC</t>
  </si>
  <si>
    <t>CQKNELOTFUSOTP-HMTIOLNVSA-N</t>
  </si>
  <si>
    <t>C18H37NO3</t>
  </si>
  <si>
    <t>6.11_407.2078m/z</t>
  </si>
  <si>
    <t>1alpha-Hydroxycorticosterone</t>
  </si>
  <si>
    <t>HMDB0244860</t>
  </si>
  <si>
    <t>CC12CC(O)C3C(CCC4=CC(=O)CC(O)C34C)C1CCC2C(=O)CO</t>
  </si>
  <si>
    <t>YAHNLJYKDPTSTN-UHFFFAOYSA-N</t>
  </si>
  <si>
    <t>C21H30O5</t>
  </si>
  <si>
    <t>12.05_278.2244n</t>
  </si>
  <si>
    <t>alpha-Linolenic acid</t>
  </si>
  <si>
    <t>HMDB0001388</t>
  </si>
  <si>
    <t>LMFA01030152</t>
  </si>
  <si>
    <t>C06427</t>
  </si>
  <si>
    <t>hsa00592,hsa01040</t>
  </si>
  <si>
    <t>alpha-Linolenic acid metabolism|Biosynthesis of unsaturated fatty acids</t>
  </si>
  <si>
    <t>R-HSA-1266738,R-HSA-1368082,R-HSA-1368108,R-HSA-1430728,R-HSA-1592230,R-HSA-162582,R-HSA-1655829,R-HSA-1852241,R-HSA-1989781,R-HSA-2046104,R-HSA-2046106,R-HSA-2151201,R-HSA-2262752,R-HSA-2426168,R-HSA-2980736,R-HSA-372790,R-HSA-373076,R-HSA-381340,R-HSA-381771,R-HSA-388396,R-HSA-392499,R-HSA-400206,R-HSA-400253,R-HSA-400508,R-HSA-416476,R-HSA-444209,R-HSA-500792,R-HSA-556833,R-HSA-8953897,R-HSA-8957322,R-HSA-8978868,R-HSA-9707564,R-HSA-9707616,R-HSA-9711123</t>
  </si>
  <si>
    <t>Developmental Biology|RORA activates gene expression|BMAL1:CLOCK,NPAS2 activates circadian gene expression|Metabolism|Mitochondrial biogenesis|Signal Transduction|Regulation of cholesterol biosynthesis by SREBP (SREBF)|Organelle biogenesis and maintenance|PPARA activates gene expression|alpha-linolenic (omega3) and linoleic (omega6) acid metabolism|alpha-linolenic acid (ALA) metabolism|Transcriptional activation of mitochondrial biogenesis|Cellular responses to stress|Activation of gene expression by SREBF (SREBP)|Peptide hormone metabolism|Signaling by GPCR|Class A/1 (Rhodopsin-like receptors)|Transcriptional regulation of white adipocyte differentiation|Synthesis, secretion, and inactivation of Glucagon-like Peptide-1 (GLP-1)|GPCR downstream signalling|Metabolism of proteins|Regulation of lipid metabolism by PPARalpha|Circadian Clock|Incretin synthesis, secretion, and inactivation|G alpha (q) signalling events|Free fatty acid receptors|GPCR ligand binding|Metabolism of lipids|Cellular responses to stimuli|Metabolism of steroids|Fatty acid metabolism|Cytoprotection by HMOX1|Heme signaling|Cellular response to chemical stress</t>
  </si>
  <si>
    <t>463-40-1</t>
  </si>
  <si>
    <t>C(CCCCCCC(=O)O)/C=C\C/C=C\C/C=C\CC</t>
  </si>
  <si>
    <t>DTOSIQBPPRVQHS-PDBXOOCHSA-N</t>
  </si>
  <si>
    <t>9.22_562.3521m/z</t>
  </si>
  <si>
    <t>PS(22:1(11Z)/0:0)</t>
  </si>
  <si>
    <t>LMGP03050023</t>
  </si>
  <si>
    <t>C(O)(=O)[C@@]([H])(N)COP(OC[C@]([H])(O)COC(CCCCCCCCC/C=C\CCCCCCCCCC)=O)(=O)O</t>
  </si>
  <si>
    <t>UVRWNZBXLMSZFS-IEACRGRWSA-N</t>
  </si>
  <si>
    <t>C28H54NO9P</t>
  </si>
  <si>
    <t>9.44_449.2313m/z</t>
  </si>
  <si>
    <t>PG(15:1(9Z)/0:0)</t>
  </si>
  <si>
    <t>LMGP04050018</t>
  </si>
  <si>
    <t>[H][C@](O)(CO)COP(OC[C@]([H])(O)COC(CCCCCCC/C=C\CCCCC)=O)(=O)O</t>
  </si>
  <si>
    <t>WECFZWMCSXUKNW-SLVIYJBESA-N</t>
  </si>
  <si>
    <t>C21H41O9P</t>
  </si>
  <si>
    <t>4.77_425.2184m/z</t>
  </si>
  <si>
    <t>20-Cooh ltb4</t>
  </si>
  <si>
    <t>HMDB0245561</t>
  </si>
  <si>
    <t>OC(CCCC(O)=O)C=CC=CC=CC(O)CC=CCCCCCC(O)=O</t>
  </si>
  <si>
    <t>OWRZLPFARZIZOG-UHFFFAOYSA-N</t>
  </si>
  <si>
    <t>C21H32O6</t>
  </si>
  <si>
    <t>5.72_364.0571n</t>
  </si>
  <si>
    <t>Gallein</t>
  </si>
  <si>
    <t>HMDB0252597</t>
  </si>
  <si>
    <t>OC1=C(O)C2=C(C=C1)C1(OC(=O)C3=CC=CC=C13)C1=C(O2)C(O)=C(O)C=C1</t>
  </si>
  <si>
    <t>PHLYOKFVXIVOJC-UHFFFAOYSA-N</t>
  </si>
  <si>
    <t>C20H12O7</t>
  </si>
  <si>
    <t>13.67_284.2955m/z</t>
  </si>
  <si>
    <t>2-Tetradecylcyclobutanone</t>
  </si>
  <si>
    <t>HMDB0037517</t>
  </si>
  <si>
    <t>35493-47-1</t>
  </si>
  <si>
    <t>CCCCCCCCCCCCCCC1CCC1=O</t>
  </si>
  <si>
    <t>HTZLOIBLMXPDGR-UHFFFAOYSA-N</t>
  </si>
  <si>
    <t>C18H34O</t>
  </si>
  <si>
    <t>12.98_549.3810n</t>
  </si>
  <si>
    <t>PC(20:1(13Z)/0:0)</t>
  </si>
  <si>
    <t>LMGP01050146</t>
  </si>
  <si>
    <t>[C@](COP(=O)([O-])OCC[N+](C)(C)C)([H])(O)COC(CCCCCCCCCCC/C=C\CCCCCC)=O</t>
  </si>
  <si>
    <t>JOPPVTHMSDTTEL-KDFWIBFYSA-N</t>
  </si>
  <si>
    <t>C28H56NO7P</t>
  </si>
  <si>
    <t>9.46_427.2103m/z</t>
  </si>
  <si>
    <t>Austalide L</t>
  </si>
  <si>
    <t>HMDB0030158</t>
  </si>
  <si>
    <t>87833-52-1</t>
  </si>
  <si>
    <t>COC1=C2C(=O)OCC2=C(C)C2=C1CC1C(C)(CCC3(O)C(C)(C)C(=O)CCC13C)O2</t>
  </si>
  <si>
    <t>XTSSAALSNSPVIH-UHFFFAOYSA-N</t>
  </si>
  <si>
    <t>Isoflavans</t>
  </si>
  <si>
    <t>C25H32O6</t>
  </si>
  <si>
    <t>1.03_129.0415n</t>
  </si>
  <si>
    <t>Pyrroline hydroxycarboxylic acid</t>
  </si>
  <si>
    <t>HMDB0001369</t>
  </si>
  <si>
    <t>C04281</t>
  </si>
  <si>
    <t>22573-88-2</t>
  </si>
  <si>
    <t>OC1CC(N=C1)C(O)=O</t>
  </si>
  <si>
    <t>WFOFKRKDDKGRIK-UHFFFAOYSA-N</t>
  </si>
  <si>
    <t>C5H7NO3</t>
  </si>
  <si>
    <t>8.60_819.5936m/z</t>
  </si>
  <si>
    <t>PA(a-25:0/20:4(5Z,8Z,10E,14Z)-OH(12S))</t>
  </si>
  <si>
    <t>HMDB0267229</t>
  </si>
  <si>
    <t>[H][C@@](COC(=O)CCCCCCCCCCCCCCCCCCCCC(C)CC)(COP(O)(O)=O)OC(=O)CCC\C=C/C\C=C/C=C/[C@@H](O)C\C=C/CCCCC</t>
  </si>
  <si>
    <t>AODJPEXIXRHBQN-PXVSMNARSA-N</t>
  </si>
  <si>
    <t>C48H87O9P</t>
  </si>
  <si>
    <t>6.86_475.2680m/z</t>
  </si>
  <si>
    <t>(+)-Cuminone C</t>
  </si>
  <si>
    <t>LMPK13070023</t>
  </si>
  <si>
    <t>O=C(CCCCCCC/C=C\C/C=C\C/C=C\CC)C1C(=O)[C@@](O)(C)C(O)=C(C)C=1O</t>
  </si>
  <si>
    <t>YJSUQPIYADONQI-OFIPGTELSA-N</t>
  </si>
  <si>
    <t>C26H38O5</t>
  </si>
  <si>
    <t>9.65_385.2365m/z</t>
  </si>
  <si>
    <t>7(S),17(S)-dihydroxy-8(E),10(Z),13(Z),15(E),19(Z)-Docosapentaenoic Acid</t>
  </si>
  <si>
    <t>887752-13-8</t>
  </si>
  <si>
    <t>CCC=CCC(C=CC=CCC=CC=CC(CCCCCC(=O)O)O)O</t>
  </si>
  <si>
    <t>JUBMLVBCKBUAQW-STWMVWSJSA-N</t>
  </si>
  <si>
    <t>13.24_704.4513m/z</t>
  </si>
  <si>
    <t>PS(17:2(9Z,12Z)/13:0)</t>
  </si>
  <si>
    <t>LMGP03010279</t>
  </si>
  <si>
    <t>C(O)(=O)[C@@]([H])(N)COP(OC[C@]([H])(OC(CCCCCCCCCCCC)=O)COC(CCCCCCC/C=C\C/C=C\CCCC)=O)(=O)O</t>
  </si>
  <si>
    <t>CNSNIGUXIMWICW-DADAASDESA-N</t>
  </si>
  <si>
    <t>C36H66NO10P</t>
  </si>
  <si>
    <t>437</t>
  </si>
  <si>
    <t>Oleic Acid</t>
  </si>
  <si>
    <t>HMDB0000207</t>
  </si>
  <si>
    <t>LMFA01030002</t>
  </si>
  <si>
    <t>C00712</t>
  </si>
  <si>
    <t>hsa00061,hsa01040</t>
  </si>
  <si>
    <t>Fatty acid biosynthesis|Biosynthesis of unsaturated fatty acids</t>
  </si>
  <si>
    <t>R-HSA-112310,R-HSA-112315,R-HSA-112316,R-HSA-1430728,R-HSA-162582,R-HSA-163685,R-HSA-1643685,R-HSA-196854,R-HSA-2187338,R-HSA-2453902,R-HSA-2980736,R-HSA-372790,R-HSA-373076,R-HSA-381771,R-HSA-382551,R-HSA-388396,R-HSA-392499,R-HSA-400451,R-HSA-400508,R-HSA-400511,R-HSA-416476,R-HSA-422356,R-HSA-425397,R-HSA-425407,R-HSA-434316,R-HSA-444209,R-HSA-500792,R-HSA-5619102,R-HSA-5619108,R-HSA-5619115,R-HSA-6806667,R-HSA-804914,R-HSA-9709957,R-HSA-975634</t>
  </si>
  <si>
    <t>Neurotransmitter release cycle|Transmission across Chemical Synapses|Neuronal System|Metabolism|Signal Transduction|Integration of energy metabolism|Disease|Metabolism of vitamins and cofactors|Visual phototransduction|The canonical retinoid cycle in rods (twilight vision)|Peptide hormone metabolism|Signaling by GPCR|Class A/1 (Rhodopsin-like receptors)|Synthesis, secretion, and inactivation of Glucagon-like Peptide-1 (GLP-1)|Transport of small molecules|GPCR downstream signalling|Metabolism of proteins|Free fatty acids regulate insulin secretion|Incretin synthesis, secretion, and inactivation|Synthesis, secretion, and inactivation of Glucose-dependent Insulinotropic Polypeptide (GIP)|G alpha (q) signalling events|Regulation of insulin secretion|Transport of vitamins, nucleosides, and related molecules|SLC-mediated transmembrane transport|Fatty Acids bound to GPR40 (FFAR1) regulate insulin secretion|Free fatty acid receptors|GPCR ligand binding|SLC transporter disorders|Defective SLC27A4 causes ichthyosis prematurity syndrome (IPS)|Disorders of transmembrane transporters|Metabolism of fat-soluble vitamins|Transport of fatty acids|Sensory Perception|Retinoid metabolism and transport</t>
  </si>
  <si>
    <t>112-80-1</t>
  </si>
  <si>
    <t>OC(=O)CCCCCCC/C=C\CCCCCCCC</t>
  </si>
  <si>
    <t>ZQPPMHVWECSIRJ-KTKRTIGZSA-N</t>
  </si>
  <si>
    <t>C18H34O2</t>
  </si>
  <si>
    <t>325</t>
  </si>
  <si>
    <t>Ornithine</t>
  </si>
  <si>
    <t>HMDB0000214</t>
  </si>
  <si>
    <t>C00077</t>
  </si>
  <si>
    <t>hsa00220,hsa00330,hsa00470,hsa00480,hsa04148</t>
  </si>
  <si>
    <t>Arginine biosynthesis|Arginine and proline metabolism|D-Amino acid metabolism|Glutathione metabolism|Efferocytosis</t>
  </si>
  <si>
    <t>3184-13-2</t>
  </si>
  <si>
    <t>NCCC[C@H](N)C(O)=O</t>
  </si>
  <si>
    <t>AHLPHDHHMVZTML-BYPYZUCNSA-N</t>
  </si>
  <si>
    <t>C5H12N2O2</t>
  </si>
  <si>
    <t>9.42_299.2833n</t>
  </si>
  <si>
    <t>Sphingosine</t>
  </si>
  <si>
    <t>HMDB0000252</t>
  </si>
  <si>
    <t>C00319</t>
  </si>
  <si>
    <t>hsa00600,hsa04071,hsa04210,hsa04217</t>
  </si>
  <si>
    <t>Sphingolipid metabolism|Sphingolipid signaling pathway|Apoptosis|Necroptosis</t>
  </si>
  <si>
    <t>123-78-4</t>
  </si>
  <si>
    <t>CCCCCCCCCCCCCC=CC(C(CO)N)O</t>
  </si>
  <si>
    <t>WWUZIQQURGPMPG-ZWKOTPCHSA-N</t>
  </si>
  <si>
    <t>C18H37NO2</t>
  </si>
  <si>
    <t>6.36_349.2023m/z</t>
  </si>
  <si>
    <t>3beta,6alpha-dihydroxy-5alpha-androst-9(11)-en-17-one</t>
  </si>
  <si>
    <t>LMST02020109</t>
  </si>
  <si>
    <t>C1[C@]2(C)C3=CC[C@]4(C)C(=O)CC[C@@]4([H])[C@]3([H])C[C@H](O)[C@@]2([H])C[C@@H](O)C1</t>
  </si>
  <si>
    <t>XPZLHFVJJIIHPB-JBKBKXHMSA-N</t>
  </si>
  <si>
    <t>C19H28O3</t>
  </si>
  <si>
    <t>14.44_594.4876n</t>
  </si>
  <si>
    <t>DG(18:1(9Z)-O(12,13)/i-15:0/0:0)</t>
  </si>
  <si>
    <t>HMDB0299050</t>
  </si>
  <si>
    <t>CCCCCC1OC1C\C=C/CCCCCCCC(=O)OC[C@H](CO)OC(=O)CCCCCCCCCCCC(C)C</t>
  </si>
  <si>
    <t>MNTWVHPORSVROJ-NMWGUUTGSA-N</t>
  </si>
  <si>
    <t>Glycerolipids</t>
  </si>
  <si>
    <t>Diradylglycerols</t>
  </si>
  <si>
    <t>C36H66O6</t>
  </si>
  <si>
    <t>5.45_343.1411m/z</t>
  </si>
  <si>
    <t>Nialamide</t>
  </si>
  <si>
    <t>HMDB0255576</t>
  </si>
  <si>
    <t>O=C(CCNNC(=O)C1=CC=NC=C1)NCC1=CC=CC=C1</t>
  </si>
  <si>
    <t>NOIIUHRQUVNIDD-UHFFFAOYSA-N</t>
  </si>
  <si>
    <t>C16H18N4O2</t>
  </si>
  <si>
    <t>438</t>
  </si>
  <si>
    <t>Trans-Vaccenic Acid</t>
  </si>
  <si>
    <t>HMDB0003231</t>
  </si>
  <si>
    <t>LMFA01030077</t>
  </si>
  <si>
    <t>C08367</t>
  </si>
  <si>
    <t>693-72-1</t>
  </si>
  <si>
    <t>C(/C=C/CCCCCC)CCCCCCCCC(=O)O</t>
  </si>
  <si>
    <t>UWHZIFQPPBDJPM-BQYQJAHWSA-N</t>
  </si>
  <si>
    <t>3.76_552.2791m/z</t>
  </si>
  <si>
    <t>Deltaline</t>
  </si>
  <si>
    <t>HMDB0250984</t>
  </si>
  <si>
    <t>CCN1CC2(C)CCC(OC)C34C2C(OC(C)=O)C2(OCOC22CC(OC)C5CC3(O)C2C5OC)C14</t>
  </si>
  <si>
    <t>DTTPWCNKTMQMTE-UHFFFAOYSA-N</t>
  </si>
  <si>
    <t>C27H41NO8</t>
  </si>
  <si>
    <t>4.38_244.1990m/z</t>
  </si>
  <si>
    <t>2-[(Z)-[(4Z)-4-(Diaminomethylidenehydrazinylidene)hexan-3-ylidene]amino]guanidine</t>
  </si>
  <si>
    <t>HMDB0244416</t>
  </si>
  <si>
    <t>CCC(=NN=C(N)N)C(CC)=NN=C(N)N</t>
  </si>
  <si>
    <t>HXWLLFLQUZOBFF-UHFFFAOYSA-N</t>
  </si>
  <si>
    <t>Guanidines</t>
  </si>
  <si>
    <t>C8H18N8</t>
  </si>
  <si>
    <t>0.70_131.0699n</t>
  </si>
  <si>
    <t>Creatine</t>
  </si>
  <si>
    <t>HMDB0000064</t>
  </si>
  <si>
    <t>C00300</t>
  </si>
  <si>
    <t>hsa00260,hsa00330</t>
  </si>
  <si>
    <t>Glycine, serine and threonine metabolism|Arginine and proline metabolism</t>
  </si>
  <si>
    <t>57-00-1</t>
  </si>
  <si>
    <t>CN(CC(O)=O)C(N)=N</t>
  </si>
  <si>
    <t>CVSVTCORWBXHQV-UHFFFAOYSA-N</t>
  </si>
  <si>
    <t>C4H9N3O2</t>
  </si>
  <si>
    <t>11.51_463.2916m/z</t>
  </si>
  <si>
    <t>Palmitoyl glucuronide</t>
  </si>
  <si>
    <t>HMDB0010331</t>
  </si>
  <si>
    <t>C03033</t>
  </si>
  <si>
    <t>hsa00040,hsa00053</t>
  </si>
  <si>
    <t>Pentose and glucuronate interconversions|Ascorbate and aldarate metabolism</t>
  </si>
  <si>
    <t>CCCCCCCCCCCCCCCCO[C@@H]1O[C@@H]([C@@H](O)[C@H](O)[C@H]1O)C(O)=O</t>
  </si>
  <si>
    <t>QFUQXEVPTHAOHS-SXFAUFNYSA-N</t>
  </si>
  <si>
    <t>Fatty acyl glycosides</t>
  </si>
  <si>
    <t>C22H42O7</t>
  </si>
  <si>
    <t>7.35_471.2425m/z</t>
  </si>
  <si>
    <t>Lucidenic acid K</t>
  </si>
  <si>
    <t>HMDB0035890</t>
  </si>
  <si>
    <t>CC(CCC(O)=O)C1CC(=O)C2(C)C3=C(C(=O)C(O)C12C)C1(C)CCC(=O)C(C)(C)C1CC3=O</t>
  </si>
  <si>
    <t>NCGJGPSWDDQPKM-UHFFFAOYSA-N</t>
  </si>
  <si>
    <t>Triterpenoids</t>
  </si>
  <si>
    <t>C27H36O7</t>
  </si>
  <si>
    <t>6.40_407.2077m/z</t>
  </si>
  <si>
    <t>Cinnzeylanine</t>
  </si>
  <si>
    <t>HMDB0036011</t>
  </si>
  <si>
    <t>62203-47-8</t>
  </si>
  <si>
    <t>CC(C)C1(O)CC2(O)C3(C)CC4(O)OC5(C(OC(C)=O)C(C)CCC35O)C2(O)C14C</t>
  </si>
  <si>
    <t>DFYFOAFKHRTQLA-UHFFFAOYSA-N</t>
  </si>
  <si>
    <t>C22H34O8</t>
  </si>
  <si>
    <t>12.51_508.3408m/z</t>
  </si>
  <si>
    <t>PE(20:0/0:0)</t>
  </si>
  <si>
    <t>HMDB0011511</t>
  </si>
  <si>
    <t>LMGP02050012</t>
  </si>
  <si>
    <t>899445-69-3</t>
  </si>
  <si>
    <t>[C@](COP(=O)(O)OCCN)([H])(O)COC(CCCCCCCCCCCCCCCCCCC)=O</t>
  </si>
  <si>
    <t>HEQMDGOBDIGJOC-XMMPIXPASA-N</t>
  </si>
  <si>
    <t>5.69_333.1455m/z</t>
  </si>
  <si>
    <t>3-(3,4-Dihydroxyphenyl)-N-[2-(3,4-dihydroxyphenyl)ethyl]prop-2-enamide</t>
  </si>
  <si>
    <t>HMDB0243579</t>
  </si>
  <si>
    <t>OC1=C(O)C=C(CCNC(=O)C=CC2=CC(O)=C(O)C=C2)C=C1</t>
  </si>
  <si>
    <t>FSMGGLPUXCKRGT-UHFFFAOYSA-N</t>
  </si>
  <si>
    <t>Cinnamic acids and derivatives</t>
  </si>
  <si>
    <t>Hydroxycinnamic acids and derivatives</t>
  </si>
  <si>
    <t>C17H17NO5</t>
  </si>
  <si>
    <t>14.96_606.4877n</t>
  </si>
  <si>
    <t>DG(18:3(9,11,15)-OH(13)/0:0/i-16:0)</t>
  </si>
  <si>
    <t>HMDB0299323</t>
  </si>
  <si>
    <t>CC\C=C\CC(O)\C=C\C=C\CCCCCCCC(=O)OC[C@@H](O)COC(=O)CCCCCCCCCCCCC(C)C</t>
  </si>
  <si>
    <t>KKFDWPRNGQEJHR-FJWZRCSQSA-N</t>
  </si>
  <si>
    <t>C37H66O6</t>
  </si>
  <si>
    <t>13.35_332.2716n</t>
  </si>
  <si>
    <t>Adrenic Acid</t>
  </si>
  <si>
    <t>HMDB0002226</t>
  </si>
  <si>
    <t>LMFA01030178</t>
  </si>
  <si>
    <t>C16527</t>
  </si>
  <si>
    <t>hsa01040</t>
  </si>
  <si>
    <t>Biosynthesis of unsaturated fatty acids</t>
  </si>
  <si>
    <t>R-HSA-162582,R-HSA-2980736,R-HSA-372790,R-HSA-373076,R-HSA-381771,R-HSA-388396,R-HSA-392499,R-HSA-400508,R-HSA-416476,R-HSA-444209,R-HSA-500792</t>
  </si>
  <si>
    <t>Signal Transduction|Peptide hormone metabolism|Signaling by GPCR|Class A/1 (Rhodopsin-like receptors)|Synthesis, secretion, and inactivation of Glucagon-like Peptide-1 (GLP-1)|GPCR downstream signalling|Metabolism of proteins|Incretin synthesis, secretion, and inactivation|G alpha (q) signalling events|Free fatty acid receptors|GPCR ligand binding</t>
  </si>
  <si>
    <t>28874-58-0</t>
  </si>
  <si>
    <t>C(CC(=O)O)CCC/C=C\C/C=C\C/C=C\C/C=C\CCCCC</t>
  </si>
  <si>
    <t>TWSWSIQAPQLDBP-DOFZRALJSA-N</t>
  </si>
  <si>
    <t>C22H36O2</t>
  </si>
  <si>
    <t>13.89_695.4879m/z</t>
  </si>
  <si>
    <t>PE(P-16:0/18:4(6Z,9Z,12Z,15Z))</t>
  </si>
  <si>
    <t>HMDB0011346</t>
  </si>
  <si>
    <t>LMGP02030021</t>
  </si>
  <si>
    <t>[C@](COP(=O)(O)OCCN)([H])(OC(CCCC/C=C\C/C=C\C/C=C\C/C=C\CC)=O)CO/C=C\CCCCCCCCCCCCCC</t>
  </si>
  <si>
    <t>RPIOMMNBCCDDPN-AZQXHMFSSA-N</t>
  </si>
  <si>
    <t>C39H70NO7P</t>
  </si>
  <si>
    <t>14.35_644.4670n</t>
  </si>
  <si>
    <t>DG(9D3/9D3/0:0)</t>
  </si>
  <si>
    <t>HMDB0116428</t>
  </si>
  <si>
    <t>[H][C@](CO)(COC(=O)CCCCCCCCC1=C(C)C(C)=C(CCC)O1)OC(=O)CCCCCCCCC1=C(C)C(C)=C(CCC)O1</t>
  </si>
  <si>
    <t>UPQVMLHMFBLTRA-XIFFEERXSA-N</t>
  </si>
  <si>
    <t>C39H64O7</t>
  </si>
  <si>
    <t>10.14_392.2930n</t>
  </si>
  <si>
    <t>Chenodeoxycholic Acid</t>
  </si>
  <si>
    <t>HMDB0000518</t>
  </si>
  <si>
    <t>LMST04010032</t>
  </si>
  <si>
    <t>C02528</t>
  </si>
  <si>
    <t>hsa00120</t>
  </si>
  <si>
    <t>Primary bile acid biosynthesis</t>
  </si>
  <si>
    <t>474-25-9</t>
  </si>
  <si>
    <t>C1[C@]2(C)[C@@]3([H])CC[C@]4(C)[C@@]([H])([C@]([H])(C)CCC(O)=O)CC[C@@]4([H])[C@]3([H])[C@H](O)C[C@]2([H])C[C@H](O)C1</t>
  </si>
  <si>
    <t>RUDATBOHQWOJDD-BSWAIDMHSA-N</t>
  </si>
  <si>
    <t>C24H40O4</t>
  </si>
  <si>
    <t>10.01_372.3485m/z</t>
  </si>
  <si>
    <t>10-oxo-docosanoic acid</t>
  </si>
  <si>
    <t>LMFA01060139</t>
  </si>
  <si>
    <t>C(CCCCCCCCC(=O)CCCCCCCCCCCC)(=O)O</t>
  </si>
  <si>
    <t>NRNVQOWXYJTJKK-UHFFFAOYSA-N</t>
  </si>
  <si>
    <t>C22H42O3</t>
  </si>
  <si>
    <t>13.83_631.4931m/z</t>
  </si>
  <si>
    <t>DG(i-16:0/18:1(9Z)-O(12,13)/0:0)</t>
  </si>
  <si>
    <t>HMDB0299256</t>
  </si>
  <si>
    <t>CCCCCC1OC1C\C=C/CCCCCCCC(=O)O[C@@H](CO)COC(=O)CCCCCCCCCCCCC(C)C</t>
  </si>
  <si>
    <t>HTNPMUQXPAVGIP-QEUXOWTNSA-N</t>
  </si>
  <si>
    <t>C37H68O6</t>
  </si>
  <si>
    <t>8.11_358.2156n</t>
  </si>
  <si>
    <t>20-A4-NeuroP</t>
  </si>
  <si>
    <t>LMFA04010455</t>
  </si>
  <si>
    <t>C(CC/C=C\C/C=C\C/C=C\C[C@H]1C(=O)C=C[C@H]1/C=C/[C@@H](O)CC)(=O)O</t>
  </si>
  <si>
    <t>DLGHMOIPLKOVLU-AUTCKXKLSA-N</t>
  </si>
  <si>
    <t>M+H-H2O, M+NH4</t>
  </si>
  <si>
    <t>13.51_697.5274m/z</t>
  </si>
  <si>
    <t>SM(d16:1/16:0)</t>
  </si>
  <si>
    <t>HMDB0240616</t>
  </si>
  <si>
    <t>LMSP03010035</t>
  </si>
  <si>
    <t>121999-53-9</t>
  </si>
  <si>
    <t>[C@](COP(=O)([O-])OCC[N+](C)(C)C)([H])(NC(CCCCCCCCCCCCCCC)=O)[C@]([H])(O)/C=C/CCCCCCCCCCC</t>
  </si>
  <si>
    <t>RPTUKVYGSPDHGQ-PSALXKTOSA-N</t>
  </si>
  <si>
    <t>C37H75N2O6P</t>
  </si>
  <si>
    <t>12.36_395.2204m/z</t>
  </si>
  <si>
    <t>PA(15:0/0:0)</t>
  </si>
  <si>
    <t>HMDB0062324</t>
  </si>
  <si>
    <t>LMGP10050037</t>
  </si>
  <si>
    <t>[C@](COP(=O)(O)O)([H])(O)COC(CCCCCCCCCCCCCC)=O</t>
  </si>
  <si>
    <t>RZDCKQARKXMIQI-QGZVFWFLSA-N</t>
  </si>
  <si>
    <t>C18H37O7P</t>
  </si>
  <si>
    <t>0.68_219.0449m/z</t>
  </si>
  <si>
    <t>3-Hydroxyflavone</t>
  </si>
  <si>
    <t>HMDB0031816</t>
  </si>
  <si>
    <t>C01495</t>
  </si>
  <si>
    <t>577-85-5</t>
  </si>
  <si>
    <t>OC1=C(OC2=CC=CC=C2C1=O)C1=CC=CC=C1</t>
  </si>
  <si>
    <t>HVQAJTFOCKOKIN-UHFFFAOYSA-N</t>
  </si>
  <si>
    <t>Flavones</t>
  </si>
  <si>
    <t>C15H10O3</t>
  </si>
  <si>
    <t>10.75_520.3910n</t>
  </si>
  <si>
    <t>Ginsenoyne A linoleate</t>
  </si>
  <si>
    <t>HMDB0041203</t>
  </si>
  <si>
    <t>155551-20-5</t>
  </si>
  <si>
    <t>CCCCC\C=C\C\C=C\CCCCCCCC(=O)OC(C=C)C#CC#CCC1OC1CCCCCC=C</t>
  </si>
  <si>
    <t>BFPKTKVUPNVZLI-XUPYMNJSSA-N</t>
  </si>
  <si>
    <t>C35H52O3</t>
  </si>
  <si>
    <t>12.93_445.3325m/z</t>
  </si>
  <si>
    <t>11-Hydroxyvitamin D3</t>
  </si>
  <si>
    <t>LMST03020669</t>
  </si>
  <si>
    <t>C1(=C/C=C2\C(=C)CC[C@H](O)C\2)/C[C@H](O)C[C@]2(C)[C@@]([H])([C@]([H])(C)CCCC(C)C)CC[C@@]/12[H]</t>
  </si>
  <si>
    <t>KDPWFHILYNISTF-PJRLEMJLSA-N</t>
  </si>
  <si>
    <t>10.13_374.2831n</t>
  </si>
  <si>
    <t>3alpha-Hydroxy-5beta-chol-11-en-24-oic Acid</t>
  </si>
  <si>
    <t>LMST04010210</t>
  </si>
  <si>
    <t>C1[C@]2(C)[C@@]3([H])C=C[C@]4(C)[C@@]([H])([C@]([H])(C)CCC(O)=O)CC[C@@]4([H])[C@]3([H])CC[C@]2([H])C[C@H](O)C1</t>
  </si>
  <si>
    <t>FEGCPHIPSRBREU-HVATVPOCSA-N</t>
  </si>
  <si>
    <t>C24H38O3</t>
  </si>
  <si>
    <t>9.26_285.1374n</t>
  </si>
  <si>
    <t>Piperine</t>
  </si>
  <si>
    <t>HMDB0029377</t>
  </si>
  <si>
    <t>C03882</t>
  </si>
  <si>
    <t>94-62-2</t>
  </si>
  <si>
    <t>O=C(\C=C\C=C\C1=CC2=C(OCO2)C=C1)N1CCCCC1</t>
  </si>
  <si>
    <t>MXXWOMGUGJBKIW-YPCIICBESA-N</t>
  </si>
  <si>
    <t>C17H19NO3</t>
  </si>
  <si>
    <t>1.21_117.0182m/z</t>
  </si>
  <si>
    <t>Succinic acid</t>
  </si>
  <si>
    <t>HMDB0000254</t>
  </si>
  <si>
    <t>LMFA01170043</t>
  </si>
  <si>
    <t>C00042</t>
  </si>
  <si>
    <t>hsa00020,hsa00190,hsa00250,hsa00310,hsa00350,hsa00360,hsa00620,hsa00630,hsa00640,hsa00650,hsa00760,hsa00920,hsa04024,hsa04727,hsa04922,hsa05230</t>
  </si>
  <si>
    <t>Citrate cycle (TCA cycle)|Oxidative phosphorylation|Alanine, aspartate and glutamate metabolism|Lysine degradation|Tyrosine metabolism|Phenylalanine metabolism|Pyruvate metabolism|Glyoxylate and dicarboxylate metabolism|Propanoate metabolism|Butanoate metabolism|Nicotinate and nicotinamide metabolism|Sulfur metabolism|cAMP signaling pathway|GABAergic synapse|Glucagon signaling pathway|Central carbon metabolism in cancer</t>
  </si>
  <si>
    <t>110-15-6</t>
  </si>
  <si>
    <t>C(CCC(=O)O)(=O)O</t>
  </si>
  <si>
    <t>KDYFGRWQOYBRFD-UHFFFAOYSA-N</t>
  </si>
  <si>
    <t>Dicarboxylic acids and derivatives</t>
  </si>
  <si>
    <t>C4H6O4</t>
  </si>
  <si>
    <t>11.17_564.4401m/z</t>
  </si>
  <si>
    <t>7-Methyltetracosanoylcarnitine</t>
  </si>
  <si>
    <t>HMDB0240988</t>
  </si>
  <si>
    <t>CCCCCCCCCCCCCCCCCC(C)CCCCCC(=O)OC(CC([O-])=O)C[N+](C)(C)C</t>
  </si>
  <si>
    <t>BJEKLTRQMDFNSB-UHFFFAOYSA-N</t>
  </si>
  <si>
    <t>C32H63NO4</t>
  </si>
  <si>
    <t>5.22_187.0969m/z</t>
  </si>
  <si>
    <t>Azelaic acid</t>
  </si>
  <si>
    <t>HMDB0000784</t>
  </si>
  <si>
    <t>LMFA01170054</t>
  </si>
  <si>
    <t>C08261</t>
  </si>
  <si>
    <t>123-99-9</t>
  </si>
  <si>
    <t>C(CCCCCCCC(=O)O)(=O)O</t>
  </si>
  <si>
    <t>BDJRBEYXGGNYIS-UHFFFAOYSA-N</t>
  </si>
  <si>
    <t>C9H16O4</t>
  </si>
  <si>
    <t>1.00_191.0190m/z</t>
  </si>
  <si>
    <t>Citric acid</t>
  </si>
  <si>
    <t>HMDB0000094</t>
  </si>
  <si>
    <t>C00158</t>
  </si>
  <si>
    <t>hsa00020,hsa00250,hsa00630,hsa04742,hsa04922,hsa05230</t>
  </si>
  <si>
    <t>Citrate cycle (TCA cycle)|Alanine, aspartate and glutamate metabolism|Glyoxylate and dicarboxylate metabolism|Taste transduction|Glucagon signaling pathway|Central carbon metabolism in cancer</t>
  </si>
  <si>
    <t>R-HSA-1428517,R-HSA-1430728,R-HSA-200425,R-HSA-382551,R-HSA-425366,R-HSA-425407,R-HSA-433137,R-HSA-556833,R-HSA-70171,R-HSA-70326,R-HSA-71387,R-HSA-71403,R-HSA-71406,R-HSA-75105,R-HSA-8978868,R-HSA-917937,R-HSA-9709957,R-HSA-9717189,R-HSA-9729555</t>
  </si>
  <si>
    <t>The citric acid (TCA) cycle and respiratory electron transport|Metabolism|Carnitine metabolism|Transport of small molecules|Transport of bile salts and organic acids, metal ions and amine compounds|SLC-mediated transmembrane transport|Sodium-coupled sulphate, di- and tri-carboxylate transporters|Metabolism of lipids|Glycolysis|Glucose metabolism|Metabolism of carbohydrates|Citric acid cycle (TCA cycle)|Pyruvate metabolism and Citric Acid (TCA) cycle|Fatty acyl-CoA biosynthesis|Fatty acid metabolism|Iron uptake and transport|Sensory Perception|Sensory perception of taste|Sensory perception of sour taste</t>
  </si>
  <si>
    <t>77-92-9</t>
  </si>
  <si>
    <t>OC(=O)CC(O)(CC(O)=O)C(O)=O</t>
  </si>
  <si>
    <t>KRKNYBCHXYNGOX-UHFFFAOYSA-N</t>
  </si>
  <si>
    <t>C6H8O7</t>
  </si>
  <si>
    <t>12.61_682.4472m/z</t>
  </si>
  <si>
    <t>7-Epizucchini factor A</t>
  </si>
  <si>
    <t>HMDB0036405</t>
  </si>
  <si>
    <t>308811-92-9</t>
  </si>
  <si>
    <t>CC1(COC(=O)C2=CC=CC=C2)CCC2(C)CCC3(C)C4=C(CCC3(C)C2C1)C1(C)CCC(OC(=O)C2=CC=C(N)C=C2)C(C)(C)C1CC4O</t>
  </si>
  <si>
    <t>PRAFKBSUIBLSSV-UHFFFAOYSA-N</t>
  </si>
  <si>
    <t>C44H59NO5</t>
  </si>
  <si>
    <t>7.07_443.2054m/z</t>
  </si>
  <si>
    <t>6-dehydrotestosterone 17-glucosiduronic acid</t>
  </si>
  <si>
    <t>HMDB0010337</t>
  </si>
  <si>
    <t>LMST05010024</t>
  </si>
  <si>
    <t>C00178</t>
  </si>
  <si>
    <t>hsa00240</t>
  </si>
  <si>
    <t>Pyrimidine metabolism</t>
  </si>
  <si>
    <t>R-HSA-110329,R-HSA-1430728,R-HSA-15869,R-HSA-382551,R-HSA-425397,R-HSA-425407,R-HSA-73614,R-HSA-73621,R-HSA-73884,R-HSA-73894,R-HSA-73928,R-HSA-73929,R-HSA-83936,R-HSA-8956319,R-HSA-8956321</t>
  </si>
  <si>
    <t>Cleavage of the damaged pyrimidine |Metabolism|Metabolism of nucleotides|Transport of small molecules|Transport of vitamins, nucleosides, and related molecules|SLC-mediated transmembrane transport|Pyrimidine salvage|Pyrimidine catabolism|Base Excision Repair|DNA Repair|Depyrimidination|Base-Excision Repair, AP Site Formation|Transport of nucleosides and free purine and pyrimidine bases across the plasma membrane|Nucleotide catabolism|Nucleotide salvage</t>
  </si>
  <si>
    <t>C1CC(=O)C=C2C=C[C@@]3([C@]([C@@]12C)([H])CC[C@]1(C)[C@@H](O[C@H]2[C@H](O)[C@@H](O)[C@H](O)[C@@H](C(O)=O)O2)CC[C@@]31[H])[H]</t>
  </si>
  <si>
    <t>GCIVSXAHMONYLO-HMAFJQTKSA-N</t>
  </si>
  <si>
    <t>Steroidal glycosides</t>
  </si>
  <si>
    <t>C25H34O8</t>
  </si>
  <si>
    <t>7.88_439.1709m/z</t>
  </si>
  <si>
    <t>Alanylmethionine</t>
  </si>
  <si>
    <t>HMDB0028693</t>
  </si>
  <si>
    <t>14486-05-6</t>
  </si>
  <si>
    <t>CSCC[C@H](NC(=O)[C@H](C)N)C(O)=O</t>
  </si>
  <si>
    <t>FSHURBQASBLAPO-WDSKDSINSA-N</t>
  </si>
  <si>
    <t>C8H16N2O3S</t>
  </si>
  <si>
    <t>40</t>
  </si>
  <si>
    <t>L-Alanine</t>
  </si>
  <si>
    <t>HMDB0000161</t>
  </si>
  <si>
    <t>C00041</t>
  </si>
  <si>
    <t>hsa00250,hsa00270,hsa00430,hsa00450,hsa00470,hsa00970,hsa02010,hsa04122,hsa04974,hsa05230</t>
  </si>
  <si>
    <t>Alanine, aspartate and glutamate metabolism|Cysteine and methionine metabolism|Taurine and hypotaurine metabolism|Selenocompound metabolism|D-Amino acid metabolism|Aminoacyl-tRNA biosynthesis|ABC transporters|Sulfur relay system|Protein digestion and absorption|Central carbon metabolism in cancer</t>
  </si>
  <si>
    <t>56-41-7</t>
  </si>
  <si>
    <t>C[C@H](N)C(O)=O</t>
  </si>
  <si>
    <t>QNAYBMKLOCPYGJ-REOHCLBHSA-N</t>
  </si>
  <si>
    <t>C3H7NO2</t>
  </si>
  <si>
    <t>4.23_680.2723m/z</t>
  </si>
  <si>
    <t>aclacinomycin S</t>
  </si>
  <si>
    <t>HMDB0247947</t>
  </si>
  <si>
    <t>CCC1(O)CC(OC2CC(C(OC3CC(O)C(O)C(C)O3)C(C)O2)[NH+](C)C)C2=C(C=C3C(=O)C4=C(C(O)=CC=C4)C(=O)C3=C2[O-])C1C(=O)OC</t>
  </si>
  <si>
    <t>DNZPQXXGAMXDHH-UHFFFAOYSA-N</t>
  </si>
  <si>
    <t>Anthracyclines</t>
  </si>
  <si>
    <t>C36H45NO13</t>
  </si>
  <si>
    <t>8.64_395.1901m/z</t>
  </si>
  <si>
    <t>Pregnenolone sulfate</t>
  </si>
  <si>
    <t>HMDB0000774</t>
  </si>
  <si>
    <t>1247-64-9</t>
  </si>
  <si>
    <t>[H][C@@]12CC[C@H](C(C)=O)[C@@]1(C)CC[C@@]1([H])[C@@]2([H])CC=C2CC(CC[C@]12C)OS(O)(=O)=O</t>
  </si>
  <si>
    <t>DIJBBUIOWGGQOP-OZIWPBGVSA-N</t>
  </si>
  <si>
    <t>C21H32O5S</t>
  </si>
  <si>
    <t>4.30_232.1583n</t>
  </si>
  <si>
    <t>5-Methoxy-N-isopropyltryptamine</t>
  </si>
  <si>
    <t>HMDB0244338</t>
  </si>
  <si>
    <t>COC1=CC2=C(NC=C2CCNC(C)C)C=C1</t>
  </si>
  <si>
    <t>QQZJNZJNPDORBO-UHFFFAOYSA-N</t>
  </si>
  <si>
    <t>Tryptamines and derivatives</t>
  </si>
  <si>
    <t>C14H20N2O</t>
  </si>
  <si>
    <t>9.22_378.2419n</t>
  </si>
  <si>
    <t>Dhv-PGE2</t>
  </si>
  <si>
    <t>HMDB0251112</t>
  </si>
  <si>
    <t>CCCCC(O)(CC=CC1C(O)CC(=O)C1CC=CCCCC(O)=O)C=C</t>
  </si>
  <si>
    <t>RUFIPEVZPSRREO-UHFFFAOYSA-N</t>
  </si>
  <si>
    <t>C22H34O5</t>
  </si>
  <si>
    <t>7.90_580.3260m/z</t>
  </si>
  <si>
    <t>PC(16:1(9Z)/2:0)</t>
  </si>
  <si>
    <t>LMGP01010693</t>
  </si>
  <si>
    <t>[C@](COP(=O)([O-])OCC[N+](C)(C)C)([H])(OC(C)=O)COC(CCCCCCC/C=C\CCCCCC)=O</t>
  </si>
  <si>
    <t>QALLXIUHRUVULB-OKFWSBNLSA-N</t>
  </si>
  <si>
    <t>C26H50NO8P</t>
  </si>
  <si>
    <t>3.96_543.2847m/z</t>
  </si>
  <si>
    <t>Chaetoglobosin N</t>
  </si>
  <si>
    <t>HMDB0031919</t>
  </si>
  <si>
    <t>156980-59-5</t>
  </si>
  <si>
    <t>CC(C1NC(=O)C23C1C(C)C1(C)OC1C2\C=C\CC(C)\C=C(C)/C(=O)C(=O)CCC3=O)C1=CNC2=C1C=CC=C2</t>
  </si>
  <si>
    <t>KPZHIOQEYKRXQD-OIJFLVMVSA-N</t>
  </si>
  <si>
    <t>Cytochalasans</t>
  </si>
  <si>
    <t>Chaetoglobosins</t>
  </si>
  <si>
    <t>C33H38N2O5</t>
  </si>
  <si>
    <t>12.04_279.2325m/z</t>
  </si>
  <si>
    <t>4-oxo-2E-octadecenoic acid</t>
  </si>
  <si>
    <t>LMFA02000370</t>
  </si>
  <si>
    <t>C(/C=C/C(=O)CCCCCCCCCCCCCC)(=O)O</t>
  </si>
  <si>
    <t>DOCHQQOWHPNKAZ-FOCLMDBBSA-N</t>
  </si>
  <si>
    <t>10.64_790.5607m/z</t>
  </si>
  <si>
    <t>PC(18:1(9Z)/15:0)</t>
  </si>
  <si>
    <t>HMDB0008099</t>
  </si>
  <si>
    <t>LMGP01011598</t>
  </si>
  <si>
    <t>[C@](COP(=O)([O-])OCC[N+](C)(C)C)([H])(OC(CCCCCCCCCCCCCC)=O)COC(CCCCCCC/C=C\CCCCCCCC)=O</t>
  </si>
  <si>
    <t>CLISCKGHRKPSQH-KUNNKMQBSA-N</t>
  </si>
  <si>
    <t>C41H80NO8P</t>
  </si>
  <si>
    <t>353</t>
  </si>
  <si>
    <t>Galactose</t>
  </si>
  <si>
    <t>C00984</t>
  </si>
  <si>
    <t>hsa00052,hsa00520</t>
  </si>
  <si>
    <t>Galactose metabolism|Amino sugar and nucleotide sugar metabolism</t>
  </si>
  <si>
    <t>R-HSA-1430728,R-HSA-1630316,R-HSA-1638074,R-HSA-1638091,R-HSA-1660662,R-HSA-2022857,R-HSA-2024096,R-HSA-428157,R-HSA-556833,R-HSA-71387</t>
  </si>
  <si>
    <t>Metabolism|Glycosaminoglycan metabolism|Keratan sulfate/keratin metabolism|Heparan sulfate/heparin (HS-GAG) metabolism|Glycosphingolipid metabolism|Keratan sulfate degradation|HS-GAG degradation|Sphingolipid metabolism|Metabolism of lipids|Metabolism of carbohydrates</t>
  </si>
  <si>
    <t>3646-73-9</t>
  </si>
  <si>
    <t>OC[C@H]1O[C@H](O)[C@H](O)[C@@H](O)[C@H]1O</t>
  </si>
  <si>
    <t>WQZGKKKJIJFFOK-PHYPRBDBSA-N</t>
  </si>
  <si>
    <t>8.94_578.3104m/z</t>
  </si>
  <si>
    <t>OS-PE</t>
  </si>
  <si>
    <t>LMGP20020035</t>
  </si>
  <si>
    <t>[C@](COP(=O)(O)OCCN)([H])(OC(CCC(=O)O)=O)COC(CCCCCCC/C=C\CCCCCCCC)=O</t>
  </si>
  <si>
    <t>HYIYHUUPCKOGSP-OPSAWKISSA-N</t>
  </si>
  <si>
    <t>C27H50NO10P</t>
  </si>
  <si>
    <t>10.58_318.2194n</t>
  </si>
  <si>
    <t>(+/-)-8-Hydroxy-5Z,9E,11Z,14Z,17Z-eicosapentaenoic acid</t>
  </si>
  <si>
    <t>HMDB0242271</t>
  </si>
  <si>
    <t>CCC=CCC=CCC=CC=CC(O)CC=CCCCC(O)=O</t>
  </si>
  <si>
    <t>WLOUCHKFBGGNEB-UHFFFAOYSA-N</t>
  </si>
  <si>
    <t>3.33_117.0546m/z</t>
  </si>
  <si>
    <t>2-Hydroxy-3-methylbutyric acid</t>
  </si>
  <si>
    <t>HMDB0000407</t>
  </si>
  <si>
    <t>LMFA01050478</t>
  </si>
  <si>
    <t>4026-18-0</t>
  </si>
  <si>
    <t>C(C(O)C(C)C)(O)=O</t>
  </si>
  <si>
    <t>NGEWQZIDQIYUNV-UHFFFAOYSA-N</t>
  </si>
  <si>
    <t>10.76_590.3468m/z</t>
  </si>
  <si>
    <t>PC(20:3(5Z,8Z,11Z)/0:0)</t>
  </si>
  <si>
    <t>HMDB0010393</t>
  </si>
  <si>
    <t>LMGP01050139</t>
  </si>
  <si>
    <t>1199257-41-4</t>
  </si>
  <si>
    <t>C(OP(OCC[N+](C)(C)C)(=O)[O-])[C@@](O)([H])COC(=O)CCC/C=C\C/C=C\C/C=C\CCCCCCCC</t>
  </si>
  <si>
    <t>YHGXYYIGHBPDMX-BUTFDPNWSA-N</t>
  </si>
  <si>
    <t>3.62_229.1554m/z</t>
  </si>
  <si>
    <t>Isoleucylproline</t>
  </si>
  <si>
    <t>HMDB0011174</t>
  </si>
  <si>
    <t>37462-92-3</t>
  </si>
  <si>
    <t>CC[C@H](C)[C@H](N)C(=O)N1CCC[C@H]1C(O)=O</t>
  </si>
  <si>
    <t>BBIXOODYWPFNDT-CIUDSAMLSA-N</t>
  </si>
  <si>
    <t>10.25_524.2785m/z</t>
  </si>
  <si>
    <t>PE(0:0/22:6(4Z,7Z,10Z,13Z,16Z,19Z))</t>
  </si>
  <si>
    <t>HMDB0011496</t>
  </si>
  <si>
    <t>LMGP02050060</t>
  </si>
  <si>
    <t>C(OP(OCCN)(O)=O)[C@]([H])(OC(=O)CC/C=C\C/C=C\C/C=C\C/C=C\C/C=C\C/C=C\CC)CO</t>
  </si>
  <si>
    <t>TWBVHOYVCUOMJY-PAUXXPOVSA-N</t>
  </si>
  <si>
    <t>6.11_363.2178m/z</t>
  </si>
  <si>
    <t>Cortisol</t>
  </si>
  <si>
    <t>HMDB0000063</t>
  </si>
  <si>
    <t>LMST02030001</t>
  </si>
  <si>
    <t>C00735</t>
  </si>
  <si>
    <t>hsa00140,hsa04080,hsa04927,hsa04934,hsa04960</t>
  </si>
  <si>
    <t>Steroid hormone biosynthesis|Neuroactive ligand-receptor interaction|Cortisol synthesis and secretion|Cushing syndrome|Aldosterone-regulated sodium reabsorption</t>
  </si>
  <si>
    <t>R-HSA-1430728,R-HSA-162582,R-HSA-194002,R-HSA-196071,R-HSA-211859,R-HSA-211897,R-HSA-211945,R-HSA-211976,R-HSA-212436,R-HSA-2262752,R-HSA-2990846,R-HSA-3108232,R-HSA-3371497,R-HSA-392499,R-HSA-400253,R-HSA-4090294,R-HSA-556833,R-HSA-597592,R-HSA-73857,R-HSA-74160,R-HSA-8848021,R-HSA-8849473,R-HSA-8878166,R-HSA-8939902,R-HSA-8953897,R-HSA-8957322,R-HSA-9006927,R-HSA-9614085,R-HSA-9615017,R-HSA-9634815,R-HSA-9768759,R-HSA-9768777</t>
  </si>
  <si>
    <t>Metabolism|Signal Transduction|Glucocorticoid biosynthesis|Metabolism of steroid hormones|Biological oxidations|Cytochrome P450 - arranged by substrate type|Phase I - Functionalization of compounds|Endogenous sterols|Generic Transcription Pathway|Cellular responses to stress|SUMOylation|SUMO E3 ligases SUMOylate target proteins|HSP90 chaperone cycle for steroid hormone receptors (SHR) in the presence of ligand|Metabolism of proteins|Circadian Clock|SUMOylation of intracellular receptors|Metabolism of lipids|Post-translational protein modification|RNA Polymerase II Transcription|Gene expression (Transcription)|Signaling by PTK6|PTK6 Expression|Transcriptional regulation by RUNX2|Regulation of RUNX2 expression and activity|Cellular responses to stimuli|Metabolism of steroids|Signaling by Non-Receptor Tyrosine Kinases|FOXO-mediated transcription|FOXO-mediated transcription of oxidative stress, metabolic and neuronal genes|Transcriptional Regulation by NPAS4|Regulation of NPAS4 gene expression|Regulation of NPAS4 gene transcription</t>
  </si>
  <si>
    <t>50-23-7</t>
  </si>
  <si>
    <t>[C@]12(CCC3=CC(=O)CC[C@]3(C)[C@@]1([H])[C@@H](O)C[C@]1(C)[C@](C(=O)CO)(O)CC[C@@]21[H])[H]</t>
  </si>
  <si>
    <t>JYGXADMDTFJGBT-VWUMJDOOSA-N</t>
  </si>
  <si>
    <t>10.51_313.2628n</t>
  </si>
  <si>
    <t>N-Lauroyl Leucine</t>
  </si>
  <si>
    <t>HMDB0242035</t>
  </si>
  <si>
    <t>CCCCCCCCCCCC(=O)NC(CC(C)C)C(O)=O</t>
  </si>
  <si>
    <t>CDOCNWRWMUMCLP-UHFFFAOYSA-N</t>
  </si>
  <si>
    <t>C18H35NO3</t>
  </si>
  <si>
    <t>4.92_1004.4763m/z</t>
  </si>
  <si>
    <t>CDP-DG(22:6(4Z,7Z,10Z,13Z,16Z,19Z)/16:1(9Z))</t>
  </si>
  <si>
    <t>HMDB0116031</t>
  </si>
  <si>
    <t>[H][C@@](COC(=O)CC\C=C/C\C=C/C\C=C/C\C=C/C\C=C/C\C=C/CC)(COP(O)(=O)OP(O)(=O)OC[C@H]1O[C@H](C(O)[C@H]1O)N1C=CC(N)=NC1=O)OC(=O)CCCCCCC\C=C/CCCCCC</t>
  </si>
  <si>
    <t>RPUBYMSZTSTXMS-IZGOWYIUSA-N</t>
  </si>
  <si>
    <t>CDP-glycerols</t>
  </si>
  <si>
    <t>C50H79N3O15P2</t>
  </si>
  <si>
    <t>6.36_371.2443m/z</t>
  </si>
  <si>
    <t>19R-hydroxy-PGF1alpha</t>
  </si>
  <si>
    <t>LMFA03010038</t>
  </si>
  <si>
    <t>[C@H]1(/C=C/[C@@H](O)CCC[C@H](O)C)[C@H](O)C[C@H](O)[C@@H]1CCCCCCC(=O)O</t>
  </si>
  <si>
    <t>JRNZEGAFLBTZDT-IRMCVWCUSA-N</t>
  </si>
  <si>
    <t>12.05_377.1426m/z</t>
  </si>
  <si>
    <t>Pradofloxacin</t>
  </si>
  <si>
    <t>HMDB0256725</t>
  </si>
  <si>
    <t>OC(=O)C1=CN(C2CC2)C2=C(C#N)C(N3CC4CCCNC4C3)=C(F)C=C2C1=O</t>
  </si>
  <si>
    <t>LZLXHGFNOWILIY-UHFFFAOYSA-N</t>
  </si>
  <si>
    <t>C21H21FN4O3</t>
  </si>
  <si>
    <t>14.46_727.5643m/z</t>
  </si>
  <si>
    <t>CE(20:4(8Z,11Z,14Z,17Z)-2OH(5S,6R))</t>
  </si>
  <si>
    <t>HMDB0290238</t>
  </si>
  <si>
    <t>[H][C@@]1(CC[C@@]2([H])[C@]3([H])CC=C4C[C@H](CC[C@]4(C)[C@@]3([H])CC[C@]12C)OC(=O)CCC[C@H](O)[C@@H](O)C\C=C/C\C=C/C\C=C/C\C=C/CC)[C@H](C)CCCC(C)C</t>
  </si>
  <si>
    <t>SKZKMVXJCXJBNL-CNLZXFFDSA-N</t>
  </si>
  <si>
    <t>C47H76O4</t>
  </si>
  <si>
    <t>8.76_551.3242n</t>
  </si>
  <si>
    <t>PS(20:1(11Z)/0:0)</t>
  </si>
  <si>
    <t>LMGP03050020</t>
  </si>
  <si>
    <t>C(O)(=O)[C@@]([H])(N)COP(OC[C@]([H])(O)COC(CCCCCCCCC/C=C\CCCCCCCC)=O)(=O)O</t>
  </si>
  <si>
    <t>WQWSUENXYNSINA-KCVNTPOGSA-N</t>
  </si>
  <si>
    <t>C26H50NO9P</t>
  </si>
  <si>
    <t>12.47_310.1626m/z</t>
  </si>
  <si>
    <t>Histidylhistidine</t>
  </si>
  <si>
    <t>HMDB0028887</t>
  </si>
  <si>
    <t>306-14-9</t>
  </si>
  <si>
    <t>N[C@@H](CC1=CNC=N1)C(=O)N[C@@H](CC1=CNC=N1)C(O)=O</t>
  </si>
  <si>
    <t>SGCGMORCWLEJNZ-UWVGGRQHSA-N</t>
  </si>
  <si>
    <t>C12H16N6O3</t>
  </si>
  <si>
    <t>7.78_318.2182n</t>
  </si>
  <si>
    <t>Yucalexin B20</t>
  </si>
  <si>
    <t>HMDB0036712</t>
  </si>
  <si>
    <t>119679-04-8</t>
  </si>
  <si>
    <t>CC12CC3(CCC4C(C)(C)C(O)C(=O)CC4(C)C3CC1O)C=C2</t>
  </si>
  <si>
    <t>RFHATUKAQMWSEN-UHFFFAOYSA-N</t>
  </si>
  <si>
    <t>0.74_147.0899n</t>
  </si>
  <si>
    <t>Daunosamine</t>
  </si>
  <si>
    <t>HMDB0250880</t>
  </si>
  <si>
    <t>CC(O)C(O)C(N)CC=O</t>
  </si>
  <si>
    <t>WPJRFCZKZXBUNI-UHFFFAOYSA-N</t>
  </si>
  <si>
    <t>C6H13NO3</t>
  </si>
  <si>
    <t>7.41_417.2263m/z</t>
  </si>
  <si>
    <t>delta15-10-NeuroF</t>
  </si>
  <si>
    <t>LMFA04020006</t>
  </si>
  <si>
    <t>C(CC/C=C\C/C=C\CC1OC(C(O)/C=C/C(O)C/C=C\CC)CC1O)(=O)O</t>
  </si>
  <si>
    <t>XGQLDESRBZVSMX-HOGCIABESA-N</t>
  </si>
  <si>
    <t>15.02_646.4802n</t>
  </si>
  <si>
    <t>DG(i-16:0/PGJ2/0:0)</t>
  </si>
  <si>
    <t>HMDB0299204</t>
  </si>
  <si>
    <t>CCCCC[C@H](O)\C=C\[C@@H]1[C@@H](C\C=C/CCCC(=O)O[C@@H](CO)COC(=O)CCCCCCCCCCCCC(C)C)C=CC1=O</t>
  </si>
  <si>
    <t>GLNBZUZDOIVVEQ-BHJYARQQSA-N</t>
  </si>
  <si>
    <t>M+H-H2O, M+</t>
  </si>
  <si>
    <t>C39H66O7</t>
  </si>
  <si>
    <t>10.55_507.3345n</t>
  </si>
  <si>
    <t>PC(17:1(10Z)/0:0)</t>
  </si>
  <si>
    <t>LMGP01050002</t>
  </si>
  <si>
    <t>[C@](COP(=O)([O-])OCC[N+](C)(C)C)([H])(O)COC(CCCCCCCC/C=C\CCCCCC)=O</t>
  </si>
  <si>
    <t>XBGIMYLOTRDXPK-AGXIJRPPSA-N</t>
  </si>
  <si>
    <t>C25H50NO7P</t>
  </si>
  <si>
    <t>4.61_546.3269n</t>
  </si>
  <si>
    <t>Phytyl 2-O-methyl-dimethylarsinoylribose</t>
  </si>
  <si>
    <t>LMPR0104010040</t>
  </si>
  <si>
    <t>CC(CCCC(CCCC(CCC/C(/C)=C/CO[C@H]1[C@H](OC)[C@H](O)[C@@H](C[As](=O)(C)C)O1)C)C)C</t>
  </si>
  <si>
    <t>DERBZIOJEXWVSK-HGEPQFIESA-N</t>
  </si>
  <si>
    <t>C28H55AsO5</t>
  </si>
  <si>
    <t>10.62_614.3465m/z</t>
  </si>
  <si>
    <t>PC(22:5(7Z,10Z,13Z,16Z,19Z)/0:0)</t>
  </si>
  <si>
    <t>HMDB0010403</t>
  </si>
  <si>
    <t>LMGP01050143</t>
  </si>
  <si>
    <t>C(OP(OCC[N+](C)(C)C)(=O)[O-])[C@]([H])(O)COC(=O)CCCCC/C=C\C/C=C\C/C=C\C/C=C\C/C=C\CC</t>
  </si>
  <si>
    <t>BIEOSECQPGGZMF-NAIWXXGBSA-N</t>
  </si>
  <si>
    <t>C30H52NO7P</t>
  </si>
  <si>
    <t>7.24_377.2339m/z</t>
  </si>
  <si>
    <t>Alphaxalone</t>
  </si>
  <si>
    <t>C13803</t>
  </si>
  <si>
    <t>23930-19-0</t>
  </si>
  <si>
    <t>CC(=O)C1CCC2C1(CC(=O)C3C2CCC4C3(CCC(C4)O)C)C</t>
  </si>
  <si>
    <t>DUHUCHOQIDJXAT-OLVMNOGESA-N</t>
  </si>
  <si>
    <t>Pregnane steroids</t>
  </si>
  <si>
    <t>C21H32O3</t>
  </si>
  <si>
    <t>8.94_604.3261m/z</t>
  </si>
  <si>
    <t>PC(0:0/20:4;O)</t>
  </si>
  <si>
    <t>LMGP20010053</t>
  </si>
  <si>
    <t>C(OP(OCC[N+](C)(C)C)([O-])=O)[C@]([H])(OC(=O)CCC/C=C\C/C=C\C/C=C\C=C\[C@H](O)CCCCC)CO</t>
  </si>
  <si>
    <t>UGWAFZVUHJCWOQ-FWJSUUQISA-N</t>
  </si>
  <si>
    <t>C28H50NO8P</t>
  </si>
  <si>
    <t>10.06_361.2387m/z</t>
  </si>
  <si>
    <t>Norbolethone</t>
  </si>
  <si>
    <t>HMDB0006026</t>
  </si>
  <si>
    <t>D05204</t>
  </si>
  <si>
    <t>1235-15-0</t>
  </si>
  <si>
    <t>[H][C@@]12CC[C@@](O)(CC)[C@@]1(CC)CC[C@]1([H])[C@@]3([H])CCC(=O)C=C3CC[C@@]21[H]</t>
  </si>
  <si>
    <t>FTBJKONNNSKOLX-XUDSTZEESA-N</t>
  </si>
  <si>
    <t>C21H32O2</t>
  </si>
  <si>
    <t>12.69_667.5333m/z</t>
  </si>
  <si>
    <t>DG(22:4(7Z,10Z,13Z,16Z)/18:2(9Z,12Z)/0:0)</t>
  </si>
  <si>
    <t>HMDB0007683</t>
  </si>
  <si>
    <t>[H][C@](CO)(COC(=O)CCCCC\C=C/C\C=C/C\C=C/C\C=C/CCCCC)OC(=O)CCCCCCC\C=C/C\C=C/CCCCC</t>
  </si>
  <si>
    <t>PAEBSLIJYHGPGF-QBNBIVAASA-N</t>
  </si>
  <si>
    <t>C43H72O5</t>
  </si>
  <si>
    <t>9.63_380.1959n</t>
  </si>
  <si>
    <t>PA(14:1(9Z)/0:0)</t>
  </si>
  <si>
    <t>HMDB0062311</t>
  </si>
  <si>
    <t>LMGP10050038</t>
  </si>
  <si>
    <t>[C@](COP(=O)(O)O)([H])(O)COC(CCCCCCC/C=C\CCCC)=O</t>
  </si>
  <si>
    <t>IQSHJASKBUVXAG-OGZRUICASA-N</t>
  </si>
  <si>
    <t>C17H33O7P</t>
  </si>
  <si>
    <t>0.73_188.1287m/z</t>
  </si>
  <si>
    <t>Homo-L-arginine</t>
  </si>
  <si>
    <t>HMDB0000670</t>
  </si>
  <si>
    <t>C01924</t>
  </si>
  <si>
    <t>R-HSA-352230,R-HSA-382551,R-HSA-425393,R-HSA-425407</t>
  </si>
  <si>
    <t>Amino acid transport across the plasma membrane|Transport of small molecules|Transport of inorganic cations/anions and amino acids/oligopeptides|SLC-mediated transmembrane transport</t>
  </si>
  <si>
    <t>156-86-5</t>
  </si>
  <si>
    <t>N[C@@H](CCCCNC(N)=N)C(O)=O</t>
  </si>
  <si>
    <t>QUOGESRFPZDMMT-YFKPBYRVSA-N</t>
  </si>
  <si>
    <t>C7H16N4O2</t>
  </si>
  <si>
    <t>7.39_431.3050n</t>
  </si>
  <si>
    <t>Malyngamide H</t>
  </si>
  <si>
    <t>CCCCCCCC(CC=CCCC(=O)NCCC(=C)C12C(O1)CC=C(C2=O)C)OC</t>
  </si>
  <si>
    <t>MNBBBIJBVPWYSD-AIIVTHQSSA-N</t>
  </si>
  <si>
    <t>C26H41NO4</t>
  </si>
  <si>
    <t>6.60_367.2127m/z</t>
  </si>
  <si>
    <t>19R-hydroxy-PGE2</t>
  </si>
  <si>
    <t>HMDB0001908</t>
  </si>
  <si>
    <t>LMFA03010024</t>
  </si>
  <si>
    <t>55123-68-7</t>
  </si>
  <si>
    <t>[C@H]1(/C=C/[C@@H](O)CCC[C@H](O)C)[C@H](O)CC(=O)[C@@H]1C/C=C\CCCC(=O)O</t>
  </si>
  <si>
    <t>WTJYDBMHYPQFNJ-ZUVVJKHESA-N</t>
  </si>
  <si>
    <t>9.09_333.2074m/z</t>
  </si>
  <si>
    <t>13,14-dihydro-15-keto Prostaglandin J2</t>
  </si>
  <si>
    <t>CCCCCC(=O)CCC1C(C=CC1=O)CC=CCCCC(=O)O</t>
  </si>
  <si>
    <t>GCYWVCQBMLYQGZ-BFVRRIQPSA-N</t>
  </si>
  <si>
    <t>0.85_203.0135m/z</t>
  </si>
  <si>
    <t>4-Fluoro-2-(trifluoromethyl)phenylacetic acid</t>
  </si>
  <si>
    <t>HMDB0244849</t>
  </si>
  <si>
    <t>OC(=O)CC1=C(C=C(F)C=C1)C(F)(F)F</t>
  </si>
  <si>
    <t>BMUFUJMVNODTAD-UHFFFAOYSA-N</t>
  </si>
  <si>
    <t>Trifluoromethylbenzenes</t>
  </si>
  <si>
    <t>C9H6F4O2</t>
  </si>
  <si>
    <t>13.33_386.2373m/z</t>
  </si>
  <si>
    <t>N-linoleoyl taurine</t>
  </si>
  <si>
    <t>LMFA08020138</t>
  </si>
  <si>
    <t>C(CCCCCCC/C=C\C/C=C\CCCCC)(=O)NCCS(O)(=O)=O</t>
  </si>
  <si>
    <t>YIWODQVLEDDQSF-HZJYTTRNSA-N</t>
  </si>
  <si>
    <t>C20H37NO4S</t>
  </si>
  <si>
    <t>11.95_550.2911n</t>
  </si>
  <si>
    <t>OG-PA</t>
  </si>
  <si>
    <t>LMGP20070021</t>
  </si>
  <si>
    <t>[C@](COP(=O)(O)O)([H])(OC(CCCC(=O)O)=O)COC(CCCCCCC/C=C\CCCCCCCC)=O</t>
  </si>
  <si>
    <t>IQBMJPSNTGYKKD-DJYGDJEFSA-N</t>
  </si>
  <si>
    <t>C26H47O10P</t>
  </si>
  <si>
    <t>6.13_189.0795n</t>
  </si>
  <si>
    <t>Indole-3-propionic acid</t>
  </si>
  <si>
    <t>HMDB0002302</t>
  </si>
  <si>
    <t>R-HSA-1430728,R-HSA-71240,R-HSA-71291</t>
  </si>
  <si>
    <t>Metabolism|Tryptophan catabolism|Metabolism of amino acids and derivatives</t>
  </si>
  <si>
    <t>830-96-6</t>
  </si>
  <si>
    <t>OC(=O)CCC1=CNC2=C1C=CC=C2</t>
  </si>
  <si>
    <t>GOLXRNDWAUTYKT-UHFFFAOYSA-N</t>
  </si>
  <si>
    <t>Indolyl carboxylic acids and derivatives</t>
  </si>
  <si>
    <t>M+, M+H</t>
  </si>
  <si>
    <t>C11H11NO2</t>
  </si>
  <si>
    <t>0.74_318.1206m/z</t>
  </si>
  <si>
    <t>Glu Asn Gly</t>
  </si>
  <si>
    <t>C(CC(=O)O)C(C(=O)NC(CC(=O)N)C(=O)NCC(=O)O)N</t>
  </si>
  <si>
    <t>CKRUHITYRFNUKW-WDSKDSINSA-N</t>
  </si>
  <si>
    <t>C11H18N4O7</t>
  </si>
  <si>
    <t>5.28_234.2072m/z</t>
  </si>
  <si>
    <t>Sabinic acid</t>
  </si>
  <si>
    <t>HMDB0002059</t>
  </si>
  <si>
    <t>LMFA01050039</t>
  </si>
  <si>
    <t>C08317</t>
  </si>
  <si>
    <t>R-HSA-1430728,R-HSA-211859,R-HSA-211897,R-HSA-211935,R-HSA-211945</t>
  </si>
  <si>
    <t>Metabolism|Biological oxidations|Cytochrome P450 - arranged by substrate type|Fatty acids|Phase I - Functionalization of compounds</t>
  </si>
  <si>
    <t>505-95-3</t>
  </si>
  <si>
    <t>C(CCCCCCCCCO)CC(=O)O</t>
  </si>
  <si>
    <t>ZDHCZVWCTKTBRY-UHFFFAOYSA-N</t>
  </si>
  <si>
    <t>C12H24O3</t>
  </si>
  <si>
    <t>11.11_545.8770m/z</t>
  </si>
  <si>
    <t>Perfluorooctyl iodide</t>
  </si>
  <si>
    <t>HMDB0256330</t>
  </si>
  <si>
    <t>FC(F)(F)C(F)(F)C(F)(F)C(F)(F)C(F)(F)C(F)(F)C(F)(F)C(F)(F)I</t>
  </si>
  <si>
    <t>KWXGJTSJUKTDQU-UHFFFAOYSA-N</t>
  </si>
  <si>
    <t>Organoiodides</t>
  </si>
  <si>
    <t>C8F17I</t>
  </si>
  <si>
    <t>9.34_337.2384m/z</t>
  </si>
  <si>
    <t>PGB1</t>
  </si>
  <si>
    <t>HMDB0002982</t>
  </si>
  <si>
    <t>LMFA03010131</t>
  </si>
  <si>
    <t>C00959</t>
  </si>
  <si>
    <t>13345-51-2</t>
  </si>
  <si>
    <t>C1(/C=C/[C@@H](O)CCCCC)CCC(=O)C=1CCCCCCC(=O)O</t>
  </si>
  <si>
    <t>YBHMPNRDOVPQIN-VSOYFRJCSA-N</t>
  </si>
  <si>
    <t>0.74_174.1009n</t>
  </si>
  <si>
    <t>N2-Acetylornithine</t>
  </si>
  <si>
    <t>HMDB0003357</t>
  </si>
  <si>
    <t>C00437</t>
  </si>
  <si>
    <t>hsa00220</t>
  </si>
  <si>
    <t>Arginine biosynthesis</t>
  </si>
  <si>
    <t>6205-08-9</t>
  </si>
  <si>
    <t>CC(=O)N[C@@H](CCCN)C(O)=O</t>
  </si>
  <si>
    <t>JRLGPAXAGHMNOL-LURJTMIESA-N</t>
  </si>
  <si>
    <t>C7H14N2O3</t>
  </si>
  <si>
    <t>10.23_294.2196n</t>
  </si>
  <si>
    <t>9S-HOTrE</t>
  </si>
  <si>
    <t>LMFA02000024</t>
  </si>
  <si>
    <t>C16326</t>
  </si>
  <si>
    <t>hsa00592</t>
  </si>
  <si>
    <t>alpha-Linolenic acid metabolism</t>
  </si>
  <si>
    <t>89886-42-0</t>
  </si>
  <si>
    <t>C(CCCCCCC[C@H](O)/C=C/C=C\C/C=C\CC)(=O)O</t>
  </si>
  <si>
    <t>RIGGEAZDTKMXSI-MEBVTJQTSA-N</t>
  </si>
  <si>
    <t>0.68_146.0448m/z</t>
  </si>
  <si>
    <t>L-Glutamic acid</t>
  </si>
  <si>
    <t>HMDB0000148</t>
  </si>
  <si>
    <t>C00025</t>
  </si>
  <si>
    <t>hsa00220,hsa00250,hsa00330,hsa00340,hsa00430,hsa00470,hsa00480,hsa00524,hsa00630,hsa00650,hsa00860,hsa00910,hsa00970,hsa02010,hsa04068,hsa04072,hsa04080,hsa04216,hsa04540,hsa04713,hsa04720,hsa04724,hsa04727,hsa04730,hsa04742,hsa04964,hsa04974,hsa05014,hsa05016,hsa05017,hsa05022,hsa05030,hsa05031,hsa05033,hsa05034,hsa05230</t>
  </si>
  <si>
    <t>Arginine biosynthesis|Alanine, aspartate and glutamate metabolism|Arginine and proline metabolism|Histidine metabolism|Taurine and hypotaurine metabolism|D-Amino acid metabolism|Glutathione metabolism|Neomycin, kanamycin and gentamicin biosynthesis|Glyoxylate and dicarboxylate metabolism|Butanoate metabolism|Porphyrin metabolism|Nitrogen metabolism|Aminoacyl-tRNA biosynthesis|ABC transporters|FoxO signaling pathway|Phospholipase D signaling pathway|Neuroactive ligand-receptor interaction|Ferroptosis|Gap junction|Circadian entrainment|Long-term potentiation|Glutamatergic synapse|GABAergic synapse|Long-term depression|Taste transduction|Proximal tubule bicarbonate reclamation|Protein digestion and absorption|Amyotrophic lateral sclerosis|Huntington disease|Spinocerebellar ataxia|Pathways of neurodegeneration - multiple diseases|Cocaine addiction|Amphetamine addiction|Nicotine addiction|Alcoholism|Central carbon metabolism in cancer</t>
  </si>
  <si>
    <t>56-86-0</t>
  </si>
  <si>
    <t>N[C@@H](CCC(O)=O)C(O)=O</t>
  </si>
  <si>
    <t>WHUUTDBJXJRKMK-VKHMYHEASA-N</t>
  </si>
  <si>
    <t>12.12_496.3763m/z</t>
  </si>
  <si>
    <t>2-O-methyl PAF C-16</t>
  </si>
  <si>
    <t>78858-44-3</t>
  </si>
  <si>
    <t>CCCCCCCCCCCCCCCCOCC(COP(=O)([O-])OCC[N+](C)(C)C)OC</t>
  </si>
  <si>
    <t>RZNRKXGAJMGLIM-RUZDIDTESA-N</t>
  </si>
  <si>
    <t>C25H54NO6P</t>
  </si>
  <si>
    <t>11.76_346.1635n</t>
  </si>
  <si>
    <t>Glucosyl 6-hydroxy-2,6-dimethyl-2E,7-octadienoate</t>
  </si>
  <si>
    <t>HMDB0035822</t>
  </si>
  <si>
    <t>191548-38-6</t>
  </si>
  <si>
    <t>C\C(=C\CCC(C)(O)C=C)C(=O)OC1OC(CO)C(O)C(O)C1O</t>
  </si>
  <si>
    <t>IVWJMPAYYVHQPT-TWGQIWQCSA-N</t>
  </si>
  <si>
    <t>C16H26O8</t>
  </si>
  <si>
    <t>9.58_453.2319m/z</t>
  </si>
  <si>
    <t>3-Sulfodeoxycholic acid</t>
  </si>
  <si>
    <t>HMDB02504</t>
  </si>
  <si>
    <t>LMST05020038</t>
  </si>
  <si>
    <t>[C@]12(CC[C@]3([H])C[C@H](OS(O)(=O)=O)CC[C@]3(C)[C@@]1([H])C[C@H](O)[C@]1(C)C([C@]([H])(C)CCC(=O)O)CC[C@@]21[H])[H]</t>
  </si>
  <si>
    <t>ARGCPGOJOKCMSW-PRIGKXSZSA-N</t>
  </si>
  <si>
    <t>3.98_509.2981n</t>
  </si>
  <si>
    <t>Colforsin daropate</t>
  </si>
  <si>
    <t>HMDB0250404</t>
  </si>
  <si>
    <t>CN(C)CCC(=O)OC1C(OC(C)=O)C2(C)OC(C)(CC(=O)C2(O)C2(C)C(O)CCC(C)(C)C12)C=C</t>
  </si>
  <si>
    <t>RSOZZQTUMVBTMR-UHFFFAOYSA-N</t>
  </si>
  <si>
    <t>C27H43NO8</t>
  </si>
  <si>
    <t>6.60_262.2386m/z</t>
  </si>
  <si>
    <t>3-(L-Menthoxy)-2-methylpropane-1,2-diol</t>
  </si>
  <si>
    <t>HMDB0032417</t>
  </si>
  <si>
    <t>195863-84-4</t>
  </si>
  <si>
    <t>CC(C)C1CCC(C)CC1OCC(C)(O)CO</t>
  </si>
  <si>
    <t>XCNCWOPROFTLGU-UHFFFAOYSA-N</t>
  </si>
  <si>
    <t>C14H28O3</t>
  </si>
  <si>
    <t>13.39_491.3726m/z</t>
  </si>
  <si>
    <t>Camelliagenin C</t>
  </si>
  <si>
    <t>HMDB0034532</t>
  </si>
  <si>
    <t>14440-27-8</t>
  </si>
  <si>
    <t>CC1(C)CC(O)C2(CO)C(O)CC3(C)C(=CCC4C5(C)CCC(O)C(C)(CO)C5CCC34C)C2C1</t>
  </si>
  <si>
    <t>SPCSEMLFKVZFJN-UHFFFAOYSA-N</t>
  </si>
  <si>
    <t>C30H50O5</t>
  </si>
  <si>
    <t>10.64_613.4451m/z</t>
  </si>
  <si>
    <t>DG(PGJ2/15:0/0:0)</t>
  </si>
  <si>
    <t>HMDB0295256</t>
  </si>
  <si>
    <t>CCCCCCCCCCCCCCC(=O)O[C@@H](CO)COC(=O)CCC\C=C/C[C@H]1C=CC(=O)[C@@H]1\C=C\[C@@H](O)CCCCC</t>
  </si>
  <si>
    <t>DJPCGBUNVOWRSG-OPEAPXQLSA-N</t>
  </si>
  <si>
    <t>C38H64O7</t>
  </si>
  <si>
    <t>13.24_184.9860m/z</t>
  </si>
  <si>
    <t>(E,E)-Di-1-propenyl disulfide</t>
  </si>
  <si>
    <t>HMDB0041390</t>
  </si>
  <si>
    <t>23838-23-5</t>
  </si>
  <si>
    <t>C\C=C/SS\C=C/C</t>
  </si>
  <si>
    <t>FHSDVOJKLYJNCQ-GLIMQPGKSA-N</t>
  </si>
  <si>
    <t>Organic disulfides</t>
  </si>
  <si>
    <t>C6H10S2</t>
  </si>
  <si>
    <t>3.78_377.1469m/z</t>
  </si>
  <si>
    <t>Glutaminyltryptophan</t>
  </si>
  <si>
    <t>HMDB0028808</t>
  </si>
  <si>
    <t>66851-83-0</t>
  </si>
  <si>
    <t>N[C@@H](CCC(N)=O)C(=O)N[C@@H](CC1=CNC2=C1C=CC=C2)C(O)=O</t>
  </si>
  <si>
    <t>ZQFAGNFSIZZYBA-AAEUAGOBSA-N</t>
  </si>
  <si>
    <t>C16H20N4O4</t>
  </si>
  <si>
    <t>4.89_374.1974m/z</t>
  </si>
  <si>
    <t>Gly Leu Trp</t>
  </si>
  <si>
    <t>CC(C)CC(C(=O)NC(CC1=CNC2=CC=CC=C21)C(=O)O)NC(=O)CN</t>
  </si>
  <si>
    <t>JPAACTMBBBGAAR-HOTGVXAUSA-N</t>
  </si>
  <si>
    <t>C19H26N4O4</t>
  </si>
  <si>
    <t>5.36_505.1308m/z</t>
  </si>
  <si>
    <t>Viscumneoside VI</t>
  </si>
  <si>
    <t>LMPK12140436</t>
  </si>
  <si>
    <t>C1C(O[C@H]2[C@H](O)[C@@H](O)[C@H](O)[C@@H](COC(C)=O)O2)=CC2OC(C3C=C(OC)C(O)=CC=3)CC(=O)C=2C=1O</t>
  </si>
  <si>
    <t>GPCKIXOOCSOBEC-CSYUMHBTSA-N</t>
  </si>
  <si>
    <t>C24H26O12</t>
  </si>
  <si>
    <t>12.41_297.2907m/z</t>
  </si>
  <si>
    <t>Linoleamide</t>
  </si>
  <si>
    <t>HMDB0062656</t>
  </si>
  <si>
    <t>LMFA08010008</t>
  </si>
  <si>
    <t>3072-13-7</t>
  </si>
  <si>
    <t>C(CCCCCCC/C=C\C/C=C\CCCCC)(=O)N</t>
  </si>
  <si>
    <t>SFIHQZFZMWZOJV-HZJYTTRNSA-N</t>
  </si>
  <si>
    <t>C18H33NO</t>
  </si>
  <si>
    <t>3.11_142.0979m/z</t>
  </si>
  <si>
    <t>Creatine ethyl ester</t>
  </si>
  <si>
    <t>HMDB0250523</t>
  </si>
  <si>
    <t>CCOC(=O)CN(C)C(N)=N</t>
  </si>
  <si>
    <t>UFUWQSYRGLMLKP-UHFFFAOYSA-N</t>
  </si>
  <si>
    <t>C6H13N3O2</t>
  </si>
  <si>
    <t>10.35_401.2671m/z</t>
  </si>
  <si>
    <t>METENEPROST</t>
  </si>
  <si>
    <t>HMDB0254509</t>
  </si>
  <si>
    <t>CCCCC(C)(C)C(O)C=CC1C(O)CC(=C)C1CC=CCCCC(O)=O</t>
  </si>
  <si>
    <t>WMLGLMGSFIXSGO-UHFFFAOYSA-N</t>
  </si>
  <si>
    <t>C23H38O4</t>
  </si>
  <si>
    <t>5.41_428.1385m/z</t>
  </si>
  <si>
    <t>Ilginatinib</t>
  </si>
  <si>
    <t>HMDB0255769</t>
  </si>
  <si>
    <t>CC(NC1=CC(=CC(NC2=NC=CN=C2)=N1)C1=CN(C)N=C1)C1=CC=C(F)C=C1</t>
  </si>
  <si>
    <t>UQTPDWDAYHAZNT-UHFFFAOYSA-N</t>
  </si>
  <si>
    <t>Diazines</t>
  </si>
  <si>
    <t>Pyrazines</t>
  </si>
  <si>
    <t>C21H20FN7</t>
  </si>
  <si>
    <t>8.76_416.3173m/z</t>
  </si>
  <si>
    <t>N-Stearoyl Methionine</t>
  </si>
  <si>
    <t>HMDB0241947</t>
  </si>
  <si>
    <t>CCCCCCCCCCCCCCCCCC(=O)NC(CCSC)C(O)=O</t>
  </si>
  <si>
    <t>RYUVEEZMMFRGGS-UHFFFAOYSA-N</t>
  </si>
  <si>
    <t>C23H45NO3S</t>
  </si>
  <si>
    <t>8.01_353.2553n</t>
  </si>
  <si>
    <t>(3E,5E)-Trideca-3,5-dienoylcarnitine</t>
  </si>
  <si>
    <t>HMDB0241324</t>
  </si>
  <si>
    <t>CCCCCCCC=CC=CCC(=O)OC(CC([O-])=O)C[N+](C)(C)C</t>
  </si>
  <si>
    <t>MGAMNOVWBSVWPT-UHFFFAOYSA-N</t>
  </si>
  <si>
    <t>C20H35NO4</t>
  </si>
  <si>
    <t>11.03_430.3047n</t>
  </si>
  <si>
    <t>3,7-Dioxo-5alpha-cholestan-26-oic acid</t>
  </si>
  <si>
    <t>LMST04030133</t>
  </si>
  <si>
    <t>C1[C@]2(C)[C@@]3([H])CC[C@]4(C)[C@@]([H])([C@]([H])(C)CCCC(C)C(O)=O)CC[C@@]4([H])[C@]3([H])C(=O)C[C@@]2([H])CC(=O)C1</t>
  </si>
  <si>
    <t>OUQMLKCDAUAMKU-RYPQTBJDSA-N</t>
  </si>
  <si>
    <t>C27H42O4</t>
  </si>
  <si>
    <t>3.59_317.1597n</t>
  </si>
  <si>
    <t>Arbutamine</t>
  </si>
  <si>
    <t>HMDB0015234</t>
  </si>
  <si>
    <t>128470-16-6</t>
  </si>
  <si>
    <t>O[C@@H](CNCCCCC1=CC=C(O)C=C1)C1=CC(O)=C(O)C=C1</t>
  </si>
  <si>
    <t>IIRWWTKISYTTBL-SFHVURJKSA-N</t>
  </si>
  <si>
    <t>Phenylbutylamines</t>
  </si>
  <si>
    <t>C18H23NO4</t>
  </si>
  <si>
    <t>4.57_904.4699m/z</t>
  </si>
  <si>
    <t>Candidin</t>
  </si>
  <si>
    <t>HMDB0259425</t>
  </si>
  <si>
    <t>CC1OC(OC2CC3OC(O)(CC(O)C3C(O)=O)CC(O)C(O)CCC(=O)CC(O)CC(O)CC(=O)OC(C)C(C)C(O)C(C)C=CC=CC=CC=CC=CC=CC=C2)C(O)C(N)C1O</t>
  </si>
  <si>
    <t>IBRQTOKMQLIMRF-UHFFFAOYSA-N</t>
  </si>
  <si>
    <t>C47H71NO17</t>
  </si>
  <si>
    <t>8.27_349.2023m/z</t>
  </si>
  <si>
    <t>15-keto-PGD2</t>
  </si>
  <si>
    <t>HMDB0062297</t>
  </si>
  <si>
    <t>LMFA03010206</t>
  </si>
  <si>
    <t>C04758</t>
  </si>
  <si>
    <t>C1C(=O)[C@H](/C=C/C(=O)CCCCC)[C@@H](C/C=C\CCCC(=O)O)[C@H]1O</t>
  </si>
  <si>
    <t>XEQAHADLFLAPQL-RBIQQSKKSA-N</t>
  </si>
  <si>
    <t>5.56_487.1025m/z</t>
  </si>
  <si>
    <t>Cytidine-5'-diphosphocholine</t>
  </si>
  <si>
    <t>HMDB0260340</t>
  </si>
  <si>
    <t>C[N+](C)(C)CCOP([O-])(=O)OP(O)(=O)OCC1OC(C(O)C1O)N1C=CC(N)=NC1=O</t>
  </si>
  <si>
    <t>RZZPDXZPRHQOCG-UHFFFAOYSA-N</t>
  </si>
  <si>
    <t>Pyrimidine ribonucleotides</t>
  </si>
  <si>
    <t>C14H26N4O11P2</t>
  </si>
  <si>
    <t>5.20_373.2023m/z</t>
  </si>
  <si>
    <t>16-phenyl-tetranor-PGE2</t>
  </si>
  <si>
    <t>LMFA03010066</t>
  </si>
  <si>
    <t>38315-44-5</t>
  </si>
  <si>
    <t>[C@H]1(/C=C/[C@@H](O)CC2C=CC=CC=2)[C@H](O)CC(=O)[C@@H]1C/C=C\CCCC(=O)O</t>
  </si>
  <si>
    <t>DXWJXQSQVUJRNS-YYWARMNLSA-N</t>
  </si>
  <si>
    <t>C22H28O5</t>
  </si>
  <si>
    <t>6.33_314.1892n</t>
  </si>
  <si>
    <t>4-Oxo-13-cis-retinoate</t>
  </si>
  <si>
    <t>HMDB0012789</t>
  </si>
  <si>
    <t>C\C(\C=C\C1=C(C)CCC(=O)C1(C)C)=C/C=C/C(/C)=C\C(O)=O</t>
  </si>
  <si>
    <t>YOFBBAJVETYSCH-IWRFDTMXSA-N</t>
  </si>
  <si>
    <t>Retinoids</t>
  </si>
  <si>
    <t>C20H26O3</t>
  </si>
  <si>
    <t>6.33_373.2007m/z</t>
  </si>
  <si>
    <t>Andrographolide</t>
  </si>
  <si>
    <t>HMDB0248395</t>
  </si>
  <si>
    <t>CC1(CO)C(O)CCC2(C)C(CC=C3C(O)COC3=O)C(=C)CCC12</t>
  </si>
  <si>
    <t>BOJKULTULYSRAS-UHFFFAOYSA-N</t>
  </si>
  <si>
    <t>Lactones</t>
  </si>
  <si>
    <t>Gamma butyrolactones</t>
  </si>
  <si>
    <t>7.20_315.2420n</t>
  </si>
  <si>
    <t>5-Methylnonanoylcarnitine</t>
  </si>
  <si>
    <t>HMDB0240787</t>
  </si>
  <si>
    <t>CCCCC(C)CCCC(=O)OC(CC([O-])=O)C[N+](C)(C)C</t>
  </si>
  <si>
    <t>DARPBCZVMOOZPD-UHFFFAOYSA-N</t>
  </si>
  <si>
    <t>C17H33NO4</t>
  </si>
  <si>
    <t>10.99_661.4454m/z</t>
  </si>
  <si>
    <t>Oryzanol C</t>
  </si>
  <si>
    <t>HMDB0035121</t>
  </si>
  <si>
    <t>COC1=C(O)C=CC(\C=C\C(=O)OC2CCC34CC33CCC5(C)C(CCC5(C)C3CCC4C2(C)C)C(C)CCC(=C)C(C)C)=C1</t>
  </si>
  <si>
    <t>JBSUVXVGZSMGDJ-GHRIWEEISA-N</t>
  </si>
  <si>
    <t>Cycloartanols and derivatives</t>
  </si>
  <si>
    <t>C41H60O4</t>
  </si>
  <si>
    <t>10.67_423.2972n</t>
  </si>
  <si>
    <t>5-(5-Heptyl-3-methylfuran-2-yl)pentanoylcarnitine</t>
  </si>
  <si>
    <t>HMDB0241847</t>
  </si>
  <si>
    <t>CCCCCCCC1=CC(C)=C(CCCCC(=O)OC(CC([O-])=O)C[N+](C)(C)C)O1</t>
  </si>
  <si>
    <t>LNCDQPFWDVPMOT-UHFFFAOYSA-N</t>
  </si>
  <si>
    <t>C24H41NO5</t>
  </si>
  <si>
    <t>0.72_121.0725m/z</t>
  </si>
  <si>
    <t>Carbamoylformamidoxime</t>
  </si>
  <si>
    <t>HMDB0249609</t>
  </si>
  <si>
    <t>NC(=O)NC=NO</t>
  </si>
  <si>
    <t>ILTVGYDBXVXBJW-UHFFFAOYSA-N</t>
  </si>
  <si>
    <t>Propargyl-type 1,3-dipolar organic compounds</t>
  </si>
  <si>
    <t>C2H5N3O2</t>
  </si>
  <si>
    <t>10.76_233.1543m/z</t>
  </si>
  <si>
    <t>Fukinanolide</t>
  </si>
  <si>
    <t>HMDB0303560</t>
  </si>
  <si>
    <t>CC1CCCC2CC3(CC12C)C(=C)COC3=O</t>
  </si>
  <si>
    <t>OVXAYHNZXBOVPV-UHFFFAOYSA-N</t>
  </si>
  <si>
    <t>C15H22O2</t>
  </si>
  <si>
    <t>4.57_635.3050m/z</t>
  </si>
  <si>
    <t>PKOHA-PS</t>
  </si>
  <si>
    <t>LMGP20040010</t>
  </si>
  <si>
    <t>C(O)(=O)[C@@]([H])(N)COP(OC[C@]([H])(OC(CCC(=O)/C=C/C(=O)[H])=O)COC(CCCCCCCCCCCCCCC)=O)(=O)O</t>
  </si>
  <si>
    <t>ANSQCCYWUSDLPO-QLRMLEDJSA-N</t>
  </si>
  <si>
    <t>C29H50NO12P</t>
  </si>
  <si>
    <t>7.74_419.2054m/z</t>
  </si>
  <si>
    <t>Cicaprost</t>
  </si>
  <si>
    <t>HMDB0250231</t>
  </si>
  <si>
    <t>CCC#CCC(C)C(O)C#CC1C(O)CC2CC(CC12)=CCOCC(O)=O</t>
  </si>
  <si>
    <t>ARUGKOZUKWAXDS-UHFFFAOYSA-N</t>
  </si>
  <si>
    <t>4.17_245.1173n</t>
  </si>
  <si>
    <t>ACETYLTRYPTOPHANAMIDE</t>
  </si>
  <si>
    <t>2382-79-8</t>
  </si>
  <si>
    <t>CC(=O)NC(CC1=CNC2=CC=CC=C21)C(=O)N</t>
  </si>
  <si>
    <t>HNGIZKAMDMBRKJ-LBPRGKRZSA-N</t>
  </si>
  <si>
    <t>C13H15N3O2</t>
  </si>
  <si>
    <t>9.71_337.2378m/z</t>
  </si>
  <si>
    <t>15-epi-PGA1</t>
  </si>
  <si>
    <t>LMFA03010047</t>
  </si>
  <si>
    <t>20897-92-1</t>
  </si>
  <si>
    <t>[C@H]1(/C=C/[C@H](O)CCCCC)C=CC(=O)[C@@H]1CCCCCCC(=O)O</t>
  </si>
  <si>
    <t>BGKHCLZFGPIKKU-AHUSATQRSA-N</t>
  </si>
  <si>
    <t>7.63_366.2049n</t>
  </si>
  <si>
    <t>7-Oxoprostaglandin I2</t>
  </si>
  <si>
    <t>HMDB0247284</t>
  </si>
  <si>
    <t>CCCCCC(O)C=CC1C(O)CC2OC(=CCCCC(O)=O)C(=O)C12</t>
  </si>
  <si>
    <t>ZHIHHYNLWRXTTN-UHFFFAOYSA-N</t>
  </si>
  <si>
    <t>C20H30O6</t>
  </si>
  <si>
    <t>14.29_592.4724n</t>
  </si>
  <si>
    <t>DG(18:3(10,12,15)-OH(9)/0:0/15:0)</t>
  </si>
  <si>
    <t>HMDB0295370</t>
  </si>
  <si>
    <t>CCCCCCCCCCCCCCC(=O)OC[C@H](O)COC(=O)CCCCCCCC(O)\C=C\C=C\C\C=C\CC</t>
  </si>
  <si>
    <t>ACNSWGKGGIAGLE-DIOYIKJTSA-N</t>
  </si>
  <si>
    <t>M+H, M+NH4, M+Na</t>
  </si>
  <si>
    <t>4.38_466.2136m/z</t>
  </si>
  <si>
    <t>Anandamide 0-phosphate</t>
  </si>
  <si>
    <t>LMFA08020002</t>
  </si>
  <si>
    <t>C19913</t>
  </si>
  <si>
    <t>183323-26-4</t>
  </si>
  <si>
    <t>C(/C/C=C\C/C=C\CCCCC)=C/C/C=C\CCCC(=O)NCCOP(O)(O)=O</t>
  </si>
  <si>
    <t>PZPHIQQEQWCEGG-DOFZRALJSA-N</t>
  </si>
  <si>
    <t>C22H38NO5P</t>
  </si>
  <si>
    <t>10.43_610.3098m/z</t>
  </si>
  <si>
    <t>Retaspimycin</t>
  </si>
  <si>
    <t>HMDB0257169</t>
  </si>
  <si>
    <t>COC1CC(C)CC2=C(O)C(NC(=O)C(C)=CC=CC(OC)C(OC(N)=O)C(C)=CC(C)C1O)=CC(O)=C2NCC=C</t>
  </si>
  <si>
    <t>OAKGNIRUXAZDQF-UHFFFAOYSA-N</t>
  </si>
  <si>
    <t>C31H45N3O8</t>
  </si>
  <si>
    <t>9.56_341.2122m/z</t>
  </si>
  <si>
    <t>ent-13-epi-13-J4-NeuroP</t>
  </si>
  <si>
    <t>LMFA04010498</t>
  </si>
  <si>
    <t>C(CC/C=C\C/C=C\C/C=C\C[C@H](O)/C=C/[C@@H]1C=CC(=O)[C@@H]1CC)(=O)O</t>
  </si>
  <si>
    <t>VDNXNFTWHWSBCI-AUTCKXKLSA-N</t>
  </si>
  <si>
    <t>13.33_340.2106m/z</t>
  </si>
  <si>
    <t>Glycyllysylarginine</t>
  </si>
  <si>
    <t>HMDB0252886</t>
  </si>
  <si>
    <t>NCCCCC(NC(=O)CN)C(=O)NC(CCCN=C(N)N)C(O)=O</t>
  </si>
  <si>
    <t>CLNSYANKYVMZNM-UHFFFAOYSA-N</t>
  </si>
  <si>
    <t>C14H29N7O4</t>
  </si>
  <si>
    <t>6.40_174.9964m/z</t>
  </si>
  <si>
    <t>2,3-Dihydro-5H-oxazolo(3,2-a)thieno(3,2-d)pyrimidin-5-one</t>
  </si>
  <si>
    <t>HMDB0244476</t>
  </si>
  <si>
    <t>O=C1N2CCOC2=NC2=C1SC=C2</t>
  </si>
  <si>
    <t>BJAJDJDODCWPNS-UHFFFAOYSA-N</t>
  </si>
  <si>
    <t>Thienopyrimidines</t>
  </si>
  <si>
    <t>C8H6N2O2S</t>
  </si>
  <si>
    <t>13.89_637.4837m/z</t>
  </si>
  <si>
    <t>DG(18:4n3/0:0/20:4n3)</t>
  </si>
  <si>
    <t>HMDB0056373</t>
  </si>
  <si>
    <t>[H][C@](O)(COC(=O)CCCCCC\C=C/C\C=C/C\C=C/C\C=C/CC)COC(=O)CCCC\C=C/C\C=C/C\C=C/C\C=C/CC</t>
  </si>
  <si>
    <t>AAYLLNKLDFMSRD-HLIHSNNZSA-N</t>
  </si>
  <si>
    <t>C41H64O5</t>
  </si>
  <si>
    <t>7.53_367.2128m/z</t>
  </si>
  <si>
    <t>15S-hydroperoxy-PGE2</t>
  </si>
  <si>
    <t>LMFA03010217</t>
  </si>
  <si>
    <t>[C@H]1(/C=C/[C@@H](OO)CCCCC)[C@H](O)CC(=O)[C@@H]1C/C=C\CCCC(=O)O</t>
  </si>
  <si>
    <t>RGQICUMNQVAHES-ARSRFYASSA-N</t>
  </si>
  <si>
    <t>4.20_215.0491m/z</t>
  </si>
  <si>
    <t>Propylthiouracil</t>
  </si>
  <si>
    <t>HMDB0014690</t>
  </si>
  <si>
    <t>C07569</t>
  </si>
  <si>
    <t>R-HSA-9709957,R-HSA-9717189,R-HSA-9717207</t>
  </si>
  <si>
    <t>Sensory Perception|Sensory perception of taste|Sensory perception of sweet, bitter, and umami (glutamate) taste</t>
  </si>
  <si>
    <t>51-52-5</t>
  </si>
  <si>
    <t>CCCC1=CC(=O)NC(=S)N1</t>
  </si>
  <si>
    <t>KNAHARQHSZJURB-UHFFFAOYSA-N</t>
  </si>
  <si>
    <t>Pyrimidines and pyrimidine derivatives</t>
  </si>
  <si>
    <t>C7H10N2OS</t>
  </si>
  <si>
    <t>13.51_851.6003n</t>
  </si>
  <si>
    <t>PC(22:2(13Z,16Z)/18:3(10,12,15)-OH(9))</t>
  </si>
  <si>
    <t>HMDB0288059</t>
  </si>
  <si>
    <t>[H][C@@](COC(=O)CCCCCCCCCCC\C=C/C\C=C/CCCCC)(COP([O-])(=O)OCC[N+](C)(C)C)OC(=O)CCCCCCCC(O)\C=C\C=C\C\C=C\CC</t>
  </si>
  <si>
    <t>ATDLUKCRCBNTLV-KMNHNUJESA-N</t>
  </si>
  <si>
    <t>M+, M+K</t>
  </si>
  <si>
    <t>C48H86NO9P</t>
  </si>
  <si>
    <t>8.62_301.9990n</t>
  </si>
  <si>
    <t>Erythrityl Tetranitrate</t>
  </si>
  <si>
    <t>HMDB0015551</t>
  </si>
  <si>
    <t>7297-25-8</t>
  </si>
  <si>
    <t>[O-][N+](=O)OC[C@@H](O[N+]([O-])=O)[C@H](CO[N+]([O-])=O)O[N+]([O-])=O</t>
  </si>
  <si>
    <t>SNFOERUNNSHUGP-ZXZARUISSA-N</t>
  </si>
  <si>
    <t>C4H6N4O12</t>
  </si>
  <si>
    <t>7.32_236.1784n</t>
  </si>
  <si>
    <t>capsidiol</t>
  </si>
  <si>
    <t>HMDB0002352</t>
  </si>
  <si>
    <t>LMPR0103250002</t>
  </si>
  <si>
    <t>C09627</t>
  </si>
  <si>
    <t>37208-05-2</t>
  </si>
  <si>
    <t>[C@@]12(C)[C@H](C)[C@@H](C[C@@H](O)C1=CC[C@@H](C(C)=C)C2)O</t>
  </si>
  <si>
    <t>BXXSHQYDJWZXPB-OKNSCYNVSA-N</t>
  </si>
  <si>
    <t>C15H24O2</t>
  </si>
  <si>
    <t>14.80_463.0021m/z</t>
  </si>
  <si>
    <t>2,4-Dihydroxyacetophenone 5-sulfate</t>
  </si>
  <si>
    <t>HMDB0041646</t>
  </si>
  <si>
    <t>CC(=O)C1=C(OS(O)(=O)=O)C=C(O)C=C1</t>
  </si>
  <si>
    <t>COXWPCPYWFBNJH-UHFFFAOYSA-N</t>
  </si>
  <si>
    <t>C8H8O6S</t>
  </si>
  <si>
    <t>7.22_343.2280m/z</t>
  </si>
  <si>
    <t>Anacardic acid</t>
  </si>
  <si>
    <t>LMPK15040001</t>
  </si>
  <si>
    <t>C1C=C(CCCCCCC/C=C\C/C=C\CC=C)C(C(O)=O)=C(O)C=1</t>
  </si>
  <si>
    <t>QUVGEKPNSCFQIR-UTOQUPLUSA-N</t>
  </si>
  <si>
    <t>6.15_459.2006m/z</t>
  </si>
  <si>
    <t>4-Hydroxyandrostenedione glucuronide</t>
  </si>
  <si>
    <t>HMDB0010315</t>
  </si>
  <si>
    <t>C11455</t>
  </si>
  <si>
    <t>hsa00100</t>
  </si>
  <si>
    <t>Steroid biosynthesis</t>
  </si>
  <si>
    <t>R-HSA-1430728,R-HSA-191273,R-HSA-211859,R-HSA-211897,R-HSA-211945,R-HSA-211976,R-HSA-556833,R-HSA-8957322</t>
  </si>
  <si>
    <t>Metabolism|Cholesterol biosynthesis|Biological oxidations|Cytochrome P450 - arranged by substrate type|Phase I - Functionalization of compounds|Endogenous sterols|Metabolism of lipids|Metabolism of steroids</t>
  </si>
  <si>
    <t>C[C@]12CCC3C(CCC4=C(O[C@@H]5O[C@@H]([C@@H](O)[C@H](O)[C@H]5O)C(O)=O)C(=O)CC[C@]34C)C1CCC2=O</t>
  </si>
  <si>
    <t>JIKFCHILHFFTSH-NRIFOQJISA-N</t>
  </si>
  <si>
    <t>C25H34O9</t>
  </si>
  <si>
    <t>9.65_203.1800m/z</t>
  </si>
  <si>
    <t>Preisocalamendiol</t>
  </si>
  <si>
    <t>HMDB0035391</t>
  </si>
  <si>
    <t>25645-19-6</t>
  </si>
  <si>
    <t>CC(C)C1CC\C(C)=C/CCC(=C)CC1=O</t>
  </si>
  <si>
    <t>QTFJNWQFKJITEE-SDQBBNPISA-N</t>
  </si>
  <si>
    <t>C15H24O</t>
  </si>
  <si>
    <t>10.15_370.2727n</t>
  </si>
  <si>
    <t>MG(0:0/18:1(9Z)-O(12,13)/0:0)</t>
  </si>
  <si>
    <t>HMDB0260544</t>
  </si>
  <si>
    <t>CCCCCC1OC1C\C=C/CCCCCCCC(=O)OC(CO)CO</t>
  </si>
  <si>
    <t>NNSJKDWOQYJXQL-FLIBITNWSA-N</t>
  </si>
  <si>
    <t>Monoradylglycerols</t>
  </si>
  <si>
    <t>C21H38O5</t>
  </si>
  <si>
    <t>7.78_512.2696m/z</t>
  </si>
  <si>
    <t>Glycochenodeoxycholate-3-sulfate</t>
  </si>
  <si>
    <t>HMDB0002497</t>
  </si>
  <si>
    <t>67030-54-0</t>
  </si>
  <si>
    <t>[H][C@@]1(CC[C@@]2([H])[C@]3([H])[C@H](O)C[C@]4([H])C[C@@H](CC[C@]4(C)[C@@]3([H])CC[C@]12C)OS(O)(=O)=O)[C@H](C)CCC(=O)NCC(O)=O</t>
  </si>
  <si>
    <t>DKXXSIJHWWVNMO-GYPHWSFCSA-N</t>
  </si>
  <si>
    <t>5.44_345.1569m/z</t>
  </si>
  <si>
    <t>Soquinolol</t>
  </si>
  <si>
    <t>HMDB0258385</t>
  </si>
  <si>
    <t>CC(C)(C)NCC(O)COC1=CC=CC2=C1CCN(C2)C=O</t>
  </si>
  <si>
    <t>GMJHUSJLZXFFQJ-UHFFFAOYSA-N</t>
  </si>
  <si>
    <t>Tetrahydroisoquinolines</t>
  </si>
  <si>
    <t>C17H26N2O3</t>
  </si>
  <si>
    <t>14.33_693.4724m/z</t>
  </si>
  <si>
    <t>DG(PGF1alpha/i-15:0/0:0)</t>
  </si>
  <si>
    <t>HMDB0299126</t>
  </si>
  <si>
    <t>CCCCC[C@H](O)\C=C\[C@H]1[C@H](O)C[C@H](O)[C@@H]1CCCCCCC(=O)OC[C@H](CO)OC(=O)CCCCCCCCCCCC(C)C</t>
  </si>
  <si>
    <t>DRJCFFSEAJLBEQ-GYCVGJKRSA-N</t>
  </si>
  <si>
    <t>C38H70O8</t>
  </si>
  <si>
    <t>10.75_370.3685m/z</t>
  </si>
  <si>
    <t>Stearoylcholine</t>
  </si>
  <si>
    <t>HMDB0240648</t>
  </si>
  <si>
    <t>23464-76-8</t>
  </si>
  <si>
    <t>CCCCCCCCCCCCCCCCCC(=O)OCC[N+](C)(C)C</t>
  </si>
  <si>
    <t>SGFBLYBOTWZDDE-UHFFFAOYSA-N</t>
  </si>
  <si>
    <t>C23H48NO2+</t>
  </si>
  <si>
    <t>4.71_383.1340m/z</t>
  </si>
  <si>
    <t>Fluazifop-butyl</t>
  </si>
  <si>
    <t>HMDB0252323</t>
  </si>
  <si>
    <t>C11029</t>
  </si>
  <si>
    <t>69806-50-4</t>
  </si>
  <si>
    <t>CCCCOC(=O)C(C)OC1=CC=C(OC2=NC=C(C=C2)C(F)(F)F)C=C1</t>
  </si>
  <si>
    <t>VAIZTNZGPYBOGF-UHFFFAOYSA-N</t>
  </si>
  <si>
    <t>2-phenoxypropionic acid esters</t>
  </si>
  <si>
    <t>C19H20F3NO4</t>
  </si>
  <si>
    <t>7.06_330.2420n</t>
  </si>
  <si>
    <t>9S,10S,11R-trihydroxy-12Z-octadecenoic acid</t>
  </si>
  <si>
    <t>LMFA02000011</t>
  </si>
  <si>
    <t>C(CCCCCCC[C@H](O)[C@H](O)[C@H](O)/C=C\CCCCC)(=O)O</t>
  </si>
  <si>
    <t>JHGVFGJXFVIYSM-BSHMHQBXSA-N</t>
  </si>
  <si>
    <t>1.56_215.0533m/z</t>
  </si>
  <si>
    <t>(2Z,4'Z)-2-(5-Methylthio-4-penten-2-ynylidene)-1,6-dioxaspiro[4.4]non-3-ene</t>
  </si>
  <si>
    <t>HMDB0032660</t>
  </si>
  <si>
    <t>CS\C=C/C#C\C=C1\OC2(CCCO2)C=C1</t>
  </si>
  <si>
    <t>SOSDBVUESBQTDG-QFQHGIJPSA-N</t>
  </si>
  <si>
    <t>C13H14O2S</t>
  </si>
  <si>
    <t>7.70_406.2722n</t>
  </si>
  <si>
    <t>3alpha,7alpha-Dihydroxy-11-oxo-5beta-cholan-24-oic Acid</t>
  </si>
  <si>
    <t>LMST04010354</t>
  </si>
  <si>
    <t>C1[C@]2(C)[C@@]3([H])C(=O)C[C@]4(C)[C@@]([H])([C@]([H])(C)CCC(O)=O)CC[C@@]4([H])[C@]3([H])[C@H](O)C[C@]2([H])C[C@H](O)C1</t>
  </si>
  <si>
    <t>XFPBNKZTJHGPKH-RXBMHRJUSA-N</t>
  </si>
  <si>
    <t>C24H38O5</t>
  </si>
  <si>
    <t>10.41_167.1434m/z</t>
  </si>
  <si>
    <t>Undecylenic acid</t>
  </si>
  <si>
    <t>HMDB0033724</t>
  </si>
  <si>
    <t>LMFA01030036</t>
  </si>
  <si>
    <t>C13910</t>
  </si>
  <si>
    <t>112-38-9</t>
  </si>
  <si>
    <t>C(=C)CCCCCCCCC(=O)O</t>
  </si>
  <si>
    <t>FRPZMMHWLSIFAZ-UHFFFAOYSA-N</t>
  </si>
  <si>
    <t>C11H20O2</t>
  </si>
  <si>
    <t>0.74_230.0909n</t>
  </si>
  <si>
    <t>Aspartyl-L-proline</t>
  </si>
  <si>
    <t>HMDB0002335</t>
  </si>
  <si>
    <t>42155-95-3</t>
  </si>
  <si>
    <t>N[C@@H](CC(O)=O)C(=O)N1CCC[C@H]1C(O)=O</t>
  </si>
  <si>
    <t>UKGGPJNBONZZCM-WDSKDSINSA-N</t>
  </si>
  <si>
    <t>C9H14N2O5</t>
  </si>
  <si>
    <t>4.94_410.0829m/z</t>
  </si>
  <si>
    <t>Sulfo-ciprofloxacin</t>
  </si>
  <si>
    <t>HMDB0258588</t>
  </si>
  <si>
    <t>OC(=O)C1=C(N(C2CC2)C2=CC(N3CCNCC3)=C(F)C=C2C1=O)S(O)(=O)=O</t>
  </si>
  <si>
    <t>NHDSNXMTPAHOHB-UHFFFAOYSA-N</t>
  </si>
  <si>
    <t>C17H18FN3O6S</t>
  </si>
  <si>
    <t>11.05_888.5965m/z</t>
  </si>
  <si>
    <t>PC(PGD1/P-18:0)</t>
  </si>
  <si>
    <t>HMDB0289624</t>
  </si>
  <si>
    <t>CCCCCCCCCCCCCCCCC=CO[C@H](COC(=O)CCCCCC[C@H]1[C@@H](O)CC(=O)[C@@H]1\C=C\[C@@H](O)CCCCC)COP([O-])(=O)OCC[N+](C)(C)C</t>
  </si>
  <si>
    <t>AKLSYUKPKXNRQM-BXOVHXAZSA-N</t>
  </si>
  <si>
    <t>C46H86NO10P</t>
  </si>
  <si>
    <t>11.51_638.3676m/z</t>
  </si>
  <si>
    <t>PC(16:0/5:0(CHO))</t>
  </si>
  <si>
    <t>LMGP20010005</t>
  </si>
  <si>
    <t>121324-31-0</t>
  </si>
  <si>
    <t>[C@](COP(=O)([O-])OCC[N+](C)(C)C)([H])(OC(CCCC([H])=O)=O)COC(CCCCCCCCCCCCCCC)=O</t>
  </si>
  <si>
    <t>RKIDALSACBQVTN-HHHXNRCGSA-N</t>
  </si>
  <si>
    <t>C29H56NO9P</t>
  </si>
  <si>
    <t>13.41_611.4686m/z</t>
  </si>
  <si>
    <t>DG(i-14:0/22:6(4Z,7Z,10Z,12E,16Z,19Z)-OH(14)/0:0)</t>
  </si>
  <si>
    <t>HMDB0298885</t>
  </si>
  <si>
    <t>CC\C=C/C\C=C/CC(O)\C=C\C=C/C\C=C/C\C=C/CCC(=O)O[C@@H](CO)COC(=O)CCCCCCCCCCC(C)C</t>
  </si>
  <si>
    <t>FCBZWSVUZFLADL-MCNGHXHKSA-N</t>
  </si>
  <si>
    <t>C39H64O6</t>
  </si>
  <si>
    <t>10.63_557.4582m/z</t>
  </si>
  <si>
    <t>DG(18:4(6Z,9Z,12Z,15Z)/15:0/0:0)</t>
  </si>
  <si>
    <t>HMDB0007329</t>
  </si>
  <si>
    <t>[H][C@](CO)(COC(=O)CCCC\C=C/C\C=C/C\C=C/C\C=C/CC)OC(=O)CCCCCCCCCCCCCC</t>
  </si>
  <si>
    <t>DQQBTKPFMLVCPZ-SHGZRWORSA-N</t>
  </si>
  <si>
    <t>C36H62O5</t>
  </si>
  <si>
    <t>7.39_505.2036m/z</t>
  </si>
  <si>
    <t>Prednisolone hemisuccinate</t>
  </si>
  <si>
    <t>HMDB0245744</t>
  </si>
  <si>
    <t>CC12CC(O)C3C(CCC4=CC(=O)C=CC34C)C1CCC2(O)C(=O)COC(=O)CCC(O)=O</t>
  </si>
  <si>
    <t>APGDTXUMTIZLCJ-UHFFFAOYSA-N</t>
  </si>
  <si>
    <t>C25H32O8</t>
  </si>
  <si>
    <t>2.12_302.0211m/z</t>
  </si>
  <si>
    <t>Cystemustine</t>
  </si>
  <si>
    <t>HMDB0250711</t>
  </si>
  <si>
    <t>CS(=O)(=O)CCNC(=O)N(CCCl)N=O</t>
  </si>
  <si>
    <t>IUOVOJHLRFQQNS-UHFFFAOYSA-N</t>
  </si>
  <si>
    <t>C6H12ClN3O4S</t>
  </si>
  <si>
    <t>6.68_335.2228m/z</t>
  </si>
  <si>
    <t>(-)-Leucothol C</t>
  </si>
  <si>
    <t>LMPR0104180004</t>
  </si>
  <si>
    <t>[C@@H]12C(C)=C[C@]3(C[C@@]4(O)[C@@H](O)C(C)(C)[C@@H](O)C[C@]4([H])C(=C)[C@]3([H])CC1)[C@@H]2O</t>
  </si>
  <si>
    <t>RPVINCFOPQZXJM-UIVPEWPISA-N</t>
  </si>
  <si>
    <t>12.71_581.4556m/z</t>
  </si>
  <si>
    <t>DG(15:0/0:0/20:5n3)</t>
  </si>
  <si>
    <t>HMDB0056006</t>
  </si>
  <si>
    <t>[H][C@@](O)(COC(=O)CCCCCCCCCCCCCC)COC(=O)CCC\C=C/C\C=C/C\C=C/C\C=C/C\C=C/CC</t>
  </si>
  <si>
    <t>XZLBYGIFOSFHCP-ULMKCGBXSA-N</t>
  </si>
  <si>
    <t>C38H64O5</t>
  </si>
  <si>
    <t>10.39_690.4823m/z</t>
  </si>
  <si>
    <t>Microcolin C</t>
  </si>
  <si>
    <t>CCCCC(C)CC(C)C(=O)N(C)C(CC(C)C)C(=O)NC(C(C)O)C(=O)N(C)C(C(C)C)C(=O)N1CCCC1C(=O)N2C(C=CC2=O)C</t>
  </si>
  <si>
    <t>LMOADMWPBSXHHB-PGFTWLJKSA-N</t>
  </si>
  <si>
    <t>C37H63N5O7</t>
  </si>
  <si>
    <t>7.70_358.9952m/z</t>
  </si>
  <si>
    <t>Fluoromethyl 2,2-difluoro-1-(trifluoromethyl)vinyl ether</t>
  </si>
  <si>
    <t>HMDB0246988</t>
  </si>
  <si>
    <t>58109-34-5</t>
  </si>
  <si>
    <t>FCOC(=C(F)F)C(F)(F)F</t>
  </si>
  <si>
    <t>VMCHRPIQINOPJR-UHFFFAOYSA-N</t>
  </si>
  <si>
    <t>Vinyl halides</t>
  </si>
  <si>
    <t>Vinyl fluorides</t>
  </si>
  <si>
    <t>C4H2F6O</t>
  </si>
  <si>
    <t>8.60_447.0266m/z</t>
  </si>
  <si>
    <t>3-[(1R,2R,3S)-3-Carboxy-1,2,3-trihydroxypropyl]dioxirane-3-carboxylic acid</t>
  </si>
  <si>
    <t>HMDB0255411</t>
  </si>
  <si>
    <t>OC(C(O)C(O)=O)C(O)C1(OO1)C(O)=O</t>
  </si>
  <si>
    <t>ANVLMUZOIWITMQ-UHFFFAOYSA-N</t>
  </si>
  <si>
    <t>C6H8O9</t>
  </si>
  <si>
    <t>5.33_278.2336m/z</t>
  </si>
  <si>
    <t>2-methoxy-4-oxatetradecanoic acid</t>
  </si>
  <si>
    <t>LMFA01080022</t>
  </si>
  <si>
    <t>C(C(COCCCCCCCCCC)OC)(=O)O</t>
  </si>
  <si>
    <t>RZVKSAIQLVVRNB-UHFFFAOYSA-N</t>
  </si>
  <si>
    <t>C14H28O4</t>
  </si>
  <si>
    <t>13.86_408.9924m/z</t>
  </si>
  <si>
    <t>o-(pentafluorobenzyloxycarbonyl)-benzoyl chloride</t>
  </si>
  <si>
    <t>HMDB0255833</t>
  </si>
  <si>
    <t>FC1=C(F)C(F)=C(COC(=O)C2=CC=CC=C2C(Cl)=O)C(F)=C1F</t>
  </si>
  <si>
    <t>ASHVVYANNYKDLV-UHFFFAOYSA-N</t>
  </si>
  <si>
    <t>C15H6ClF5O3</t>
  </si>
  <si>
    <t>8.59_474.3012m/z</t>
  </si>
  <si>
    <t>N-docosahexaenoyl phenylalanine</t>
  </si>
  <si>
    <t>HMDB0062333</t>
  </si>
  <si>
    <t>LMFA08020094</t>
  </si>
  <si>
    <t>C1(C=CC=CC=1)C[C@]([H])(NC(CC/C=C\C/C=C\C/C=C\C/C=C\C/C=C\C/C=C\CC)=O)C(=O)O</t>
  </si>
  <si>
    <t>FUOZUQXXOVQAMJ-ZANAJQNJSA-N</t>
  </si>
  <si>
    <t>C31H41NO3</t>
  </si>
  <si>
    <t>8.60_841.5749m/z</t>
  </si>
  <si>
    <t>SM(d19:0/PGJ2)</t>
  </si>
  <si>
    <t>HMDB0290624</t>
  </si>
  <si>
    <t>CCCCCCCCCCCCCCCC[C@@H](O)[C@H](COP([O-])(=O)OCC[N+](C)(C)C)NC(=O)CCC\C=C/C[C@H]1C=CC(=O)[C@@H]1\C=C\[C@@H](O)CCCCC</t>
  </si>
  <si>
    <t>FYOKOBYXMUYSEG-PBTHEFJVSA-N</t>
  </si>
  <si>
    <t>C44H81N2O8P</t>
  </si>
  <si>
    <t>4.89_392.1461n</t>
  </si>
  <si>
    <t>Vellein</t>
  </si>
  <si>
    <t>HMDB0303360</t>
  </si>
  <si>
    <t>CC(C)=CCC1=C2OC(=O)C=CC2=CC=C1OC1OC(CO)C(O)C(O)C1O</t>
  </si>
  <si>
    <t>QPAYBYCPZSAASE-UHFFFAOYSA-N</t>
  </si>
  <si>
    <t>Coumarin glycosides</t>
  </si>
  <si>
    <t>C20H24O8</t>
  </si>
  <si>
    <t>14.46_608.5035n</t>
  </si>
  <si>
    <t>DG(i-16:0/0:0/18:1(12Z)-O(9S,10R))</t>
  </si>
  <si>
    <t>HMDB0299254</t>
  </si>
  <si>
    <t>CCCCC\C=C/CC1OC1CCCCCCCC(=O)OC[C@H](O)COC(=O)CCCCCCCCCCCCC(C)C</t>
  </si>
  <si>
    <t>CYXMNLFGSKMWRV-FHQBUABESA-N</t>
  </si>
  <si>
    <t>10.97_379.1585m/z</t>
  </si>
  <si>
    <t>Mirabegron</t>
  </si>
  <si>
    <t>HMDB0254748</t>
  </si>
  <si>
    <t>NC1=NC(CC(=O)NC2=CC=C(CCNCC(O)C3=CC=CC=C3)C=C2)=CS1</t>
  </si>
  <si>
    <t>PBAPPPCECJKMCM-UHFFFAOYSA-N</t>
  </si>
  <si>
    <t>C21H24N4O2S</t>
  </si>
  <si>
    <t>5.43_391.2126m/z</t>
  </si>
  <si>
    <t>20-hydroxylipoxin A4</t>
  </si>
  <si>
    <t>HMDB0062748</t>
  </si>
  <si>
    <t>[H]\C(\C(\[H])=C(/[H])\C(\[H])=C(/[H])[C@@]([H])(O)[C@@]([H])(O)CCCC(O)=O)=C(/[H])C([H])=C([H])[C@@]([H])(O)CCCCCO</t>
  </si>
  <si>
    <t>JGHYLPPTOXKEKH-MCYSSMQBSA-N</t>
  </si>
  <si>
    <t>8.09_398.2082n</t>
  </si>
  <si>
    <t>Galbanic acid</t>
  </si>
  <si>
    <t>HMDB0030163</t>
  </si>
  <si>
    <t>3566-55-0</t>
  </si>
  <si>
    <t>CC1CCC(C(CCC(O)=O)C1(C)COC1=CC2=C(C=CC(=O)O2)C=C1)=C(C)C</t>
  </si>
  <si>
    <t>CVWWNYPTZYQCSE-UHFFFAOYSA-N</t>
  </si>
  <si>
    <t>9.66_337.2290m/z</t>
  </si>
  <si>
    <t>Pirmenol</t>
  </si>
  <si>
    <t>HMDB0256607</t>
  </si>
  <si>
    <t>CC1CCCC(C)N1CCCC(O)(C1=CC=CC=C1)C1=CC=CC=N1</t>
  </si>
  <si>
    <t>APUDBKTWDCXQJA-UHFFFAOYSA-N</t>
  </si>
  <si>
    <t>C22H30N2O</t>
  </si>
  <si>
    <t>8.60_426.3220m/z</t>
  </si>
  <si>
    <t>1b,3a,12a-Trihydroxy-5b-cholanoic acid</t>
  </si>
  <si>
    <t>HMDB0000326</t>
  </si>
  <si>
    <t>80434-32-8</t>
  </si>
  <si>
    <t>C[C@H](CCC(O)=O)C1CCC2C3CCC4C[C@H](O)C[C@@H](O)[C@]4(C)C3C[C@H](O)[C@]12C</t>
  </si>
  <si>
    <t>DAKYVYUAVGJDRK-LFMRMFNLSA-N</t>
  </si>
  <si>
    <t>12.56_629.4551m/z</t>
  </si>
  <si>
    <t>R.g.Keto-VI</t>
  </si>
  <si>
    <t>LMPR01070495</t>
  </si>
  <si>
    <t>C(=C(/C)\C(=O)CCC(C)(C)OC)/C=C/C(/C)=C/C=C/C(/C)=C/C=C/C=C(\C)/C=C/C=C(\C)/CC/C=C(\C)/CC/C=C(\C)/C</t>
  </si>
  <si>
    <t>CVPBJFUPBIROOF-JVQXPDBGSA-N</t>
  </si>
  <si>
    <t>C41H60O2</t>
  </si>
  <si>
    <t>5.96_433.2211m/z</t>
  </si>
  <si>
    <t>2-[(4-Hydroxycyclohexyl)amino]-4-(3,6,6-trimethyl-4-oxo-5,7-dihydroindazol-1-yl)benzamide</t>
  </si>
  <si>
    <t>HMDB0250037</t>
  </si>
  <si>
    <t>CC1=NN(C2=C1C(=O)CC(C)(C)C2)C1=CC(NC2CCC(O)CC2)=C(C=C1)C(N)=O</t>
  </si>
  <si>
    <t>FMOSGTTYAFQMSD-UHFFFAOYSA-N</t>
  </si>
  <si>
    <t>Pyrazoles</t>
  </si>
  <si>
    <t>C23H30N4O3</t>
  </si>
  <si>
    <t>4.75_426.2268n</t>
  </si>
  <si>
    <t>Cichorioside N</t>
  </si>
  <si>
    <t>HMDB0302058</t>
  </si>
  <si>
    <t>[H][C@]12CC(=O)[C@@H](C)[C@]1([H])[C@@H](O)C[C@@](C)(C=C)[C@@H]2\C(C)=C\O[C@@H]1O[C@H](CO)[C@@H](O)[C@H](O)[C@H]1O</t>
  </si>
  <si>
    <t>PBKSUDBCJRZUBN-SNLBVQBNSA-N</t>
  </si>
  <si>
    <t>10.99_419.1532m/z</t>
  </si>
  <si>
    <t>C1=CC=CC2=CC3=C(O)C(N)=CC=C3N=C21</t>
  </si>
  <si>
    <t>HMDB0258097</t>
  </si>
  <si>
    <t>NC1=C(O)C2=CC3=CC=CC=C3N=C2C=C1</t>
  </si>
  <si>
    <t>OVACBJMHKNFFQJ-UHFFFAOYSA-N</t>
  </si>
  <si>
    <t>C13H10N2O</t>
  </si>
  <si>
    <t>5.55_326.0865m/z</t>
  </si>
  <si>
    <t>Midazolam</t>
  </si>
  <si>
    <t>HMDB0014821</t>
  </si>
  <si>
    <t>C07524</t>
  </si>
  <si>
    <t>59467-70-8</t>
  </si>
  <si>
    <t>CC1=NC=C2CN=C(C3=CC=CC=C3F)C3=C(C=CC(Cl)=C3)N12</t>
  </si>
  <si>
    <t>DDLIGBOFAVUZHB-UHFFFAOYSA-N</t>
  </si>
  <si>
    <t>Benzodiazepines</t>
  </si>
  <si>
    <t>1,4-benzodiazepines</t>
  </si>
  <si>
    <t>C18H13ClFN3</t>
  </si>
  <si>
    <t>10.21_277.2170m/z</t>
  </si>
  <si>
    <t>(9Z,12Z,14E)-16-Hydroxy-9,12,14-octadecatrienoic acid</t>
  </si>
  <si>
    <t>HMDB0034586</t>
  </si>
  <si>
    <t>81325-65-7</t>
  </si>
  <si>
    <t>CCC(O)\C=C\C=C/C\C=C/CCCCCCCC(O)=O</t>
  </si>
  <si>
    <t>ILSZLGCGBGSHFR-CGLYFWTESA-N</t>
  </si>
  <si>
    <t>13.51_559.4734m/z</t>
  </si>
  <si>
    <t>2-Hexadec-7-enylicosa-8,11-dienedioic acid</t>
  </si>
  <si>
    <t>HMDB0255383</t>
  </si>
  <si>
    <t>CCCCCCCCC=CCCCCCCC(CCCCCC=CCC=CCCCCCCCC(O)=O)C(O)=O</t>
  </si>
  <si>
    <t>FIMSWIYKMHXCEM-UHFFFAOYSA-N</t>
  </si>
  <si>
    <t>C36H64O4</t>
  </si>
  <si>
    <t>11.05_339.3016m/z</t>
  </si>
  <si>
    <t>Anandamide (18:3, n-3)</t>
  </si>
  <si>
    <t>HMDB0013624</t>
  </si>
  <si>
    <t>LMFA08040007</t>
  </si>
  <si>
    <t>C13828</t>
  </si>
  <si>
    <t>C(C/C=C\C/C=C\C/C=C\CC)CCCCCC(=O)NCCO</t>
  </si>
  <si>
    <t>HBJXRRXWHSHZPU-PDBXOOCHSA-N</t>
  </si>
  <si>
    <t>C20H35NO2</t>
  </si>
  <si>
    <t>11.46_592.3623m/z</t>
  </si>
  <si>
    <t>Povpc</t>
  </si>
  <si>
    <t>HMDB0256712</t>
  </si>
  <si>
    <t>CCCCCCCCCCCCCCCC(=O)OCC(COP([O-])(=O)OCC[N+](C)(C)C)OC(=O)CCCC=O</t>
  </si>
  <si>
    <t>RKIDALSACBQVTN-UHFFFAOYSA-N</t>
  </si>
  <si>
    <t>11.95_517.3901m/z</t>
  </si>
  <si>
    <t>Galaxaurol D</t>
  </si>
  <si>
    <t>LMST01100037</t>
  </si>
  <si>
    <t>C1C[C@@]23C[C@]42CC[C@H](O)[C@@](C)(CO)[C@]4([H])CC[C@@]3([H])[C@]2(C)CC[C@]([H])([C@@](C)([H])C/C=C/C(OC)(C)C)[C@@]12C</t>
  </si>
  <si>
    <t>QXGIGAARCJGKRI-NCQGZYEDSA-N</t>
  </si>
  <si>
    <t>C31H52O3</t>
  </si>
  <si>
    <t>2.55_342.1574m/z</t>
  </si>
  <si>
    <t>Histidinyl-Tryptophan</t>
  </si>
  <si>
    <t>HMDB0304782</t>
  </si>
  <si>
    <t>NC(CC1=CN=CN1)C(O)=NC(CC1=CNC2=CC=CC=C12)C(O)=O</t>
  </si>
  <si>
    <t>FBTYOQIYBULKEH-UHFFFAOYSA-N</t>
  </si>
  <si>
    <t>C17H19N5O3</t>
  </si>
  <si>
    <t>9.54_334.9943m/z</t>
  </si>
  <si>
    <t>Hexafluoroisopropanol</t>
  </si>
  <si>
    <t>HMDB0060648</t>
  </si>
  <si>
    <t>920-66-1</t>
  </si>
  <si>
    <t>OC(C(F)(F)F)C(F)(F)F</t>
  </si>
  <si>
    <t>BYEAHWXPCBROCE-UHFFFAOYSA-N</t>
  </si>
  <si>
    <t>10.27_632.3185m/z</t>
  </si>
  <si>
    <t>milbemycin alpha10</t>
  </si>
  <si>
    <t>HMDB0254722</t>
  </si>
  <si>
    <t>CCC1OC2(CCC1C)CC1CC(CC=C(C)CC(C)C=CC=C3COC4C(O)C(COC(=O)C5=CC=CN5)=CC(C(=O)O1)C34O)O2</t>
  </si>
  <si>
    <t>GBWJSZIODNWKON-UHFFFAOYSA-N</t>
  </si>
  <si>
    <t>Milbemycins</t>
  </si>
  <si>
    <t>C37H49NO9</t>
  </si>
  <si>
    <t>7.26_600.3308m/z</t>
  </si>
  <si>
    <t>PC(2:0/20:5(5Z,8Z,10E,14Z,17Z)-OH(12))</t>
  </si>
  <si>
    <t>HMDB0288866</t>
  </si>
  <si>
    <t>[H][C@@](COC(C)=O)(COP([O-])(=O)OCC[N+](C)(C)C)OC(=O)CCC\C=C/C\C=C/C=C/C(O)C\C=C/C\C=C/CC</t>
  </si>
  <si>
    <t>AEESUUVGTZDUJB-BJBMSCDESA-N</t>
  </si>
  <si>
    <t>C30H50NO9P</t>
  </si>
  <si>
    <t>12.26_597.3041m/z</t>
  </si>
  <si>
    <t>PG-PG</t>
  </si>
  <si>
    <t>LMGP20060016</t>
  </si>
  <si>
    <t>[H][C@](O)(CO)COP(OC[C@]([H])(OC(CCCC(=O)O)=O)COC(CCCCCCCCCCCCCCC)=O)(=O)O</t>
  </si>
  <si>
    <t>ORHWXQWRFVXVMR-BJKOFHAPSA-N</t>
  </si>
  <si>
    <t>C27H51O12P</t>
  </si>
  <si>
    <t>10.31_358.3690m/z</t>
  </si>
  <si>
    <t>19-methyl-heneicosanoic acid</t>
  </si>
  <si>
    <t>LMFA01020227</t>
  </si>
  <si>
    <t>C(CCCCCCCCCCCCCCCCCC(C)CC)(=O)O</t>
  </si>
  <si>
    <t>CDGJKEUOLAMVSS-UHFFFAOYSA-N</t>
  </si>
  <si>
    <t>C22H44O2</t>
  </si>
  <si>
    <t>6.73_409.2243m/z</t>
  </si>
  <si>
    <t>Tenacigenin B</t>
  </si>
  <si>
    <t>HMDB0258810</t>
  </si>
  <si>
    <t>CC(=O)C1CCC23OC22CCC4CC(O)CCC4(C)C2C(O)C(O)C13C</t>
  </si>
  <si>
    <t>FWXVLSDGEDMLQU-UHFFFAOYSA-N</t>
  </si>
  <si>
    <t>Oxepanes</t>
  </si>
  <si>
    <t>C21H32O5</t>
  </si>
  <si>
    <t>5.36_541.2657m/z</t>
  </si>
  <si>
    <t>Cortolone-3-glucuronide</t>
  </si>
  <si>
    <t>HMDB0010320</t>
  </si>
  <si>
    <t>56162-46-0</t>
  </si>
  <si>
    <t>CC12CC(=O)C3C(CCC4CCC(CC34C)O[C@@H]3O[C@@H]([C@@H](O)[C@H](O)[C@H]3O)C(O)=O)C1CCC2(O)C(O)CO</t>
  </si>
  <si>
    <t>OKNSFVSKHQJVRN-XAYCFROHSA-N</t>
  </si>
  <si>
    <t>C27H42O11</t>
  </si>
  <si>
    <t>11.39_283.2639m/z</t>
  </si>
  <si>
    <t>16-hydroxy stearic acid</t>
  </si>
  <si>
    <t>LMFA02000134</t>
  </si>
  <si>
    <t>C(CCCCCCCCCCCCC(O)CC)CC(=O)O</t>
  </si>
  <si>
    <t>IZAIPALZJVSRHT-UHFFFAOYSA-N</t>
  </si>
  <si>
    <t>10.18_390.2772n</t>
  </si>
  <si>
    <t>12alpha-Hydroxy-7-oxo-5alpha-cholan-24-oic Acid</t>
  </si>
  <si>
    <t>LMST04010171</t>
  </si>
  <si>
    <t>C1[C@]2(C)[C@@]3([H])C[C@H](O)[C@]4(C)[C@@]([H])([C@]([H])(C)CCC(O)=O)CC[C@@]4([H])[C@]3([H])C(=O)C[C@@]2([H])CCC1</t>
  </si>
  <si>
    <t>JRNKMLBWEKPKCU-GBRGSWSWSA-N</t>
  </si>
  <si>
    <t>12.33_624.3882m/z</t>
  </si>
  <si>
    <t>OA-PA</t>
  </si>
  <si>
    <t>LMGP20070024</t>
  </si>
  <si>
    <t>[C@](COP(=O)(O)O)([H])(OC(CCCCCCCC(=O)O)=O)COC(CCCCCCC/C=C\CCCCCCCC)=O</t>
  </si>
  <si>
    <t>IHHQFWLUVQSACE-RKVKURJASA-N</t>
  </si>
  <si>
    <t>C30H55O10P</t>
  </si>
  <si>
    <t>11.05_344.2359n</t>
  </si>
  <si>
    <t>(+/-)-17-HDoHE</t>
  </si>
  <si>
    <t>HMDB0010213</t>
  </si>
  <si>
    <t>LMFA04000032</t>
  </si>
  <si>
    <t>R-HSA-1430728,R-HSA-556833,R-HSA-9018678,R-HSA-9027604</t>
  </si>
  <si>
    <t>Metabolism|Metabolism of lipids|Biosynthesis of specialized proresolving mediators (SPMs)|Biosynthesis of electrophilic ω-3 PUFA oxo-derivatives</t>
  </si>
  <si>
    <t>90780-52-2</t>
  </si>
  <si>
    <t>C(CC/C=C\C/C=C\C/C=C\C/C=C\C=C\C(O)C/C=C\CC)(=O)O</t>
  </si>
  <si>
    <t>SWTYBBUBEPPYCX-VIIQGJSXSA-N</t>
  </si>
  <si>
    <t>4.82_424.0692n</t>
  </si>
  <si>
    <t>Cefuroxime</t>
  </si>
  <si>
    <t>HMDB0015244</t>
  </si>
  <si>
    <t>C06894</t>
  </si>
  <si>
    <t>55268-75-2</t>
  </si>
  <si>
    <t>[H][C@]12SCC(COC(N)=O)=C(N1C(=O)[C@H]2NC(=O)C(=N/OC)\C1=CC=CO1)C(O)=O</t>
  </si>
  <si>
    <t>JFPVXVDWJQMJEE-IZRZKJBUSA-N</t>
  </si>
  <si>
    <t>C16H16N4O8S</t>
  </si>
  <si>
    <t>15.02_907.7019m/z</t>
  </si>
  <si>
    <t>PE-NMe2(22:4(7Z,10Z,13Z,16Z)/24:0)</t>
  </si>
  <si>
    <t>HMDB0114521</t>
  </si>
  <si>
    <t>[H]C(COC(=O)CCCCC\C=C/C\C=C/C\C=C/C\C=C/CCCCC)(COP(O)(=O)OCCN(C)C)OC(=O)CCCCCCCCCCCCCCCCCCCCCCC</t>
  </si>
  <si>
    <t>SPCIZUPTDNCNBO-VCEVWDPMSA-N</t>
  </si>
  <si>
    <t>C53H98NO8P</t>
  </si>
  <si>
    <t>1.01_272.0781n</t>
  </si>
  <si>
    <t>Pyridine N-oxide glucuronide</t>
  </si>
  <si>
    <t>HMDB0061177</t>
  </si>
  <si>
    <t>O[C@H]1[C@H](O)[C@@H](O[N+]2=CC=CC=C2)O[C@H]([C@@H]1O)C(O)=O</t>
  </si>
  <si>
    <t>KITHDEVLYXWSPB-ZBGLXGBJSA-O</t>
  </si>
  <si>
    <t>C11H14NO7+</t>
  </si>
  <si>
    <t>4.90_255.0873m/z</t>
  </si>
  <si>
    <t>3-carboxy-4-methyl-5-(1-hydroxypropyl)-2-furanpropionic acid</t>
  </si>
  <si>
    <t>LMFA01150060</t>
  </si>
  <si>
    <t>C(C)C(O)C1=C(C)C(C(=O)O)=C(CCC(=O)O)O1</t>
  </si>
  <si>
    <t>OZOJARPUDFLESM-UHFFFAOYSA-N</t>
  </si>
  <si>
    <t>C12H16O6</t>
  </si>
  <si>
    <t>3.86_427.2633n</t>
  </si>
  <si>
    <t>Pimavanserin</t>
  </si>
  <si>
    <t>HMDB0256551</t>
  </si>
  <si>
    <t>CC(C)COC1=CC=C(CNC(=O)N(CC2=CC=C(F)C=C2)C2CCN(C)CC2)C=C1</t>
  </si>
  <si>
    <t>RKEWSXXUOLRFBX-UHFFFAOYSA-N</t>
  </si>
  <si>
    <t>Phenol ethers</t>
  </si>
  <si>
    <t>M+, M+Na</t>
  </si>
  <si>
    <t>C25H34FN3O2</t>
  </si>
  <si>
    <t>7.68_341.2124m/z</t>
  </si>
  <si>
    <t>ent-17-J4-NeuroP</t>
  </si>
  <si>
    <t>LMFA04010510</t>
  </si>
  <si>
    <t>C(CC/C=C\C/C=C\C[C@@H]1C=CC(=O)[C@@H]1/C=C/[C@H](O)C/C=C\CC)(=O)O</t>
  </si>
  <si>
    <t>KFGNERRZYLGTOE-CCSCYTEWSA-N</t>
  </si>
  <si>
    <t>9.75_387.0070m/z</t>
  </si>
  <si>
    <t>S-Acetyl dihydroasparagusic acid</t>
  </si>
  <si>
    <t>HMDB0035717</t>
  </si>
  <si>
    <t>38146-83-7</t>
  </si>
  <si>
    <t>CC(=O)SCC(CS)C(O)=O</t>
  </si>
  <si>
    <t>PXKKBEIPDBKGPW-UHFFFAOYSA-N</t>
  </si>
  <si>
    <t>C6H10O3S2</t>
  </si>
  <si>
    <t>5.52_589.3037m/z</t>
  </si>
  <si>
    <t>Meproscillarin</t>
  </si>
  <si>
    <t>HMDB0254457</t>
  </si>
  <si>
    <t>COC1C(C)OC(OC2CCC3(C)C4CCC5(C)C(CCC5(O)C4CCC3=C2)C2=COC(=O)C=C2)C(O)C1O</t>
  </si>
  <si>
    <t>RKWPZPDLTYBKCL-UHFFFAOYSA-N</t>
  </si>
  <si>
    <t>C31H44O8</t>
  </si>
  <si>
    <t>14.69_599.5048m/z</t>
  </si>
  <si>
    <t>DG(18:1n9/0:0/18:3n3)</t>
  </si>
  <si>
    <t>HMDB0056210</t>
  </si>
  <si>
    <t>[H][C@@](O)(COC(=O)CCCCCCC\C=C/CCCCCCCC)COC(=O)CCCCCCC\C=C/C\C=C/C\C=C/CC</t>
  </si>
  <si>
    <t>GFFNKKHWIUCOAF-LGRGBMOQSA-N</t>
  </si>
  <si>
    <t>C39H68O5</t>
  </si>
  <si>
    <t>7.25_329.0620m/z</t>
  </si>
  <si>
    <t>Almecillin</t>
  </si>
  <si>
    <t>HMDB0248169</t>
  </si>
  <si>
    <t>CC1(C)SC2C(NC(=O)CSCC=C)C(=O)N2C1C(O)=O</t>
  </si>
  <si>
    <t>QULKGELYPOJSLP-UHFFFAOYSA-N</t>
  </si>
  <si>
    <t>C13H18N2O4S2</t>
  </si>
  <si>
    <t>11.75_713.3524m/z</t>
  </si>
  <si>
    <t>Myrtucommulone A</t>
  </si>
  <si>
    <t>LMPK13070001</t>
  </si>
  <si>
    <t>C1(O)C(C(=O)C(C)C)=C(O)C(C(C(C)C)C2C(=O)C(C)(C)C(=O)C(C)(C)C2=O)=C(O)C=1C(C(C)C)C1C(=O)C(C)(C)C(=O)C(C)(C)C1=O</t>
  </si>
  <si>
    <t>BNEWVBNQXXUDIZ-UHFFFAOYSA-N</t>
  </si>
  <si>
    <t>C38H52O10</t>
  </si>
  <si>
    <t>4.41_544.2033m/z</t>
  </si>
  <si>
    <t>Tyr-Gly-Gly-Phe-Gly-OH</t>
  </si>
  <si>
    <t>HMDB0259341</t>
  </si>
  <si>
    <t>NC(CC1=CC=C(O)C=C1)C(=O)NCC(=O)NCC(=O)NC(CC1=CC=CC=C1)C(=O)NCC(O)=O</t>
  </si>
  <si>
    <t>CJXBPYBHEPRPPC-UHFFFAOYSA-N</t>
  </si>
  <si>
    <t>C24H29N5O7</t>
  </si>
  <si>
    <t>10.91_361.1996m/z</t>
  </si>
  <si>
    <t>8-deoxy-J2-IsoP</t>
  </si>
  <si>
    <t>LMFA03110062</t>
  </si>
  <si>
    <t>C(CCC/C=C\C/C=C/C=C1/C=CC(=O)[C@H]/1CCCCC)(=O)O</t>
  </si>
  <si>
    <t>JTSWNPYSJJAOQQ-UILHMMCHSA-N</t>
  </si>
  <si>
    <t>5.57_277.1687n</t>
  </si>
  <si>
    <t>1'-Hydroxybufuralol</t>
  </si>
  <si>
    <t>HMDB0244261</t>
  </si>
  <si>
    <t>CC(O)C1=CC=CC2=C1OC(=C2)C(O)CNC(C)(C)C</t>
  </si>
  <si>
    <t>GTYMTYBCXVOBBB-UHFFFAOYSA-N</t>
  </si>
  <si>
    <t>Benzofurans</t>
  </si>
  <si>
    <t>C16H23NO3</t>
  </si>
  <si>
    <t>5.43_291.2074m/z</t>
  </si>
  <si>
    <t>3-hydroxyropivacaine</t>
  </si>
  <si>
    <t>HMDB0060962</t>
  </si>
  <si>
    <t>CCCN1CCCC[C@@H]1C(O)=NC1=C(C)C=CC(O)=C1C</t>
  </si>
  <si>
    <t>IXOVDWXTIIYVOJ-CQSZACIVSA-N</t>
  </si>
  <si>
    <t>C17H26N2O2</t>
  </si>
  <si>
    <t>14.84_509.0236m/z</t>
  </si>
  <si>
    <t>Sparfosic acid</t>
  </si>
  <si>
    <t>HMDB0258406</t>
  </si>
  <si>
    <t>OC(=O)CC(NC(=O)CP(O)(O)=O)C(O)=O</t>
  </si>
  <si>
    <t>ZZKNRXZVGOYGJT-UHFFFAOYSA-N</t>
  </si>
  <si>
    <t>C6H10NO8P</t>
  </si>
  <si>
    <t>4.30_723.3328m/z</t>
  </si>
  <si>
    <t>Tyr-D-thr-gly-phe-leu-thr</t>
  </si>
  <si>
    <t>HMDB0251632</t>
  </si>
  <si>
    <t>CC(C)CC(NC(=O)C(CC1=CC=CC=C1)NC(=O)CNC(=O)C(NC(=O)C(N)CC1=CC=C(O)C=C1)C(C)O)C(=O)NC(C(C)O)C(O)=O</t>
  </si>
  <si>
    <t>WJEFCEUSQYDJIF-UHFFFAOYSA-N</t>
  </si>
  <si>
    <t>C34H48N6O10</t>
  </si>
  <si>
    <t>4.17_261.0550m/z</t>
  </si>
  <si>
    <t>4-Thiouridine</t>
  </si>
  <si>
    <t>HMDB0246588</t>
  </si>
  <si>
    <t>OCC1OC(C(O)C1O)N1C=CC(=S)NC1=O</t>
  </si>
  <si>
    <t>ZLOIGESWDJYCTF-UHFFFAOYSA-N</t>
  </si>
  <si>
    <t>C9H12N2O5S</t>
  </si>
  <si>
    <t>5.65_415.1974m/z</t>
  </si>
  <si>
    <t>5-Megastigmen-7-yne-3,9-diol 3-glucoside</t>
  </si>
  <si>
    <t>HMDB0032842</t>
  </si>
  <si>
    <t>62512-27-0</t>
  </si>
  <si>
    <t>CC(O)C#CC1=C(C)CC(CC1(C)C)OC1OC(CO)C(O)C(O)C1O</t>
  </si>
  <si>
    <t>XIRQNNSWPUAAHR-UHFFFAOYSA-N</t>
  </si>
  <si>
    <t>C19H30O7</t>
  </si>
  <si>
    <t>7.32_335.2228m/z</t>
  </si>
  <si>
    <t>8-iso-PGE2</t>
  </si>
  <si>
    <t>HMDB0005844</t>
  </si>
  <si>
    <t>LMFA03110003</t>
  </si>
  <si>
    <t>27415-25-4</t>
  </si>
  <si>
    <t>[C@H]1(/C=C/[C@@H](O)CCCCC)[C@H](O)CC(=O)[C@H]1C/C=C\CCCC(=O)O</t>
  </si>
  <si>
    <t>XEYBRNLFEZDVAW-CLQOMRTCSA-N</t>
  </si>
  <si>
    <t>5.72_477.0425m/z</t>
  </si>
  <si>
    <t>7-Amino-4-hydroxy-2-naphthalenesulfonic acid</t>
  </si>
  <si>
    <t>HMDB0243485</t>
  </si>
  <si>
    <t>NC1=CC=C2C(O)=CC(=CC2=C1)S(O)(=O)=O</t>
  </si>
  <si>
    <t>KYARBIJYVGJZLB-UHFFFAOYSA-N</t>
  </si>
  <si>
    <t>C10H9NO4S</t>
  </si>
  <si>
    <t>12.74_874.5832m/z</t>
  </si>
  <si>
    <t>PS(18:1(12Z)-2OH(9,10)/22:2(13Z,16Z))</t>
  </si>
  <si>
    <t>HMDB0283139</t>
  </si>
  <si>
    <t>[H][C@@](COC(=O)CCCCCCC[C@@H](O)[C@H](O)C\C=C/CCCCC)(COP(O)(=O)OC[C@H](N)C(O)=O)OC(=O)CCCCCCCCCCC\C=C/C\C=C/CCCCC</t>
  </si>
  <si>
    <t>AFPVOHMJADDRHI-IOAQECDGSA-N</t>
  </si>
  <si>
    <t>C46H84NO12P</t>
  </si>
  <si>
    <t>7.32_465.3107n</t>
  </si>
  <si>
    <t>Glycocholic Acid</t>
  </si>
  <si>
    <t>HMDB0000138</t>
  </si>
  <si>
    <t>LMST05030001</t>
  </si>
  <si>
    <t>C01921</t>
  </si>
  <si>
    <t>475-31-0</t>
  </si>
  <si>
    <t>[C@]12([C@H](O)C[C@]3([H])C[C@H](O)CC[C@]3(C)[C@@]1([H])C[C@H](O)[C@]1(C)[C@@]([H])([C@@](C)([H])CCC(NCC(O)=O)=O)CC[C@@]21[H])[H]</t>
  </si>
  <si>
    <t>RFDAIACWWDREDC-FRVQLJSFSA-N</t>
  </si>
  <si>
    <t>C26H43NO6</t>
  </si>
  <si>
    <t>9.48_371.2681n</t>
  </si>
  <si>
    <t>N-Palmitoyl Aspartic acid</t>
  </si>
  <si>
    <t>HMDB0241922</t>
  </si>
  <si>
    <t>CCCCCCCCCCCCCCCC(=O)NC(CC(O)=O)C(O)=O</t>
  </si>
  <si>
    <t>ZYJZBFYRVKLOAA-UHFFFAOYSA-N</t>
  </si>
  <si>
    <t>C20H37NO5</t>
  </si>
  <si>
    <t>4.90_761.3006m/z</t>
  </si>
  <si>
    <t>SNAG-delta5-CT</t>
  </si>
  <si>
    <t>LMST05050053</t>
  </si>
  <si>
    <t>[C@@]12([H])[C@@H](O[C@H]3[C@H](NC(C)=O)[C@@H](O)[C@H](O)[C@@H](CO)O3)C=C3C[C@@H](OS(O)(=O)=O)CC[C@]3(C)[C@@]1([H])CC[C@]1(C)[C@@]([H])([C@]([H])(C)CCC(=O)NCCS(=O)(=O)O)CC[C@@]21[H]</t>
  </si>
  <si>
    <t>KLRIUOUKRCSWSF-WRUOKHQASA-N</t>
  </si>
  <si>
    <t>C34H56N2O14S2</t>
  </si>
  <si>
    <t>349</t>
  </si>
  <si>
    <t>D-(+)-Mannose</t>
  </si>
  <si>
    <t>C00159</t>
  </si>
  <si>
    <t>hsa00051,hsa00052,hsa00520,hsa04142,hsa04625</t>
  </si>
  <si>
    <t>Fructose and mannose metabolism|Galactose metabolism|Amino sugar and nucleotide sugar metabolism|Lysosome|C-type lectin receptor signaling pathway</t>
  </si>
  <si>
    <t>3458-28-4</t>
  </si>
  <si>
    <t>WQZGKKKJIJFFOK-QTVWNMPRSA-N</t>
  </si>
  <si>
    <t>6.15_339.1966m/z</t>
  </si>
  <si>
    <t>vamorolone</t>
  </si>
  <si>
    <t>HMDB0259760</t>
  </si>
  <si>
    <t>CC1CC2C3CCC4=CC(=O)C=CC4(C)C3=CCC2(C)C1(O)C(=O)CO</t>
  </si>
  <si>
    <t>ZYTXTXAMMDTYDQ-UHFFFAOYSA-N</t>
  </si>
  <si>
    <t>C22H28O4</t>
  </si>
  <si>
    <t>10.80_297.2434m/z</t>
  </si>
  <si>
    <t>9,12-dihydroxy stearic acid</t>
  </si>
  <si>
    <t>LMFA02000143</t>
  </si>
  <si>
    <t>C(CCCC)CC(O)CCC(O)CCCCCCCC(=O)O</t>
  </si>
  <si>
    <t>CJKWEXKSSFUTCE-UHFFFAOYSA-N</t>
  </si>
  <si>
    <t>C18H36O4</t>
  </si>
  <si>
    <t>7.27_411.2029m/z</t>
  </si>
  <si>
    <t>11-dehydro-TXB3</t>
  </si>
  <si>
    <t>LMFA03030009</t>
  </si>
  <si>
    <t>129228-55-3</t>
  </si>
  <si>
    <t>C(CCC/C=C\C[C@@H]1[C@@H](/C=C/[C@@H](O)C/C=C\CC)OC(=O)C[C@@H]1O)(=O)O</t>
  </si>
  <si>
    <t>OAHMLWQISGEXBB-XMEKLSCHSA-N</t>
  </si>
  <si>
    <t>8.62_373.2003m/z</t>
  </si>
  <si>
    <t>12-Oxo-20-hydroxy-leukotriene B4</t>
  </si>
  <si>
    <t>HMDB0012552</t>
  </si>
  <si>
    <t>LMFA03020049</t>
  </si>
  <si>
    <t>OCCCCC/C=C\CC(/C=C/C=C/C=C\[C@@H](CCCC(=O)O)O)=O</t>
  </si>
  <si>
    <t>CZWPUWRHQBAXJS-PABROBRYSA-N</t>
  </si>
  <si>
    <t>5.95_437.2164m/z</t>
  </si>
  <si>
    <t>14-Hydroperoxy-H4-neuroprostane</t>
  </si>
  <si>
    <t>HMDB0062292</t>
  </si>
  <si>
    <t>CC\C=C/C\C=C/C[C@H](OO)\C=C\[C@H]1[C@H]2C[C@H](OO2)[C@H]1C\C=C/CCC(O)=O</t>
  </si>
  <si>
    <t>RVZZVMGFWWGKMA-XLQARWSOSA-N</t>
  </si>
  <si>
    <t>9.56_397.2841n</t>
  </si>
  <si>
    <t>N-Oleoyl Aspartic acid</t>
  </si>
  <si>
    <t>HMDB0241956</t>
  </si>
  <si>
    <t>CCCCCCCCC=CCCCCCCCC(=O)NC(CC(O)=O)C(O)=O</t>
  </si>
  <si>
    <t>XFBKKGFUMFHHHK-UHFFFAOYSA-N</t>
  </si>
  <si>
    <t>C22H39NO5</t>
  </si>
  <si>
    <t>9.65_394.1463n</t>
  </si>
  <si>
    <t>1-(3-Methyl-2-butenoyl)-6-apiosylglucose</t>
  </si>
  <si>
    <t>HMDB0039952</t>
  </si>
  <si>
    <t>467242-32-6</t>
  </si>
  <si>
    <t>CC(C)=CC(=O)OC1OC(COC2OCC(O)(CO)C2O)C(O)C(O)C1O</t>
  </si>
  <si>
    <t>MVLVZZLLWUAMRM-UHFFFAOYSA-N</t>
  </si>
  <si>
    <t>C16H26O11</t>
  </si>
  <si>
    <t>7.56_383.2078m/z</t>
  </si>
  <si>
    <t>PIPERONYL BUTOXIDE</t>
  </si>
  <si>
    <t>HMDB0256579</t>
  </si>
  <si>
    <t>C18880</t>
  </si>
  <si>
    <t>51-03-6</t>
  </si>
  <si>
    <t>CCCCOCCOCCOCC1=CC2=C(OCO2)C=C1CCC</t>
  </si>
  <si>
    <t>FIPWRIJSWJWJAI-UHFFFAOYSA-N</t>
  </si>
  <si>
    <t>Benzodioxoles</t>
  </si>
  <si>
    <t>13.33_566.9422n</t>
  </si>
  <si>
    <t>Isopropyl-diiodothyronine</t>
  </si>
  <si>
    <t>HMDB0253678</t>
  </si>
  <si>
    <t>CC(C)C(CC1=CC=C(OC2=CC=C(O)C=C2)C=C1)(N(I)I)C(O)=O</t>
  </si>
  <si>
    <t>GJNQSKLKJVPWIR-UHFFFAOYSA-N</t>
  </si>
  <si>
    <t>Diphenylethers</t>
  </si>
  <si>
    <t>C18H19I2NO4</t>
  </si>
  <si>
    <t>11.82_538.4094n</t>
  </si>
  <si>
    <t>Octaethyleneglycol monododecyl ether</t>
  </si>
  <si>
    <t>HMDB0246126</t>
  </si>
  <si>
    <t>CCCCCCCCCCCCOCCOCCOCCOCCOCCOCCOCCOCCO</t>
  </si>
  <si>
    <t>YYELLDKEOUKVIQ-UHFFFAOYSA-N</t>
  </si>
  <si>
    <t>C28H58O9</t>
  </si>
  <si>
    <t>9.85_341.2121m/z</t>
  </si>
  <si>
    <t>4-epi-4-A4-NeuroP</t>
  </si>
  <si>
    <t>LMFA04010395</t>
  </si>
  <si>
    <t>C(CC[C@@H](O)/C=C/[C@H]1C(=O)C=C[C@H]1C/C=C\C/C=C\C/C=C\CC)(=O)O</t>
  </si>
  <si>
    <t>UBHADOIVPSTTIO-NFXNREBWSA-N</t>
  </si>
  <si>
    <t>12.13_415.2258m/z</t>
  </si>
  <si>
    <t>CPA(18:2(9Z,12Z)/0:0)</t>
  </si>
  <si>
    <t>HMDB0007007</t>
  </si>
  <si>
    <t>CCCCC\C=C/C\C=C/CCCCCCCC(=O)OCC1COP(O)(=O)O1</t>
  </si>
  <si>
    <t>AZRMIMGGEACCGU-HZJYTTRNSA-N</t>
  </si>
  <si>
    <t>C21H37O6P</t>
  </si>
  <si>
    <t>4.07_245.1636n</t>
  </si>
  <si>
    <t>Isovalerylcarnitine</t>
  </si>
  <si>
    <t>HMDB0000688</t>
  </si>
  <si>
    <t>LMFA07070076</t>
  </si>
  <si>
    <t>31023-24-2</t>
  </si>
  <si>
    <t>[N+](C)(C)(C)CC(OC(=O)CC(C)C)CC(=O)[O-]</t>
  </si>
  <si>
    <t>IGQBPDJNUXPEMT-UHFFFAOYSA-N</t>
  </si>
  <si>
    <t>C12H23NO4</t>
  </si>
  <si>
    <t>0.74_241.1554m/z</t>
  </si>
  <si>
    <t>Cerulenin</t>
  </si>
  <si>
    <t>HMDB0015168</t>
  </si>
  <si>
    <t>C12058</t>
  </si>
  <si>
    <t>17397-89-6</t>
  </si>
  <si>
    <t>CC=CCC=CCCC(=O)[C@H]1O[C@H]1C(N)=O</t>
  </si>
  <si>
    <t>GVEZIHKRYBHEFX-GHMZBOCLSA-N</t>
  </si>
  <si>
    <t>Oxirane carboxylic acids and derivatives</t>
  </si>
  <si>
    <t>C12H17NO3</t>
  </si>
  <si>
    <t>4.28_383.2302m/z</t>
  </si>
  <si>
    <t>Merodesmosine</t>
  </si>
  <si>
    <t>HMDB0030407</t>
  </si>
  <si>
    <t>17096-97-8</t>
  </si>
  <si>
    <t>NC(CCCCNC\C(CCC(N)C(O)=O)=C\CCCC(N)C(O)=O)C(O)=O</t>
  </si>
  <si>
    <t>ZUXGPPMNMKSOEO-LFYBBSHMSA-N</t>
  </si>
  <si>
    <t>C18H34N4O6</t>
  </si>
  <si>
    <t>12.10_467.3390n</t>
  </si>
  <si>
    <t>PE(O-18:0/0:0)</t>
  </si>
  <si>
    <t>LMGP02060003</t>
  </si>
  <si>
    <t>[C@](COP(=O)(O)OCCN)([H])(O)COCCCCCCCCCCCCCCCCCC</t>
  </si>
  <si>
    <t>JIJGULMDDZORPH-HSZRJFAPSA-N</t>
  </si>
  <si>
    <t>C23H50NO6P</t>
  </si>
  <si>
    <t>4.22_585.2854n</t>
  </si>
  <si>
    <t>Amikacin</t>
  </si>
  <si>
    <t>HMDB0014622</t>
  </si>
  <si>
    <t>C06820</t>
  </si>
  <si>
    <t>37517-28-5</t>
  </si>
  <si>
    <t>NCC[C@H](O)C(=O)N[C@@H]1C[C@H](N)[C@@H](O[C@H]2O[C@H](CN)[C@@H](O)[C@H](O)[C@H]2O)[C@H](O)[C@H]1O[C@H]1O[C@H](CO)[C@@H](O)[C@H](N)[C@H]1O</t>
  </si>
  <si>
    <t>LKCWBDHBTVXHDL-RMDFUYIESA-N</t>
  </si>
  <si>
    <t>C22H43N5O13</t>
  </si>
  <si>
    <t>9.97_416.3747m/z</t>
  </si>
  <si>
    <t>Nebraskanic acid</t>
  </si>
  <si>
    <t>LMFA01050558</t>
  </si>
  <si>
    <t>C(CCCCC[C@H](O)CCCCCCC/C=C\C[C@H](O)CCCCCC)(=O)O</t>
  </si>
  <si>
    <t>XTSZRMFZUAMBRN-FIIQTUGESA-N</t>
  </si>
  <si>
    <t>C24H46O4</t>
  </si>
  <si>
    <t>9.87_357.2073m/z</t>
  </si>
  <si>
    <t>14-epi-14-J4-NeuroP</t>
  </si>
  <si>
    <t>LMFA04010499</t>
  </si>
  <si>
    <t>C(CC/C=C\C[C@H]1C=CC(=O)[C@H]1/C=C/[C@H](O)C/C=C\C/C=C\CC)(=O)O</t>
  </si>
  <si>
    <t>SLTMIIJERDOHIQ-DQKNRYEOSA-N</t>
  </si>
  <si>
    <t>5.89_213.0222m/z</t>
  </si>
  <si>
    <t>4-Allylphenol sulfate</t>
  </si>
  <si>
    <t>HMDB0170765</t>
  </si>
  <si>
    <t>1823179-01-6</t>
  </si>
  <si>
    <t>OS(=O)(=O)OC1=CC=C(CC=C)C=C1</t>
  </si>
  <si>
    <t>KFDHKOFCRYUXLA-UHFFFAOYSA-N</t>
  </si>
  <si>
    <t>Organic sulfuric acids and derivatives</t>
  </si>
  <si>
    <t>Arylsulfates</t>
  </si>
  <si>
    <t>C9H10O4S</t>
  </si>
  <si>
    <t>5.35_415.1354m/z</t>
  </si>
  <si>
    <t>Marmesin rhamnoside</t>
  </si>
  <si>
    <t>HMDB0039564</t>
  </si>
  <si>
    <t>142347-99-7</t>
  </si>
  <si>
    <t>CC1OC(OC(C)(C)C2CC3=C(O2)C=C2OC(=O)C=CC2=C3)C(O)C(O)C1O</t>
  </si>
  <si>
    <t>HOSJGHRJSDQCPE-UHFFFAOYSA-N</t>
  </si>
  <si>
    <t>Furanocoumarins</t>
  </si>
  <si>
    <t>8.58_361.2970m/z</t>
  </si>
  <si>
    <t>Sitamaquine</t>
  </si>
  <si>
    <t>HMDB0258315</t>
  </si>
  <si>
    <t>CCN(CC)CCCCCCNC1=CC(OC)=CC2=C(C)C=CN=C12</t>
  </si>
  <si>
    <t>RVAKDGYPIVSYEU-UHFFFAOYSA-N</t>
  </si>
  <si>
    <t>Aminoquinolines and derivatives</t>
  </si>
  <si>
    <t>C21H33N3O</t>
  </si>
  <si>
    <t>11.78_535.3654n</t>
  </si>
  <si>
    <t>PE(22:1(13Z)/0:0)</t>
  </si>
  <si>
    <t>HMDB0011521</t>
  </si>
  <si>
    <t>LMGP02050068</t>
  </si>
  <si>
    <t>C(OP(OCCN)(O)=O)[C@]([H])(O)COC(=O)CCCCCCCCCCC/C=C\CCCCCCCC</t>
  </si>
  <si>
    <t>XHNHVLOJRORARF-RASRKNKNSA-N</t>
  </si>
  <si>
    <t>M+H, M+Na, M+</t>
  </si>
  <si>
    <t>C27H54NO7P</t>
  </si>
  <si>
    <t>13.08_463.0131m/z</t>
  </si>
  <si>
    <t>2-((2-((Dimethoxyphosphorothioyl)thio)-4-ethoxy-4-oxobutanoyl)oxy)-2-methylmalonic acid</t>
  </si>
  <si>
    <t>HMDB0257626</t>
  </si>
  <si>
    <t>CCOC(=O)CC(SP(=S)(OC)OC)C(=O)OC(C)(C(O)=O)C(O)=O</t>
  </si>
  <si>
    <t>KOKOOLHQTMYIQF-UHFFFAOYSA-N</t>
  </si>
  <si>
    <t>Tetracarboxylic acids and derivatives</t>
  </si>
  <si>
    <t>C12H19O10PS2</t>
  </si>
  <si>
    <t>11.03_684.9633m/z</t>
  </si>
  <si>
    <t>Adenosine 5'-pentaphosphate</t>
  </si>
  <si>
    <t>HMDB0059647</t>
  </si>
  <si>
    <t>C20198</t>
  </si>
  <si>
    <t>NC1=C2N=CN([C@@H]3O[C@H](CO[P@@](O)(=O)O[P@](O)(=O)O[P@@](O)(=O)O[P@@](O)(=O)OP(O)(O)=O)[C@@H](O)[C@H]3O)C2=NC=N1</t>
  </si>
  <si>
    <t>WYJWVZZCMBUPSP-KQYNXXCUSA-N</t>
  </si>
  <si>
    <t>Purine ribonucleotides</t>
  </si>
  <si>
    <t>C10H18N5O19P5</t>
  </si>
  <si>
    <t>0.74_440.2031n</t>
  </si>
  <si>
    <t>3'-Hydroxy-HT2 toxin</t>
  </si>
  <si>
    <t>HMDB0036162</t>
  </si>
  <si>
    <t>78368-54-4</t>
  </si>
  <si>
    <t>CC(=O)OCC12CC(OC(=O)CC(C)(C)O)C(C)=CC1OC1C(O)C(O)C2(C)C11CO1</t>
  </si>
  <si>
    <t>OJBCMLLFVXXDGS-UHFFFAOYSA-N</t>
  </si>
  <si>
    <t>C22H32O9</t>
  </si>
  <si>
    <t>14.72_679.5161m/z</t>
  </si>
  <si>
    <t>DG(PGF2alpha/0:0/a-17:0)</t>
  </si>
  <si>
    <t>HMDB0297750</t>
  </si>
  <si>
    <t>CCCCC[C@H](O)\C=C\[C@H]1[C@H](O)C[C@H](O)[C@@H]1C\C=C\CCCC(=O)OC[C@@H](O)COC(=O)CCCCCCCCCCCCC(C)CC</t>
  </si>
  <si>
    <t>AJMWMDUCLSWVCC-CGLFTBKNSA-N</t>
  </si>
  <si>
    <t>C40H72O8</t>
  </si>
  <si>
    <t>10.25_595.9249m/z</t>
  </si>
  <si>
    <t>Perfluorooctane sulfonamidoacetic acid</t>
  </si>
  <si>
    <t>HMDB0256327</t>
  </si>
  <si>
    <t>OC(=O)CNS(=O)(=O)C(F)(F)C(F)(F)C(F)(F)C(F)(F)C(F)(F)C(F)(F)C(F)(F)C(F)(F)F</t>
  </si>
  <si>
    <t>AYLOUUCBACYHAB-UHFFFAOYSA-N</t>
  </si>
  <si>
    <t>Alkyl halides</t>
  </si>
  <si>
    <t>Alkyl fluorides</t>
  </si>
  <si>
    <t>C10H4F17NO4S</t>
  </si>
  <si>
    <t>5.22_409.2213m/z</t>
  </si>
  <si>
    <t>Oleandolide</t>
  </si>
  <si>
    <t>LMPK04000031</t>
  </si>
  <si>
    <t>C11990</t>
  </si>
  <si>
    <t>[C@@]12(CO1)C[C@H](C)[C@H](O)[C@@H](C)[C@@H]([C@@H](C)C(O[C@H](C)[C@H](C)[C@H](O)[C@@H](C)C2=O)=O)O</t>
  </si>
  <si>
    <t>PFDLUBNRHMFBGI-HRVFELILSA-N</t>
  </si>
  <si>
    <t>3.80_356.1731n</t>
  </si>
  <si>
    <t>19-Epischolaricine</t>
  </si>
  <si>
    <t>HMDB0244830</t>
  </si>
  <si>
    <t>COC(=O)C1=C2NC3=C(O)C=CC=C3C22CCN3CC(C(C)O)C1CC23</t>
  </si>
  <si>
    <t>GNCUCBQZLQLSOF-UHFFFAOYSA-N</t>
  </si>
  <si>
    <t>Strychnos alkaloids</t>
  </si>
  <si>
    <t>C20H24N2O4</t>
  </si>
  <si>
    <t>11.11_583.3365m/z</t>
  </si>
  <si>
    <t>Thioperamide</t>
  </si>
  <si>
    <t>HMDB0259023</t>
  </si>
  <si>
    <t>C17933</t>
  </si>
  <si>
    <t>148440-81-7</t>
  </si>
  <si>
    <t>SC(=NC1CCCCC1)N1CCC(CC1)C1=CN=CN1</t>
  </si>
  <si>
    <t>QKDDJDBFONZGBW-UHFFFAOYSA-N</t>
  </si>
  <si>
    <t>C15H24N4S</t>
  </si>
  <si>
    <t>1.99_211.1085m/z</t>
  </si>
  <si>
    <t>Hydroxyprolyl-Proline</t>
  </si>
  <si>
    <t>HMDB0028871</t>
  </si>
  <si>
    <t>OC1CNC(C1)C(=O)N1CCCC1C(O)=O</t>
  </si>
  <si>
    <t>GIOMWAZJQDYWEU-UHFFFAOYSA-N</t>
  </si>
  <si>
    <t>C10H16N2O4</t>
  </si>
  <si>
    <t>9.83_407.0132m/z</t>
  </si>
  <si>
    <t>O-methoxycatechol-O-sulphate</t>
  </si>
  <si>
    <t>HMDB0060013</t>
  </si>
  <si>
    <t>COC1=CC=CC=C1OS(O)(=O)=O</t>
  </si>
  <si>
    <t>AQTYXAPIHMXAAV-UHFFFAOYSA-N</t>
  </si>
  <si>
    <t>C7H8O5S</t>
  </si>
  <si>
    <t>14.47_559.4735m/z</t>
  </si>
  <si>
    <t>Muricadienin</t>
  </si>
  <si>
    <t>HMDB0032850</t>
  </si>
  <si>
    <t>206131-77-3</t>
  </si>
  <si>
    <t>CCCCCCCCCCCC\C=C/CC\C=C/CCCCCCCCCCCCC1=CC(C)OC1=O</t>
  </si>
  <si>
    <t>ZZXWNKPYSIVFNM-XUWLZAGCSA-N</t>
  </si>
  <si>
    <t>C35H62O2</t>
  </si>
  <si>
    <t>10.31_279.2327m/z</t>
  </si>
  <si>
    <t>9R-HODE</t>
  </si>
  <si>
    <t>HMDB04670</t>
  </si>
  <si>
    <t>LMFA02000036</t>
  </si>
  <si>
    <t>C14767</t>
  </si>
  <si>
    <t>hsa00591,hsa03320</t>
  </si>
  <si>
    <t>Linoleic acid metabolism|PPAR signaling pathway</t>
  </si>
  <si>
    <t>10075-11-3</t>
  </si>
  <si>
    <t>C(CCCCCCC[C@@H](O)/C=C/C=C\CCCCC)(=O)O</t>
  </si>
  <si>
    <t>NPDSHTNEKLQQIJ-WXUVIADPSA-N</t>
  </si>
  <si>
    <t>4.82_166.0621n</t>
  </si>
  <si>
    <t>Atrolactic acid</t>
  </si>
  <si>
    <t>CC(C1=CC=CC=C1)(C(=O)O)O</t>
  </si>
  <si>
    <t>NWCHELUCVWSRRS-UHFFFAOYSA-N</t>
  </si>
  <si>
    <t>C9H10O3</t>
  </si>
  <si>
    <t>385</t>
  </si>
  <si>
    <t>Glycylproline</t>
  </si>
  <si>
    <t>HMDB0000721</t>
  </si>
  <si>
    <t>NCC(=O)N1CCC[C@H]1C(O)=O</t>
  </si>
  <si>
    <t>KZNQNBZMBZJQJO-YFKPBYRVSA-N</t>
  </si>
  <si>
    <t>9.30_353.0043m/z</t>
  </si>
  <si>
    <t>(R)-Mevalonic acid-5-pyrophosphate</t>
  </si>
  <si>
    <t>HMDB0001981</t>
  </si>
  <si>
    <t>1492-08-6</t>
  </si>
  <si>
    <t>C[C@](O)(CCOP(O)(=O)OP(O)(O)=O)CC(O)=O</t>
  </si>
  <si>
    <t>SIGQQUBJQXSAMW-LURJTMIESA-N</t>
  </si>
  <si>
    <t>Organic pyrophosphates</t>
  </si>
  <si>
    <t>C6H14O10P2</t>
  </si>
  <si>
    <t>7.82_375.2158m/z</t>
  </si>
  <si>
    <t>PGD2</t>
  </si>
  <si>
    <t>HMDB0001403</t>
  </si>
  <si>
    <t>LMFA03010004</t>
  </si>
  <si>
    <t>C00696</t>
  </si>
  <si>
    <t>hsa00590,hsa04080,hsa04664,hsa05143,hsa05310</t>
  </si>
  <si>
    <t>Arachidonic acid metabolism|Neuroactive ligand-receptor interaction|Fc epsilon RI signaling pathway|African trypanosomiasis|Asthma</t>
  </si>
  <si>
    <t>R-HSA-1266738,R-HSA-1430728,R-HSA-162582,R-HSA-1643685,R-HSA-2142753,R-HSA-2162123,R-HSA-372790,R-HSA-373076,R-HSA-382551,R-HSA-388396,R-HSA-391903,R-HSA-391908,R-HSA-418555,R-HSA-418594,R-HSA-425397,R-HSA-425407,R-HSA-500792,R-HSA-556833,R-HSA-5619095,R-HSA-5619102,R-HSA-5619115,R-HSA-879518,R-HSA-8978868,R-HSA-9690406</t>
  </si>
  <si>
    <t>Developmental Biology|Metabolism|Signal Transduction|Disease|Arachidonic acid metabolism|Synthesis of Prostaglandins (PG) and Thromboxanes (TX)|Signaling by GPCR|Class A/1 (Rhodopsin-like receptors)|Transport of small molecules|GPCR downstream signalling|Eicosanoid ligand-binding receptors|Prostanoid ligand receptors|G alpha (s) signalling events|G alpha (i) signalling events|Transport of vitamins, nucleosides, and related molecules|SLC-mediated transmembrane transport|GPCR ligand binding|Metabolism of lipids|Defective SLCO2A1 causes primary, autosomal recessive hypertrophic osteoarthropathy 2 (PHOAR2)|SLC transporter disorders|Disorders of transmembrane transporters|Transport of organic anions|Fatty acid metabolism|Transcriptional regulation of testis differentiation</t>
  </si>
  <si>
    <t>41598-07-6</t>
  </si>
  <si>
    <t>[C@H]1(/C=C/[C@@H](O)CCCCC)C(=O)C[C@H](O)[C@@H]1C/C=C\CCCC(=O)O</t>
  </si>
  <si>
    <t>BHMBVRSPMRCCGG-OUTUXVNYSA-N</t>
  </si>
  <si>
    <t>0.74_326.1832m/z</t>
  </si>
  <si>
    <t>Vildagliptin</t>
  </si>
  <si>
    <t>HMDB0015596</t>
  </si>
  <si>
    <t>274901-16-5</t>
  </si>
  <si>
    <t>OC12CC3CC(C1)CC(C3)(C2)NCC(=O)N1CCC[C@H]1C#N</t>
  </si>
  <si>
    <t>SYOKIDBDQMKNDQ-XWTIBIIYSA-N</t>
  </si>
  <si>
    <t>C17H25N3O2</t>
  </si>
  <si>
    <t>9.03_449.3155n</t>
  </si>
  <si>
    <t>Glycochenodeoxycholic acid</t>
  </si>
  <si>
    <t>HMDB0000637</t>
  </si>
  <si>
    <t>LMST05030008</t>
  </si>
  <si>
    <t>C05466</t>
  </si>
  <si>
    <t>640-79-9</t>
  </si>
  <si>
    <t>[C@]12([C@H](O)C[C@]3([H])C[C@H](O)CC[C@]3(C)[C@@]1([H])CC[C@]1(C)[C@@]([H])([C@@](C)([H])CCC(=O)NCC(=O)O)CC[C@@]21[H])[H]</t>
  </si>
  <si>
    <t>GHCZAUBVMUEKKP-GYPHWSFCSA-N</t>
  </si>
  <si>
    <t>C26H43NO5</t>
  </si>
  <si>
    <t>5.97_477.2107m/z</t>
  </si>
  <si>
    <t>Atractyligenin 2-glucuronide</t>
  </si>
  <si>
    <t>HMDB0240481</t>
  </si>
  <si>
    <t>[H][C@]12C[C@@]3(CC[C@]4([H])[C@@]([H])(C[C@]([H])(C[C@@]4(C)[C@]3([H])CC1)O[C@]1([H])O[C@]([H])(C(O)=O)[C@@]([H])(O)[C@]([H])(O)[C@@]1([H])O)C(O)=O)[C@@]([H])(O)C2=C</t>
  </si>
  <si>
    <t>OYOQJMWAEWJXTA-WNFLXSAPSA-N</t>
  </si>
  <si>
    <t>5.06_245.1393m/z</t>
  </si>
  <si>
    <t>Hexyl glucoside</t>
  </si>
  <si>
    <t>HMDB0031688</t>
  </si>
  <si>
    <t>59080-45-4</t>
  </si>
  <si>
    <t>CCCCCCOC1OC(CO)C(O)C(O)C1O</t>
  </si>
  <si>
    <t>JVAZJLFFSJARQM-UHFFFAOYSA-N</t>
  </si>
  <si>
    <t>C12H24O6</t>
  </si>
  <si>
    <t>10.64_395.1530m/z</t>
  </si>
  <si>
    <t>1-(2H-1,3-Benzodioxol-5-yl)-2-[2,6-dimethoxy-4-(prop-2-en-1-yl)phenoxy]propyl acetate</t>
  </si>
  <si>
    <t>HMDB0030827</t>
  </si>
  <si>
    <t>COC1=CC(CC=C)=CC(OC)=C1OC(C)C(OC(C)=O)C1=CC2=C(OCO2)C=C1</t>
  </si>
  <si>
    <t>TXMPVOYUEWSAFV-UHFFFAOYSA-N</t>
  </si>
  <si>
    <t>C23H26O7</t>
  </si>
  <si>
    <t>11.11_506.3253m/z</t>
  </si>
  <si>
    <t>PC(17:1(9Z)/0:0)</t>
  </si>
  <si>
    <t>LMGP01050126</t>
  </si>
  <si>
    <t>[C@](COP(=O)([O-])OCC[N+](C)(C)C)([H])(O)COC(CCCCCCC/C=C\CCCCCCC)=O</t>
  </si>
  <si>
    <t>LPMGFNAQZPADDZ-FJIRUFBNSA-N</t>
  </si>
  <si>
    <t>8.72_336.2521m/z</t>
  </si>
  <si>
    <t>18-Hydroxyeicosapentaenoic acid</t>
  </si>
  <si>
    <t>HMDB0257623</t>
  </si>
  <si>
    <t>CCC(O)CCCCCCC=CC=CC=CC=CC=CC(O)=O</t>
  </si>
  <si>
    <t>IVVBLUGHDNNLFF-UHFFFAOYSA-N</t>
  </si>
  <si>
    <t>7.85_349.2022m/z</t>
  </si>
  <si>
    <t>8-iso-15-keto-PGE2</t>
  </si>
  <si>
    <t>HMDB0002341</t>
  </si>
  <si>
    <t>914804-63-0</t>
  </si>
  <si>
    <t>CCCCCC(=O)\C=C\[C@H]1C(O)CC(=O)[C@H]1C\C=C/CCCC(O)=O</t>
  </si>
  <si>
    <t>YRTJDWROBKPZNV-LSAJIUQUSA-N</t>
  </si>
  <si>
    <t>10.09_399.3361n</t>
  </si>
  <si>
    <t>Palmitoylcarnitine</t>
  </si>
  <si>
    <t>HMDB0000222</t>
  </si>
  <si>
    <t>LMFA07070004</t>
  </si>
  <si>
    <t>C02990</t>
  </si>
  <si>
    <t>hsa00071</t>
  </si>
  <si>
    <t>Fatty acid degradation</t>
  </si>
  <si>
    <t>R-HSA-1430728,R-HSA-162582,R-HSA-200425,R-HSA-5362517,R-HSA-556833,R-HSA-8978868,R-HSA-9006931</t>
  </si>
  <si>
    <t>Metabolism|Signal Transduction|Carnitine metabolism|Signaling by Retinoic Acid|Metabolism of lipids|Fatty acid metabolism|Signaling by Nuclear Receptors</t>
  </si>
  <si>
    <t>2364-67-2</t>
  </si>
  <si>
    <t>O=C(O[C@](CC([O-])=O)(C[N+](C)(C)C)[H])CCCCCCCCCCCCCCC</t>
  </si>
  <si>
    <t>XOMRRQXKHMYMOC-OAQYLSRUSA-N</t>
  </si>
  <si>
    <t>C23H45NO4</t>
  </si>
  <si>
    <t>13.51_380.2103n</t>
  </si>
  <si>
    <t>Carboxyfentanyl</t>
  </si>
  <si>
    <t>HMDB0249661</t>
  </si>
  <si>
    <t>OC(=O)CCC(=O)N(C1CCN(CCC2=CC=CC=C2)CC1)C1=CC=CC=C1</t>
  </si>
  <si>
    <t>MEVFKTVEGJUHHI-UHFFFAOYSA-N</t>
  </si>
  <si>
    <t>Fentanyls</t>
  </si>
  <si>
    <t>M+, M+NH4</t>
  </si>
  <si>
    <t>C23H28N2O3</t>
  </si>
  <si>
    <t>4.93_415.1603m/z</t>
  </si>
  <si>
    <t>Diffusoside B</t>
  </si>
  <si>
    <t>LMPR0102070053</t>
  </si>
  <si>
    <t>C1(C(=O)OC)[C@@]2([H])[C@H](OCC)C=C(CO)[C@@]2([H])[C@H](O[C@H]2[C@H](O)[C@@H](O)[C@H](O)[C@@H](CO)O2)OC=1</t>
  </si>
  <si>
    <t>WGNXATPUZSSFNF-XYRJWDFLSA-N</t>
  </si>
  <si>
    <t>C19H28O11</t>
  </si>
  <si>
    <t>7.28_577.3397n</t>
  </si>
  <si>
    <t>PS(22:2(13Z,16Z)/0:0)</t>
  </si>
  <si>
    <t>LMGP03050024</t>
  </si>
  <si>
    <t>C(O)(=O)[C@@]([H])(N)COP(OC[C@]([H])(O)COC(CCCCCCCCCCC/C=C\C/C=C\CCCCC)=O)(=O)O</t>
  </si>
  <si>
    <t>DSUKBLPUEMZQIX-ARCRADLVSA-N</t>
  </si>
  <si>
    <t>C28H52NO9P</t>
  </si>
  <si>
    <t>3.67_315.1674m/z</t>
  </si>
  <si>
    <t>(6Z)-Oct-6-enedioylcarnitine</t>
  </si>
  <si>
    <t>HMDB0241707</t>
  </si>
  <si>
    <t>C[N+](C)(C)CC(CC([O-])=O)OC(=O)CCCCC=CC(O)=O</t>
  </si>
  <si>
    <t>XZEUQPYAKYHAIW-UHFFFAOYSA-N</t>
  </si>
  <si>
    <t>C15H25NO6</t>
  </si>
  <si>
    <t>10.63_864.6253m/z</t>
  </si>
  <si>
    <t>PC(O-20:0/20:3(8Z,11Z,14Z))</t>
  </si>
  <si>
    <t>LMGP01020237</t>
  </si>
  <si>
    <t>[C@](COP(=O)([O-])OCC[N+](C)(C)C)([H])(OC(CCCCCC/C=C\C/C=C\C/C=C\CCCCC)=O)COCCCCCCCCCCCCCCCCCCCC</t>
  </si>
  <si>
    <t>BCEAHYQVENOHDO-DRFCSKHVSA-N</t>
  </si>
  <si>
    <t>C48H92NO7P</t>
  </si>
  <si>
    <t>12.72_280.2411n</t>
  </si>
  <si>
    <t>13-octadecynoic acid</t>
  </si>
  <si>
    <t>LMFA01030571</t>
  </si>
  <si>
    <t>C(CCCCCCCCCCCC#CCCCC)(=O)O</t>
  </si>
  <si>
    <t>MGIJBVDAWHPXLV-UHFFFAOYSA-N</t>
  </si>
  <si>
    <t>6.92_411.1193m/z</t>
  </si>
  <si>
    <t>(2S,3S,4S,5R)-6-(Benzo[b][1]benzazepine-11-carbonylamino)-3,4,5-trihydroxyoxane-2-carboxylic acid</t>
  </si>
  <si>
    <t>HMDB0242156</t>
  </si>
  <si>
    <t>[H]C1(O[C@]([H])(C(O)=O)[C@@]([H])(O)[C@]([H])(O)[C@@]1([H])O)N=C(O)N1C2=CC=CC=C2C=CC2=CC=CC=C12</t>
  </si>
  <si>
    <t>VKZWFMGCAPKSML-BMMZCLLGSA-N</t>
  </si>
  <si>
    <t>Benzazepines</t>
  </si>
  <si>
    <t>Dibenzazepines</t>
  </si>
  <si>
    <t>C21H20N2O7</t>
  </si>
  <si>
    <t>8.29_337.2384m/z</t>
  </si>
  <si>
    <t>PGE1</t>
  </si>
  <si>
    <t>HMDB0001442</t>
  </si>
  <si>
    <t>LMFA03010134</t>
  </si>
  <si>
    <t>C04741</t>
  </si>
  <si>
    <t>R-HSA-1643685,R-HSA-382551,R-HSA-425397,R-HSA-425407,R-HSA-5619095,R-HSA-5619102,R-HSA-5619115,R-HSA-879518</t>
  </si>
  <si>
    <t>Disease|Transport of small molecules|Transport of vitamins, nucleosides, and related molecules|SLC-mediated transmembrane transport|Defective SLCO2A1 causes primary, autosomal recessive hypertrophic osteoarthropathy 2 (PHOAR2)|SLC transporter disorders|Disorders of transmembrane transporters|Transport of organic anions</t>
  </si>
  <si>
    <t>745-65-3</t>
  </si>
  <si>
    <t>[C@H]1(/C=C/[C@@H](O)CCCCC)[C@H](O)CC(=O)[C@@H]1CCCCCCC(=O)O</t>
  </si>
  <si>
    <t>GMVPRGQOIOIIMI-DWKJAMRDSA-N</t>
  </si>
  <si>
    <t>8.23_373.2021m/z</t>
  </si>
  <si>
    <t>7-OXOCALLITRISIC ACID, METHYL ESTER</t>
  </si>
  <si>
    <t>155473-19-1</t>
  </si>
  <si>
    <t>CC(C)C1=CC2=C(C=C1)C3(CCCC(C3CC2=O)(C)C(=O)OC)C</t>
  </si>
  <si>
    <t>URPBIQPJABGDJD-VTVVEXCCSA-N</t>
  </si>
  <si>
    <t>C21H28O3</t>
  </si>
  <si>
    <t>9.54_299.2015m/z</t>
  </si>
  <si>
    <t>Dalterpenoid A</t>
  </si>
  <si>
    <t>LMPR0104050013</t>
  </si>
  <si>
    <t>[C@@H]1(O)[C@@H](O)C[C@@]2(C)C3C=CC(C(C)C)=CC=3C(=O)C[C@]2([H])C1(C)C</t>
  </si>
  <si>
    <t>BOWMWLRYFHYBLQ-XFKSJGNHSA-N</t>
  </si>
  <si>
    <t>8.99_293.1760m/z</t>
  </si>
  <si>
    <t>Phytuberin</t>
  </si>
  <si>
    <t>HMDB0035754</t>
  </si>
  <si>
    <t>C09709</t>
  </si>
  <si>
    <t>37209-50-0</t>
  </si>
  <si>
    <t>CC(=O)OC(C)(C)C1CCC2(C)COC3(C)C=COC23C1</t>
  </si>
  <si>
    <t>YARAJYKHRCCDLG-UHFFFAOYSA-N</t>
  </si>
  <si>
    <t>9.52_405.2266m/z</t>
  </si>
  <si>
    <t>Resolvin D5</t>
  </si>
  <si>
    <t>HMDB0004038</t>
  </si>
  <si>
    <t>LMFA04030003</t>
  </si>
  <si>
    <t>C(CC/C=C\C[C@H](O)/C=C/C=C\C/C=C\C=C\[C@@H](O)C/C=C\CC)(=O)O</t>
  </si>
  <si>
    <t>CFOFZYMMJZILHE-XGTWDWJNSA-N</t>
  </si>
  <si>
    <t>4.90_383.2077m/z</t>
  </si>
  <si>
    <t>Val Val Trp</t>
  </si>
  <si>
    <t>CC(C)C(C(=O)NC(C(C)C)C(=O)NC(CC1=CNC2=CC=CC=C21)C(=O)O)N</t>
  </si>
  <si>
    <t>WHNSHJJNWNSTSU-BZSNNMDCSA-N</t>
  </si>
  <si>
    <t>C21H30N4O4</t>
  </si>
  <si>
    <t>12.21_650.4401m/z</t>
  </si>
  <si>
    <t>PA(18:1(9Z)-O(12,13)/12:0)</t>
  </si>
  <si>
    <t>HMDB0262805</t>
  </si>
  <si>
    <t>[H][C@@](COC(=O)CCCCCCC\C=C/CC1OC1CCCCC)(COP(O)(O)=O)OC(=O)CCCCCCCCCCC</t>
  </si>
  <si>
    <t>QQSUMHIRAYQJRR-NPFGUKHCSA-N</t>
  </si>
  <si>
    <t>C33H61O9P</t>
  </si>
  <si>
    <t>0.73_296.0908n</t>
  </si>
  <si>
    <t>4-Carboxynevirapine</t>
  </si>
  <si>
    <t>HMDB0060759</t>
  </si>
  <si>
    <t>OC(=O)C1=CC=NC2=C1NC(=O)C1=CC=CN=C1N2C1CC1</t>
  </si>
  <si>
    <t>WDXCMIDQWGYHIN-UHFFFAOYSA-N</t>
  </si>
  <si>
    <t>C15H12N4O3</t>
  </si>
  <si>
    <t>9.66_761.4226m/z</t>
  </si>
  <si>
    <t>PA(PGD2/i-14:0)</t>
  </si>
  <si>
    <t>HMDB0267546</t>
  </si>
  <si>
    <t>CCCCC[C@H](O)\C=C\[C@@H]1[C@@H](C\C=C/CCCC(=O)OC[C@H](COP(O)(O)=O)OC(=O)CCCCCCCCCCC(C)C)[C@@H](O)CC1=O</t>
  </si>
  <si>
    <t>CBYUNJJCFMAYRV-FCGHPVHUSA-N</t>
  </si>
  <si>
    <t>C37H65O11P</t>
  </si>
  <si>
    <t>3.90_685.3541m/z</t>
  </si>
  <si>
    <t>1-Acetyl-3,27-dihydroxywitha-5,24-dienolide 3-glucoside</t>
  </si>
  <si>
    <t>HMDB0033729</t>
  </si>
  <si>
    <t>227179-08-0</t>
  </si>
  <si>
    <t>CC(C1CCC2C3CC=C4CC(CC(OC(C)=O)C4(C)C3CCC12C)OC1OC(CO)C(O)C(O)C1O)C1CC(C)=C(CO)C(=O)O1</t>
  </si>
  <si>
    <t>SKADEWVNQSRPEJ-UHFFFAOYSA-N</t>
  </si>
  <si>
    <t>C36H54O11</t>
  </si>
  <si>
    <t>9.03_351.2175m/z</t>
  </si>
  <si>
    <t>5S-Hp-18R-HEPE</t>
  </si>
  <si>
    <t>LMFA03070034</t>
  </si>
  <si>
    <t>C18176</t>
  </si>
  <si>
    <t>R-HSA-1430728,R-HSA-556833,R-HSA-9018678,R-HSA-9018679,R-HSA-9023661</t>
  </si>
  <si>
    <t>Metabolism|Metabolism of lipids|Biosynthesis of specialized proresolving mediators (SPMs)|Biosynthesis of EPA-derived SPMs|Biosynthesis of E-series 18(R)-resolvins</t>
  </si>
  <si>
    <t>C(CCC[C@H](OO)/C=C/C=C\C/C=C\C/C=C\C=C\[C@H](O)CC)(=O)O</t>
  </si>
  <si>
    <t>JIOJPWROWDJRKM-NNQKPOSRSA-N</t>
  </si>
  <si>
    <t>7.84_421.2207m/z</t>
  </si>
  <si>
    <t>Ouabagenin</t>
  </si>
  <si>
    <t>508-52-1</t>
  </si>
  <si>
    <t>CC12CC(C3C(C1(CCC2C4=CC(=O)OC4)O)CCC5(C3(C(CC(C5)O)O)CO)O)O</t>
  </si>
  <si>
    <t>BXSABLKMKAINIU-QOHCMMFCSA-N</t>
  </si>
  <si>
    <t>C23H34O8</t>
  </si>
  <si>
    <t>3.69_337.1517m/z</t>
  </si>
  <si>
    <t>Tryptophyl-Aspartate</t>
  </si>
  <si>
    <t>HMDB0029079</t>
  </si>
  <si>
    <t>NC(CC1=CNC2=C1C=CC=C2)C(=O)NC(CC(O)=O)C(O)=O</t>
  </si>
  <si>
    <t>PEEAINPHPNDNGE-UHFFFAOYSA-N</t>
  </si>
  <si>
    <t>C15H17N3O5</t>
  </si>
  <si>
    <t>9.09_298.1943n</t>
  </si>
  <si>
    <t>Norethynodrel</t>
  </si>
  <si>
    <t>HMDB0255736</t>
  </si>
  <si>
    <t>CC12CCC3C(CCC4=C3CCC(=O)C4)C1CCC2(O)C#C</t>
  </si>
  <si>
    <t>ICTXHFFSOAJUMG-UHFFFAOYSA-N</t>
  </si>
  <si>
    <t>Oxosteroids</t>
  </si>
  <si>
    <t>C20H26O2</t>
  </si>
  <si>
    <t>5.92_432.0143m/z</t>
  </si>
  <si>
    <t>3',4'-Dichlorobenzamil</t>
  </si>
  <si>
    <t>HMDB0246109</t>
  </si>
  <si>
    <t>NC(NC(=O)C1=C(N)N=C(N)C(Cl)=N1)=NCC1=CC(Cl)=C(Cl)C=C1</t>
  </si>
  <si>
    <t>OSHKWEFWXCCNJR-UHFFFAOYSA-N</t>
  </si>
  <si>
    <t>C13H12Cl3N7O</t>
  </si>
  <si>
    <t>5.10_394.1082m/z</t>
  </si>
  <si>
    <t>Amodiaquine</t>
  </si>
  <si>
    <t>HMDB0014751</t>
  </si>
  <si>
    <t>C07626</t>
  </si>
  <si>
    <t>86-42-0</t>
  </si>
  <si>
    <t>CCN(CC)CC1=C(O)C=CC(NC2=C3C=CC(Cl)=CC3=NC=C2)=C1</t>
  </si>
  <si>
    <t>OVCDSSHSILBFBN-UHFFFAOYSA-N</t>
  </si>
  <si>
    <t>C20H22ClN3O</t>
  </si>
  <si>
    <t>4.47_330.2036m/z</t>
  </si>
  <si>
    <t>Leu Leu Ser</t>
  </si>
  <si>
    <t>CC(C)CC(C(=O)NC(CC(C)C)C(=O)NC(CO)C(=O)O)N</t>
  </si>
  <si>
    <t>RXGLHDWAZQECBI-SRVKXCTJSA-N</t>
  </si>
  <si>
    <t>12.27_688.4200m/z</t>
  </si>
  <si>
    <t>OHDdiA-PE</t>
  </si>
  <si>
    <t>LMGP20020051</t>
  </si>
  <si>
    <t>[C@](COP(=O)(O)OCCN)([H])(OC(CCCCCCCC(O)/C=C/C(=O)O)=O)COC(CCCCCCC/C=C\CCCCCCCC)=O</t>
  </si>
  <si>
    <t>UTBCTKGYABIAGC-KLWWBXMVSA-N</t>
  </si>
  <si>
    <t>C35H64NO11P</t>
  </si>
  <si>
    <t>2.96_279.1352m/z</t>
  </si>
  <si>
    <t>Prolyl-Tyrosine</t>
  </si>
  <si>
    <t>HMDB0029029</t>
  </si>
  <si>
    <t>OC(=O)C(CC1=CC=C(O)C=C1)NC(=O)C1CCCN1</t>
  </si>
  <si>
    <t>OIDKVWTWGDWMHY-UHFFFAOYSA-N</t>
  </si>
  <si>
    <t>C14H18N2O4</t>
  </si>
  <si>
    <t>7.98_362.3277m/z</t>
  </si>
  <si>
    <t>1-O-(2R-methoxy-4Z-hexadecenyl)-sn-glycerol</t>
  </si>
  <si>
    <t>LMGL01020042</t>
  </si>
  <si>
    <t>[C@](CO)([H])(O)COC[C@H](OC)C/C=C\CCCCCCCCCCC</t>
  </si>
  <si>
    <t>VFDINTHTYMZZND-BPPCHPKBSA-N</t>
  </si>
  <si>
    <t>C20H40O4</t>
  </si>
  <si>
    <t>4.88_246.0748m/z</t>
  </si>
  <si>
    <t>2-(2-Phenylacetoxy)propionylglycine</t>
  </si>
  <si>
    <t>HMDB0059732</t>
  </si>
  <si>
    <t>CCC(=O)NC(OC(=O)CC1=CC=CC=C1)C(O)=O</t>
  </si>
  <si>
    <t>CFIIOIQADIQNGQ-UHFFFAOYSA-N</t>
  </si>
  <si>
    <t>C13H15NO5</t>
  </si>
  <si>
    <t>143</t>
  </si>
  <si>
    <t>L-Isoleucine</t>
  </si>
  <si>
    <t>HMDB0000172</t>
  </si>
  <si>
    <t>LMFA01100047</t>
  </si>
  <si>
    <t>C00407</t>
  </si>
  <si>
    <t>hsa00280,hsa00290,hsa00970,hsa05131</t>
  </si>
  <si>
    <t>Valine, leucine and isoleucine degradation|Valine, leucine and isoleucine biosynthesis|Aminoacyl-tRNA biosynthesis|Shigellosis</t>
  </si>
  <si>
    <t>73-32-5</t>
  </si>
  <si>
    <t>C([C@@H](N)[C@@H](C)CC)(=O)O</t>
  </si>
  <si>
    <t>AGPKZVBTJJNPAG-WHFBIAKZSA-N</t>
  </si>
  <si>
    <t>C6H13NO2</t>
  </si>
  <si>
    <t>3.10_439.1391m/z</t>
  </si>
  <si>
    <t>Hispolone</t>
  </si>
  <si>
    <t>HMDB0041442</t>
  </si>
  <si>
    <t>173933-40-9</t>
  </si>
  <si>
    <t>CC(=O)\C=C(/O)\C=C/C1=CC(O)=C(O)C=C1</t>
  </si>
  <si>
    <t>QDVIEIMMEUCFMW-IMVLGZNNSA-N</t>
  </si>
  <si>
    <t>Benzenediols</t>
  </si>
  <si>
    <t>C12H12O4</t>
  </si>
  <si>
    <t>6.62_306.2649m/z</t>
  </si>
  <si>
    <t>MG(13:0/0:0/0:0)</t>
  </si>
  <si>
    <t>HMDB0072845</t>
  </si>
  <si>
    <t>[H][C@@](O)(CO)COC(=O)CCCCCCCCCCCC</t>
  </si>
  <si>
    <t>CLRCAFAXMVNJRH-OAHLLOKOSA-N</t>
  </si>
  <si>
    <t>C16H32O4</t>
  </si>
  <si>
    <t>3.76_172.9906m/z</t>
  </si>
  <si>
    <t>Phenol sulphate</t>
  </si>
  <si>
    <t>HMDB0060015</t>
  </si>
  <si>
    <t>C02180</t>
  </si>
  <si>
    <t>R-HSA-1430728,R-HSA-156580,R-HSA-156584,R-HSA-211859</t>
  </si>
  <si>
    <t>Metabolism|Phase II - Conjugation of compounds|Cytosolic sulfonation of small molecules|Biological oxidations</t>
  </si>
  <si>
    <t>937-34-8</t>
  </si>
  <si>
    <t>OS(=O)(=O)OC1=CC=CC=C1</t>
  </si>
  <si>
    <t>CTYRPMDGLDAWRQ-UHFFFAOYSA-N</t>
  </si>
  <si>
    <t>C6H6O4S</t>
  </si>
  <si>
    <t>9.11_538.3525m/z</t>
  </si>
  <si>
    <t>Chenodeoxycholyltyrosine</t>
  </si>
  <si>
    <t>HMDB0242398</t>
  </si>
  <si>
    <t>CC(CCC(=O)NC(CC1=CC=C(O)C=C1)C(O)=O)C1CCC2C3C(O)CC4CC(O)CCC4(C)C3CCC12C</t>
  </si>
  <si>
    <t>GADRVMPNTDRMDU-UHFFFAOYSA-N</t>
  </si>
  <si>
    <t>C33H49NO6</t>
  </si>
  <si>
    <t>5.43_467.3241m/z</t>
  </si>
  <si>
    <t>N-Nitrosotomatidine</t>
  </si>
  <si>
    <t>HMDB0034102</t>
  </si>
  <si>
    <t>4847-05-6</t>
  </si>
  <si>
    <t>[H][C@]12C[C@@]3([H])[C@]4([H])CC[C@@]5([H])C[C@@H](O)CC[C@]5(C)[C@@]4([H])CC[C@]3(C)[C@@]1([H])[C@H](C)[C@]1(CC[C@H](C)CN1N=O)O2</t>
  </si>
  <si>
    <t>SGPLNSURQYXVNX-VXPJTDKGSA-N</t>
  </si>
  <si>
    <t>Steroidal alkaloids</t>
  </si>
  <si>
    <t>C27H44N2O3</t>
  </si>
  <si>
    <t>4.67_651.2465m/z</t>
  </si>
  <si>
    <t>3'-Sialyllactose</t>
  </si>
  <si>
    <t>HMDB0000825</t>
  </si>
  <si>
    <t>35890-38-1</t>
  </si>
  <si>
    <t>[H][C@]1(O[C@@](C[C@H](O)[C@H]1NC(C)=O)(O[C@H]1[C@@H](O)[C@@H](CO)O[C@@H](O[C@H]([C@H](O)CO)[C@H](O)[C@@H](O)C=O)[C@@H]1O)C(O)=O)[C@H](O)[C@H](O)CO</t>
  </si>
  <si>
    <t>OIZGSVFYNBZVIK-FHHHURIISA-N</t>
  </si>
  <si>
    <t>C23H39NO19</t>
  </si>
  <si>
    <t>0.62_752.9151m/z</t>
  </si>
  <si>
    <t>Perfluorotetradecanoic acid</t>
  </si>
  <si>
    <t>HMDB0256334</t>
  </si>
  <si>
    <t>OC(=O)C(F)(F)C(F)(F)C(F)(F)C(F)(F)C(F)(F)C(F)(F)C(F)(F)C(F)(F)C(F)(F)C(F)(F)C(F)(F)C(F)(F)C(F)(F)F</t>
  </si>
  <si>
    <t>RUDINRUXCKIXAJ-UHFFFAOYSA-N</t>
  </si>
  <si>
    <t>C14HF27O2</t>
  </si>
  <si>
    <t>10.69_312.3632m/z</t>
  </si>
  <si>
    <t>8E-Heneicosene</t>
  </si>
  <si>
    <t>LMFA11000041</t>
  </si>
  <si>
    <t>CCCCCCC/C=C/CCCCCCCCCCCC</t>
  </si>
  <si>
    <t>JSEZWBOLDGVZFR-BMRADRMJSA-N</t>
  </si>
  <si>
    <t>C21H42</t>
  </si>
  <si>
    <t>1.01_214.0097n</t>
  </si>
  <si>
    <t>Bis-A-tda</t>
  </si>
  <si>
    <t>HMDB0249237</t>
  </si>
  <si>
    <t>C(NC1=NN=CS1)NC1=NN=CS1</t>
  </si>
  <si>
    <t>WMAHFAYLCMTHCB-UHFFFAOYSA-N</t>
  </si>
  <si>
    <t>C5H6N6S2</t>
  </si>
  <si>
    <t>10.75_305.2481m/z</t>
  </si>
  <si>
    <t>Isotrinervidiol</t>
  </si>
  <si>
    <t>LMPR0104400003</t>
  </si>
  <si>
    <t>[C@]12(C)CC[C@@]3([H])C(C)=CCC[C@H](C)CCC(=C(C)[C@@]13[H])[C@@H](O)[C@@H]2O</t>
  </si>
  <si>
    <t>FXMHPHRSFCOEHI-ZLBDFBLOSA-N</t>
  </si>
  <si>
    <t>7.64_620.3210m/z</t>
  </si>
  <si>
    <t>PC(18:3(9,11,15)-OH(13)/2:0)</t>
  </si>
  <si>
    <t>HMDB0288893</t>
  </si>
  <si>
    <t>[H][C@@](COC(=O)CCCCCCC\C=C\C=C\C(O)C\C=C\CC)(COP([O-])(=O)OCC[N+](C)(C)C)OC(C)=O</t>
  </si>
  <si>
    <t>VQCNBZUFTYDSEW-ONGUXFDVSA-N</t>
  </si>
  <si>
    <t>10.76_344.2351n</t>
  </si>
  <si>
    <t>(+/-)-14-HDoHE</t>
  </si>
  <si>
    <t>LMFA04000030</t>
  </si>
  <si>
    <t>C(CC/C=C\C/C=C\C/C=C\C=C\C(O)C/C=C\C/C=C\CC)(=O)O</t>
  </si>
  <si>
    <t>ZNEBXONKCYFJAF-BGKMTWLOSA-N</t>
  </si>
  <si>
    <t>6.89_745.3613m/z</t>
  </si>
  <si>
    <t>(1-(5-Fluoropentyl)-1H-indol-3-yl)(4-methylnaphthalen-1-yl)methanone</t>
  </si>
  <si>
    <t>HMDB0242280</t>
  </si>
  <si>
    <t>CC1=CC=C(C(=O)C2=CN(CCCCCF)C3=CC=CC=C23)C2=CC=CC=C12</t>
  </si>
  <si>
    <t>IGBHZHCGWLHBAE-UHFFFAOYSA-N</t>
  </si>
  <si>
    <t>Naphthoylindoles</t>
  </si>
  <si>
    <t>C25H24FNO</t>
  </si>
  <si>
    <t>9.22_584.3355m/z</t>
  </si>
  <si>
    <t>PC(20:4(5Z,8Z,11Z,14Z)-OH(16R)/2:0)</t>
  </si>
  <si>
    <t>HMDB0288817</t>
  </si>
  <si>
    <t>[H][C@@](COC(=O)CCC\C=C/C\C=C/C\C=C/C\C=C/[C@@H](O)CCCC)(COP([O-])(=O)OCC[N+](C)(C)C)OC(C)=O</t>
  </si>
  <si>
    <t>AVRKLRJEBZBQSU-FHZVFZSXSA-N</t>
  </si>
  <si>
    <t>C30H52NO9P</t>
  </si>
  <si>
    <t>7.60_465.1930m/z</t>
  </si>
  <si>
    <t>Isoflupredone acetate</t>
  </si>
  <si>
    <t>HMDB0253640</t>
  </si>
  <si>
    <t>CC(=O)OCC(=O)C1(O)CCC2C3CCC4=CC(=O)C=CC4(C)C3(F)C(O)CC12C</t>
  </si>
  <si>
    <t>ZOCUOMKMBMEYQV-UHFFFAOYSA-N</t>
  </si>
  <si>
    <t>C23H29FO6</t>
  </si>
  <si>
    <t>13.69_664.4933n</t>
  </si>
  <si>
    <t>DG(i-16:0/0:0/20:4(7E,9E,11Z,13E)-3OH(5S,6R,15S))</t>
  </si>
  <si>
    <t>HMDB0299222</t>
  </si>
  <si>
    <t>CCCCC[C@@H](O)\C=C\C=C/C=C/C=C/[C@@H](O)[C@H](O)CCCC(=O)OC[C@H](O)COC(=O)CCCCCCCCCCCCC(C)C</t>
  </si>
  <si>
    <t>AYVNRXHXINAIIV-MWNKTGEUSA-N</t>
  </si>
  <si>
    <t>C39H68O8</t>
  </si>
  <si>
    <t>0.76_175.0022m/z</t>
  </si>
  <si>
    <t>Allopurinol</t>
  </si>
  <si>
    <t>HMDB0014581</t>
  </si>
  <si>
    <t>C06816</t>
  </si>
  <si>
    <t>315-30-0</t>
  </si>
  <si>
    <t>O=C1N=CN=C2NNC=C12</t>
  </si>
  <si>
    <t>OFCNXPDARWKPPY-UHFFFAOYSA-N</t>
  </si>
  <si>
    <t>Pyrazolopyrimidines</t>
  </si>
  <si>
    <t>Pyrazolo[3,4-d]pyrimidines</t>
  </si>
  <si>
    <t>C5H4N4O</t>
  </si>
  <si>
    <t>10.33_425.3025m/z</t>
  </si>
  <si>
    <t>1alpha,25-dihydroxy-24-norvitamin D3 / 1alpha,25-dihydroxy-24-norcholecalciferol</t>
  </si>
  <si>
    <t>LMST03020046</t>
  </si>
  <si>
    <t>[C@@H]1(O)C(=C)/C(=C\C=C2\[C@]3([H])CC[C@@]([C@@](C)([H])CCC(O)(C)C)([H])[C@@]3(C)CCC\2)/C[C@@H](O)C1</t>
  </si>
  <si>
    <t>NEPGKWAOGVSEMP-ZPURXJTESA-N</t>
  </si>
  <si>
    <t>C26H42O3</t>
  </si>
  <si>
    <t>11.19_616.3625m/z</t>
  </si>
  <si>
    <t>PC(22:4(7Z,10Z,13Z,16Z)/0:0)</t>
  </si>
  <si>
    <t>HMDB0010401</t>
  </si>
  <si>
    <t>LMGP01050124</t>
  </si>
  <si>
    <t>[C@](COP(=O)([O-])OCC[N+](C)(C)C)([H])(O)COC(CCCCC/C=C\C/C=C\C/C=C\C/C=C\CCCCC)=O</t>
  </si>
  <si>
    <t>ZOJBSSVHFSBHMP-JJJSWPRASA-N</t>
  </si>
  <si>
    <t>C30H54NO7P</t>
  </si>
  <si>
    <t>5.06_257.1006m/z</t>
  </si>
  <si>
    <t>5-Hydroxy-2-imino-1-methylimidazolidin-4-one</t>
  </si>
  <si>
    <t>HMDB0244988</t>
  </si>
  <si>
    <t>CN1C(O)C(=O)NC1=N</t>
  </si>
  <si>
    <t>SMQPRZPBBUJEGU-UHFFFAOYSA-N</t>
  </si>
  <si>
    <t>C4H7N3O2</t>
  </si>
  <si>
    <t>13.28_334.3114m/z</t>
  </si>
  <si>
    <t>Anandamide (20:2, n-6)</t>
  </si>
  <si>
    <t>LMFA08040002</t>
  </si>
  <si>
    <t>C(C/C=C\C/C=C\CCCCC)CCCCCCCC(=O)NCCO</t>
  </si>
  <si>
    <t>MWQCBVWCBTUPDQ-HZJYTTRNSA-N</t>
  </si>
  <si>
    <t>C22H41NO2</t>
  </si>
  <si>
    <t>12.97_330.2560n</t>
  </si>
  <si>
    <t>22:5(4Z,7Z,10Z,13Z,16Z)</t>
  </si>
  <si>
    <t>HMDB0001976</t>
  </si>
  <si>
    <t>LMFA04000064</t>
  </si>
  <si>
    <t>R-HSA-1430728,R-HSA-2046104,R-HSA-2046105,R-HSA-556833,R-HSA-8978868,R-HSA-9018678,R-HSA-9018683,R-HSA-9025106</t>
  </si>
  <si>
    <t>Metabolism|alpha-linolenic (omega3) and linoleic (omega6) acid metabolism|Linoleic acid (LA) metabolism|Metabolism of lipids|Fatty acid metabolism|Biosynthesis of specialized proresolving mediators (SPMs)|Biosynthesis of DPA-derived SPMs|Biosynthesis of DPAn-6 SPMs</t>
  </si>
  <si>
    <t>25448-00-4</t>
  </si>
  <si>
    <t>C(CC/C=C\C/C=C\C/C=C\C/C=C\C/C=C\CCCCC)(=O)O</t>
  </si>
  <si>
    <t>AVKOENOBFIYBSA-WMPRHZDHSA-N</t>
  </si>
  <si>
    <t>10.97_605.4582m/z</t>
  </si>
  <si>
    <t>3,4,3',4'-Tetrahydroxypirardixanthin</t>
  </si>
  <si>
    <t>LMPR01070675</t>
  </si>
  <si>
    <t>C1C(C)(C)[C@@H](/C=C/C(/C)=C/C=C/C(/C)=C/C=C/C=C(\C)/C=C/C=C(\C)/C=C/[C@H]2[C@H](C)[C@@H](O)[C@@H](O)CC2(C)C)[C@H](C)[C@@H](O)[C@H]1O</t>
  </si>
  <si>
    <t>JRDOTPFGWVUYGC-GORTYUBDSA-N</t>
  </si>
  <si>
    <t>C40H60O4</t>
  </si>
  <si>
    <t>12.74_664.4565m/z</t>
  </si>
  <si>
    <t>PS(P-16:0/12:0)</t>
  </si>
  <si>
    <t>LMGP03030001</t>
  </si>
  <si>
    <t>C(O)(=O)[C@@]([H])(N)COP(OC[C@]([H])(OC(CCCCCCCCCCC)=O)CO/C=C\CCCCCCCCCCCCCC)(=O)O</t>
  </si>
  <si>
    <t>IVTVTYQKHJKCQY-HRORMRJYSA-N</t>
  </si>
  <si>
    <t>C34H66NO9P</t>
  </si>
  <si>
    <t>9.52_350.2097n</t>
  </si>
  <si>
    <t>TXA3</t>
  </si>
  <si>
    <t>LMFA03030005</t>
  </si>
  <si>
    <t>C([C@H]1[C@H]2O[C@@H](O[C@@H]1/C=C/[C@@H](O)C/C=C\CC)C2)/C=C\CCCC(=O)O</t>
  </si>
  <si>
    <t>NMZKLLJQNNTBRJ-OIXZZONUSA-N</t>
  </si>
  <si>
    <t>0.71_258.0563m/z</t>
  </si>
  <si>
    <t>PPM-18</t>
  </si>
  <si>
    <t>65240-86-0</t>
  </si>
  <si>
    <t>C1=CC=C(C=C1)C(=O)NC2=CC(=O)C3=CC=CC=C3C2=O</t>
  </si>
  <si>
    <t>BIVQBWSIGJFXLF-UHFFFAOYSA-N</t>
  </si>
  <si>
    <t>Naphthoquinones</t>
  </si>
  <si>
    <t>C17H11NO3</t>
  </si>
  <si>
    <t>13.47_481.2994m/z</t>
  </si>
  <si>
    <t>5-Cholesten-3beta-25-diol-3-sulfate</t>
  </si>
  <si>
    <t>HMDB0259391</t>
  </si>
  <si>
    <t>CC(CCCC(C)(C)O)C1CCC2C3CC=C4CC(CCC4(C)C3CCC12C)OS(O)(=O)=O</t>
  </si>
  <si>
    <t>PIUZYOCNZPYXOA-UHFFFAOYSA-N</t>
  </si>
  <si>
    <t>C27H46O5S</t>
  </si>
  <si>
    <t>0.60_294.1437n</t>
  </si>
  <si>
    <t>Puromycin aminonucleoside</t>
  </si>
  <si>
    <t>HMDB0256927</t>
  </si>
  <si>
    <t>CN(C)C1=NC=NC2=C1N=CN2C1OC(CO)C(N)C1O</t>
  </si>
  <si>
    <t>RYSMHWILUNYBFW-UHFFFAOYSA-N</t>
  </si>
  <si>
    <t>Purine nucleosides</t>
  </si>
  <si>
    <t>Purine 3'-deoxyribonucleosides</t>
  </si>
  <si>
    <t>C12H18N6O3</t>
  </si>
  <si>
    <t>3.10_260.0695m/z</t>
  </si>
  <si>
    <t>1-beta-D-Arabinofuranosyl-5-fluorocytosine</t>
  </si>
  <si>
    <t>HMDB0246793</t>
  </si>
  <si>
    <t>NC1=NC(=O)N(C=C1F)C1OC(CO)C(O)C1O</t>
  </si>
  <si>
    <t>STRZQWQNZQMHQR-UHFFFAOYSA-N</t>
  </si>
  <si>
    <t>C9H12FN3O5</t>
  </si>
  <si>
    <t>8.75_211.1335m/z</t>
  </si>
  <si>
    <t>4,8-Dimethyl-3,7-nonadien-2-one, cis-</t>
  </si>
  <si>
    <t>HMDB0303223</t>
  </si>
  <si>
    <t>CC(C)=CCCC(C)=CC(C)=O</t>
  </si>
  <si>
    <t>QAFYGHBGWCPRCI-UHFFFAOYSA-N</t>
  </si>
  <si>
    <t>C11H18O</t>
  </si>
  <si>
    <t>8.52_394.2600m/z</t>
  </si>
  <si>
    <t>Resolvin D1</t>
  </si>
  <si>
    <t>HMDB03733</t>
  </si>
  <si>
    <t>LMFA04030011</t>
  </si>
  <si>
    <t>872993-05-0</t>
  </si>
  <si>
    <t>C(CC/C=C\C[C@H](O)[C@H](O)/C=C/C=C/C=C\C=C\[C@@H](O)C/C=C\CC)(=O)O</t>
  </si>
  <si>
    <t>OIWTWACQMDFHJG-CCFUIAGSSA-N</t>
  </si>
  <si>
    <t>126</t>
  </si>
  <si>
    <t>4-Ethoxy-4-Oxobutanoic Acid</t>
  </si>
  <si>
    <t>HMDB0061930</t>
  </si>
  <si>
    <t>CCOC(=O)CCC(O)=O</t>
  </si>
  <si>
    <t>LOLKAJARZKDJTD-UHFFFAOYSA-N</t>
  </si>
  <si>
    <t>C6H10O4</t>
  </si>
  <si>
    <t>11.09_487.2911m/z</t>
  </si>
  <si>
    <t>MGMG(16:2(7Z,10Z)/0:0)</t>
  </si>
  <si>
    <t>LMGL04010008</t>
  </si>
  <si>
    <t>O([C@H]1[C@H](O)[C@@H](O)[C@@H](O)[C@@H](CO)O1)C[C@@](O)([H])COC(CCCCC/C=C\C/C=C\CCCCC)=O</t>
  </si>
  <si>
    <t>JKTGDOGAVPBQDI-NQNUALNFSA-N</t>
  </si>
  <si>
    <t>Glycosylglycerols</t>
  </si>
  <si>
    <t>C25H44O9</t>
  </si>
  <si>
    <t>9.68_388.2625n</t>
  </si>
  <si>
    <t>3alpha-Hydroxy-15-oxo-5beta-chol-8-en-24-oic Acid</t>
  </si>
  <si>
    <t>LMST04010392</t>
  </si>
  <si>
    <t>C1[C@]2(C)C3CC[C@]4(C)[C@@]([H])([C@]([H])(C)CCC(O)=O)CC(=O)[C@@]4([H])C=3CC[C@]2([H])C[C@H](O)C1</t>
  </si>
  <si>
    <t>GJBRYWUZMHQTMU-CQOUQDOHSA-N</t>
  </si>
  <si>
    <t>C24H36O4</t>
  </si>
  <si>
    <t>14.63_494.3625n</t>
  </si>
  <si>
    <t>DG(8:0/18:2(9Z,11E)+=O(13)/0:0)</t>
  </si>
  <si>
    <t>HMDB0297167</t>
  </si>
  <si>
    <t>CCCCCCCC(=O)OC[C@H](CO)OC(=O)CCCCCCC\C=C/C=C/C(=O)CCCCC</t>
  </si>
  <si>
    <t>CAHSEWCJYBLNOP-BLRQXCIKSA-N</t>
  </si>
  <si>
    <t>C29H50O6</t>
  </si>
  <si>
    <t>8.62_683.2555m/z</t>
  </si>
  <si>
    <t>Veranisatin A</t>
  </si>
  <si>
    <t>HMDB0040663</t>
  </si>
  <si>
    <t>153445-92-2</t>
  </si>
  <si>
    <t>COCC1(O)C2CC3(C(C)CCC3(O)C11COC1=O)C(O)C(=O)O2</t>
  </si>
  <si>
    <t>LXPKORXZVZPYLY-UHFFFAOYSA-N</t>
  </si>
  <si>
    <t>C16H22O8</t>
  </si>
  <si>
    <t>6.06_371.2442m/z</t>
  </si>
  <si>
    <t>9-oxo capric acid</t>
  </si>
  <si>
    <t>LMFA01060033</t>
  </si>
  <si>
    <t>C(CCCC(=O)C)CCCC(=O)O</t>
  </si>
  <si>
    <t>BYFKKNYEIXWOQO-UHFFFAOYSA-N</t>
  </si>
  <si>
    <t>C10H18O3</t>
  </si>
  <si>
    <t>5.58_276.1605m/z</t>
  </si>
  <si>
    <t>Nona-2,4,6-trienoylcarnitine</t>
  </si>
  <si>
    <t>HMDB0241779</t>
  </si>
  <si>
    <t>CCC=CC=CC=CC(=O)OC(CC([O-])=O)C[N+](C)(C)C</t>
  </si>
  <si>
    <t>ZUCVFLWTMRTVEH-UHFFFAOYSA-N</t>
  </si>
  <si>
    <t>C16H25NO4</t>
  </si>
  <si>
    <t>9.42_375.1478m/z</t>
  </si>
  <si>
    <t>[3H]Rosiglitazone</t>
  </si>
  <si>
    <t>HMDB0243760</t>
  </si>
  <si>
    <t>CN(CCOC1=CC=C(CC2=C(O)NC(=O)S2)C=C1)C1=CC=CC=N1</t>
  </si>
  <si>
    <t>FLDPBMANMDLQTH-UHFFFAOYSA-N</t>
  </si>
  <si>
    <t>C18H19N3O3S</t>
  </si>
  <si>
    <t>12.94_308.2956m/z</t>
  </si>
  <si>
    <t>Geranylgeraniol</t>
  </si>
  <si>
    <t>LMPR0104010009</t>
  </si>
  <si>
    <t>C09094</t>
  </si>
  <si>
    <t>24034-73-9</t>
  </si>
  <si>
    <t>C(/C=C(\C)/CC/C=C(\C)/CC/C=C(\C)/CC/C=C(\C)/C)O</t>
  </si>
  <si>
    <t>OJISWRZIEWCUBN-QIRCYJPOSA-N</t>
  </si>
  <si>
    <t>C20H34O</t>
  </si>
  <si>
    <t>4.90_432.1513m/z</t>
  </si>
  <si>
    <t>Succinyl-trialanine-4-nitroanilide</t>
  </si>
  <si>
    <t>HMDB0258533</t>
  </si>
  <si>
    <t>CC(NC(=O)CCC(O)=O)C(=O)NC(C)C(=O)NC(C)C(=O)NC1=CC=C(C=C1)[N+]([O-])=O</t>
  </si>
  <si>
    <t>GVUGADOWXGKRAE-UHFFFAOYSA-N</t>
  </si>
  <si>
    <t>C19H25N5O8</t>
  </si>
  <si>
    <t>9.65_282.1992n</t>
  </si>
  <si>
    <t>8-18 bonded retinal</t>
  </si>
  <si>
    <t>LMPR01090037</t>
  </si>
  <si>
    <t>C1C(C)(C)C2C=C(CC=2CC1)/C(=C\C=C\C(\C)=C\C=O)/C</t>
  </si>
  <si>
    <t>IFPIFYXTWQFSRF-SJJLUNSHSA-N</t>
  </si>
  <si>
    <t>C20H26O</t>
  </si>
  <si>
    <t>10.17_372.2676n</t>
  </si>
  <si>
    <t>3alpha-Hydroxy-5beta-chola-8,14-dien-24-oic Acid</t>
  </si>
  <si>
    <t>LMST04010299</t>
  </si>
  <si>
    <t>C1[C@]2(C)C3CC[C@]4(C)[C@@]([H])([C@]([H])(C)CCC(O)=O)CC=C4C=3CC[C@]2([H])C[C@H](O)C1</t>
  </si>
  <si>
    <t>DENXOSXUENHZPF-DZNCAFJUSA-N</t>
  </si>
  <si>
    <t>10.08_337.2386m/z</t>
  </si>
  <si>
    <t>12-epi Leukotriene B3</t>
  </si>
  <si>
    <t>CCCCCCCCC(C=CC=CC=CC(CCCC(=O)O)O)O</t>
  </si>
  <si>
    <t>NGTXCORNXNELNU-RTBURBONSA-N</t>
  </si>
  <si>
    <t>11.15_755.5351m/z</t>
  </si>
  <si>
    <t>SM(d16:1/PGE1)</t>
  </si>
  <si>
    <t>HMDB0290290</t>
  </si>
  <si>
    <t>CCCCCCCCCCC\C=C\[C@@H](O)[C@H](COP([O-])(=O)OCC[N+](C)(C)C)NC(=O)CCCCCC[C@@H]1[C@@H](\C=C\[C@@H](O)CCCCC)[C@H](O)CC1=O</t>
  </si>
  <si>
    <t>PZSJFJAFLBTCER-OZVDWEENSA-N</t>
  </si>
  <si>
    <t>C41H77N2O9P</t>
  </si>
  <si>
    <t>7.33_464.3020m/z</t>
  </si>
  <si>
    <t>N-Choloylglycine</t>
  </si>
  <si>
    <t>HMDB0255104</t>
  </si>
  <si>
    <t>863-57-0</t>
  </si>
  <si>
    <t>CC(CCC(O)=NCC(O)=O)C1CCC2C3C(O)CC4CC(O)CCC4(C)C3CC(O)C12C</t>
  </si>
  <si>
    <t>RFDAIACWWDREDC-UHFFFAOYSA-N</t>
  </si>
  <si>
    <t>10.12_350.2094n</t>
  </si>
  <si>
    <t>PGE3</t>
  </si>
  <si>
    <t>HMDB0002664</t>
  </si>
  <si>
    <t>LMFA03010135</t>
  </si>
  <si>
    <t>C06439</t>
  </si>
  <si>
    <t>802-31-3</t>
  </si>
  <si>
    <t>[C@H]1(/C=C/[C@@H](O)C/C=C\CC)[C@H](O)CC(=O)[C@@H]1C/C=C\CCCC(=O)O</t>
  </si>
  <si>
    <t>CBOMORHDRONZRN-QLOYDKTKSA-N</t>
  </si>
  <si>
    <t>6.18_365.1971m/z</t>
  </si>
  <si>
    <t>12-oxo-20-dihydroxy-leukotriene B4</t>
  </si>
  <si>
    <t>HMDB0012551</t>
  </si>
  <si>
    <t>LMFA03020048</t>
  </si>
  <si>
    <t>OC(CCCC/C=C\CC(/C=C/C=C/C=C\[C@@H](CCCC(=O)O)O)=O)O</t>
  </si>
  <si>
    <t>SBSLZLBZGOASJL-NZXMSVEXSA-N</t>
  </si>
  <si>
    <t>8.60_391.2102m/z</t>
  </si>
  <si>
    <t>15S-hydroperoxy-PGD2</t>
  </si>
  <si>
    <t>LMFA03010220</t>
  </si>
  <si>
    <t>[C@H]1(/C=C/[C@@H](OO)CCCCC)C(=O)C[C@H](O)[C@@H]1C/C=C\CCCC(=O)O</t>
  </si>
  <si>
    <t>BGTZBKUZEYECKP-OUTUXVNYSA-N</t>
  </si>
  <si>
    <t>11.55_650.4053m/z</t>
  </si>
  <si>
    <t>PE(14:1(9Z)/12:0)</t>
  </si>
  <si>
    <t>LMGP02010422</t>
  </si>
  <si>
    <t>[C@](COP(=O)(O)OCCN)([H])(OC(CCCCCCCCCCC)=O)COC(CCCCCCC/C=C\CCCC)=O</t>
  </si>
  <si>
    <t>LXOOXAZBAFTBOJ-HQGHLRICSA-N</t>
  </si>
  <si>
    <t>C31H60NO8P</t>
  </si>
  <si>
    <t>8.89_392.2928n</t>
  </si>
  <si>
    <t>Murideoxycholic acid</t>
  </si>
  <si>
    <t>HMDB0000811</t>
  </si>
  <si>
    <t>LMST04010025</t>
  </si>
  <si>
    <t>C15515</t>
  </si>
  <si>
    <t>668-49-5</t>
  </si>
  <si>
    <t>C1[C@]2(C)[C@@]3([H])CC[C@]4(C)[C@@]([H])([C@]([H])(C)CCC(O)=O)CC[C@@]4([H])[C@]3([H])C[C@@H](O)[C@]2([H])C[C@H](O)C1</t>
  </si>
  <si>
    <t>DGABKXLVXPYZII-PLYQRAMGSA-N</t>
  </si>
  <si>
    <t>4.25_311.1590m/z</t>
  </si>
  <si>
    <t>Ethopropazine</t>
  </si>
  <si>
    <t>HMDB0014536</t>
  </si>
  <si>
    <t>1094-08-2</t>
  </si>
  <si>
    <t>CCN(CC)C(C)CN1C2=CC=CC=C2SC2=CC=CC=C12</t>
  </si>
  <si>
    <t>CDOZDBSBBXSXLB-UHFFFAOYSA-N</t>
  </si>
  <si>
    <t>Benzothiazines</t>
  </si>
  <si>
    <t>Phenothiazines</t>
  </si>
  <si>
    <t>C19H24N2S</t>
  </si>
  <si>
    <t>5.71_331.0390m/z</t>
  </si>
  <si>
    <t>Methyl 2-(1H-indole-3-carbonyl)thiazole-4-carboxylate</t>
  </si>
  <si>
    <t>HMDB0246680</t>
  </si>
  <si>
    <t>COC(=O)C1=CSC(=N1)C(=O)C1=CNC2=CC=CC=C12</t>
  </si>
  <si>
    <t>KDDXOGDIPZSCTM-UHFFFAOYSA-N</t>
  </si>
  <si>
    <t>Indolecarboxylic acids and derivatives</t>
  </si>
  <si>
    <t>C14H10N2O3S</t>
  </si>
  <si>
    <t>3.50_231.1711m/z</t>
  </si>
  <si>
    <t>Leu Val</t>
  </si>
  <si>
    <t>CC(C)CC(C(=O)NC(C(C)C)C(=O)[O-])[NH3+]</t>
  </si>
  <si>
    <t>MDSUKZSLOATHMH-IUCAKERBSA-N</t>
  </si>
  <si>
    <t>C11H22N2O3</t>
  </si>
  <si>
    <t>10.43_504.3097m/z</t>
  </si>
  <si>
    <t>PC(17:2(9Z,12Z)/0:0)</t>
  </si>
  <si>
    <t>HMDB0256157</t>
  </si>
  <si>
    <t>CCCCC=CCC=CCCCCCCCC(=O)OCC(O)COP([O-])(=O)OCC[N+](C)(C)C</t>
  </si>
  <si>
    <t>GYPQKMKDLBCBMB-UHFFFAOYSA-N</t>
  </si>
  <si>
    <t>C25H48NO7P</t>
  </si>
  <si>
    <t>7.90_230.2486m/z</t>
  </si>
  <si>
    <t>3Z-Tetradecen-1-ol</t>
  </si>
  <si>
    <t>LMFA05000181</t>
  </si>
  <si>
    <t>OCC/C=C\CCCCCCCCCC</t>
  </si>
  <si>
    <t>DQELOVNSWGCVQZ-QXMHVHEDSA-N</t>
  </si>
  <si>
    <t>C14H28O</t>
  </si>
  <si>
    <t>10.12_309.2072m/z</t>
  </si>
  <si>
    <t>Graminoxin B2</t>
  </si>
  <si>
    <t>LMFA01170142</t>
  </si>
  <si>
    <t>C(/C=C\C/C=C\CC)C(CCCCCCCC(=O)O)C(O)=O</t>
  </si>
  <si>
    <t>PUZXPFDDSQGSIK-ZJSQCTGTSA-N</t>
  </si>
  <si>
    <t>C18H30O4</t>
  </si>
  <si>
    <t>2.33_233.1503m/z</t>
  </si>
  <si>
    <t>Threonylleucine</t>
  </si>
  <si>
    <t>HMDB0029065</t>
  </si>
  <si>
    <t>50299-12-2</t>
  </si>
  <si>
    <t>CC(C)C[C@H](NC(=O)[C@@H](N)[C@@H](C)O)C(O)=O</t>
  </si>
  <si>
    <t>BQBCIBCLXBKYHW-CSMHCCOUSA-N</t>
  </si>
  <si>
    <t>C10H20N2O4</t>
  </si>
  <si>
    <t>13.33_447.3483m/z</t>
  </si>
  <si>
    <t>Furostanol</t>
  </si>
  <si>
    <t>HMDB0252548</t>
  </si>
  <si>
    <t>CC(CO)CCC1OC2CC3C4CCC5CCCCC5(C)C4CCC3(C)C2C1C</t>
  </si>
  <si>
    <t>VTDHWTKIIMFVPT-UHFFFAOYSA-N</t>
  </si>
  <si>
    <t>C27H46O2</t>
  </si>
  <si>
    <t>10.19_438.3025n</t>
  </si>
  <si>
    <t>Calcium dodecanoate</t>
  </si>
  <si>
    <t>HMDB0303348</t>
  </si>
  <si>
    <t>[Ca++].CCCCCCCCCCCC([O-])=O.CCCCCCCCCCCC([O-])=O</t>
  </si>
  <si>
    <t>HIAAVKYLDRCDFQ-UHFFFAOYSA-L</t>
  </si>
  <si>
    <t>C24H46CaO4</t>
  </si>
  <si>
    <t>5.36_573.1183m/z</t>
  </si>
  <si>
    <t>Mulberrofuran Q</t>
  </si>
  <si>
    <t>HMDB0036637</t>
  </si>
  <si>
    <t>101383-35-1</t>
  </si>
  <si>
    <t>CC12CC(C3=C(O1)C=C(O)C=C3)C13OC1(OC1=CC(=CC(O)=C1C3C2=O)C1=CC2=C(O1)C=C(O)C=C2)C1=C(O)C=C(O)C=C1</t>
  </si>
  <si>
    <t>MSVXRBNAPJJEDX-UHFFFAOYSA-N</t>
  </si>
  <si>
    <t>2-arylbenzofuran flavonoids</t>
  </si>
  <si>
    <t>C34H24O10</t>
  </si>
  <si>
    <t>11.76_360.2157n</t>
  </si>
  <si>
    <t>Tributyl citrate</t>
  </si>
  <si>
    <t>CCCCOC(=O)CC(CC(=O)OCCCC)(C(=O)OCCCC)O</t>
  </si>
  <si>
    <t>ZFOZVQLOBQUTQQ-UHFFFAOYSA-N</t>
  </si>
  <si>
    <t>C18H32O7</t>
  </si>
  <si>
    <t>4.69_361.1520m/z</t>
  </si>
  <si>
    <t>phenyl [1-(N-succinylamino)pentyl]phosphonate</t>
  </si>
  <si>
    <t>LMFA08020199</t>
  </si>
  <si>
    <t>CCCC[C@@H]([P@@](OC1=CC=CC=C1)(=O)O)NC(CCC(=O)O)=O</t>
  </si>
  <si>
    <t>FJQWWGCHPFSERW-CQSZACIVSA-N</t>
  </si>
  <si>
    <t>Phenoxy compounds</t>
  </si>
  <si>
    <t>C15H22NO6P</t>
  </si>
  <si>
    <t>10.64_363.2154m/z</t>
  </si>
  <si>
    <t>12S-HEPE</t>
  </si>
  <si>
    <t>HMDB10202</t>
  </si>
  <si>
    <t>LMFA03070008</t>
  </si>
  <si>
    <t>116180-17-7</t>
  </si>
  <si>
    <t>C(/C/C=C\CCCC(=O)O)=C/C=C/[C@@H](O)C/C=C\C/C=C\CC</t>
  </si>
  <si>
    <t>MCRJLMXYVFDXLS-UOLHMMFFSA-N</t>
  </si>
  <si>
    <t>12.08_604.4353m/z</t>
  </si>
  <si>
    <t>PC(6:0/18:0)</t>
  </si>
  <si>
    <t>LMGP01011228</t>
  </si>
  <si>
    <t>[C@](COP(=O)([O-])OCC[N+](C)(C)C)([H])(OC(CCCCCCCCCCCCCCCCC)=O)COC(CCCCC)=O</t>
  </si>
  <si>
    <t>MTTFPRIVCIOIPM-SSEXGKCCSA-N</t>
  </si>
  <si>
    <t>C32H64NO8P</t>
  </si>
  <si>
    <t>0.77_129.0375m/z</t>
  </si>
  <si>
    <t>Ethyl 3-mercaptobutyrate</t>
  </si>
  <si>
    <t>HMDB0032271</t>
  </si>
  <si>
    <t>LMFA07010863</t>
  </si>
  <si>
    <t>156472-94-5</t>
  </si>
  <si>
    <t>O=C(CC(C)S)OCC</t>
  </si>
  <si>
    <t>FPBCNQQYLDBWMH-UHFFFAOYSA-N</t>
  </si>
  <si>
    <t>C6H12O2S</t>
  </si>
  <si>
    <t>6.90_389.1374m/z</t>
  </si>
  <si>
    <t>Melatonin glucuronide</t>
  </si>
  <si>
    <t>HMDB0060830</t>
  </si>
  <si>
    <t>COC1=CC2=C(C=C1)N(C=C2CCNC(C)=O)C1OC(C(O)C(O)C1O)C(O)=O</t>
  </si>
  <si>
    <t>GXNGLFUTEZJKRQ-UHFFFAOYSA-N</t>
  </si>
  <si>
    <t>Nucleoside and nucleotide analogues</t>
  </si>
  <si>
    <t>1-pyranosylindoles</t>
  </si>
  <si>
    <t>C19H24N2O8</t>
  </si>
  <si>
    <t>7.82_315.0808m/z</t>
  </si>
  <si>
    <t>Valdecoxib</t>
  </si>
  <si>
    <t>HMDB0005033</t>
  </si>
  <si>
    <t>R-HSA-1430728,R-HSA-196807,R-HSA-196849,R-HSA-196854,R-HSA-197264,R-HSA-2142753,R-HSA-2162123,R-HSA-556833,R-HSA-8978868</t>
  </si>
  <si>
    <t>Metabolism|Nicotinate metabolism|Metabolism of water-soluble vitamins and cofactors|Metabolism of vitamins and cofactors|Nicotinamide salvaging|Arachidonic acid metabolism|Synthesis of Prostaglandins (PG) and Thromboxanes (TX)|Metabolism of lipids|Fatty acid metabolism</t>
  </si>
  <si>
    <t>181695-72-7</t>
  </si>
  <si>
    <t>CC1=C(C(=NO1)C1=CC=CC=C1)C1=CC=C(C=C1)S(N)(=O)=O</t>
  </si>
  <si>
    <t>LNPDTQAFDNKSHK-UHFFFAOYSA-N</t>
  </si>
  <si>
    <t>Benzenesulfonamides</t>
  </si>
  <si>
    <t>C16H14N2O3S</t>
  </si>
  <si>
    <t>8.59_537.2514m/z</t>
  </si>
  <si>
    <t>Bezitramide</t>
  </si>
  <si>
    <t>HMDB0249171</t>
  </si>
  <si>
    <t>CCC(=O)N1C(=O)N(C2CCN(CCC(C#N)(C3=CC=CC=C3)C3=CC=CC=C3)CC2)C2=CC=CC=C12</t>
  </si>
  <si>
    <t>FLKWNFFCSSJANB-UHFFFAOYSA-N</t>
  </si>
  <si>
    <t>Diphenylacetonitriles</t>
  </si>
  <si>
    <t>C31H32N4O2</t>
  </si>
  <si>
    <t>9.52_377.2581n</t>
  </si>
  <si>
    <t>15-HETE-Gly</t>
  </si>
  <si>
    <t>LMFA08020143</t>
  </si>
  <si>
    <t>C(NCC(O)=O)(CCC/C=C\C/C=C\C/C=C\C=C\[C@@H](O)CCCCC)=O</t>
  </si>
  <si>
    <t>AFWJZEQUUAAITC-RQYADBJFSA-N</t>
  </si>
  <si>
    <t>C22H35NO4</t>
  </si>
  <si>
    <t>8.58_457.2852m/z</t>
  </si>
  <si>
    <t>4-Hydroxy-4,4'-diaponeurosporene</t>
  </si>
  <si>
    <t>LMPR0106010047</t>
  </si>
  <si>
    <t>C(/C=C(\C)/CO)=C\C(\C)=C\C=C\C(\C)=C\C=C\C=C(/C)\C=C\C=C(\CC/C=C(\C)/C)/C</t>
  </si>
  <si>
    <t>CCBSGQLGLZMKTB-ZVLLIQJTSA-N</t>
  </si>
  <si>
    <t>C30H42O</t>
  </si>
  <si>
    <t>9.13_301.2991n</t>
  </si>
  <si>
    <t>Sphinganine</t>
  </si>
  <si>
    <t>HMDB0000269</t>
  </si>
  <si>
    <t>LMSP01020001</t>
  </si>
  <si>
    <t>C00836</t>
  </si>
  <si>
    <t>hsa00600,hsa04071</t>
  </si>
  <si>
    <t>Sphingolipid metabolism|Sphingolipid signaling pathway</t>
  </si>
  <si>
    <t>764-22-7</t>
  </si>
  <si>
    <t>OC[C@]([H])(N)[C@]([H])(O)CCCCCCCCCCCCCCC</t>
  </si>
  <si>
    <t>OTKJDMGTUTTYMP-ZWKOTPCHSA-N</t>
  </si>
  <si>
    <t>C18H39NO2</t>
  </si>
  <si>
    <t>9.48_564.3675m/z</t>
  </si>
  <si>
    <t>PS(22:0/0:0)</t>
  </si>
  <si>
    <t>LMGP03050025</t>
  </si>
  <si>
    <t>C(O)(=O)[C@@]([H])(N)COP(OC[C@]([H])(O)COC(CCCCCCCCCCCCCCCCCCCCC)=O)(=O)O</t>
  </si>
  <si>
    <t>HRFWJAJQKOFYDE-FTJBHMTQSA-N</t>
  </si>
  <si>
    <t>C28H56NO9P</t>
  </si>
  <si>
    <t>1.09_164.0479n</t>
  </si>
  <si>
    <t>2-Hydroxycinnamic acid</t>
  </si>
  <si>
    <t>HMDB0002641</t>
  </si>
  <si>
    <t>C01772</t>
  </si>
  <si>
    <t>hsa00360</t>
  </si>
  <si>
    <t>Phenylalanine metabolism</t>
  </si>
  <si>
    <t>614-60-8</t>
  </si>
  <si>
    <t>OC(=O)\C=C\C1=C(O)C=CC=C1</t>
  </si>
  <si>
    <t>PMOWTIHVNWZYFI-AATRIKPKSA-N</t>
  </si>
  <si>
    <t>C9H8O3</t>
  </si>
  <si>
    <t>11.70_494.3620m/z</t>
  </si>
  <si>
    <t>Arachidyl carnitine</t>
  </si>
  <si>
    <t>HMDB0006460</t>
  </si>
  <si>
    <t>LMFA07070052</t>
  </si>
  <si>
    <t>C(=O)([O-])CC(OC(=O)CCCCCCCCCCCCCCCCCCC)C[N+](C)(C)C</t>
  </si>
  <si>
    <t>SVJLJQBGUITFLI-UHFFFAOYSA-N</t>
  </si>
  <si>
    <t>C27H53NO4</t>
  </si>
  <si>
    <t>5.35_177.1279m/z</t>
  </si>
  <si>
    <t>Ethyl (2E,4E,7Z)-Decatrienoate</t>
  </si>
  <si>
    <t>HMDB0035375</t>
  </si>
  <si>
    <t>28290-88-2</t>
  </si>
  <si>
    <t>CCOC(=O)\C=C\C=C\C\C=C/CC</t>
  </si>
  <si>
    <t>KRCQDQXKPOKJOE-APXPRGKNSA-N</t>
  </si>
  <si>
    <t>C12H18O2</t>
  </si>
  <si>
    <t>8.59_527.2747m/z</t>
  </si>
  <si>
    <t>Cilobradine</t>
  </si>
  <si>
    <t>HMDB0250244</t>
  </si>
  <si>
    <t>COC1=C(OC)C=C(CCN2CCCC(CN3CCC4=CC(OC)=C(OC)C=C4CC3=O)C2)C=C1</t>
  </si>
  <si>
    <t>OBUFMJDDZTXJPY-UHFFFAOYSA-N</t>
  </si>
  <si>
    <t>C28H38N2O5</t>
  </si>
  <si>
    <t>5.02_246.1376n</t>
  </si>
  <si>
    <t>Nefiracetam</t>
  </si>
  <si>
    <t>HMDB0255503</t>
  </si>
  <si>
    <t>CC1=CC=CC(C)=C1N=C(O)CN1CCCC1=O</t>
  </si>
  <si>
    <t>NGHTXZCKLWZPGK-UHFFFAOYSA-N</t>
  </si>
  <si>
    <t>C14H18N2O2</t>
  </si>
  <si>
    <t>10.73_235.1698m/z</t>
  </si>
  <si>
    <t>Curcumanolide A</t>
  </si>
  <si>
    <t>HMDB0033252</t>
  </si>
  <si>
    <t>97550-04-4</t>
  </si>
  <si>
    <t>CC1CCC(C(C)=C)C11CC(=C(C)C)C(=O)O1</t>
  </si>
  <si>
    <t>KHOTZHZBHNDKOB-UHFFFAOYSA-N</t>
  </si>
  <si>
    <t>8.60_981.5748m/z</t>
  </si>
  <si>
    <t>PI(PGE1/22:3(10Z,13Z,16Z))</t>
  </si>
  <si>
    <t>HMDB0277887</t>
  </si>
  <si>
    <t>CCCCCC\C=C/C\C=C/C\C=C/CCCCCCCCC(=O)O[C@@H]1COC(=O)CCCCCC[C@@H]2[C@@H](O)[C@H](O)[C@@H](O)[C@H](OP(O)(=O)OC1)[C@H](O)[C@H](O)[C@@H](\C=C\[C@@H](O)CCCCC)[C@H](O)CC2=O</t>
  </si>
  <si>
    <t>CNSCDNBOEYMUNX-MWTSQTAFSA-N</t>
  </si>
  <si>
    <t>C52H89O16P</t>
  </si>
  <si>
    <t>4.20_263.1400m/z</t>
  </si>
  <si>
    <t>Phenylalanylproline</t>
  </si>
  <si>
    <t>HMDB0011177</t>
  </si>
  <si>
    <t>7669-65-0</t>
  </si>
  <si>
    <t>N[C@@H](CC1=CC=CC=C1)C(=O)N1CCC[C@H]1C(O)=O</t>
  </si>
  <si>
    <t>WEQJQNWXCSUVMA-RYUDHWBXSA-N</t>
  </si>
  <si>
    <t>C14H18N2O3</t>
  </si>
  <si>
    <t>3.78_443.2151m/z</t>
  </si>
  <si>
    <t>Sar-Pro-Arg-pNA</t>
  </si>
  <si>
    <t>HMDB0257489</t>
  </si>
  <si>
    <t>CNCC(=O)N1CCCC1C(=O)NC(CCCN=C(N)N)C(=O)NC1=CC=C(C=C1)[N+]([O-])=O</t>
  </si>
  <si>
    <t>JCWLDUJEFLRICN-UHFFFAOYSA-N</t>
  </si>
  <si>
    <t>C20H30N8O5</t>
  </si>
  <si>
    <t>14.47_593.4790m/z</t>
  </si>
  <si>
    <t>Cohibin B</t>
  </si>
  <si>
    <t>HMDB0031169</t>
  </si>
  <si>
    <t>189508-32-5</t>
  </si>
  <si>
    <t>CCCCCCCCCCCCCC\C=C/CCC(O)C(O)CCCCCCCCCCC1=CC(C)OC1=O</t>
  </si>
  <si>
    <t>UYPWFMBFXBCPAC-QOCHGBHMSA-N</t>
  </si>
  <si>
    <t>C35H64O4</t>
  </si>
  <si>
    <t>6.79_388.2704m/z</t>
  </si>
  <si>
    <t>10,11-dihydro-20-dihydroxy-LTB4</t>
  </si>
  <si>
    <t>HMDB0012502</t>
  </si>
  <si>
    <t>LMFA03020043</t>
  </si>
  <si>
    <t>OC(CCCC/C=C\C[C@@H](CC/C=C/C=C\[C@@H](CCCC(=O)O)O)O)O</t>
  </si>
  <si>
    <t>BZDHSIPNZCHPKA-NSBXBVANSA-N</t>
  </si>
  <si>
    <t>6.18_636.3159m/z</t>
  </si>
  <si>
    <t>PC(0:0/PGE2)</t>
  </si>
  <si>
    <t>LMGP20010051</t>
  </si>
  <si>
    <t>C(OP(OCC[N+](C)(C)C)([O-])=O)[C@]([H])(OC(=O)CCC/C=C\C[C@H]1C(=O)C[C@@H](O)[C@@H]1/C=C/[C@@H](O)CCCCC)CO</t>
  </si>
  <si>
    <t>QFBMVHPGUOVSGP-QJRTVADPSA-N</t>
  </si>
  <si>
    <t>C28H50NO10P</t>
  </si>
  <si>
    <t>9.99_473.2312m/z</t>
  </si>
  <si>
    <t>PA(2:0/18:1(12Z)-O(9S,10R))</t>
  </si>
  <si>
    <t>HMDB0266541</t>
  </si>
  <si>
    <t>[H][C@@](COC(C)=O)(COP(O)(O)=O)OC(=O)CCCCCCCC1OC1C\C=C/CCCCC</t>
  </si>
  <si>
    <t>GVNMSKGKKMJKKB-WBOFDTGBSA-N</t>
  </si>
  <si>
    <t>C23H41O9P</t>
  </si>
  <si>
    <t>3.90_572.3094n</t>
  </si>
  <si>
    <t>Bioadykinin Fragment 1-5</t>
  </si>
  <si>
    <t>HMDB0245648</t>
  </si>
  <si>
    <t>NC(CCCN=C(N)N)C(=O)N1CCCC1C(=O)N1CCCC1C(=O)NCC(=O)NC(CC1=CC=CC=C1)C(O)=O</t>
  </si>
  <si>
    <t>USSUMSBPLJWFSZ-UHFFFAOYSA-N</t>
  </si>
  <si>
    <t>C27H40N8O6</t>
  </si>
  <si>
    <t>3.42_399.2365m/z</t>
  </si>
  <si>
    <t>Glutamylleucylarginine</t>
  </si>
  <si>
    <t>HMDB0252758</t>
  </si>
  <si>
    <t>CC(C)CC(NC(=O)C(N)CCC(O)=O)C(=O)NC(CCCN=C(N)N)C(O)=O</t>
  </si>
  <si>
    <t>VSRCAOIHMGCIJK-UHFFFAOYSA-N</t>
  </si>
  <si>
    <t>C17H32N6O6</t>
  </si>
  <si>
    <t>9.15_389.8131m/z</t>
  </si>
  <si>
    <t>2,6-Diiodo-4-nitrophenol</t>
  </si>
  <si>
    <t>HMDB0245516</t>
  </si>
  <si>
    <t>C18393</t>
  </si>
  <si>
    <t>305-85-1</t>
  </si>
  <si>
    <t>OC1=C(I)C=C(C=C1I)N(=O)=O</t>
  </si>
  <si>
    <t>UVGTXNPVQOQFQW-UHFFFAOYSA-N</t>
  </si>
  <si>
    <t>Nitrophenols</t>
  </si>
  <si>
    <t>C6H3I2NO3</t>
  </si>
  <si>
    <t>9.34_337.2381m/z</t>
  </si>
  <si>
    <t>(+-)-Zoapatanol</t>
  </si>
  <si>
    <t>HMDB0242237</t>
  </si>
  <si>
    <t>CC(CCCC1(C)OCC(CCC1O)=CCO)C(=O)CC=C(C)C</t>
  </si>
  <si>
    <t>XRDHAXIOHKTIGF-UHFFFAOYSA-N</t>
  </si>
  <si>
    <t>12.71_557.4579m/z</t>
  </si>
  <si>
    <t>DG(15:1(9Z)/18:2(9Z,12Z)/0:0)[iso2]</t>
  </si>
  <si>
    <t>LMGL02010457</t>
  </si>
  <si>
    <t>OC[C@]([H])(OC(CCCCCCC/C=C\C/C=C\CCCCC)=O)COC(CCCCCCC/C=C\CCCCC)=O</t>
  </si>
  <si>
    <t>KCOBTXSVSYXJSZ-NVQRDHJMSA-N</t>
  </si>
  <si>
    <t>C36H64O5</t>
  </si>
  <si>
    <t>13.96_540.9937m/z</t>
  </si>
  <si>
    <t>Thiocyclam oxalate</t>
  </si>
  <si>
    <t>CN(C)C1CSSSC1.C(=O)(C(=O)O)O</t>
  </si>
  <si>
    <t>ICTQUFQQEYSGGJ-UHFFFAOYSA-N</t>
  </si>
  <si>
    <t>Trithianes</t>
  </si>
  <si>
    <t>C7H13NO4S3</t>
  </si>
  <si>
    <t>4.98_159.0679n</t>
  </si>
  <si>
    <t>1-Amino-2-naphthol</t>
  </si>
  <si>
    <t>HMDB0243817</t>
  </si>
  <si>
    <t>NC1=C(O)C=CC2=CC=CC=C12</t>
  </si>
  <si>
    <t>FHMMQQXRSYSWCM-UHFFFAOYSA-N</t>
  </si>
  <si>
    <t>Naphthols and derivatives</t>
  </si>
  <si>
    <t>C10H9NO</t>
  </si>
  <si>
    <t>7.30_625.3481n</t>
  </si>
  <si>
    <t>Glycochenodeoxycholic acid 3-glucuronide</t>
  </si>
  <si>
    <t>HMDB02579</t>
  </si>
  <si>
    <t>LMST05010048</t>
  </si>
  <si>
    <t>O([C@H]1C[C@@]2([H])C[C@@H](O)[C@@]3([H])[C@]4([H])CC[C@]([H])([C@@](C)([H])CCC(=O)NCC(=O)O)[C@@]4(C)CC[C@]3([H])[C@@]2(C)CC1)[C@H]1[C@H](O)[C@H]([C@H](O)[C@@H](C(=O)O)O1)O</t>
  </si>
  <si>
    <t>ABFZMYIIUREPLL-ASWJIRIHSA-N</t>
  </si>
  <si>
    <t>M+NH4, M+Na, M+H, M+H-H2O</t>
  </si>
  <si>
    <t>C32H51NO11</t>
  </si>
  <si>
    <t>9.48_236.1112m/z</t>
  </si>
  <si>
    <t>Oxdralazine</t>
  </si>
  <si>
    <t>HMDB0255976</t>
  </si>
  <si>
    <t>NNC1=NN=C(C=C1)N(CCO)CCO</t>
  </si>
  <si>
    <t>POFDNYKJHWKGDU-UHFFFAOYSA-N</t>
  </si>
  <si>
    <t>C8H15N5O2</t>
  </si>
  <si>
    <t>11.05_252.2329m/z</t>
  </si>
  <si>
    <t>7Z,11Z,13E-Hexadecatrienal</t>
  </si>
  <si>
    <t>LMFA06000226</t>
  </si>
  <si>
    <t>C(CCCCC/C=C\CC/C=C\C=C\CC)(=O)[H]</t>
  </si>
  <si>
    <t>SXCDAEFYAJTNJF-YURISSCBSA-N</t>
  </si>
  <si>
    <t>C16H26O</t>
  </si>
  <si>
    <t>10.51_311.2229m/z</t>
  </si>
  <si>
    <t>9,10-epoxy-11-hydroxy-12-octadecenoic acid</t>
  </si>
  <si>
    <t>LMFA02000277</t>
  </si>
  <si>
    <t>C1(OC1CCCCCCCC(=O)O)C(O)/C=C/CCCCC</t>
  </si>
  <si>
    <t>RQBBZCMCNSJACV-FMIVXFBMSA-N</t>
  </si>
  <si>
    <t>8.89_407.2418m/z</t>
  </si>
  <si>
    <t>Adenosine, 8-(butylamino)-N-cyclopentyl-</t>
  </si>
  <si>
    <t>HMDB0258096</t>
  </si>
  <si>
    <t>CCCCNC1=NC2=C(N=CN=C2NC2CCCC2)N1C1OC(CO)C(O)C1O</t>
  </si>
  <si>
    <t>FZFITDOIQWMJEQ-UHFFFAOYSA-N</t>
  </si>
  <si>
    <t>C19H30N6O4</t>
  </si>
  <si>
    <t>9.58_429.2264m/z</t>
  </si>
  <si>
    <t>6-hydroxyoct-2-enoylglycine</t>
  </si>
  <si>
    <t>HMDB0094767</t>
  </si>
  <si>
    <t>CCC(O)CCC=CC(O)=NCC(O)=O</t>
  </si>
  <si>
    <t>AAMIEIRENMGSFA-UHFFFAOYSA-N</t>
  </si>
  <si>
    <t>C10H17NO4</t>
  </si>
  <si>
    <t>9.18_405.3469n</t>
  </si>
  <si>
    <t>Aminopentol</t>
  </si>
  <si>
    <t>HMDB0248328</t>
  </si>
  <si>
    <t>CCCCC(C)C(O)C(O)CC(C)CC(O)CCCCC(O)CC(O)C(C)N</t>
  </si>
  <si>
    <t>UWWVLQOLROBFTD-UHFFFAOYSA-N</t>
  </si>
  <si>
    <t>C22H47NO5</t>
  </si>
  <si>
    <t>9.65_716.4254n</t>
  </si>
  <si>
    <t>PA(i-14:0/20:4(7E,9E,11Z,13E)-3OH(5S,6R,15S))</t>
  </si>
  <si>
    <t>HMDB0267559</t>
  </si>
  <si>
    <t>[H][C@@](COC(=O)CCCCCCCCCCC(C)C)(COP(O)(O)=O)OC(=O)CCC[C@H](O)[C@@H](O)\C=C\C=C\C=C/C=C/[C@@H](O)CCCCC</t>
  </si>
  <si>
    <t>ATGHVOYXBBQTDR-JGEDXZBBSA-N</t>
  </si>
  <si>
    <t>11.86_512.4172m/z</t>
  </si>
  <si>
    <t>Heptaethylene glycol monododecyl ether</t>
  </si>
  <si>
    <t>HMDB0251574</t>
  </si>
  <si>
    <t>CCCCCCCCCCCCOCCOCCOCCOCCOCCOCCOCCO</t>
  </si>
  <si>
    <t>DWHIUNMOTRUVPG-UHFFFAOYSA-N</t>
  </si>
  <si>
    <t>C26H54O8</t>
  </si>
  <si>
    <t>6.64_526.2483m/z</t>
  </si>
  <si>
    <t>N-[(3a,5b,7a,12a)-3,7-dihydroxy-24-oxo-12-(sulfoxy)cholan-24-yl]-Glycine</t>
  </si>
  <si>
    <t>HMDB02644</t>
  </si>
  <si>
    <t>LMST05030011</t>
  </si>
  <si>
    <t>O[C@H]1C[C@@]2([H])C[C@@H](O)[C@@]3([H])[C@]4([H])CC[C@]([H])([C@@](C)([H])CCC(=O)NCC(=O)O)[C@@]4(C)[C@@H](OS(=O)(=O)O)C[C@]3([H])[C@@]2(C)CC1</t>
  </si>
  <si>
    <t>JZLKXIMBAHDSBJ-FRVQLJSFSA-N</t>
  </si>
  <si>
    <t>C26H43NO9S</t>
  </si>
  <si>
    <t>434</t>
  </si>
  <si>
    <t>L-Tryptophan</t>
  </si>
  <si>
    <t>HMDB0000929</t>
  </si>
  <si>
    <t>C00078</t>
  </si>
  <si>
    <t>hsa00260,hsa00380,hsa00400,hsa00970,hsa04726,hsa05143</t>
  </si>
  <si>
    <t>Glycine, serine and threonine metabolism|Tryptophan metabolism|Phenylalanine, tyrosine and tryptophan biosynthesis|Aminoacyl-tRNA biosynthesis|Serotonergic synapse|African trypanosomiasis</t>
  </si>
  <si>
    <t>73-22-3</t>
  </si>
  <si>
    <t>N[C@@H](CC1=CNC2=C1C=CC=C2)C(O)=O</t>
  </si>
  <si>
    <t>QIVBCDIJIAJPQS-VIFPVBQESA-N</t>
  </si>
  <si>
    <t>C11H12N2O2</t>
  </si>
  <si>
    <t>9.24_382.2963m/z</t>
  </si>
  <si>
    <t>Dinorchenodeoxycholic acid</t>
  </si>
  <si>
    <t>LMST04050007</t>
  </si>
  <si>
    <t>C1[C@]2(C)[C@@]3([H])CC[C@]4(C)[C@@]([H])([C@]([H])(C)C(=O)O)CC[C@@]4([H])[C@]3([H])[C@H](O)C[C@]2([H])C[C@H](O)C1</t>
  </si>
  <si>
    <t>WQUYUZJNAIWNRJ-JWWUQCTPSA-N</t>
  </si>
  <si>
    <t>C22H36O4</t>
  </si>
  <si>
    <t>7.29_622.3367m/z</t>
  </si>
  <si>
    <t>PC(18:1(9Z)-O(12,13)/2:0)</t>
  </si>
  <si>
    <t>HMDB0288861</t>
  </si>
  <si>
    <t>[H][C@@](COC(=O)CCCCCCC\C=C/CC1OC1CCCCC)(COP([O-])(=O)OCC[N+](C)(C)C)OC(C)=O</t>
  </si>
  <si>
    <t>NQPKQCSPSRMTFP-WZIAXLQJSA-N</t>
  </si>
  <si>
    <t>12.16_658.5115m/z</t>
  </si>
  <si>
    <t>PE(P-18:0/14:0)</t>
  </si>
  <si>
    <t>HMDB0011368</t>
  </si>
  <si>
    <t>LMGP02030036</t>
  </si>
  <si>
    <t>[C@](COP(=O)(O)OCCN)([H])(OC(CCCCCCCCCCCCC)=O)CO/C=C\CCCCCCCCCCCCCCCC</t>
  </si>
  <si>
    <t>ALQGHGHEYLXWFN-PXOIRPRXSA-N</t>
  </si>
  <si>
    <t>C37H74NO7P</t>
  </si>
  <si>
    <t>7.24_240.1005n</t>
  </si>
  <si>
    <t>3-(3,4,5-Trimethoxyphenyl)propanoic acid</t>
  </si>
  <si>
    <t>HMDB0030254</t>
  </si>
  <si>
    <t>25173-72-2</t>
  </si>
  <si>
    <t>COC1=CC(CCC(O)=O)=CC(OC)=C1OC</t>
  </si>
  <si>
    <t>ZCYXGVJUZBKJAI-UHFFFAOYSA-N</t>
  </si>
  <si>
    <t>C12H16O5</t>
  </si>
  <si>
    <t>4.90_427.1142m/z</t>
  </si>
  <si>
    <t>Trichodermamide C</t>
  </si>
  <si>
    <t>CN(C1=CC2=C(C(=C(C=C2)OC)OC)OC1=O)C(=O)C3=NOC4C(C=CC(C4(C3)O)O)O</t>
  </si>
  <si>
    <t>PCMUPOUDXMFDRE-NYGSYELISA-N</t>
  </si>
  <si>
    <t>C21H22N2O9</t>
  </si>
  <si>
    <t>4.32_898.3897m/z</t>
  </si>
  <si>
    <t>Citrusin IV</t>
  </si>
  <si>
    <t>HMDB0303683</t>
  </si>
  <si>
    <t>CC(C)C1NC(=O)C(CCC(O)=O)NC(=O)CNC(=O)C(CC2=CNC3=CC=CC=C23)NC(=O)C(CCC(O)=O)NC(=O)C(C)NC(=O)C(CCC(O)=O)NC(=O)C2CCCN2C1=O</t>
  </si>
  <si>
    <t>BZZYMYLXSCBOFH-UHFFFAOYSA-N</t>
  </si>
  <si>
    <t>C41H55N9O14</t>
  </si>
  <si>
    <t>10.01_220.1833n</t>
  </si>
  <si>
    <t>Humulenol II</t>
  </si>
  <si>
    <t>HMDB0038212</t>
  </si>
  <si>
    <t>19888-00-7</t>
  </si>
  <si>
    <t>C\C1=C\CC(C)(C)\C=C/CC(=C)C(O)CC1</t>
  </si>
  <si>
    <t>ZHCPVYWHSOILQL-CGBKSYCJSA-N</t>
  </si>
  <si>
    <t>7.07_397.2209m/z</t>
  </si>
  <si>
    <t>7-[(1R,2R,3R)-3-Hydroxy-2-[(3S)-3-hydroxyoct-1-enyl]-5-oxocyclopentyl]-5-heptenoic acid</t>
  </si>
  <si>
    <t>HMDB0247796</t>
  </si>
  <si>
    <t>CCCCCC(O)C=CC1C(O)CC(=O)C1CC=CCCCC(O)=O</t>
  </si>
  <si>
    <t>XEYBRNLFEZDVAW-UHFFFAOYSA-N</t>
  </si>
  <si>
    <t>6.68_219.1751m/z</t>
  </si>
  <si>
    <t>Hernandulcin</t>
  </si>
  <si>
    <t>HMDB0037906</t>
  </si>
  <si>
    <t>95602-94-1</t>
  </si>
  <si>
    <t>CC(C)=CCCC(C)(O)C1CCC(C)=CC1=O</t>
  </si>
  <si>
    <t>HYQNKKAJVPMBDR-UHFFFAOYSA-N</t>
  </si>
  <si>
    <t>8.87_297.2678n</t>
  </si>
  <si>
    <t>Spiroxamine</t>
  </si>
  <si>
    <t>HMDB0258432</t>
  </si>
  <si>
    <t>C11124</t>
  </si>
  <si>
    <t>118134-30-8</t>
  </si>
  <si>
    <t>CCCN(CC)CC1COC2(CCC(CC2)C(C)(C)C)O1</t>
  </si>
  <si>
    <t>PUYXTUJWRLOUCW-UHFFFAOYSA-N</t>
  </si>
  <si>
    <t>11.51_892.6582m/z</t>
  </si>
  <si>
    <t>PC(P-18:1(11Z)/24:1(15Z))</t>
  </si>
  <si>
    <t>HMDB0011297</t>
  </si>
  <si>
    <t>LMGP01030142</t>
  </si>
  <si>
    <t>[C@](COP(=O)([O-])OCC[N+](C)(C)C)([H])(OC(CCCCCCCCCCCCC/C=C\CCCCCCCC)=O)CO/C=C\CCCCCCCC/C=C\CCCCCC</t>
  </si>
  <si>
    <t>JSYLSPXKJLUURP-AGCBSNCXSA-N</t>
  </si>
  <si>
    <t>C50H96NO7P</t>
  </si>
  <si>
    <t>11.94_518.3987n</t>
  </si>
  <si>
    <t>7beta-acetoxy-gorgostan-3beta,5alpha,6beta-triol</t>
  </si>
  <si>
    <t>LMST01060011</t>
  </si>
  <si>
    <t>C1[C@]2(C)[C@@]3([H])CC[C@]4(C)[C@@]([H])([C@]([H])(C)[C@H]5C[C@]5(C)[C@H](C)C(C)C)CC[C@@]4([H])[C@]3([H])[C@@H](OC(C)=O)[C@@H](O)[C@@]2(O)C[C@@H](O)C1</t>
  </si>
  <si>
    <t>KSWPGBOZNQWLFD-AXTSUWAQSA-N</t>
  </si>
  <si>
    <t>Gorgostanes and derivatives</t>
  </si>
  <si>
    <t>C32H54O5</t>
  </si>
  <si>
    <t>0.74_312.1089m/z</t>
  </si>
  <si>
    <t>Tyramine glucuronide</t>
  </si>
  <si>
    <t>HMDB0010328</t>
  </si>
  <si>
    <t>27972-85-6</t>
  </si>
  <si>
    <t>NCCC1=CC=C(O[C@@H]2O[C@@H]([C@@H](O)[C@H](O)[C@H]2O)C(O)=O)C=C1</t>
  </si>
  <si>
    <t>AQKVISOBVPVACA-BYNIDDHOSA-N</t>
  </si>
  <si>
    <t>C14H19NO7</t>
  </si>
  <si>
    <t>5.18_244.1916m/z</t>
  </si>
  <si>
    <t>4,5-Dihydrovomifoliol</t>
  </si>
  <si>
    <t>HMDB0040615</t>
  </si>
  <si>
    <t>142173-08-8</t>
  </si>
  <si>
    <t>CC(O)\C=C\C1(O)C(C)CC(=O)CC1(C)C</t>
  </si>
  <si>
    <t>IHDJYDVWNNFPHR-AATRIKPKSA-N</t>
  </si>
  <si>
    <t>C13H22O3</t>
  </si>
  <si>
    <t>3.65_515.0389m/z</t>
  </si>
  <si>
    <t>Trisjuglone</t>
  </si>
  <si>
    <t>HMDB0030568</t>
  </si>
  <si>
    <t>C10187</t>
  </si>
  <si>
    <t>50838-55-6</t>
  </si>
  <si>
    <t>OC1=CC=CC2=C1C(=O)C1=C(C2=O)C2=C(C(=O)C3=C(C(O)=CC=C3)C2=O)C2=C1C(=O)C1=C(C(O)=CC=C1)C2=O</t>
  </si>
  <si>
    <t>DNGCQXLPUZWYNB-UHFFFAOYSA-N</t>
  </si>
  <si>
    <t>Phenanthrenes and derivatives</t>
  </si>
  <si>
    <t>Triphenylenes</t>
  </si>
  <si>
    <t>C30H12O9</t>
  </si>
  <si>
    <t>10.41_656.3184m/z</t>
  </si>
  <si>
    <t>OKOOA-PS</t>
  </si>
  <si>
    <t>LMGP20040029</t>
  </si>
  <si>
    <t>C(O)(=O)[C@@]([H])(N)COP(OC[C@]([H])(OC(CCCC(=O)/C=C/C=O)=O)COC(CCCCCCC/C=C\CCCCCCCC)=O)(=O)O</t>
  </si>
  <si>
    <t>JWSLONXEOIUDBS-RUNYOZRHSA-N</t>
  </si>
  <si>
    <t>C32H54NO12P</t>
  </si>
  <si>
    <t>12.70_335.1676m/z</t>
  </si>
  <si>
    <t>S-Petasin</t>
  </si>
  <si>
    <t>HMDB0257423</t>
  </si>
  <si>
    <t>CSC=CC(=O)OC1CCC2=CC(=O)C(CC2(C)C1C)C(C)=C</t>
  </si>
  <si>
    <t>OHANKWLYFDFHOJ-UHFFFAOYSA-N</t>
  </si>
  <si>
    <t>C19H26O3S</t>
  </si>
  <si>
    <t>6.19_414.3016m/z</t>
  </si>
  <si>
    <t>N-oleoyl methionine</t>
  </si>
  <si>
    <t>LMFA08020110</t>
  </si>
  <si>
    <t>C(SC)C[C@]([H])(NC(CCCCCCC/C=C\CCCCCCCC)=O)C(=O)O</t>
  </si>
  <si>
    <t>ATFITIQQSWCPIQ-XPTLAUCJSA-N</t>
  </si>
  <si>
    <t>C23H43NO3S</t>
  </si>
  <si>
    <t>7.96_393.2263m/z</t>
  </si>
  <si>
    <t>N-[1'-(Aminocarbonyl)-2',2'-dimethylpropyl]-1-(cyclohexylmethyl)-1h-indazole-3-carboxamide</t>
  </si>
  <si>
    <t>HMDB0255030</t>
  </si>
  <si>
    <t>CC(C)(CNC(=O)C1=NN(CC2CCCCC2)C2=CC=CC=C12)CC(N)=O</t>
  </si>
  <si>
    <t>NDUJQXQCVAKORD-UHFFFAOYSA-N</t>
  </si>
  <si>
    <t>C21H30N4O2</t>
  </si>
  <si>
    <t>9.66_369.0157m/z</t>
  </si>
  <si>
    <t>2'-Deoxy-5'-O-thiophosphonouridine</t>
  </si>
  <si>
    <t>HMDB0251638</t>
  </si>
  <si>
    <t>OC1CC(OC1COP(O)(O)=S)N1C=CC(=O)NC1=O</t>
  </si>
  <si>
    <t>LGZBLTPUGKWVDT-UHFFFAOYSA-N</t>
  </si>
  <si>
    <t>C9H13N2O7PS</t>
  </si>
  <si>
    <t>11.55_538.3883m/z</t>
  </si>
  <si>
    <t>PC(O-17:0/2:0)</t>
  </si>
  <si>
    <t>LMGP01020078</t>
  </si>
  <si>
    <t>[C@](COP(=O)([O-])OCC[N+](C)(C)C)([H])(OC(C)=O)COCCCCCCCCCCCCCCCCC</t>
  </si>
  <si>
    <t>NKQXYSXRVZRIRI-HHHXNRCGSA-N</t>
  </si>
  <si>
    <t>9.50_396.2163n</t>
  </si>
  <si>
    <t>Isopetasoside</t>
  </si>
  <si>
    <t>HMDB0029622</t>
  </si>
  <si>
    <t>69809-29-6</t>
  </si>
  <si>
    <t>CC1C(CCC2=CC(=O)C(CC12C)=C(C)C)OC1OC(CO)C(O)C(O)C1O</t>
  </si>
  <si>
    <t>AVZCSGMWWXMJEA-UHFFFAOYSA-N</t>
  </si>
  <si>
    <t>C21H32O7</t>
  </si>
  <si>
    <t>5.94_169.0500m/z</t>
  </si>
  <si>
    <t>Ethanone, 1-(2,3,4-trihydroxyphenyl)-</t>
  </si>
  <si>
    <t>CC(=O)C1=C(C(=C(C=C1)O)O)O</t>
  </si>
  <si>
    <t>XIROXSOOOAZHLL-UHFFFAOYSA-N</t>
  </si>
  <si>
    <t>C8H8O4</t>
  </si>
  <si>
    <t>10.31_526.3152m/z</t>
  </si>
  <si>
    <t>PC(15:0/0:0)</t>
  </si>
  <si>
    <t>HMDB0010381</t>
  </si>
  <si>
    <t>LMGP01050016</t>
  </si>
  <si>
    <t>[C@](COP(=O)([O-])OCC[N+](C)(C)C)([H])(O)COC(CCCCCCCCCCCCCC)=O</t>
  </si>
  <si>
    <t>RJZVWDTYEWCUAR-JOCHJYFZSA-N</t>
  </si>
  <si>
    <t>10.13_293.2363n</t>
  </si>
  <si>
    <t>2'-hydroxy-N-(isobutyl)-tetradeca-2E,4E,8Z-trienamide</t>
  </si>
  <si>
    <t>LMFA08020322</t>
  </si>
  <si>
    <t>C(/C=C/C=C/CC/C=C\CCCCC)(=O)NCC(C)(C)O</t>
  </si>
  <si>
    <t>OMYRBCZBTQDJHF-RFYAXJIXSA-N</t>
  </si>
  <si>
    <t>C18H31NO2</t>
  </si>
  <si>
    <t>11.74_678.4371m/z</t>
  </si>
  <si>
    <t>PS(14:0/14:1(9Z))</t>
  </si>
  <si>
    <t>HMDB0012331</t>
  </si>
  <si>
    <t>LMGP03010094</t>
  </si>
  <si>
    <t>C(O)(=O)[C@@]([H])(N)COP(OC[C@]([H])(OC(CCCCCCC/C=C\CCCC)=O)COC(CCCCCCCCCCCCC)=O)(=O)O</t>
  </si>
  <si>
    <t>UJDLXQDMWGXLFK-XJFGLLPISA-N</t>
  </si>
  <si>
    <t>C34H64NO10P</t>
  </si>
  <si>
    <t>10.84_441.1430m/z</t>
  </si>
  <si>
    <t>Glucocorticoid receptor agonist</t>
  </si>
  <si>
    <t>HMDB0252765</t>
  </si>
  <si>
    <t>CC(C)(CC(O)(CC1=CC2=C(N1)C=NC=C2)C(F)(F)F)C1=C(O)C=CC(F)=C1</t>
  </si>
  <si>
    <t>JFUAWXPBHXKZGA-UHFFFAOYSA-N</t>
  </si>
  <si>
    <t>Pyrrolopyridines</t>
  </si>
  <si>
    <t>C20H20F4N2O2</t>
  </si>
  <si>
    <t>7.32_299.2015m/z</t>
  </si>
  <si>
    <t>6b-Hydroxymethandienone</t>
  </si>
  <si>
    <t>HMDB0005832</t>
  </si>
  <si>
    <t>33526-41-9</t>
  </si>
  <si>
    <t>[H][C@@]12CC[C@](C)(O)[C@@]1(C)CC[C@@]1([H])[C@@]2([H])C[C@@H](O)C2=CC(=O)C=C[C@]12C</t>
  </si>
  <si>
    <t>OBCJFTMGLMNCTJ-INIPNLRTSA-N</t>
  </si>
  <si>
    <t>13.51_421.2267m/z</t>
  </si>
  <si>
    <t>1,4-bis[(2-ethylhexyl)oxy]-1,4-dioxobutane-2-sulfonic acid</t>
  </si>
  <si>
    <t>HMDB0032386</t>
  </si>
  <si>
    <t>LMFA07010721</t>
  </si>
  <si>
    <t>C07874</t>
  </si>
  <si>
    <t>O=C(C(S(O)(=O)=O)CC(OCC(CCCC)CC)=O)OCC(CCCC)CC</t>
  </si>
  <si>
    <t>HNSDLXPSAYFUHK-UHFFFAOYSA-N</t>
  </si>
  <si>
    <t>C20H38O7S</t>
  </si>
  <si>
    <t>9.52_346.1640n</t>
  </si>
  <si>
    <t>Nepetaside</t>
  </si>
  <si>
    <t>HMDB0038149</t>
  </si>
  <si>
    <t>114076-56-1</t>
  </si>
  <si>
    <t>CC1C(CC2C1C(=O)OCC2C)OC1OC(CO)C(O)C(O)C1O</t>
  </si>
  <si>
    <t>CUIDBUWFCFYEPL-UHFFFAOYSA-N</t>
  </si>
  <si>
    <t>11.03_685.4650m/z</t>
  </si>
  <si>
    <t>PE-Cer(d15:1(4E)/18:0)</t>
  </si>
  <si>
    <t>LMSP03020015</t>
  </si>
  <si>
    <t>[C@](COP(=O)(O)OCCN)([H])(NC(CCCCCCCCCCCCCCCCC)=O)[C@]([H])(O)/C=C/CCCCCCCCCC</t>
  </si>
  <si>
    <t>AOAXBOCFELXPSU-FEBLJDHQSA-N</t>
  </si>
  <si>
    <t>C35H71N2O6P</t>
  </si>
  <si>
    <t>5.12_233.1656m/z</t>
  </si>
  <si>
    <t>Rivastigmine</t>
  </si>
  <si>
    <t>HMDB0015124</t>
  </si>
  <si>
    <t>C11766</t>
  </si>
  <si>
    <t>R-HSA-112311,R-HSA-112315,R-HSA-112316,R-HSA-1430728,R-HSA-1483191,R-HSA-1483206,R-HSA-1483257,R-HSA-556833</t>
  </si>
  <si>
    <t>Neurotransmitter clearance|Transmission across Chemical Synapses|Neuronal System|Metabolism|Synthesis of PC|Glycerophospholipid biosynthesis|Phospholipid metabolism|Metabolism of lipids</t>
  </si>
  <si>
    <t>123441-03-2</t>
  </si>
  <si>
    <t>CCN(C)C(=O)OC1=CC=CC(=C1)[C@H](C)N(C)C</t>
  </si>
  <si>
    <t>XSVMFMHYUFZWBK-NSHDSACASA-N</t>
  </si>
  <si>
    <t>5.85_321.0592m/z</t>
  </si>
  <si>
    <t>Biotin thiamine</t>
  </si>
  <si>
    <t>HMDB0249230</t>
  </si>
  <si>
    <t>SOC(=O)CCCCC1SCC2NC(=O)NC12</t>
  </si>
  <si>
    <t>PWAOCCNCAGWBGY-UHFFFAOYSA-N</t>
  </si>
  <si>
    <t>Biotin and derivatives</t>
  </si>
  <si>
    <t>C10H16N2O3S2</t>
  </si>
  <si>
    <t>11.59_718.4316m/z</t>
  </si>
  <si>
    <t>PA(20:5(7Z,9Z,11E,13E,17Z)-3OH(5,6,15)/a-13:0)</t>
  </si>
  <si>
    <t>HMDB0266866</t>
  </si>
  <si>
    <t>[H][C@@](COC(=O)CCC[C@H](O)[C@@H](O)\C=C/C=C\C=C\C=C\[C@H](O)C\C=C/CC)(COP(O)(O)=O)OC(=O)CCCCCCCCC(C)CC</t>
  </si>
  <si>
    <t>VHLOJKQIUGZYFC-QPTRMAGHSA-N</t>
  </si>
  <si>
    <t>C36H61O11P</t>
  </si>
  <si>
    <t>5.77_288.2179m/z</t>
  </si>
  <si>
    <t>Ethylene brassylate</t>
  </si>
  <si>
    <t>HMDB0040459</t>
  </si>
  <si>
    <t>105-95-3</t>
  </si>
  <si>
    <t>O=C1CCCCCCCCCCCC(=O)OCCO1</t>
  </si>
  <si>
    <t>XRHCAGNSDHCHFJ-UHFFFAOYSA-N</t>
  </si>
  <si>
    <t>C15H26O4</t>
  </si>
  <si>
    <t>13.43_510.3439m/z</t>
  </si>
  <si>
    <t>LysoSM(d18:1)</t>
  </si>
  <si>
    <t>HMDB0006482</t>
  </si>
  <si>
    <t>C03640</t>
  </si>
  <si>
    <t>1670-26-4</t>
  </si>
  <si>
    <t>CCCCCCCCCCCCC\C=C\[C@@H](O)[C@@H](N)COP(=O)(O)OCC[N+](C)(C)C</t>
  </si>
  <si>
    <t>JLVSPVFPBBFMBE-HXSWCURESA-O</t>
  </si>
  <si>
    <t>C23H50N2O5P+</t>
  </si>
  <si>
    <t>15.11_399.2519m/z</t>
  </si>
  <si>
    <t>Tris(2-butoxyethyl) phosphate</t>
  </si>
  <si>
    <t>HMDB0259275</t>
  </si>
  <si>
    <t>C14446</t>
  </si>
  <si>
    <t>78-51-3</t>
  </si>
  <si>
    <t>CCCCOCCOP(=O)(OCCOCCCC)OCCOCCCC</t>
  </si>
  <si>
    <t>WTLBZVNBAKMVDP-UHFFFAOYSA-N</t>
  </si>
  <si>
    <t>C18H39O7P</t>
  </si>
  <si>
    <t>0.68_218.0409n</t>
  </si>
  <si>
    <t>Sodium gluconate</t>
  </si>
  <si>
    <t>HMDB0303730</t>
  </si>
  <si>
    <t>[Na+].OCC(O)C(O)C(O)C(O)C([O-])=O</t>
  </si>
  <si>
    <t>UPMFZISCCZSDND-UHFFFAOYSA-M</t>
  </si>
  <si>
    <t>C6H11NaO7</t>
  </si>
  <si>
    <t>7.75_369.1743m/z</t>
  </si>
  <si>
    <t>5alpha-androstane-3alpha-ol-17-one sulfate</t>
  </si>
  <si>
    <t>HMDB0002759</t>
  </si>
  <si>
    <t>LMST05020001</t>
  </si>
  <si>
    <t>C04555</t>
  </si>
  <si>
    <t>2479-86-9</t>
  </si>
  <si>
    <t>C1[C@@H](OS(O)(=O)=O)C[C@]2([H])CC[C@@]3([H])[C@]4([H])CCC(=O)[C@@]4(C)CC[C@]3([H])[C@@]2(C)C1</t>
  </si>
  <si>
    <t>ZMITXKRGXGRMKS-HLUDHZFRSA-N</t>
  </si>
  <si>
    <t>C19H30O5S</t>
  </si>
  <si>
    <t>6.89_319.1550m/z</t>
  </si>
  <si>
    <t>Zearalenone</t>
  </si>
  <si>
    <t>LMPK04000016</t>
  </si>
  <si>
    <t>C09981</t>
  </si>
  <si>
    <t>C12C=CCCCC(CCC[C@H](C)OC(=O)C1=C(O)C=C(O)C=2)=O</t>
  </si>
  <si>
    <t>MBMQEIFVQACCCH-QBODLPLBSA-N</t>
  </si>
  <si>
    <t>Zearalenones</t>
  </si>
  <si>
    <t>C18H22O5</t>
  </si>
  <si>
    <t>11.32_376.2979n</t>
  </si>
  <si>
    <t>3alpha,7alpha-Dihydroxy-5beta-cholan-24-al</t>
  </si>
  <si>
    <t>LMST04010315</t>
  </si>
  <si>
    <t>C1[C@]2(C)[C@@]3([H])CC[C@]4(C)[C@@]([H])([C@]([H])(C)CCC(=O)[H])CC[C@@]4([H])[C@]3([H])[C@H](O)C[C@]2([H])C[C@H](O)C1</t>
  </si>
  <si>
    <t>MVDXXAZAAXGQPZ-CBHFXPLJSA-N</t>
  </si>
  <si>
    <t>M+FA-H, 2M-H, M-H</t>
  </si>
  <si>
    <t>C24H40O3</t>
  </si>
  <si>
    <t>14.69_182.1908m/z</t>
  </si>
  <si>
    <t>Dicyclohexylamine</t>
  </si>
  <si>
    <t>HMDB0251214</t>
  </si>
  <si>
    <t>C14686</t>
  </si>
  <si>
    <t>101-83-7</t>
  </si>
  <si>
    <t>C1CCC(CC1)NC1CCCCC1</t>
  </si>
  <si>
    <t>XBPCUCUWBYBCDP-UHFFFAOYSA-N</t>
  </si>
  <si>
    <t>Cyclohexylamines</t>
  </si>
  <si>
    <t>C12H23N</t>
  </si>
  <si>
    <t>49</t>
  </si>
  <si>
    <t>2-Hydroxybutyric Acid</t>
  </si>
  <si>
    <t>HMDB0000008</t>
  </si>
  <si>
    <t>LMFA01050004</t>
  </si>
  <si>
    <t>C05984</t>
  </si>
  <si>
    <t>hsa00640</t>
  </si>
  <si>
    <t>Propanoate metabolism</t>
  </si>
  <si>
    <t>C(C)C(O)C(=O)O</t>
  </si>
  <si>
    <t>AFENDNXGAFYKQO-UHFFFAOYSA-N</t>
  </si>
  <si>
    <t>C4H8O3</t>
  </si>
  <si>
    <t>10.74_419.1531m/z</t>
  </si>
  <si>
    <t>1,6-Dihydroxy-3,7-dimethoxy-2-(3-methyl-2-butenyl)-8-(2-oxo-3-methyl-3-butenyl)-xanthone</t>
  </si>
  <si>
    <t>HMDB0039913</t>
  </si>
  <si>
    <t>COC1=CC2=C(C(O)=C1CC=C(C)C)C(=O)C1=C(CC(=O)C(C)=C)C(OC)=C(O)C=C1O2</t>
  </si>
  <si>
    <t>CTHBSTBJHULKMD-UHFFFAOYSA-N</t>
  </si>
  <si>
    <t>C25H26O7</t>
  </si>
  <si>
    <t>7.51_333.2070m/z</t>
  </si>
  <si>
    <t>(Z)-7-[(1R,3R)-3-Hydroxy-2-[(1E,3S,5Z)-3-hydroxyocta-1,5-dienyl]-5-oxocyclopentyl]hept-5-enoic acid</t>
  </si>
  <si>
    <t>HMDB0247474</t>
  </si>
  <si>
    <t>CCC=CCC(O)C=CC1C(O)CC(=O)C1CC=CCCCC(O)=O</t>
  </si>
  <si>
    <t>CBOMORHDRONZRN-UHFFFAOYSA-N</t>
  </si>
  <si>
    <t>12.71_377.2729m/z</t>
  </si>
  <si>
    <t>10-[3]-ladderane-decanoic acid</t>
  </si>
  <si>
    <t>LMFA01140012</t>
  </si>
  <si>
    <t>C1CC2C3C4CCC4C3C2CC1CCCCCCCCCC(=O)O</t>
  </si>
  <si>
    <t>LNZVFVDXQMOFRR-UHFFFAOYSA-N</t>
  </si>
  <si>
    <t>14.06_611.4687m/z</t>
  </si>
  <si>
    <t>DG(18:3(6Z,9Z,12Z)/18:4(6Z,9Z,12Z,15Z)/0:0)</t>
  </si>
  <si>
    <t>HMDB0007280</t>
  </si>
  <si>
    <t>[H][C@](CO)(COC(=O)CCCC\C=C/C\C=C/C\C=C/CCCCC)OC(=O)CCCC\C=C/C\C=C/C\C=C/C\C=C/CC</t>
  </si>
  <si>
    <t>BZTQQFDJESLHOA-ILZSWZTISA-N</t>
  </si>
  <si>
    <t>C39H62O5</t>
  </si>
  <si>
    <t>9.44_517.2188m/z</t>
  </si>
  <si>
    <t>26,26,26,27,27,27-hexafluoro-1alpha,25-dihydroxy-16,17,23,23,24,24-hexadehydrovitamin D3</t>
  </si>
  <si>
    <t>LMST03020078</t>
  </si>
  <si>
    <t>[C@@H]1(O)C(=C)/C(=C\C=C2\[C@]3([H])CC=C([C@@](C)([H])CC#CC(O)(C(F)(F)F)C(F)(F)F)[C@@]3(C)CCC\2)/C[C@@H](O)C1</t>
  </si>
  <si>
    <t>WVQFESJNOSYLJI-GGYAEFIASA-N</t>
  </si>
  <si>
    <t>C27H32F6O3</t>
  </si>
  <si>
    <t>14.01_435.2108m/z</t>
  </si>
  <si>
    <t>pre-putrebactin</t>
  </si>
  <si>
    <t>LMFA08020201</t>
  </si>
  <si>
    <t>C(CC(=O)N(CCCCNC(CCC(=O)N(CCCCN)O)=O)O)C(O)=O</t>
  </si>
  <si>
    <t>MMTPETIUERTJQL-UHFFFAOYSA-N</t>
  </si>
  <si>
    <t>C16H30N4O7</t>
  </si>
  <si>
    <t>9.44_473.2293m/z</t>
  </si>
  <si>
    <t>PA(2:0/18:3(9,11,15)-OH(13))</t>
  </si>
  <si>
    <t>HMDB0266573</t>
  </si>
  <si>
    <t>[H][C@@](COC(C)=O)(COP(O)(O)=O)OC(=O)CCCCCCC\C=C\C=C\C(O)C\C=C\CC</t>
  </si>
  <si>
    <t>BXDQSXGETPTDRB-UYMCUMKHSA-N</t>
  </si>
  <si>
    <t>C23H39O9P</t>
  </si>
  <si>
    <t>8.15_555.1802m/z</t>
  </si>
  <si>
    <t>Methionyl-Glutamate</t>
  </si>
  <si>
    <t>HMDB0028972</t>
  </si>
  <si>
    <t>CSCCC(N)C(=O)NC(CCC(O)=O)C(O)=O</t>
  </si>
  <si>
    <t>ADHNYKZHPOEULM-UHFFFAOYSA-N</t>
  </si>
  <si>
    <t>C10H18N2O5S</t>
  </si>
  <si>
    <t>11.35_289.1575m/z</t>
  </si>
  <si>
    <t>4,7,10,13-Hexadecatetraenoic acid</t>
  </si>
  <si>
    <t>HMDB0246620</t>
  </si>
  <si>
    <t>CCC=CCCCCC=CCC=CCCC(O)=O</t>
  </si>
  <si>
    <t>YCKJXDKTCUJPDD-UHFFFAOYSA-N</t>
  </si>
  <si>
    <t>C16H26O2</t>
  </si>
  <si>
    <t>10.91_495.3453m/z</t>
  </si>
  <si>
    <t>Sebiferenic acid</t>
  </si>
  <si>
    <t>HMDB0035748</t>
  </si>
  <si>
    <t>94390-09-7</t>
  </si>
  <si>
    <t>CC1(C)CCC2(CC=C3C4(C)CCC5C(C)(C)C(O)C(O)CC5(C)C4CCC3(C)C2C1)C(O)=O</t>
  </si>
  <si>
    <t>JMJVYEINATYJHM-UHFFFAOYSA-N</t>
  </si>
  <si>
    <t>C30H48O4</t>
  </si>
  <si>
    <t>10.63_394.1897m/z</t>
  </si>
  <si>
    <t>Antofloxacin</t>
  </si>
  <si>
    <t>HMDB0248493</t>
  </si>
  <si>
    <t>CC1COC2=C(N3CCN(C)CC3)C(F)=C(N)C3=C2N1C=C(C(O)=O)C3=O</t>
  </si>
  <si>
    <t>MHFCVNDHFSOKMK-UHFFFAOYSA-N</t>
  </si>
  <si>
    <t>C18H21FN4O4</t>
  </si>
  <si>
    <t>336</t>
  </si>
  <si>
    <t>1,5-Anhydrohexitol</t>
  </si>
  <si>
    <t>HMDB0244228</t>
  </si>
  <si>
    <t>OCC1OCC(O)C(O)C1O</t>
  </si>
  <si>
    <t>MPCAJMNYNOGXPB-UHFFFAOYSA-N</t>
  </si>
  <si>
    <t>C6H12O5</t>
  </si>
  <si>
    <t>1.21_288.2040m/z</t>
  </si>
  <si>
    <t>Arginylleucine</t>
  </si>
  <si>
    <t>HMDB0028713</t>
  </si>
  <si>
    <t>1188-24-5</t>
  </si>
  <si>
    <t>CC(C)C[C@H](NC(=O)[C@@H](N)CCCNC(N)=N)C(O)=O</t>
  </si>
  <si>
    <t>WYBVBIHNJWOLCJ-IUCAKERBSA-N</t>
  </si>
  <si>
    <t>C12H25N5O3</t>
  </si>
  <si>
    <t>0.85_269.0878m/z</t>
  </si>
  <si>
    <t>D-erythro-L-galacto-Nonulose</t>
  </si>
  <si>
    <t>HMDB0029955</t>
  </si>
  <si>
    <t>OCC(O)C(O)C1OC(O)(CO)C(O)C(O)C1O</t>
  </si>
  <si>
    <t>USEZWDIVUDJKCA-UHFFFAOYSA-N</t>
  </si>
  <si>
    <t>C9H18O9</t>
  </si>
  <si>
    <t>2.80_513.1953m/z</t>
  </si>
  <si>
    <t>benserazide</t>
  </si>
  <si>
    <t>HMDB0248960</t>
  </si>
  <si>
    <t>322-35-0</t>
  </si>
  <si>
    <t>NC(CO)C(O)=NNCC1=C(O)C(O)=C(O)C=C1</t>
  </si>
  <si>
    <t>BNQDCRGUHNALGH-UHFFFAOYSA-N</t>
  </si>
  <si>
    <t>C10H15N3O5</t>
  </si>
  <si>
    <t>7.43_369.1744m/z</t>
  </si>
  <si>
    <t>5alpha-Dihydrotestosterone sulfate</t>
  </si>
  <si>
    <t>HMDB0006278</t>
  </si>
  <si>
    <t>LMST05020023</t>
  </si>
  <si>
    <t>[C@]12(CC[C@@]3([H])CC(=O)CC[C@]3(C)[C@@]1([H])CC[C@]1(C)[C@@H](OS(O)(=O)=O)CC[C@@]21[H])[H]</t>
  </si>
  <si>
    <t>KYVPWJSGFKNNLD-ABEVXSGRSA-N</t>
  </si>
  <si>
    <t>8.59_551.2229m/z</t>
  </si>
  <si>
    <t>Murametide</t>
  </si>
  <si>
    <t>HMDB0254950</t>
  </si>
  <si>
    <t>COC(=O)C(CCC(N)=O)NC(=O)C(C)NC(=O)C(C)OC1C(O)C(CO)OC(O)C1NC(C)=O</t>
  </si>
  <si>
    <t>OXSVRXKURHXDIV-UHFFFAOYSA-N</t>
  </si>
  <si>
    <t>C20H34N4O11</t>
  </si>
  <si>
    <t>14.47_575.4686m/z</t>
  </si>
  <si>
    <t>Epoxymurin A</t>
  </si>
  <si>
    <t>HMDB0040920</t>
  </si>
  <si>
    <t>C08484</t>
  </si>
  <si>
    <t>151484-64-9</t>
  </si>
  <si>
    <t>CCCCCCCCCCCC\C=C/CCC1OC1CCCCCCCCCCCCC1=CC(C)OC1=O</t>
  </si>
  <si>
    <t>BUQYQSMGNYBXDM-QOCHGBHMSA-N</t>
  </si>
  <si>
    <t>C35H62O3</t>
  </si>
  <si>
    <t>8.16_355.2493m/z</t>
  </si>
  <si>
    <t>13,14-dihydro-PGF2alpha</t>
  </si>
  <si>
    <t>LMFA03010079</t>
  </si>
  <si>
    <t>[C@H]1(CC[C@@H](O)CCCCC)[C@H](O)C[C@H](O)[C@@H]1C/C=C\CCCC(=O)O</t>
  </si>
  <si>
    <t>LLQBSJQTCKVWTD-NFUXFLSFSA-N</t>
  </si>
  <si>
    <t>C20H36O5</t>
  </si>
  <si>
    <t>15.03_605.4061m/z</t>
  </si>
  <si>
    <t>3-O-beta-D-glucosyl-brassicasterol</t>
  </si>
  <si>
    <t>HMDB0304143</t>
  </si>
  <si>
    <t>CC(C)C(C)C=CC(C)C1CCC2C3CC=C4CC(CCC4(C)C3CCC12C)OC1OC(CO)C(O)C(O)C1O</t>
  </si>
  <si>
    <t>ILUZPRRJJSFYEH-UHFFFAOYSA-N</t>
  </si>
  <si>
    <t>C34H56O6</t>
  </si>
  <si>
    <t>5.52_539.2499m/z</t>
  </si>
  <si>
    <t>Tetrahydroaldosterone-3-glucuronide</t>
  </si>
  <si>
    <t>HMDB0010357</t>
  </si>
  <si>
    <t>20605-81-6</t>
  </si>
  <si>
    <t>[H][C@@]12CC3(C(O)O1)C(CC[C@@H]3C(=O)CO)C1CCC3CC(CC[C@]3(C)C21)O[C@@H]1O[C@@H]([C@@H](O)[C@@H](O)[C@H]1O)C(O)=O</t>
  </si>
  <si>
    <t>CGIURIOFMWUPSV-RUQPETGGSA-N</t>
  </si>
  <si>
    <t>C27H40O11</t>
  </si>
  <si>
    <t>10.39_291.1602m/z</t>
  </si>
  <si>
    <t>Acetylbalchanolide</t>
  </si>
  <si>
    <t>HMDB0036693</t>
  </si>
  <si>
    <t>CC1C2C(OC1=O)\C=C(C)\CC\C=C(C)\CC2OC(C)=O</t>
  </si>
  <si>
    <t>MNQOAYZWZSDAKZ-BBYAVRKXSA-N</t>
  </si>
  <si>
    <t>C17H24O4</t>
  </si>
  <si>
    <t>9.32_204.1521n</t>
  </si>
  <si>
    <t>13-tetradecen-2,4-diyn-1-ol</t>
  </si>
  <si>
    <t>LMFA05000016</t>
  </si>
  <si>
    <t>C(CO)#CC#CCCCCCCCC=C</t>
  </si>
  <si>
    <t>CENJVOWTHMJWMU-UHFFFAOYSA-N</t>
  </si>
  <si>
    <t>C14H20O</t>
  </si>
  <si>
    <t>10.61_184.0737m/z</t>
  </si>
  <si>
    <t>Phosphorylcholine</t>
  </si>
  <si>
    <t>HMDB0001565</t>
  </si>
  <si>
    <t>C00588</t>
  </si>
  <si>
    <t>hsa00564,hsa05231</t>
  </si>
  <si>
    <t>Glycerophospholipid metabolism|Choline metabolism in cancer</t>
  </si>
  <si>
    <t>R-HSA-1280215,R-HSA-1430728,R-HSA-1483255,R-HSA-1483257,R-HSA-162582,R-HSA-1660662,R-HSA-168256,R-HSA-193681,R-HSA-193704,R-HSA-428157,R-HSA-556833,R-HSA-6814848,R-HSA-73887,R-HSA-9680350</t>
  </si>
  <si>
    <t>Cytokine Signaling in Immune system|Metabolism|PI Metabolism|Phospholipid metabolism|Signal Transduction|Glycosphingolipid metabolism|Immune System|Ceramide signalling|p75 NTR receptor-mediated signalling|Sphingolipid metabolism|Metabolism of lipids|Glycerophospholipid catabolism|Death Receptor Signaling|Signaling by CSF1 (M-CSF) in myeloid cells</t>
  </si>
  <si>
    <t>3616-04-4</t>
  </si>
  <si>
    <t>C[N+](C)(C)CCOP(O)(O)=O</t>
  </si>
  <si>
    <t>YHHSONZFOIEMCP-UHFFFAOYSA-O</t>
  </si>
  <si>
    <t>C5H15NO4P+</t>
  </si>
  <si>
    <t>14.13_388.2529m/z</t>
  </si>
  <si>
    <t>N-oleoyl taurine</t>
  </si>
  <si>
    <t>HMDB0242113</t>
  </si>
  <si>
    <t>LMFA08020081</t>
  </si>
  <si>
    <t>52514-04-2</t>
  </si>
  <si>
    <t>N(CCS(O)(=O)=O)C(CCCCCCC/C=C\CCCCCCCC)=O</t>
  </si>
  <si>
    <t>KOGRJTUIKPMZEJ-KTKRTIGZSA-N</t>
  </si>
  <si>
    <t>C20H39NO4S</t>
  </si>
  <si>
    <t>0.77_218.1394m/z</t>
  </si>
  <si>
    <t>(1R,2R,3S,1'R)-Nepetalinic acid</t>
  </si>
  <si>
    <t>HMDB0034971</t>
  </si>
  <si>
    <t>32603-11-5</t>
  </si>
  <si>
    <t>CC(C1CCC(C)C1C(O)=O)C(O)=O</t>
  </si>
  <si>
    <t>OIFCPZGZZQQDNO-UHFFFAOYSA-N</t>
  </si>
  <si>
    <t>C10H16O4</t>
  </si>
  <si>
    <t>10.86_614.3464m/z</t>
  </si>
  <si>
    <t>PC(22:5(4Z,7Z,10Z,13Z,16Z)/0:0)</t>
  </si>
  <si>
    <t>HMDB0010402</t>
  </si>
  <si>
    <t>LMGP01050142</t>
  </si>
  <si>
    <t>C(OP(OCC[N+](C)(C)C)(=O)[O-])[C@]([H])(O)COC(=O)CC/C=C\C/C=C\C/C=C\C/C=C\C/C=C\CCCCC</t>
  </si>
  <si>
    <t>YBUXFQUGNPBZPS-YNBHEIDWSA-N</t>
  </si>
  <si>
    <t>3.65_198.0321m/z</t>
  </si>
  <si>
    <t>2-Chloro-L-phenylalanine</t>
  </si>
  <si>
    <t>C1=CC=C(C(=C1)CC(C(=O)O)N)Cl</t>
  </si>
  <si>
    <t>CVZZNRXMDCOHBG-QMMMGPOBSA-N</t>
  </si>
  <si>
    <t>9.24_150.0685n</t>
  </si>
  <si>
    <t>3-Methylphenylacetic acid</t>
  </si>
  <si>
    <t>HMDB0002222</t>
  </si>
  <si>
    <t>621-36-3</t>
  </si>
  <si>
    <t>CC1=CC(CC(O)=O)=CC=C1</t>
  </si>
  <si>
    <t>GJMPSRSMBJLKKB-UHFFFAOYSA-N</t>
  </si>
  <si>
    <t>Toluenes</t>
  </si>
  <si>
    <t>C9H10O2</t>
  </si>
  <si>
    <t>13.24_299.2592m/z</t>
  </si>
  <si>
    <t>1-Heptadecen-3-one</t>
  </si>
  <si>
    <t>LMFA12000194</t>
  </si>
  <si>
    <t>CCC(=O)CCCCCCCCCCCCCC</t>
  </si>
  <si>
    <t>PXJYBWGEOVYLSM-UHFFFAOYSA-N</t>
  </si>
  <si>
    <t>C17H34O</t>
  </si>
  <si>
    <t>0.74_203.1397m/z</t>
  </si>
  <si>
    <t>Alanylleucine</t>
  </si>
  <si>
    <t>HMDB0028691</t>
  </si>
  <si>
    <t>3303-34-2</t>
  </si>
  <si>
    <t>CC(C)C[C@H](NC(=O)[C@H](C)N)C(O)=O</t>
  </si>
  <si>
    <t>RDIKFPRVLJLMER-BQBZGAKWSA-N</t>
  </si>
  <si>
    <t>C9H18N2O3</t>
  </si>
  <si>
    <t>6.92_469.1297m/z</t>
  </si>
  <si>
    <t>[2-Oxo-3-(3-oxo-1-phenylbutyl)chromen-4-yl] 2-acetyloxybenzoate</t>
  </si>
  <si>
    <t>HMDB0258112</t>
  </si>
  <si>
    <t>CC(=O)CC(C1=CC=CC=C1)C1=C(OC(=O)C2=CC=CC=C2OC(C)=O)C2=CC=CC=C2OC1=O</t>
  </si>
  <si>
    <t>HOXVLYDCRDAPNI-UHFFFAOYSA-N</t>
  </si>
  <si>
    <t>C28H22O7</t>
  </si>
  <si>
    <t>10.70_524.3359m/z</t>
  </si>
  <si>
    <t>PC(O-16:1(3Z)/0:0)</t>
  </si>
  <si>
    <t>LMGP01060047</t>
  </si>
  <si>
    <t>[C@](COP(=O)([O-])OCC[N+](C)(C)C)([H])(O)COCC/C=C\CCCCCCCCCCCC</t>
  </si>
  <si>
    <t>NNYXALRCDUGKCV-NSNCMOJPSA-N</t>
  </si>
  <si>
    <t>7.78_296.2588m/z</t>
  </si>
  <si>
    <t>(4E,8E,10E-d18:3)sphingosine</t>
  </si>
  <si>
    <t>LMSP01080013</t>
  </si>
  <si>
    <t>C([C@H](N)[C@H](O)/C=C/CC/C=C/C=C/CCCCCCC)O</t>
  </si>
  <si>
    <t>PZVYDNWEQXJZPQ-IYAOGOEGSA-N</t>
  </si>
  <si>
    <t>C18H33NO2</t>
  </si>
  <si>
    <t>3.52_367.1514m/z</t>
  </si>
  <si>
    <t>Tryptophan 2-C-mannoside</t>
  </si>
  <si>
    <t>HMDB0240296</t>
  </si>
  <si>
    <t>180509-18-6</t>
  </si>
  <si>
    <t>N[C@@H](CC1=C(NC2=CC=CC=C12)[C@H]1O[C@H](CO)[C@@H](O)[C@H](O)[C@@H]1O)C(O)=O</t>
  </si>
  <si>
    <t>CPXSBHKDEPPWIX-RAYCSJGISA-N</t>
  </si>
  <si>
    <t>C17H22N2O7</t>
  </si>
  <si>
    <t>9.68_396.2756m/z</t>
  </si>
  <si>
    <t>ent-13-F4t-NeuroP</t>
  </si>
  <si>
    <t>LMFA04010075</t>
  </si>
  <si>
    <t>C(CC/C=C\C/C=C\C/C=C\C[C@@H](O)/C=C/[C@H]1[C@H](O)C[C@H](O)[C@H]1CC)(=O)O</t>
  </si>
  <si>
    <t>BGXODHLJNXZNNX-CCDUXTSYSA-N</t>
  </si>
  <si>
    <t>10.31_343.3331m/z</t>
  </si>
  <si>
    <t>5,9-Tricosadiene</t>
  </si>
  <si>
    <t>LMFA11000455</t>
  </si>
  <si>
    <t>CCCC/C=C/CC/C=C/CCCCCCCCCCCCC</t>
  </si>
  <si>
    <t>MNTTZIKPNMRXFI-QNBOAHBYSA-N</t>
  </si>
  <si>
    <t>Olefins</t>
  </si>
  <si>
    <t>C23H44</t>
  </si>
  <si>
    <t>1.77_131.0339m/z</t>
  </si>
  <si>
    <t>Monoethyl malonic acid</t>
  </si>
  <si>
    <t>HMDB0000576</t>
  </si>
  <si>
    <t>1071-46-1</t>
  </si>
  <si>
    <t>CCOC(=O)CC(O)=O</t>
  </si>
  <si>
    <t>HGINADPHJQTSKN-UHFFFAOYSA-N</t>
  </si>
  <si>
    <t>C5H8O4</t>
  </si>
  <si>
    <t>12.42_321.2047m/z</t>
  </si>
  <si>
    <t>10,14-octadecadiynoic acid</t>
  </si>
  <si>
    <t>LMFA01030544</t>
  </si>
  <si>
    <t>C(CCCCCCCCC#CCCC#CCCC)(=O)O</t>
  </si>
  <si>
    <t>VDKBUECZBKBXQU-UHFFFAOYSA-N</t>
  </si>
  <si>
    <t>C18H28O2</t>
  </si>
  <si>
    <t>12.70_337.1679m/z</t>
  </si>
  <si>
    <t>N-(p-Amylcinnamoyl)anthranilic acid</t>
  </si>
  <si>
    <t>HMDB0255026</t>
  </si>
  <si>
    <t>CCCCCC1=CC=C(C=CC(=O)NC2=CC=CC=C2C(O)=O)C=C1</t>
  </si>
  <si>
    <t>GAMRBCZMOOMBSQ-UHFFFAOYSA-N</t>
  </si>
  <si>
    <t>C21H23NO3</t>
  </si>
  <si>
    <t>1.19_265.0781m/z</t>
  </si>
  <si>
    <t>6-Formylindolo [3,2-B] carbazole</t>
  </si>
  <si>
    <t>172922-91-7</t>
  </si>
  <si>
    <t>C1=CC=C2C(=C1)C3=CC4=C(C5=CC=CC=C5N4)C(=C3N2)C=O</t>
  </si>
  <si>
    <t>ZUDXFBWDXVNRKF-UHFFFAOYSA-N</t>
  </si>
  <si>
    <t>C19H12N2O</t>
  </si>
  <si>
    <t>12.55_496.3776m/z</t>
  </si>
  <si>
    <t>PE(O-20:0/0:0)</t>
  </si>
  <si>
    <t>LMGP02060005</t>
  </si>
  <si>
    <t>[C@](COP(=O)(O)OCCN)([H])(O)COCCCCCCCCCCCCCCCCCCCC</t>
  </si>
  <si>
    <t>PKPGKYPSMJMPGS-RUZDIDTESA-N</t>
  </si>
  <si>
    <t>9.91_292.2263m/z</t>
  </si>
  <si>
    <t>6-[5]-ladderane-hexanoic acid</t>
  </si>
  <si>
    <t>LMFA01140003</t>
  </si>
  <si>
    <t>C1C2C3C4C5CC(CCCCCC(=O)O)C5C4C3C2C1</t>
  </si>
  <si>
    <t>FWADMOZVPHIBNO-UHFFFAOYSA-N</t>
  </si>
  <si>
    <t>C18H26O2</t>
  </si>
  <si>
    <t>4.67_401.1446m/z</t>
  </si>
  <si>
    <t>12-bromo-octadecanoic acid</t>
  </si>
  <si>
    <t>LMFA01090013</t>
  </si>
  <si>
    <t>C(CCCCCCCCCCC(Br)CCCCCC)(=O)O</t>
  </si>
  <si>
    <t>OOXDKNSCVLIEIN-UHFFFAOYSA-N</t>
  </si>
  <si>
    <t>C18H35BrO2</t>
  </si>
  <si>
    <t>10.91_313.2385m/z</t>
  </si>
  <si>
    <t>2-keto-3-hydroxyoctadecanoic acid</t>
  </si>
  <si>
    <t>LMFA01060209</t>
  </si>
  <si>
    <t>C(C(=O)C(O)CCCCCCCCCCCCCCC)(=O)O</t>
  </si>
  <si>
    <t>MYKUSIWXHVLDRP-UHFFFAOYSA-N</t>
  </si>
  <si>
    <t>C18H34O4</t>
  </si>
  <si>
    <t>8.55_421.2230m/z</t>
  </si>
  <si>
    <t>ent-4-E4t-NeuroP</t>
  </si>
  <si>
    <t>LMFA04010267</t>
  </si>
  <si>
    <t>C(CC[C@@H](O)/C=C/[C@H]1C(=O)C[C@H](O)[C@H]1C/C=C\C/C=C\C/C=C\CC)(=O)O</t>
  </si>
  <si>
    <t>RIVCEGQLJFEWTQ-FBEKKVPKSA-N</t>
  </si>
  <si>
    <t>14.46_963.6916m/z</t>
  </si>
  <si>
    <t>PI(22:1(11Z)/21:0)</t>
  </si>
  <si>
    <t>LMGP06010719</t>
  </si>
  <si>
    <t>[C@]([H])(OC(CCCCCCCCCCCCCCCCCCCC)=O)(COP(=O)(O)O[C@H]1[C@H](O)[C@@H](O)[C@H](O)[C@@H](O)[C@H]1O)COC(CCCCCCCCC/C=C\CCCCCCCCCC)=O</t>
  </si>
  <si>
    <t>BVRMDTNFZITGFC-ZRDCDSSISA-N</t>
  </si>
  <si>
    <t>C52H99O13P</t>
  </si>
  <si>
    <t>10.74_321.2344m/z</t>
  </si>
  <si>
    <t>1-Phenylpiperidine</t>
  </si>
  <si>
    <t>HMDB0243994</t>
  </si>
  <si>
    <t>C1CCN(CC1)C1=CC=CC=C1</t>
  </si>
  <si>
    <t>LLSKXGRDUPMXLC-UHFFFAOYSA-N</t>
  </si>
  <si>
    <t>Phenylpiperidines</t>
  </si>
  <si>
    <t>C11H15N</t>
  </si>
  <si>
    <t>8.53_379.2105m/z</t>
  </si>
  <si>
    <t>Phytocassane B</t>
  </si>
  <si>
    <t>HMDB0041055</t>
  </si>
  <si>
    <t>166547-22-4</t>
  </si>
  <si>
    <t>CC1C2CCC3C(C)(C)C(O)C(O)C(O)C3(C)C2C(=O)C=C1C=C</t>
  </si>
  <si>
    <t>XFRCVLKGZMPUFQ-UHFFFAOYSA-N</t>
  </si>
  <si>
    <t>0.62_835.3436m/z</t>
  </si>
  <si>
    <t>Nimodipine</t>
  </si>
  <si>
    <t>HMDB0014537</t>
  </si>
  <si>
    <t>C07267</t>
  </si>
  <si>
    <t>R-HSA-2262752,R-HSA-3371497,R-HSA-397014,R-HSA-5576891,R-HSA-5576893,R-HSA-8953897</t>
  </si>
  <si>
    <t>Cellular responses to stress|HSP90 chaperone cycle for steroid hormone receptors (SHR) in the presence of ligand|Muscle contraction|Cardiac conduction|Phase 2 - plateau phase|Cellular responses to stimuli</t>
  </si>
  <si>
    <t>66085-59-4</t>
  </si>
  <si>
    <t>COCCOC(=O)C1=C(C)NC(C)=C(C1C1=CC(=CC=C1)[N+]([O-])=O)C(=O)OC(C)C</t>
  </si>
  <si>
    <t>UIAGMCDKSXEBJQ-UHFFFAOYSA-N</t>
  </si>
  <si>
    <t>Hydropyridines</t>
  </si>
  <si>
    <t>C21H26N2O7</t>
  </si>
  <si>
    <t>11.94_638.4400m/z</t>
  </si>
  <si>
    <t>1-(2-methoxy-18Z-pentacosenyl)-sn-glycero-3-phosphoserine</t>
  </si>
  <si>
    <t>LMGP03060026</t>
  </si>
  <si>
    <t>C(O)(=O)[C@@]([H])(N)COP(OC[C@]([H])(O)COCC(OC)CCCCCCCCCCCCCCC/C=C\CCCCCC)(=O)O</t>
  </si>
  <si>
    <t>SUBIKHBKIJMXBC-QCVFKNFASA-N</t>
  </si>
  <si>
    <t>C32H64NO9P</t>
  </si>
  <si>
    <t>12.05_577.4242m/z</t>
  </si>
  <si>
    <t>PA(O-16:0/12:0)</t>
  </si>
  <si>
    <t>LMGP10020002</t>
  </si>
  <si>
    <t>[C@](COP(=O)(O)O)([H])(OC(CCCCCCCCCCC)=O)COCCCCCCCCCCCCCCCC</t>
  </si>
  <si>
    <t>XKILFGZWURXBMZ-SSEXGKCCSA-N</t>
  </si>
  <si>
    <t>C31H63O7P</t>
  </si>
  <si>
    <t>6.30_367.1400m/z</t>
  </si>
  <si>
    <t>hbas#9</t>
  </si>
  <si>
    <t>LMFA13040149</t>
  </si>
  <si>
    <t>O([C@@H](CCC(=O)O)C)[C@H]1[C@H](O)C[C@@H](OC(=O)C2=CC=C(O)C=C2)[C@H](C)O1</t>
  </si>
  <si>
    <t>GOULJBFAJHFZIY-WJOFSXDMSA-N</t>
  </si>
  <si>
    <t>C18H24O8</t>
  </si>
  <si>
    <t>1.03_260.1978m/z</t>
  </si>
  <si>
    <t>Lysylleucine</t>
  </si>
  <si>
    <t>HMDB0028955</t>
  </si>
  <si>
    <t>7369-79-1</t>
  </si>
  <si>
    <t>CC(C)C[C@H](NC(=O)[C@@H](N)CCCCN)C(O)=O</t>
  </si>
  <si>
    <t>ATIPDCIQTUXABX-UWVGGRQHSA-N</t>
  </si>
  <si>
    <t>C12H25N3O3</t>
  </si>
  <si>
    <t>8.94_395.2440m/z</t>
  </si>
  <si>
    <t>Tetrahydrodeoxycortisol</t>
  </si>
  <si>
    <t>HMDB0005972</t>
  </si>
  <si>
    <t>LMST05030014</t>
  </si>
  <si>
    <t>C14594</t>
  </si>
  <si>
    <t>68-60-0</t>
  </si>
  <si>
    <t>[C@@]12([H])CC[C@]3([H])C[C@H](O)CC[C@]3(C)[C@@]1([H])CC[C@]1(C)[C@@](O)(C(=O)CO)CC[C@@]21[H]</t>
  </si>
  <si>
    <t>UPTAPIKFKZGAGM-FAIYVORSSA-N</t>
  </si>
  <si>
    <t>C21H34O4</t>
  </si>
  <si>
    <t>9.66_539.1853m/z</t>
  </si>
  <si>
    <t>3,6,9,12-Tetraazatetradecanedioic acid, 3,6,9,12-tetrakis(carboxymethyl)-</t>
  </si>
  <si>
    <t>HMDB0247535</t>
  </si>
  <si>
    <t>OC(=O)CN(CCN(CCN(CC(O)=O)CC(O)=O)CC(O)=O)CCN(CC(O)=O)CC(O)=O</t>
  </si>
  <si>
    <t>RAEOEMDZDMCHJA-UHFFFAOYSA-N</t>
  </si>
  <si>
    <t>Hexacarboxylic acids and derivatives</t>
  </si>
  <si>
    <t>C18H30N4O12</t>
  </si>
  <si>
    <t>6.11_424.1978m/z</t>
  </si>
  <si>
    <t>O-Desmethyltramadol glucuronide</t>
  </si>
  <si>
    <t>HMDB0060856</t>
  </si>
  <si>
    <t>138921-77-4</t>
  </si>
  <si>
    <t>CN(C)C[C@H]1CCCC[C@]1(O)C1=CC(O[C@@H]2O[C@@H]([C@@H](O)[C@H](O)[C@H]2O)C(O)=O)=CC=C1</t>
  </si>
  <si>
    <t>DSBGQRZOJXSECT-VZFNFROLSA-N</t>
  </si>
  <si>
    <t>C21H31NO8</t>
  </si>
  <si>
    <t>14.73_438.3803m/z</t>
  </si>
  <si>
    <t>Cerotic acid(d3)</t>
  </si>
  <si>
    <t>LMFA01010052</t>
  </si>
  <si>
    <t>C(CCCCCCCCCCCCC(=O)O)CCCCCCCCCCCC([2H])([2H])[2H]</t>
  </si>
  <si>
    <t>XMHIUKTWLZUKEX-FIBGUPNXSA-N</t>
  </si>
  <si>
    <t>C26H[2]3H[1]49O2</t>
  </si>
  <si>
    <t>392</t>
  </si>
  <si>
    <t>Conduritol-Beta-Epoxide</t>
  </si>
  <si>
    <t>C1(C(C(C2C(C1O)O2)O)O)O</t>
  </si>
  <si>
    <t>ZHMWOVGZCINIHW-SPHYCDKFSA-N</t>
  </si>
  <si>
    <t>C6H10O5</t>
  </si>
  <si>
    <t>10.74_661.4454m/z</t>
  </si>
  <si>
    <t>PA(P-16:0/15:1(9Z))</t>
  </si>
  <si>
    <t>LMGP10030006</t>
  </si>
  <si>
    <t>[C@](COP(=O)(O)O)([H])(OC(CCCCCCC/C=C\CCCCC)=O)CO/C=C\CCCCCCCCCCCCCC</t>
  </si>
  <si>
    <t>DBKOYURIRZUGJI-ICILOJFUSA-N</t>
  </si>
  <si>
    <t>C34H65O7P</t>
  </si>
  <si>
    <t>11.57_650.4036m/z</t>
  </si>
  <si>
    <t>PS(14:1(9Z)/12:0)</t>
  </si>
  <si>
    <t>LMGP03010109</t>
  </si>
  <si>
    <t>C(O)(=O)[C@@]([H])(N)COP(OC[C@]([H])(OC(CCCCCCCCCCC)=O)COC(CCCCCCC/C=C\CCCC)=O)(=O)O</t>
  </si>
  <si>
    <t>BJLYAMRCULEYQU-OFPCIANHSA-N</t>
  </si>
  <si>
    <t>C32H60NO10P</t>
  </si>
  <si>
    <t>13.51_325.2618n</t>
  </si>
  <si>
    <t>N-pentadecanoyl-L-Homoserine lactone</t>
  </si>
  <si>
    <t>182359-66-6</t>
  </si>
  <si>
    <t>CCCCCCCCCCCCCCC(=O)NC1CCOC1=O</t>
  </si>
  <si>
    <t>UPSONEVYPXSPEI-KRWDZBQOSA-N</t>
  </si>
  <si>
    <t>C19H35NO3</t>
  </si>
  <si>
    <t>4.26_845.4397m/z</t>
  </si>
  <si>
    <t>PGP(i-14:0/22:5(4Z,7Z,10Z,13Z,19Z)-O(16,17))</t>
  </si>
  <si>
    <t>HMDB0275079</t>
  </si>
  <si>
    <t>[H][C@](O)(COP(O)(O)=O)COP(O)(=O)OC[C@@]([H])(COC(=O)CCCCCCCCCCC(C)C)OC(=O)CC\C=C/C\C=C/C\C=C/C\C=C/CC1OC1C\C=C/CC</t>
  </si>
  <si>
    <t>LGBJRBMLWPYUIC-AMWVISCBSA-N</t>
  </si>
  <si>
    <t>Glycerophosphoglycerophosphates</t>
  </si>
  <si>
    <t>C42H72O14P2</t>
  </si>
  <si>
    <t>7.68_370.2523n</t>
  </si>
  <si>
    <t>6-((8Z,11Z,14Z)-heptadeca-8,11,14-trien-1-yl)salicylic acid</t>
  </si>
  <si>
    <t>LMPK15040005</t>
  </si>
  <si>
    <t>C1C=C(CCCCCCC/C=C\C/C=C\C/C=C\CC)C(C(O)=O)=C(O)C=1</t>
  </si>
  <si>
    <t>MBYMHCHZLAJVRK-PDBXOOCHSA-N</t>
  </si>
  <si>
    <t>C24H34O3</t>
  </si>
  <si>
    <t>391</t>
  </si>
  <si>
    <t>Ethyl-Alpha-D-Glucopyranoside</t>
  </si>
  <si>
    <t>CCOC1C(C(C(C(O1)CO)O)O)O</t>
  </si>
  <si>
    <t>WYUFTYLVLQZQNH-BJNUKLAGSA-N</t>
  </si>
  <si>
    <t>C8H16O6</t>
  </si>
  <si>
    <t>6.20_461.2165m/z</t>
  </si>
  <si>
    <t>11-Oxo-androsterone glucuronide</t>
  </si>
  <si>
    <t>HMDB0010338</t>
  </si>
  <si>
    <t>CC12CC(=O)C3C(CCC4CC(CCC34C)OC3OC(C(O)C(O)C3O)C(O)=O)C1CCC2=O</t>
  </si>
  <si>
    <t>QTXWOOLAHRQMGZ-UHFFFAOYSA-N</t>
  </si>
  <si>
    <t>C25H36O9</t>
  </si>
  <si>
    <t>6.69_445.2446m/z</t>
  </si>
  <si>
    <t>MG(5-iso PGF2VI/0:0/0:0)</t>
  </si>
  <si>
    <t>HMDB0260485</t>
  </si>
  <si>
    <t>CCCCC[C@@H](O)\C=C\[C@H]1[C@H](O)C[C@H](O)[C@H]1C\C=C/CC(=O)OC[C@@H](O)CO</t>
  </si>
  <si>
    <t>CVLKNXFZQALKRK-JHLMESGYSA-N</t>
  </si>
  <si>
    <t>C21H36O7</t>
  </si>
  <si>
    <t>10.35_361.2386m/z</t>
  </si>
  <si>
    <t>Ethyltestosterone</t>
  </si>
  <si>
    <t>HMDB0006002</t>
  </si>
  <si>
    <t>LMST02030201</t>
  </si>
  <si>
    <t>1235-97-8</t>
  </si>
  <si>
    <t>[C@@]12([H])CCC3=CC(=O)CC[C@]3(C)[C@@]1([H])CC[C@]1(C)[C@](O)(CC)CC[C@@]21[H]</t>
  </si>
  <si>
    <t>FGPGANCDNDLUST-CEGNMAFCSA-N</t>
  </si>
  <si>
    <t>7.62_427.1124m/z</t>
  </si>
  <si>
    <t>Nesbuvir</t>
  </si>
  <si>
    <t>HMDB0255547</t>
  </si>
  <si>
    <t>CNC(=O)C1=C(OC2=CC(N(CCO)S(C)(=O)=O)=C(C=C12)C1CC1)C1=CC=C(F)C=C1</t>
  </si>
  <si>
    <t>WTDWVLJJJOTABN-UHFFFAOYSA-N</t>
  </si>
  <si>
    <t>C22H23FN2O5S</t>
  </si>
  <si>
    <t>9.22_310.1789n</t>
  </si>
  <si>
    <t>Botrydial</t>
  </si>
  <si>
    <t>LMPR0103640001</t>
  </si>
  <si>
    <t>C09622</t>
  </si>
  <si>
    <t>[C@H]1(C)[C@H](C=O)[C@]2(O)[C@@](C)(C=O)CC(C)(C)[C@]2([H])[C@@H](OC(=O)C)C1</t>
  </si>
  <si>
    <t>SJFIYVCSGNWVPJ-GKKOWQTJSA-N</t>
  </si>
  <si>
    <t>C17H26O5</t>
  </si>
  <si>
    <t>12.41_511.5209m/z</t>
  </si>
  <si>
    <t>9,25-Pentatricontadiene</t>
  </si>
  <si>
    <t>LMFA11000544</t>
  </si>
  <si>
    <t>CCCCCCCC/C=C/CCCCCCCCCCCCCC/C=C/CCCCCCCCC</t>
  </si>
  <si>
    <t>VUBFGZRCWHKOAI-ZEYSCXRRSA-N</t>
  </si>
  <si>
    <t>C35H68</t>
  </si>
  <si>
    <t>4.31_907.3642m/z</t>
  </si>
  <si>
    <t>alpha-CEHC glucuronide</t>
  </si>
  <si>
    <t>HMDB0062445</t>
  </si>
  <si>
    <t>477200-36-5</t>
  </si>
  <si>
    <t>CC1=C(O[C@@H]2O[C@@H]([C@@H](O)[C@H](O)[C@H]2O)C(O)=O)C(C)=C2CC[C@@](C)(CCC(O)=O)OC2=C1C</t>
  </si>
  <si>
    <t>MWDYOFPRWKTECC-XOIOWARXSA-N</t>
  </si>
  <si>
    <t>C22H30O10</t>
  </si>
  <si>
    <t>0.62_381.0244m/z</t>
  </si>
  <si>
    <t>Edetate trisodium</t>
  </si>
  <si>
    <t>HMDB0301767</t>
  </si>
  <si>
    <t>150-38-9</t>
  </si>
  <si>
    <t>[Na+].[Na+].[Na+].OC(=O)CN(CCN(CC([O-])=O)CC([O-])=O)CC([O-])=O</t>
  </si>
  <si>
    <t>QZKRHPLGUJDVAR-UHFFFAOYSA-K</t>
  </si>
  <si>
    <t>C10H13N2Na3O8</t>
  </si>
  <si>
    <t>102</t>
  </si>
  <si>
    <t>L-Valine</t>
  </si>
  <si>
    <t>HMDB0000883</t>
  </si>
  <si>
    <t>C00183</t>
  </si>
  <si>
    <t>hsa00280,hsa00290,hsa00770,hsa00970,hsa02010</t>
  </si>
  <si>
    <t>Valine, leucine and isoleucine degradation|Valine, leucine and isoleucine biosynthesis|Pantothenate and CoA biosynthesis|Aminoacyl-tRNA biosynthesis|ABC transporters</t>
  </si>
  <si>
    <t>72-18-4</t>
  </si>
  <si>
    <t>CC(C)[C@H](N)C(O)=O</t>
  </si>
  <si>
    <t>KZSNJWFQEVHDMF-BYPYZUCNSA-N</t>
  </si>
  <si>
    <t>0.70_323.0790m/z</t>
  </si>
  <si>
    <t>Benzoyleneurea</t>
  </si>
  <si>
    <t>HMDB0249051</t>
  </si>
  <si>
    <t>O=C1NC(=O)C2=CC=CC=C2N1</t>
  </si>
  <si>
    <t>SDQJTWBNWQABLE-UHFFFAOYSA-N</t>
  </si>
  <si>
    <t>Diazanaphthalenes</t>
  </si>
  <si>
    <t>Benzodiazines</t>
  </si>
  <si>
    <t>C8H6N2O2</t>
  </si>
  <si>
    <t>5.70_331.1301m/z</t>
  </si>
  <si>
    <t>Cromakalim</t>
  </si>
  <si>
    <t>HMDB0250542</t>
  </si>
  <si>
    <t>C11819</t>
  </si>
  <si>
    <t>CC1(C)OC2=C(C=C(C=C2)C#N)C(C1O)N1CCCC1=O</t>
  </si>
  <si>
    <t>TVZCRIROJQEVOT-UHFFFAOYSA-N</t>
  </si>
  <si>
    <t>C16H18N2O3</t>
  </si>
  <si>
    <t>12.16_371.2570m/z</t>
  </si>
  <si>
    <t>ent-16b,19-Kauranediol 19-acetate</t>
  </si>
  <si>
    <t>HMDB0036801</t>
  </si>
  <si>
    <t>30320-70-8</t>
  </si>
  <si>
    <t>CC(=O)OCC1(C)CCCC2(C)C3CCC4CC3(CC4(C)O)CCC12</t>
  </si>
  <si>
    <t>AELNFENJKQXLPW-UHFFFAOYSA-N</t>
  </si>
  <si>
    <t>C22H36O3</t>
  </si>
  <si>
    <t>343</t>
  </si>
  <si>
    <t>D-Tagatose</t>
  </si>
  <si>
    <t>HMDB0003418</t>
  </si>
  <si>
    <t>C00795</t>
  </si>
  <si>
    <t>hsa00052</t>
  </si>
  <si>
    <t>Galactose metabolism</t>
  </si>
  <si>
    <t>87-81-0</t>
  </si>
  <si>
    <t>C1C(C(C(C(O1)(CO)O)O)O)O</t>
  </si>
  <si>
    <t>LKDRXBCSQODPBY-OEXCPVAWSA-N</t>
  </si>
  <si>
    <t>3.62_285.1334n</t>
  </si>
  <si>
    <t>Glycylprolylhydroxyproline</t>
  </si>
  <si>
    <t>HMDB0002171</t>
  </si>
  <si>
    <t>2239-67-0</t>
  </si>
  <si>
    <t>NCC(=O)N1CCC[C@H]1C(=O)N1C[C@H](O)C[C@H]1C(O)=O</t>
  </si>
  <si>
    <t>SZEOBSAZWJLOGY-VGMNWLOBSA-N</t>
  </si>
  <si>
    <t>C12H19N3O5</t>
  </si>
  <si>
    <t>441</t>
  </si>
  <si>
    <t>Petroselinic Acid</t>
  </si>
  <si>
    <t>HMDB0002080</t>
  </si>
  <si>
    <t>LMFA01030066</t>
  </si>
  <si>
    <t>C08363</t>
  </si>
  <si>
    <t>593-39-5</t>
  </si>
  <si>
    <t>C(=C/CCCCCCCCCCC)/CCCCC(=O)O</t>
  </si>
  <si>
    <t>CNVZJPUDSLNTQU-SEYXRHQNSA-N</t>
  </si>
  <si>
    <t>13.51_585.4867m/z</t>
  </si>
  <si>
    <t>DG(17:1(9Z)/18:2(9Z,12Z)/0:0)[iso2]</t>
  </si>
  <si>
    <t>LMGL02010039</t>
  </si>
  <si>
    <t>OC[C@]([H])(OC(CCCCCCC/C=C\C/C=C\CCCCC)=O)COC(CCCCCCC/C=C\CCCCCCC)=O</t>
  </si>
  <si>
    <t>DRDDPVBZYGRUBV-HKCVQEPBSA-N</t>
  </si>
  <si>
    <t>C38H68O5</t>
  </si>
  <si>
    <t>10.99_607.4717m/z</t>
  </si>
  <si>
    <t>PA(O-16:0/14:0)</t>
  </si>
  <si>
    <t>LMGP10020004</t>
  </si>
  <si>
    <t>[C@](COP(=O)(O)O)([H])(OC(CCCCCCCCCCCCC)=O)COCCCCCCCCCCCCCCCC</t>
  </si>
  <si>
    <t>AXTWIJRMOQPSLU-JGCGQSQUSA-N</t>
  </si>
  <si>
    <t>C33H67O7P</t>
  </si>
  <si>
    <t>0.68_144.0659m/z</t>
  </si>
  <si>
    <t>Aminoadipic acid</t>
  </si>
  <si>
    <t>HMDB0302754</t>
  </si>
  <si>
    <t>LMFA01170098</t>
  </si>
  <si>
    <t>C00956</t>
  </si>
  <si>
    <t>hsa00310</t>
  </si>
  <si>
    <t>Lysine degradation</t>
  </si>
  <si>
    <t>542-32-5</t>
  </si>
  <si>
    <t>C(=O)(O)C(N)CCCC(=O)O</t>
  </si>
  <si>
    <t>OYIFNHCXNCRBQI-UHFFFAOYSA-N</t>
  </si>
  <si>
    <t>C6H11NO4</t>
  </si>
  <si>
    <t>8.16_471.2424m/z</t>
  </si>
  <si>
    <t>3-Ketopetromyzonol sulfate</t>
  </si>
  <si>
    <t>HMDB0259539</t>
  </si>
  <si>
    <t>CC(CCCOS(O)(=O)=O)C1CCC2C3C(O)CC4CC(=O)CCC4(C)C3CC(O)C12C</t>
  </si>
  <si>
    <t>OAKDBNNISQJEJA-UHFFFAOYSA-N</t>
  </si>
  <si>
    <t>0.70_198.0438m/z</t>
  </si>
  <si>
    <t>2,4(1H,3H)-Pyrimidinedione, 1-(2,3-dihydro-2-furanyl)-5-fluoro-</t>
  </si>
  <si>
    <t>HMDB0245488</t>
  </si>
  <si>
    <t>FC1=CN(C2CC=CO2)C(=O)NC1=O</t>
  </si>
  <si>
    <t>PDLPZZHYCMXDCF-UHFFFAOYSA-N</t>
  </si>
  <si>
    <t>C8H7FN2O3</t>
  </si>
  <si>
    <t>9.65_695.4554m/z</t>
  </si>
  <si>
    <t>methyl 13-sophorosyloxydocosanoate</t>
  </si>
  <si>
    <t>LMFA13020002</t>
  </si>
  <si>
    <t>C(C(CCCCCCCCC)O[C@@H]1O[C@H](CO)[C@@H](O)[C@H](O)[C@H]1O[C@@H]1O[C@H](CO)[C@@H](O)[C@H](O)[C@H]1O)CCCCCCCCCCC(=O)OC</t>
  </si>
  <si>
    <t>NKQRPULMZRZDJA-IPORWCFUSA-N</t>
  </si>
  <si>
    <t>C35H66O13</t>
  </si>
  <si>
    <t>2.64_203.1397m/z</t>
  </si>
  <si>
    <t>Alanylisoleucine</t>
  </si>
  <si>
    <t>HMDB0028690</t>
  </si>
  <si>
    <t>29727-65-9</t>
  </si>
  <si>
    <t>CC[C@H](C)[C@H](NC(=O)[C@H](C)N)C(O)=O</t>
  </si>
  <si>
    <t>ZSOICJZJSRWNHX-ACZMJKKPSA-N</t>
  </si>
  <si>
    <t>4.56_689.2867m/z</t>
  </si>
  <si>
    <t>Tetraisopropylpyrophosphoric acid amide</t>
  </si>
  <si>
    <t>HMDB0257971</t>
  </si>
  <si>
    <t>CC(C)OP(O)(=O)OP(=O)(OC(C)C)N(C(C)C)C(C)C</t>
  </si>
  <si>
    <t>FEOZJNALVSCKHP-UHFFFAOYSA-N</t>
  </si>
  <si>
    <t>C12H29NO6P2</t>
  </si>
  <si>
    <t>5.11_415.0814n</t>
  </si>
  <si>
    <t>Acemetacin</t>
  </si>
  <si>
    <t>HMDB0247898</t>
  </si>
  <si>
    <t>53164-05-9</t>
  </si>
  <si>
    <t>COC1=CC2=C(C=C1)N(C(=O)C1=CC=C(Cl)C=C1)C(C)=C2CC(=O)OCC(O)=O</t>
  </si>
  <si>
    <t>FSQKKOOTNAMONP-UHFFFAOYSA-N</t>
  </si>
  <si>
    <t>Benzoylindoles</t>
  </si>
  <si>
    <t>C21H18ClNO6</t>
  </si>
  <si>
    <t>0.82_134.0395m/z</t>
  </si>
  <si>
    <t>Methyl 3-mercaptobutanoate</t>
  </si>
  <si>
    <t>HMDB0032409</t>
  </si>
  <si>
    <t>LMFA07010949</t>
  </si>
  <si>
    <t>54051-19-3</t>
  </si>
  <si>
    <t>O=C(CC(C)S)OC</t>
  </si>
  <si>
    <t>BHDKXXOGPCSBQI-UHFFFAOYSA-N</t>
  </si>
  <si>
    <t>C5H10O2S</t>
  </si>
  <si>
    <t>5.55_490.2925m/z</t>
  </si>
  <si>
    <t>Buprenorphine</t>
  </si>
  <si>
    <t>HMDB0015057</t>
  </si>
  <si>
    <t>C08007</t>
  </si>
  <si>
    <t>52485-79-7</t>
  </si>
  <si>
    <t>CO[C@]12CC[C@@]3(C[C@@H]1[C@](C)(O)C(C)(C)C)[C@H]1CC4=C5C(O[C@@H]2[C@@]35CCN1CC1CC1)=C(O)C=C4</t>
  </si>
  <si>
    <t>RMRJXGBAOAMLHD-IHFGGWKQSA-N</t>
  </si>
  <si>
    <t>C29H41NO4</t>
  </si>
  <si>
    <t>6.92_506.1258m/z</t>
  </si>
  <si>
    <t>KBT 1585 hydrochloride</t>
  </si>
  <si>
    <t>HMDB0247783</t>
  </si>
  <si>
    <t>CC1=C(COC(=O)C2N3C(SC2(C)C)C(NC(=O)C(N)C2=CC=CC=C2)C3=O)OC(=O)O1</t>
  </si>
  <si>
    <t>ZKUKMWMSYCIYRD-UHFFFAOYSA-N</t>
  </si>
  <si>
    <t>C21H23N3O7S</t>
  </si>
  <si>
    <t>1.28_292.1403m/z</t>
  </si>
  <si>
    <t>N-(1-Deoxy-1-fructosyl)leucine</t>
  </si>
  <si>
    <t>HMDB0037840</t>
  </si>
  <si>
    <t>34393-18-5</t>
  </si>
  <si>
    <t>CC(C)C[C@H](NCC1(O)O[C@H](CO)[C@@H](O)[C@@H]1O)C(O)=O</t>
  </si>
  <si>
    <t>KGTRBDVOUPALMB-PPNLDZOPSA-N</t>
  </si>
  <si>
    <t>9.66_409.0108m/z</t>
  </si>
  <si>
    <t>3,3,4,4,5,5,6,6,7,7,8,8,8-Tridecafluorooctan-1-ol</t>
  </si>
  <si>
    <t>HMDB0260260</t>
  </si>
  <si>
    <t>OCCC(F)(F)C(F)(F)C(F)(F)C(F)(F)C(F)(F)C(F)(F)F</t>
  </si>
  <si>
    <t>GRJRKPMIRMSBNK-UHFFFAOYSA-N</t>
  </si>
  <si>
    <t>C8H5F13O</t>
  </si>
  <si>
    <t>2.07_513.1072m/z</t>
  </si>
  <si>
    <t>Verlukast</t>
  </si>
  <si>
    <t>HMDB0254776</t>
  </si>
  <si>
    <t>CN(C)C(=O)CCSC(SCCC(O)=O)C1=CC=CC(C=CC2=NC3=C(C=CC(Cl)=C3)C=C2)=C1</t>
  </si>
  <si>
    <t>AXUZQJFHDNNPFG-UHFFFAOYSA-N</t>
  </si>
  <si>
    <t>Haloquinolines</t>
  </si>
  <si>
    <t>C26H27ClN2O3S2</t>
  </si>
  <si>
    <t>10.95_596.3577m/z</t>
  </si>
  <si>
    <t>PS-PC</t>
  </si>
  <si>
    <t>LMGP20010022</t>
  </si>
  <si>
    <t>[C@](COP(=O)([O-])OCC[N+](C)(C)C)([H])(OC(CCC(=O)O)=O)COC(CCCCCCCCCCCCCCC)=O</t>
  </si>
  <si>
    <t>GEUVQGBCEQLWKK-RUZDIDTESA-N</t>
  </si>
  <si>
    <t>C28H54NO10P</t>
  </si>
  <si>
    <t>5.59_375.2363m/z</t>
  </si>
  <si>
    <t>Tsangane L 3-glucoside</t>
  </si>
  <si>
    <t>HMDB0040824</t>
  </si>
  <si>
    <t>143775-68-2</t>
  </si>
  <si>
    <t>CC(O)CCC1=C(C)CC(CC1(C)C)OC1OC(CO)C(O)C(O)C1O</t>
  </si>
  <si>
    <t>UJRMJTIXXKZFGB-UHFFFAOYSA-N</t>
  </si>
  <si>
    <t>C19H34O7</t>
  </si>
  <si>
    <t>3.65_247.0447m/z</t>
  </si>
  <si>
    <t>2-(2-Nitroimidazol-1-yl)-n-(3,3,3-trifluoropropyl)acetamide</t>
  </si>
  <si>
    <t>HMDB0251709</t>
  </si>
  <si>
    <t>[O-][N+](=O)C1=NC=CN1CC(=O)NCCC(F)(F)F</t>
  </si>
  <si>
    <t>ZMQGRZRWRQFMAN-UHFFFAOYSA-N</t>
  </si>
  <si>
    <t>C8H9F3N4O3</t>
  </si>
  <si>
    <t>10.99_485.2829m/z</t>
  </si>
  <si>
    <t>N-(2'-(4-benzenesulfonamide)-ethyl) arachidonoyl amine</t>
  </si>
  <si>
    <t>LMFA08020053</t>
  </si>
  <si>
    <t>C(/C/C=C\C/C=C\CCCCC)=C/C/C=C\CCCC(=O)NCCC1C=CC(S(N)(=O)=O)=CC=1</t>
  </si>
  <si>
    <t>PCSYNZSWISKYPW-DOFZRALJSA-N</t>
  </si>
  <si>
    <t>C28H42N2O3S</t>
  </si>
  <si>
    <t>12.22_391.2856m/z</t>
  </si>
  <si>
    <t>Rosterolone</t>
  </si>
  <si>
    <t>HMDB0256842</t>
  </si>
  <si>
    <t>CCCC1(O)CCC2C3CCC4CC(=O)CC(C)C4(C)C3CCC12C</t>
  </si>
  <si>
    <t>IMFNBOMNWHWKQD-UHFFFAOYSA-N</t>
  </si>
  <si>
    <t>C23H38O2</t>
  </si>
  <si>
    <t>9.66_828.4104n</t>
  </si>
  <si>
    <t>Digitoxigenin 3-[glucosyl-(1-&gt;6)-glucosyl-(1-&gt;4)-2,6-dideoxyribohexoside]</t>
  </si>
  <si>
    <t>HMDB0034321</t>
  </si>
  <si>
    <t>220710-06-5</t>
  </si>
  <si>
    <t>CC1OC(CC(O)C1OC1OC(COC2OC(CO)C(O)C(O)C2O)C(O)C(O)C1O)OC1CCC2(C)C(CCC3C2CCC2(C)C(CCC32O)C2=CC(=O)OC2)C1</t>
  </si>
  <si>
    <t>NQKAYUABNWNCPK-UHFFFAOYSA-N</t>
  </si>
  <si>
    <t>C41H64O17</t>
  </si>
  <si>
    <t>13.30_395.2213m/z</t>
  </si>
  <si>
    <t>Austalide K</t>
  </si>
  <si>
    <t>HMDB0030157</t>
  </si>
  <si>
    <t>87833-53-2</t>
  </si>
  <si>
    <t>COC1=C2C(=O)OCC2=C(C)C2=C1CC1C(C)(CCC3C(C)(C)C(=O)CCC13C)O2</t>
  </si>
  <si>
    <t>JCUWKPURUZEBFJ-UHFFFAOYSA-N</t>
  </si>
  <si>
    <t>C25H32O5</t>
  </si>
  <si>
    <t>13.39_573.4527m/z</t>
  </si>
  <si>
    <t>DG(15:0/18:2(10E,12Z)+=O(9)/0:0)</t>
  </si>
  <si>
    <t>HMDB0295291</t>
  </si>
  <si>
    <t>CCCCCCCCCCCCCCC(=O)OC[C@H](CO)OC(=O)CCCCCCCC(=O)\C=C\C=C/CCCCC</t>
  </si>
  <si>
    <t>ZOFZKTXBBCZHIO-VSMYQBPHSA-N</t>
  </si>
  <si>
    <t>6.30_369.1743m/z</t>
  </si>
  <si>
    <t>Etiocholanolone sulfate</t>
  </si>
  <si>
    <t>HMDB0013232</t>
  </si>
  <si>
    <t>LMST05020044</t>
  </si>
  <si>
    <t>C[C@@]12[C@@]3([H])CC[C@]4(C)C(=O)CC[C@@]4([H])[C@]3([H])CC[C@]1([H])C[C@H](OS(O)(=O)=O)CC2</t>
  </si>
  <si>
    <t>ZMITXKRGXGRMKS-BNSUEQOYSA-N</t>
  </si>
  <si>
    <t>10.14_582.3781m/z</t>
  </si>
  <si>
    <t>PC(O-16:0/3:0)</t>
  </si>
  <si>
    <t>LMGP01020068</t>
  </si>
  <si>
    <t>[C@](COP(=O)([O-])OCC[N+](C)(C)C)([H])(OC(CC)=O)COCCCCCCCCCCCCCCCC</t>
  </si>
  <si>
    <t>IMFQQPWSHMFNRT-AREMUKBSSA-N</t>
  </si>
  <si>
    <t>5.06_584.2653n</t>
  </si>
  <si>
    <t>(4E,15E)-Bilirubin</t>
  </si>
  <si>
    <t>HMDB0240584</t>
  </si>
  <si>
    <t>69853-44-7</t>
  </si>
  <si>
    <t>CC1=C(C=C)\C(NC1=O)=C/C1=C(C)C(CCC(O)=O)=C(CC2=C(CCC(O)=O)C(C)=C(N2)\C=C2\NC(=O)C(C=C)=C2C)N1</t>
  </si>
  <si>
    <t>BPYKTIZUTYGOLE-BMNRKXRESA-N</t>
  </si>
  <si>
    <t>C33H36N4O6</t>
  </si>
  <si>
    <t>5.41_237.0764m/z</t>
  </si>
  <si>
    <t>10-Hydroxy-2-oxabicyclo[6.2.2]dodeca-1(10),8,11-trien-3-one</t>
  </si>
  <si>
    <t>HMDB0255348</t>
  </si>
  <si>
    <t>OC1=C2OC(=O)CCCCC(C=C2)=C1</t>
  </si>
  <si>
    <t>HASACTZYOHWROP-UHFFFAOYSA-N</t>
  </si>
  <si>
    <t>1-hydroxy-4-unsubstituted benzenoids</t>
  </si>
  <si>
    <t>C11H12O3</t>
  </si>
  <si>
    <t>8.60_496.2732n</t>
  </si>
  <si>
    <t>G-418</t>
  </si>
  <si>
    <t>C17703</t>
  </si>
  <si>
    <t>hsa00524</t>
  </si>
  <si>
    <t>Neomycin, kanamycin and gentamicin biosynthesis</t>
  </si>
  <si>
    <t>49863-47-0</t>
  </si>
  <si>
    <t>CC(C1C(C(C(C(O1)OC2C(CC(C(C2O)OC3C(C(C(CO3)(C)O)NC)O)N)N)N)O)O)O</t>
  </si>
  <si>
    <t>BRZYSWJRSDMWLG-DJWUNRQOSA-N</t>
  </si>
  <si>
    <t>C20H40N4O10</t>
  </si>
  <si>
    <t>6.89_394.0341n</t>
  </si>
  <si>
    <t>Kaempferol 7,4'-dimethyl ether 3-O-sulfate</t>
  </si>
  <si>
    <t>LMPK12112596</t>
  </si>
  <si>
    <t>C1(OC)=CC2OC(C3C=CC(OC)=CC=3)=C(OS(O)(=O)=O)C(=O)C=2C(O)=C1</t>
  </si>
  <si>
    <t>WXRZYIAUGRZZHE-UHFFFAOYSA-N</t>
  </si>
  <si>
    <t>O-methylated flavonoids</t>
  </si>
  <si>
    <t>C17H14O9S</t>
  </si>
  <si>
    <t>4.77_1023.4619m/z</t>
  </si>
  <si>
    <t>PIP(18:3(6Z,9Z,12Z)/22:6(4Z,8Z,10Z,13Z,16Z,19Z)-OH(7))</t>
  </si>
  <si>
    <t>HMDB0279323</t>
  </si>
  <si>
    <t>[H][C@@](COC(=O)CCCC\C=C/C\C=C/C\C=C/CCCCC)(COP(O)(=O)O[C@H]1C(O)C(O)C(O)[C@@H](OP(O)(O)=O)C1O)OC(=O)CC\C=C/CC(O)\C=C/C=C\C\C=C/C\C=C/C\C=C/CC</t>
  </si>
  <si>
    <t>ALAXTBFZOYYFIL-XIGQBKENSA-N</t>
  </si>
  <si>
    <t>Glycerophosphoinositol phosphates</t>
  </si>
  <si>
    <t>C49H78O17P2</t>
  </si>
  <si>
    <t>10.33_363.2155m/z</t>
  </si>
  <si>
    <t>Atractyligenin</t>
  </si>
  <si>
    <t>HMDB0061114</t>
  </si>
  <si>
    <t>C[C@H]1C(=C)C2CC11CCC3[C@@H](C[C@@H](O)C[C@@]3(C)C1CC2)C(O)=O</t>
  </si>
  <si>
    <t>DKWHHGKUVUGDBR-LREIXEELSA-N</t>
  </si>
  <si>
    <t>4.20_349.0091m/z</t>
  </si>
  <si>
    <t>Orotidylic acid</t>
  </si>
  <si>
    <t>HMDB0000218</t>
  </si>
  <si>
    <t>C01103</t>
  </si>
  <si>
    <t>2149-82-8</t>
  </si>
  <si>
    <t>O[C@H]1[C@@H](O)[C@@H](O[C@@H]1COP(O)(O)=O)N1C(=O)NC(=O)C=C1C(O)=O</t>
  </si>
  <si>
    <t>KYOBSHFOBAOFBF-XVFCMESISA-N</t>
  </si>
  <si>
    <t>C10H13N2O11P</t>
  </si>
  <si>
    <t>8.70_389.1949m/z</t>
  </si>
  <si>
    <t>(1R,3R,4R,5S,6S,8x)-1-Acetoxy-8-angeloyloxy-3,4-epoxy-5-hydroxy-7(14),10-bisaboladien-2-one</t>
  </si>
  <si>
    <t>HMDB0039971</t>
  </si>
  <si>
    <t>348113-03-1</t>
  </si>
  <si>
    <t>C\C=C(\C)C(=O)OC(CC=C(C)C)C(=C)C1C(O)C2OC2(C)C(=O)C1OC(C)=O</t>
  </si>
  <si>
    <t>NTVBUJOKRXFMAK-WQLSENKSSA-N</t>
  </si>
  <si>
    <t>C22H30O7</t>
  </si>
  <si>
    <t>8.58_340.2713n</t>
  </si>
  <si>
    <t>CUDA</t>
  </si>
  <si>
    <t>479413-68-8</t>
  </si>
  <si>
    <t>C1CCC(CC1)NC(=O)NCCCCCCCCCCCC(=O)O</t>
  </si>
  <si>
    <t>HPTJABJPZMULFH-UHFFFAOYSA-N</t>
  </si>
  <si>
    <t>C19H36N2O3</t>
  </si>
  <si>
    <t>15.02_330.3377m/z</t>
  </si>
  <si>
    <t>6,14-dimethyl-octadecanoic acid</t>
  </si>
  <si>
    <t>LMFA01020050</t>
  </si>
  <si>
    <t>C(CCCC(C)CCCC)CCCC(C)CCCCC(=O)O</t>
  </si>
  <si>
    <t>CTVSLGVSIPMXMI-UHFFFAOYSA-N</t>
  </si>
  <si>
    <t>4.59_1014.5047m/z</t>
  </si>
  <si>
    <t>PIP(PGE1/18:1(15Z))</t>
  </si>
  <si>
    <t>HMDB0279027</t>
  </si>
  <si>
    <t>CCCCC[C@H](O)\C=C\[C@H]1[C@H](O)CC(=O)[C@@H]2CCCCCCC(=O)OC[C@H](COP(O)(=O)O[C@@H]([C@H](O)[C@@H](O)[C@@H]2O)[C@H](OP(O)(O)=O)[C@@H]1O)OC(=O)CCCCCCCCCCCCC\C=C/CC</t>
  </si>
  <si>
    <t>AVWCOUPQVNXSJH-RLJNMMHCSA-N</t>
  </si>
  <si>
    <t>C47H84O19P2</t>
  </si>
  <si>
    <t>3.46_366.1932m/z</t>
  </si>
  <si>
    <t>1-[2-[4-Methoxy-2-[3-(4-methoxyphenyl)propoxy]phenyl]ethyl]imidazole</t>
  </si>
  <si>
    <t>HMDB0260244</t>
  </si>
  <si>
    <t>COC1=CC=C(CCCOC2=C(CCN3C=CN=C3)C=CC(OC)=C2)C=C1</t>
  </si>
  <si>
    <t>AFECTTFDXXXSCV-UHFFFAOYSA-N</t>
  </si>
  <si>
    <t>Anisoles</t>
  </si>
  <si>
    <t>C22H26N2O3</t>
  </si>
  <si>
    <t>8.91_408.2299m/z</t>
  </si>
  <si>
    <t>1,3(2H,4H)-Isoquinolinedione, 2-(2-(4-(2-methoxyphenyl)-1-piperazinyl)ethyl)-4,4-dimethyl-</t>
  </si>
  <si>
    <t>HMDB0248566</t>
  </si>
  <si>
    <t>COC1=CC=CC=C1N1CCN(CCN2C(=O)C3=CC=CC=C3C(C)(C)C2=O)CC1</t>
  </si>
  <si>
    <t>JFNKXGOEOQCXDM-UHFFFAOYSA-N</t>
  </si>
  <si>
    <t>C24H29N3O3</t>
  </si>
  <si>
    <t>7.84_352.2471m/z</t>
  </si>
  <si>
    <t>ent-5,8-diepi-5-A2-IsoP</t>
  </si>
  <si>
    <t>LMFA03110259</t>
  </si>
  <si>
    <t>C(CCC[C@H](O)/C=C/[C@H]1C(=O)C=C[C@@H]1C/C=C\CCCCC)(=O)O</t>
  </si>
  <si>
    <t>RJVZVQFMKQNQJP-CAZFLBFPSA-N</t>
  </si>
  <si>
    <t>4.90_399.1298m/z</t>
  </si>
  <si>
    <t>Methyl (R)-8-Hydroxy-9-decene-4,6-diynoate glucoside</t>
  </si>
  <si>
    <t>HMDB0040898</t>
  </si>
  <si>
    <t>142449-83-0</t>
  </si>
  <si>
    <t>COC(=O)CCC#CC#CC(OC1OC(CO)C(O)C(O)C1O)C=C</t>
  </si>
  <si>
    <t>AVPBONMPAMZUKG-UHFFFAOYSA-N</t>
  </si>
  <si>
    <t>C17H22O8</t>
  </si>
  <si>
    <t>5.18_243.1236m/z</t>
  </si>
  <si>
    <t>4-Oxododecanedioic acid</t>
  </si>
  <si>
    <t>C(CCCC(=O)CCC(=O)O)CCCC(=O)O</t>
  </si>
  <si>
    <t>HHXMOTDTSDYYEI-UHFFFAOYSA-N</t>
  </si>
  <si>
    <t>C12H20O5</t>
  </si>
  <si>
    <t>6.33_481.1880m/z</t>
  </si>
  <si>
    <t>Austin</t>
  </si>
  <si>
    <t>HMDB0034463</t>
  </si>
  <si>
    <t>61103-89-7</t>
  </si>
  <si>
    <t>CC1OC(=O)C23C(=C)C(C)(OC(=O)C12O)C(OC(C)=O)C1=C(C)C2(CCC31C)C=CC(=O)OC2(C)C</t>
  </si>
  <si>
    <t>DEMDOYQPCDXCEB-UHFFFAOYSA-N</t>
  </si>
  <si>
    <t>C27H32O9</t>
  </si>
  <si>
    <t>10.63_527.3028n</t>
  </si>
  <si>
    <t>PE(22:5(7Z,10Z,13Z,16Z,19Z)/0:0)</t>
  </si>
  <si>
    <t>HMDB0011525</t>
  </si>
  <si>
    <t>LMGP02050070</t>
  </si>
  <si>
    <t>C(OP(OCCN)(O)=O)[C@]([H])(O)COC(=O)CCCCC/C=C\C/C=C\C/C=C\C/C=C\C/C=C\CC</t>
  </si>
  <si>
    <t>OSRWIBSZJTWIKA-SCFYABBUSA-N</t>
  </si>
  <si>
    <t>C27H46NO7P</t>
  </si>
  <si>
    <t>5.75_368.0888m/z</t>
  </si>
  <si>
    <t>Pantoprazole sulfide</t>
  </si>
  <si>
    <t>HMDB0244298</t>
  </si>
  <si>
    <t>102625-64-9</t>
  </si>
  <si>
    <t>COC1=C(OC)C(CSC2=NC3=C(N2)C=C(OC(F)F)C=C3)=NC=C1</t>
  </si>
  <si>
    <t>UKILEIRWOYBGEJ-UHFFFAOYSA-N</t>
  </si>
  <si>
    <t>C16H15F2N3O3S</t>
  </si>
  <si>
    <t>5.75_239.0852m/z</t>
  </si>
  <si>
    <t>Methiuron</t>
  </si>
  <si>
    <t>C19086</t>
  </si>
  <si>
    <t>21540-35-2</t>
  </si>
  <si>
    <t>CC1=CC(=CC=C1)NC(=S)N(C)C</t>
  </si>
  <si>
    <t>MMCJEAKINANSOL-UHFFFAOYSA-N</t>
  </si>
  <si>
    <t>C10H14N2S</t>
  </si>
  <si>
    <t>8.18_395.2444m/z</t>
  </si>
  <si>
    <t>16,16-dimethyl-6-keto Prostaglandin E1</t>
  </si>
  <si>
    <t>75874-32-7</t>
  </si>
  <si>
    <t>CCCCC(C)(C)C(C=CC1C(CC(=O)C1CC(=O)CCCCC(=O)O)O)O</t>
  </si>
  <si>
    <t>BWEWJWWBXZXMHO-XDCFTEKWSA-N</t>
  </si>
  <si>
    <t>C22H36O6</t>
  </si>
  <si>
    <t>10.01_385.2359m/z</t>
  </si>
  <si>
    <t>Protectin D1n-3 DPA</t>
  </si>
  <si>
    <t>LMFA04000096</t>
  </si>
  <si>
    <t>R-HSA-1430728,R-HSA-556833,R-HSA-9018678,R-HSA-9018683,R-HSA-9025094,R-HSA-9026286</t>
  </si>
  <si>
    <t>Metabolism|Metabolism of lipids|Biosynthesis of specialized proresolving mediators (SPMs)|Biosynthesis of DPA-derived SPMs|Biosynthesis of DPAn-3 SPMs|Biosynthesis of DPAn-3-derived protectins and resolvins</t>
  </si>
  <si>
    <t>C(CCCCC/C=C\C[C@@H](O)/C=C/C=C/C=C\[C@@H](O)C/C=C\CC)(=O)O</t>
  </si>
  <si>
    <t>QJJOLZOJRISMDP-UENSAESPSA-N</t>
  </si>
  <si>
    <t>13.51_92.9946m/z</t>
  </si>
  <si>
    <t>Nitrite</t>
  </si>
  <si>
    <t>HMDB0002786</t>
  </si>
  <si>
    <t>C00088</t>
  </si>
  <si>
    <t>hsa00910</t>
  </si>
  <si>
    <t>Nitrogen metabolism</t>
  </si>
  <si>
    <t>R-HSA-1222556,R-HSA-168249,R-HSA-168256</t>
  </si>
  <si>
    <t>ROS and RNS production in phagocytes|Innate Immune System|Immune System</t>
  </si>
  <si>
    <t>14797-65-0</t>
  </si>
  <si>
    <t>ON=O</t>
  </si>
  <si>
    <t>IOVCWXUNBOPUCH-UHFFFAOYSA-N</t>
  </si>
  <si>
    <t>Non-metal nitrites</t>
  </si>
  <si>
    <t>HNO2</t>
  </si>
  <si>
    <t>4.67_570.2786m/z</t>
  </si>
  <si>
    <t>Kinetensin 4-7</t>
  </si>
  <si>
    <t>HMDB0012986</t>
  </si>
  <si>
    <t>138482-56-1</t>
  </si>
  <si>
    <t>N[C@@H](CCCNC(N)=N)C(=O)N[C@@H](CC1=CNC=N1)C(=O)N1CCC[C@H]1C(=O)N[C@@H](CC1=CC=C(O)C=C1)C(O)=O</t>
  </si>
  <si>
    <t>NKRLKOMBOSWILK-TUFLPTIASA-N</t>
  </si>
  <si>
    <t>C26H37N9O6</t>
  </si>
  <si>
    <t>7.90_373.2021m/z</t>
  </si>
  <si>
    <t>16-phenyl tetranor Prostaglandin E1</t>
  </si>
  <si>
    <t>C1C(C(C(C1=O)CCCCCCC(=O)O)C=CC(CC2=CC=CC=C2)O)O</t>
  </si>
  <si>
    <t>WDKPQDFHBMGHOW-ABXFKLLGSA-N</t>
  </si>
  <si>
    <t>12.70_700.4539m/z</t>
  </si>
  <si>
    <t>PS(P-16:0/13:0)</t>
  </si>
  <si>
    <t>LMGP03030002</t>
  </si>
  <si>
    <t>C(O)(=O)[C@@]([H])(N)COP(OC[C@]([H])(OC(CCCCCCCCCCCC)=O)CO/C=C\CCCCCCCCCCCCCC)(=O)O</t>
  </si>
  <si>
    <t>OXGZETUPCROIDN-MGBAONRBSA-N</t>
  </si>
  <si>
    <t>C35H68NO9P</t>
  </si>
  <si>
    <t>6.84_349.1677m/z</t>
  </si>
  <si>
    <t>15-hydroxydeltoidin A</t>
  </si>
  <si>
    <t>LMPR0103090038</t>
  </si>
  <si>
    <t>C1CC[C@]2(O[C@H]2[C@H]2OC(=O)C[C@@H]2[C@H](OC(=O)/C(/C)=C\C)CC=1C)CO</t>
  </si>
  <si>
    <t>HIWQHRYAEHHJEB-ONCVQVOVSA-N</t>
  </si>
  <si>
    <t>C19H26O6</t>
  </si>
  <si>
    <t>10.15_345.2436m/z</t>
  </si>
  <si>
    <t>16,17-DiHDPE</t>
  </si>
  <si>
    <t>LMFA04000042</t>
  </si>
  <si>
    <t>C(CC/C=C\C/C=C\C/C=C\C/C=C\CC(O)C(O)C/C=C\CC)(=O)O</t>
  </si>
  <si>
    <t>YXQCSWUATWXVGK-ZYADFMMDSA-N</t>
  </si>
  <si>
    <t>7.22_401.2309m/z</t>
  </si>
  <si>
    <t>Nevskin</t>
  </si>
  <si>
    <t>HMDB0030162</t>
  </si>
  <si>
    <t>61490-17-3</t>
  </si>
  <si>
    <t>CC1(O)CCC2C(C)(C)C(O)CCC2(C)C1COC1=CC2=C(C=CC(=O)O2)C=C1</t>
  </si>
  <si>
    <t>WNANPKYNOALKIV-UHFFFAOYSA-N</t>
  </si>
  <si>
    <t>C24H32O5</t>
  </si>
  <si>
    <t>11.95_464.3148m/z</t>
  </si>
  <si>
    <t>PE(O-18:1(9Z)/0:0)</t>
  </si>
  <si>
    <t>LMGP02060004</t>
  </si>
  <si>
    <t>[C@](COP(=O)(O)OCCN)([H])(O)COCCCCCCCC/C=C\CCCCCCCC</t>
  </si>
  <si>
    <t>CDONWGCJDDHTLP-DJYGDJEFSA-N</t>
  </si>
  <si>
    <t>C23H48NO6P</t>
  </si>
  <si>
    <t>11.05_492.9916m/z</t>
  </si>
  <si>
    <t>Phosphatidylinositol 4,5-diphosphate</t>
  </si>
  <si>
    <t>HMDB0252943</t>
  </si>
  <si>
    <t>OCC(O)COP(O)(=O)OC1C(O)C(O)C(OP(O)(O)=O)C(OP(O)(O)=O)C1O</t>
  </si>
  <si>
    <t>VQSJAWPFQCXIOB-UHFFFAOYSA-N</t>
  </si>
  <si>
    <t>C9H21O17P3</t>
  </si>
  <si>
    <t>4.80_227.0922m/z</t>
  </si>
  <si>
    <t>(S)-3-(2-Methylphenoxy)propane-1,2-diol</t>
  </si>
  <si>
    <t>HMDB0247880</t>
  </si>
  <si>
    <t>59-47-2</t>
  </si>
  <si>
    <t>CC1=CC=CC=C1OCC(O)CO</t>
  </si>
  <si>
    <t>JWDYCNIAQWPBHD-UHFFFAOYSA-N</t>
  </si>
  <si>
    <t>C10H14O3</t>
  </si>
  <si>
    <t>13.16_208.1470n</t>
  </si>
  <si>
    <t>2,2,6,7-Tetramethylbicyclo[4.3.0]nona-1(9),4-diene-7,8-diol</t>
  </si>
  <si>
    <t>HMDB0036686</t>
  </si>
  <si>
    <t>99901-24-3</t>
  </si>
  <si>
    <t>C[C@]1(O)[C@H](O)C=C2[C@@]1(C)C=CCC2(C)C</t>
  </si>
  <si>
    <t>SKBCVUCDJRKPAH-RTXFEEFZSA-N</t>
  </si>
  <si>
    <t>C13H20O2</t>
  </si>
  <si>
    <t>14.96_312.3269m/z</t>
  </si>
  <si>
    <t>11Z-Eicosenal</t>
  </si>
  <si>
    <t>LMFA06000248</t>
  </si>
  <si>
    <t>C(CCCCCCCCC/C=C\CCCCCCCC)(=O)[H]</t>
  </si>
  <si>
    <t>WJLJKNYXWACGHC-KTKRTIGZSA-N</t>
  </si>
  <si>
    <t>C20H38O</t>
  </si>
  <si>
    <t>12.12_413.3061m/z</t>
  </si>
  <si>
    <t>Solagenin</t>
  </si>
  <si>
    <t>LMST01080024</t>
  </si>
  <si>
    <t>C1[C@]2(C)[C@@]3([H])CC[C@]4(C)[C@H]5[C@@H]([C@]6(O[C@H]5C[C@@]4([H])[C@]3([H])C[C@H](O)[C@@]2([H])CC(=O)C1)CC[C@H](C)CO6)C</t>
  </si>
  <si>
    <t>KALHZODBSBGPIA-VIWRHHLTSA-N</t>
  </si>
  <si>
    <t>5.85_293.0644m/z</t>
  </si>
  <si>
    <t>2-Methylthiazolidine-4-carboxylic acid</t>
  </si>
  <si>
    <t>HMDB0246657</t>
  </si>
  <si>
    <t>CC1NC(CS1)C(O)=O</t>
  </si>
  <si>
    <t>FHTPNEYXMGZOSH-UHFFFAOYSA-N</t>
  </si>
  <si>
    <t>C5H9NO2S</t>
  </si>
  <si>
    <t>10.05_327.2328m/z</t>
  </si>
  <si>
    <t>15beta-Hydroxydesogestrel</t>
  </si>
  <si>
    <t>HMDB0060707</t>
  </si>
  <si>
    <t>CC[C@]12CC(=C)C3[C@@H](CCC4=CC(O)CC[C@H]34)C1CCC2(O)C#C</t>
  </si>
  <si>
    <t>ZMLDTNLDYRJTAZ-MTRZUGBVSA-N</t>
  </si>
  <si>
    <t>C22H30O2</t>
  </si>
  <si>
    <t>5.21_411.2397m/z</t>
  </si>
  <si>
    <t>Ile Trp Leu</t>
  </si>
  <si>
    <t>CCC(C)C(C(=O)NC(CC1=CNC2=CC=CC=C21)C(=O)NC(CC(C)C)C(=O)O)N</t>
  </si>
  <si>
    <t>RTSQPLLOYSGMKM-DSYPUSFNSA-N</t>
  </si>
  <si>
    <t>C23H34N4O4</t>
  </si>
  <si>
    <t>366</t>
  </si>
  <si>
    <t>D-Sorbitol</t>
  </si>
  <si>
    <t>HMDB0000247</t>
  </si>
  <si>
    <t>C00794</t>
  </si>
  <si>
    <t>hsa00051,hsa00052,hsa02010,hsa05415</t>
  </si>
  <si>
    <t>Fructose and mannose metabolism|Galactose metabolism|ABC transporters|Diabetic cardiomyopathy</t>
  </si>
  <si>
    <t>R-HSA-1430728,R-HSA-5652084,R-HSA-5652227,R-HSA-71387</t>
  </si>
  <si>
    <t>Metabolism|Fructose metabolism|Fructose biosynthesis|Metabolism of carbohydrates</t>
  </si>
  <si>
    <t>50-70-4</t>
  </si>
  <si>
    <t>OC[C@H](O)[C@@H](O)[C@H](O)[C@H](O)CO</t>
  </si>
  <si>
    <t>FBPFZTCFMRRESA-JGWLITMVSA-N</t>
  </si>
  <si>
    <t>C6H14O6</t>
  </si>
  <si>
    <t>13.04_870.5501m/z</t>
  </si>
  <si>
    <t>PS(20:4(7E,9E,11Z,13E)-3OH(5S,6R,15S)/20:0)</t>
  </si>
  <si>
    <t>HMDB0282086</t>
  </si>
  <si>
    <t>[H][C@@](COC(=O)CCC[C@@H](O)[C@H](O)\C=C\C=C\C=C/C=C/[C@H](O)CCCCC)(COP(O)(=O)OC[C@H](N)C(O)=O)OC(=O)CCCCCCCCCCCCCCCCCCC</t>
  </si>
  <si>
    <t>DURLERLCXBOVDX-UFIBWZTNSA-N</t>
  </si>
  <si>
    <t>C46H82NO13P</t>
  </si>
  <si>
    <t>6.76_371.2442m/z</t>
  </si>
  <si>
    <t>13,14-dihydro-19R-hydroxyPGE1</t>
  </si>
  <si>
    <t>LMFA03010165</t>
  </si>
  <si>
    <t>C(CCCCCC[C@@H]1[C@@H](CC[C@@H](O)CCC[C@H](O)C)[C@H](O)CC1=O)(=O)O</t>
  </si>
  <si>
    <t>HNLDBJMVKYEERT-FSNPWBFUSA-N</t>
  </si>
  <si>
    <t>8.64_542.3254m/z</t>
  </si>
  <si>
    <t>Milbemycin A4</t>
  </si>
  <si>
    <t>HMDB0254721</t>
  </si>
  <si>
    <t>CCC1OC2(CCC1C)CC1CC(CC=C(C)CC(C)C=CC=C3COC4C(O)C(C)=CC(C(=O)O1)C34O)O2</t>
  </si>
  <si>
    <t>VOZIAWLUULBIPN-UHFFFAOYSA-N</t>
  </si>
  <si>
    <t>C32H46O7</t>
  </si>
  <si>
    <t>10.21_337.2374m/z</t>
  </si>
  <si>
    <t>(13R,14R)-Ep-15S-HETrE</t>
  </si>
  <si>
    <t>LMFA03080024</t>
  </si>
  <si>
    <t>C(CCC/C=C\C/C=C\C/C=C\[C@H]1O[C@@H]1[C@@H](CCCCC)O)(=O)O</t>
  </si>
  <si>
    <t>KNJWDUHQLSDUOA-SJLPXBNNSA-N</t>
  </si>
  <si>
    <t>5.85_369.0453m/z</t>
  </si>
  <si>
    <t>8-Azido-cyclic AMP</t>
  </si>
  <si>
    <t>HMDB0247425</t>
  </si>
  <si>
    <t>NC1=NC=NC2=C1N=C(N=[N+]=[N-])N2C1OC2COP(O)(=O)OC2C1O</t>
  </si>
  <si>
    <t>KTMLKBFMGWQTEK-UHFFFAOYSA-N</t>
  </si>
  <si>
    <t>Cyclic purine nucleotides</t>
  </si>
  <si>
    <t>C10H11N8O6P</t>
  </si>
  <si>
    <t>13.89_399.3268m/z</t>
  </si>
  <si>
    <t>1-oxoprevitamin D3 / 1-oxoprecholecalciferol</t>
  </si>
  <si>
    <t>LMST03020158</t>
  </si>
  <si>
    <t>C(/C1C[C@@H](O)CC(=O)C=1C)=C/C1[C@]2([H])CC[C@@]([H])([C@@]2(C)CCC=1)[C@]([H])(C)CCCC(C)C</t>
  </si>
  <si>
    <t>ANAXKKUNYOIUKN-NFYUOBAISA-N</t>
  </si>
  <si>
    <t>C27H42O2</t>
  </si>
  <si>
    <t>13.79_279.2327m/z</t>
  </si>
  <si>
    <t>9R,10S-EpOME</t>
  </si>
  <si>
    <t>HMDB04701</t>
  </si>
  <si>
    <t>LMFA02000283</t>
  </si>
  <si>
    <t>C14825</t>
  </si>
  <si>
    <t>C(CCCCCCC[C@@]1([H])O[C@@]1([H])C/C=C\CCCCC)(=O)O</t>
  </si>
  <si>
    <t>FBUKMFOXMZRGRB-SQGUUQMOSA-N</t>
  </si>
  <si>
    <t>8.58_352.2474m/z</t>
  </si>
  <si>
    <t>PGC2</t>
  </si>
  <si>
    <t>HMDB0060095</t>
  </si>
  <si>
    <t>LMFA03010133</t>
  </si>
  <si>
    <t>C05955</t>
  </si>
  <si>
    <t>49825-91-4</t>
  </si>
  <si>
    <t>C1(/C=C/[C@@H](O)CCCCC)=CCC(=O)[C@@H]1C/C=C\CCCC(=O)O</t>
  </si>
  <si>
    <t>CMBOTAQMTNMTBD-KLASNZEFSA-N</t>
  </si>
  <si>
    <t>0.77_292.1402m/z</t>
  </si>
  <si>
    <t>3-Hydroxybutyrylcarnitine</t>
  </si>
  <si>
    <t>HMDB0013127</t>
  </si>
  <si>
    <t>1469900-92-2</t>
  </si>
  <si>
    <t>C[C@@H](O)CC(=O)O[C@@H](CC([O-])=O)C[N+](C)(C)C</t>
  </si>
  <si>
    <t>UEFRDQSMQXDWTO-BDAKNGLRSA-N</t>
  </si>
  <si>
    <t>C11H21NO5</t>
  </si>
  <si>
    <t>7.80_421.2221m/z</t>
  </si>
  <si>
    <t>Macrophorin C</t>
  </si>
  <si>
    <t>HMDB0030455</t>
  </si>
  <si>
    <t>85764-11-0</t>
  </si>
  <si>
    <t>CC1(C)C(O)CCC2(C)C(CC34OC3C(O)C(CO)=CC4=O)C(=C)CCC12</t>
  </si>
  <si>
    <t>ZJIGIRXWBMNWPJ-UHFFFAOYSA-N</t>
  </si>
  <si>
    <t>6.60_435.2004m/z</t>
  </si>
  <si>
    <t>20-trifluoro-LTB4</t>
  </si>
  <si>
    <t>LMFA03020019</t>
  </si>
  <si>
    <t>115178-97-7</t>
  </si>
  <si>
    <t>C([C@@H](O)/C=C/C=C/C=C\[C@@H](O)CCCC(O)=O)/C=C\CCCCC(F)(F)F</t>
  </si>
  <si>
    <t>YKIRCSCMMMEEDI-QAASZIRWSA-N</t>
  </si>
  <si>
    <t>C20H29F3O4</t>
  </si>
  <si>
    <t>5.49_537.3262m/z</t>
  </si>
  <si>
    <t>[(3R,4S)-1,1-Difluoro-3-(hexadecanoylamino)-4-hydroxy-4-phenylbutyl]phosphonic acid</t>
  </si>
  <si>
    <t>HMDB0258345</t>
  </si>
  <si>
    <t>CCCCCCCCCCCCCCCC(=O)NC(CC(F)(F)P(O)(O)=O)C(O)C1=CC=CC=C1</t>
  </si>
  <si>
    <t>KQPGDBVGEXAZAW-UHFFFAOYSA-N</t>
  </si>
  <si>
    <t>C26H44F2NO5P</t>
  </si>
  <si>
    <t>9.56_432.1695m/z</t>
  </si>
  <si>
    <t>Glisoxepide</t>
  </si>
  <si>
    <t>HMDB0015406</t>
  </si>
  <si>
    <t>25046-79-1</t>
  </si>
  <si>
    <t>CC1=CC(=NO1)C(=O)NCCC1=CC=C(C=C1)S(=O)(=O)NC(=O)NN1CCCCCC1</t>
  </si>
  <si>
    <t>ZKUDBRCEOBOWLF-UHFFFAOYSA-N</t>
  </si>
  <si>
    <t>C20H27N5O5S</t>
  </si>
  <si>
    <t>5.60_660.3158m/z</t>
  </si>
  <si>
    <t>PC(PGJ2/2:0)</t>
  </si>
  <si>
    <t>HMDB0288835</t>
  </si>
  <si>
    <t>CCCCC[C@H](O)\C=C\[C@@H]1[C@@H](C\C=C/CCCC(=O)OC[C@H](COP([O-])(=O)OCC[N+](C)(C)C)OC(C)=O)C=CC1=O</t>
  </si>
  <si>
    <t>HOMAYBMRGLABMS-JRXAHRHBSA-N</t>
  </si>
  <si>
    <t>C30H50NO10P</t>
  </si>
  <si>
    <t>335</t>
  </si>
  <si>
    <t>1,5-Anhydrosorbitol</t>
  </si>
  <si>
    <t>HMDB0002712</t>
  </si>
  <si>
    <t>C07326</t>
  </si>
  <si>
    <t>154-58-5</t>
  </si>
  <si>
    <t>OC[C@H]1OC[C@H](O)[C@@H](O)[C@@H]1O</t>
  </si>
  <si>
    <t>MPCAJMNYNOGXPB-SLPGGIOYSA-N</t>
  </si>
  <si>
    <t>7.57_403.2336m/z</t>
  </si>
  <si>
    <t>5S-HETE di-endoperoxide</t>
  </si>
  <si>
    <t>LMFA03000011</t>
  </si>
  <si>
    <t>[C@@H]12OO[C@@H]([C@H](CC[C@@H](O)CCCCC)OO[C@H]1/C=C/[C@@H](O)CCCC(=O)O)C2</t>
  </si>
  <si>
    <t>DOXGUXRZAOCYPM-IPIAXWAYSA-N</t>
  </si>
  <si>
    <t>C20H34O8</t>
  </si>
  <si>
    <t>0.67_132.0661m/z</t>
  </si>
  <si>
    <t>2-Amino-4-oxopentanoic acid</t>
  </si>
  <si>
    <t>HMDB0244991</t>
  </si>
  <si>
    <t>CC(=O)CC(N)C(O)=O</t>
  </si>
  <si>
    <t>QUCHWTCTBHQQDU-UHFFFAOYSA-N</t>
  </si>
  <si>
    <t>9.15_481.2811m/z</t>
  </si>
  <si>
    <t>(-)-Salvisyriacolide</t>
  </si>
  <si>
    <t>LMPR0105040002</t>
  </si>
  <si>
    <t>CC1=CC(=O)OC1CC=C(C)CCC2C3(CCC(C(C3C(CC2(C)O)O)(C)CO)O)C</t>
  </si>
  <si>
    <t>WCXUHQRLXBOHIU-CRPKKIMSSA-N</t>
  </si>
  <si>
    <t>C25H40O6</t>
  </si>
  <si>
    <t>5.11_348.1025m/z</t>
  </si>
  <si>
    <t>Ampicillin</t>
  </si>
  <si>
    <t>HMDB0014559</t>
  </si>
  <si>
    <t>C06574</t>
  </si>
  <si>
    <t>69-53-4</t>
  </si>
  <si>
    <t>[H][C@]12SC(C)(C)[C@@H](N1C(=O)[C@H]2NC(=O)[C@H](N)C1=CC=CC=C1)C(O)=O</t>
  </si>
  <si>
    <t>AVKUERGKIZMTKX-NJBDSQKTSA-N</t>
  </si>
  <si>
    <t>C16H19N3O4S</t>
  </si>
  <si>
    <t>9.99_327.2178m/z</t>
  </si>
  <si>
    <t>11-hydroperoxy-12,13-epoxy-9-octadecenoic acid</t>
  </si>
  <si>
    <t>LMFA02000106</t>
  </si>
  <si>
    <t>C(/C(OO)C1OC1CCCCC)=C\CCCCCCCC(=O)O</t>
  </si>
  <si>
    <t>LSLYTZURYMOJBX-JLHYYAGUSA-N</t>
  </si>
  <si>
    <t>C18H32O5</t>
  </si>
  <si>
    <t>9.21_379.2494m/z</t>
  </si>
  <si>
    <t>16,16-dimethyl-PGD2</t>
  </si>
  <si>
    <t>LMFA03010052</t>
  </si>
  <si>
    <t>64072-59-9</t>
  </si>
  <si>
    <t>[C@H]1(/C=C/[C@@H](O)C(C)(C)CCCC)C(=O)C[C@H](O)[C@@H]1C/C=C\CCCC(=O)O</t>
  </si>
  <si>
    <t>ZEMOZGYCFBTCMC-MBNOUSKYSA-N</t>
  </si>
  <si>
    <t>C22H36O5</t>
  </si>
  <si>
    <t>12.04_337.1480m/z</t>
  </si>
  <si>
    <t>Isopropyl apiosylglucoside</t>
  </si>
  <si>
    <t>HMDB0041513</t>
  </si>
  <si>
    <t>147742-24-3</t>
  </si>
  <si>
    <t>CC(C)OC1OC(COC2OCC(O)(CO)C2O)C(O)C(O)C1O</t>
  </si>
  <si>
    <t>ADFAUEYXQCOXBX-UHFFFAOYSA-N</t>
  </si>
  <si>
    <t>C14H26O10</t>
  </si>
  <si>
    <t>14.52_385.3481m/z</t>
  </si>
  <si>
    <t>3-ketocholesterol</t>
  </si>
  <si>
    <t>LMST01010248</t>
  </si>
  <si>
    <t>601-54-7</t>
  </si>
  <si>
    <t>[C@]12(CC=C3CC(=O)CC[C@]3(C)[C@@]1([H])CC[C@]1(C)[C@@]([H])([C@@](C)([H])CCCC(C)C)CC[C@@]21[H])[H]</t>
  </si>
  <si>
    <t>GGCLNOIGPMGLDB-GYKMGIIDSA-N</t>
  </si>
  <si>
    <t>C27H44O</t>
  </si>
  <si>
    <t>2.07_632.1809m/z</t>
  </si>
  <si>
    <t>Galarubicin</t>
  </si>
  <si>
    <t>HMDB0252592</t>
  </si>
  <si>
    <t>COC1=CC=CC2=C1C(=O)C1=C(C(O)=C3CC(O)(CC(OC4OC(C)C(O)C(O)C4F)C3=C1O)C(=O)COC(=O)CCN)C2=O</t>
  </si>
  <si>
    <t>CKXIPXAIFMTQCS-UHFFFAOYSA-N</t>
  </si>
  <si>
    <t>C30H32FNO13</t>
  </si>
  <si>
    <t>4.88_357.0628m/z</t>
  </si>
  <si>
    <t>4-Deoxybryaquinone</t>
  </si>
  <si>
    <t>LMPK12070142</t>
  </si>
  <si>
    <t>C1(OC)C=CC2C3OC4C(=O)C(=O)C=C(OC)C=4C=3COC=2C=1</t>
  </si>
  <si>
    <t>BHZXRJHCYGESDJ-UHFFFAOYSA-N</t>
  </si>
  <si>
    <t>C17H12O6</t>
  </si>
  <si>
    <t>7.44_530.2107n</t>
  </si>
  <si>
    <t>7-Acetoxy-6-hydroxylimonin</t>
  </si>
  <si>
    <t>HMDB0032834</t>
  </si>
  <si>
    <t>208333-73-7</t>
  </si>
  <si>
    <t>CC(=O)OC1C(O)C2C(C)(C)OC3CC(=O)OCC23C2CCC3(C)C(OC(=O)C4OC34C12C)C1=COC=C1</t>
  </si>
  <si>
    <t>LFAMVZIOUNWBKU-UHFFFAOYSA-N</t>
  </si>
  <si>
    <t>C28H34O10</t>
  </si>
  <si>
    <t>9.73_493.3549m/z</t>
  </si>
  <si>
    <t>Nb-Arachidoyltryptamine</t>
  </si>
  <si>
    <t>HMDB0040817</t>
  </si>
  <si>
    <t>152766-92-2</t>
  </si>
  <si>
    <t>CCCCCCCCCCCCCCCCCCCC(=O)NCCC1=CNC2=C1C=CC=C2</t>
  </si>
  <si>
    <t>PMYMGHIVWFOOOS-UHFFFAOYSA-N</t>
  </si>
  <si>
    <t>C30H50N2O</t>
  </si>
  <si>
    <t>14.53_609.0238m/z</t>
  </si>
  <si>
    <t>AS-252424</t>
  </si>
  <si>
    <t>900515-16-4</t>
  </si>
  <si>
    <t>C1=CC(=C(C=C1F)O)C2=CC=C(O2)C=C3C(=O)NC(=O)S3</t>
  </si>
  <si>
    <t>OYYVWNDMOQPMGE-SDQBBNPISA-N</t>
  </si>
  <si>
    <t>Halophenols</t>
  </si>
  <si>
    <t>C14H8FNO4S</t>
  </si>
  <si>
    <t>4.53_187.1215n</t>
  </si>
  <si>
    <t>7-Keto-8-aminopelargonic acid</t>
  </si>
  <si>
    <t>HMDB0240687</t>
  </si>
  <si>
    <t>LMFA01100065</t>
  </si>
  <si>
    <t>C01092</t>
  </si>
  <si>
    <t>hsa00780</t>
  </si>
  <si>
    <t>Biotin metabolism</t>
  </si>
  <si>
    <t>682799-71-9</t>
  </si>
  <si>
    <t>C(CCCCCC(=O)[C@@H](N)C)(=O)O</t>
  </si>
  <si>
    <t>GUAHPAJOXVYFON-ZETCQYMHSA-N</t>
  </si>
  <si>
    <t>M+H-H2O, M+H, M+Na</t>
  </si>
  <si>
    <t>C9H17NO3</t>
  </si>
  <si>
    <t>0.68_158.0696n</t>
  </si>
  <si>
    <t>N-Nitrosobis(2-oxopropyl)amine</t>
  </si>
  <si>
    <t>HMDB0255200</t>
  </si>
  <si>
    <t>CC(=O)CN(CC(C)=O)N=O</t>
  </si>
  <si>
    <t>AKRYBBWYDSDZHG-UHFFFAOYSA-N</t>
  </si>
  <si>
    <t>Organic nitroso compounds</t>
  </si>
  <si>
    <t>C6H10N2O3</t>
  </si>
  <si>
    <t>7.78_377.2318m/z</t>
  </si>
  <si>
    <t>Resolvin D2</t>
  </si>
  <si>
    <t>HMDB0002294</t>
  </si>
  <si>
    <t>82864-77-5</t>
  </si>
  <si>
    <t>CC\C=C/C[C@H](O)C(O)\C=C\C=C\C=C/C=C/[C@H](O)C\C=C/CCC(O)=O</t>
  </si>
  <si>
    <t>IKFAUGXNBOBQDM-GIINMYNKSA-N</t>
  </si>
  <si>
    <t>3.59_334.1408m/z</t>
  </si>
  <si>
    <t>Trp Glu</t>
  </si>
  <si>
    <t>C1=CC=C2C(=C1)C(=CN2)CC(C(=O)NC(CCC(=O)O)C(=O)O)N</t>
  </si>
  <si>
    <t>PWIQCLSQVQBOQV-AAEUAGOBSA-N</t>
  </si>
  <si>
    <t>C16H19N3O5</t>
  </si>
  <si>
    <t>9.91_427.2103m/z</t>
  </si>
  <si>
    <t>LysoPA(i-14:0/0:0)</t>
  </si>
  <si>
    <t>HMDB0114765</t>
  </si>
  <si>
    <t>CC(C)CCCCCCCCCCC(=O)OCC(O)COP(O)(O)=O</t>
  </si>
  <si>
    <t>QWRVNPWTRIUQKD-UHFFFAOYSA-N</t>
  </si>
  <si>
    <t>0.72_219.1346m/z</t>
  </si>
  <si>
    <t>Carboxyethyllysine</t>
  </si>
  <si>
    <t>HMDB0249659</t>
  </si>
  <si>
    <t>NCCCCC(NCCC(O)=O)C(O)=O</t>
  </si>
  <si>
    <t>UENLDOJJKXLRJI-UHFFFAOYSA-N</t>
  </si>
  <si>
    <t>C9H18N2O4</t>
  </si>
  <si>
    <t>6.91_777.6960m/z</t>
  </si>
  <si>
    <t>Thyroxine</t>
  </si>
  <si>
    <t>HMDB0000248</t>
  </si>
  <si>
    <t>C01829</t>
  </si>
  <si>
    <t>hsa00350,hsa04918,hsa04919,hsa05320</t>
  </si>
  <si>
    <t>Tyrosine metabolism|Thyroid hormone synthesis|Thyroid hormone signaling pathway|Autoimmune thyroid disease</t>
  </si>
  <si>
    <t>R-HSA-1430728,R-HSA-209776,R-HSA-209968,R-HSA-350864,R-HSA-382551,R-HSA-425397,R-HSA-425407,R-HSA-71291,R-HSA-879518</t>
  </si>
  <si>
    <t>Metabolism|Metabolism of amine-derived hormones|Thyroxine biosynthesis|Regulation of thyroid hormone activity|Transport of small molecules|Transport of vitamins, nucleosides, and related molecules|SLC-mediated transmembrane transport|Metabolism of amino acids and derivatives|Transport of organic anions</t>
  </si>
  <si>
    <t>51-48-9</t>
  </si>
  <si>
    <t>N[C@@H](CC1=CC(I)=C(OC2=CC(I)=C(O)C(I)=C2)C(I)=C1)C(O)=O</t>
  </si>
  <si>
    <t>XUIIKFGFIJCVMT-LBPRGKRZSA-N</t>
  </si>
  <si>
    <t>C15H11I4NO4</t>
  </si>
  <si>
    <t>10.68_221.1543m/z</t>
  </si>
  <si>
    <t>1-Methyl-2-n-hexylbenzene</t>
  </si>
  <si>
    <t>HMDB0061826</t>
  </si>
  <si>
    <t>CCCCCCC1=CC=CC=C1C</t>
  </si>
  <si>
    <t>BNXNQXKAEVKUJG-UHFFFAOYSA-N</t>
  </si>
  <si>
    <t>C13H20</t>
  </si>
  <si>
    <t>7.79_227.1285m/z</t>
  </si>
  <si>
    <t>Traumatic acid</t>
  </si>
  <si>
    <t>HMDB0000933</t>
  </si>
  <si>
    <t>LMFA01170002</t>
  </si>
  <si>
    <t>C16308</t>
  </si>
  <si>
    <t>6402-36-4</t>
  </si>
  <si>
    <t>C(CC(=O)O)CCCCCC/C=C/C(=O)O</t>
  </si>
  <si>
    <t>MAZWDMBCPDUFDJ-VQHVLOKHSA-N</t>
  </si>
  <si>
    <t>C12H20O4</t>
  </si>
  <si>
    <t>4.25_379.1464m/z</t>
  </si>
  <si>
    <t>13-dimethylarsinoyl-tridecanoic acid</t>
  </si>
  <si>
    <t>LMFA00000034</t>
  </si>
  <si>
    <t>C(CCCCCCCCCCCC(=O)O)[As](C)(=O)C</t>
  </si>
  <si>
    <t>ATYBQUGNOSSSRP-UHFFFAOYSA-N</t>
  </si>
  <si>
    <t>C15H31AsO3</t>
  </si>
  <si>
    <t>9.97_346.2518n</t>
  </si>
  <si>
    <t>6-((Z)-pentadec-10-en-1-yl)salicylic acid</t>
  </si>
  <si>
    <t>LMPK15040008</t>
  </si>
  <si>
    <t>C1C=C(CCCCCCCCC/C=C\CCCC)C(C(O)=O)=C(O)C=1</t>
  </si>
  <si>
    <t>UEOBFNCQTNUCCY-WAYWQWQTSA-N</t>
  </si>
  <si>
    <t>C22H34O3</t>
  </si>
  <si>
    <t>7.16_386.2548m/z</t>
  </si>
  <si>
    <t>Tridec-10-enedioylcarnitine</t>
  </si>
  <si>
    <t>HMDB0241320</t>
  </si>
  <si>
    <t>C[N+](C)(C)CC(CC([O-])=O)OC(=O)CCCCCCCCC=CCC(O)=O</t>
  </si>
  <si>
    <t>DVJHXCXDOAGIHU-UHFFFAOYSA-N</t>
  </si>
  <si>
    <t>C20H35NO6</t>
  </si>
  <si>
    <t>10.01_391.1426m/z</t>
  </si>
  <si>
    <t>Amlodipine</t>
  </si>
  <si>
    <t>HMDB0005018</t>
  </si>
  <si>
    <t>C06825</t>
  </si>
  <si>
    <t>R-HSA-397014,R-HSA-5576891,R-HSA-5576893</t>
  </si>
  <si>
    <t>Muscle contraction|Cardiac conduction|Phase 2 - plateau phase</t>
  </si>
  <si>
    <t>88150-42-9</t>
  </si>
  <si>
    <t>CCOC(=O)C1=C(COCCN)NC(C)=C(C1C1=CC=CC=C1Cl)C(=O)OC</t>
  </si>
  <si>
    <t>HTIQEAQVCYTUBX-UHFFFAOYSA-N</t>
  </si>
  <si>
    <t>C20H25ClN2O5</t>
  </si>
  <si>
    <t>10.07_453.3231n</t>
  </si>
  <si>
    <t>PC(O-14:0/0:0)</t>
  </si>
  <si>
    <t>LMGP01060007</t>
  </si>
  <si>
    <t>[C@](COP(=O)([O-])OCC[N+](C)(C)C)([H])(O)COCCCCCCCCCCCCCC</t>
  </si>
  <si>
    <t>MBRLTZVQXZDRBC-JOCHJYFZSA-N</t>
  </si>
  <si>
    <t>C22H48NO6P</t>
  </si>
  <si>
    <t>11.31_582.4358n</t>
  </si>
  <si>
    <t>Polidocanol</t>
  </si>
  <si>
    <t>HMDB0256665</t>
  </si>
  <si>
    <t>C13493</t>
  </si>
  <si>
    <t>3055-99-0</t>
  </si>
  <si>
    <t>CCCCCCCCCCCCOCCOCCOCCOCCOCCOCCOCCOCCOCCO</t>
  </si>
  <si>
    <t>ONJQDTZCDSESIW-UHFFFAOYSA-N</t>
  </si>
  <si>
    <t>C30H62O10</t>
  </si>
  <si>
    <t>11.67_660.3886m/z</t>
  </si>
  <si>
    <t>Difelikefalin</t>
  </si>
  <si>
    <t>HMDB0304836</t>
  </si>
  <si>
    <t>CC(C)C[C@@H](NC(=O)[C@@H](CC1=CC=CC=C1)NC(=O)[C@H](N)CC1=CC=CC=C1)C(=O)N[C@H](CCCCN)C(=O)N1CCC(N)(CC1)C(O)=O</t>
  </si>
  <si>
    <t>FWMNVWWHGCHHJJ-SKKKGAJSSA-N</t>
  </si>
  <si>
    <t>C36H53N7O6</t>
  </si>
  <si>
    <t>4.80_219.1233m/z</t>
  </si>
  <si>
    <t>(1R,2R,4R,5S)-(+)-p-Menthane-2,5-diol</t>
  </si>
  <si>
    <t>HMDB0301947</t>
  </si>
  <si>
    <t>CC(C)[C@H]1C[C@@H](O)[C@H](O)C[C@@H]1O</t>
  </si>
  <si>
    <t>OBMLZGDTTDRNLZ-BZNPZCIMSA-N</t>
  </si>
  <si>
    <t>C9H18O3</t>
  </si>
  <si>
    <t>3.71_178.1111n</t>
  </si>
  <si>
    <t>Glycinexylidide</t>
  </si>
  <si>
    <t>HMDB0060679</t>
  </si>
  <si>
    <t>C16569</t>
  </si>
  <si>
    <t>hsa00982</t>
  </si>
  <si>
    <t>Drug metabolism - cytochrome P450</t>
  </si>
  <si>
    <t>18865-38-8</t>
  </si>
  <si>
    <t>CC1=CC=CC(C)=C1NC(=O)CN</t>
  </si>
  <si>
    <t>IXYVBZOSGGJWCW-UHFFFAOYSA-N</t>
  </si>
  <si>
    <t>C10H14N2O</t>
  </si>
  <si>
    <t>7.54_419.2055m/z</t>
  </si>
  <si>
    <t>Macrophorin B</t>
  </si>
  <si>
    <t>HMDB0030456</t>
  </si>
  <si>
    <t>85764-12-1</t>
  </si>
  <si>
    <t>CC1(C2CCC(=C)C(C2(CCC1=O)C)CC34C(O3)C(C(=CC4=O)CO)O)C</t>
  </si>
  <si>
    <t>ZJZYSAJQOPJREK-MWQHCLGASA-N</t>
  </si>
  <si>
    <t>4.72_173.0811m/z</t>
  </si>
  <si>
    <t>Suberic acid</t>
  </si>
  <si>
    <t>HMDB0000893</t>
  </si>
  <si>
    <t>LMFA01170001</t>
  </si>
  <si>
    <t>C08278</t>
  </si>
  <si>
    <t>505-48-6</t>
  </si>
  <si>
    <t>OC(CCCCCCC(=O)O)=O</t>
  </si>
  <si>
    <t>TYFQFVWCELRYAO-UHFFFAOYSA-N</t>
  </si>
  <si>
    <t>C8H14O4</t>
  </si>
  <si>
    <t>5.57_245.0670m/z</t>
  </si>
  <si>
    <t>(Z)-3-(1-Formyl-1-propenyl)pentanedioic acid</t>
  </si>
  <si>
    <t>HMDB0033091</t>
  </si>
  <si>
    <t>C\C=C(/C=O)C(CC(O)=O)CC(O)=O</t>
  </si>
  <si>
    <t>IVZLDVMNNVAWDA-QHHAFSJGSA-N</t>
  </si>
  <si>
    <t>C9H12O5</t>
  </si>
  <si>
    <t>6.35_333.2071m/z</t>
  </si>
  <si>
    <t>PGB3</t>
  </si>
  <si>
    <t>LMFA03010141</t>
  </si>
  <si>
    <t>36614-32-1</t>
  </si>
  <si>
    <t>C1(/C=C/[C@@H](O)C/C=C\CC)CCC(=O)C=1C/C=C\CCCC(=O)O</t>
  </si>
  <si>
    <t>DQRGQQAJYRBDRP-UNBCGXALSA-N</t>
  </si>
  <si>
    <t>9.09_401.1947m/z</t>
  </si>
  <si>
    <t>N-(3-hydroxy-pentanoyl)-homoserine lactone</t>
  </si>
  <si>
    <t>LMFA08030032</t>
  </si>
  <si>
    <t>[C@@H]1(CCOC1=O)NC(=O)CC(O)CC</t>
  </si>
  <si>
    <t>IZXCXPQWOXJOPE-MLWJPKLSSA-N</t>
  </si>
  <si>
    <t>C9H15NO4</t>
  </si>
  <si>
    <t>1.56_188.0169m/z</t>
  </si>
  <si>
    <t>(E)-3-Tosylacrylonitrile</t>
  </si>
  <si>
    <t>HMDB0248889</t>
  </si>
  <si>
    <t>CC1=CC=C(C=C1)S(=O)(=O)C=CC#N</t>
  </si>
  <si>
    <t>DOEWDSDBFRHVAP-UHFFFAOYSA-N</t>
  </si>
  <si>
    <t>C10H9NO2S</t>
  </si>
  <si>
    <t>14.08_410.3025m/z</t>
  </si>
  <si>
    <t>Arlacel A</t>
  </si>
  <si>
    <t>HMDB0248604</t>
  </si>
  <si>
    <t>CCCCCCCCC=CCCCCCCCC(=O)OC1COC2C(O)COC12</t>
  </si>
  <si>
    <t>JDRAOGVAQOVDEB-UHFFFAOYSA-N</t>
  </si>
  <si>
    <t>Furofurans</t>
  </si>
  <si>
    <t>Isosorbides</t>
  </si>
  <si>
    <t>C24H42O5</t>
  </si>
  <si>
    <t>9.89_423.3360n</t>
  </si>
  <si>
    <t>(10Z,12Z)-octadeca-10,12-dienoylcarnitine</t>
  </si>
  <si>
    <t>HMDB0240822</t>
  </si>
  <si>
    <t>CCCCCC=CC=CCCCCCCCCC(=O)OC(CC([O-])=O)C[N+](C)(C)C</t>
  </si>
  <si>
    <t>HQMPRWWWVKTZAS-UHFFFAOYSA-N</t>
  </si>
  <si>
    <t>C25H45NO4</t>
  </si>
  <si>
    <t>10.17_343.3330m/z</t>
  </si>
  <si>
    <t>Trans-11-octadecenoic acid ethanolamide</t>
  </si>
  <si>
    <t>LMFA08040061</t>
  </si>
  <si>
    <t>C(O)CNC(CCCCCCCCC/C=C/CCCCCC)=O</t>
  </si>
  <si>
    <t>YVMBQTJWDFKKDQ-BQYQJAHWSA-N</t>
  </si>
  <si>
    <t>C20H39NO2</t>
  </si>
  <si>
    <t>9.42_412.9671m/z</t>
  </si>
  <si>
    <t>Perfluorooctanoic acid</t>
  </si>
  <si>
    <t>HMDB0059587</t>
  </si>
  <si>
    <t>335-67-1</t>
  </si>
  <si>
    <t>C(=O)(C(C(C(C(C(C(C(F)(F)F)(F)F)(F)F)(F)F)(F)F)(F)F)(F)F)O</t>
  </si>
  <si>
    <t>SNGREZUHAYWORS-UHFFFAOYSA-N</t>
  </si>
  <si>
    <t>C8HF15O2</t>
  </si>
  <si>
    <t>4.90_259.0098m/z</t>
  </si>
  <si>
    <t>4-Hydroxy-5-methyl-3(2H)-thiophenone</t>
  </si>
  <si>
    <t>HMDB0033548</t>
  </si>
  <si>
    <t>26494-09-7</t>
  </si>
  <si>
    <t>CC1=C(O)C(=O)CS1</t>
  </si>
  <si>
    <t>GIVVLEIYPVKDNV-UHFFFAOYSA-N</t>
  </si>
  <si>
    <t>Vinylogous thioesters</t>
  </si>
  <si>
    <t>C5H6O2S</t>
  </si>
  <si>
    <t>13.32_228.1964m/z</t>
  </si>
  <si>
    <t>9-tridecynoic acid</t>
  </si>
  <si>
    <t>LMFA01030602</t>
  </si>
  <si>
    <t>C(CCCCCCCC#CCCC)(=O)O</t>
  </si>
  <si>
    <t>IRTOCVRQBHTLDD-UHFFFAOYSA-N</t>
  </si>
  <si>
    <t>C13H22O2</t>
  </si>
  <si>
    <t>5.08_518.1144m/z</t>
  </si>
  <si>
    <t>Mdz-glucuronide</t>
  </si>
  <si>
    <t>HMDB0247486</t>
  </si>
  <si>
    <t>OC1C(O)C(OCC2=NC=C3CN=C(C4=CC=CC=C4F)C4=C(C=CC(Cl)=C4)N23)OC(C1O)C(O)=O</t>
  </si>
  <si>
    <t>ICIUMXQTLQXWGL-UHFFFAOYSA-N</t>
  </si>
  <si>
    <t>C24H21ClFN3O7</t>
  </si>
  <si>
    <t>9.68_254.2487m/z</t>
  </si>
  <si>
    <t>Zingiberol</t>
  </si>
  <si>
    <t>HMDB0303118</t>
  </si>
  <si>
    <t>CC(C)(O)CC1CCC2(C)CCCC(=C)C2C1</t>
  </si>
  <si>
    <t>GMZKBWZWDAAWPI-UHFFFAOYSA-N</t>
  </si>
  <si>
    <t>12.09_339.2153m/z</t>
  </si>
  <si>
    <t>9,10-Epoxy-12-octadecynoic acid</t>
  </si>
  <si>
    <t>LMFA01070028</t>
  </si>
  <si>
    <t>C(CCCCCCCC1OC1CC#CCCCCC)(=O)O</t>
  </si>
  <si>
    <t>WBLXRDBPMRYRBK-UHFFFAOYSA-N</t>
  </si>
  <si>
    <t>8.91_480.1999m/z</t>
  </si>
  <si>
    <t>Acevaltrate</t>
  </si>
  <si>
    <t>HMDB0034494</t>
  </si>
  <si>
    <t>LMFA07010774</t>
  </si>
  <si>
    <t>C16752</t>
  </si>
  <si>
    <t>25161-41-5</t>
  </si>
  <si>
    <t>CC(OC(=O)C)(CC(OC1C2(CO2)C2C(OC(CC(C)C)=O)OC=C(COC(C)=O)C2=C1)=O)C</t>
  </si>
  <si>
    <t>FWKBQAVMKVZEOT-UHFFFAOYSA-N</t>
  </si>
  <si>
    <t>C24H32O10</t>
  </si>
  <si>
    <t>9.52_221.1543m/z</t>
  </si>
  <si>
    <t>13-Tetradecene-1,3-diyne-6,7-diol</t>
  </si>
  <si>
    <t>HMDB0039539</t>
  </si>
  <si>
    <t>LMFA05000589</t>
  </si>
  <si>
    <t>122855-49-6</t>
  </si>
  <si>
    <t>C=CCCCCCC(C(CC#CC#C)O)O</t>
  </si>
  <si>
    <t>WOVGAQBKTGZPTO-UHFFFAOYSA-N</t>
  </si>
  <si>
    <t>C14H20O2</t>
  </si>
  <si>
    <t>0.74_260.1977m/z</t>
  </si>
  <si>
    <t>Leucyl-Lysine</t>
  </si>
  <si>
    <t>HMDB0028934</t>
  </si>
  <si>
    <t>CC(C)CC(N)C(=O)NC(CCCCN)C(O)=O</t>
  </si>
  <si>
    <t>OTXBNHIUIHNGAO-UHFFFAOYSA-N</t>
  </si>
  <si>
    <t>14.23_436.3184m/z</t>
  </si>
  <si>
    <t>N-Stearoyl Isoleucine</t>
  </si>
  <si>
    <t>HMDB0241944</t>
  </si>
  <si>
    <t>CCCCCCCCCCCCCCCCCC(=O)NC(C(C)CC)C(O)=O</t>
  </si>
  <si>
    <t>UQWJBYKWVVOSQB-UHFFFAOYSA-N</t>
  </si>
  <si>
    <t>C24H47NO3</t>
  </si>
  <si>
    <t>7.40_573.1908m/z</t>
  </si>
  <si>
    <t>Uvarinol</t>
  </si>
  <si>
    <t>LMPK12140149</t>
  </si>
  <si>
    <t>C1C=CC(CC2C=C(CC3C(O)=C(CC4C=CC=CC=4O)C4OC(C5C=CC=CC=5)CC(=O)C=4C=3O)C(O)=CC=2)=C(O)C=1</t>
  </si>
  <si>
    <t>DNSBHCGTUDJZGO-UHFFFAOYSA-N</t>
  </si>
  <si>
    <t>Linear diarylheptanoids</t>
  </si>
  <si>
    <t>C36H30O7</t>
  </si>
  <si>
    <t>8.58_432.2948m/z</t>
  </si>
  <si>
    <t>Sphingofungin C</t>
  </si>
  <si>
    <t>LMSP01080063</t>
  </si>
  <si>
    <t>C([C@@H](N)[C@@H](O)[C@H](O)[C@@H](OC(=O)C)/C=C/CCCCCC[C@H](O)CCCCCC)(=O)O</t>
  </si>
  <si>
    <t>PBKBHDLANIOIKK-RXCFHPIVSA-N</t>
  </si>
  <si>
    <t>C22H41NO7</t>
  </si>
  <si>
    <t>13.18_467.3745m/z</t>
  </si>
  <si>
    <t>(5Z,9Z)-2-methoxy-hexacosadienoic acid</t>
  </si>
  <si>
    <t>LMFA01080023</t>
  </si>
  <si>
    <t>C(=C/CC/C=C\CCCCCCCCCCCCCCCC)/CCC(OC)C(=O)O</t>
  </si>
  <si>
    <t>USCVSTUZLRXEMP-ZCIBKELESA-N</t>
  </si>
  <si>
    <t>C27H50O3</t>
  </si>
  <si>
    <t>7.37_550.2461m/z</t>
  </si>
  <si>
    <t>Endoxifen O-glucuronide</t>
  </si>
  <si>
    <t>HMDB0060622</t>
  </si>
  <si>
    <t>CCC(C(C1=CC=C(OCCNC)C=C1)C1=CC=C(OC2OC(C(O)C(O)C2O)C(O)=O)C=C1)C1=CC=CC=C1</t>
  </si>
  <si>
    <t>PWUOWFLVEJOLMS-UHFFFAOYSA-N</t>
  </si>
  <si>
    <t>Stilbenes</t>
  </si>
  <si>
    <t>Stilbene glycosides</t>
  </si>
  <si>
    <t>C31H37NO8</t>
  </si>
  <si>
    <t>6.67_306.1470n</t>
  </si>
  <si>
    <t>Naematolone</t>
  </si>
  <si>
    <t>HMDB0035781</t>
  </si>
  <si>
    <t>92121-62-5</t>
  </si>
  <si>
    <t>CC(=O)OC1\C=C(C)/C(=O)C(O)C2C(CC2(C)C)C(=C)C1=O</t>
  </si>
  <si>
    <t>BBRNVDBLOTVLMB-VURMDHGXSA-N</t>
  </si>
  <si>
    <t>C17H22O5</t>
  </si>
  <si>
    <t>7.57_453.2509m/z</t>
  </si>
  <si>
    <t>PC(6:0/6:0)</t>
  </si>
  <si>
    <t>LMGP01011229</t>
  </si>
  <si>
    <t>[C@](COP(=O)([O-])OCC[N+](C)(C)C)([H])(OC(CCCCC)=O)COC(CCCCC)=O</t>
  </si>
  <si>
    <t>DVZARZBAWHITHR-GOSISDBHSA-N</t>
  </si>
  <si>
    <t>C20H40NO8P</t>
  </si>
  <si>
    <t>10.61_848.4969m/z</t>
  </si>
  <si>
    <t>(3b,16a,20R)-3,16,20,22,25-Pentahydroxy-5-cucurbiten-11-one 3-[glucosyl-(1-&gt;6)-glucoside]</t>
  </si>
  <si>
    <t>HMDB0035345</t>
  </si>
  <si>
    <t>178062-94-7</t>
  </si>
  <si>
    <t>CC(C)(O)CCC(O)C(C)(O)C1C(O)CC2(C)C3CC=C4C(CCC(OC5OC(COC6OC(CO)C(O)C(O)C6O)C(O)C(O)C5O)C4(C)C)C3(C)C(=O)CC12C</t>
  </si>
  <si>
    <t>RLSXWJUYUFUJLU-UHFFFAOYSA-N</t>
  </si>
  <si>
    <t>C42H70O16</t>
  </si>
  <si>
    <t>4.44_756.4034m/z</t>
  </si>
  <si>
    <t>OHODA-PS</t>
  </si>
  <si>
    <t>LMGP20040035</t>
  </si>
  <si>
    <t>C(O)(=O)[C@@]([H])(N)COP(OC[C@]([H])(OC(CCCCCCCC(O)/C=C/C=O)=O)COC(CCCCCCC/C=C\CCCCCCCC)=O)(=O)O</t>
  </si>
  <si>
    <t>PBMHUGLUIUDOQT-MWYLMXMSSA-N</t>
  </si>
  <si>
    <t>C36H64NO12P</t>
  </si>
  <si>
    <t>12.36_463.2081m/z</t>
  </si>
  <si>
    <t>Acetamide, 2-(4-(2-((2-hydroxy-3-phenoxypropyl)amino)ethoxy)phenoxy)-N-(2-methoxyethyl)-, (S)-</t>
  </si>
  <si>
    <t>HMDB0259996</t>
  </si>
  <si>
    <t>COCCNC(=O)COC1=CC=C(OCCNCC(O)COC2=CC=CC=C2)C=C1</t>
  </si>
  <si>
    <t>RVMBDLSFFNKKLG-UHFFFAOYSA-N</t>
  </si>
  <si>
    <t>C22H30N2O6</t>
  </si>
  <si>
    <t>8.77_596.3212m/z</t>
  </si>
  <si>
    <t>Am-LPE(16:0/0:0)</t>
  </si>
  <si>
    <t>LMGP21050002</t>
  </si>
  <si>
    <t>[C@](COP(=O)(O)OCCNC[C@@]1(O)OC[C@@H](O)[C@@H](O)[C@@H]1O)([H])(O)COC(CCCCCCCCCCCCCCC)=O</t>
  </si>
  <si>
    <t>ICZRLYKHIUBMNK-ZNZBEBECSA-N</t>
  </si>
  <si>
    <t>C27H54NO12P</t>
  </si>
  <si>
    <t>6.10_374.2550m/z</t>
  </si>
  <si>
    <t>4,8 dimethylnonanoyl carnitine</t>
  </si>
  <si>
    <t>HMDB0006202</t>
  </si>
  <si>
    <t>LMFA07070046</t>
  </si>
  <si>
    <t>R-HSA-1430728,R-HSA-389887,R-HSA-390918,R-HSA-556833,R-HSA-8978868</t>
  </si>
  <si>
    <t>Metabolism|Beta-oxidation of pristanoyl-CoA|Peroxisomal lipid metabolism|Metabolism of lipids|Fatty acid metabolism</t>
  </si>
  <si>
    <t>C(C(OC(=O)CCC(C)CCCC(C)C)CC([O-])=O)[N+](C)(C)C</t>
  </si>
  <si>
    <t>DDTDJDZHDFMZED-UHFFFAOYSA-N</t>
  </si>
  <si>
    <t>C18H35NO4</t>
  </si>
  <si>
    <t>0.70_310.1142m/z</t>
  </si>
  <si>
    <t>N-Acetylneuraminic acid</t>
  </si>
  <si>
    <t>HMDB0000230</t>
  </si>
  <si>
    <t>C19910</t>
  </si>
  <si>
    <t>19342-33-7</t>
  </si>
  <si>
    <t>[H][C@]1(O[C@@](O)(C[C@H](O)[C@H]1NC(C)=O)C(O)=O)[C@H](O)[C@H](O)CO</t>
  </si>
  <si>
    <t>SQVRNKJHWKZAKO-PFQGKNLYSA-N</t>
  </si>
  <si>
    <t>C11H19NO9</t>
  </si>
  <si>
    <t>13.33_374.1323m/z</t>
  </si>
  <si>
    <t>Haloperidol</t>
  </si>
  <si>
    <t>HMDB0014645</t>
  </si>
  <si>
    <t>C01814</t>
  </si>
  <si>
    <t>52-86-8</t>
  </si>
  <si>
    <t>OC1(CCN(CCCC(=O)C2=CC=C(F)C=C2)CC1)C1=CC=C(Cl)C=C1</t>
  </si>
  <si>
    <t>LNEPOXFFQSENCJ-UHFFFAOYSA-N</t>
  </si>
  <si>
    <t>C21H23ClFNO2</t>
  </si>
  <si>
    <t>6.92_479.1068m/z</t>
  </si>
  <si>
    <t>Bentazone</t>
  </si>
  <si>
    <t>HMDB0248965</t>
  </si>
  <si>
    <t>C10965</t>
  </si>
  <si>
    <t>25057-89-0</t>
  </si>
  <si>
    <t>CC(C)N1C(=O)C2=CC=CC=C2NS1(=O)=O</t>
  </si>
  <si>
    <t>ZOMSMJKLGFBRBS-UHFFFAOYSA-N</t>
  </si>
  <si>
    <t>C10H12N2O3S</t>
  </si>
  <si>
    <t>9.63_417.1584m/z</t>
  </si>
  <si>
    <t>Pravadoline</t>
  </si>
  <si>
    <t>92623-83-1</t>
  </si>
  <si>
    <t>CC1=C(C2=CC=CC=C2N1CCN3CCOCC3)C(=O)C4=CC=C(C=C4)OC</t>
  </si>
  <si>
    <t>MEUQWHZOUDZXHH-UHFFFAOYSA-N</t>
  </si>
  <si>
    <t>C23H26N2O3</t>
  </si>
  <si>
    <t>3.61_284.1252m/z</t>
  </si>
  <si>
    <t>N5-Acetyl-N2-gamma-L-glutamyl-L-ornithine</t>
  </si>
  <si>
    <t>HMDB0039423</t>
  </si>
  <si>
    <t>102148-92-5</t>
  </si>
  <si>
    <t>CC(=O)NCCCC(NC(=O)CCC(N)C(O)=O)C(O)=O</t>
  </si>
  <si>
    <t>JAAJGIIASALJIT-UHFFFAOYSA-N</t>
  </si>
  <si>
    <t>C12H21N3O6</t>
  </si>
  <si>
    <t>5.43_234.9999m/z</t>
  </si>
  <si>
    <t>3-Methoxy-4,5-methylenedioxybenzoic acid</t>
  </si>
  <si>
    <t>HMDB0030800</t>
  </si>
  <si>
    <t>526-34-1</t>
  </si>
  <si>
    <t>COC1=C2OCOC2=CC(=C1)C(O)=O</t>
  </si>
  <si>
    <t>AOHAPDDBNAPPIN-UHFFFAOYSA-N</t>
  </si>
  <si>
    <t>C9H8O5</t>
  </si>
  <si>
    <t>14.46_672.4984n</t>
  </si>
  <si>
    <t>DG(9D3/9D5/0:0)</t>
  </si>
  <si>
    <t>HMDB0116429</t>
  </si>
  <si>
    <t>[H][C@](CO)(COC(=O)CCCCCCCCC1=C(C)C(C)=C(CCC)O1)OC(=O)CCCCCCCCC1=C(C)C(C)=C(CCCCC)O1</t>
  </si>
  <si>
    <t>JCGOTWZIMAINFG-DHUJRADRSA-N</t>
  </si>
  <si>
    <t>C41H68O7</t>
  </si>
  <si>
    <t>9.54_695.4506m/z</t>
  </si>
  <si>
    <t>PG(P-16:0/12:0)</t>
  </si>
  <si>
    <t>LMGP04030001</t>
  </si>
  <si>
    <t>[C@]([H])(OC(CCCCCCCCCCC)=O)(COP(=O)(O)OC[C@@]([H])(O)CO)CO/C=C\CCCCCCCCCCCCCC</t>
  </si>
  <si>
    <t>LYMKAXUAYAJLFF-PFVTWMDXSA-N</t>
  </si>
  <si>
    <t>C34H67O9P</t>
  </si>
  <si>
    <t>6.62_365.1971m/z</t>
  </si>
  <si>
    <t>Ingol</t>
  </si>
  <si>
    <t>LMPR0104310002</t>
  </si>
  <si>
    <t>CC1CC23C(=O)C(C(C4C(C4(C)C)C(C(C(=CC2(C1O)O3)C)O)O)O)C</t>
  </si>
  <si>
    <t>MXSMLDVUIRKKID-NZODWMOFSA-N</t>
  </si>
  <si>
    <t>4.82_491.0494m/z</t>
  </si>
  <si>
    <t>[3-Methoxy-2-phosphonooxy-6-[(E)-2-(3,4,5-trimethoxyphenyl)ethenyl]phenyl] dihydrogen phosphate</t>
  </si>
  <si>
    <t>HMDB0255982</t>
  </si>
  <si>
    <t>COC1=CC(C=CC2=C(OP(O)(O)=O)C(OP(O)(O)=O)=C(OC)C=C2)=CC(OC)=C1OC</t>
  </si>
  <si>
    <t>GSOXMQLWUDQTNT-UHFFFAOYSA-N</t>
  </si>
  <si>
    <t>C18H22O12P2</t>
  </si>
  <si>
    <t>11.90_619.2892m/z</t>
  </si>
  <si>
    <t>PI(20:4(5Z,8Z,11Z,14Z)/0:0)</t>
  </si>
  <si>
    <t>HMDB0061690</t>
  </si>
  <si>
    <t>LMGP06050006</t>
  </si>
  <si>
    <t>1246430-04-5</t>
  </si>
  <si>
    <t>[C@]([H])(O)(COP(=O)(O)O[C@H]1[C@H](O)[C@@H](O)[C@H](O)[C@@H](O)[C@H]1O)COC(CCC/C=C\C/C=C\C/C=C\C/C=C\CCCCC)=O</t>
  </si>
  <si>
    <t>LXUGKKVCSTYZFK-HYNUQJCBSA-N</t>
  </si>
  <si>
    <t>C29H49O12P</t>
  </si>
  <si>
    <t>67</t>
  </si>
  <si>
    <t>3-Hydroxybutyric Acid</t>
  </si>
  <si>
    <t>HMDB0000357</t>
  </si>
  <si>
    <t>LMFA01050005</t>
  </si>
  <si>
    <t>C01089</t>
  </si>
  <si>
    <t>hsa00650,hsa04024</t>
  </si>
  <si>
    <t>Butanoate metabolism|cAMP signaling pathway</t>
  </si>
  <si>
    <t>R-HSA-162582,R-HSA-3296197,R-HSA-372790,R-HSA-373076,R-HSA-388396,R-HSA-418594,R-HSA-500792</t>
  </si>
  <si>
    <t>Signal Transduction|Hydroxycarboxylic acid-binding receptors|Signaling by GPCR|Class A/1 (Rhodopsin-like receptors)|GPCR downstream signalling|G alpha (i) signalling events|GPCR ligand binding</t>
  </si>
  <si>
    <t>C(O)(C)CC(=O)O</t>
  </si>
  <si>
    <t>WHBMMWSBFZVSSR-UHFFFAOYSA-N</t>
  </si>
  <si>
    <t>Beta hydroxy acids and derivatives</t>
  </si>
  <si>
    <t>10.14_459.2729m/z</t>
  </si>
  <si>
    <t>25-Acetylvulgaroside</t>
  </si>
  <si>
    <t>HMDB0041365</t>
  </si>
  <si>
    <t>172616-88-5</t>
  </si>
  <si>
    <t>CC(=O)OC1OC(=O)C=C1C(O)CC1C(O)(CO)CCC2C1(C)CCC1C(C)(C)CCCC21C</t>
  </si>
  <si>
    <t>QNZZHRCSGTYEAW-UHFFFAOYSA-N</t>
  </si>
  <si>
    <t>C27H42O7</t>
  </si>
  <si>
    <t>1.03_343.1280n</t>
  </si>
  <si>
    <t>N-(1-Deoxy-1-fructosyl)tyrosine</t>
  </si>
  <si>
    <t>HMDB0037845</t>
  </si>
  <si>
    <t>34393-22-1</t>
  </si>
  <si>
    <t>OC[C@H]1OC(O)(CN[C@@H](CC2=CC=C(O)C=C2)C(O)=O)[C@@H](O)[C@@H]1O</t>
  </si>
  <si>
    <t>QLJKHQIODQKMNW-VJDSNFAGSA-N</t>
  </si>
  <si>
    <t>C15H21NO8</t>
  </si>
  <si>
    <t>1.25_255.2327m/z</t>
  </si>
  <si>
    <t>7Z-palmitoleic acid</t>
  </si>
  <si>
    <t>HMDB0002186</t>
  </si>
  <si>
    <t>LMFA01030055</t>
  </si>
  <si>
    <t>2416-19-5</t>
  </si>
  <si>
    <t>C(=C/CCCCCCCC)/CCCCCC(=O)O</t>
  </si>
  <si>
    <t>PJHOFUXBXJNUAC-KTKRTIGZSA-N</t>
  </si>
  <si>
    <t>C16H30O2</t>
  </si>
  <si>
    <t>0.74_176.0312n</t>
  </si>
  <si>
    <t>(R)-2-((S)-1,2-Dihydroxyethyl)-4,5-dihydroxyfuran-3(2H)-one</t>
  </si>
  <si>
    <t>HMDB0248912</t>
  </si>
  <si>
    <t>OCC(O)C1=C(O)C(O)=C(O)O1</t>
  </si>
  <si>
    <t>LPYXWGMUVRGUOY-UHFFFAOYSA-N</t>
  </si>
  <si>
    <t>Heteroaromatic compounds</t>
  </si>
  <si>
    <t>C6H8O6</t>
  </si>
  <si>
    <t>5.43_364.0009m/z</t>
  </si>
  <si>
    <t>N-Acetylgalactosamine 4,6-disulfate</t>
  </si>
  <si>
    <t>HMDB0000843</t>
  </si>
  <si>
    <t>52510-51-7</t>
  </si>
  <si>
    <t>CC(=O)N[C@H]1C(O)O[C@H](COS(O)(=O)=O)[C@H](OS(O)(=O)=O)[C@@H]1O</t>
  </si>
  <si>
    <t>KWDXXNWKTRGMDM-IYWGXSQHSA-N</t>
  </si>
  <si>
    <t>C8H15NO12S2</t>
  </si>
  <si>
    <t>9.17_309.2073m/z</t>
  </si>
  <si>
    <t>Porrigenic acid</t>
  </si>
  <si>
    <t>LMFA01060225</t>
  </si>
  <si>
    <t>CCCC[C@H](O)/C=C/C=C/C(CCCCCCCC(O)=O)=O</t>
  </si>
  <si>
    <t>GDCBVHSUEZTUIW-NRJQCZOGSA-N</t>
  </si>
  <si>
    <t>1.38_153.0663m/z</t>
  </si>
  <si>
    <t>N1-Methyl-4-pyridone-3-carboxamide</t>
  </si>
  <si>
    <t>HMDB0004194</t>
  </si>
  <si>
    <t>C05843</t>
  </si>
  <si>
    <t>hsa00760</t>
  </si>
  <si>
    <t>Nicotinate and nicotinamide metabolism</t>
  </si>
  <si>
    <t>769-49-3</t>
  </si>
  <si>
    <t>CN1C=CC(=O)C(=C1)C(N)=O</t>
  </si>
  <si>
    <t>KTLRWTOPTKGYQY-UHFFFAOYSA-N</t>
  </si>
  <si>
    <t>C7H8N2O2</t>
  </si>
  <si>
    <t>14.47_351.2518m/z</t>
  </si>
  <si>
    <t>Sodium octadecanoate</t>
  </si>
  <si>
    <t>HMDB0303349</t>
  </si>
  <si>
    <t>[Na+].CCCCCCCCCCCCCCCCCC([O-])=O</t>
  </si>
  <si>
    <t>RYYKJJJTJZKILX-UHFFFAOYSA-M</t>
  </si>
  <si>
    <t>C18H35NaO2</t>
  </si>
  <si>
    <t>11.72_552.3674m/z</t>
  </si>
  <si>
    <t>PC(O-18:1(3Z)/0:0)</t>
  </si>
  <si>
    <t>LMGP01060045</t>
  </si>
  <si>
    <t>[C@](COP(=O)([O-])OCC[N+](C)(C)C)([H])(O)COCC/C=C\CCCCCCCCCCCCCC</t>
  </si>
  <si>
    <t>SDNXJXOXZPVDBS-MHUYLZCFSA-N</t>
  </si>
  <si>
    <t>5.71_569.1501m/z</t>
  </si>
  <si>
    <t>Barbatoflavan</t>
  </si>
  <si>
    <t>LMPK12020150</t>
  </si>
  <si>
    <t>C12C[C@@H](OC(C)=O)[C@@H](C3C=C(O)C(O)=CC=3)OC=1C(O[C@H]1[C@H](O)[C@@H](O)[C@H](O)[C@@H](CO)O1)=C(O)C=C2OC</t>
  </si>
  <si>
    <t>GWCKEYBXVJCUKX-FJABZEENSA-N</t>
  </si>
  <si>
    <t>C24H28O13</t>
  </si>
  <si>
    <t>11.53_606.4509m/z</t>
  </si>
  <si>
    <t>1-(2-methoxy-5Z,9Z-hexacosadienyl)-sn-glycero-3-phosphoethanolamine</t>
  </si>
  <si>
    <t>LMGP02060031</t>
  </si>
  <si>
    <t>[C@](COP(=O)(O)OCCN)([H])(O)COCC(OC)CC/C=C\CC/C=C\CCCCCCCCCCCCCCCC</t>
  </si>
  <si>
    <t>JLRBRJPLNVJDGV-KICXUCCOSA-N</t>
  </si>
  <si>
    <t>C32H64NO7P</t>
  </si>
  <si>
    <t>8.13_405.1878m/z</t>
  </si>
  <si>
    <t>Cinncassiol C3</t>
  </si>
  <si>
    <t>HMDB0036859</t>
  </si>
  <si>
    <t>64979-94-8</t>
  </si>
  <si>
    <t>CC(C)C1(O)CC(=O)C2(C)CC3(O)OC4(C(O)C(C)CCC24O)C(=O)C13C</t>
  </si>
  <si>
    <t>IJPNDQQOKFKBRG-UHFFFAOYSA-N</t>
  </si>
  <si>
    <t>C20H30O7</t>
  </si>
  <si>
    <t>5.11_385.1508m/z</t>
  </si>
  <si>
    <t>Methylsyringin</t>
  </si>
  <si>
    <t>HMDB0039570</t>
  </si>
  <si>
    <t>139742-20-4</t>
  </si>
  <si>
    <t>COC\C=C/C1=CC(OC)=C(OC2OC(CO)C(O)C(O)C2O)C(OC)=C1</t>
  </si>
  <si>
    <t>KDZYNPVXUQIVAO-PLNGDYQASA-N</t>
  </si>
  <si>
    <t>C18H26O9</t>
  </si>
  <si>
    <t>1.30_274.1771m/z</t>
  </si>
  <si>
    <t>5-Hydroxylysinonorleucine</t>
  </si>
  <si>
    <t>HMDB0246805</t>
  </si>
  <si>
    <t>CC(CCC(N)C(O)=O)NC(CCC(O)CN)C(O)=O</t>
  </si>
  <si>
    <t>BJACJWXYKGBVRX-UHFFFAOYSA-N</t>
  </si>
  <si>
    <t>C12H25N3O5</t>
  </si>
  <si>
    <t>4.38_290.2003n</t>
  </si>
  <si>
    <t>3'-Hydroxyropivacaine</t>
  </si>
  <si>
    <t>HMDB0259614</t>
  </si>
  <si>
    <t>C16573</t>
  </si>
  <si>
    <t>163589-30-8</t>
  </si>
  <si>
    <t>CCCN1CCCCC1C(=O)NC1=C(C)C=CC(O)=C1C</t>
  </si>
  <si>
    <t>IXOVDWXTIIYVOJ-UHFFFAOYSA-N</t>
  </si>
  <si>
    <t>1.03_240.0487m/z</t>
  </si>
  <si>
    <t>1-(10H-Phenothiazin-2-yl)ethanone</t>
  </si>
  <si>
    <t>HMDB0244969</t>
  </si>
  <si>
    <t>CC(=O)C1=CC2=C(SC3=CC=CC=C3N2)C=C1</t>
  </si>
  <si>
    <t>JWGBOHJGWOPYCL-UHFFFAOYSA-N</t>
  </si>
  <si>
    <t>C14H11NOS</t>
  </si>
  <si>
    <t>320</t>
  </si>
  <si>
    <t>N-Acetylputrescine</t>
  </si>
  <si>
    <t>HMDB0002064</t>
  </si>
  <si>
    <t>C02714</t>
  </si>
  <si>
    <t>18233-70-0</t>
  </si>
  <si>
    <t>CC(=O)NCCCCN</t>
  </si>
  <si>
    <t>KLZGKIDSEJWEDW-UHFFFAOYSA-N</t>
  </si>
  <si>
    <t>Carboximidic acids and derivatives</t>
  </si>
  <si>
    <t>Carboximidic acids</t>
  </si>
  <si>
    <t>C6H14N2O</t>
  </si>
  <si>
    <t>0.73_246.1094m/z</t>
  </si>
  <si>
    <t>Threoninyl-Gamma-glutamate</t>
  </si>
  <si>
    <t>HMDB0029075</t>
  </si>
  <si>
    <t>CC(O)C(N)C(=O)NC(=O)CCC(N)C(O)=O</t>
  </si>
  <si>
    <t>BTVBLYICTTUOEJ-UHFFFAOYSA-N</t>
  </si>
  <si>
    <t>C9H17N3O5</t>
  </si>
  <si>
    <t>6.78_459.1389m/z</t>
  </si>
  <si>
    <t>Benzanthrone</t>
  </si>
  <si>
    <t>HMDB0248974</t>
  </si>
  <si>
    <t>82-05-3</t>
  </si>
  <si>
    <t>O=C1C2=CC=CC=C2C2=CC=CC3=C2C1=CC=C3</t>
  </si>
  <si>
    <t>HUKPVYBUJRAUAG-UHFFFAOYSA-N</t>
  </si>
  <si>
    <t>C17H10O</t>
  </si>
  <si>
    <t>11.98_311.2563m/z</t>
  </si>
  <si>
    <t>9R-hydroxy-10E,12E-octadecadienoic acid, methyl ester</t>
  </si>
  <si>
    <t>LMFA01050549</t>
  </si>
  <si>
    <t>C(CCCCCCC[C@@H](O)/C=C/C=C/CCCCC)(=O)OC</t>
  </si>
  <si>
    <t>WRXGTVUDZZBNPN-UGZMQUNVSA-N</t>
  </si>
  <si>
    <t>C19H34O3</t>
  </si>
  <si>
    <t>10.91_179.1434m/z</t>
  </si>
  <si>
    <t>7Z,9E-dodecadienoic acid</t>
  </si>
  <si>
    <t>LMFA01030237</t>
  </si>
  <si>
    <t>C(CCCCC/C=C\C=C\CC)(=O)O</t>
  </si>
  <si>
    <t>DAOYHEHYLCLGOY-ICWBMWKASA-N</t>
  </si>
  <si>
    <t>C12H20O2</t>
  </si>
  <si>
    <t>11.63_465.3590m/z</t>
  </si>
  <si>
    <t>5beta-Cholestane-3alpha,24,25-triol</t>
  </si>
  <si>
    <t>LMST04030118</t>
  </si>
  <si>
    <t>C1[C@]2(C)[C@@]3([H])CC[C@]4(C)[C@@]([H])([C@]([H])(C)CCC(O)C(O)(C)C)CC[C@@]4([H])[C@]3([H])CC[C@]2([H])C[C@H](O)C1</t>
  </si>
  <si>
    <t>DEZLYZBLMUAYLV-AYFKJPLJSA-N</t>
  </si>
  <si>
    <t>C27H48O3</t>
  </si>
  <si>
    <t>5.42_319.9780m/z</t>
  </si>
  <si>
    <t>3-Iodo-alpha-methyl-l-tyrosine</t>
  </si>
  <si>
    <t>HMDB0245909</t>
  </si>
  <si>
    <t>CC(N)(CC1=CC(I)=C(O)C=C1)C(O)=O</t>
  </si>
  <si>
    <t>KPOIUSXAPUHQNA-UHFFFAOYSA-N</t>
  </si>
  <si>
    <t>C10H12INO3</t>
  </si>
  <si>
    <t>8.18_367.1586m/z</t>
  </si>
  <si>
    <t>3,5-Di-O-methyl-8-prenylafzelechin-4beta-ol</t>
  </si>
  <si>
    <t>LMPK12020216</t>
  </si>
  <si>
    <t>C1(O)=C(C/C=C(\C)/C)C2O[C@H](C3C=CC(O)=CC=3)[C@@H](OC)[C@@H](O)C=2C(OC)=C1</t>
  </si>
  <si>
    <t>AKUNVGUOSVISDJ-VWPQPMDRSA-N</t>
  </si>
  <si>
    <t>7.86_498.2899m/z</t>
  </si>
  <si>
    <t>Taurodeoxycholic acid</t>
  </si>
  <si>
    <t>HMDB0000896</t>
  </si>
  <si>
    <t>LMST05040013</t>
  </si>
  <si>
    <t>C05463</t>
  </si>
  <si>
    <t>516-50-7</t>
  </si>
  <si>
    <t>[C@]12(CC[C@]3([H])C[C@H](O)CC[C@]3(C)[C@@]1([H])C[C@H](O)[C@]1(C)[C@@]([H])([C@@](C)([H])CCC(=O)NCCS(=O)(O)=O)CC[C@@]21[H])[H]</t>
  </si>
  <si>
    <t>AWDRATDZQPNJFN-VAYUFCLWSA-N</t>
  </si>
  <si>
    <t>C26H45NO6S</t>
  </si>
  <si>
    <t>6.01_210.9993m/z</t>
  </si>
  <si>
    <t>3,5-Dinitrobenzoic acid</t>
  </si>
  <si>
    <t>HMDB0246067</t>
  </si>
  <si>
    <t>OC(=O)C1=CC(=CC(=C1)N(=O)=O)N(=O)=O</t>
  </si>
  <si>
    <t>VYWYYJYRVSBHJQ-UHFFFAOYSA-N</t>
  </si>
  <si>
    <t>C7H4N2O6</t>
  </si>
  <si>
    <t>6.89_238.0920m/z</t>
  </si>
  <si>
    <t>1,5-Dimethyl citrate</t>
  </si>
  <si>
    <t>HMDB0304619</t>
  </si>
  <si>
    <t>COC(=O)CC(O)(CC(=O)OC)C(O)=O</t>
  </si>
  <si>
    <t>XLYPVOJLUJUWKA-UHFFFAOYSA-N</t>
  </si>
  <si>
    <t>C8H12O7</t>
  </si>
  <si>
    <t>346</t>
  </si>
  <si>
    <t>D-Fructose</t>
  </si>
  <si>
    <t>LKDRXBCSQODPBY-VRPWFDPXSA-N</t>
  </si>
  <si>
    <t>0.58_308.1594n</t>
  </si>
  <si>
    <t>1-[(5-Amino-5-carboxypentyl)amino]-1-deoxyfructose</t>
  </si>
  <si>
    <t>HMDB0034879</t>
  </si>
  <si>
    <t>21291-40-7</t>
  </si>
  <si>
    <t>NC(CCCCNCC1(O)OC(CO)C(O)C1O)C(O)=O</t>
  </si>
  <si>
    <t>ZAWLGBRDVQURAK-UHFFFAOYSA-N</t>
  </si>
  <si>
    <t>C12H24N2O7</t>
  </si>
  <si>
    <t>1.20_261.0530m/z</t>
  </si>
  <si>
    <t>5-Fluorouridine</t>
  </si>
  <si>
    <t>HMDB0060396</t>
  </si>
  <si>
    <t>C16633</t>
  </si>
  <si>
    <t>hsa00983</t>
  </si>
  <si>
    <t>Drug metabolism - other enzymes</t>
  </si>
  <si>
    <t>316-46-1</t>
  </si>
  <si>
    <t>OC[C@H]1O[C@H]([C@H](O)[C@@H]1O)N1C=C(F)C(=O)NC1=O</t>
  </si>
  <si>
    <t>FHIDNBAQOFJWCA-UAKXSSHOSA-N</t>
  </si>
  <si>
    <t>C9H11FN2O6</t>
  </si>
  <si>
    <t>6.16_185.0812m/z</t>
  </si>
  <si>
    <t>Alepramic acid</t>
  </si>
  <si>
    <t>LMFA01140031</t>
  </si>
  <si>
    <t>C(O)(=O)CCC1CCC=C1</t>
  </si>
  <si>
    <t>ZKEQEKIUJNGBRM-UHFFFAOYSA-N</t>
  </si>
  <si>
    <t>Carboxylic acids</t>
  </si>
  <si>
    <t>0.68_181.0709m/z</t>
  </si>
  <si>
    <t>Galactitol</t>
  </si>
  <si>
    <t>HMDB0000107</t>
  </si>
  <si>
    <t>C01697</t>
  </si>
  <si>
    <t>608-66-2</t>
  </si>
  <si>
    <t>OC[C@H](O)[C@@H](O)[C@@H](O)[C@H](O)CO</t>
  </si>
  <si>
    <t>FBPFZTCFMRRESA-GUCUJZIJSA-N</t>
  </si>
  <si>
    <t>5.57_576.3973m/z</t>
  </si>
  <si>
    <t>1-(2-methoxy-docosanyl)-sn-glycero-3-phosphoethanolamine</t>
  </si>
  <si>
    <t>LMGP02060025</t>
  </si>
  <si>
    <t>[C@](COP(=O)(O)OCCN)([H])(O)COCC(OC)CCCCCCCCCCCCCCCCCCCC</t>
  </si>
  <si>
    <t>WVOZATQXSDPOKR-QXPUDEPPSA-N</t>
  </si>
  <si>
    <t>C28H60NO7P</t>
  </si>
  <si>
    <t>12.56_388.2107m/z</t>
  </si>
  <si>
    <t>CP-642931</t>
  </si>
  <si>
    <t>CC1CN(CC(N1C2=NC(=NC=C2)C(C)O)C)C3=NC(=NC(=N3)C)C</t>
  </si>
  <si>
    <t>FTEQMUXMWCGJAF-GRYCIOLGSA-N</t>
  </si>
  <si>
    <t>C17H25N7O</t>
  </si>
  <si>
    <t>8.93_231.1136m/z</t>
  </si>
  <si>
    <t>2,4,5,7alpha-Tetrahydro-1,4,4,7a-tetramethyl-1H-inden-2-ol</t>
  </si>
  <si>
    <t>HMDB0036684</t>
  </si>
  <si>
    <t>99901-23-2</t>
  </si>
  <si>
    <t>CC1C(O)C=C2C1(C)C=CCC2(C)C</t>
  </si>
  <si>
    <t>MHUYBIUXLMLCJM-UHFFFAOYSA-N</t>
  </si>
  <si>
    <t>C13H20O</t>
  </si>
  <si>
    <t>12.36_677.4556m/z</t>
  </si>
  <si>
    <t>PA(16:0/20:4(8Z,11Z,14Z,17Z))</t>
  </si>
  <si>
    <t>HMDB0116701</t>
  </si>
  <si>
    <t>[H][C@@](COC(=O)CCCCCCCCCCCCCCC)(COP(O)(O)=O)OC(=O)CCCCCC\C=C/C\C=C/C\C=C/C\C=C/CC</t>
  </si>
  <si>
    <t>WZKHHBHWAXZUGV-ZGNCFKSISA-N</t>
  </si>
  <si>
    <t>C39H69O8P</t>
  </si>
  <si>
    <t>0.78_337.0187m/z</t>
  </si>
  <si>
    <t>(+)-Chebulic acid</t>
  </si>
  <si>
    <t>HMDB0036617</t>
  </si>
  <si>
    <t>OC(=O)CC(C1C(OC(=O)C2=CC(O)=C(O)C(O)=C12)C(O)=O)C(O)=O</t>
  </si>
  <si>
    <t>COZMWVAACFYLBI-UHFFFAOYSA-N</t>
  </si>
  <si>
    <t>C14H12O11</t>
  </si>
  <si>
    <t>9.36_273.1857m/z</t>
  </si>
  <si>
    <t>19-Norandrostenedione</t>
  </si>
  <si>
    <t>HMDB0244836</t>
  </si>
  <si>
    <t>CC12CCC3C(CCC4=CC(=O)CCC34)C1CCC2=O</t>
  </si>
  <si>
    <t>JRIZOGLBRPZBLQ-UHFFFAOYSA-N</t>
  </si>
  <si>
    <t>C18H24O2</t>
  </si>
  <si>
    <t>14.48_207.1246m/z</t>
  </si>
  <si>
    <t>(4-Hydroxybenzoyl)choline</t>
  </si>
  <si>
    <t>HMDB0029559</t>
  </si>
  <si>
    <t>5094-31-5</t>
  </si>
  <si>
    <t>C[N+](C)(C)CCOC(O)=C1C=CC(=O)C=C1</t>
  </si>
  <si>
    <t>BAPAICNRGIBFJT-UHFFFAOYSA-O</t>
  </si>
  <si>
    <t>C12H18NO3+</t>
  </si>
  <si>
    <t>5.17_401.2180m/z</t>
  </si>
  <si>
    <t>methyl 13,15-epidioxy-12-hydroperoxy-9Z,16E-octadecadienoate</t>
  </si>
  <si>
    <t>LMFA01040043</t>
  </si>
  <si>
    <t>C(CCCCCCC(=O)OC)/C=C\CC(C1OOC(/C=C/C)C1)OO</t>
  </si>
  <si>
    <t>AYJPVJZMJVVOFU-RQIWQTQWSA-N</t>
  </si>
  <si>
    <t>C19H32O6</t>
  </si>
  <si>
    <t>10.27_568.2659m/z</t>
  </si>
  <si>
    <t>Calcimycin</t>
  </si>
  <si>
    <t>C11309</t>
  </si>
  <si>
    <t>52665-69-7</t>
  </si>
  <si>
    <t>CC1CCC2(C(CC(C(O2)C(C)C(=O)C3=CC=CN3)C)C)OC1CC4=NC5=C(O4)C=CC(=C5C(=O)O)NC</t>
  </si>
  <si>
    <t>HIYAVKIYRIFSCZ-CYEMHPAKSA-N</t>
  </si>
  <si>
    <t>Benzoxazoles</t>
  </si>
  <si>
    <t>C29H37N3O6</t>
  </si>
  <si>
    <t>3.73_499.2527m/z</t>
  </si>
  <si>
    <t>Melatonin radical</t>
  </si>
  <si>
    <t>HMDB0060070</t>
  </si>
  <si>
    <t>COC1=CC2=C(N[CH]C2(O)CCN=C(C)O)C=C1</t>
  </si>
  <si>
    <t>SQNQBXWYHXYLQX-UHFFFAOYSA-N</t>
  </si>
  <si>
    <t>Indolines</t>
  </si>
  <si>
    <t>C13H18N2O3</t>
  </si>
  <si>
    <t>11.38_594.3395m/z</t>
  </si>
  <si>
    <t>PC(16:0/3:1(2E))</t>
  </si>
  <si>
    <t>LMGP01010668</t>
  </si>
  <si>
    <t>[C@](COP(=O)([O-])OCC[N+](C)(C)C)([H])(OC(C=C)=O)COC(CCCCCCCCCCCCCCC)=O</t>
  </si>
  <si>
    <t>ABBJFAPTMAEFAL-RUZDIDTESA-N</t>
  </si>
  <si>
    <t>C27H52NO8P</t>
  </si>
  <si>
    <t>11.23_732.4471m/z</t>
  </si>
  <si>
    <t>PE(5-iso PGF2VI/14:1(9Z))</t>
  </si>
  <si>
    <t>HMDB0260719</t>
  </si>
  <si>
    <t>CCCCC[C@@H](O)\C=C\[C@H]1[C@H](O)C[C@H](O)[C@H]1C\C=C/CC(=O)OC[C@H](COP(O)(=O)OCCN)OC(=O)CCCCCCC\C=C/CCCC</t>
  </si>
  <si>
    <t>UPWLDOOMBWNLDD-OEYFKFIKSA-N</t>
  </si>
  <si>
    <t>C37H66NO11P</t>
  </si>
  <si>
    <t>7.70_343.2127m/z</t>
  </si>
  <si>
    <t>(9S,12S,16R)-d14-10-PhytoF[10S,13S]</t>
  </si>
  <si>
    <t>LMFA02040128</t>
  </si>
  <si>
    <t>C(CCCCCCC[C@H](O)[C@@]1([H])O[C@@]([H])(/C=C/[C@H](O)CC)[C@@H](O)C1)(=O)O</t>
  </si>
  <si>
    <t>ABMOBHDJIUJCNP-CXPZKCCLSA-N</t>
  </si>
  <si>
    <t>C18H32O6</t>
  </si>
  <si>
    <t>13.89_711.4853m/z</t>
  </si>
  <si>
    <t>PE-Cer(d15:2(4E,6E)/20:0)</t>
  </si>
  <si>
    <t>LMSP03020044</t>
  </si>
  <si>
    <t>[C@](COP(=O)(O)OCCN)([H])(NC(CCCCCCCCCCCCCCCCCCC)=O)[C@]([H])(O)/C=C/C=C/CCCCCCCC</t>
  </si>
  <si>
    <t>KDOPULRIIMQBAW-UAQQTGBVSA-N</t>
  </si>
  <si>
    <t>C37H73N2O6P</t>
  </si>
  <si>
    <t>15.03_195.9991m/z</t>
  </si>
  <si>
    <t>Sodium dihydrogen citrate</t>
  </si>
  <si>
    <t>HMDB0303750</t>
  </si>
  <si>
    <t>[Na+].OC(=O)CC(O)(CC(O)=O)C(O)=O</t>
  </si>
  <si>
    <t>HWPKGOGLCKPRLZ-UHFFFAOYSA-N</t>
  </si>
  <si>
    <t>C6H8NaO7+</t>
  </si>
  <si>
    <t>5.91_407.0219m/z</t>
  </si>
  <si>
    <t>fructose-6-phosphate lactate</t>
  </si>
  <si>
    <t>HMDB0252492</t>
  </si>
  <si>
    <t>CC(O)C(=O)OOP1(=O)OC2(O1)OC(O)(CO)C(O)C(O)C2O</t>
  </si>
  <si>
    <t>CYIQBIVJURIZDH-UHFFFAOYSA-N</t>
  </si>
  <si>
    <t>C9H15O13P</t>
  </si>
  <si>
    <t>12.36_412.2106m/z</t>
  </si>
  <si>
    <t>Bambuterol</t>
  </si>
  <si>
    <t>HMDB0015478</t>
  </si>
  <si>
    <t>81732-46-9</t>
  </si>
  <si>
    <t>CN(C)C(=O)OC1=CC(=CC(OC(=O)N(C)C)=C1)C(O)CNC(C)(C)C</t>
  </si>
  <si>
    <t>ANZXOIAKUNOVQU-UHFFFAOYSA-N</t>
  </si>
  <si>
    <t>C18H29N3O5</t>
  </si>
  <si>
    <t>4.94_773.3953m/z</t>
  </si>
  <si>
    <t>Lyciumoside II</t>
  </si>
  <si>
    <t>HMDB0039576</t>
  </si>
  <si>
    <t>150396-01-3</t>
  </si>
  <si>
    <t>C\C(CC\C=C(/C)COC1OC(CO)C(O)C(O)C1OC1OC(CO)C(O)C(O)C1O)=C\CC\C(C)=C\CCC(C)(OC1OC(CO)C(O)C(O)C1O)C=C</t>
  </si>
  <si>
    <t>QAUYGCMOBFCRSP-AFAFYZGOSA-N</t>
  </si>
  <si>
    <t>C38H64O17</t>
  </si>
  <si>
    <t>13.33_533.4557m/z</t>
  </si>
  <si>
    <t>DG(15:0/0:0/16:1n7)</t>
  </si>
  <si>
    <t>HMDB0055988</t>
  </si>
  <si>
    <t>[H][C@@](O)(COC(=O)CCCCCCCCCCCCCC)COC(=O)CCCCC\C=C/CCCCCCCC</t>
  </si>
  <si>
    <t>XHXRBNJRHQBMQZ-YAPOEIJFSA-N</t>
  </si>
  <si>
    <t>C34H64O5</t>
  </si>
  <si>
    <t>2.05_394.1121m/z</t>
  </si>
  <si>
    <t>BEFLOXATONE</t>
  </si>
  <si>
    <t>HMDB0248929</t>
  </si>
  <si>
    <t>COCC1CN(C(=O)O1)C1=CC=C(OCCC(O)C(F)(F)F)C=C1</t>
  </si>
  <si>
    <t>IALVDLPLCLFBCF-UHFFFAOYSA-N</t>
  </si>
  <si>
    <t>C15H18F3NO5</t>
  </si>
  <si>
    <t>7.88_295.0768m/z</t>
  </si>
  <si>
    <t>Methoxybrassitin</t>
  </si>
  <si>
    <t>HMDB0038637</t>
  </si>
  <si>
    <t>113900-63-3</t>
  </si>
  <si>
    <t>CON1C=C(CNC(=O)SC)C2=C1C=CC=C2</t>
  </si>
  <si>
    <t>BHXCFNZULGNWRA-UHFFFAOYSA-N</t>
  </si>
  <si>
    <t>C12H14N2O2S</t>
  </si>
  <si>
    <t>0.67_736.4645m/z</t>
  </si>
  <si>
    <t>Mitemcinal</t>
  </si>
  <si>
    <t>HMDB0254757</t>
  </si>
  <si>
    <t>CCC1OC(=O)C(C)C(OC2CC(C)(OC)C(O)C(C)O2)C(C)C(OC2OC(C)CC(C2O)N(C)C(C)C)C2(C)CC(C)=C(O2)C(C)C(=O)C1(C)OC</t>
  </si>
  <si>
    <t>BELMMAAWNYFCGF-UHFFFAOYSA-N</t>
  </si>
  <si>
    <t>C40H69NO12</t>
  </si>
  <si>
    <t>11.17_527.0151m/z</t>
  </si>
  <si>
    <t>Lentinic acid</t>
  </si>
  <si>
    <t>HMDB0038385</t>
  </si>
  <si>
    <t>12705-98-5</t>
  </si>
  <si>
    <t>CS(=O)(=O)CS(=O)CS(=O)CS(=O)CC(\N=C(/O)CCC(N)C(O)=O)C(O)=O</t>
  </si>
  <si>
    <t>YJXVNZXKWINDJO-UHFFFAOYSA-N</t>
  </si>
  <si>
    <t>C12H22N2O10S4</t>
  </si>
  <si>
    <t>5.29_371.1611m/z</t>
  </si>
  <si>
    <t>Gelsenicine</t>
  </si>
  <si>
    <t>HMDB0252667</t>
  </si>
  <si>
    <t>CCC1=NC2CC3(C4CC1C2CO4)C(=O)N(OC)C1=CC=CC=C31</t>
  </si>
  <si>
    <t>BIGABVPVCRHEES-UHFFFAOYSA-N</t>
  </si>
  <si>
    <t>C19H22N2O3</t>
  </si>
  <si>
    <t>0.68_165.0395m/z</t>
  </si>
  <si>
    <t>Xylan</t>
  </si>
  <si>
    <t>HMDB0301774</t>
  </si>
  <si>
    <t>9014-63-5</t>
  </si>
  <si>
    <t>[H][C@]1(O)O[C@@]([H])(O)[C@]([H])(O)C([H])(O)[C@]1([H])O</t>
  </si>
  <si>
    <t>HEHIOFQJTRFOKM-ASQQECOQSA-N</t>
  </si>
  <si>
    <t>C5H10O6</t>
  </si>
  <si>
    <t>12.10_503.3362m/z</t>
  </si>
  <si>
    <t>Esculentic acid (Phytolacca)</t>
  </si>
  <si>
    <t>HMDB0034639</t>
  </si>
  <si>
    <t>56283-68-2</t>
  </si>
  <si>
    <t>CC1(CO)C(O)CCC2(C)C1CCC1(C)C2CC=C2C3CC(C)(CCC3(CCC12C)C(O)=O)C(O)=O</t>
  </si>
  <si>
    <t>CLXOLTFMHAXJST-UHFFFAOYSA-N</t>
  </si>
  <si>
    <t>C30H46O6</t>
  </si>
  <si>
    <t>9.95_511.3292n</t>
  </si>
  <si>
    <t>PS(O-18:0/0:0)</t>
  </si>
  <si>
    <t>LMGP03060002</t>
  </si>
  <si>
    <t>C(O)(=O)[C@@]([H])(N)COP(OC[C@]([H])(O)COCCCCCCCCCCCCCCCCCC)(=O)O</t>
  </si>
  <si>
    <t>LLZPQHOZAQNDCM-PKTZIBPZSA-N</t>
  </si>
  <si>
    <t>C24H50NO8P</t>
  </si>
  <si>
    <t>12.05_413.1922m/z</t>
  </si>
  <si>
    <t>M-Amidinophenyl-3-alanine</t>
  </si>
  <si>
    <t>HMDB0245801</t>
  </si>
  <si>
    <t>NC(CC1=CC=CC(=C1)C(N)=N)C(O)=O</t>
  </si>
  <si>
    <t>NIOKQPJRXDRREF-UHFFFAOYSA-N</t>
  </si>
  <si>
    <t>C10H13N3O2</t>
  </si>
  <si>
    <t>12.84_270.2799m/z</t>
  </si>
  <si>
    <t>9Z-Heptadecenal</t>
  </si>
  <si>
    <t>LMFA06000228</t>
  </si>
  <si>
    <t>C(CCCCCCC/C=C\CCCCCCC)(=O)[H]</t>
  </si>
  <si>
    <t>HJEWKIMQTQIIIN-HJWRWDBZSA-N</t>
  </si>
  <si>
    <t>C17H32O</t>
  </si>
  <si>
    <t>169</t>
  </si>
  <si>
    <t>L-Serine</t>
  </si>
  <si>
    <t>HMDB0000187</t>
  </si>
  <si>
    <t>C00065</t>
  </si>
  <si>
    <t>hsa00260,hsa00270,hsa00470,hsa00564,hsa00600,hsa00630,hsa00920,hsa00970,hsa04071,hsa05230</t>
  </si>
  <si>
    <t>Glycine, serine and threonine metabolism|Cysteine and methionine metabolism|D-Amino acid metabolism|Glycerophospholipid metabolism|Sphingolipid metabolism|Glyoxylate and dicarboxylate metabolism|Sulfur metabolism|Aminoacyl-tRNA biosynthesis|Sphingolipid signaling pathway|Central carbon metabolism in cancer</t>
  </si>
  <si>
    <t>56-45-1</t>
  </si>
  <si>
    <t>N[C@@H](CO)C(O)=O</t>
  </si>
  <si>
    <t>MTCFGRXMJLQNBG-REOHCLBHSA-N</t>
  </si>
  <si>
    <t>C3H7NO3</t>
  </si>
  <si>
    <t>7.96_469.2269m/z</t>
  </si>
  <si>
    <t>(R)-1-O-[b-D-Glucopyranosyl-(1-&gt;6)-b-D-glucopyranoside]-1,3-octanediol</t>
  </si>
  <si>
    <t>HMDB0032799</t>
  </si>
  <si>
    <t>CCCCCC(O)CCOC1OC(COC2OC(CO)C(O)C(O)C2O)C(O)C(O)C1O</t>
  </si>
  <si>
    <t>ODOJEOFQPWTDSS-UHFFFAOYSA-N</t>
  </si>
  <si>
    <t>C20H38O12</t>
  </si>
  <si>
    <t>10.97_343.2274m/z</t>
  </si>
  <si>
    <t>8R-HETE</t>
  </si>
  <si>
    <t>HMDB04679</t>
  </si>
  <si>
    <t>LMFA03060021</t>
  </si>
  <si>
    <t>C14824</t>
  </si>
  <si>
    <t>105500-09-2</t>
  </si>
  <si>
    <t>C(/C=C/[C@H](O)C/C=C\CCCC(=O)O)=C/C/C=C\CCCCC</t>
  </si>
  <si>
    <t>NLUNAYAEIJYXRB-GTYUHVKWSA-N</t>
  </si>
  <si>
    <t>0.71_242.0514m/z</t>
  </si>
  <si>
    <t>2,6-Diamino-3,5-dihydro-7-(3-thienylmethyl)-4H-pyrrolo(3,2-d)pyrimidin-4-one</t>
  </si>
  <si>
    <t>HMDB0259620</t>
  </si>
  <si>
    <t>NC1=C(CC2=CSC=C2)C2=C(N1)C(=O)NC(N)=N2</t>
  </si>
  <si>
    <t>QQMYLWYFXGDKRG-UHFFFAOYSA-N</t>
  </si>
  <si>
    <t>Pyrrolopyrimidines</t>
  </si>
  <si>
    <t>C11H11N5OS</t>
  </si>
  <si>
    <t>4.91_406.2120m/z</t>
  </si>
  <si>
    <t>C17 Sphinganine-1-phosphate</t>
  </si>
  <si>
    <t>LMSP01050008</t>
  </si>
  <si>
    <t>P(OC[C@]([H])(N)[C@]([H])(O)CCCCCCCCCCCCCC)(=O)(O)O</t>
  </si>
  <si>
    <t>RTCZJPCPBSBOKB-DLBZAZTESA-N</t>
  </si>
  <si>
    <t>C17H38NO5P</t>
  </si>
  <si>
    <t>7.90_648.3137m/z</t>
  </si>
  <si>
    <t>Gly-Pro-Gly-Arg-Ala-Phe</t>
  </si>
  <si>
    <t>HMDB0252833</t>
  </si>
  <si>
    <t>CC(NC(=O)C(CCCN=C(N)N)NC(=O)CNC(=O)C1CCCN1C(=O)CN)C(=O)NC(CC1=CC=CC=C1)C(O)=O</t>
  </si>
  <si>
    <t>BRENMGSWNOZDLU-UHFFFAOYSA-N</t>
  </si>
  <si>
    <t>C27H41N9O7</t>
  </si>
  <si>
    <t>4.75_184.1106n</t>
  </si>
  <si>
    <t>Curvulalic acid</t>
  </si>
  <si>
    <t>LMFA01050591</t>
  </si>
  <si>
    <t>C(/C=C\C=C\CCC[C@H](O)C)(=O)O</t>
  </si>
  <si>
    <t>BUNUAXLBBKVLBE-HKKCCPILSA-N</t>
  </si>
  <si>
    <t>C10H16O3</t>
  </si>
  <si>
    <t>4.56_699.7763m/z</t>
  </si>
  <si>
    <t>1-Pentacosene</t>
  </si>
  <si>
    <t>LMFA11000326</t>
  </si>
  <si>
    <t>C=CCCCCCCCCCCCCCCCCCCCCCCC</t>
  </si>
  <si>
    <t>BDWBGSCECOPTTH-UHFFFAOYSA-N</t>
  </si>
  <si>
    <t>C25H50</t>
  </si>
  <si>
    <t>8.62_351.2170m/z</t>
  </si>
  <si>
    <t>(5S)-hydroperoxy-18-hydroxy-EPE</t>
  </si>
  <si>
    <t>HMDB0062616</t>
  </si>
  <si>
    <t>[H]\C(C\C([H])=C(\[H])C([H])=C([H])C([H])(O)CC)=C(/[H])C\C([H])=C(\[H])/C(/[H])=C(\[H])[C@]([H])(CCCC(O)=O)OO</t>
  </si>
  <si>
    <t>JIOJPWROWDJRKM-FIYNLQNCSA-N</t>
  </si>
  <si>
    <t>0.74_638.2397n</t>
  </si>
  <si>
    <t>Kanokoside C</t>
  </si>
  <si>
    <t>HMDB0035305</t>
  </si>
  <si>
    <t>64703-87-3</t>
  </si>
  <si>
    <t>CC(C)CC(=O)OC1OC=C(COC2OC(COC3OC(CO)C(O)C(O)C3O)C(O)C(O)C2O)C2C3OC3C(O)(CO)C12</t>
  </si>
  <si>
    <t>ZTHFWSGQXKJHJD-UHFFFAOYSA-N</t>
  </si>
  <si>
    <t>C27H42O17</t>
  </si>
  <si>
    <t>1.18_346.9888m/z</t>
  </si>
  <si>
    <t>4-Hydroxybenzenesulfonic acid</t>
  </si>
  <si>
    <t>C12849</t>
  </si>
  <si>
    <t>98-67-9</t>
  </si>
  <si>
    <t>C1=CC(=CC=C1O)S(=O)(=O)O</t>
  </si>
  <si>
    <t>FEPBITJSIHRMRT-UHFFFAOYSA-N</t>
  </si>
  <si>
    <t>4.13_268.2185n</t>
  </si>
  <si>
    <t>anhydroretinol</t>
  </si>
  <si>
    <t>HMDB0062447</t>
  </si>
  <si>
    <t>[H]/C(=C(/[H])\C(\C)=C(/[H])\C(\[H])=C1\C(C)=CCCC1(C)C)/C(/[H])=C(\C)C=C</t>
  </si>
  <si>
    <t>FWNRILWHNGFAIN-OYUWDNMLSA-N</t>
  </si>
  <si>
    <t>C20H28</t>
  </si>
  <si>
    <t>1.43_217.1322n</t>
  </si>
  <si>
    <t>O-propanoyl-carnitine</t>
  </si>
  <si>
    <t>HMDB0062514</t>
  </si>
  <si>
    <t>LMFA07070005</t>
  </si>
  <si>
    <t>C03017</t>
  </si>
  <si>
    <t>O=C(O[C@](CC([O-])=O)(C[N+](C)(C)C)[H])CC</t>
  </si>
  <si>
    <t>UFAHZIUFPNSHSL-MRVPVSSYSA-N</t>
  </si>
  <si>
    <t>C10H19NO4</t>
  </si>
  <si>
    <t>5.01_238.1203n</t>
  </si>
  <si>
    <t>2,2,4,4,-Tetramethyl-6-(1-oxopropyl)-1,3,5-cyclohexanetrione</t>
  </si>
  <si>
    <t>HMDB0033191</t>
  </si>
  <si>
    <t>CCC(=O)C1C(=O)C(C)(C)C(=O)C(C)(C)C1=O</t>
  </si>
  <si>
    <t>IZVWNTVILPFEDY-UHFFFAOYSA-N</t>
  </si>
  <si>
    <t>C13H18O4</t>
  </si>
  <si>
    <t>0.74_357.0315m/z</t>
  </si>
  <si>
    <t>4-hydroxytriazolam</t>
  </si>
  <si>
    <t>HMDB0061052</t>
  </si>
  <si>
    <t>65686-11-5</t>
  </si>
  <si>
    <t>CC1=NN=C2C(O)N=C(C3=CC=CC=C3Cl)C3=C(C=CC(Cl)=C3)N12</t>
  </si>
  <si>
    <t>YUQRFPYHTPARRM-UHFFFAOYSA-N</t>
  </si>
  <si>
    <t>C17H12Cl2N4O</t>
  </si>
  <si>
    <t>3.90_617.2807m/z</t>
  </si>
  <si>
    <t>Rotigaptide</t>
  </si>
  <si>
    <t>HMDB0257314</t>
  </si>
  <si>
    <t>CC(NC(=O)CNC(=O)C1CC(O)CN1C(=O)C1CCCN1C(=O)C(CC1=CC=C(O)C=C1)NC(C)=O)C(=O)NCC(N)=O</t>
  </si>
  <si>
    <t>GFJRASPBQLDRRY-UHFFFAOYSA-N</t>
  </si>
  <si>
    <t>C28H39N7O9</t>
  </si>
  <si>
    <t>4.91_439.1989m/z</t>
  </si>
  <si>
    <t>Trp Ser Phe</t>
  </si>
  <si>
    <t>C1=CC=C(C=C1)CC(C(=O)O)NC(=O)C(CO)NC(=O)C(CC2=CNC3=CC=CC=C32)N</t>
  </si>
  <si>
    <t>GBEAUNVBIMLWIB-IHPCNDPISA-N</t>
  </si>
  <si>
    <t>C23H26N4O5</t>
  </si>
  <si>
    <t>11.95_301.2173m/z</t>
  </si>
  <si>
    <t>EPA</t>
  </si>
  <si>
    <t>HMDB0001999</t>
  </si>
  <si>
    <t>LMFA01030759</t>
  </si>
  <si>
    <t>C06428</t>
  </si>
  <si>
    <t>R-HSA-1266738,R-HSA-1368082,R-HSA-1368108,R-HSA-1430728,R-HSA-1592230,R-HSA-162582,R-HSA-1655829,R-HSA-1852241,R-HSA-1989781,R-HSA-2151201,R-HSA-2262752,R-HSA-2426168,R-HSA-2980736,R-HSA-372790,R-HSA-373076,R-HSA-381340,R-HSA-381771,R-HSA-388396,R-HSA-392499,R-HSA-400206,R-HSA-400253,R-HSA-400508,R-HSA-416476,R-HSA-444209,R-HSA-500792,R-HSA-556833,R-HSA-8953897,R-HSA-8957322,R-HSA-9018678,R-HSA-9018679,R-HSA-9018896,R-HSA-9027604,R-HSA-9707564,R-HSA-9707616,R-HSA-9711123</t>
  </si>
  <si>
    <t>Developmental Biology|RORA activates gene expression|BMAL1:CLOCK,NPAS2 activates circadian gene expression|Metabolism|Mitochondrial biogenesis|Signal Transduction|Regulation of cholesterol biosynthesis by SREBP (SREBF)|Organelle biogenesis and maintenance|PPARA activates gene expression|Transcriptional activation of mitochondrial biogenesis|Cellular responses to stress|Activation of gene expression by SREBF (SREBP)|Peptide hormone metabolism|Signaling by GPCR|Class A/1 (Rhodopsin-like receptors)|Transcriptional regulation of white adipocyte differentiation|Synthesis, secretion, and inactivation of Glucagon-like Peptide-1 (GLP-1)|GPCR downstream signalling|Metabolism of proteins|Regulation of lipid metabolism by PPARalpha|Circadian Clock|Incretin synthesis, secretion, and inactivation|G alpha (q) signalling events|Free fatty acid receptors|GPCR ligand binding|Metabolism of lipids|Cellular responses to stimuli|Metabolism of steroids|Biosynthesis of specialized proresolving mediators (SPMs)|Biosynthesis of EPA-derived SPMs|Biosynthesis of E-series 18(S)-resolvins|Biosynthesis of electrophilic ω-3 PUFA oxo-derivatives|Cytoprotection by HMOX1|Heme signaling|Cellular response to chemical stress</t>
  </si>
  <si>
    <t>10417-94-4</t>
  </si>
  <si>
    <t>OC(=O)CCC/C=C\C/C=C\C/C=C\C/C=C\C/C=C\CC</t>
  </si>
  <si>
    <t>JAZBEHYOTPTENJ-JLNKQSITSA-N</t>
  </si>
  <si>
    <t>4.81_336.0660m/z</t>
  </si>
  <si>
    <t>isoxicam</t>
  </si>
  <si>
    <t>HMDB0253714</t>
  </si>
  <si>
    <t>34552-84-6</t>
  </si>
  <si>
    <t>CN1C(C(=O)N=C2NOC(C)=C2)=C(O)C2=CC=CC=C2S1(=O)=O</t>
  </si>
  <si>
    <t>YYUAYBYLJSNDCX-UHFFFAOYSA-N</t>
  </si>
  <si>
    <t>C14H13N3O5S</t>
  </si>
  <si>
    <t>5.71_427.1130m/z</t>
  </si>
  <si>
    <t>5'-(1,4-Dihydro-1-methyl-3-pyridinylcarbonyl)-3'-azido-3'-deoxythymidine</t>
  </si>
  <si>
    <t>HMDB0248819</t>
  </si>
  <si>
    <t>CN1C=CCC(=C1)C(=O)OCC1OC(CC1N=[N+]=[N-])N1C=C(C)C(=O)NC1=O</t>
  </si>
  <si>
    <t>XUUPZVLCORYPPM-UHFFFAOYSA-N</t>
  </si>
  <si>
    <t>Pyrimidine 2',3'-dideoxyribonucleosides</t>
  </si>
  <si>
    <t>C17H20N6O5</t>
  </si>
  <si>
    <t>3.96_299.1725m/z</t>
  </si>
  <si>
    <t>3-Hydroxyocta-2,4-dienoylcarnitine</t>
  </si>
  <si>
    <t>HMDB0241726</t>
  </si>
  <si>
    <t>CCCC=CC(O)=CC(=O)OC(CC([O-])=O)C[N+](C)(C)C</t>
  </si>
  <si>
    <t>LTAQVTCRNHRWSW-UHFFFAOYSA-N</t>
  </si>
  <si>
    <t>C15H25NO5</t>
  </si>
  <si>
    <t>25</t>
  </si>
  <si>
    <t>Glycolic Acid</t>
  </si>
  <si>
    <t>HMDB0000115</t>
  </si>
  <si>
    <t>C03547</t>
  </si>
  <si>
    <t>79-14-1</t>
  </si>
  <si>
    <t>OCC(O)=O</t>
  </si>
  <si>
    <t>AEMRFAOFKBGASW-UHFFFAOYSA-N</t>
  </si>
  <si>
    <t>C2H4O3</t>
  </si>
  <si>
    <t>4.22_385.1506m/z</t>
  </si>
  <si>
    <t>NNAL-N-glucuronide</t>
  </si>
  <si>
    <t>HMDB0060498</t>
  </si>
  <si>
    <t>CN(CCCC(O)C1=C[N+](=CC=C1)[C@@H]1O[C@@H]([C@@H](O)[C@H](O)[C@H]1O)C(O)=O)N=O</t>
  </si>
  <si>
    <t>VSVYJUYJFLYYSI-UKOUFMKDSA-O</t>
  </si>
  <si>
    <t>C16H24N3O8+</t>
  </si>
  <si>
    <t>7.22_706.4969m/z</t>
  </si>
  <si>
    <t>Cer(d17:1/LTE4)</t>
  </si>
  <si>
    <t>HMDB0289906</t>
  </si>
  <si>
    <t>CCCCCCCCCCCC\C=C\[C@@H](O)[C@H](CO)NC(=O)[C@@H](N)CS[C@H](\C=C\C=C\C=C/C\C=C/CCCCC)[C@@H](O)CCCC(O)=O</t>
  </si>
  <si>
    <t>HCHPJRWDAXBWHL-DDCHMOMFSA-N</t>
  </si>
  <si>
    <t>C40H70N2O6S</t>
  </si>
  <si>
    <t>12.05_508.3408m/z</t>
  </si>
  <si>
    <t>PE(0:0/20:0)</t>
  </si>
  <si>
    <t>HMDB0011481</t>
  </si>
  <si>
    <t>LMGP02050045</t>
  </si>
  <si>
    <t>C(OP(OCCN)(O)=O)[C@]([H])(OC(=O)CCCCCCCCCCCCCCCCCCC)CO</t>
  </si>
  <si>
    <t>QEQAJJJSRGAOOG-XMMPIXPASA-N</t>
  </si>
  <si>
    <t>13.51_591.4614m/z</t>
  </si>
  <si>
    <t>DG(20:4(5Z,8Z,11Z,13E)-OH(15S)/i-13:0/0:0)</t>
  </si>
  <si>
    <t>HMDB0298550</t>
  </si>
  <si>
    <t>CCCCC[C@@H](O)\C=C\C=C/C\C=C/C\C=C/CCCC(=O)OC[C@H](CO)OC(=O)CCCCCCCCCC(C)C</t>
  </si>
  <si>
    <t>HOJMCRJQKHYDLS-ZINJPIAZSA-N</t>
  </si>
  <si>
    <t>C36H62O6</t>
  </si>
  <si>
    <t>9.11_582.3417m/z</t>
  </si>
  <si>
    <t>PS(P-20:0/0:0)</t>
  </si>
  <si>
    <t>LMGP03070001</t>
  </si>
  <si>
    <t>C(O)(=O)[C@@]([H])(N)COP(OC[C@]([H])(O)CO/C=C\CCCCCCCCCCCCCCCCCC)(=O)O</t>
  </si>
  <si>
    <t>OXOXTQYBMGPJGS-FNNPXFNLSA-N</t>
  </si>
  <si>
    <t>C26H52NO8P</t>
  </si>
  <si>
    <t>8.02_195.1020m/z</t>
  </si>
  <si>
    <t>alpha-Carboxy-delta-decalactone</t>
  </si>
  <si>
    <t>HMDB0030985</t>
  </si>
  <si>
    <t>CCCCCC1CCC(C(O)=O)C(=O)O1</t>
  </si>
  <si>
    <t>UYZBRJHRPDMUHS-UHFFFAOYSA-N</t>
  </si>
  <si>
    <t>Delta valerolactones</t>
  </si>
  <si>
    <t>C11H18O4</t>
  </si>
  <si>
    <t>10.27_337.1682m/z</t>
  </si>
  <si>
    <t>H-1152</t>
  </si>
  <si>
    <t>CC1CNCCCN1S(=O)(=O)C2=CC=CC3=C2C(=CN=C3)C</t>
  </si>
  <si>
    <t>AWDORCFLUJZUQS-ZDUSSCGKSA-N</t>
  </si>
  <si>
    <t>C16H21N3O2S</t>
  </si>
  <si>
    <t>2.94_270.0974n</t>
  </si>
  <si>
    <t>Histidylaspartic acid</t>
  </si>
  <si>
    <t>HMDB0028881</t>
  </si>
  <si>
    <t>41658-60-0</t>
  </si>
  <si>
    <t>N[C@@H](CC1=CNC=N1)C(=O)N[C@@H](CC(O)=O)C(O)=O</t>
  </si>
  <si>
    <t>MDCTVRUPVLZSPG-BQBZGAKWSA-N</t>
  </si>
  <si>
    <t>M+Na, M+K, M+H-H2O</t>
  </si>
  <si>
    <t>C10H14N4O5</t>
  </si>
  <si>
    <t>9.32_233.1544m/z</t>
  </si>
  <si>
    <t>Dihydroparthenolide</t>
  </si>
  <si>
    <t>HMDB0302702</t>
  </si>
  <si>
    <t>CC1C2C\C(C)=C\CCCC3(C)OC3C2OC1=O</t>
  </si>
  <si>
    <t>CIGIQOGMEIBBRJ-RMKNXTFCSA-N</t>
  </si>
  <si>
    <t>C15H22O3</t>
  </si>
  <si>
    <t>7.07_381.1921m/z</t>
  </si>
  <si>
    <t>12-Oxo-20-trihydroxy-leukotriene B4</t>
  </si>
  <si>
    <t>HMDB0012553</t>
  </si>
  <si>
    <t>LMFA03020050</t>
  </si>
  <si>
    <t>O[C@@H](/C=C\C=C\C=C\C(C/C=C\CCCCC(O)(O)O)=O)CCCC(=O)O</t>
  </si>
  <si>
    <t>QVZXILIWUPKGPA-CWJNPFRJSA-N</t>
  </si>
  <si>
    <t>2.80_515.2116m/z</t>
  </si>
  <si>
    <t>Ile-Glu-Thr-Asp-fluoromethyl ketone</t>
  </si>
  <si>
    <t>HMDB0253396</t>
  </si>
  <si>
    <t>CCC(C)C(N)C(=O)NC(CCC(O)=O)C(=O)NC(C(C)O)C(=O)NC(CC(O)=O)C(=O)CF</t>
  </si>
  <si>
    <t>YZASDHNWFGXPNR-UHFFFAOYSA-N</t>
  </si>
  <si>
    <t>C20H33FN4O9</t>
  </si>
  <si>
    <t>0.73_260.0886m/z</t>
  </si>
  <si>
    <t>Aspartyl-Gamma-glutamate</t>
  </si>
  <si>
    <t>HMDB0028767</t>
  </si>
  <si>
    <t>NC(CCC(=O)NC(=O)C(N)CC(O)=O)C(O)=O</t>
  </si>
  <si>
    <t>BEVYCXGDASRHRK-UHFFFAOYSA-N</t>
  </si>
  <si>
    <t>C9H15N3O6</t>
  </si>
  <si>
    <t>1.51_348.1316m/z</t>
  </si>
  <si>
    <t>Tyrosyl-Lysine</t>
  </si>
  <si>
    <t>HMDB0029110</t>
  </si>
  <si>
    <t>NCCCCC(NC(=O)C(N)CC1=CC=C(O)C=C1)C(O)=O</t>
  </si>
  <si>
    <t>AOLHUMAVONBBEZ-UHFFFAOYSA-N</t>
  </si>
  <si>
    <t>C15H23N3O4</t>
  </si>
  <si>
    <t>5.02_221.1179m/z</t>
  </si>
  <si>
    <t>2,3-Dihydroxypropyl 4-phenylbutanoate</t>
  </si>
  <si>
    <t>HMDB0257749</t>
  </si>
  <si>
    <t>OCC(O)COC(=O)CCCC1=CC=CC=C1</t>
  </si>
  <si>
    <t>RWRPKKXFZWTXBP-UHFFFAOYSA-N</t>
  </si>
  <si>
    <t>10.89_812.5447m/z</t>
  </si>
  <si>
    <t>PE-NMe2(16:0/20:4(8Z,11Z,14Z,17Z))</t>
  </si>
  <si>
    <t>HMDB0116711</t>
  </si>
  <si>
    <t>[H]C(COC(=O)CCCCCCCCCCCCCCC)(COP(O)(=O)OCCN(C)C)OC(=O)CCCCCC\C=C/C\C=C/C\C=C/C\C=C/CC</t>
  </si>
  <si>
    <t>LIIHDRINQJPFJK-BUPHOURSSA-N</t>
  </si>
  <si>
    <t>C43H78NO8P</t>
  </si>
  <si>
    <t>6.46_231.0056m/z</t>
  </si>
  <si>
    <t>1-Fluoro-2,3-dinitrobenzene</t>
  </si>
  <si>
    <t>HMDB0245696</t>
  </si>
  <si>
    <t>[O-][N+](=O)C1=C(C(F)=CC=C1)[N+]([O-])=O</t>
  </si>
  <si>
    <t>KFTBCJUZVUOWRL-UHFFFAOYSA-N</t>
  </si>
  <si>
    <t>Nitrobenzenes</t>
  </si>
  <si>
    <t>C6H3FN2O4</t>
  </si>
  <si>
    <t>12.65_269.2271m/z</t>
  </si>
  <si>
    <t>Retinol</t>
  </si>
  <si>
    <t>HMDB0000305</t>
  </si>
  <si>
    <t>LMPR01090001</t>
  </si>
  <si>
    <t>C00473</t>
  </si>
  <si>
    <t>hsa00830,hsa04977</t>
  </si>
  <si>
    <t>Retinol metabolism|Vitamin digestion and absorption</t>
  </si>
  <si>
    <t>R-HSA-1430728,R-HSA-162582,R-HSA-163560,R-HSA-1643685,R-HSA-192456,R-HSA-196854,R-HSA-2187335,R-HSA-2187338,R-HSA-2453864,R-HSA-2453902,R-HSA-2474795,R-HSA-5362517,R-HSA-5365859,R-HSA-556833,R-HSA-6806667,R-HSA-6809583,R-HSA-8848584,R-HSA-8935690,R-HSA-8963743,R-HSA-8979227,R-HSA-9006931,R-HSA-9640463,R-HSA-9675143,R-HSA-9709957,R-HSA-975634</t>
  </si>
  <si>
    <t>Metabolism|Signal Transduction|Triglyceride catabolism|Disease|Digestion of dietary lipid|Metabolism of vitamins and cofactors|The retinoid cycle in cones (daylight vision)|Visual phototransduction|Retinoid cycle disease events|The canonical retinoid cycle in rods (twilight vision)|Diseases associated with visual transduction|Signaling by Retinoic Acid|RA biosynthesis pathway|Metabolism of lipids|Metabolism of fat-soluble vitamins|Retinoid metabolism disease events|Wax and plasmalogen biosynthesis|Digestion|Digestion and absorption|Triglyceride metabolism|Signaling by Nuclear Receptors|Wax biosynthesis|Diseases of the neuronal system|Sensory Perception|Retinoid metabolism and transport</t>
  </si>
  <si>
    <t>68-26-8</t>
  </si>
  <si>
    <t>C1[C@@](C)(C)C(/C=C/C(/C)=C/C=C/C(/C)=C/CO)=C(C)CC1</t>
  </si>
  <si>
    <t>FPIPGXGPPPQFEQ-OVSJKPMPSA-N</t>
  </si>
  <si>
    <t>C20H30O</t>
  </si>
  <si>
    <t>3.36_472.2294m/z</t>
  </si>
  <si>
    <t>N-Eicosapentaenoyl Methionine</t>
  </si>
  <si>
    <t>HMDB0242076</t>
  </si>
  <si>
    <t>CCC=CCC=CCC=CCC=CCC=CCCCC(=O)NC(CCSC)C(O)=O</t>
  </si>
  <si>
    <t>JLWDWAHFUKVHOP-UHFFFAOYSA-N</t>
  </si>
  <si>
    <t>C25H39NO3S</t>
  </si>
  <si>
    <t>11.51_550.3519m/z</t>
  </si>
  <si>
    <t>PC(16:0/3:0)</t>
  </si>
  <si>
    <t>LMGP01010666</t>
  </si>
  <si>
    <t>[C@](COP(=O)([O-])OCC[N+](C)(C)C)([H])(OC(CC)=O)COC(CCCCCCCCCCCCCCC)=O</t>
  </si>
  <si>
    <t>NYXYISVRSYAJDW-RUZDIDTESA-N</t>
  </si>
  <si>
    <t>C27H54NO8P</t>
  </si>
  <si>
    <t>4.11_559.2868m/z</t>
  </si>
  <si>
    <t>Annomuricatin A</t>
  </si>
  <si>
    <t>HMDB0303181</t>
  </si>
  <si>
    <t>CC(C)C1NC(=O)C(CC2=CC=CC=C2)NC(=O)CNC(=O)C2CCCN2C(=O)C(C)NC(=O)C(CO)NC1=O</t>
  </si>
  <si>
    <t>NTRKFALVAIXZGY-UHFFFAOYSA-N</t>
  </si>
  <si>
    <t>C27H38N6O7</t>
  </si>
  <si>
    <t>6.04_395.2422m/z</t>
  </si>
  <si>
    <t>N-Lauroyl Arginine</t>
  </si>
  <si>
    <t>HMDB0242027</t>
  </si>
  <si>
    <t>CCCCCCCCCCCC(=O)NC(CCCN=C(N)N)C(O)=O</t>
  </si>
  <si>
    <t>XTJKNGLLPGBHHO-UHFFFAOYSA-N</t>
  </si>
  <si>
    <t>C18H36N4O3</t>
  </si>
  <si>
    <t>8.59_560.2407n</t>
  </si>
  <si>
    <t>Isomorellic acid</t>
  </si>
  <si>
    <t>HMDB0030734</t>
  </si>
  <si>
    <t>CC(C)=CCC1=C2OC34C5CC(C=C3C(=O)C2=C(O)C2=C1OC(C)(C)C=C2)C(=O)C4(C\C=C(\C)C(O)=O)OC5(C)C</t>
  </si>
  <si>
    <t>COVMVPHACFXMAX-YVLHZVERSA-N</t>
  </si>
  <si>
    <t>C33H36O8</t>
  </si>
  <si>
    <t>10.99_676.3434m/z</t>
  </si>
  <si>
    <t>OHOOA-PS</t>
  </si>
  <si>
    <t>LMGP20040031</t>
  </si>
  <si>
    <t>C(O)(=O)[C@@]([H])(N)COP(OC[C@]([H])(OC(CCCC(O)/C=C/C=O)=O)COC(CCCCCCC/C=C\CCCCCCCC)=O)(=O)O</t>
  </si>
  <si>
    <t>AWBZXBXHEFMVDG-DIPKSNSMSA-N</t>
  </si>
  <si>
    <t>C32H56NO12P</t>
  </si>
  <si>
    <t>4.65_671.3265m/z</t>
  </si>
  <si>
    <t>DGMG(18:5(3Z,6Z,9Z,12Z,15Z)/0:0)</t>
  </si>
  <si>
    <t>LMGL04010014</t>
  </si>
  <si>
    <t>O[C@@H]1[C@@H](O)[C@@H](O)[C@@H](CO[C@@H]2[C@H](O)[C@@H](O)[C@@H](O)[C@@H](CO)O2)O[C@H]1OC[C@]([H])(O)COC(C/C=C\C/C=C\C/C=C\C/C=C\C/C=C\CC)=O</t>
  </si>
  <si>
    <t>DAFIPQDMWOZAJW-ZNISSXSSSA-N</t>
  </si>
  <si>
    <t>C33H52O14</t>
  </si>
  <si>
    <t>4.86_397.0653m/z</t>
  </si>
  <si>
    <t>Estra-1,3,5(10)-triene-3,17-diol, 16-iodo-, (16alpha,17beta)-</t>
  </si>
  <si>
    <t>HMDB0259459</t>
  </si>
  <si>
    <t>CC12CCC3C(CCC4=C3C=CC(O)=C4)C1CC(I)C2O</t>
  </si>
  <si>
    <t>SSYGGPAGDDGXAF-UHFFFAOYSA-N</t>
  </si>
  <si>
    <t>C18H23IO2</t>
  </si>
  <si>
    <t>4.37_340.0609m/z</t>
  </si>
  <si>
    <t>N4-Acetylsulfamethoxazole</t>
  </si>
  <si>
    <t>HMDB0013854</t>
  </si>
  <si>
    <t>C13061</t>
  </si>
  <si>
    <t>21312-10-7</t>
  </si>
  <si>
    <t>CC(O)=NC1=CC=C(C=C1)S(=O)(=O)NC1=NOC(C)=C1</t>
  </si>
  <si>
    <t>GXPIUNZCALHVBA-UHFFFAOYSA-N</t>
  </si>
  <si>
    <t>C12H13N3O4S</t>
  </si>
  <si>
    <t>15.05_304.3008m/z</t>
  </si>
  <si>
    <t>Cetylpyridinium</t>
  </si>
  <si>
    <t>D07666</t>
  </si>
  <si>
    <t>7773-52-6</t>
  </si>
  <si>
    <t>CCCCCCCCCCCCCCCC[N+]1=CC=CC=C1</t>
  </si>
  <si>
    <t>NEUSVAOJNUQRTM-UHFFFAOYSA-N</t>
  </si>
  <si>
    <t>Pyridinium derivatives</t>
  </si>
  <si>
    <t>C21H38N+</t>
  </si>
  <si>
    <t>6.89_437.1643n</t>
  </si>
  <si>
    <t>Pazopanib</t>
  </si>
  <si>
    <t>HMDB0256144</t>
  </si>
  <si>
    <t>R-HSA-1226099,R-HSA-162582,R-HSA-1643685,R-HSA-1839126,R-HSA-186797,R-HSA-2023837,R-HSA-2033519,R-HSA-5213460,R-HSA-5218859,R-HSA-5357801,R-HSA-5655253,R-HSA-5663202,R-HSA-5675482,R-HSA-9006934,R-HSA-9671555,R-HSA-9674428</t>
  </si>
  <si>
    <t>Signaling by FGFR in disease|Signal Transduction|Disease|FGFR2 mutant receptor activation|Signaling by PDGF|Signaling by FGFR2 amplification mutants|Activated point mutants of FGFR2|RIPK1-mediated regulated necrosis|Regulated Necrosis|Programmed Cell Death|Signaling by FGFR2 in disease|Diseases of signal transduction by growth factor receptors and second messengers|Regulation of necroptotic cell death|Signaling by Receptor Tyrosine Kinases|Signaling by PDGFR in disease|PDGFR mutants bind TKIs</t>
  </si>
  <si>
    <t>CN(C1=CC2=NN(C)C(C)=C2C=C1)C1=CC=NC(NC2=CC=C(C)C(=C2)S(N)(=O)=O)=N1</t>
  </si>
  <si>
    <t>CUIHSIWYWATEQL-UHFFFAOYSA-N</t>
  </si>
  <si>
    <t>C21H23N7O2S</t>
  </si>
  <si>
    <t>10.63_341.2082m/z</t>
  </si>
  <si>
    <t>11R-HEPE</t>
  </si>
  <si>
    <t>HMDB0012534</t>
  </si>
  <si>
    <t>LMFA03070005</t>
  </si>
  <si>
    <t>109430-11-7</t>
  </si>
  <si>
    <t>C(/C[C@@H](O)/C=C/C=C\C/C=C\CC)=C/C/C=C\CCCC(=O)O</t>
  </si>
  <si>
    <t>IDEHSDHMEMMYIR-DJWFCICMSA-N</t>
  </si>
  <si>
    <t>11.53_637.4560m/z</t>
  </si>
  <si>
    <t>PE(13:0/14:1(9Z))</t>
  </si>
  <si>
    <t>LMGP02010383</t>
  </si>
  <si>
    <t>[C@](COP(=O)(O)OCCN)([H])(OC(CCCCCCC/C=C\CCCC)=O)COC(CCCCCCCCCCCC)=O</t>
  </si>
  <si>
    <t>SYVVHHLOEIRCQF-QDKVJEPWSA-N</t>
  </si>
  <si>
    <t>C32H62NO8P</t>
  </si>
  <si>
    <t>4.03_301.1556m/z</t>
  </si>
  <si>
    <t>Caffeic Acid Phenethyl Amide</t>
  </si>
  <si>
    <t>HMDB0249531</t>
  </si>
  <si>
    <t>OC1=CC=C(C=CC(=O)NCCC2=CC=CC=C2)C=C1O</t>
  </si>
  <si>
    <t>QOWABIXYAFJMQE-UHFFFAOYSA-N</t>
  </si>
  <si>
    <t>C17H17NO3</t>
  </si>
  <si>
    <t>7.17_427.2252m/z</t>
  </si>
  <si>
    <t>Irbesartan</t>
  </si>
  <si>
    <t>HMDB0015163</t>
  </si>
  <si>
    <t>C07469</t>
  </si>
  <si>
    <t>138402-11-6</t>
  </si>
  <si>
    <t>CCCCC1=NC2(CCCC2)C(=O)N1CC1=CC=C(C=C1)C1=CC=CC=C1C1=NNN=N1</t>
  </si>
  <si>
    <t>YOSHYTLCDANDAN-UHFFFAOYSA-N</t>
  </si>
  <si>
    <t>Biphenyls and derivatives</t>
  </si>
  <si>
    <t>C25H28N6O</t>
  </si>
  <si>
    <t>11.88_336.3267m/z</t>
  </si>
  <si>
    <t>2-amino-14,16-dimethyloctadecan-3-ol</t>
  </si>
  <si>
    <t>LMSP01080031</t>
  </si>
  <si>
    <t>C(C)(N)C(O)CCCCCCCCCCC(C)CC(C)CC</t>
  </si>
  <si>
    <t>PRIXJBFEYXJGPF-UHFFFAOYSA-N</t>
  </si>
  <si>
    <t>C20H43NO</t>
  </si>
  <si>
    <t>9.65_379.2499n</t>
  </si>
  <si>
    <t>Sphingosine-1-phosphate</t>
  </si>
  <si>
    <t>HMDB0000277</t>
  </si>
  <si>
    <t>LMSP01050001</t>
  </si>
  <si>
    <t>C06124</t>
  </si>
  <si>
    <t>hsa00600,hsa04020,hsa04071,hsa04072,hsa04080,hsa04148,hsa04371,hsa04666,hsa05152</t>
  </si>
  <si>
    <t>Sphingolipid metabolism|Calcium signaling pathway|Sphingolipid signaling pathway|Phospholipase D signaling pathway|Neuroactive ligand-receptor interaction|Efferocytosis|Apelin signaling pathway|Fc gamma R-mediated phagocytosis|Tuberculosis</t>
  </si>
  <si>
    <t>26993-30-6</t>
  </si>
  <si>
    <t>OP(OC[C@]([H])(N)[C@]([H])(O)/C=C/CCCCCCCCCCCCC)(=O)O</t>
  </si>
  <si>
    <t>DUYSYHSSBDVJSM-KRWOKUGFSA-N</t>
  </si>
  <si>
    <t>C18H38NO5P</t>
  </si>
  <si>
    <t>7.53_454.2942m/z</t>
  </si>
  <si>
    <t>Glycerophospho-N-Palmitoyl Ethanolamine</t>
  </si>
  <si>
    <t>100575-09-5</t>
  </si>
  <si>
    <t>CCCCCCCCCCCCCCCC(=O)NCCOP(=O)(O)OCC(CO)O</t>
  </si>
  <si>
    <t>FIXMIXZULLAMCB-UHFFFAOYSA-N</t>
  </si>
  <si>
    <t>4.69_581.2414m/z</t>
  </si>
  <si>
    <t>Atorvastatin</t>
  </si>
  <si>
    <t>HMDB0005006</t>
  </si>
  <si>
    <t>C06834</t>
  </si>
  <si>
    <t>134523-00-5</t>
  </si>
  <si>
    <t>CC(C)C1=C(C(=O)NC2=CC=CC=C2)C(=C(N1CC[C@@H](O)C[C@@H](O)CC(O)=O)C1=CC=C(F)C=C1)C1=CC=CC=C1</t>
  </si>
  <si>
    <t>XUKUURHRXDUEBC-KAYWLYCHSA-N</t>
  </si>
  <si>
    <t>Pyrroles</t>
  </si>
  <si>
    <t>Substituted pyrroles</t>
  </si>
  <si>
    <t>C33H35FN2O5</t>
  </si>
  <si>
    <t>5.99_526.2482m/z</t>
  </si>
  <si>
    <t>N-[(3a,5b,7a,12a)-3,12-dihydroxy-24-oxo-7-(sulfoxy)cholan-24-yl]-Glycine</t>
  </si>
  <si>
    <t>HMDB02640</t>
  </si>
  <si>
    <t>LMST05030010</t>
  </si>
  <si>
    <t>O[C@H]1C[C@@]2([H])C[C@@H](OS(=O)(O)=O)[C@@]3([H])[C@]4([H])CC[C@]([H])([C@@](C)([H])CCC(=O)NCC(=O)O)[C@@]4(C)[C@@H](O)C[C@]3([H])[C@@]2(C)CC1</t>
  </si>
  <si>
    <t>BJPPZTDOLXZUSK-FRVQLJSFSA-N</t>
  </si>
  <si>
    <t>4.28_165.0185m/z</t>
  </si>
  <si>
    <t>Phthalic acid</t>
  </si>
  <si>
    <t>HMDB0002107</t>
  </si>
  <si>
    <t>C01606</t>
  </si>
  <si>
    <t>88-99-3</t>
  </si>
  <si>
    <t>OC(=O)C1=CC=CC=C1C(O)=O</t>
  </si>
  <si>
    <t>XNGIFLGASWRNHJ-UHFFFAOYSA-N</t>
  </si>
  <si>
    <t>C8H6O4</t>
  </si>
  <si>
    <t>6.86_389.1971m/z</t>
  </si>
  <si>
    <t>Prostratin</t>
  </si>
  <si>
    <t>HMDB0256861</t>
  </si>
  <si>
    <t>CC1CC2(OC(C)=O)C(C3C=C(CO)CC4(O)C(C=C(C)C4=O)C13O)C2(C)C</t>
  </si>
  <si>
    <t>BOJKFRKNLSCGHY-UHFFFAOYSA-N</t>
  </si>
  <si>
    <t>C22H30O6</t>
  </si>
  <si>
    <t>4.51_617.2957m/z</t>
  </si>
  <si>
    <t>Ganoderic acid H</t>
  </si>
  <si>
    <t>HMDB0035987</t>
  </si>
  <si>
    <t>98665-19-1</t>
  </si>
  <si>
    <t>CC(CC(=O)CC(C)C(O)=O)C1CC(=O)C2(C)C3=C(C(=O)C(OC(C)=O)C12C)C1(C)CCC(O)C(C)(C)C1CC3=O</t>
  </si>
  <si>
    <t>YCXUCEXEMJPDRZ-UHFFFAOYSA-N</t>
  </si>
  <si>
    <t>C32H44O9</t>
  </si>
  <si>
    <t>2.82_137.1329m/z</t>
  </si>
  <si>
    <t>1,8-Cineol</t>
  </si>
  <si>
    <t>HMDB0004472</t>
  </si>
  <si>
    <t>LMPR0102090019</t>
  </si>
  <si>
    <t>C09844</t>
  </si>
  <si>
    <t>hsa04750</t>
  </si>
  <si>
    <t>Inflammatory mediator regulation of TRP channels</t>
  </si>
  <si>
    <t>470-82-6</t>
  </si>
  <si>
    <t>C12(C)CCC(CC1)C(C)(C)O2</t>
  </si>
  <si>
    <t>WEEGYLXZBRQIMU-UHFFFAOYSA-N</t>
  </si>
  <si>
    <t>C10H18O</t>
  </si>
  <si>
    <t>11.48_374.2822n</t>
  </si>
  <si>
    <t>12alpha-Hydroxy-5beta-chol-3-en-24-oic Acid</t>
  </si>
  <si>
    <t>LMST04010213</t>
  </si>
  <si>
    <t>C1[C@]2(C)[C@@]3([H])C[C@H](O)[C@]4(C)[C@@]([H])([C@]([H])(C)CCC(O)=O)CC[C@@]4([H])[C@]3([H])CC[C@]2([H])C=CC1</t>
  </si>
  <si>
    <t>BKSILWCNOQPQDI-VSRDABHLSA-N</t>
  </si>
  <si>
    <t>9.77_311.2229m/z</t>
  </si>
  <si>
    <t>9-hydroxy-10-oxo-12Z-octadecenoic acid</t>
  </si>
  <si>
    <t>LMFA02000009</t>
  </si>
  <si>
    <t>C(CCCCCCCC(O)C(=O)C/C=C\CCCCC)(=O)O</t>
  </si>
  <si>
    <t>KUSHOISAFGTTRU-YFHOEESVSA-N</t>
  </si>
  <si>
    <t>8.81_365.1970m/z</t>
  </si>
  <si>
    <t>Oryzalide B</t>
  </si>
  <si>
    <t>HMDB0037592</t>
  </si>
  <si>
    <t>134885-94-2</t>
  </si>
  <si>
    <t>CC1(C)C2CCC34CC(CCC3C2(C)C(O)OC1=O)C(=C)C4O</t>
  </si>
  <si>
    <t>QINXJSIKYUBGSE-UHFFFAOYSA-N</t>
  </si>
  <si>
    <t>C19H28O4</t>
  </si>
  <si>
    <t>4.71_996.5247m/z</t>
  </si>
  <si>
    <t>PI(22:6(4Z,7Z,10Z,13Z,16Z,19Z)/6 keto-PGF1alpha)</t>
  </si>
  <si>
    <t>HMDB0278341</t>
  </si>
  <si>
    <t>CCCCC[C@H](O)\C=C\[C@H]1[C@H](O)C[C@H](O)[C@@H]2CC(=O)CCCCC(=O)O[C@H](COC(=O)CC\C=C/C\C=C/C\C=C/C\C=C/C\C=C/C\C=C/CC)COP(O)(=O)O[C@@H]([C@H](O)[C@@H](O)[C@@H]2O)[C@H](O)[C@@H]1O</t>
  </si>
  <si>
    <t>HBMLKOKJRNVVES-RJKHPXPCSA-N</t>
  </si>
  <si>
    <t>C51H81O17P</t>
  </si>
  <si>
    <t>9.32_163.1485m/z</t>
  </si>
  <si>
    <t>cis-Quinceoxepane</t>
  </si>
  <si>
    <t>HMDB0038108</t>
  </si>
  <si>
    <t>133005-51-3</t>
  </si>
  <si>
    <t>CC1CCCOC(C1)\C=C/C(C)=C</t>
  </si>
  <si>
    <t>RLBHQLPVVYXAQJ-SREVYHEPSA-N</t>
  </si>
  <si>
    <t>C12H20O</t>
  </si>
  <si>
    <t>8.06_193.0863m/z</t>
  </si>
  <si>
    <t>Methoxyeugenol</t>
  </si>
  <si>
    <t>HMDB0041194</t>
  </si>
  <si>
    <t>6627-88-9</t>
  </si>
  <si>
    <t>COC1=CC(CC=C)=CC(OC)=C1O</t>
  </si>
  <si>
    <t>FWMPKHMKIJDEMJ-UHFFFAOYSA-N</t>
  </si>
  <si>
    <t>14.46_626.5372m/z</t>
  </si>
  <si>
    <t>Squafosacin C</t>
  </si>
  <si>
    <t>LMPK03000051</t>
  </si>
  <si>
    <t>C(CCCC(O)CCCCC[C@@H](O)[C@H]1CC[C@H]([C@@H](CCCCCCCCCCCC)O)O1)CCCCC1C(=O)O[C@@H](C)C=1</t>
  </si>
  <si>
    <t>FFYADDYFFJTVSC-URCADZRVSA-N</t>
  </si>
  <si>
    <t>11.84_732.4083m/z</t>
  </si>
  <si>
    <t>OKODA-PE</t>
  </si>
  <si>
    <t>LMGP20020048</t>
  </si>
  <si>
    <t>[C@](COP(=O)(O)OCCN)([H])(OC(CCCCCCCC(=O)/C=C/C=O)=O)COC(CCCCCCC/C=C\CCCCCCCC)=O</t>
  </si>
  <si>
    <t>RLZMWCOCIJCFAA-VSHKKHLWSA-N</t>
  </si>
  <si>
    <t>C35H62NO10P</t>
  </si>
  <si>
    <t>9.18_417.2835m/z</t>
  </si>
  <si>
    <t>(5Z)-(3S)-1alpha,25-dihydroxy-3-deoxy-3-thiavitamin D3 3-oxide</t>
  </si>
  <si>
    <t>LMST03020052</t>
  </si>
  <si>
    <t>[S@+]1([O-])C/C(=C\C=C2\[C@]3([H])CC[C@@]([C@@](C)([H])CCCC(O)(C)C)([H])[C@@]3(C)CCC\2)/C(=C)[C@@H](O)C1</t>
  </si>
  <si>
    <t>WOGXXUYWQKFSGA-HBOBPDLOSA-N</t>
  </si>
  <si>
    <t>C26H42O3S</t>
  </si>
  <si>
    <t>12.09_271.2279m/z</t>
  </si>
  <si>
    <t>9-methoxy-pentadecanoic acid</t>
  </si>
  <si>
    <t>LMFA01080013</t>
  </si>
  <si>
    <t>C(CCCCCCCC(OC)CCCCCC)(=O)O</t>
  </si>
  <si>
    <t>QWMAMXJYEIAKRF-UHFFFAOYSA-N</t>
  </si>
  <si>
    <t>C16H32O3</t>
  </si>
  <si>
    <t>10.41_538.3067n</t>
  </si>
  <si>
    <t>BATRACHOTOXIN</t>
  </si>
  <si>
    <t>HMDB0248882</t>
  </si>
  <si>
    <t>CC(OC(=O)C1=C(C)NC=C1C)C1=CCC23OCCN(C)CC12CC(O)C12OC4(O)CCC1(C)C(CC=C32)C4</t>
  </si>
  <si>
    <t>ISNYUQWBWALXEY-UHFFFAOYSA-N</t>
  </si>
  <si>
    <t>Pyrrole carboxylic acids and derivatives</t>
  </si>
  <si>
    <t>C31H42N2O6</t>
  </si>
  <si>
    <t>8.94_646.2977m/z</t>
  </si>
  <si>
    <t>PKODiA-PS</t>
  </si>
  <si>
    <t>LMGP20040008</t>
  </si>
  <si>
    <t>C(O)(=O)[C@@]([H])(N)COP(OC[C@]([H])(OC(CCCC(=O)/C=C/C(=O)O)=O)COC(CCCCCCCCCCCCCCC)=O)(=O)O</t>
  </si>
  <si>
    <t>YTQPDFIMQDVQDS-BBFGVQDMSA-N</t>
  </si>
  <si>
    <t>C30H52NO13P</t>
  </si>
  <si>
    <t>11.57_565.2875m/z</t>
  </si>
  <si>
    <t>Hordatine A</t>
  </si>
  <si>
    <t>HMDB0030461</t>
  </si>
  <si>
    <t>C08307</t>
  </si>
  <si>
    <t>7073-64-5</t>
  </si>
  <si>
    <t>NC(=N)NCCCCNC(=O)\C=C/C1=CC(O)=C2OC(C(C(=O)NCCCCNC(N)=N)C2=C1)C1=CC=C(O)C=C1</t>
  </si>
  <si>
    <t>FCINNGNGQHGDFW-YHYXMXQVSA-N</t>
  </si>
  <si>
    <t>C28H38N8O5</t>
  </si>
  <si>
    <t>9.93_548.3727m/z</t>
  </si>
  <si>
    <t>PC(O-18:2(9Z,12Z)/2:0)</t>
  </si>
  <si>
    <t>LMGP01020158</t>
  </si>
  <si>
    <t>[C@](COP(=O)([O-])OCC[N+](C)(C)C)([H])(OC(C)=O)COCCCCCCCC/C=C\C/C=C\CCCCC</t>
  </si>
  <si>
    <t>ICPPVEDRGDADTQ-IZZMTCJOSA-N</t>
  </si>
  <si>
    <t>C28H54NO7P</t>
  </si>
  <si>
    <t>9.73_361.2379m/z</t>
  </si>
  <si>
    <t>14S,21S-diHDHA</t>
  </si>
  <si>
    <t>LMFA04000054</t>
  </si>
  <si>
    <t>R-HSA-1430728,R-HSA-556833,R-HSA-9018677,R-HSA-9018678,R-HSA-9018682,R-HSA-9027307</t>
  </si>
  <si>
    <t>Metabolism|Metabolism of lipids|Biosynthesis of DHA-derived SPMs|Biosynthesis of specialized proresolving mediators (SPMs)|Biosynthesis of maresins|Biosynthesis of maresin-like SPMs</t>
  </si>
  <si>
    <t>C(CC/C=C\C/C=C\C/C=C\C=C\[C@@H](O)C/C=C\C/C=C\[C@@H](O)C)(=O)O</t>
  </si>
  <si>
    <t>FRJZMMUVPROLHN-PPFGPZQYSA-N</t>
  </si>
  <si>
    <t>9.95_586.3152m/z</t>
  </si>
  <si>
    <t>PC(20:5(5Z,8Z,11Z,14Z,17Z)/0:0)</t>
  </si>
  <si>
    <t>HMDB0010397</t>
  </si>
  <si>
    <t>LMGP01050050</t>
  </si>
  <si>
    <t>[C@](COP(=O)([O-])OCC[N+](C)(C)C)([H])(O)COC(CCC/C=C\C/C=C\C/C=C\C/C=C\C/C=C\CC)=O</t>
  </si>
  <si>
    <t>PDIGSOAOQOXRDU-WJPZTBRDSA-N</t>
  </si>
  <si>
    <t>C28H48NO7P</t>
  </si>
  <si>
    <t>14.58_137.1077m/z</t>
  </si>
  <si>
    <t>Betahistine</t>
  </si>
  <si>
    <t>HMDB0015644</t>
  </si>
  <si>
    <t>5638-76-6</t>
  </si>
  <si>
    <t>CNCCC1=CC=CC=N1</t>
  </si>
  <si>
    <t>UUQMNUMQCIQDMZ-UHFFFAOYSA-N</t>
  </si>
  <si>
    <t>C8H12N2</t>
  </si>
  <si>
    <t>4.31_444.1190m/z</t>
  </si>
  <si>
    <t>Dibutyryl cyclic 3',5'-cytidine monophosphate</t>
  </si>
  <si>
    <t>HMDB0249394</t>
  </si>
  <si>
    <t>CCCC(=O)NC1=NC(=O)N(C=C1)C1OC2COP(O)(=O)OC2C1OC(=O)CCC</t>
  </si>
  <si>
    <t>IPICHPMWYGQEKH-UHFFFAOYSA-N</t>
  </si>
  <si>
    <t>C17H24N3O9P</t>
  </si>
  <si>
    <t>5.71_372.1054n</t>
  </si>
  <si>
    <t>Veranisatin C</t>
  </si>
  <si>
    <t>HMDB0031756</t>
  </si>
  <si>
    <t>182876-51-3</t>
  </si>
  <si>
    <t>COC(=O)C1(O)C2CC3(C(C)CC(O)C3(O)C11COC1=O)C(O)C(=O)O2</t>
  </si>
  <si>
    <t>JTVRXANWSWLMEV-UHFFFAOYSA-N</t>
  </si>
  <si>
    <t>C16H20O10</t>
  </si>
  <si>
    <t>11.07_421.1687m/z</t>
  </si>
  <si>
    <t>Cortisol 21-mesylate</t>
  </si>
  <si>
    <t>HMDB0250467</t>
  </si>
  <si>
    <t>CC12CC(O)C3C(CCC4=CC(=O)CCC34C)C1CCC2(O)C(=O)COS(C)(=O)=O</t>
  </si>
  <si>
    <t>AFMXNPUMXZCVGU-UHFFFAOYSA-N</t>
  </si>
  <si>
    <t>C22H32O7S</t>
  </si>
  <si>
    <t>10.33_411.3595m/z</t>
  </si>
  <si>
    <t>N-Linoleoyl Leucine</t>
  </si>
  <si>
    <t>HMDB0241979</t>
  </si>
  <si>
    <t>CCCCCC=CCC=CCCCCCCCC(=O)NC(CC(C)C)C(O)=O</t>
  </si>
  <si>
    <t>CICRQSYFFGMUEH-UHFFFAOYSA-N</t>
  </si>
  <si>
    <t>C24H43NO3</t>
  </si>
  <si>
    <t>13.86_362.2373m/z</t>
  </si>
  <si>
    <t>N-palmitoyl taurine</t>
  </si>
  <si>
    <t>HMDB0240594</t>
  </si>
  <si>
    <t>LMFA08020080</t>
  </si>
  <si>
    <t>83982-06-3</t>
  </si>
  <si>
    <t>C(CNC(CCCCCCCCCCCCCCC)=O)S(O)(=O)=O</t>
  </si>
  <si>
    <t>LPDJCYFKKSLKRO-UHFFFAOYSA-N</t>
  </si>
  <si>
    <t>C18H37NO4S</t>
  </si>
  <si>
    <t>9.91_350.2315m/z</t>
  </si>
  <si>
    <t>7'-Carboxy-gamma-tocotrienol</t>
  </si>
  <si>
    <t>HMDB0012851</t>
  </si>
  <si>
    <t>1221262-26-5</t>
  </si>
  <si>
    <t>C\C(CCC(O)=O)=C/CC[C@]1(C)CCC2=CC(O)=C(C)C(C)=C2O1</t>
  </si>
  <si>
    <t>NECINJBBPZOJSN-QARGNGGGSA-N</t>
  </si>
  <si>
    <t>6.13_130.0655m/z</t>
  </si>
  <si>
    <t>Isoquinoline</t>
  </si>
  <si>
    <t>HMDB0034244</t>
  </si>
  <si>
    <t>C06323</t>
  </si>
  <si>
    <t>119-65-3</t>
  </si>
  <si>
    <t>C1=CC=C2C=NC=CC2=C1</t>
  </si>
  <si>
    <t>AWJUIBRHMBBTKR-UHFFFAOYSA-N</t>
  </si>
  <si>
    <t>C9H7N</t>
  </si>
  <si>
    <t>13.26_589.4477m/z</t>
  </si>
  <si>
    <t>31-hydroxy-32,35-anhydrobacteriohopanetetrol</t>
  </si>
  <si>
    <t>LMPR04000027</t>
  </si>
  <si>
    <t>C1C[C@]2(C)C3[C@@](C)(CCC2C(C)(C)C1)[C@]1(C)CCC2C(C(CC(O)C4OC[C@H](O)[C@@H]4O)C)CC[C@]2(C)C1CC3</t>
  </si>
  <si>
    <t>DLBNHZPSBNAXRQ-PFIQLKTGSA-N</t>
  </si>
  <si>
    <t>Hopanoids</t>
  </si>
  <si>
    <t>C35H60O4</t>
  </si>
  <si>
    <t>10.37_480.3468m/z</t>
  </si>
  <si>
    <t>2,6,10,14-tetramethylpentadecanoylcarnitine</t>
  </si>
  <si>
    <t>HMDB0240896</t>
  </si>
  <si>
    <t>CC(C)CCCC(C)CCCC(C)CCCC(C)C(=O)OC(CC([O-])=O)C[N+](C)(C)C</t>
  </si>
  <si>
    <t>HMCQEDBUNXULMS-UHFFFAOYSA-N</t>
  </si>
  <si>
    <t>C26H51NO4</t>
  </si>
  <si>
    <t>3.36_188.9857m/z</t>
  </si>
  <si>
    <t>Hydroquinone sulfate</t>
  </si>
  <si>
    <t>HMDB0240263</t>
  </si>
  <si>
    <t>17438-29-8</t>
  </si>
  <si>
    <t>OC1=CC=C(OS(O)(=O)=O)C=C1</t>
  </si>
  <si>
    <t>FPXPQMOQWJZYBL-UHFFFAOYSA-N</t>
  </si>
  <si>
    <t>C6H6O5S</t>
  </si>
  <si>
    <t>10.80_792.5759m/z</t>
  </si>
  <si>
    <t>PC(18:0/15:0)</t>
  </si>
  <si>
    <t>HMDB0008033</t>
  </si>
  <si>
    <t>LMGP01011583</t>
  </si>
  <si>
    <t>[C@](COP(=O)([O-])OCC[N+](C)(C)C)([H])(OC(CCCCCCCCCCCCCC)=O)COC(CCCCCCCCCCCCCCCCC)=O</t>
  </si>
  <si>
    <t>FHENRYRLCPXONH-LDLOPFEMSA-N</t>
  </si>
  <si>
    <t>C41H82NO8P</t>
  </si>
  <si>
    <t>11.25_636.4479m/z</t>
  </si>
  <si>
    <t>Momordicoside I</t>
  </si>
  <si>
    <t>HMDB0035424</t>
  </si>
  <si>
    <t>81371-55-3</t>
  </si>
  <si>
    <t>CC(C\C=C\C(C)(C)O)C1CCC2(C)C3C=CC45OCC3(CCC12C)C4CCC(OC1OC(CO)C(O)C(O)C1O)C5(C)C</t>
  </si>
  <si>
    <t>KJEYALWPYVKAPR-RIYZIHGNSA-N</t>
  </si>
  <si>
    <t>C36H58O8</t>
  </si>
  <si>
    <t>11.59_299.2589m/z</t>
  </si>
  <si>
    <t>13-oxo-octadecanoic acid</t>
  </si>
  <si>
    <t>LMFA02000257</t>
  </si>
  <si>
    <t>C(CCCCCCCCCCCC(=O)CCCCC)(=O)O</t>
  </si>
  <si>
    <t>XJZICDVDQHWVAA-UHFFFAOYSA-N</t>
  </si>
  <si>
    <t>C18H34O3</t>
  </si>
  <si>
    <t>517</t>
  </si>
  <si>
    <t>Maltitol</t>
  </si>
  <si>
    <t>HMDB0002928</t>
  </si>
  <si>
    <t>585-88-6</t>
  </si>
  <si>
    <t>OC[C@H](O)[C@@H](O)[C@H](O[C@H]1O[C@H](CO)[C@@H](O)[C@H](O)[C@H]1O)[C@H](O)CO</t>
  </si>
  <si>
    <t>VQHSOMBJVWLPSR-WUJBLJFYSA-N</t>
  </si>
  <si>
    <t>C12H24O11</t>
  </si>
  <si>
    <t>13.53_473.3639m/z</t>
  </si>
  <si>
    <t>1alpha-hydroxy-26,27-dimethylvitamin D3 / 1alpha-hydroxy-26,27-dimethylcholecalciferol</t>
  </si>
  <si>
    <t>LMST03020415</t>
  </si>
  <si>
    <t>[C@@H]1(O)C(=C)/C(=C\C=C2\[C@]3([H])CC[C@@]([C@@](C)([H])CCCC(CC)CC)([H])[C@@]3(C)CCC\2)/C[C@@H](O)C1</t>
  </si>
  <si>
    <t>QFGMSRFTMOGGMD-YHJZYTGLSA-N</t>
  </si>
  <si>
    <t>C29H48O2</t>
  </si>
  <si>
    <t>9.03_606.3417m/z</t>
  </si>
  <si>
    <t>PHOOA-PE</t>
  </si>
  <si>
    <t>LMGP20020023</t>
  </si>
  <si>
    <t>[C@](COP(=O)(O)OCCN)([H])(OC(CCCC(O)/C=C/C(=O)[H])=O)COC(CCCCCCCCCCCCCCC)=O</t>
  </si>
  <si>
    <t>UUWGXMBMKVCUIX-OMCPJLQVSA-N</t>
  </si>
  <si>
    <t>C29H54NO10P</t>
  </si>
  <si>
    <t>0.64_355.0586m/z</t>
  </si>
  <si>
    <t>2-(6-Hydroxy-3-oxo-3H-xanthen-9-yl)benzoic acid</t>
  </si>
  <si>
    <t>HMDB0244936</t>
  </si>
  <si>
    <t>OC(=O)C1=CC=CC=C1C1=C2C=CC(=O)C=C2OC2=C1C=CC(O)=C2</t>
  </si>
  <si>
    <t>YKGGGCXBWXHKIZ-UHFFFAOYSA-N</t>
  </si>
  <si>
    <t>C20H12O5</t>
  </si>
  <si>
    <t>0.68_379.0824m/z</t>
  </si>
  <si>
    <t>1-Nitro-3,5-dinitroso-1,3,5-triazinane</t>
  </si>
  <si>
    <t>HMDB0253137</t>
  </si>
  <si>
    <t>[O-][N+](=O)N1CN(CN(C1)N=O)N=O</t>
  </si>
  <si>
    <t>HXLUHUHPTTZBCS-UHFFFAOYSA-N</t>
  </si>
  <si>
    <t>Triazinanes</t>
  </si>
  <si>
    <t>1,3,5-triazinanes</t>
  </si>
  <si>
    <t>C3H6N6O4</t>
  </si>
  <si>
    <t>9.87_409.3436m/z</t>
  </si>
  <si>
    <t>N-Linoleoyl Lysine</t>
  </si>
  <si>
    <t>HMDB0241980</t>
  </si>
  <si>
    <t>CCCCCC=CCC=CCCCCCCCC(=O)NC(CCCCN)C(O)=O</t>
  </si>
  <si>
    <t>CJWQSSUDVUQDSL-UHFFFAOYSA-N</t>
  </si>
  <si>
    <t>C24H44N2O3</t>
  </si>
  <si>
    <t>4.84_672.2446m/z</t>
  </si>
  <si>
    <t>F1alpha</t>
  </si>
  <si>
    <t>HMDB0252153</t>
  </si>
  <si>
    <t>CC(=O)NC1C(O)C(O)C(COC2OC(CO)C(OC3OC(CO)C(O)C(O)C3O)C(O)C2NC(C)=O)OC1OCC(N)C(O)=O</t>
  </si>
  <si>
    <t>JPQYDUJDUQNSHE-UHFFFAOYSA-N</t>
  </si>
  <si>
    <t>C25H43N3O18</t>
  </si>
  <si>
    <t>12.53_305.2482m/z</t>
  </si>
  <si>
    <t>omega-3-Arachidonic acid</t>
  </si>
  <si>
    <t>HMDB0002177</t>
  </si>
  <si>
    <t>LMFA01030818</t>
  </si>
  <si>
    <t>2091-26-1</t>
  </si>
  <si>
    <t>C(CCCCCC/C=C\C/C=C\C/C=C\C/C=C\CC)(=O)O</t>
  </si>
  <si>
    <t>HQPCSDADVLFHHO-LTKCOYKYSA-N</t>
  </si>
  <si>
    <t>9.56_372.2679n</t>
  </si>
  <si>
    <t>3-Oxo-5beta-chol-14-en-24-oic Acid</t>
  </si>
  <si>
    <t>LMST04010296</t>
  </si>
  <si>
    <t>C1[C@]2(C)[C@@]3([H])CC[C@]4(C)[C@@]([H])([C@]([H])(C)CCC(O)=O)CC=C4[C@]3([H])CC[C@]2([H])CC(=O)C1</t>
  </si>
  <si>
    <t>KQRUDKQAQBGZRY-FVZQQHRNSA-N</t>
  </si>
  <si>
    <t>138</t>
  </si>
  <si>
    <t>Phosphoric Acid</t>
  </si>
  <si>
    <t>HMDB0001429</t>
  </si>
  <si>
    <t>C00009</t>
  </si>
  <si>
    <t>hsa00190,hsa02010,hsa04928,hsa04978,hsa05012,hsa05022</t>
  </si>
  <si>
    <t>Oxidative phosphorylation|ABC transporters|Parathyroid hormone synthesis, secretion and action|Mineral absorption|Parkinson disease|Pathways of neurodegeneration - multiple diseases</t>
  </si>
  <si>
    <t>14265-44-2</t>
  </si>
  <si>
    <t>OP(O)(O)=O</t>
  </si>
  <si>
    <t>NBIIXXVUZAFLBC-UHFFFAOYSA-N</t>
  </si>
  <si>
    <t>Non-metal phosphates</t>
  </si>
  <si>
    <t>H3O4P</t>
  </si>
  <si>
    <t>7.76_556.2335m/z</t>
  </si>
  <si>
    <t>Asticolorin A</t>
  </si>
  <si>
    <t>HMDB0030133</t>
  </si>
  <si>
    <t>93376-70-6</t>
  </si>
  <si>
    <t>CC1=CC2C3C(C)(C1)C1=C(OC4=CC(C)=CC(O)=C14)C(O)C3(O)OC1=CC3=C(C4=C(O)C=C(C)C=C4O3)C(C)=C21</t>
  </si>
  <si>
    <t>JCRLYBYVQJKZSH-UHFFFAOYSA-N</t>
  </si>
  <si>
    <t>C33H30O7</t>
  </si>
  <si>
    <t>6.93_764.4265m/z</t>
  </si>
  <si>
    <t>PE(20:5(5Z,8Z,11Z,14Z,16E)-OH(18)/14:0)</t>
  </si>
  <si>
    <t>HMDB0260633</t>
  </si>
  <si>
    <t>[H][C@@](COC(=O)CCC\C=C/C\C=C/C\C=C/C=C/CC(O)\C=C/CC)(COP(O)(=O)OCCN)OC(=O)CCCCCCCCCCCCC</t>
  </si>
  <si>
    <t>ALCULKCLMHQZBT-IQZNKWCESA-N</t>
  </si>
  <si>
    <t>C39H68NO9P</t>
  </si>
  <si>
    <t>9.28_475.1407m/z</t>
  </si>
  <si>
    <t>Acridonecarboxamide</t>
  </si>
  <si>
    <t>HMDB0247969</t>
  </si>
  <si>
    <t>NC(=O)C1=C2C(NC3=CC=CC=C3C2=O)=CC=C1</t>
  </si>
  <si>
    <t>QJTYCHRNYDKMSD-UHFFFAOYSA-N</t>
  </si>
  <si>
    <t>C14H10N2O2</t>
  </si>
  <si>
    <t>10.81_499.2800m/z</t>
  </si>
  <si>
    <t>24-Nor-9,11-seco-11-acetoxy-3,6-dihydroxycholest-7,22-dien-9-one</t>
  </si>
  <si>
    <t>LMST03020680</t>
  </si>
  <si>
    <t>C1(C(=O)[C@@]2(C)CC[C@H](O)C[C@]2([H])[C@@H](O)C=1)[C@]1([H])CC[C@]([H])([C@@]([H])(/C=C/C(C)C)C)[C@@]1(C)CCOC(=O)C</t>
  </si>
  <si>
    <t>HURHMFSVMAENRK-NQZWFRJXSA-N</t>
  </si>
  <si>
    <t>C28H44O5</t>
  </si>
  <si>
    <t>6.28_638.3315m/z</t>
  </si>
  <si>
    <t>OG-PE</t>
  </si>
  <si>
    <t>LMGP20020036</t>
  </si>
  <si>
    <t>[C@](COP(=O)(O)OCCN)([H])(OC(CCCC(=O)O)=O)COC(CCCCCCC/C=C\CCCCCCCC)=O</t>
  </si>
  <si>
    <t>HNCJTFUKDGQMLS-HAAQQRBASA-N</t>
  </si>
  <si>
    <t>C28H52NO10P</t>
  </si>
  <si>
    <t>10.49_331.1915m/z</t>
  </si>
  <si>
    <t>(1(10)E,4E,6a,9b)-9-(2-Methylbutanoyloxy)-1(10),4,11(13)-germacratrien-12,6-olide</t>
  </si>
  <si>
    <t>HMDB0031374</t>
  </si>
  <si>
    <t>CCC(C)C(=O)OC1CC2C(OC(=O)C2=C)\C=C(C)\CC\C=C1/C</t>
  </si>
  <si>
    <t>HNBSPEQFYAYDLE-LSBMZBKTSA-N</t>
  </si>
  <si>
    <t>1.53_303.1463m/z</t>
  </si>
  <si>
    <t>Histidylphenylalanine</t>
  </si>
  <si>
    <t>HMDB0028892</t>
  </si>
  <si>
    <t>16874-81-0</t>
  </si>
  <si>
    <t>N[C@@H](CC1=CNC=N1)C(=O)N[C@@H](CC1=CC=CC=C1)C(O)=O</t>
  </si>
  <si>
    <t>XMAUFHMAAVTODF-STQMWFEESA-N</t>
  </si>
  <si>
    <t>C15H18N4O3</t>
  </si>
  <si>
    <t>10.47_358.2600m/z</t>
  </si>
  <si>
    <t>N-palmitoyl glycine</t>
  </si>
  <si>
    <t>HMDB0013034</t>
  </si>
  <si>
    <t>LMFA08020079</t>
  </si>
  <si>
    <t>158305-64-7</t>
  </si>
  <si>
    <t>C(CNC(CCCCCCCCCCCCCCC)=O)(=O)O</t>
  </si>
  <si>
    <t>KVTFEOAKFFQCCX-UHFFFAOYSA-N</t>
  </si>
  <si>
    <t>14.48_293.2118m/z</t>
  </si>
  <si>
    <t>3-oxo-2-(cis-2'-pentenyl)-cyclopentane-1-octanoate</t>
  </si>
  <si>
    <t>HMDB0304145</t>
  </si>
  <si>
    <t>CCC=CCC1C(CCCCCCCC([O-])=O)CCC1=O</t>
  </si>
  <si>
    <t>BZXZFDKIRZBJEP-UHFFFAOYSA-M</t>
  </si>
  <si>
    <t>C18H29O3-</t>
  </si>
  <si>
    <t>6.00_590.4129m/z</t>
  </si>
  <si>
    <t>1-(2-methoxy-tricosanyl)-sn-glycero-3-phosphoethanolamine</t>
  </si>
  <si>
    <t>LMGP02060027</t>
  </si>
  <si>
    <t>[C@](COP(=O)(O)OCCN)([H])(O)COCC(OC)CCCCCCCCCCCCCCCCCCCCC</t>
  </si>
  <si>
    <t>ZICABLDJCUZOBG-FICMROCWSA-N</t>
  </si>
  <si>
    <t>C29H62NO7P</t>
  </si>
  <si>
    <t>13.51_442.0903m/z</t>
  </si>
  <si>
    <t>Cyanidin 3-O-(6''-acetyl-arabinoside)</t>
  </si>
  <si>
    <t>HMDB0029238</t>
  </si>
  <si>
    <t>CC(=O)OC[C@H]1O[C@H](OC2=CC3=C(O)C=C(O)C=C3[O+]=C2C2=CC=C(O)C(O)=C2)[C@@H](O)[C@@H]1O</t>
  </si>
  <si>
    <t>LKLWQWKPLGSQMZ-JBPLPALLSA-O</t>
  </si>
  <si>
    <t>C22H21O11+</t>
  </si>
  <si>
    <t>109</t>
  </si>
  <si>
    <t>1-(2-Methoxy-1-Methylethoxy)-2-Propanol</t>
  </si>
  <si>
    <t>CC(COC(C)COC)O</t>
  </si>
  <si>
    <t>WGYZMNBUZFHYRX-UHFFFAOYSA-N</t>
  </si>
  <si>
    <t>C7H16O3</t>
  </si>
  <si>
    <t>8.94_672.3138m/z</t>
  </si>
  <si>
    <t>Dabigatran etexilate</t>
  </si>
  <si>
    <t>HMDB0015641</t>
  </si>
  <si>
    <t>211915-06-9</t>
  </si>
  <si>
    <t>CCCCCCOC(=O)N=C(N)C1=CC=C(NCC2=NC3=C(C=CC(=C3)C(=O)N(CCC(=O)OCC)C3=CC=CC=N3)N2C)C=C1</t>
  </si>
  <si>
    <t>KSGXQBZTULBEEQ-UHFFFAOYSA-N</t>
  </si>
  <si>
    <t>C34H41N7O5</t>
  </si>
  <si>
    <t>3.67_212.0804n</t>
  </si>
  <si>
    <t>(1R,2R)-2-Amino-1-(4-nitrophenyl)propane-1,3-diol</t>
  </si>
  <si>
    <t>HMDB0247315</t>
  </si>
  <si>
    <t>NC(CO)C(O)C1=CC=C(C=C1)[N+]([O-])=O</t>
  </si>
  <si>
    <t>OCYJXSUPZMNXEN-UHFFFAOYSA-N</t>
  </si>
  <si>
    <t>C9H12N2O4</t>
  </si>
  <si>
    <t>0.73_217.1188m/z</t>
  </si>
  <si>
    <t>Brunfelsamidine</t>
  </si>
  <si>
    <t>C10133</t>
  </si>
  <si>
    <t>97744-98-4</t>
  </si>
  <si>
    <t>C1=CNC=C1C(=N)N</t>
  </si>
  <si>
    <t>XVEVWOAHSYZRQE-UHFFFAOYSA-N</t>
  </si>
  <si>
    <t>C5H7N3</t>
  </si>
  <si>
    <t>6.86_443.2572m/z</t>
  </si>
  <si>
    <t>sn-3-O-(geranylgeranyl)glycerol 1-phosphate</t>
  </si>
  <si>
    <t>LMGP10060002</t>
  </si>
  <si>
    <t>C04590</t>
  </si>
  <si>
    <t>hsa00564</t>
  </si>
  <si>
    <t>Glycerophospholipid metabolism</t>
  </si>
  <si>
    <t>O(C[C@H](O)COP(O)(=O)O)C/C=C(/CC/C=C(/CC/C=C(/CC/C=C(/C)\C)\C)\C)\C</t>
  </si>
  <si>
    <t>BJLPWUCPFAJINB-UAQSTNRTSA-N</t>
  </si>
  <si>
    <t>C23H41O6P</t>
  </si>
  <si>
    <t>4.89_440.1308n</t>
  </si>
  <si>
    <t>Ginkgolide C</t>
  </si>
  <si>
    <t>HMDB0036860</t>
  </si>
  <si>
    <t>C07603</t>
  </si>
  <si>
    <t>15291-76-6</t>
  </si>
  <si>
    <t>CC1C(=O)OC2C(O)C34C5OC(=O)C3(OC3OC(=O)C(O)C43C(C5O)C(C)(C)C)C12O</t>
  </si>
  <si>
    <t>AMOGMTLMADGEOQ-UHFFFAOYSA-N</t>
  </si>
  <si>
    <t>C20H24O11</t>
  </si>
  <si>
    <t>3.90_752.3714m/z</t>
  </si>
  <si>
    <t>OHOOA-PI</t>
  </si>
  <si>
    <t>LMGP20050031</t>
  </si>
  <si>
    <t>[C@]([H])(OC(CCCC(O)/C=C/C=O)=O)(COP(=O)(O)O[C@H]1[C@H](O)[C@@H](O)[C@H](O)[C@@H](O)[C@H]1O)COC(CCCCCCC/C=C\CCCCCCCC)=O</t>
  </si>
  <si>
    <t>JEECOQISAZFYNQ-VAWFODACSA-N</t>
  </si>
  <si>
    <t>C35H61O15P</t>
  </si>
  <si>
    <t>9.26_404.2806m/z</t>
  </si>
  <si>
    <t>12alpha-Hydroxy-3-oxochola-4,6-dien-24-oic Acid</t>
  </si>
  <si>
    <t>HMDB00385</t>
  </si>
  <si>
    <t>LMST04010245</t>
  </si>
  <si>
    <t>C15569</t>
  </si>
  <si>
    <t>C1[C@]2(C)[C@@]3([H])C[C@H](O)[C@]4(C)[C@@]([H])([C@]([H])(C)CCC(O)=O)CC[C@@]4([H])[C@]3([H])C=CC2=CC(=O)C1</t>
  </si>
  <si>
    <t>DJVAMCYXFUWMLS-QUPGBHKMSA-N</t>
  </si>
  <si>
    <t>C24H34O4</t>
  </si>
  <si>
    <t>5.55_400.9830m/z</t>
  </si>
  <si>
    <t>Perfluoroethylcyclohexane</t>
  </si>
  <si>
    <t>HMDB0256319</t>
  </si>
  <si>
    <t>FC(F)(F)C(F)(F)C1(F)C(F)(F)C(F)(F)C(F)(F)C(F)(F)C1(F)F</t>
  </si>
  <si>
    <t>SEEJHICDPXGSRQ-UHFFFAOYSA-N</t>
  </si>
  <si>
    <t>Cyclohexyl halides</t>
  </si>
  <si>
    <t>C8F16</t>
  </si>
  <si>
    <t>12.38_463.0032m/z</t>
  </si>
  <si>
    <t>4-Hydroxyphenylacetic acid sulfate</t>
  </si>
  <si>
    <t>HMDB0304906</t>
  </si>
  <si>
    <t>OC1=CC=C(CC(=O)OS(O)(=O)=O)C=C1</t>
  </si>
  <si>
    <t>BVUMIHICABFWGS-UHFFFAOYSA-N</t>
  </si>
  <si>
    <t>11.62_464.3517n</t>
  </si>
  <si>
    <t>Trihydroxycoprostanoic acid</t>
  </si>
  <si>
    <t>HMDB02163</t>
  </si>
  <si>
    <t>LMST01010246</t>
  </si>
  <si>
    <t>[C@@]12([H])[C@H](O)C[C@@]3([H])[C@@H](C(=O)O)[C@H](O)CC[C@]3(C)[C@@]1([H])C[C@H](O)[C@]1(C)[C@@]([H])([C@]([H])(C)CCCC(C)C)CC[C@@]21[H]</t>
  </si>
  <si>
    <t>VWKIOWRUMFPYLP-WKOPZGHNSA-N</t>
  </si>
  <si>
    <t>C28H48O5</t>
  </si>
  <si>
    <t>331</t>
  </si>
  <si>
    <t>Allose</t>
  </si>
  <si>
    <t>HMDB0001151</t>
  </si>
  <si>
    <t>C01582</t>
  </si>
  <si>
    <t>6038-51-3</t>
  </si>
  <si>
    <t>WQZGKKKJIJFFOK-IVMDWMLBSA-N</t>
  </si>
  <si>
    <t>4.13_779.3657m/z</t>
  </si>
  <si>
    <t>Gln Pro Phe</t>
  </si>
  <si>
    <t>C1CC(N(C1)C(=O)C(CCC(=O)N)N)C(=O)NC(CC2=CC=CC=C2)C(=O)O</t>
  </si>
  <si>
    <t>MQJDLNRXBOELJW-KKUMJFAQSA-N</t>
  </si>
  <si>
    <t>C19H26N4O5</t>
  </si>
  <si>
    <t>0.71_300.0395m/z</t>
  </si>
  <si>
    <t>N-Acetylglucosamine 6-sulfate</t>
  </si>
  <si>
    <t>HMDB0000814</t>
  </si>
  <si>
    <t>C04132</t>
  </si>
  <si>
    <t>10356-99-7</t>
  </si>
  <si>
    <t>CC(=O)N[C@H]1[C@H](O)O[C@H](COS(O)(=O)=O)[C@@H](O)[C@@H]1O</t>
  </si>
  <si>
    <t>WJFVEEAIYIOATH-FMDGEEDCSA-N</t>
  </si>
  <si>
    <t>C8H15NO9S</t>
  </si>
  <si>
    <t>8.23_648.3140m/z</t>
  </si>
  <si>
    <t>PKOOA-PS</t>
  </si>
  <si>
    <t>LMGP20040006</t>
  </si>
  <si>
    <t>C(O)(=O)[C@@]([H])(N)COP(OC[C@]([H])(OC(CCCC(=O)/C=C/C(=O)[H])=O)COC(CCCCCCCCCCCCCCC)=O)(=O)O</t>
  </si>
  <si>
    <t>JPICCZKFIKMBKW-YKTDOQSASA-N</t>
  </si>
  <si>
    <t>C30H52NO12P</t>
  </si>
  <si>
    <t>8.25_333.2070m/z</t>
  </si>
  <si>
    <t>14-Deoxy-11,12-didehydroandrographolide</t>
  </si>
  <si>
    <t>HMDB0244578</t>
  </si>
  <si>
    <t>CC1(CO)C(O)CCC2(C)C1CCC(=C)C2C=CC1=CCOC1=O</t>
  </si>
  <si>
    <t>XMJAJFVLHDIEHF-UHFFFAOYSA-N</t>
  </si>
  <si>
    <t>0.85_313.0519m/z</t>
  </si>
  <si>
    <t>DL-Homocystine</t>
  </si>
  <si>
    <t>HMDB0000575</t>
  </si>
  <si>
    <t>C01817</t>
  </si>
  <si>
    <t>hsa00270</t>
  </si>
  <si>
    <t>Cysteine and methionine metabolism</t>
  </si>
  <si>
    <t>870-93-9</t>
  </si>
  <si>
    <t>NC(CCSSCCC(N)C(O)=O)C(O)=O</t>
  </si>
  <si>
    <t>ZTVZLYBCZNMWCF-UHFFFAOYSA-N</t>
  </si>
  <si>
    <t>C8H16N2O4S2</t>
  </si>
  <si>
    <t>4.14_659.2534m/z</t>
  </si>
  <si>
    <t>3-(3,4-Dihydroxyphenyl)-1-propanol 3'-glucoside</t>
  </si>
  <si>
    <t>HMDB0038304</t>
  </si>
  <si>
    <t>OCCCC1=CC(OC2OC(CO)C(O)C(O)C2O)=C(O)C=C1</t>
  </si>
  <si>
    <t>HGKIWLYFVQJOOO-UHFFFAOYSA-N</t>
  </si>
  <si>
    <t>C15H22O8</t>
  </si>
  <si>
    <t>8.80_394.2600m/z</t>
  </si>
  <si>
    <t>13-epi-20-E4c-NeuroP</t>
  </si>
  <si>
    <t>LMFA04010393</t>
  </si>
  <si>
    <t>C(CC/C=C\C/C=C\C/C=C\C[C@@H]1C(=O)C[C@@H](O)[C@H]1/C=C/[C@@H](O)CC)(=O)O</t>
  </si>
  <si>
    <t>BIHPRUQXOKWQGU-INUHVSEHSA-N</t>
  </si>
  <si>
    <t>14.63_504.4427m/z</t>
  </si>
  <si>
    <t>Aztequynol B</t>
  </si>
  <si>
    <t>LMFA01031253</t>
  </si>
  <si>
    <t>C(C#C/C=C\CCCCCCCCCCCCC(C)CCCCCCCCCC[C@@H](O)C#C)(=O)O</t>
  </si>
  <si>
    <t>MYMNWIAYDLJMQH-OKBGSMQMSA-N</t>
  </si>
  <si>
    <t>C32H54O3</t>
  </si>
  <si>
    <t>4.59_380.0844m/z</t>
  </si>
  <si>
    <t>Balsalazide</t>
  </si>
  <si>
    <t>HMDB0015149</t>
  </si>
  <si>
    <t>80573-04-2</t>
  </si>
  <si>
    <t>OC(=O)CCNC(=O)C1=CC=C(C=C1)\N=N\C1=CC=C(O)C(=C1)C(O)=O</t>
  </si>
  <si>
    <t>IPOKCKJONYRRHP-FMQUCBEESA-N</t>
  </si>
  <si>
    <t>Azobenzenes</t>
  </si>
  <si>
    <t>C17H15N3O6</t>
  </si>
  <si>
    <t>11.05_299.2590m/z</t>
  </si>
  <si>
    <t>11-HOME(9)</t>
  </si>
  <si>
    <t>LMFA02000211</t>
  </si>
  <si>
    <t>C(CCCCCCC/C=C/C(O)CCCCCCC)(=O)O</t>
  </si>
  <si>
    <t>MHBZYZVYSHCDLI-NTCAYCPXSA-N</t>
  </si>
  <si>
    <t>8.99_334.2364m/z</t>
  </si>
  <si>
    <t>Ovoideal E</t>
  </si>
  <si>
    <t>LMPR0104100006</t>
  </si>
  <si>
    <t>C1C[C@@H](O)C(C)(C)C2CC[C@]3(O)C(C=C)=C(C)C(=O)C=C3[C@]12C</t>
  </si>
  <si>
    <t>QHBVEFZXLDZKEW-FPNZGKMQSA-N</t>
  </si>
  <si>
    <t>0.77_328.1167m/z</t>
  </si>
  <si>
    <t>Ala Glu Glu</t>
  </si>
  <si>
    <t>CC(C(=O)NC(CCC(=O)O)C(=O)NC(CCC(=O)O)C(=O)O)N</t>
  </si>
  <si>
    <t>WKOBSJOZRJJVRZ-FXQIFTODSA-N</t>
  </si>
  <si>
    <t>C13H21N3O8</t>
  </si>
  <si>
    <t>1.91_281.1142m/z</t>
  </si>
  <si>
    <t>N6-Methyladenosine</t>
  </si>
  <si>
    <t>HMDB0004044</t>
  </si>
  <si>
    <t>R-HSA-73894,R-HSA-73942,R-HSA-73943</t>
  </si>
  <si>
    <t>DNA Repair|DNA Damage Reversal|Reversal of alkylation damage by DNA dioxygenases</t>
  </si>
  <si>
    <t>1867-73-8</t>
  </si>
  <si>
    <t>CNC1=NC=NC2=C1N=CN2[C@@H]1O[C@H](CO)[C@@H](O)[C@H]1O</t>
  </si>
  <si>
    <t>VQAYFKKCNSOZKM-IOSLPCCCSA-N</t>
  </si>
  <si>
    <t>C11H15N5O4</t>
  </si>
  <si>
    <t>9.77_330.2649m/z</t>
  </si>
  <si>
    <t>alpha-9,10-DiHODE</t>
  </si>
  <si>
    <t>HMDB0010221</t>
  </si>
  <si>
    <t>LMFA02000045</t>
  </si>
  <si>
    <t>C(CCCCCCCC(O)C(O)C/C=C\C/C=C\CC)(=O)O</t>
  </si>
  <si>
    <t>QRHSEDZBZMZPOA-ZJSQCTGTSA-N</t>
  </si>
  <si>
    <t>9.99_395.2057m/z</t>
  </si>
  <si>
    <t>Prostaglandin H3</t>
  </si>
  <si>
    <t>HMDB0013040</t>
  </si>
  <si>
    <t>60114-66-1</t>
  </si>
  <si>
    <t>CC\C=C/C[C@H](O)\C=C\[C@H]1[C@H]2C[C@H](OO2)[C@@H]1C\C=C/CCCC(O)=O</t>
  </si>
  <si>
    <t>PVTQTOGPOPGQGE-SAMSIYEGSA-N</t>
  </si>
  <si>
    <t>9.68_395.0135m/z</t>
  </si>
  <si>
    <t>7-Aminobenzo[d]isothiazol-3(2H)-one 1,1-dioxide</t>
  </si>
  <si>
    <t>HMDB0257745</t>
  </si>
  <si>
    <t>NC1=CC=CC2=C1S(=O)(=O)NC2=O</t>
  </si>
  <si>
    <t>TVTYWZAUGVDZKU-UHFFFAOYSA-N</t>
  </si>
  <si>
    <t>Benzothiazoles</t>
  </si>
  <si>
    <t>C7H6N2O3S</t>
  </si>
  <si>
    <t>7.25_465.0367m/z</t>
  </si>
  <si>
    <t>Aminobutane bisphosphonate</t>
  </si>
  <si>
    <t>HMDB0249923</t>
  </si>
  <si>
    <t>CCCC(N)(P(O)(O)=O)P(O)(O)=O</t>
  </si>
  <si>
    <t>XLIREHXMRXKQIV-UHFFFAOYSA-N</t>
  </si>
  <si>
    <t>Organic phosphonic acids and derivatives</t>
  </si>
  <si>
    <t>Bisphosphonates</t>
  </si>
  <si>
    <t>C4H13NO6P2</t>
  </si>
  <si>
    <t>10.21_449.2547m/z</t>
  </si>
  <si>
    <t>Lovastatin</t>
  </si>
  <si>
    <t>HMDB0014372</t>
  </si>
  <si>
    <t>C07074</t>
  </si>
  <si>
    <t>75330-75-5</t>
  </si>
  <si>
    <t>[H][C@]12[C@H](C[C@@H](C)C=C1C=C[C@H](C)[C@@H]2CC[C@@H]1C[C@@H](O)CC(=O)O1)OC(=O)[C@@H](C)CC</t>
  </si>
  <si>
    <t>PCZOHLXUXFIOCF-BXMDZJJMSA-N</t>
  </si>
  <si>
    <t>C24H36O5</t>
  </si>
  <si>
    <t>8.80_370.2600m/z</t>
  </si>
  <si>
    <t>(5Z)-(15S)-11alpha-Hydroxy-9,15-dioxoprostanoate</t>
  </si>
  <si>
    <t>HMDB0012481</t>
  </si>
  <si>
    <t>CCCCCC(=O)CC[C@@H]1[C@@H](O)CC(=O)[C@H]1C\C=C/CCCC(O)=O</t>
  </si>
  <si>
    <t>CUJMXIQZWPZMNQ-PRDMLAEISA-N</t>
  </si>
  <si>
    <t>7.88_323.0718m/z</t>
  </si>
  <si>
    <t>5-hydroxyindole thiazolidine carboxylate</t>
  </si>
  <si>
    <t>HMDB0304217</t>
  </si>
  <si>
    <t>OC(=O)C1CSC(CC2=CNC3=CC=C(O)C=C23)N1</t>
  </si>
  <si>
    <t>DFSPELNJAJEWOM-UHFFFAOYSA-N</t>
  </si>
  <si>
    <t>C13H14N2O3S</t>
  </si>
  <si>
    <t>14.47_557.4578m/z</t>
  </si>
  <si>
    <t>Cholesteryl caprylate</t>
  </si>
  <si>
    <t>HMDB0250183</t>
  </si>
  <si>
    <t>CCCCCCCC(=O)OC1CCC2(C)C3CCC4(C)C(CCC4C3CC=C2C1)C(C)CCCC(C)C</t>
  </si>
  <si>
    <t>SKLBBRQPVZDTNM-UHFFFAOYSA-N</t>
  </si>
  <si>
    <t>C35H60O2</t>
  </si>
  <si>
    <t>10.99_663.4592m/z</t>
  </si>
  <si>
    <t>PA(O-16:0/15:1(9Z))</t>
  </si>
  <si>
    <t>LMGP10020007</t>
  </si>
  <si>
    <t>[C@](COP(=O)(O)O)([H])(OC(CCCCCCC/C=C\CCCCC)=O)COCCCCCCCCCCCCCCCC</t>
  </si>
  <si>
    <t>FZEFZDYBMCCQFR-HUIXSENASA-N</t>
  </si>
  <si>
    <t>C34H67O7P</t>
  </si>
  <si>
    <t>4.00_652.3013m/z</t>
  </si>
  <si>
    <t>Ansamitocin P3</t>
  </si>
  <si>
    <t>LMPK04000039</t>
  </si>
  <si>
    <t>C12045</t>
  </si>
  <si>
    <t>[C@@]12(C)O[C@H]1[C@H](C)[C@@]1([H])OC(N[C@@](O)([C@H](OC)C=CC=C(C)CC3=CC(OC)=C(Cl)C(=C3)N(C)C(=O)C[C@@H]2OC(=O)C(C)C)C1)=O</t>
  </si>
  <si>
    <t>OPQNCARIZFLNLF-JBHFWYGFSA-N</t>
  </si>
  <si>
    <t>C32H43ClN2O9</t>
  </si>
  <si>
    <t>8.54_287.2832n</t>
  </si>
  <si>
    <t>C17 Sphinganine</t>
  </si>
  <si>
    <t>LMSP01040003</t>
  </si>
  <si>
    <t>OC[C@]([H])(N)[C@]([H])(O)CCCCCCCCCCCCCC</t>
  </si>
  <si>
    <t>KFQUQCFJDMSIJF-DLBZAZTESA-N</t>
  </si>
  <si>
    <t>C17H37NO2</t>
  </si>
  <si>
    <t>531</t>
  </si>
  <si>
    <t>Lysergide</t>
  </si>
  <si>
    <t>C07542</t>
  </si>
  <si>
    <t>50-37-3</t>
  </si>
  <si>
    <t>CCN(CC)C(=O)C1CN(C2CC3=CNC4=CC=CC(=C34)C2=C1)C</t>
  </si>
  <si>
    <t>VAYOSLLFUXYJDT-RDTXWAMCSA-N</t>
  </si>
  <si>
    <t>C20H25N3O</t>
  </si>
  <si>
    <t>6.36_439.2319m/z</t>
  </si>
  <si>
    <t>(13S,16S,19R)-d14-17-NeuroF[17a,20a]</t>
  </si>
  <si>
    <t>LMFA04020329</t>
  </si>
  <si>
    <t>C(CC/C=C\C/C=C\C/C=C\C[C@H](O)/C=C/[C@H](O)[C@]1([H])O[C@]([H])(CC)[C@H](O)C1)(=O)O</t>
  </si>
  <si>
    <t>GSWGXTVVBBPHGF-ANSCJJEPSA-N</t>
  </si>
  <si>
    <t>8.36_206.1314n</t>
  </si>
  <si>
    <t>10beta-12,13-Dinor-8-oxo-6-eremophilen-11-al</t>
  </si>
  <si>
    <t>HMDB0037604</t>
  </si>
  <si>
    <t>348119-86-8</t>
  </si>
  <si>
    <t>CC1CCCC2CC(=O)C(C=O)=CC12C</t>
  </si>
  <si>
    <t>QJHOMNLQPDCBJF-UHFFFAOYSA-N</t>
  </si>
  <si>
    <t>C13H18O2</t>
  </si>
  <si>
    <t>8.21_518.3258m/z</t>
  </si>
  <si>
    <t>PC(18:3(6Z,9Z,12Z)/0:0)</t>
  </si>
  <si>
    <t>HMDB0010387</t>
  </si>
  <si>
    <t>LMGP01050128</t>
  </si>
  <si>
    <t>[C@](COP(=O)([O-])OCC[N+](C)(C)C)([H])(O)COC(CCCC/C=C\C/C=C\C/C=C\CCCCC)=O</t>
  </si>
  <si>
    <t>MRTUWVDDQVMUCR-ACHCNROVSA-N</t>
  </si>
  <si>
    <t>8.02_395.2443m/z</t>
  </si>
  <si>
    <t>7-hydroxy-2,4,7-trimethyl-2E,4E-octadienoic acid</t>
  </si>
  <si>
    <t>LMFA01031268</t>
  </si>
  <si>
    <t>C(/C(/C)=C/C(/C)=C/CC(O)(C)C)(=O)O</t>
  </si>
  <si>
    <t>AHNOKIIXVYRKGQ-OCIXRKKMSA-N</t>
  </si>
  <si>
    <t>C11H18O3</t>
  </si>
  <si>
    <t>8.40_336.2520m/z</t>
  </si>
  <si>
    <t>Yucalexin P17</t>
  </si>
  <si>
    <t>HMDB0036752</t>
  </si>
  <si>
    <t>119642-82-9</t>
  </si>
  <si>
    <t>CC1(C)C(O)C(=O)CC2(C)C3CC(O)C(C)(C=C)C=C3CCC12</t>
  </si>
  <si>
    <t>OKNGHMJLXXXEEZ-UHFFFAOYSA-N</t>
  </si>
  <si>
    <t>4.79_661.3258m/z</t>
  </si>
  <si>
    <t>Satavaptan</t>
  </si>
  <si>
    <t>HMDB0257503</t>
  </si>
  <si>
    <t>CCOC1=CC2=C(C=C1)N(C(=O)C21CCC(CC1)OCCN1CCOCC1)S(=O)(=O)C1=C(OC)C=C(C=C1)C(=O)NC(C)(C)C</t>
  </si>
  <si>
    <t>QKXJWFOKVQWEDZ-UHFFFAOYSA-N</t>
  </si>
  <si>
    <t>C33H45N3O8S</t>
  </si>
  <si>
    <t>11.72_620.3548m/z</t>
  </si>
  <si>
    <t>OS-PC</t>
  </si>
  <si>
    <t>LMGP20010026</t>
  </si>
  <si>
    <t>[C@](COP(=O)([O-])OCC[N+](C)(C)C)([H])(OC(CCC(=O)O)=O)COC(CCCCCCC/C=C\CCCCCCCC)=O</t>
  </si>
  <si>
    <t>YTDJKPAWCJSLDU-MEOKJUQFSA-N</t>
  </si>
  <si>
    <t>C30H56NO10P</t>
  </si>
  <si>
    <t>0.74_291.0964n</t>
  </si>
  <si>
    <t>2-Deoxy-2,3-dehydro-n-acetyl-neuraminic acid</t>
  </si>
  <si>
    <t>HMDB0245680</t>
  </si>
  <si>
    <t>CC(=O)NC1C(O)C=C(OC1C(O)C(O)CO)C(O)=O</t>
  </si>
  <si>
    <t>JINJZWSZQKHCIP-UHFFFAOYSA-N</t>
  </si>
  <si>
    <t>Carboxylic acid derivatives</t>
  </si>
  <si>
    <t>M+H-H2O, M+NH4, M+Na</t>
  </si>
  <si>
    <t>C11H17NO8</t>
  </si>
  <si>
    <t>5.55_339.0820m/z</t>
  </si>
  <si>
    <t>Bisdethiobis(methylthio)gliotoxin</t>
  </si>
  <si>
    <t>HMDB0249258</t>
  </si>
  <si>
    <t>CSC12CC3=CC=CC(O)C3N1C(=O)C(CO)(SC)N(C)C2=O</t>
  </si>
  <si>
    <t>OVBAGMZLGLXSBN-UHFFFAOYSA-N</t>
  </si>
  <si>
    <t>C15H20N2O4S2</t>
  </si>
  <si>
    <t>5.13_477.2249m/z</t>
  </si>
  <si>
    <t>PA(18:3(9Z,12Z,15Z)/0:0)</t>
  </si>
  <si>
    <t>HMDB0062320</t>
  </si>
  <si>
    <t>LMGP10050035</t>
  </si>
  <si>
    <t>[C@](COP(=O)(O)O)([H])(O)COC(CCCCCCC/C=C\C/C=C\C/C=C\CC)=O</t>
  </si>
  <si>
    <t>DVNZKWQUAXJYGB-LVTNFWOSSA-N</t>
  </si>
  <si>
    <t>C21H37O7P</t>
  </si>
  <si>
    <t>4.24_241.0746m/z</t>
  </si>
  <si>
    <t>Histidylcysteine</t>
  </si>
  <si>
    <t>HMDB0028882</t>
  </si>
  <si>
    <t>116833-93-3</t>
  </si>
  <si>
    <t>N[C@@H](CC1=CNC=N1)C(=O)N[C@@H](CS)C(O)=O</t>
  </si>
  <si>
    <t>MAJYPBAJPNUFPV-BQBZGAKWSA-N</t>
  </si>
  <si>
    <t>C9H14N4O3S</t>
  </si>
  <si>
    <t>6.92_509.1219m/z</t>
  </si>
  <si>
    <t>Apigenidin</t>
  </si>
  <si>
    <t>HMDB0303074</t>
  </si>
  <si>
    <t>C08574</t>
  </si>
  <si>
    <t>OC1=CC=C(C=C1)C1=[O+]C2=C(C=C1)C(O)=CC(O)=C2</t>
  </si>
  <si>
    <t>ZKMZBAABQFUXFE-UHFFFAOYSA-O</t>
  </si>
  <si>
    <t>Hydroxyflavonoids</t>
  </si>
  <si>
    <t>C15H11O4+</t>
  </si>
  <si>
    <t>11.53_345.2436m/z</t>
  </si>
  <si>
    <t>Siderol</t>
  </si>
  <si>
    <t>HMDB0034944</t>
  </si>
  <si>
    <t>19885-22-4</t>
  </si>
  <si>
    <t>CC1=CC23CC1CCC2C4(CCCC(C4CC3OC(=O)C)(C)CO)C</t>
  </si>
  <si>
    <t>OFNWUWHDGCNABD-CSGHFTSRSA-N</t>
  </si>
  <si>
    <t>13.49_512.3597m/z</t>
  </si>
  <si>
    <t>(11Z,14Z)-3-Icosa-11,14-dienoylcarnitine</t>
  </si>
  <si>
    <t>HMDB0241577</t>
  </si>
  <si>
    <t>CCCCCC=CCC=CCCCCCCCC(O)CC(=O)OC(CC([O-])=O)C[N+](C)(C)C</t>
  </si>
  <si>
    <t>SMJJEGJNWOWKIM-UHFFFAOYSA-N</t>
  </si>
  <si>
    <t>C27H49NO5</t>
  </si>
  <si>
    <t>3.62_118.0656m/z</t>
  </si>
  <si>
    <t>Indole</t>
  </si>
  <si>
    <t>HMDB0000738</t>
  </si>
  <si>
    <t>C00463</t>
  </si>
  <si>
    <t>hsa00380,hsa00400,hsa04974</t>
  </si>
  <si>
    <t>Tryptophan metabolism|Phenylalanine, tyrosine and tryptophan biosynthesis|Protein digestion and absorption</t>
  </si>
  <si>
    <t>R-HSA-1430728,R-HSA-211859,R-HSA-211897,R-HSA-211945,R-HSA-211958</t>
  </si>
  <si>
    <t>Metabolism|Biological oxidations|Cytochrome P450 - arranged by substrate type|Phase I - Functionalization of compounds|Miscellaneous substrates</t>
  </si>
  <si>
    <t>120-72-9</t>
  </si>
  <si>
    <t>N1C=CC2=C1C=CC=C2</t>
  </si>
  <si>
    <t>SIKJAQJRHWYJAI-UHFFFAOYSA-N</t>
  </si>
  <si>
    <t>C8H7N</t>
  </si>
  <si>
    <t>11.09_842.5913m/z</t>
  </si>
  <si>
    <t>PE(20:2(11Z,14Z)/20:1(11Z))</t>
  </si>
  <si>
    <t>HMDB0009296</t>
  </si>
  <si>
    <t>LMGP02010891</t>
  </si>
  <si>
    <t>[C@](COP(=O)(O)OCCN)([H])(OC(CCCCCCCCC/C=C\CCCCCCCC)=O)COC(CCCCCCCCC/C=C\C/C=C\CCCCC)=O</t>
  </si>
  <si>
    <t>ASGFBLZNKOAEKB-JLPGKHPDSA-N</t>
  </si>
  <si>
    <t>C45H84NO8P</t>
  </si>
  <si>
    <t>1.07_328.1104n</t>
  </si>
  <si>
    <t>Tubulin Polymerization Inhibitor</t>
  </si>
  <si>
    <t>HMDB0259320</t>
  </si>
  <si>
    <t>COC1=C(O)C=C(C=C2C3=CC=CC=C3C(=O)C3=CC=CC=C23)C=C1</t>
  </si>
  <si>
    <t>MQLACMBJVPINKE-UHFFFAOYSA-N</t>
  </si>
  <si>
    <t>Anthracenes</t>
  </si>
  <si>
    <t>C22H16O3</t>
  </si>
  <si>
    <t>5.91_301.0117m/z</t>
  </si>
  <si>
    <t>4-Methylumbelliferyl phosphate</t>
  </si>
  <si>
    <t>HMDB0246521</t>
  </si>
  <si>
    <t>CC1=CC(=O)OC2=C1C=CC(OP(O)(O)=O)=C2</t>
  </si>
  <si>
    <t>BCHIXGBGRHLSBE-UHFFFAOYSA-N</t>
  </si>
  <si>
    <t>C10H9O6P</t>
  </si>
  <si>
    <t>10.10_515.3395m/z</t>
  </si>
  <si>
    <t>Phytolaccinic acid</t>
  </si>
  <si>
    <t>HMDB0034640</t>
  </si>
  <si>
    <t>54928-05-1</t>
  </si>
  <si>
    <t>COC(=O)C1(C)CCC2(CCC3(C)C(=CCC4C5(C)CCC(O)C(C)(CO)C5CCC34C)C2C1)C(O)=O</t>
  </si>
  <si>
    <t>YAGYBNOEVSEGSL-UHFFFAOYSA-N</t>
  </si>
  <si>
    <t>C31H48O6</t>
  </si>
  <si>
    <t>69</t>
  </si>
  <si>
    <t>2-Hydroxy-2-Methyl-Butyric Acid</t>
  </si>
  <si>
    <t>HMDB0001987</t>
  </si>
  <si>
    <t>LMFA01050389</t>
  </si>
  <si>
    <t>3739-30-8</t>
  </si>
  <si>
    <t>C(=O)(O)C(O)(C)CC</t>
  </si>
  <si>
    <t>MBIQENSCDNJOIY-UHFFFAOYSA-N</t>
  </si>
  <si>
    <t>8.58_497.2742m/z</t>
  </si>
  <si>
    <t>1-(2-methoxy-13-methyl-6Z-tetradecenyl)-sn-glycero-3-phosphoserine</t>
  </si>
  <si>
    <t>LMGP03060006</t>
  </si>
  <si>
    <t>C(O)(=O)[C@@]([H])(N)COP(OC[C@]([H])(O)COCC(OC)CCC/C=C\CCCCCC(C)C)(=O)O</t>
  </si>
  <si>
    <t>AXWYGPDPRXFRHF-NWJJIWMLSA-N</t>
  </si>
  <si>
    <t>C22H44NO9P</t>
  </si>
  <si>
    <t>13.51_517.3901m/z</t>
  </si>
  <si>
    <t>Soyasapogenol D</t>
  </si>
  <si>
    <t>HMDB0034507</t>
  </si>
  <si>
    <t>C17423</t>
  </si>
  <si>
    <t>65892-76-4</t>
  </si>
  <si>
    <t>COC1CC(C)(C)CC2=C3CCC4C5(C)CCC(O)C(C)(CO)C5CCC4(C)C3(C)CCC12C</t>
  </si>
  <si>
    <t>JAQZKPHHLRTVCY-UHFFFAOYSA-N</t>
  </si>
  <si>
    <t>9.85_286.3113m/z</t>
  </si>
  <si>
    <t>9Z-Octadecen-1-ol</t>
  </si>
  <si>
    <t>HMDB0029632</t>
  </si>
  <si>
    <t>LMFA05000213</t>
  </si>
  <si>
    <t>143-28-2</t>
  </si>
  <si>
    <t>OCCCCCCCC/C=C\CCCCCCCC</t>
  </si>
  <si>
    <t>ALSTYHKOOCGGFT-KTKRTIGZSA-N</t>
  </si>
  <si>
    <t>C18H36O</t>
  </si>
  <si>
    <t>4.90_405.1323m/z</t>
  </si>
  <si>
    <t>6-Hydroxymelatonin glucuronide</t>
  </si>
  <si>
    <t>HMDB0060786</t>
  </si>
  <si>
    <t>COC1=CC2=C(NC=C2CCNC(C)=O)C=C1OC1OC(C(O)C(O)C1O)C(O)=O</t>
  </si>
  <si>
    <t>BIRHYNBRXCOXLU-UHFFFAOYSA-N</t>
  </si>
  <si>
    <t>C19H24N2O9</t>
  </si>
  <si>
    <t>11.55_341.3061m/z</t>
  </si>
  <si>
    <t>3-oxo-heneicosanoic acid</t>
  </si>
  <si>
    <t>LMFA01060137</t>
  </si>
  <si>
    <t>C(CC(=O)CCCCCCCCCCCCCCCCCC)(=O)O</t>
  </si>
  <si>
    <t>HIOTZLCGSPKFPF-UHFFFAOYSA-N</t>
  </si>
  <si>
    <t>C21H40O3</t>
  </si>
  <si>
    <t>7.68_389.2695m/z</t>
  </si>
  <si>
    <t>3beta,7alpha,12alpha-Trihydroxychol-5-en-24-oic Acid</t>
  </si>
  <si>
    <t>LMST04010227</t>
  </si>
  <si>
    <t>C1[C@]2(C)[C@@]3([H])C[C@H](O)[C@]4(C)[C@@]([H])([C@]([H])(C)CCC(O)=O)CC[C@@]4([H])[C@]3([H])[C@H](O)C=C2C[C@@H](O)C1</t>
  </si>
  <si>
    <t>NKRVAQNWPRPQDK-SZHOAPCDSA-N</t>
  </si>
  <si>
    <t>7.39_432.2241m/z</t>
  </si>
  <si>
    <t>10-Hydroxydodec-10-enedioylcarnitine</t>
  </si>
  <si>
    <t>HMDB0241237</t>
  </si>
  <si>
    <t>C[N+](C)(C)CC(CC([O-])=O)OC(=O)CCCCCCCCC(O)=CC(O)=O</t>
  </si>
  <si>
    <t>JAJCAVLRKVZLPM-UHFFFAOYSA-N</t>
  </si>
  <si>
    <t>C19H33NO7</t>
  </si>
  <si>
    <t>9.54_725.4252m/z</t>
  </si>
  <si>
    <t>PI(13:0/13:0)</t>
  </si>
  <si>
    <t>LMGP06010949</t>
  </si>
  <si>
    <t>[C@]([H])(OC(CCCCCCCCCCCC)=O)(COP(=O)(O)O[C@H]1[C@H](O)[C@@H](O)[C@H](O)[C@@H](O)[C@H]1O)COC(CCCCCCCCCCCC)=O</t>
  </si>
  <si>
    <t>DQOHNDIQNIVWFQ-HWNDZZNLSA-N</t>
  </si>
  <si>
    <t>C35H67O13P</t>
  </si>
  <si>
    <t>0.58_257.1253m/z</t>
  </si>
  <si>
    <t>Threonylhistidine</t>
  </si>
  <si>
    <t>HMDB0029063</t>
  </si>
  <si>
    <t>55831-93-1</t>
  </si>
  <si>
    <t>C[C@@H](O)[C@H](N)C(=O)N[C@@H](CC1=CN=CN1)C(O)=O</t>
  </si>
  <si>
    <t>WXVIGTAUZBUDPZ-DTLFHODZSA-N</t>
  </si>
  <si>
    <t>C10H16N4O4</t>
  </si>
  <si>
    <t>13.55_536.3597m/z</t>
  </si>
  <si>
    <t>Chenodeoxycholylvaline</t>
  </si>
  <si>
    <t>HMDB0242401</t>
  </si>
  <si>
    <t>CC(C)C(NC(=O)CCC(C)C1CCC2C3C(O)CC4CC(O)CCC4(C)C3CCC12C)C(O)=O</t>
  </si>
  <si>
    <t>DWKUILAFNXKAFN-UHFFFAOYSA-N</t>
  </si>
  <si>
    <t>C29H49NO5</t>
  </si>
  <si>
    <t>6.91_747.2919m/z</t>
  </si>
  <si>
    <t>Hydroxypropyl cellulose</t>
  </si>
  <si>
    <t>HMDB0032337</t>
  </si>
  <si>
    <t>9004-64-2</t>
  </si>
  <si>
    <t>[H]OC[C@H]1O[C@@H](OC(C)O[H])[C@H](O[H])[C@@H](OC(C)O[H])[C@@H]1O[C@@H]1O[C@H](CO[H])[C@@H](O[C@@H]2O[C@H](COC(C)O[H])[C@@H](O[H])[C@H](OC(C)O[H])[C@H]2O[H])[C@H](OC(C)O[H])[C@H]1O[H]</t>
  </si>
  <si>
    <t>BNKFSWVSTAGGGC-BHSUFVBCSA-N</t>
  </si>
  <si>
    <t>C28H52O21</t>
  </si>
  <si>
    <t>13.33_529.2801m/z</t>
  </si>
  <si>
    <t>PG(16:0/0:0)</t>
  </si>
  <si>
    <t>HMDB0240601</t>
  </si>
  <si>
    <t>LMGP04050008</t>
  </si>
  <si>
    <t>116870-26-9</t>
  </si>
  <si>
    <t>[H][C@](O)(CO)COP(OC[C@]([H])(O)COC(CCCCCCCCCCCCCCC)=O)(=O)O</t>
  </si>
  <si>
    <t>BVJSKAUUFXBDOB-LEWJYISDSA-N</t>
  </si>
  <si>
    <t>C22H45O9P</t>
  </si>
  <si>
    <t>5.85_338.0786n</t>
  </si>
  <si>
    <t>Castillene D</t>
  </si>
  <si>
    <t>LMPK12130064</t>
  </si>
  <si>
    <t>C12C(=O)C(OC)(CC3C=CC4OCOC=4C=3)OC=1C1C=COC=1C=C2</t>
  </si>
  <si>
    <t>HNGNYODKSMNHQW-UHFFFAOYSA-N</t>
  </si>
  <si>
    <t>Aurone flavonoids</t>
  </si>
  <si>
    <t>C19H14O6</t>
  </si>
  <si>
    <t>8.11_511.1927m/z</t>
  </si>
  <si>
    <t>BUTHIDAZOLE</t>
  </si>
  <si>
    <t>HMDB0249461</t>
  </si>
  <si>
    <t>C19112</t>
  </si>
  <si>
    <t>55511-98-3</t>
  </si>
  <si>
    <t>CN1CC(O)N(C1=O)C1=NN=C(S1)C(C)(C)C</t>
  </si>
  <si>
    <t>SWMGXKSQWDSBKV-UHFFFAOYSA-N</t>
  </si>
  <si>
    <t>Thiadiazoles</t>
  </si>
  <si>
    <t>C10H16N4O2S</t>
  </si>
  <si>
    <t>15.00_633.3414m/z</t>
  </si>
  <si>
    <t>6-O-(Glcb)-(25R)-5alpha-spirostan-3beta,6alpha-diol</t>
  </si>
  <si>
    <t>LMST01080087</t>
  </si>
  <si>
    <t>O[C@@H]1C[C@]2([H])[C@@H](O[C@H]3[C@H](O)[C@@H](O)[C@H](O)[C@@H](CO)O3)C[C@@]3([H])[C@]4([H])C[C@@H]5O[C@]6([C@@H](C)[C@@H]5[C@@]4(C)CC[C@]3([H])[C@@]2(C)CC1)OC[C@H](C)CC6</t>
  </si>
  <si>
    <t>DQGDIBFTBNPWKO-YPOSEEEYSA-N</t>
  </si>
  <si>
    <t>C33H54O9</t>
  </si>
  <si>
    <t>13.51_561.4148m/z</t>
  </si>
  <si>
    <t>N-Nervonoyl Arginine</t>
  </si>
  <si>
    <t>HMDB0242085</t>
  </si>
  <si>
    <t>CCCCCCCCC=CCCCCCCCCCCCCCC(=O)NC(CCCN=C(N)N)C(O)=O</t>
  </si>
  <si>
    <t>QHQXRDGUKUTULC-UHFFFAOYSA-N</t>
  </si>
  <si>
    <t>C30H58N4O3</t>
  </si>
  <si>
    <t>10.62_584.3573m/z</t>
  </si>
  <si>
    <t>Deoxycholylphenylalanine</t>
  </si>
  <si>
    <t>HMDB0242413</t>
  </si>
  <si>
    <t>CC(CCC(=O)NC(CC1=CC=CC=C1)C(O)=O)C1CCC2C3CCC4CC(O)CCC4(C)C3CC(O)C12C</t>
  </si>
  <si>
    <t>RFRCQJKUNLZBAM-UHFFFAOYSA-N</t>
  </si>
  <si>
    <t>C33H49NO5</t>
  </si>
  <si>
    <t>9.52_315.1964m/z</t>
  </si>
  <si>
    <t>5S,6-Ep-18S-HEPE</t>
  </si>
  <si>
    <t>LMFA03070040</t>
  </si>
  <si>
    <t>R-HSA-1430728,R-HSA-556833,R-HSA-9018678,R-HSA-9018679,R-HSA-9018896</t>
  </si>
  <si>
    <t>Metabolism|Metabolism of lipids|Biosynthesis of specialized proresolving mediators (SPMs)|Biosynthesis of EPA-derived SPMs|Biosynthesis of E-series 18(S)-resolvins</t>
  </si>
  <si>
    <t>C(CCC[C@@H]1O[C@@H]1/C=C/C=C/C=C\C/C=C\C=C\[C@@H](O)CC)(=O)O</t>
  </si>
  <si>
    <t>ZPAJZAMPZXISSE-RXTGXWMYSA-N</t>
  </si>
  <si>
    <t>2.60_218.1030m/z</t>
  </si>
  <si>
    <t>Pantothenic acid</t>
  </si>
  <si>
    <t>HMDB0000210</t>
  </si>
  <si>
    <t>C00864</t>
  </si>
  <si>
    <t>hsa00410,hsa00770,hsa04977</t>
  </si>
  <si>
    <t>beta-Alanine metabolism|Pantothenate and CoA biosynthesis|Vitamin digestion and absorption</t>
  </si>
  <si>
    <t>79-83-4</t>
  </si>
  <si>
    <t>CC(C)(CO)[C@@H](O)C(=O)NCCC(O)=O</t>
  </si>
  <si>
    <t>GHOKWGTUZJEAQD-ZETCQYMHSA-N</t>
  </si>
  <si>
    <t>C9H17NO5</t>
  </si>
  <si>
    <t>0.62_245.0492m/z</t>
  </si>
  <si>
    <t>3-Fluoro-5-[(pyridin-3-yl)ethynyl]benzonitrile</t>
  </si>
  <si>
    <t>HMDB0245870</t>
  </si>
  <si>
    <t>FC1=CC(=CC(=C1)C#N)C#CC1=CN=CC=C1</t>
  </si>
  <si>
    <t>CYNKRSTZUHCFNR-UHFFFAOYSA-N</t>
  </si>
  <si>
    <t>Benzonitriles</t>
  </si>
  <si>
    <t>C14H7FN2</t>
  </si>
  <si>
    <t>7.66_433.1844m/z</t>
  </si>
  <si>
    <t>2-Hexynyl-5'-N-ethylcarboxamidoadenosine</t>
  </si>
  <si>
    <t>HMDB0245138</t>
  </si>
  <si>
    <t>CCCCC#CC1=NC2=C(N=CN2C2OC(C(O)C2O)C(=O)NCC)C(N)=N1</t>
  </si>
  <si>
    <t>FDEACFAXFCKCHZ-UHFFFAOYSA-N</t>
  </si>
  <si>
    <t>C18H24N6O4</t>
  </si>
  <si>
    <t>10.53_498.2581n</t>
  </si>
  <si>
    <t>PG(8:0/8:0)</t>
  </si>
  <si>
    <t>LMGP04010031</t>
  </si>
  <si>
    <t>[H][C@](O)(CO)COP(OC[C@]([H])(OC(CCCCCCC)=O)COC(CCCCCCC)=O)(=O)O</t>
  </si>
  <si>
    <t>BQEXNLVNNRZNEI-VQTJNVASSA-N</t>
  </si>
  <si>
    <t>C22H43O10P</t>
  </si>
  <si>
    <t>9.52_361.2369m/z</t>
  </si>
  <si>
    <t>5-cis Iloprost</t>
  </si>
  <si>
    <t>HIFJCPQKFCZDDL-UGQITTIWSA-N</t>
  </si>
  <si>
    <t>5.43_259.1814m/z</t>
  </si>
  <si>
    <t>2E,4E-undecadien-8,10-diynoic acid pideridide</t>
  </si>
  <si>
    <t>LMFA08020367</t>
  </si>
  <si>
    <t>C(/C=C/C=C/CCC#CC#C)(=O)N1CCCCC1</t>
  </si>
  <si>
    <t>JGKXLHHRMGZICC-AWGJLQHSSA-N</t>
  </si>
  <si>
    <t>N-acylpiperidines</t>
  </si>
  <si>
    <t>C16H19NO</t>
  </si>
  <si>
    <t>13.80_603.0080m/z</t>
  </si>
  <si>
    <t>Ellagic acid</t>
  </si>
  <si>
    <t>HMDB0002899</t>
  </si>
  <si>
    <t>C10788</t>
  </si>
  <si>
    <t>476-66-4</t>
  </si>
  <si>
    <t>OC1=C(O)C2=C3C(=C1)C(=O)OC1=C3C(=CC(O)=C1O)C(=O)O2</t>
  </si>
  <si>
    <t>AFSDNFLWKVMVRB-UHFFFAOYSA-N</t>
  </si>
  <si>
    <t>C14H6O8</t>
  </si>
  <si>
    <t>9.54_200.1207n</t>
  </si>
  <si>
    <t>2-(2-Methylpropoxy)naphthalene</t>
  </si>
  <si>
    <t>HMDB0035076</t>
  </si>
  <si>
    <t>2173-57-1</t>
  </si>
  <si>
    <t>CC(C)COC1=CC2=CC=CC=C2C=C1</t>
  </si>
  <si>
    <t>XOHIHZHSDMWWMS-UHFFFAOYSA-N</t>
  </si>
  <si>
    <t>C14H16O</t>
  </si>
  <si>
    <t>7.47_592.3267m/z</t>
  </si>
  <si>
    <t>OKOHA-PA</t>
  </si>
  <si>
    <t>LMGP20070025</t>
  </si>
  <si>
    <t>[C@](COP(=O)(O)O)([H])(OC(CCC(=O)/C=C/C=O)=O)COC(CCCCCCC/C=C\CCCCCCCC)=O</t>
  </si>
  <si>
    <t>TVFXQYCFQUNKIM-AXBYXETNSA-N</t>
  </si>
  <si>
    <t>C28H47O10P</t>
  </si>
  <si>
    <t>7.58_469.2453m/z</t>
  </si>
  <si>
    <t>Pravastatin</t>
  </si>
  <si>
    <t>HMDB0005022</t>
  </si>
  <si>
    <t>LMFA05000695</t>
  </si>
  <si>
    <t>C01844</t>
  </si>
  <si>
    <t>81093-37-0</t>
  </si>
  <si>
    <t>[C@]12([H])C(C=C[C@H](C)[C@@H]1CC[C@@H](O)C[C@@H](O)CC(=O)O)=C[C@@H](O)C[C@@H]2OC([C@@H](C)CC)=O</t>
  </si>
  <si>
    <t>TUZYXOIXSAXUGO-PZAWKZKUSA-N</t>
  </si>
  <si>
    <t>C23H36O7</t>
  </si>
  <si>
    <t>6.06_427.1793m/z</t>
  </si>
  <si>
    <t>Ptilosteroid A</t>
  </si>
  <si>
    <t>LMST02030212</t>
  </si>
  <si>
    <t>C1[C@]2(C)[C@@]3([H])CC[C@]4(C)[C@@]([H])(C=C)[C@@H](O)[C@@H](O)[C@@]4([H])[C@]3([H])CC[C@@]2([H])[C@@H](O)[C@@H](O)[C@H]1OS(O)(=O)=O</t>
  </si>
  <si>
    <t>QRMSSNGYWMVNBN-CNBQIQBMSA-N</t>
  </si>
  <si>
    <t>C21H34O8S</t>
  </si>
  <si>
    <t>8.44_392.1828m/z</t>
  </si>
  <si>
    <t>Corydalin</t>
  </si>
  <si>
    <t>HMDB0250473</t>
  </si>
  <si>
    <t>COC1=CC2=C(C=C1OC)C1C(C)C3=CC=C(OC)C(OC)=C3CN1CC2</t>
  </si>
  <si>
    <t>VRSRXLJTYQVOHC-UHFFFAOYSA-N</t>
  </si>
  <si>
    <t>Protoberberine alkaloids and derivatives</t>
  </si>
  <si>
    <t>C22H27NO4</t>
  </si>
  <si>
    <t>15.03_595.4946m/z</t>
  </si>
  <si>
    <t>Artemoin C</t>
  </si>
  <si>
    <t>HMDB0033606</t>
  </si>
  <si>
    <t>CCCCCCCCCCCCCCC(O)C(O)CCCCCCCCCCCCCCC1=CC(C)OC1=O</t>
  </si>
  <si>
    <t>MBDVKGSWKNHBQZ-UHFFFAOYSA-N</t>
  </si>
  <si>
    <t>C35H66O4</t>
  </si>
  <si>
    <t>9.89_539.1856m/z</t>
  </si>
  <si>
    <t>Aspartyl-Histidine</t>
  </si>
  <si>
    <t>HMDB0028755</t>
  </si>
  <si>
    <t>NC(CC(O)=O)C(=O)NC(CC1=CN=CN1)C(O)=O</t>
  </si>
  <si>
    <t>HSPSXROIMXIJQW-UHFFFAOYSA-N</t>
  </si>
  <si>
    <t>6.08_411.2391m/z</t>
  </si>
  <si>
    <t>alpha-Cortolone</t>
  </si>
  <si>
    <t>HMDB0003128</t>
  </si>
  <si>
    <t>LMST02030227</t>
  </si>
  <si>
    <t>C05481</t>
  </si>
  <si>
    <t>516-42-7</t>
  </si>
  <si>
    <t>C[C@@]12CC(=O)[C@@H]3[C@H](CC[C@H]4C[C@@H](O)CC[C@]43C)[C@H]1CC[C@@]2(O)[C@H](O)CO</t>
  </si>
  <si>
    <t>JXCOSKURGJMQSG-AZQJGLEESA-N</t>
  </si>
  <si>
    <t>C21H34O5</t>
  </si>
  <si>
    <t>1.30_360.1278m/z</t>
  </si>
  <si>
    <t>Neosaxitoxin</t>
  </si>
  <si>
    <t>HMDB0029369</t>
  </si>
  <si>
    <t>C17208</t>
  </si>
  <si>
    <t>64296-20-4</t>
  </si>
  <si>
    <t>NC(=O)OC[C@H]1[C@@H]2NC(N)=N[C@]22N(CCC2(O)O)C(=N)N1O</t>
  </si>
  <si>
    <t>PPEKGEBBBBNZKS-HGRQIUPRSA-N</t>
  </si>
  <si>
    <t>Saxitoxins, gonyautoxins, and derivatives</t>
  </si>
  <si>
    <t>C10H17N7O5</t>
  </si>
  <si>
    <t>10.86_341.2121m/z</t>
  </si>
  <si>
    <t>17-keto-4(Z),7(Z),10(Z),13(Z),15(E),19(Z)-Docosahexaenoic Acid</t>
  </si>
  <si>
    <t>CCC=CCC(=O)C=CC=CCC=CCC=CCC=CCCC(=O)O</t>
  </si>
  <si>
    <t>QCEBQMMZCFADMF-SWDQBTSJSA-N</t>
  </si>
  <si>
    <t>11.34_250.1447m/z</t>
  </si>
  <si>
    <t>N-Desthienylethyl-rotigotine</t>
  </si>
  <si>
    <t>HMDB0060843</t>
  </si>
  <si>
    <t>CCCNC1CCC2=C(C1)C=CC=C2O</t>
  </si>
  <si>
    <t>VCYPZWCFSAHTQT-UHFFFAOYSA-N</t>
  </si>
  <si>
    <t>Tetralins</t>
  </si>
  <si>
    <t>C13H19NO</t>
  </si>
  <si>
    <t>11.35_648.4280m/z</t>
  </si>
  <si>
    <t>Chapso</t>
  </si>
  <si>
    <t>HMDB0249883</t>
  </si>
  <si>
    <t>CC(CCC(=O)NCCC[N+](C)(C)CC(O)CS([O-])(=O)=O)C1CCC2C3C(O)CC4CC(O)CCC4(C)C3CC(O)C12C</t>
  </si>
  <si>
    <t>GUQQBLRVXOUDTN-UHFFFAOYSA-N</t>
  </si>
  <si>
    <t>C32H58N2O8S</t>
  </si>
  <si>
    <t>13.26_485.3618m/z</t>
  </si>
  <si>
    <t>26-Methyl nigranoate</t>
  </si>
  <si>
    <t>HMDB0033409</t>
  </si>
  <si>
    <t>212830-20-1</t>
  </si>
  <si>
    <t>COC(=O)C(\C)=C/CCC(C)C1CCC2(C)C3CCC(C(C)=C)C4(CCC(O)=O)CC34CCC12C</t>
  </si>
  <si>
    <t>IVXMRCQSVUIHRC-YVNNLAQVSA-N</t>
  </si>
  <si>
    <t>C31H48O4</t>
  </si>
  <si>
    <t>4.68_336.0662m/z</t>
  </si>
  <si>
    <t>Acetamide, N-[4-[(2-pyridinylamino)sulfonyl]phenyl]-</t>
  </si>
  <si>
    <t>HMDB0242146</t>
  </si>
  <si>
    <t>19077-98-6</t>
  </si>
  <si>
    <t>CC(O)=NC1=CC=C(C=C1)S(=O)(=O)NC1=CC=CC=N1</t>
  </si>
  <si>
    <t>CYLYVXPHAQLXFG-UHFFFAOYSA-N</t>
  </si>
  <si>
    <t>C13H13N3O3S</t>
  </si>
  <si>
    <t>9.18_258.2802m/z</t>
  </si>
  <si>
    <t>7Z-hexadecen-1-ol</t>
  </si>
  <si>
    <t>LMFA05000055</t>
  </si>
  <si>
    <t>C(=C/CCCCCCCC)/CCCCCCO</t>
  </si>
  <si>
    <t>KKGMASVOOYPIGJ-KTKRTIGZSA-N</t>
  </si>
  <si>
    <t>C16H32O</t>
  </si>
  <si>
    <t>10.45_270.3162m/z</t>
  </si>
  <si>
    <t>1-Octadecene</t>
  </si>
  <si>
    <t>LMFA11000325</t>
  </si>
  <si>
    <t>C=CCCCCCCCCCCCCCCCC</t>
  </si>
  <si>
    <t>CCCMONHAUSKTEQ-UHFFFAOYSA-N</t>
  </si>
  <si>
    <t>C18H36</t>
  </si>
  <si>
    <t>4.28_353.2209m/z</t>
  </si>
  <si>
    <t>Phe Ile Gly</t>
  </si>
  <si>
    <t>CCC(C)C(C(=O)NCC(=O)O)NC(=O)C(CC1=CC=CC=C1)N</t>
  </si>
  <si>
    <t>MJQFZGOIVBDIMZ-WHOFXGATSA-N</t>
  </si>
  <si>
    <t>C17H25N3O4</t>
  </si>
  <si>
    <t>11.80_600.4697m/z</t>
  </si>
  <si>
    <t>Sulfobacin A</t>
  </si>
  <si>
    <t>LMSP00000024</t>
  </si>
  <si>
    <t>C([C@]([H])(NC(=O)C(O)CCCCCCCCCCCCCC)[C@]([H])(O)/C=C/CCCCCCCCCCCCC)S(=O)(=O)O</t>
  </si>
  <si>
    <t>REBCWYHJGYBKIS-HOXYDHSRSA-N</t>
  </si>
  <si>
    <t>C34H67NO6S</t>
  </si>
  <si>
    <t>5.73_386.0863m/z</t>
  </si>
  <si>
    <t>Kinetin riboside</t>
  </si>
  <si>
    <t>HMDB0253801</t>
  </si>
  <si>
    <t>OCC1OC(C(O)C1O)N1C=NC2=C1N=CN=C2NCC1=CC=CO1</t>
  </si>
  <si>
    <t>CAGLGYNQQSIUGX-UHFFFAOYSA-N</t>
  </si>
  <si>
    <t>C15H17N5O5</t>
  </si>
  <si>
    <t>9.54_151.1121m/z</t>
  </si>
  <si>
    <t>Dihydronepetalactone</t>
  </si>
  <si>
    <t>HMDB0035829</t>
  </si>
  <si>
    <t>17672-81-0</t>
  </si>
  <si>
    <t>CC1CCC2C1C(=O)OCC2C</t>
  </si>
  <si>
    <t>LSRNBGXEEKNZHN-UHFFFAOYSA-N</t>
  </si>
  <si>
    <t>C10H16O2</t>
  </si>
  <si>
    <t>15.14_666.5322m/z</t>
  </si>
  <si>
    <t>DG(20:4(8Z,11Z,14Z,17Z)-2OH(5S,6R)/16:0/0:0)</t>
  </si>
  <si>
    <t>HMDB0295548</t>
  </si>
  <si>
    <t>CCCCCCCCCCCCCCCC(=O)O[C@@H](CO)COC(=O)CCC[C@H](O)[C@@H](O)C\C=C/C\C=C/C\C=C/C\C=C/CC</t>
  </si>
  <si>
    <t>CIWHFDYWHLIGJJ-YRVYULFMSA-N</t>
  </si>
  <si>
    <t>C39H68O7</t>
  </si>
  <si>
    <t>5.21_254.0906m/z</t>
  </si>
  <si>
    <t>Nicotinamide riboside</t>
  </si>
  <si>
    <t>HMDB0000855</t>
  </si>
  <si>
    <t>C03150</t>
  </si>
  <si>
    <t>R-HSA-1430728,R-HSA-1643685,R-HSA-196807,R-HSA-196849,R-HSA-196854,R-HSA-211859,R-HSA-211945,R-HSA-5663205,R-HSA-9658195,R-HSA-9660826,R-HSA-9664424,R-HSA-9824443</t>
  </si>
  <si>
    <t>Metabolism|Disease|Nicotinate metabolism|Metabolism of water-soluble vitamins and cofactors|Metabolism of vitamins and cofactors|Biological oxidations|Phase I - Functionalization of compounds|Infectious disease|Leishmania infection|Purinergic signaling in leishmaniasis infection|Cell recruitment (pro-inflammatory response)|Parasitic Infection Pathways</t>
  </si>
  <si>
    <t>1341-23-7</t>
  </si>
  <si>
    <t>NC(=O)C1=C[N+](=CC=C1)[C@@H]1O[C@H](CO)[C@@H](O)[C@H]1O</t>
  </si>
  <si>
    <t>JLEBZPBDRKPWTD-TURQNECASA-O</t>
  </si>
  <si>
    <t>C11H15N2O5+</t>
  </si>
  <si>
    <t>7.22_445.2211m/z</t>
  </si>
  <si>
    <t>Bufohydrolide A</t>
  </si>
  <si>
    <t>LMST01130010</t>
  </si>
  <si>
    <t>C1[C@]2(CO)[C@@]3([H])CC[C@]4(C)[C@@]([H])(C5=COC(=O)C=C5)CC=C4[C@]3([H])CC[C@]2(O)C[C@@H](O)C1</t>
  </si>
  <si>
    <t>TYWDBJAVSCRBQI-FTXNGJEASA-N</t>
  </si>
  <si>
    <t>4.42_728.3856m/z</t>
  </si>
  <si>
    <t>Fumonisin B3</t>
  </si>
  <si>
    <t>LMSP01080024</t>
  </si>
  <si>
    <t>C[C@H](N)[C@@H](O)CCCCCC[C@@H](O)C[C@H](C)C[C@H](OC(=O)C[C@H](C(O)=O)CC(=O)O)[C@H](OC(=O)C[C@H](C(O)=O)CC(=O)O)[C@H](C)CCCC</t>
  </si>
  <si>
    <t>CPCRJSQNWHCGOP-STOIETHLSA-N</t>
  </si>
  <si>
    <t>Fumonisins</t>
  </si>
  <si>
    <t>C34H59NO14</t>
  </si>
  <si>
    <t>0.68_175.0716m/z</t>
  </si>
  <si>
    <t>Alanylserine</t>
  </si>
  <si>
    <t>HMDB0028696</t>
  </si>
  <si>
    <t>3303-41-1</t>
  </si>
  <si>
    <t>C[C@H](N)C(=O)N[C@@H](CO)C(O)=O</t>
  </si>
  <si>
    <t>IPWKGIFRRBGCJO-IMJSIDKUSA-N</t>
  </si>
  <si>
    <t>C6H12N2O4</t>
  </si>
  <si>
    <t>2.21_203.1396m/z</t>
  </si>
  <si>
    <t>Ile Ala</t>
  </si>
  <si>
    <t>CCC(C)C(C(=O)NC(C)C(=O)O)N</t>
  </si>
  <si>
    <t>RCFDOSNHHZGBOY-ACZMJKKPSA-N</t>
  </si>
  <si>
    <t>14.30_591.4635m/z</t>
  </si>
  <si>
    <t>Mayolene-17</t>
  </si>
  <si>
    <t>LMFA07090151</t>
  </si>
  <si>
    <t>C(CCCCCCC/C=C\[C@@H](OC(CCCCCCCCCCCCCCCC)=O)/C=C\C/C=C\CC)(=O)O</t>
  </si>
  <si>
    <t>WDLVKNXUHCBUJP-YRFDIYPKSA-N</t>
  </si>
  <si>
    <t>C35H62O4</t>
  </si>
  <si>
    <t>5.53_199.0970m/z</t>
  </si>
  <si>
    <t>(±)-Camphoric acid</t>
  </si>
  <si>
    <t>HMDB0034491</t>
  </si>
  <si>
    <t>5394-83-2</t>
  </si>
  <si>
    <t>CC1(C)C(CCC1(C)C(O)=O)C(O)=O</t>
  </si>
  <si>
    <t>LSPHULWDVZXLIL-UHFFFAOYSA-N</t>
  </si>
  <si>
    <t>4.07_512.2982n</t>
  </si>
  <si>
    <t>(24R)-11alpha,20,24-trihydroxyecdysone</t>
  </si>
  <si>
    <t>LMST01010177</t>
  </si>
  <si>
    <t>C12=CC([C@]3([H])C[C@@H](O)[C@@H](O)C[C@]3(C)[C@@]1([H])[C@H](O)C[C@@]1(C)[C@@]2(O)CC[C@@]1([C@](O)(C)[C@H](O)C[C@@H](O)C(O)(C)C)[H])=O</t>
  </si>
  <si>
    <t>JZLJYAKQIWKLJN-GZOLVMJQSA-N</t>
  </si>
  <si>
    <t>C27H44O9</t>
  </si>
  <si>
    <t>6.89_425.1399m/z</t>
  </si>
  <si>
    <t>Olamufloxacin</t>
  </si>
  <si>
    <t>HMDB0255928</t>
  </si>
  <si>
    <t>CC1=C(N2CC(N)C3(CC3)C2)C(F)=C(N)C2=C1N(C=C(C(O)=O)C2=O)C1CC1</t>
  </si>
  <si>
    <t>LEILBPMISZFZQK-UHFFFAOYSA-N</t>
  </si>
  <si>
    <t>C20H23FN4O3</t>
  </si>
  <si>
    <t>4.32_312.2391m/z</t>
  </si>
  <si>
    <t>Margaric acid(d3)</t>
  </si>
  <si>
    <t>LMFA01010048</t>
  </si>
  <si>
    <t>C(CCCCCCCCCCCCCCC([2H])([2H])[2H])C(=O)O</t>
  </si>
  <si>
    <t>KEMQGTRYUADPNZ-FIBGUPNXSA-N</t>
  </si>
  <si>
    <t>C17H[2]3H[1]31O2</t>
  </si>
  <si>
    <t>7.24_435.2003m/z</t>
  </si>
  <si>
    <t>Ametantrone</t>
  </si>
  <si>
    <t>HMDB0249621</t>
  </si>
  <si>
    <t>OCCNCCNC1=C2C(=O)C3=CC=CC=C3C(=O)C2=C(NCCNCCO)C=C1</t>
  </si>
  <si>
    <t>FFGSXKJJVBXWCY-UHFFFAOYSA-N</t>
  </si>
  <si>
    <t>Anthraquinones</t>
  </si>
  <si>
    <t>C22H28N4O4</t>
  </si>
  <si>
    <t>8.87_357.2800m/z</t>
  </si>
  <si>
    <t>THA</t>
  </si>
  <si>
    <t>HMDB0002007</t>
  </si>
  <si>
    <t>LMFA01030822</t>
  </si>
  <si>
    <t>81247-23-6</t>
  </si>
  <si>
    <t>C(CCCC/C=C\C/C=C\C/C=C\C/C=C\C/C=C\C/C=C\CC)(=O)O</t>
  </si>
  <si>
    <t>YHGJECVSSKXFCJ-KUBAVDMBSA-N</t>
  </si>
  <si>
    <t>C24H36O2</t>
  </si>
  <si>
    <t>11.82_463.3433m/z</t>
  </si>
  <si>
    <t>3a,7a-Dihydroxy-5b-cholestan-26-al</t>
  </si>
  <si>
    <t>HMDB0006894</t>
  </si>
  <si>
    <t>C05445</t>
  </si>
  <si>
    <t>R-HSA-1430728,R-HSA-192105,R-HSA-193368,R-HSA-194068,R-HSA-556833,R-HSA-8957322</t>
  </si>
  <si>
    <t>Metabolism|Synthesis of bile acids and bile salts|Synthesis of bile acids and bile salts via 7alpha-hydroxycholesterol|Bile acid and bile salt metabolism|Metabolism of lipids|Metabolism of steroids</t>
  </si>
  <si>
    <t>CC(CCCC(C)C1CCC2C3[C@H](O)CC4C[C@H](O)CC[C@]4(C)C3CC[C@]12C)C=O</t>
  </si>
  <si>
    <t>YWGOKHMOJTZGBN-SBOSHUFNSA-N</t>
  </si>
  <si>
    <t>C27H46O3</t>
  </si>
  <si>
    <t>6.63_353.0243m/z</t>
  </si>
  <si>
    <t>3-butenylglucosinolate</t>
  </si>
  <si>
    <t>HMDB0304115</t>
  </si>
  <si>
    <t>OCC1OC(SC(CCC=C)=NOS([O-])(=O)=O)C(O)C(O)C1O</t>
  </si>
  <si>
    <t>PLYQBXHVYUJNQB-UHFFFAOYSA-M</t>
  </si>
  <si>
    <t>C11H18NO9S2-</t>
  </si>
  <si>
    <t>13.51_379.1796m/z</t>
  </si>
  <si>
    <t>Bisantrene</t>
  </si>
  <si>
    <t>HMDB0249263</t>
  </si>
  <si>
    <t>C1CN=C(NN=CC2=C3C=CC=CC3=C(C=NNC3=NCCN3)C3=CC=CC=C23)N1</t>
  </si>
  <si>
    <t>NJSMWLQOCQIOPE-UHFFFAOYSA-N</t>
  </si>
  <si>
    <t>C22H22N8</t>
  </si>
  <si>
    <t>5.29_403.2339m/z</t>
  </si>
  <si>
    <t>N-Lactoylisoleucine</t>
  </si>
  <si>
    <t>HMDB0062180</t>
  </si>
  <si>
    <t>CC[C@@H](C)[C@H](CC(=O)[C@H](C)O)C(O)=O</t>
  </si>
  <si>
    <t>DYYQDDUCQLULFE-CSMHCCOUSA-N</t>
  </si>
  <si>
    <t>C10H18O4</t>
  </si>
  <si>
    <t>0.70_189.0872m/z</t>
  </si>
  <si>
    <t>2-Amino-4-[(2-hydroxy-1-oxopropyl)amino]butanoic acid</t>
  </si>
  <si>
    <t>HMDB0031412</t>
  </si>
  <si>
    <t>38710-35-9</t>
  </si>
  <si>
    <t>CC(O)C(=O)NCC[C@H](N)C(O)=O</t>
  </si>
  <si>
    <t>BKHCIFAZUHUBPL-AKGZTFGVSA-N</t>
  </si>
  <si>
    <t>C7H14N2O4</t>
  </si>
  <si>
    <t>14.88_568.4289n</t>
  </si>
  <si>
    <t>Cryptoflavin</t>
  </si>
  <si>
    <t>HMDB0302031</t>
  </si>
  <si>
    <t>LMPR01070710</t>
  </si>
  <si>
    <t>C1C(C)(C)C2=C[C@H](O[C@]2(C)C[C@H]1O)/C(/C)=C/C=C/C(/C)=C/C=C/C=C(\C)/C=C/C=C(\C)/C=C/C1=C(C)CCCC1(C)C</t>
  </si>
  <si>
    <t>DCWLOCNJVDYFMA-TWQKQLNXSA-N</t>
  </si>
  <si>
    <t>C40H56O2</t>
  </si>
  <si>
    <t>6.73_154.9895m/z</t>
  </si>
  <si>
    <t>2-Chlorobenzoic acid</t>
  </si>
  <si>
    <t>HMDB0245065</t>
  </si>
  <si>
    <t>C02357</t>
  </si>
  <si>
    <t>OC(=O)C1=CC=CC=C1Cl</t>
  </si>
  <si>
    <t>IKCLCGXPQILATA-UHFFFAOYSA-N</t>
  </si>
  <si>
    <t>C7H5ClO2</t>
  </si>
  <si>
    <t>9.83_195.1021m/z</t>
  </si>
  <si>
    <t>Butylparaben</t>
  </si>
  <si>
    <t>HMDB0032575</t>
  </si>
  <si>
    <t>94-26-8</t>
  </si>
  <si>
    <t>CCCCOC(=O)C1=CC=C(O)C=C1</t>
  </si>
  <si>
    <t>QFOHBWFCKVYLES-UHFFFAOYSA-N</t>
  </si>
  <si>
    <t>5.18_266.0235m/z</t>
  </si>
  <si>
    <t>Nifuratel</t>
  </si>
  <si>
    <t>HMDB0255596</t>
  </si>
  <si>
    <t>CSCC1CN(N=CC2=CC=C(O2)[N+]([O-])=O)C(=O)O1</t>
  </si>
  <si>
    <t>SRQKTCXJCCHINN-UHFFFAOYSA-N</t>
  </si>
  <si>
    <t>Furans</t>
  </si>
  <si>
    <t>Nitrofurans</t>
  </si>
  <si>
    <t>C10H11N3O5S</t>
  </si>
  <si>
    <t>14.96_677.4612m/z</t>
  </si>
  <si>
    <t>DG(14:0/6 keto-PGF1alpha/0:0)</t>
  </si>
  <si>
    <t>HMDB0295085</t>
  </si>
  <si>
    <t>CCCCCCCCCCCCCC(=O)OC[C@H](CO)OC(=O)CCCCC(=O)C[C@H]1[C@@H](O)C[C@@H](O)[C@@H]1\C=C\[C@@H](O)CCCCC</t>
  </si>
  <si>
    <t>CAYMGJXUHGNUNQ-JAZDTEIESA-N</t>
  </si>
  <si>
    <t>C37H66O9</t>
  </si>
  <si>
    <t>8.72_296.2595m/z</t>
  </si>
  <si>
    <t>10,12,15-octadecatrienoic acid</t>
  </si>
  <si>
    <t>LMFA01030156</t>
  </si>
  <si>
    <t>C(=C/C=C/C/C=C/CC)\CCCCCCCCC(=O)O</t>
  </si>
  <si>
    <t>DASDQNZKDMCAQF-SIRUGEDZSA-N</t>
  </si>
  <si>
    <t>7.29_567.3177m/z</t>
  </si>
  <si>
    <t>Chenodeoxycholic acid 3-glucuronide</t>
  </si>
  <si>
    <t>HMDB02430</t>
  </si>
  <si>
    <t>LMST05010028</t>
  </si>
  <si>
    <t>O([C@H]1C[C@@]2([H])C[C@@H](O)[C@@]3([H])[C@]4([H])CC[C@]([H])([C@@](C)([H])CCC(=O)O)[C@@]4(C)CC[C@]3([H])[C@@]2(C)CC1)[C@H]1[C@H](O)[C@H]([C@H](O)[C@@H](C(=O)O)O1)O</t>
  </si>
  <si>
    <t>GDNGOAUIUTXUES-BWGRGVIUSA-N</t>
  </si>
  <si>
    <t>C30H48O10</t>
  </si>
  <si>
    <t>7.88_342.2651m/z</t>
  </si>
  <si>
    <t>5-Hydroxydodecanoylcarnitine</t>
  </si>
  <si>
    <t>HMDB0241303</t>
  </si>
  <si>
    <t>CCCCCCCC(O)CCCC(=O)OC(CC([O-])=O)C[N+](C)(C)C</t>
  </si>
  <si>
    <t>CNAWLBRCOTWCNV-UHFFFAOYSA-N</t>
  </si>
  <si>
    <t>C19H37NO5</t>
  </si>
  <si>
    <t>4.58_424.0743m/z</t>
  </si>
  <si>
    <t>Griseolic acid</t>
  </si>
  <si>
    <t>HMDB0242674</t>
  </si>
  <si>
    <t>NC1=C2N=CN(C3OC4=CC(OC4C3O)(C(O)C(O)=O)C(O)=O)C2=NC=N1</t>
  </si>
  <si>
    <t>IAPZXUKYTCQQFE-UHFFFAOYSA-N</t>
  </si>
  <si>
    <t>C14H13N5O8</t>
  </si>
  <si>
    <t>131</t>
  </si>
  <si>
    <t>Ethanolamine</t>
  </si>
  <si>
    <t>HMDB0000149</t>
  </si>
  <si>
    <t>C00189</t>
  </si>
  <si>
    <t>R-HSA-112310,R-HSA-112315,R-HSA-112316,R-HSA-1430728,R-HSA-1483101,R-HSA-1483152,R-HSA-1483206,R-HSA-1483213,R-HSA-1483257,R-HSA-2142753,R-HSA-556833,R-HSA-8978868</t>
  </si>
  <si>
    <t>Neurotransmitter release cycle|Transmission across Chemical Synapses|Neuronal System|Metabolism|Synthesis of PS|Hydrolysis of LPE|Glycerophospholipid biosynthesis|Synthesis of PE|Phospholipid metabolism|Arachidonic acid metabolism|Metabolism of lipids|Fatty acid metabolism</t>
  </si>
  <si>
    <t>141-43-5</t>
  </si>
  <si>
    <t>NCCO</t>
  </si>
  <si>
    <t>HZAXFHJVJLSVMW-UHFFFAOYSA-N</t>
  </si>
  <si>
    <t>C2H7NO</t>
  </si>
  <si>
    <t>9.66_398.2181m/z</t>
  </si>
  <si>
    <t>Candoxatrilat</t>
  </si>
  <si>
    <t>HMDB0249582</t>
  </si>
  <si>
    <t>COCCOCC(CC1(CCCC1)C(=O)NC1CCC(CC1)C(O)=O)C(O)=O</t>
  </si>
  <si>
    <t>ACZWIDANLCXHBM-UHFFFAOYSA-N</t>
  </si>
  <si>
    <t>C20H33NO7</t>
  </si>
  <si>
    <t>5.51_331.2102m/z</t>
  </si>
  <si>
    <t>Marimastat</t>
  </si>
  <si>
    <t>HMDB0014924</t>
  </si>
  <si>
    <t>154039-60-8</t>
  </si>
  <si>
    <t>CNC(=O)[C@@H](NC(=O)[C@H](CC(C)C)[C@H](O)C(=O)NO)C(C)(C)C</t>
  </si>
  <si>
    <t>OCSMOTCMPXTDND-OUAUKWLOSA-N</t>
  </si>
  <si>
    <t>1.01_229.1781n</t>
  </si>
  <si>
    <t>N1,N8-Diacetylspermidine</t>
  </si>
  <si>
    <t>HMDB0041947</t>
  </si>
  <si>
    <t>CC(=O)NCCCCNCCCNC(C)=O</t>
  </si>
  <si>
    <t>BKCVMAZDKFQPHB-UHFFFAOYSA-N</t>
  </si>
  <si>
    <t>C11H23N3O2</t>
  </si>
  <si>
    <t>4.98_435.2580m/z</t>
  </si>
  <si>
    <t>Eleutherazine B</t>
  </si>
  <si>
    <t>CC(=CC(=O)NCCCC1C(=O)NC(C(=O)N1)CCCNC(=O)C=C(C)CCO)CCO</t>
  </si>
  <si>
    <t>CNQCBOHTKBVCFM-URISWADMSA-N</t>
  </si>
  <si>
    <t>C22H36N4O6</t>
  </si>
  <si>
    <t>3.29_279.1353m/z</t>
  </si>
  <si>
    <t>Tyrosyl-Proline</t>
  </si>
  <si>
    <t>HMDB0029113</t>
  </si>
  <si>
    <t>NC(CC1=CC=C(O)C=C1)C(=O)N1CCCC1C(O)=O</t>
  </si>
  <si>
    <t>VNYDHJARLHNEGA-UHFFFAOYSA-N</t>
  </si>
  <si>
    <t>5.43_338.1971m/z</t>
  </si>
  <si>
    <t>Zearalanone</t>
  </si>
  <si>
    <t>HMDB0259993</t>
  </si>
  <si>
    <t>CC1CCCC(=O)CCCCCC2=CC(O)=CC(O)=C2C(=O)O1</t>
  </si>
  <si>
    <t>APJDQUGPCJRQRJ-UHFFFAOYSA-N</t>
  </si>
  <si>
    <t>C18H24O5</t>
  </si>
  <si>
    <t>4.22_178.0502m/z</t>
  </si>
  <si>
    <t>Hippuric acid</t>
  </si>
  <si>
    <t>HMDB0000714</t>
  </si>
  <si>
    <t>C01586</t>
  </si>
  <si>
    <t>495-69-2</t>
  </si>
  <si>
    <t>OC(=O)CNC(=O)C1=CC=CC=C1</t>
  </si>
  <si>
    <t>QIAFMBKCNZACKA-UHFFFAOYSA-N</t>
  </si>
  <si>
    <t>C9H9NO3</t>
  </si>
  <si>
    <t>4.71_398.2530n</t>
  </si>
  <si>
    <t>Ile Pro Gly Ile</t>
  </si>
  <si>
    <t>CCC(C)C(C(=O)N1CCCC1C(=O)NCC(=O)NC(C(C)CC)C(=O)O)N</t>
  </si>
  <si>
    <t>ZWZOCNTYMUOGPQ-UHFFFAOYSA-N</t>
  </si>
  <si>
    <t>C19H34N4O5</t>
  </si>
  <si>
    <t>9.91_387.2515m/z</t>
  </si>
  <si>
    <t>7alpha-Hydroxy-3-oxochola-1,4-dien-24-oic Acid</t>
  </si>
  <si>
    <t>LMST04010242</t>
  </si>
  <si>
    <t>C1[C@]2(C)[C@@]3([H])CC[C@]4(C)[C@@]([H])([C@]([H])(C)CCC(O)=O)CC[C@@]4([H])[C@]3([H])[C@H](O)CC2=CC(=O)C=1</t>
  </si>
  <si>
    <t>DSJUPINAPLIUNZ-NLXMLWGDSA-N</t>
  </si>
  <si>
    <t>12.36_329.2394m/z</t>
  </si>
  <si>
    <t>1-Cyclohexyl-4-(1,2-diphenylethyl)piperazine</t>
  </si>
  <si>
    <t>HMDB0254934</t>
  </si>
  <si>
    <t>C(C(N1CCN(CC1)C1CCCCC1)C1=CC=CC=C1)C1=CC=CC=C1</t>
  </si>
  <si>
    <t>IGBRRSIHEGCUEN-UHFFFAOYSA-N</t>
  </si>
  <si>
    <t>C24H32N2</t>
  </si>
  <si>
    <t>14.42_324.3271m/z</t>
  </si>
  <si>
    <t>6R,7S-Epoxy-3Z,9Z-heneicosadiene</t>
  </si>
  <si>
    <t>LMFA12000322</t>
  </si>
  <si>
    <t>CC/C=C\C[C@@H]1O[C@@H]1C/C=C\CCCCCCCCCCC</t>
  </si>
  <si>
    <t>JZOOOEAWXPHPCD-LIDFVZESSA-N</t>
  </si>
  <si>
    <t>C21H38O</t>
  </si>
  <si>
    <t>3.86_295.1659m/z</t>
  </si>
  <si>
    <t>Leucyl-Tyrosine</t>
  </si>
  <si>
    <t>HMDB0028941</t>
  </si>
  <si>
    <t>CC(C)CC(N)C(=O)NC(CC1=CC=C(O)C=C1)C(O)=O</t>
  </si>
  <si>
    <t>LHSGPCFBGJHPCY-UHFFFAOYSA-N</t>
  </si>
  <si>
    <t>C15H22N2O4</t>
  </si>
  <si>
    <t>5.85_526.2482m/z</t>
  </si>
  <si>
    <t>N-[(3a,5b,7a,12a)-3,12-dihydroxy-24-oxo-7-(sulfooxy)cholan-24-yl]-Glycine</t>
  </si>
  <si>
    <t>HMDB0002640</t>
  </si>
  <si>
    <t>71977-73-6</t>
  </si>
  <si>
    <t>[H][C@@]12C[C@H](O)CC[C@]1(C)C1C[C@H](O)[C@]3(C)[C@H](CCC3C1[C@@H](C2)OS(O)(=O)=O)[C@H](C)CCC(=O)NCC(O)=O</t>
  </si>
  <si>
    <t>BJPPZTDOLXZUSK-NLKBZSSJSA-N</t>
  </si>
  <si>
    <t>2.07_310.0021m/z</t>
  </si>
  <si>
    <t>Flurochloridone</t>
  </si>
  <si>
    <t>HMDB0252372</t>
  </si>
  <si>
    <t>C11100</t>
  </si>
  <si>
    <t>61213-25-0</t>
  </si>
  <si>
    <t>FC(F)(F)C1=CC(=CC=C1)N1CC(CCl)C(Cl)C1=O</t>
  </si>
  <si>
    <t>OQZCSNDVOWYALR-UHFFFAOYSA-N</t>
  </si>
  <si>
    <t>Phenylpyrrolidines</t>
  </si>
  <si>
    <t>C12H10Cl2F3NO</t>
  </si>
  <si>
    <t>0.65_154.0612m/z</t>
  </si>
  <si>
    <t>L-Histidine</t>
  </si>
  <si>
    <t>HMDB0000177</t>
  </si>
  <si>
    <t>C00135</t>
  </si>
  <si>
    <t>hsa00340,hsa00410,hsa00470,hsa00970,hsa02010</t>
  </si>
  <si>
    <t>Histidine metabolism|beta-Alanine metabolism|D-Amino acid metabolism|Aminoacyl-tRNA biosynthesis|ABC transporters</t>
  </si>
  <si>
    <t>71-00-1</t>
  </si>
  <si>
    <t>N[C@@H](CC1=CN=CN1)C(O)=O</t>
  </si>
  <si>
    <t>HNDVDQJCIGZPNO-YFKPBYRVSA-N</t>
  </si>
  <si>
    <t>C6H9N3O2</t>
  </si>
  <si>
    <t>9.81_385.2363m/z</t>
  </si>
  <si>
    <t>Clascoterone</t>
  </si>
  <si>
    <t>HMDB0304870</t>
  </si>
  <si>
    <t>CCC(=O)O[C@@]1(CC[C@H]2[C@@H]3CCC4=CC(=O)CC[C@]4(C)[C@H]3CC[C@]12C)C(=O)CO</t>
  </si>
  <si>
    <t>GPNHMOZDMYNCPO-PDUMRIMRSA-N</t>
  </si>
  <si>
    <t>C24H34O5</t>
  </si>
  <si>
    <t>3.48_211.0720m/z</t>
  </si>
  <si>
    <t>5,6-Dihydroxyindole-2-carboxylic acid</t>
  </si>
  <si>
    <t>HMDB0001253</t>
  </si>
  <si>
    <t>C04185</t>
  </si>
  <si>
    <t>hsa00350</t>
  </si>
  <si>
    <t>Tyrosine metabolism</t>
  </si>
  <si>
    <t>4790-08-3</t>
  </si>
  <si>
    <t>OC(=O)C1=CC2=CC(O)=C(O)C=C2N1</t>
  </si>
  <si>
    <t>YFTGOBNOJKXZJC-UHFFFAOYSA-N</t>
  </si>
  <si>
    <t>C9H7NO4</t>
  </si>
  <si>
    <t>9.66_494.2557m/z</t>
  </si>
  <si>
    <t>Fuscaxanthone A</t>
  </si>
  <si>
    <t>HMDB0304627</t>
  </si>
  <si>
    <t>COC1=C(C\C=C(/C)CCC=C(C)C)C2=C(OC3=CC4=C(C=CC(C)(C)O4)C(O)=C3C2=O)C=C1O</t>
  </si>
  <si>
    <t>XDMFZDJOFFBFDK-LICLKQGHSA-N</t>
  </si>
  <si>
    <t>C29H32O6</t>
  </si>
  <si>
    <t>6.96_371.2443m/z</t>
  </si>
  <si>
    <t>6-hydroxy-3-isopropenylheptanoic acid</t>
  </si>
  <si>
    <t>LMFA01050371</t>
  </si>
  <si>
    <t>C(CCC(C(C)=C)CC(O)=O)(C)O</t>
  </si>
  <si>
    <t>NQYDFAGFKCSWGI-UHFFFAOYSA-N</t>
  </si>
  <si>
    <t>4.44_252.1964m/z</t>
  </si>
  <si>
    <t>(Z)-alpha-Bergamotenoic acid</t>
  </si>
  <si>
    <t>HMDB0036392</t>
  </si>
  <si>
    <t>124439-27-6</t>
  </si>
  <si>
    <t>C\C(=C/CCC1(C)C2CC1C(C)=CC2)C(O)=O</t>
  </si>
  <si>
    <t>CTORLPNPQPAKGI-VZUCSPMQSA-N</t>
  </si>
  <si>
    <t>6.27_292.2027m/z</t>
  </si>
  <si>
    <t>Obscuraminol C</t>
  </si>
  <si>
    <t>LMSP01080074</t>
  </si>
  <si>
    <t>C[C@H](N)[C@H](O)CCCCCCC/C=C/CCC=C</t>
  </si>
  <si>
    <t>PKCDBAJESFUNQJ-BUWFCSEKSA-N</t>
  </si>
  <si>
    <t>C16H31NO</t>
  </si>
  <si>
    <t>10.07_450.3589m/z</t>
  </si>
  <si>
    <t>Icosa-8,11,14-trienoylcarnitine</t>
  </si>
  <si>
    <t>HMDB0241578</t>
  </si>
  <si>
    <t>CCCCCC=CCC=CCC=CCCCCCCC(=O)OC(CC([O-])=O)C[N+](C)(C)C</t>
  </si>
  <si>
    <t>RDIZZXFTCZPSRY-UHFFFAOYSA-N</t>
  </si>
  <si>
    <t>C27H47NO4</t>
  </si>
  <si>
    <t>7.05_259.0010m/z</t>
  </si>
  <si>
    <t>2-Mercapto-3-phenylthieno[3,2-d]pyrimidin-4(3H)-one</t>
  </si>
  <si>
    <t>HMDB0246169</t>
  </si>
  <si>
    <t>O=C1N(C(=S)NC2=C1SC=C2)C1=CC=CC=C1</t>
  </si>
  <si>
    <t>HTRUBLMPPVBOHG-UHFFFAOYSA-N</t>
  </si>
  <si>
    <t>C12H8N2OS2</t>
  </si>
  <si>
    <t>15.36_432.9920m/z</t>
  </si>
  <si>
    <t>trans-Resveratrol 3,5-disulfate</t>
  </si>
  <si>
    <t>HMDB0041781</t>
  </si>
  <si>
    <t>OC1=CC=C(\C=C\C2=CC(OS(O)(=O)=O)=CC(OS(O)(=O)=O)=C2)C=C1</t>
  </si>
  <si>
    <t>AUJFEUYHBMJMOQ-OWOJBTEDSA-N</t>
  </si>
  <si>
    <t>C14H12O9S2</t>
  </si>
  <si>
    <t>0.60_132.0903n</t>
  </si>
  <si>
    <t>D-Ornithine</t>
  </si>
  <si>
    <t>HMDB0003374</t>
  </si>
  <si>
    <t>C00515</t>
  </si>
  <si>
    <t>hsa00470</t>
  </si>
  <si>
    <t>D-Amino acid metabolism</t>
  </si>
  <si>
    <t>348-66-3</t>
  </si>
  <si>
    <t>NCCC[C@@H](N)C(O)=O</t>
  </si>
  <si>
    <t>AHLPHDHHMVZTML-SCSAIBSYSA-N</t>
  </si>
  <si>
    <t>13.16_459.0097m/z</t>
  </si>
  <si>
    <t>Alginic acid</t>
  </si>
  <si>
    <t>HMDB0029940</t>
  </si>
  <si>
    <t>C01768</t>
  </si>
  <si>
    <t>hsa00051</t>
  </si>
  <si>
    <t>Fructose and mannose metabolism</t>
  </si>
  <si>
    <t>9005-32-7</t>
  </si>
  <si>
    <t>OC1C(O)C(OC2C(O)C(O)C(OP)OC2C(O)=O)OC(C1P)C(O)=O</t>
  </si>
  <si>
    <t>FHVDTGUDJYJELY-UHFFFAOYSA-N</t>
  </si>
  <si>
    <t>C12H16O12P2</t>
  </si>
  <si>
    <t>13.35_431.1896m/z</t>
  </si>
  <si>
    <t>Rivenprost</t>
  </si>
  <si>
    <t>HMDB0257249</t>
  </si>
  <si>
    <t>COCC1=CC=CC(CC(O)C=CC2C(O)CC(=O)C2CCSCCCC(=O)OC)=C1</t>
  </si>
  <si>
    <t>FBQUXLIJKPWCAO-UHFFFAOYSA-N</t>
  </si>
  <si>
    <t>Benzylethers</t>
  </si>
  <si>
    <t>C24H34O6S</t>
  </si>
  <si>
    <t>4.57_578.2836m/z</t>
  </si>
  <si>
    <t>PS(19:0/0:0)</t>
  </si>
  <si>
    <t>LMGP03050028</t>
  </si>
  <si>
    <t>C(O)(=O)[C@@]([H])(N)COP(OC[C@]([H])(O)COC(CCCCCCCCCCCCCCCCCC)=O)(=O)O</t>
  </si>
  <si>
    <t>QZTQWDNDCFZUCX-PKTZIBPZSA-N</t>
  </si>
  <si>
    <t>C25H50NO9P</t>
  </si>
  <si>
    <t>3.92_288.0629m/z</t>
  </si>
  <si>
    <t>p-coumaroyltriacetate</t>
  </si>
  <si>
    <t>HMDB0304446</t>
  </si>
  <si>
    <t>OC1=CC=C(C=CC(=O)CC(=O)CC(=O)CC([O-])=O)C=C1</t>
  </si>
  <si>
    <t>YGTSJOBIWGILCS-UHFFFAOYSA-M</t>
  </si>
  <si>
    <t>C15H13O6-</t>
  </si>
  <si>
    <t>10.53_379.2106m/z</t>
  </si>
  <si>
    <t>5S-HpEPE</t>
  </si>
  <si>
    <t>LMFA03070001</t>
  </si>
  <si>
    <t>C(O)(=O)CCC[C@H](OO)/C=C/C=C\C/C=C\C/C=C\C/C=C\CC</t>
  </si>
  <si>
    <t>NKXYOIJDQPQELO-GHWNLOBHSA-N</t>
  </si>
  <si>
    <t>4.21_261.1245m/z</t>
  </si>
  <si>
    <t>Prolylphenylalanine</t>
  </si>
  <si>
    <t>HMDB0011179</t>
  </si>
  <si>
    <t>13589-02-1</t>
  </si>
  <si>
    <t>OC(=O)[C@H](CC1=CC=CC=C1)NC(=O)[C@@H]1CCCN1</t>
  </si>
  <si>
    <t>IWIANZLCJVYEFX-RYUDHWBXSA-N</t>
  </si>
  <si>
    <t>10.72_411.1480m/z</t>
  </si>
  <si>
    <t>(3-{[3-(2-Amino-2-Oxoethyl)-1-Benzyl-2-Ethyl-1h-Indol-5-Yl]oxy}propyl)phosphonic Acid</t>
  </si>
  <si>
    <t>HMDB0254234</t>
  </si>
  <si>
    <t>CCC1=C(CC(O)=N)C2=C(C=CC(OCCCP(O)(O)=O)=C2)N1CC1=CC=CC=C1</t>
  </si>
  <si>
    <t>OPWQYOUZRHDKBR-UHFFFAOYSA-N</t>
  </si>
  <si>
    <t>N-alkylindoles</t>
  </si>
  <si>
    <t>C22H27N2O5P</t>
  </si>
  <si>
    <t>5.67_834.6578m/z</t>
  </si>
  <si>
    <t>PS(O-18:0/22:0)</t>
  </si>
  <si>
    <t>LMGP03020084</t>
  </si>
  <si>
    <t>C(O)(=O)[C@@]([H])(N)COP(OC[C@]([H])(OC(CCCCCCCCCCCCCCCCCCCCC)=O)COCCCCCCCCCCCCCCCCCC)(=O)O</t>
  </si>
  <si>
    <t>BULHEJSJJLBBON-GWRSVMHXSA-N</t>
  </si>
  <si>
    <t>C46H92NO9P</t>
  </si>
  <si>
    <t>15.02_409.3438m/z</t>
  </si>
  <si>
    <t>Momordenol</t>
  </si>
  <si>
    <t>HMDB0031080</t>
  </si>
  <si>
    <t>189156-41-0</t>
  </si>
  <si>
    <t>CCC(CCC(C)C1C(=O)C=C2C3CC=C4CC(O)CCC4(C)C3CCC12C)C(C)C</t>
  </si>
  <si>
    <t>MEWYFWRPPPAWSI-UHFFFAOYSA-N</t>
  </si>
  <si>
    <t>C29H46O2</t>
  </si>
  <si>
    <t>6.89_439.1291m/z</t>
  </si>
  <si>
    <t>5-S-Glutathionyl-aminochrome reduced</t>
  </si>
  <si>
    <t>HMDB0060086</t>
  </si>
  <si>
    <t>N[C@H](CCC(O)=N[C@@H](CSC1=C2CCNC2=CC(O)=C1O)C(O)=NCC(O)=O)C(O)=O</t>
  </si>
  <si>
    <t>OWLBFEJNNSEXED-KOLCDFICSA-N</t>
  </si>
  <si>
    <t>C18H24N4O8S</t>
  </si>
  <si>
    <t>14.46_425.2159m/z</t>
  </si>
  <si>
    <t>Cinitapride</t>
  </si>
  <si>
    <t>HMDB0015698</t>
  </si>
  <si>
    <t>66564-14-5</t>
  </si>
  <si>
    <t>CCOC1=CC(N)=C(C=C1C(=O)NC1CCN(CC2CCC=CC2)CC1)[N+]([O-])=O</t>
  </si>
  <si>
    <t>ZDLBNXXKDMLZMF-UHFFFAOYSA-N</t>
  </si>
  <si>
    <t>8.60_970.6304m/z</t>
  </si>
  <si>
    <t>PC(22:6(4Z,7Z,10Z,13E,15E,19Z)-OH(17)/24:1(15Z))</t>
  </si>
  <si>
    <t>HMDB0288781</t>
  </si>
  <si>
    <t>[H][C@@](COC(=O)CC\C=C/C\C=C/C\C=C/C\C=C\C=C\C(O)C\C=C/CC)(COP([O-])(=O)OCC[N+](C)(C)C)OC(=O)CCCCCCCCCCCCC\C=C/CCCCCCCC</t>
  </si>
  <si>
    <t>CCMJJSQOLMMNPH-VRHLGAQVSA-N</t>
  </si>
  <si>
    <t>C54H94NO9P</t>
  </si>
  <si>
    <t>0.68_193.1552m/z</t>
  </si>
  <si>
    <t>N-(3-Hydroxypropyl)valine</t>
  </si>
  <si>
    <t>HMDB0255001</t>
  </si>
  <si>
    <t>CC(C)C(NCCCO)C(O)=O</t>
  </si>
  <si>
    <t>LPXDRBWCBNPDTJ-UHFFFAOYSA-N</t>
  </si>
  <si>
    <t>6.84_644.3211m/z</t>
  </si>
  <si>
    <t>PC(20:5(6E,8Z,11Z,14Z,17Z)-OH(5)/2:0)</t>
  </si>
  <si>
    <t>HMDB0288869</t>
  </si>
  <si>
    <t>[H][C@@](COC(=O)CCCC(O)\C=C\C=C/C\C=C/C\C=C/C\C=C/CC)(COP([O-])(=O)OCC[N+](C)(C)C)OC(C)=O</t>
  </si>
  <si>
    <t>BNHFNICJXKUFEQ-UASPQMOUSA-N</t>
  </si>
  <si>
    <t>0.78_278.0818m/z</t>
  </si>
  <si>
    <t>7-Hydroxyflumequine</t>
  </si>
  <si>
    <t>HMDB0247260</t>
  </si>
  <si>
    <t>CC1CC(O)C2=C3N1C=C(C(O)=O)C(=O)C3=CC(F)=C2</t>
  </si>
  <si>
    <t>JTYQHEUSQWIRBH-UHFFFAOYSA-N</t>
  </si>
  <si>
    <t>C14H12FNO4</t>
  </si>
  <si>
    <t>10.51_530.0425m/z</t>
  </si>
  <si>
    <t>Creatine phosphate lactate</t>
  </si>
  <si>
    <t>HMDB0250525</t>
  </si>
  <si>
    <t>CC(O)C(=O)OOP(=O)(OOC(=O)C(C)O)OOC(=O)C(C)(O)OC(=O)CN(C)C(N)=N</t>
  </si>
  <si>
    <t>UGMIKEYXUPENGE-UHFFFAOYSA-N</t>
  </si>
  <si>
    <t>Depsipeptides</t>
  </si>
  <si>
    <t>C13H22N3O15P</t>
  </si>
  <si>
    <t>14.35_662.5010m/z</t>
  </si>
  <si>
    <t>2-(9R-(tricosanoyloxy)-3-methyl-2Z-decenoyloxy)-ethanesulfonic acid</t>
  </si>
  <si>
    <t>LMFA07020004</t>
  </si>
  <si>
    <t>C(/C=C(/C)\CCCCC[C@H](OC(CCCCCCCCCCCCCCCCCCCCCC)=O)C)(=O)OCCS(O)(=O)=O</t>
  </si>
  <si>
    <t>XIWJZXRHSHGJQJ-GZPNODSSSA-N</t>
  </si>
  <si>
    <t>C36H68O7S</t>
  </si>
  <si>
    <t>6.64_213.0148m/z</t>
  </si>
  <si>
    <t>1,2-Dinitrobenzene</t>
  </si>
  <si>
    <t>HMDB0244084</t>
  </si>
  <si>
    <t>C14702</t>
  </si>
  <si>
    <t>528-29-0</t>
  </si>
  <si>
    <t>O=N(=O)C1=CC=CC=C1N(=O)=O</t>
  </si>
  <si>
    <t>IZUKQUVSCNEFMJ-UHFFFAOYSA-N</t>
  </si>
  <si>
    <t>C6H4N2O4</t>
  </si>
  <si>
    <t>5.15_279.0622m/z</t>
  </si>
  <si>
    <t>N-(gamma-Maleimidobutyryloxy)succinimide</t>
  </si>
  <si>
    <t>HMDB0252896</t>
  </si>
  <si>
    <t>O=C(CCCN1C(=O)C=CC1=O)ON1C(=O)CCC1=O</t>
  </si>
  <si>
    <t>PVGATNRYUYNBHO-UHFFFAOYSA-N</t>
  </si>
  <si>
    <t>Pyrrolidones</t>
  </si>
  <si>
    <t>C12H12N2O6</t>
  </si>
  <si>
    <t>3.90_717.3440m/z</t>
  </si>
  <si>
    <t>Gingerglycolipid B</t>
  </si>
  <si>
    <t>HMDB0041094</t>
  </si>
  <si>
    <t>88168-90-5</t>
  </si>
  <si>
    <t>CCCCC\C=C/C\C=C/CCCCCCCC(=O)OCC(O)COC1OC(COC2OC(CO)C(O)C(O)C2O)C(O)C(O)C1O</t>
  </si>
  <si>
    <t>UHISGSDYAIIBMO-HZJYTTRNSA-N</t>
  </si>
  <si>
    <t>C33H58O14</t>
  </si>
  <si>
    <t>6.83_421.2969m/z</t>
  </si>
  <si>
    <t>N6-[2-[5-(Diethylamino)pentan-2-ylamino]-6-methyl-4-pyrimidinyl]-2-methylquinoline-4,6-diamine</t>
  </si>
  <si>
    <t>HMDB0255777</t>
  </si>
  <si>
    <t>CCN(CC)CCCC(C)NC1=NC(C)=CC(NC2=CC3=C(C=C2)N=C(C)C=C3N)=N1</t>
  </si>
  <si>
    <t>DEFBCZWQLILOJF-UHFFFAOYSA-N</t>
  </si>
  <si>
    <t>C24H35N7</t>
  </si>
  <si>
    <t>1.01_233.0578m/z</t>
  </si>
  <si>
    <t>1-Ethoxymethyl-5-fluorouracil</t>
  </si>
  <si>
    <t>HMDB0243872</t>
  </si>
  <si>
    <t>CCOCN1C=C(F)C(=O)NC1=O</t>
  </si>
  <si>
    <t>OUAPULXYUWUOHW-UHFFFAOYSA-N</t>
  </si>
  <si>
    <t>C7H9FN2O3</t>
  </si>
  <si>
    <t>9.63_352.2470m/z</t>
  </si>
  <si>
    <t>PGE2 1,15-lactone</t>
  </si>
  <si>
    <t>LMFA03010198</t>
  </si>
  <si>
    <t>O[C@@H]1CC([C@@H]2CC=CCCCC(=O)O[C@@H](CCCCC)C=C[C@H]21)=O</t>
  </si>
  <si>
    <t>BJXHXZDHQUYRMA-ARSRFYASSA-N</t>
  </si>
  <si>
    <t>0.99_231.0983m/z</t>
  </si>
  <si>
    <t>(1R,2S,3R)-2-Acetyl-4(5)-(1,2,3,4-tetrahydroxybutyl)imidazole</t>
  </si>
  <si>
    <t>HMDB0029756</t>
  </si>
  <si>
    <t>94944-70-4</t>
  </si>
  <si>
    <t>CC(=O)C1=NC(=CN1)C(O)C(O)C(O)CO</t>
  </si>
  <si>
    <t>CQSIXFHVGKMLGQ-UHFFFAOYSA-N</t>
  </si>
  <si>
    <t>11.95_369.2048m/z</t>
  </si>
  <si>
    <t>PRIMA-1</t>
  </si>
  <si>
    <t>5608-24-2</t>
  </si>
  <si>
    <t>C1CN2CCC1C(=O)C2(CO)CO</t>
  </si>
  <si>
    <t>RFBVBRVVOPAAFS-UHFFFAOYSA-N</t>
  </si>
  <si>
    <t>Quinuclidines</t>
  </si>
  <si>
    <t>Quinuclidones</t>
  </si>
  <si>
    <t>C9H15NO3</t>
  </si>
  <si>
    <t>13.53_427.0028m/z</t>
  </si>
  <si>
    <t>2-(6-Hydroxy-4-oxo-2-sulfanylidene-1H-pyrimidin-5-yl)propanedial</t>
  </si>
  <si>
    <t>HMDB0255358</t>
  </si>
  <si>
    <t>OC1=C(C(C=O)C=O)C(=O)NC(=S)N1</t>
  </si>
  <si>
    <t>SNFKLBVOWQMGDH-UHFFFAOYSA-N</t>
  </si>
  <si>
    <t>C7H6N2O4S</t>
  </si>
  <si>
    <t>9.95_263.2014m/z</t>
  </si>
  <si>
    <t>12-hydroxy-5,8,10-heptadecatrienoic acid</t>
  </si>
  <si>
    <t>LMFA01050195</t>
  </si>
  <si>
    <t>C(CCC/C=C/C/C=C/C=C/C(O)CCCCC)(=O)O</t>
  </si>
  <si>
    <t>KUKJHGXXZWHSBG-GMPNNLDHSA-N</t>
  </si>
  <si>
    <t>C17H28O3</t>
  </si>
  <si>
    <t>0.65_188.1762m/z</t>
  </si>
  <si>
    <t>N1-Acetylspermidine</t>
  </si>
  <si>
    <t>HMDB0001276</t>
  </si>
  <si>
    <t>C00612</t>
  </si>
  <si>
    <t>R-HSA-140179,R-HSA-141334,R-HSA-1430728,R-HSA-211859,R-HSA-211945,R-HSA-351200,R-HSA-351202,R-HSA-71291</t>
  </si>
  <si>
    <t>Amine Oxidase reactions|PAOs oxidise polyamines to amines|Metabolism|Biological oxidations|Phase I - Functionalization of compounds|Interconversion of polyamines|Metabolism of polyamines|Metabolism of amino acids and derivatives</t>
  </si>
  <si>
    <t>14278-49-0</t>
  </si>
  <si>
    <t>CC(=O)NCCCNCCCCN</t>
  </si>
  <si>
    <t>MQTAVJHICJWXBR-UHFFFAOYSA-N</t>
  </si>
  <si>
    <t>C9H21N3O</t>
  </si>
  <si>
    <t>6.51_357.0618m/z</t>
  </si>
  <si>
    <t>(E)-Antibiotic BE 23372M</t>
  </si>
  <si>
    <t>HMDB0041097</t>
  </si>
  <si>
    <t>OC1=CC(\C=C2\C=C(OC2=O)C2=CC(O)=C(O)C=C2)=CC(O)=C1</t>
  </si>
  <si>
    <t>NKCVEROYQKLTRJ-JYOAFUTRSA-N</t>
  </si>
  <si>
    <t>12.56_967.6327m/z</t>
  </si>
  <si>
    <t>Ganoweberianone A</t>
  </si>
  <si>
    <t>LMST01010420</t>
  </si>
  <si>
    <t>C1CC(=O)C(C)(C)[C@]2([H])CC(=O)C3=C([C@]21C)C(=O)C[C@]1(C)[C@@]([H])([C@H](C)CC(=O)C[C@@H](C(=O)O[C@H]([C@@](O)(C)CO)CC[C@@H](C)[C@@]2([H])CC[C@@]4(C)C5=CC[C@@]6([H])C(C)(C)C(=O)CC[C@]6(C)C5=CC[C@@]42C)C)C[C@@H](O)[C@]13C</t>
  </si>
  <si>
    <t>KOHPJQAINZLZJM-ADOIXGOQSA-N</t>
  </si>
  <si>
    <t>C60H88O10</t>
  </si>
  <si>
    <t>12.53_653.4066m/z</t>
  </si>
  <si>
    <t>rhodotoxin II</t>
  </si>
  <si>
    <t>1030234</t>
  </si>
  <si>
    <t>CC(=O)O[C@@H]1[C@@H]2CC[C@@H]3[C@@]1(C[C@H]([C@]4([C@H]([C@]3(C)O)C[C@@H](C4(C)C)O)O)O)C[C@@]2(C)O</t>
  </si>
  <si>
    <t>NXCYBYJXCJWMRY-AUIJVKLYSA-N</t>
  </si>
  <si>
    <t>C18H25N5O</t>
  </si>
  <si>
    <t>4.53_420.1775n</t>
  </si>
  <si>
    <t>Eucannabinolide</t>
  </si>
  <si>
    <t>HMDB0303565</t>
  </si>
  <si>
    <t>CC(=O)OC1C\C=C(C)\CC(OC(=O)C(\CO)=C\CO)C2C(OC(=O)C2=C)\C=C1/C</t>
  </si>
  <si>
    <t>XYPJAWWDSQFSQA-VISQRNLASA-N</t>
  </si>
  <si>
    <t>C22H28O8</t>
  </si>
  <si>
    <t>0.74_202.1443m/z</t>
  </si>
  <si>
    <t>Asymmetric dimethylarginine</t>
  </si>
  <si>
    <t>HMDB0001539</t>
  </si>
  <si>
    <t>C03626</t>
  </si>
  <si>
    <t>30315-93-6</t>
  </si>
  <si>
    <t>N[C@@H](CCC\N=C(/N)N(C)C)C(O)=O</t>
  </si>
  <si>
    <t>YDGMGEXADBMOMJ-LURJTMIESA-N</t>
  </si>
  <si>
    <t>C8H18N4O2</t>
  </si>
  <si>
    <t>9.66_446.2551m/z</t>
  </si>
  <si>
    <t>Zaldaride</t>
  </si>
  <si>
    <t>HMDB0259982</t>
  </si>
  <si>
    <t>CC1(CN2CCC(CC2)N2C(O)=NC3=CC=CC=C23)OCC2=CC=CC=C2N2C=CC=C12</t>
  </si>
  <si>
    <t>HTGCJAAPDHZCHL-UHFFFAOYSA-N</t>
  </si>
  <si>
    <t>C26H28N4O2</t>
  </si>
  <si>
    <t>13.26_305.2487m/z</t>
  </si>
  <si>
    <t>Sciadonic acid</t>
  </si>
  <si>
    <t>LMFA01030380</t>
  </si>
  <si>
    <t>7019-85-4</t>
  </si>
  <si>
    <t>C(CCC/C=C\CCCC/C=C\C/C=C\CCCCC)(=O)O</t>
  </si>
  <si>
    <t>PRHHYVQTPBEDFE-URZBRJKDSA-N</t>
  </si>
  <si>
    <t>C20H34O2</t>
  </si>
  <si>
    <t>8.13_379.2473m/z</t>
  </si>
  <si>
    <t>20-F4-NeuroP</t>
  </si>
  <si>
    <t>LMFA04010001</t>
  </si>
  <si>
    <t>C(CC/C=C\C/C=C\C/C=C\CC1C(O)CC(O)C1/C=C/C(O)CC)(=O)O</t>
  </si>
  <si>
    <t>CJWASNYUTHNACM-KBUBQVDUSA-N</t>
  </si>
  <si>
    <t>1.19_206.0215m/z</t>
  </si>
  <si>
    <t>2-Oxazolidinone, 3-[[(5-nitro-2-furanyl)methylene]amino]-</t>
  </si>
  <si>
    <t>HMDB0247183</t>
  </si>
  <si>
    <t>[O-][N+](=O)C1=CC=C(O1)C=NN1CCOC1=O</t>
  </si>
  <si>
    <t>PLHJDBGFXBMTGZ-UHFFFAOYSA-N</t>
  </si>
  <si>
    <t>C8H7N3O5</t>
  </si>
  <si>
    <t>10.31_418.3906m/z</t>
  </si>
  <si>
    <t>1-O-(2R-hydroxy-4Z-heicosenyl)-sn-glycerol</t>
  </si>
  <si>
    <t>LMGL01020059</t>
  </si>
  <si>
    <t>[C@](CO)([H])(O)COC[C@H](O)C/C=C\CCCCCCCCCCCCCCCC</t>
  </si>
  <si>
    <t>REBNVOWOSSFZOZ-YAHHNTINSA-N</t>
  </si>
  <si>
    <t>C24H48O4</t>
  </si>
  <si>
    <t>4.55_681.3483n</t>
  </si>
  <si>
    <t>Aypgkf</t>
  </si>
  <si>
    <t>HMDB0248753</t>
  </si>
  <si>
    <t>CC(N)C(=O)NC(CC1=CC=C(O)C=C1)C(=O)N1CCCC1C(=O)NCC(=O)NC(CCCCN)C(=O)NC(CC1=CC=CC=C1)C(O)=O</t>
  </si>
  <si>
    <t>VULJVZXXUQIUEM-UHFFFAOYSA-N</t>
  </si>
  <si>
    <t>C34H47N7O8</t>
  </si>
  <si>
    <t>7.32_429.2894n</t>
  </si>
  <si>
    <t>N-Docosahexaenoyl Threonine</t>
  </si>
  <si>
    <t>HMDB0242022</t>
  </si>
  <si>
    <t>CCC=CCC=CCC=CCC=CCC=CCC=CCCC(=O)NC(C(C)O)C(O)=O</t>
  </si>
  <si>
    <t>SDSAVVMPWSOONF-UHFFFAOYSA-N</t>
  </si>
  <si>
    <t>C26H39NO4</t>
  </si>
  <si>
    <t>9.79_423.2389m/z</t>
  </si>
  <si>
    <t>8-iso-16-cyclohexyl-tetranor Prostaglandin E2</t>
  </si>
  <si>
    <t>53319-30-5</t>
  </si>
  <si>
    <t>C1CCC(CC1)CC(CCC2C(C(=O)CC2=O)CC=CCCCC(=O)O)O</t>
  </si>
  <si>
    <t>PIPQNTASWLMKSF-BYOMGRGRSA-N</t>
  </si>
  <si>
    <t>11.28_489.3589m/z</t>
  </si>
  <si>
    <t>Armatinol B</t>
  </si>
  <si>
    <t>LMST01031164</t>
  </si>
  <si>
    <t>[C@]12(C[C@@H](O)[C@@]3(O)C[C@@H](O)CC[C@]3(COC(C)=O)[C@@]1([H])CC[C@]1(C)[C@@]([H])([C@@](C)([H])CCC(=C)C(C)C)CC[C@@]21[H])[H]</t>
  </si>
  <si>
    <t>LAVASOSSYAPADQ-WVMCKFTRSA-N</t>
  </si>
  <si>
    <t>10.43_325.2018m/z</t>
  </si>
  <si>
    <t>Prostaglandin F-main urinary metabolite</t>
  </si>
  <si>
    <t>HMDB0256371</t>
  </si>
  <si>
    <t>OCCCCCC(=O)CCC1C(O)CC(O)C1CC=CCC(O)=O</t>
  </si>
  <si>
    <t>MBJNKTSSQMIPIF-UHFFFAOYSA-N</t>
  </si>
  <si>
    <t>C18H30O6</t>
  </si>
  <si>
    <t>13.55_330.3376m/z</t>
  </si>
  <si>
    <t>sphinganine (C20)</t>
  </si>
  <si>
    <t>HMDB0304489</t>
  </si>
  <si>
    <t>CCCCCCCCCCCCCCCCCC(O)C([N+])CO</t>
  </si>
  <si>
    <t>MWKBYGDQDKMPOT-UHFFFAOYSA-N</t>
  </si>
  <si>
    <t>C20H44NO2+</t>
  </si>
  <si>
    <t>5.49_543.3812m/z</t>
  </si>
  <si>
    <t>Mayolene-14</t>
  </si>
  <si>
    <t>LMFA07090149</t>
  </si>
  <si>
    <t>C(CCCCCCC/C=C\[C@@H](OC(CCCCCCCCCCCCC)=O)/C=C\C/C=C\CC)(=O)O</t>
  </si>
  <si>
    <t>COMCEKCDENOSMR-RHUSWNTQSA-N</t>
  </si>
  <si>
    <t>C32H56O4</t>
  </si>
  <si>
    <t>2.21_189.0705m/z</t>
  </si>
  <si>
    <t>3-(4-Methyl-3-pentenyl)thiophene</t>
  </si>
  <si>
    <t>HMDB0038183</t>
  </si>
  <si>
    <t>62469-65-2</t>
  </si>
  <si>
    <t>CC(C)=CCCC1=CSC=C1</t>
  </si>
  <si>
    <t>UAGFAMQTBLSQSU-UHFFFAOYSA-N</t>
  </si>
  <si>
    <t>C10H14S</t>
  </si>
  <si>
    <t>4.67_717.3392m/z</t>
  </si>
  <si>
    <t>PA(10:0/6 keto-PGF1alpha)</t>
  </si>
  <si>
    <t>HMDB0262671</t>
  </si>
  <si>
    <t>CCCCCCCCCC(=O)OC[C@H](COP(O)(O)=O)OC(=O)CCCCC(=O)C[C@H]1[C@@H](O)C[C@@H](O)[C@@H]1\C=C\[C@@H](O)CCCCC</t>
  </si>
  <si>
    <t>NIZRDJSLKISJIU-RQOPTULISA-N</t>
  </si>
  <si>
    <t>C33H59O12P</t>
  </si>
  <si>
    <t>6.62_692.4812m/z</t>
  </si>
  <si>
    <t>Cer(d16:1/LTE4)</t>
  </si>
  <si>
    <t>HMDB0289854</t>
  </si>
  <si>
    <t>CCCCCCCCCCC\C=C\[C@@H](O)[C@H](CO)NC(=O)[C@@H](N)CS[C@H](\C=C\C=C\C=C/C\C=C/CCCCC)[C@@H](O)CCCC(O)=O</t>
  </si>
  <si>
    <t>JXMBPIDBPZZZTI-ZBMWSVBFSA-N</t>
  </si>
  <si>
    <t>C39H68N2O6S</t>
  </si>
  <si>
    <t>13.90_573.4527m/z</t>
  </si>
  <si>
    <t>DG(20:3(6,8,11)-OH(5)/a-13:0/0:0)</t>
  </si>
  <si>
    <t>HMDB0297468</t>
  </si>
  <si>
    <t>CCCCCCCC\C=C\C\C=C\C=C\C(O)CCCC(=O)OC[C@H](CO)OC(=O)CCCCCCCCC(C)CC</t>
  </si>
  <si>
    <t>PXKRTVNLBSFHIF-SKQKUHDCSA-N</t>
  </si>
  <si>
    <t>13.24_461.3637m/z</t>
  </si>
  <si>
    <t>Klyflaccisteroid L</t>
  </si>
  <si>
    <t>LMST01060042</t>
  </si>
  <si>
    <t>C1C[C@H](O)CC2=C[C@@H](O)[C@@]3([H])[C@]4([H])CC[C@]([H])([C@H](C)[C@H]5C[C@]5(C)[C@H](C)C(C)C)[C@@]4(C)CO[C@]3(O)[C@@]12C</t>
  </si>
  <si>
    <t>YAZCUSQPIROPMP-JTVWJQKOSA-N</t>
  </si>
  <si>
    <t>C29H48O4</t>
  </si>
  <si>
    <t>4.13_556.2934m/z</t>
  </si>
  <si>
    <t>DG(2:0/LTE4/0:0)</t>
  </si>
  <si>
    <t>HMDB0296923</t>
  </si>
  <si>
    <t>CCCCC\C=C/C\C=C/C=C/C=C/[C@@H](SC[C@H](N)C(=O)O[C@@H](CO)COC(C)=O)[C@@H](O)CCCC(O)=O</t>
  </si>
  <si>
    <t>MVWDDOVHPTXUIY-UYCXAPQFSA-N</t>
  </si>
  <si>
    <t>C28H45NO8S</t>
  </si>
  <si>
    <t>9.77_221.1543m/z</t>
  </si>
  <si>
    <t>7-oxo-11E,13-Tetradecadienoic acid</t>
  </si>
  <si>
    <t>LMFA01060185</t>
  </si>
  <si>
    <t>C(CCCCCC(=O)CCC/C=C/C=C)(=O)O</t>
  </si>
  <si>
    <t>UXENOYDVEDGVDV-ONEGZZNKSA-N</t>
  </si>
  <si>
    <t>C14H22O3</t>
  </si>
  <si>
    <t>4.81_339.2033n</t>
  </si>
  <si>
    <t>Bursin</t>
  </si>
  <si>
    <t>HMDB0249447</t>
  </si>
  <si>
    <t>NCCCCC(N)C(=O)NC(CC1=CNC=N1)C(=O)NCC(N)=O</t>
  </si>
  <si>
    <t>DIBAKBGYJUCGDL-UHFFFAOYSA-N</t>
  </si>
  <si>
    <t>C14H25N7O3</t>
  </si>
  <si>
    <t>2.64_201.1238m/z</t>
  </si>
  <si>
    <t>Isoleucyl-Alanine</t>
  </si>
  <si>
    <t>HMDB0028900</t>
  </si>
  <si>
    <t>CCC(C)C(N)C(=O)NC(C)C(O)=O</t>
  </si>
  <si>
    <t>RCFDOSNHHZGBOY-UHFFFAOYSA-N</t>
  </si>
  <si>
    <t>7.60_533.1805m/z</t>
  </si>
  <si>
    <t>3-[(2-Benzyl-3-sulfanylpropanoyl)amino]propanoic acid</t>
  </si>
  <si>
    <t>HMDB0258443</t>
  </si>
  <si>
    <t>OC(=O)CCNC(=O)C(CS)CC1=CC=CC=C1</t>
  </si>
  <si>
    <t>ZCTDTVUDURCGFX-UHFFFAOYSA-N</t>
  </si>
  <si>
    <t>C13H17NO3S</t>
  </si>
  <si>
    <t>10.85_325.2169m/z</t>
  </si>
  <si>
    <t>16,17-epoxy-DHA</t>
  </si>
  <si>
    <t>LMFA04000014</t>
  </si>
  <si>
    <t>C(CC/C=C\C/C=C\C/C=C\C=C\C=C\C1OC1C/C=C\CC)(=O)O</t>
  </si>
  <si>
    <t>XLYRHVKBJYDBOS-HXSPUPMESA-N</t>
  </si>
  <si>
    <t>2.42_271.0938m/z</t>
  </si>
  <si>
    <t>3'-Deoxythymidine</t>
  </si>
  <si>
    <t>HMDB0246094</t>
  </si>
  <si>
    <t>CC1=CN(C2CCC(CO)O2)C(=O)NC1=O</t>
  </si>
  <si>
    <t>XKKCQTLDIPIRQD-UHFFFAOYSA-N</t>
  </si>
  <si>
    <t>C10H14N2O4</t>
  </si>
  <si>
    <t>11.34_450.2992m/z</t>
  </si>
  <si>
    <t>1-(2-methoxy-14-methyl-pentadecanyl)-sn-glycero-3-phosphoethanolamine</t>
  </si>
  <si>
    <t>LMGP02060014</t>
  </si>
  <si>
    <t>[C@](COP(=O)(O)OCCN)([H])(O)COCC(OC)CCCCCCCCCCCC(C)C</t>
  </si>
  <si>
    <t>JCYSKRLDWLPBNQ-ZMFCMNQTSA-N</t>
  </si>
  <si>
    <t>C22H48NO7P</t>
  </si>
  <si>
    <t>0.74_324.1677m/z</t>
  </si>
  <si>
    <t>Etamiphylline</t>
  </si>
  <si>
    <t>HMDB0041889</t>
  </si>
  <si>
    <t>314-35-2</t>
  </si>
  <si>
    <t>CCN(CC)CCN1C=NC2=C1C(=O)N(C)C(=O)N2C</t>
  </si>
  <si>
    <t>AWKLBIOQCIORSB-UHFFFAOYSA-N</t>
  </si>
  <si>
    <t>C13H21N5O2</t>
  </si>
  <si>
    <t>14.93_509.0056m/z</t>
  </si>
  <si>
    <t>1,1,2,2-Tetrahydroperfluoro-1-decanol</t>
  </si>
  <si>
    <t>HMDB0247193</t>
  </si>
  <si>
    <t>OCCC(F)(F)C(F)(F)C(F)(F)C(F)(F)C(F)(F)C(F)(F)C(F)(F)C(F)(F)F</t>
  </si>
  <si>
    <t>JJUBFBTUBACDHW-UHFFFAOYSA-N</t>
  </si>
  <si>
    <t>C10H5F17O</t>
  </si>
  <si>
    <t>11.19_339.2541m/z</t>
  </si>
  <si>
    <t>11,13-dimethoxy-12-hydroxy-9-octadecenoic acid</t>
  </si>
  <si>
    <t>LMFA01080003</t>
  </si>
  <si>
    <t>C(/C(OC)C(O)C(OC)CCCCC)=C\CCCCCCCC(=O)O</t>
  </si>
  <si>
    <t>MQWZCHDMBWJFTK-NTCAYCPXSA-N</t>
  </si>
  <si>
    <t>C20H38O5</t>
  </si>
  <si>
    <t>5.26_553.2788m/z</t>
  </si>
  <si>
    <t>Vignatic acid A</t>
  </si>
  <si>
    <t>HMDB0033599</t>
  </si>
  <si>
    <t>181485-19-8</t>
  </si>
  <si>
    <t>CC(C)CC(O)C(=O)NC1C(OC2=CC=C(CC(NC(=O)C(CC3=CC=CC=C3)NC1=O)C(O)=O)C=C2)C(C)C</t>
  </si>
  <si>
    <t>OEJLUFSEWIDXDN-UHFFFAOYSA-N</t>
  </si>
  <si>
    <t>C30H39N3O7</t>
  </si>
  <si>
    <t>12.33_373.2118m/z</t>
  </si>
  <si>
    <t>Bunazosin</t>
  </si>
  <si>
    <t>HMDB0249439</t>
  </si>
  <si>
    <t>52712-76-2</t>
  </si>
  <si>
    <t>CCCC(=O)N1CCCN(CC1)C1=NC2=CC(OC)=C(OC)C=C2C(=N)N1</t>
  </si>
  <si>
    <t>RHLJLALHBZGAFM-UHFFFAOYSA-N</t>
  </si>
  <si>
    <t>C19H27N5O3</t>
  </si>
  <si>
    <t>11.99_297.2435m/z</t>
  </si>
  <si>
    <t>8Z-decen-4,6-diynoic acid</t>
  </si>
  <si>
    <t>LMFA01050421</t>
  </si>
  <si>
    <t>C(CC(O)CCCCCCC/C=C\CCCCCC)(=O)O</t>
  </si>
  <si>
    <t>VZZZAISMRNOEFX-FPLPWBNLSA-N</t>
  </si>
  <si>
    <t>4.68_207.0406m/z</t>
  </si>
  <si>
    <t>5H-Indazole-5,5-dicarboxylicacid, 1,2,3,4,6,7-hexahydro-3-oxo-</t>
  </si>
  <si>
    <t>HMDB0244329</t>
  </si>
  <si>
    <t>OC(=O)C1(CCC2=C(C1)C(=O)NN2)C(O)=O</t>
  </si>
  <si>
    <t>JGVHSSOIVVLKHG-UHFFFAOYSA-N</t>
  </si>
  <si>
    <t>Azolines</t>
  </si>
  <si>
    <t>Pyrazolines</t>
  </si>
  <si>
    <t>C9H10N2O5</t>
  </si>
  <si>
    <t>9.97_270.2436m/z</t>
  </si>
  <si>
    <t>8Z,10Z-hexadecadienoic acid</t>
  </si>
  <si>
    <t>LMFA01030274</t>
  </si>
  <si>
    <t>C(CCCCCC/C=C\C=C/CCCCC)(=O)O</t>
  </si>
  <si>
    <t>RKRWQJWKOXDDSE-JPDBVBESSA-N</t>
  </si>
  <si>
    <t>C16H28O2</t>
  </si>
  <si>
    <t>7.24_181.0864m/z</t>
  </si>
  <si>
    <t>4-Hydroxy-2,6,6-trimethyl-3-oxo-1,4-cyclohexadiene-1-carboxaldehyde</t>
  </si>
  <si>
    <t>HMDB0037602</t>
  </si>
  <si>
    <t>35692-95-6</t>
  </si>
  <si>
    <t>CC1=C(C=O)C(C)(C)C=C(O)C1=O</t>
  </si>
  <si>
    <t>COUDKMJLVVETJL-UHFFFAOYSA-N</t>
  </si>
  <si>
    <t>C10H12O3</t>
  </si>
  <si>
    <t>10.78_247.1700m/z</t>
  </si>
  <si>
    <t>4-oxo-2E,15-hexadecendioic acid</t>
  </si>
  <si>
    <t>LMFA01060229</t>
  </si>
  <si>
    <t>C(/C=C/C(=O)CCCCCCCCCCC=C)(=O)O</t>
  </si>
  <si>
    <t>FVNVZUDUUWRXLM-BUHFOSPRSA-N</t>
  </si>
  <si>
    <t>C16H26O3</t>
  </si>
  <si>
    <t>10.66_838.5604m/z</t>
  </si>
  <si>
    <t>PE(18:0/22:5(7Z,10Z,13Z,16Z,19Z))</t>
  </si>
  <si>
    <t>HMDB0009011</t>
  </si>
  <si>
    <t>[H][C@@](COC(=O)CCCCCCCCCCCCCCCCC)(COP(O)(=O)OCCN)OC(=O)CCCCC\C=C/C\C=C/C\C=C/C\C=C/C\C=C/CC</t>
  </si>
  <si>
    <t>KYERVKWKQQBRQB-LKDUQXRXSA-N</t>
  </si>
  <si>
    <t>10.10_538.3153m/z</t>
  </si>
  <si>
    <t>PC(16:1(9Z)/0:0)</t>
  </si>
  <si>
    <t>HMDB0010383</t>
  </si>
  <si>
    <t>LMGP01050022</t>
  </si>
  <si>
    <t>76790-27-7</t>
  </si>
  <si>
    <t>[C@](COP(=O)([O-])OCC[N+](C)(C)C)([H])(O)COC(CCCCCCC/C=C\CCCCCC)=O</t>
  </si>
  <si>
    <t>LFUDDCMNKWEORN-ZXEGGCGDSA-N</t>
  </si>
  <si>
    <t>0.74_127.1001n</t>
  </si>
  <si>
    <t>Cyclohexanecarboxamide</t>
  </si>
  <si>
    <t>HMDB0250651</t>
  </si>
  <si>
    <t>NC(=O)C1CCCCC1</t>
  </si>
  <si>
    <t>PNZXMIKHJXIPEK-UHFFFAOYSA-N</t>
  </si>
  <si>
    <t>C7H13NO</t>
  </si>
  <si>
    <t>5.85_295.0600m/z</t>
  </si>
  <si>
    <t>Tris(2-carboxyethyl)phosphine</t>
  </si>
  <si>
    <t>HMDB0247005</t>
  </si>
  <si>
    <t>OC(=O)CCP(CCC(O)=O)CCC(O)=O</t>
  </si>
  <si>
    <t>PZBFGYYEXUXCOF-UHFFFAOYSA-N</t>
  </si>
  <si>
    <t>C9H15O6P</t>
  </si>
  <si>
    <t>6.25_389.1972m/z</t>
  </si>
  <si>
    <t>Clathroid B</t>
  </si>
  <si>
    <t>LMST02030243</t>
  </si>
  <si>
    <t>[C@@]12([H])[C@H](O)C[C@]([H])(C(=O)C)[C@@]1(C)[C@H](O)C[C@]1([H])[C@@]3(C)CCC(=O)C=C3C=C[C@@]21[H]</t>
  </si>
  <si>
    <t>YKHUQPRVWWUXTL-FKGJNOFZSA-N</t>
  </si>
  <si>
    <t>C21H28O4</t>
  </si>
  <si>
    <t>2.00_313.1226m/z</t>
  </si>
  <si>
    <t>Tyrosyl-Methionine</t>
  </si>
  <si>
    <t>HMDB0029111</t>
  </si>
  <si>
    <t>CSCCC(NC(=O)C(N)CC1=CC=C(O)C=C1)C(O)=O</t>
  </si>
  <si>
    <t>KYPMKDGKAYQCHO-UHFFFAOYSA-N</t>
  </si>
  <si>
    <t>C14H20N2O4S</t>
  </si>
  <si>
    <t>10.64_297.2339m/z</t>
  </si>
  <si>
    <t>4-tert-Butylaniline</t>
  </si>
  <si>
    <t>CC(C)(C)C1=CC=C(C=C1)N</t>
  </si>
  <si>
    <t>WRDWWAVNELMWAM-UHFFFAOYSA-N</t>
  </si>
  <si>
    <t>C10H15N</t>
  </si>
  <si>
    <t>1.56_283.0411m/z</t>
  </si>
  <si>
    <t>Sodium diacetate</t>
  </si>
  <si>
    <t>HMDB0303659</t>
  </si>
  <si>
    <t>[Na+].CC(O)=O.CC([O-])=O</t>
  </si>
  <si>
    <t>BHZOKUMUHVTPBX-UHFFFAOYSA-M</t>
  </si>
  <si>
    <t>C4H7NaO4</t>
  </si>
  <si>
    <t>9.38_489.2085m/z</t>
  </si>
  <si>
    <t>Gly-arg-gly-asp-ser</t>
  </si>
  <si>
    <t>HMDB0252824</t>
  </si>
  <si>
    <t>NCC(=O)NC(CCCN=C(N)N)C(=O)NCC(=O)NC(CC(O)=O)C(=O)NC(CO)C(O)=O</t>
  </si>
  <si>
    <t>RGNVSYKVCGAEHK-UHFFFAOYSA-N</t>
  </si>
  <si>
    <t>C17H30N8O9</t>
  </si>
  <si>
    <t>13.86_425.3640m/z</t>
  </si>
  <si>
    <t>Hexacosanedioic acid</t>
  </si>
  <si>
    <t>LMFA01170040</t>
  </si>
  <si>
    <t>C(CCCCCCCCCCCCCCCCCCCCCCCCC(=O)O)(=O)O</t>
  </si>
  <si>
    <t>JJWZFUFNJNGKAF-UHFFFAOYSA-N</t>
  </si>
  <si>
    <t>C26H50O4</t>
  </si>
  <si>
    <t>13.79_298.2517n</t>
  </si>
  <si>
    <t>19-HOME(9Z)</t>
  </si>
  <si>
    <t>LMFA02000181</t>
  </si>
  <si>
    <t>C19616</t>
  </si>
  <si>
    <t>C(CCCCCCC/C=C\CCCCCCCCO)(=O)O</t>
  </si>
  <si>
    <t>LQUHZVLTTWMBTO-UPHRSURJSA-N</t>
  </si>
  <si>
    <t>13.51_352.2494m/z</t>
  </si>
  <si>
    <t>Fingolimod</t>
  </si>
  <si>
    <t>HMDB0252262</t>
  </si>
  <si>
    <t>CCCCCCCCC1=CC=C(CCC(N)(CO)CO)C=C1</t>
  </si>
  <si>
    <t>KKGQTZUTZRNORY-UHFFFAOYSA-N</t>
  </si>
  <si>
    <t>C19H33NO2</t>
  </si>
  <si>
    <t>1.56_297.0568m/z</t>
  </si>
  <si>
    <t>threo-hydroxyaspartic acid</t>
  </si>
  <si>
    <t>HMDB0259046</t>
  </si>
  <si>
    <t>NC(O)(CC(O)=O)C(O)=O</t>
  </si>
  <si>
    <t>DZYHJDLBFUOKBD-UHFFFAOYSA-N</t>
  </si>
  <si>
    <t>C4H7NO5</t>
  </si>
  <si>
    <t>8.71_221.1179m/z</t>
  </si>
  <si>
    <t>3-Hexylsalicylic acid</t>
  </si>
  <si>
    <t>HMDB0245879</t>
  </si>
  <si>
    <t>CCCCCCC1=CC=CC(C(O)=O)=C1O</t>
  </si>
  <si>
    <t>WJCRKKDULZQKDB-UHFFFAOYSA-N</t>
  </si>
  <si>
    <t>C13H18O3</t>
  </si>
  <si>
    <t>13.51_354.2652m/z</t>
  </si>
  <si>
    <t>Dicyclomine</t>
  </si>
  <si>
    <t>HMDB0014942</t>
  </si>
  <si>
    <t>C06951</t>
  </si>
  <si>
    <t>77-19-0</t>
  </si>
  <si>
    <t>CCN(CC)CCOC(=O)C1(CCCCC1)C1CCCCC1</t>
  </si>
  <si>
    <t>CURUTKGFNZGFSE-UHFFFAOYSA-N</t>
  </si>
  <si>
    <t>C19H35NO2</t>
  </si>
  <si>
    <t>0.72_346.1985m/z</t>
  </si>
  <si>
    <t>N-3-oxo-tetradec-7(Z)-enoyl-L-Homoserine lactone</t>
  </si>
  <si>
    <t>482598-46-9</t>
  </si>
  <si>
    <t>CCCCCCC=CCCCC(=O)CC(=O)NC1CCOC1=O</t>
  </si>
  <si>
    <t>MGGGOCSKDLGISA-PTZVLDCSSA-N</t>
  </si>
  <si>
    <t>C18H29NO4</t>
  </si>
  <si>
    <t>11.32_365.2698m/z</t>
  </si>
  <si>
    <t>7a,17-dimethyl-5b-Androstane-3a,17b-diol</t>
  </si>
  <si>
    <t>HMDB0006013</t>
  </si>
  <si>
    <t>13611-10-4</t>
  </si>
  <si>
    <t>[H][C@@]12CC[C@](C)(O)[C@@]1(C)CC[C@@]1([H])[C@@]2([H])[C@H](C)C[C@]2([H])C[C@H](O)CC[C@]12C</t>
  </si>
  <si>
    <t>ZWQUPIDNCOVROC-HEEAJRSSSA-N</t>
  </si>
  <si>
    <t>C21H36O2</t>
  </si>
  <si>
    <t>6.73_247.0005m/z</t>
  </si>
  <si>
    <t>Benzoyl phosphate</t>
  </si>
  <si>
    <t>HMDB0060440</t>
  </si>
  <si>
    <t>C06206</t>
  </si>
  <si>
    <t>6659-26-3</t>
  </si>
  <si>
    <t>OP(O)(=O)OC(=O)C1=CC=CC=C1</t>
  </si>
  <si>
    <t>SYLLWWIXOMLOPY-UHFFFAOYSA-N</t>
  </si>
  <si>
    <t>C7H7O5P</t>
  </si>
  <si>
    <t>10.63_396.1848m/z</t>
  </si>
  <si>
    <t>Enecadin</t>
  </si>
  <si>
    <t>HMDB0251807</t>
  </si>
  <si>
    <t>CC1=NC(=CC(OCCCCCN2CCCCC2)=N1)C1=CC=C(F)C=C1</t>
  </si>
  <si>
    <t>SZSHJTJCJOWMHM-UHFFFAOYSA-N</t>
  </si>
  <si>
    <t>C21H28FN3O</t>
  </si>
  <si>
    <t>5.55_423.2024m/z</t>
  </si>
  <si>
    <t>hydroxycortisol</t>
  </si>
  <si>
    <t>HMDB0253262</t>
  </si>
  <si>
    <t>CC12CC(O)C3C(CCC4=CC(=O)CC(O)C34C)C1CCC2(O)C(=O)CO</t>
  </si>
  <si>
    <t>BCALPEWDVGLCAU-UHFFFAOYSA-N</t>
  </si>
  <si>
    <t>7.83_433.1848m/z</t>
  </si>
  <si>
    <t>Pymetrozine</t>
  </si>
  <si>
    <t>C18590</t>
  </si>
  <si>
    <t>123312-89-0</t>
  </si>
  <si>
    <t>CC1=NNC(=O)N(C1)N=CC2=CN=CC=C2</t>
  </si>
  <si>
    <t>QHMTXANCGGJZRX-WUXMJOGZSA-N</t>
  </si>
  <si>
    <t>Triazines</t>
  </si>
  <si>
    <t>1,2,4-triazines</t>
  </si>
  <si>
    <t>C10H11N5O</t>
  </si>
  <si>
    <t>6.69_573.1909m/z</t>
  </si>
  <si>
    <t>Tetraphyllin B</t>
  </si>
  <si>
    <t>HMDB0029914</t>
  </si>
  <si>
    <t>34323-07-4</t>
  </si>
  <si>
    <t>OCC1OC(OC2(CC(O)C=C2)C#N)C(O)C(O)C1O</t>
  </si>
  <si>
    <t>JRCWYCAEAZEYNW-UHFFFAOYSA-N</t>
  </si>
  <si>
    <t>C12H17NO7</t>
  </si>
  <si>
    <t>0.84_112.0140n</t>
  </si>
  <si>
    <t>Sodium lactate</t>
  </si>
  <si>
    <t>HMDB0304825</t>
  </si>
  <si>
    <t>[Na+].CC(O)C([O-])=O</t>
  </si>
  <si>
    <t>NGSFWBMYFKHRBD-UHFFFAOYSA-M</t>
  </si>
  <si>
    <t>C3H5NaO3</t>
  </si>
  <si>
    <t>4.77_611.2998n</t>
  </si>
  <si>
    <t>Lercanidipine</t>
  </si>
  <si>
    <t>HMDB0014669</t>
  </si>
  <si>
    <t>100427-26-7</t>
  </si>
  <si>
    <t>COC(=O)C1=C(C)NC(C)=C(C1C1=CC(=CC=C1)[N+]([O-])=O)C(=O)OC(C)(C)CN(C)CCC(C1=CC=CC=C1)C1=CC=CC=C1</t>
  </si>
  <si>
    <t>ZDXUKAKRHYTAKV-UHFFFAOYSA-N</t>
  </si>
  <si>
    <t>C36H41N3O6</t>
  </si>
  <si>
    <t>8.99_361.1635m/z</t>
  </si>
  <si>
    <t>Thyrotropin releasing hormone</t>
  </si>
  <si>
    <t>HMDB0060080</t>
  </si>
  <si>
    <t>C03958</t>
  </si>
  <si>
    <t>24305-27-9</t>
  </si>
  <si>
    <t>[H][C@@](CC1=CN=CN1)(NC(=O)[C@]1([H])CCC(=O)N1)C(=O)N1CCC[C@@]1([H])C(N)=O</t>
  </si>
  <si>
    <t>XNSAINXGIQZQOO-SRVKXCTJSA-N</t>
  </si>
  <si>
    <t>C16H22N6O4</t>
  </si>
  <si>
    <t>4.71_429.2166n</t>
  </si>
  <si>
    <t>Sarpogrelate</t>
  </si>
  <si>
    <t>HMDB0257502</t>
  </si>
  <si>
    <t>COC1=CC(CCC2=CC=CC=C2OCC(CN(C)C)OC(=O)CCC(O)=O)=CC=C1</t>
  </si>
  <si>
    <t>FFYNAVGJSYHHFO-UHFFFAOYSA-N</t>
  </si>
  <si>
    <t>C24H31NO6</t>
  </si>
  <si>
    <t>13.51_557.4578m/z</t>
  </si>
  <si>
    <t>FAHFA(18:2/13-O-18:2)</t>
  </si>
  <si>
    <t>LMFA07090100</t>
  </si>
  <si>
    <t>O(C(CCCCC)/C=C/C=C\CCCCCCCC(=O)O)C(CCCCCCC/C=C\C/C=C\CCCCC)=O</t>
  </si>
  <si>
    <t>PVZXDHZNHJSJQO-UQZHAUBMSA-N</t>
  </si>
  <si>
    <t>C36H62O4</t>
  </si>
  <si>
    <t>9.23_309.1708m/z</t>
  </si>
  <si>
    <t>dinor-12-oxo PDA</t>
  </si>
  <si>
    <t>LMFA02010018</t>
  </si>
  <si>
    <t>OC(CCCCC[C@H]1C=CC(=O)[C@H]1C/C=C\CC)=O</t>
  </si>
  <si>
    <t>SZVNKXCDJUBPQO-DWMAKUKJSA-N</t>
  </si>
  <si>
    <t>C16H24O3</t>
  </si>
  <si>
    <t>6.90_413.1158m/z</t>
  </si>
  <si>
    <t>TRI-P-CRESYL PHOSPHATE</t>
  </si>
  <si>
    <t>HMDB0259136</t>
  </si>
  <si>
    <t>CC1=CC=C(OP(=O)(OC2=CC=C(C)C=C2)OC2=CC=C(C)C=C2)C=C1</t>
  </si>
  <si>
    <t>BOSMZFBHAYFUBJ-UHFFFAOYSA-N</t>
  </si>
  <si>
    <t>C21H21O4P</t>
  </si>
  <si>
    <t>4.34_759.4051m/z</t>
  </si>
  <si>
    <t>OHDdiA-PG</t>
  </si>
  <si>
    <t>LMGP20060036</t>
  </si>
  <si>
    <t>[H][C@](O)(CO)COP(OC[C@]([H])(OC(CCCCCCCC(O)/C=C/C(=O)O)=O)COC(CCCCCCC/C=C\CCCCCCCC)=O)(=O)O</t>
  </si>
  <si>
    <t>KCJNSRSGGNELSK-YUUJKLKNSA-N</t>
  </si>
  <si>
    <t>C36H65O13P</t>
  </si>
  <si>
    <t>8.02_358.2602m/z</t>
  </si>
  <si>
    <t>2-Hydroxylauroylcarnitine</t>
  </si>
  <si>
    <t>HMDB0013164</t>
  </si>
  <si>
    <t>LMFA07070032</t>
  </si>
  <si>
    <t>C(CCC)CCCCCCC(O)C(OC(C[N+](C)(C)C)CC(=O)[O-])=O</t>
  </si>
  <si>
    <t>PBBJEGGNZPXIGJ-UHFFFAOYSA-N</t>
  </si>
  <si>
    <t>3.72_178.0536m/z</t>
  </si>
  <si>
    <t>Cyclamic acid</t>
  </si>
  <si>
    <t>HMDB0031340</t>
  </si>
  <si>
    <t>C02824</t>
  </si>
  <si>
    <t>100-88-9</t>
  </si>
  <si>
    <t>OS(=O)(=O)NC1CCCCC1</t>
  </si>
  <si>
    <t>HCAJEUSONLESMK-UHFFFAOYSA-N</t>
  </si>
  <si>
    <t>Sulfamic acid derivatives</t>
  </si>
  <si>
    <t>Cyclamates</t>
  </si>
  <si>
    <t>C6H13NO3S</t>
  </si>
  <si>
    <t>339</t>
  </si>
  <si>
    <t>Cadaverine</t>
  </si>
  <si>
    <t>HMDB0002322</t>
  </si>
  <si>
    <t>C01672</t>
  </si>
  <si>
    <t>hsa00310,hsa00470,hsa00480</t>
  </si>
  <si>
    <t>Lysine degradation|D-Amino acid metabolism|Glutathione metabolism</t>
  </si>
  <si>
    <t>462-94-2</t>
  </si>
  <si>
    <t>NCCCCCN</t>
  </si>
  <si>
    <t>VHRGRCVQAFMJIZ-UHFFFAOYSA-N</t>
  </si>
  <si>
    <t>C5H14N2</t>
  </si>
  <si>
    <t>13.51_378.2100m/z</t>
  </si>
  <si>
    <t>Cebranopadol</t>
  </si>
  <si>
    <t>HMDB0249746</t>
  </si>
  <si>
    <t>CN(C)C1(CCC2(CC1)OCCC1=C2NC2=C1C=C(F)C=C2)C1=CC=CC=C1</t>
  </si>
  <si>
    <t>CSMVOZKEWSOFER-UHFFFAOYSA-N</t>
  </si>
  <si>
    <t>C24H27FN2O</t>
  </si>
  <si>
    <t>12.44_529.3745m/z</t>
  </si>
  <si>
    <t>Chenodeoxycholylarginine</t>
  </si>
  <si>
    <t>HMDB0242396</t>
  </si>
  <si>
    <t>CC(CCC(=O)NC(CCCNC(N)=N)C(O)=O)C1CCC2C3C(O)CC4CC(O)CCC4(C)C3CCC12C</t>
  </si>
  <si>
    <t>IGVZUMPVFZKTRH-UHFFFAOYSA-N</t>
  </si>
  <si>
    <t>C30H52N4O5</t>
  </si>
  <si>
    <t>12.11_633.4910m/z</t>
  </si>
  <si>
    <t>DG(17:2(9Z,12Z)/22:5(7Z,10Z,13Z,16Z,19Z)/0:0)[iso2]</t>
  </si>
  <si>
    <t>LMGL02010195</t>
  </si>
  <si>
    <t>OC[C@]([H])(OC(CCCCC/C=C\C/C=C\C/C=C\C/C=C\C/C=C\CC)=O)COC(CCCCCCC/C=C\C/C=C\CCCC)=O</t>
  </si>
  <si>
    <t>FSAPHEIJIFGWAE-HFXSGTQWSA-N</t>
  </si>
  <si>
    <t>C42H68O5</t>
  </si>
  <si>
    <t>7.09_596.3209m/z</t>
  </si>
  <si>
    <t>POV-PE</t>
  </si>
  <si>
    <t>LMGP20020030</t>
  </si>
  <si>
    <t>[C@](COP(=O)(O)OCCN)([H])(OC(CCCC(=O)[H])=O)COC(CCCCCCCCCCCCCCC)=O</t>
  </si>
  <si>
    <t>NMWPZVLQFDIILH-XMMPIXPASA-N</t>
  </si>
  <si>
    <t>0.73_421.1119m/z</t>
  </si>
  <si>
    <t>Nicorandil</t>
  </si>
  <si>
    <t>HMDB0255584</t>
  </si>
  <si>
    <t>C13280</t>
  </si>
  <si>
    <t>65141-46-0</t>
  </si>
  <si>
    <t>[O-][N+](=O)OCCNC(=O)C1=CC=CN=C1</t>
  </si>
  <si>
    <t>LBHIOVVIQHSOQN-UHFFFAOYSA-N</t>
  </si>
  <si>
    <t>C8H9N3O4</t>
  </si>
  <si>
    <t>82</t>
  </si>
  <si>
    <t>Methylphosphate</t>
  </si>
  <si>
    <t>HMDB0061711</t>
  </si>
  <si>
    <t>812-00-0</t>
  </si>
  <si>
    <t>COP(O)(O)=O</t>
  </si>
  <si>
    <t>CAAULPUQFIIOTL-UHFFFAOYSA-N</t>
  </si>
  <si>
    <t>CH5O4P</t>
  </si>
  <si>
    <t>13.33_353.1640m/z</t>
  </si>
  <si>
    <t>n-octyl-beta-D-thioglucopyranoside</t>
  </si>
  <si>
    <t>HMDB0255216</t>
  </si>
  <si>
    <t>CCCCCCCCSC1OC(CO)C(O)C(O)C1O</t>
  </si>
  <si>
    <t>CGVLVOOFCGWBCS-UHFFFAOYSA-N</t>
  </si>
  <si>
    <t>C14H28O5S</t>
  </si>
  <si>
    <t>9.81_289.2285m/z</t>
  </si>
  <si>
    <t>Bupivacaine</t>
  </si>
  <si>
    <t>HMDB0014442</t>
  </si>
  <si>
    <t>C07529</t>
  </si>
  <si>
    <t>2180-92-9</t>
  </si>
  <si>
    <t>CCCCN1CCCCC1C(=O)NC1=C(C)C=CC=C1C</t>
  </si>
  <si>
    <t>LEBVLXFERQHONN-UHFFFAOYSA-N</t>
  </si>
  <si>
    <t>C18H28N2O</t>
  </si>
  <si>
    <t>8.60_511.2304m/z</t>
  </si>
  <si>
    <t>Dolichyl b-D-glucosyl phosphate</t>
  </si>
  <si>
    <t>HMDB0001054</t>
  </si>
  <si>
    <t>C01246</t>
  </si>
  <si>
    <t>hsa00510</t>
  </si>
  <si>
    <t>N-Glycan biosynthesis</t>
  </si>
  <si>
    <t>R-HSA-1643685,R-HSA-3781860,R-HSA-3781865,R-HSA-392499,R-HSA-446193,R-HSA-446203,R-HSA-446219,R-HSA-4724289,R-HSA-4724325,R-HSA-480985,R-HSA-532668,R-HSA-5668914,R-HSA-597592,R-HSA-901032,R-HSA-901042</t>
  </si>
  <si>
    <t>Disease|Diseases associated with N-glycosylation of proteins|Diseases of glycosylation|Metabolism of proteins|Biosynthesis of the N-glycan precursor (dolichol lipid-linked oligosaccharide, LLO) and transfer to a nascent protein|Asparagine N-linked glycosylation|Synthesis of substrates in N-glycan biosythesis|Defective ALG6 causes CDG-1c|Defective ALG8 causes CDG-1h|Synthesis of dolichyl-phosphate-glucose|N-glycan trimming in the ER and Calnexin/Calreticulin cycle|Diseases of metabolism|Post-translational protein modification|ER Quality Control Compartment (ERQC)|Calnexin/calreticulin cycle</t>
  </si>
  <si>
    <t>220496-27-5</t>
  </si>
  <si>
    <t>OC[C@H]1O[C@@H](OP(=O)(O)OCCC(C)CC\C=C(\C)CCC=C(C)C)[C@H](O)[C@@H](O)[C@@H]1O</t>
  </si>
  <si>
    <t>RHJMCOLWMXJOGE-ZTZGTLKASA-N</t>
  </si>
  <si>
    <t>C21H39O9P</t>
  </si>
  <si>
    <t>10.74_653.4404m/z</t>
  </si>
  <si>
    <t>DG(18:4n3/0:0/18:4n3)</t>
  </si>
  <si>
    <t>HMDB0056372</t>
  </si>
  <si>
    <t>[H]C(O)(COC(=O)CCCC\C=C/C\C=C/C\C=C/C\C=C/CC)COC(=O)CCCC\C=C/C\C=C/C\C=C/C\C=C/CC</t>
  </si>
  <si>
    <t>YKVIEUHHXZMBMH-CKKCRWTASA-N</t>
  </si>
  <si>
    <t>C39H60O5</t>
  </si>
  <si>
    <t>9.66_514.3182m/z</t>
  </si>
  <si>
    <t>Anabsinthin</t>
  </si>
  <si>
    <t>HMDB0036415</t>
  </si>
  <si>
    <t>6903-12-4</t>
  </si>
  <si>
    <t>CC1C2CCC(C3C4C5CC6(C7(C4C(=C3C2OC1=O)C)C5C(O6)(CCC8C7OC(=O)C8C)C)C)(C)O</t>
  </si>
  <si>
    <t>XDKZYFZYOVAAKJ-VXVJPEHISA-N</t>
  </si>
  <si>
    <t>C30H40O6</t>
  </si>
  <si>
    <t>10.73_326.2254n</t>
  </si>
  <si>
    <t>Anordiol</t>
  </si>
  <si>
    <t>HMDB0248450</t>
  </si>
  <si>
    <t>CC12CC(O)(CC1CCC1C3CCC(O)(C#C)C3(C)CCC21)C#C</t>
  </si>
  <si>
    <t>HUUUMTTWAPMBMU-UHFFFAOYSA-N</t>
  </si>
  <si>
    <t>4.90_391.1377m/z</t>
  </si>
  <si>
    <t>Gibberellin A3</t>
  </si>
  <si>
    <t>HMDB0003559</t>
  </si>
  <si>
    <t>LMPR0104170002</t>
  </si>
  <si>
    <t>C01699</t>
  </si>
  <si>
    <t>77-06-5</t>
  </si>
  <si>
    <t>[H][C@@]12CC[C@]3(O)C[C@]1(CC3=C)[C@@H](C(O)=O)[C@]1([H])[C@@]3(C)[C@@H](O)C=C[C@@]21OC3=O</t>
  </si>
  <si>
    <t>IXORZMNAPKEEDV-OBDJNFEBSA-N</t>
  </si>
  <si>
    <t>C19H22O6</t>
  </si>
  <si>
    <t>10.37_585.3435m/z</t>
  </si>
  <si>
    <t>Physapruin B</t>
  </si>
  <si>
    <t>HMDB0040671</t>
  </si>
  <si>
    <t>CCCCOC12CC=CC(=O)C1(C)C1CCC3(C)C(O)(CCC3(O)C(C)(O)C3CC(C)=C(C)C(=O)O3)C1CC2OC(C)=O</t>
  </si>
  <si>
    <t>BUTLOLBCWDNVGA-UHFFFAOYSA-N</t>
  </si>
  <si>
    <t>C34H50O9</t>
  </si>
  <si>
    <t>8.62_315.1963m/z</t>
  </si>
  <si>
    <t>Dehydroandrographolide</t>
  </si>
  <si>
    <t>HMDB0259665</t>
  </si>
  <si>
    <t>CC1(CO)C(O)CCC2(C)C(CC=C3C=COC3=O)C(=C)CCC12</t>
  </si>
  <si>
    <t>YIIRVUDGRKEWBV-UHFFFAOYSA-N</t>
  </si>
  <si>
    <t>Dihydrofurans</t>
  </si>
  <si>
    <t>Furanones</t>
  </si>
  <si>
    <t>3.48_630.2749m/z</t>
  </si>
  <si>
    <t>Nonioside B</t>
  </si>
  <si>
    <t>HMDB0303582</t>
  </si>
  <si>
    <t>[H][C@]1(O)[C@]([H])(O)[C@@]([H])(CO)O[C@@]([H])(OC[C@@]2([H])O[C@@]([H])(OC(=O)CCCCCCC)[C@]([H])(O[C@]3([H])O[C@]([H])(CO)[C@@]([H])(O)[C@]([H])(O)[C@@]3([H])O)[C@@]([H])(O)[C@]2([H])O)[C@]1([H])O</t>
  </si>
  <si>
    <t>CTKLGODDPZHEHZ-BBENIMTISA-N</t>
  </si>
  <si>
    <t>C26H46O17</t>
  </si>
  <si>
    <t>9.97_437.2158m/z</t>
  </si>
  <si>
    <t>methyl 6,8-epidioxy-5,15-dihydroperoxy-9,11,13-eicosatrienoate</t>
  </si>
  <si>
    <t>LMFA03050014</t>
  </si>
  <si>
    <t>C(/C=C/C=C/C(OO)CCCCC)=C\C1OOC(C(OO)CCCC(=O)OC)C1</t>
  </si>
  <si>
    <t>AWZPWRYFAAHRSV-NABOWOGOSA-N</t>
  </si>
  <si>
    <t>C21H34O8</t>
  </si>
  <si>
    <t>4.15_319.1646m/z</t>
  </si>
  <si>
    <t>Amotosalen</t>
  </si>
  <si>
    <t>HMDB0248350</t>
  </si>
  <si>
    <t>CC1=C(COCCN)C2=C(O1)C(C)=C1OC(=O)C=C(C)C1=C2</t>
  </si>
  <si>
    <t>FERWCFYKULABCE-UHFFFAOYSA-N</t>
  </si>
  <si>
    <t>C17H19NO4</t>
  </si>
  <si>
    <t>12.36_704.3756m/z</t>
  </si>
  <si>
    <t>PKODA-PS</t>
  </si>
  <si>
    <t>LMGP20040002</t>
  </si>
  <si>
    <t>C(O)(=O)[C@@]([H])(N)COP(OC[C@]([H])(OC(CCCCCCCC(=O)/C=C/C(=O)[H])=O)COC(CCCCCCCCCCCCCCC)=O)(=O)O</t>
  </si>
  <si>
    <t>OAWJRISMKSJRGX-HTDDROIZSA-N</t>
  </si>
  <si>
    <t>C34H60NO12P</t>
  </si>
  <si>
    <t>0.99_247.1409m/z</t>
  </si>
  <si>
    <t>Octopine</t>
  </si>
  <si>
    <t>HMDB0255912</t>
  </si>
  <si>
    <t>CC(NC(CCCNC(N)=N)C(O)=O)C(O)=O</t>
  </si>
  <si>
    <t>IMXSCCDUAFEIOE-UHFFFAOYSA-N</t>
  </si>
  <si>
    <t>C9H18N4O4</t>
  </si>
  <si>
    <t>4.90_563.0893m/z</t>
  </si>
  <si>
    <t>N-Methoxyspirobrassinol</t>
  </si>
  <si>
    <t>HMDB0041133</t>
  </si>
  <si>
    <t>CON1C(O)C2(CN=C(SC)S2)C2=CC=CC=C12</t>
  </si>
  <si>
    <t>YMIMEAOCSJOCSI-UHFFFAOYSA-N</t>
  </si>
  <si>
    <t>C12H14N2O2S2</t>
  </si>
  <si>
    <t>4.41_566.6815m/z</t>
  </si>
  <si>
    <t>Tetraphosphorus decaoxide</t>
  </si>
  <si>
    <t>HMDB0256493</t>
  </si>
  <si>
    <t>O=P12OP3(=O)OP(=O)(O1)OP(=O)(O2)O3</t>
  </si>
  <si>
    <t>DLYUQMMRRRQYAE-UHFFFAOYSA-N</t>
  </si>
  <si>
    <t>O10P4</t>
  </si>
  <si>
    <t>4.03_532.2364m/z</t>
  </si>
  <si>
    <t>Taurodehydrocholic acid</t>
  </si>
  <si>
    <t>HMDB0258743</t>
  </si>
  <si>
    <t>CC(CCC(=O)NCCS(O)(=O)=O)C1CCC2C3C(CC(=O)C12C)C1(C)CCC(=O)CC1CC3=O</t>
  </si>
  <si>
    <t>UBDJSBRKNHQFPD-UHFFFAOYSA-N</t>
  </si>
  <si>
    <t>C26H39NO7S</t>
  </si>
  <si>
    <t>10.69_504.3461m/z</t>
  </si>
  <si>
    <t>PC(18:1(11Z)/0:0)</t>
  </si>
  <si>
    <t>HMDB0010385</t>
  </si>
  <si>
    <t>LMGP01050138</t>
  </si>
  <si>
    <t>C(OP(OCC[N+](C)(C)C)(=O)[O-])[C@@](O)([H])COC(=O)CCCCCCCCC/C=C\CCCCCC</t>
  </si>
  <si>
    <t>PZRFVAHZNWPPAC-VBKSFVIKSA-N</t>
  </si>
  <si>
    <t>3.64_465.0347m/z</t>
  </si>
  <si>
    <t>Hydroxy-2-naphthalenylmethylphosphonic acid tris-acetoxymethyl ester</t>
  </si>
  <si>
    <t>HMDB0260374</t>
  </si>
  <si>
    <t>CC(=O)OC(OC(C)=O)(OC(C)=O)OP(O)(=O)C(O)C1=CC2=CC=CC=C2C=C1</t>
  </si>
  <si>
    <t>HMQXNCRPCVSBME-UHFFFAOYSA-N</t>
  </si>
  <si>
    <t>C18H19O10P</t>
  </si>
  <si>
    <t>0.73_143.0950n</t>
  </si>
  <si>
    <t>(R)-1-Methylpiperidine-2-carboxylic acid</t>
  </si>
  <si>
    <t>HMDB0242107</t>
  </si>
  <si>
    <t>CN1CCCC[C@@H]1C(O)=O</t>
  </si>
  <si>
    <t>BPSLZWSRHTULGU-ZCFIWIBFSA-N</t>
  </si>
  <si>
    <t>C7H13NO2</t>
  </si>
  <si>
    <t>9.16_292.2046n</t>
  </si>
  <si>
    <t>8-hydroxy-10,12-octadecadiynoic acid</t>
  </si>
  <si>
    <t>LMFA02000194</t>
  </si>
  <si>
    <t>C(CCCCCCC(O)CC#CC#CCCCCC)(=O)O</t>
  </si>
  <si>
    <t>BEXXCDTWFLMRDJ-UHFFFAOYSA-N</t>
  </si>
  <si>
    <t>C18H28O3</t>
  </si>
  <si>
    <t>11.33_766.5360m/z</t>
  </si>
  <si>
    <t>PE(20:4(5Z,8Z,11Z,14Z)-OH(18R)/18:0)</t>
  </si>
  <si>
    <t>HMDB0261101</t>
  </si>
  <si>
    <t>[H][C@@](COC(=O)CCC\C=C/C\C=C/C\C=C/C\C=C/CC[C@@H](O)CC)(COP(O)(=O)OCCN)OC(=O)CCCCCCCCCCCCCCCCC</t>
  </si>
  <si>
    <t>GUOSKZWFVFBWPR-NMBBEALCSA-N</t>
  </si>
  <si>
    <t>C43H78NO9P</t>
  </si>
  <si>
    <t>7.81_241.1443m/z</t>
  </si>
  <si>
    <t>Aleprylic acid</t>
  </si>
  <si>
    <t>LMFA01030189</t>
  </si>
  <si>
    <t>C1(C=CCC1)CCCCCCC(=O)O</t>
  </si>
  <si>
    <t>GMYNCKRSFMEXPG-UHFFFAOYSA-N</t>
  </si>
  <si>
    <t>13.01_517.3900m/z</t>
  </si>
  <si>
    <t>Theonellasterol D</t>
  </si>
  <si>
    <t>LMST01040182</t>
  </si>
  <si>
    <t>C1[C@]2(C)[C@@]3(OC)CC[C@]4(C)[C@@]([H])([C@]([H])(C)CC[C@H](CC)C(C)C)C[C@@H](O)C4=C3CC[C@@]2([H])C(=C)[C@@H](O)C1</t>
  </si>
  <si>
    <t>GAIYBUOCJZWXJP-BHOIPIFBSA-N</t>
  </si>
  <si>
    <t>Stigmastanes and derivatives</t>
  </si>
  <si>
    <t>10.33_344.2361n</t>
  </si>
  <si>
    <t>17S-HDHA</t>
  </si>
  <si>
    <t>HMDB10213</t>
  </si>
  <si>
    <t>LMFA04000012</t>
  </si>
  <si>
    <t>C(CC/C=C\C/C=C\C/C=C\C/C=C\C=C\[C@@H](O)C/C=C\CC)(=O)O</t>
  </si>
  <si>
    <t>SWTYBBUBEPPYCX-YTQNUIGOSA-N</t>
  </si>
  <si>
    <t>12.41_352.1788m/z</t>
  </si>
  <si>
    <t>Ajmalicine</t>
  </si>
  <si>
    <t>C09024</t>
  </si>
  <si>
    <t>483-04-5</t>
  </si>
  <si>
    <t>CC1C2CN3CCC4=C(C3CC2C(=CO1)C(=O)OC)NC5=CC=CC=C45</t>
  </si>
  <si>
    <t>GRTOGORTSDXSFK-XJTZBENFSA-N</t>
  </si>
  <si>
    <t>Yohimbine alkaloids</t>
  </si>
  <si>
    <t>C21H24N2O3</t>
  </si>
  <si>
    <t>0.70_308.0987m/z</t>
  </si>
  <si>
    <t>Glucose-6-glutamate</t>
  </si>
  <si>
    <t>HMDB0252776</t>
  </si>
  <si>
    <t>NC(CCC(O)=O)C(=O)OCC(O)C(O)C(O)C(O)C=O</t>
  </si>
  <si>
    <t>NQJPQZNYMMPJQU-UHFFFAOYSA-N</t>
  </si>
  <si>
    <t>3.65_333.0198n</t>
  </si>
  <si>
    <t>Methyl glucosinolate</t>
  </si>
  <si>
    <t>HMDB0038429</t>
  </si>
  <si>
    <t>C08404</t>
  </si>
  <si>
    <t>497-77-8</t>
  </si>
  <si>
    <t>C\C(SC1OC(CO)C(O)C(O)C1O)=N/OS(O)(=O)=O</t>
  </si>
  <si>
    <t>UBTOEGCOMHAXGV-YCRREMRBSA-N</t>
  </si>
  <si>
    <t>C8H15NO9S2</t>
  </si>
  <si>
    <t>3.96_515.2647m/z</t>
  </si>
  <si>
    <t>Calotropin</t>
  </si>
  <si>
    <t>LMST01120046</t>
  </si>
  <si>
    <t>C08855</t>
  </si>
  <si>
    <t>1986-70-5</t>
  </si>
  <si>
    <t>C1[C@@]2([H])O[C@@]3(O)[C@@H](O)C[C@@H](C)O[C@@]3([H])O[C@]2([H])C[C@]2([H])CC[C@@]3([H])[C@]4(CC[C@H](C5=CC(=O)OC5)[C@@]4(C)CC[C@]3([H])[C@@]12C=O)O</t>
  </si>
  <si>
    <t>OWPWFVVPBYFKBG-NYVHBPEFSA-N</t>
  </si>
  <si>
    <t>C29H40O9</t>
  </si>
  <si>
    <t>13.53_397.2266m/z</t>
  </si>
  <si>
    <t>Forasartan</t>
  </si>
  <si>
    <t>HMDB0015434</t>
  </si>
  <si>
    <t>145216-43-9</t>
  </si>
  <si>
    <t>CCCCC1=NN(CC2=CN=C(C=C2)C2=CC=CC=C2C2=NNN=N2)C(CCCC)=N1</t>
  </si>
  <si>
    <t>YONOBYIBNBCDSJ-UHFFFAOYSA-N</t>
  </si>
  <si>
    <t>C23H28N8</t>
  </si>
  <si>
    <t>10.25_357.2073m/z</t>
  </si>
  <si>
    <t>7,8-epoxy-17S-HDHA</t>
  </si>
  <si>
    <t>LMFA04000013</t>
  </si>
  <si>
    <t>C(CC/C=C\CC1OC1/C=C/C=C/C=C\C=C\[C@@H](O)C/C=C\CC)(=O)O</t>
  </si>
  <si>
    <t>BOFBVWROGCPAFH-VEYGSZKMSA-N</t>
  </si>
  <si>
    <t>0.68_132.0291m/z</t>
  </si>
  <si>
    <t>L-Aspartic acid</t>
  </si>
  <si>
    <t>HMDB0000191</t>
  </si>
  <si>
    <t>C00049</t>
  </si>
  <si>
    <t>hsa00220,hsa00250,hsa00260,hsa00270,hsa00340,hsa00410,hsa00470,hsa00760,hsa00770,hsa00970,hsa02010,hsa04080,hsa04974,hsa05230</t>
  </si>
  <si>
    <t>Arginine biosynthesis|Alanine, aspartate and glutamate metabolism|Glycine, serine and threonine metabolism|Cysteine and methionine metabolism|Histidine metabolism|beta-Alanine metabolism|D-Amino acid metabolism|Nicotinate and nicotinamide metabolism|Pantothenate and CoA biosynthesis|Aminoacyl-tRNA biosynthesis|ABC transporters|Neuroactive ligand-receptor interaction|Protein digestion and absorption|Central carbon metabolism in cancer</t>
  </si>
  <si>
    <t>56-84-8</t>
  </si>
  <si>
    <t>N[C@@H](CC(O)=O)C(O)=O</t>
  </si>
  <si>
    <t>CKLJMWTZIZZHCS-REOHCLBHSA-N</t>
  </si>
  <si>
    <t>C4H7NO4</t>
  </si>
  <si>
    <t>4.34_460.3131m/z</t>
  </si>
  <si>
    <t>Etimicin</t>
  </si>
  <si>
    <t>HMDB0252101</t>
  </si>
  <si>
    <t>CCNC1CC(N)C(OC2OC(CN)CCC2N)C(O)C1OC1OCC(C)(O)C(NC)C1O</t>
  </si>
  <si>
    <t>NZGMVSJQULXLHF-UHFFFAOYSA-N</t>
  </si>
  <si>
    <t>C21H43N5O7</t>
  </si>
  <si>
    <t>7.40_405.2045m/z</t>
  </si>
  <si>
    <t>4-Aminoantipyrine</t>
  </si>
  <si>
    <t>HMDB0246350</t>
  </si>
  <si>
    <t>83-07-8</t>
  </si>
  <si>
    <t>CN1N(C(=O)C(N)=C1C)C1=CC=CC=C1</t>
  </si>
  <si>
    <t>RLFWWDJHLFCNIJ-UHFFFAOYSA-N</t>
  </si>
  <si>
    <t>C11H13N3O</t>
  </si>
  <si>
    <t>4.59_382.0718m/z</t>
  </si>
  <si>
    <t>Niazinin</t>
  </si>
  <si>
    <t>HMDB0031942</t>
  </si>
  <si>
    <t>147821-57-6</t>
  </si>
  <si>
    <t>COC(=S)NCC1=CC=C(O[C@@H]2O[C@@H](C)[C@H](O)[C@@H](O)[C@H]2O)C=C1</t>
  </si>
  <si>
    <t>ZOIAMMQYAZSWRX-CNJBRALLSA-N</t>
  </si>
  <si>
    <t>C15H21NO6S</t>
  </si>
  <si>
    <t>66</t>
  </si>
  <si>
    <t>1-Tert-Butoxy-2-Propanol</t>
  </si>
  <si>
    <t>C19356</t>
  </si>
  <si>
    <t>57018-52-7</t>
  </si>
  <si>
    <t>CC(COC(C)(C)C)O</t>
  </si>
  <si>
    <t>GQCZPFJGIXHZMB-UHFFFAOYSA-N</t>
  </si>
  <si>
    <t>C7H16O2</t>
  </si>
  <si>
    <t>1.09_260.1615m/z</t>
  </si>
  <si>
    <t>Isoleucyl-Glutamine</t>
  </si>
  <si>
    <t>HMDB0028905</t>
  </si>
  <si>
    <t>CCC(C)C(N)C(=O)NC(CCC(N)=O)C(O)=O</t>
  </si>
  <si>
    <t>CNPNWGHRMBQHBZ-UHFFFAOYSA-N</t>
  </si>
  <si>
    <t>C11H21N3O4</t>
  </si>
  <si>
    <t>7.07_613.3597m/z</t>
  </si>
  <si>
    <t>Kurilensoside H</t>
  </si>
  <si>
    <t>LMST05050017</t>
  </si>
  <si>
    <t>C1[C@]2(C)[C@@]3([H])CC[C@]4(C)[C@@]([H])([C@]([H])(C)CCC[C@@H](CO)C)[C@@H](O)[C@H](O)[C@@]4([H])[C@]3(O)C[C@@H](O)[C@]32O[C@H]3[C@@H](O[C@@H]2OC[C@@H](O)[C@H](O)[C@H]2O)C1</t>
  </si>
  <si>
    <t>SOVMHZODGWLPJC-HMRISKBOSA-N</t>
  </si>
  <si>
    <t>C32H54O11</t>
  </si>
  <si>
    <t>9.65_189.1642m/z</t>
  </si>
  <si>
    <t>3-Methyl-4-(2,6,6-trimethyl-2-cyclohexen-1-yl)-3-buten-2-one</t>
  </si>
  <si>
    <t>HMDB0031738</t>
  </si>
  <si>
    <t>127-51-5</t>
  </si>
  <si>
    <t>CC(=O)C(\C)=C\C1C(C)=CCCC1(C)C</t>
  </si>
  <si>
    <t>JRJBVWJSTHECJK-PKNBQFBNSA-N</t>
  </si>
  <si>
    <t>C14H22O</t>
  </si>
  <si>
    <t>6.58_393.1866m/z</t>
  </si>
  <si>
    <t>SIMMONDSIN</t>
  </si>
  <si>
    <t>51771-52-9</t>
  </si>
  <si>
    <t>COC1CC(C(=CC#N)C(C1OC)O)OC2C(C(C(C(O2)CO)O)O)O</t>
  </si>
  <si>
    <t>KURSRHBVYUACKS-XGYNEUJOSA-N</t>
  </si>
  <si>
    <t>C16H25NO9</t>
  </si>
  <si>
    <t>1.00_303.0333m/z</t>
  </si>
  <si>
    <t>GN25</t>
  </si>
  <si>
    <t>1227401-27-5</t>
  </si>
  <si>
    <t>COC1=C2C(=O)C=C(C(=O)C2=C(C=C1)OC)SCCC(=O)O</t>
  </si>
  <si>
    <t>DIIRLGMLDOPLPV-UHFFFAOYSA-N</t>
  </si>
  <si>
    <t>C15H14O6S</t>
  </si>
  <si>
    <t>7.00_583.2566m/z</t>
  </si>
  <si>
    <t>Cladosporin</t>
  </si>
  <si>
    <t>HMDB0250312</t>
  </si>
  <si>
    <t>CC1CCCC(CC2CC3=CC(O)=CC(O)=C3C(=O)O2)O1</t>
  </si>
  <si>
    <t>WOMKDMUZNBFXKG-UHFFFAOYSA-N</t>
  </si>
  <si>
    <t>C16H20O5</t>
  </si>
  <si>
    <t>5.15_237.1130m/z</t>
  </si>
  <si>
    <t>2-(2-Hydroxy-4-methylphenyl)-3-pentanone</t>
  </si>
  <si>
    <t>HMDB0038180</t>
  </si>
  <si>
    <t>86843-15-4</t>
  </si>
  <si>
    <t>CCC(=O)C(C)C1=C(O)C=C(C)C=C1</t>
  </si>
  <si>
    <t>XKKGHYTULRMGQQ-UHFFFAOYSA-N</t>
  </si>
  <si>
    <t>C12H16O2</t>
  </si>
  <si>
    <t>5.58_344.1479m/z</t>
  </si>
  <si>
    <t>N-depropylpropafenone</t>
  </si>
  <si>
    <t>HMDB0060642</t>
  </si>
  <si>
    <t>86383-21-3</t>
  </si>
  <si>
    <t>NCC(O)COC1=CC=CC=C1C(=O)CCC1=CC=CC=C1</t>
  </si>
  <si>
    <t>HIGKMVIPYOFHBP-UHFFFAOYSA-N</t>
  </si>
  <si>
    <t>Linear 1,3-diarylpropanoids</t>
  </si>
  <si>
    <t>C18H21NO3</t>
  </si>
  <si>
    <t>4.90_429.1112m/z</t>
  </si>
  <si>
    <t>2-Amino-3-(2-fluoro-3,4-dihydroxyphenyl)propanoic acid</t>
  </si>
  <si>
    <t>HMDB0247060</t>
  </si>
  <si>
    <t>NC(CC1=C(F)C(O)=C(O)C=C1)C(O)=O</t>
  </si>
  <si>
    <t>AIDLBEYXQMVQQH-UHFFFAOYSA-N</t>
  </si>
  <si>
    <t>C9H10FNO4</t>
  </si>
  <si>
    <t>6.41_246.2436m/z</t>
  </si>
  <si>
    <t>2,5-dimethyl-dodecanoic acid</t>
  </si>
  <si>
    <t>LMFA01020189</t>
  </si>
  <si>
    <t>C(C(C)CCC(C)CCCCCCC)(=O)O</t>
  </si>
  <si>
    <t>ABQDDNHUZOOWMZ-UHFFFAOYSA-N</t>
  </si>
  <si>
    <t>C14H28O2</t>
  </si>
  <si>
    <t>12.69_609.5105m/z</t>
  </si>
  <si>
    <t>FAHFA(18:1(9Z)/6-O-18:0)</t>
  </si>
  <si>
    <t>HMDB0112173</t>
  </si>
  <si>
    <t>[H]\C(CCCCCCCC)=C(/[H])CCCCCCCC(=O)OC(CCCCCCCCCCCC)CCCCC(O)=O</t>
  </si>
  <si>
    <t>APKQIGMSWOACOS-MSUUIHNZSA-N</t>
  </si>
  <si>
    <t>C36H68O4</t>
  </si>
  <si>
    <t>4.22_284.1768m/z</t>
  </si>
  <si>
    <t>9H-Fluorene-9-carboxamide, 9-(3-aminopropyl)-</t>
  </si>
  <si>
    <t>HMDB0250962</t>
  </si>
  <si>
    <t>NCCCC1(C(N)=O)C2=CC=CC=C2C2=CC=CC=C12</t>
  </si>
  <si>
    <t>NZMHPKUOEWBREH-UHFFFAOYSA-N</t>
  </si>
  <si>
    <t>Fluorenes</t>
  </si>
  <si>
    <t>C17H18N2O</t>
  </si>
  <si>
    <t>13.43_577.4844m/z</t>
  </si>
  <si>
    <t>DG(i-15:0/0:0/18:1(9Z)-O(12,13))</t>
  </si>
  <si>
    <t>HMDB0299051</t>
  </si>
  <si>
    <t>CCCCCC1OC1C\C=C/CCCCCCCC(=O)OC[C@H](O)COC(=O)CCCCCCCCCCCC(C)C</t>
  </si>
  <si>
    <t>RBXNFDAQKWIRBV-XHSXLQGCSA-N</t>
  </si>
  <si>
    <t>3.38_187.1447m/z</t>
  </si>
  <si>
    <t>Pentamethylene bisacetamide</t>
  </si>
  <si>
    <t>CC(=O)NCCCCCNC(=O)C</t>
  </si>
  <si>
    <t>FQKKPLXFGDCBJT-UHFFFAOYSA-N</t>
  </si>
  <si>
    <t>C9H18N2O2</t>
  </si>
  <si>
    <t>12.06_644.3913m/z</t>
  </si>
  <si>
    <t>PKODA-PE</t>
  </si>
  <si>
    <t>LMGP20020026</t>
  </si>
  <si>
    <t>[C@](COP(=O)(O)OCCN)([H])(OC(CCCCCCCC(=O)/C=C/C(=O)[H])=O)COC(CCCCCCCCCCCCCCC)=O</t>
  </si>
  <si>
    <t>LIFLBIUFYCRACE-VBTALOSXSA-N</t>
  </si>
  <si>
    <t>10.78_403.2103m/z</t>
  </si>
  <si>
    <t>Cannabidiolic acid</t>
  </si>
  <si>
    <t>HMDB0249587</t>
  </si>
  <si>
    <t>CCCCCC1=CC(O)=C(C2C=C(C)CCC2C(C)=C)C(O)=C1C(O)=O</t>
  </si>
  <si>
    <t>WVOLTBSCXRRQFR-UHFFFAOYSA-N</t>
  </si>
  <si>
    <t>13.30_420.1818m/z</t>
  </si>
  <si>
    <t>Heptadeacsphing-6E-enine 4R-sufate</t>
  </si>
  <si>
    <t>LMSP01080072</t>
  </si>
  <si>
    <t>[C@](CO)([H])(N)[C@]([H])(O)[C@H](OS(O)(=O)=O)C/C=C/CCCCCCCCCC</t>
  </si>
  <si>
    <t>KZLMQHDECHRBBR-DIKSDDLMSA-N</t>
  </si>
  <si>
    <t>Sulfuric acid esters</t>
  </si>
  <si>
    <t>C17H35NO6S</t>
  </si>
  <si>
    <t>10.18_457.2569m/z</t>
  </si>
  <si>
    <t>3-Butenylcarnitine</t>
  </si>
  <si>
    <t>HMDB0241650</t>
  </si>
  <si>
    <t>C[N+](C)(C)CC(CC([O-])=O)OC(=O)CC=C</t>
  </si>
  <si>
    <t>CJETZUCGLDWPGF-UHFFFAOYSA-N</t>
  </si>
  <si>
    <t>C11H19NO4</t>
  </si>
  <si>
    <t>4.47_398.1910m/z</t>
  </si>
  <si>
    <t>JWH 309</t>
  </si>
  <si>
    <t>CCCCCN1C=C(C=C1C2=CC=CC3=CC=CC=C32)C(=O)C4=CC=CC5=CC=CC=C54</t>
  </si>
  <si>
    <t>WVISOUYKTUUDFW-UHFFFAOYSA-N</t>
  </si>
  <si>
    <t>Naphthalenecarboxylic acids and derivatives</t>
  </si>
  <si>
    <t>C30H27NO</t>
  </si>
  <si>
    <t>5.35_370.2027m/z</t>
  </si>
  <si>
    <t>5-Fluoro-3-[3-[4-(5-methoxypyrimidin-4-yl)piperazin-1-yl]propyl]-1H-indole</t>
  </si>
  <si>
    <t>HMDB0249310</t>
  </si>
  <si>
    <t>COC1=CN=CN=C1N1CCN(CCCC2=CNC3=C2C=C(F)C=C3)CC1</t>
  </si>
  <si>
    <t>NRLXAYBZNVHRFL-UHFFFAOYSA-N</t>
  </si>
  <si>
    <t>C20H24FN5O</t>
  </si>
  <si>
    <t>4.46_168.0540n</t>
  </si>
  <si>
    <t>2-Pyrroloylglycine</t>
  </si>
  <si>
    <t>HMDB0059778</t>
  </si>
  <si>
    <t>98276-81-4</t>
  </si>
  <si>
    <t>OC(=O)CNC(=O)C1=CC=CN1</t>
  </si>
  <si>
    <t>GCBXCOXVQXMSOS-UHFFFAOYSA-N</t>
  </si>
  <si>
    <t>C7H8N2O3</t>
  </si>
  <si>
    <t>5.42_213.0738m/z</t>
  </si>
  <si>
    <t>5-(3-Methyl-1-triazeno)imidazole-4-carboxamide</t>
  </si>
  <si>
    <t>HMDB0254938</t>
  </si>
  <si>
    <t>C16250</t>
  </si>
  <si>
    <t>3413-72-7</t>
  </si>
  <si>
    <t>CN=NNC1=C(NC=N1)C(N)=O</t>
  </si>
  <si>
    <t>MVBPAIHFZZKRGD-UHFFFAOYSA-N</t>
  </si>
  <si>
    <t>C5H8N6O</t>
  </si>
  <si>
    <t>7.05_565.3021m/z</t>
  </si>
  <si>
    <t>Cholic acid glucuronide</t>
  </si>
  <si>
    <t>HMDB0002577</t>
  </si>
  <si>
    <t>LMST05010044</t>
  </si>
  <si>
    <t>76060-22-5</t>
  </si>
  <si>
    <t>O([C@H]1C[C@@]2([H])C[C@@H](O)[C@@]3([H])[C@]4([H])CC[C@]([H])([C@@](C)([H])CCC(=O)O)[C@@]4(C)[C@@H](O)C[C@]3([H])[C@@]2(C)CC1)[C@H]1[C@H](O)[C@H]([C@H](O)[C@@H](C(=O)O)O1)O</t>
  </si>
  <si>
    <t>RBLDVEUUCHVWMW-SXYQVCRBSA-N</t>
  </si>
  <si>
    <t>C30H48O11</t>
  </si>
  <si>
    <t>14.67_338.3427m/z</t>
  </si>
  <si>
    <t>N-Cyclohexanecarbonylpentadecylamine</t>
  </si>
  <si>
    <t>702638-84-4</t>
  </si>
  <si>
    <t>C1CCC(CC1)C(=O)CCCCCCCCCCCCCCCN</t>
  </si>
  <si>
    <t>RYVGWQDLAVSRHO-UHFFFAOYSA-N</t>
  </si>
  <si>
    <t>C22H43NO</t>
  </si>
  <si>
    <t>9.18_455.2667m/z</t>
  </si>
  <si>
    <t>Pactimibe</t>
  </si>
  <si>
    <t>HMDB0256074</t>
  </si>
  <si>
    <t>CCCCCCCCN1CCC2=C1C(NC(=O)C(C)(C)C)=C(C)C(CC(O)=O)=C2C</t>
  </si>
  <si>
    <t>TXIIZHHIOHVWJD-UHFFFAOYSA-N</t>
  </si>
  <si>
    <t>C25H40N2O3</t>
  </si>
  <si>
    <t>13.51_565.4477m/z</t>
  </si>
  <si>
    <t>DG(i-13:0/18:1(12Z)-O(9S,10R)/0:0)</t>
  </si>
  <si>
    <t>HMDB0298629</t>
  </si>
  <si>
    <t>CCCCC\C=C/CC1OC1CCCCCCCC(=O)O[C@@H](CO)COC(=O)CCCCCCCCCC(C)C</t>
  </si>
  <si>
    <t>GEDBSOFMFRLGNO-IDDCJWQGSA-N</t>
  </si>
  <si>
    <t>C34H62O6</t>
  </si>
  <si>
    <t>13.93_296.2957m/z</t>
  </si>
  <si>
    <t>9R,10S-Epoxy-3Z,6Z-nonadecadiene</t>
  </si>
  <si>
    <t>LMFA12000294</t>
  </si>
  <si>
    <t>CC/C=C\C/C=C\C[C@@H]1O[C@@H]1CCCCCCCCC</t>
  </si>
  <si>
    <t>CEWBAXULNPORDY-HXQMLSCISA-N</t>
  </si>
  <si>
    <t>C19H34O</t>
  </si>
  <si>
    <t>9.66_293.1759m/z</t>
  </si>
  <si>
    <t>4-[3]-ladderane-butanoic acid</t>
  </si>
  <si>
    <t>LMFA01140010</t>
  </si>
  <si>
    <t>C1C2C3C4CCC4C3C2CC(CCCC(=O)O)C1</t>
  </si>
  <si>
    <t>WWHSTYPFQBWANZ-UHFFFAOYSA-N</t>
  </si>
  <si>
    <t>C16H24O2</t>
  </si>
  <si>
    <t>6.67_230.9878m/z</t>
  </si>
  <si>
    <t>Hexafluorobenzene</t>
  </si>
  <si>
    <t>HMDB0253133</t>
  </si>
  <si>
    <t>FC1=C(F)C(F)=C(F)C(F)=C1F</t>
  </si>
  <si>
    <t>ZQBFAOFFOQMSGJ-UHFFFAOYSA-N</t>
  </si>
  <si>
    <t>C6F6</t>
  </si>
  <si>
    <t>9.23_674.3289m/z</t>
  </si>
  <si>
    <t>OHODiA-PS</t>
  </si>
  <si>
    <t>LMGP20040032</t>
  </si>
  <si>
    <t>C(O)(=O)[C@@]([H])(N)COP(OC[C@]([H])(OC(CCCC(O)/C=C/C(=O)O)=O)COC(CCCCCCC/C=C\CCCCCCCC)=O)(=O)O</t>
  </si>
  <si>
    <t>JGZJCSRMYKNZFS-XRWGASBYSA-N</t>
  </si>
  <si>
    <t>C32H56NO13P</t>
  </si>
  <si>
    <t>8.79_389.1961m/z</t>
  </si>
  <si>
    <t>MEROGEDUNIN</t>
  </si>
  <si>
    <t>CC1=C2C(C(=O)OC3C2(C(CC1)C4(C=CC(=O)C(C4C3)(C)C)C)C)O</t>
  </si>
  <si>
    <t>XQOSNJUURCKQGN-AXSGJTORSA-N</t>
  </si>
  <si>
    <t>4.98_458.1499m/z</t>
  </si>
  <si>
    <t>TS-943</t>
  </si>
  <si>
    <t>HMDB0259310</t>
  </si>
  <si>
    <t>CN1C(C)=C(SC1=NC(=O)C1=CC=C(C=C1)C(N)=NCCCC(O)=O)C(=O)NCCC(O)=O</t>
  </si>
  <si>
    <t>RMRWASUVMKDLIG-UHFFFAOYSA-N</t>
  </si>
  <si>
    <t>C21H25N5O6S</t>
  </si>
  <si>
    <t>13.30_572.3702m/z</t>
  </si>
  <si>
    <t>PC(P-18:0/2:0)</t>
  </si>
  <si>
    <t>LMGP01030011</t>
  </si>
  <si>
    <t>[C@](COP(=O)([O-])OCC[N+](C)(C)C)([H])(OC(C)=O)CO/C=C\CCCCCCCCCCCCCCCC</t>
  </si>
  <si>
    <t>GGOZGVRQDWXUCH-SJLUARHESA-N</t>
  </si>
  <si>
    <t>9.22_366.2797m/z</t>
  </si>
  <si>
    <t>N-benzyl-13-oxo-9E,11E-octadecadienamide</t>
  </si>
  <si>
    <t>LMFA08020313</t>
  </si>
  <si>
    <t>C(C1C=CC=CC=1)NC(CCCCCCC/C=C/C=C/C(=O)CCCCC)=O</t>
  </si>
  <si>
    <t>BJLMUUKAICQBIY-DPNVYNPJSA-N</t>
  </si>
  <si>
    <t>C25H37NO2</t>
  </si>
  <si>
    <t>5.22_277.0670m/z</t>
  </si>
  <si>
    <t>Kifunensine</t>
  </si>
  <si>
    <t>HMDB0253800</t>
  </si>
  <si>
    <t>OCC1C(O)C(O)C(O)C2NC(=O)C(=O)N12</t>
  </si>
  <si>
    <t>OIURYJWYVIAOCW-UHFFFAOYSA-N</t>
  </si>
  <si>
    <t>C8H12N2O6</t>
  </si>
  <si>
    <t>5.52_245.0488m/z</t>
  </si>
  <si>
    <t>2,2-Difluoro-n-(2-hydroxyethyl)-3-(2-nitro-1h-imidazol-1-yl)propanamide</t>
  </si>
  <si>
    <t>HMDB0253829</t>
  </si>
  <si>
    <t>OCCNC(=O)C(F)(F)CN1C=CN=C1[N+]([O-])=O</t>
  </si>
  <si>
    <t>VOXUFOPZGRTSJY-UHFFFAOYSA-N</t>
  </si>
  <si>
    <t>C8H10F2N4O4</t>
  </si>
  <si>
    <t>10.64_331.2043m/z</t>
  </si>
  <si>
    <t>Thalassotalamide A</t>
  </si>
  <si>
    <t>LMFA08020346</t>
  </si>
  <si>
    <t>N(C(=O)CCCCCCCCC)/C(/C(=O)N)=C\C1=CC=C(C=C1)O</t>
  </si>
  <si>
    <t>MRBDSURQNNFNPJ-VKAVYKQESA-N</t>
  </si>
  <si>
    <t>C19H28N2O3</t>
  </si>
  <si>
    <t>9.89_371.1995m/z</t>
  </si>
  <si>
    <t>Dilept</t>
  </si>
  <si>
    <t>HMDB0251364</t>
  </si>
  <si>
    <t>CCCCCC(=O)N1CCCC1C(=O)NC(CC1=CC=C(O)C=C1)C(=O)OC</t>
  </si>
  <si>
    <t>HNWPAYLOEFDTJN-UHFFFAOYSA-N</t>
  </si>
  <si>
    <t>C21H30N2O5</t>
  </si>
  <si>
    <t>8.01_292.2761m/z</t>
  </si>
  <si>
    <t>3,4-Epoxy-6Z,9Z-eicosadiene</t>
  </si>
  <si>
    <t>LMFA12000313</t>
  </si>
  <si>
    <t>CCC1OC1C/C=C\C/C=C\CCCCCCCCCC</t>
  </si>
  <si>
    <t>JVTLYSCCWUIAHP-AUGURXLVSA-N</t>
  </si>
  <si>
    <t>11.74_652.3837m/z</t>
  </si>
  <si>
    <t>PON-PE</t>
  </si>
  <si>
    <t>LMGP20020028</t>
  </si>
  <si>
    <t>[C@](COP(=O)(O)OCCN)([H])(OC(CCCCCCCC([H])=O)=O)COC(CCCCCCCCCCCCCCC)=O</t>
  </si>
  <si>
    <t>MVAIWYVEWHAGGD-MUUNZHRXSA-N</t>
  </si>
  <si>
    <t>C30H58NO9P</t>
  </si>
  <si>
    <t>4.51_267.0462m/z</t>
  </si>
  <si>
    <t>Tert-Butylbicyclophosphorothionate</t>
  </si>
  <si>
    <t>HMDB0258754</t>
  </si>
  <si>
    <t>C19930</t>
  </si>
  <si>
    <t>70636-86-1</t>
  </si>
  <si>
    <t>CC(C)(C)C12COP(=S)(OC1)OC2</t>
  </si>
  <si>
    <t>VTBHBNXGFPTBJL-UHFFFAOYSA-N</t>
  </si>
  <si>
    <t>Organic thiophosphoric acids and derivatives</t>
  </si>
  <si>
    <t>Thiophosphoric acid esters</t>
  </si>
  <si>
    <t>C8H15O3PS</t>
  </si>
  <si>
    <t>15.22_477.3259m/z</t>
  </si>
  <si>
    <t>Benzphetamine</t>
  </si>
  <si>
    <t>HMDB0015003</t>
  </si>
  <si>
    <t>C07538</t>
  </si>
  <si>
    <t>156-08-1</t>
  </si>
  <si>
    <t>C[C@@H](CC1=CC=CC=C1)N(C)CC1=CC=CC=C1</t>
  </si>
  <si>
    <t>YXKTVDFXDRQTKV-HNNXBMFYSA-N</t>
  </si>
  <si>
    <t>Phenethylamines</t>
  </si>
  <si>
    <t>C17H21N</t>
  </si>
  <si>
    <t>9.32_389.1922m/z</t>
  </si>
  <si>
    <t>ox-LGD2</t>
  </si>
  <si>
    <t>LMFA03100037</t>
  </si>
  <si>
    <t>C1(C(C)(O)OC(=O)C=1C/C=C\CCCC(=O)O)/C=C/[C@@H](O)CCCCC</t>
  </si>
  <si>
    <t>RAQOIYLDXSAKSS-DPLATEDBSA-N</t>
  </si>
  <si>
    <t>10.58_656.2408m/z</t>
  </si>
  <si>
    <t>Lewis b</t>
  </si>
  <si>
    <t>HMDB0254067</t>
  </si>
  <si>
    <t>CC1OC(OC2C(O)C(O)C(CO)OC2OC2C(NC(C)=O)C(O)OC(CO)C2OC2OC(C)C(O)C(O)C2O)C(O)C(O)C1O</t>
  </si>
  <si>
    <t>OXNGKCPRVRBHPO-UHFFFAOYSA-N</t>
  </si>
  <si>
    <t>C26H45NO19</t>
  </si>
  <si>
    <t>9.83_427.3153m/z</t>
  </si>
  <si>
    <t>N-(9,12-octadecadienoyl)-glutamic acid</t>
  </si>
  <si>
    <t>LMFA08020217</t>
  </si>
  <si>
    <t>[C@]([H])(NC(=O)CCCCCCC/C=C\C/C=C\CCCCC)(CCC(O)=O)C(O)=O</t>
  </si>
  <si>
    <t>KUOWDMBZTRBDRI-GSNKCQISSA-N</t>
  </si>
  <si>
    <t>C23H39NO5</t>
  </si>
  <si>
    <t>4.30_248.1500m/z</t>
  </si>
  <si>
    <t>Bunitrolol</t>
  </si>
  <si>
    <t>HMDB0249440</t>
  </si>
  <si>
    <t>CC(C)(C)NCC(O)COC1=CC=CC=C1C#N</t>
  </si>
  <si>
    <t>VCVQSRCYSKKPBA-UHFFFAOYSA-N</t>
  </si>
  <si>
    <t>C14H20N2O2</t>
  </si>
  <si>
    <t>3.08_483.1462m/z</t>
  </si>
  <si>
    <t>Adozelesin</t>
  </si>
  <si>
    <t>HMDB0248023</t>
  </si>
  <si>
    <t>CC1=CNC2=C1C13CC1CN(C(=O)C1=CC4=C(N1)C=CC(NC(=O)C1=CC5=CC=CC=C5O1)=C4)C3=CC2=O</t>
  </si>
  <si>
    <t>BYRVKDUQDLJUBX-UHFFFAOYSA-N</t>
  </si>
  <si>
    <t>C30H22N4O4</t>
  </si>
  <si>
    <t>5.10_351.1240n</t>
  </si>
  <si>
    <t>Epicillin</t>
  </si>
  <si>
    <t>HMDB0251843</t>
  </si>
  <si>
    <t>CC1(C)SC2C(NC(=O)C(N)C3=CCC=CC3)C(=O)N2C1C(O)=O</t>
  </si>
  <si>
    <t>RPBAFSBGYDKNRG-UHFFFAOYSA-N</t>
  </si>
  <si>
    <t>C16H21N3O4S</t>
  </si>
  <si>
    <t>12.71_642.3959m/z</t>
  </si>
  <si>
    <t>1-(2-methoxy-docosanyl)-sn-glycero-3-phosphoserine</t>
  </si>
  <si>
    <t>LMGP03060021</t>
  </si>
  <si>
    <t>C(O)(=O)[C@@]([H])(N)COP(OC[C@]([H])(O)COCC(OC)CCCCCCCCCCCCCCCCCCCC)(=O)O</t>
  </si>
  <si>
    <t>ZQVWBLVVLOMLJR-UNQNHFTRSA-N</t>
  </si>
  <si>
    <t>C29H60NO9P</t>
  </si>
  <si>
    <t>10.31_335.1524m/z</t>
  </si>
  <si>
    <t>DL-Methionine-4-antipyrineamide</t>
  </si>
  <si>
    <t>HMDB0251524</t>
  </si>
  <si>
    <t>CSCCC(N)C(=O)NC1=C(C)N(C)N(C1=O)C1=CC=CC=C1</t>
  </si>
  <si>
    <t>IWEXFJKPHLXPKL-UHFFFAOYSA-N</t>
  </si>
  <si>
    <t>C16H22N4O2S</t>
  </si>
  <si>
    <t>4.53_731.3336m/z</t>
  </si>
  <si>
    <t>Opiorphin</t>
  </si>
  <si>
    <t>HMDB0059792</t>
  </si>
  <si>
    <t>[H][C@](N)(CCC(O)=N)C(O)=N[C@@]([H])(CCCNC(N)=N)C(O)=N[C@@]([H])(CC1=CC=CC=C1)C(O)=N[C@@]([H])(CO)C(O)=N[C@@]([H])(CCCNC(N)=N)C(O)=O</t>
  </si>
  <si>
    <t>TWWFCOBVAKAKIT-SXYSDOLCSA-N</t>
  </si>
  <si>
    <t>C29H48N12O8</t>
  </si>
  <si>
    <t>2.92_207.1267n</t>
  </si>
  <si>
    <t>SALSOLIDINE</t>
  </si>
  <si>
    <t>493-48-1</t>
  </si>
  <si>
    <t>CC1C2=CC(=C(C=C2CCN1)OC)OC</t>
  </si>
  <si>
    <t>HMYJLVDKPJHJCF-UHFFFAOYSA-N</t>
  </si>
  <si>
    <t>C12H17NO2</t>
  </si>
  <si>
    <t>4.45_209.0036m/z</t>
  </si>
  <si>
    <t>2,2,2-Trifluoroethyl</t>
  </si>
  <si>
    <t>HMDB0244040</t>
  </si>
  <si>
    <t>FC(F)(F)C=CC(F)(F)F</t>
  </si>
  <si>
    <t>NLOLSXYRJFEOTA-UHFFFAOYSA-N</t>
  </si>
  <si>
    <t>Organofluorides</t>
  </si>
  <si>
    <t>C4H2F6</t>
  </si>
  <si>
    <t>0.74_168.1155n</t>
  </si>
  <si>
    <t>(+)-exo-5-hydroxycamphor</t>
  </si>
  <si>
    <t>LMPR0102120048</t>
  </si>
  <si>
    <t>C03448</t>
  </si>
  <si>
    <t>C1C(=O)[C@]2(C(C)(C)[C@@]1([C@H](O)C2)[H])C</t>
  </si>
  <si>
    <t>DJQYBVLXBVJHMU-PJKMHFRUSA-N</t>
  </si>
  <si>
    <t>0.68_164.0297m/z</t>
  </si>
  <si>
    <t>(5-(but-3-en-1-yn-1-yl)thiophen-2-yl)methanol</t>
  </si>
  <si>
    <t>LMFA12000349</t>
  </si>
  <si>
    <t>C1(CO)=CC=C(C#CC=C)S1</t>
  </si>
  <si>
    <t>FYRZGWSQPVKQIN-UHFFFAOYSA-N</t>
  </si>
  <si>
    <t>Thiophenes</t>
  </si>
  <si>
    <t>2,5-disubstituted thiophenes</t>
  </si>
  <si>
    <t>C9H8OS</t>
  </si>
  <si>
    <t>4.21_827.4280m/z</t>
  </si>
  <si>
    <t>PGP(18:3(6Z,9Z,12Z)/18:3(6Z,9Z,12Z))</t>
  </si>
  <si>
    <t>HMDB0013568</t>
  </si>
  <si>
    <t>CCCCC\C=C/C\C=C/C\C=C/CCCCC(=O)OC[C@]([H])(COP(=O)(O)OC[C@@]([H])(O)COP(=O)(O)O)OC(=O)CCCC\C=C/C\C=C/C\C=C/CCCCC</t>
  </si>
  <si>
    <t>GSQFLGBNQNDGTO-FQTJGYFUSA-N</t>
  </si>
  <si>
    <t>C42H72O13P2</t>
  </si>
  <si>
    <t>0.82_193.0406m/z</t>
  </si>
  <si>
    <t>S-(2-Carboxyethyl)-L-cysteine</t>
  </si>
  <si>
    <t>HMDB0246645</t>
  </si>
  <si>
    <t>NC(CSCCC(O)=O)C(O)=O</t>
  </si>
  <si>
    <t>FBPINGSGHKXIQA-UHFFFAOYSA-N</t>
  </si>
  <si>
    <t>C6H11NO4S</t>
  </si>
  <si>
    <t>5.60_229.1443m/z</t>
  </si>
  <si>
    <t>ascr#6.1</t>
  </si>
  <si>
    <t>LMFA13040152</t>
  </si>
  <si>
    <t>O([C@@H](CC[C@H](O)C)C)[C@H]1[C@H](O)C[C@@H](O)[C@H](C)O1</t>
  </si>
  <si>
    <t>IIHKPFPJXRXZQS-KCUSNBPKSA-N</t>
  </si>
  <si>
    <t>C12H24O5</t>
  </si>
  <si>
    <t>12.54_517.3904m/z</t>
  </si>
  <si>
    <t>cholesteryl beta-D-xyloside</t>
  </si>
  <si>
    <t>LMST01010448</t>
  </si>
  <si>
    <t>C1[C@H](O[C@H]2[C@H](O)[C@@H](O)[C@H](O)CO2)CC2=CC[C@@]3([H])[C@]4([H])CC[C@]([H])([C@@]([H])(CCCC(C)C)C)[C@@]4(C)CC[C@]3([H])[C@@]2(C)C1</t>
  </si>
  <si>
    <t>UOCVCGQIJOLRSA-INKJFGPASA-N</t>
  </si>
  <si>
    <t>431</t>
  </si>
  <si>
    <t>Meclofenamic Acid</t>
  </si>
  <si>
    <t>HMDB0015074</t>
  </si>
  <si>
    <t>C07117</t>
  </si>
  <si>
    <t>644-62-2</t>
  </si>
  <si>
    <t>CC1=C(Cl)C(NC2=CC=CC=C2C(O)=O)=C(Cl)C=C1</t>
  </si>
  <si>
    <t>SBDNJUWAMKYJOX-UHFFFAOYSA-N</t>
  </si>
  <si>
    <t>C14H11Cl2NO2</t>
  </si>
  <si>
    <t>0.73_276.0968n</t>
  </si>
  <si>
    <t>gamma-Glutamylglutamic acid</t>
  </si>
  <si>
    <t>HMDB0011737</t>
  </si>
  <si>
    <t>C05282</t>
  </si>
  <si>
    <t>1116-22-9</t>
  </si>
  <si>
    <t>N[C@@H](CCC(=O)N[C@@H](CCC(O)=O)C(O)=O)C(O)=O</t>
  </si>
  <si>
    <t>OWQDWQKWSLFFFR-WDSKDSINSA-N</t>
  </si>
  <si>
    <t>C10H16N2O7</t>
  </si>
  <si>
    <t>3.98_557.2578m/z</t>
  </si>
  <si>
    <t>N-(1-Deoxy-1-fructosyl)valine</t>
  </si>
  <si>
    <t>HMDB0037844</t>
  </si>
  <si>
    <t>CC(C)[C@H](NCC1(O)O[C@H](CO)[C@@H](O)[C@@H]1O)C(O)=O</t>
  </si>
  <si>
    <t>OANCGDPJMNPBDV-BUFOXMIFSA-N</t>
  </si>
  <si>
    <t>C11H21NO7</t>
  </si>
  <si>
    <t>11.19_439.3430m/z</t>
  </si>
  <si>
    <t>Momordol</t>
  </si>
  <si>
    <t>HMDB0029804</t>
  </si>
  <si>
    <t>189156-42-1</t>
  </si>
  <si>
    <t>CCC(CO)C(O)CC(O)C(C)CCC(C)CCCC1(C)C(CC)C(=O)C=CC1(C)O</t>
  </si>
  <si>
    <t>HDAGCVMZABLHLE-UHFFFAOYSA-N</t>
  </si>
  <si>
    <t>C26H48O5</t>
  </si>
  <si>
    <t>9.87_150.0685n</t>
  </si>
  <si>
    <t>2-Methoxy-4-vinylphenol</t>
  </si>
  <si>
    <t>HMDB0013744</t>
  </si>
  <si>
    <t>C17883</t>
  </si>
  <si>
    <t>7786-61-0</t>
  </si>
  <si>
    <t>COC1=CC(C=C)=CC=C1O</t>
  </si>
  <si>
    <t>YOMSJEATGXXYPX-UHFFFAOYSA-N</t>
  </si>
  <si>
    <t>14.46_277.2172m/z</t>
  </si>
  <si>
    <t>13S-HOTrE(gamma)</t>
  </si>
  <si>
    <t>LMFA02000173</t>
  </si>
  <si>
    <t>74784-20-6</t>
  </si>
  <si>
    <t>C(=C/C/C=C\C=C\[C@@H](O)CCCCC)/CCCCC(=O)O</t>
  </si>
  <si>
    <t>HNBLUNXZQNJFRB-KYLWABQHSA-N</t>
  </si>
  <si>
    <t>3.65_200.0292m/z</t>
  </si>
  <si>
    <t>Thiabendazole</t>
  </si>
  <si>
    <t>HMDB0014868</t>
  </si>
  <si>
    <t>C07131</t>
  </si>
  <si>
    <t>148-79-8</t>
  </si>
  <si>
    <t>N1C2=CC=CC=C2N=C1C1=CSC=N1</t>
  </si>
  <si>
    <t>WJCNZQLZVWNLKY-UHFFFAOYSA-N</t>
  </si>
  <si>
    <t>C10H7N3S</t>
  </si>
  <si>
    <t>3.69_280.1069n</t>
  </si>
  <si>
    <t>Aspartylphenylalanine</t>
  </si>
  <si>
    <t>HMDB0000706</t>
  </si>
  <si>
    <t>13433-09-5</t>
  </si>
  <si>
    <t>N[C@@H](CC(O)=O)C(=O)N[C@@H](CC1=CC=CC=C1)C(O)=O</t>
  </si>
  <si>
    <t>YZQCXOFQZKCETR-UWVGGRQHSA-N</t>
  </si>
  <si>
    <t>C13H16N2O5</t>
  </si>
  <si>
    <t>5.26_436.1563m/z</t>
  </si>
  <si>
    <t>Equol 4'-O-glucuronide</t>
  </si>
  <si>
    <t>HMDB0041731</t>
  </si>
  <si>
    <t>O[C@@H]1[C@@H](O)[C@H](OC2=CC=C(C=C2)[C@H]2COC3=CC(O)=CC=C3C2)O[C@@H]([C@H]1O)C(O)=O</t>
  </si>
  <si>
    <t>VIKIIYUHWNDRNI-LVEHSUOCSA-N</t>
  </si>
  <si>
    <t>Isoflavonoid O-glycosides</t>
  </si>
  <si>
    <t>C21H22O9</t>
  </si>
  <si>
    <t>9.24_416.1746m/z</t>
  </si>
  <si>
    <t>5-Fluoro-adb, (+/-)-</t>
  </si>
  <si>
    <t>HMDB0247023</t>
  </si>
  <si>
    <t>COC(=O)C(NC(=O)C1=NN(CCCCCF)C2=CC=CC=C12)C(C)(C)C</t>
  </si>
  <si>
    <t>PWEKNGSNNAKWBL-UHFFFAOYSA-N</t>
  </si>
  <si>
    <t>C20H28FN3O3</t>
  </si>
  <si>
    <t>13.85_463.3796m/z</t>
  </si>
  <si>
    <t>2-Deoxy-28-homocastasterone</t>
  </si>
  <si>
    <t>HMDB0301792</t>
  </si>
  <si>
    <t>[H][C@]12C[C@H](O)CC[C@]1(C)C1CC[C@]3(C)C(CCC3C1CC2=O)[C@H](C)[C@@H](O)[C@H](O)[C@@H](CC)C(C)C</t>
  </si>
  <si>
    <t>DYENWMUXSKPFLC-DFLWBBLWSA-N</t>
  </si>
  <si>
    <t>C29H50O4</t>
  </si>
  <si>
    <t>4.84_362.9698m/z</t>
  </si>
  <si>
    <t>Perfluoroheptanoic acid</t>
  </si>
  <si>
    <t>HMDB0256322</t>
  </si>
  <si>
    <t>OC(=O)C(F)(F)C(F)(F)C(F)(F)C(F)(F)C(F)(F)C(F)(F)F</t>
  </si>
  <si>
    <t>ZWBAMYVPMDSJGQ-UHFFFAOYSA-N</t>
  </si>
  <si>
    <t>C7HF13O2</t>
  </si>
  <si>
    <t>6.62_413.2183m/z</t>
  </si>
  <si>
    <t>20-dihydroxyleukotriene B4</t>
  </si>
  <si>
    <t>HMDB0012635</t>
  </si>
  <si>
    <t>LMFA03020061</t>
  </si>
  <si>
    <t>OC(CCCC/C=C\C[C@@H](/C=C/C=C/C=C\[C@@H](CCCC(=O)O)O)O)O</t>
  </si>
  <si>
    <t>ZZSBUQYGAPWEOJ-RMQNAGPKSA-N</t>
  </si>
  <si>
    <t>11.88_559.5212m/z</t>
  </si>
  <si>
    <t>5-Hexatriacontanone</t>
  </si>
  <si>
    <t>HMDB0030937</t>
  </si>
  <si>
    <t>CCCCCCCCCCCCCCCCCCCCCCCCCCCCCCCC(=O)CCCC</t>
  </si>
  <si>
    <t>ACHLEYSDMHROKR-UHFFFAOYSA-N</t>
  </si>
  <si>
    <t>C36H72O</t>
  </si>
  <si>
    <t>1.18_179.0022m/z</t>
  </si>
  <si>
    <t>Thioapfelsaure</t>
  </si>
  <si>
    <t>HMDB0259000</t>
  </si>
  <si>
    <t>OC(=O)CCC(S)=O</t>
  </si>
  <si>
    <t>QPHPUQJVKQXISS-UHFFFAOYSA-N</t>
  </si>
  <si>
    <t>C4H6O3S</t>
  </si>
  <si>
    <t>4.81_469.0419m/z</t>
  </si>
  <si>
    <t>Primisulfuron-methyl</t>
  </si>
  <si>
    <t>HMDB0256773</t>
  </si>
  <si>
    <t>COC(=O)C1=C(C=CC=C1)S(=O)(=O)NC(=O)NC1=NC(OC(F)F)=CC(OC(F)F)=N1</t>
  </si>
  <si>
    <t>ZTYVMAQSHCZXLF-UHFFFAOYSA-N</t>
  </si>
  <si>
    <t>Sulfonylureas</t>
  </si>
  <si>
    <t>C15H12F4N4O7S</t>
  </si>
  <si>
    <t>1.23_206.9881m/z</t>
  </si>
  <si>
    <t>Hexafluoroacetylacetone</t>
  </si>
  <si>
    <t>HMDB0253132</t>
  </si>
  <si>
    <t>FC(F)(F)C(=O)CC(=O)C(F)(F)F</t>
  </si>
  <si>
    <t>QAMFBRUWYYMMGJ-UHFFFAOYSA-N</t>
  </si>
  <si>
    <t>C5H2F6O2</t>
  </si>
  <si>
    <t>7.25_195.1020m/z</t>
  </si>
  <si>
    <t>5S,6S-epoxy-7-undecynoic acid</t>
  </si>
  <si>
    <t>LMFA01070039</t>
  </si>
  <si>
    <t>C([C@@H]1O[C@H]1C#CCCC)CCC(O)=O</t>
  </si>
  <si>
    <t>QHOHOFWVHHZVOP-UWVGGRQHSA-N</t>
  </si>
  <si>
    <t>C11H16O3</t>
  </si>
  <si>
    <t>0.68_331.9215m/z</t>
  </si>
  <si>
    <t>2,3,4-Trinitrobenzene-1-sulfonic acid</t>
  </si>
  <si>
    <t>HMDB0246139</t>
  </si>
  <si>
    <t>OS(=O)(=O)C1=C(C(=C(C=C1)[N+]([O-])=O)[N+]([O-])=O)[N+]([O-])=O</t>
  </si>
  <si>
    <t>LIEVTTYXDCZXRG-UHFFFAOYSA-N</t>
  </si>
  <si>
    <t>C6H3N3O9S</t>
  </si>
  <si>
    <t>9.01_293.2119m/z</t>
  </si>
  <si>
    <t>Gallicynoic acid D</t>
  </si>
  <si>
    <t>LMFA01050578</t>
  </si>
  <si>
    <t>C(CCC(=O)O)CCCC/C=C\C(O)C#CC(O)CCCC</t>
  </si>
  <si>
    <t>ABCUJZSRBYAWAE-XFXZXTDPSA-N</t>
  </si>
  <si>
    <t>1.00_254.0260n</t>
  </si>
  <si>
    <t>Menadione bisulfite</t>
  </si>
  <si>
    <t>HMDB0254432</t>
  </si>
  <si>
    <t>CC1(CC(=O)C2=CC=CC=C2C1=O)S(O)(=O)=O</t>
  </si>
  <si>
    <t>WIXFIQKTHUVFDI-UHFFFAOYSA-N</t>
  </si>
  <si>
    <t>M-H2O-H, M+FA-H</t>
  </si>
  <si>
    <t>C11H10O5S</t>
  </si>
  <si>
    <t>3.56_486.2208m/z</t>
  </si>
  <si>
    <t>Acetyl-Ser-Asp-Lys-Pro</t>
  </si>
  <si>
    <t>HMDB0247929</t>
  </si>
  <si>
    <t>CC(=O)NC(CO)C(=O)NC(CC(O)=O)C(=O)NC(CCCCN)C(=O)N1CCCC1C(O)=O</t>
  </si>
  <si>
    <t>HJDRXEQUFWLOGJ-UHFFFAOYSA-N</t>
  </si>
  <si>
    <t>C20H33N5O9</t>
  </si>
  <si>
    <t>3.96_246.1377n</t>
  </si>
  <si>
    <t>Lenticin</t>
  </si>
  <si>
    <t>HMDB0061115</t>
  </si>
  <si>
    <t>C09213</t>
  </si>
  <si>
    <t>487-58-1</t>
  </si>
  <si>
    <t>C[N+](C)(C)[C@@H](CC1=CNC2=CC=CC=C12)C([O-])=O</t>
  </si>
  <si>
    <t>AOHCBEAZXHZMOR-ZDUSSCGKSA-N</t>
  </si>
  <si>
    <t>4.71_579.2260m/z</t>
  </si>
  <si>
    <t>5,6-Dihydro-11-methoxyyangonin</t>
  </si>
  <si>
    <t>HMDB0038722</t>
  </si>
  <si>
    <t>COC1=CC(=O)OC(C1)\C=C/C1=CC(OC)=C(OC)C=C1</t>
  </si>
  <si>
    <t>FISBBPCLKKQWQA-XQRVVYSFSA-N</t>
  </si>
  <si>
    <t>Kavalactones</t>
  </si>
  <si>
    <t>C16H18O5</t>
  </si>
  <si>
    <t>0.74_258.1459m/z</t>
  </si>
  <si>
    <t>Hydroxyprolyl-Lysine</t>
  </si>
  <si>
    <t>HMDB0028868</t>
  </si>
  <si>
    <t>NCCCCC(NC(=O)C1CC(O)CN1)C(O)=O</t>
  </si>
  <si>
    <t>BXAQOKHDAYJQPA-UHFFFAOYSA-N</t>
  </si>
  <si>
    <t>6.27_395.2550m/z</t>
  </si>
  <si>
    <t>PA(P-16:0/0:0)</t>
  </si>
  <si>
    <t>HMDB0011154</t>
  </si>
  <si>
    <t>LMGP10070003</t>
  </si>
  <si>
    <t>C15646</t>
  </si>
  <si>
    <t>hsa00565</t>
  </si>
  <si>
    <t>Ether lipid metabolism</t>
  </si>
  <si>
    <t>[C@](COP(=O)(O)O)([H])(O)CO/C=C\CCCCCCCCCCCCCC</t>
  </si>
  <si>
    <t>LBGSRVIXIVDRQM-OAXWQBPPSA-N</t>
  </si>
  <si>
    <t>C19H39O6P</t>
  </si>
  <si>
    <t>13.79_587.4300m/z</t>
  </si>
  <si>
    <t>DG(i-13:0/0:0/PGJ2)</t>
  </si>
  <si>
    <t>HMDB0298583</t>
  </si>
  <si>
    <t>CCCCC[C@H](O)\C=C\[C@@H]1[C@@H](C\C=C/CCCC(=O)OC[C@H](O)COC(=O)CCCCCCCCCC(C)C)C=CC1=O</t>
  </si>
  <si>
    <t>ASEFQLRKIIDKLH-KELFEMNNSA-N</t>
  </si>
  <si>
    <t>C36H60O7</t>
  </si>
  <si>
    <t>4.67_918.4591m/z</t>
  </si>
  <si>
    <t>28-Galloylglucosylpomolate 3-arabinoside</t>
  </si>
  <si>
    <t>HMDB0038315</t>
  </si>
  <si>
    <t>356785-75-6</t>
  </si>
  <si>
    <t>CC1CCC2(CCC3(C)C(=CCC4C5(C)CCC(OC6OCC(O)C(O)C6O)C(C)(C)C5CCC34C)C2C1(C)O)C(=O)OC1OC(COC(=O)C2=CC(O)=C(O)C(O)=C2)C(O)C(O)C1O</t>
  </si>
  <si>
    <t>MBFMXPAPAAZQQU-UHFFFAOYSA-N</t>
  </si>
  <si>
    <t>C48H70O17</t>
  </si>
  <si>
    <t>0.73_158.0948n</t>
  </si>
  <si>
    <t>2-n-Propyl-4-oxopentanoic acid</t>
  </si>
  <si>
    <t>HMDB0060683</t>
  </si>
  <si>
    <t>C16655</t>
  </si>
  <si>
    <t>688-04-0</t>
  </si>
  <si>
    <t>CCCC(CC(C)=O)C(O)=O</t>
  </si>
  <si>
    <t>HJRMYVTYHORJKC-UHFFFAOYSA-N</t>
  </si>
  <si>
    <t>C8H14O3</t>
  </si>
  <si>
    <t>5.10_384.2969m/z</t>
  </si>
  <si>
    <t>N-palmitoyl glutamine</t>
  </si>
  <si>
    <t>LMFA08020127</t>
  </si>
  <si>
    <t>NC(=O)CC[C@]([H])(NC(CCCCCCCCCCCCCCC)=O)C(=O)O</t>
  </si>
  <si>
    <t>KCXYSRAVPMMHKU-SFHVURJKSA-N</t>
  </si>
  <si>
    <t>C21H40N2O4</t>
  </si>
  <si>
    <t>8.76_449.3156n</t>
  </si>
  <si>
    <t>Deoxycholic acid glycine conjugate</t>
  </si>
  <si>
    <t>HMDB0000631</t>
  </si>
  <si>
    <t>C05464</t>
  </si>
  <si>
    <t>360-65-6</t>
  </si>
  <si>
    <t>[H][C@]12CCC3C4CC[C@H]([C@H](C)CCC(=O)NCC(O)=O)[C@@]4(C)[C@@H](O)CC3[C@@]1(C)CC[C@@H](O)C2</t>
  </si>
  <si>
    <t>WVULKSPCQVQLCU-ZMBDPXIHSA-N</t>
  </si>
  <si>
    <t>M+H-H2O, M+NH4, M+Na, M+H</t>
  </si>
  <si>
    <t>11.46_660.3500m/z</t>
  </si>
  <si>
    <t>THYMOPENTIN</t>
  </si>
  <si>
    <t>HMDB0259057</t>
  </si>
  <si>
    <t>CC(C)C(NC(=O)C(CC(O)=O)NC(=O)C(CCCCN)NC(=O)C(N)CCCN=C(N)N)C(=O)NC(CC1=CC=C(O)C=C1)C(O)=O</t>
  </si>
  <si>
    <t>PSWFFKRAVBDQEG-UHFFFAOYSA-N</t>
  </si>
  <si>
    <t>C30H49N9O9</t>
  </si>
  <si>
    <t>10.64_443.1552m/z</t>
  </si>
  <si>
    <t>Methyl 3,4-dihydroxy-5-prenylbenzoate 3-glucoside</t>
  </si>
  <si>
    <t>HMDB0040121</t>
  </si>
  <si>
    <t>COC(=O)C1=CC(OC2OC(CO)C(O)C(O)C2O)=C(O)C(CC=C(C)C)=C1</t>
  </si>
  <si>
    <t>OZKMIACEGRRXQA-UHFFFAOYSA-N</t>
  </si>
  <si>
    <t>C19H26O9</t>
  </si>
  <si>
    <t>7.86_294.1090m/z</t>
  </si>
  <si>
    <t>(E,E)-Trichostachine</t>
  </si>
  <si>
    <t>HMDB0029374</t>
  </si>
  <si>
    <t>C10174</t>
  </si>
  <si>
    <t>25924-78-1</t>
  </si>
  <si>
    <t>O=C(\C=C\C=C\C1=CC=C2OCOC2=C1)N1CCCC1</t>
  </si>
  <si>
    <t>GQIJYUMTOUBHSH-IJIVKGSJSA-N</t>
  </si>
  <si>
    <t>C16H17NO3</t>
  </si>
  <si>
    <t>0.60_146.1059n</t>
  </si>
  <si>
    <t>L-Lysine</t>
  </si>
  <si>
    <t>HMDB0000182</t>
  </si>
  <si>
    <t>C00047</t>
  </si>
  <si>
    <t>hsa00310,hsa00470,hsa00780,hsa00970,hsa02010,hsa04974</t>
  </si>
  <si>
    <t>Lysine degradation|D-Amino acid metabolism|Biotin metabolism|Aminoacyl-tRNA biosynthesis|ABC transporters|Protein digestion and absorption</t>
  </si>
  <si>
    <t>56-87-1</t>
  </si>
  <si>
    <t>NCCCC[C@H](N)C(O)=O</t>
  </si>
  <si>
    <t>KDXKERNSBIXSRK-YFKPBYRVSA-N</t>
  </si>
  <si>
    <t>C6H14N2O2</t>
  </si>
  <si>
    <t>12.42_254.2244n</t>
  </si>
  <si>
    <t>cis-Palmitvaccenic acid</t>
  </si>
  <si>
    <t>LMFA01030262</t>
  </si>
  <si>
    <t>C(CCCCCCCCC/C=C\CCCC)(=O)O</t>
  </si>
  <si>
    <t>JGMYDQCXGIMHLL-WAYWQWQTSA-N</t>
  </si>
  <si>
    <t>11.11_556.3180m/z</t>
  </si>
  <si>
    <t>Fosteabine</t>
  </si>
  <si>
    <t>HMDB0252470</t>
  </si>
  <si>
    <t>CCCCCCCCCCCCCCCCCCOP(O)(=O)OCC1OC(C(O)C1O)N1C=CC(N)=NC1=O</t>
  </si>
  <si>
    <t>YJTVZHOYBAOUTO-UHFFFAOYSA-N</t>
  </si>
  <si>
    <t>C27H50N3O8P</t>
  </si>
  <si>
    <t>10.35_350.2466n</t>
  </si>
  <si>
    <t>11-deoxyprostaglandin E2 methyl ester</t>
  </si>
  <si>
    <t>LMFA03010233</t>
  </si>
  <si>
    <t>[C@H]1(/C=C/[C@@H](O)CCCCC)CCC(=O)[C@@H]1C/C=C\CCCC(=O)OC</t>
  </si>
  <si>
    <t>TWECVLQAVWUYGO-PMPHTVEESA-N</t>
  </si>
  <si>
    <t>3.59_338.1336m/z</t>
  </si>
  <si>
    <t>Ser Phe Ser</t>
  </si>
  <si>
    <t>C1=CC=C(C=C1)CC(C(=O)NC(CO)C(=O)O)NC(=O)C(CO)N</t>
  </si>
  <si>
    <t>MQUZANJDFOQOBX-SRVKXCTJSA-N</t>
  </si>
  <si>
    <t>C15H21N3O6</t>
  </si>
  <si>
    <t>9.50_329.1694n</t>
  </si>
  <si>
    <t>Hydroxyethylpromethazine</t>
  </si>
  <si>
    <t>HMDB0240229</t>
  </si>
  <si>
    <t>7647-63-4</t>
  </si>
  <si>
    <t>CC(CN1C2=CC=CC=C2SC2=CC=CC=C12)[N+](C)(C)CCO</t>
  </si>
  <si>
    <t>PDSVTRQOBUIQBQ-UHFFFAOYSA-N</t>
  </si>
  <si>
    <t>C19H25N2OS+</t>
  </si>
  <si>
    <t>6.29_316.1190m/z</t>
  </si>
  <si>
    <t>Kuhlmannin</t>
  </si>
  <si>
    <t>LMPK12100011</t>
  </si>
  <si>
    <t>20972-79-6</t>
  </si>
  <si>
    <t>C1(OC)C(O)=CC2C(C3C=CC=CC=3)=CC(=O)OC=2C=1OC</t>
  </si>
  <si>
    <t>ABUBCBFUQXIEAU-UHFFFAOYSA-N</t>
  </si>
  <si>
    <t>Neoflavonoids</t>
  </si>
  <si>
    <t>Neoflavones</t>
  </si>
  <si>
    <t>C17H14O5</t>
  </si>
  <si>
    <t>11.23_497.0115m/z</t>
  </si>
  <si>
    <t>7-Methylguanosine 5'-diphosphate</t>
  </si>
  <si>
    <t>HMDB0059613</t>
  </si>
  <si>
    <t>C20183</t>
  </si>
  <si>
    <t>C[N+]1=CN([C@@H]2O[C@H](COP(O)(=O)OP(O)(O)=O)[C@@H](O)[C@H]2O)C2=C1C(O)=NC(=N)N2</t>
  </si>
  <si>
    <t>SBASPRRECYVBRF-KQYNXXCUSA-O</t>
  </si>
  <si>
    <t>C11H18N5O11P2+</t>
  </si>
  <si>
    <t>5.27_199.0969m/z</t>
  </si>
  <si>
    <t>Cladosporacid E</t>
  </si>
  <si>
    <t>LMFA01050579</t>
  </si>
  <si>
    <t>C(/C=C/C=C/CCCC(O)CO)(=O)O</t>
  </si>
  <si>
    <t>UKEJNPOKFAQIRU-KPMZXABDSA-N</t>
  </si>
  <si>
    <t>9.66_829.4098m/z</t>
  </si>
  <si>
    <t>Fumonisin FP3</t>
  </si>
  <si>
    <t>HMDB0031828</t>
  </si>
  <si>
    <t>182063-60-1</t>
  </si>
  <si>
    <t>CCCCC(C)C(OC(=O)CC(CC(O)=O)C(O)=O)C(CC(C)CC(O)CCCCCCC(O)C(C)[N+]1=CC=CC(O)=C1)OC(=O)CC(CC(O)=O)C(O)=O</t>
  </si>
  <si>
    <t>SJFPAYWMTYRRGT-UHFFFAOYSA-O</t>
  </si>
  <si>
    <t>C39H62NO15+</t>
  </si>
  <si>
    <t>1.19_377.0296m/z</t>
  </si>
  <si>
    <t>4-Aminophenyl phosphate</t>
  </si>
  <si>
    <t>HMDB0249961</t>
  </si>
  <si>
    <t>NC1=CC=C(OP(O)(O)=O)C=C1</t>
  </si>
  <si>
    <t>FXZCCINCKDATPA-UHFFFAOYSA-N</t>
  </si>
  <si>
    <t>C6H8NO4P</t>
  </si>
  <si>
    <t>6.89_283.0515m/z</t>
  </si>
  <si>
    <t>Amidephrine</t>
  </si>
  <si>
    <t>HMDB0248297</t>
  </si>
  <si>
    <t>CNCC(O)C1=CC(NS(C)(=O)=O)=CC=C1</t>
  </si>
  <si>
    <t>ZHOWHMXTJFZXRB-UHFFFAOYSA-N</t>
  </si>
  <si>
    <t>Sulfanilides</t>
  </si>
  <si>
    <t>C10H16N2O3S</t>
  </si>
  <si>
    <t>7.20_446.1234n</t>
  </si>
  <si>
    <t>3,6,7-Trihydroxy-4'-methoxyflavone 7-rhamnoside</t>
  </si>
  <si>
    <t>LMPK12111586</t>
  </si>
  <si>
    <t>C1C=C(OC)C=CC=1C1=C(O)C(=O)C2C=C(O)C(O[C@H]3[C@H](O)[C@H](O)[C@@H](O)[C@H](C)O3)=CC=2O1</t>
  </si>
  <si>
    <t>ICWFJNMXUFYHBV-GNLYSGSASA-N</t>
  </si>
  <si>
    <t>C22H22O10</t>
  </si>
  <si>
    <t>12.07_489.3588m/z</t>
  </si>
  <si>
    <t>6-O-Methylcerevisterol</t>
  </si>
  <si>
    <t>LMST01031232</t>
  </si>
  <si>
    <t>C1[C@]2(C)[C@@]3([H])CC[C@]4([C@@]([H])(CC[C@]4([H])[C@]([H])(C)/C=C/[C@H](C)C(C)C)C3=C[C@@H](OC)[C@@]2(O)C[C@@H](O)C1)C</t>
  </si>
  <si>
    <t>GQVCGTRDXSDAHC-KNXFMRPFSA-N</t>
  </si>
  <si>
    <t>C29H48O3</t>
  </si>
  <si>
    <t>4.60_675.2484m/z</t>
  </si>
  <si>
    <t>Cimoxatone</t>
  </si>
  <si>
    <t>HMDB0250256</t>
  </si>
  <si>
    <t>COCC1CN(C(=O)O1)C1=CC=C(OCC2=CC=CC(=C2)C#N)C=C1</t>
  </si>
  <si>
    <t>MVVJINIUPYKZHR-UHFFFAOYSA-N</t>
  </si>
  <si>
    <t>C19H18N2O4</t>
  </si>
  <si>
    <t>3.84_705.3381m/z</t>
  </si>
  <si>
    <t>Delartine</t>
  </si>
  <si>
    <t>HMDB0250976</t>
  </si>
  <si>
    <t>CCN1CC2(COC(=O)C3=CC=CC=C3N3C(=O)CC(C)C3=O)CCC(OC)C34C5CC6C(OC)C5C(O)(CC6OC)C(O)(C(OC)C23)C14</t>
  </si>
  <si>
    <t>XLTANAWLDBYGFU-UHFFFAOYSA-N</t>
  </si>
  <si>
    <t>C37H50N2O10</t>
  </si>
  <si>
    <t>12.49_551.3323m/z</t>
  </si>
  <si>
    <t>ibho#24</t>
  </si>
  <si>
    <t>LMFA13040145</t>
  </si>
  <si>
    <t>O(CCCCCCCCCCC[C@@H](O)CC(=O)O)[C@H]1[C@H](O)C[C@@H](OC(=O)C2=CNC3C=CC=CC=32)[C@H](C)O1</t>
  </si>
  <si>
    <t>LXVPUPUKAHIWDZ-STNUDKPESA-N</t>
  </si>
  <si>
    <t>C29H43NO8</t>
  </si>
  <si>
    <t>4.79_460.3132m/z</t>
  </si>
  <si>
    <t>Gentamicin</t>
  </si>
  <si>
    <t>HMDB0014936</t>
  </si>
  <si>
    <t>C00505</t>
  </si>
  <si>
    <t>1403-66-3</t>
  </si>
  <si>
    <t>CNC(C)C1CCC(N)C(OC2C(N)CC(N)C(OC3OCC(C)(O)C(NC)C3O)C2O)O1</t>
  </si>
  <si>
    <t>CEAZRRDELHUEMR-UHFFFAOYSA-N</t>
  </si>
  <si>
    <t>9.87_654.4555m/z</t>
  </si>
  <si>
    <t>Fasciculic acid B</t>
  </si>
  <si>
    <t>HMDB0036438</t>
  </si>
  <si>
    <t>126882-55-1</t>
  </si>
  <si>
    <t>CC(CCC(O)C(C)(C)O)C1CCC2(C)C3=C(CC(O)C12C)C1(C)CC(OC(=O)CC(C)(O)CC(O)=O)C(O)C(C)(C)C1CC3</t>
  </si>
  <si>
    <t>SWRXIGFQDQTNKP-UHFFFAOYSA-N</t>
  </si>
  <si>
    <t>C36H60O9</t>
  </si>
  <si>
    <t>10.83_438.2988m/z</t>
  </si>
  <si>
    <t>PE(P-16:0/0:0)</t>
  </si>
  <si>
    <t>HMDB0011152</t>
  </si>
  <si>
    <t>LMGP02070001</t>
  </si>
  <si>
    <t>174062-72-7</t>
  </si>
  <si>
    <t>[C@](COP(=O)(O)OCCN)([H])(O)CO/C=C\CCCCCCCCCCCCCC</t>
  </si>
  <si>
    <t>QYTPGOPLNFESQC-NUTQULCTSA-N</t>
  </si>
  <si>
    <t>C21H44NO6P</t>
  </si>
  <si>
    <t>5.23_522.2027m/z</t>
  </si>
  <si>
    <t>3-(N-Maleimidopropionyl)biocytin</t>
  </si>
  <si>
    <t>HMDB0245790</t>
  </si>
  <si>
    <t>OC(=O)C(CCCCNC(=O)CCCCC1SCC2NC(=O)NC12)NC(=O)CCN1C(=O)C=CC1=O</t>
  </si>
  <si>
    <t>KWNGAZCDAJSVLC-UHFFFAOYSA-N</t>
  </si>
  <si>
    <t>C23H33N5O7S</t>
  </si>
  <si>
    <t>10.04_540.3310m/z</t>
  </si>
  <si>
    <t>PE(19:0/0:0)</t>
  </si>
  <si>
    <t>LMGP02050028</t>
  </si>
  <si>
    <t>[C@](COP(=O)(O)OCCN)([H])(O)COC(CCCCCCCCCCCCCCCCCC)=O</t>
  </si>
  <si>
    <t>GEWUBFCXNZWHKH-HSZRJFAPSA-N</t>
  </si>
  <si>
    <t>7.76_359.3281m/z</t>
  </si>
  <si>
    <t>14Z-Tricosene-10-one</t>
  </si>
  <si>
    <t>LMFA12000221</t>
  </si>
  <si>
    <t>CCCCCCCCCC(=O)CCC/C=C\CCCCCCCC</t>
  </si>
  <si>
    <t>VITDFIZSABMQTK-PEZBUJJGSA-N</t>
  </si>
  <si>
    <t>C23H44O</t>
  </si>
  <si>
    <t>5.35_419.2264m/z</t>
  </si>
  <si>
    <t>Risdiplam</t>
  </si>
  <si>
    <t>HMDB0304853</t>
  </si>
  <si>
    <t>CC1=CN2N=C(C=C(C)C2=N1)C1=CC(=O)N2C=C(C=CC2=N1)N1CCNC2(CC2)C1</t>
  </si>
  <si>
    <t>ASKZRYGFUPSJPN-UHFFFAOYSA-N</t>
  </si>
  <si>
    <t>C22H23N7O</t>
  </si>
  <si>
    <t>1.13_324.1677m/z</t>
  </si>
  <si>
    <t>Tezampanel</t>
  </si>
  <si>
    <t>HMDB0258944</t>
  </si>
  <si>
    <t>OC(=O)C1CC2CC(CCC3=NNN=N3)CCC2CN1</t>
  </si>
  <si>
    <t>ZXFRFPSZAKNPQQ-UHFFFAOYSA-N</t>
  </si>
  <si>
    <t>364</t>
  </si>
  <si>
    <t>L-(+)-Gulose</t>
  </si>
  <si>
    <t>HMDB0012326</t>
  </si>
  <si>
    <t>C15923</t>
  </si>
  <si>
    <t>hsa00053</t>
  </si>
  <si>
    <t>Ascorbate and aldarate metabolism</t>
  </si>
  <si>
    <t>6027-89-0</t>
  </si>
  <si>
    <t>OC[C@@H]1OC(O)[C@@H](O)[C@@H](O)[C@@H]1O</t>
  </si>
  <si>
    <t>WQZGKKKJIJFFOK-QRXFDPRISA-N</t>
  </si>
  <si>
    <t>10.23_587.4110m/z</t>
  </si>
  <si>
    <t>5-Hydroxycapsanthin</t>
  </si>
  <si>
    <t>HMDB0302461</t>
  </si>
  <si>
    <t>O[C@H]1CC(C)(C)[C@@](C)(C1)C(=O)\C=C\C(\C)=C\C=C\C(\C)=C\C=C\C=C(/C)\C=C\C=C(/C)\C=C\C1=C(O)C[C@@H](O)CC1(C)C</t>
  </si>
  <si>
    <t>NMPHKTPIRWHDQK-GTYKUPBPSA-N</t>
  </si>
  <si>
    <t>C39H54O4</t>
  </si>
  <si>
    <t>6.27_246.1377n</t>
  </si>
  <si>
    <t>Parsalmide</t>
  </si>
  <si>
    <t>HMDB0256132</t>
  </si>
  <si>
    <t>CCCCNC(=O)C1=C(OCC#C)C=CC(N)=C1</t>
  </si>
  <si>
    <t>DXHYQIJBUNRPJT-UHFFFAOYSA-N</t>
  </si>
  <si>
    <t>5.37_322.2599m/z</t>
  </si>
  <si>
    <t>Aleuritic acid</t>
  </si>
  <si>
    <t>LMFA01050101</t>
  </si>
  <si>
    <t>C(O)(CCCCCCO)C(O)CCCCCCCC(=O)O</t>
  </si>
  <si>
    <t>MEHUJCGAYMDLEL-UHFFFAOYSA-N</t>
  </si>
  <si>
    <t>C16H32O5</t>
  </si>
  <si>
    <t>8.57_751.2428m/z</t>
  </si>
  <si>
    <t>Leonoside A</t>
  </si>
  <si>
    <t>HMDB0040342</t>
  </si>
  <si>
    <t>140147-66-6</t>
  </si>
  <si>
    <t>COC1=C(O)C=CC(\C=C/C(=O)OC2C(CO)OC(OCCC3=CC(O)=C(O)C=C3)C(O)C2OC2OC(C)C(O)C(O)C2OC2OCC(O)C(O)C2O)=C1</t>
  </si>
  <si>
    <t>ZPJGTPAAEPXBQT-YVMONPNESA-N</t>
  </si>
  <si>
    <t>C35H46O19</t>
  </si>
  <si>
    <t>12.10_250.2303n</t>
  </si>
  <si>
    <t>8,11-Heptadecadienal</t>
  </si>
  <si>
    <t>HMDB0041334</t>
  </si>
  <si>
    <t>56797-42-3</t>
  </si>
  <si>
    <t>CCCCC\C=C/C\C=C\CCCCCCC=O</t>
  </si>
  <si>
    <t>JEBIMSVVDVTZIY-IXWMQOLASA-N</t>
  </si>
  <si>
    <t>C17H30O</t>
  </si>
  <si>
    <t>7.84_417.1896m/z</t>
  </si>
  <si>
    <t>Judeol</t>
  </si>
  <si>
    <t>HMDB0034607</t>
  </si>
  <si>
    <t>[H][C@@]12CC(C)(C)C[C@]1([H])[C@@]1(C)C[C@@H](OC(=O)C3=C(O)C(O)=C(O)C=C3C)C1=C(CO)[C@H]2O</t>
  </si>
  <si>
    <t>PTVABGVMGJFKGM-GHEGTYFOSA-N</t>
  </si>
  <si>
    <t>C23H30O7</t>
  </si>
  <si>
    <t>0.74_316.0980m/z</t>
  </si>
  <si>
    <t>2-Amino-5-[[1-(carboxymethylamino)-3-ethylsulfanyl-1-oxopropan-2-yl]amino]-5-oxopentanoic acid</t>
  </si>
  <si>
    <t>HMDB0247855</t>
  </si>
  <si>
    <t>CCSCC(NC(=O)CCC(N)C(O)=O)C(=O)NCC(O)=O</t>
  </si>
  <si>
    <t>HMFDVPSBWOHOAP-UHFFFAOYSA-N</t>
  </si>
  <si>
    <t>C12H21N3O6S</t>
  </si>
  <si>
    <t>4.78_493.2055m/z</t>
  </si>
  <si>
    <t>Phe Pro Trp</t>
  </si>
  <si>
    <t>C1CC(N(C1)C(=O)C(CC2=CC=CC=C2)N)C(=O)NC(CC3=CNC4=CC=CC=C43)C(=O)O</t>
  </si>
  <si>
    <t>BSJCSHIAMSGQGN-BVSLBCMMSA-N</t>
  </si>
  <si>
    <t>C25H28N4O4</t>
  </si>
  <si>
    <t>6.92_547.0943m/z</t>
  </si>
  <si>
    <t>4-Hydroxy-5-(phenyl)-valeric acid-O-sulphate</t>
  </si>
  <si>
    <t>HMDB0059981</t>
  </si>
  <si>
    <t>OC(CCC(=O)OS(O)(=O)=O)CC1=CC=CC=C1</t>
  </si>
  <si>
    <t>ZCVMPBGBUWWKNR-UHFFFAOYSA-N</t>
  </si>
  <si>
    <t>C11H14O6S</t>
  </si>
  <si>
    <t>7.29_213.1127m/z</t>
  </si>
  <si>
    <t>Pantheric Acid C</t>
  </si>
  <si>
    <t>LMFA01170139</t>
  </si>
  <si>
    <t>C(/C=C/CCCCCCC(=O)OC)(=O)O</t>
  </si>
  <si>
    <t>PAZIVHODBVDWOT-SOFGYWHQSA-N</t>
  </si>
  <si>
    <t>11.17_494.3615m/z</t>
  </si>
  <si>
    <t>5-methylnonadecanoylcarnitine</t>
  </si>
  <si>
    <t>HMDB0240906</t>
  </si>
  <si>
    <t>CCCCCCCCCCCCCCC(C)CCCC(=O)OC(CC([O-])=O)C[N+](C)(C)C</t>
  </si>
  <si>
    <t>CQVQEXQVKBCQIR-UHFFFAOYSA-N</t>
  </si>
  <si>
    <t>13.83_508.3788n</t>
  </si>
  <si>
    <t>6beta-acetoxy-24-methylcholestan-3beta,5alpha,22R,24-tetrol</t>
  </si>
  <si>
    <t>LMST01031065</t>
  </si>
  <si>
    <t>C1[C@]2(C)[C@@]3([H])CC[C@]4(C)[C@@]([H])([C@]([H])(C)[C@H](O)CC(O)(C)C(C)C)CC[C@@]4([H])[C@]3([H])C[C@@H](OC(C)=O)[C@@]2(O)C[C@@H](O)C1</t>
  </si>
  <si>
    <t>DSWIQYPNVUWDSX-HRVLZDRUSA-N</t>
  </si>
  <si>
    <t>C30H52O6</t>
  </si>
  <si>
    <t>0.82_182.0403n</t>
  </si>
  <si>
    <t>6-[Ethoxy(mercapto)methylidene]-1-cyclohexa-2,4-dienone</t>
  </si>
  <si>
    <t>HMDB0257850</t>
  </si>
  <si>
    <t>CCOC(=S)C1=CC=CC=C1O</t>
  </si>
  <si>
    <t>GESBUOGNXHGLOA-UHFFFAOYSA-N</t>
  </si>
  <si>
    <t>C9H10O2S</t>
  </si>
  <si>
    <t>0.64_270.9784m/z</t>
  </si>
  <si>
    <t>Dodecafluoropentane</t>
  </si>
  <si>
    <t>HMDB0251565</t>
  </si>
  <si>
    <t>FC(F)(F)C(F)(F)C(F)(F)C(F)(F)C(F)(F)F</t>
  </si>
  <si>
    <t>NJCBUSHGCBERSK-UHFFFAOYSA-N</t>
  </si>
  <si>
    <t>C5F12</t>
  </si>
  <si>
    <t>135</t>
  </si>
  <si>
    <t>2-Amino-2-Methyl-1,3-Propanediol</t>
  </si>
  <si>
    <t>HMDB0244975</t>
  </si>
  <si>
    <t>C11260</t>
  </si>
  <si>
    <t>115-69-5</t>
  </si>
  <si>
    <t>CC(N)(CO)CO</t>
  </si>
  <si>
    <t>UXFQFBNBSPQBJW-UHFFFAOYSA-N</t>
  </si>
  <si>
    <t>C4H11NO2</t>
  </si>
  <si>
    <t>3.78_355.1625m/z</t>
  </si>
  <si>
    <t>2-O-Methyl-L-fucose</t>
  </si>
  <si>
    <t>HMDB0033789</t>
  </si>
  <si>
    <t>1887228-22-9</t>
  </si>
  <si>
    <t>CO[C@@H]1[C@H](O)O[C@@H](C)[C@@H](O)[C@H]1O</t>
  </si>
  <si>
    <t>YLAMTMNJXPWCQN-CXNFULCWSA-N</t>
  </si>
  <si>
    <t>C7H14O5</t>
  </si>
  <si>
    <t>2.06_346.0263m/z</t>
  </si>
  <si>
    <t>2-Hydroxyethyl glucosinolate</t>
  </si>
  <si>
    <t>HMDB0301921</t>
  </si>
  <si>
    <t>OCC\C(=N\OS(=O)(=O)O)S[C@@H]1O[C@H](CO)[C@@H](O)[C@H](O)[C@H]1O</t>
  </si>
  <si>
    <t>RFCSADBEYPEEKD-XLKLPJSCSA-N</t>
  </si>
  <si>
    <t>C9H17NO10S2</t>
  </si>
  <si>
    <t>515</t>
  </si>
  <si>
    <t>Equilenin</t>
  </si>
  <si>
    <t>LMST02010007</t>
  </si>
  <si>
    <t>C14303</t>
  </si>
  <si>
    <t>C1C2C3CC[C@]4(C)C(=O)CC[C@@]4([H])C=3C=CC=2C=C(O)C=1</t>
  </si>
  <si>
    <t>PDRGHUMCVRDZLQ-WMZOPIPTSA-N</t>
  </si>
  <si>
    <t>C18H18O2</t>
  </si>
  <si>
    <t>6.60_503.1881m/z</t>
  </si>
  <si>
    <t>Bufogargarizin A</t>
  </si>
  <si>
    <t>LMST01130064</t>
  </si>
  <si>
    <t>[C@]12(C[C@]3([H])C(=O)C[C@@H](O)CC[C@]3(O)[C@@]1([H])CC[C@]1(C)[C@@]([H])(C3=COC(=O)C=C3)[C@@H](OC(=O)C)[C@H]3O[C@@]132)[H]</t>
  </si>
  <si>
    <t>UKXMUDIZBSVEME-JVDUOENTSA-N</t>
  </si>
  <si>
    <t>Pyrans</t>
  </si>
  <si>
    <t>Pyranones and derivatives</t>
  </si>
  <si>
    <t>C25H30O8</t>
  </si>
  <si>
    <t>2.49_289.1648n</t>
  </si>
  <si>
    <t>Ala Val Thr</t>
  </si>
  <si>
    <t>CC(C)C(C(=O)NC(C(C)O)C(=O)O)NC(=O)C(C)N</t>
  </si>
  <si>
    <t>OMSKGWFGWCQFBD-KZVJFYERSA-N</t>
  </si>
  <si>
    <t>C12H23N3O5</t>
  </si>
  <si>
    <t>3.80_401.1446m/z</t>
  </si>
  <si>
    <t>15-dimethylarsinoyl pentadecanoic acid</t>
  </si>
  <si>
    <t>LMFA00000027</t>
  </si>
  <si>
    <t>C([As](C)(=O)C)CCCCCCCCCCCCCC(=O)O</t>
  </si>
  <si>
    <t>RJOXDLOOIZACDO-UHFFFAOYSA-N</t>
  </si>
  <si>
    <t>C17H35AsO3</t>
  </si>
  <si>
    <t>3.90_265.1557m/z</t>
  </si>
  <si>
    <t>Phenylalanylvaline</t>
  </si>
  <si>
    <t>HMDB0029008</t>
  </si>
  <si>
    <t>3918-90-9</t>
  </si>
  <si>
    <t>CC(C)[C@H](NC(=O)[C@@H](N)CC1=CC=CC=C1)C(O)=O</t>
  </si>
  <si>
    <t>IEHDJWSAXBGJIP-RYUDHWBXSA-N</t>
  </si>
  <si>
    <t>C14H20N2O3</t>
  </si>
  <si>
    <t>6.35_485.1772m/z</t>
  </si>
  <si>
    <t>N-(3-oxo-heptanoyl)-homoserine thiolactone</t>
  </si>
  <si>
    <t>LMFA08020238</t>
  </si>
  <si>
    <t>[C@@H]1(CCSC1=O)NC(=O)CC(=O)CCCC</t>
  </si>
  <si>
    <t>NPRILBGCCQWVLH-VIFPVBQESA-N</t>
  </si>
  <si>
    <t>C11H17NO3S</t>
  </si>
  <si>
    <t>14.67_483.3669m/z</t>
  </si>
  <si>
    <t>Certonardosterol M</t>
  </si>
  <si>
    <t>LMST01031209</t>
  </si>
  <si>
    <t>C1[C@]2(C)[C@@]3([H])CC[C@]4(C)[C@@]([H])([C@]([H])(C)CC[C@@H](C)[C@H](C)CO)C[C@@H](O)[C@@]4([H])[C@]3(O)C[C@H](O)[C@@]2([H])[C@@H](O)[C@@H](O)C1</t>
  </si>
  <si>
    <t>QLEHTNPUVWZOQF-ZNCSQDSCSA-N</t>
  </si>
  <si>
    <t>C28H50O6</t>
  </si>
  <si>
    <t>8.09_288.2907m/z</t>
  </si>
  <si>
    <t>2-methyl-hexadecanoic acid</t>
  </si>
  <si>
    <t>HMDB0245229</t>
  </si>
  <si>
    <t>LMFA01020092</t>
  </si>
  <si>
    <t>27147-71-3</t>
  </si>
  <si>
    <t>C(CCCCCCCCCCCC)CC(C)C(=O)O</t>
  </si>
  <si>
    <t>AXPAUZGVNGEWJD-UHFFFAOYSA-N</t>
  </si>
  <si>
    <t>C17H34O2</t>
  </si>
  <si>
    <t>9.56_446.2762m/z</t>
  </si>
  <si>
    <t>Lotrafiban</t>
  </si>
  <si>
    <t>HMDB0254173</t>
  </si>
  <si>
    <t>CN1CC2=C(NC(CC(O)=O)C1=O)C=CC(=C2)C(=O)N1CCC(CC1)C1CCNCC1</t>
  </si>
  <si>
    <t>PYZOVVQJTLOHDG-UHFFFAOYSA-N</t>
  </si>
  <si>
    <t>C23H32N4O4</t>
  </si>
  <si>
    <t>10.97_267.2114m/z</t>
  </si>
  <si>
    <t>Sinulobatin B</t>
  </si>
  <si>
    <t>LMPR0104410002</t>
  </si>
  <si>
    <t>[C@H]1(C)[C@]2([H])CC([H])[C@@H](C)C3=C2[C@]([H])(C(=C)CC3)[C@@H](/C=C(\C)/C)C1=O</t>
  </si>
  <si>
    <t>CLCADWBFWGLAJS-QGULPLLQSA-N</t>
  </si>
  <si>
    <t>C20H28O</t>
  </si>
  <si>
    <t>9.79_395.3282m/z</t>
  </si>
  <si>
    <t>N-stearoyl glutamine</t>
  </si>
  <si>
    <t>LMFA08020130</t>
  </si>
  <si>
    <t>NC(=O)CC[C@]([H])(NC(CCCCCCCCCCCCCCCCC)=O)C(=O)O</t>
  </si>
  <si>
    <t>TUFYLPJQXJGHQO-FQEVSTJZSA-N</t>
  </si>
  <si>
    <t>C23H44N2O4</t>
  </si>
  <si>
    <t>2.76_372.0673m/z</t>
  </si>
  <si>
    <t>Desacetylcephalothin</t>
  </si>
  <si>
    <t>HMDB0247000</t>
  </si>
  <si>
    <t>OCC1=C(N2C(SC1)C(NC(=O)CC1=CC=CS1)C2=O)C(O)=O</t>
  </si>
  <si>
    <t>HTBAVMIGXROYPQ-UHFFFAOYSA-N</t>
  </si>
  <si>
    <t>C14H14N2O5S2</t>
  </si>
  <si>
    <t>10.21_425.3515n</t>
  </si>
  <si>
    <t>Octadecenoylcarnitine</t>
  </si>
  <si>
    <t>HMDB0094687</t>
  </si>
  <si>
    <t>CCCCCCCCCCCCCCCC=CC(=O)OC(CC([O-])=O)C[N+](C)(C)C</t>
  </si>
  <si>
    <t>YIGBMCKQXUEBKC-UHFFFAOYSA-N</t>
  </si>
  <si>
    <t>C25H47NO4</t>
  </si>
  <si>
    <t>11.33_605.4005n</t>
  </si>
  <si>
    <t>PE(12:0/14:1(9Z))</t>
  </si>
  <si>
    <t>LMGP02010359</t>
  </si>
  <si>
    <t>[C@](COP(=O)(O)OCCN)([H])(OC(CCCCCCC/C=C\CCCC)=O)COC(CCCCCCCCCCC)=O</t>
  </si>
  <si>
    <t>YKTVMHWVXDZXEQ-HQGHLRICSA-N</t>
  </si>
  <si>
    <t>8.80_384.2395m/z</t>
  </si>
  <si>
    <t>Linaprazan</t>
  </si>
  <si>
    <t>HMDB0254096</t>
  </si>
  <si>
    <t>CC1=C(C)N2C=C(C=C(NCC3=C(C)C=CC=C3C)C2=N1)C(=O)NCCO</t>
  </si>
  <si>
    <t>GHVIMBCFLRTFHI-UHFFFAOYSA-N</t>
  </si>
  <si>
    <t>Imidazopyridines</t>
  </si>
  <si>
    <t>C21H26N4O2</t>
  </si>
  <si>
    <t>7.53_503.1882m/z</t>
  </si>
  <si>
    <t>Fluprostenol</t>
  </si>
  <si>
    <t>HMDB0252405</t>
  </si>
  <si>
    <t>OC(COC1=CC=CC(=C1)C(F)(F)F)C=CC1C(O)CC(O)C1CC=CCCCC(O)=O</t>
  </si>
  <si>
    <t>WWSWYXNVCBLWNZ-UHFFFAOYSA-N</t>
  </si>
  <si>
    <t>C23H29F3O6</t>
  </si>
  <si>
    <t>12.44_890.5378m/z</t>
  </si>
  <si>
    <t>PS(20:3(8Z,11Z,14Z)-2OH(5,6)/18:0)</t>
  </si>
  <si>
    <t>HMDB0281361</t>
  </si>
  <si>
    <t>[H][C@@](COC(=O)CCCC(O)C(O)C\C=C/C\C=C/C\C=C/CCCCC)(COP(O)(=O)OC[C@H](N)C(O)=O)OC(=O)CCCCCCCCCCCCCCCCC</t>
  </si>
  <si>
    <t>GTJYTIWUSBNYNX-ONDCIJLISA-N</t>
  </si>
  <si>
    <t>C44H80NO12P</t>
  </si>
  <si>
    <t>4.77_217.1917m/z</t>
  </si>
  <si>
    <t>11-nitro-1-undecene</t>
  </si>
  <si>
    <t>HMDB0062669</t>
  </si>
  <si>
    <t>C=CCCCCCCCCCN(=O)=O</t>
  </si>
  <si>
    <t>QSFROPSPQWQTKU-UHFFFAOYSA-N</t>
  </si>
  <si>
    <t>C11H21NO2</t>
  </si>
  <si>
    <t>10.63_337.1479m/z</t>
  </si>
  <si>
    <t>Agar</t>
  </si>
  <si>
    <t>HMDB0248056</t>
  </si>
  <si>
    <t>COC1C(O)C(CO)OC(OC2C3COC2C(O)C(C)O3)C1O</t>
  </si>
  <si>
    <t>GYYDPBCUIJTIBM-UHFFFAOYSA-N</t>
  </si>
  <si>
    <t>C14H24O9</t>
  </si>
  <si>
    <t>7.34_377.1922m/z</t>
  </si>
  <si>
    <t>MeTRH</t>
  </si>
  <si>
    <t>HMDB0254684</t>
  </si>
  <si>
    <t>CN1C(CCC1=O)C(=O)NC(CC1=CN=CN1)C(=O)N1CCCC1C(N)=O</t>
  </si>
  <si>
    <t>DJLHRAHTTSWYAW-UHFFFAOYSA-N</t>
  </si>
  <si>
    <t>C17H24N6O4</t>
  </si>
  <si>
    <t>8.68_386.2549m/z</t>
  </si>
  <si>
    <t>Tridec-11-enedioylcarnitine</t>
  </si>
  <si>
    <t>HMDB0241321</t>
  </si>
  <si>
    <t>C[N+](C)(C)CC(CC([O-])=O)OC(=O)CCCCCCCCCC=CC(O)=O</t>
  </si>
  <si>
    <t>BJJUBVUJXTZLEF-UHFFFAOYSA-N</t>
  </si>
  <si>
    <t>5.95_397.1869m/z</t>
  </si>
  <si>
    <t>Ethyl 7-epi-12-hydroxyjasmonate glucoside</t>
  </si>
  <si>
    <t>HMDB0036340</t>
  </si>
  <si>
    <t>CCOC(=O)CC1CCC(=O)C1C\C=C\CCOC1OC(CO)C(O)C(O)C1O</t>
  </si>
  <si>
    <t>DALGUVBWVCFIPV-ONEGZZNKSA-N</t>
  </si>
  <si>
    <t>C20H32O9</t>
  </si>
  <si>
    <t>11.21_520.3423m/z</t>
  </si>
  <si>
    <t>1-acyl-PAF</t>
  </si>
  <si>
    <t>HMDB0243815</t>
  </si>
  <si>
    <t>CCCCCCCCCCCCCCCC(=O)OCC(COP([O-])(=O)OCC[N+](C)(C)C)OC(C)=O</t>
  </si>
  <si>
    <t>XPAXRSJGGFVTFM-UHFFFAOYSA-N</t>
  </si>
  <si>
    <t>0.77_226.0117m/z</t>
  </si>
  <si>
    <t>L-Glutamic acid 5-phosphate</t>
  </si>
  <si>
    <t>HMDB0001228</t>
  </si>
  <si>
    <t>C03287</t>
  </si>
  <si>
    <t>13254-53-0</t>
  </si>
  <si>
    <t>N[C@@H](CCC(=O)OP(O)(O)=O)C(O)=O</t>
  </si>
  <si>
    <t>PJRXVIJAERNUIP-VKHMYHEASA-N</t>
  </si>
  <si>
    <t>C5H10NO7P</t>
  </si>
  <si>
    <t>4.09_529.3000m/z</t>
  </si>
  <si>
    <t>MGMG(18:4;O/0:0)</t>
  </si>
  <si>
    <t>LMGL04010016</t>
  </si>
  <si>
    <t>C(O[C@H]1[C@H](O)[C@@H](O)[C@@H](O)[C@@H](CO)O1)[C@]([H])(O)COC(CCCCCCC[C@H]1C=CC(=O)[C@H]1C/C=C\CC)=O</t>
  </si>
  <si>
    <t>AABZWWBXDMYGEW-VHLFVCRRSA-N</t>
  </si>
  <si>
    <t>C27H44O10</t>
  </si>
  <si>
    <t>10.82_838.5606m/z</t>
  </si>
  <si>
    <t>PE-NMe2(16:0/22:5(7Z,10Z,13Z,16Z,19Z))</t>
  </si>
  <si>
    <t>HMDB0113958</t>
  </si>
  <si>
    <t>[H]C(COC(=O)CCCCCCCCCCCCCCC)(COP(O)(=O)OCCN(C)C)OC(=O)CCCCC\C=C/C\C=C/C\C=C/C\C=C/C\C=C/CC</t>
  </si>
  <si>
    <t>NWMHWQQZOHCWEX-ZOMLDSRTSA-N</t>
  </si>
  <si>
    <t>10.55_504.3097m/z</t>
  </si>
  <si>
    <t>3-Icosa-8,11,14-trienoylcarnitine</t>
  </si>
  <si>
    <t>HMDB0241587</t>
  </si>
  <si>
    <t>CCCCCC=CCC=CCC=CCCCCC(O)CC(=O)OC(CC([O-])=O)C[N+](C)(C)C</t>
  </si>
  <si>
    <t>NZWCFXIJNYQERZ-UHFFFAOYSA-N</t>
  </si>
  <si>
    <t>C27H47NO5</t>
  </si>
  <si>
    <t>8.37_359.1090m/z</t>
  </si>
  <si>
    <t>12-Tridecene-4,6,8,10-tetraynal</t>
  </si>
  <si>
    <t>HMDB0038915</t>
  </si>
  <si>
    <t>28789-45-9</t>
  </si>
  <si>
    <t>C=CC#CC#CC#CC#CCCC=O</t>
  </si>
  <si>
    <t>OFXBKGMSUXMAMD-UHFFFAOYSA-N</t>
  </si>
  <si>
    <t>C13H8O</t>
  </si>
  <si>
    <t>12.71_401.2908m/z</t>
  </si>
  <si>
    <t>MG(0:0/18:1(9Z)/0:0)</t>
  </si>
  <si>
    <t>HMDB0011537</t>
  </si>
  <si>
    <t>LMGL01010024</t>
  </si>
  <si>
    <t>3443-84-3</t>
  </si>
  <si>
    <t>OC[C@]([H])(OC(CCCCCCC/C=C\CCCCCCCC)=O)CO</t>
  </si>
  <si>
    <t>UPWGQKDVAURUGE-KTKRTIGZSA-N</t>
  </si>
  <si>
    <t>C21H40O4</t>
  </si>
  <si>
    <t>3.48_280.1303m/z</t>
  </si>
  <si>
    <t>Asparaginyl-Phenylalanine</t>
  </si>
  <si>
    <t>HMDB0028738</t>
  </si>
  <si>
    <t>NC(CC(N)=O)C(=O)NC(CC1=CC=CC=C1)C(O)=O</t>
  </si>
  <si>
    <t>OMSMPWHEGLNQOD-UHFFFAOYSA-N</t>
  </si>
  <si>
    <t>C13H17N3O4</t>
  </si>
  <si>
    <t>4.67_921.4339m/z</t>
  </si>
  <si>
    <t>1,2,3-(8R,9R-epoxy-octadec-13Z,15Z-dien-4,6-diynoyl)-sn-glycerol</t>
  </si>
  <si>
    <t>LMGL03016885</t>
  </si>
  <si>
    <t>C(OC(=O)CCC#CC#C[C@H]1O[C@@H]1CCC/C=C\C=C/CC)[C@](OC(=O)CCC#CC#C[C@@H]1[C@H](O1)CCC/C=C\C=C/CC)([H])OC(CCC#CC#C[C@@H]1[C@@H](CCC/C=C\C=C/CC)O1)=O</t>
  </si>
  <si>
    <t>KJSHRCSZEYAXHH-CGIRRWDMSA-N</t>
  </si>
  <si>
    <t>C56H66O9</t>
  </si>
  <si>
    <t>6.33_472.3499m/z</t>
  </si>
  <si>
    <t>Ile-Ile-Ile-Pro</t>
  </si>
  <si>
    <t>HMDB0304800</t>
  </si>
  <si>
    <t>CCC(C)C(N)C(O)=NC(C(C)CC)C(O)=NC(C(C)CC)C(=O)N1CCCC1C(O)=O</t>
  </si>
  <si>
    <t>OCEZPDBEDULORM-UHFFFAOYSA-N</t>
  </si>
  <si>
    <t>C23H42N4O5</t>
  </si>
  <si>
    <t>4.98_214.0661m/z</t>
  </si>
  <si>
    <t>1-Isothiocyanato-4-phenylbutane</t>
  </si>
  <si>
    <t>HMDB0038443</t>
  </si>
  <si>
    <t>61499-10-3</t>
  </si>
  <si>
    <t>S=C=NCCCCC1=CC=CC=C1</t>
  </si>
  <si>
    <t>CCBQOLFAKKAMLD-UHFFFAOYSA-N</t>
  </si>
  <si>
    <t>C11H13NS</t>
  </si>
  <si>
    <t>8.57_609.2516m/z</t>
  </si>
  <si>
    <t>L-Prolinamide, N-methyl-L-alanyl-(2S)-2-cyclohexylglycyl-N-(2-(2-oxazolyl)-4-phenyl-5-thiazolyl)-</t>
  </si>
  <si>
    <t>HMDB0250586</t>
  </si>
  <si>
    <t>CNC(C)C(=O)NC(C1CCCCC1)C(=O)N1CCCC1C(=O)NC1=C(N=C(S1)C1=NC=CO1)C1=CC=CC=C1</t>
  </si>
  <si>
    <t>HSHPBORBOJIXSQ-UHFFFAOYSA-N</t>
  </si>
  <si>
    <t>C29H36N6O4S</t>
  </si>
  <si>
    <t>3.89_564.2790m/z</t>
  </si>
  <si>
    <t>ibho#22</t>
  </si>
  <si>
    <t>LMFA13040144</t>
  </si>
  <si>
    <t>O(CCCCCCCCCC[C@@H](O)CC(O)=O)[C@H]1[C@H](O)C[C@@H](OC(=O)C2=CNC3C=CC=CC=32)[C@H](C)O1</t>
  </si>
  <si>
    <t>FUIIPNLIVZGYJM-RHENGWIESA-N</t>
  </si>
  <si>
    <t>C28H41NO8</t>
  </si>
  <si>
    <t>344</t>
  </si>
  <si>
    <t>Dehydroascorbic Acid</t>
  </si>
  <si>
    <t>HMDB0001264</t>
  </si>
  <si>
    <t>C05422</t>
  </si>
  <si>
    <t>hsa00053,hsa00480</t>
  </si>
  <si>
    <t>Ascorbate and aldarate metabolism|Glutathione metabolism</t>
  </si>
  <si>
    <t>490-83-5</t>
  </si>
  <si>
    <t>[H][C@@]1(OC(=O)C(=O)C1=O)[C@@H](O)CO</t>
  </si>
  <si>
    <t>SBJKKFFYIZUCET-JLAZNSOCSA-N</t>
  </si>
  <si>
    <t>C6H6O6</t>
  </si>
  <si>
    <t>7.38_417.1896m/z</t>
  </si>
  <si>
    <t>Talipexole</t>
  </si>
  <si>
    <t>HMDB0258691</t>
  </si>
  <si>
    <t>C=CCN1CCC2=C(CC1)SC(=N)N2</t>
  </si>
  <si>
    <t>DHSSDEDRBUKTQY-UHFFFAOYSA-N</t>
  </si>
  <si>
    <t>Azepines</t>
  </si>
  <si>
    <t>C10H15N3S</t>
  </si>
  <si>
    <t>5.36_641.1058m/z</t>
  </si>
  <si>
    <t>8-Anilino-5-(4-anilino-5-sulfonaphthalen-1-yl)naphthalene-1-sulfonic acid</t>
  </si>
  <si>
    <t>HMDB0247160</t>
  </si>
  <si>
    <t>OS(=O)(=O)C1=CC=CC2=C(C=CC(NC3=CC=CC=C3)=C12)C1=C2C=CC=C(C2=C(NC2=CC=CC=C2)C=C1)S(O)(=O)=O</t>
  </si>
  <si>
    <t>SBYQPEKNMQWJQO-UHFFFAOYSA-N</t>
  </si>
  <si>
    <t>Sulfonated stilbenes</t>
  </si>
  <si>
    <t>C32H24N2O6S2</t>
  </si>
  <si>
    <t>475</t>
  </si>
  <si>
    <t>Eicosadienoic Acid</t>
  </si>
  <si>
    <t>HMDB0005060</t>
  </si>
  <si>
    <t>LMFA01031043</t>
  </si>
  <si>
    <t>C16525</t>
  </si>
  <si>
    <t>5598-38-9</t>
  </si>
  <si>
    <t>C(CCCCCCCCC/C=C\C/C=C\CCCCC)(=O)O</t>
  </si>
  <si>
    <t>XSXIVVZCUAHUJO-HZJYTTRNSA-N</t>
  </si>
  <si>
    <t>C20H36O2</t>
  </si>
  <si>
    <t>6.33_549.1755m/z</t>
  </si>
  <si>
    <t>Metronidazole benzoate</t>
  </si>
  <si>
    <t>HMDB0254688</t>
  </si>
  <si>
    <t>CC1=NC=C(N1CCOC(=O)C1=CC=CC=C1)[N+]([O-])=O</t>
  </si>
  <si>
    <t>CUUCCLJJOWSASK-UHFFFAOYSA-N</t>
  </si>
  <si>
    <t>C13H13N3O4</t>
  </si>
  <si>
    <t>7.32_301.0110m/z</t>
  </si>
  <si>
    <t>METHYL 7-DESHYDROXYPYROGALLIN-4-CARBOXYLATE</t>
  </si>
  <si>
    <t>77-41-8</t>
  </si>
  <si>
    <t>COC(=O)C1=CC(=O)C(=C2C(=C1)C=CC(=C2O)O)O</t>
  </si>
  <si>
    <t>DQWQITFUWFBXON-UHFFFAOYSA-N</t>
  </si>
  <si>
    <t>Hydrocarbon derivatives</t>
  </si>
  <si>
    <t>Tropones</t>
  </si>
  <si>
    <t>Tropolones</t>
  </si>
  <si>
    <t>C13H10O6</t>
  </si>
  <si>
    <t>2.68_559.1536m/z</t>
  </si>
  <si>
    <t>GHB-Gluc</t>
  </si>
  <si>
    <t>HMDB0252712</t>
  </si>
  <si>
    <t>OC1C(O)C(OCCCC(O)=O)OC(C1O)C(O)=O</t>
  </si>
  <si>
    <t>XHBNGIHZUGLAMW-UHFFFAOYSA-N</t>
  </si>
  <si>
    <t>Saccharolipids</t>
  </si>
  <si>
    <t>C10H16O9</t>
  </si>
  <si>
    <t>9.44_601.2952m/z</t>
  </si>
  <si>
    <t>Dronedarone</t>
  </si>
  <si>
    <t>HMDB0251621</t>
  </si>
  <si>
    <t>R-HSA-397014,R-HSA-5576890,R-HSA-5576891</t>
  </si>
  <si>
    <t>Muscle contraction|Phase 3 - rapid repolarisation|Cardiac conduction</t>
  </si>
  <si>
    <t>CCCCN(CCCC)CCCOC1=CC=C(C=C1)C(=O)C1=C(CCCC)OC2=C1C=C(NS(C)(=O)=O)C=C2</t>
  </si>
  <si>
    <t>ZQTNQVWKHCQYLQ-UHFFFAOYSA-N</t>
  </si>
  <si>
    <t>C31H44N2O5S</t>
  </si>
  <si>
    <t>10.21_405.3313m/z</t>
  </si>
  <si>
    <t>Deoxyspergualin</t>
  </si>
  <si>
    <t>HMDB0243514</t>
  </si>
  <si>
    <t>NCCCNCCCCNC(=O)C(O)NC(=O)CCCCCCNC(N)=N</t>
  </si>
  <si>
    <t>IDINUJSAMVOPCM-UHFFFAOYSA-N</t>
  </si>
  <si>
    <t>C17H37N7O3</t>
  </si>
  <si>
    <t>11.41_294.2436m/z</t>
  </si>
  <si>
    <t>8E,10E-Octadecadien-12-ynoic acid</t>
  </si>
  <si>
    <t>LMFA01031051</t>
  </si>
  <si>
    <t>C(CCCCCC/C=C/C=C/C#CCCCCC)(=O)O</t>
  </si>
  <si>
    <t>DTTMENSUKKOUKN-BNFZFUHLSA-N</t>
  </si>
  <si>
    <t>4.00_252.1581n</t>
  </si>
  <si>
    <t>Hexazinone</t>
  </si>
  <si>
    <t>HMDB0253153</t>
  </si>
  <si>
    <t>C10926</t>
  </si>
  <si>
    <t>51235-04-2</t>
  </si>
  <si>
    <t>CN(C)C1=NC(=O)N(C2CCCCC2)C(=O)N1C</t>
  </si>
  <si>
    <t>CAWXEEYDBZRFPE-UHFFFAOYSA-N</t>
  </si>
  <si>
    <t>C12H20N4O2</t>
  </si>
  <si>
    <t>1.19_211.0338m/z</t>
  </si>
  <si>
    <t>2-(Sec-butyldisulfanyl)-1h-imidazole</t>
  </si>
  <si>
    <t>HMDB0244601</t>
  </si>
  <si>
    <t>CCC(C)SSC1=NC=CN1</t>
  </si>
  <si>
    <t>BPBPYQWMFCTCNG-UHFFFAOYSA-N</t>
  </si>
  <si>
    <t>C7H12N2S2</t>
  </si>
  <si>
    <t>4.02_213.0763m/z</t>
  </si>
  <si>
    <t>Hexahydro-4-methylphthalic anhydride</t>
  </si>
  <si>
    <t>HMDB0244846</t>
  </si>
  <si>
    <t>CC1CCC2C(C1)C(=O)OC2=O</t>
  </si>
  <si>
    <t>FKBMTBAXDISZGN-UHFFFAOYSA-N</t>
  </si>
  <si>
    <t>Isobenzofurans</t>
  </si>
  <si>
    <t>C9H12O3</t>
  </si>
  <si>
    <t>8.40_349.2017m/z</t>
  </si>
  <si>
    <t>9K,12,13-diHODE</t>
  </si>
  <si>
    <t>LMFA02000058</t>
  </si>
  <si>
    <t>C(CCCCCCCC(=O)/C=C/C(O)C(O)C/C=C\CC)(=O)O</t>
  </si>
  <si>
    <t>PLHUEKVESBJIRC-MKZMYESJSA-N</t>
  </si>
  <si>
    <t>C18H30O5</t>
  </si>
  <si>
    <t>4.86_239.0919m/z</t>
  </si>
  <si>
    <t>3-carboxy-4-methyl-5-propyl-2-furanpropanoic acid</t>
  </si>
  <si>
    <t>HMDB0061112</t>
  </si>
  <si>
    <t>LMFA01150004</t>
  </si>
  <si>
    <t>86879-39-2</t>
  </si>
  <si>
    <t>O1C(CCC)=C(C)C(C(O)=O)=C1CCC(O)=O</t>
  </si>
  <si>
    <t>WMCQWXZMVIETAO-UHFFFAOYSA-N</t>
  </si>
  <si>
    <t>8.43_597.3127m/z</t>
  </si>
  <si>
    <t>Arbekacin</t>
  </si>
  <si>
    <t>HMDB0015642</t>
  </si>
  <si>
    <t>51025-85-5</t>
  </si>
  <si>
    <t>NCC[C@H](O)C(=O)N[C@@H]1C[C@H](N)[C@@H](O[C@H]2O[C@H](CN)CC[C@H]2N)[C@H](O)[C@H]1O[C@H]1O[C@H](CO)[C@@H](O)[C@H](N)[C@H]1O</t>
  </si>
  <si>
    <t>MKKYBZZTJQGVCD-XTCKQBCOSA-N</t>
  </si>
  <si>
    <t>C22H44N6O10</t>
  </si>
  <si>
    <t>4.11_391.1793n</t>
  </si>
  <si>
    <t>Glu Leu Met</t>
  </si>
  <si>
    <t>CC(C)CC(C(=O)NC(CCSC)C(=O)O)NC(=O)C(CCC(=O)O)N</t>
  </si>
  <si>
    <t>DWBBKNPKDHXIAC-SRVKXCTJSA-N</t>
  </si>
  <si>
    <t>C16H29N3O6S</t>
  </si>
  <si>
    <t>4.53_186.1128m/z</t>
  </si>
  <si>
    <t>7-oxo-8-amino-nonanoic acid</t>
  </si>
  <si>
    <t>LMFA01060168</t>
  </si>
  <si>
    <t>C(CCCCC(=O)O)C(=O)C(N)C</t>
  </si>
  <si>
    <t>GUAHPAJOXVYFON-UHFFFAOYSA-N</t>
  </si>
  <si>
    <t>8.13_417.2266m/z</t>
  </si>
  <si>
    <t>Cilazapril</t>
  </si>
  <si>
    <t>HMDB0015433</t>
  </si>
  <si>
    <t>C11693</t>
  </si>
  <si>
    <t>92077-78-6</t>
  </si>
  <si>
    <t>CCOC(=O)[C@H](CCC1=CC=CC=C1)N[C@H]1CCCN2CCC[C@H](N2C1=O)C(O)=O</t>
  </si>
  <si>
    <t>HHHKFGXWKKUNCY-FHWLQOOXSA-N</t>
  </si>
  <si>
    <t>C22H31N3O5</t>
  </si>
  <si>
    <t>7.02_532.2684m/z</t>
  </si>
  <si>
    <t>PE(0:0/20:4;O2)</t>
  </si>
  <si>
    <t>LMGP20020057</t>
  </si>
  <si>
    <t>C(O[C@@]([H])(COP(O)(=O)OCCN)CO)(CCC/C=C\C/C=C\C=C\[C@@H](OO)C/C=C\CCCCC)=O</t>
  </si>
  <si>
    <t>ZGEKQEOYROFIFO-CNZMPJCYSA-N</t>
  </si>
  <si>
    <t>C25H44NO9P</t>
  </si>
  <si>
    <t>12.49_269.2121m/z</t>
  </si>
  <si>
    <t>7-Ethyl-4-tridecen-6-one</t>
  </si>
  <si>
    <t>LMFA12000261</t>
  </si>
  <si>
    <t>CCC/C=C/C(=O)C(CC)CCCCCC</t>
  </si>
  <si>
    <t>AXQLANMOWATYMV-JLHYYAGUSA-N</t>
  </si>
  <si>
    <t>C15H28O</t>
  </si>
  <si>
    <t>3.73_444.2471m/z</t>
  </si>
  <si>
    <t>CerP(d18:1/2:0)</t>
  </si>
  <si>
    <t>LMSP02050014</t>
  </si>
  <si>
    <t>C(/[C@H]([C@H](COP(O)(O)=O)NC(=O)C)O)=C\CCCCCCCCCCCCC</t>
  </si>
  <si>
    <t>HWPZKJVGDYNEAW-QUDYQQOWSA-N</t>
  </si>
  <si>
    <t>C20H40NO6P</t>
  </si>
  <si>
    <t>12.67_738.5085m/z</t>
  </si>
  <si>
    <t>PE(18:2(9Z,11E)+=O(13)/18:0)</t>
  </si>
  <si>
    <t>HMDB0261143</t>
  </si>
  <si>
    <t>[H][C@@](COC(=O)CCCCCCC\C=C/C=C/C(=O)CCCCC)(COP(O)(=O)OCCN)OC(=O)CCCCCCCCCCCCCCCCC</t>
  </si>
  <si>
    <t>CUOISTKLPHEYDR-JZKZAUOGSA-N</t>
  </si>
  <si>
    <t>C41H76NO9P</t>
  </si>
  <si>
    <t>307</t>
  </si>
  <si>
    <t>Glycerol 3-Phosphate</t>
  </si>
  <si>
    <t>HMDB0000126</t>
  </si>
  <si>
    <t>C00093</t>
  </si>
  <si>
    <t>hsa00561,hsa00564,hsa02010,hsa05231</t>
  </si>
  <si>
    <t>Glycerolipid metabolism|Glycerophospholipid metabolism|ABC transporters|Choline metabolism in cancer</t>
  </si>
  <si>
    <t>57-03-4</t>
  </si>
  <si>
    <t>OC[C@@H](O)COP(O)(O)=O</t>
  </si>
  <si>
    <t>AWUCVROLDVIAJX-GSVOUGTGSA-N</t>
  </si>
  <si>
    <t>C3H9O6P</t>
  </si>
  <si>
    <t>6.56_608.3205m/z</t>
  </si>
  <si>
    <t>OKHdiA-PA</t>
  </si>
  <si>
    <t>LMGP20070026</t>
  </si>
  <si>
    <t>[C@](COP(=O)(O)O)([H])(OC(CCC(=O)/C=C/C(=O)O)=O)COC(CCCCCCC/C=C\CCCCCCCC)=O</t>
  </si>
  <si>
    <t>FRDPXMCLHQEKDB-PRKCMIBCSA-N</t>
  </si>
  <si>
    <t>C28H47O11P</t>
  </si>
  <si>
    <t>13.47_226.9943m/z</t>
  </si>
  <si>
    <t>urea citrate</t>
  </si>
  <si>
    <t>HMDB0259715</t>
  </si>
  <si>
    <t>OC12CC(=O)ON(OC1=O)C(=O)NOC(=O)C2</t>
  </si>
  <si>
    <t>DZIYQKGGZRPROI-UHFFFAOYSA-N</t>
  </si>
  <si>
    <t>C7H6N2O8</t>
  </si>
  <si>
    <t>4.44_503.3860m/z</t>
  </si>
  <si>
    <t>Deoxycholyllysine</t>
  </si>
  <si>
    <t>HMDB0242422</t>
  </si>
  <si>
    <t>CC(CCC(=O)NC(CCCCN)C(O)=O)C1CCC2C3CCC4CC(O)CCC4(C)C3CC(O)C12C</t>
  </si>
  <si>
    <t>NQGPNQJTMGFHLB-UHFFFAOYSA-N</t>
  </si>
  <si>
    <t>C30H52N2O5</t>
  </si>
  <si>
    <t>6.87_410.2552m/z</t>
  </si>
  <si>
    <t>PAC-1</t>
  </si>
  <si>
    <t>315183-21-2</t>
  </si>
  <si>
    <t>C=CCC1=C(C(=CC=C1)C=NNC(=O)CN2CCN(CC2)CC3=CC=CC=C3)O</t>
  </si>
  <si>
    <t>YQNRVGJCPCNMKT-LFVJCYFKSA-N</t>
  </si>
  <si>
    <t>C23H28N4O2</t>
  </si>
  <si>
    <t>4.77_172.1336m/z</t>
  </si>
  <si>
    <t>8-nonynoic acid</t>
  </si>
  <si>
    <t>LMFA01030509</t>
  </si>
  <si>
    <t>C(CCCCCCC#C)(=O)O</t>
  </si>
  <si>
    <t>NLRIJHGYFNZMGB-UHFFFAOYSA-N</t>
  </si>
  <si>
    <t>C9H14O2</t>
  </si>
  <si>
    <t>4.46_358.2228n</t>
  </si>
  <si>
    <t>Asn Leu Ile</t>
  </si>
  <si>
    <t>CCC(C)C(C(=O)O)NC(=O)C(CC(C)C)NC(=O)C(CC(=O)N)N</t>
  </si>
  <si>
    <t>BZWRLDPIWKOVKB-ZPFDUUQYSA-N</t>
  </si>
  <si>
    <t>C16H30N4O5</t>
  </si>
  <si>
    <t>12.56_894.5852m/z</t>
  </si>
  <si>
    <t>PC(22:6(4Z,7Z,10Z,12E,16Z,19Z)-OH(14)/18:0)</t>
  </si>
  <si>
    <t>HMDB0286288</t>
  </si>
  <si>
    <t>[H][C@@](COC(=O)CC\C=C/C\C=C/C\C=C/C=C/C(O)C\C=C/C\C=C/CC)(COP([O-])(=O)OCC[N+](C)(C)C)OC(=O)CCCCCCCCCCCCCCCCC</t>
  </si>
  <si>
    <t>HEWMYYLGKPCBAP-IRBVGILASA-N</t>
  </si>
  <si>
    <t>C48H84NO9P</t>
  </si>
  <si>
    <t>4.38_242.1275n</t>
  </si>
  <si>
    <t>3'-Hydroxyamobarbital</t>
  </si>
  <si>
    <t>HMDB0246097</t>
  </si>
  <si>
    <t>1421-07-4</t>
  </si>
  <si>
    <t>CCC1(CCC(C)(C)O)C(=O)NC(=O)NC1=O</t>
  </si>
  <si>
    <t>PUVZPWLDMBLALZ-UHFFFAOYSA-N</t>
  </si>
  <si>
    <t>C11H18N2O4</t>
  </si>
  <si>
    <t>4.71_202.1079m/z</t>
  </si>
  <si>
    <t>N-Lactoylleucine</t>
  </si>
  <si>
    <t>HMDB0062176</t>
  </si>
  <si>
    <t>210769-82-7</t>
  </si>
  <si>
    <t>CC(C)C[C@H](NC(=O)[C@H](C)O)C(O)=O</t>
  </si>
  <si>
    <t>BUMIGZVUJKNXCO-BQBZGAKWSA-N</t>
  </si>
  <si>
    <t>C9H17NO4</t>
  </si>
  <si>
    <t>5.52_607.2376m/z</t>
  </si>
  <si>
    <t>Lificiguat</t>
  </si>
  <si>
    <t>HMDB0259948</t>
  </si>
  <si>
    <t>R-HSA-109582,R-HSA-392154,R-HSA-397014,R-HSA-418346,R-HSA-445355</t>
  </si>
  <si>
    <t>Hemostasis|Nitric oxide stimulates guanylate cyclase|Muscle contraction|Platelet homeostasis|Smooth Muscle Contraction</t>
  </si>
  <si>
    <t>170632-47-0</t>
  </si>
  <si>
    <t>OCC1=CC=C(O1)C1=NN(CC2=CC=CC=C2)C2=CC=CC=C12</t>
  </si>
  <si>
    <t>OQQVFCKUDYMWGV-UHFFFAOYSA-N</t>
  </si>
  <si>
    <t>Benzopyrazoles</t>
  </si>
  <si>
    <t>Indazoles</t>
  </si>
  <si>
    <t>C19H16N2O2</t>
  </si>
  <si>
    <t>6.11_397.1789m/z</t>
  </si>
  <si>
    <t>(R)-3-((2-(2-(4-Methylpiperidin-1-yl)ethyl)pyrrolidin-1-yl)sulfonyl)phenol</t>
  </si>
  <si>
    <t>HMDB0245575</t>
  </si>
  <si>
    <t>CC1CCN(CCC2CCCN2S(=O)(=O)C2=CC=CC(O)=C2)CC1</t>
  </si>
  <si>
    <t>HWKROQUZSKPIKQ-UHFFFAOYSA-N</t>
  </si>
  <si>
    <t>C18H28N2O3S</t>
  </si>
  <si>
    <t>4.98_183.0655m/z</t>
  </si>
  <si>
    <t>Genipic acid</t>
  </si>
  <si>
    <t>HMDB0036072</t>
  </si>
  <si>
    <t>6902-76-7</t>
  </si>
  <si>
    <t>OC1OCC2=C1C(CC(O)=O)CC2</t>
  </si>
  <si>
    <t>KWBASGHXHPTPGU-UHFFFAOYSA-N</t>
  </si>
  <si>
    <t>C9H12O4</t>
  </si>
  <si>
    <t>324</t>
  </si>
  <si>
    <t>Hypoxanthine</t>
  </si>
  <si>
    <t>HMDB0000157</t>
  </si>
  <si>
    <t>C00262</t>
  </si>
  <si>
    <t>R-HSA-110331,R-HSA-1430728,R-HSA-15869,R-HSA-1643685,R-HSA-382551,R-HSA-425397,R-HSA-425407,R-HSA-5668914,R-HSA-73884,R-HSA-73894,R-HSA-73927,R-HSA-73929,R-HSA-74217,R-HSA-74259,R-HSA-83936,R-HSA-8956319,R-HSA-8956321,R-HSA-9734207,R-HSA-9734281,R-HSA-9735804</t>
  </si>
  <si>
    <t>Cleavage of the damaged purine|Metabolism|Metabolism of nucleotides|Disease|Transport of small molecules|Transport of vitamins, nucleosides, and related molecules|SLC-mediated transmembrane transport|Diseases of metabolism|Base Excision Repair|DNA Repair|Depurination|Base-Excision Repair, AP Site Formation|Purine salvage|Purine catabolism|Transport of nucleosides and free purine and pyrimidine bases across the plasma membrane|Nucleotide catabolism|Nucleotide salvage|Nucleotide salvage defects|Defective HPRT1 disrupts guanine and hypoxanthine salvage|Diseases of nucleotide metabolism</t>
  </si>
  <si>
    <t>68-94-0</t>
  </si>
  <si>
    <t>OC1=NC=NC2=C1NC=N2</t>
  </si>
  <si>
    <t>FDGQSTZJBFJUBT-UHFFFAOYSA-N</t>
  </si>
  <si>
    <t>8.81_369.2285m/z</t>
  </si>
  <si>
    <t>Raspailyne A1</t>
  </si>
  <si>
    <t>LMGL01030007</t>
  </si>
  <si>
    <t>OC[C@]([H])(O)CO/C=C\C#C/C=C\CCCCCCCCCCO</t>
  </si>
  <si>
    <t>PWEKCZHKMCHXSQ-MKWQSKJTSA-N</t>
  </si>
  <si>
    <t>C19H32O4</t>
  </si>
  <si>
    <t>5.29_495.1019m/z</t>
  </si>
  <si>
    <t>Nitrefazole</t>
  </si>
  <si>
    <t>HMDB0255633</t>
  </si>
  <si>
    <t>CC1=NC(=CN1C1=CC=C(C=C1)N(=O)=O)N(=O)=O</t>
  </si>
  <si>
    <t>NMTBSNPBIGRZBL-UHFFFAOYSA-N</t>
  </si>
  <si>
    <t>C10H8N4O4</t>
  </si>
  <si>
    <t>10.74_550.3519m/z</t>
  </si>
  <si>
    <t>CerP(d18:1/8:0)</t>
  </si>
  <si>
    <t>LMSP02050012</t>
  </si>
  <si>
    <t>158983-53-0</t>
  </si>
  <si>
    <t>[C@](COP(=O)(O)O)([H])(NC(CCCCCCC)=O)[C@]([H])(O)/C=C/CCCCCCCCCCCCC</t>
  </si>
  <si>
    <t>VSSNYUXSRXINIP-WRBRXSDHSA-N</t>
  </si>
  <si>
    <t>C26H52NO6P</t>
  </si>
  <si>
    <t>5.06_391.0524m/z</t>
  </si>
  <si>
    <t>4-iodo-SAHA</t>
  </si>
  <si>
    <t>1219807-87-0</t>
  </si>
  <si>
    <t>C1=CC(=CC=C1NC(=O)CCCCCCC(=O)NO)I</t>
  </si>
  <si>
    <t>BYVHZKAHBXINPL-UHFFFAOYSA-N</t>
  </si>
  <si>
    <t>C14H19IN2O3</t>
  </si>
  <si>
    <t>14.71_408.3698m/z</t>
  </si>
  <si>
    <t>Arachidonoylcholine</t>
  </si>
  <si>
    <t>HMDB0240583</t>
  </si>
  <si>
    <t>57718-75-9</t>
  </si>
  <si>
    <t>CCCCC\C=C/C\C=C/C\C=C/C\C=C/CCCC(=O)OCC[N+](C)(C)C</t>
  </si>
  <si>
    <t>NJSSWIYQGNCVTH-SNPVRQPZSA-N</t>
  </si>
  <si>
    <t>C25H44NO2+</t>
  </si>
  <si>
    <t>8.66_463.1778m/z</t>
  </si>
  <si>
    <t>Bis(diaminomethylideneamino) butanedioate</t>
  </si>
  <si>
    <t>HMDB0257572</t>
  </si>
  <si>
    <t>NC(N)=NOC(=O)CCC(=O)ON=C(N)N</t>
  </si>
  <si>
    <t>PRLSONGPOVSENM-UHFFFAOYSA-N</t>
  </si>
  <si>
    <t>C6H12N6O4</t>
  </si>
  <si>
    <t>5.23_463.2554m/z</t>
  </si>
  <si>
    <t>1,2-dibutyrin</t>
  </si>
  <si>
    <t>HMDB0304007</t>
  </si>
  <si>
    <t>CCCC(=O)OCC(CO)OC(=O)CCC</t>
  </si>
  <si>
    <t>AWHAUPZHZYUHOM-UHFFFAOYSA-N</t>
  </si>
  <si>
    <t>C11H20O5</t>
  </si>
  <si>
    <t>2.55_340.1415m/z</t>
  </si>
  <si>
    <t>His Phe Gly</t>
  </si>
  <si>
    <t>C1=CC=C(C=C1)CC(C(=O)NCC(=O)O)NC(=O)C(CC2=CN=CN2)N</t>
  </si>
  <si>
    <t>BSVLMPMIXPQNKC-KBPBESRZSA-N</t>
  </si>
  <si>
    <t>C17H21N5O4</t>
  </si>
  <si>
    <t>7.00_412.2819m/z</t>
  </si>
  <si>
    <t>Sphingofungin A</t>
  </si>
  <si>
    <t>LMSP01080061</t>
  </si>
  <si>
    <t>C([C@@H](NC(N)=N)[C@@H](O)[C@H](O)[C@@H](O)/C=C/CCCCCC[C@H](O)CCCCCC)(=O)O</t>
  </si>
  <si>
    <t>FFZVMOYYSHXZHW-MXSQXUFFSA-N</t>
  </si>
  <si>
    <t>C21H41N3O6</t>
  </si>
  <si>
    <t>8.89_419.2052m/z</t>
  </si>
  <si>
    <t>Linusic acid</t>
  </si>
  <si>
    <t>LMFA01050535</t>
  </si>
  <si>
    <t>C(CCCCCCCC(O)C(O)CC(O)C(O)CC(O)C(O)CC)(=O)O</t>
  </si>
  <si>
    <t>HCPSZQRUACPWRI-UHFFFAOYSA-N</t>
  </si>
  <si>
    <t>C18H36O8</t>
  </si>
  <si>
    <t>11.36_595.2895m/z</t>
  </si>
  <si>
    <t>PHOHA-PA</t>
  </si>
  <si>
    <t>LMGP20070009</t>
  </si>
  <si>
    <t>[C@](COP(=O)(O)O)([H])(OC(CCC(O)/C=C/C(=O)[H])=O)COC(CCCCCCCCCCCCCCC)=O</t>
  </si>
  <si>
    <t>TVYCSESYZMYYMY-RRKCGBBISA-N</t>
  </si>
  <si>
    <t>6.60_347.0144m/z</t>
  </si>
  <si>
    <t>9-(6-Sulfanylidene-3H-purin-9-yl)-3H-purine-6-thione</t>
  </si>
  <si>
    <t>HMDB0257704</t>
  </si>
  <si>
    <t>S=C1N=CNC2=C1N=CN2N1C=NC2=C1NC=NC2=S</t>
  </si>
  <si>
    <t>JQOXUQIJWYPMOP-UHFFFAOYSA-N</t>
  </si>
  <si>
    <t>C10H6N8S2</t>
  </si>
  <si>
    <t>4.73_324.1565m/z</t>
  </si>
  <si>
    <t>3-Acetoxyscirpene-4,15-diol</t>
  </si>
  <si>
    <t>HMDB0034576</t>
  </si>
  <si>
    <t>70402-13-0</t>
  </si>
  <si>
    <t>CC(=O)OC1C(O)C2(C)C3(CO3)C1OC1C=C(C)CCC21CO</t>
  </si>
  <si>
    <t>NFFRTZSZVQIMDJ-UHFFFAOYSA-N</t>
  </si>
  <si>
    <t>4.67_187.0063m/z</t>
  </si>
  <si>
    <t>o-Cresol sulfate</t>
  </si>
  <si>
    <t>HMDB0240655</t>
  </si>
  <si>
    <t>3233-56-5</t>
  </si>
  <si>
    <t>CC1=C(OS(O)(=O)=O)C=CC=C1</t>
  </si>
  <si>
    <t>CYGSXDXRHXMAOV-UHFFFAOYSA-N</t>
  </si>
  <si>
    <t>C7H8O4S</t>
  </si>
  <si>
    <t>5.29_391.1378m/z</t>
  </si>
  <si>
    <t>Hydroxytyrosol Acetate</t>
  </si>
  <si>
    <t>HMDB0253298</t>
  </si>
  <si>
    <t>CC(=O)OCCC1=CC(O)=C(O)C=C1</t>
  </si>
  <si>
    <t>FGJGLFPNIZXRLV-UHFFFAOYSA-N</t>
  </si>
  <si>
    <t>Tyrosols and derivatives</t>
  </si>
  <si>
    <t>C10H12O4</t>
  </si>
  <si>
    <t>4.89_418.1723m/z</t>
  </si>
  <si>
    <t>3-Pyridinemethanamine, 5-(3-(4,6-difluoro-1H-benzimidazol-2-yl)-1H-indazol-5-yl)-N-ethyl-4-methyl-</t>
  </si>
  <si>
    <t>HMDB0248052</t>
  </si>
  <si>
    <t>CCNCC1=CN=CC(=C1C)C1=CC=C2NN=C(C3=NC4=C(F)C=C(F)C=C4N3)C2=C1</t>
  </si>
  <si>
    <t>MEKASOQEXYKAKM-UHFFFAOYSA-N</t>
  </si>
  <si>
    <t>C23H20F2N6</t>
  </si>
  <si>
    <t>2.20_397.0694m/z</t>
  </si>
  <si>
    <t>Griseofulvin</t>
  </si>
  <si>
    <t>HMDB0014544</t>
  </si>
  <si>
    <t>LMPK13060001</t>
  </si>
  <si>
    <t>C06686</t>
  </si>
  <si>
    <t>126-07-8</t>
  </si>
  <si>
    <t>[C@]12([C@H](C)CC(=O)C=C1OC)OC1=C(C(OC)=CC(OC)=C1Cl)C2=O</t>
  </si>
  <si>
    <t>DDUHZTYCFQRHIY-RBHXEPJQSA-N</t>
  </si>
  <si>
    <t>C17H17ClO6</t>
  </si>
  <si>
    <t>0.74_233.1502m/z</t>
  </si>
  <si>
    <t>Spermic acid 2</t>
  </si>
  <si>
    <t>HMDB0013075</t>
  </si>
  <si>
    <t>14209-33-7</t>
  </si>
  <si>
    <t>OC(=O)CCNCCCCNCCC(O)=O</t>
  </si>
  <si>
    <t>DGMOQCHIPOPXEK-UHFFFAOYSA-N</t>
  </si>
  <si>
    <t>7.58_371.2441m/z</t>
  </si>
  <si>
    <t>3-oxo capric acid</t>
  </si>
  <si>
    <t>HMDB0010724</t>
  </si>
  <si>
    <t>LMFA01060028</t>
  </si>
  <si>
    <t>C(CCCCC)CC(=O)CC(=O)O</t>
  </si>
  <si>
    <t>YXTHWTPUTHTODU-UHFFFAOYSA-N</t>
  </si>
  <si>
    <t>4.67_426.0358m/z</t>
  </si>
  <si>
    <t>hydroxytyrosol acetate sulphate</t>
  </si>
  <si>
    <t>HMDB0253299</t>
  </si>
  <si>
    <t>CC(=O)OOS(=O)(=O)OOC(=O)COC(=O)C(N)CC1=C(O)C(O)=C(O)C=C1</t>
  </si>
  <si>
    <t>JLMHVOFXVNOVCX-UHFFFAOYSA-N</t>
  </si>
  <si>
    <t>C13H15NO13S</t>
  </si>
  <si>
    <t>15.11_645.4561m/z</t>
  </si>
  <si>
    <t>Calcium octadecanoate</t>
  </si>
  <si>
    <t>HMDB0303352</t>
  </si>
  <si>
    <t>[Ca++].CCCCCCCCCCCCCCCCCC([O-])=O.CCCCCCCCCCCCCCCCCC([O-])=O</t>
  </si>
  <si>
    <t>CJZGTCYPCWQAJB-UHFFFAOYSA-L</t>
  </si>
  <si>
    <t>C36H70CaO4</t>
  </si>
  <si>
    <t>10.74_301.2172m/z</t>
  </si>
  <si>
    <t>15-Hydroxy-5,8,11,13-eicosatetraenoic acid</t>
  </si>
  <si>
    <t>HMDB0244669</t>
  </si>
  <si>
    <t>83603-31-0</t>
  </si>
  <si>
    <t>CCCCCC(O)C=CC=CCC=CCC=CCCCC(O)=O</t>
  </si>
  <si>
    <t>JSFATNQSLKRBCI-UHFFFAOYSA-N</t>
  </si>
  <si>
    <t>6.08_375.3232m/z</t>
  </si>
  <si>
    <t>N-palmitoyl threonine</t>
  </si>
  <si>
    <t>LMFA08020107</t>
  </si>
  <si>
    <t>C[C@@H](O)[C@]([H])(NC(CCCCCCCCCCCCCCC)=O)C(=O)O</t>
  </si>
  <si>
    <t>JOIXCEREMHWULC-MJGOQNOKSA-N</t>
  </si>
  <si>
    <t>C20H39NO4</t>
  </si>
  <si>
    <t>14.14_324.2369m/z</t>
  </si>
  <si>
    <t>14-Fluoro-6-thiaheptadecanoic acid</t>
  </si>
  <si>
    <t>HMDB0244582</t>
  </si>
  <si>
    <t>CCCC(F)CCCCCCCSCCCCC(O)=O</t>
  </si>
  <si>
    <t>WZMTZBLNUCAEPM-UHFFFAOYSA-N</t>
  </si>
  <si>
    <t>C16H31FO2S</t>
  </si>
  <si>
    <t>0.74_229.1070n</t>
  </si>
  <si>
    <t>Asparaginyl-Proline</t>
  </si>
  <si>
    <t>HMDB0028739</t>
  </si>
  <si>
    <t>NC(CC(N)=O)C(=O)N1CCCC1C(O)=O</t>
  </si>
  <si>
    <t>GADKFYNESXNRLC-UHFFFAOYSA-N</t>
  </si>
  <si>
    <t>C9H15N3O4</t>
  </si>
  <si>
    <t>0.74_235.1196m/z</t>
  </si>
  <si>
    <t>Histidinyl-Proline</t>
  </si>
  <si>
    <t>HMDB0304781</t>
  </si>
  <si>
    <t>NC(CC1=CN=CN1)C(=O)N1CCCC1C(O)=O</t>
  </si>
  <si>
    <t>LNCFUHAPNTYMJB-UHFFFAOYSA-N</t>
  </si>
  <si>
    <t>C11H16N4O3</t>
  </si>
  <si>
    <t>6.25_309.1015m/z</t>
  </si>
  <si>
    <t>Dibutyl sulfosuccinate</t>
  </si>
  <si>
    <t>HMDB0242124</t>
  </si>
  <si>
    <t>CCCCOC(=O)CC(C(=O)OCCCC)S(O)(=O)=O</t>
  </si>
  <si>
    <t>YPDHMBTYUUZFOA-UHFFFAOYSA-N</t>
  </si>
  <si>
    <t>C12H22O7S</t>
  </si>
  <si>
    <t>7.15_452.1364m/z</t>
  </si>
  <si>
    <t>gamma-L-Glutamyl-gamma-L-glutamyl-L-methionine</t>
  </si>
  <si>
    <t>HMDB0038674</t>
  </si>
  <si>
    <t>41515-84-8</t>
  </si>
  <si>
    <t>CSCCC(NC(=O)CCC(NC(=O)CCC(N)C(O)=O)C(O)=O)C(O)=O</t>
  </si>
  <si>
    <t>OGZNUDJBIAOLAA-UHFFFAOYSA-N</t>
  </si>
  <si>
    <t>C15H25N3O8S</t>
  </si>
  <si>
    <t>11.17_642.3629m/z</t>
  </si>
  <si>
    <t>Am-LPE(18:0/0:0)</t>
  </si>
  <si>
    <t>LMGP21050001</t>
  </si>
  <si>
    <t>[C@](COP(=O)(O)OCCNC[C@@]1(O)OC[C@@H](O)[C@@H](O)[C@@H]1O)([H])(O)COC(CCCCCCCCCCCCCCCCC)=O</t>
  </si>
  <si>
    <t>CSDPYUQTNPMMNY-PMCIJNRMSA-N</t>
  </si>
  <si>
    <t>C29H58NO12P</t>
  </si>
  <si>
    <t>5.29_432.1512m/z</t>
  </si>
  <si>
    <t>Benzyladenine 3-O-beta-D-glucoside</t>
  </si>
  <si>
    <t>HMDB0302642</t>
  </si>
  <si>
    <t>OC[C@H]1O[C@H]([C@H](O)[C@@H](O)[C@@H]1O)N1C=NC2=C(NCC3=CC=CC=C3)N=CN=C12</t>
  </si>
  <si>
    <t>KRUUBWXADMDQSI-BWOYXGKQSA-N</t>
  </si>
  <si>
    <t>C18H21N5O5</t>
  </si>
  <si>
    <t>9.58_369.1835m/z</t>
  </si>
  <si>
    <t>8,12-dihydroxy-11-chloro-5Z,9Z,14Z,17Z-eicosatetraenoic acid</t>
  </si>
  <si>
    <t>LMFA01090066</t>
  </si>
  <si>
    <t>C(CCC/C=C\CC(O)/C=C\C(Cl)C(O)C/C=C\C/C=C\CC)(=O)O</t>
  </si>
  <si>
    <t>HJEQDKXCQTVINQ-SVPNRNRPSA-N</t>
  </si>
  <si>
    <t>C20H31ClO4</t>
  </si>
  <si>
    <t>8.56_459.0136m/z</t>
  </si>
  <si>
    <t>2-Imidazolidinone, 4-hydroxy-1-(5-nitro-2-thiazolyl)-</t>
  </si>
  <si>
    <t>HMDB0246460</t>
  </si>
  <si>
    <t>OC1CN(C(=O)N1)C1=NC=C(S1)[N+]([O-])=O</t>
  </si>
  <si>
    <t>NMJKHHQCDHSEIJ-UHFFFAOYSA-N</t>
  </si>
  <si>
    <t>Thiazoles</t>
  </si>
  <si>
    <t>C6H6N4O4S</t>
  </si>
  <si>
    <t>11.33_580.3626m/z</t>
  </si>
  <si>
    <t>POB-PC</t>
  </si>
  <si>
    <t>LMGP20010021</t>
  </si>
  <si>
    <t>[C@](COP(=O)([O-])OCC[N+](C)(C)C)([H])(OC(CCC(=O)[H])=O)COC(CCCCCCCCCCCCCCC)=O</t>
  </si>
  <si>
    <t>BHSGUPRVLFLKQP-AREMUKBSSA-N</t>
  </si>
  <si>
    <t>0.76_205.0348m/z</t>
  </si>
  <si>
    <t>2-(2-Oxopropanoyloxy)propanoic acid</t>
  </si>
  <si>
    <t>HMDB0258108</t>
  </si>
  <si>
    <t>CC(OC(=O)C(C)=O)C(O)=O</t>
  </si>
  <si>
    <t>OGSBZWITKXVLIV-UHFFFAOYSA-N</t>
  </si>
  <si>
    <t>C6H8O5</t>
  </si>
  <si>
    <t>8.78_351.1386m/z</t>
  </si>
  <si>
    <t>Lomefloxacin</t>
  </si>
  <si>
    <t>HMDB0015113</t>
  </si>
  <si>
    <t>C07078</t>
  </si>
  <si>
    <t>98079-51-7</t>
  </si>
  <si>
    <t>CCN1C=C(C(O)=O)C(=O)C2=CC(F)=C(N3CCNC(C)C3)C(F)=C12</t>
  </si>
  <si>
    <t>ZEKZLJVOYLTDKK-UHFFFAOYSA-N</t>
  </si>
  <si>
    <t>C17H19F2N3O3</t>
  </si>
  <si>
    <t>1.93_186.0515m/z</t>
  </si>
  <si>
    <t>N-(2-Hydroxyethyl)-morpholine N-oxide</t>
  </si>
  <si>
    <t>HMDB0061157</t>
  </si>
  <si>
    <t>OCCON1CCOCC1</t>
  </si>
  <si>
    <t>WTPGFRPRHSDKNE-UHFFFAOYSA-N</t>
  </si>
  <si>
    <t>Oxazinanes</t>
  </si>
  <si>
    <t>Morpholines</t>
  </si>
  <si>
    <t>13.49_540.4392n</t>
  </si>
  <si>
    <t>TG(8:0/8:0/a-13:0)[rac]</t>
  </si>
  <si>
    <t>HMDB0071246</t>
  </si>
  <si>
    <t>[H][C@](COC(=O)CCCCCCC)(COC(=O)CCCCCCCCC(C)CC)OC(=O)CCCCCCC</t>
  </si>
  <si>
    <t>HCDORBWZWOHWNG-XIJSCUBXSA-N</t>
  </si>
  <si>
    <t>Triradylcglycerols</t>
  </si>
  <si>
    <t>C32H60O6</t>
  </si>
  <si>
    <t>0.68_265.2130m/z</t>
  </si>
  <si>
    <t>Methyl tetradecanoate</t>
  </si>
  <si>
    <t>HMDB0030469</t>
  </si>
  <si>
    <t>LMFA07010467</t>
  </si>
  <si>
    <t>124-10-7</t>
  </si>
  <si>
    <t>O=C(CCCCCCCCCCCCC)OC</t>
  </si>
  <si>
    <t>ZAZKJZBWRNNLDS-UHFFFAOYSA-N</t>
  </si>
  <si>
    <t>C15H30O2</t>
  </si>
  <si>
    <t>248</t>
  </si>
  <si>
    <t>D-Phenylalanine</t>
  </si>
  <si>
    <t>HMDB0250791</t>
  </si>
  <si>
    <t>C02057</t>
  </si>
  <si>
    <t>150-30-1</t>
  </si>
  <si>
    <t>NC(CC1=CC=CC=C1)C(O)=O</t>
  </si>
  <si>
    <t>COLNVLDHVKWLRT-UHFFFAOYSA-N</t>
  </si>
  <si>
    <t>C9H11NO2</t>
  </si>
  <si>
    <t>11.05_440.3270m/z</t>
  </si>
  <si>
    <t>Pfaffic acid</t>
  </si>
  <si>
    <t>LMPR0106250001</t>
  </si>
  <si>
    <t>C08965</t>
  </si>
  <si>
    <t>86432-14-6</t>
  </si>
  <si>
    <t>O=C([C@]12CC[C@]3(C)C[C@H]1C1=CC[C@]4([H])[C@@]5(C)CC[C@@H](C(C)(C)[C@]5([H])CC[C@@]4(C)[C@]1(C)C[C@]23[H])O)O</t>
  </si>
  <si>
    <t>AXDBORJNOUXIBC-FZVIGMKHSA-N</t>
  </si>
  <si>
    <t>C29H44O3</t>
  </si>
  <si>
    <t>14.63_381.3376m/z</t>
  </si>
  <si>
    <t>FAHFA(2:0/2-O-22:0)</t>
  </si>
  <si>
    <t>LMFA07090112</t>
  </si>
  <si>
    <t>C(=O)(O)C(OC(C)=O)CCCCCCCCCCCCCCCCCCCC</t>
  </si>
  <si>
    <t>IGAHVVXWCZACAO-UHFFFAOYSA-N</t>
  </si>
  <si>
    <t>10.17_312.2542m/z</t>
  </si>
  <si>
    <t>alpha-kamlolenic acid</t>
  </si>
  <si>
    <t>LMFA02000156</t>
  </si>
  <si>
    <t>C(CCCCCCC(=O)O)/C=C\C=C\C=C\CCCCO</t>
  </si>
  <si>
    <t>YPHQMIRXEFDOQM-ALXQIFAGSA-N</t>
  </si>
  <si>
    <t>13.33_371.1532m/z</t>
  </si>
  <si>
    <t>1-Naphthylurea</t>
  </si>
  <si>
    <t>HMDB0243803</t>
  </si>
  <si>
    <t>NC(=O)NC1=CC=CC2=CC=CC=C12</t>
  </si>
  <si>
    <t>FVSUYFWWFUVGRG-UHFFFAOYSA-N</t>
  </si>
  <si>
    <t>C11H10N2O</t>
  </si>
  <si>
    <t>4.80_249.0743m/z</t>
  </si>
  <si>
    <t>6-Methyl-N-(2H-tetrazol-5-yl)pyridine-2-carboxamide</t>
  </si>
  <si>
    <t>HMDB0247503</t>
  </si>
  <si>
    <t>CC1=CC=CC(=N1)C(=O)NC1=NNN=N1</t>
  </si>
  <si>
    <t>UQHAIRDRZJDIBZ-UHFFFAOYSA-N</t>
  </si>
  <si>
    <t>C8H8N6O</t>
  </si>
  <si>
    <t>11.63_297.2435m/z</t>
  </si>
  <si>
    <t>2,6,8,12-Tetramethyl-2,4-tridecadien-1-ol</t>
  </si>
  <si>
    <t>LMFA05000170</t>
  </si>
  <si>
    <t>OC/C(/C)=C/C=C/C(C)CC(C)CCCC(C)C</t>
  </si>
  <si>
    <t>LLOCFLMXYHTSSX-NRHDHWSESA-N</t>
  </si>
  <si>
    <t>9.65_220.1177m/z</t>
  </si>
  <si>
    <t>3-(1-Hydroxymethyl-1-propenyl)pentanedioic acid</t>
  </si>
  <si>
    <t>HMDB0033092</t>
  </si>
  <si>
    <t>C\C=C(/CO)C(CC(O)=O)CC(O)=O</t>
  </si>
  <si>
    <t>FUMUSIMACHNZQF-QHHAFSJGSA-N</t>
  </si>
  <si>
    <t>C9H14O5</t>
  </si>
  <si>
    <t>460</t>
  </si>
  <si>
    <t>1-(Sn-Glycero-3-Phospho)-1d-Myo-Inositol</t>
  </si>
  <si>
    <t>HMDB0011649</t>
  </si>
  <si>
    <t>C01225</t>
  </si>
  <si>
    <t>C(C(COP(=O)(O)OC1C(C(C(C(C1O)O)O)O)O)O)O</t>
  </si>
  <si>
    <t>BMVUIWJCUQSHLZ-YFZGBAIXSA-N</t>
  </si>
  <si>
    <t>C9H19O11P</t>
  </si>
  <si>
    <t>6.91_415.1143m/z</t>
  </si>
  <si>
    <t>Eleclazine</t>
  </si>
  <si>
    <t>HMDB0251742</t>
  </si>
  <si>
    <t>FC(F)(F)OC1=CC=C(C=C1)C1=CC=C2OCCN(CC3=NC=CC=N3)C(=O)C2=C1</t>
  </si>
  <si>
    <t>YNUAEEJQYHYLMS-UHFFFAOYSA-N</t>
  </si>
  <si>
    <t>Benzoxazepines</t>
  </si>
  <si>
    <t>C21H16F3N3O3</t>
  </si>
  <si>
    <t>0.74_174.0400m/z</t>
  </si>
  <si>
    <t>pyrrolidone carboxylic acid</t>
  </si>
  <si>
    <t>HMDB0257001</t>
  </si>
  <si>
    <t>OC(=O)N1CCCC1=O</t>
  </si>
  <si>
    <t>DQAKJEWZWDQURW-UHFFFAOYSA-N</t>
  </si>
  <si>
    <t>5.55_358.9641m/z</t>
  </si>
  <si>
    <t>Sodium n-alkylbenzenesulfonate</t>
  </si>
  <si>
    <t>HMDB0303289</t>
  </si>
  <si>
    <t>[Na+].[O-]S(=O)(=O)C1=CC=CC=C1</t>
  </si>
  <si>
    <t>MZSDGDXXBZSFTG-UHFFFAOYSA-M</t>
  </si>
  <si>
    <t>C6H5NaO3S</t>
  </si>
  <si>
    <t>0.77_515.2112m/z</t>
  </si>
  <si>
    <t>L-Alaninamide, N-acetyl-L-tyrosyl-L-valyl-N-((1S)-2-carboxy-1-formylethyl)-</t>
  </si>
  <si>
    <t>HMDB0259949</t>
  </si>
  <si>
    <t>CC(C)C(NC(=O)C(CC1=CC=C(O)C=C1)NC(C)=O)C(=O)NC(=O)C(C)NC(CC(O)=O)C=O</t>
  </si>
  <si>
    <t>KQCBPHUOVBKBPQ-UHFFFAOYSA-N</t>
  </si>
  <si>
    <t>C23H32N4O8</t>
  </si>
  <si>
    <t>9.79_476.2791m/z</t>
  </si>
  <si>
    <t>PE(0:0/18:3(6Z,9Z,12Z))</t>
  </si>
  <si>
    <t>HMDB0011478</t>
  </si>
  <si>
    <t>LMGP02050042</t>
  </si>
  <si>
    <t>C(OP(OCCN)(O)=O)[C@]([H])(OC(=O)CCCC/C=C\C/C=C\C/C=C\CCCCC)CO</t>
  </si>
  <si>
    <t>QYXNIRQICOBIAE-CSLWLMPESA-N</t>
  </si>
  <si>
    <t>C23H42NO7P</t>
  </si>
  <si>
    <t>11.43_466.3307m/z</t>
  </si>
  <si>
    <t>PE(P-18:0/0:0)</t>
  </si>
  <si>
    <t>HMDB0240598</t>
  </si>
  <si>
    <t>LMGP02070002</t>
  </si>
  <si>
    <t>174062-73-8</t>
  </si>
  <si>
    <t>[C@](COP(=O)(O)OCCN)([H])(O)CO/C=C\CCCCCCCCCCCCCCCC</t>
  </si>
  <si>
    <t>KACDZDULGKPXHT-HIVNOOBXSA-N</t>
  </si>
  <si>
    <t>9.89_263.1652m/z</t>
  </si>
  <si>
    <t>12-Oxo-2,3-dinor-10,15-phytodienoic acid</t>
  </si>
  <si>
    <t>HMDB0032090</t>
  </si>
  <si>
    <t>197247-23-7</t>
  </si>
  <si>
    <t>CC\C=C\CC1C(CCCCCC(O)=O)C=CC1=O</t>
  </si>
  <si>
    <t>SZVNKXCDJUBPQO-HWKANZROSA-N</t>
  </si>
  <si>
    <t>0.74_327.1020m/z</t>
  </si>
  <si>
    <t>9-(3,4-Dimethoxyphenyl)-2-methoxy-1H-phenalen-1-one</t>
  </si>
  <si>
    <t>HMDB0034692</t>
  </si>
  <si>
    <t>COC1=CC2=CC=CC3=C2C(C1=O)=C(C=C3)C1=CC(OC)=C(OC)C=C1</t>
  </si>
  <si>
    <t>HCRUKGWNADTRCE-UHFFFAOYSA-N</t>
  </si>
  <si>
    <t>Phenylnaphthalenes</t>
  </si>
  <si>
    <t>C22H18O4</t>
  </si>
  <si>
    <t>10.62_407.2423m/z</t>
  </si>
  <si>
    <t>7,8-DiHDPE</t>
  </si>
  <si>
    <t>LMFA04000039</t>
  </si>
  <si>
    <t>C(CC/C=C\CC(O)C(O)C/C=C\C/C=C\C/C=C\C/C=C\CC)(=O)O</t>
  </si>
  <si>
    <t>DPZIOENSPXELQY-MPQBXPHNSA-N</t>
  </si>
  <si>
    <t>0.69_280.1037m/z</t>
  </si>
  <si>
    <t>(2R,3R,4R,5R)-2-Amino-4,5,6-trihydroxy-3-[(2R)-1-oxopropan-2-yl]oxyhexanal</t>
  </si>
  <si>
    <t>HMDB0255309</t>
  </si>
  <si>
    <t>CC(OC(C(N)C=O)C(O)C(O)CO)C=O</t>
  </si>
  <si>
    <t>VSZXMDFPWITUQY-UHFFFAOYSA-N</t>
  </si>
  <si>
    <t>C9H17NO6</t>
  </si>
  <si>
    <t>9.85_393.1581m/z</t>
  </si>
  <si>
    <t>RAUWOLSCINE</t>
  </si>
  <si>
    <t>COC(=O)C1C(CCC2C1CC3C4=C(CCN3C2)C5=CC=CC=C5N4)O</t>
  </si>
  <si>
    <t>BLGXFZZNTVWLAY-DIRVCLHFSA-N</t>
  </si>
  <si>
    <t>C21H26N2O3</t>
  </si>
  <si>
    <t>11.66_435.8109m/z</t>
  </si>
  <si>
    <t>Iodoquinol</t>
  </si>
  <si>
    <t>HMDB0253533</t>
  </si>
  <si>
    <t>C07636</t>
  </si>
  <si>
    <t>83-73-8</t>
  </si>
  <si>
    <t>OC1=C2N=CC=CC2=C(I)C=C1I</t>
  </si>
  <si>
    <t>UXZFQZANDVDGMM-UHFFFAOYSA-N</t>
  </si>
  <si>
    <t>C9H5I2NO</t>
  </si>
  <si>
    <t>0.78_268.1414m/z</t>
  </si>
  <si>
    <t>Voglibosa</t>
  </si>
  <si>
    <t>HMDB0248497</t>
  </si>
  <si>
    <t>OCC(CO)NC1CC(O)(CO)C(O)C(O)C1O</t>
  </si>
  <si>
    <t>FZNCGRZWXLXZSZ-UHFFFAOYSA-N</t>
  </si>
  <si>
    <t>C10H21NO7</t>
  </si>
  <si>
    <t>14.72_577.4841m/z</t>
  </si>
  <si>
    <t>DG(15:0/18:2(9Z,12Z)/0:0)[iso2]</t>
  </si>
  <si>
    <t>HMDB0007074</t>
  </si>
  <si>
    <t>LMGL02010433</t>
  </si>
  <si>
    <t>OC[C@]([H])(OC(CCCCCCC/C=C\C/C=C\CCCCC)=O)COC(CCCCCCCCCCCCCC)=O</t>
  </si>
  <si>
    <t>ALJOQAHFNXMDAB-DLUHYBPJSA-N</t>
  </si>
  <si>
    <t>C36H66O5</t>
  </si>
  <si>
    <t>10.05_320.2360n</t>
  </si>
  <si>
    <t>Isocupressic acid</t>
  </si>
  <si>
    <t>HMDB0253626</t>
  </si>
  <si>
    <t>CC(CCC1C(=C)CCC2C1(C)CCCC2(C)C(O)=O)=CCO</t>
  </si>
  <si>
    <t>DOYKMKZYLAAOGH-UHFFFAOYSA-N</t>
  </si>
  <si>
    <t>7.13_307.1187m/z</t>
  </si>
  <si>
    <t>Mono-(2-ethyl-5-carboxypentyl) phthalate</t>
  </si>
  <si>
    <t>HMDB0094647</t>
  </si>
  <si>
    <t>CCC(CCCC(O)=O)COC(=O)C1=CC=CC=C1C(O)=O</t>
  </si>
  <si>
    <t>XFGRNAPKLGXDGF-UHFFFAOYSA-N</t>
  </si>
  <si>
    <t>C16H20O6</t>
  </si>
  <si>
    <t>8.23_441.1896m/z</t>
  </si>
  <si>
    <t>PG(6:0/6:0)</t>
  </si>
  <si>
    <t>LMGP04010030</t>
  </si>
  <si>
    <t>[H][C@](O)(CO)COP(OC[C@]([H])(OC(CCCCC)=O)COC(CCCCC)=O)(=O)O</t>
  </si>
  <si>
    <t>CNAHGDCINXNHER-JKSUJKDBSA-N</t>
  </si>
  <si>
    <t>C18H35O10P</t>
  </si>
  <si>
    <t>5.24_291.2440m/z</t>
  </si>
  <si>
    <t>1-(1-(3-Methoxyphenyl)cyclohexyl)piperidine</t>
  </si>
  <si>
    <t>HMDB0243769</t>
  </si>
  <si>
    <t>COC1=CC=CC(=C1)C1(CCCCC1)N1CCCCC1</t>
  </si>
  <si>
    <t>BQQSZHHKGPOXLN-UHFFFAOYSA-N</t>
  </si>
  <si>
    <t>C18H27NO</t>
  </si>
  <si>
    <t>10.73_309.2068m/z</t>
  </si>
  <si>
    <t>Dihydrocapsiate</t>
  </si>
  <si>
    <t>HMDB0034781</t>
  </si>
  <si>
    <t>COC1=C(O)C=CC(COC(=O)CCCCCCC(C)C)=C1</t>
  </si>
  <si>
    <t>RBCYRZPENADQGZ-UHFFFAOYSA-N</t>
  </si>
  <si>
    <t>C18H28O4</t>
  </si>
  <si>
    <t>7.13_401.0880m/z</t>
  </si>
  <si>
    <t>5,2',5'-Trihydroxy-3,7,8-trimethoxyflavone 2'-acetate</t>
  </si>
  <si>
    <t>LMPK12113087</t>
  </si>
  <si>
    <t>C1(OC)=C(OC)C2OC(C3C(CC(O)=O)=CC=C(O)C=3)=C(OC)C(=O)C=2C(O)=C1</t>
  </si>
  <si>
    <t>QLXHITSYJNILTR-UHFFFAOYSA-N</t>
  </si>
  <si>
    <t>C20H18O9</t>
  </si>
  <si>
    <t>10.99_467.1584m/z</t>
  </si>
  <si>
    <t>Mavatrep</t>
  </si>
  <si>
    <t>HMDB0254350</t>
  </si>
  <si>
    <t>CC(C)(O)C1=CC=CC=C1C1=CC2=C(C=C1)N=C(N2)C=CC1=CC=C(C=C1)C(F)(F)F</t>
  </si>
  <si>
    <t>ORDHXXHTBUZRCN-UHFFFAOYSA-N</t>
  </si>
  <si>
    <t>C25H21F3N2O</t>
  </si>
  <si>
    <t>394</t>
  </si>
  <si>
    <t>Cis-9-Palmitoleic Acid</t>
  </si>
  <si>
    <t>HMDB0003229</t>
  </si>
  <si>
    <t>LMFA01030056</t>
  </si>
  <si>
    <t>C08362</t>
  </si>
  <si>
    <t>hsa00061</t>
  </si>
  <si>
    <t>Fatty acid biosynthesis</t>
  </si>
  <si>
    <t>373-49-9</t>
  </si>
  <si>
    <t>C(CCCCCCC(=O)O)/C=C\CCCCCC</t>
  </si>
  <si>
    <t>SECPZKHBENQXJG-FPLPWBNLSA-N</t>
  </si>
  <si>
    <t>7.62_313.1195m/z</t>
  </si>
  <si>
    <t>Nafazatrom</t>
  </si>
  <si>
    <t>HMDB0255420</t>
  </si>
  <si>
    <t>CC1=NN(CCOC2=CC3=CC=CC=C3C=C2)C(=O)C1</t>
  </si>
  <si>
    <t>ISBUYSPRIJRBKX-UHFFFAOYSA-N</t>
  </si>
  <si>
    <t>C16H16N2O2</t>
  </si>
  <si>
    <t>4.14_212.0018m/z</t>
  </si>
  <si>
    <t>Indoxyl sulfate</t>
  </si>
  <si>
    <t>HMDB0000682</t>
  </si>
  <si>
    <t>487-94-5</t>
  </si>
  <si>
    <t>OS(=O)(=O)OC1=CNC2=CC=CC=C12</t>
  </si>
  <si>
    <t>BXFFHSIDQOFMLE-UHFFFAOYSA-N</t>
  </si>
  <si>
    <t>C8H7NO4S</t>
  </si>
  <si>
    <t>7.49_615.2682m/z</t>
  </si>
  <si>
    <t>2-(4-Amino-1-isopropyl-1H-pyrazolo[3,4-d]pyrimidin-3-yl)-1H-indol-5-ol</t>
  </si>
  <si>
    <t>HMDB0256714</t>
  </si>
  <si>
    <t>CC(C)N1N=C(C2=CC3=C(N2)C=CC(O)=C3)C2=C(N)N=CN=C12</t>
  </si>
  <si>
    <t>MFAQYJIYDMLAIM-UHFFFAOYSA-N</t>
  </si>
  <si>
    <t>Hydroxyindoles</t>
  </si>
  <si>
    <t>C16H16N6O</t>
  </si>
  <si>
    <t>2.46_346.0893m/z</t>
  </si>
  <si>
    <t>gamma-Glutamyl-beta-(isoxazolin-5-on-2-yl)alanine</t>
  </si>
  <si>
    <t>HMDB0040515</t>
  </si>
  <si>
    <t>142115-24-0</t>
  </si>
  <si>
    <t>NC(CCC(=O)NC(CN1OC(=O)C=C1)C(O)=O)C(O)=O</t>
  </si>
  <si>
    <t>XXZPYJHULCBZPT-UHFFFAOYSA-N</t>
  </si>
  <si>
    <t>C11H15N3O7</t>
  </si>
  <si>
    <t>9.63_422.3276m/z</t>
  </si>
  <si>
    <t>(12Z,15Z)-10-Hydroxyoctadeca-12,15-dienoylcarnitine</t>
  </si>
  <si>
    <t>HMDB0241545</t>
  </si>
  <si>
    <t>CCC=CCC=CCC(O)CCCCCCCCC(=O)OC(CC([O-])=O)C[N+](C)(C)C</t>
  </si>
  <si>
    <t>PRXCKJGVECBOID-UHFFFAOYSA-N</t>
  </si>
  <si>
    <t>C25H45NO5</t>
  </si>
  <si>
    <t>9.68_194.0816m/z</t>
  </si>
  <si>
    <t>4-(1-Hydroxy-2-methoxyethyl)-5-(hydroxymethyl)-2-methylpyridin-3-ol</t>
  </si>
  <si>
    <t>HMDB0260272</t>
  </si>
  <si>
    <t>COCC(O)C1=C(O)C(C)=NC=C1CO</t>
  </si>
  <si>
    <t>NRSDIKQZAPVJOJ-UHFFFAOYSA-N</t>
  </si>
  <si>
    <t>Pyridoxines</t>
  </si>
  <si>
    <t>C10H15NO4</t>
  </si>
  <si>
    <t>3.76_637.2569m/z</t>
  </si>
  <si>
    <t>Norfloxacin</t>
  </si>
  <si>
    <t>HMDB0015192</t>
  </si>
  <si>
    <t>C06687</t>
  </si>
  <si>
    <t>70458-96-7</t>
  </si>
  <si>
    <t>CCN1C=C(C(O)=O)C(=O)C2=CC(F)=C(C=C12)N1CCNCC1</t>
  </si>
  <si>
    <t>OGJPXUAPXNRGGI-UHFFFAOYSA-N</t>
  </si>
  <si>
    <t>C16H18FN3O3</t>
  </si>
  <si>
    <t>14.67_693.4728m/z</t>
  </si>
  <si>
    <t>PA(a-15:0/18:1(12Z)-2OH(9,10))</t>
  </si>
  <si>
    <t>HMDB0266953</t>
  </si>
  <si>
    <t>[H][C@@](COC(=O)CCCCCCCCCCC(C)CC)(COP(O)(O)=O)OC(=O)CCCCCCC[C@H](O)[C@@H](O)C\C=C/CCCCC</t>
  </si>
  <si>
    <t>BCOYRZFEXIDZAJ-SBUSZUJISA-N</t>
  </si>
  <si>
    <t>C36H69O10P</t>
  </si>
  <si>
    <t>388</t>
  </si>
  <si>
    <t>Gluconic Acid</t>
  </si>
  <si>
    <t>HMDB0000625</t>
  </si>
  <si>
    <t>C00257</t>
  </si>
  <si>
    <t>hsa00030</t>
  </si>
  <si>
    <t>Pentose phosphate pathway</t>
  </si>
  <si>
    <t>526-95-4</t>
  </si>
  <si>
    <t>OC[C@@H](O)[C@@H](O)[C@H](O)[C@@H](O)C(O)=O</t>
  </si>
  <si>
    <t>RGHNJXZEOKUKBD-SQOUGZDYSA-N</t>
  </si>
  <si>
    <t>C6H12O7</t>
  </si>
  <si>
    <t>0.68_435.0443m/z</t>
  </si>
  <si>
    <t>2-Methoxy-4-methylphenol sulfate</t>
  </si>
  <si>
    <t>HMDB0304925</t>
  </si>
  <si>
    <t>COC1=C(OS(O)(=O)=O)C=CC(C)=C1</t>
  </si>
  <si>
    <t>LILXPJXZNJTPQZ-UHFFFAOYSA-N</t>
  </si>
  <si>
    <t>C8H10O5S</t>
  </si>
  <si>
    <t>10.78_546.2816m/z</t>
  </si>
  <si>
    <t>Phe-Phe-Pro-Arg</t>
  </si>
  <si>
    <t>HMDB0304807</t>
  </si>
  <si>
    <t>NC(CC1=CC=CC=C1)C(O)=NC(CC1=CC=CC=C1)C(=O)N1CCCC1C(O)=NC(CCCNC(N)=N)C(O)=O</t>
  </si>
  <si>
    <t>ANAFHSULEWIOPZ-UHFFFAOYSA-N</t>
  </si>
  <si>
    <t>C29H39N7O5</t>
  </si>
  <si>
    <t>1.30_86.0608m/z</t>
  </si>
  <si>
    <t>O-Acetylethanolamine</t>
  </si>
  <si>
    <t>HMDB0038394</t>
  </si>
  <si>
    <t>1854-30-4</t>
  </si>
  <si>
    <t>CC(=O)OCCN</t>
  </si>
  <si>
    <t>HBVZRPAKZOLBPL-UHFFFAOYSA-N</t>
  </si>
  <si>
    <t>C4H9NO2</t>
  </si>
  <si>
    <t>9.17_334.2146n</t>
  </si>
  <si>
    <t>Cymatherol C</t>
  </si>
  <si>
    <t>LMFA04000095</t>
  </si>
  <si>
    <t>[C@@H]1([C@@H]2C[C@H]2[C@H](O)CC)C[C@@H]2O[C@@H]2[C@H]1/C=C\C/C=C\CCCC(=O)O</t>
  </si>
  <si>
    <t>PARCOZHRVNQMAR-BENGJLFASA-N</t>
  </si>
  <si>
    <t>5.87_475.2092m/z</t>
  </si>
  <si>
    <t>Dibudipine</t>
  </si>
  <si>
    <t>HMDB0251171</t>
  </si>
  <si>
    <t>CC1=C(C(C2=CC(=CC=C2)[N+]([O-])=O)C(C(=O)OC(C)(C)C)=C(C)N1)C(=O)OC(C)(C)C</t>
  </si>
  <si>
    <t>WLWXEUYUQXEKTI-UHFFFAOYSA-N</t>
  </si>
  <si>
    <t>C23H30N2O6</t>
  </si>
  <si>
    <t>10.47_315.1959m/z</t>
  </si>
  <si>
    <t>4-Oxoisotretinoin</t>
  </si>
  <si>
    <t>71748-58-8</t>
  </si>
  <si>
    <t>CC1=C(C(CCC1=O)(C)C)C=CC(=CC=CC(=CC(=O)O)C)C</t>
  </si>
  <si>
    <t>GGCUJPCCTQNTJF-FAOQNJJDSA-N</t>
  </si>
  <si>
    <t>8.60_480.3006m/z</t>
  </si>
  <si>
    <t>4alpha-carboxy-4beta-methyl-5alpha-cholesta-8,24-dien-3beta-ol</t>
  </si>
  <si>
    <t>HMDB0304191</t>
  </si>
  <si>
    <t>CC(CCC=C(C)C)C1CCC2C3=C(CCC12C)C1(C)CCC(O)C(C)(C1CC3)C([O-])=O</t>
  </si>
  <si>
    <t>MYWAIWDQTCHPTH-UHFFFAOYSA-M</t>
  </si>
  <si>
    <t>C29H45O3-</t>
  </si>
  <si>
    <t>4.26_563.9623m/z</t>
  </si>
  <si>
    <t>Perfluoroundecanoic acid</t>
  </si>
  <si>
    <t>C(=O)(C(C(C(C(C(C(C(C(C(C(F)(F)F)(F)F)(F)F)(F)F)(F)F)(F)F)(F)F)(F)F)(F)F)(F)F)O</t>
  </si>
  <si>
    <t>SIDINRCMMRKXGQ-UHFFFAOYSA-N</t>
  </si>
  <si>
    <t>C11HF21O2</t>
  </si>
  <si>
    <t>14.46_595.4358m/z</t>
  </si>
  <si>
    <t>DG(13:0/20:5(5Z,8Z,11Z,14Z,17Z)/0:0)[iso2]</t>
  </si>
  <si>
    <t>LMGL02010369</t>
  </si>
  <si>
    <t>OC[C@]([H])(OC(CCC/C=C\C/C=C\C/C=C\C/C=C\C/C=C\CC)=O)COC(CCCCCCCCCCCC)=O</t>
  </si>
  <si>
    <t>BBHULGPKYCCBME-AXCVOLLUSA-N</t>
  </si>
  <si>
    <t>C36H60O5</t>
  </si>
  <si>
    <t>8.79_443.2054m/z</t>
  </si>
  <si>
    <t>Beraprost</t>
  </si>
  <si>
    <t>88475-69-8</t>
  </si>
  <si>
    <t>CC#CCC(C)C(C=CC1C(CC2C1C3=CC=CC(=C3O2)CCCC(=O)O)O)O</t>
  </si>
  <si>
    <t>CTPOHARTNNSRSR-OUKQBFOZSA-N</t>
  </si>
  <si>
    <t>6.69_349.1676m/z</t>
  </si>
  <si>
    <t>2-Hydroxyestriol</t>
  </si>
  <si>
    <t>HMDB0245157</t>
  </si>
  <si>
    <t>CC12CCC3C(CCC4=CC(O)=C(O)C=C34)C1CC(O)C2O</t>
  </si>
  <si>
    <t>ZUGCDOZAVASBQT-UHFFFAOYSA-N</t>
  </si>
  <si>
    <t>C18H24O4</t>
  </si>
  <si>
    <t>6.21_376.1880m/z</t>
  </si>
  <si>
    <t>18-Oxocortisol</t>
  </si>
  <si>
    <t>HMDB0000332</t>
  </si>
  <si>
    <t>LMST02030194</t>
  </si>
  <si>
    <t>2410-60-8</t>
  </si>
  <si>
    <t>[C@@]12([H])CCC3=CC(=O)CC[C@]3(C)[C@@]1([H])[C@@H](O)C[C@]1(C=O)[C@](O)(C(=O)CO)CC[C@@]21[H]</t>
  </si>
  <si>
    <t>XUQWWIFROYJHCU-FJNAKSJRSA-N</t>
  </si>
  <si>
    <t>C21H28O6</t>
  </si>
  <si>
    <t>6.19_395.1297m/z</t>
  </si>
  <si>
    <t>Citrusin E</t>
  </si>
  <si>
    <t>HMDB0039234</t>
  </si>
  <si>
    <t>134860-03-0</t>
  </si>
  <si>
    <t>COC(=O)CCC1=CC(OC)=C(OC2OC(CO)C(O)C(O)C2O)C=C1</t>
  </si>
  <si>
    <t>GPJDWVYEUMEYKE-UHFFFAOYSA-N</t>
  </si>
  <si>
    <t>C17H24O9</t>
  </si>
  <si>
    <t>7.02_284.9968m/z</t>
  </si>
  <si>
    <t>Tetramine</t>
  </si>
  <si>
    <t>HMDB0258920</t>
  </si>
  <si>
    <t>O=S1(=O)N2CN3CN1CN(C2)S3(=O)=O</t>
  </si>
  <si>
    <t>AGGKEGLBGGJEBZ-UHFFFAOYSA-N</t>
  </si>
  <si>
    <t>Sulfuric acid diamides</t>
  </si>
  <si>
    <t>C4H8N4O4S2</t>
  </si>
  <si>
    <t>11.82_242.2484m/z</t>
  </si>
  <si>
    <t>(2R,5S,8R)-2,8-Dimethyl-5-propan-2-ylcyclodecan-1-one</t>
  </si>
  <si>
    <t>HMDB0257819</t>
  </si>
  <si>
    <t>CC(C)C1CCC(C)CCC(=O)C(C)CC1</t>
  </si>
  <si>
    <t>NNYHIVNQMWPBFK-UHFFFAOYSA-N</t>
  </si>
  <si>
    <t>10.27_397.3439m/z</t>
  </si>
  <si>
    <t>alpha-N-(3-hydroxyoctadecanoyl)-L-ornithine</t>
  </si>
  <si>
    <t>LMFA08020225</t>
  </si>
  <si>
    <t>OC([C@H](NC(CC(O)CCCCCCCCCCCCCCC)=O)CCCN)=O</t>
  </si>
  <si>
    <t>IBTDVGGSPBGMJZ-BPGUCPLFSA-N</t>
  </si>
  <si>
    <t>C23H46N2O4</t>
  </si>
  <si>
    <t>7.02_433.1763m/z</t>
  </si>
  <si>
    <t>2-(3-(4-((1H-Indazol-5-yl)amino)quinazolin-2-yl)phenoxy)-N-isopropylacetamide</t>
  </si>
  <si>
    <t>HMDB0247641</t>
  </si>
  <si>
    <t>CC(C)NC(=O)COC1=CC=CC(=C1)C1=NC2=CC=CC=C2C(NC2=CC3=C(NN=C3)C=C2)=N1</t>
  </si>
  <si>
    <t>GKHIVNAUVKXIIY-UHFFFAOYSA-N</t>
  </si>
  <si>
    <t>C26H24N6O2</t>
  </si>
  <si>
    <t>7.96_273.2546m/z</t>
  </si>
  <si>
    <t>9,12-Octadecadiene, (E,E)-</t>
  </si>
  <si>
    <t>HMDB0247621</t>
  </si>
  <si>
    <t>CCCCCCCCC=CCC=CCCCCC</t>
  </si>
  <si>
    <t>LWPSUELGZBFZHK-UHFFFAOYSA-N</t>
  </si>
  <si>
    <t>C18H34</t>
  </si>
  <si>
    <t>7.25_501.1745m/z</t>
  </si>
  <si>
    <t>Lactupicrin methyl ester</t>
  </si>
  <si>
    <t>HMDB0303144</t>
  </si>
  <si>
    <t>COC(=O)C(=C)C1C(O)C2C(CO)=CC(=O)C2=C(C)CC1(C)OC(=O)CC1=CC=C(O)C=C1</t>
  </si>
  <si>
    <t>LYTHENPWSABMLO-UHFFFAOYSA-N</t>
  </si>
  <si>
    <t>C25H28O8</t>
  </si>
  <si>
    <t>9.89_393.1816m/z</t>
  </si>
  <si>
    <t>3-Amino-1-methyl-5H-pyrido[4,3-b]indole</t>
  </si>
  <si>
    <t>HMDB0033188</t>
  </si>
  <si>
    <t>C14416</t>
  </si>
  <si>
    <t>62450-07-1</t>
  </si>
  <si>
    <t>CC1=NC(N)=CC2=C1C1=CC=CC=C1N2</t>
  </si>
  <si>
    <t>LKKMLIBUAXYLOY-UHFFFAOYSA-N</t>
  </si>
  <si>
    <t>Pyridoindoles</t>
  </si>
  <si>
    <t>C12H11N3</t>
  </si>
  <si>
    <t>0.70_253.1305m/z</t>
  </si>
  <si>
    <t>Histidylvaline</t>
  </si>
  <si>
    <t>HMDB0028898</t>
  </si>
  <si>
    <t>76019-15-3</t>
  </si>
  <si>
    <t>CC(C)[C@H](NC(=O)[C@@H](N)CC1=CNC=N1)C(O)=O</t>
  </si>
  <si>
    <t>VLDVBZICYBVQHB-IUCAKERBSA-N</t>
  </si>
  <si>
    <t>C11H18N4O3</t>
  </si>
  <si>
    <t>10.01_312.1602m/z</t>
  </si>
  <si>
    <t>Piperettine</t>
  </si>
  <si>
    <t>HMDB0034371</t>
  </si>
  <si>
    <t>583-34-6</t>
  </si>
  <si>
    <t>O=C(\C=C\C=C\C=C\C1=CC2=C(OCO2)C=C1)N1CCCCC1</t>
  </si>
  <si>
    <t>DLKOUKNODPCIHZ-UMYWTXKFSA-N</t>
  </si>
  <si>
    <t>C19H21NO3</t>
  </si>
  <si>
    <t>7.72_299.2016m/z</t>
  </si>
  <si>
    <t>ent-8-deoxy-J2-IsoP</t>
  </si>
  <si>
    <t>LMFA03110063</t>
  </si>
  <si>
    <t>C(CCC/C=C\C/C=C/C=C1/C=CC(=O)[C@@H]/1CCCCC)(=O)O</t>
  </si>
  <si>
    <t>JTSWNPYSJJAOQQ-BEJNIAJHSA-N</t>
  </si>
  <si>
    <t>7.98_336.3023m/z</t>
  </si>
  <si>
    <t>N,N-Dimethyloctadecylamine</t>
  </si>
  <si>
    <t>HMDB0255266</t>
  </si>
  <si>
    <t>CCCCCCCCCCCCCCCCCCN(C)C</t>
  </si>
  <si>
    <t>NAPSCFZYZVSQHF-UHFFFAOYSA-N</t>
  </si>
  <si>
    <t>C20H43N</t>
  </si>
  <si>
    <t>4.13_721.3534m/z</t>
  </si>
  <si>
    <t>rac S 33138</t>
  </si>
  <si>
    <t>HMDB0257083</t>
  </si>
  <si>
    <t>CC(=O)NC1=CC=C(CCN2CC3COC4=C(C=C(C=C4)C#N)C3C2)C=C1</t>
  </si>
  <si>
    <t>ZDZWIQDJFWTDAM-UHFFFAOYSA-N</t>
  </si>
  <si>
    <t>C22H23N3O2</t>
  </si>
  <si>
    <t>6.89_411.0962m/z</t>
  </si>
  <si>
    <t>BENSULFURON-METHYL</t>
  </si>
  <si>
    <t>HMDB0248961</t>
  </si>
  <si>
    <t>C10937</t>
  </si>
  <si>
    <t>83055-99-6</t>
  </si>
  <si>
    <t>COC(=O)C1=CC=CC=C1CS(=O)(=O)NC(=O)NC1=NC(OC)=CC(OC)=N1</t>
  </si>
  <si>
    <t>XMQFTWRPUQYINF-UHFFFAOYSA-N</t>
  </si>
  <si>
    <t>C16H18N4O7S</t>
  </si>
  <si>
    <t>9.95_423.0267m/z</t>
  </si>
  <si>
    <t>Casoxin D</t>
  </si>
  <si>
    <t>HMDB0303768</t>
  </si>
  <si>
    <t>CC(C)OC(F)(F)C(F)(F)C(F)(F)C(F)(F)C(F)(F)C(F)(F)F</t>
  </si>
  <si>
    <t>INBRDFNDLUBSKE-UHFFFAOYSA-N</t>
  </si>
  <si>
    <t>C9H7F13O</t>
  </si>
  <si>
    <t>154</t>
  </si>
  <si>
    <t>2-(Ethylamino)Ethanol</t>
  </si>
  <si>
    <t>HMDB0244944</t>
  </si>
  <si>
    <t>CCNCCO</t>
  </si>
  <si>
    <t>MIJDSYMOBYNHOT-UHFFFAOYSA-N</t>
  </si>
  <si>
    <t>C4H11NO</t>
  </si>
  <si>
    <t>4.20_503.3862m/z</t>
  </si>
  <si>
    <t>Chenodeoxycholyllysine</t>
  </si>
  <si>
    <t>HMDB0242400</t>
  </si>
  <si>
    <t>CC(CCC(=O)NC(CCCCN)C(O)=O)C1CCC2C3C(O)CC4CC(O)CCC4(C)C3CCC12C</t>
  </si>
  <si>
    <t>LJAIXMQYBNEUSB-UHFFFAOYSA-N</t>
  </si>
  <si>
    <t>1.01_205.0295m/z</t>
  </si>
  <si>
    <t>Hexanesulfonic acid</t>
  </si>
  <si>
    <t>HMDB0253146</t>
  </si>
  <si>
    <t>CCCCCCS(O)(=O)=O</t>
  </si>
  <si>
    <t>FYAQQULBLMNGAH-UHFFFAOYSA-N</t>
  </si>
  <si>
    <t>Organic sulfonic acids and derivatives</t>
  </si>
  <si>
    <t>Organosulfonic acids and derivatives</t>
  </si>
  <si>
    <t>C6H14O3S</t>
  </si>
  <si>
    <t>4.03_538.2498m/z</t>
  </si>
  <si>
    <t>Epothilone A</t>
  </si>
  <si>
    <t>LMPK04000040</t>
  </si>
  <si>
    <t>C12153</t>
  </si>
  <si>
    <t>C1(N=C(SC=1)C)/C=C(/[C@H]1OC(=O)C[C@@H](C(C([C@@H]([C@H]([C@@H](C)CCC[C@@]2([H])O[C@@]2([H])C1)O)C)=O)(C)C)O)\C</t>
  </si>
  <si>
    <t>HESCAJZNRMSMJG-KKQRBIROSA-N</t>
  </si>
  <si>
    <t>Epothilones and analogues</t>
  </si>
  <si>
    <t>C26H39NO6S</t>
  </si>
  <si>
    <t>7.70_421.1977m/z</t>
  </si>
  <si>
    <t>3,7,12-Trioxochola-1,4-dien-24-oic Acid</t>
  </si>
  <si>
    <t>LMST04010365</t>
  </si>
  <si>
    <t>C1[C@]2(C)[C@@]3([H])CC(=O)[C@]4(C)[C@@]([H])([C@]([H])(C)CCC(O)=O)CC[C@@]4([H])[C@]3([H])C(=O)CC2=CC(=O)C=1</t>
  </si>
  <si>
    <t>OWMHJRCOYHXTBV-UJRQNWHJSA-N</t>
  </si>
  <si>
    <t>11.72_480.3912m/z</t>
  </si>
  <si>
    <t>1-O-alpha-D-glucopyranosyl-1,2-nonadecandiol</t>
  </si>
  <si>
    <t>LMFA13010006</t>
  </si>
  <si>
    <t>OC(CCCCCCCCCCCCCCCCC)CO[C@@H]1[C@H](O)[C@@H](O)[C@H](O)[C@@H](CO)O1</t>
  </si>
  <si>
    <t>JTORERGMBRHZTA-SFINKYQGSA-N</t>
  </si>
  <si>
    <t>C25H50O7</t>
  </si>
  <si>
    <t>6.69_335.0139m/z</t>
  </si>
  <si>
    <t>6-Thioxanthine</t>
  </si>
  <si>
    <t>HMDB0247108</t>
  </si>
  <si>
    <t>2002-59-7</t>
  </si>
  <si>
    <t>OC1=NC2=C(N=CN2)C(S)=N1</t>
  </si>
  <si>
    <t>RJOXFJDOUQJOMQ-UHFFFAOYSA-N</t>
  </si>
  <si>
    <t>C5H4N4OS</t>
  </si>
  <si>
    <t>193</t>
  </si>
  <si>
    <t>Biphenyl</t>
  </si>
  <si>
    <t>HMDB0034437</t>
  </si>
  <si>
    <t>C06588</t>
  </si>
  <si>
    <t>92-52-4</t>
  </si>
  <si>
    <t>C1=CC=C(C=C1)C1=CC=CC=C1</t>
  </si>
  <si>
    <t>ZUOUZKKEUPVFJK-UHFFFAOYSA-N</t>
  </si>
  <si>
    <t>C12H10</t>
  </si>
  <si>
    <t>10.91_475.3386m/z</t>
  </si>
  <si>
    <t>11-acetoxy-3beta,6alpha-dihydroxy-24-methyl-27-nor-9,11-seco-5alpha-cholesta-7,22E-dien-9-one.</t>
  </si>
  <si>
    <t>LMST01031102</t>
  </si>
  <si>
    <t>[C@@]1(C)([C@@]([H])([C@@](C)([H])/C=C/C(C)CC)CC[C@@]1([H])C1=C[C@H](O)[C@@]2([H])C[C@@H](O)CC[C@]2(C)C1=O)CCOC(=O)C</t>
  </si>
  <si>
    <t>UQSMZCYYNIALNN-OSJJDKCPSA-N</t>
  </si>
  <si>
    <t>C29H46O5</t>
  </si>
  <si>
    <t>11.94_300.2905m/z</t>
  </si>
  <si>
    <t>18-Octadecanolide</t>
  </si>
  <si>
    <t>LMFA07040056</t>
  </si>
  <si>
    <t>C1(OCCCCCCCCCCCCCCCCC1)=O</t>
  </si>
  <si>
    <t>PGRBVLPTXLOMNB-UHFFFAOYSA-N</t>
  </si>
  <si>
    <t>10.35_475.2472m/z</t>
  </si>
  <si>
    <t>PG(17:2(9Z,12Z)/0:0)</t>
  </si>
  <si>
    <t>LMGP04050019</t>
  </si>
  <si>
    <t>[H][C@](O)(CO)COP(OC[C@]([H])(O)COC(CCCCCCC/C=C\C/C=C\CCCC)=O)(=O)O</t>
  </si>
  <si>
    <t>OKVQRJRGNXWGCR-HCGKBNNYSA-N</t>
  </si>
  <si>
    <t>C23H43O9P</t>
  </si>
  <si>
    <t>4.84_206.0817m/z</t>
  </si>
  <si>
    <t>N-Acetyl-L-phenylalanine</t>
  </si>
  <si>
    <t>HMDB0000512</t>
  </si>
  <si>
    <t>C03519</t>
  </si>
  <si>
    <t>2018-61-3</t>
  </si>
  <si>
    <t>CC(=O)N[C@@H](CC1=CC=CC=C1)C(O)=O</t>
  </si>
  <si>
    <t>CBQJSKKFNMDLON-JTQLQIEISA-N</t>
  </si>
  <si>
    <t>C11H13NO3</t>
  </si>
  <si>
    <t>5.44_393.2277m/z</t>
  </si>
  <si>
    <t>20-Hydroxy-PGF2a</t>
  </si>
  <si>
    <t>HMDB0004049</t>
  </si>
  <si>
    <t>OCCCCC[C@H](O)\C=C\C1[C@H](O)C[C@H](O)C1C\C=C/CCCC(O)=O</t>
  </si>
  <si>
    <t>XQXUYZDBZCLAQO-BFDMEJFDSA-N</t>
  </si>
  <si>
    <t>12.98_399.3268m/z</t>
  </si>
  <si>
    <t>Cholestenoic acid</t>
  </si>
  <si>
    <t>HMDB0012453</t>
  </si>
  <si>
    <t>LMST04030072</t>
  </si>
  <si>
    <t>56845-87-5</t>
  </si>
  <si>
    <t>C1[C@]2(C)[C@@]3([H])CC[C@]4(C)[C@@]([H])([C@]([H])(C)CCC[C@@]([H])(C)C(O)=O)CC[C@@]4([H])[C@]3([H])CC=C2C[C@@H](O)C1</t>
  </si>
  <si>
    <t>WVXOMPRLWLXFAP-KQOPCUSDSA-N</t>
  </si>
  <si>
    <t>C27H44O3</t>
  </si>
  <si>
    <t>3.50_344.1820m/z</t>
  </si>
  <si>
    <t>Ile Pro Asp</t>
  </si>
  <si>
    <t>CCC(C)C(C(=O)N1CCCC1C(=O)NC(CC(=O)O)C(=O)O)N</t>
  </si>
  <si>
    <t>OWSWUWDMSNXTNE-GMOBBJLQSA-N</t>
  </si>
  <si>
    <t>C15H25N3O6</t>
  </si>
  <si>
    <t>9.81_449.3286m/z</t>
  </si>
  <si>
    <t>Asperagenin</t>
  </si>
  <si>
    <t>HMDB0034293</t>
  </si>
  <si>
    <t>17305-15-6</t>
  </si>
  <si>
    <t>CC1C2C(CC3C2(CCC4C3CC(C5C4(CCC(C5)O)C)O)C)OC16CCC(CO6)(C)O</t>
  </si>
  <si>
    <t>ILVZNZHXRYGRGV-UYLOAILUSA-N</t>
  </si>
  <si>
    <t>C27H44O5</t>
  </si>
  <si>
    <t>5.18_338.1721m/z</t>
  </si>
  <si>
    <t>Pinolidoxin</t>
  </si>
  <si>
    <t>HMDB0301836</t>
  </si>
  <si>
    <t>C08503</t>
  </si>
  <si>
    <t>152985-39-2</t>
  </si>
  <si>
    <t>CCCC1OC(=O)C(CC\C=C\C(O)C1O)OC(=O)\C=C\C=C\C</t>
  </si>
  <si>
    <t>TXPRZPDVUZCNLB-YECGNMMBSA-N</t>
  </si>
  <si>
    <t>Oxocins</t>
  </si>
  <si>
    <t>C18H26O6</t>
  </si>
  <si>
    <t>3.98_335.1930m/z</t>
  </si>
  <si>
    <t>Oseltamivir</t>
  </si>
  <si>
    <t>HMDB0014343</t>
  </si>
  <si>
    <t>C08092</t>
  </si>
  <si>
    <t>204255-11-8</t>
  </si>
  <si>
    <t>CCOC(=O)C1=C[C@@H](OC(CC)CC)[C@H](NC(C)=O)[C@@H](N)C1</t>
  </si>
  <si>
    <t>VSZGPKBBMSAYNT-RRFJBIMHSA-N</t>
  </si>
  <si>
    <t>C16H28N2O4</t>
  </si>
  <si>
    <t>10.33_431.2029m/z</t>
  </si>
  <si>
    <t>Sufentanil</t>
  </si>
  <si>
    <t>HMDB0014846</t>
  </si>
  <si>
    <t>C08022</t>
  </si>
  <si>
    <t>56030-54-7</t>
  </si>
  <si>
    <t>CCC(=O)N(C1=CC=CC=C1)C1(COC)CCN(CCC2=CC=CS2)CC1</t>
  </si>
  <si>
    <t>GGCSSNBKKAUURC-UHFFFAOYSA-N</t>
  </si>
  <si>
    <t>C22H30N2O2S</t>
  </si>
  <si>
    <t>9.71_467.0336m/z</t>
  </si>
  <si>
    <t>Hydroxytyrosol 3'-sulfate</t>
  </si>
  <si>
    <t>HMDB0240530</t>
  </si>
  <si>
    <t>OCCC1=CC(OS(O)(=O)=O)=C(O)C=C1</t>
  </si>
  <si>
    <t>BZTHVCCNFBAISK-UHFFFAOYSA-N</t>
  </si>
  <si>
    <t>C8H10O6S</t>
  </si>
  <si>
    <t>10.72_645.4349m/z</t>
  </si>
  <si>
    <t>DG(22:5(4Z,7Z,10Z,13Z,19Z)-O(16,17)/i-12:0/0:0)</t>
  </si>
  <si>
    <t>HMDB0298482</t>
  </si>
  <si>
    <t>CC\C=C/CC1OC1C\C=C/C\C=C/C\C=C/C\C=C/CCC(=O)OC[C@H](CO)OC(=O)CCCCCCCCC(C)C</t>
  </si>
  <si>
    <t>BGOGWLBNTOLJJO-YSPKKWQCSA-N</t>
  </si>
  <si>
    <t>C37H60O6</t>
  </si>
  <si>
    <t>11.03_451.3184m/z</t>
  </si>
  <si>
    <t>(24R)-24,26-dihydroxyvitamin D2 / (24R)-24,26-dihydroxyergocalciferol</t>
  </si>
  <si>
    <t>LMST03010050</t>
  </si>
  <si>
    <t>C1C(=C)/C(=C\C=C2\[C@]3([H])CC[C@@]([C@@](C)([H])/C=C/[C@@](C)(O)C(C)CO)([H])[C@@]3(C)CCC\2)/C[C@@H](O)C1</t>
  </si>
  <si>
    <t>HOAHUGFGTSIPSG-LCRAEUCDSA-N</t>
  </si>
  <si>
    <t>C28H44O3</t>
  </si>
  <si>
    <t>9.89_480.3100m/z</t>
  </si>
  <si>
    <t>3-Hydroxy-11Z-octadecenoylcarnitine</t>
  </si>
  <si>
    <t>HMDB0013339</t>
  </si>
  <si>
    <t>CCCCCC\C=C/CCCCCCC[C@@H](O)CC(=O)O[C@H](CC([O-])=O)C[N+](C)(C)C</t>
  </si>
  <si>
    <t>FMLYQPQCFBAOHS-XQRPBTPTSA-N</t>
  </si>
  <si>
    <t>C25H47NO5</t>
  </si>
  <si>
    <t>7.65_266.1219m/z</t>
  </si>
  <si>
    <t>reparixin</t>
  </si>
  <si>
    <t>HMDB0257152</t>
  </si>
  <si>
    <t>CC(C)CC1=CC=C(C=C1)C(C)C(=O)NS(C)(=O)=O</t>
  </si>
  <si>
    <t>KQDRVXQXKZXMHP-UHFFFAOYSA-N</t>
  </si>
  <si>
    <t>C14H21NO3S</t>
  </si>
  <si>
    <t>9.22_290.1760m/z</t>
  </si>
  <si>
    <t>Methylenedioxypyrrolidinohexiophenone</t>
  </si>
  <si>
    <t>HMDB0254386</t>
  </si>
  <si>
    <t>CCCCC(N1CCCC1)C(=O)C1=CC2=C(OCO2)C=C1</t>
  </si>
  <si>
    <t>OBLFRFGUZZRECT-UHFFFAOYSA-N</t>
  </si>
  <si>
    <t>Butyrophenones</t>
  </si>
  <si>
    <t>C17H23NO3</t>
  </si>
  <si>
    <t>10.56_431.3169m/z</t>
  </si>
  <si>
    <t>7alpha,12alpha,26-trihydroxycholest-4-en-3-one</t>
  </si>
  <si>
    <t>HMDB0062400</t>
  </si>
  <si>
    <t>LMST04030158</t>
  </si>
  <si>
    <t>R-HSA-1430728,R-HSA-192105,R-HSA-193807,R-HSA-194068,R-HSA-211859,R-HSA-211897,R-HSA-211945,R-HSA-211976,R-HSA-211994,R-HSA-556833,R-HSA-8957322</t>
  </si>
  <si>
    <t>Metabolism|Synthesis of bile acids and bile salts|Synthesis of bile acids and bile salts via 27-hydroxycholesterol|Bile acid and bile salt metabolism|Biological oxidations|Cytochrome P450 - arranged by substrate type|Phase I - Functionalization of compounds|Endogenous sterols|Sterols are 12-hydroxylated by CYP8B1|Metabolism of lipids|Metabolism of steroids</t>
  </si>
  <si>
    <t>[C@]12(C)[C@@H](O)C[C@@]3([H])[C@@]([H])([C@H](O)CC4=CC(=O)CC[C@]34C)[C@]1([H])CC[C@]2([H])[C@H](C)CCCC(CO)C</t>
  </si>
  <si>
    <t>WOODKECARRKLJJ-DIJRFRLPSA-N</t>
  </si>
  <si>
    <t>C27H44O4</t>
  </si>
  <si>
    <t>4.22_185.0693n</t>
  </si>
  <si>
    <t>2-Aminobicyclo[3.1.0]hexane-2,6-dicarboxylic acid</t>
  </si>
  <si>
    <t>HMDB0244794</t>
  </si>
  <si>
    <t>NC1(CCC2C(C12)C(O)=O)C(O)=O</t>
  </si>
  <si>
    <t>VTAARTQTOOYTES-UHFFFAOYSA-N</t>
  </si>
  <si>
    <t>C8H11NO4</t>
  </si>
  <si>
    <t>3.73_594.2399m/z</t>
  </si>
  <si>
    <t>Taurocholic acid 3-sulfate</t>
  </si>
  <si>
    <t>HMDB02581</t>
  </si>
  <si>
    <t>LMST05020031</t>
  </si>
  <si>
    <t>[C@]12([C@H](O)C[C@]3([H])C[C@H](OS(O)(=O)=O)CC[C@]3(C)[C@@]1([H])C[C@H](O)[C@]1(C)[C@@]([H])([C@@](C)([H])CCC(=O)NCCS(=O)(O)=O)CC[C@@]21[H])[H]</t>
  </si>
  <si>
    <t>LKTXOQJJFLAZRW-HZAMXZRMSA-N</t>
  </si>
  <si>
    <t>C26H45NO10S2</t>
  </si>
  <si>
    <t>6.73_222.9777m/z</t>
  </si>
  <si>
    <t>4-thiodimethylarsenobutanoic acid</t>
  </si>
  <si>
    <t>LMFA00000041</t>
  </si>
  <si>
    <t>C(CCC(O)=O)[As](C)(=S)C</t>
  </si>
  <si>
    <t>LPOQZCAOBCMROQ-UHFFFAOYSA-N</t>
  </si>
  <si>
    <t>C6H13AsO2S</t>
  </si>
  <si>
    <t>2.31_161.0965m/z</t>
  </si>
  <si>
    <t>3-Phenyl-4-pentenal</t>
  </si>
  <si>
    <t>HMDB0038790</t>
  </si>
  <si>
    <t>939-21-9</t>
  </si>
  <si>
    <t>C=CC(CC=O)C1=CC=CC=C1</t>
  </si>
  <si>
    <t>XQTAGXUFCZLHIQ-UHFFFAOYSA-N</t>
  </si>
  <si>
    <t>C11H12O</t>
  </si>
  <si>
    <t>7.53_395.2445m/z</t>
  </si>
  <si>
    <t>Tetrahydrocorticosterone</t>
  </si>
  <si>
    <t>HMDB0000268</t>
  </si>
  <si>
    <t>LMST02030100</t>
  </si>
  <si>
    <t>C05476</t>
  </si>
  <si>
    <t>68-42-8</t>
  </si>
  <si>
    <t>[C@]12([H])[C@@H](O)C[C@]3(C)[C@H](CC[C@@]3([H])[C@]1([H])CC[C@]1([H])C[C@@H](CC[C@]21C)O)C(=O)CO</t>
  </si>
  <si>
    <t>RHQQHZQUAMFINJ-DTDWNVJFSA-N</t>
  </si>
  <si>
    <t>3.59_332.1253m/z</t>
  </si>
  <si>
    <t>Tryptophyl-Glutamate</t>
  </si>
  <si>
    <t>HMDB0029082</t>
  </si>
  <si>
    <t>NC(CC1=CNC2=C1C=CC=C2)C(=O)NC(CCC(O)=O)C(O)=O</t>
  </si>
  <si>
    <t>PWIQCLSQVQBOQV-UHFFFAOYSA-N</t>
  </si>
  <si>
    <t>12.14_492.3462m/z</t>
  </si>
  <si>
    <t>Homodolicholide</t>
  </si>
  <si>
    <t>HMDB0033907</t>
  </si>
  <si>
    <t>86630-40-2</t>
  </si>
  <si>
    <t>C\C=C(/C(C)C)C(O)C(O)C(C)C1CCC2C3COC(=O)C4CC(O)C(O)CC4(C)C3CCC12C</t>
  </si>
  <si>
    <t>LRRBQWHWKJDDAW-REZTVBANSA-N</t>
  </si>
  <si>
    <t>C29H48O6</t>
  </si>
  <si>
    <t>5.89_281.0107m/z</t>
  </si>
  <si>
    <t>EMODIC ACID</t>
  </si>
  <si>
    <t>478-45-5</t>
  </si>
  <si>
    <t>C1=C(C=C(C2=C1C(=O)C3=C(C2=O)C(=CC(=C3)O)O)O)C(=O)O</t>
  </si>
  <si>
    <t>ZJXVNNSMRGTDBI-UHFFFAOYSA-N</t>
  </si>
  <si>
    <t>Anthracenecarboxylic acids and derivatives</t>
  </si>
  <si>
    <t>C15H8O7</t>
  </si>
  <si>
    <t>11.86_483.3694m/z</t>
  </si>
  <si>
    <t>bhas#40</t>
  </si>
  <si>
    <t>LMFA13040041</t>
  </si>
  <si>
    <t>O([C@@H](CCCCCCCCCCCCCCCCC[C@@H](O)CC(=O)O)C)[C@H]1[C@H](O)C[C@@H](O)[C@H](C)O1</t>
  </si>
  <si>
    <t>KNOOLMWLZZIQFQ-CWEZWLNASA-N</t>
  </si>
  <si>
    <t>C28H54O7</t>
  </si>
  <si>
    <t>4.75_471.2215m/z</t>
  </si>
  <si>
    <t>O-Desmethyl-lacosamide</t>
  </si>
  <si>
    <t>HMDB0060855</t>
  </si>
  <si>
    <t>CC(=O)N[C@H](CO)C(=O)NCC1=CC=CC=C1</t>
  </si>
  <si>
    <t>XRKSCJLQKGLSKU-LLVKDONJSA-N</t>
  </si>
  <si>
    <t>C12H16N2O3</t>
  </si>
  <si>
    <t>2.05_250.0138m/z</t>
  </si>
  <si>
    <t>(±)-Mephosfolan</t>
  </si>
  <si>
    <t>HMDB0031801</t>
  </si>
  <si>
    <t>CCOP(=O)(OCC)\N=C1\SCC(C)S1</t>
  </si>
  <si>
    <t>LTQSAUHRSCMPLD-HJWRWDBZSA-N</t>
  </si>
  <si>
    <t>C8H16NO3PS2</t>
  </si>
  <si>
    <t>9.13_271.2429m/z</t>
  </si>
  <si>
    <t>15-hydroxycembra-1,3,7,11-tetraene</t>
  </si>
  <si>
    <t>LMPR01040116</t>
  </si>
  <si>
    <t>C1=C(C(O)(C)C)CCC(C)=CCCC(C)=CCCC(C)=C1</t>
  </si>
  <si>
    <t>ZMOGGFHLMLYADA-CAJARFHCSA-N</t>
  </si>
  <si>
    <t>C20H32O</t>
  </si>
  <si>
    <t>4.84_217.1077m/z</t>
  </si>
  <si>
    <t>2-hydroxy-decanedioic acid</t>
  </si>
  <si>
    <t>HMDB0000424</t>
  </si>
  <si>
    <t>LMFA01170076</t>
  </si>
  <si>
    <t>103963-71-9</t>
  </si>
  <si>
    <t>C(=O)(O)C(O)CCCCCCCC(=O)O</t>
  </si>
  <si>
    <t>LPIOYESQKJFWPQ-UHFFFAOYSA-N</t>
  </si>
  <si>
    <t>C10H18O5</t>
  </si>
  <si>
    <t>4.20_252.1966m/z</t>
  </si>
  <si>
    <t>9-Pentadecene-12,14-diyne-1,11-diol</t>
  </si>
  <si>
    <t>HMDB0034562</t>
  </si>
  <si>
    <t>108112-83-0</t>
  </si>
  <si>
    <t>OCCCCCCCC\C=C\C(O)C#CC#C</t>
  </si>
  <si>
    <t>KIIGQXVIHZSFAX-JLHYYAGUSA-N</t>
  </si>
  <si>
    <t>12.93_486.3323n</t>
  </si>
  <si>
    <t>28-Hydroxyglycyrrhetic acid</t>
  </si>
  <si>
    <t>HMDB0035259</t>
  </si>
  <si>
    <t>56061-86-0</t>
  </si>
  <si>
    <t>CC1(C)C(O)CCC2(C)C1CCC1(C)C2C(=O)C=C2C3CC(C)(CCC3(CO)CCC12C)C(O)=O</t>
  </si>
  <si>
    <t>CWCIIDUCIPKOCX-UHFFFAOYSA-N</t>
  </si>
  <si>
    <t>C30H46O5</t>
  </si>
  <si>
    <t>8.15_386.2913m/z</t>
  </si>
  <si>
    <t>(5E)-8-Hydroxytetradec-5-enoylcarnitine</t>
  </si>
  <si>
    <t>HMDB0241364</t>
  </si>
  <si>
    <t>CCCCCCC(O)CC=CCCCC(=O)OC(CC([O-])=O)C[N+](C)(C)C</t>
  </si>
  <si>
    <t>FDDDTNWQHGZLMB-UHFFFAOYSA-N</t>
  </si>
  <si>
    <t>C21H39NO5</t>
  </si>
  <si>
    <t>5.35_395.1295m/z</t>
  </si>
  <si>
    <t>Syringin</t>
  </si>
  <si>
    <t>C01533</t>
  </si>
  <si>
    <t>118-34-3</t>
  </si>
  <si>
    <t>COC1=CC(=CC(=C1OC2C(C(C(C(O2)CO)O)O)O)OC)C=CCO</t>
  </si>
  <si>
    <t>QJVXKWHHAMZTBY-GCPOEHJPSA-N</t>
  </si>
  <si>
    <t>15.02_619.4925m/z</t>
  </si>
  <si>
    <t>DG(a-15:0/20:4(5Z,7E,11Z,14Z)-OH(9)/0:0)</t>
  </si>
  <si>
    <t>HMDB0297523</t>
  </si>
  <si>
    <t>CCCCC\C=C/C\C=C/CC(O)\C=C/C=C/CCCC(=O)O[C@@H](CO)COC(=O)CCCCCCCCCCC(C)CC</t>
  </si>
  <si>
    <t>ABHHYPJVJATOJN-AVVBLLOMSA-N</t>
  </si>
  <si>
    <t>C38H66O6</t>
  </si>
  <si>
    <t>8.89_352.2472m/z</t>
  </si>
  <si>
    <t>12,18-di-HEPE</t>
  </si>
  <si>
    <t>LMFA03070051</t>
  </si>
  <si>
    <t>C(CCC/C=C\C/C=C\C=C\C(O)C/C=C\C=C\C(O)CC)(=O)O</t>
  </si>
  <si>
    <t>HIFJAIFWUBZVMA-CJNYYIDWSA-N</t>
  </si>
  <si>
    <t>6.96_409.2240m/z</t>
  </si>
  <si>
    <t>Tetrahydroaldosterone</t>
  </si>
  <si>
    <t>HMDB0258895</t>
  </si>
  <si>
    <t>CC12CCC(O)CC1CCC1C3CCC(C(=O)CO)C33CC(OC3O)C21</t>
  </si>
  <si>
    <t>JDEYOKPHRJVBQO-UHFFFAOYSA-N</t>
  </si>
  <si>
    <t>6.04_369.1743m/z</t>
  </si>
  <si>
    <t>Tecastemizole</t>
  </si>
  <si>
    <t>HMDB0255721</t>
  </si>
  <si>
    <t>FC1=CC=C(CN2C(NC3=CC=CC=C23)=NC2CCNCC2)C=C1</t>
  </si>
  <si>
    <t>SFOVDSLXFUGAIV-UHFFFAOYSA-N</t>
  </si>
  <si>
    <t>C19H21FN4</t>
  </si>
  <si>
    <t>4.22_419.2513m/z</t>
  </si>
  <si>
    <t>19-dimethylarsinoyl-nonadecanoic acid</t>
  </si>
  <si>
    <t>LMFA00000039</t>
  </si>
  <si>
    <t>C(CCCCCCCCCCCCCCCCCC(=O)O)[As](C)(=O)C</t>
  </si>
  <si>
    <t>DQMMGFZOXXMBBB-UHFFFAOYSA-N</t>
  </si>
  <si>
    <t>C21H43AsO3</t>
  </si>
  <si>
    <t>8.05_235.1335m/z</t>
  </si>
  <si>
    <t>1-(1,3-Benzodioxol-5-yl)-4,4-dimethyl-1-penten-3-ol</t>
  </si>
  <si>
    <t>HMDB0246697</t>
  </si>
  <si>
    <t>CC(C)(C)C(O)C=CC1=CC2=C(OCO2)C=C1</t>
  </si>
  <si>
    <t>IBLNKMRFIPWSOY-UHFFFAOYSA-N</t>
  </si>
  <si>
    <t>C14H18O3</t>
  </si>
  <si>
    <t>9.65_368.1986n</t>
  </si>
  <si>
    <t>17-phenyl trinor Prostaglandin A2</t>
  </si>
  <si>
    <t>38315-51-4</t>
  </si>
  <si>
    <t>C1=CC=C(C=C1)CCC(C=CC2C=CC(=O)C2CC=CCCCC(=O)O)O</t>
  </si>
  <si>
    <t>PBMAXTSZSCARIG-YPINUJMCSA-N</t>
  </si>
  <si>
    <t>C23H28O4</t>
  </si>
  <si>
    <t>0.78_250.0622m/z</t>
  </si>
  <si>
    <t>(2S)-2-Amino-5-[(2R)-2-amino-3-sulfanylpropanoyl]oxy-5-oxopentanoic acid</t>
  </si>
  <si>
    <t>HMDB0257907</t>
  </si>
  <si>
    <t>NC(CCC(=O)OC(=O)C(N)CS)C(O)=O</t>
  </si>
  <si>
    <t>IMWRWHDOCPANDP-UHFFFAOYSA-N</t>
  </si>
  <si>
    <t>C8H14N2O5S</t>
  </si>
  <si>
    <t>6.51_526.2486m/z</t>
  </si>
  <si>
    <t>N-acetyl-LTE4</t>
  </si>
  <si>
    <t>LMFA03020008</t>
  </si>
  <si>
    <t>C11361</t>
  </si>
  <si>
    <t>C(/C/C=C\CCCCC)=C/C=C/C=C/[C@@H](SC[C@H](NC(=O)C)C(=O)O)[C@@H](O)CCCC(O)=O</t>
  </si>
  <si>
    <t>BGGYAYMMFYBWEX-HXDOPMNESA-N</t>
  </si>
  <si>
    <t>C25H39NO6S</t>
  </si>
  <si>
    <t>1.30_377.1512m/z</t>
  </si>
  <si>
    <t>Benazeprilat</t>
  </si>
  <si>
    <t>HMDB0060582</t>
  </si>
  <si>
    <t>R-HSA-2022377,R-HSA-2980736,R-HSA-392499</t>
  </si>
  <si>
    <t>Metabolism of Angiotensinogen to Angiotensins|Peptide hormone metabolism|Metabolism of proteins</t>
  </si>
  <si>
    <t>86541-78-8</t>
  </si>
  <si>
    <t>OC(=O)CN1C2=CC=CC=C2CC[C@H](N[C@@H](CCC2=CC=CC=C2)C(O)=O)C1=O</t>
  </si>
  <si>
    <t>MADRIHWFJGRSBP-ROUUACIJSA-N</t>
  </si>
  <si>
    <t>C22H24N2O5</t>
  </si>
  <si>
    <t>11.07_428.2055m/z</t>
  </si>
  <si>
    <t>PC(8:0/0:0)</t>
  </si>
  <si>
    <t>LMGP01050066</t>
  </si>
  <si>
    <t>[C@](COP(=O)([O-])OCC[N+](C)(C)C)([H])(O)COC(CCCCCCC)=O</t>
  </si>
  <si>
    <t>ZVPMBHRQDPDKEF-OAHLLOKOSA-N</t>
  </si>
  <si>
    <t>C16H34NO7P</t>
  </si>
  <si>
    <t>7.25_319.0330m/z</t>
  </si>
  <si>
    <t>Thiacremonone</t>
  </si>
  <si>
    <t>HMDB0035901</t>
  </si>
  <si>
    <t>96504-28-8</t>
  </si>
  <si>
    <t>CC1=C(O)C(=O)C(C)(O)S1</t>
  </si>
  <si>
    <t>JYMIRUWYSKOKRU-UHFFFAOYSA-N</t>
  </si>
  <si>
    <t>C6H8O3S</t>
  </si>
  <si>
    <t>14.56_230.1405m/z</t>
  </si>
  <si>
    <t>Peramine</t>
  </si>
  <si>
    <t>HMDB0256303</t>
  </si>
  <si>
    <t>CN1C(CCCNC(N)=N)=CN2C=CC=C2C1=O</t>
  </si>
  <si>
    <t>GQWWGRUJOCIUKI-UHFFFAOYSA-N</t>
  </si>
  <si>
    <t>Pyrrolopyrazines</t>
  </si>
  <si>
    <t>C12H17N5O</t>
  </si>
  <si>
    <t>12.86_257.1365m/z</t>
  </si>
  <si>
    <t>Dihydrobiopterin</t>
  </si>
  <si>
    <t>HMDB0000038</t>
  </si>
  <si>
    <t>C02953</t>
  </si>
  <si>
    <t>hsa00790</t>
  </si>
  <si>
    <t>Folate biosynthesis</t>
  </si>
  <si>
    <t>6779-87-9</t>
  </si>
  <si>
    <t>C[C@H](O)[C@H](O)C1=NC2=C(NC1)NC(N)=NC2=O</t>
  </si>
  <si>
    <t>FEMXZDUTFRTWPE-DZSWIPIPSA-N</t>
  </si>
  <si>
    <t>Pteridines and derivatives</t>
  </si>
  <si>
    <t>Pterins and derivatives</t>
  </si>
  <si>
    <t>C9H13N5O3</t>
  </si>
  <si>
    <t>0.80_132.1023m/z</t>
  </si>
  <si>
    <t>N,N-Diethylglycine</t>
  </si>
  <si>
    <t>C16647</t>
  </si>
  <si>
    <t>CCN(CC)CC(=O)O</t>
  </si>
  <si>
    <t>SGXDXUYKISDCAZ-UHFFFAOYSA-N</t>
  </si>
  <si>
    <t>0.68_141.9412n</t>
  </si>
  <si>
    <t>Disodium phosphate</t>
  </si>
  <si>
    <t>HMDB0303425</t>
  </si>
  <si>
    <t>C13558</t>
  </si>
  <si>
    <t>[Na+].[Na+].OP([O-])([O-])=O</t>
  </si>
  <si>
    <t>BNIILDVGGAEEIG-UHFFFAOYSA-L</t>
  </si>
  <si>
    <t>Mixed metal/non-metal compounds</t>
  </si>
  <si>
    <t>Alkali metal oxoanionic compounds</t>
  </si>
  <si>
    <t>Alkali metal phosphates</t>
  </si>
  <si>
    <t>HNa2O4P</t>
  </si>
  <si>
    <t>6.20_409.2238m/z</t>
  </si>
  <si>
    <t>Reichstein's substance E</t>
  </si>
  <si>
    <t>HMDB0245599</t>
  </si>
  <si>
    <t>CC12CC(O)C3C(CCC4=CC(=O)CCC34C)C1CCC2(O)C(O)CO</t>
  </si>
  <si>
    <t>AWWCEQOCFFQUKS-UHFFFAOYSA-N</t>
  </si>
  <si>
    <t>4.89_126.1282m/z</t>
  </si>
  <si>
    <t>Proxyl nitroxide</t>
  </si>
  <si>
    <t>HMDB0256877</t>
  </si>
  <si>
    <t>CC1(C)CCC(C)(C)N1[O]</t>
  </si>
  <si>
    <t>RPDUDBYMNGAHEM-UHFFFAOYSA-N</t>
  </si>
  <si>
    <t>C8H17NO</t>
  </si>
  <si>
    <t>7.22_511.2914m/z</t>
  </si>
  <si>
    <t>Pregnanetriol 3a-O-b-D-glucuronide</t>
  </si>
  <si>
    <t>HMDB0247360</t>
  </si>
  <si>
    <t>CC(O)C1(O)CCC2C3CCC4CC(CCC4(C)C3CCC12C)OC1OC(C(O)C(O)C1O)C(O)=O</t>
  </si>
  <si>
    <t>DUXHVCKABSGLJH-UHFFFAOYSA-N</t>
  </si>
  <si>
    <t>0.74_303.1438n</t>
  </si>
  <si>
    <t>Pro Thr Ser</t>
  </si>
  <si>
    <t>CC(C(C(=O)NC(CO)C(=O)O)NC(=O)C1CCCN1)O</t>
  </si>
  <si>
    <t>RMJZWERKFFNNNS-XGEHTFHBSA-N</t>
  </si>
  <si>
    <t>M+H, M+K, M+H-H2O</t>
  </si>
  <si>
    <t>10.49_363.2543m/z</t>
  </si>
  <si>
    <t>Ciprostene</t>
  </si>
  <si>
    <t>HMDB0250270</t>
  </si>
  <si>
    <t>CCCCCC(O)C=CC1C(O)CC2(C)CC(CC12)=CCCCC(O)=O</t>
  </si>
  <si>
    <t>VKPYUUBEDXIQIB-UHFFFAOYSA-N</t>
  </si>
  <si>
    <t>4.27_241.1192m/z</t>
  </si>
  <si>
    <t>7-(1-Imidazolyl)heptanoic acid</t>
  </si>
  <si>
    <t>HMDB0244878</t>
  </si>
  <si>
    <t>OC(=O)CCCCCCN1C=CN=C1</t>
  </si>
  <si>
    <t>KZUXSHYAXPMDNJ-UHFFFAOYSA-N</t>
  </si>
  <si>
    <t>C10H16N2O2</t>
  </si>
  <si>
    <t>8.56_424.3062m/z</t>
  </si>
  <si>
    <t>3alpha,7alpha-Dihydroxy-6-oxo-5beta-cholan-24-oic Acid</t>
  </si>
  <si>
    <t>LMST04010174</t>
  </si>
  <si>
    <t>C1[C@]2(C)[C@@]3([H])CC[C@]4(C)[C@@]([H])([C@]([H])(C)CCC(O)=O)CC[C@@]4([H])[C@]3([H])[C@H](O)C(=O)[C@]2([H])C[C@H](O)C1</t>
  </si>
  <si>
    <t>FBUKMTQUBMAGGF-BMCFZKMKSA-N</t>
  </si>
  <si>
    <t>8.31_367.0026m/z</t>
  </si>
  <si>
    <t>2-Thiouric acid</t>
  </si>
  <si>
    <t>HMDB0245324</t>
  </si>
  <si>
    <t>O=C1NC2=C(N1)C(=O)NC(=S)N2</t>
  </si>
  <si>
    <t>JDAXHCJXSLHZAG-UHFFFAOYSA-N</t>
  </si>
  <si>
    <t>C5H4N4O2S</t>
  </si>
  <si>
    <t>10.02_392.2928n</t>
  </si>
  <si>
    <t>3beta,12alpha-Dihydroxy-5alpha-cholan-24-oic Acid</t>
  </si>
  <si>
    <t>HMDB0000348</t>
  </si>
  <si>
    <t>LMST04010046</t>
  </si>
  <si>
    <t>2569-04-2</t>
  </si>
  <si>
    <t>C1[C@]2(C)[C@@]3([H])C[C@H](O)[C@]4(C)[C@@]([H])([C@]([H])(C)CCC(O)=O)CC[C@@]4([H])[C@]3([H])CC[C@@]2([H])C[C@@H](O)C1</t>
  </si>
  <si>
    <t>KXGVEGMKQFWNSR-UPSXFCICSA-N</t>
  </si>
  <si>
    <t>4.11_362.1886m/z</t>
  </si>
  <si>
    <t>Methotrimeprazine sulfoxide</t>
  </si>
  <si>
    <t>HMDB0254540</t>
  </si>
  <si>
    <t>7606-29-3</t>
  </si>
  <si>
    <t>COC1=CC2=C(C=C1)S(=O)C1=CC=CC=C1N2CC(C)CN(C)C</t>
  </si>
  <si>
    <t>CUJAZGOWDHBZEI-UHFFFAOYSA-N</t>
  </si>
  <si>
    <t>C19H24N2O2S</t>
  </si>
  <si>
    <t>4.83_219.1498m/z</t>
  </si>
  <si>
    <t>Dropropizine</t>
  </si>
  <si>
    <t>HMDB0251622</t>
  </si>
  <si>
    <t>17692-31-8</t>
  </si>
  <si>
    <t>OCC(O)CN1CCN(CC1)C1=CC=CC=C1</t>
  </si>
  <si>
    <t>PTVWPYVOOKLBCG-UHFFFAOYSA-N</t>
  </si>
  <si>
    <t>C13H20N2O2</t>
  </si>
  <si>
    <t>0.76_251.0420m/z</t>
  </si>
  <si>
    <t>Lipoic acid</t>
  </si>
  <si>
    <t>HMDB0001451</t>
  </si>
  <si>
    <t>LMFA01130001</t>
  </si>
  <si>
    <t>C16241</t>
  </si>
  <si>
    <t>hsa00785</t>
  </si>
  <si>
    <t>Lipoic acid metabolism</t>
  </si>
  <si>
    <t>1200-22-2</t>
  </si>
  <si>
    <t>OC(CCCC[C@@]1([H])SSCC1)=O</t>
  </si>
  <si>
    <t>AGBQKNBQESQNJD-SSDOTTSWSA-N</t>
  </si>
  <si>
    <t>Dithiolanes</t>
  </si>
  <si>
    <t>Lipoic acids and derivatives</t>
  </si>
  <si>
    <t>C8H14O2S2</t>
  </si>
  <si>
    <t>3.40_321.1856m/z</t>
  </si>
  <si>
    <t>11-Meo-fes</t>
  </si>
  <si>
    <t>HMDB0242521</t>
  </si>
  <si>
    <t>COC1CC2(C)C(O)C(F)CC2C2CCC3=C(C=CC(O)=C3)C12</t>
  </si>
  <si>
    <t>HPWNWIGEGOPWMQ-UHFFFAOYSA-N</t>
  </si>
  <si>
    <t>C19H25FO3</t>
  </si>
  <si>
    <t>5.06_393.0756m/z</t>
  </si>
  <si>
    <t>Zileuton O-glucuronide</t>
  </si>
  <si>
    <t>HMDB0060914</t>
  </si>
  <si>
    <t>CC(N(O[C@@H]1O[C@@H]([C@@H](O)[C@H](O)[C@H]1O)C(O)=O)C(O)=N)C1=CC2=CC=CC=C2S1</t>
  </si>
  <si>
    <t>CYYKQHWQVGZJRJ-UPZRFPAJSA-N</t>
  </si>
  <si>
    <t>C17H20N2O8S</t>
  </si>
  <si>
    <t>3.84_225.0990m/z</t>
  </si>
  <si>
    <t>Etofylline</t>
  </si>
  <si>
    <t>HMDB0252111</t>
  </si>
  <si>
    <t>CN1C2=C(N(CCO)C=N2)C(=O)N(C)C1=O</t>
  </si>
  <si>
    <t>NWPRCRWQMGIBOT-UHFFFAOYSA-N</t>
  </si>
  <si>
    <t>C9H12N4O3</t>
  </si>
  <si>
    <t>4.38_241.1192m/z</t>
  </si>
  <si>
    <t>Fasoracetam</t>
  </si>
  <si>
    <t>HMDB0252174</t>
  </si>
  <si>
    <t>O=C(C1CCC(=O)N1)N1CCCCC1</t>
  </si>
  <si>
    <t>GOWRRBABHQUJMX-UHFFFAOYSA-N</t>
  </si>
  <si>
    <t>8.73_489.2089m/z</t>
  </si>
  <si>
    <t>4-Ketoretinoic acid glucuronide</t>
  </si>
  <si>
    <t>HMDB0061689</t>
  </si>
  <si>
    <t>129518-39-4</t>
  </si>
  <si>
    <t>C\C(\C=C\C1=C(C)C(=O)CCC1(C)C)=C/C=C/C(/C)=C/C(=O)OC1OC(C(O)C(O)C1O)C(O)=O</t>
  </si>
  <si>
    <t>SIKFAVWPHMSCBL-FRCNGJHJSA-N</t>
  </si>
  <si>
    <t>C26H34O9</t>
  </si>
  <si>
    <t>4.26_576.2934m/z</t>
  </si>
  <si>
    <t>Cholylglutamic acid</t>
  </si>
  <si>
    <t>HMDB0242384</t>
  </si>
  <si>
    <t>CC(CCC(=O)NC(CCC(O)=O)C(O)=O)C1CCC2C3C(O)CC4CC(O)CCC4(C)C3CC(O)C12C</t>
  </si>
  <si>
    <t>CBUKBSJQVLLDJT-UHFFFAOYSA-N</t>
  </si>
  <si>
    <t>C29H47NO8</t>
  </si>
  <si>
    <t>9.58_302.3063m/z</t>
  </si>
  <si>
    <t>Stearic acid</t>
  </si>
  <si>
    <t>HMDB0000827</t>
  </si>
  <si>
    <t>LMFA01010018</t>
  </si>
  <si>
    <t>C01530</t>
  </si>
  <si>
    <t>57-11-4</t>
  </si>
  <si>
    <t>C(CCCCCCCC)CCCCCCCCC(=O)O</t>
  </si>
  <si>
    <t>QIQXTHQIDYTFRH-UHFFFAOYSA-N</t>
  </si>
  <si>
    <t>4.13_242.0909n</t>
  </si>
  <si>
    <t>Telbivudine</t>
  </si>
  <si>
    <t>HMDB0015394</t>
  </si>
  <si>
    <t>3424-98-4</t>
  </si>
  <si>
    <t>CC1=CN([C@@H]2C[C@@H](O)[C@H](CO)O2)C(=O)NC1=O</t>
  </si>
  <si>
    <t>IQFYYKKMVGJFEH-CSMHCCOUSA-N</t>
  </si>
  <si>
    <t>C10H14N2O5</t>
  </si>
  <si>
    <t>7.26_338.0639m/z</t>
  </si>
  <si>
    <t>Glutathione peroxide</t>
  </si>
  <si>
    <t>HMDB0252820</t>
  </si>
  <si>
    <t>NC1CCC(=O)NC(CS)C(=O)NCC(=O)OOOOC1=O</t>
  </si>
  <si>
    <t>AWVSETWNTPXALU-UHFFFAOYSA-N</t>
  </si>
  <si>
    <t>C10H15N3O8S</t>
  </si>
  <si>
    <t>8.94_235.0000m/z</t>
  </si>
  <si>
    <t>Shikimic acid 3-phosphate</t>
  </si>
  <si>
    <t>HMDB0301781</t>
  </si>
  <si>
    <t>C03175</t>
  </si>
  <si>
    <t>hsa00400</t>
  </si>
  <si>
    <t>Phenylalanine, tyrosine and tryptophan biosynthesis</t>
  </si>
  <si>
    <t>63959-45-5</t>
  </si>
  <si>
    <t>O[C@@H]1CC(=C[C@@H](OP(O)(O)=O)[C@H]1O)C(O)=O</t>
  </si>
  <si>
    <t>QYOJSKGCWNAKGW-PBXRRBTRSA-N</t>
  </si>
  <si>
    <t>C7H11O8P</t>
  </si>
  <si>
    <t>4.85_364.1992m/z</t>
  </si>
  <si>
    <t>(1S,3R,4R)-8,10-Dihydroxyfenchone 10-O-b-D-glucoside</t>
  </si>
  <si>
    <t>HMDB0033223</t>
  </si>
  <si>
    <t>217960-77-5</t>
  </si>
  <si>
    <t>CC1(CO)C2CCC(COC3OC(CO)C(O)C(O)C3O)(C2)C1=O</t>
  </si>
  <si>
    <t>VOSKDOKSPQKSPY-UHFFFAOYSA-N</t>
  </si>
  <si>
    <t>11.38_526.3516m/z</t>
  </si>
  <si>
    <t>1-O-Hexadecyl-sn-glycero-3-phosphocholine</t>
  </si>
  <si>
    <t>HMDB0243890</t>
  </si>
  <si>
    <t>C13903</t>
  </si>
  <si>
    <t>52691-62-0</t>
  </si>
  <si>
    <t>CCCCCCCCCCCCCCCCOCC(O)COP([O-])(=O)OCC[N+](C)(C)C</t>
  </si>
  <si>
    <t>VLBPIWYTPAXCFJ-UHFFFAOYSA-N</t>
  </si>
  <si>
    <t>1.51_254.1619m/z</t>
  </si>
  <si>
    <t>Arginylproline</t>
  </si>
  <si>
    <t>HMDB0028717</t>
  </si>
  <si>
    <t>2418-69-1</t>
  </si>
  <si>
    <t>N[C@@H](CCCNC(N)=N)C(=O)N1CCC[C@H]1C(O)=O</t>
  </si>
  <si>
    <t>LQJAALCCPOTJGB-YUMQZZPRSA-N</t>
  </si>
  <si>
    <t>C11H21N5O3</t>
  </si>
  <si>
    <t>5.12_148.1124m/z</t>
  </si>
  <si>
    <t>Pseudoephedrine</t>
  </si>
  <si>
    <t>HMDB0001943</t>
  </si>
  <si>
    <t>C02765</t>
  </si>
  <si>
    <t>90-82-4</t>
  </si>
  <si>
    <t>CN[C@@H](C)[C@@H](O)C1=CC=CC=C1</t>
  </si>
  <si>
    <t>KWGRBVOPPLSCSI-WCBMZHEXSA-N</t>
  </si>
  <si>
    <t>C10H15NO</t>
  </si>
  <si>
    <t>9.32_404.2192m/z</t>
  </si>
  <si>
    <t>Tetradeca-2,4,6-trienoylcarnitine</t>
  </si>
  <si>
    <t>HMDB0241406</t>
  </si>
  <si>
    <t>CCCCCCCC=CC=CC=CC(=O)OC(CC([O-])=O)C[N+](C)(C)C</t>
  </si>
  <si>
    <t>PVRSLSVNARWFMS-UHFFFAOYSA-N</t>
  </si>
  <si>
    <t>C21H35NO4</t>
  </si>
  <si>
    <t>2.82_231.1479n</t>
  </si>
  <si>
    <t>Isobutyryl-L-carnitine</t>
  </si>
  <si>
    <t>HMDB00736</t>
  </si>
  <si>
    <t>LMFA07070075</t>
  </si>
  <si>
    <t>[N+](C)(C)(C)CC(OC(=O)C(C)C)CC(=O)[O-]</t>
  </si>
  <si>
    <t>LRCNOZRCYBNMEP-UHFFFAOYSA-N</t>
  </si>
  <si>
    <t>C11H21NO4</t>
  </si>
  <si>
    <t>1.07_233.1503m/z</t>
  </si>
  <si>
    <t>Isoleucyl-Threonine</t>
  </si>
  <si>
    <t>HMDB0028917</t>
  </si>
  <si>
    <t>CCC(C)C(N)C(=O)NC(C(C)O)C(O)=O</t>
  </si>
  <si>
    <t>DRCKHKZYDLJYFQ-UHFFFAOYSA-N</t>
  </si>
  <si>
    <t>0.72_262.1043m/z</t>
  </si>
  <si>
    <t>Asparaginylglutamic acid</t>
  </si>
  <si>
    <t>HMDB0028730</t>
  </si>
  <si>
    <t>20917-58-2</t>
  </si>
  <si>
    <t>N[C@@H](CC(N)=O)C(=O)N[C@@H](CCC(O)=O)C(O)=O</t>
  </si>
  <si>
    <t>IIFDPDVJAHQFSR-WHFBIAKZSA-N</t>
  </si>
  <si>
    <t>11.40_415.2468m/z</t>
  </si>
  <si>
    <t>DG(2:0/0:0/20:4(6E,8Z,11Z,14Z)+=O(5))</t>
  </si>
  <si>
    <t>HMDB0296949</t>
  </si>
  <si>
    <t>CCCCC\C=C/C\C=C/C\C=C/C=C/C(=O)CCCC(=O)OC[C@H](O)COC(C)=O</t>
  </si>
  <si>
    <t>IDXOWNAIHTXVDE-HCLKCNTMSA-N</t>
  </si>
  <si>
    <t>C25H38O6</t>
  </si>
  <si>
    <t>13.02_664.4933n</t>
  </si>
  <si>
    <t>DG(i-16:0/PGE2/0:0)</t>
  </si>
  <si>
    <t>HMDB0299188</t>
  </si>
  <si>
    <t>CCCCC[C@H](O)\C=C\[C@H]1[C@H](O)CC(=O)[C@@H]1C\C=C/CCCC(=O)O[C@@H](CO)COC(=O)CCCCCCCCCCCCC(C)C</t>
  </si>
  <si>
    <t>ATJUAUSSQDGDJU-NLAFRSLUSA-N</t>
  </si>
  <si>
    <t>8.91_306.1722m/z</t>
  </si>
  <si>
    <t>Ethylsuberenol</t>
  </si>
  <si>
    <t>HMDB0039044</t>
  </si>
  <si>
    <t>86682-61-3</t>
  </si>
  <si>
    <t>CCOC(C)(C)\C=C\C1=CC2=C(OC(=O)C=C2)C=C1OC</t>
  </si>
  <si>
    <t>BAIKIOHEOXKBCN-CMDGGOBGSA-N</t>
  </si>
  <si>
    <t>C17H20O4</t>
  </si>
  <si>
    <t>5.55_245.1393m/z</t>
  </si>
  <si>
    <t>3-hydroxy-dodecanedioic acid</t>
  </si>
  <si>
    <t>HMDB0000413</t>
  </si>
  <si>
    <t>LMFA01170089</t>
  </si>
  <si>
    <t>34574-69-1</t>
  </si>
  <si>
    <t>C(=O)(O)CC(O)CCCCCCCCC(=O)O</t>
  </si>
  <si>
    <t>FYVQCLGZFXHEGL-UHFFFAOYSA-N</t>
  </si>
  <si>
    <t>C12H22O5</t>
  </si>
  <si>
    <t>12.26_491.3749m/z</t>
  </si>
  <si>
    <t>13'hydroxy-alpha-tocopherol</t>
  </si>
  <si>
    <t>HMDB0012559</t>
  </si>
  <si>
    <t>LMPR02020075</t>
  </si>
  <si>
    <t>C1(C)=C(C)C2O[C@@](CCC[C@]([H])(C)CCC[C@]([H])(C)CCCC(CO)C)(C)CCC=2C(C)=C1O</t>
  </si>
  <si>
    <t>URYLCCKXLNXSRS-XIRVVSDESA-N</t>
  </si>
  <si>
    <t>C29H50O3</t>
  </si>
  <si>
    <t>4.05_476.2733m/z</t>
  </si>
  <si>
    <t>PC(13:0/0:0)</t>
  </si>
  <si>
    <t>LMGP01050001</t>
  </si>
  <si>
    <t>[C@](COP(=O)([O-])OCC[N+](C)(C)C)([H])(O)COC(CCCCCCCCCCCC)=O</t>
  </si>
  <si>
    <t>WNRCJJWBAXNAPE-HXUWFJFHSA-N</t>
  </si>
  <si>
    <t>10.99_729.4334m/z</t>
  </si>
  <si>
    <t>PA(20:4(5Z,8Z,11Z,14Z)-OH(17)/i-14:0)</t>
  </si>
  <si>
    <t>HMDB0267532</t>
  </si>
  <si>
    <t>[H][C@@](COC(=O)CCC\C=C/C\C=C/C\C=C/C\C=C/CC(O)CCC)(COP(O)(O)=O)OC(=O)CCCCCCCCCCC(C)C</t>
  </si>
  <si>
    <t>AAMQLHOLRAXALJ-MGADJZCQSA-N</t>
  </si>
  <si>
    <t>C37H65O9P</t>
  </si>
  <si>
    <t>4.05_200.1288m/z</t>
  </si>
  <si>
    <t>Ecgoninium Methyl Ester(1+)</t>
  </si>
  <si>
    <t>HMDB0062751</t>
  </si>
  <si>
    <t>[H][C@@]12CC[C@@]([H])([NH+]1C)[C@@]([H])(C(=O)OC)[C@@]([H])(O)C2</t>
  </si>
  <si>
    <t>QIQNNBXHAYSQRY-UYXSQOIJSA-O</t>
  </si>
  <si>
    <t>C10H18NO3+</t>
  </si>
  <si>
    <t>11.75_620.3933m/z</t>
  </si>
  <si>
    <t>PC(22:2(13Z,16Z)/0:0)</t>
  </si>
  <si>
    <t>HMDB0010400</t>
  </si>
  <si>
    <t>LMGP01050135</t>
  </si>
  <si>
    <t>[C@](COP(=O)([O-])OCC[N+](C)(C)C)([H])(O)COC(CCCCCCCCCCC/C=C\C/C=C\CCCCC)=O</t>
  </si>
  <si>
    <t>YMGXOQLWSYJFSD-FALRGZJFSA-N</t>
  </si>
  <si>
    <t>C30H58NO7P</t>
  </si>
  <si>
    <t>12.13_533.3848m/z</t>
  </si>
  <si>
    <t>1alpha,25-dihydroxy-2beta-butoxyvitamin D3 / 1alpha,25-dihydroxy-2beta-butoxycholecalciferol</t>
  </si>
  <si>
    <t>LMST03020509</t>
  </si>
  <si>
    <t>[C@@H]1(O)C(=C)/C(=C\C=C2\[C@]3([H])CC[C@@]([C@@](C)([H])CCCC(O)(C)C)([H])[C@@]3(C)CCC\2)/C[C@@H](O)[C@H]1OCCCC</t>
  </si>
  <si>
    <t>SSCKPSFTQNHIRZ-KKPDRENHSA-N</t>
  </si>
  <si>
    <t>C31H52O4</t>
  </si>
  <si>
    <t>4.93_655.2946m/z</t>
  </si>
  <si>
    <t>Officinoterpenoside A1</t>
  </si>
  <si>
    <t>LMPR0104050019</t>
  </si>
  <si>
    <t>C1C[C@H](O)[C@@](C)(C)[C@]2([H])CC(=O)C3=CC(CC(C)O)=C(O[C@H]4[C@H](O[C@H]5[C@H](O)[C@@H](O)[C@H](O)[C@@H](CO)O5)[C@@H](O)[C@H](O)[C@@H](CO)O4)C(O)=C3[C@@]12C</t>
  </si>
  <si>
    <t>NCVFPCPIHCRRII-VFTRKHKPSA-N</t>
  </si>
  <si>
    <t>C32H48O15</t>
  </si>
  <si>
    <t>552</t>
  </si>
  <si>
    <t>7b-Hydroxycholesterol</t>
  </si>
  <si>
    <t>CC(C)CCCC(C)C1CCC2C1(CCC3C2C(C=C4C3(CCC(C4)O)C)O)C</t>
  </si>
  <si>
    <t>OYXZMSRRJOYLLO-ZUNFEJMISA-N</t>
  </si>
  <si>
    <t>5.87_263.1289m/z</t>
  </si>
  <si>
    <t>Alkhanin</t>
  </si>
  <si>
    <t>HMDB0036202</t>
  </si>
  <si>
    <t>71327-31-6</t>
  </si>
  <si>
    <t>CC1C2CCC3(C)C(O)CC(=O)C(C)=C3C2OC1=O</t>
  </si>
  <si>
    <t>RARZBOWMYCHUMB-UHFFFAOYSA-N</t>
  </si>
  <si>
    <t>C15H20O4</t>
  </si>
  <si>
    <t>11.21_345.2436m/z</t>
  </si>
  <si>
    <t>Taxa-4(20),11(12)-dien-5alpha-acetoxy-10beta-ol</t>
  </si>
  <si>
    <t>LMPR0104390006</t>
  </si>
  <si>
    <t>C11898</t>
  </si>
  <si>
    <t>[C@@]12([C@@](C)(CC[C@@H](C1=C)OC(=O)C)C[C@@H](C1=C(CC[C@]([H])(C1(C)C)C2)C)O)[H]</t>
  </si>
  <si>
    <t>BMPKIAPYMZISRD-PQTWGXLHSA-N</t>
  </si>
  <si>
    <t>12.13_715.5340m/z</t>
  </si>
  <si>
    <t>Siegesbeckin C</t>
  </si>
  <si>
    <t>LMFA07090106</t>
  </si>
  <si>
    <t>C(=O)(O[C@H](C(C)C)[C@@H](O)C(=O)OC)CCCCCCCCCCCC</t>
  </si>
  <si>
    <t>GGDBPLUALAQSBY-RTBURBONSA-N</t>
  </si>
  <si>
    <t>5.92_208.9842m/z</t>
  </si>
  <si>
    <t>3,5-Dinitrosalicylic acid</t>
  </si>
  <si>
    <t>HMDB0246071</t>
  </si>
  <si>
    <t>C11319</t>
  </si>
  <si>
    <t>609-99-4</t>
  </si>
  <si>
    <t>OC(=O)C1=CC(=CC(=C1O)[N+]([O-])=O)[N+]([O-])=O</t>
  </si>
  <si>
    <t>LWFUFLREGJMOIZ-UHFFFAOYSA-N</t>
  </si>
  <si>
    <t>C7H4N2O7</t>
  </si>
  <si>
    <t>8.15_337.1229m/z</t>
  </si>
  <si>
    <t>3-Hydroxymugineic acid</t>
  </si>
  <si>
    <t>HMDB0033927</t>
  </si>
  <si>
    <t>74235-23-7</t>
  </si>
  <si>
    <t>OC(CN1CC(O)C1C(O)=O)C(NCCC(O)C(O)=O)C(O)=O</t>
  </si>
  <si>
    <t>QPIOQLJXMZWNFJ-UHFFFAOYSA-N</t>
  </si>
  <si>
    <t>C12H20N2O9</t>
  </si>
  <si>
    <t>10.63_435.2163m/z</t>
  </si>
  <si>
    <t>Cadabicine</t>
  </si>
  <si>
    <t>HMDB0033451</t>
  </si>
  <si>
    <t>99964-83-7</t>
  </si>
  <si>
    <t>[H]\C1=C([H])\C(O)=NCCCNCCCCN=C(O)\C([H])=C([H])/C2=CC(OC3=CC=C1C=C3)=C(O)C=C2</t>
  </si>
  <si>
    <t>QBKGCCSZLPZTIE-AJDRMPRJSA-N</t>
  </si>
  <si>
    <t>C25H29N3O4</t>
  </si>
  <si>
    <t>6.70_152.9959m/z</t>
  </si>
  <si>
    <t>Vinylphosphonic acid</t>
  </si>
  <si>
    <t>HMDB0259829</t>
  </si>
  <si>
    <t>OP(O)(=O)C=C</t>
  </si>
  <si>
    <t>ZTWTYVWXUKTLCP-UHFFFAOYSA-N</t>
  </si>
  <si>
    <t>Organic phosphonic acids</t>
  </si>
  <si>
    <t>C2H5O3P</t>
  </si>
  <si>
    <t>6.89_438.2866m/z</t>
  </si>
  <si>
    <t>Dimethyl 3-methoxy-4-oxo-5-(8,11,14-pentadecatrienyl)-2-hexenedioate</t>
  </si>
  <si>
    <t>HMDB0032099</t>
  </si>
  <si>
    <t>COC(=O)\C=C(\OC)C(=O)C(CCCCCCC\C=C\C\C=C\CC=C)C(=O)OC</t>
  </si>
  <si>
    <t>DSALQCDYXNDYHC-ZMEURTSISA-N</t>
  </si>
  <si>
    <t>Beta-keto acids and derivatives</t>
  </si>
  <si>
    <t>C24H36O6</t>
  </si>
  <si>
    <t>9.26_361.3437m/z</t>
  </si>
  <si>
    <t>cis-9,10-Epoxytricosane</t>
  </si>
  <si>
    <t>LMFA12000329</t>
  </si>
  <si>
    <t>CCCCCCCC[C@@H]1O[C@@H]1CCCCCCCCCCCCC</t>
  </si>
  <si>
    <t>ABEVMMJCCLROBC-XZOQPEGZSA-N</t>
  </si>
  <si>
    <t>C23H46O</t>
  </si>
  <si>
    <t>0.74_267.0595m/z</t>
  </si>
  <si>
    <t>1-[(2R,3S,5R)-3,4-Dihydroxy-5-(hydroxymethyl)oxolan-2-yl]pyrimidine-2,4-dione</t>
  </si>
  <si>
    <t>HMDB0246131</t>
  </si>
  <si>
    <t>OCC1OC(C(O)C1O)N1C=CC(O)=NC1=O</t>
  </si>
  <si>
    <t>DRTQHJPVMGBUCF-UHFFFAOYSA-N</t>
  </si>
  <si>
    <t>C9H12N2O6</t>
  </si>
  <si>
    <t>4.00_295.1663m/z</t>
  </si>
  <si>
    <t>Tyrosyl-Leucine</t>
  </si>
  <si>
    <t>HMDB0029109</t>
  </si>
  <si>
    <t>CC(C)CC(N=C(O)C(N)CC1=CC=C(O)C=C1)C(O)=O</t>
  </si>
  <si>
    <t>AUEJLPRZGVVDNU-UHFFFAOYSA-N</t>
  </si>
  <si>
    <t>9.87_455.2475m/z</t>
  </si>
  <si>
    <t>7-Methoxy-1,2,3,4-tetrahydroacridin-9-amine</t>
  </si>
  <si>
    <t>HMDB0247272</t>
  </si>
  <si>
    <t>COC1=CC2=C(C=C1)N=C1CCCCC1=C2N</t>
  </si>
  <si>
    <t>APQPVVOYBLOJDY-UHFFFAOYSA-N</t>
  </si>
  <si>
    <t>C14H16N2O</t>
  </si>
  <si>
    <t>0.76_260.0234m/z</t>
  </si>
  <si>
    <t>O-Sulfotyrosine</t>
  </si>
  <si>
    <t>HMDB0155722</t>
  </si>
  <si>
    <t>956-46-7</t>
  </si>
  <si>
    <t>N[C@@H](CC1=CC=C(OS(O)(=O)=O)C=C1)C(O)=O</t>
  </si>
  <si>
    <t>CIQHWLTYGMYQQR-QMMMGPOBSA-N</t>
  </si>
  <si>
    <t>C9H11NO6S</t>
  </si>
  <si>
    <t>3.98_421.2572m/z</t>
  </si>
  <si>
    <t>(-)-Fusicoplagin A</t>
  </si>
  <si>
    <t>LMPR0104350001</t>
  </si>
  <si>
    <t>[C@H]1(C)[C@H](OC(=O)C)[C@H](O)[C@@]2([H])[C@](O)(C(C)C)CC[C@]2(COC(=O)C)C[C@@]2([H])C(=C)[C@@H](O)C[C@@]12[H]</t>
  </si>
  <si>
    <t>AMBIXBPMZZPLEH-RITQMIIASA-N</t>
  </si>
  <si>
    <t>C24H38O7</t>
  </si>
  <si>
    <t>10.13_194.1312n</t>
  </si>
  <si>
    <t>Cucujolide IV</t>
  </si>
  <si>
    <t>LMFA07040036</t>
  </si>
  <si>
    <t>C1(O[C@H](C)CCCC=CCC=CC1)=O</t>
  </si>
  <si>
    <t>FAMIQKMUIARKKU-GTHUGJSGSA-N</t>
  </si>
  <si>
    <t>9.03_317.2122m/z</t>
  </si>
  <si>
    <t>9-Deoxy-delta12-PGD2</t>
  </si>
  <si>
    <t>HMDB0060103</t>
  </si>
  <si>
    <t>CCCCC[C@H](O)C\C=C1/[C@@H](C\C=C/CCCC(O)=O)CCC1=O</t>
  </si>
  <si>
    <t>JTEYGOLPGOYFJI-GJGHEGAFSA-N</t>
  </si>
  <si>
    <t>9.01_358.2965m/z</t>
  </si>
  <si>
    <t>10-Methyldodecanoylcarnitine</t>
  </si>
  <si>
    <t>HMDB0240820</t>
  </si>
  <si>
    <t>CCC(C)CCCCCCCCC(=O)OC(CC([O-])=O)C[N+](C)(C)C</t>
  </si>
  <si>
    <t>JSHRDBPPSYOBHE-UHFFFAOYSA-N</t>
  </si>
  <si>
    <t>8.97_378.2419m/z</t>
  </si>
  <si>
    <t>Resolvin T2</t>
  </si>
  <si>
    <t>LMFA04000092</t>
  </si>
  <si>
    <t>C(CCCCCC(O)C(O)/C=C/C=C/C(/O)=C/C=C\CC/C=C\CC)(=O)O</t>
  </si>
  <si>
    <t>BMRQERYILQNQEK-OZHKUJGYSA-N</t>
  </si>
  <si>
    <t>10.75_249.1856m/z</t>
  </si>
  <si>
    <t>5-(3,4-dimethyl-5-pentylfuran-2-yl)-pentanoic acid</t>
  </si>
  <si>
    <t>HMDB0112085</t>
  </si>
  <si>
    <t>LMFA01150024</t>
  </si>
  <si>
    <t>116627-36-2</t>
  </si>
  <si>
    <t>C(CC)CCC1=C(C)C(C)=C(CCCCC(=O)O)O1</t>
  </si>
  <si>
    <t>IVHFOCAFZRRFIX-UHFFFAOYSA-N</t>
  </si>
  <si>
    <t>5.77_411.2393m/z</t>
  </si>
  <si>
    <t>Leu Ile Trp</t>
  </si>
  <si>
    <t>CCC(C)C(C(=O)NC(CC1=CNC2=CC=CC=C21)C(=O)O)NC(=O)C(CC(C)C)N</t>
  </si>
  <si>
    <t>TVEOVCYCYGKVPP-HSCHXYMDSA-N</t>
  </si>
  <si>
    <t>9.52_380.2420m/z</t>
  </si>
  <si>
    <t>20alpha-DHOPA</t>
  </si>
  <si>
    <t>LMST02030224</t>
  </si>
  <si>
    <t>O=C1C=C2CC[C@]3([H])[C@@]([H])([C@@]2(C)CC1)[C@@H](O)C[C@]1(C)[C@@H]([C@H](C(O)=O)O)CC[C@]13[H]</t>
  </si>
  <si>
    <t>NCZRCNAAHNGILW-PUNHBPBZSA-N</t>
  </si>
  <si>
    <t>6.84_331.1765m/z</t>
  </si>
  <si>
    <t>Neomenthol-glucuronide</t>
  </si>
  <si>
    <t>HMDB0060012</t>
  </si>
  <si>
    <t>CC(C)C1CCC(C)CC1O[C@@H]1O[C@@H]([C@@H](O)[C@H](O)[C@H]1O)C(O)=O</t>
  </si>
  <si>
    <t>CLJGMBYGTHRUNF-SHLVDPONSA-N</t>
  </si>
  <si>
    <t>C16H28O7</t>
  </si>
  <si>
    <t>8.15_529.2033m/z</t>
  </si>
  <si>
    <t>Agaritinal</t>
  </si>
  <si>
    <t>HMDB0040694</t>
  </si>
  <si>
    <t>114847-20-0</t>
  </si>
  <si>
    <t>NC(CCC(=O)NNC1=CC=C(C=O)C=C1)C(O)=O</t>
  </si>
  <si>
    <t>OLPOUQMVOMXOGV-UHFFFAOYSA-N</t>
  </si>
  <si>
    <t>C12H15N3O4</t>
  </si>
  <si>
    <t>5.25_270.1248m/z</t>
  </si>
  <si>
    <t>Hydroxylated N-acetyl desmethyl frovatriptan</t>
  </si>
  <si>
    <t>HMDB0061151</t>
  </si>
  <si>
    <t>CC(=O)NC1CCC2NC3=C(O)C=C(C=C3C2C1)C(N)=O</t>
  </si>
  <si>
    <t>CDCOGHQILPZANE-UHFFFAOYSA-N</t>
  </si>
  <si>
    <t>C15H19N3O3</t>
  </si>
  <si>
    <t>14.47_339.3268m/z</t>
  </si>
  <si>
    <t>10-Undecen-1-ol</t>
  </si>
  <si>
    <t>HMDB0031016</t>
  </si>
  <si>
    <t>LMFA05000587</t>
  </si>
  <si>
    <t>112-43-6</t>
  </si>
  <si>
    <t>OCCCCCCCCCC=C</t>
  </si>
  <si>
    <t>GIEMHYCMBGELGY-UHFFFAOYSA-N</t>
  </si>
  <si>
    <t>C11H22O</t>
  </si>
  <si>
    <t>3.64_155.0455m/z</t>
  </si>
  <si>
    <t>Hydantoin-5-propionic acid</t>
  </si>
  <si>
    <t>HMDB0001212</t>
  </si>
  <si>
    <t>C05565</t>
  </si>
  <si>
    <t>5624-26-0</t>
  </si>
  <si>
    <t>OC(=O)CCC1NC(=O)NC1=O</t>
  </si>
  <si>
    <t>VWFWNXQAMGDPGG-UHFFFAOYSA-N</t>
  </si>
  <si>
    <t>Azolidines</t>
  </si>
  <si>
    <t>Imidazolidines</t>
  </si>
  <si>
    <t>C6H8N2O4</t>
  </si>
  <si>
    <t>9.30_423.2389m/z</t>
  </si>
  <si>
    <t>Prostaglandin G2 2-glyceryl Ester</t>
  </si>
  <si>
    <t>HMDB0062591</t>
  </si>
  <si>
    <t>[H]\C(CCCC(=O)OC(CO)CO)=C(/[H])C[C@@]1([H])[C@]2([H])C[C@@]([H])(OO2)[C@]1([H])C(\[H])=C(/[H])[C@]([H])(CCCCC)OO</t>
  </si>
  <si>
    <t>CSMKZOGJSGGURC-PKBBWAGBSA-N</t>
  </si>
  <si>
    <t>C23H38O8</t>
  </si>
  <si>
    <t>7.86_253.0820m/z</t>
  </si>
  <si>
    <t>2-Carboxy-5,7-dimethyl-4-octanolide</t>
  </si>
  <si>
    <t>HMDB0030986</t>
  </si>
  <si>
    <t>CC(C)CC(C)C1CC(C(O)=O)C(=O)O1</t>
  </si>
  <si>
    <t>FEFSWWMYJINUMK-UHFFFAOYSA-N</t>
  </si>
  <si>
    <t>4.50_277.1557m/z</t>
  </si>
  <si>
    <t>Leucylphenylalanine</t>
  </si>
  <si>
    <t>HMDB0013243</t>
  </si>
  <si>
    <t>3063-05-6</t>
  </si>
  <si>
    <t>CC(C)C[C@H](N)C(=O)N[C@@H](CC1=CC=CC=C1)C(O)=O</t>
  </si>
  <si>
    <t>KFKWRHQBZQICHA-STQMWFEESA-N</t>
  </si>
  <si>
    <t>C15H22N2O3</t>
  </si>
  <si>
    <t>9.83_374.3641m/z</t>
  </si>
  <si>
    <t>Phellonic acid</t>
  </si>
  <si>
    <t>HMDB0302963</t>
  </si>
  <si>
    <t>LMFA01050079</t>
  </si>
  <si>
    <t>C19623</t>
  </si>
  <si>
    <t>C(CCCCCCCCCCCCC(=O)O)CCCCCCCCO</t>
  </si>
  <si>
    <t>IBPVZXPSTLXWCG-UHFFFAOYSA-N</t>
  </si>
  <si>
    <t>C22H44O3</t>
  </si>
  <si>
    <t>13.77_517.3896m/z</t>
  </si>
  <si>
    <t>Gorgostane-3beta,5alpha,6beta,11alpha,12beta-pentol 12-acetate</t>
  </si>
  <si>
    <t>LMST01060029</t>
  </si>
  <si>
    <t>C1[C@]2(C)[C@@]3([H])[C@H](O)[C@@H](OC(=O)C)[C@]4(C)[C@@]([H])([C@]([H])(C)[C@H]5C[C@]5(C)[C@H](C)C(C)C)CC[C@@]4([H])[C@]3([H])C[C@@H](O)[C@@]2(O)C[C@@H](O)C1</t>
  </si>
  <si>
    <t>FGPCLLDBPOWQHC-ZHQAUILWSA-N</t>
  </si>
  <si>
    <t>C32H54O6</t>
  </si>
  <si>
    <t>4.28_519.2051m/z</t>
  </si>
  <si>
    <t>Sildenafil</t>
  </si>
  <si>
    <t>HMDB0005039</t>
  </si>
  <si>
    <t>C07259</t>
  </si>
  <si>
    <t>139755-83-2</t>
  </si>
  <si>
    <t>CCCC1=NN(C)C2=C1NC(=NC2=O)C1=C(OCC)C=CC(=C1)S(=O)(=O)N1CCN(C)CC1</t>
  </si>
  <si>
    <t>BNRNXUUZRGQAQC-UHFFFAOYSA-N</t>
  </si>
  <si>
    <t>C22H30N6O4S</t>
  </si>
  <si>
    <t>6.54_290.2700m/z</t>
  </si>
  <si>
    <t>Juniperic acid</t>
  </si>
  <si>
    <t>HMDB0006294</t>
  </si>
  <si>
    <t>LMFA01050051</t>
  </si>
  <si>
    <t>C18218</t>
  </si>
  <si>
    <t>506-13-8</t>
  </si>
  <si>
    <t>C(CCCCCCCCCCCCCO)CC(=O)O</t>
  </si>
  <si>
    <t>UGAGPNKCDRTDHP-UHFFFAOYSA-N</t>
  </si>
  <si>
    <t>7.52_487.1930m/z</t>
  </si>
  <si>
    <t>Estriol succinate</t>
  </si>
  <si>
    <t>HMDB0251979</t>
  </si>
  <si>
    <t>CC12CCC3C(CCC4=CC(O)=CC=C34)C1CC(OC(=O)CCC(O)=O)C2OC(=O)CCC(O)=O</t>
  </si>
  <si>
    <t>VBRVDDFOBZNCPF-UHFFFAOYSA-N</t>
  </si>
  <si>
    <t>C26H32O9</t>
  </si>
  <si>
    <t>11.32_468.9939m/z</t>
  </si>
  <si>
    <t>Pamidronate</t>
  </si>
  <si>
    <t>HMDB0014427</t>
  </si>
  <si>
    <t>C07395</t>
  </si>
  <si>
    <t>40391-99-9</t>
  </si>
  <si>
    <t>NCCC(O)(P(O)(O)=O)P(O)(O)=O</t>
  </si>
  <si>
    <t>WRUUGTRCQOWXEG-UHFFFAOYSA-N</t>
  </si>
  <si>
    <t>C3H11NO7P2</t>
  </si>
  <si>
    <t>4.46_231.1479n</t>
  </si>
  <si>
    <t>O-butanoyl-carnitine</t>
  </si>
  <si>
    <t>HMDB0002013</t>
  </si>
  <si>
    <t>LMFA07070003</t>
  </si>
  <si>
    <t>C02862</t>
  </si>
  <si>
    <t>25576-40-3</t>
  </si>
  <si>
    <t>O=C(O[C@](CC([O-])=O)(C[N+](C)(C)C)[H])CCC</t>
  </si>
  <si>
    <t>QWYFHHGCZUCMBN-SECBINFHSA-N</t>
  </si>
  <si>
    <t>9.77_471.3420m/z</t>
  </si>
  <si>
    <t>10-Deoxymethymycin</t>
  </si>
  <si>
    <t>LMPK04000035</t>
  </si>
  <si>
    <t>C11994</t>
  </si>
  <si>
    <t>[C@@H]1([C@H](O)[C@@H](N(C)C)C[C@@H](C)O1)O[C@@H]1[C@@H](C)C(=O)O[C@H](CC)[C@H](C)C=CC(=O)[C@H](C)C[C@@H]1C</t>
  </si>
  <si>
    <t>DZGHWPQKGWXOHD-NHLONWFASA-N</t>
  </si>
  <si>
    <t>C25H43NO6</t>
  </si>
  <si>
    <t>14.47_453.2780m/z</t>
  </si>
  <si>
    <t>Verapamil</t>
  </si>
  <si>
    <t>HMDB0001850</t>
  </si>
  <si>
    <t>C07188</t>
  </si>
  <si>
    <t>52-53-9</t>
  </si>
  <si>
    <t>COC1=C(OC)C=C(CCN(C)CCCC(C#N)(C(C)C)C2=CC(OC)=C(OC)C=C2)C=C1</t>
  </si>
  <si>
    <t>SGTNSNPWRIOYBX-UHFFFAOYSA-N</t>
  </si>
  <si>
    <t>C27H38N2O4</t>
  </si>
  <si>
    <t>8.57_369.1742m/z</t>
  </si>
  <si>
    <t>Piperonyl sulfoxide</t>
  </si>
  <si>
    <t>HMDB0258607</t>
  </si>
  <si>
    <t>C19147</t>
  </si>
  <si>
    <t>120-62-7</t>
  </si>
  <si>
    <t>CCCCCCCCS(=O)C(C)CC1=CC2=C(OCO2)C=C1</t>
  </si>
  <si>
    <t>ATTZFSUZZUNHBP-UHFFFAOYSA-N</t>
  </si>
  <si>
    <t>C18H28O3S</t>
  </si>
  <si>
    <t>4.90_481.1697m/z</t>
  </si>
  <si>
    <t>Rolapitant</t>
  </si>
  <si>
    <t>HMDB0257293</t>
  </si>
  <si>
    <t>CC(OCC1(CCC2(CCC(=O)N2)CN1)C1=CC=CC=C1)C1=CC(=CC(=C1)C(F)(F)F)C(F)(F)F</t>
  </si>
  <si>
    <t>FIVSJYGQAIEMOC-UHFFFAOYSA-N</t>
  </si>
  <si>
    <t>C25H26F6N2O2</t>
  </si>
  <si>
    <t>11.48_481.3537m/z</t>
  </si>
  <si>
    <t>5alpha-Cholestane-3alpha,7alpha,12alpha,24-tetrol</t>
  </si>
  <si>
    <t>LMST04030013</t>
  </si>
  <si>
    <t>C1[C@]2(C)[C@@]3([H])C[C@H](O)[C@]4(C)[C@@]([H])([C@]([H])(C)CCC(O)C(C)C)CC[C@@]4([H])[C@]3([H])[C@H](O)C[C@@]2([H])C[C@H](O)C1</t>
  </si>
  <si>
    <t>DOMPIYLJQFTRGI-GVJOOTOOSA-N</t>
  </si>
  <si>
    <t>C27H48O4</t>
  </si>
  <si>
    <t>0.74_275.0884m/z</t>
  </si>
  <si>
    <t>(2S,3'S)-alpha-Amino-2-carboxy-5-oxo-1-pyrrolidinebutanoic acid</t>
  </si>
  <si>
    <t>HMDB0039110</t>
  </si>
  <si>
    <t>NC(CCN1C(CCC1=O)C(O)=O)C(O)=O</t>
  </si>
  <si>
    <t>IAWKAVWGVXBNLH-UHFFFAOYSA-N</t>
  </si>
  <si>
    <t>5.42_434.9520m/z</t>
  </si>
  <si>
    <t>2,1,3-Benzoxadiazole-4-sulfonic acid, 7-fluoro-</t>
  </si>
  <si>
    <t>HMDB0245326</t>
  </si>
  <si>
    <t>OS(=O)(=O)C1=CC=C(F)C2=NON=C12</t>
  </si>
  <si>
    <t>BXHVBQRYTWNRSK-UHFFFAOYSA-N</t>
  </si>
  <si>
    <t>Benzoxadiazoles</t>
  </si>
  <si>
    <t>C6H3FN2O4S</t>
  </si>
  <si>
    <t>12.33_383.1677m/z</t>
  </si>
  <si>
    <t>1-O-(8R-hydroxy-8-methyl-3Z,9-decadienoyl)-beta-D-glucopyranose</t>
  </si>
  <si>
    <t>LMFA13010039</t>
  </si>
  <si>
    <t>O=C(C/C=C\CCC[C@](O)(C)C=C)O[C@H]1[C@H](O)[C@@H](O)[C@H](O)[C@@H](CO)O1</t>
  </si>
  <si>
    <t>VSVRDZASVIUYEH-KETPRWIJSA-N</t>
  </si>
  <si>
    <t>C17H28O8</t>
  </si>
  <si>
    <t>3.64_283.0105m/z</t>
  </si>
  <si>
    <t>S-(2-Furanylmethyl) methanethioate</t>
  </si>
  <si>
    <t>HMDB0037731</t>
  </si>
  <si>
    <t>59020-90-5</t>
  </si>
  <si>
    <t>O=CSCC1=CC=CO1</t>
  </si>
  <si>
    <t>GFAOAYJTEVHTLA-UHFFFAOYSA-N</t>
  </si>
  <si>
    <t>C6H6O2S</t>
  </si>
  <si>
    <t>5.35_306.2649m/z</t>
  </si>
  <si>
    <t>Ustilic acid A</t>
  </si>
  <si>
    <t>LMFA01050084</t>
  </si>
  <si>
    <t>C(C(O)CO)CCCCCCCCCCCCC(=O)O</t>
  </si>
  <si>
    <t>LFTOYWCRNBAZKX-UHFFFAOYSA-N</t>
  </si>
  <si>
    <t>8.50_486.3481m/z</t>
  </si>
  <si>
    <t>Triangulyne G</t>
  </si>
  <si>
    <t>LMFA05000737</t>
  </si>
  <si>
    <t>C(C#CC#CC#CCCCCCCCCCC#C/C=C\CCCCCCCCC/C=C/[C@@H](O)C#C)O</t>
  </si>
  <si>
    <t>OURGQUMQIFPFJQ-DNEWNMTGSA-N</t>
  </si>
  <si>
    <t>C34H46O2</t>
  </si>
  <si>
    <t>9.85_323.2014m/z</t>
  </si>
  <si>
    <t>Piperochromenoic acid</t>
  </si>
  <si>
    <t>HMDB0040635</t>
  </si>
  <si>
    <t>110979-01-6</t>
  </si>
  <si>
    <t>CC(C)=CCC\C(C)=C\CCC1(C)OC2=CC=C(C=C2C=C1)C(O)=O</t>
  </si>
  <si>
    <t>MSDAWPKHHPLFBC-RQZCQDPDSA-N</t>
  </si>
  <si>
    <t>9.91_492.3102m/z</t>
  </si>
  <si>
    <t>PC(14:0/2:0)</t>
  </si>
  <si>
    <t>LMGP01010504</t>
  </si>
  <si>
    <t>[C@](COP(=O)([O-])OCC[N+](C)(C)C)([H])(OC(C)=O)COC(CCCCCCCCCCCCC)=O</t>
  </si>
  <si>
    <t>ZEECREVTOCXSIM-HSZRJFAPSA-N</t>
  </si>
  <si>
    <t>C24H48NO8P</t>
  </si>
  <si>
    <t>5.31_245.0122m/z</t>
  </si>
  <si>
    <t>3-[3-(Sulfooxy)phenyl]propanoic acid</t>
  </si>
  <si>
    <t>HMDB0094710</t>
  </si>
  <si>
    <t>OC(=O)CCC1=CC(OS(O)(=O)=O)=CC=C1</t>
  </si>
  <si>
    <t>IQWLPDPKVFZEOK-UHFFFAOYSA-N</t>
  </si>
  <si>
    <t>C9H10O6S</t>
  </si>
  <si>
    <t>12.67_463.3432m/z</t>
  </si>
  <si>
    <t>16beta,20S-dihydroxycholestan-3-one</t>
  </si>
  <si>
    <t>LMST01010308</t>
  </si>
  <si>
    <t>C1[C@]2(C)[C@@]3([H])CC[C@]4(C)[C@@]([H])([C@](O)(C)CCCC(C)C)[C@@H](O)C[C@@]4([H])[C@]3([H])CC[C@@]2([H])CC(=O)C1</t>
  </si>
  <si>
    <t>JTNSBTTTXGDDMP-RXROTWSNSA-N</t>
  </si>
  <si>
    <t>13.53_411.3092m/z</t>
  </si>
  <si>
    <t>ascr#31</t>
  </si>
  <si>
    <t>LMFA13040022</t>
  </si>
  <si>
    <t>O([C@@H](CCCCCCCCCCCCC/C=C/C(=O)O)C)[C@H]1[C@H](O)C[C@@H](O)[C@H](C)O1</t>
  </si>
  <si>
    <t>AUKDJCIZWSIDEC-QGKNABGUSA-N</t>
  </si>
  <si>
    <t>C24H44O6</t>
  </si>
  <si>
    <t>8.68_352.2636m/z</t>
  </si>
  <si>
    <t>N-Arachidonyl Maleimide</t>
  </si>
  <si>
    <t>CCCCCC=CCC=CCC=CCC=CCCCCN1C(=O)C=CC1=O</t>
  </si>
  <si>
    <t>GZNZRHSGGQUYAP-DOFZRALJSA-N</t>
  </si>
  <si>
    <t>C24H35NO2</t>
  </si>
  <si>
    <t>4.71_668.2903m/z</t>
  </si>
  <si>
    <t>Darexaban glucuronide</t>
  </si>
  <si>
    <t>HMDB0249922</t>
  </si>
  <si>
    <t>COC1=CC=C(C=C1)C(=O)NC1=C(NC(=O)C2=CC=C(C=C2)N2CCCN(C)CC2)C(OC2OC(C(O)C(O)C2O)C(O)=O)=CC=C1</t>
  </si>
  <si>
    <t>IOUMBCGOXOKZAE-UHFFFAOYSA-N</t>
  </si>
  <si>
    <t>C33H38N4O10</t>
  </si>
  <si>
    <t>3.92_674.3511m/z</t>
  </si>
  <si>
    <t>POB-PI</t>
  </si>
  <si>
    <t>LMGP20050016</t>
  </si>
  <si>
    <t>[C@]([H])(OC(CCC([H])=O)=O)(COP(=O)(O)O[C@H]1[C@H](O)[C@@H](O)[C@H](O)[C@@H](O)[C@H]1O)COC(CCCCCCCCCCCCCCC)=O</t>
  </si>
  <si>
    <t>FMZKSNCOYOBYMQ-KQHDOJJOSA-N</t>
  </si>
  <si>
    <t>C29H53O14P</t>
  </si>
  <si>
    <t>14.76_591.3907m/z</t>
  </si>
  <si>
    <t>DG(10:0/20:5(5Z,8Z,10E,14Z,17Z)-OH(12)/0:0)</t>
  </si>
  <si>
    <t>HMDB0294533</t>
  </si>
  <si>
    <t>CCCCCCCCCC(=O)OC[C@H](CO)OC(=O)CCC\C=C/C\C=C/C=C/C(O)C\C=C/C\C=C/CC</t>
  </si>
  <si>
    <t>CBXAQKBHRFMBAJ-VUQZLNQASA-N</t>
  </si>
  <si>
    <t>C33H54O6</t>
  </si>
  <si>
    <t>6.33_477.3054m/z</t>
  </si>
  <si>
    <t>3-O-alpha-L-rhamnopyranosyl-3-hydroxyoctanoyl-3-hydroxydecanoic acid</t>
  </si>
  <si>
    <t>LMFA13030010</t>
  </si>
  <si>
    <t>O([C@H]1[C@H](O)[C@H](O)[C@@H](O)[C@H](C)O1)C(CCCCC)CC(=O)OC(CCCCCCC)CC(=O)O</t>
  </si>
  <si>
    <t>BUOVURSHNWNFHV-ADJCYOJGSA-N</t>
  </si>
  <si>
    <t>C24H44O9</t>
  </si>
  <si>
    <t>5.01_197.0813m/z</t>
  </si>
  <si>
    <t>2,6,6-Trimethyl-2-cyclohexene-1,4-dione</t>
  </si>
  <si>
    <t>HMDB0040216</t>
  </si>
  <si>
    <t>1125-21-9</t>
  </si>
  <si>
    <t>CC1=CC(=O)CC(C)(C)C1=O</t>
  </si>
  <si>
    <t>AYJXHIDNNLJQDT-UHFFFAOYSA-N</t>
  </si>
  <si>
    <t>C9H12O2</t>
  </si>
  <si>
    <t>0.74_207.0505m/z</t>
  </si>
  <si>
    <t>Glycerol pyruvate</t>
  </si>
  <si>
    <t>HMDB0252845</t>
  </si>
  <si>
    <t>CC(=O)C(=O)OCC(O)CO</t>
  </si>
  <si>
    <t>HVNARSNPHUTXJX-UHFFFAOYSA-N</t>
  </si>
  <si>
    <t>12.76_446.3260n</t>
  </si>
  <si>
    <t>bhas#32</t>
  </si>
  <si>
    <t>LMFA13040045</t>
  </si>
  <si>
    <t>O([C@@H](CCCCCCCCCCCCC[C@@H](O)CC(=O)O)C)[C@H]1[C@H](O)C[C@@H](O)[C@H](C)O1</t>
  </si>
  <si>
    <t>FHMZFRKIYGFIOX-RQOGSKLQSA-N</t>
  </si>
  <si>
    <t>C24H46O7</t>
  </si>
  <si>
    <t>10.95_540.3676m/z</t>
  </si>
  <si>
    <t>MGTS(18:0/0:0)</t>
  </si>
  <si>
    <t>LMGL06010004</t>
  </si>
  <si>
    <t>[C@](COCCC(C(=O)[O-])[N+](C)(C)C)([H])(O)COC(CCCCCCCCCCCCCCCCC)=O</t>
  </si>
  <si>
    <t>KXGHEXMEIBRLPG-PMCHYTPCSA-N</t>
  </si>
  <si>
    <t>C28H55NO6</t>
  </si>
  <si>
    <t>8.59_501.3374m/z</t>
  </si>
  <si>
    <t>Triangulyne F</t>
  </si>
  <si>
    <t>LMFA05000736</t>
  </si>
  <si>
    <t>C(C#CC#CC#C[C@@H](O)CCCCCCCCC#C/C=C\CCCCCCCCC/C=C/[C@@H](O)C#C)O</t>
  </si>
  <si>
    <t>JCNUILFNAPAXSL-LWJQYYSHSA-N</t>
  </si>
  <si>
    <t>C34H46O3</t>
  </si>
  <si>
    <t>9.32_375.1859m/z</t>
  </si>
  <si>
    <t>16-dimethylarsinoyl-9Z-hexadecenoic acid</t>
  </si>
  <si>
    <t>LMFA00000032</t>
  </si>
  <si>
    <t>C(CCCCC/C=C\CCCCCCCC(O)=O)[As](C)(=O)C</t>
  </si>
  <si>
    <t>FZOQEVBDCNSQIJ-HYXAFXHYSA-N</t>
  </si>
  <si>
    <t>C18H35AsO3</t>
  </si>
  <si>
    <t>11.63_507.3692m/z</t>
  </si>
  <si>
    <t>2alpha-(3-Hydroxypropyl)-1alpha,25-dihydroxy-19-norvitamin D3</t>
  </si>
  <si>
    <t>HMDB0254341</t>
  </si>
  <si>
    <t>CC(CCCC(C)(C)O)C1CCC2C(CCCC12C)=CC=C1CC(O)C(CCCO)C(O)C1</t>
  </si>
  <si>
    <t>OETBDAZRINTQAP-YRVVJODMSA-N</t>
  </si>
  <si>
    <t>5.71_376.0977m/z</t>
  </si>
  <si>
    <t>2-hydroxylamino-4,6-dinitrotoluene-O-glucoside</t>
  </si>
  <si>
    <t>HMDB0304073</t>
  </si>
  <si>
    <t>CC1=C(C=C(C=C1NOC1OC(CO)C(O)C(O)C1O)[N+]([O-])=O)[N+]([O-])=O</t>
  </si>
  <si>
    <t>FDHKZWGRIMCNIS-UHFFFAOYSA-N</t>
  </si>
  <si>
    <t>C13H17N3O10</t>
  </si>
  <si>
    <t>5.78_196.9841m/z</t>
  </si>
  <si>
    <t>1-Iodopentane</t>
  </si>
  <si>
    <t>HMDB0243909</t>
  </si>
  <si>
    <t>CCCCCI</t>
  </si>
  <si>
    <t>BLXSFCHWMBESKV-UHFFFAOYSA-N</t>
  </si>
  <si>
    <t>C5H11I</t>
  </si>
  <si>
    <t>5.72_654.3264m/z</t>
  </si>
  <si>
    <t>PHHdiA-PE</t>
  </si>
  <si>
    <t>LMGP20020017</t>
  </si>
  <si>
    <t>[C@](COP(=O)(O)OCCN)([H])(OC(CCC(O)/C=C/C(=O)O)=O)COC(CCCCCCCCCCCCCCC)=O</t>
  </si>
  <si>
    <t>WILWBFQMVWPUNV-IQBDFAPESA-N</t>
  </si>
  <si>
    <t>C28H52NO11P</t>
  </si>
  <si>
    <t>373</t>
  </si>
  <si>
    <t>Tranexamic Acid</t>
  </si>
  <si>
    <t>HMDB0014447</t>
  </si>
  <si>
    <t>C12535</t>
  </si>
  <si>
    <t>1197-18-8</t>
  </si>
  <si>
    <t>NC[C@H]1CC[C@@H](CC1)C(O)=O</t>
  </si>
  <si>
    <t>GYDJEQRTZSCIOI-LJGSYFOKSA-N</t>
  </si>
  <si>
    <t>C8H15NO2</t>
  </si>
  <si>
    <t>10.71_376.1560n</t>
  </si>
  <si>
    <t>Glycyl-H-1152</t>
  </si>
  <si>
    <t>913844-45-8</t>
  </si>
  <si>
    <t>CC1CN(CCCN1S(=O)(=O)C2=CC=CC3=C2C(=CN=C3)C)C(=O)CN</t>
  </si>
  <si>
    <t>CMKMGFAUKPAOMG-AWEZNQCLSA-N</t>
  </si>
  <si>
    <t>C18H24N4O3S</t>
  </si>
  <si>
    <t>4.28_428.2027n</t>
  </si>
  <si>
    <t>Taraxacolide 1-O-b-D-glucopyranoside</t>
  </si>
  <si>
    <t>HMDB0035610</t>
  </si>
  <si>
    <t>75911-12-5</t>
  </si>
  <si>
    <t>CC1C2CCC3(C)C(CC(=O)C(C)C3C2OC1=O)OC1OC(CO)C(O)C(O)C1O</t>
  </si>
  <si>
    <t>ZNBJBJUEJZNPLD-UHFFFAOYSA-N</t>
  </si>
  <si>
    <t>C21H32O9</t>
  </si>
  <si>
    <t>0.73_293.0685m/z</t>
  </si>
  <si>
    <t>3-(3-(Pyridin-3-yl)-1,2,4-oxadiazol-5-yl)benzonitrile</t>
  </si>
  <si>
    <t>HMDB0247644</t>
  </si>
  <si>
    <t>N#CC1=CC(=CC=C1)C1=NC(=NO1)C1=CN=CC=C1</t>
  </si>
  <si>
    <t>HGFXDSQLRSWUBO-UHFFFAOYSA-N</t>
  </si>
  <si>
    <t>Oxadiazoles</t>
  </si>
  <si>
    <t>C14H8N4O</t>
  </si>
  <si>
    <t>10.05_298.2750m/z</t>
  </si>
  <si>
    <t>15-octadecynoic acid</t>
  </si>
  <si>
    <t>LMFA01030573</t>
  </si>
  <si>
    <t>C(CCCCCCCCCCCCCC#CCC)(=O)O</t>
  </si>
  <si>
    <t>DTBFQLRDDMCLOS-UHFFFAOYSA-N</t>
  </si>
  <si>
    <t>6.52_525.2706m/z</t>
  </si>
  <si>
    <t>steviol-19-O-beta-D-glucoside</t>
  </si>
  <si>
    <t>LMPR01040121</t>
  </si>
  <si>
    <t>[C@@]123CC([C@](O)(CC[C@@]1([H])[C@]1(C)CCC[C@@](C)(C(O[C@H]4[C@H](O)[C@@H](O)[C@H](O)[C@@H](CO)O4)=O)[C@@]1([H])CC2)C3)=C</t>
  </si>
  <si>
    <t>OQPOFZJZPYRNFF-CULFPKEHSA-N</t>
  </si>
  <si>
    <t>C26H40O8</t>
  </si>
  <si>
    <t>5.32_505.0928m/z</t>
  </si>
  <si>
    <t>Sennidin C</t>
  </si>
  <si>
    <t>HMDB0034318</t>
  </si>
  <si>
    <t>C16797</t>
  </si>
  <si>
    <t>5355-93-1</t>
  </si>
  <si>
    <t>OCC1=CC2=C(C(O)=C1)C(=O)C1=C(C=CC=C1O)C2C1C2=C(C(O)=CC=C2)C(=O)C2=C1C=C(C=C2O)C(O)=O</t>
  </si>
  <si>
    <t>PXSKWUOTHDALDG-UHFFFAOYSA-N</t>
  </si>
  <si>
    <t>C30H20O9</t>
  </si>
  <si>
    <t>8.45_733.2910m/z</t>
  </si>
  <si>
    <t>Casuarine 6-alpha-D-glucoside</t>
  </si>
  <si>
    <t>HMDB0031999</t>
  </si>
  <si>
    <t>186795-20-0</t>
  </si>
  <si>
    <t>OCC1C(O)C(O)C2C(O)C(CN12)OC1OC(CO)C(O)C(O)C1O</t>
  </si>
  <si>
    <t>KQYACACELNVFOY-UHFFFAOYSA-N</t>
  </si>
  <si>
    <t>C14H25NO10</t>
  </si>
  <si>
    <t>4.75_528.2817m/z</t>
  </si>
  <si>
    <t>Vertilmicin</t>
  </si>
  <si>
    <t>HMDB0242753</t>
  </si>
  <si>
    <t>CCNC1CC(N)C(OC2OC(=CCC2N)C(C)N)C(O)C1OC1OCC(C)(O)C(NC)C1O</t>
  </si>
  <si>
    <t>QVRLHIRFLRXFIW-UHFFFAOYSA-N</t>
  </si>
  <si>
    <t>C22H43N5O7</t>
  </si>
  <si>
    <t>3.62_284.2077m/z</t>
  </si>
  <si>
    <t>Pentadecylic acid(d3)</t>
  </si>
  <si>
    <t>LMFA01010045</t>
  </si>
  <si>
    <t>C(CCCCCCCCCCCCC([2H])([2H])[2H])C(=O)O</t>
  </si>
  <si>
    <t>WQEPLUUGTLDZJY-FIBGUPNXSA-N</t>
  </si>
  <si>
    <t>C15H[2]3H[1]27O2</t>
  </si>
  <si>
    <t>4.77_229.1079m/z</t>
  </si>
  <si>
    <t>(4S,8R)-8,9-Dihydroxy-p-menth-1(6)-en-2-one</t>
  </si>
  <si>
    <t>HMDB0039052</t>
  </si>
  <si>
    <t>402593-42-4</t>
  </si>
  <si>
    <t>CC1=CCC(CC1=O)C(C)(O)CO</t>
  </si>
  <si>
    <t>AOKPDATZUBLDMG-UHFFFAOYSA-N</t>
  </si>
  <si>
    <t>0.67_188.1398m/z</t>
  </si>
  <si>
    <t>L-NIL</t>
  </si>
  <si>
    <t>159190-45-1</t>
  </si>
  <si>
    <t>CC(=NCCCCC(C(=O)O)N)N</t>
  </si>
  <si>
    <t>ONYFNWIHJBLQKE-ZETCQYMHSA-N</t>
  </si>
  <si>
    <t>7.07_441.2479m/z</t>
  </si>
  <si>
    <t>p-Hydroxyphenylethylbiguanide</t>
  </si>
  <si>
    <t>HMDB0259540</t>
  </si>
  <si>
    <t>NC(N)=NC(N)=NCCC1=CC=C(O)C=C1</t>
  </si>
  <si>
    <t>PQASMWYEXAKHKQ-UHFFFAOYSA-N</t>
  </si>
  <si>
    <t>C10H15N5O</t>
  </si>
  <si>
    <t>0.74_181.0524m/z</t>
  </si>
  <si>
    <t>5-Methylthioribose</t>
  </si>
  <si>
    <t>HMDB0001087</t>
  </si>
  <si>
    <t>C03089</t>
  </si>
  <si>
    <t>624740-12-1</t>
  </si>
  <si>
    <t>CSC[C@H]1O[C@@H](O)[C@H](O)[C@@H]1O</t>
  </si>
  <si>
    <t>OLVVOVIFTBSBBH-KVTDHHQDSA-N</t>
  </si>
  <si>
    <t>C6H12O4S</t>
  </si>
  <si>
    <t>7.57_443.1854m/z</t>
  </si>
  <si>
    <t>Desoxycortisone acetate</t>
  </si>
  <si>
    <t>HMDB0251066</t>
  </si>
  <si>
    <t>CC(=O)OC1CCC=C2CCC3C4CCC(O)(C(=O)CO)C4(C)CC(=O)C3C12C</t>
  </si>
  <si>
    <t>GNQHFHGLDGEOOU-UHFFFAOYSA-N</t>
  </si>
  <si>
    <t>C23H32O6</t>
  </si>
  <si>
    <t>9.56_292.2045n</t>
  </si>
  <si>
    <t>alpha-Licanic acid</t>
  </si>
  <si>
    <t>LMFA02000273</t>
  </si>
  <si>
    <t>C08319</t>
  </si>
  <si>
    <t>OC(=O)CCC(=O)CCCC/C=C\C=C\C=C\CCCC</t>
  </si>
  <si>
    <t>DTRGDWOPRCXRET-WPOADVJFSA-N</t>
  </si>
  <si>
    <t>9.03_250.1577n</t>
  </si>
  <si>
    <t>Gemfibrozil</t>
  </si>
  <si>
    <t>HMDB0015371</t>
  </si>
  <si>
    <t>C07020</t>
  </si>
  <si>
    <t>25812-30-0</t>
  </si>
  <si>
    <t>CC1=CC(OCCCC(C)(C)C(O)=O)=C(C)C=C1</t>
  </si>
  <si>
    <t>HEMJJKBWTPKOJG-UHFFFAOYSA-N</t>
  </si>
  <si>
    <t>5.01_217.1077m/z</t>
  </si>
  <si>
    <t>9-hydroxy-5Z-nonenoic acid</t>
  </si>
  <si>
    <t>LMFA01050232</t>
  </si>
  <si>
    <t>C(CCC/C=C\CCCO)(=O)O</t>
  </si>
  <si>
    <t>WPQRIXDVEGLWLV-UPHRSURJSA-N</t>
  </si>
  <si>
    <t>C9H16O3</t>
  </si>
  <si>
    <t>262</t>
  </si>
  <si>
    <t>Mercaptosuccinic Acid</t>
  </si>
  <si>
    <t>HMDB0254466</t>
  </si>
  <si>
    <t>OC(=O)CC(S)C(O)=O</t>
  </si>
  <si>
    <t>NJRXVEJTAYWCQJ-UHFFFAOYSA-N</t>
  </si>
  <si>
    <t>C4H6O4S</t>
  </si>
  <si>
    <t>12.71_483.1957m/z</t>
  </si>
  <si>
    <t>1-Ethoxy-N-(3-morpholin-4-yloxadiazol-3-ium-5-yl)methanimidate</t>
  </si>
  <si>
    <t>HMDB0245703</t>
  </si>
  <si>
    <t>25717-80-0</t>
  </si>
  <si>
    <t>CCOC(=O)[N-]C1=C[N+](=NO1)N1CCOCC1</t>
  </si>
  <si>
    <t>XLFWDASMENKTKL-UHFFFAOYSA-N</t>
  </si>
  <si>
    <t>C9H14N4O4</t>
  </si>
  <si>
    <t>5.37_474.2019n</t>
  </si>
  <si>
    <t>Ibrutinib metabolite M37</t>
  </si>
  <si>
    <t>HMDB0251306</t>
  </si>
  <si>
    <t>NC1=NC=NC2=C1C(=NN2C1CCCN(C1)C(=O)C(O)CO)C1=CC=C(OC2=CC=CC=C2)C=C1</t>
  </si>
  <si>
    <t>NWKPMPRXJGMTKQ-UHFFFAOYSA-N</t>
  </si>
  <si>
    <t>C25H26N6O4</t>
  </si>
  <si>
    <t>0.99_145.1340m/z</t>
  </si>
  <si>
    <t>N-Acetylcadaverine</t>
  </si>
  <si>
    <t>HMDB0002284</t>
  </si>
  <si>
    <t>32343-73-0</t>
  </si>
  <si>
    <t>CC(=O)NCCCCCN</t>
  </si>
  <si>
    <t>RMOIHHAKNOFHOE-UHFFFAOYSA-N</t>
  </si>
  <si>
    <t>C7H16N2O</t>
  </si>
  <si>
    <t>4.69_835.7275m/z</t>
  </si>
  <si>
    <t>PE(O-20:0/22:0)</t>
  </si>
  <si>
    <t>LMGP02020090</t>
  </si>
  <si>
    <t>[C@](COP(=O)(O)OCCN)([H])(OC(CCCCCCCCCCCCCCCCCCCCC)=O)COCCCCCCCCCCCCCCCCCCCC</t>
  </si>
  <si>
    <t>ATESAYJSNZPXMJ-YACUFSJGSA-N</t>
  </si>
  <si>
    <t>C47H96NO7P</t>
  </si>
  <si>
    <t>2.35_189.1239m/z</t>
  </si>
  <si>
    <t>Gly Ile</t>
  </si>
  <si>
    <t>CCC(C)C(C(=O)[O-])NC(=O)C[NH3+]</t>
  </si>
  <si>
    <t>KGVHCTWYMPWEGN-FSPLSTOPSA-N</t>
  </si>
  <si>
    <t>C8H16N2O3</t>
  </si>
  <si>
    <t>5.72_415.1810m/z</t>
  </si>
  <si>
    <t>N-Desethyl Sunitinib</t>
  </si>
  <si>
    <t>HMDB0255114</t>
  </si>
  <si>
    <t>CCNCCN=C(O)C1=C(C)NC(C=C2C(O)=NC3=C2C=C(F)C=C3)=C1C</t>
  </si>
  <si>
    <t>LIZNIAKSBJKPQC-UHFFFAOYSA-N</t>
  </si>
  <si>
    <t>C20H23FN4O2</t>
  </si>
  <si>
    <t>6.30_435.1277m/z</t>
  </si>
  <si>
    <t>Pelargonidin 3-O-glucoside</t>
  </si>
  <si>
    <t>HMDB0304718</t>
  </si>
  <si>
    <t>OC1=CC=C(\C=C2\[C@H]([C@@H](C3=C2C=C(O)C=C3O)C2=CC=C(O)C=C2)C2=CC(O)=CC(O)=C2)C=C1</t>
  </si>
  <si>
    <t>BIQMSWPBPAKGSE-RVMRZQENSA-N</t>
  </si>
  <si>
    <t>C28H22O6</t>
  </si>
  <si>
    <t>7.25_297.0511m/z</t>
  </si>
  <si>
    <t>Nigakinone</t>
  </si>
  <si>
    <t>HMDB0030228</t>
  </si>
  <si>
    <t>C16996</t>
  </si>
  <si>
    <t>18110-86-6</t>
  </si>
  <si>
    <t>OC1=C(O)C2=NC=CC3=C2N(C2=CC=CC=C32)C1=O</t>
  </si>
  <si>
    <t>XPMYKCPEDQIDCM-UHFFFAOYSA-N</t>
  </si>
  <si>
    <t>Indolonaphthyridine alkaloids</t>
  </si>
  <si>
    <t>C14H8N2O3</t>
  </si>
  <si>
    <t>4.88_381.1922m/z</t>
  </si>
  <si>
    <t>Cinncassiol A</t>
  </si>
  <si>
    <t>HMDB0035164</t>
  </si>
  <si>
    <t>C17645</t>
  </si>
  <si>
    <t>73599-11-8</t>
  </si>
  <si>
    <t>CC(CO)C1=C(C)C2(O)C(O)(C1)C1(C)CC(=O)OC22C(O)C(C)CCC12O</t>
  </si>
  <si>
    <t>WIFHAKQJYHVTQK-UHFFFAOYSA-N</t>
  </si>
  <si>
    <t>4.25_301.1300m/z</t>
  </si>
  <si>
    <t>Phenylalanylhistidine</t>
  </si>
  <si>
    <t>HMDB0028997</t>
  </si>
  <si>
    <t>33367-37-2</t>
  </si>
  <si>
    <t>N[C@@H](CC1=CC=CC=C1)C(=O)N[C@@H](CC1=CN=CN1)C(O)=O</t>
  </si>
  <si>
    <t>OHUXOEXBXPZKPT-STQMWFEESA-N</t>
  </si>
  <si>
    <t>5.14_218.2122m/z</t>
  </si>
  <si>
    <t>8-methyl-undecanoic acid</t>
  </si>
  <si>
    <t>LMFA01020058</t>
  </si>
  <si>
    <t>C(C)CC(C)CCCCCCC(=O)O</t>
  </si>
  <si>
    <t>AJMIXSSSARSTCI-UHFFFAOYSA-N</t>
  </si>
  <si>
    <t>C12H24O2</t>
  </si>
  <si>
    <t>11.65_333.1354m/z</t>
  </si>
  <si>
    <t>6-isobutyl-4-hydroxy-2-pyrone</t>
  </si>
  <si>
    <t>HMDB0304229</t>
  </si>
  <si>
    <t>CC(C)CC1=CC([O-])=CC(=O)O1</t>
  </si>
  <si>
    <t>DFYHDDCNKMPXMX-UHFFFAOYSA-M</t>
  </si>
  <si>
    <t>C9H11O3-</t>
  </si>
  <si>
    <t>5.82_309.1947n</t>
  </si>
  <si>
    <t>(3Z,5E,7E)-Decatrienoylcarnitine</t>
  </si>
  <si>
    <t>HMDB0241124</t>
  </si>
  <si>
    <t>CCC=CC=CC=CCC(=O)OC(CC([O-])=O)C[N+](C)(C)C</t>
  </si>
  <si>
    <t>QOXHDLWEJPSSDD-UHFFFAOYSA-N</t>
  </si>
  <si>
    <t>C17H27NO4</t>
  </si>
  <si>
    <t>11.57_650.4399m/z</t>
  </si>
  <si>
    <t>PC(O-16:0/9:0(COOH))</t>
  </si>
  <si>
    <t>LMGP01020279</t>
  </si>
  <si>
    <t>[C@](COP(=O)([O-])OCC[N+](C)(C)C)([H])(OC(CCCCCCCC(O)=O)=O)COCCCCCCCCCCCCCCCC</t>
  </si>
  <si>
    <t>ZDFOCDTXDPKJKA-WJOKGBTCSA-N</t>
  </si>
  <si>
    <t>C33H66NO9P</t>
  </si>
  <si>
    <t>7.20_312.1454m/z</t>
  </si>
  <si>
    <t>Diethyl 2,3,4-trimethyl-2,3-dihydropyridine-5,6-dicarboxylate</t>
  </si>
  <si>
    <t>HMDB0258117</t>
  </si>
  <si>
    <t>CCOC(=O)C1=NC(C)C(C)C(C)=C1C(=O)OCC</t>
  </si>
  <si>
    <t>WARQKINUIYNWHO-UHFFFAOYSA-N</t>
  </si>
  <si>
    <t>C14H21NO4</t>
  </si>
  <si>
    <t>1.77_199.0218m/z</t>
  </si>
  <si>
    <t>1,1,1-Trifluoro-2,4-pentanedione</t>
  </si>
  <si>
    <t>HMDB0246204</t>
  </si>
  <si>
    <t>CC(=O)CC(=O)C(F)(F)F</t>
  </si>
  <si>
    <t>SHXHPUAKLCCLDV-UHFFFAOYSA-N</t>
  </si>
  <si>
    <t>C5H5F3O2</t>
  </si>
  <si>
    <t>6.29_386.1825m/z</t>
  </si>
  <si>
    <t>Methyl (R)-9-hydroxy-10-undecene-5,7-diynoate glucoside</t>
  </si>
  <si>
    <t>HMDB0040895</t>
  </si>
  <si>
    <t>152141-44-1</t>
  </si>
  <si>
    <t>COC(=O)CCCC#CC#CC(OC1OC(CO)C(O)C(O)C1O)C=C</t>
  </si>
  <si>
    <t>XCRGUWJZEOHKGC-UHFFFAOYSA-N</t>
  </si>
  <si>
    <t>465</t>
  </si>
  <si>
    <t>Arachidonic Acid</t>
  </si>
  <si>
    <t>HMDB0001043</t>
  </si>
  <si>
    <t>LMFA01030001</t>
  </si>
  <si>
    <t>C00219</t>
  </si>
  <si>
    <t>hsa00590,hsa00591,hsa01040,hsa04216,hsa04217,hsa04270,hsa04611,hsa04664,hsa04666,hsa04726,hsa04730,hsa04750,hsa04912,hsa04913,hsa04921,hsa04923,hsa04925,hsa05140,hsa05146</t>
  </si>
  <si>
    <t>Arachidonic acid metabolism|Linoleic acid metabolism|Biosynthesis of unsaturated fatty acids|Ferroptosis|Necroptosis|Vascular smooth muscle contraction|Platelet activation|Fc epsilon RI signaling pathway|Fc gamma R-mediated phagocytosis|Serotonergic synapse|Long-term depression|Inflammatory mediator regulation of TRP channels|GnRH signaling pathway|Ovarian steroidogenesis|Oxytocin signaling pathway|Regulation of lipolysis in adipocytes|Aldosterone synthesis and secretion|Leishmaniasis|Amoebiasis</t>
  </si>
  <si>
    <t>506-32-1</t>
  </si>
  <si>
    <t>C(O)(=O)CCC/C=C\C/C=C\C/C=C\C/C=C\CCCCC</t>
  </si>
  <si>
    <t>YZXBAPSDXZZRGB-DOFZRALJSA-N</t>
  </si>
  <si>
    <t>13.37_641.4401m/z</t>
  </si>
  <si>
    <t>Pipecuronium</t>
  </si>
  <si>
    <t>HMDB0015431</t>
  </si>
  <si>
    <t>C07554</t>
  </si>
  <si>
    <t>68399-58-6</t>
  </si>
  <si>
    <t>[H][C@@]12C[C@@H]([C@H](OC(C)=O)[C@@]1(C)CC[C@@]1([H])[C@@]2([H])CC[C@@]2([H])C[C@H](OC(C)=O)[C@H](C[C@]12C)N1CC[N+](C)(C)CC1)N1CC[N+](C)(C)CC1</t>
  </si>
  <si>
    <t>OWWLUIWOFHMHOQ-XGHATYIMSA-N</t>
  </si>
  <si>
    <t>C35H62N4O4+2</t>
  </si>
  <si>
    <t>2.62_205.1322n</t>
  </si>
  <si>
    <t>Pantothenol</t>
  </si>
  <si>
    <t>HMDB0004231</t>
  </si>
  <si>
    <t>LMFA08020198</t>
  </si>
  <si>
    <t>C05944</t>
  </si>
  <si>
    <t>hsa00770</t>
  </si>
  <si>
    <t>Pantothenate and CoA biosynthesis</t>
  </si>
  <si>
    <t>81-13-0</t>
  </si>
  <si>
    <t>C(C(C)(C)[C@@H](O)C(=O)NCCCO)O</t>
  </si>
  <si>
    <t>SNPLKNRPJHDVJA-ZETCQYMHSA-N</t>
  </si>
  <si>
    <t>C9H19NO4</t>
  </si>
  <si>
    <t>8.02_263.0901m/z</t>
  </si>
  <si>
    <t>CAY10574</t>
  </si>
  <si>
    <t>140651-18-9</t>
  </si>
  <si>
    <t>C1=CC(=CC=C1N=NC2=C(NN=C2N)N)O</t>
  </si>
  <si>
    <t>AYZRKFOEZQBUEA-UHFFFAOYSA-N</t>
  </si>
  <si>
    <t>C9H10N6O</t>
  </si>
  <si>
    <t>3.55_471.1705m/z</t>
  </si>
  <si>
    <t>Carbazochrome</t>
  </si>
  <si>
    <t>HMDB0249613</t>
  </si>
  <si>
    <t>CN1CC(O)C2=CC(N=NC(N)=O)=C(O)C=C12</t>
  </si>
  <si>
    <t>SSCSSDNTQJGTJT-UHFFFAOYSA-N</t>
  </si>
  <si>
    <t>C10H12N4O3</t>
  </si>
  <si>
    <t>4.51_216.0485m/z</t>
  </si>
  <si>
    <t>Carboxin</t>
  </si>
  <si>
    <t>HMDB0249648</t>
  </si>
  <si>
    <t>C11255</t>
  </si>
  <si>
    <t>5234-68-4</t>
  </si>
  <si>
    <t>CC1=C(SCCO1)C(=O)NC1=CC=CC=C1</t>
  </si>
  <si>
    <t>GYSSRZJIHXQEHQ-UHFFFAOYSA-N</t>
  </si>
  <si>
    <t>C12H13NO2S</t>
  </si>
  <si>
    <t>9.63_247.1700m/z</t>
  </si>
  <si>
    <t>all-trans-7-hydroxyhexadeca-2,4,8,10-tetraenoic acid</t>
  </si>
  <si>
    <t>LMFA01050502</t>
  </si>
  <si>
    <t>C(=O)(O)/C=C/C=C/CC(O)/C=C/C=C/CCCCC</t>
  </si>
  <si>
    <t>CMIWOGJRXHRRFL-CQWJRODPSA-N</t>
  </si>
  <si>
    <t>1.03_244.0693n</t>
  </si>
  <si>
    <t>Uridine</t>
  </si>
  <si>
    <t>HMDB0000296</t>
  </si>
  <si>
    <t>C00299</t>
  </si>
  <si>
    <t>R-HSA-1430728,R-HSA-15869,R-HSA-1643685,R-HSA-382551,R-HSA-425397,R-HSA-425407,R-HSA-5619063,R-HSA-5619102,R-HSA-5619115,R-HSA-73614,R-HSA-73621,R-HSA-83936,R-HSA-8956319,R-HSA-8956321</t>
  </si>
  <si>
    <t>Metabolism|Metabolism of nucleotides|Disease|Transport of small molecules|Transport of vitamins, nucleosides, and related molecules|SLC-mediated transmembrane transport|Defective SLC29A3 causes histiocytosis-lymphadenopathy plus syndrome (HLAS)|SLC transporter disorders|Disorders of transmembrane transporters|Pyrimidine salvage|Pyrimidine catabolism|Transport of nucleosides and free purine and pyrimidine bases across the plasma membrane|Nucleotide catabolism|Nucleotide salvage</t>
  </si>
  <si>
    <t>58-96-8</t>
  </si>
  <si>
    <t>OC[C@H]1O[C@H]([C@H](O)[C@@H]1O)N1C=CC(=O)NC1=O</t>
  </si>
  <si>
    <t>DRTQHJPVMGBUCF-XVFCMESISA-N</t>
  </si>
  <si>
    <t>12.56_709.3997m/z</t>
  </si>
  <si>
    <t>Boc-phepsi(CH(OH)CH2)phe-val-phe-morpholine</t>
  </si>
  <si>
    <t>HMDB0249334</t>
  </si>
  <si>
    <t>CC(C)C(NC(=O)C(CC(O)C(CC1=CC=CC=C1)NC(=O)OC(C)(C)C)CC1=CC=CC=C1)C(=O)NC(CC1=CC=CC=C1)C(=O)N1CCOCC1</t>
  </si>
  <si>
    <t>NAJDZKGRZBLNON-UHFFFAOYSA-N</t>
  </si>
  <si>
    <t>C42H56N4O7</t>
  </si>
  <si>
    <t>4.90_421.1120m/z</t>
  </si>
  <si>
    <t>Plicatic acid</t>
  </si>
  <si>
    <t>HMDB0256643</t>
  </si>
  <si>
    <t>COC1=CC2=C(C=C1O)C(C1=CC(O)=C(O)C(OC)=C1)C(O)(C(O)=O)C(O)(CO)C2</t>
  </si>
  <si>
    <t>PGFBYAIGHPJFFJ-UHFFFAOYSA-N</t>
  </si>
  <si>
    <t>Aryltetralin lignans</t>
  </si>
  <si>
    <t>9,9p-dihydroxyaryltetralin lignans</t>
  </si>
  <si>
    <t>C20H22O10</t>
  </si>
  <si>
    <t>5.85_435.1458m/z</t>
  </si>
  <si>
    <t>6-Butyryl-5-hydroxy-4-phenylseselin</t>
  </si>
  <si>
    <t>LMPK12100022</t>
  </si>
  <si>
    <t>C12OC(C)(C)C=CC=1C1OC(=O)C=C(C3C=CC=CC=3)C=1C(O)=C2C(CCC)=O</t>
  </si>
  <si>
    <t>HTYHJXFUSAYYEQ-UHFFFAOYSA-N</t>
  </si>
  <si>
    <t>Prenylated neoflavonoids</t>
  </si>
  <si>
    <t>C24H22O5</t>
  </si>
  <si>
    <t>5.06_449.2693n</t>
  </si>
  <si>
    <t>6-(3-(Pyrrolidin-1-yl)propoxy)-2-(4-(3-(pyrrolidin-1-yl)propoxy)phenyl)benzo[d]oxazole</t>
  </si>
  <si>
    <t>HMDB0251669</t>
  </si>
  <si>
    <t>C(COC1=CC=C(C=C1)C1=NC2=C(O1)C=C(OCCCN1CCCC1)C=C2)CN1CCCC1</t>
  </si>
  <si>
    <t>YMYJXFUPMPMETB-UHFFFAOYSA-N</t>
  </si>
  <si>
    <t>Oxazoles</t>
  </si>
  <si>
    <t>C27H35N3O3</t>
  </si>
  <si>
    <t>13.53_460.3798m/z</t>
  </si>
  <si>
    <t>(3beta,22E,24R)-5,8-Epidioxy-23-methylergosta-6,22-dien-3-ol</t>
  </si>
  <si>
    <t>HMDB0032668</t>
  </si>
  <si>
    <t>211486-11-2</t>
  </si>
  <si>
    <t>CC(C)C(C)C(\C)=C\C(C)C1CCC2C1(C)CCC1C3(C)CCC(O)CC33OOC21C=C3</t>
  </si>
  <si>
    <t>BEFYGZGLHDYVIF-KNTRCKAVSA-N</t>
  </si>
  <si>
    <t>C29H46O3</t>
  </si>
  <si>
    <t>12.71_377.1638m/z</t>
  </si>
  <si>
    <t>Finerenone</t>
  </si>
  <si>
    <t>HMDB0252261</t>
  </si>
  <si>
    <t>CCOC1=NC=C(C)C2=C1C(C1=C(OC)C=C(C=C1)C#N)C(C(N)=O)=C(C)N2</t>
  </si>
  <si>
    <t>BTBHLEZXCOBLCY-UHFFFAOYSA-N</t>
  </si>
  <si>
    <t>Naphthyridines</t>
  </si>
  <si>
    <t>C21H22N4O3</t>
  </si>
  <si>
    <t>0.74_378.0961m/z</t>
  </si>
  <si>
    <t>S-Lactoylglutathione</t>
  </si>
  <si>
    <t>HMDB0001066</t>
  </si>
  <si>
    <t>C03451</t>
  </si>
  <si>
    <t>R-HSA-1428517,R-HSA-1430728,R-HSA-70268,R-HSA-71406</t>
  </si>
  <si>
    <t>The citric acid (TCA) cycle and respiratory electron transport|Metabolism|Pyruvate metabolism|Pyruvate metabolism and Citric Acid (TCA) cycle</t>
  </si>
  <si>
    <t>25138-66-3</t>
  </si>
  <si>
    <t>C[C@@H](O)C(=O)SC[C@H](NC(=O)CC[C@H](N)C(O)=O)C(=O)NCC(O)=O</t>
  </si>
  <si>
    <t>VDYDCVUWILIYQF-CSMHCCOUSA-N</t>
  </si>
  <si>
    <t>C13H21N3O8S</t>
  </si>
  <si>
    <t>0.68_131.0451m/z</t>
  </si>
  <si>
    <t>D-Asparagine</t>
  </si>
  <si>
    <t>HMDB0033780</t>
  </si>
  <si>
    <t>C01905</t>
  </si>
  <si>
    <t>2058-58-4</t>
  </si>
  <si>
    <t>N[C@H](CC(N)=O)C(O)=O</t>
  </si>
  <si>
    <t>DCXYFEDJOCDNAF-UWTATZPHSA-N</t>
  </si>
  <si>
    <t>C4H8N2O3</t>
  </si>
  <si>
    <t>6.35_282.1346m/z</t>
  </si>
  <si>
    <t>2,3-dimethylidenepentanedioylcarnitine</t>
  </si>
  <si>
    <t>HMDB0241039</t>
  </si>
  <si>
    <t>C[N+](C)(C)CC(CC([O-])=O)OC(=O)C(=C)C(=C)CC(O)=O</t>
  </si>
  <si>
    <t>QGESLJDPKJGMCX-UHFFFAOYSA-N</t>
  </si>
  <si>
    <t>C14H21NO6</t>
  </si>
  <si>
    <t>8.95_419.2419m/z</t>
  </si>
  <si>
    <t>N-Formyl-Nle-Leu-Phe</t>
  </si>
  <si>
    <t>HMDB0247141</t>
  </si>
  <si>
    <t>CCCCC(NC=O)C(=O)NC(CC(C)C)C(=O)NC(CC1=CC=CC=C1)C(O)=O</t>
  </si>
  <si>
    <t>ZNPUQLFXFVLCID-UHFFFAOYSA-N</t>
  </si>
  <si>
    <t>C22H33N3O5</t>
  </si>
  <si>
    <t>4.40_213.0763m/z</t>
  </si>
  <si>
    <t>1-Ipomeanol</t>
  </si>
  <si>
    <t>HMDB0030473</t>
  </si>
  <si>
    <t>34435-70-6</t>
  </si>
  <si>
    <t>CC(=O)CCC(O)C1=COC=C1</t>
  </si>
  <si>
    <t>IGGLYMZTLQKWGT-UHFFFAOYSA-N</t>
  </si>
  <si>
    <t>10.83_440.3147m/z</t>
  </si>
  <si>
    <t>PA(O-18:1/0:0)</t>
  </si>
  <si>
    <t>LMGP10060006</t>
  </si>
  <si>
    <t>C([C@@]([H])(O)COP(=O)(O)O)OCCCCCCCC/C=C/CCCCCCCC</t>
  </si>
  <si>
    <t>SEMUMSNWRXJZTJ-LCCNJJIFSA-N</t>
  </si>
  <si>
    <t>C21H43O6P</t>
  </si>
  <si>
    <t>7.96_251.0924m/z</t>
  </si>
  <si>
    <t>Trinexapac-ethyl</t>
  </si>
  <si>
    <t>HMDB0259248</t>
  </si>
  <si>
    <t>C18541</t>
  </si>
  <si>
    <t>CCOC(=O)C1CC(=O)C(=C(O)C2CC2)C(=O)C1</t>
  </si>
  <si>
    <t>RVKCCVTVZORVGD-QXMHVHEDSA-N</t>
  </si>
  <si>
    <t>Vinylogous acids</t>
  </si>
  <si>
    <t>C13H16O5</t>
  </si>
  <si>
    <t>13.95_515.3726m/z</t>
  </si>
  <si>
    <t>25-acetoxy-ergosta-3beta,5alpha,6beta-triol</t>
  </si>
  <si>
    <t>LMST01031059</t>
  </si>
  <si>
    <t>C1[C@]2(C)[C@@]3([H])CC[C@]4(C)[C@@]([H])([C@]([H])(C)CC[C@H](C)C(OC(=O)C)(C)C)CC[C@@]4([H])[C@]3([H])C[C@@H](O)[C@@]2(O)C[C@@H](O)C1</t>
  </si>
  <si>
    <t>NTYRSMDNACWFJE-GCYJJEFRSA-N</t>
  </si>
  <si>
    <t>C30H52O5</t>
  </si>
  <si>
    <t>7.20_491.1199m/z</t>
  </si>
  <si>
    <t>Prunetin 5-O-glucoside</t>
  </si>
  <si>
    <t>COC1=CC2=C(C(=C1)OC3C(C(C(C(O3)CO)O)O)O)C(=O)C(=CO2)C4=CC=C(C=C4)O</t>
  </si>
  <si>
    <t>AJAGLPDYKVWJQE-AKJGCJRBSA-N</t>
  </si>
  <si>
    <t>7.55_407.2053m/z</t>
  </si>
  <si>
    <t>8beta-Angeloyloxy-15-hydroxy-1alpha,10R-dimethoxy-3-oxo-11(13)-germacren-12,6alpha-olide</t>
  </si>
  <si>
    <t>HMDB0039013</t>
  </si>
  <si>
    <t>COC1CC(=O)C(CO)CC2OC(=O)C(=C)C2C(CC1(C)OC)OC(=O)C(\C)=C\C</t>
  </si>
  <si>
    <t>LOQBOYSPYWSYGO-KPKJPENVSA-N</t>
  </si>
  <si>
    <t>C22H32O8</t>
  </si>
  <si>
    <t>10.55_375.1476m/z</t>
  </si>
  <si>
    <t>(+)-3,4-Didehydrocoronaridine</t>
  </si>
  <si>
    <t>HMDB0242242</t>
  </si>
  <si>
    <t>CCC1=CC2CN3CCC4=C(NC5=CC=CC=C45)C(C2)(C13)C(=O)OC</t>
  </si>
  <si>
    <t>CMKFQVZJOWHHDV-UHFFFAOYSA-N</t>
  </si>
  <si>
    <t>Ibogan-type alkaloids</t>
  </si>
  <si>
    <t>C21H24N2O2</t>
  </si>
  <si>
    <t>13.83_612.4769n</t>
  </si>
  <si>
    <t>DG(20:5(5Z,8Z,11Z,14Z,17Z)/16:1(9Z)/0:0)</t>
  </si>
  <si>
    <t>HMDB0007563</t>
  </si>
  <si>
    <t>[H][C@](CO)(COC(=O)CCC\C=C/C\C=C/C\C=C/C\C=C/C\C=C/CC)OC(=O)CCCCCCC\C=C/CCCCCC</t>
  </si>
  <si>
    <t>CQHRDRZMSJCJBX-JTQUUNRESA-N</t>
  </si>
  <si>
    <t>C39H64O5</t>
  </si>
  <si>
    <t>4.09_371.1716n</t>
  </si>
  <si>
    <t>1,2,3,10-Tetramethoxy-7-(methylamino)-6,7-dihydro-5H-benzo[a]heptalen-9-one</t>
  </si>
  <si>
    <t>HMDB0250401</t>
  </si>
  <si>
    <t>C11250</t>
  </si>
  <si>
    <t>CNC1CCC2=CC(OC)=C(OC)C(OC)=C2C2=CC=C(OC)C(=O)C=C12</t>
  </si>
  <si>
    <t>NNJPGOLRFBJNIW-UHFFFAOYSA-N</t>
  </si>
  <si>
    <t>C21H25NO5</t>
  </si>
  <si>
    <t>1.20_283.0349m/z</t>
  </si>
  <si>
    <t>Olsalazine</t>
  </si>
  <si>
    <t>HMDB0015380</t>
  </si>
  <si>
    <t>C07323</t>
  </si>
  <si>
    <t>15722-48-2</t>
  </si>
  <si>
    <t>OC(=O)C1=CC(=CC=C1O)\N=N\C1=CC=C(O)C(=C1)C(O)=O</t>
  </si>
  <si>
    <t>QQBDLJCYGRGAKP-FOCLMDBBSA-N</t>
  </si>
  <si>
    <t>C14H10N2O6</t>
  </si>
  <si>
    <t>7.27_414.0399m/z</t>
  </si>
  <si>
    <t>Amidosulfuron</t>
  </si>
  <si>
    <t>C10933</t>
  </si>
  <si>
    <t>120923-37-7</t>
  </si>
  <si>
    <t>CN(S(=O)(=O)C)S(=O)(=O)NC(=O)NC1=NC(=CC(=N1)OC)OC</t>
  </si>
  <si>
    <t>CTTHWASMBLQOFR-UHFFFAOYSA-N</t>
  </si>
  <si>
    <t>C9H15N5O7S2</t>
  </si>
  <si>
    <t>11.61_648.3884m/z</t>
  </si>
  <si>
    <t>PHOOA-PC</t>
  </si>
  <si>
    <t>LMGP20010016</t>
  </si>
  <si>
    <t>[C@](COP(=O)([O-])OCC[N+](C)(C)C)([H])(OC(CCCC(O)/C=C/C(=O)[H])=O)COC(CCCCCCCCCCCCCCC)=O</t>
  </si>
  <si>
    <t>LQATVQHXAXOSAU-IAPGDYFDSA-N</t>
  </si>
  <si>
    <t>4.72_195.0632m/z</t>
  </si>
  <si>
    <t>2,6-Diaminopurine</t>
  </si>
  <si>
    <t>HMDB0245509</t>
  </si>
  <si>
    <t>NC1=NC2=C(NC=N2)C(N)=N1</t>
  </si>
  <si>
    <t>MSSXOMSJDRHRMC-UHFFFAOYSA-N</t>
  </si>
  <si>
    <t>C5H6N6</t>
  </si>
  <si>
    <t>10.39_544.3014m/z</t>
  </si>
  <si>
    <t>I-Bimetrol</t>
  </si>
  <si>
    <t>HMDB0253317</t>
  </si>
  <si>
    <t>CC(C)CCCC(C)C1CCC2C3CC(CI)=C4CC(O)CCC4(C)C3CCC12C</t>
  </si>
  <si>
    <t>VNZIOSXRDKNPQW-UHFFFAOYSA-N</t>
  </si>
  <si>
    <t>C28H47IO</t>
  </si>
  <si>
    <t>5.51_267.1231m/z</t>
  </si>
  <si>
    <t>Sapidolide A</t>
  </si>
  <si>
    <t>HMDB0041582</t>
  </si>
  <si>
    <t>182191-87-3</t>
  </si>
  <si>
    <t>CC12C3CCC1(O)C1C(C=C)C(OC1=O)C2(O)OC3</t>
  </si>
  <si>
    <t>OZRZMHKATMSFPV-UHFFFAOYSA-N</t>
  </si>
  <si>
    <t>C14H18O5</t>
  </si>
  <si>
    <t>7.14_294.2438m/z</t>
  </si>
  <si>
    <t>6,11-octadecadiynoic acid</t>
  </si>
  <si>
    <t>LMFA01030530</t>
  </si>
  <si>
    <t>C(CCCCC#CCCCC#CCCCCCC)(=O)O</t>
  </si>
  <si>
    <t>AXYITESCXIMQFI-UHFFFAOYSA-N</t>
  </si>
  <si>
    <t>1.51_201.1238m/z</t>
  </si>
  <si>
    <t>N-(3-(Dimethylamino)propyl)acrylamide</t>
  </si>
  <si>
    <t>HMDB0246231</t>
  </si>
  <si>
    <t>CN(C)CCCN=C(O)C=C</t>
  </si>
  <si>
    <t>ADTJPOBHAXXXFS-UHFFFAOYSA-N</t>
  </si>
  <si>
    <t>Acrylic acids and derivatives</t>
  </si>
  <si>
    <t>C8H16N2O</t>
  </si>
  <si>
    <t>4.60_524.2276m/z</t>
  </si>
  <si>
    <t>Sonolisib</t>
  </si>
  <si>
    <t>HMDB0258378</t>
  </si>
  <si>
    <t>COCC1OC(=O)C(=CN(CC=C)CC=C)C2=C(O)C(=O)C3=C(C(CC4(C)C3CCC4=O)OC(C)=O)C12C</t>
  </si>
  <si>
    <t>QIUASFSNWYMDFS-UHFFFAOYSA-N</t>
  </si>
  <si>
    <t>C29H35NO8</t>
  </si>
  <si>
    <t>0.74_288.2038m/z</t>
  </si>
  <si>
    <t>Isoleucyl-Arginine</t>
  </si>
  <si>
    <t>HMDB0028901</t>
  </si>
  <si>
    <t>CCC(C)C(N)C(=O)NC(CCCNC(N)=N)C(O)=O</t>
  </si>
  <si>
    <t>HYXQKVOADYPQEA-UHFFFAOYSA-N</t>
  </si>
  <si>
    <t>0.74_204.1237m/z</t>
  </si>
  <si>
    <t>L-Acetylcarnitine</t>
  </si>
  <si>
    <t>HMDB0000201</t>
  </si>
  <si>
    <t>3040-38-8</t>
  </si>
  <si>
    <t>CC(=O)O[C@H](CC(O)=O)C[N+](C)(C)C</t>
  </si>
  <si>
    <t>RDHQFKQIGNGIED-MRVPVSSYSA-O</t>
  </si>
  <si>
    <t>C9H18NO4+</t>
  </si>
  <si>
    <t>10.78_389.2313m/z</t>
  </si>
  <si>
    <t>8-HDoHE</t>
  </si>
  <si>
    <t>HMDB0060051</t>
  </si>
  <si>
    <t>CC\C=C/C\C=C/C\C=C/C\C=C/CC(O)\C=C\C=C\CCC(O)=O</t>
  </si>
  <si>
    <t>ZHBVYDMSPDDAKE-KSOSSLAQSA-N</t>
  </si>
  <si>
    <t>12.05_640.2926m/z</t>
  </si>
  <si>
    <t>Lipoxin C4</t>
  </si>
  <si>
    <t>LMFA03040004</t>
  </si>
  <si>
    <t>C(/C=C/C=C/[C@@H](SC[C@@H](C(=O)NCC(O)=O)NC(CC[C@@H](C(O)=O)N)=O)[C@H](CCCC(O)=O)O)=C/C=C/[C@@H](O)CCCCC</t>
  </si>
  <si>
    <t>CYCIJLWHNZKKBC-MTFYIJSJSA-N</t>
  </si>
  <si>
    <t>C30H47N3O10S</t>
  </si>
  <si>
    <t>9.79_297.2433m/z</t>
  </si>
  <si>
    <t>9,10-DiHOME(12)</t>
  </si>
  <si>
    <t>HMDB0031679</t>
  </si>
  <si>
    <t>LMFA02000161</t>
  </si>
  <si>
    <t>C(O)(C/C=C/CCCCC)C(O)CCCCCCCC(=O)O</t>
  </si>
  <si>
    <t>XEBKSQSGNGRGDW-JXMROGBWSA-N</t>
  </si>
  <si>
    <t>0.74_115.0025m/z</t>
  </si>
  <si>
    <t>Malic acid</t>
  </si>
  <si>
    <t>HMDB0000744</t>
  </si>
  <si>
    <t>C00149</t>
  </si>
  <si>
    <t>hsa00020,hsa00620,hsa00630,hsa04742,hsa04922,hsa04964,hsa05200,hsa05211,hsa05230</t>
  </si>
  <si>
    <t>Citrate cycle (TCA cycle)|Pyruvate metabolism|Glyoxylate and dicarboxylate metabolism|Taste transduction|Glucagon signaling pathway|Proximal tubule bicarbonate reclamation|Pathways in cancer|Renal cell carcinoma|Central carbon metabolism in cancer</t>
  </si>
  <si>
    <t>6915-15-7</t>
  </si>
  <si>
    <t>C(C(C(=O)O)O)C(=O)O</t>
  </si>
  <si>
    <t>BJEPYKJPYRNKOW-UHFFFAOYSA-N</t>
  </si>
  <si>
    <t>C4H6O5</t>
  </si>
  <si>
    <t>6.89_214.0297m/z</t>
  </si>
  <si>
    <t>2-n-Propylthiazolidine-4-carboxylic acid</t>
  </si>
  <si>
    <t>HMDB0245245</t>
  </si>
  <si>
    <t>CCCC1NC(CS1)C(O)=O</t>
  </si>
  <si>
    <t>QIJPWSGHURHDHJ-UHFFFAOYSA-N</t>
  </si>
  <si>
    <t>C7H13NO2S</t>
  </si>
  <si>
    <t>4.68_704.3324m/z</t>
  </si>
  <si>
    <t>(3a,5b)-24-oxo-24-[(2-sulfoethyl)amino]cholan-3-yl-b-D-Glucopyranosiduronic acid</t>
  </si>
  <si>
    <t>HMDB0002429</t>
  </si>
  <si>
    <t>99794-82-8</t>
  </si>
  <si>
    <t>[H][C@@]1(CC[C@@]2([H])[C@]3([H])CC[C@]4([H])CC(CC[C@]4(C)[C@@]3([H])CC[C@]12C)O[C@@H]1O[C@@H]([C@@H](O)[C@H](O)[C@H]1O)C(O)=O)[C@H](C)CCC(=O)NCCS(O)(=O)=O</t>
  </si>
  <si>
    <t>YRKZDONPVFEWNN-CNEWWJQRSA-N</t>
  </si>
  <si>
    <t>C32H53NO11S</t>
  </si>
  <si>
    <t>12.05_481.1797m/z</t>
  </si>
  <si>
    <t>Flupenthixol</t>
  </si>
  <si>
    <t>HMDB0015013</t>
  </si>
  <si>
    <t>2709-56-0</t>
  </si>
  <si>
    <t>[H]C(CCN1CCN(CCO)CC1)=C1C2C=C(C=CC2SC2=C1C=CC=C2)C(F)(F)F</t>
  </si>
  <si>
    <t>DTTVNHWDONBIKE-UHFFFAOYSA-N</t>
  </si>
  <si>
    <t>Benzothiopyrans</t>
  </si>
  <si>
    <t>1-benzothiopyrans</t>
  </si>
  <si>
    <t>C23H27F3N2OS</t>
  </si>
  <si>
    <t>12.71_661.3987m/z</t>
  </si>
  <si>
    <t>Officinoterpenoside C</t>
  </si>
  <si>
    <t>LMPR0106150047</t>
  </si>
  <si>
    <t>C1[C@@H](O)[C@H](O)[C@@](CO)(C)[C@]2([H])CC[C@@]3(C)[C@]4(C)CC[C@@]5(C(=O)O[C@H]6[C@H](O)[C@@H](O)[C@H](O)[C@@H](CO)O6)CC[C@@](C)(CO)[C@H](C)[C@@]5([H])C4=CC[C@]3([H])[C@@]12C</t>
  </si>
  <si>
    <t>CYKADGBCIQYFTJ-JTKKEWTBSA-N</t>
  </si>
  <si>
    <t>C37H60O11</t>
  </si>
  <si>
    <t>0.70_129.0663m/z</t>
  </si>
  <si>
    <t>D-Alanyl glycine</t>
  </si>
  <si>
    <t>HMDB0302832</t>
  </si>
  <si>
    <t>[H][C@](C)(N)C(O)=NCC(O)=O</t>
  </si>
  <si>
    <t>CXISPYVYMQWFLE-GSVOUGTGSA-N</t>
  </si>
  <si>
    <t>C5H10N2O3</t>
  </si>
  <si>
    <t>6.23_162.1049n</t>
  </si>
  <si>
    <t>4,4alpha,5,6-Tetrahydro-7-methyl-2(3H)-naphthalenone</t>
  </si>
  <si>
    <t>HMDB0039803</t>
  </si>
  <si>
    <t>34545-88-5</t>
  </si>
  <si>
    <t>CC1=CC2=CC(=O)CCC2CC1</t>
  </si>
  <si>
    <t>NGSXTBFUMNXJDK-UHFFFAOYSA-N</t>
  </si>
  <si>
    <t>C11H14O</t>
  </si>
  <si>
    <t>14.06_429.3740m/z</t>
  </si>
  <si>
    <t>(22alpha)-hydroxy-isofucosterol</t>
  </si>
  <si>
    <t>HMDB0303959</t>
  </si>
  <si>
    <t>CC=C(CC(O)C(C)C1CCC2C3CC=C4CC(O)CCC4(C)C3CCC12C)C(C)C</t>
  </si>
  <si>
    <t>IYBGBNAVLWUPQU-UHFFFAOYSA-N</t>
  </si>
  <si>
    <t>8.60_579.2637m/z</t>
  </si>
  <si>
    <t>Pyropheophorbide a</t>
  </si>
  <si>
    <t>HMDB0256993</t>
  </si>
  <si>
    <t>CCC1=C(C)C2=NC1=CC1=C(C)C3=C(O)C\C(=C4\NC(=CC5=NC(=C2)C(C=C)=C5C)C(C)C4CCC(O)=O)C3=N1</t>
  </si>
  <si>
    <t>FDKRLXBXYZKWRZ-UVVYPKDDSA-N</t>
  </si>
  <si>
    <t>C33H34N4O3</t>
  </si>
  <si>
    <t>1.28_267.0735m/z</t>
  </si>
  <si>
    <t>Inosine</t>
  </si>
  <si>
    <t>HMDB0000195</t>
  </si>
  <si>
    <t>C00294</t>
  </si>
  <si>
    <t>R-HSA-1430728,R-HSA-15869,R-HSA-1643685,R-HSA-2161522,R-HSA-2161541,R-HSA-382551,R-HSA-392499,R-HSA-425397,R-HSA-425407,R-HSA-5619063,R-HSA-5619102,R-HSA-5619115,R-HSA-5668914,R-HSA-5683826,R-HSA-74217,R-HSA-74259,R-HSA-83936,R-HSA-8956319,R-HSA-8956321,R-HSA-9735763,R-HSA-9735786,R-HSA-9735804,R-HSA-9748784,R-HSA-9755088</t>
  </si>
  <si>
    <t>Metabolism|Metabolism of nucleotides|Disease|Abacavir ADME|Abacavir metabolism|Transport of small molecules|Metabolism of proteins|Transport of vitamins, nucleosides, and related molecules|SLC-mediated transmembrane transport|Defective SLC29A3 causes histiocytosis-lymphadenopathy plus syndrome (HLAS)|SLC transporter disorders|Disorders of transmembrane transporters|Diseases of metabolism|Surfactant metabolism|Purine salvage|Purine catabolism|Transport of nucleosides and free purine and pyrimidine bases across the plasma membrane|Nucleotide catabolism|Nucleotide salvage|Defective PNP disrupts phosphorolysis of (deoxy)guanosine and (deoxy)inosine|Nucleotide catabolism defects|Diseases of nucleotide metabolism|Drug ADME|Ribavirin ADME</t>
  </si>
  <si>
    <t>58-63-9</t>
  </si>
  <si>
    <t>OC[C@H]1O[C@H]([C@H](O)[C@@H]1O)N1C=NC2=C(O)N=CN=C12</t>
  </si>
  <si>
    <t>UGQMRVRMYYASKQ-KQYNXXCUSA-N</t>
  </si>
  <si>
    <t>C10H12N4O5</t>
  </si>
  <si>
    <t>11.76_259.1546m/z</t>
  </si>
  <si>
    <t>Daumone</t>
  </si>
  <si>
    <t>HMDB0250877</t>
  </si>
  <si>
    <t>CC(CCCCC(O)=O)OC1OC(C)C(O)CC1O</t>
  </si>
  <si>
    <t>KBTQMAFDKPKMEJ-UHFFFAOYSA-N</t>
  </si>
  <si>
    <t>C13H24O6</t>
  </si>
  <si>
    <t>8.57_406.2722n</t>
  </si>
  <si>
    <t>3alpha,6alpha-Dihydroxy-7-oxo-5beta-cholan-24-oic Acid</t>
  </si>
  <si>
    <t>LMST04010173</t>
  </si>
  <si>
    <t>C1[C@]2(C)[C@@]3([H])CC[C@]4(C)[C@@]([H])([C@]([H])(C)CCC(O)=O)CC[C@@]4([H])[C@]3([H])C(=O)[C@H](O)[C@]2([H])C[C@H](O)C1</t>
  </si>
  <si>
    <t>NYMYNCFPAHUJJK-XBTSAHOMSA-N</t>
  </si>
  <si>
    <t>13.28_316.2622n</t>
  </si>
  <si>
    <t>12,13-dihydroxy stearic acid</t>
  </si>
  <si>
    <t>LMFA02000146</t>
  </si>
  <si>
    <t>C(CCCC)C(O)C(O)CCCCCCCCCCC(=O)O</t>
  </si>
  <si>
    <t>PEUSBAXOWSDDBR-UHFFFAOYSA-N</t>
  </si>
  <si>
    <t>4.67_209.0564m/z</t>
  </si>
  <si>
    <t>Eutypine</t>
  </si>
  <si>
    <t>HMDB0301834</t>
  </si>
  <si>
    <t>C08448</t>
  </si>
  <si>
    <t>121007-17-8</t>
  </si>
  <si>
    <t>CC(=C)C#CC1=CC(C=O)=CC=C1O</t>
  </si>
  <si>
    <t>SFCYVTIQMNZUCZ-UHFFFAOYSA-N</t>
  </si>
  <si>
    <t>C12H10O2</t>
  </si>
  <si>
    <t>0.68_423.0651m/z</t>
  </si>
  <si>
    <t>Gluconasturtiin</t>
  </si>
  <si>
    <t>HMDB0038423</t>
  </si>
  <si>
    <t>C08417</t>
  </si>
  <si>
    <t>499-30-9</t>
  </si>
  <si>
    <t>OCC1OC(S\C(CCC2=CC=CC=C2)=N\OS(O)(=O)=O)C(O)C(O)C1O</t>
  </si>
  <si>
    <t>CKIJIGYDFNXSET-LFIBNONCSA-N</t>
  </si>
  <si>
    <t>C15H21NO9S2</t>
  </si>
  <si>
    <t>4.83_742.3113m/z</t>
  </si>
  <si>
    <t>Racemates</t>
  </si>
  <si>
    <t>HMDB0243755</t>
  </si>
  <si>
    <t>CC(C(C)C(=O)OCC1OC(CC1N=[N+]=[N-])N1C=C(C)C(=O)NC1=O)C(=O)NC(CC1=CC=CC=C1)C(O)C(=O)N1CSCC1C(=O)NC(C)(C)C</t>
  </si>
  <si>
    <t>VBMBLHMATUGPNA-UHFFFAOYSA-N</t>
  </si>
  <si>
    <t>C34H46N8O9S</t>
  </si>
  <si>
    <t>1.27_233.0608m/z</t>
  </si>
  <si>
    <t>N-gamma-Glutamylcysteine</t>
  </si>
  <si>
    <t>HMDB0303807</t>
  </si>
  <si>
    <t>NC(CCC(O)=NC(CS)C(O)=O)C(O)=O</t>
  </si>
  <si>
    <t>RITKHVBHSGLULN-UHFFFAOYSA-N</t>
  </si>
  <si>
    <t>5.18_265.1059m/z</t>
  </si>
  <si>
    <t>N-[(2Z)-2-Methoxyiminopropyl]-7H-purin-6-amine</t>
  </si>
  <si>
    <t>HMDB0258951</t>
  </si>
  <si>
    <t>CON=C(C)CNC1=NC=NC2=C1NC=N2</t>
  </si>
  <si>
    <t>KWKJDWTYFHVXDB-UHFFFAOYSA-N</t>
  </si>
  <si>
    <t>C9H12N6O</t>
  </si>
  <si>
    <t>10.39_277.1444m/z</t>
  </si>
  <si>
    <t>6-[(3,4-Methylenedioxy)phenyl]-3,3-dimethyl-1-hexene</t>
  </si>
  <si>
    <t>HMDB0030790</t>
  </si>
  <si>
    <t>30310-56-6</t>
  </si>
  <si>
    <t>CC(C)(CCCC1=CC2=C(OCO2)C=C1)C=C</t>
  </si>
  <si>
    <t>IHMNTQCUAJQGEX-UHFFFAOYSA-N</t>
  </si>
  <si>
    <t>C15H20O2</t>
  </si>
  <si>
    <t>10.23_379.2491m/z</t>
  </si>
  <si>
    <t>21-hydroxyallopregnanolone</t>
  </si>
  <si>
    <t>HMDB0000879</t>
  </si>
  <si>
    <t>LMST02030132</t>
  </si>
  <si>
    <t>C13713</t>
  </si>
  <si>
    <t>567-03-3</t>
  </si>
  <si>
    <t>[C@@]12([H])CC[C@@]3([H])C[C@H](O)CC[C@]3(C)[C@@]1([H])CC[C@]1(C)[C@@H](C(=O)CO)CC[C@@]21[H]</t>
  </si>
  <si>
    <t>CYKYBWRSLLXBOW-GDYGHMJCSA-N</t>
  </si>
  <si>
    <t>C21H34O3</t>
  </si>
  <si>
    <t>2.36_374.0643m/z</t>
  </si>
  <si>
    <t>Gossypetin 7-methyl ether 8-acetate</t>
  </si>
  <si>
    <t>LMPK12113256</t>
  </si>
  <si>
    <t>C1(OC)=C(OC(=O)C)C2OC(C3C=C(O)C(O)=CC=3)=C(O)C(=O)C=2C(O)=C1</t>
  </si>
  <si>
    <t>ATGKLATVDOAAOB-UHFFFAOYSA-N</t>
  </si>
  <si>
    <t>C18H14O9</t>
  </si>
  <si>
    <t>13.16_479.2839m/z</t>
  </si>
  <si>
    <t>1alpha,25-dihydroxy-22-thia-20-epivitamin D3 / 1alpha,25-dihydroxy-22-thia-20-epicholecalciferol</t>
  </si>
  <si>
    <t>LMST03020054</t>
  </si>
  <si>
    <t>[C@@H]1(O)C(=C)/C(=C\C=C2\[C@]3([H])CC[C@@]([C@](C)([H])SCCC(O)(C)C)([H])[C@@]3(C)CCC\2)/C[C@@H](O)C1</t>
  </si>
  <si>
    <t>NJVDMIXTJXQHKY-CHKZDQNGSA-N</t>
  </si>
  <si>
    <t>8.58_501.2957m/z</t>
  </si>
  <si>
    <t>1-(2-methoxy-6Z-tetradecenyl)-sn-glycero-3-phosphoserine</t>
  </si>
  <si>
    <t>LMGP03060005</t>
  </si>
  <si>
    <t>C(O)(=O)[C@@]([H])(N)COP(OC[C@]([H])(O)COCC(OC)CCC/C=C\CCCCCCC)(=O)O</t>
  </si>
  <si>
    <t>YIRHELOXVAEZRE-NHQGYUDSSA-N</t>
  </si>
  <si>
    <t>C21H42NO9P</t>
  </si>
  <si>
    <t>8.54_422.2914m/z</t>
  </si>
  <si>
    <t>3alpha,11-Dihydroxy-12-oxo-5beta-chol-9(11)-en-24-oic Acid</t>
  </si>
  <si>
    <t>LMST04010336</t>
  </si>
  <si>
    <t>C1[C@]2(C)C3=C(O)C(=O)[C@]4(C)[C@@]([H])([C@]([H])(C)CCC(O)=O)CC[C@@]4([H])[C@]3([H])CC[C@]2([H])C[C@H](O)C1</t>
  </si>
  <si>
    <t>VDDZGGYYASHXNZ-AVOREMQFSA-N</t>
  </si>
  <si>
    <t>9.11_431.2421m/z</t>
  </si>
  <si>
    <t>Budesonide</t>
  </si>
  <si>
    <t>HMDB0015353</t>
  </si>
  <si>
    <t>C06858</t>
  </si>
  <si>
    <t>51333-22-3</t>
  </si>
  <si>
    <t>[H][C@@]12C[C@H]3OC(CCC)O[C@@]3(C(=O)CO)[C@@]1(C)C[C@H](O)[C@@]1([H])[C@@]2([H])CCC2=CC(=O)C=C[C@]12C</t>
  </si>
  <si>
    <t>VOVIALXJUBGFJZ-KWVAZRHASA-N</t>
  </si>
  <si>
    <t>C25H34O6</t>
  </si>
  <si>
    <t>13.51_303.2326m/z</t>
  </si>
  <si>
    <t>isopimaric acid</t>
  </si>
  <si>
    <t>HMDB0036811</t>
  </si>
  <si>
    <t>LMPR0104080010</t>
  </si>
  <si>
    <t>C09118</t>
  </si>
  <si>
    <t>5835-26-7</t>
  </si>
  <si>
    <t>[C@]12(CC=C3C[C@@](C=C)(CC[C@@]3([C@@]1(C)CCC[C@]2(C(O)=O)C)[H])C)[H]</t>
  </si>
  <si>
    <t>MXYATHGRPJZBNA-KRFUXDQASA-N</t>
  </si>
  <si>
    <t>9.93_431.2992m/z</t>
  </si>
  <si>
    <t>DG(18:1(12Z)-2OH(9,10)/2:0/0:0)</t>
  </si>
  <si>
    <t>HMDB0296964</t>
  </si>
  <si>
    <t>CCCCC\C=C/C[C@@H](O)[C@H](O)CCCCCCCC(=O)OC[C@H](CO)OC(C)=O</t>
  </si>
  <si>
    <t>BYCWAHVHUZKBSY-NBYBGJJRSA-N</t>
  </si>
  <si>
    <t>C23H42O7</t>
  </si>
  <si>
    <t>7.04_395.2442m/z</t>
  </si>
  <si>
    <t>Pregnanetriolone</t>
  </si>
  <si>
    <t>HMDB0041997</t>
  </si>
  <si>
    <t>C15368</t>
  </si>
  <si>
    <t>603-99-6</t>
  </si>
  <si>
    <t>[H][C@@](C)(O)[C@@]1(O)CC[C@@]2([H])[C@]3([H])CC[C@]4([H])C[C@]([H])(O)CC[C@]4(C)[C@@]3([H])C(=O)C[C@]12C</t>
  </si>
  <si>
    <t>WKFXHNDWEHDGQD-ZQRGSSBZSA-N</t>
  </si>
  <si>
    <t>13.55_384.9932m/z</t>
  </si>
  <si>
    <t>D-myo-Inositol 3,4-bisphosphate</t>
  </si>
  <si>
    <t>HMDB0006235</t>
  </si>
  <si>
    <t>C04063</t>
  </si>
  <si>
    <t>hsa00562,hsa04070</t>
  </si>
  <si>
    <t>Inositol phosphate metabolism|Phosphatidylinositol signaling system</t>
  </si>
  <si>
    <t>R-HSA-1430728,R-HSA-1483249,R-HSA-1855183</t>
  </si>
  <si>
    <t>Metabolism|Inositol phosphate metabolism|Synthesis of IP2, IP, and Ins in the cytosol</t>
  </si>
  <si>
    <t>69256-53-7</t>
  </si>
  <si>
    <t>O[C@H]1[C@H](O)[C@@H](O)[C@H](OP(O)(O)=O)[C@@H](OP(O)(O)=O)[C@H]1O</t>
  </si>
  <si>
    <t>MCKAJXMRULSUKI-CNWJWELYSA-N</t>
  </si>
  <si>
    <t>C6H14O12P2</t>
  </si>
  <si>
    <t>14.46_599.4579m/z</t>
  </si>
  <si>
    <t>Phytoene 1,2-epoxide</t>
  </si>
  <si>
    <t>HMDB0036875</t>
  </si>
  <si>
    <t>26107-96-0</t>
  </si>
  <si>
    <t>CC(C)=CCC\C(C)=C/CC\C(C)=C/CC\C(C)=C\C=C\C=C(/C)CC\C=C(/C)CC\C=C(\C)CCC1OC1(C)C</t>
  </si>
  <si>
    <t>BCPVRLMAESAYCE-AFWJVYGRSA-N</t>
  </si>
  <si>
    <t>Sesquaterpenoids</t>
  </si>
  <si>
    <t>C40H64O</t>
  </si>
  <si>
    <t>7.07_399.1978m/z</t>
  </si>
  <si>
    <t>Fluorometholone 17-acetate</t>
  </si>
  <si>
    <t>C14629</t>
  </si>
  <si>
    <t>3801-06-7</t>
  </si>
  <si>
    <t>CC1CC2C3CCC(C3(CC(C2(C4(C1=CC(=O)C=C4)C)F)O)C)(C(=O)C)OC(=O)C</t>
  </si>
  <si>
    <t>YRFXGQHBPBMFHW-SBTZIJSASA-N</t>
  </si>
  <si>
    <t>C24H31FO5</t>
  </si>
  <si>
    <t>10.64_431.2026m/z</t>
  </si>
  <si>
    <t>Oliceridine</t>
  </si>
  <si>
    <t>HMDB0255950</t>
  </si>
  <si>
    <t>COC1=C(CNCCC2(CCOC3(CCCC3)C2)C2=CC=CC=N2)SC=C1</t>
  </si>
  <si>
    <t>DMNOVGJWPASQDL-UHFFFAOYSA-N</t>
  </si>
  <si>
    <t>2.40_207.0884m/z</t>
  </si>
  <si>
    <t>Fluoromisonidazole</t>
  </si>
  <si>
    <t>HMDB0252385</t>
  </si>
  <si>
    <t>OC(CF)CN1C=CN=C1[N+]([O-])=O</t>
  </si>
  <si>
    <t>HIIJZYSUEJYLMX-UHFFFAOYSA-N</t>
  </si>
  <si>
    <t>C6H8FN3O3</t>
  </si>
  <si>
    <t>11.07_837.1881m/z</t>
  </si>
  <si>
    <t>Cyanidin 7-arabinoside</t>
  </si>
  <si>
    <t>HMDB0037989</t>
  </si>
  <si>
    <t>28985-03-7</t>
  </si>
  <si>
    <t>OC1COC(\[O+]=C2/C=C(O)C3=CC(O)=C(OC3=C2)C2=CC(O)=C(O)C=C2)C(O)C1O</t>
  </si>
  <si>
    <t>ITSUAAYFFATPLH-UHFFFAOYSA-O</t>
  </si>
  <si>
    <t>C20H19O10+</t>
  </si>
  <si>
    <t>10.78_345.2433m/z</t>
  </si>
  <si>
    <t>Prostaglandin A1 ethyl ester</t>
  </si>
  <si>
    <t>93464-24-5</t>
  </si>
  <si>
    <t>CCCCCC(C=CC1C=CC(=O)C1CCCCCCC(=O)OCC)O</t>
  </si>
  <si>
    <t>STQVEMJKKQYNQQ-LTGPBHORSA-N</t>
  </si>
  <si>
    <t>8.35_399.2212m/z</t>
  </si>
  <si>
    <t>5alpha-Pregnan-3beta,20beta-diol 20-sulfate</t>
  </si>
  <si>
    <t>HMDB0240580</t>
  </si>
  <si>
    <t>103674-15-3</t>
  </si>
  <si>
    <t>[H][C@@]1(CC[C@@]2([H])[C@]3([H])CC[C@@]4([H])C[C@@H](O)CC[C@]4(C)[C@@]3([H])CC[C@]12C)[C@@H](C)OS(O)(=O)=O</t>
  </si>
  <si>
    <t>NOGKXXMAHGCQBS-XFHAOOBSSA-N</t>
  </si>
  <si>
    <t>C21H36O5S</t>
  </si>
  <si>
    <t>8.18_335.1075m/z</t>
  </si>
  <si>
    <t>Capillin</t>
  </si>
  <si>
    <t>HMDB0032867</t>
  </si>
  <si>
    <t>C08398</t>
  </si>
  <si>
    <t>495-74-9</t>
  </si>
  <si>
    <t>CC#CC#CC(=O)C1=CC=CC=C1</t>
  </si>
  <si>
    <t>RAZOKRUZEQERLH-UHFFFAOYSA-N</t>
  </si>
  <si>
    <t>Benzoyl derivatives</t>
  </si>
  <si>
    <t>C12H8O</t>
  </si>
  <si>
    <t>1.47_220.0856n</t>
  </si>
  <si>
    <t>5-Hydroxy-L-tryptophan</t>
  </si>
  <si>
    <t>HMDB0000472</t>
  </si>
  <si>
    <t>C00643</t>
  </si>
  <si>
    <t>hsa00380,hsa04726</t>
  </si>
  <si>
    <t>Tryptophan metabolism|Serotonergic synapse</t>
  </si>
  <si>
    <t>4350-09-8</t>
  </si>
  <si>
    <t>C1=CC2=C(C=C1O)C(=CN2)CC(C(=O)O)N</t>
  </si>
  <si>
    <t>LDCYZAJDBXYCGN-UHFFFAOYSA-N</t>
  </si>
  <si>
    <t>C11H12N2O3</t>
  </si>
  <si>
    <t>13.51_451.2965n</t>
  </si>
  <si>
    <t>Cabergoline</t>
  </si>
  <si>
    <t>HMDB0014393</t>
  </si>
  <si>
    <t>C08187</t>
  </si>
  <si>
    <t>81409-90-7</t>
  </si>
  <si>
    <t>[H][C@@]12CC3=CNC4=CC=CC(=C34)[C@@]1([H])C[C@H](CN2CC=C)C(=O)N(CCCN(C)C)C(=O)NCC</t>
  </si>
  <si>
    <t>KORNTPPJEAJQIU-KJXAQDMKSA-N</t>
  </si>
  <si>
    <t>C26H37N5O2</t>
  </si>
  <si>
    <t>6.59_473.1774m/z</t>
  </si>
  <si>
    <t>Larotrectinib</t>
  </si>
  <si>
    <t>HMDB0304896</t>
  </si>
  <si>
    <t>O[C@H]1CCN(C1)C(=O)NC1=C2N=C(C=CN2N=C1)N1CCC[C@@H]1C1=C(F)C=CC(F)=C1</t>
  </si>
  <si>
    <t>NYNZQNWKBKUAII-KBXCAEBGSA-N</t>
  </si>
  <si>
    <t>C21H22F2N6O2</t>
  </si>
  <si>
    <t>7.28_251.1286m/z</t>
  </si>
  <si>
    <t>3,4-dimethyl-5-carboxyethyl-2-furanpentanoic acid</t>
  </si>
  <si>
    <t>LMFA01150055</t>
  </si>
  <si>
    <t>C(C(O)=O)CC1=C(C)C(C)=C(CCCCC(=O)O)O1</t>
  </si>
  <si>
    <t>KLVVTPGUDQKTHU-UHFFFAOYSA-N</t>
  </si>
  <si>
    <t>C14H20O5</t>
  </si>
  <si>
    <t>545</t>
  </si>
  <si>
    <t>Cholestane-3beta,5alpha,6beta-Triol</t>
  </si>
  <si>
    <t>HMDB0003990</t>
  </si>
  <si>
    <t>LMST01010052</t>
  </si>
  <si>
    <t>C05425</t>
  </si>
  <si>
    <t>1253-84-5</t>
  </si>
  <si>
    <t>C1[C@]2(C)[C@@]3([H])CC[C@]4(C)[C@@]([H])([C@]([H])(C)CCCC(C)C)CC[C@@]4([H])[C@]3([H])C[C@@H](O)[C@@]2(O)C[C@@H](O)C1</t>
  </si>
  <si>
    <t>YMMFNKXZULYSOQ-RUXQDQFYSA-N</t>
  </si>
  <si>
    <t>10.25_483.2951n</t>
  </si>
  <si>
    <t>PS(O-16:0/0:0)</t>
  </si>
  <si>
    <t>LMGP03060003</t>
  </si>
  <si>
    <t>C(O)(=O)[C@@]([H])(N)COP(OC[C@]([H])(O)COCCCCCCCCCCCCCCCC)(=O)O</t>
  </si>
  <si>
    <t>OKDHAHLLVBYLHA-RTWAWAEBSA-N</t>
  </si>
  <si>
    <t>C22H46NO8P</t>
  </si>
  <si>
    <t>4.85_373.2146m/z</t>
  </si>
  <si>
    <t>Pregnan-20-one, 3,17-dihydroxy-, (3alpha)-</t>
  </si>
  <si>
    <t>HMDB0244771</t>
  </si>
  <si>
    <t>CC(=O)C1(O)CCC2C3CCC4CC(O)CCC4(C)C3CCC12C</t>
  </si>
  <si>
    <t>LKQDFQLSEHWIRK-UHFFFAOYSA-N</t>
  </si>
  <si>
    <t>13.70_509.0245m/z</t>
  </si>
  <si>
    <t>Phosfolan</t>
  </si>
  <si>
    <t>C19011</t>
  </si>
  <si>
    <t>947-02-4</t>
  </si>
  <si>
    <t>CCOP(=O)(N=C1SCCS1)OCC</t>
  </si>
  <si>
    <t>ILBONRFSLATCRE-UHFFFAOYSA-N</t>
  </si>
  <si>
    <t>C7H14NO3PS2</t>
  </si>
  <si>
    <t>14.08_521.4220m/z</t>
  </si>
  <si>
    <t>DG(i-17:0/10:0/0:0)</t>
  </si>
  <si>
    <t>HMDB0093714</t>
  </si>
  <si>
    <t>[H][C@](CO)(COC(=O)CCCCCCCCCCCCCC(C)C)OC(=O)CCCCCCCCC</t>
  </si>
  <si>
    <t>ANYNMMVEQLOBRU-NDEPHWFRSA-N</t>
  </si>
  <si>
    <t>C30H58O5</t>
  </si>
  <si>
    <t>0.62_336.0164m/z</t>
  </si>
  <si>
    <t>2,3-Dioxo-6-nitro-7-sulfamoylbenzo(f)quinoxaline</t>
  </si>
  <si>
    <t>HMDB0255485</t>
  </si>
  <si>
    <t>C13667</t>
  </si>
  <si>
    <t>118876-58-7</t>
  </si>
  <si>
    <t>NS(=O)(=O)C1=CC=CC2=C3NC(=O)C(=O)NC3=CC(=C12)[N+]([O-])=O</t>
  </si>
  <si>
    <t>UQNAFPHGVPVTAL-UHFFFAOYSA-N</t>
  </si>
  <si>
    <t>C12H8N4O6S</t>
  </si>
  <si>
    <t>12.12_633.4407m/z</t>
  </si>
  <si>
    <t>PE(12:0/16:1(9Z))</t>
  </si>
  <si>
    <t>LMGP02010362</t>
  </si>
  <si>
    <t>[C@](COP(=O)(O)OCCN)([H])(OC(CCCCCCC/C=C\CCCCCC)=O)COC(CCCCCCCCCCC)=O</t>
  </si>
  <si>
    <t>NXYGWFGNBOVLJN-LLDSFBTISA-N</t>
  </si>
  <si>
    <t>C33H64NO8P</t>
  </si>
  <si>
    <t>4.37_408.0485m/z</t>
  </si>
  <si>
    <t>3-Quinuclidinyl alpha-hydroxy-alpha-(1-iodo-1-propen-3-yl)-alpha-phenylacetate</t>
  </si>
  <si>
    <t>HMDB0253576</t>
  </si>
  <si>
    <t>OC(CC=CI)(C(=O)OC1CN2CCC1CC2)C1=CC=CC=C1</t>
  </si>
  <si>
    <t>MMUQVFDMUDOFSH-UHFFFAOYSA-N</t>
  </si>
  <si>
    <t>C18H22INO3</t>
  </si>
  <si>
    <t>6.91_259.0282n</t>
  </si>
  <si>
    <t>Propylparaben sulfate</t>
  </si>
  <si>
    <t>HMDB0240718</t>
  </si>
  <si>
    <t>CCCOC(=O)C1=CC=C(OS([O-])(=O)=O)C=C1</t>
  </si>
  <si>
    <t>WEKBGFBWJOHXKR-UHFFFAOYSA-M</t>
  </si>
  <si>
    <t>C10H11O6S-</t>
  </si>
  <si>
    <t>5.21_317.1144m/z</t>
  </si>
  <si>
    <t>Camonagrel</t>
  </si>
  <si>
    <t>HMDB0249574</t>
  </si>
  <si>
    <t>OC(=O)C1CCC2=C1C=CC(OCCN1C=CN=C1)=C2</t>
  </si>
  <si>
    <t>IRWWXLHSNMVHNY-UHFFFAOYSA-N</t>
  </si>
  <si>
    <t>Indanes</t>
  </si>
  <si>
    <t>C15H16N2O3</t>
  </si>
  <si>
    <t>4.89_246.0895m/z</t>
  </si>
  <si>
    <t>6,7-Dihydroxy-2-dimethylaminotetralin</t>
  </si>
  <si>
    <t>HMDB0247109</t>
  </si>
  <si>
    <t>CN(C)C1CCC2=CC(O)=C(O)C=C2C1</t>
  </si>
  <si>
    <t>JWLJBTDXCBIGBW-UHFFFAOYSA-N</t>
  </si>
  <si>
    <t>12.00_494.3621m/z</t>
  </si>
  <si>
    <t>1-(2-methoxy-nonadecanyl)-sn-glycero-3-phosphoethanolamine</t>
  </si>
  <si>
    <t>LMGP02060022</t>
  </si>
  <si>
    <t>[C@](COP(=O)(O)OCCN)([H])(O)COCC(OC)CCCCCCCCCCCCCCCCC</t>
  </si>
  <si>
    <t>GTSHDNQMVASCON-IKOFQBKESA-N</t>
  </si>
  <si>
    <t>C25H54NO7P</t>
  </si>
  <si>
    <t>4.68_243.1236m/z</t>
  </si>
  <si>
    <t>ascr#12</t>
  </si>
  <si>
    <t>LMFA13040038</t>
  </si>
  <si>
    <t>O([C@@H](CCCC(=O)O)C)[C@H]1[C@H](O)C[C@@H](O)[C@H](C)O1</t>
  </si>
  <si>
    <t>LGGOKKRYYYYXPA-VEOFNUSFSA-N</t>
  </si>
  <si>
    <t>C12H22O6</t>
  </si>
  <si>
    <t>13.16_328.3219m/z</t>
  </si>
  <si>
    <t>Stearoyl-EA</t>
  </si>
  <si>
    <t>HMDB0013078</t>
  </si>
  <si>
    <t>LMFA08040051</t>
  </si>
  <si>
    <t>R-HSA-112310,R-HSA-112315,R-HSA-112316</t>
  </si>
  <si>
    <t>Neurotransmitter release cycle|Transmission across Chemical Synapses|Neuronal System</t>
  </si>
  <si>
    <t>111-57-9</t>
  </si>
  <si>
    <t>C(CCCCCCCCCCCCCCCC)C(=O)NCCO</t>
  </si>
  <si>
    <t>OTGQIQQTPXJQRG-UHFFFAOYSA-N</t>
  </si>
  <si>
    <t>C20H41NO2</t>
  </si>
  <si>
    <t>5.01_305.1008m/z</t>
  </si>
  <si>
    <t>6-Hydrazinonicotinic acid</t>
  </si>
  <si>
    <t>HMDB0247068</t>
  </si>
  <si>
    <t>NNC1=NC=C(C=C1)C(O)=O</t>
  </si>
  <si>
    <t>HBBSDZXXUIHKJE-UHFFFAOYSA-N</t>
  </si>
  <si>
    <t>C6H7N3O2</t>
  </si>
  <si>
    <t>10.55_285.2220m/z</t>
  </si>
  <si>
    <t>14(R)-Hydroxy-retro-vitamin A</t>
  </si>
  <si>
    <t>HMDB0244583</t>
  </si>
  <si>
    <t>CC(C=CC=C(C)C(O)CO)=CC=C1C(C)=CCCC1(C)C</t>
  </si>
  <si>
    <t>PCRZONNRANOQPA-UHFFFAOYSA-N</t>
  </si>
  <si>
    <t>0.64_179.0799n</t>
  </si>
  <si>
    <t>Mannosamine</t>
  </si>
  <si>
    <t>C03570</t>
  </si>
  <si>
    <t>14307-02-9</t>
  </si>
  <si>
    <t>OCC1OC(O)C(N)C(O)C1O</t>
  </si>
  <si>
    <t>MSWZFWKMSRAUBD-CBPJZXOFSA-N</t>
  </si>
  <si>
    <t>C6H13NO5</t>
  </si>
  <si>
    <t>4.38_262.1658m/z</t>
  </si>
  <si>
    <t>Asperitaconic acid A</t>
  </si>
  <si>
    <t>LMFA01170146</t>
  </si>
  <si>
    <t>[C@H](C(=C)C(O)=O)(C(=O)OC)CCCCCCO</t>
  </si>
  <si>
    <t>CPKOINXTFBNYMW-JTQLQIEISA-N</t>
  </si>
  <si>
    <t>9.24_254.0775m/z</t>
  </si>
  <si>
    <t>L-Phosphoarginine</t>
  </si>
  <si>
    <t>HMDB0029438</t>
  </si>
  <si>
    <t>C05945</t>
  </si>
  <si>
    <t>1189-11-3</t>
  </si>
  <si>
    <t>NC(CCCNC(=N)NP(O)(O)=O)C(O)=O</t>
  </si>
  <si>
    <t>CCTIOCVIZPCTGO-UHFFFAOYSA-N</t>
  </si>
  <si>
    <t>C6H15N4O5P</t>
  </si>
  <si>
    <t>10.64_378.1504m/z</t>
  </si>
  <si>
    <t>Kasugamycin</t>
  </si>
  <si>
    <t>C17968</t>
  </si>
  <si>
    <t>6980-18-3</t>
  </si>
  <si>
    <t>CC1C(CC(C(O1)OC2C(C(C(C(C2O)O)O)O)O)N)N=C(C(=O)O)N</t>
  </si>
  <si>
    <t>PVTHJAPFENJVNC-UQTMRZPGSA-N</t>
  </si>
  <si>
    <t>C14H25N3O9</t>
  </si>
  <si>
    <t>13.78_563.4319m/z</t>
  </si>
  <si>
    <t>Janohigenin 25-0</t>
  </si>
  <si>
    <t>LMPK15040013</t>
  </si>
  <si>
    <t>C1(O)C=C(CCCCCCCCCCCCCCCCCCCCCCCCC)C(C(O)=O)=C(O)C=1C</t>
  </si>
  <si>
    <t>UFMYZZQKSNGVHU-UHFFFAOYSA-N</t>
  </si>
  <si>
    <t>C33H58O4</t>
  </si>
  <si>
    <t>12.17_367.1900m/z</t>
  </si>
  <si>
    <t>{4-[4-(6-Carbamoyl-3,5-dimethylpyrazin-2-yl)phenyl]cyclohexyl}acetic acid</t>
  </si>
  <si>
    <t>HMDB0248788</t>
  </si>
  <si>
    <t>CC1=NC(C)=C(N=C1C(N)=O)C1=CC=C(C=C1)C1CCC(CC(O)=O)CC1</t>
  </si>
  <si>
    <t>YXFNPRHZMOGREC-UHFFFAOYSA-N</t>
  </si>
  <si>
    <t>C21H25N3O3</t>
  </si>
  <si>
    <t>5.06_261.0923m/z</t>
  </si>
  <si>
    <t>(6R,7R)-6-Methoxy-3,7-dimethyl-8-oxo-5-thia-1-azabicyclo[4.2.0]oct-2-ene-2-carboxylic acid</t>
  </si>
  <si>
    <t>HMDB0258050</t>
  </si>
  <si>
    <t>COC12SCC(C)=C(N1C(=O)C2C)C(O)=O</t>
  </si>
  <si>
    <t>UCKZMPLVLCKKMO-UHFFFAOYSA-N</t>
  </si>
  <si>
    <t>C10H13NO4S</t>
  </si>
  <si>
    <t>1.09_360.0680m/z</t>
  </si>
  <si>
    <t>SPARSOMYCIN</t>
  </si>
  <si>
    <t>HMDB0258407</t>
  </si>
  <si>
    <t>CSCS(=O)CC(CO)NC(=O)C=CC1=C(C)NC(=O)NC1=O</t>
  </si>
  <si>
    <t>XKLZIVIOZDNKEQ-UHFFFAOYSA-N</t>
  </si>
  <si>
    <t>C13H19N3O5S2</t>
  </si>
  <si>
    <t>8.47_417.1900m/z</t>
  </si>
  <si>
    <t>13-Hydroxydihydromelleolide</t>
  </si>
  <si>
    <t>HMDB0036929</t>
  </si>
  <si>
    <t>130396-92-8</t>
  </si>
  <si>
    <t>CC1=CC(O)=CC(O)=C1C(=O)OC1CC2(C)C3CC(C)(C)CC3(O)C=C(CO)C12O</t>
  </si>
  <si>
    <t>ABFOJGYAILKEJB-UHFFFAOYSA-N</t>
  </si>
  <si>
    <t>7.70_224.1419n</t>
  </si>
  <si>
    <t>11-hydroxy-4-methyl-2E,4E,6E-dodecatrienoic acid</t>
  </si>
  <si>
    <t>LMFA01020413</t>
  </si>
  <si>
    <t>C(/C=C/C(/C)=C/C=C/CCCC(O)C)(=O)O</t>
  </si>
  <si>
    <t>XUQIFDLHGYJREE-HLTZDAHQSA-N</t>
  </si>
  <si>
    <t>C13H20O3</t>
  </si>
  <si>
    <t>338</t>
  </si>
  <si>
    <t>Myristic Acid</t>
  </si>
  <si>
    <t>HMDB0000806</t>
  </si>
  <si>
    <t>LMFA01010014</t>
  </si>
  <si>
    <t>C06424</t>
  </si>
  <si>
    <t>R-HSA-112310,R-HSA-112315,R-HSA-112316,R-HSA-162582,R-HSA-1643685,R-HSA-2980736,R-HSA-372790,R-HSA-373076,R-HSA-381771,R-HSA-382551,R-HSA-388396,R-HSA-392499,R-HSA-400508,R-HSA-416476,R-HSA-425397,R-HSA-425407,R-HSA-444209,R-HSA-500792,R-HSA-5619102,R-HSA-5619108,R-HSA-5619115,R-HSA-804914</t>
  </si>
  <si>
    <t>Neurotransmitter release cycle|Transmission across Chemical Synapses|Neuronal System|Signal Transduction|Disease|Peptide hormone metabolism|Signaling by GPCR|Class A/1 (Rhodopsin-like receptors)|Synthesis, secretion, and inactivation of Glucagon-like Peptide-1 (GLP-1)|Transport of small molecules|GPCR downstream signalling|Metabolism of proteins|Incretin synthesis, secretion, and inactivation|G alpha (q) signalling events|Transport of vitamins, nucleosides, and related molecules|SLC-mediated transmembrane transport|Free fatty acid receptors|GPCR ligand binding|SLC transporter disorders|Defective SLC27A4 causes ichthyosis prematurity syndrome (IPS)|Disorders of transmembrane transporters|Transport of fatty acids</t>
  </si>
  <si>
    <t>544-63-8</t>
  </si>
  <si>
    <t>C(CCCC)CCCCCCCCC(=O)O</t>
  </si>
  <si>
    <t>TUNFSRHWOTWDNC-UHFFFAOYSA-N</t>
  </si>
  <si>
    <t>4.26_226.0718m/z</t>
  </si>
  <si>
    <t>4-amino-4-deoxychorismate</t>
  </si>
  <si>
    <t>HMDB0304170</t>
  </si>
  <si>
    <t>C11355</t>
  </si>
  <si>
    <t>133442-18-9</t>
  </si>
  <si>
    <t>N[C@@H]1C=CC(=C[C@H]1OC(=C)C(O)=O)C(O)=O</t>
  </si>
  <si>
    <t>OIUJHGOLFKDBSU-HTQZYQBOSA-N</t>
  </si>
  <si>
    <t>C10H11NO5</t>
  </si>
  <si>
    <t>12.25_599.9356m/z</t>
  </si>
  <si>
    <t>N,1,1,2,2,3,3,4,4,5,5,6,6,7,7,8,8,8-Octadecafluoro-N-(2-hydroxyethyl)octane-1-sulfonamide</t>
  </si>
  <si>
    <t>HMDB0258138</t>
  </si>
  <si>
    <t>OCCN(F)S(=O)(=O)C(F)(F)C(F)(F)C(F)(F)C(F)(F)C(F)(F)C(F)(F)C(F)(F)C(F)(F)F</t>
  </si>
  <si>
    <t>AENANGVCPSFGPQ-UHFFFAOYSA-N</t>
  </si>
  <si>
    <t>C10H5F18NO3S</t>
  </si>
  <si>
    <t>5.01_453.0868m/z</t>
  </si>
  <si>
    <t>N-ethyl-7H-purine-6-sulfonamide</t>
  </si>
  <si>
    <t>HMDB0255132</t>
  </si>
  <si>
    <t>CCNS(=O)(=O)C1=NC=NC2=C1NC=N2</t>
  </si>
  <si>
    <t>RMQGEAPUBCJEEY-UHFFFAOYSA-N</t>
  </si>
  <si>
    <t>C7H9N5O2S</t>
  </si>
  <si>
    <t>10.33_391.2469m/z</t>
  </si>
  <si>
    <t>MG(18:2(10E,12Z)+=O(9)/0:0/0:0)</t>
  </si>
  <si>
    <t>HMDB0260488</t>
  </si>
  <si>
    <t>CCCCC\C=C/C=C/C(=O)CCCCCCCC(=O)OC[C@@H](O)CO</t>
  </si>
  <si>
    <t>JQIUXUDRBWTUPQ-ZXCOXVNCSA-N</t>
  </si>
  <si>
    <t>C21H36O5</t>
  </si>
  <si>
    <t>12.71_635.5260m/z</t>
  </si>
  <si>
    <t>DG(18:1(12Z)-2OH(9,10)/i-18:0/0:0)</t>
  </si>
  <si>
    <t>HMDB0299665</t>
  </si>
  <si>
    <t>CCCCC\C=C/C[C@@H](O)[C@H](O)CCCCCCCC(=O)OC[C@H](CO)OC(=O)CCCCCCCCCCCCCCC(C)C</t>
  </si>
  <si>
    <t>RZXQDZZSMPDIOJ-JRUNGBTRSA-N</t>
  </si>
  <si>
    <t>C39H74O7</t>
  </si>
  <si>
    <t>11.03_466.2938m/z</t>
  </si>
  <si>
    <t>PE(17:0/0:0)</t>
  </si>
  <si>
    <t>HMDB0061691</t>
  </si>
  <si>
    <t>LMGP02050030</t>
  </si>
  <si>
    <t>[C@](COP(=O)(O)OCCN)([H])(O)COC(CCCCCCCCCCCCCCCC)=O</t>
  </si>
  <si>
    <t>RVNBVQKDPQVSOY-OAQYLSRUSA-N</t>
  </si>
  <si>
    <t>C22H46NO7P</t>
  </si>
  <si>
    <t>6.19_415.1355m/z</t>
  </si>
  <si>
    <t>Dihydroformononetin 7-O-glucoside</t>
  </si>
  <si>
    <t>LMPK12050446</t>
  </si>
  <si>
    <t>O([C@H]1[C@H](O)[C@@H](O)[C@H](O)[C@@H](CO)O1)C1C=CC2C(=O)C(C3C=CC(OC)=CC=3)COC=2C=1</t>
  </si>
  <si>
    <t>HFGKWDADYLJTEW-KTTVMXGCSA-N</t>
  </si>
  <si>
    <t>C22H24O9</t>
  </si>
  <si>
    <t>0.76_191.0554m/z</t>
  </si>
  <si>
    <t>Quinic acid</t>
  </si>
  <si>
    <t>HMDB0003072</t>
  </si>
  <si>
    <t>C00296</t>
  </si>
  <si>
    <t>77-95-2</t>
  </si>
  <si>
    <t>O[C@@H]1C[C@@](O)(C[C@@H](O)[C@H]1O)C(O)=O</t>
  </si>
  <si>
    <t>AAWZDTNXLSGCEK-WYWMIBKRSA-N</t>
  </si>
  <si>
    <t>C7H12O6</t>
  </si>
  <si>
    <t>10.75_319.2275m/z</t>
  </si>
  <si>
    <t>15S-HpETE</t>
  </si>
  <si>
    <t>HMDB0004244</t>
  </si>
  <si>
    <t>LMFA03060014</t>
  </si>
  <si>
    <t>C05966</t>
  </si>
  <si>
    <t>R-HSA-1430728,R-HSA-2142700,R-HSA-2142753,R-HSA-2142770,R-HSA-556833,R-HSA-8978868,R-HSA-9018678</t>
  </si>
  <si>
    <t>Metabolism|Synthesis of Lipoxins (LX)|Arachidonic acid metabolism|Synthesis of 15-eicosatetraenoic acid derivatives|Metabolism of lipids|Fatty acid metabolism|Biosynthesis of specialized proresolving mediators (SPMs)</t>
  </si>
  <si>
    <t>70981-96-3</t>
  </si>
  <si>
    <t>C(/C=C\C/C=C\CCCC(=O)O)/C=C\C=C\[C@@H](OO)CCCCC</t>
  </si>
  <si>
    <t>BFWYTORDSFIVKP-VAEKSGALSA-N</t>
  </si>
  <si>
    <t>8.60_244.2642m/z</t>
  </si>
  <si>
    <t>9-pentadecen-1-ol</t>
  </si>
  <si>
    <t>LMFA05000050</t>
  </si>
  <si>
    <t>C(/CCCCC)=C\CCCCCCCCO</t>
  </si>
  <si>
    <t>CMWLZVMFIMYXKI-VOTSOKGWSA-N</t>
  </si>
  <si>
    <t>C15H30O</t>
  </si>
  <si>
    <t>1.41_281.0140m/z</t>
  </si>
  <si>
    <t>Calcium benzoate</t>
  </si>
  <si>
    <t>HMDB0303341</t>
  </si>
  <si>
    <t>[Ca++].[O-]C(=O)C1=CC=CC=C1.[O-]C(=O)C1=CC=CC=C1</t>
  </si>
  <si>
    <t>NSQPPSOSXWOZNH-UHFFFAOYSA-L</t>
  </si>
  <si>
    <t>C14H10CaO4</t>
  </si>
  <si>
    <t>1.25_245.1141m/z</t>
  </si>
  <si>
    <t>Glutamylvaline</t>
  </si>
  <si>
    <t>HMDB0028832</t>
  </si>
  <si>
    <t>5879-06-1</t>
  </si>
  <si>
    <t>CC(C)[C@H](NC(=O)[C@@H](N)CCC(O)=O)C(O)=O</t>
  </si>
  <si>
    <t>SITLTJHOQZFJGG-XPUUQOCRSA-N</t>
  </si>
  <si>
    <t>C10H18N2O5</t>
  </si>
  <si>
    <t>4.67_494.2728m/z</t>
  </si>
  <si>
    <t>glas#18</t>
  </si>
  <si>
    <t>LMFA13040103</t>
  </si>
  <si>
    <t>O([C@@H](CCCCCCCCC(=O)O[C@H]1[C@H](O)[C@@H](O)[C@H](O)[C@@H](CO)O1)C)[C@H]1[C@H](O)C[C@@H](O)[C@H](C)O1</t>
  </si>
  <si>
    <t>QBDRWZBYGHVNSP-BZNPLBMASA-N</t>
  </si>
  <si>
    <t>C23H42O11</t>
  </si>
  <si>
    <t>9.09_221.1543m/z</t>
  </si>
  <si>
    <t>3-(3,4-dimethyl-5-pentylfuran-2-yl)-propanoic acid</t>
  </si>
  <si>
    <t>HMDB0112083</t>
  </si>
  <si>
    <t>LMFA01150023</t>
  </si>
  <si>
    <t>116627-39-5</t>
  </si>
  <si>
    <t>C(CC)CCC1=C(C)C(C)=C(CCC(=O)O)O1</t>
  </si>
  <si>
    <t>OSCJFAHVJDDMFL-UHFFFAOYSA-N</t>
  </si>
  <si>
    <t>6.04_231.0871m/z</t>
  </si>
  <si>
    <t>5-Butyltetrahydro-2-oxo-3-furancarboxylic acid</t>
  </si>
  <si>
    <t>HMDB0030992</t>
  </si>
  <si>
    <t>CCCCC1CC(C(O)=O)C(=O)O1</t>
  </si>
  <si>
    <t>XCIYLBHMPNYNTF-UHFFFAOYSA-N</t>
  </si>
  <si>
    <t>C9H14O4</t>
  </si>
  <si>
    <t>6.64_350.2916m/z</t>
  </si>
  <si>
    <t>9,10,13-trihydroxy-Octadecanoic acid</t>
  </si>
  <si>
    <t>HMDB0030935</t>
  </si>
  <si>
    <t>LMFA01050537</t>
  </si>
  <si>
    <t>50439-74-2</t>
  </si>
  <si>
    <t>C(CCCCCCCC(O)C(O)CCC(O)CCCCC)(=O)O</t>
  </si>
  <si>
    <t>CDWBHGXGXFTKRD-UHFFFAOYSA-N</t>
  </si>
  <si>
    <t>C18H36O5</t>
  </si>
  <si>
    <t>14.87_463.0208m/z</t>
  </si>
  <si>
    <t>Phosphovanillin</t>
  </si>
  <si>
    <t>HMDB0256496</t>
  </si>
  <si>
    <t>COC1=C(OP(O)(O)=O)C=CC(C=O)=C1</t>
  </si>
  <si>
    <t>GSWZGTLWVRFGIJ-UHFFFAOYSA-N</t>
  </si>
  <si>
    <t>C8H9O6P</t>
  </si>
  <si>
    <t>1.47_182.0451m/z</t>
  </si>
  <si>
    <t>4-Pyridoxic acid</t>
  </si>
  <si>
    <t>HMDB0000017</t>
  </si>
  <si>
    <t>C00847</t>
  </si>
  <si>
    <t>hsa00750</t>
  </si>
  <si>
    <t>Vitamin B6 metabolism</t>
  </si>
  <si>
    <t>R-HSA-1430728,R-HSA-196849,R-HSA-196854,R-HSA-964975</t>
  </si>
  <si>
    <t>Metabolism|Metabolism of water-soluble vitamins and cofactors|Metabolism of vitamins and cofactors|Vitamins B6 activation to pyridoxal phosphate</t>
  </si>
  <si>
    <t>82-82-6</t>
  </si>
  <si>
    <t>CC1=NC=C(CO)C(C(O)=O)=C1O</t>
  </si>
  <si>
    <t>HXACOUQIXZGNBF-UHFFFAOYSA-N</t>
  </si>
  <si>
    <t>C8H9NO4</t>
  </si>
  <si>
    <t>7.01_233.1180m/z</t>
  </si>
  <si>
    <t>7,8 Dihydrokawain</t>
  </si>
  <si>
    <t>587-63-3</t>
  </si>
  <si>
    <t>COC1=CC(=O)OC(C1)CCC2=CC=CC=C2</t>
  </si>
  <si>
    <t>VOOYTQRREPYRIW-GFCCVEGCSA-N</t>
  </si>
  <si>
    <t>C14H16O3</t>
  </si>
  <si>
    <t>5.38_317.1507m/z</t>
  </si>
  <si>
    <t>2-Propenamide, 2-cyano-3-(4-hydroxy-3,5-bis(1-methylethyl)phenyl)-</t>
  </si>
  <si>
    <t>HMDB0258470</t>
  </si>
  <si>
    <t>CC(C)C1=CC(C=C(C#N)C(N)=O)=CC(C(C)C)=C1O</t>
  </si>
  <si>
    <t>HMLQHJRJKQDTKW-UHFFFAOYSA-N</t>
  </si>
  <si>
    <t>C16H20N2O2</t>
  </si>
  <si>
    <t>6.89_489.1103m/z</t>
  </si>
  <si>
    <t>CP-471358</t>
  </si>
  <si>
    <t>C1CCC(C1)(C(=O)NO)N(CCC(=O)O)S(=O)(=O)C2=CC=C(C=C2)OC3=CC=C(C=C3)F</t>
  </si>
  <si>
    <t>VHHGUBHZBLPTKL-UHFFFAOYSA-N</t>
  </si>
  <si>
    <t>C21H23FN2O7S</t>
  </si>
  <si>
    <t>11.39_265.2533m/z</t>
  </si>
  <si>
    <t>5-(1-hydroxypropan-2-yl)isolongifolane</t>
  </si>
  <si>
    <t>LMPR0103500010</t>
  </si>
  <si>
    <t>C1C[C@]23C[C@H]1C(C)(C)C2C(C(C)CO)CCC3(C)C</t>
  </si>
  <si>
    <t>NEAZCCULCHXYSI-MWTYEHBWSA-N</t>
  </si>
  <si>
    <t>3.95_259.0405m/z</t>
  </si>
  <si>
    <t>Neorauteen</t>
  </si>
  <si>
    <t>LMPK12070144</t>
  </si>
  <si>
    <t>C12OC=CC1=CC1C3OC4=CC(O)=CC=C4C=3COC=1C=2</t>
  </si>
  <si>
    <t>KCCUSAGBTAEBAW-UHFFFAOYSA-N</t>
  </si>
  <si>
    <t>Furanoisoflavonoids</t>
  </si>
  <si>
    <t>C17H10O4</t>
  </si>
  <si>
    <t>10.74_453.3224m/z</t>
  </si>
  <si>
    <t>27-Norcholestanehexol</t>
  </si>
  <si>
    <t>HMDB0002157</t>
  </si>
  <si>
    <t>LMST04020029</t>
  </si>
  <si>
    <t>91999-66-5</t>
  </si>
  <si>
    <t>[C@]12([C@H](O)C[C@]3([H])C[C@H](O)CC[C@]3(C)[C@@]1([H])C[C@H](O)[C@]1(C)[C@@]([H])([C@@](C)([H])CCC(O)C(O)CO)CC[C@@]21[H])[H]</t>
  </si>
  <si>
    <t>PYLPANOYZCSFOX-UCIVWCSPSA-N</t>
  </si>
  <si>
    <t>C26H46O6</t>
  </si>
  <si>
    <t>7.07_533.1958m/z</t>
  </si>
  <si>
    <t>Prinomide</t>
  </si>
  <si>
    <t>HMDB0256775</t>
  </si>
  <si>
    <t>C10958</t>
  </si>
  <si>
    <t>77639-66-8</t>
  </si>
  <si>
    <t>CN1C=CC=C1C(=O)C(C#N)C(=O)NC1=CC=CC=C1</t>
  </si>
  <si>
    <t>KBQUAIAGRLAZGP-UHFFFAOYSA-N</t>
  </si>
  <si>
    <t>C15H13N3O2</t>
  </si>
  <si>
    <t>3.54_437.2227m/z</t>
  </si>
  <si>
    <t>Ribostamycin</t>
  </si>
  <si>
    <t>C01759</t>
  </si>
  <si>
    <t>25546-65-0</t>
  </si>
  <si>
    <t>C1C(C(C(C(C1N)OC2C(C(C(C(O2)CN)O)O)N)OC3C(C(C(O3)CO)O)O)O)N</t>
  </si>
  <si>
    <t>NSKGQURZWSPSBC-VVPCINPTSA-N</t>
  </si>
  <si>
    <t>C17H34N4O10</t>
  </si>
  <si>
    <t>4.38_487.2161m/z</t>
  </si>
  <si>
    <t>3-(2-Carboxyethylthio)-3-(2-(8-phenyloctyl)phenyl)propanoic acid</t>
  </si>
  <si>
    <t>HMDB0258325</t>
  </si>
  <si>
    <t>OC(=O)CCSC(CC(O)=O)C1=CC=CC(CCCCCCCCC2=CC=CC=C2)=C1</t>
  </si>
  <si>
    <t>IEOUXQMKLRALNJ-UHFFFAOYSA-N</t>
  </si>
  <si>
    <t>C26H34O4S</t>
  </si>
  <si>
    <t>11.07_709.4486m/z</t>
  </si>
  <si>
    <t>PA(20:4(6E,8Z,11Z,13E)-2OH(5S,15S)/i-16:0)</t>
  </si>
  <si>
    <t>HMDB0267800</t>
  </si>
  <si>
    <t>[H][C@@](COC(=O)CCC[C@@H](O)\C=C\C=C/C\C=C/C=C/[C@@H](O)CCCCC)(COP(O)(O)=O)OC(=O)CCCCCCCCCCCCC(C)C</t>
  </si>
  <si>
    <t>CWOCRGLVPXTMQY-MPWUXYNLSA-N</t>
  </si>
  <si>
    <t>C39H69O10P</t>
  </si>
  <si>
    <t>5.55_321.0260m/z</t>
  </si>
  <si>
    <t>Niflumic Acid</t>
  </si>
  <si>
    <t>HMDB0015573</t>
  </si>
  <si>
    <t>C13698</t>
  </si>
  <si>
    <t>4394-00-7</t>
  </si>
  <si>
    <t>OC(=O)C1=C(NC2=CC=CC(=C2)C(F)(F)F)N=CC=C1</t>
  </si>
  <si>
    <t>JZFPYUNJRRFVQU-UHFFFAOYSA-N</t>
  </si>
  <si>
    <t>C13H9F3N2O2</t>
  </si>
  <si>
    <t>11.03_194.1675n</t>
  </si>
  <si>
    <t>6,10-Dimethyl-5(E),9-undecadien-2-one</t>
  </si>
  <si>
    <t>LMFA11000696</t>
  </si>
  <si>
    <t>CC(=O)CC/C=C(\C)/CC/C=C(\C)/C</t>
  </si>
  <si>
    <t>HNZUNIKWNYHEJJ-FMIVXFBMSA-N</t>
  </si>
  <si>
    <t>C13H22O</t>
  </si>
  <si>
    <t>12.22_555.0096m/z</t>
  </si>
  <si>
    <t>Ethyl gallate 3-sulfate</t>
  </si>
  <si>
    <t>HMDB0240516</t>
  </si>
  <si>
    <t>CCOC(=O)C1=CC(O)=C(O)C(OS(O)(=O)=O)=C1</t>
  </si>
  <si>
    <t>JRHRIYQMDUZNBA-UHFFFAOYSA-N</t>
  </si>
  <si>
    <t>C9H10O8S</t>
  </si>
  <si>
    <t>10.43_276.1602m/z</t>
  </si>
  <si>
    <t>S-4-benzyl-3-isobutyryl-5,5-dimethyloxazolidin-2-one</t>
  </si>
  <si>
    <t>CC(C)C(=O)N1C(C(OC1=O)(C)C)CC2=CC=CC=C2</t>
  </si>
  <si>
    <t>AOYVKXINNGYRMC-ZDUSSCGKSA-N</t>
  </si>
  <si>
    <t>Oxazolidines</t>
  </si>
  <si>
    <t>C16H21NO3</t>
  </si>
  <si>
    <t>4.87_740.4657m/z</t>
  </si>
  <si>
    <t>PE(20:2(11Z,14Z)/13:0)</t>
  </si>
  <si>
    <t>LMGP02010872</t>
  </si>
  <si>
    <t>[C@](COP(=O)(O)OCCN)([H])(OC(CCCCCCCCCCCC)=O)COC(CCCCCCCCC/C=C\C/C=C\CCCCC)=O</t>
  </si>
  <si>
    <t>DJMBMVDNDGKMIH-VYFWNOCGSA-N</t>
  </si>
  <si>
    <t>C38H72NO8P</t>
  </si>
  <si>
    <t>11.53_319.2276m/z</t>
  </si>
  <si>
    <t>LTA4</t>
  </si>
  <si>
    <t>HMDB0001337</t>
  </si>
  <si>
    <t>LMFA03020023</t>
  </si>
  <si>
    <t>C00909</t>
  </si>
  <si>
    <t>hsa00590,hsa04726</t>
  </si>
  <si>
    <t>Arachidonic acid metabolism|Serotonergic synapse</t>
  </si>
  <si>
    <t>R-HSA-1430728,R-HSA-2142691,R-HSA-2142700,R-HSA-2142753,R-HSA-556833,R-HSA-8978868,R-HSA-9018678</t>
  </si>
  <si>
    <t>Metabolism|Synthesis of Leukotrienes (LT) and Eoxins (EX)|Synthesis of Lipoxins (LX)|Arachidonic acid metabolism|Metabolism of lipids|Fatty acid metabolism|Biosynthesis of specialized proresolving mediators (SPMs)</t>
  </si>
  <si>
    <t>72059-45-1</t>
  </si>
  <si>
    <t>C(/C/C=C\CCCCC)=C/C=C/C=C/[C@@H]1O[C@H]1CCCC(O)=O</t>
  </si>
  <si>
    <t>UFPQIRYSPUYQHK-WAQVJNLQSA-N</t>
  </si>
  <si>
    <t>8.54_231.1136m/z</t>
  </si>
  <si>
    <t>2-Oxomelatonin</t>
  </si>
  <si>
    <t>HMDB0060721</t>
  </si>
  <si>
    <t>COC1=CC2=C(NC(=O)C2CCNC(C)=O)C=C1</t>
  </si>
  <si>
    <t>HNEAVHQAQROOMN-UHFFFAOYSA-N</t>
  </si>
  <si>
    <t>C13H16N2O3</t>
  </si>
  <si>
    <t>14.45_369.3012m/z</t>
  </si>
  <si>
    <t>3-Methyl-3-butenyl hexadecanoate</t>
  </si>
  <si>
    <t>LMFA07010635</t>
  </si>
  <si>
    <t>O=C(CCCCCCCCCCCCCCC)OCCC(C)=C</t>
  </si>
  <si>
    <t>ZYMJMSWGXGHNKM-UHFFFAOYSA-N</t>
  </si>
  <si>
    <t>C21H40O2</t>
  </si>
  <si>
    <t>13.51_376.2621m/z</t>
  </si>
  <si>
    <t>C19 Sphingosine-1-phosphate</t>
  </si>
  <si>
    <t>LMSP01050004</t>
  </si>
  <si>
    <t>OP(OC[C@]([H])(N)[C@]([H])(O)/C=C/CCCCCCCCCCCCCC)(=O)O</t>
  </si>
  <si>
    <t>ZWOGUYCCVIDLTK-OVMWUVNSSA-N</t>
  </si>
  <si>
    <t>C19H40NO5P</t>
  </si>
  <si>
    <t>4.71_363.1927m/z</t>
  </si>
  <si>
    <t>Remifentanil Acid</t>
  </si>
  <si>
    <t>HMDB0257145</t>
  </si>
  <si>
    <t>CCC(=O)N(C1=CC=CC=C1)C1(CCN(CCC(O)=O)CC1)C(=O)OC</t>
  </si>
  <si>
    <t>GFJKFSFFMHOISI-UHFFFAOYSA-N</t>
  </si>
  <si>
    <t>C19H26N2O5</t>
  </si>
  <si>
    <t>5.59_464.1932m/z</t>
  </si>
  <si>
    <t>Dihydroisomorphine-6-glucuronide</t>
  </si>
  <si>
    <t>HMDB0061137</t>
  </si>
  <si>
    <t>[H][C@@]12CC3=C4C(O[C@H]5[C@@H](CC[C@]1([H])[C@@]45CCN2C)O[C@H]1O[C@H]([C@H](O)[C@@H](O)[C@@H]1O)C(O)=O)=C(O)C=C3</t>
  </si>
  <si>
    <t>DSUSABDLTYJUKQ-NCRPEHEWSA-N</t>
  </si>
  <si>
    <t>Morphinans</t>
  </si>
  <si>
    <t>C23H29NO9</t>
  </si>
  <si>
    <t>11.05_462.2993m/z</t>
  </si>
  <si>
    <t>LysoPE(P-18:1(9Z)/0:0)</t>
  </si>
  <si>
    <t>HMDB0240599</t>
  </si>
  <si>
    <t>1425046-04-3</t>
  </si>
  <si>
    <t>CCCCCCCC\C=C/CCCCCC\C=C/OC[C@@H](O)COP(O)(=O)OCCN</t>
  </si>
  <si>
    <t>URGVIWXYPWWBQO-UWEYSURVSA-N</t>
  </si>
  <si>
    <t>C23H46NO6P</t>
  </si>
  <si>
    <t>7.70_280.1012m/z</t>
  </si>
  <si>
    <t>4alpha-hydroxy-tetrahydrobiopterin</t>
  </si>
  <si>
    <t>HMDB0304198</t>
  </si>
  <si>
    <t>C15522</t>
  </si>
  <si>
    <t>R-HSA-1430728,R-HSA-209776,R-HSA-209905,R-HSA-209931,R-HSA-71291,R-HSA-8963691,R-HSA-8964208</t>
  </si>
  <si>
    <t>Metabolism|Metabolism of amine-derived hormones|Catecholamine biosynthesis|Serotonin and melatonin biosynthesis|Metabolism of amino acids and derivatives|Phenylalanine and tyrosine metabolism|Phenylalanine metabolism</t>
  </si>
  <si>
    <t>CC(O)C(O)C1CNC2=NC(N)=NC(=O)C2(O)N1</t>
  </si>
  <si>
    <t>KJKIEFUPAPPGBC-UHFFFAOYSA-N</t>
  </si>
  <si>
    <t>C9H15N5O4</t>
  </si>
  <si>
    <t>9.83_391.1660m/z</t>
  </si>
  <si>
    <t>O-Desmethylcarvedilol</t>
  </si>
  <si>
    <t>HMDB0013949</t>
  </si>
  <si>
    <t>72956-44-6</t>
  </si>
  <si>
    <t>OC(CNCCOC1=CC=CC=C1O)COC1=CC=CC2=C1C1=CC=CC=C1N2</t>
  </si>
  <si>
    <t>XAUKPPPYYOKVQJ-UHFFFAOYSA-N</t>
  </si>
  <si>
    <t>C23H24N2O4</t>
  </si>
  <si>
    <t>12.47_515.3746m/z</t>
  </si>
  <si>
    <t>24-methylencycloartan-12-oxo-3beta,22R-diol</t>
  </si>
  <si>
    <t>LMST01100044</t>
  </si>
  <si>
    <t>C1C[C@H](O)C(C)(C)[C@]2([H])CC[C@@]3([H])[C@]4(C)CC[C@]([H])([C@H](C)[C@H](O)CC(=C)C(C)C)[C@@]4(C)C(=O)C[C@@]43C[C@]124</t>
  </si>
  <si>
    <t>FQHIROQUUAIBKB-ANXFHEQYSA-N</t>
  </si>
  <si>
    <t>C31H50O3</t>
  </si>
  <si>
    <t>10.47_361.2382m/z</t>
  </si>
  <si>
    <t>(+/-)5,6-DiHETrE</t>
  </si>
  <si>
    <t>HMDB0002343</t>
  </si>
  <si>
    <t>LMFA03050004</t>
  </si>
  <si>
    <t>C14772</t>
  </si>
  <si>
    <t>R-HSA-1430728,R-HSA-2142670,R-HSA-2142753,R-HSA-556833,R-HSA-8978868</t>
  </si>
  <si>
    <t>Metabolism|Synthesis of epoxy (EET) and dihydroxyeicosatrienoic acids (DHET)|Arachidonic acid metabolism|Metabolism of lipids|Fatty acid metabolism</t>
  </si>
  <si>
    <t>213382-49-1</t>
  </si>
  <si>
    <t>C(/C=C\CC(O)C(O)CCCC(=O)O)/C=C\C/C=C\CCCCC</t>
  </si>
  <si>
    <t>GFNYAPAJUNPMGH-QNEBEIHSSA-N</t>
  </si>
  <si>
    <t>9.65_446.3277m/z</t>
  </si>
  <si>
    <t>Deoxycholylalanine</t>
  </si>
  <si>
    <t>HMDB0242412</t>
  </si>
  <si>
    <t>CC(CCC(=O)NC(C)C(O)=O)C1CCC2C3CCC4CC(O)CCC4(C)C3CC(O)C12C</t>
  </si>
  <si>
    <t>UUMHESNLNMWIQK-UHFFFAOYSA-N</t>
  </si>
  <si>
    <t>C27H45NO5</t>
  </si>
  <si>
    <t>4.34_587.2845n</t>
  </si>
  <si>
    <t>MK-812</t>
  </si>
  <si>
    <t>CC(C)C1(CCC(C1)[NH2+]C2CCOCC2OC)C(=O)N3CCC4=C(C3)C=C(C=N4)C(F)(F)F.C(CC(=O)[O-])C(=O)O</t>
  </si>
  <si>
    <t>WPPJJJUIDYHHSM-PXUYIWLPSA-N</t>
  </si>
  <si>
    <t>C28H40F3N3O7</t>
  </si>
  <si>
    <t>13.53_254.9901m/z</t>
  </si>
  <si>
    <t>D-Glucuronic acid 1-phosphate</t>
  </si>
  <si>
    <t>HMDB0003976</t>
  </si>
  <si>
    <t>C05385</t>
  </si>
  <si>
    <t>hsa00040,hsa00053,hsa00520</t>
  </si>
  <si>
    <t>Pentose and glucuronate interconversions|Ascorbate and aldarate metabolism|Amino sugar and nucleotide sugar metabolism</t>
  </si>
  <si>
    <t>13168-11-1</t>
  </si>
  <si>
    <t>O[C@@H]1[C@@H](O)[C@@H](OP(O)(O)=O)O[C@@H]([C@H]1O)C(O)=O</t>
  </si>
  <si>
    <t>AIQDYKMWENWVQJ-QIUUJYRFSA-N</t>
  </si>
  <si>
    <t>C6H11O10P</t>
  </si>
  <si>
    <t>5.61_608.3557n</t>
  </si>
  <si>
    <t>Brainesteroside B</t>
  </si>
  <si>
    <t>LMST01010433</t>
  </si>
  <si>
    <t>C1[C@H](O)[C@H](O[C@H]2[C@H](O)[C@@H](O)[C@H](O)[C@@H](CO)O2)C[C@@]2([H])C(=O)C=C3[C@@](CC[C@]4(C3=CC[C@]4([H])[C@](O)(C)[C@H](O)CCC(C)C)C)([H])[C@]21C</t>
  </si>
  <si>
    <t>VGJBFMQFJIFARZ-POJUCENFSA-N</t>
  </si>
  <si>
    <t>C33H52O10</t>
  </si>
  <si>
    <t>10.72_448.9335m/z</t>
  </si>
  <si>
    <t>Perfluoroheptanesulfonic acid</t>
  </si>
  <si>
    <t>HMDB0256321</t>
  </si>
  <si>
    <t>OS(=O)(=O)C(F)(F)C(F)(F)C(F)(F)C(F)(F)C(F)(F)C(F)(F)C(F)(F)F</t>
  </si>
  <si>
    <t>OYGQVDSRYXATEL-UHFFFAOYSA-N</t>
  </si>
  <si>
    <t>C7HF15O3S</t>
  </si>
  <si>
    <t>4.07_451.2461m/z</t>
  </si>
  <si>
    <t>Dextrorphan O-glucuronide</t>
  </si>
  <si>
    <t>HMDB0010341</t>
  </si>
  <si>
    <t>[H][C@]12CC3=C(C=C(OC4O[C@@H]([C@@H](O)[C@H](O)[C@H]4O)C(O)=O)C=C3)[C@@]3(CCCC[C@]13[H])CCN2C</t>
  </si>
  <si>
    <t>YQAUTKINOXBFCA-WCUIRXETSA-N</t>
  </si>
  <si>
    <t>C23H31NO7</t>
  </si>
  <si>
    <t>549</t>
  </si>
  <si>
    <t>Ginkgolide B</t>
  </si>
  <si>
    <t>HMDB0036861</t>
  </si>
  <si>
    <t>C07602</t>
  </si>
  <si>
    <t>15291-77-7</t>
  </si>
  <si>
    <t>CC1C(=O)OC2C(O)C34C5CC(C(C)(C)C)C33C(O)C(=O)OC3OC4(C(=O)O5)C12O</t>
  </si>
  <si>
    <t>SQOJOAFXDQDRGF-UHFFFAOYSA-N</t>
  </si>
  <si>
    <t>C20H24O10</t>
  </si>
  <si>
    <t>6.17_222.1473m/z</t>
  </si>
  <si>
    <t>Tetraglyme</t>
  </si>
  <si>
    <t>HMDB0258894</t>
  </si>
  <si>
    <t>COCCOCCOCCOCCOC</t>
  </si>
  <si>
    <t>ZUHZGEOKBKGPSW-UHFFFAOYSA-N</t>
  </si>
  <si>
    <t>C10H22O5</t>
  </si>
  <si>
    <t>6.99_408.1794m/z</t>
  </si>
  <si>
    <t>(6E)-Dodeca-2,6-dienedioylcarnitine</t>
  </si>
  <si>
    <t>HMDB0241264</t>
  </si>
  <si>
    <t>C[N+](C)(C)CC(CC([O-])=O)OC(=O)C=CCCC=CCCCCC(O)=O</t>
  </si>
  <si>
    <t>ANDHJBPFHRVELN-UHFFFAOYSA-N</t>
  </si>
  <si>
    <t>C19H31NO6</t>
  </si>
  <si>
    <t>4.87_373.1497m/z</t>
  </si>
  <si>
    <t>7,8-Dimethoxy-3-methyl-1-(4-nitrophenyl)-5H-2,3-benzodiazepin-4-one</t>
  </si>
  <si>
    <t>HMDB0249845</t>
  </si>
  <si>
    <t>COC1=C(OC)C=C2C(CC(=O)N(C)N=C2C2=CC=C(C=C2)[N+]([O-])=O)=C1</t>
  </si>
  <si>
    <t>NSYNMKLIUFYQED-UHFFFAOYSA-N</t>
  </si>
  <si>
    <t>C18H17N3O5</t>
  </si>
  <si>
    <t>7.43_354.2627m/z</t>
  </si>
  <si>
    <t>9alpha-(3-Methylbutanoyloxy)-4S-hydroxy-10(14)-oplopen-3-one</t>
  </si>
  <si>
    <t>HMDB0039171</t>
  </si>
  <si>
    <t>348113-04-2</t>
  </si>
  <si>
    <t>CC(C)CC(=O)OC1CC(C(C)C)C2C(CC(=O)C2C(C)O)C1=C</t>
  </si>
  <si>
    <t>RJNJFKDVPIFVPQ-UHFFFAOYSA-N</t>
  </si>
  <si>
    <t>2.35_219.1346m/z</t>
  </si>
  <si>
    <t>Ser-Leu</t>
  </si>
  <si>
    <t>HMDB0258242</t>
  </si>
  <si>
    <t>CC(C)CC(NC(=O)C(N)CO)C(O)=O</t>
  </si>
  <si>
    <t>NFDYGNFETJVMSE-UHFFFAOYSA-N</t>
  </si>
  <si>
    <t>13.33_675.4856m/z</t>
  </si>
  <si>
    <t>DG(20:5(5Z,8Z,11Z,14Z,16E)-OH(18)/i-16:0/0:0)</t>
  </si>
  <si>
    <t>HMDB0299265</t>
  </si>
  <si>
    <t>CC\C=C/C(O)C\C=C\C=C/C\C=C/C\C=C/CCCC(=O)OC[C@H](CO)OC(=O)CCCCCCCCCCCCC(C)C</t>
  </si>
  <si>
    <t>VXQGDXBLJSMGLM-GQOHRDFXSA-N</t>
  </si>
  <si>
    <t>C39H66O6</t>
  </si>
  <si>
    <t>1.34_148.0972m/z</t>
  </si>
  <si>
    <t>Mevalonolactone</t>
  </si>
  <si>
    <t>HMDB0006024</t>
  </si>
  <si>
    <t>503-48-0</t>
  </si>
  <si>
    <t>C[C@]1(O)CCOC(=O)C1</t>
  </si>
  <si>
    <t>JYVXNLLUYHCIIH-LURJTMIESA-N</t>
  </si>
  <si>
    <t>C6H10O3</t>
  </si>
  <si>
    <t>9.46_292.2273m/z</t>
  </si>
  <si>
    <t>nandrolone</t>
  </si>
  <si>
    <t>HMDB0002725</t>
  </si>
  <si>
    <t>LMST02010044</t>
  </si>
  <si>
    <t>C07254</t>
  </si>
  <si>
    <t>434-22-0</t>
  </si>
  <si>
    <t>C1[C@@]2([H])C(CC[C@]3([H])[C@]2([H])CC[C@@]2([C@H](CC[C@@]32[H])O)C)=CC(=O)C1</t>
  </si>
  <si>
    <t>NPAGDVCDWIYMMC-IZPLOLCNSA-N</t>
  </si>
  <si>
    <t>4.31_246.1345m/z</t>
  </si>
  <si>
    <t>N-Acetylaminooctanoic acid</t>
  </si>
  <si>
    <t>HMDB0059745</t>
  </si>
  <si>
    <t>CCCCCCC(N=C(C)O)C(O)=O</t>
  </si>
  <si>
    <t>JJGNMSOJTSABGA-UHFFFAOYSA-N</t>
  </si>
  <si>
    <t>C10H19NO3</t>
  </si>
  <si>
    <t>4.56_711.2687m/z</t>
  </si>
  <si>
    <t>methiothepin</t>
  </si>
  <si>
    <t>HMDB0254534</t>
  </si>
  <si>
    <t>20229-30-5</t>
  </si>
  <si>
    <t>CSC1=CC2=C(SC3=CC=CC=C3CC2N2CCN(C)CC2)C=C1</t>
  </si>
  <si>
    <t>RLJFTICUTYVZDG-UHFFFAOYSA-N</t>
  </si>
  <si>
    <t>Benzothiepins</t>
  </si>
  <si>
    <t>Dibenzothiepins</t>
  </si>
  <si>
    <t>C20H24N2S2</t>
  </si>
  <si>
    <t>7.39_495.1748m/z</t>
  </si>
  <si>
    <t>Nb-trans-Feruloylserotonin glucoside</t>
  </si>
  <si>
    <t>HMDB0032761</t>
  </si>
  <si>
    <t>COC1=CC(\C=C\C(=O)NCCC2=CNC3=C2C=C(OC2OC(CO)C(O)C(O)C2O)C=C3)=CC=C1O</t>
  </si>
  <si>
    <t>RZBNXMNICVMBNE-XVNBXDOJSA-N</t>
  </si>
  <si>
    <t>C26H30N2O9</t>
  </si>
  <si>
    <t>5.33_242.0586m/z</t>
  </si>
  <si>
    <t>(S)-2-Acetamido-3-(4-chlorophenyl)propanoic acid</t>
  </si>
  <si>
    <t>HMDB0243712</t>
  </si>
  <si>
    <t>CC(=O)NC(CC1=CC=C(Cl)C=C1)C(O)=O</t>
  </si>
  <si>
    <t>HLORMWAKCPDIPU-UHFFFAOYSA-N</t>
  </si>
  <si>
    <t>C11H12ClNO3</t>
  </si>
  <si>
    <t>3.52_297.1432m/z</t>
  </si>
  <si>
    <t>VORTIOXETINE</t>
  </si>
  <si>
    <t>HMDB0259875</t>
  </si>
  <si>
    <t>CC1=CC(C)=C(SC2=CC=CC=C2N2CCNCC2)C=C1</t>
  </si>
  <si>
    <t>YQNWZWMKLDQSAC-UHFFFAOYSA-N</t>
  </si>
  <si>
    <t>C18H22N2S</t>
  </si>
  <si>
    <t>12.71_692.4113m/z</t>
  </si>
  <si>
    <t>Tfllr-NH2</t>
  </si>
  <si>
    <t>HMDB0258946</t>
  </si>
  <si>
    <t>CC(C)CC(NC(=O)C(CC(C)C)NC(=O)C(CC1=CC=CC=C1)NC(=O)C(N)C(C)O)C(=O)NC(CCCN=C(N)N)C(N)=O</t>
  </si>
  <si>
    <t>ANAMCEKSRDPIPX-UHFFFAOYSA-N</t>
  </si>
  <si>
    <t>C31H53N9O6</t>
  </si>
  <si>
    <t>147</t>
  </si>
  <si>
    <t>2-Aminophenol</t>
  </si>
  <si>
    <t>C01987</t>
  </si>
  <si>
    <t>hsa00380</t>
  </si>
  <si>
    <t>Tryptophan metabolism</t>
  </si>
  <si>
    <t>95-55-6</t>
  </si>
  <si>
    <t>C1=CC=C(C(=C1)N)O</t>
  </si>
  <si>
    <t>CDAWCLOXVUBKRW-UHFFFAOYSA-N</t>
  </si>
  <si>
    <t>C6H7NO</t>
  </si>
  <si>
    <t>12.09_354.1505m/z</t>
  </si>
  <si>
    <t>1,3-Dibenzylisoquinoline</t>
  </si>
  <si>
    <t>HMDB0249266</t>
  </si>
  <si>
    <t>C(C1=CC=CC=C1)C1=CC2=CC=CC=C2C(CC2=CC=CC=C2)=N1</t>
  </si>
  <si>
    <t>BJWWOUUGCAPHOV-UHFFFAOYSA-N</t>
  </si>
  <si>
    <t>C23H19N</t>
  </si>
  <si>
    <t>5.03_257.0054m/z</t>
  </si>
  <si>
    <t>(2S)-3,4-Dioxoazetidine-2-carboxylic acid</t>
  </si>
  <si>
    <t>HMDB0258122</t>
  </si>
  <si>
    <t>OC(=O)C1NC(=O)C1=O</t>
  </si>
  <si>
    <t>GLLOVWGUTGMBTA-UHFFFAOYSA-N</t>
  </si>
  <si>
    <t>C4H3NO4</t>
  </si>
  <si>
    <t>14.56_336.3121m/z</t>
  </si>
  <si>
    <t>1-O-(2R-hydroxy-pentadecyl)-sn-glycerol</t>
  </si>
  <si>
    <t>LMGL01020062</t>
  </si>
  <si>
    <t>[C@](CO)([H])(O)COC[C@H](O)CCCCCCCCCCCCC</t>
  </si>
  <si>
    <t>XNBDVGMHTKTALN-MSOLQXFVSA-N</t>
  </si>
  <si>
    <t>C18H38O4</t>
  </si>
  <si>
    <t>5.45_244.9854m/z</t>
  </si>
  <si>
    <t>Perfluoroisobutylene</t>
  </si>
  <si>
    <t>HMDB0256325</t>
  </si>
  <si>
    <t>FC(F)=C(C(F)(F)F)C(F)(F)F</t>
  </si>
  <si>
    <t>DAFIBNSJXIGBQB-UHFFFAOYSA-N</t>
  </si>
  <si>
    <t>Ketene acetals</t>
  </si>
  <si>
    <t>C4F8</t>
  </si>
  <si>
    <t>2.08_276.0838m/z</t>
  </si>
  <si>
    <t>(+/-)-(E)-Methyl-2-[(E)-hydroxyimino]-5-nitro-6-methoxy-3-hexeneamide</t>
  </si>
  <si>
    <t>HMDB0242268</t>
  </si>
  <si>
    <t>COCC(C(C)=CC(=NO)C(N)=O)[N+]([O-])=O</t>
  </si>
  <si>
    <t>HCUOEKSZWPGJIM-UHFFFAOYSA-N</t>
  </si>
  <si>
    <t>Oximes</t>
  </si>
  <si>
    <t>C8H13N3O5</t>
  </si>
  <si>
    <t>12.36_480.1983m/z</t>
  </si>
  <si>
    <t>gamma-Glutamyl-N'-(2-hydroxyphenyl)hydrazide</t>
  </si>
  <si>
    <t>HMDB0252617</t>
  </si>
  <si>
    <t>NC(CCC(=O)NNC1=CC=CC=C1O)C(=O)C1=CC(NNNNC2=CC=CC=C2O)=C(O)C=C1</t>
  </si>
  <si>
    <t>SPFKEURJRSGDTA-UHFFFAOYSA-N</t>
  </si>
  <si>
    <t>C23H27N7O5</t>
  </si>
  <si>
    <t>4.45_709.3032m/z</t>
  </si>
  <si>
    <t>S-Adenosylmethioninamine</t>
  </si>
  <si>
    <t>HMDB0000988</t>
  </si>
  <si>
    <t>C01137</t>
  </si>
  <si>
    <t>hsa00270,hsa00330</t>
  </si>
  <si>
    <t>Cysteine and methionine metabolism|Arginine and proline metabolism</t>
  </si>
  <si>
    <t>22365-13-5</t>
  </si>
  <si>
    <t>C[S+](CCCN)C[C@H]1O[C@H]([C@H](O)[C@@H]1O)N1C=NC2=C1N=CN=C2N</t>
  </si>
  <si>
    <t>ZUNBITIXDCPNSD-LSRJEVITSA-N</t>
  </si>
  <si>
    <t>5'-deoxyribonucleosides</t>
  </si>
  <si>
    <t>5'-deoxy-5'-thionucleosides</t>
  </si>
  <si>
    <t>C14H23N6O3S+</t>
  </si>
  <si>
    <t>0.68_193.0348m/z</t>
  </si>
  <si>
    <t>Pectic acid</t>
  </si>
  <si>
    <t>HMDB0003363</t>
  </si>
  <si>
    <t>C00470</t>
  </si>
  <si>
    <t>hsa00040</t>
  </si>
  <si>
    <t>Pentose and glucuronate interconversions</t>
  </si>
  <si>
    <t>9046-40-6</t>
  </si>
  <si>
    <t>O[C@H]1O[C@@H]([C@H](O)[C@H](O)[C@H]1O)C(O)=O</t>
  </si>
  <si>
    <t>AEMOLEFTQBMNLQ-BKBMJHBISA-N</t>
  </si>
  <si>
    <t>C6H10O7</t>
  </si>
  <si>
    <t>4.96_377.1472m/z</t>
  </si>
  <si>
    <t>7,8-Dimethyl-10-[(2R,3R,4S)-2,3,4,5-tetrahydroxypentyl]benzo[g]pteridine-2,4-dione</t>
  </si>
  <si>
    <t>HMDB0247501</t>
  </si>
  <si>
    <t>CC1=C(C)C=C2N(CC(O)C(O)C(O)CO)C3=NC(=O)NC(=O)C3=NC2=C1</t>
  </si>
  <si>
    <t>AUNGANRZJHBGPY-UHFFFAOYSA-N</t>
  </si>
  <si>
    <t>Alloxazines and isoalloxazines</t>
  </si>
  <si>
    <t>C17H20N4O6</t>
  </si>
  <si>
    <t>11.92_396.3273n</t>
  </si>
  <si>
    <t>Wuhanic acid</t>
  </si>
  <si>
    <t>LMFA01050559</t>
  </si>
  <si>
    <t>C(CCCCC[C@H](O)CCCCCCC/C=C\C[C@H](O)CC/C=C\CC)(=O)O</t>
  </si>
  <si>
    <t>MYDDZMLKINSENR-TZWOSKRLSA-N</t>
  </si>
  <si>
    <t>C24H44O4</t>
  </si>
  <si>
    <t>11.43_280.2643m/z</t>
  </si>
  <si>
    <t>5-(1-hydroxypropan-2-yl)isolongifol-4-ene</t>
  </si>
  <si>
    <t>LMPR0103500004</t>
  </si>
  <si>
    <t>C1C[C@]23C[C@H]1C(C)(C)C2C(C(C)CO)=CCC3(C)C</t>
  </si>
  <si>
    <t>LJYDKYKZGGROIV-BGSKQBQJSA-N</t>
  </si>
  <si>
    <t>6.81_225.1128m/z</t>
  </si>
  <si>
    <t>3,7-Dimethyl-2E,6E-decadien-1,10-dioic acid</t>
  </si>
  <si>
    <t>LMFA01170130</t>
  </si>
  <si>
    <t>C(/C=C(\C)/CC/C=C(\C)/CCC(O)=O)(=O)O</t>
  </si>
  <si>
    <t>DCSNNHVJJADJBX-JKHSSWLHSA-N</t>
  </si>
  <si>
    <t>C12H18O4</t>
  </si>
  <si>
    <t>8.91_352.1780m/z</t>
  </si>
  <si>
    <t>Amifloxacin</t>
  </si>
  <si>
    <t>HMDB0041826</t>
  </si>
  <si>
    <t>86393-37-5</t>
  </si>
  <si>
    <t>CNN1C=C(C(O)=O)C(=O)C2=CC(F)=C(C=C12)N1CCN(C)CC1</t>
  </si>
  <si>
    <t>RUXPNBWPIRDVTH-UHFFFAOYSA-N</t>
  </si>
  <si>
    <t>C16H19FN4O3</t>
  </si>
  <si>
    <t>10.45_526.2944m/z</t>
  </si>
  <si>
    <t>PE(0:0/22:5(4Z,7Z,10Z,13Z,16Z))</t>
  </si>
  <si>
    <t>HMDB0011494</t>
  </si>
  <si>
    <t>LMGP02050058</t>
  </si>
  <si>
    <t>C(OP(OCCN)(O)=O)[C@]([H])(OC(=O)CC/C=C\C/C=C\C/C=C\C/C=C\C/C=C\CCCCC)CO</t>
  </si>
  <si>
    <t>ZMHRXVSSWJALGN-GOGKNFEWSA-N</t>
  </si>
  <si>
    <t>9.63_415.1404m/z</t>
  </si>
  <si>
    <t>7-Hydroxy-3',4'-methylenedioxyflavan 7-O-beta-D-glucopyranoside</t>
  </si>
  <si>
    <t>LMPK12020235</t>
  </si>
  <si>
    <t>C1(O[C@H]2[C@H](O)[C@@H](O)[C@H](O)[C@@H](CO)O2)C=C2O[C@H](C3C=CC4OCOC=4C=3)CCC2=CC=1</t>
  </si>
  <si>
    <t>DAAHQQTYFSSUOU-AUSUTTJNSA-N</t>
  </si>
  <si>
    <t>15.22_568.4288m/z</t>
  </si>
  <si>
    <t>4'-Hydroxy-5',6'-dihydroechinenone</t>
  </si>
  <si>
    <t>LMPR01070782</t>
  </si>
  <si>
    <t>C1C(C)(C)C(/C=C/C(/C)=C/C=C/C(/C)=C/C=C/C=C(\C)/C=C/C=C(\C)/C=C/[C@H]2[C@H](C)[C@@H](O)CCC2(C)C)=C(C)C(=O)C1</t>
  </si>
  <si>
    <t>CBMMHDFSRYRFMK-VTLCXHAGSA-N</t>
  </si>
  <si>
    <t>208</t>
  </si>
  <si>
    <t>Aminomalonic Acid</t>
  </si>
  <si>
    <t>HMDB0001147</t>
  </si>
  <si>
    <t>C00872</t>
  </si>
  <si>
    <t>1068-84-4</t>
  </si>
  <si>
    <t>NC(C(O)=O)C(O)=O</t>
  </si>
  <si>
    <t>JINBYESILADKFW-UHFFFAOYSA-N</t>
  </si>
  <si>
    <t>C3H5NO4</t>
  </si>
  <si>
    <t>56</t>
  </si>
  <si>
    <t>Ethylene Glycol</t>
  </si>
  <si>
    <t>HMDB0037790</t>
  </si>
  <si>
    <t>C15588</t>
  </si>
  <si>
    <t>25322-68-3</t>
  </si>
  <si>
    <t>[H]OCCO[H]</t>
  </si>
  <si>
    <t>LYCAIKOWRPUZTN-UHFFFAOYSA-N</t>
  </si>
  <si>
    <t>C2H6O2</t>
  </si>
  <si>
    <t>0.99_150.0588m/z</t>
  </si>
  <si>
    <t>L-Methionine</t>
  </si>
  <si>
    <t>HMDB0000696</t>
  </si>
  <si>
    <t>C00073</t>
  </si>
  <si>
    <t>hsa00270,hsa00470,hsa00970,hsa01523,hsa04148</t>
  </si>
  <si>
    <t>Cysteine and methionine metabolism|D-Amino acid metabolism|Aminoacyl-tRNA biosynthesis|Antifolate resistance|Efferocytosis</t>
  </si>
  <si>
    <t>63-68-3</t>
  </si>
  <si>
    <t>CSCC[C@H](N)C(O)=O</t>
  </si>
  <si>
    <t>FFEARJCKVFRZRR-BYPYZUCNSA-N</t>
  </si>
  <si>
    <t>C5H11NO2S</t>
  </si>
  <si>
    <t>4.67_235.0723m/z</t>
  </si>
  <si>
    <t>6-Hydroxy-1H-indole-3-acetamide</t>
  </si>
  <si>
    <t>HMDB0031173</t>
  </si>
  <si>
    <t>192184-73-9</t>
  </si>
  <si>
    <t>NC(=O)CC1=CNC2=C1C=CC(O)=C2</t>
  </si>
  <si>
    <t>PGXXGODNTPWQHZ-UHFFFAOYSA-N</t>
  </si>
  <si>
    <t>C10H10N2O2</t>
  </si>
  <si>
    <t>4.86_175.0967m/z</t>
  </si>
  <si>
    <t>Isobutyric acid</t>
  </si>
  <si>
    <t>HMDB0001873</t>
  </si>
  <si>
    <t>LMFA01020071</t>
  </si>
  <si>
    <t>C02632</t>
  </si>
  <si>
    <t>hsa04974</t>
  </si>
  <si>
    <t>Protein digestion and absorption</t>
  </si>
  <si>
    <t>79-31-2</t>
  </si>
  <si>
    <t>CC(C)C(=O)O</t>
  </si>
  <si>
    <t>KQNPFQTWMSNSAP-UHFFFAOYSA-N</t>
  </si>
  <si>
    <t>C4H8O2</t>
  </si>
  <si>
    <t>7.72_253.1056m/z</t>
  </si>
  <si>
    <t>Decarbamoylneosaxitoxin</t>
  </si>
  <si>
    <t>HMDB0033663</t>
  </si>
  <si>
    <t>68683-58-9</t>
  </si>
  <si>
    <t>OCC1C2NC(=N)NC22N(CCC2(O)O)C(=N)N1O</t>
  </si>
  <si>
    <t>KUMXVBFFVVLQFX-UHFFFAOYSA-N</t>
  </si>
  <si>
    <t>C9H16N6O4</t>
  </si>
  <si>
    <t>1.03_213.1241m/z</t>
  </si>
  <si>
    <t>Valylhydroxyproline</t>
  </si>
  <si>
    <t>HMDB0029128</t>
  </si>
  <si>
    <t>90965-79-0</t>
  </si>
  <si>
    <t>CC(C)[C@H](N)C(=O)N1C[C@H](O)C[C@H]1C(O)=O</t>
  </si>
  <si>
    <t>IMOKOCYUKGZZAG-CSMHCCOUSA-N</t>
  </si>
  <si>
    <t>C10H18N2O4</t>
  </si>
  <si>
    <t>264</t>
  </si>
  <si>
    <t>Glycerol 1-Phosphate</t>
  </si>
  <si>
    <t>C00623</t>
  </si>
  <si>
    <t>5746-57-6</t>
  </si>
  <si>
    <t>O=P(O)(O)OCC(O)CO</t>
  </si>
  <si>
    <t>AWUCVROLDVIAJX-VKHMYHEASA-N</t>
  </si>
  <si>
    <t>8.03_329.0041m/z</t>
  </si>
  <si>
    <t>Pyrroloquinoline quinone</t>
  </si>
  <si>
    <t>HMDB0013636</t>
  </si>
  <si>
    <t>C00113</t>
  </si>
  <si>
    <t>R-HSA-1430728,R-HSA-209776,R-HSA-209905,R-HSA-71291</t>
  </si>
  <si>
    <t>Metabolism|Metabolism of amine-derived hormones|Catecholamine biosynthesis|Metabolism of amino acids and derivatives</t>
  </si>
  <si>
    <t>72909-34-3</t>
  </si>
  <si>
    <t>OC(=O)C1=CC2=C(N1)C1=C(N=C(C=C1C(O)=O)C(O)=O)C(=O)C2=O</t>
  </si>
  <si>
    <t>MMXZSJMASHPLLR-UHFFFAOYSA-N</t>
  </si>
  <si>
    <t>Pyrroloquinolines</t>
  </si>
  <si>
    <t>C14H6N2O8</t>
  </si>
  <si>
    <t>11.05_299.0135m/z</t>
  </si>
  <si>
    <t>Pentafluoropropanol</t>
  </si>
  <si>
    <t>HMDB0256268</t>
  </si>
  <si>
    <t>OC(F)(F)C(F)(F)CF</t>
  </si>
  <si>
    <t>COWKRCCNQSQUGJ-UHFFFAOYSA-N</t>
  </si>
  <si>
    <t>C3H3F5O</t>
  </si>
  <si>
    <t>3.60_409.1881m/z</t>
  </si>
  <si>
    <t>Tyr Ile Asp</t>
  </si>
  <si>
    <t>CCC(C)C(C(=O)NC(CC(=O)O)C(=O)O)NC(=O)C(CC1=CC=C(C=C1)O)N</t>
  </si>
  <si>
    <t>KIJLSRYAUGGZIN-CFMVVWHZSA-N</t>
  </si>
  <si>
    <t>C19H27N3O7</t>
  </si>
  <si>
    <t>7.45_347.1865m/z</t>
  </si>
  <si>
    <t>18-oxo-Resolvin E1</t>
  </si>
  <si>
    <t>LMFA03140012</t>
  </si>
  <si>
    <t>C(CCC[C@H](O)/C=C\C=C\C=C\[C@H](O)C/C=C\C=C\C(=O)CC)(=O)O</t>
  </si>
  <si>
    <t>CMOJNYRANQREGD-IJDHQMKWSA-N</t>
  </si>
  <si>
    <t>C20H28O5</t>
  </si>
  <si>
    <t>2.51_288.1566m/z</t>
  </si>
  <si>
    <t>Thr Val Ala</t>
  </si>
  <si>
    <t>CC(C)C(C(=O)NC(C)C(=O)O)NC(=O)C(C(C)O)N</t>
  </si>
  <si>
    <t>OGOYMQWIWHGTGH-KZVJFYERSA-N</t>
  </si>
  <si>
    <t>8.17_419.2427m/z</t>
  </si>
  <si>
    <t>19-hydroxytelocinobufagin</t>
  </si>
  <si>
    <t>LMST01130012</t>
  </si>
  <si>
    <t>C1[C@]2(CO)[C@@]3([H])CC[C@]4(C)[C@@]([H])(C5=COC(=O)C=C5)CC[C@]4(O)[C@]3([H])CC[C@]2(O)C[C@@H](O)C1</t>
  </si>
  <si>
    <t>ABVKNZHLRVHZSO-XHCIOXAKSA-N</t>
  </si>
  <si>
    <t>C24H34O6</t>
  </si>
  <si>
    <t>12.36_531.1955m/z</t>
  </si>
  <si>
    <t>3-Deazaadenosine</t>
  </si>
  <si>
    <t>HMDB0245849</t>
  </si>
  <si>
    <t>NC1=NC=CC2=C1N=CN2C1OC(CO)C(O)C1O</t>
  </si>
  <si>
    <t>DBZQFUNLCALWDY-UHFFFAOYSA-N</t>
  </si>
  <si>
    <t>Imidazole[4,5-c]pyridine ribonucleosides and ribonucleotides</t>
  </si>
  <si>
    <t>C11H14N4O4</t>
  </si>
  <si>
    <t>0.76_173.0081m/z</t>
  </si>
  <si>
    <t>Dehydroascorbide(1-)</t>
  </si>
  <si>
    <t>HMDB0062706</t>
  </si>
  <si>
    <t>OCC(O)C1=C(O)C(=O)C(=O)O1</t>
  </si>
  <si>
    <t>JMMUPWYGEQCUML-UHFFFAOYSA-N</t>
  </si>
  <si>
    <t>13.04_501.2677m/z</t>
  </si>
  <si>
    <t>triglyceride palmitate</t>
  </si>
  <si>
    <t>HMDB0259215</t>
  </si>
  <si>
    <t>CCCCCCCCCCCCCCCC(=O)OC1(CO)OC(=O)C(CO)OC(=O)C(CO)OC1=O</t>
  </si>
  <si>
    <t>XJVPDQADYQPPSF-UHFFFAOYSA-N</t>
  </si>
  <si>
    <t>C25H42O11</t>
  </si>
  <si>
    <t>9.07_379.1869m/z</t>
  </si>
  <si>
    <t>2-beta-Ethoxydihydrophytuberin</t>
  </si>
  <si>
    <t>HMDB0302962</t>
  </si>
  <si>
    <t>CCO[C@H]1C[C@@]2(C)OC[C@]3(C)CC[C@H](C[C@]23O1)C(C)(C)OC(C)=O</t>
  </si>
  <si>
    <t>WZOSFKXVOJBVII-QWXYKEQDSA-N</t>
  </si>
  <si>
    <t>C19H32O5</t>
  </si>
  <si>
    <t>6.48_429.1958m/z</t>
  </si>
  <si>
    <t>Ptilosteroid B</t>
  </si>
  <si>
    <t>LMST02030213</t>
  </si>
  <si>
    <t>C1[C@]2(C)[C@@]3([H])CC[C@]4(C)[C@@]([H])(C=C)[C@@H](O)C[C@@]4([H])[C@]3([H])CC[C@@]2([H])[C@@H](O)[C@@H](O)[C@H]1OS(O)(=O)=O</t>
  </si>
  <si>
    <t>PALXRPIPFWOBFC-QCNKIUQCSA-N</t>
  </si>
  <si>
    <t>C21H34O7S</t>
  </si>
  <si>
    <t>4.75_317.1583m/z</t>
  </si>
  <si>
    <t>TIADENOL</t>
  </si>
  <si>
    <t>HMDB0259066</t>
  </si>
  <si>
    <t>OCCSCCCCCCCCCCSCCO</t>
  </si>
  <si>
    <t>WRCITXQNXAIKLR-UHFFFAOYSA-N</t>
  </si>
  <si>
    <t>Thioethers</t>
  </si>
  <si>
    <t>Dialkylthioethers</t>
  </si>
  <si>
    <t>C14H30O2S2</t>
  </si>
  <si>
    <t>7.68_285.1262m/z</t>
  </si>
  <si>
    <t>SCHRADAN</t>
  </si>
  <si>
    <t>HMDB0258179</t>
  </si>
  <si>
    <t>C19015</t>
  </si>
  <si>
    <t>152-16-9</t>
  </si>
  <si>
    <t>CN(C)P(=O)(OP(=O)(N(C)C)N(C)C)N(C)C</t>
  </si>
  <si>
    <t>SZKKRCSOSQAJDE-UHFFFAOYSA-N</t>
  </si>
  <si>
    <t>Organic phosphoramides</t>
  </si>
  <si>
    <t>C8H24N4O3P2</t>
  </si>
  <si>
    <t>7.32_365.1971m/z</t>
  </si>
  <si>
    <t>Novaxenicin D</t>
  </si>
  <si>
    <t>LMPR01040143</t>
  </si>
  <si>
    <t>[C@@]1([H])(C2=C/C(=C\C(C)(O)C)/OC2=O)CC[C@@](O)(C)[C@@H]2O[C@@H]2CC(=C)[C@]1([H])CO</t>
  </si>
  <si>
    <t>QYSAEOBDCOBHDU-GVMFGWQHSA-N</t>
  </si>
  <si>
    <t>C20H28O6</t>
  </si>
  <si>
    <t>7.98_384.3096m/z</t>
  </si>
  <si>
    <t>Anisperimus</t>
  </si>
  <si>
    <t>HMDB0248445</t>
  </si>
  <si>
    <t>CC(N)CCNCCCCNC(=O)OCC(=O)NCCCCCCN=C(N)N</t>
  </si>
  <si>
    <t>PZDPVSFZTKORSP-UHFFFAOYSA-N</t>
  </si>
  <si>
    <t>C18H39N7O3</t>
  </si>
  <si>
    <t>7.98_353.2322m/z</t>
  </si>
  <si>
    <t>13,14-dihydro-15-keto-PGD2</t>
  </si>
  <si>
    <t>HMDB0060042</t>
  </si>
  <si>
    <t>LMFA03010022</t>
  </si>
  <si>
    <t>59894-07-4</t>
  </si>
  <si>
    <t>[C@H]1(CCC(=O)CCCCC)C(=O)C[C@H](O)[C@@H]1C/C=C\CCCC(=O)O</t>
  </si>
  <si>
    <t>VSRXYLYXIXYEST-KZTWKYQFSA-N</t>
  </si>
  <si>
    <t>11.37_291.2326m/z</t>
  </si>
  <si>
    <t>5-((Z)-tridec-8-en-1-yl)resorcinol</t>
  </si>
  <si>
    <t>LMPK15030017</t>
  </si>
  <si>
    <t>C1(O)C=C(CCCCCCC/C=C\CCCC)C=C(O)C=1</t>
  </si>
  <si>
    <t>ILUMNMFPGSFYMK-WAYWQWQTSA-N</t>
  </si>
  <si>
    <t>C19H30O2</t>
  </si>
  <si>
    <t>3.98_262.1197m/z</t>
  </si>
  <si>
    <t>Gly Trp</t>
  </si>
  <si>
    <t>C1=CC=C2C(=C1)C(=CN2)CC(C(=O)[O-])NC(=O)C[NH3+]</t>
  </si>
  <si>
    <t>AJHCSUXXECOXOY-NSHDSACASA-N</t>
  </si>
  <si>
    <t>C13H15N3O3</t>
  </si>
  <si>
    <t>11.49_440.3145n</t>
  </si>
  <si>
    <t>Acetolein</t>
  </si>
  <si>
    <t>HMDB0303184</t>
  </si>
  <si>
    <t>CCCCCCCCC=CCCCCCCCC(=O)OCC(COC(C)=O)OC(C)=O</t>
  </si>
  <si>
    <t>KXLSJQTXSAYFDL-UHFFFAOYSA-N</t>
  </si>
  <si>
    <t>C25H44O6</t>
  </si>
  <si>
    <t>3.56_575.2746m/z</t>
  </si>
  <si>
    <t>PG(20:2(11Z,14Z)/0:0)</t>
  </si>
  <si>
    <t>LMGP04050024</t>
  </si>
  <si>
    <t>[H][C@](O)(CO)COP(OC[C@]([H])(O)COC(CCCCCCCCC/C=C\C/C=C\CCCCC)=O)(=O)O</t>
  </si>
  <si>
    <t>ALJXGNMOATZBMV-XTYNSLPVSA-N</t>
  </si>
  <si>
    <t>C26H49O9P</t>
  </si>
  <si>
    <t>358</t>
  </si>
  <si>
    <t>Valerenic Acid</t>
  </si>
  <si>
    <t>LMPR0103460001</t>
  </si>
  <si>
    <t>C09743</t>
  </si>
  <si>
    <t>C12=C(C)CC[C@]1([H])[C@H](C)CC[C@H]2/C=C(\C)/C(=O)O</t>
  </si>
  <si>
    <t>FEBNTWHYQKGEIQ-SUKRRCERSA-N</t>
  </si>
  <si>
    <t>11.28_315.1968m/z</t>
  </si>
  <si>
    <t>15-deoxy-delta-12,14-PGJ2</t>
  </si>
  <si>
    <t>HMDB0005079</t>
  </si>
  <si>
    <t>LMFA03010021</t>
  </si>
  <si>
    <t>C14717</t>
  </si>
  <si>
    <t>87893-55-8</t>
  </si>
  <si>
    <t>C1(=C/C=C/CCCCC)\C(=O)C=C[C@@H]\1C/C=C\CCCC(=O)O</t>
  </si>
  <si>
    <t>VHRUMKCAEVRUBK-GODQJPCRSA-N</t>
  </si>
  <si>
    <t>3.46_573.2534m/z</t>
  </si>
  <si>
    <t>Rociletinib</t>
  </si>
  <si>
    <t>HMDB0257287</t>
  </si>
  <si>
    <t>COC1=CC(=CC=C1NC1=NC=C(C(NC2=CC=CC(NC(=O)C=C)=C2)=N1)C(F)(F)F)N1CCN(CC1)C(C)=O</t>
  </si>
  <si>
    <t>HUFOZJXAKZVRNJ-UHFFFAOYSA-N</t>
  </si>
  <si>
    <t>C27H28F3N7O3</t>
  </si>
  <si>
    <t>6.91_337.2383m/z</t>
  </si>
  <si>
    <t>Latrepirdine</t>
  </si>
  <si>
    <t>HMDB0240240</t>
  </si>
  <si>
    <t>3613-73-8</t>
  </si>
  <si>
    <t>CN1CCC2=C(C1)C1=CC(C)=CC=C1N2CCC1=CC=C(C)N=C1</t>
  </si>
  <si>
    <t>JNODQFNWMXFMEV-UHFFFAOYSA-N</t>
  </si>
  <si>
    <t>C21H25N3</t>
  </si>
  <si>
    <t>5.70_422.1068n</t>
  </si>
  <si>
    <t>2-Methoxy-5-(2,4-dioxo-5-thiazolidinyl)-N-((4-(trifluoromethyl)phenyl)methyl)benzamide</t>
  </si>
  <si>
    <t>HMDB0254794</t>
  </si>
  <si>
    <t>COC1=CC=C(CC2OC(=O)NC2=O)C=C1C(=O)NCC1=CC=C(C=C1)C(F)(F)F</t>
  </si>
  <si>
    <t>ORZMUVMQJPGFOM-UHFFFAOYSA-N</t>
  </si>
  <si>
    <t>C20H17F3N2O5</t>
  </si>
  <si>
    <t>8.33_611.3805m/z</t>
  </si>
  <si>
    <t>Cholestane-3,7,12,25-tetrol-3-glucuronide</t>
  </si>
  <si>
    <t>HMDB0010355</t>
  </si>
  <si>
    <t>77172-80-6</t>
  </si>
  <si>
    <t>[H][C@@]1(CCC2C3C(O)CC4CC(CC[C@]4(C)C3C[C@@H](O)[C@]12C)O[C@@H]1O[C@@H]([C@@H](O)[C@@H](O)[C@H]1O)C(O)=O)[C@H](C)CCCC(C)(C)O</t>
  </si>
  <si>
    <t>FHOADKVSESICIH-YQDZQFSMSA-N</t>
  </si>
  <si>
    <t>C33H56O10</t>
  </si>
  <si>
    <t>9.68_436.2818m/z</t>
  </si>
  <si>
    <t>1-(2-methoxy-6Z-pentadecenyl)-sn-glycero-3-phosphoethanolamine</t>
  </si>
  <si>
    <t>LMGP02060012</t>
  </si>
  <si>
    <t>[C@](COP(=O)(O)OCCN)([H])(O)COCC(OC)CCC/C=C\CCCCCCCC</t>
  </si>
  <si>
    <t>NODVTQAWFIGEPX-YYBKLMRYSA-N</t>
  </si>
  <si>
    <t>3.59_406.1210m/z</t>
  </si>
  <si>
    <t>4-[4-(3-Hydroxyphenyl)-3-(4-methylphenyl)-6-oxo-1,4-dihydropyrrolo[3,4-d]pyrazol-5-yl]benzoic acid</t>
  </si>
  <si>
    <t>HMDB0250235</t>
  </si>
  <si>
    <t>CC1=CC=C(C=C1)C1=NNC2=C1C(N(C2=O)C1=CC=C(C=C1)C(O)=O)C1=CC(O)=CC=C1</t>
  </si>
  <si>
    <t>VGUQVYZXABOXCX-UHFFFAOYSA-N</t>
  </si>
  <si>
    <t>C25H19N3O4</t>
  </si>
  <si>
    <t>9.52_249.1492m/z</t>
  </si>
  <si>
    <t>Cumanin</t>
  </si>
  <si>
    <t>CC1CC2C(CC3(C1CC(C3O)O)C)C(=C)C(=O)O2</t>
  </si>
  <si>
    <t>ZFCRHGITKWEXDY-RKKSEIHCSA-N</t>
  </si>
  <si>
    <t>C15H22O4</t>
  </si>
  <si>
    <t>4.75_680.4449m/z</t>
  </si>
  <si>
    <t>1,2-ditetradecanoyl-sn-glycero-3-phosphosulfocholine</t>
  </si>
  <si>
    <t>LMGP00000051</t>
  </si>
  <si>
    <t>[C@](COP(=O)([O-])OCC[S+](C)C)([H])(OC(CCCCCCCCCCCCC)=O)COC(CCCCCCCCCCCCC)=O</t>
  </si>
  <si>
    <t>SIAMJSNNNCYTRM-MGBGTMOVSA-N</t>
  </si>
  <si>
    <t>Glycero-3-phosphosulfocholines</t>
  </si>
  <si>
    <t>C35H69O8PS</t>
  </si>
  <si>
    <t>10.13_373.3049m/z</t>
  </si>
  <si>
    <t>Dimethylsphingosine</t>
  </si>
  <si>
    <t>HMDB0251406</t>
  </si>
  <si>
    <t>CCCCCCCCCCCCCC=CC(O)C(N)C(O)(C=O)C=O</t>
  </si>
  <si>
    <t>JKBAAUMLHIUPKO-UHFFFAOYSA-N</t>
  </si>
  <si>
    <t>C20H37NO4</t>
  </si>
  <si>
    <t>3.80_261.1320m/z</t>
  </si>
  <si>
    <t>benzoyl-l-arg</t>
  </si>
  <si>
    <t>HMDB0249044</t>
  </si>
  <si>
    <t>NC(N)=NCCCC(N)(C(O)=O)C(=O)C1=CC=CC=C1</t>
  </si>
  <si>
    <t>ZAFDCAVLVDWCPI-UHFFFAOYSA-N</t>
  </si>
  <si>
    <t>C13H18N4O3</t>
  </si>
  <si>
    <t>7.35_327.2178m/z</t>
  </si>
  <si>
    <t>16-F1-PhytoP</t>
  </si>
  <si>
    <t>LMFA02030001</t>
  </si>
  <si>
    <t>C(CCCCCCCC1C(O)CC(O)C1/C=C/C(O)CC)(=O)O</t>
  </si>
  <si>
    <t>RQXBHXSBLSHCPO-ZHACJKMWSA-N</t>
  </si>
  <si>
    <t>14.50_661.4668m/z</t>
  </si>
  <si>
    <t>PE(16:1(9Z)/14:0)</t>
  </si>
  <si>
    <t>HMDB0008953</t>
  </si>
  <si>
    <t>LMGP02010516</t>
  </si>
  <si>
    <t>[C@](COP(=O)(O)OCCN)([H])(OC(CCCCCCCCCCCCC)=O)COC(CCCCCCC/C=C\CCCCCC)=O</t>
  </si>
  <si>
    <t>ADLQHCPAMORLQC-AVKQKRQHSA-N</t>
  </si>
  <si>
    <t>C35H68NO8P</t>
  </si>
  <si>
    <t>8.85_257.1757m/z</t>
  </si>
  <si>
    <t>4-(3-Hydroxybutyl)-3,3,5-trimethylcyclohexanone</t>
  </si>
  <si>
    <t>HMDB0039805</t>
  </si>
  <si>
    <t>128660-70-8</t>
  </si>
  <si>
    <t>CC(O)CCC1C(C)CC(=O)CC1(C)C</t>
  </si>
  <si>
    <t>QIHMBTNCJUFMCE-UHFFFAOYSA-N</t>
  </si>
  <si>
    <t>C13H24O2</t>
  </si>
  <si>
    <t>6.69_171.1018m/z</t>
  </si>
  <si>
    <t>N(tele)-methylhistaminium</t>
  </si>
  <si>
    <t>HMDB0062574</t>
  </si>
  <si>
    <t>CN1C=NC(CC[NH3+])=C1</t>
  </si>
  <si>
    <t>FHQDWPCFSJMNCT-UHFFFAOYSA-O</t>
  </si>
  <si>
    <t>C6H12N3+</t>
  </si>
  <si>
    <t>0.72_70.0660m/z</t>
  </si>
  <si>
    <t>2-(1-Aziridinyl)ethanol</t>
  </si>
  <si>
    <t>C19332</t>
  </si>
  <si>
    <t>1072-52-2</t>
  </si>
  <si>
    <t>C1CN1CCO</t>
  </si>
  <si>
    <t>VYONOYYDEFODAJ-UHFFFAOYSA-N</t>
  </si>
  <si>
    <t>C4H9NO</t>
  </si>
  <si>
    <t>12.23_326.3061m/z</t>
  </si>
  <si>
    <t>N-oleoyl ethanolamine</t>
  </si>
  <si>
    <t>HMDB0002088</t>
  </si>
  <si>
    <t>LMFA08040015</t>
  </si>
  <si>
    <t>R-HSA-112310,R-HSA-112315,R-HSA-112316,R-HSA-2980736,R-HSA-381771,R-HSA-392499,R-HSA-400508,R-HSA-400511</t>
  </si>
  <si>
    <t>Neurotransmitter release cycle|Transmission across Chemical Synapses|Neuronal System|Peptide hormone metabolism|Synthesis, secretion, and inactivation of Glucagon-like Peptide-1 (GLP-1)|Metabolism of proteins|Incretin synthesis, secretion, and inactivation|Synthesis, secretion, and inactivation of Glucose-dependent Insulinotropic Polypeptide (GIP)</t>
  </si>
  <si>
    <t>111-58-0</t>
  </si>
  <si>
    <t>C(CCCCCCC/C=C\CCCCCCCC)(=O)NCCO</t>
  </si>
  <si>
    <t>BOWVQLFMWHZBEF-KTKRTIGZSA-N</t>
  </si>
  <si>
    <t>0.76_132.0249n</t>
  </si>
  <si>
    <t>3-Methyl sulfolene</t>
  </si>
  <si>
    <t>HMDB0059667</t>
  </si>
  <si>
    <t>CC1=CCS(=O)(=O)C1</t>
  </si>
  <si>
    <t>FAYFWMOSHFCQPG-UHFFFAOYSA-N</t>
  </si>
  <si>
    <t>Dihydrothiophenes</t>
  </si>
  <si>
    <t>C5H8O2S</t>
  </si>
  <si>
    <t>10.10_583.3263m/z</t>
  </si>
  <si>
    <t>9-Acetoxyfukinanolide</t>
  </si>
  <si>
    <t>HMDB0034658</t>
  </si>
  <si>
    <t>35945-70-1</t>
  </si>
  <si>
    <t>CC1CCCC2C(OC(C)=O)C3(CC12C)C(=C)COC3=O</t>
  </si>
  <si>
    <t>ZZZDGYZKGIPSPD-UHFFFAOYSA-N</t>
  </si>
  <si>
    <t>9.58_497.2136m/z</t>
  </si>
  <si>
    <t>Hexahydro-1,3,5-tris(1-oxoallyl)-1,3,5-triazine</t>
  </si>
  <si>
    <t>C=CC(=O)N1CN(CN(C1)C(=O)C=C)C(=O)C=C</t>
  </si>
  <si>
    <t>FYBFGAFWCBMEDG-UHFFFAOYSA-N</t>
  </si>
  <si>
    <t>C12H15N3O3</t>
  </si>
  <si>
    <t>1.05_231.0564m/z</t>
  </si>
  <si>
    <t>3,5-Dimethyl-2-(3-pyridyl)thiazolidin-4-one</t>
  </si>
  <si>
    <t>HMDB0246060</t>
  </si>
  <si>
    <t>CC1SC(N(C)C1=O)C1=CN=CC=C1</t>
  </si>
  <si>
    <t>FZXAQGVGSAANBR-UHFFFAOYSA-N</t>
  </si>
  <si>
    <t>C10H12N2OS</t>
  </si>
  <si>
    <t>272</t>
  </si>
  <si>
    <t>Phenylalanine</t>
  </si>
  <si>
    <t>C02265</t>
  </si>
  <si>
    <t>hsa00360,hsa00470,hsa04742</t>
  </si>
  <si>
    <t>Phenylalanine metabolism|D-Amino acid metabolism|Taste transduction</t>
  </si>
  <si>
    <t>673-06-3</t>
  </si>
  <si>
    <t>C1=CC=C(C=C1)CC(C(=O)O)N</t>
  </si>
  <si>
    <t>COLNVLDHVKWLRT-MRVPVSSYSA-N</t>
  </si>
  <si>
    <t>9.91_429.3014m/z</t>
  </si>
  <si>
    <t>17(20)-Dehydrocryptogenin</t>
  </si>
  <si>
    <t>LMST01010342</t>
  </si>
  <si>
    <t>C1[C@H](O)CC2[C@@](C)([C@@]3([H])CC[C@]4(C)/C(=C(/C(=O)CC[C@@H](C)CO)\C)/C(=O)C[C@@]4([H])[C@]3([H])CC=2)C1</t>
  </si>
  <si>
    <t>LHUOFJIUXKOLAO-YKXPSBIHSA-N</t>
  </si>
  <si>
    <t>C27H40O4</t>
  </si>
  <si>
    <t>0.60_168.0772m/z</t>
  </si>
  <si>
    <t>alpha-Fluoro-beta-ureidopropionic acid</t>
  </si>
  <si>
    <t>HMDB0060435</t>
  </si>
  <si>
    <t>C16631</t>
  </si>
  <si>
    <t>OC(=N)NCC(F)C(O)=O</t>
  </si>
  <si>
    <t>FKTHAKABFGARQH-UHFFFAOYSA-N</t>
  </si>
  <si>
    <t>Alpha-halocarboxylic acids and derivatives</t>
  </si>
  <si>
    <t>C4H7FN2O3</t>
  </si>
  <si>
    <t>10.91_417.1376m/z</t>
  </si>
  <si>
    <t>METESIND</t>
  </si>
  <si>
    <t>HMDB0254512</t>
  </si>
  <si>
    <t>CN(CC1=CC=C(C=C1)S(=O)(=O)N1CCOCC1)C1=C2C=CC=C3C(N)=NC(C=C1)=C23</t>
  </si>
  <si>
    <t>CVEGTZWWWRJCFK-UHFFFAOYSA-N</t>
  </si>
  <si>
    <t>C23H24N4O3S</t>
  </si>
  <si>
    <t>0.77_190.0827m/z</t>
  </si>
  <si>
    <t>Glycyl-Asparagine</t>
  </si>
  <si>
    <t>HMDB0028836</t>
  </si>
  <si>
    <t>NCC(=O)NC(CC(N)=O)C(O)=O</t>
  </si>
  <si>
    <t>FUESBOMYALLFNI-UHFFFAOYSA-N</t>
  </si>
  <si>
    <t>C6H11N3O4</t>
  </si>
  <si>
    <t>9.77_251.1650m/z</t>
  </si>
  <si>
    <t>Nardosinone</t>
  </si>
  <si>
    <t>HMDB0255460</t>
  </si>
  <si>
    <t>CC1CCC=C2C(=O)CC3OOC(C)(C)C3C12C</t>
  </si>
  <si>
    <t>KXGHHSIMRWPVQM-UHFFFAOYSA-N</t>
  </si>
  <si>
    <t>12.92_450.3012m/z</t>
  </si>
  <si>
    <t>N-(3-hydroxy-eicosanoyl)-homoserine lactone</t>
  </si>
  <si>
    <t>LMFA08030008</t>
  </si>
  <si>
    <t>[C@@H]1(CCOC1=O)NC(=O)CC(O)CCCCCCCCCCCCCCCCC</t>
  </si>
  <si>
    <t>KERIGWGQSDLUFJ-KEKNWZKVSA-N</t>
  </si>
  <si>
    <t>C24H45NO4</t>
  </si>
  <si>
    <t>5.85_165.0912m/z</t>
  </si>
  <si>
    <t>alpha-Campholonic acid</t>
  </si>
  <si>
    <t>HMDB0301822</t>
  </si>
  <si>
    <t>CC1C(=O)CC(CC(O)=O)C1(C)C</t>
  </si>
  <si>
    <t>VRCGDJCVKWWRME-UHFFFAOYSA-N</t>
  </si>
  <si>
    <t>10.55_907.5806m/z</t>
  </si>
  <si>
    <t>PE(DiMe(11,5)/22:6(4Z,7Z,11E,13Z,15E,19Z)-2OH(10S,17))</t>
  </si>
  <si>
    <t>HMDB0284838</t>
  </si>
  <si>
    <t>[H][C@@](COC(=O)CCCCCCCCCCC1=C(C)C(C)=C(CCCCC)O1)(COP(O)(=O)OCCN)OC(=O)CC\C=C/C\C=C/C[C@@H](O)\C=C\C=C/C=C/[C@@H](O)C\C=C/CC</t>
  </si>
  <si>
    <t>DDQKWMIRPMOJQZ-GDIQWXFESA-N</t>
  </si>
  <si>
    <t>C49H80NO11P</t>
  </si>
  <si>
    <t>8.03_422.3489m/z</t>
  </si>
  <si>
    <t>Cetylmannoside</t>
  </si>
  <si>
    <t>HMDB0249840</t>
  </si>
  <si>
    <t>CCCCCCCCCCCCCCCCOC1OC(CO)C(O)C(O)C1O</t>
  </si>
  <si>
    <t>PAEMERHSTIDLSE-UHFFFAOYSA-N</t>
  </si>
  <si>
    <t>C22H44O6</t>
  </si>
  <si>
    <t>13.28_627.4627m/z</t>
  </si>
  <si>
    <t>DG(22:6(4Z,7Z,11E,13Z,15E,19Z)-2OH(10S,17)/0:0/i-14:0)</t>
  </si>
  <si>
    <t>HMDB0298896</t>
  </si>
  <si>
    <t>CC\C=C/C[C@@H](O)\C=C\C=C/C=C/[C@@H](O)C\C=C/C\C=C/CCC(=O)OC[C@@H](O)COC(=O)CCCCCCCCCCC(C)C</t>
  </si>
  <si>
    <t>GVKDICZVLYLECP-AUWSIONUSA-N</t>
  </si>
  <si>
    <t>9.77_331.1894m/z</t>
  </si>
  <si>
    <t>5-hydroxy saxagliptin</t>
  </si>
  <si>
    <t>HMDB0061099</t>
  </si>
  <si>
    <t>[H]C12CC3(O)CC(O)(C1)CC(C2)(C3)[C@H](N)C(=O)N1[C@@H]2C[C@@H]2C[C@@H]1C#N</t>
  </si>
  <si>
    <t>GAWUJFVQGSLSSZ-HREDRMPBSA-N</t>
  </si>
  <si>
    <t>C18H25N3O3</t>
  </si>
  <si>
    <t>1.00_330.0728n</t>
  </si>
  <si>
    <t>Remerin</t>
  </si>
  <si>
    <t>LMPK12140699</t>
  </si>
  <si>
    <t>C1(OC)=CC2OC(C3=CC(=O)C(OC)=CC3=O)CC(=O)C=2C(O)=C1</t>
  </si>
  <si>
    <t>KFCYIBRFUHBOJZ-UHFFFAOYSA-N</t>
  </si>
  <si>
    <t>C17H14O7</t>
  </si>
  <si>
    <t>11.01_559.3768m/z</t>
  </si>
  <si>
    <t>PA(13:0/14:1(9Z))</t>
  </si>
  <si>
    <t>LMGP10010068</t>
  </si>
  <si>
    <t>[C@](COP(=O)(O)O)([H])(OC(CCCCCCC/C=C\CCCC)=O)COC(CCCCCCCCCCCC)=O</t>
  </si>
  <si>
    <t>BGDLDGHMICDLSJ-PTHGBANUSA-N</t>
  </si>
  <si>
    <t>C30H57O8P</t>
  </si>
  <si>
    <t>9.46_196.1465n</t>
  </si>
  <si>
    <t>Cucujolide II</t>
  </si>
  <si>
    <t>LMFA07040033</t>
  </si>
  <si>
    <t>C1(O[C@H](C)CCCCCCC=CC1)=O</t>
  </si>
  <si>
    <t>IIBFPGGSICFOHJ-BPOWMSRESA-N</t>
  </si>
  <si>
    <t>8.75_347.1090m/z</t>
  </si>
  <si>
    <t>Dibenzo[a,l]pyrene</t>
  </si>
  <si>
    <t>HMDB0060116</t>
  </si>
  <si>
    <t>C19174</t>
  </si>
  <si>
    <t>191-30-0</t>
  </si>
  <si>
    <t>C1=CC=C2C(=C1)C=C1C=CC3=C4C(=CC=C3)C3=CC=CC=C3C2=C14</t>
  </si>
  <si>
    <t>JNTHRSHGARDABO-UHFFFAOYSA-N</t>
  </si>
  <si>
    <t>Pyrenes</t>
  </si>
  <si>
    <t>Benzopyrenes</t>
  </si>
  <si>
    <t>C24H14</t>
  </si>
  <si>
    <t>7.08_214.1809m/z</t>
  </si>
  <si>
    <t>5E,7E-dodecadienoic acid</t>
  </si>
  <si>
    <t>LMFA01030236</t>
  </si>
  <si>
    <t>C(CCC/C=C/C=C/CCCC)(=O)O</t>
  </si>
  <si>
    <t>FJEBEOYAPDCMES-BSWSSELBSA-N</t>
  </si>
  <si>
    <t>9.18_223.1700m/z</t>
  </si>
  <si>
    <t>KOBUSONE</t>
  </si>
  <si>
    <t>C16983</t>
  </si>
  <si>
    <t>24173-71-5</t>
  </si>
  <si>
    <t>CC1(CC2C1CCC3(C(O3)CCC2=O)C)C</t>
  </si>
  <si>
    <t>UETZJEZFLKASPR-UZWIWUQPSA-N</t>
  </si>
  <si>
    <t>C14H22O2</t>
  </si>
  <si>
    <t>5.01_253.1077m/z</t>
  </si>
  <si>
    <t>(Z)-3-Oxo-2-(2-pentenyl)-1-cyclopenteneacetic acid</t>
  </si>
  <si>
    <t>HMDB0030197</t>
  </si>
  <si>
    <t>120282-76-0</t>
  </si>
  <si>
    <t>CC\C=C\CC1=C(CC(O)=O)CCC1=O</t>
  </si>
  <si>
    <t>QAAHGFINENUHAR-ONEGZZNKSA-N</t>
  </si>
  <si>
    <t>4.16_243.0872m/z</t>
  </si>
  <si>
    <t>3-(4-Hydroxy-3-methoxyphenyl)-1,2-propanediol</t>
  </si>
  <si>
    <t>HMDB0033093</t>
  </si>
  <si>
    <t>220006-74-6</t>
  </si>
  <si>
    <t>COC1=C(O)C=CC(CC(O)CO)=C1</t>
  </si>
  <si>
    <t>QGFJORGLNPWXMK-UHFFFAOYSA-N</t>
  </si>
  <si>
    <t>C10H14O4</t>
  </si>
  <si>
    <t>5.71_227.1286m/z</t>
  </si>
  <si>
    <t>Ieodomycin C</t>
  </si>
  <si>
    <t>LMFA01050564</t>
  </si>
  <si>
    <t>C(C[C@H](O)/C=C/C=C/C[C@H](O)CCC)(=O)O</t>
  </si>
  <si>
    <t>VMUYJTLOZZXCIC-RFSDFRCRSA-N</t>
  </si>
  <si>
    <t>4.58_419.0827m/z</t>
  </si>
  <si>
    <t>Ethyl gallate 3-glucuronide</t>
  </si>
  <si>
    <t>HMDB0166846</t>
  </si>
  <si>
    <t>1456546-87-4</t>
  </si>
  <si>
    <t>CCOC(=O)C1=CC(O)=C(O)C(O[C@@H]2O[C@@H]([C@@H](O)[C@H](O)[C@H]2O)C(O)=O)=C1</t>
  </si>
  <si>
    <t>AYYKZKTZUDGRGL-QKZHPOIUSA-N</t>
  </si>
  <si>
    <t>C15H18O11</t>
  </si>
  <si>
    <t>10.37_629.3210m/z</t>
  </si>
  <si>
    <t>SQMG(18:0/0:0)</t>
  </si>
  <si>
    <t>LMGL04010015</t>
  </si>
  <si>
    <t>[C@](CO[C@@H]1[C@H](O)[C@@H](O)[C@H](O)[C@@H](CS(O)(=O)=O)O1)([H])(O)COC(=O)CCCCCCCCCCCCCCCCC</t>
  </si>
  <si>
    <t>NVKWDWTYDRPVNY-VZJUQIMDSA-N</t>
  </si>
  <si>
    <t>C27H52O11S</t>
  </si>
  <si>
    <t>8.56_419.2684m/z</t>
  </si>
  <si>
    <t>[2-Amino-2-(hydroxymethyl)-5-(4-octylphenyl)pentyl] dihydrogen phosphate</t>
  </si>
  <si>
    <t>HMDB0252505</t>
  </si>
  <si>
    <t>CCCCCCCCC1=CC=C(CCCC(N)(CO)COP(O)(O)=O)C=C1</t>
  </si>
  <si>
    <t>DQKSVFVIWBOSPM-UHFFFAOYSA-N</t>
  </si>
  <si>
    <t>C20H36NO5P</t>
  </si>
  <si>
    <t>4.28_436.2151m/z</t>
  </si>
  <si>
    <t>Val Asp Trp</t>
  </si>
  <si>
    <t>CC(C)C(C(=O)NC(CC(=O)O)C(=O)NC(CC1=CNC2=CC=CC=C21)C(=O)O)N</t>
  </si>
  <si>
    <t>XKVXSCHXGJOQND-ZOBUZTSGSA-N</t>
  </si>
  <si>
    <t>C20H26N4O6</t>
  </si>
  <si>
    <t>7.31_347.1865m/z</t>
  </si>
  <si>
    <t>Novaxenicin A</t>
  </si>
  <si>
    <t>LMPR0104420001</t>
  </si>
  <si>
    <t>[C@@]12([H])C3=C[C@@]([H])([C@]4([H])C(C)(C)O4)O[C@]3([H])OC[C@@]1([H])C(=C)C[C@H]1O[C@H]1[C@](O)(C)CC2</t>
  </si>
  <si>
    <t>PVAIAJLEMKCLCA-VQWSFFERSA-N</t>
  </si>
  <si>
    <t>Furopyrans</t>
  </si>
  <si>
    <t>7.57_283.2430m/z</t>
  </si>
  <si>
    <t>Cardanoldiene</t>
  </si>
  <si>
    <t>HMDB0029816</t>
  </si>
  <si>
    <t>51546-63-5</t>
  </si>
  <si>
    <t>CCC\C=C\C\C=C\CCCCCCCC1=CC=CC(O)=C1</t>
  </si>
  <si>
    <t>FAYVLNWNMNHXGA-AOSYACOCSA-N</t>
  </si>
  <si>
    <t>C21H32O</t>
  </si>
  <si>
    <t>4.13_400.1728m/z</t>
  </si>
  <si>
    <t>PC(0:0/6:0)</t>
  </si>
  <si>
    <t>LMGP01050093</t>
  </si>
  <si>
    <t>[C@](COP(=O)([O-])OCC[N+](C)(C)C)([H])(OC(CCCCC)=O)CO</t>
  </si>
  <si>
    <t>MYMVJSVDPWLZNA-CYBMUJFWSA-N</t>
  </si>
  <si>
    <t>C14H30NO7P</t>
  </si>
  <si>
    <t>3.95_231.0453m/z</t>
  </si>
  <si>
    <t>Carbimazole</t>
  </si>
  <si>
    <t>HMDB0014533</t>
  </si>
  <si>
    <t>C07615</t>
  </si>
  <si>
    <t>22232-54-8</t>
  </si>
  <si>
    <t>CCOC(=O)N1C=CN(C)C1=S</t>
  </si>
  <si>
    <t>CFOYWRHIYXMDOT-UHFFFAOYSA-N</t>
  </si>
  <si>
    <t>C7H10N2O2S</t>
  </si>
  <si>
    <t>77</t>
  </si>
  <si>
    <t>2r-Amino-Butanoic Acid</t>
  </si>
  <si>
    <t>HMDB0000650</t>
  </si>
  <si>
    <t>LMFA01100043</t>
  </si>
  <si>
    <t>C02261</t>
  </si>
  <si>
    <t>2623-91-8</t>
  </si>
  <si>
    <t>[C@@H](N)(CC)C(=O)O</t>
  </si>
  <si>
    <t>QWCKQJZIFLGMSD-GSVOUGTGSA-N</t>
  </si>
  <si>
    <t>1.36_175.0483m/z</t>
  </si>
  <si>
    <t>N-Acetyl-L-aspartic acid</t>
  </si>
  <si>
    <t>HMDB0000812</t>
  </si>
  <si>
    <t>C01042</t>
  </si>
  <si>
    <t>hsa00250</t>
  </si>
  <si>
    <t>Alanine, aspartate and glutamate metabolism</t>
  </si>
  <si>
    <t>R-HSA-1430728,R-HSA-71291,R-HSA-8963693,R-HSA-8964539</t>
  </si>
  <si>
    <t>Metabolism|Metabolism of amino acids and derivatives|Aspartate and asparagine metabolism|Glutamate and glutamine metabolism</t>
  </si>
  <si>
    <t>997-55-7</t>
  </si>
  <si>
    <t>CC(=O)N[C@@H](CC(O)=O)C(O)=O</t>
  </si>
  <si>
    <t>OTCCIMWXFLJLIA-BYPYZUCNSA-N</t>
  </si>
  <si>
    <t>C6H9NO5</t>
  </si>
  <si>
    <t>0.64_404.0039m/z</t>
  </si>
  <si>
    <t>Uridine 5'-diphosphate</t>
  </si>
  <si>
    <t>HMDB0000295</t>
  </si>
  <si>
    <t>C00015</t>
  </si>
  <si>
    <t>R-HSA-1430728,R-HSA-1474244,R-HSA-1474290,R-HSA-156580,R-HSA-156588,R-HSA-157118,R-HSA-162582,R-HSA-1643685,R-HSA-1650814,R-HSA-189445,R-HSA-189483,R-HSA-1912399,R-HSA-1912422,R-HSA-211859,R-HSA-392499,R-HSA-5173105,R-HSA-5173214,R-HSA-5663205,R-HSA-597592,R-HSA-9678108,R-HSA-9679506,R-HSA-9683673,R-HSA-9683686,R-HSA-9683701,R-HSA-9694516,R-HSA-9694635,R-HSA-9694719,R-HSA-9748784,R-HSA-9749641,R-HSA-9772573,R-HSA-9824446</t>
  </si>
  <si>
    <t>Metabolism|Extracellular matrix organization|Collagen formation|Phase II - Conjugation of compounds|Glucuronidation|Signaling by NOTCH|Signal Transduction|Disease|Collagen biosynthesis and modifying enzymes|Metabolism of porphyrins|Heme degradation|Pre-NOTCH Processing in the Endoplasmic Reticulum|Pre-NOTCH Expression and Processing|Biological oxidations|Metabolism of proteins|O-linked glycosylation|O-glycosylation of TSR domain-containing proteins|Infectious disease|Post-translational protein modification|SARS-CoV-1 Infection|SARS-CoV Infections|Maturation of protein 3a|Maturation of spike protein|Translation of Structural Proteins|SARS-CoV-2 Infection|Translation of Structural Proteins|Maturation of protein 3a|Drug ADME|Aspirin ADME|Late SARS-CoV-2 Infection Events|Viral Infection Pathways</t>
  </si>
  <si>
    <t>58-98-0</t>
  </si>
  <si>
    <t>O[C@H]1[C@@H](O)[C@@H](O[C@@H]1COP(O)(=O)OP(O)(O)=O)N1C=CC(=O)NC1=O</t>
  </si>
  <si>
    <t>XCCTYIAWTASOJW-XVFCMESISA-N</t>
  </si>
  <si>
    <t>C9H14N2O12P2</t>
  </si>
  <si>
    <t>10.11_440.2784m/z</t>
  </si>
  <si>
    <t>PE(15:0/0:0)</t>
  </si>
  <si>
    <t>HMDB0011502</t>
  </si>
  <si>
    <t>LMGP02050031</t>
  </si>
  <si>
    <t>[C@](COP(=O)(O)OCCN)([H])(O)COC(CCCCCCCCCCCCCC)=O</t>
  </si>
  <si>
    <t>FGHPDPYCRTXYNZ-LJQANCHMSA-N</t>
  </si>
  <si>
    <t>C20H42NO7P</t>
  </si>
  <si>
    <t>10.69_310.0955m/z</t>
  </si>
  <si>
    <t>Rutaecarpine</t>
  </si>
  <si>
    <t>HMDB0042010</t>
  </si>
  <si>
    <t>C09238</t>
  </si>
  <si>
    <t>84-26-4</t>
  </si>
  <si>
    <t>O=C1N2CCC3=C(NC4=CC=CC=C34)C2=NC2=CC=CC=C12</t>
  </si>
  <si>
    <t>ACVGWSKVRYFWRP-UHFFFAOYSA-N</t>
  </si>
  <si>
    <t>C18H13N3O</t>
  </si>
  <si>
    <t>4.96_471.2216m/z</t>
  </si>
  <si>
    <t>N-Acetyl-5-methoxykynuramine</t>
  </si>
  <si>
    <t>HMDB0062497</t>
  </si>
  <si>
    <t>52450-39-2</t>
  </si>
  <si>
    <t>COC1=CC=C(N)C(=C1)C(=O)CCNC(C)=O</t>
  </si>
  <si>
    <t>RJQIZOKNUKRKTP-UHFFFAOYSA-N</t>
  </si>
  <si>
    <t>12.05_800.5796m/z</t>
  </si>
  <si>
    <t>PC(P-18:1(11Z)/18:1(12Z)-2OH(9,10))</t>
  </si>
  <si>
    <t>HMDB0289687</t>
  </si>
  <si>
    <t>[H][C@@](CO\C=C\CCCCCCCC\C=C/CCCCCC)(COP([O-])(=O)OCC[N+](C)(C)C)OC(=O)CCCCCCC[C@H](O)[C@@H](O)C\C=C/CCCCC</t>
  </si>
  <si>
    <t>GCRBDMKZBYSQHH-KOJRGNFESA-N</t>
  </si>
  <si>
    <t>C44H84NO9P</t>
  </si>
  <si>
    <t>11.25_473.3638m/z</t>
  </si>
  <si>
    <t>Priverogenin A</t>
  </si>
  <si>
    <t>HMDB0034530</t>
  </si>
  <si>
    <t>18443-26-0</t>
  </si>
  <si>
    <t>CC1(C)CC(O)C2(C=O)C(O)CC3(C)C(=CCC4C5(C)CCC(O)C(C)(C)C5CCC34C)C2C1</t>
  </si>
  <si>
    <t>QBWHAELJLKYXDB-UHFFFAOYSA-N</t>
  </si>
  <si>
    <t>4.93_554.3566m/z</t>
  </si>
  <si>
    <t>PG(21:0/0:0)</t>
  </si>
  <si>
    <t>LMGP04050029</t>
  </si>
  <si>
    <t>[H][C@](O)(CO)COP(OC[C@]([H])(O)COC(CCCCCCCCCCCCCCCCCCCC)=O)(=O)O</t>
  </si>
  <si>
    <t>XEIBLFIFGABXTL-IZZNHLLZSA-N</t>
  </si>
  <si>
    <t>C27H55O9P</t>
  </si>
  <si>
    <t>4.42_601.2834m/z</t>
  </si>
  <si>
    <t>Apomine</t>
  </si>
  <si>
    <t>HMDB0248525</t>
  </si>
  <si>
    <t>CC(C)OP(=O)(OC(C)C)C(CC1=CC(=C(O)C(=C1)C(C)(C)C)C(C)(C)C)P(=O)(OC(C)C)OC(C)C</t>
  </si>
  <si>
    <t>YLJOVCWVJCDPLN-UHFFFAOYSA-N</t>
  </si>
  <si>
    <t>C28H52O7P2</t>
  </si>
  <si>
    <t>14.46_615.4617m/z</t>
  </si>
  <si>
    <t>DG(22:5(4Z,7Z,10Z,13Z,19Z)-O(16,17)/0:0/i-13:0)</t>
  </si>
  <si>
    <t>HMDB0298692</t>
  </si>
  <si>
    <t>CC\C=C/CC1OC1C\C=C/C\C=C/C\C=C/C\C=C/CCC(=O)OC[C@@H](O)COC(=O)CCCCCCCCCC(C)C</t>
  </si>
  <si>
    <t>ACLWTUIRRWJFED-AYHKMLTRSA-N</t>
  </si>
  <si>
    <t>C38H62O6</t>
  </si>
  <si>
    <t>4.75_125.0966m/z</t>
  </si>
  <si>
    <t>7-octenoic acid</t>
  </si>
  <si>
    <t>LMFA01030576</t>
  </si>
  <si>
    <t>C(CCCCCC=C)(=O)O</t>
  </si>
  <si>
    <t>OZYYQTRHHXLTKX-UHFFFAOYSA-N</t>
  </si>
  <si>
    <t>C8H14O2</t>
  </si>
  <si>
    <t>6.17_534.0298n</t>
  </si>
  <si>
    <t>UDP-alpha-D-xylose</t>
  </si>
  <si>
    <t>HMDB0304529</t>
  </si>
  <si>
    <t>OC1C(O)C(OC1COP([O-])(=O)OP([O-])(=O)OC1OCC(O)C(O)C1O)N1C=CC(=O)NC1=O</t>
  </si>
  <si>
    <t>DQQDLYVHOTZLOR-UHFFFAOYSA-L</t>
  </si>
  <si>
    <t>C14H20N2O16P2-2</t>
  </si>
  <si>
    <t>11.01_573.3766m/z</t>
  </si>
  <si>
    <t>5beta,6beta-epoxygorgostane-3beta,7alpha,11alpha,12beta,15alpha-pentol 11,15-diacetate</t>
  </si>
  <si>
    <t>LMST01060028</t>
  </si>
  <si>
    <t>C1[C@]2(C)[C@@]3([H])[C@H](OC(=O)C)[C@@H](O)[C@]4(C)[C@@]([H])([C@]([H])(C)[C@H]5C[C@]5(C)[C@H](C)C(C)C)C[C@H](OC(=O)C)[C@@]4([H])[C@]3([H])[C@H](O)[C@H]3O[C@]32C[C@@H](O)C1</t>
  </si>
  <si>
    <t>KXIMHPWXMXCLCG-OZSJZICBSA-N</t>
  </si>
  <si>
    <t>C34H54O8</t>
  </si>
  <si>
    <t>6.34_385.2236m/z</t>
  </si>
  <si>
    <t>Berkeleylactone M</t>
  </si>
  <si>
    <t>LMFA07040173</t>
  </si>
  <si>
    <t>[C@@H]1([C@@H](OC(=O)CCC(=O)O)CCCCCCCCC[C@@H](C)OC(=O)CC1)O</t>
  </si>
  <si>
    <t>GUYSGRRZEXJUDH-ZACQAIPSSA-N</t>
  </si>
  <si>
    <t>117</t>
  </si>
  <si>
    <t>Guanidine</t>
  </si>
  <si>
    <t>HMDB0001842</t>
  </si>
  <si>
    <t>C17349</t>
  </si>
  <si>
    <t>R-HSA-382551,R-HSA-425366,R-HSA-425407,R-HSA-549127,R-HSA-549132</t>
  </si>
  <si>
    <t>Transport of small molecules|Transport of bile salts and organic acids, metal ions and amine compounds|SLC-mediated transmembrane transport|Organic cation transport|Organic cation/anion/zwitterion transport</t>
  </si>
  <si>
    <t>50-01-1</t>
  </si>
  <si>
    <t>NC(N)=N</t>
  </si>
  <si>
    <t>ZRALSGWEFCBTJO-UHFFFAOYSA-N</t>
  </si>
  <si>
    <t>CH5N3</t>
  </si>
  <si>
    <t>6.35_431.1359m/z</t>
  </si>
  <si>
    <t>Dihydrowogonin 7-glucoside</t>
  </si>
  <si>
    <t>HMDB0303601</t>
  </si>
  <si>
    <t>COC1=C(OC2OC(CO)C(O)C(O)C2O)C=C(O)C2=C1OC(CC2=O)C1=CC=CC=C1</t>
  </si>
  <si>
    <t>BZGHUZGALXIEBL-UHFFFAOYSA-N</t>
  </si>
  <si>
    <t>C22H24O10</t>
  </si>
  <si>
    <t>3.90_408.2369m/z</t>
  </si>
  <si>
    <t>L-Pyroglutamyl-L-histidyl-3,3-dimethylprolinamide</t>
  </si>
  <si>
    <t>HMDB0257369</t>
  </si>
  <si>
    <t>CC1(C)CCN(C1C(N)=O)C(=O)C(CC1=CN=CN1)NC(=O)C1CCC(=O)N1</t>
  </si>
  <si>
    <t>ZEQAPQNFHVYDEL-UHFFFAOYSA-N</t>
  </si>
  <si>
    <t>C18H26N6O4</t>
  </si>
  <si>
    <t>11.32_311.2017m/z</t>
  </si>
  <si>
    <t>jasmolin I</t>
  </si>
  <si>
    <t>LMPR0102060004</t>
  </si>
  <si>
    <t>C16780</t>
  </si>
  <si>
    <t>C1([C@H](CC(=O)C=1C/C=C\CC)OC(=O)[C@H]1C(C)(C)[C@@H]1/C=C(/C)\C)C</t>
  </si>
  <si>
    <t>NZKIRHFOLVYKFT-VUMXUWRFSA-N</t>
  </si>
  <si>
    <t>C21H30O3</t>
  </si>
  <si>
    <t>10.17_311.1272m/z</t>
  </si>
  <si>
    <t>2-Hydroxy-7,8-dehydrograndiflorone</t>
  </si>
  <si>
    <t>LMPK12120415</t>
  </si>
  <si>
    <t>C1=CC=CC(O)=C1/C=C/C(=O)C1=C(O)C(C)(C)C(=O)C(C)(C)C1=O</t>
  </si>
  <si>
    <t>MMHKTAWKXGOREF-MDZDMXLPSA-N</t>
  </si>
  <si>
    <t>C19H20O5</t>
  </si>
  <si>
    <t>5.15_305.1007m/z</t>
  </si>
  <si>
    <t>2-Nitrophenylhydrazine</t>
  </si>
  <si>
    <t>HMDB0245263</t>
  </si>
  <si>
    <t>NNC1=CC=CC=C1N(=O)=O</t>
  </si>
  <si>
    <t>FRBUNLLUASHNDJ-UHFFFAOYSA-N</t>
  </si>
  <si>
    <t>0.74_119.0338m/z</t>
  </si>
  <si>
    <t>Erythrose</t>
  </si>
  <si>
    <t>HMDB0002649</t>
  </si>
  <si>
    <t>C01796</t>
  </si>
  <si>
    <t>1758-51-6</t>
  </si>
  <si>
    <t>[H][C@@]1(O)COC([H])(O)[C@]1([H])O</t>
  </si>
  <si>
    <t>FMAORJIQYMIRHF-HERZVMAMSA-N</t>
  </si>
  <si>
    <t>C4H8O4</t>
  </si>
  <si>
    <t>12.33_329.2483m/z</t>
  </si>
  <si>
    <t>DHA</t>
  </si>
  <si>
    <t>HMDB0002183</t>
  </si>
  <si>
    <t>LMFA01030185</t>
  </si>
  <si>
    <t>C06429</t>
  </si>
  <si>
    <t>6217-54-5</t>
  </si>
  <si>
    <t>C(=C/C/C=C\C/C=C\C/C=C\C/C=C\C/C=C\CC)/CCC(=O)O</t>
  </si>
  <si>
    <t>MBMBGCFOFBJSGT-KUBAVDMBSA-N</t>
  </si>
  <si>
    <t>0.68_382.0356n</t>
  </si>
  <si>
    <t>hesperetin 3'-O-sulfate</t>
  </si>
  <si>
    <t>HMDB0029202</t>
  </si>
  <si>
    <t>COC1=CC=C(C=C1OS(O)(=O)=O)C1CC(=O)C2=C(O1)C=C(O)C=C2O</t>
  </si>
  <si>
    <t>AXWNOFHBYPBYNO-UHFFFAOYSA-N</t>
  </si>
  <si>
    <t>C16H14O9S</t>
  </si>
  <si>
    <t>3.11_415.1193m/z</t>
  </si>
  <si>
    <t>6-(D-alpha-(3-Guanylureido)phenylacetamido)penicillanic acid</t>
  </si>
  <si>
    <t>HMDB0247826</t>
  </si>
  <si>
    <t>CC1(C)SC2C(NC(=O)C(NC(=O)N=C(N)N)C3=CC=CC=C3)C(=O)N2C1C(O)=O</t>
  </si>
  <si>
    <t>GIPLLNWRTXVAHM-UHFFFAOYSA-N</t>
  </si>
  <si>
    <t>C18H22N6O5S</t>
  </si>
  <si>
    <t>7.51_201.1643m/z</t>
  </si>
  <si>
    <t>MUUROLLADIE-3-ONE</t>
  </si>
  <si>
    <t>CC1=CCC(C2C1CC(=O)C(=C2)C)C(C)C</t>
  </si>
  <si>
    <t>LMILVXQXGKTFSZ-UHFFFAOYSA-N</t>
  </si>
  <si>
    <t>C15H22O</t>
  </si>
  <si>
    <t>7.49_469.2639m/z</t>
  </si>
  <si>
    <t>Berbine</t>
  </si>
  <si>
    <t>HMDB0249085</t>
  </si>
  <si>
    <t>C1CC2=CC=CC=C2C2CC3=CC=CC=C3CN12</t>
  </si>
  <si>
    <t>BRLDZKPJJNASGG-UHFFFAOYSA-N</t>
  </si>
  <si>
    <t>C17H17N</t>
  </si>
  <si>
    <t>7.47_269.1759m/z</t>
  </si>
  <si>
    <t>6-Hydroxypentadecanedioic acid</t>
  </si>
  <si>
    <t>HMDB0031885</t>
  </si>
  <si>
    <t>38076-52-7</t>
  </si>
  <si>
    <t>OC(CCCCCCCCC(O)=O)CCCCC(O)=O</t>
  </si>
  <si>
    <t>PNEJUHLZEPRMHF-UHFFFAOYSA-N</t>
  </si>
  <si>
    <t>C15H28O5</t>
  </si>
  <si>
    <t>0.72_278.1245m/z</t>
  </si>
  <si>
    <t>N-(1-Deoxy-1-fructosyl)proline</t>
  </si>
  <si>
    <t>HMDB0038493</t>
  </si>
  <si>
    <t>29118-61-4</t>
  </si>
  <si>
    <t>OC[C@H]1OC(O)(CN2CCCC2C(O)=O)[C@@H](O)[C@@H]1O</t>
  </si>
  <si>
    <t>GSFRYAKUDPPHHG-MKSMHYHASA-N</t>
  </si>
  <si>
    <t>C11H19NO7</t>
  </si>
  <si>
    <t>1.30_130.0862m/z</t>
  </si>
  <si>
    <t>Beta-Leucine</t>
  </si>
  <si>
    <t>HMDB0003640</t>
  </si>
  <si>
    <t>C02486</t>
  </si>
  <si>
    <t>5699-54-7</t>
  </si>
  <si>
    <t>CC(C)[C@@H](N)CC(O)=O</t>
  </si>
  <si>
    <t>GLUJNGJDHCTUJY-YFKPBYRVSA-N</t>
  </si>
  <si>
    <t>11.13_372.2392m/z</t>
  </si>
  <si>
    <t>O-(11-carboxyundecanoyl)carnitine</t>
  </si>
  <si>
    <t>HMDB0240775</t>
  </si>
  <si>
    <t>LMFA07070083</t>
  </si>
  <si>
    <t>O(C(CCCCCCCCCCC(=O)O)=O)C(CC(=O)[O-])C[N+](C)(C)C</t>
  </si>
  <si>
    <t>ULLMWXPSQSZINF-UHFFFAOYSA-N</t>
  </si>
  <si>
    <t>C19H35NO6</t>
  </si>
  <si>
    <t>1.41_170.0199m/z</t>
  </si>
  <si>
    <t>urea aspartate</t>
  </si>
  <si>
    <t>HMDB0259714</t>
  </si>
  <si>
    <t>NC1CC(=O)ON(OC1=O)C(N)=O</t>
  </si>
  <si>
    <t>HNAOAZLUJIUOPO-UHFFFAOYSA-N</t>
  </si>
  <si>
    <t>C5H7N3O5</t>
  </si>
  <si>
    <t>442</t>
  </si>
  <si>
    <t>Beta-Mannosylglycerate</t>
  </si>
  <si>
    <t>C(C1C(C(C(C(O1)OC(CO)C(=O)O)O)O)O)O</t>
  </si>
  <si>
    <t>DDXCFDOPXBPUJC-SAYMMRJXSA-N</t>
  </si>
  <si>
    <t>C9H16O9</t>
  </si>
  <si>
    <t>13.51_397.1689m/z</t>
  </si>
  <si>
    <t>N-[(3R)-2,3-Dihydro-1-methyl-2-oxo-5-phenyl-1H-1,4-benzodiazepin-3-yl]-N'-(3-methylphenyl)urea</t>
  </si>
  <si>
    <t>HMDB0244429</t>
  </si>
  <si>
    <t>CN1C2=CC=CC=C2C(=NC(NC(=O)NC2=CC=CC(C)=C2)C1=O)C1=CC=CC=C1</t>
  </si>
  <si>
    <t>KDFQABSFVYLGPM-UHFFFAOYSA-N</t>
  </si>
  <si>
    <t>C24H22N4O2</t>
  </si>
  <si>
    <t>10.91_249.2218m/z</t>
  </si>
  <si>
    <t>Sterol</t>
  </si>
  <si>
    <t>HMDB0060512</t>
  </si>
  <si>
    <t>C00370</t>
  </si>
  <si>
    <t>OC1CCC2C(CCC3C4CCCC4CCC23)C1</t>
  </si>
  <si>
    <t>FPXSXMFOYWRHDX-UHFFFAOYSA-N</t>
  </si>
  <si>
    <t>C17H28O</t>
  </si>
  <si>
    <t>10.74_402.1503m/z</t>
  </si>
  <si>
    <t>Pitavastatin</t>
  </si>
  <si>
    <t>HMDB0041991</t>
  </si>
  <si>
    <t>C13334</t>
  </si>
  <si>
    <t>147511-69-1</t>
  </si>
  <si>
    <t>O[C@H](C[C@H](O)\C=C\C1=C(C2=CC=C(F)C=C2)C2=CC=CC=C2N=C1C1CC1)CC(O)=O</t>
  </si>
  <si>
    <t>VGYFMXBACGZSIL-MCBHFWOFSA-N</t>
  </si>
  <si>
    <t>Phenylquinolines</t>
  </si>
  <si>
    <t>C25H24FNO4</t>
  </si>
  <si>
    <t>3.71_231.1211m/z</t>
  </si>
  <si>
    <t>5S,6S-epoxy-15R-hydroxy-ETE</t>
  </si>
  <si>
    <t>HMDB0062236</t>
  </si>
  <si>
    <t>COCCOCCOCCOCCO</t>
  </si>
  <si>
    <t>ZNYRFEPBTVGZDN-UHFFFAOYSA-N</t>
  </si>
  <si>
    <t>C9H20O5</t>
  </si>
  <si>
    <t>11.35_722.5070m/z</t>
  </si>
  <si>
    <t>PE(P-16:0/20:4(5Z,8Z,11Z,13E)-OH(15S))</t>
  </si>
  <si>
    <t>HMDB0285186</t>
  </si>
  <si>
    <t>[H][C@@](CO\C=C\CCCCCCCCCCCCCC)(COP(O)(=O)OCCN)OC(=O)CCC\C=C/C\C=C/C\C=C/C=C/[C@@H](O)CCCCC</t>
  </si>
  <si>
    <t>TVCKHWPNRMOVCP-CEUPKKISSA-N</t>
  </si>
  <si>
    <t>C41H74NO8P</t>
  </si>
  <si>
    <t>4.86_233.1391m/z</t>
  </si>
  <si>
    <t>(1S,2S,4R,8R)-p-Menthane-1,2,9-triol</t>
  </si>
  <si>
    <t>HMDB0039470</t>
  </si>
  <si>
    <t>378254-06-9</t>
  </si>
  <si>
    <t>CC(CO)C1CCC(C)(O)C(O)C1</t>
  </si>
  <si>
    <t>JHIDFPUXRICDSW-UHFFFAOYSA-N</t>
  </si>
  <si>
    <t>C10H20O3</t>
  </si>
  <si>
    <t>6.92_535.1015m/z</t>
  </si>
  <si>
    <t>Methyl 3-[(diethoxyphosphorothioyl)oxy]but-2-enoate</t>
  </si>
  <si>
    <t>HMDB0250562</t>
  </si>
  <si>
    <t>CCOP(=S)(OCC)OC(C)=CC(=O)OC</t>
  </si>
  <si>
    <t>IPDDIRXDRFQIQW-UHFFFAOYSA-N</t>
  </si>
  <si>
    <t>C9H17O5PS</t>
  </si>
  <si>
    <t>5.16_268.0397m/z</t>
  </si>
  <si>
    <t>N-(3-oxo-hexanoyl)-homoserine thiolactone</t>
  </si>
  <si>
    <t>LMFA08020240</t>
  </si>
  <si>
    <t>[C@@H]1(CCSC1=O)NC(=O)CC(=O)CCC</t>
  </si>
  <si>
    <t>CBTLHSMHNIHVBP-QMMMGPOBSA-N</t>
  </si>
  <si>
    <t>C10H15NO3S</t>
  </si>
  <si>
    <t>12.81_299.2592m/z</t>
  </si>
  <si>
    <t>11-methoxy-heptadecanoic acid</t>
  </si>
  <si>
    <t>LMFA01080030</t>
  </si>
  <si>
    <t>CCCCCCC(OC)CCCCCCCCCC(=O)O</t>
  </si>
  <si>
    <t>ASIMYHUYTWMYIY-UHFFFAOYSA-N</t>
  </si>
  <si>
    <t>4.86_261.0743m/z</t>
  </si>
  <si>
    <t>Methionyl-Methionine</t>
  </si>
  <si>
    <t>HMDB0028979</t>
  </si>
  <si>
    <t>CSCCC(N)C(=O)NC(CCSC)C(O)=O</t>
  </si>
  <si>
    <t>ZYTPOUNUXRBYGW-UHFFFAOYSA-N</t>
  </si>
  <si>
    <t>C10H20N2O3S2</t>
  </si>
  <si>
    <t>11.37_240.2328m/z</t>
  </si>
  <si>
    <t>Humulol</t>
  </si>
  <si>
    <t>HMDB0038213</t>
  </si>
  <si>
    <t>24405-58-1</t>
  </si>
  <si>
    <t>C\C1=C/CC(C)(C)\C=C\CC(C)(O)CCC1</t>
  </si>
  <si>
    <t>ZLMAVMBYWKVCLV-IMWXLZLDSA-N</t>
  </si>
  <si>
    <t>C15H26O</t>
  </si>
  <si>
    <t>0.74_185.0560m/z</t>
  </si>
  <si>
    <t>Glutamylglycine</t>
  </si>
  <si>
    <t>HMDB0028819</t>
  </si>
  <si>
    <t>13716-89-7</t>
  </si>
  <si>
    <t>N[C@@H](CCC(O)=O)C(=O)NCC(O)=O</t>
  </si>
  <si>
    <t>LSPKYLAFTPBWIL-BYPYZUCNSA-N</t>
  </si>
  <si>
    <t>C7H12N2O5</t>
  </si>
  <si>
    <t>10.07_584.2949m/z</t>
  </si>
  <si>
    <t>PS-PG</t>
  </si>
  <si>
    <t>LMGP20060018</t>
  </si>
  <si>
    <t>[H][C@](O)(CO)COP(OC[C@]([H])(OC(CCC(=O)O)=O)COC(CCCCCCCCCCCCCCC)=O)(=O)O</t>
  </si>
  <si>
    <t>FQNQGYMALZXNFZ-XZOQPEGZSA-N</t>
  </si>
  <si>
    <t>C26H49O12P</t>
  </si>
  <si>
    <t>8.99_376.2260m/z</t>
  </si>
  <si>
    <t>PC(O-10:1(9E)/0:0)</t>
  </si>
  <si>
    <t>LMGP01060027</t>
  </si>
  <si>
    <t>[C@](COP(=O)([O-])OCC[N+](C)(C)C)([H])(O)COCCCCCCCCC=C</t>
  </si>
  <si>
    <t>XNDMKOYJBQLIFZ-GOSISDBHSA-N</t>
  </si>
  <si>
    <t>C18H38NO6P</t>
  </si>
  <si>
    <t>4.42_653.3153m/z</t>
  </si>
  <si>
    <t>PHHdiA-PS</t>
  </si>
  <si>
    <t>LMGP20040011</t>
  </si>
  <si>
    <t>C(O)(=O)[C@@]([H])(N)COP(OC[C@]([H])(OC(CCC(O)/C=C/C(=O)O)=O)COC(CCCCCCCCCCCCCCC)=O)(=O)O</t>
  </si>
  <si>
    <t>FUOPZHJLSXQXNO-PSVGVCRCSA-N</t>
  </si>
  <si>
    <t>C29H52NO13P</t>
  </si>
  <si>
    <t>8.68_233.1544m/z</t>
  </si>
  <si>
    <t>Lactaronecatorin A</t>
  </si>
  <si>
    <t>HMDB0037529</t>
  </si>
  <si>
    <t>62824-38-8</t>
  </si>
  <si>
    <t>CC(CC1=C(CO)COC1=O)C1=CCC(C)(C)C1</t>
  </si>
  <si>
    <t>ASKJTZIKSPCIKT-UHFFFAOYSA-N</t>
  </si>
  <si>
    <t>6.11_284.1082m/z</t>
  </si>
  <si>
    <t>S-3-oxodecanoyl cysteamine</t>
  </si>
  <si>
    <t>HMDB0059773</t>
  </si>
  <si>
    <t>CCCCCCCC(=O)CC(=O)SCCN</t>
  </si>
  <si>
    <t>LGPPHMDEKCAPLE-UHFFFAOYSA-N</t>
  </si>
  <si>
    <t>Fatty acyl thioesters</t>
  </si>
  <si>
    <t>C12H23NO2S</t>
  </si>
  <si>
    <t>2.75_155.0707m/z</t>
  </si>
  <si>
    <t>4-hydroxy-5-methyl-2-propyl-3(2H)-furanone</t>
  </si>
  <si>
    <t>HMDB0304179</t>
  </si>
  <si>
    <t>CCCC1OC(C)=C([O-])C1=O</t>
  </si>
  <si>
    <t>DBYQGTLFSQKPCA-UHFFFAOYSA-M</t>
  </si>
  <si>
    <t>C8H11O3-</t>
  </si>
  <si>
    <t>11.96_403.3583m/z</t>
  </si>
  <si>
    <t>5alpha-cholestan-3alpha,12alpha,16alpha-triol</t>
  </si>
  <si>
    <t>LMST01010335</t>
  </si>
  <si>
    <t>C1[C@]2(C)[C@@]3([H])C[C@H](O)[C@]4(C)[C@@]([H])([C@]([H])(C)CCCC(C)C)[C@H](O)C[C@@]4([H])[C@]3([H])CC[C@@]2([H])C[C@H](O)C1</t>
  </si>
  <si>
    <t>UYOSSIFSBNNKRC-XJZYBRFWSA-N</t>
  </si>
  <si>
    <t>1.75_215.1397m/z</t>
  </si>
  <si>
    <t>Valylvaline</t>
  </si>
  <si>
    <t>HMDB0029140</t>
  </si>
  <si>
    <t>3918-94-3</t>
  </si>
  <si>
    <t>CC(C)[C@H](N)C(=O)N[C@@H](C(C)C)C(O)=O</t>
  </si>
  <si>
    <t>KRNYOVHEKOBTEF-YUMQZZPRSA-N</t>
  </si>
  <si>
    <t>C10H20N2O3</t>
  </si>
  <si>
    <t>9.54_372.3119m/z</t>
  </si>
  <si>
    <t>4-Methyltridecanoylcarnitine</t>
  </si>
  <si>
    <t>HMDB0240823</t>
  </si>
  <si>
    <t>CCCCCCCCCC(C)CCC(=O)OC(CC([O-])=O)C[N+](C)(C)C</t>
  </si>
  <si>
    <t>KVOYQVYFFIYRLN-UHFFFAOYSA-N</t>
  </si>
  <si>
    <t>C21H41NO4</t>
  </si>
  <si>
    <t>4.67_387.1595m/z</t>
  </si>
  <si>
    <t>DV 7751a</t>
  </si>
  <si>
    <t>HMDB0251645</t>
  </si>
  <si>
    <t>CC1COC2=C3N1C=C(C(O)=O)C(=O)C3=CC(F)=C2N1CC(N)C2(CCC2)C1</t>
  </si>
  <si>
    <t>UGGPRXAHUOKTKV-UHFFFAOYSA-N</t>
  </si>
  <si>
    <t>C20H22FN3O4</t>
  </si>
  <si>
    <t>7.98_197.1654m/z</t>
  </si>
  <si>
    <t>Mexiletine</t>
  </si>
  <si>
    <t>HMDB0014523</t>
  </si>
  <si>
    <t>C07220</t>
  </si>
  <si>
    <t>31828-71-4</t>
  </si>
  <si>
    <t>CC(N)COC1=C(C)C=CC=C1C</t>
  </si>
  <si>
    <t>VLPIATFUUWWMKC-UHFFFAOYSA-N</t>
  </si>
  <si>
    <t>C11H17NO</t>
  </si>
  <si>
    <t>4.89_238.1081m/z</t>
  </si>
  <si>
    <t>N-Lactoylphenylalanine</t>
  </si>
  <si>
    <t>HMDB0062175</t>
  </si>
  <si>
    <t>183241-73-8</t>
  </si>
  <si>
    <t>C[C@H](O)C(=O)N[C@@H](CC1=CC=CC=C1)C(O)=O</t>
  </si>
  <si>
    <t>IIRJJZHHNGABMQ-WPRPVWTQSA-N</t>
  </si>
  <si>
    <t>C12H15NO4</t>
  </si>
  <si>
    <t>5.29_600.2852m/z</t>
  </si>
  <si>
    <t>DG(2:0/0:0/LTE4)</t>
  </si>
  <si>
    <t>HMDB0296925</t>
  </si>
  <si>
    <t>CCCCC\C=C/C\C=C/C=C/C=C/[C@@H](SC[C@H](N)C(=O)OC[C@H](O)COC(C)=O)[C@@H](O)CCCC(O)=O</t>
  </si>
  <si>
    <t>PXDKPUSQBNBRJT-IFKJJAFLSA-N</t>
  </si>
  <si>
    <t>4.75_223.0972m/z</t>
  </si>
  <si>
    <t>Parasorbic acid</t>
  </si>
  <si>
    <t>HMDB0301801</t>
  </si>
  <si>
    <t>10048-32-5</t>
  </si>
  <si>
    <t>CC1CC=CC(=O)O1</t>
  </si>
  <si>
    <t>DYNKRGCMLGUEMN-UHFFFAOYSA-N</t>
  </si>
  <si>
    <t>C6H8O2</t>
  </si>
  <si>
    <t>8.91_291.1500m/z</t>
  </si>
  <si>
    <t>Desethylchloroquine</t>
  </si>
  <si>
    <t>HMDB0041870</t>
  </si>
  <si>
    <t>1476-52-4</t>
  </si>
  <si>
    <t>CCNCCCC(C)NC1=C2C=CC(Cl)=CC2=NC=C1</t>
  </si>
  <si>
    <t>MCYUUUTUAAGOOT-UHFFFAOYSA-N</t>
  </si>
  <si>
    <t>C16H22ClN3</t>
  </si>
  <si>
    <t>9.60_332.2209m/z</t>
  </si>
  <si>
    <t>Phyllane C</t>
  </si>
  <si>
    <t>LMPR0104100005</t>
  </si>
  <si>
    <t>C1C[C@@H](O)C(C)(C)C2CC[C@]3(O)C(C#C)=C(C)C(=O)C=C3[C@]12C</t>
  </si>
  <si>
    <t>BVMUWDQYNICOIK-FPNZGKMQSA-N</t>
  </si>
  <si>
    <t>0.74_72.0816m/z</t>
  </si>
  <si>
    <t>3-Methoxypropylamine</t>
  </si>
  <si>
    <t>HMDB0245920</t>
  </si>
  <si>
    <t>COCCCN</t>
  </si>
  <si>
    <t>FAXDZWQIWUSWJH-UHFFFAOYSA-N</t>
  </si>
  <si>
    <t>0.64_317.1159m/z</t>
  </si>
  <si>
    <t>alhpa-tocopheronolactone</t>
  </si>
  <si>
    <t>LMPR02020063</t>
  </si>
  <si>
    <t>C1(CCC2(OC(=O)CC2)C)C(O)=C(C)C(C)=C(O)C=1C</t>
  </si>
  <si>
    <t>AHKCSBSOCDKWLH-UHFFFAOYSA-N</t>
  </si>
  <si>
    <t>C16H22O4</t>
  </si>
  <si>
    <t>0.64_135.0032m/z</t>
  </si>
  <si>
    <t>1,1,1,3,3,3-Hexafluoropropane</t>
  </si>
  <si>
    <t>HMDB0244039</t>
  </si>
  <si>
    <t>FC(F)(F)CC(F)(F)F</t>
  </si>
  <si>
    <t>NSGXIBWMJZWTPY-UHFFFAOYSA-N</t>
  </si>
  <si>
    <t>C3H2F6</t>
  </si>
  <si>
    <t>6.30_437.1620m/z</t>
  </si>
  <si>
    <t>3-Hydroxymethyl-picumast</t>
  </si>
  <si>
    <t>HMDB0245901</t>
  </si>
  <si>
    <t>CC1=C(CO)C(=O)OC2=C1C=CC(OCCCN1CCN(CC3=CC=C(Cl)C=C3)CC1)=C2</t>
  </si>
  <si>
    <t>KSEGSVAXULZZCC-UHFFFAOYSA-N</t>
  </si>
  <si>
    <t>C25H29ClN2O4</t>
  </si>
  <si>
    <t>497</t>
  </si>
  <si>
    <t>Mg(16:0/0:0/0:0)</t>
  </si>
  <si>
    <t>HMDB0011564</t>
  </si>
  <si>
    <t>LMGL01010009</t>
  </si>
  <si>
    <t>32899-41-5</t>
  </si>
  <si>
    <t>OC[C@]([H])(O)COC(CCCCCCCCCCCCCCC)=O</t>
  </si>
  <si>
    <t>QHZLMUACJMDIAE-SFHVURJKSA-N</t>
  </si>
  <si>
    <t>C19H38O4</t>
  </si>
  <si>
    <t>0.62_445.0542m/z</t>
  </si>
  <si>
    <t>CDP-ethanolamine</t>
  </si>
  <si>
    <t>HMDB0001564</t>
  </si>
  <si>
    <t>C00570</t>
  </si>
  <si>
    <t>3036-18-8</t>
  </si>
  <si>
    <t>NCCOP(O)(=O)OP(O)(=O)OC[C@H]1O[C@H]([C@H](O)[C@@H]1O)N1C=CC(N)=NC1=O</t>
  </si>
  <si>
    <t>WVIMUEUQJFPNDK-PEBGCTIMSA-N</t>
  </si>
  <si>
    <t>C11H20N4O11P2</t>
  </si>
  <si>
    <t>11.43_590.4280m/z</t>
  </si>
  <si>
    <t>Dmap-ethyl-paf</t>
  </si>
  <si>
    <t>HMDB0251534</t>
  </si>
  <si>
    <t>CCCCCCCCCCCCCCCCOCC(COP([O-])OCC[N+]1=CC(=O)C(C=C1)N(C)C)OCC</t>
  </si>
  <si>
    <t>FTTDBZNMICPROO-UHFFFAOYSA-N</t>
  </si>
  <si>
    <t>Aminopyridines and derivatives</t>
  </si>
  <si>
    <t>C30H57N2O6P</t>
  </si>
  <si>
    <t>5.94_167.0342m/z</t>
  </si>
  <si>
    <t>3-(2-Furanyl)-2-propenal</t>
  </si>
  <si>
    <t>HMDB0032918</t>
  </si>
  <si>
    <t>623-30-3</t>
  </si>
  <si>
    <t>O=C\C=C/C1=CC=CO1</t>
  </si>
  <si>
    <t>VZIRCHXYMBFNFD-IWQZZHSRSA-N</t>
  </si>
  <si>
    <t>C7H6O2</t>
  </si>
  <si>
    <t>12.71_429.1945m/z</t>
  </si>
  <si>
    <t>Ptilosteroid C</t>
  </si>
  <si>
    <t>LMST02030214</t>
  </si>
  <si>
    <t>C1[C@]2(C)[C@@]3([H])CC[C@]4(C)[C@@]([H])(C=C)C[C@@H](O)[C@@]4([H])[C@]3([H])CC[C@@]2([H])[C@@H](O)[C@@H](O)[C@H]1OS(O)(=O)=O</t>
  </si>
  <si>
    <t>KFOPOXHOEMKJHW-NCHXZLGNSA-N</t>
  </si>
  <si>
    <t>196</t>
  </si>
  <si>
    <t>Diethyl Aminomalonate</t>
  </si>
  <si>
    <t>CCOC(=O)C(C(=O)OCC)N</t>
  </si>
  <si>
    <t>WLTCKEHCTUYJGI-UHFFFAOYSA-N</t>
  </si>
  <si>
    <t>C7H13NO4</t>
  </si>
  <si>
    <t>7.30_206.1677n</t>
  </si>
  <si>
    <t>alpha-Irone</t>
  </si>
  <si>
    <t>HMDB0035631</t>
  </si>
  <si>
    <t>C09690</t>
  </si>
  <si>
    <t>79-69-6</t>
  </si>
  <si>
    <t>CC1CC=C(C)C(\C=C\C(C)=O)C1(C)C</t>
  </si>
  <si>
    <t>JZQOJFLIJNRDHK-CMDGGOBGSA-N</t>
  </si>
  <si>
    <t>11.21_445.2961m/z</t>
  </si>
  <si>
    <t>(23S,25R)-25-hydroxyvitamin D3 26,23-peroxylactone</t>
  </si>
  <si>
    <t>LMST03020121</t>
  </si>
  <si>
    <t>C1C(=C)/C(=C\C=C2\[C@]3([H])CC[C@@]([C@@](C)([H])C[C@@H]4OOC(=O)[C@@](O)(C)C4)([H])[C@@]3(C)CCC\2)/C[C@@H](O)C1</t>
  </si>
  <si>
    <t>DBDDUVJJIVBQPI-PDGVZUSRSA-N</t>
  </si>
  <si>
    <t>C27H40O5</t>
  </si>
  <si>
    <t>8.08_405.1910m/z</t>
  </si>
  <si>
    <t>prednisolone</t>
  </si>
  <si>
    <t>HMDB0014998</t>
  </si>
  <si>
    <t>LMST02030179</t>
  </si>
  <si>
    <t>C07369</t>
  </si>
  <si>
    <t>50-24-8</t>
  </si>
  <si>
    <t>[C@]12([C@]3([H])[C@]([H])([C@@]4([H])[C@](C)(C[C@@H]3O)[C@@](O)(C(=O)CO)CC4)CCC1=CC(=O)C=C2)C</t>
  </si>
  <si>
    <t>OIGNJSKKLXVSLS-VWUMJDOOSA-N</t>
  </si>
  <si>
    <t>C21H28O5</t>
  </si>
  <si>
    <t>0.67_640.5139m/z</t>
  </si>
  <si>
    <t>Cer(d18:1/18:1(12Z)-2OH(9,10))</t>
  </si>
  <si>
    <t>HMDB0290020</t>
  </si>
  <si>
    <t>[H][C@@](CO)(NC(=O)CCCCCCC[C@H](O)[C@@H](O)C\C=C/CCCCC)[C@H](O)\C=C\CCCCCCCCCCCCC</t>
  </si>
  <si>
    <t>QNJMBTZTITUGJH-JBGLKTQPSA-N</t>
  </si>
  <si>
    <t>C36H69NO5</t>
  </si>
  <si>
    <t>5.43_301.0118m/z</t>
  </si>
  <si>
    <t>Thieno[2,3-b]pyridin-4-ol</t>
  </si>
  <si>
    <t>HMDB0258984</t>
  </si>
  <si>
    <t>O=C1C=CNC2=C1C=CS2</t>
  </si>
  <si>
    <t>OGLNUUIOLDYMHM-UHFFFAOYSA-N</t>
  </si>
  <si>
    <t>Thienopyridines</t>
  </si>
  <si>
    <t>C7H5NOS</t>
  </si>
  <si>
    <t>0.68_369.1200m/z</t>
  </si>
  <si>
    <t>Verbenalin</t>
  </si>
  <si>
    <t>HMDB0301853</t>
  </si>
  <si>
    <t>LMPR0102070016</t>
  </si>
  <si>
    <t>C09802</t>
  </si>
  <si>
    <t>O([C@@H]1OC=C(C(=O)OC)[C@@]2([H])C(C[C@H](C)[C@]21[H])=O)[C@H]1[C@H](O)[C@H]([C@H](O)[C@H](O1)CO)O</t>
  </si>
  <si>
    <t>HLXRWTJXGMHOFN-XJSNKYLASA-N</t>
  </si>
  <si>
    <t>C17H24O10</t>
  </si>
  <si>
    <t>0.91_189.0054m/z</t>
  </si>
  <si>
    <t>5-Propynyluracil</t>
  </si>
  <si>
    <t>HMDB0246840</t>
  </si>
  <si>
    <t>CC#CC1=CNC(=O)NC1=O</t>
  </si>
  <si>
    <t>UJBCLAXPPIDQEE-UHFFFAOYSA-N</t>
  </si>
  <si>
    <t>C7H6N2O2</t>
  </si>
  <si>
    <t>12.41_217.1355m/z</t>
  </si>
  <si>
    <t>6-Ethyl-4-methyl-3E,5E,7E-decatriene</t>
  </si>
  <si>
    <t>LMFA11000053</t>
  </si>
  <si>
    <t>CC/C=C(\C)/C=C(\CC)/C=C/CC</t>
  </si>
  <si>
    <t>XVFSRVJYTDFHHZ-GCMZYXHCSA-N</t>
  </si>
  <si>
    <t>Branched unsaturated hydrocarbons</t>
  </si>
  <si>
    <t>C13H22</t>
  </si>
  <si>
    <t>4.67_895.4053m/z</t>
  </si>
  <si>
    <t>PGP(22:6(5Z,8E,10Z,13Z,15E,19Z)-2OH(7S, 17S)/i-12:0)</t>
  </si>
  <si>
    <t>HMDB0274854</t>
  </si>
  <si>
    <t>[H][C@](O)(COP(O)(O)=O)COP(O)(=O)OC[C@@]([H])(COC(=O)CCC\C=C/[C@H](O)\C=C\C=C/C\C=C/C=C/[C@H](O)C\C=C/CC)OC(=O)CCCCCCCCC(C)C</t>
  </si>
  <si>
    <t>RVHLSEJMKNCFPX-RQHMWIIBSA-N</t>
  </si>
  <si>
    <t>C40H68O15P2</t>
  </si>
  <si>
    <t>13.86_488.3597m/z</t>
  </si>
  <si>
    <t>8-Hydroxyoctadecanoylcarnitine</t>
  </si>
  <si>
    <t>HMDB0241524</t>
  </si>
  <si>
    <t>CCCCCCCCCCC(O)CCCCCCC(=O)OC(CC([O-])=O)C[N+](C)(C)C</t>
  </si>
  <si>
    <t>AHGKXYFLRHICEO-UHFFFAOYSA-N</t>
  </si>
  <si>
    <t>C25H49NO5</t>
  </si>
  <si>
    <t>4.91_784.4920m/z</t>
  </si>
  <si>
    <t>PG(20:5(5Z,8Z,11Z,14Z,16E)-OH(18R)/16:0)</t>
  </si>
  <si>
    <t>HMDB0268616</t>
  </si>
  <si>
    <t>[H][C@](O)(CO)COP(O)(=O)OC[C@@]([H])(COC(=O)CCC\C=C/C\C=C/C\C=C/C\C=C/C=C/[C@@H](O)CC)OC(=O)CCCCCCCCCCCCCCC</t>
  </si>
  <si>
    <t>ABYANPGKLMUUAG-LCIVNUFPSA-N</t>
  </si>
  <si>
    <t>C42H73O11P</t>
  </si>
  <si>
    <t>12.97_433.3324m/z</t>
  </si>
  <si>
    <t>Janohigenin 19-0</t>
  </si>
  <si>
    <t>LMPK15040014</t>
  </si>
  <si>
    <t>C1(O)C=C(CCCCCCCCCCCCCCCCCCC)C(C(O)=O)=C(O)C=1C</t>
  </si>
  <si>
    <t>QRTRCTCYBVMNLJ-UHFFFAOYSA-N</t>
  </si>
  <si>
    <t>C27H46O4</t>
  </si>
  <si>
    <t>0.72_235.0792m/z</t>
  </si>
  <si>
    <t>Glycyl-Histidine</t>
  </si>
  <si>
    <t>HMDB0028843</t>
  </si>
  <si>
    <t>NCC(=O)NC(CC1=CN=CN1)C(O)=O</t>
  </si>
  <si>
    <t>YIWFXZNIBQBFHR-UHFFFAOYSA-N</t>
  </si>
  <si>
    <t>C8H12N4O3</t>
  </si>
  <si>
    <t>5.53_383.1350m/z</t>
  </si>
  <si>
    <t>Acetyldeoxynivalenol</t>
  </si>
  <si>
    <t>HMDB0036137</t>
  </si>
  <si>
    <t>50722-38-8</t>
  </si>
  <si>
    <t>CC(=O)OC1CC2(C)C3(CO3)C1OC1C=C(C)C(=O)C(O)C21CO</t>
  </si>
  <si>
    <t>ADFIQZBYNGPCGY-UHFFFAOYSA-N</t>
  </si>
  <si>
    <t>C17H22O7</t>
  </si>
  <si>
    <t>8.57_567.2667m/z</t>
  </si>
  <si>
    <t>7,8-Dihydro-3b,6a-dihydroxy-alpha-ionol 9-[apiosyl-(1-&gt;6)-glucoside]</t>
  </si>
  <si>
    <t>HMDB0041579</t>
  </si>
  <si>
    <t>177261-73-3</t>
  </si>
  <si>
    <t>CC(CCC1(O)C(C)=CC(O)CC1(C)C)OC1OC(COC2OCC(O)(CO)C2O)C(O)C(O)C1O</t>
  </si>
  <si>
    <t>JYBWSFINAXRKBZ-UHFFFAOYSA-N</t>
  </si>
  <si>
    <t>C24H42O12</t>
  </si>
  <si>
    <t>13.67_489.3584m/z</t>
  </si>
  <si>
    <t>R1-Barrigenol</t>
  </si>
  <si>
    <t>HMDB0302409</t>
  </si>
  <si>
    <t>CC1(C)CC2C3=CCC4C5(C)CCC(O)C(C)(C)C5CCC4(C)C3(C)C(O)C(O)C2(CO)C(O)C1O</t>
  </si>
  <si>
    <t>DZVVEETZRZUXLI-UHFFFAOYSA-N</t>
  </si>
  <si>
    <t>C30H50O6</t>
  </si>
  <si>
    <t>0.73_168.9480m/z</t>
  </si>
  <si>
    <t>Sodium nitrate (NaNO3)</t>
  </si>
  <si>
    <t>HMDB0303521</t>
  </si>
  <si>
    <t>[Na+].[O-][N+]([O-])=O</t>
  </si>
  <si>
    <t>VWDWKYIASSYTQR-UHFFFAOYSA-N</t>
  </si>
  <si>
    <t>Alkali metal nitrates</t>
  </si>
  <si>
    <t>NNaO3</t>
  </si>
  <si>
    <t>4.90_549.1570m/z</t>
  </si>
  <si>
    <t>Phloretin xylosyl-galactoside</t>
  </si>
  <si>
    <t>HMDB0029252</t>
  </si>
  <si>
    <t>OC[C@H]1O[C@@H](O[C@@H]2[C@@H](O)[C@@H](O)[C@@H](CO)O[C@H]2OC2=C(C(=O)CCC3=CC=C(O)C=C3)C(O)=CC(O)=C2)[C@H](O)[C@H]1O</t>
  </si>
  <si>
    <t>ZPVXZDCYCDBKAJ-UZIOSSNQSA-N</t>
  </si>
  <si>
    <t>C26H32O14</t>
  </si>
  <si>
    <t>13.59_612.4765n</t>
  </si>
  <si>
    <t>DG(18:2(9Z,12Z)/18:4(6Z,9Z,12Z,15Z)/0:0)</t>
  </si>
  <si>
    <t>HMDB0007251</t>
  </si>
  <si>
    <t>[H][C@](CO)(COC(=O)CCCCCCC\C=C/C\C=C/CCCCC)OC(=O)CCCC\C=C/C\C=C/C\C=C/C\C=C/CC</t>
  </si>
  <si>
    <t>BYLXXZYUDXCZFN-YQRUEVQWSA-N</t>
  </si>
  <si>
    <t>11.47_505.3550n</t>
  </si>
  <si>
    <t>PC(P-18:1(9Z)/0:0)</t>
  </si>
  <si>
    <t>HMDB0010408</t>
  </si>
  <si>
    <t>LMGP01070012</t>
  </si>
  <si>
    <t>[C@](COP(=O)([O-])OCC[N+](C)(C)C)([H])(O)CO/C=C\CCCCCC/C=C\CCCCCCCC</t>
  </si>
  <si>
    <t>KJUNGQXFZYMUOH-FKWLWHCOSA-N</t>
  </si>
  <si>
    <t>5.90_355.1916m/z</t>
  </si>
  <si>
    <t>Oclacitinib</t>
  </si>
  <si>
    <t>HMDB0255887</t>
  </si>
  <si>
    <t>CNS(=O)(=O)CC1CCC(CC1)N(C)C1=NC=NC2=C1C=CN2</t>
  </si>
  <si>
    <t>HJWLJNBZVZDLAQ-UHFFFAOYSA-N</t>
  </si>
  <si>
    <t>Pyrrolo[2,3-d]pyrimidines</t>
  </si>
  <si>
    <t>C15H23N5O2S</t>
  </si>
  <si>
    <t>10.84_378.2417m/z</t>
  </si>
  <si>
    <t>Phytosphingosine 1-phosphate</t>
  </si>
  <si>
    <t>LMSP01050003</t>
  </si>
  <si>
    <t>C(C)CCCCCCCCCCCC[C@@H](O)[C@@H](O)[C@H](COP(O)(O)=O)N</t>
  </si>
  <si>
    <t>AYGOSKULTISFCW-KSZLIROESA-N</t>
  </si>
  <si>
    <t>C18H40NO6P</t>
  </si>
  <si>
    <t>11.65_353.2699m/z</t>
  </si>
  <si>
    <t>Sclareol</t>
  </si>
  <si>
    <t>HMDB0036827</t>
  </si>
  <si>
    <t>C09183</t>
  </si>
  <si>
    <t>515-03-7</t>
  </si>
  <si>
    <t>CC(O)(CCC1C(C)(O)CCC2C(C)(C)CCCC12C)C=C</t>
  </si>
  <si>
    <t>XVULBTBTFGYVRC-UHFFFAOYSA-N</t>
  </si>
  <si>
    <t>39</t>
  </si>
  <si>
    <t>1-Ethoxy-2-Propanol</t>
  </si>
  <si>
    <t>CCOCC(C)O</t>
  </si>
  <si>
    <t>JOLQKTGDSGKSKJ-UHFFFAOYSA-N</t>
  </si>
  <si>
    <t>C5H12O2</t>
  </si>
  <si>
    <t>12.79_683.1478m/z</t>
  </si>
  <si>
    <t>Kaempferide 5-glucoside-7-glucuronide</t>
  </si>
  <si>
    <t>LMPK12110555</t>
  </si>
  <si>
    <t>C1(O[C@H]2[C@H](O)[C@@H](O)[C@H](O)[C@@H](C(=O)O)O2)=CC2OC(C3C=CC(OC)=CC=3)=C(O)C(=O)C=2C(O[C@H]2[C@H](O)[C@@H](O)[C@H](O)[C@@H](CO)O2)=C1</t>
  </si>
  <si>
    <t>FBOLUQCMQZDDDO-ZFUZCUQGSA-N</t>
  </si>
  <si>
    <t>C28H30O17</t>
  </si>
  <si>
    <t>0.74_296.1234m/z</t>
  </si>
  <si>
    <t>Tyr Asn</t>
  </si>
  <si>
    <t>C1=CC(=CC=C1CC(C(=O)NC(CC(=O)N)C(=O)O)N)O</t>
  </si>
  <si>
    <t>ONWMQORSVZYVNH-UWVGGRQHSA-N</t>
  </si>
  <si>
    <t>C13H17N3O5</t>
  </si>
  <si>
    <t>8.94_595.3005m/z</t>
  </si>
  <si>
    <t>Nvp dpp 728 dihydrochloride</t>
  </si>
  <si>
    <t>HMDB0255823</t>
  </si>
  <si>
    <t>O=C(CNCCNC1=NC=C(C=C1)C#N)N1CCCC1C#N</t>
  </si>
  <si>
    <t>VFFZWMWTUSXDCB-UHFFFAOYSA-N</t>
  </si>
  <si>
    <t>C15H18N6O</t>
  </si>
  <si>
    <t>6.11_331.1916m/z</t>
  </si>
  <si>
    <t>2,5-Cyclohexadien-1-one, 4-hydroxy-2,3,5,6-tetramethyl-</t>
  </si>
  <si>
    <t>HMDB0245491</t>
  </si>
  <si>
    <t>CC1=C(C)C(=O)C(C)=C(C)C1O</t>
  </si>
  <si>
    <t>RMVJRVKBWWOYPN-UHFFFAOYSA-N</t>
  </si>
  <si>
    <t>C10H14O2</t>
  </si>
  <si>
    <t>5.86_264.1017m/z</t>
  </si>
  <si>
    <t>3-(3-Hydroxy-4-methoxynaphthalen-1-yl)oxypropane-1,2-diol</t>
  </si>
  <si>
    <t>HMDB0246020</t>
  </si>
  <si>
    <t>COC1=C(O)C=C(OCC(O)CO)C2=CC=CC=C12</t>
  </si>
  <si>
    <t>JBWCTTBDNCDIEV-UHFFFAOYSA-N</t>
  </si>
  <si>
    <t>C14H16O5</t>
  </si>
  <si>
    <t>4.24_247.1927m/z</t>
  </si>
  <si>
    <t>9-Nonylpurine</t>
  </si>
  <si>
    <t>HMDB0260401</t>
  </si>
  <si>
    <t>CCCCCCCCCN1C=NC2=CN=CN=C12</t>
  </si>
  <si>
    <t>IEXOEQIFRLSODX-UHFFFAOYSA-N</t>
  </si>
  <si>
    <t>C14H22N4</t>
  </si>
  <si>
    <t>8.35_447.1977m/z</t>
  </si>
  <si>
    <t>2,6-Diamino-9-(2-hydroxyethoxymethyl)purine</t>
  </si>
  <si>
    <t>HMDB0246998</t>
  </si>
  <si>
    <t>NC1=NC2=C(N=CN2COCCO)C(N)=N1</t>
  </si>
  <si>
    <t>CSMCRCLIPQDIKB-UHFFFAOYSA-N</t>
  </si>
  <si>
    <t>C8H12N6O2</t>
  </si>
  <si>
    <t>4.45_687.3210m/z</t>
  </si>
  <si>
    <t>steviolbioside</t>
  </si>
  <si>
    <t>HMDB0036707</t>
  </si>
  <si>
    <t>LMPR01040122</t>
  </si>
  <si>
    <t>41093-60-1</t>
  </si>
  <si>
    <t>[C@@]123CC([C@](O[C@H]4[C@H](O[C@H]5[C@H](O)[C@@H](O)[C@H](O)[C@@H](CO)O5)[C@@H](O)[C@H](O)[C@@H](CO)O4)(CC[C@@]1([H])[C@]1(C)CCC[C@@](C)(C(O)=O)[C@@]1([H])CC2)C3)=C</t>
  </si>
  <si>
    <t>OMHUCGDTACNQEX-OSHKXICASA-N</t>
  </si>
  <si>
    <t>C32H50O13</t>
  </si>
  <si>
    <t>7.75_267.1602m/z</t>
  </si>
  <si>
    <t>1-(3-Furanyl)-6,7-dihydroxy-4,8-dimethyl-1-nonanone</t>
  </si>
  <si>
    <t>HMDB0038153</t>
  </si>
  <si>
    <t>66472-04-6</t>
  </si>
  <si>
    <t>CC(C)C(O)C(O)CC(C)CCC(=O)C1=COC=C1</t>
  </si>
  <si>
    <t>PRLJTIPWGNRUNG-UHFFFAOYSA-N</t>
  </si>
  <si>
    <t>C15H24O4</t>
  </si>
  <si>
    <t>7.24_352.0984m/z</t>
  </si>
  <si>
    <t>15-Lipoxygenase Inhibitor 1</t>
  </si>
  <si>
    <t>928853-86-5</t>
  </si>
  <si>
    <t>CC1=C2C(=NC(=N1)N3CCN(CC3)C)SC4=CC=CC=C4N2</t>
  </si>
  <si>
    <t>HYPHGMNLWIKEMB-UHFFFAOYSA-N</t>
  </si>
  <si>
    <t>C16H19N5S</t>
  </si>
  <si>
    <t>0.60_361.1229m/z</t>
  </si>
  <si>
    <t>Amosulalol</t>
  </si>
  <si>
    <t>HMDB0249622</t>
  </si>
  <si>
    <t>COC1=CC=CC=C1OCCNCC(O)C1=CC(=C(C)C=C1)S(N)(=O)=O</t>
  </si>
  <si>
    <t>LVEXHFZHOIWIIP-UHFFFAOYSA-N</t>
  </si>
  <si>
    <t>C18H24N2O5S</t>
  </si>
  <si>
    <t>9.44_187.0557m/z</t>
  </si>
  <si>
    <t>Diphenylcyclopropenone</t>
  </si>
  <si>
    <t>HMDB0251457</t>
  </si>
  <si>
    <t>O=C1C(=C1C1=CC=CC=C1)C1=CC=CC=C1</t>
  </si>
  <si>
    <t>HCIBTBXNLVOFER-UHFFFAOYSA-N</t>
  </si>
  <si>
    <t>C15H10O</t>
  </si>
  <si>
    <t>9.77_212.1418n</t>
  </si>
  <si>
    <t>12-hydroxy-3Z,6Z-dodecadienoic acid</t>
  </si>
  <si>
    <t>LMFA01050171</t>
  </si>
  <si>
    <t>C(C/C=C\C/C=C\CCCCCO)(=O)O</t>
  </si>
  <si>
    <t>BSWDOBLGMLCOJP-NGNAIVRQSA-N</t>
  </si>
  <si>
    <t>C12H20O3</t>
  </si>
  <si>
    <t>1.19_263.0036m/z</t>
  </si>
  <si>
    <t>vitamin c oxalate</t>
  </si>
  <si>
    <t>HMDB0259845</t>
  </si>
  <si>
    <t>OC1OC(=O)C(=O)OC1(O)C1OC(=O)C(O)=C1O</t>
  </si>
  <si>
    <t>OSJSRODAWHQEJB-UHFFFAOYSA-N</t>
  </si>
  <si>
    <t>C8H6O10</t>
  </si>
  <si>
    <t>6.30_270.1137m/z</t>
  </si>
  <si>
    <t>6-Acryloyl-2-dimethylaminonaphthalene</t>
  </si>
  <si>
    <t>HMDB0247971</t>
  </si>
  <si>
    <t>CN(C)C1=CC2=C(C=C1)C=C(C=C2)C(=O)C=C</t>
  </si>
  <si>
    <t>HMWAJFNEGAJETK-UHFFFAOYSA-N</t>
  </si>
  <si>
    <t>C15H15NO</t>
  </si>
  <si>
    <t>9.54_365.1963m/z</t>
  </si>
  <si>
    <t>10-Acetylpanaxytriol</t>
  </si>
  <si>
    <t>HMDB0039821</t>
  </si>
  <si>
    <t>122855-48-5</t>
  </si>
  <si>
    <t>CCCCCCCC(OC(C)=O)C(O)CC#CC#CC(O)C=C</t>
  </si>
  <si>
    <t>PNELZYLPPYPWTP-UHFFFAOYSA-N</t>
  </si>
  <si>
    <t>4.88_280.0687m/z</t>
  </si>
  <si>
    <t>6-Succinoaminopurine</t>
  </si>
  <si>
    <t>HMDB0013204</t>
  </si>
  <si>
    <t>OC(=O)CCC(=O)NC1=C2NC=NC2=NC=N1</t>
  </si>
  <si>
    <t>PQBHLXAMWLYHTB-UHFFFAOYSA-N</t>
  </si>
  <si>
    <t>C9H9N5O3</t>
  </si>
  <si>
    <t>6.89_447.2365m/z</t>
  </si>
  <si>
    <t>Corticosterone-21-hemisuccinate</t>
  </si>
  <si>
    <t>HMDB0250465</t>
  </si>
  <si>
    <t>CC12CC(O)C3C(CCC4=CC(=O)CCC34C)C1CCC2C(=O)COC(=O)CCC(O)=O</t>
  </si>
  <si>
    <t>KEECMXYFGNWLEA-UHFFFAOYSA-N</t>
  </si>
  <si>
    <t>C25H34O7</t>
  </si>
  <si>
    <t>0.73_246.0913m/z</t>
  </si>
  <si>
    <t>Methionyl-Asparagine</t>
  </si>
  <si>
    <t>HMDB0028968</t>
  </si>
  <si>
    <t>CSCCC(N)C(O)=NC(CC(O)=N)C(O)=O</t>
  </si>
  <si>
    <t>JMEWFDUAFKVAAT-UHFFFAOYSA-N</t>
  </si>
  <si>
    <t>C9H17N3O4S</t>
  </si>
  <si>
    <t>7.01_297.0727m/z</t>
  </si>
  <si>
    <t>KOPARIN 2'-METHYL ETHER</t>
  </si>
  <si>
    <t>COC1=C(C(=C(C=C1)C2=COC3=C(C2=O)C=CC(=C3)O)OC)O</t>
  </si>
  <si>
    <t>WDHLJEOPUWGKKG-UHFFFAOYSA-N</t>
  </si>
  <si>
    <t>O-methylated isoflavonoids</t>
  </si>
  <si>
    <t>C17H14O6</t>
  </si>
  <si>
    <t>5.35_183.1021m/z</t>
  </si>
  <si>
    <t>Matsutakic acid A</t>
  </si>
  <si>
    <t>HMDB0036715</t>
  </si>
  <si>
    <t>CCCCCC#CC(O)C(O)C(O)=O</t>
  </si>
  <si>
    <t>VSKXYKGCLVJSEW-UHFFFAOYSA-N</t>
  </si>
  <si>
    <t>7.79_387.1862m/z</t>
  </si>
  <si>
    <t>1-Octanesulfonic acid</t>
  </si>
  <si>
    <t>HMDB0243978</t>
  </si>
  <si>
    <t>CCCCCCCCS(O)(=O)=O</t>
  </si>
  <si>
    <t>WLGDAKIJYPIYLR-UHFFFAOYSA-N</t>
  </si>
  <si>
    <t>C8H18O3S</t>
  </si>
  <si>
    <t>5.81_345.2284m/z</t>
  </si>
  <si>
    <t>ROCCELLIC ACID</t>
  </si>
  <si>
    <t>22139-54-4</t>
  </si>
  <si>
    <t>CCCCCCCCCCCCC(C(C)C(=O)O)C(=O)O</t>
  </si>
  <si>
    <t>CADNMISJDLVPCK-LSDHHAIUSA-N</t>
  </si>
  <si>
    <t>C17H32O4</t>
  </si>
  <si>
    <t>6.24_213.1127m/z</t>
  </si>
  <si>
    <t>2,2'-(3-methylcyclohexane-1,1-diyl)diacetic acid</t>
  </si>
  <si>
    <t>CC1CCCC(C1)(CC(=O)O)CC(=O)O</t>
  </si>
  <si>
    <t>HJPDHTDUPWGUHP-UHFFFAOYSA-N</t>
  </si>
  <si>
    <t>0.82_176.0663m/z</t>
  </si>
  <si>
    <t>L-Dihydroorotic acid</t>
  </si>
  <si>
    <t>HMDB0003349</t>
  </si>
  <si>
    <t>C00337</t>
  </si>
  <si>
    <t>5988-19-2</t>
  </si>
  <si>
    <t>OC(=O)[C@@H]1CC(=O)NC(=O)N1</t>
  </si>
  <si>
    <t>UFIVEPVSAGBUSI-REOHCLBHSA-N</t>
  </si>
  <si>
    <t>C5H6N2O4</t>
  </si>
  <si>
    <t>8.66_672.3137m/z</t>
  </si>
  <si>
    <t>OKODiA-PS</t>
  </si>
  <si>
    <t>LMGP20040030</t>
  </si>
  <si>
    <t>C(O)(=O)[C@@]([H])(N)COP(OC[C@]([H])(OC(CCCC(=O)/C=C/C(=O)O)=O)COC(CCCCCCC/C=C\CCCCCCCC)=O)(=O)O</t>
  </si>
  <si>
    <t>ZDJCOBZGDSYWKZ-DUGOBJRESA-N</t>
  </si>
  <si>
    <t>C32H54NO13P</t>
  </si>
  <si>
    <t>8.58_492.2949m/z</t>
  </si>
  <si>
    <t>Lucidenic acid L</t>
  </si>
  <si>
    <t>HMDB0035975</t>
  </si>
  <si>
    <t>110267-45-3</t>
  </si>
  <si>
    <t>CC(CCC(O)=O)C1CC(=O)C2(C)C3=C(C(=O)C(O)C12C)C1(C)CCC(O)C(C)(C)C1CC3=O</t>
  </si>
  <si>
    <t>CVEGYVMAZQZPTH-UHFFFAOYSA-N</t>
  </si>
  <si>
    <t>C27H38O7</t>
  </si>
  <si>
    <t>0.60_130.0867m/z</t>
  </si>
  <si>
    <t>(2E)-Decenoyl-ACP</t>
  </si>
  <si>
    <t>HMDB0062225</t>
  </si>
  <si>
    <t>C03969</t>
  </si>
  <si>
    <t>52-52-8</t>
  </si>
  <si>
    <t>NC1(CCCC1)C(O)=O</t>
  </si>
  <si>
    <t>NILQLFBWTXNUOE-UHFFFAOYSA-N</t>
  </si>
  <si>
    <t>C6H11NO2</t>
  </si>
  <si>
    <t>9.11_308.1993n</t>
  </si>
  <si>
    <t>Corchorifatty acid D</t>
  </si>
  <si>
    <t>HMDB0033243</t>
  </si>
  <si>
    <t>CCC(O)\C=C\C=C\C=C\C(=O)CCCCCCCC(O)=O</t>
  </si>
  <si>
    <t>KLFMLBSZQZVKDC-KDXRDGMUSA-N</t>
  </si>
  <si>
    <t>4.43_664.2954m/z</t>
  </si>
  <si>
    <t>Natamycin</t>
  </si>
  <si>
    <t>HMDB0014964</t>
  </si>
  <si>
    <t>C08073</t>
  </si>
  <si>
    <t>7681-93-8</t>
  </si>
  <si>
    <t>C[C@H]1OC(O[C@@H]2C[C@@H]3O[C@@](O)(C[C@H](O)[C@H]3C(O)=O)C[C@@H](O)C[C@H]3O[C@@H]3\C=C\C(=O)O[C@H](C)C\C=C\C=C\C=C\C=C\2)[C@@H](O)[C@@H](N)[C@@H]1O</t>
  </si>
  <si>
    <t>NCXMLFZGDNKEPB-BQGNJOPGSA-N</t>
  </si>
  <si>
    <t>C33H47NO13</t>
  </si>
  <si>
    <t>12.49_309.1650m/z</t>
  </si>
  <si>
    <t>2-hydroxy-3-methylbutanedioylcarnitine</t>
  </si>
  <si>
    <t>HMDB0241030</t>
  </si>
  <si>
    <t>CC(C(O)C(=O)OC(CC([O-])=O)C[N+](C)(C)C)C(O)=O</t>
  </si>
  <si>
    <t>LEXKSEXKSFMYHX-UHFFFAOYSA-N</t>
  </si>
  <si>
    <t>C12H21NO7</t>
  </si>
  <si>
    <t>0.91_180.9995m/z</t>
  </si>
  <si>
    <t>S-2-Propenyl methanesulfinothioate</t>
  </si>
  <si>
    <t>HMDB0032745</t>
  </si>
  <si>
    <t>104228-49-1</t>
  </si>
  <si>
    <t>CS(=O)SCC=C</t>
  </si>
  <si>
    <t>BBZQGJLFMJHRSD-UHFFFAOYSA-N</t>
  </si>
  <si>
    <t>Thiosulfinic acid esters</t>
  </si>
  <si>
    <t>C4H8OS2</t>
  </si>
  <si>
    <t>2.07_581.0948m/z</t>
  </si>
  <si>
    <t>Sagecoumarin</t>
  </si>
  <si>
    <t>HMDB0034035</t>
  </si>
  <si>
    <t>OC(=O)C(CC1=CC(O)=C(O)C=C1)OC(=O)\C=C\C1=CC(O)=C(OC2=CC3=C(OC2=O)C=C(O)C(O)=C3)C=C1</t>
  </si>
  <si>
    <t>FGLLLJUSIHHQKZ-ZZXKWVIFSA-N</t>
  </si>
  <si>
    <t>Hydroxycoumarins</t>
  </si>
  <si>
    <t>C27H20O12</t>
  </si>
  <si>
    <t>3.50_365.1351m/z</t>
  </si>
  <si>
    <t>Semilepidinoside B</t>
  </si>
  <si>
    <t>HMDB0033108</t>
  </si>
  <si>
    <t>COC1=C(OC2OC(CO)C(O)C(O)C2O)C=CC(CC2=NC=CN2)=C1</t>
  </si>
  <si>
    <t>ASPNXCICLVYQCJ-UHFFFAOYSA-N</t>
  </si>
  <si>
    <t>6.75_235.0002m/z</t>
  </si>
  <si>
    <t>HAEMATOMMIC ACID</t>
  </si>
  <si>
    <t>479-25-4</t>
  </si>
  <si>
    <t>CC1=CC(=C(C(=C1C(=O)O)O)C=O)O</t>
  </si>
  <si>
    <t>KCOOTJRKKIDHTM-UHFFFAOYSA-N</t>
  </si>
  <si>
    <t>10.35_429.2260m/z</t>
  </si>
  <si>
    <t>Megestrol acetate</t>
  </si>
  <si>
    <t>LMST02030118</t>
  </si>
  <si>
    <t>C08151</t>
  </si>
  <si>
    <t>595-33-5</t>
  </si>
  <si>
    <t>[C@]1(C(=O)C)(OC(=O)C)CC[C@@]2([H])[C@]3([H])C=C(C4=CC(CC[C@]4(C)[C@@]3([H])CC[C@]12C)=O)C</t>
  </si>
  <si>
    <t>RQZAXGRLVPAYTJ-GQFGMJRRSA-N</t>
  </si>
  <si>
    <t>C24H32O4</t>
  </si>
  <si>
    <t>10.70_457.0099m/z</t>
  </si>
  <si>
    <t>Patuletin 3-O-sulfate</t>
  </si>
  <si>
    <t>LMPK12113028</t>
  </si>
  <si>
    <t>C1(O)=CC2OC(C3C=C(O)C(O)=CC=3)=C(OS(O)(=O)=O)C(=O)C=2C(O)=C1OC</t>
  </si>
  <si>
    <t>ORORUIBIFGBBGD-UHFFFAOYSA-N</t>
  </si>
  <si>
    <t>C16H12O11S</t>
  </si>
  <si>
    <t>3.69_359.1338m/z</t>
  </si>
  <si>
    <t>Sweroside</t>
  </si>
  <si>
    <t>HMDB0258643</t>
  </si>
  <si>
    <t>OCC1OC(OC2OC=C3C(CCOC3=O)C2C=C)C(O)C(O)C1O</t>
  </si>
  <si>
    <t>VSJGJMKGNMDJCI-UHFFFAOYSA-N</t>
  </si>
  <si>
    <t>C16H22O9</t>
  </si>
  <si>
    <t>3.90_703.3324m/z</t>
  </si>
  <si>
    <t>Canarigenin 3-[glucosyl-(1-&gt;4)-6-deoxy-alloside]</t>
  </si>
  <si>
    <t>HMDB0035433</t>
  </si>
  <si>
    <t>229319-08-8</t>
  </si>
  <si>
    <t>CC1OC(OC2CCC3(C)C4CCC5(C)C(CCC5(O)C4CCC3=C2)C2=CC(=O)OC2)C(O)C(O)C1OC1OC(CO)C(O)C(O)C1O</t>
  </si>
  <si>
    <t>DVTQQKKQADHWDM-UHFFFAOYSA-N</t>
  </si>
  <si>
    <t>C35H52O13</t>
  </si>
  <si>
    <t>0.77_159.1132m/z</t>
  </si>
  <si>
    <t>Ethosuximide</t>
  </si>
  <si>
    <t>HMDB0014731</t>
  </si>
  <si>
    <t>C07505</t>
  </si>
  <si>
    <t>77-67-8</t>
  </si>
  <si>
    <t>CCC1(C)CC(=O)NC1=O</t>
  </si>
  <si>
    <t>HAPOVYFOVVWLRS-UHFFFAOYSA-N</t>
  </si>
  <si>
    <t>C7H11NO2</t>
  </si>
  <si>
    <t>8.95_576.3312m/z</t>
  </si>
  <si>
    <t>PC(2:0/18:3(10,12,15)-OH(9))</t>
  </si>
  <si>
    <t>HMDB0288890</t>
  </si>
  <si>
    <t>[H][C@@](COC(C)=O)(COP([O-])(=O)OCC[N+](C)(C)C)OC(=O)CCCCCCCC(O)\C=C\C=C\C\C=C\CC</t>
  </si>
  <si>
    <t>ZZQLWGLWWXVURJ-LBGSZTRXSA-N</t>
  </si>
  <si>
    <t>10.23_474.3341m/z</t>
  </si>
  <si>
    <t>(3beta,17alpha,23S,24S)-17,23-Epoxy-3,24,29-trihydroxy-27-norlanost-8-en-15-one</t>
  </si>
  <si>
    <t>HMDB0035144</t>
  </si>
  <si>
    <t>CCC(O)C1CC(C)C2(CC(=O)C3(C)C4=C(CCC23C)C2(C)CCC(O)C(C)(CO)C2CC4)O1</t>
  </si>
  <si>
    <t>FGFZDTLKZFGANR-UHFFFAOYSA-N</t>
  </si>
  <si>
    <t>0.65_172.9404m/z</t>
  </si>
  <si>
    <t>Calcium oxalate</t>
  </si>
  <si>
    <t>HMDB0302182</t>
  </si>
  <si>
    <t>C17478</t>
  </si>
  <si>
    <t>563-72-4</t>
  </si>
  <si>
    <t>[Ca++].[O-]C(=O)C([O-])=O</t>
  </si>
  <si>
    <t>QXDMQSPYEZFLGF-UHFFFAOYSA-L</t>
  </si>
  <si>
    <t>C2CaO4</t>
  </si>
  <si>
    <t>9.19_438.2133m/z</t>
  </si>
  <si>
    <t>O-Desmethylvenlafaxine glucuronide</t>
  </si>
  <si>
    <t>HMDB0061172</t>
  </si>
  <si>
    <t>1021933-98-1</t>
  </si>
  <si>
    <t>CN(C)CC(C1=CC=C(O[C@@H]2O[C@@H]([C@@H](O)[C@H](O)[C@H]2O)C(O)=O)C=C1)C1(O)CCCCC1</t>
  </si>
  <si>
    <t>GRDOISGIGBUYGA-NMXLZWJASA-N</t>
  </si>
  <si>
    <t>C22H33NO8</t>
  </si>
  <si>
    <t>1.19_311.0577m/z</t>
  </si>
  <si>
    <t>6-Sulfanilamidoindazole</t>
  </si>
  <si>
    <t>HMDB0247106</t>
  </si>
  <si>
    <t>NC1=CC=C(C=C1)S(=O)(=O)NC1=CC2=C(C=NN2)C=C1</t>
  </si>
  <si>
    <t>RLNLIVBLEZDLMZ-UHFFFAOYSA-N</t>
  </si>
  <si>
    <t>C13H12N4O2S</t>
  </si>
  <si>
    <t>5.33_237.0760n</t>
  </si>
  <si>
    <t>2-Amino-4-(phosphonomethyl)hept-3-enoic acid</t>
  </si>
  <si>
    <t>HMDB0243638</t>
  </si>
  <si>
    <t>CCCC(CP(O)(O)=O)=CC(N)C(O)=O</t>
  </si>
  <si>
    <t>ZEFQYTSQDVUMEU-UHFFFAOYSA-N</t>
  </si>
  <si>
    <t>C8H16NO5P</t>
  </si>
  <si>
    <t>3.73_259.1299m/z</t>
  </si>
  <si>
    <t>gamma-Glutamylleucine</t>
  </si>
  <si>
    <t>HMDB0011171</t>
  </si>
  <si>
    <t>2566-39-4</t>
  </si>
  <si>
    <t>CC(C)C[C@H](NC(=O)CC[C@H](N)C(O)=O)C(O)=O</t>
  </si>
  <si>
    <t>MYFMARDICOWMQP-YUMQZZPRSA-N</t>
  </si>
  <si>
    <t>C11H20N2O5</t>
  </si>
  <si>
    <t>4.20_522.2736m/z</t>
  </si>
  <si>
    <t>Morphiceptin</t>
  </si>
  <si>
    <t>HMDB0005777</t>
  </si>
  <si>
    <t>74135-04-9</t>
  </si>
  <si>
    <t>N[C@@H](CC1=CC=C(O)C=C1)C(=O)N1CCC[C@H]1C(=O)N[C@@H](CC1=CC=CC=C1)C(=O)N1CCC[C@H]1C(N)=O</t>
  </si>
  <si>
    <t>LSQXZIUREIDSHZ-ZJZGAYNASA-N</t>
  </si>
  <si>
    <t>C28H35N5O5</t>
  </si>
  <si>
    <t>6.69_253.1081m/z</t>
  </si>
  <si>
    <t>4-methyl-5-carboxyethyl-2-furanpentanoic acid</t>
  </si>
  <si>
    <t>LMFA01150054</t>
  </si>
  <si>
    <t>C(C(O)=O)CC1=C(C)C=C(CCCCC(=O)O)O1</t>
  </si>
  <si>
    <t>VVSJZDOVZWFSID-UHFFFAOYSA-N</t>
  </si>
  <si>
    <t>C13H18O5</t>
  </si>
  <si>
    <t>15.02_411.3594m/z</t>
  </si>
  <si>
    <t>halosterol A</t>
  </si>
  <si>
    <t>LMST01040256</t>
  </si>
  <si>
    <t>C(C)(C)[C@H](CC)C[C@@H](O)[C@@H](C)[C@]1([H])[C@@]2([C@]([H])([C@@]3([H])[C@]([C@@]4(C(CC3)=CC(CC4)=O)C)([H])CC2)CC1)C</t>
  </si>
  <si>
    <t>LXRLKMAYPPIRJM-GACZPLPESA-N</t>
  </si>
  <si>
    <t>11.38_535.4006m/z</t>
  </si>
  <si>
    <t>4-oxo-2E-hexadecenoic acid</t>
  </si>
  <si>
    <t>LMFA01060230</t>
  </si>
  <si>
    <t>C(/C=C/C(=O)CCCCCCCCCCCC)(=O)O</t>
  </si>
  <si>
    <t>SWMQZEIJDYTILH-BUHFOSPRSA-N</t>
  </si>
  <si>
    <t>C16H28O3</t>
  </si>
  <si>
    <t>4.65_209.0450m/z</t>
  </si>
  <si>
    <t>Vanilpyruvic acid</t>
  </si>
  <si>
    <t>HMDB0011714</t>
  </si>
  <si>
    <t>1081-71-6</t>
  </si>
  <si>
    <t>COC1=C(O)C=CC(CC(=O)C(O)=O)=C1</t>
  </si>
  <si>
    <t>YGQHQTMRZPHIBB-UHFFFAOYSA-N</t>
  </si>
  <si>
    <t>Phenylpyruvic acid derivatives</t>
  </si>
  <si>
    <t>C10H10O5</t>
  </si>
  <si>
    <t>4.75_351.2178m/z</t>
  </si>
  <si>
    <t>PGK2</t>
  </si>
  <si>
    <t>LMFA03010023</t>
  </si>
  <si>
    <t>275816-51-8</t>
  </si>
  <si>
    <t>[C@H]1(/C=C/[C@@H](O)CCCCC)C(=O)CC(=O)[C@@H]1C/C=C\CCCC(=O)O</t>
  </si>
  <si>
    <t>LGMXPVXJSFPPTQ-DJUJBXLVSA-N</t>
  </si>
  <si>
    <t>3.89_263.1401m/z</t>
  </si>
  <si>
    <t>Subaphylline</t>
  </si>
  <si>
    <t>HMDB0033463</t>
  </si>
  <si>
    <t>C10497</t>
  </si>
  <si>
    <t>501-13-3</t>
  </si>
  <si>
    <t>COC1=C(O)C=CC(\C=C/C(=O)NCCCCN)=C1</t>
  </si>
  <si>
    <t>SFUVCMKSYKHYLD-ALCCZGGFSA-N</t>
  </si>
  <si>
    <t>0.68_165.0464n</t>
  </si>
  <si>
    <t>Methionine sulfoxide</t>
  </si>
  <si>
    <t>HMDB0002005</t>
  </si>
  <si>
    <t>C02989</t>
  </si>
  <si>
    <t>3226-65-1</t>
  </si>
  <si>
    <t>CS(=O)CC[C@H](N)C(O)=O</t>
  </si>
  <si>
    <t>QEFRNWWLZKMPFJ-YGVKFDHGSA-N</t>
  </si>
  <si>
    <t>C5H11NO3S</t>
  </si>
  <si>
    <t>13.51_449.3642m/z</t>
  </si>
  <si>
    <t>6alpha-hydroxycholestanol</t>
  </si>
  <si>
    <t>LMST01010135</t>
  </si>
  <si>
    <t>[C@]12(C[C@H](O)[C@@]3([H])C[C@@H](O)CC[C@]3(C)[C@@]1([H])CC[C@]1(C)[C@@]([H])([C@@](C)([H])CCCC(C)C)CC[C@@]21[H])[H]</t>
  </si>
  <si>
    <t>PMWTYEQRXYIMND-XNZKQLDXSA-N</t>
  </si>
  <si>
    <t>C27H48O2</t>
  </si>
  <si>
    <t>4.36_297.0755m/z</t>
  </si>
  <si>
    <t>6-Nitroquipazine</t>
  </si>
  <si>
    <t>HMDB0247098</t>
  </si>
  <si>
    <t>[O-][N+](=O)C1=CC2=C(C=C1)N=C(C=C2)N1CCNCC1</t>
  </si>
  <si>
    <t>GGDBEAVVGFNWIA-UHFFFAOYSA-N</t>
  </si>
  <si>
    <t>Nitroquinolines and derivatives</t>
  </si>
  <si>
    <t>C13H14N4O2</t>
  </si>
  <si>
    <t>15.31_671.4653m/z</t>
  </si>
  <si>
    <t>PA(16:0/18:1(12Z)-O(9S,10R))</t>
  </si>
  <si>
    <t>HMDB0263322</t>
  </si>
  <si>
    <t>[H][C@@](COC(=O)CCCCCCCCCCCCCCC)(COP(O)(O)=O)OC(=O)CCCCCCCC1OC1C\C=C/CCCCC</t>
  </si>
  <si>
    <t>AYYLMSCIFDNZFW-DUQRCAMMSA-N</t>
  </si>
  <si>
    <t>C37H69O9P</t>
  </si>
  <si>
    <t>0.74_675.2230m/z</t>
  </si>
  <si>
    <t>Demethoxycurcumin</t>
  </si>
  <si>
    <t>HMDB0033801</t>
  </si>
  <si>
    <t>C17742</t>
  </si>
  <si>
    <t>22608-11-3</t>
  </si>
  <si>
    <t>COC1=CC(\C=C\C(=O)CC(=O)\C=C\C2=CC=C(O)C=C2)=CC=C1O</t>
  </si>
  <si>
    <t>HJTVQHVGMGKONQ-LUZURFALSA-N</t>
  </si>
  <si>
    <t>C20H18O5</t>
  </si>
  <si>
    <t>4.55_596.3227m/z</t>
  </si>
  <si>
    <t>HAMI3379</t>
  </si>
  <si>
    <t>712313-35-4</t>
  </si>
  <si>
    <t>C1CCC(CC1)OCCCCOC2=CC=C(C=C2)CCCOC3=C(C=C(C=C3)C(=O)O)C(=O)NC4CCCC(C4)C(=O)O</t>
  </si>
  <si>
    <t>HRJWSEPIRZRGCL-UHFFFAOYSA-N</t>
  </si>
  <si>
    <t>C34H45NO8</t>
  </si>
  <si>
    <t>8.50_349.2384m/z</t>
  </si>
  <si>
    <t>15-methyl-15S-PGD2</t>
  </si>
  <si>
    <t>LMFA03010050</t>
  </si>
  <si>
    <t>85280-90-6</t>
  </si>
  <si>
    <t>[C@H]1(/C=C/[C@@](C)(O)CCCCC)C(=O)C[C@H](O)[C@@H]1C/C=C\CCCC(=O)O</t>
  </si>
  <si>
    <t>CTXLUMAOXBULOZ-QEQARHSSSA-N</t>
  </si>
  <si>
    <t>14</t>
  </si>
  <si>
    <t>Methoxyacetic Acid</t>
  </si>
  <si>
    <t>HMDB0041929</t>
  </si>
  <si>
    <t>625-45-6</t>
  </si>
  <si>
    <t>COCC(O)=O</t>
  </si>
  <si>
    <t>RMIODHQZRUFFFF-UHFFFAOYSA-N</t>
  </si>
  <si>
    <t>15.02_393.3482m/z</t>
  </si>
  <si>
    <t>Provitamin D6</t>
  </si>
  <si>
    <t>LMST03050002</t>
  </si>
  <si>
    <t>C12=CC=C3C[C@@H](O)CC[C@]3(C)C1CC[C@]1(C)[C@@]([H])([C@]([H])(C)/C=C/[C@H](CC)C(C)C)CC[C@]12[H]</t>
  </si>
  <si>
    <t>OQMZNAMGEHIHNN-NQQDDHEESA-N</t>
  </si>
  <si>
    <t>C29H46O</t>
  </si>
  <si>
    <t>0.83_274.9261m/z</t>
  </si>
  <si>
    <t>Dimethylarsinic acid</t>
  </si>
  <si>
    <t>HMDB0011625</t>
  </si>
  <si>
    <t>C07308</t>
  </si>
  <si>
    <t>hsa05208</t>
  </si>
  <si>
    <t>Chemical carcinogenesis - reactive oxygen species</t>
  </si>
  <si>
    <t>R-HSA-1430728,R-HSA-156580,R-HSA-156581,R-HSA-211859</t>
  </si>
  <si>
    <t>Metabolism|Phase II - Conjugation of compounds|Methylation|Biological oxidations</t>
  </si>
  <si>
    <t>75-60-5</t>
  </si>
  <si>
    <t>C[As](C)(O)=O</t>
  </si>
  <si>
    <t>OGGXGZAMXPVRFZ-UHFFFAOYSA-N</t>
  </si>
  <si>
    <t>Organometallic compounds</t>
  </si>
  <si>
    <t>Organometalloid compounds</t>
  </si>
  <si>
    <t>Organoarsenic compounds</t>
  </si>
  <si>
    <t>C2H7AsO2</t>
  </si>
  <si>
    <t>2.90_391.1596m/z</t>
  </si>
  <si>
    <t>Glu Phe Asn</t>
  </si>
  <si>
    <t>C1=CC=C(C=C1)CC(C(=O)NC(CC(=O)N)C(=O)O)NC(=O)C(CCC(=O)O)N</t>
  </si>
  <si>
    <t>UERORLSAFUHDGU-AVGNSLFASA-N</t>
  </si>
  <si>
    <t>C18H24N4O7</t>
  </si>
  <si>
    <t>1.09_258.1459m/z</t>
  </si>
  <si>
    <t>Lysylhydroxyproline</t>
  </si>
  <si>
    <t>HMDB0028952</t>
  </si>
  <si>
    <t>870233-57-1</t>
  </si>
  <si>
    <t>NCCCC[C@H](N)C(=O)N1C[C@H](O)C[C@H]1C(O)=O</t>
  </si>
  <si>
    <t>BFDLYDRHDPSQHM-VGMNWLOBSA-N</t>
  </si>
  <si>
    <t>14.47_589.5183m/z</t>
  </si>
  <si>
    <t>DG(17:0/18:1(9Z)/0:0)[iso2]</t>
  </si>
  <si>
    <t>LMGL02010030</t>
  </si>
  <si>
    <t>OC[C@]([H])(OC(CCCCCCC/C=C\CCCCCCCC)=O)COC(CCCCCCCCCCCCCCCC)=O</t>
  </si>
  <si>
    <t>CPYYIMXJKFANHS-MEVCPPAWSA-N</t>
  </si>
  <si>
    <t>C38H72O5</t>
  </si>
  <si>
    <t>10.95_318.2412m/z</t>
  </si>
  <si>
    <t>4-Oxoretinol</t>
  </si>
  <si>
    <t>HMDB0012329</t>
  </si>
  <si>
    <t>C16683</t>
  </si>
  <si>
    <t>hsa00830</t>
  </si>
  <si>
    <t>Retinol metabolism</t>
  </si>
  <si>
    <t>62702-55-0</t>
  </si>
  <si>
    <t>C\C(=C/CO)\C=C\C=C(/C)\C=C\C1=C(C)C(=O)CCC1(C)C</t>
  </si>
  <si>
    <t>PLIUCYCUYQIBDZ-RMWYGNQTSA-N</t>
  </si>
  <si>
    <t>10.99_523.1904m/z</t>
  </si>
  <si>
    <t>1,6-Dimethoxypyrene</t>
  </si>
  <si>
    <t>HMDB0060337</t>
  </si>
  <si>
    <t>C18260</t>
  </si>
  <si>
    <t>COC1=C2C=CC3=C4C(C=CC(C=C1)=C24)=C(OC)C=C3</t>
  </si>
  <si>
    <t>WFKVWBRLOQDNIT-UHFFFAOYSA-N</t>
  </si>
  <si>
    <t>C18H14O2</t>
  </si>
  <si>
    <t>8.08_495.2967m/z</t>
  </si>
  <si>
    <t>Pregnanediol 3-O-glucuronide</t>
  </si>
  <si>
    <t>HMDB0010318</t>
  </si>
  <si>
    <t>1852-49-9</t>
  </si>
  <si>
    <t>[H][C@@]1(CC[C@@]2([H])[C@]3([H])CC[C@]4([H])C[C@@H](CC[C@]4(C)[C@@]3([H])CC[C@]12C)O[C@]1([H])O[C@@H]([C@@H](O)[C@H](O)[C@H]1O)C(O)=O)[C@H](C)O</t>
  </si>
  <si>
    <t>ZFFFJLDTCLJDHL-JQYCEVDMSA-N</t>
  </si>
  <si>
    <t>C27H44O8</t>
  </si>
  <si>
    <t>8.77_299.0124m/z</t>
  </si>
  <si>
    <t>(2R)-2-(2-Hydroxyhydrazinyl)-3-sulfanylidenepropanoic acid</t>
  </si>
  <si>
    <t>HMDB0242764</t>
  </si>
  <si>
    <t>ONNC(C=S)C(O)=O</t>
  </si>
  <si>
    <t>HOHKUZCJTSUTLE-UHFFFAOYSA-N</t>
  </si>
  <si>
    <t>C3H6N2O3S</t>
  </si>
  <si>
    <t>7.03_310.1238m/z</t>
  </si>
  <si>
    <t>Ethylenediaminetetraaceticacid</t>
  </si>
  <si>
    <t>HMDB0257824</t>
  </si>
  <si>
    <t>NC(CC(O)=O)(CC(O)=O)C(N)(CC(O)=O)CC(O)=O</t>
  </si>
  <si>
    <t>AMPNNTLXPJCDJF-UHFFFAOYSA-N</t>
  </si>
  <si>
    <t>C10H16N2O8</t>
  </si>
  <si>
    <t>12.73_432.1982m/z</t>
  </si>
  <si>
    <t>(4-Ethylnaphthalen-1-yl)[1-(5-fluoropentyl)-1H-indol-3-yl]methanone</t>
  </si>
  <si>
    <t>HMDB0259633</t>
  </si>
  <si>
    <t>1364933-60-7</t>
  </si>
  <si>
    <t>CCC1=CC=C(C(=O)C2=CN(CCCCCF)C3=CC=CC=C23)C2=CC=CC=C12</t>
  </si>
  <si>
    <t>NSCXPXDWLZORPX-UHFFFAOYSA-N</t>
  </si>
  <si>
    <t>C26H26FNO</t>
  </si>
  <si>
    <t>9.97_356.3536m/z</t>
  </si>
  <si>
    <t>Eicosanoyl-EA</t>
  </si>
  <si>
    <t>HMDB0248559</t>
  </si>
  <si>
    <t>LMFA08040038</t>
  </si>
  <si>
    <t>94421-69-9</t>
  </si>
  <si>
    <t>C(CCCCCCCCCCC)CCCCCCCC(=O)NCCO</t>
  </si>
  <si>
    <t>AUJVQJHODMISJP-UHFFFAOYSA-N</t>
  </si>
  <si>
    <t>C22H45NO2</t>
  </si>
  <si>
    <t>8.70_512.3365m/z</t>
  </si>
  <si>
    <t>PA(8:0/a-13:0)</t>
  </si>
  <si>
    <t>HMDB0115680</t>
  </si>
  <si>
    <t>[H][C@@](COC(=O)CCCCCCC)(COP(O)(O)=O)OC(=O)CCCCCCCCC(C)CC</t>
  </si>
  <si>
    <t>JQLHVVRKTDFQPB-FOIFJWKZSA-N</t>
  </si>
  <si>
    <t>C24H47O8P</t>
  </si>
  <si>
    <t>11.95_539.3727m/z</t>
  </si>
  <si>
    <t>(-)-Petrosynoic acid B</t>
  </si>
  <si>
    <t>LMFA01031256</t>
  </si>
  <si>
    <t>C(C#C/C=C\CCCCCCCCCCCCC#CCCCCCCCCC/C=C/[C@@H](O)C#C)(=O)O</t>
  </si>
  <si>
    <t>QEYHXRJGVIQFQH-VGLFVHPZSA-N</t>
  </si>
  <si>
    <t>C33H50O3</t>
  </si>
  <si>
    <t>11.88_344.2353n</t>
  </si>
  <si>
    <t>19(20)-EpDPE</t>
  </si>
  <si>
    <t>HMDB0013620</t>
  </si>
  <si>
    <t>LMFA04000038</t>
  </si>
  <si>
    <t>C(CC/C=C\C/C=C\C/C=C\C/C=C\C/C=C\CC1OC1CC)(=O)O</t>
  </si>
  <si>
    <t>OSXOPUBJJDUAOJ-MBYQGORISA-N</t>
  </si>
  <si>
    <t>9.48_245.1544m/z</t>
  </si>
  <si>
    <t>Acutifolane A</t>
  </si>
  <si>
    <t>LMPR0103520002</t>
  </si>
  <si>
    <t>C1(C=C)[C@@H](C)[C@]2(C)CC[C@@H](C)C2(C(=O)OC)C(=O)C=1</t>
  </si>
  <si>
    <t>XEJHIPPQYNXLCZ-PQTJLGCFSA-N</t>
  </si>
  <si>
    <t>C16H22O3</t>
  </si>
  <si>
    <t>9.65_444.1981m/z</t>
  </si>
  <si>
    <t>Cynaroside A</t>
  </si>
  <si>
    <t>HMDB0040532</t>
  </si>
  <si>
    <t>117804-06-5</t>
  </si>
  <si>
    <t>CC1C(CC2C1C1OC(=O)C(O)(CO)C1CCC2=C)OC1OC(CO)C(O)C(O)C1O</t>
  </si>
  <si>
    <t>MVSPYXAIGOWGGA-UHFFFAOYSA-N</t>
  </si>
  <si>
    <t>C21H32O10</t>
  </si>
  <si>
    <t>189</t>
  </si>
  <si>
    <t>O-Acetylserine</t>
  </si>
  <si>
    <t>HMDB0003011</t>
  </si>
  <si>
    <t>C00979</t>
  </si>
  <si>
    <t>hsa00270,hsa00920,hsa04122</t>
  </si>
  <si>
    <t>Cysteine and methionine metabolism|Sulfur metabolism|Sulfur relay system</t>
  </si>
  <si>
    <t>5147-00-2</t>
  </si>
  <si>
    <t>CC(=O)OC[C@H](N)C(O)=O</t>
  </si>
  <si>
    <t>VZXPDPZARILFQX-BYPYZUCNSA-N</t>
  </si>
  <si>
    <t>11.97_431.3166m/z</t>
  </si>
  <si>
    <t>(25R)-5beta-spirostan-1beta,3alpha-diol</t>
  </si>
  <si>
    <t>LMST01080002</t>
  </si>
  <si>
    <t>C1[C@@H](O)C[C@]2([H])[C@@](C)([C@@]3([H])CC[C@]4(C)[C@H]5[C@@H]([C@]6(O[C@H]5C[C@@]4([H])[C@]3([H])CC2)CC[C@@H](C)CO6)C)[C@@H]1O</t>
  </si>
  <si>
    <t>NCLLSOCDVMFDSK-FQXYYZOXSA-N</t>
  </si>
  <si>
    <t>179</t>
  </si>
  <si>
    <t>L-Threonine</t>
  </si>
  <si>
    <t>HMDB0000167</t>
  </si>
  <si>
    <t>C00188</t>
  </si>
  <si>
    <t>hsa00260,hsa00290,hsa00470,hsa00860,hsa00970</t>
  </si>
  <si>
    <t>Glycine, serine and threonine metabolism|Valine, leucine and isoleucine biosynthesis|D-Amino acid metabolism|Porphyrin metabolism|Aminoacyl-tRNA biosynthesis</t>
  </si>
  <si>
    <t>72-19-5</t>
  </si>
  <si>
    <t>C[C@@H](O)[C@H](N)C(O)=O</t>
  </si>
  <si>
    <t>AYFVYJQAPQTCCC-GBXIJSLDSA-N</t>
  </si>
  <si>
    <t>C4H9NO3</t>
  </si>
  <si>
    <t>10.74_640.4481n</t>
  </si>
  <si>
    <t>6-Geranylgeranyl 8'-methyl 6,8'-diapocarotene-6,8'-dioate</t>
  </si>
  <si>
    <t>HMDB0034770</t>
  </si>
  <si>
    <t>247030-33-7</t>
  </si>
  <si>
    <t>COC(=O)C(\C)=C\C=C\C(\C)=C\C=C\C=C(/C)\C=C\C=C(/C)\C=C\C(=O)OC\C=C(/C)CC\C=C(/C)CC\C=C(/C)CCC=C(C)C</t>
  </si>
  <si>
    <t>KJAWBWQJDQHEDL-KQTSZGLPSA-N</t>
  </si>
  <si>
    <t>C43H60O4</t>
  </si>
  <si>
    <t>1.99_237.0877m/z</t>
  </si>
  <si>
    <t>L-Agaridoxin</t>
  </si>
  <si>
    <t>HMDB0029445</t>
  </si>
  <si>
    <t>NC(CCC(=O)NC1=CC=C(O)C(O)=C1)C(O)=O</t>
  </si>
  <si>
    <t>HJLNKWYSKFDHDG-UHFFFAOYSA-N</t>
  </si>
  <si>
    <t>C11H14N2O5</t>
  </si>
  <si>
    <t>8.75_307.0186m/z</t>
  </si>
  <si>
    <t>DL-Dithiothreitol</t>
  </si>
  <si>
    <t>C00265</t>
  </si>
  <si>
    <t>3483-12-3</t>
  </si>
  <si>
    <t>C(C(C(CS)O)O)S</t>
  </si>
  <si>
    <t>VHJLVAABSRFDPM-QWWZWVQMSA-N</t>
  </si>
  <si>
    <t>C4H10O2S2</t>
  </si>
  <si>
    <t>11.95_532.3024m/z</t>
  </si>
  <si>
    <t>2-(8-[3]-ladderane-octanyl)-sn-glycero-3-phosphoethanolamine</t>
  </si>
  <si>
    <t>LMGP02060001</t>
  </si>
  <si>
    <t>[C@](COP(=O)(O)OCCN)([H])(OCCCCCCCCC1CC2C3C4CCC4C3C2CC1)CO</t>
  </si>
  <si>
    <t>MUJGIVXHPSNEKN-GVLGEWBVSA-N</t>
  </si>
  <si>
    <t>C25H46NO6P</t>
  </si>
  <si>
    <t>10.72_369.1814m/z</t>
  </si>
  <si>
    <t>Trimethobenzamide</t>
  </si>
  <si>
    <t>HMDB0014800</t>
  </si>
  <si>
    <t>C07178</t>
  </si>
  <si>
    <t>138-56-7</t>
  </si>
  <si>
    <t>COC1=CC(=CC(OC)=C1OC)C(=O)NCC1=CC=C(OCCN(C)C)C=C1</t>
  </si>
  <si>
    <t>FEZBIKUBAYAZIU-UHFFFAOYSA-N</t>
  </si>
  <si>
    <t>C21H28N2O5</t>
  </si>
  <si>
    <t>13.51_439.3794m/z</t>
  </si>
  <si>
    <t>Heptacosanedioic acid</t>
  </si>
  <si>
    <t>LMFA01170152</t>
  </si>
  <si>
    <t>C(CCCCCCCCCCCCCCCCCCCCCCCCCC(=O)O)(=O)O</t>
  </si>
  <si>
    <t>JPUCVAQYQIGVSJ-UHFFFAOYSA-N</t>
  </si>
  <si>
    <t>C27H52O4</t>
  </si>
  <si>
    <t>14.71_166.0270n</t>
  </si>
  <si>
    <t>Benzoquinoneacetic acid</t>
  </si>
  <si>
    <t>HMDB0002334</t>
  </si>
  <si>
    <t>10275-07-7</t>
  </si>
  <si>
    <t>OC(=O)CC1=CC(=O)C=CC1=O</t>
  </si>
  <si>
    <t>RAPRJRLALQKSHB-UHFFFAOYSA-N</t>
  </si>
  <si>
    <t>1.61_290.1358m/z</t>
  </si>
  <si>
    <t>Asp Gly Val</t>
  </si>
  <si>
    <t>CC(C)C(C(=O)O)NC(=O)CNC(=O)C(CC(=O)O)N</t>
  </si>
  <si>
    <t>WSGVTKZFVJSJOG-RCOVLWMOSA-N</t>
  </si>
  <si>
    <t>C11H19N3O6</t>
  </si>
  <si>
    <t>38</t>
  </si>
  <si>
    <t>Maleimide</t>
  </si>
  <si>
    <t>HMDB0254312</t>
  </si>
  <si>
    <t>C07272</t>
  </si>
  <si>
    <t>541-59-3</t>
  </si>
  <si>
    <t>OC1=NC(=O)C=C1</t>
  </si>
  <si>
    <t>PEEHTFAAVSWFBL-UHFFFAOYSA-N</t>
  </si>
  <si>
    <t>C4H3NO2</t>
  </si>
  <si>
    <t>12.39_406.2730n</t>
  </si>
  <si>
    <t>Alfaprostolum</t>
  </si>
  <si>
    <t>HMDB0248132</t>
  </si>
  <si>
    <t>COC(=O)CCCC=CCC1C(O)CC(O)C1C#CC(O)CCC1CCCCC1</t>
  </si>
  <si>
    <t>OZDSQCVLNUIYLN-UHFFFAOYSA-N</t>
  </si>
  <si>
    <t>4.82_301.0306m/z</t>
  </si>
  <si>
    <t>Bis(2,5-dihydroxypyrrol-1-yl) carbonate</t>
  </si>
  <si>
    <t>HMDB0260371</t>
  </si>
  <si>
    <t>OC1=CC=C(O)N1OC(=O)ON1C(O)=CC=C1O</t>
  </si>
  <si>
    <t>GCJMLPAIVSMUEG-UHFFFAOYSA-N</t>
  </si>
  <si>
    <t>C9H8N2O7</t>
  </si>
  <si>
    <t>12.53_359.1674m/z</t>
  </si>
  <si>
    <t>Arphamenine B</t>
  </si>
  <si>
    <t>HMDB0248615</t>
  </si>
  <si>
    <t>NC(CCCNC(N)=N)C(=O)CC(CC1=CC=C(O)C=C1)C(O)=O</t>
  </si>
  <si>
    <t>RRJCLYMGCZJLBQ-UHFFFAOYSA-N</t>
  </si>
  <si>
    <t>C16H24N4O4</t>
  </si>
  <si>
    <t>12.38_412.2860m/z</t>
  </si>
  <si>
    <t>N-docosahexaenoyl GABA</t>
  </si>
  <si>
    <t>LMFA08020105</t>
  </si>
  <si>
    <t>C(CC/C=C\C/C=C\C/C=C\C/C=C\C/C=C\C/C=C\CC)(=O)NCCCC(=O)O</t>
  </si>
  <si>
    <t>HZMSBMNSIHSLPJ-KUBAVDMBSA-N</t>
  </si>
  <si>
    <t>C26H39NO3</t>
  </si>
  <si>
    <t>0.65_189.1602m/z</t>
  </si>
  <si>
    <t>N6,N6,N6-Trimethyl-L-lysine</t>
  </si>
  <si>
    <t>HMDB0001325</t>
  </si>
  <si>
    <t>C03793</t>
  </si>
  <si>
    <t>19253-88-4</t>
  </si>
  <si>
    <t>C[N+](C)(C)CCCC[C@H](N)C([O-])=O</t>
  </si>
  <si>
    <t>MXNRLFUSFKVQSK-QMMMGPOBSA-N</t>
  </si>
  <si>
    <t>C9H20N2O2</t>
  </si>
  <si>
    <t>12.78_455.3739m/z</t>
  </si>
  <si>
    <t>ascr#38</t>
  </si>
  <si>
    <t>LMFA13040016</t>
  </si>
  <si>
    <t>O([C@@H](CCCCCCCCCCCCCCCCCCC(=O)O)C)[C@H]1[C@H](O)C[C@@H](O)[C@H](C)O1</t>
  </si>
  <si>
    <t>NISHIBVYPLRXFI-VYXBAIFMSA-N</t>
  </si>
  <si>
    <t>C27H52O6</t>
  </si>
  <si>
    <t>4.91_356.1883m/z</t>
  </si>
  <si>
    <t>Motesanib</t>
  </si>
  <si>
    <t>HMDB0254901</t>
  </si>
  <si>
    <t>CC1(C)CNC2=C1C=CC(=C2)N=C(O)C1=C(NCC2=CC=NC=C2)N=CC=C1</t>
  </si>
  <si>
    <t>RAHBGWKEPAQNFF-UHFFFAOYSA-N</t>
  </si>
  <si>
    <t>C22H23N5O</t>
  </si>
  <si>
    <t>5.28_476.3387m/z</t>
  </si>
  <si>
    <t>Pubesenolide</t>
  </si>
  <si>
    <t>HMDB0033728</t>
  </si>
  <si>
    <t>98569-64-3</t>
  </si>
  <si>
    <t>CC(C1CCC2C3CC=C4CC(O)CC(O)C4(C)C3CCC12C)C1CC(C)=C(CO)C(=O)O1</t>
  </si>
  <si>
    <t>FYYIHVSEGVWNCF-UHFFFAOYSA-N</t>
  </si>
  <si>
    <t>C28H42O5</t>
  </si>
  <si>
    <t>7.88_265.0612m/z</t>
  </si>
  <si>
    <t>Carbamazepine-O-quinone</t>
  </si>
  <si>
    <t>HMDB0060566</t>
  </si>
  <si>
    <t>C16606</t>
  </si>
  <si>
    <t>OC(=N)N1C2=CC=CC=C2C=CC2=CC(=O)C(=O)C=C12</t>
  </si>
  <si>
    <t>GONNJNYLBPEEPH-UHFFFAOYSA-N</t>
  </si>
  <si>
    <t>C15H10N2O3</t>
  </si>
  <si>
    <t>6.90_537.1172m/z</t>
  </si>
  <si>
    <t>Cefluprenam</t>
  </si>
  <si>
    <t>HMDB0249765</t>
  </si>
  <si>
    <t>CC[N+](C)(CC=CC1=C(N2C(SC1)C(NC(=O)C(=NOCF)C1=NSC(N)=N1)C2=O)C([O-])=O)CC(N)=O</t>
  </si>
  <si>
    <t>XAKKNLNAJBNLPC-UHFFFAOYSA-N</t>
  </si>
  <si>
    <t>C20H25FN8O6S2</t>
  </si>
  <si>
    <t>9.73_315.1967m/z</t>
  </si>
  <si>
    <t>(ent-6alpha,7alpha)-6,7-Dihydroxy-16-kauren-19-oic acid</t>
  </si>
  <si>
    <t>HMDB0036763</t>
  </si>
  <si>
    <t>C11876</t>
  </si>
  <si>
    <t>26109-32-0</t>
  </si>
  <si>
    <t>CC12CCCC(C)(C1C(O)C(O)C13CC(CCC21)C(=C)C3)C(O)=O</t>
  </si>
  <si>
    <t>MXCZWKLLVGCJTB-UHFFFAOYSA-N</t>
  </si>
  <si>
    <t>7.70_579.1805m/z</t>
  </si>
  <si>
    <t>Aurin</t>
  </si>
  <si>
    <t>HMDB0248730</t>
  </si>
  <si>
    <t>C14213</t>
  </si>
  <si>
    <t>603-45-2</t>
  </si>
  <si>
    <t>OC1=CC=C(C=C1)C(C1=CC=C(O)C=C1)=C1C=CC(=O)C=C1</t>
  </si>
  <si>
    <t>FYEHYMARPSSOBO-UHFFFAOYSA-N</t>
  </si>
  <si>
    <t>C19H14O3</t>
  </si>
  <si>
    <t>9.60_431.3169m/z</t>
  </si>
  <si>
    <t>3beta,5alpha,6beta-Trihydroxycholestan-(25R)26-oic acid</t>
  </si>
  <si>
    <t>LMST04030238</t>
  </si>
  <si>
    <t>[C@]12(C[C@@H](O)[C@@]3(O)C[C@@H](O)CC[C@]3(C)[C@@]1([H])CC[C@]1(C)[C@@]([H])([C@@](C)([H])CCC[C@@H](C)C(=O)O)CC[C@@]21[H])[H]</t>
  </si>
  <si>
    <t>LMWUOMGULHFSQR-HDEGCWFHSA-N</t>
  </si>
  <si>
    <t>C27H46O5</t>
  </si>
  <si>
    <t>9.99_311.2226m/z</t>
  </si>
  <si>
    <t>9,10-epoxy-13-oxo-11-octadecenoic acid</t>
  </si>
  <si>
    <t>LMFA02000279</t>
  </si>
  <si>
    <t>C1(OC1CCCCCCCC(=O)O)/C=C/C(=O)CCCCC</t>
  </si>
  <si>
    <t>BJIKXWWZEPAKQC-BUHFOSPRSA-N</t>
  </si>
  <si>
    <t>13.18_435.3482m/z</t>
  </si>
  <si>
    <t>(Z,Z,Z)-11,14,17-Eicosatrienyl 4-methylvalerate</t>
  </si>
  <si>
    <t>LMFA07010565</t>
  </si>
  <si>
    <t>O=C(CCC(C)C)OCCCCCCCCCC/C=C\C/C=C\C/C=C\CC</t>
  </si>
  <si>
    <t>ACYOLBBKHJUMSO-AGRJPVHOSA-N</t>
  </si>
  <si>
    <t>Fatty alcohol esters</t>
  </si>
  <si>
    <t>C26H46O2</t>
  </si>
  <si>
    <t>7.37_403.1882m/z</t>
  </si>
  <si>
    <t>Itopride</t>
  </si>
  <si>
    <t>HMDB0253722</t>
  </si>
  <si>
    <t>COC1=C(OC)C=C(C=C1)C(=O)NCC1=CC=C(OCCN(C)C)C=C1</t>
  </si>
  <si>
    <t>QQQIECGTIMUVDS-UHFFFAOYSA-N</t>
  </si>
  <si>
    <t>C20H26N2O4</t>
  </si>
  <si>
    <t>9.07_267.1238m/z</t>
  </si>
  <si>
    <t>3,5-Diisopropylsalicylic acid</t>
  </si>
  <si>
    <t>HMDB0246059</t>
  </si>
  <si>
    <t>CC(C)C1=CC(C(C)C)=C(O)C(=C1)C(O)=O</t>
  </si>
  <si>
    <t>XUFUYOGWFZSHGE-UHFFFAOYSA-N</t>
  </si>
  <si>
    <t>14.48_654.5681m/z</t>
  </si>
  <si>
    <t>DG(18:0/0:0/18:1(9Z)-O(12,13))</t>
  </si>
  <si>
    <t>HMDB0295933</t>
  </si>
  <si>
    <t>CCCCCCCCCCCCCCCCCC(=O)OC[C@@H](O)COC(=O)CCCCCCC\C=C/CC1OC1CCCCC</t>
  </si>
  <si>
    <t>AFWZQXYZCSINMO-APTJQQSTSA-N</t>
  </si>
  <si>
    <t>C39H72O6</t>
  </si>
  <si>
    <t>7.96_251.1276m/z</t>
  </si>
  <si>
    <t>Etrogol</t>
  </si>
  <si>
    <t>HMDB0039101</t>
  </si>
  <si>
    <t>119417-97-9</t>
  </si>
  <si>
    <t>CC(C)=CCOC1=CC=C(CCO)C=C1</t>
  </si>
  <si>
    <t>IBVFUNAQXWFZQB-UHFFFAOYSA-N</t>
  </si>
  <si>
    <t>14.63_530.4583m/z</t>
  </si>
  <si>
    <t>Cer(d16:1/18:3(10,12,15)-OH(9))</t>
  </si>
  <si>
    <t>HMDB0289881</t>
  </si>
  <si>
    <t>[H][C@@](CO)(NC(=O)CCCCCCCC(O)\C=C\C=C\C\C=C\CC)[C@H](O)\C=C\CCCCCCCCCCC</t>
  </si>
  <si>
    <t>KJKSWATVKBVFDQ-QOMNMZHNSA-N</t>
  </si>
  <si>
    <t>C34H61NO4</t>
  </si>
  <si>
    <t>5.23_383.1537m/z</t>
  </si>
  <si>
    <t>3b,16a-Dihydroxyandrostenone sulfate</t>
  </si>
  <si>
    <t>HMDB0062544</t>
  </si>
  <si>
    <t>LMST05020022</t>
  </si>
  <si>
    <t>4873-65-8</t>
  </si>
  <si>
    <t>[C@]12(CC=C3C[C@@H](OS(O)(=O)=O)CC[C@]3(C)[C@@]1([H])CC[C@]1(C)C(=O)[C@H](O)C[C@@]21[H])[H]</t>
  </si>
  <si>
    <t>ALBNSVAJDFJRKQ-DNKQKWOHSA-N</t>
  </si>
  <si>
    <t>C19H28O6S</t>
  </si>
  <si>
    <t>4.94_697.2677m/z</t>
  </si>
  <si>
    <t>5-[(3S)-1,2-Dithiolan-3-yl]pentanoylcarnitine</t>
  </si>
  <si>
    <t>HMDB0241906</t>
  </si>
  <si>
    <t>C[N+](C)(C)CC(CC([O-])=O)OC(=O)CCCCC1CCSS1</t>
  </si>
  <si>
    <t>OCXQKUQLUPSAMX-UHFFFAOYSA-N</t>
  </si>
  <si>
    <t>C15H27NO4S2</t>
  </si>
  <si>
    <t>8.58_939.5866m/z</t>
  </si>
  <si>
    <t>PE(LTE4/22:1(13Z))</t>
  </si>
  <si>
    <t>HMDB0283853</t>
  </si>
  <si>
    <t>CCCCCCCC\C=C/CCCCCCCCCCCC(=O)O[C@H](COC(=O)[C@@H](N)CS[C@H](\C=C\C=C\C=C/C\C=C/CCCCC)[C@@H](O)CCCC(O)=O)COP(O)(=O)OCCN</t>
  </si>
  <si>
    <t>FZEZXTFZUSAKFF-IJHSBAGKSA-N</t>
  </si>
  <si>
    <t>C50H89N2O11PS</t>
  </si>
  <si>
    <t>11.17_959.6839m/z</t>
  </si>
  <si>
    <t>PC(6 keto-PGF1alpha/24:0)</t>
  </si>
  <si>
    <t>HMDB0288623</t>
  </si>
  <si>
    <t>CCCCCCCCCCCCCCCCCCCCCCCC(=O)O[C@H](COC(=O)CCCCC(=O)C[C@H]1[C@@H](O)C[C@@H](O)[C@@H]1\C=C\[C@@H](O)CCCCC)COP([O-])(=O)OCC[N+](C)(C)C</t>
  </si>
  <si>
    <t>JVSKMCITDIGXPT-WSMZYKRJSA-N</t>
  </si>
  <si>
    <t>C52H98NO12P</t>
  </si>
  <si>
    <t>4.75_217.0615m/z</t>
  </si>
  <si>
    <t>4-Hydroxy-1H-indole-3-acetonitrile</t>
  </si>
  <si>
    <t>HMDB0038462</t>
  </si>
  <si>
    <t>118573-52-7</t>
  </si>
  <si>
    <t>OC1=CC=CC2=C1C(CC#N)=CN2</t>
  </si>
  <si>
    <t>RWBSUCOEZMIDSA-UHFFFAOYSA-N</t>
  </si>
  <si>
    <t>C10H8N2O</t>
  </si>
  <si>
    <t>11.21_345.2435m/z</t>
  </si>
  <si>
    <t>7-HDoHE</t>
  </si>
  <si>
    <t>HMDB0060050</t>
  </si>
  <si>
    <t>CC\C=C/C\C=C/C\C=C/C\C=C/C=C\C(O)C\C=C/CCC(O)=O</t>
  </si>
  <si>
    <t>OZXAIGIRPOOJTI-VLGMZSPHSA-N</t>
  </si>
  <si>
    <t>11.25_296.2359n</t>
  </si>
  <si>
    <t>18-Hydroxyoctadecadienoic acid</t>
  </si>
  <si>
    <t>HMDB0244806</t>
  </si>
  <si>
    <t>OCCCCCCCCCCCCCC=CC=CC(O)=O</t>
  </si>
  <si>
    <t>LSFQETKRPYYPIB-UHFFFAOYSA-N</t>
  </si>
  <si>
    <t>10.41_528.3095m/z</t>
  </si>
  <si>
    <t>PE(22:4(7Z,10Z,13Z,16Z)/0:0)</t>
  </si>
  <si>
    <t>HMDB0011523</t>
  </si>
  <si>
    <t>LMGP02050014</t>
  </si>
  <si>
    <t>[C@](COP(=O)(O)OCCN)([H])(O)COC(CCCCC/C=C\C/C=C\C/C=C\C/C=C\CCCCC)=O</t>
  </si>
  <si>
    <t>NJHKGJJIKOCCMZ-YMIVKDKMSA-N</t>
  </si>
  <si>
    <t>C27H48NO7P</t>
  </si>
  <si>
    <t>4.16_635.3051m/z</t>
  </si>
  <si>
    <t>Fluvoxamine</t>
  </si>
  <si>
    <t>C07571</t>
  </si>
  <si>
    <t>54739-18-3</t>
  </si>
  <si>
    <t>COCCCCC(=NOCCN)C1=CC=C(C=C1)C(F)(F)F</t>
  </si>
  <si>
    <t>CJOFXWAVKWHTFT-XSFVSMFZSA-N</t>
  </si>
  <si>
    <t>C15H21F3N2O2</t>
  </si>
  <si>
    <t>13.51_417.2239m/z</t>
  </si>
  <si>
    <t>4-(Methylnitrosamino)-1-(3-pyridyl)-1-butanol</t>
  </si>
  <si>
    <t>HMDB0041809</t>
  </si>
  <si>
    <t>C19574</t>
  </si>
  <si>
    <t>hsa00980,hsa05204</t>
  </si>
  <si>
    <t>Metabolism of xenobiotics by cytochrome P450|Chemical carcinogenesis - DNA adducts</t>
  </si>
  <si>
    <t>76014-81-8</t>
  </si>
  <si>
    <t>CN(CCCC(O)C1=CN=CC=C1)N=O</t>
  </si>
  <si>
    <t>OGRXKBUCZFFSTL-UHFFFAOYSA-N</t>
  </si>
  <si>
    <t>C10H15N3O2</t>
  </si>
  <si>
    <t>5.18_336.1567m/z</t>
  </si>
  <si>
    <t>Furylacryloylalanyllysine</t>
  </si>
  <si>
    <t>HMDB0247373</t>
  </si>
  <si>
    <t>CC(NC(=O)C=CC1=CC=CO1)C(=O)NC(CCCCN)C(O)=O</t>
  </si>
  <si>
    <t>BZUABSYGNBFITP-UHFFFAOYSA-N</t>
  </si>
  <si>
    <t>C16H23N3O5</t>
  </si>
  <si>
    <t>12.71_455.1918m/z</t>
  </si>
  <si>
    <t>Scorzoside</t>
  </si>
  <si>
    <t>HMDB0040713</t>
  </si>
  <si>
    <t>106009-45-4</t>
  </si>
  <si>
    <t>CC1C2CC(OC3OC(CO)C(O)C(O)C3O)C(=C)C3CCC(=C)C3C2OC1=O</t>
  </si>
  <si>
    <t>RCMFOCNCKTYXQN-UHFFFAOYSA-N</t>
  </si>
  <si>
    <t>C21H30O8</t>
  </si>
  <si>
    <t>0.74_84.0814n</t>
  </si>
  <si>
    <t>1-Methylpyrrolinium</t>
  </si>
  <si>
    <t>HMDB0060253</t>
  </si>
  <si>
    <t>C06178</t>
  </si>
  <si>
    <t>C[N+]1=CCCC1</t>
  </si>
  <si>
    <t>FDWZAOGDOVQOLD-UHFFFAOYSA-N</t>
  </si>
  <si>
    <t>Pyrrolines</t>
  </si>
  <si>
    <t>C5H10N+</t>
  </si>
  <si>
    <t>11.09_310.1552m/z</t>
  </si>
  <si>
    <t>Cinereain</t>
  </si>
  <si>
    <t>HMDB0035218</t>
  </si>
  <si>
    <t>117013-51-1</t>
  </si>
  <si>
    <t>CC(C)\C=C1\NC(=O)C(C(C)C)N2C(=O)C3=C(OC=CC=C3)N=C12</t>
  </si>
  <si>
    <t>CCHUDPANZXHQCS-UKTHLTGXSA-N</t>
  </si>
  <si>
    <t>C18H21N3O3</t>
  </si>
  <si>
    <t>1.57_189.1239m/z</t>
  </si>
  <si>
    <t>Ile Gly</t>
  </si>
  <si>
    <t>CCC(C)C(C(=O)NCC(=O)[O-])[NH3+]</t>
  </si>
  <si>
    <t>UCGDDTHMMVWVMV-FSPLSTOPSA-N</t>
  </si>
  <si>
    <t>13.43_271.2752m/z</t>
  </si>
  <si>
    <t>Palmitoleamide</t>
  </si>
  <si>
    <t>LMFA08010010</t>
  </si>
  <si>
    <t>C(CCCCCCC(=O)N)/C=C\CCCCCC</t>
  </si>
  <si>
    <t>YRPQTVNCCVPGFA-FPLPWBNLSA-N</t>
  </si>
  <si>
    <t>9.97_279.1965m/z</t>
  </si>
  <si>
    <t>12S-HHTrE</t>
  </si>
  <si>
    <t>HMDB0012535</t>
  </si>
  <si>
    <t>LMFA03050002</t>
  </si>
  <si>
    <t>C20388</t>
  </si>
  <si>
    <t>54397-84-1</t>
  </si>
  <si>
    <t>C(=C/C/C=C/C=C/[C@@H](O)CCCCC)/CCCC(=O)O</t>
  </si>
  <si>
    <t>KUKJHGXXZWHSBG-WBGSEQOASA-N</t>
  </si>
  <si>
    <t>0.77_377.0710m/z</t>
  </si>
  <si>
    <t>6-Methyl 2-galloylgalactarate</t>
  </si>
  <si>
    <t>HMDB0036934</t>
  </si>
  <si>
    <t>COC(=O)C(O)C(O)C(O)C(OC(=O)C1=CC(O)=C(O)C(O)=C1)C(O)=O</t>
  </si>
  <si>
    <t>UVUGMMKTRWZGRA-UHFFFAOYSA-N</t>
  </si>
  <si>
    <t>C14H16O12</t>
  </si>
  <si>
    <t>9.56_271.2068m/z</t>
  </si>
  <si>
    <t>5alpha-dihydrotesosterone</t>
  </si>
  <si>
    <t>HMDB0002961</t>
  </si>
  <si>
    <t>LMST02020042</t>
  </si>
  <si>
    <t>C03917</t>
  </si>
  <si>
    <t>hsa00140,hsa05200,hsa05215</t>
  </si>
  <si>
    <t>Steroid hormone biosynthesis|Pathways in cancer|Prostate cancer</t>
  </si>
  <si>
    <t>R-HSA-1430728,R-HSA-162582,R-HSA-193048,R-HSA-194315,R-HSA-195258,R-HSA-196071,R-HSA-212436,R-HSA-2262752,R-HSA-3371497,R-HSA-556833,R-HSA-5625740,R-HSA-5625886,R-HSA-73857,R-HSA-74160,R-HSA-8878166,R-HSA-8940973,R-HSA-8941326,R-HSA-8953897,R-HSA-8957322,R-HSA-9716542</t>
  </si>
  <si>
    <t>Metabolism|Signal Transduction|Androgen biosynthesis|Signaling by Rho GTPases|RHO GTPase Effectors|Metabolism of steroid hormones|Generic Transcription Pathway|Cellular responses to stress|HSP90 chaperone cycle for steroid hormone receptors (SHR) in the presence of ligand|Metabolism of lipids|RHO GTPases activate PKNs|Activated PKN1 stimulates transcription of AR (androgen receptor) regulated genes KLK2 and KLK3|RNA Polymerase II Transcription|Gene expression (Transcription)|Transcriptional regulation by RUNX2|RUNX2 regulates osteoblast differentiation|RUNX2 regulates bone development|Cellular responses to stimuli|Metabolism of steroids|Signaling by Rho GTPases, Miro GTPases and RHOBTB3</t>
  </si>
  <si>
    <t>521-18-6</t>
  </si>
  <si>
    <t>C1[C@]2(C)[C@@]3([H])CC[C@]4(C)[C@@H](O)CC[C@@]4([H])[C@]3([H])CC[C@@]2([H])CC(=O)C1</t>
  </si>
  <si>
    <t>NVKAWKQGWWIWPM-ABEVXSGRSA-N</t>
  </si>
  <si>
    <t>7.24_326.0989m/z</t>
  </si>
  <si>
    <t>trans-p-Coumaroyl beta-D-glucopyranoside</t>
  </si>
  <si>
    <t>HMDB0302089</t>
  </si>
  <si>
    <t>C16827</t>
  </si>
  <si>
    <t>OC[C@H]1O[C@@H](OC(=O)\C=C\C2=CC=C(O)C=C2)[C@H](O)[C@@H](O)[C@@H]1O</t>
  </si>
  <si>
    <t>DSNCQKUYZOSARM-QVLXMGEUSA-N</t>
  </si>
  <si>
    <t>C15H18O8</t>
  </si>
  <si>
    <t>6.27_433.2787m/z</t>
  </si>
  <si>
    <t>Dactimicin</t>
  </si>
  <si>
    <t>HMDB0250824</t>
  </si>
  <si>
    <t>COC1C(O)C(N)C(OC2OC(CCC2N)C(C)N)C(O)C1N(C)C(=O)CNC=N</t>
  </si>
  <si>
    <t>VFBPKQSATYZKRX-UHFFFAOYSA-N</t>
  </si>
  <si>
    <t>C18H36N6O6</t>
  </si>
  <si>
    <t>9.66_537.3813m/z</t>
  </si>
  <si>
    <t>Behenylserotonin</t>
  </si>
  <si>
    <t>LMFA08020351</t>
  </si>
  <si>
    <t>C(NCCC1=CNC2=CC=C(O)C=C12)(=O)CCCCCCCCCCCCCCCCCCCCC</t>
  </si>
  <si>
    <t>XNISEOLHGQOJHH-UHFFFAOYSA-N</t>
  </si>
  <si>
    <t>C32H54N2O2</t>
  </si>
  <si>
    <t>9.79_463.0399m/z</t>
  </si>
  <si>
    <t>6-Cyano-7-nitroquinoxaline-2,3-dione</t>
  </si>
  <si>
    <t>HMDB0250384</t>
  </si>
  <si>
    <t>C13668</t>
  </si>
  <si>
    <t>115066-14-3</t>
  </si>
  <si>
    <t>[O-][N+](=O)C1=CC2=C(NC(=O)C(=O)N2)C=C1C#N</t>
  </si>
  <si>
    <t>RPXVIAFEQBNEAX-UHFFFAOYSA-N</t>
  </si>
  <si>
    <t>C9H4N4O4</t>
  </si>
  <si>
    <t>11.07_379.2040m/z</t>
  </si>
  <si>
    <t>JWH 015-d7</t>
  </si>
  <si>
    <t>1346601-16-8</t>
  </si>
  <si>
    <t>CCCN1C(=C(C2=CC=CC=C21)C(=O)C3=CC=CC4=CC=CC=C43)C</t>
  </si>
  <si>
    <t>LJSBBBWQTLXQEN-NORAUYJISA-N</t>
  </si>
  <si>
    <t>C23H14D7NO</t>
  </si>
  <si>
    <t>12.66_212.2014m/z</t>
  </si>
  <si>
    <t>13-amino-tridecanoic acid</t>
  </si>
  <si>
    <t>LMFA01100006</t>
  </si>
  <si>
    <t>C(CCCCCCCCCCCCN)(=O)O</t>
  </si>
  <si>
    <t>YHNQOXAUNKFXNZ-UHFFFAOYSA-N</t>
  </si>
  <si>
    <t>C13H27NO2</t>
  </si>
  <si>
    <t>11.92_364.3431m/z</t>
  </si>
  <si>
    <t>1-O-(2-methoxy-hexadecyl)-sn-glycerol</t>
  </si>
  <si>
    <t>LMGL01020037</t>
  </si>
  <si>
    <t>C(CCCCCC(OC)COC[C@@](O)(CO)[H])CCCCCCCC</t>
  </si>
  <si>
    <t>LMVRXHKEYGPTCX-XJDOXCRVSA-N</t>
  </si>
  <si>
    <t>C20H42O4</t>
  </si>
  <si>
    <t>3.33_231.0451m/z</t>
  </si>
  <si>
    <t>mafenide</t>
  </si>
  <si>
    <t>HMDB0254296</t>
  </si>
  <si>
    <t>C07106</t>
  </si>
  <si>
    <t>138-39-6</t>
  </si>
  <si>
    <t>NCC1=CC=C(C=C1)S(N)(=O)=O</t>
  </si>
  <si>
    <t>TYMRLRRVMHJFTF-UHFFFAOYSA-N</t>
  </si>
  <si>
    <t>9.24_239.0501m/z</t>
  </si>
  <si>
    <t>Preparation 11</t>
  </si>
  <si>
    <t>HMDB0256765</t>
  </si>
  <si>
    <t>CCOC(=O)COP(=S)(OCC)OCC</t>
  </si>
  <si>
    <t>FCZCIXQGZOUIDN-UHFFFAOYSA-N</t>
  </si>
  <si>
    <t>C8H17O5PS</t>
  </si>
  <si>
    <t>5.94_235.1336m/z</t>
  </si>
  <si>
    <t>3alpha-Hydroxyoreadone</t>
  </si>
  <si>
    <t>HMDB0036047</t>
  </si>
  <si>
    <t>124869-06-3</t>
  </si>
  <si>
    <t>CC1(C)C(O)CC(=O)C2C3C(O)OCC3=CCC12</t>
  </si>
  <si>
    <t>QWJVXAZUVABFEO-UHFFFAOYSA-N</t>
  </si>
  <si>
    <t>Naphthofurans</t>
  </si>
  <si>
    <t>C14H20O4</t>
  </si>
  <si>
    <t>4.02_235.0585m/z</t>
  </si>
  <si>
    <t>4-Methyl-1-homopiperazinedithiocarboxylic acid</t>
  </si>
  <si>
    <t>HMDB0252284</t>
  </si>
  <si>
    <t>CN1CCCN(CC1)C(S)=S</t>
  </si>
  <si>
    <t>UMRORFKGYQPUGR-UHFFFAOYSA-N</t>
  </si>
  <si>
    <t>Diazepanes</t>
  </si>
  <si>
    <t>1,4-diazepanes</t>
  </si>
  <si>
    <t>C7H14N2S2</t>
  </si>
  <si>
    <t>10.31_594.3028m/z</t>
  </si>
  <si>
    <t>PS(20:2(11Z,14Z)/0:0)</t>
  </si>
  <si>
    <t>LMGP03050021</t>
  </si>
  <si>
    <t>C(O)(=O)[C@@]([H])(N)COP(OC[C@]([H])(O)COC(CCCCCCCCC/C=C\C/C=C\CCCCC)=O)(=O)O</t>
  </si>
  <si>
    <t>ZLBMVWNMXQYAGW-POMKQTDJSA-N</t>
  </si>
  <si>
    <t>C26H48NO9P</t>
  </si>
  <si>
    <t>9.65_502.2810m/z</t>
  </si>
  <si>
    <t>DIHYDROGEDUNIN</t>
  </si>
  <si>
    <t>CC(=O)OC1CC2C(C(=O)CCC2(C3C1(C45C(O4)C(=O)OC(C5(CC3)C)C6=COC=C6)C)C)(C)C</t>
  </si>
  <si>
    <t>ROWFSYNHZPRCKO-UHFFFAOYSA-N</t>
  </si>
  <si>
    <t>C28H36O7</t>
  </si>
  <si>
    <t>3.61_294.0593n</t>
  </si>
  <si>
    <t>3,4-Bis(carboxymethyl)-3,4-dihydroxyhexanedioic acid</t>
  </si>
  <si>
    <t>HMDB0258023</t>
  </si>
  <si>
    <t>OC(=O)CC(O)(CC(O)=O)C(O)(CC(O)=O)CC(O)=O</t>
  </si>
  <si>
    <t>SZRYIORVLGWZEK-UHFFFAOYSA-N</t>
  </si>
  <si>
    <t>C10H14O10</t>
  </si>
  <si>
    <t>9.85_348.3392m/z</t>
  </si>
  <si>
    <t>(15Z)-tetracosenoate</t>
  </si>
  <si>
    <t>HMDB0303950</t>
  </si>
  <si>
    <t>[H]\C(CCCCCCCC)=C(/[H])CCCCCCCCCCCCCC([O-])=O</t>
  </si>
  <si>
    <t>GWHCXVQVJPWHRF-KTKRTIGZSA-M</t>
  </si>
  <si>
    <t>C24H45O2-</t>
  </si>
  <si>
    <t>4.50_229.0886m/z</t>
  </si>
  <si>
    <t>Ergothioneine</t>
  </si>
  <si>
    <t>HMDB0003045</t>
  </si>
  <si>
    <t>C05570</t>
  </si>
  <si>
    <t>497-30-3</t>
  </si>
  <si>
    <t>C[N+](C)(C)[C@@H](CC1=CNC(=S)N1)C([O-])=O</t>
  </si>
  <si>
    <t>SSISHJJTAXXQAX-ZETCQYMHSA-N</t>
  </si>
  <si>
    <t>C9H16N3O2S+</t>
  </si>
  <si>
    <t>0.82_161.0273n</t>
  </si>
  <si>
    <t>2-oxo-5-methylthiopentanoate</t>
  </si>
  <si>
    <t>HMDB0304082</t>
  </si>
  <si>
    <t>CSCCCC(=O)C([O-])=O</t>
  </si>
  <si>
    <t>MPJMAJLPWRBNBU-UHFFFAOYSA-M</t>
  </si>
  <si>
    <t>C6H9O3S-</t>
  </si>
  <si>
    <t>10.33_262.0908m/z</t>
  </si>
  <si>
    <t>N-(2-(Mercaptomethyl)-3-phenylbutanoyl)-L-alanine</t>
  </si>
  <si>
    <t>HMDB0257118</t>
  </si>
  <si>
    <t>CC(NC(=O)C(CS)C(C)C1=CC=CC=C1)C(O)=O</t>
  </si>
  <si>
    <t>ABBSOQIXYPZCKO-UHFFFAOYSA-N</t>
  </si>
  <si>
    <t>C14H19NO3S</t>
  </si>
  <si>
    <t>0.82_176.0303m/z</t>
  </si>
  <si>
    <t>Ascorbic acid</t>
  </si>
  <si>
    <t>HMDB0000044</t>
  </si>
  <si>
    <t>C01041</t>
  </si>
  <si>
    <t>R-HSA-1474244,R-HSA-1474290,R-HSA-1650814</t>
  </si>
  <si>
    <t>Extracellular matrix organization|Collagen formation|Collagen biosynthesis and modifying enzymes</t>
  </si>
  <si>
    <t>50-81-7</t>
  </si>
  <si>
    <t>[H][C@@]1(OC(=O)C(O)=C1O)[C@@H](O)CO</t>
  </si>
  <si>
    <t>CIWBSHSKHKDKBQ-JLAZNSOCSA-N</t>
  </si>
  <si>
    <t>8.58_631.4569m/z</t>
  </si>
  <si>
    <t>DG(i-13:0/22:6(5Z,8E,10Z,13Z,15E,19Z)-2OH(7S, 17S)/0:0)</t>
  </si>
  <si>
    <t>HMDB0298653</t>
  </si>
  <si>
    <t>CC\C=C/C[C@H](O)\C=C\C=C/C\C=C/C=C/[C@H](O)\C=C/CCCC(=O)O[C@@H](CO)COC(=O)CCCCCCCCCC(C)C</t>
  </si>
  <si>
    <t>AJLAQLWZGYGONU-RNILTPRMSA-N</t>
  </si>
  <si>
    <t>C38H62O7</t>
  </si>
  <si>
    <t>0.87_263.0084m/z</t>
  </si>
  <si>
    <t>1,4-Butanediphosphonic acid</t>
  </si>
  <si>
    <t>HMDB0244204</t>
  </si>
  <si>
    <t>OP(O)(=O)CCCCP(O)(O)=O</t>
  </si>
  <si>
    <t>JKTORXLUQLQJCM-UHFFFAOYSA-N</t>
  </si>
  <si>
    <t>C4H12O6P2</t>
  </si>
  <si>
    <t>13.51_340.2856m/z</t>
  </si>
  <si>
    <t>Crassumol A</t>
  </si>
  <si>
    <t>LMPR01040118</t>
  </si>
  <si>
    <t>C1[C@](O)(C(O)(C)C)CCC(C)=CCCC(C)=CCC[C@@](O)(C)C=1</t>
  </si>
  <si>
    <t>DDUWQTPSMMTVDA-GSZALPCJSA-N</t>
  </si>
  <si>
    <t>6.33_225.1129m/z</t>
  </si>
  <si>
    <t>Senkyunolide N</t>
  </si>
  <si>
    <t>HMDB0302272</t>
  </si>
  <si>
    <t>CCCCC1OC(=O)C2=C1CCC(O)C2O</t>
  </si>
  <si>
    <t>AXRIHSJZHOTGAE-UHFFFAOYSA-N</t>
  </si>
  <si>
    <t>5.59_365.2335m/z</t>
  </si>
  <si>
    <t>3a,11b,21-Trihydroxy-20-oxo-5b-pregnan-18-al</t>
  </si>
  <si>
    <t>HMDB0006753</t>
  </si>
  <si>
    <t>C05474</t>
  </si>
  <si>
    <t>CC12CC[C@@H](O)CC1CCC1C3CCC(C(=O)CO)C3(CC(O)C21)C=O</t>
  </si>
  <si>
    <t>YWTDWORQGPLRLL-NDCWLUSSSA-N</t>
  </si>
  <si>
    <t>9.21_621.3169m/z</t>
  </si>
  <si>
    <t>3-(((4,7-Dimethyl-1,3-benzoxazol-2-yl)methyl)amino)-5-ethyl-6-methylpyridin-2(1H)-one</t>
  </si>
  <si>
    <t>HMDB0244562</t>
  </si>
  <si>
    <t>CCC1=C(C)NC(=O)C(NCC2=NC3=C(C)C=CC(C)=C3O2)=C1</t>
  </si>
  <si>
    <t>VDZJXIOFISBBLT-UHFFFAOYSA-N</t>
  </si>
  <si>
    <t>C18H21N3O2</t>
  </si>
  <si>
    <t>275</t>
  </si>
  <si>
    <t>Triethanolamine</t>
  </si>
  <si>
    <t>HMDB0032538</t>
  </si>
  <si>
    <t>C06771</t>
  </si>
  <si>
    <t>102-71-6</t>
  </si>
  <si>
    <t>OCCN(CCO)CCO</t>
  </si>
  <si>
    <t>GSEJCLTVZPLZKY-UHFFFAOYSA-N</t>
  </si>
  <si>
    <t>C6H15NO3</t>
  </si>
  <si>
    <t>7.41_256.1835n</t>
  </si>
  <si>
    <t>Bakuchiol</t>
  </si>
  <si>
    <t>HMDB0248849</t>
  </si>
  <si>
    <t>CC(C)=CCCC(C)(C=C)C=CC1=CC=C(O)C=C1</t>
  </si>
  <si>
    <t>LFYJSSARVMHQJB-UHFFFAOYSA-N</t>
  </si>
  <si>
    <t>C18H24O</t>
  </si>
  <si>
    <t>8.16_423.2370m/z</t>
  </si>
  <si>
    <t>7-F4-NeuroP</t>
  </si>
  <si>
    <t>LMFA04010007</t>
  </si>
  <si>
    <t>C13819</t>
  </si>
  <si>
    <t>C(CC/C=C\CC(O)/C=C/C1C(O)CC(O)C1C/C=C\C/C=C\CC)(=O)O</t>
  </si>
  <si>
    <t>HLOKCEDYFAXGRQ-UGCWMZKCSA-N</t>
  </si>
  <si>
    <t>0.78_350.0987m/z</t>
  </si>
  <si>
    <t>Entacapone</t>
  </si>
  <si>
    <t>HMDB0012226</t>
  </si>
  <si>
    <t>C07943</t>
  </si>
  <si>
    <t>130929-57-6</t>
  </si>
  <si>
    <t>CCN(CC)C(=O)C(=C\C1=CC(=C(O)C(O)=C1)[N+]([O-])=O)\C#N</t>
  </si>
  <si>
    <t>JRURYQJSLYLRLN-BJMVGYQFSA-N</t>
  </si>
  <si>
    <t>C14H15N3O5</t>
  </si>
  <si>
    <t>10.41_547.2935n</t>
  </si>
  <si>
    <t>Prostaglandin E2 p-benzamidophenyl ester</t>
  </si>
  <si>
    <t>57790-53-1</t>
  </si>
  <si>
    <t>CCCCCC(C=CC1C(CC(=O)C1CC=CCCCC(=O)OC2=CC=C(C=C2)NC(=O)C3=CC=CC=C3)O)O</t>
  </si>
  <si>
    <t>PDKOSADNQUKMKP-QFPSZITRSA-N</t>
  </si>
  <si>
    <t>C33H41NO6</t>
  </si>
  <si>
    <t>11.70_282.1538m/z</t>
  </si>
  <si>
    <t>Thiazinamium</t>
  </si>
  <si>
    <t>HMDB0240235</t>
  </si>
  <si>
    <t>2338-21-8</t>
  </si>
  <si>
    <t>CC(CN1C2=CC=CC=C2SC2=CC=CC=C12)[N+](C)(C)C</t>
  </si>
  <si>
    <t>CDXCCYNINPIWGE-UHFFFAOYSA-N</t>
  </si>
  <si>
    <t>C18H23N2S+</t>
  </si>
  <si>
    <t>5.71_398.0800m/z</t>
  </si>
  <si>
    <t>Isopenicillin N</t>
  </si>
  <si>
    <t>HMDB0253667</t>
  </si>
  <si>
    <t>CC1(C)SC2C(NC(=O)CCCC(N)C(O)=O)C(=O)N2C1C(O)=O</t>
  </si>
  <si>
    <t>MIFYHUACUWQUKT-UHFFFAOYSA-N</t>
  </si>
  <si>
    <t>C14H21N3O6S</t>
  </si>
  <si>
    <t>8.81_349.1230m/z</t>
  </si>
  <si>
    <t>4-amino-N-(4-tert-butylphenyl)benzenesulfonamide</t>
  </si>
  <si>
    <t>CC(C)(C)C1=CC=C(C=C1)NS(=O)(=O)C2=CC=C(C=C2)N</t>
  </si>
  <si>
    <t>QBRHVORBTKVOQZ-UHFFFAOYSA-N</t>
  </si>
  <si>
    <t>C16H20N2O2S</t>
  </si>
  <si>
    <t>5.08_401.1457m/z</t>
  </si>
  <si>
    <t>xi-3-Hydroxy-5-phenylpentanoic acid O-beta-D-Glucopyranoside</t>
  </si>
  <si>
    <t>HMDB0031695</t>
  </si>
  <si>
    <t>OCC1OC(OC(CCC2=CC=CC=C2)CC(O)=O)C(O)C(O)C1O</t>
  </si>
  <si>
    <t>HRYIDVZLDQBLFF-UHFFFAOYSA-N</t>
  </si>
  <si>
    <t>C17H24O8</t>
  </si>
  <si>
    <t>4.35_191.0131m/z</t>
  </si>
  <si>
    <t>2-Amino-2-thiazoline-4-carboxylic acid</t>
  </si>
  <si>
    <t>HMDB0245615</t>
  </si>
  <si>
    <t>NC1=NC(CS1)C(O)=O</t>
  </si>
  <si>
    <t>VHPXSBIFWDAFMB-UHFFFAOYSA-N</t>
  </si>
  <si>
    <t>C4H6N2O2S</t>
  </si>
  <si>
    <t>9.83_165.1278m/z</t>
  </si>
  <si>
    <t>8-undecynoic acid</t>
  </si>
  <si>
    <t>LMFA01030616</t>
  </si>
  <si>
    <t>C(CCCCCCC#CCC)(=O)O</t>
  </si>
  <si>
    <t>DLPZDPDRDROAGT-UHFFFAOYSA-N</t>
  </si>
  <si>
    <t>C11H18O2</t>
  </si>
  <si>
    <t>3.36_401.2044m/z</t>
  </si>
  <si>
    <t>Neotame</t>
  </si>
  <si>
    <t>HMDB0034566</t>
  </si>
  <si>
    <t>165450-17-9</t>
  </si>
  <si>
    <t>COC(=O)C(CC1=CC=CC=C1)NC(=O)C(CC(O)=O)NCCC(C)(C)C</t>
  </si>
  <si>
    <t>HLIAVLHNDJUHFG-UHFFFAOYSA-N</t>
  </si>
  <si>
    <t>C20H30N2O5</t>
  </si>
  <si>
    <t>6.91_186.0347m/z</t>
  </si>
  <si>
    <t>Diethylthiocarbamic acid methyl ester</t>
  </si>
  <si>
    <t>HMDB0251252</t>
  </si>
  <si>
    <t>CCN(CC)C(=S)OC</t>
  </si>
  <si>
    <t>JEUZJMXPVCUAMW-UHFFFAOYSA-N</t>
  </si>
  <si>
    <t>Thiocarbonyl compounds</t>
  </si>
  <si>
    <t>Thiocarbamic acid derivatives</t>
  </si>
  <si>
    <t>C6H13NOS</t>
  </si>
  <si>
    <t>249</t>
  </si>
  <si>
    <t>Erythronic Acid</t>
  </si>
  <si>
    <t>HMDB0000613</t>
  </si>
  <si>
    <t>13752-84-6</t>
  </si>
  <si>
    <t>OC[C@@H](O)[C@@H](O)C(O)=O</t>
  </si>
  <si>
    <t>JPIJQSOTBSSVTP-PWNYCUMCSA-N</t>
  </si>
  <si>
    <t>C4H8O5</t>
  </si>
  <si>
    <t>8.25_271.1188m/z</t>
  </si>
  <si>
    <t>Allixin</t>
  </si>
  <si>
    <t>HMDB0040705</t>
  </si>
  <si>
    <t>125263-70-9</t>
  </si>
  <si>
    <t>CCCCCC1=C(O)C(=O)C(OC)=C(C)O1</t>
  </si>
  <si>
    <t>OHRPDNHRQKOLGN-UHFFFAOYSA-N</t>
  </si>
  <si>
    <t>4.72_263.0513m/z</t>
  </si>
  <si>
    <t>Malonylglycine</t>
  </si>
  <si>
    <t>HMDB0240730</t>
  </si>
  <si>
    <t>OC(=O)CNC(=O)CC(=O)NCC(O)=O</t>
  </si>
  <si>
    <t>UIDDUAFEZLMYMF-UHFFFAOYSA-N</t>
  </si>
  <si>
    <t>C7H10N2O6</t>
  </si>
  <si>
    <t>2.64_187.0604m/z</t>
  </si>
  <si>
    <t>Tetrahydro-2,5-furan-diacetic acid</t>
  </si>
  <si>
    <t>HMDB0059767</t>
  </si>
  <si>
    <t>OC(=O)CC1CCC(CC(O)=O)O1</t>
  </si>
  <si>
    <t>CVYAVSIMBYOCGA-UHFFFAOYSA-N</t>
  </si>
  <si>
    <t>C8H12O5</t>
  </si>
  <si>
    <t>0.77_298.0840m/z</t>
  </si>
  <si>
    <t>Ilepcimide</t>
  </si>
  <si>
    <t>HMDB0248485</t>
  </si>
  <si>
    <t>O=C(C=CC1=CC=C2OCOC2=C1)N1CCCCC1</t>
  </si>
  <si>
    <t>BLPUOQGPBJPXRL-UHFFFAOYSA-N</t>
  </si>
  <si>
    <t>C15H17NO3</t>
  </si>
  <si>
    <t>3.64_227.1398m/z</t>
  </si>
  <si>
    <t>Leucylproline</t>
  </si>
  <si>
    <t>HMDB0011175</t>
  </si>
  <si>
    <t>6403-35-6</t>
  </si>
  <si>
    <t>CC(C)C[C@H](N)C(=O)N1CCC[C@H]1C(O)=O</t>
  </si>
  <si>
    <t>VTJUNIYRYIAIHF-IUCAKERBSA-N</t>
  </si>
  <si>
    <t>8.11_324.1453m/z</t>
  </si>
  <si>
    <t>(±)-Metalaxyl</t>
  </si>
  <si>
    <t>HMDB0031802</t>
  </si>
  <si>
    <t>C10947</t>
  </si>
  <si>
    <t>57837-19-1</t>
  </si>
  <si>
    <t>COCC(=O)N(C(C)C(=O)OC)C1=C(C)C=CC=C1C</t>
  </si>
  <si>
    <t>ZQEIXNIJLIKNTD-UHFFFAOYSA-N</t>
  </si>
  <si>
    <t>C15H21NO4</t>
  </si>
  <si>
    <t>13.51_429.3371m/z</t>
  </si>
  <si>
    <t>4alpha-carboxy-zymosterol</t>
  </si>
  <si>
    <t>HMDB0062385</t>
  </si>
  <si>
    <t>LMST01010152</t>
  </si>
  <si>
    <t>C12CC[C@@]3([H])[C@H](C(O)=O)[C@@H](O)CC[C@]3(C)C=1CC[C@]1(C)[C@@]([H])([C@@](C)([H])CC/C=C(\C)/C)CCC21</t>
  </si>
  <si>
    <t>JHIWIFRQJXLNEU-CEDIQTLQSA-N</t>
  </si>
  <si>
    <t>5.28_246.0895m/z</t>
  </si>
  <si>
    <t>5-Fluoro-2'-deoxycytidine</t>
  </si>
  <si>
    <t>HMDB0244305</t>
  </si>
  <si>
    <t>NC1=NC(=O)N(C=C1F)C1CC(O)C(CO)O1</t>
  </si>
  <si>
    <t>IDYKCXHJJGMAEV-UHFFFAOYSA-N</t>
  </si>
  <si>
    <t>C9H12FN3O4</t>
  </si>
  <si>
    <t>4.27_377.0945m/z</t>
  </si>
  <si>
    <t>Phosphine oxide, diphenyl(2,4,6-trimethoxybenzoyl)-</t>
  </si>
  <si>
    <t>HMDB0254193</t>
  </si>
  <si>
    <t>COC1=CC(OC)=C(C(=O)P(=O)(C2=CC=CC=C2)C2=CC=CC=C2)C(OC)=C1</t>
  </si>
  <si>
    <t>PODOEQVNFJSWIK-UHFFFAOYSA-N</t>
  </si>
  <si>
    <t>C22H21O5P</t>
  </si>
  <si>
    <t>3.65_581.0296m/z</t>
  </si>
  <si>
    <t>Thiamethoxam</t>
  </si>
  <si>
    <t>HMDB0258969</t>
  </si>
  <si>
    <t>CN1COCN(CC2=CN=C(Cl)S2)C1=N[N+]([O-])=O</t>
  </si>
  <si>
    <t>NWWZPOKUUAIXIW-UHFFFAOYSA-N</t>
  </si>
  <si>
    <t>C8H10ClN5O3S</t>
  </si>
  <si>
    <t>10.89_365.2313m/z</t>
  </si>
  <si>
    <t>8S-HETE</t>
  </si>
  <si>
    <t>HMDB0004679</t>
  </si>
  <si>
    <t>LMFA03060006</t>
  </si>
  <si>
    <t>C14776</t>
  </si>
  <si>
    <t>98462-03-4</t>
  </si>
  <si>
    <t>C(=C/CCCC(=O)O)/C[C@H](O)/C=C/C=C\C/C=C\CCCCC</t>
  </si>
  <si>
    <t>NLUNAYAEIJYXRB-VYOQERLCSA-N</t>
  </si>
  <si>
    <t>4.38_377.1600n</t>
  </si>
  <si>
    <t>Imidaprilat</t>
  </si>
  <si>
    <t>HMDB0041908</t>
  </si>
  <si>
    <t>89371-44-8</t>
  </si>
  <si>
    <t>[H][C@@](C)(N[C@@]([H])(CCC1=CC=CC=C1)C(O)=O)C(=O)N1C(=O)N(C)C[C@@]1([H])C(O)=O</t>
  </si>
  <si>
    <t>VFAVNRVDTAPBNR-UBHSHLNASA-N</t>
  </si>
  <si>
    <t>C18H23N3O6</t>
  </si>
  <si>
    <t>10.47_391.2468m/z</t>
  </si>
  <si>
    <t>MG(18:2(9Z,11E)+=O(13)/0:0/0:0)</t>
  </si>
  <si>
    <t>HMDB0260489</t>
  </si>
  <si>
    <t>CCCCCC(=O)\C=C\C=C/CCCCCCCC(=O)OC[C@@H](O)CO</t>
  </si>
  <si>
    <t>BABFYBAGZXSUDH-KUZRAJQRSA-N</t>
  </si>
  <si>
    <t>12.53_361.1680m/z</t>
  </si>
  <si>
    <t>Rabeprazole thioether</t>
  </si>
  <si>
    <t>HMDB0244427</t>
  </si>
  <si>
    <t>COCCCOC1=C(C)C(CSC2=NC3=CC=CC=C3N2)=NC=C1</t>
  </si>
  <si>
    <t>BSXAHDOWMOSVAP-UHFFFAOYSA-N</t>
  </si>
  <si>
    <t>C18H21N3O2S</t>
  </si>
  <si>
    <t>14.78_545.4215m/z</t>
  </si>
  <si>
    <t>1alpha,25-dihydroxy-26,27-dipropylvitamin D3 / 1alpha,25-dihydroxy-26,27-dipropylcholecalciferol</t>
  </si>
  <si>
    <t>LMST03020531</t>
  </si>
  <si>
    <t>[C@@H]1(O)C(=C)/C(=C\C=C2\[C@]3([H])CC[C@@]([C@@](C)([H])CCCC(O)(CCCC)CCCC)([H])[C@@]3(C)CCC\2)/C[C@@H](O)C1</t>
  </si>
  <si>
    <t>ANJWCUOTPXGMEY-SPMLZIRESA-N</t>
  </si>
  <si>
    <t>C33H56O3</t>
  </si>
  <si>
    <t>0.84_136.0353m/z</t>
  </si>
  <si>
    <t>Carboxyiminocarbamic acid</t>
  </si>
  <si>
    <t>HMDB0251146</t>
  </si>
  <si>
    <t>OC(=O)N=NC(O)=O</t>
  </si>
  <si>
    <t>USVVENVKYJZFMW-UHFFFAOYSA-N</t>
  </si>
  <si>
    <t>Azo compounds</t>
  </si>
  <si>
    <t>C2H2N2O4</t>
  </si>
  <si>
    <t>0.78_260.9733m/z</t>
  </si>
  <si>
    <t>Perflubutane</t>
  </si>
  <si>
    <t>HMDB0250914</t>
  </si>
  <si>
    <t>FC(F)(F)C(F)(F)C(F)(F)C(F)(F)F</t>
  </si>
  <si>
    <t>KAVGMUDTWQVPDF-UHFFFAOYSA-N</t>
  </si>
  <si>
    <t>C4F10</t>
  </si>
  <si>
    <t>10.57_428.3746m/z</t>
  </si>
  <si>
    <t>Stearoylcarnitine</t>
  </si>
  <si>
    <t>HMDB0000848</t>
  </si>
  <si>
    <t>25597-09-5</t>
  </si>
  <si>
    <t>CCCCCCCCCCCCCCCCCC(=O)O[C@H](CC(O)=O)C[N+](C)(C)C</t>
  </si>
  <si>
    <t>FNPHNLNTJNMAEE-HSZRJFAPSA-O</t>
  </si>
  <si>
    <t>C25H50NO4+</t>
  </si>
  <si>
    <t>8.09_187.1487m/z</t>
  </si>
  <si>
    <t>7-Ethyl-3,6-dihydro-1,4-dimethylazulene</t>
  </si>
  <si>
    <t>HMDB0036471</t>
  </si>
  <si>
    <t>18454-88-1</t>
  </si>
  <si>
    <t>CCC1=CCC(C)=C2CC=C(C)C2=C1</t>
  </si>
  <si>
    <t>IYOUDNRQMJGGQI-UHFFFAOYSA-N</t>
  </si>
  <si>
    <t>C14H18</t>
  </si>
  <si>
    <t>13.82_581.3711m/z</t>
  </si>
  <si>
    <t>DG(8:0/20:4(6E,8Z,11Z,13E)-2OH(5S,15S)/0:0)</t>
  </si>
  <si>
    <t>HMDB0297207</t>
  </si>
  <si>
    <t>CCCCCCCC(=O)OC[C@H](CO)OC(=O)CCC[C@H](O)\C=C\C=C/C\C=C/C=C/[C@H](O)CCCCC</t>
  </si>
  <si>
    <t>BYGZKILJLWTURC-DXRAVNTASA-N</t>
  </si>
  <si>
    <t>C31H52O7</t>
  </si>
  <si>
    <t>2.08_258.0539m/z</t>
  </si>
  <si>
    <t>1-(3-Carboxypropylcarbamoyl)-5-fluorouracil</t>
  </si>
  <si>
    <t>HMDB0243786</t>
  </si>
  <si>
    <t>OC(=O)CCCNC(=O)N1C=C(F)C(=O)NC1=O</t>
  </si>
  <si>
    <t>SRZFBVWHAXOYNE-UHFFFAOYSA-N</t>
  </si>
  <si>
    <t>C9H10FN3O5</t>
  </si>
  <si>
    <t>5.71_385.0941m/z</t>
  </si>
  <si>
    <t>Chrysin 5-xyloside</t>
  </si>
  <si>
    <t>LMPK12110152</t>
  </si>
  <si>
    <t>C1(O)=CC2OC(C3C=CC=CC=3)=CC(=O)C=2C(O[C@@H]2OC[C@@H](O)[C@H](O)C2O)=C1</t>
  </si>
  <si>
    <t>MMVMGMHYSQJGLO-NULQBSDYSA-N</t>
  </si>
  <si>
    <t>C20H18O8</t>
  </si>
  <si>
    <t>12.66_226.2172m/z</t>
  </si>
  <si>
    <t>2-Decylfuran</t>
  </si>
  <si>
    <t>HMDB0032215</t>
  </si>
  <si>
    <t>83469-85-6</t>
  </si>
  <si>
    <t>CCCCCCCCCCC1=CC=CO1</t>
  </si>
  <si>
    <t>PIBKIYYQPWSUDP-UHFFFAOYSA-N</t>
  </si>
  <si>
    <t>C14H24O</t>
  </si>
  <si>
    <t>7.88_307.0280m/z</t>
  </si>
  <si>
    <t>2-Hydroxyflemichapparin C</t>
  </si>
  <si>
    <t>LMPK12090033</t>
  </si>
  <si>
    <t>C1(OC)C(O)=CC2C3OC4=CC5OCOC=5C=C4C=3C(=O)OC=2C=1</t>
  </si>
  <si>
    <t>QKIMKWTXCITOEA-UHFFFAOYSA-N</t>
  </si>
  <si>
    <t>Coumestans</t>
  </si>
  <si>
    <t>C17H10O7</t>
  </si>
  <si>
    <t>7.07_331.2394m/z</t>
  </si>
  <si>
    <t>Edrophonium</t>
  </si>
  <si>
    <t>HMDB0015145</t>
  </si>
  <si>
    <t>C06976</t>
  </si>
  <si>
    <t>116-38-1</t>
  </si>
  <si>
    <t>CC[N+](C)(C)C1=CC(O)=CC=C1</t>
  </si>
  <si>
    <t>VWLHWLSRQJQWRG-UHFFFAOYSA-O</t>
  </si>
  <si>
    <t>C10H16NO+</t>
  </si>
  <si>
    <t>15.33_591.4634m/z</t>
  </si>
  <si>
    <t>Diepomuricanin A</t>
  </si>
  <si>
    <t>HMDB0040921</t>
  </si>
  <si>
    <t>142733-57-1</t>
  </si>
  <si>
    <t>CCCCCCCCCCCCC1OC1CCC1OC1CCCCCCCCCCCCC1=CC(C)OC1=O</t>
  </si>
  <si>
    <t>MYTQYFDNFPLMAI-UHFFFAOYSA-N</t>
  </si>
  <si>
    <t>4.37_296.0710m/z</t>
  </si>
  <si>
    <t>H-9</t>
  </si>
  <si>
    <t>C1=CC2=C(C=CN=C2)C(=C1)S(=O)(=O)NCCN</t>
  </si>
  <si>
    <t>DCVZSHVZGVWQKV-UHFFFAOYSA-N</t>
  </si>
  <si>
    <t>C11H13N3O2S</t>
  </si>
  <si>
    <t>5.32_539.2499m/z</t>
  </si>
  <si>
    <t>7,11-Bisdeacetylvaltrate 7-(3-methylpentanoate) 11-(3-hydroxy-3-methylbutanoate)</t>
  </si>
  <si>
    <t>HMDB0033655</t>
  </si>
  <si>
    <t>137088-15-4</t>
  </si>
  <si>
    <t>CCC(C)CC(=O)OC1C=C2C(C(OC(=O)CC(C)C)OC=C2COC(=O)CC(C)(C)O)C11CO1</t>
  </si>
  <si>
    <t>OOOMMEPVIHNIQK-UHFFFAOYSA-N</t>
  </si>
  <si>
    <t>C26H38O9</t>
  </si>
  <si>
    <t>9.66_361.1638m/z</t>
  </si>
  <si>
    <t>Isopulegone caffeate</t>
  </si>
  <si>
    <t>HMDB0029566</t>
  </si>
  <si>
    <t>179694-78-1</t>
  </si>
  <si>
    <t>CC(=C)C1CCC(COC(=O)\C=C\C2=CC(O)=C(O)C=C2)CC1</t>
  </si>
  <si>
    <t>SSVXLIRLGPMWSL-UXBLZVDNSA-N</t>
  </si>
  <si>
    <t>C19H24O4</t>
  </si>
  <si>
    <t>1.45_219.0771m/z</t>
  </si>
  <si>
    <t>Tyrosylglycine</t>
  </si>
  <si>
    <t>HMDB0029105</t>
  </si>
  <si>
    <t>673-08-5</t>
  </si>
  <si>
    <t>N[C@@H](CC1=CC=C(O)C=C1)C(=O)NCC(O)=O</t>
  </si>
  <si>
    <t>HPYDSVWYXXKHRD-VIFPVBQESA-N</t>
  </si>
  <si>
    <t>C11H14N2O4</t>
  </si>
  <si>
    <t>12.71_632.4786n</t>
  </si>
  <si>
    <t>PA(O-16:0/16:1(9Z))</t>
  </si>
  <si>
    <t>LMGP10020008</t>
  </si>
  <si>
    <t>[C@](COP(=O)(O)O)([H])(OC(CCCCCCC/C=C\CCCCCC)=O)COCCCCCCCCCCCCCCCC</t>
  </si>
  <si>
    <t>BTZXRXSZMLKIMZ-CVBYVTFXSA-N</t>
  </si>
  <si>
    <t>C35H69O7P</t>
  </si>
  <si>
    <t>0.99_259.1177n</t>
  </si>
  <si>
    <t>Ser Pro Gly</t>
  </si>
  <si>
    <t>C1CC(N(C1)C(=O)C(CO)N)C(=O)NCC(=O)O</t>
  </si>
  <si>
    <t>RHAPJNVNWDBFQI-BQBZGAKWSA-N</t>
  </si>
  <si>
    <t>C10H17N3O5</t>
  </si>
  <si>
    <t>13.51_441.3954m/z</t>
  </si>
  <si>
    <t>Tetracosyl acetate</t>
  </si>
  <si>
    <t>LMFA07010406</t>
  </si>
  <si>
    <t>O(C(=O)C)CCCCCCCCCCCCCCCCCCCCCCCC</t>
  </si>
  <si>
    <t>YNNTYKYGOBKPFT-UHFFFAOYSA-N</t>
  </si>
  <si>
    <t>C26H52O2</t>
  </si>
  <si>
    <t>4.00_395.2041n</t>
  </si>
  <si>
    <t>Leu Thr Tyr</t>
  </si>
  <si>
    <t>CC(C)CC(C(=O)NC(C(C)O)C(=O)NC(CC1=CC=C(C=C1)O)C(=O)O)N</t>
  </si>
  <si>
    <t>HGLKOTPFWOMPOB-MEYUZBJRSA-N</t>
  </si>
  <si>
    <t>C19H29N3O6</t>
  </si>
  <si>
    <t>5.53_221.0789m/z</t>
  </si>
  <si>
    <t>Cytosine</t>
  </si>
  <si>
    <t>HMDB0000630</t>
  </si>
  <si>
    <t>C00380</t>
  </si>
  <si>
    <t>R-HSA-382551,R-HSA-425397,R-HSA-425407,R-HSA-83936</t>
  </si>
  <si>
    <t>Transport of small molecules|Transport of vitamins, nucleosides, and related molecules|SLC-mediated transmembrane transport|Transport of nucleosides and free purine and pyrimidine bases across the plasma membrane</t>
  </si>
  <si>
    <t>71-30-7</t>
  </si>
  <si>
    <t>NC1=CC=NC(=O)N1</t>
  </si>
  <si>
    <t>OPTASPLRGRRNAP-UHFFFAOYSA-N</t>
  </si>
  <si>
    <t>C4H5N3O</t>
  </si>
  <si>
    <t>8.94_463.2317m/z</t>
  </si>
  <si>
    <t>Phenylalanyl-prolyl-arginine</t>
  </si>
  <si>
    <t>HMDB0253027</t>
  </si>
  <si>
    <t>NC(CC1=CC=CC=C1)C(=O)N1CCCC1C(=O)NC(CCCN=C(N)N)C(O)=O</t>
  </si>
  <si>
    <t>NTUPOKHATNSWCY-UHFFFAOYSA-N</t>
  </si>
  <si>
    <t>C20H30N6O4</t>
  </si>
  <si>
    <t>0.60_156.0772m/z</t>
  </si>
  <si>
    <t>3-Aminopicolinic acid</t>
  </si>
  <si>
    <t>HMDB0245821</t>
  </si>
  <si>
    <t>NC1=C(N=CC=C1)C(O)=O</t>
  </si>
  <si>
    <t>BOOMHTFCWOJWFO-UHFFFAOYSA-N</t>
  </si>
  <si>
    <t>C6H6N2O2</t>
  </si>
  <si>
    <t>4.53_257.1030m/z</t>
  </si>
  <si>
    <t>3,4-Methyleneazelaic acid</t>
  </si>
  <si>
    <t>HMDB0059744</t>
  </si>
  <si>
    <t>OC(=O)CCCCC(=C)C(=C)CC(O)=O</t>
  </si>
  <si>
    <t>DHNSTMIMQCKEPC-UHFFFAOYSA-N</t>
  </si>
  <si>
    <t>C11H16O4</t>
  </si>
  <si>
    <t>7.43_334.2364m/z</t>
  </si>
  <si>
    <t>2-Methoxyestradiol-3-methylether</t>
  </si>
  <si>
    <t>HMDB0000344</t>
  </si>
  <si>
    <t>LMST02010052</t>
  </si>
  <si>
    <t>5976-67-0</t>
  </si>
  <si>
    <t>[C@]12(CCC3C=C(OC)C(OC)=CC=3[C@@]1([H])CC[C@]1(C)[C@@H](O)CC[C@@]21[H])[H]</t>
  </si>
  <si>
    <t>AVCFXYYRWRZONV-BKRJIHRRSA-N</t>
  </si>
  <si>
    <t>10.73_226.2172m/z</t>
  </si>
  <si>
    <t>2-Cyclotetradecen-1-one</t>
  </si>
  <si>
    <t>HMDB0039884</t>
  </si>
  <si>
    <t>55395-12-5</t>
  </si>
  <si>
    <t>O=C1CCCCCCCCCCC\C=C\1</t>
  </si>
  <si>
    <t>RYRDADIPPFMIQM-ZRDIBKRKSA-N</t>
  </si>
  <si>
    <t>3.75_578.2532m/z</t>
  </si>
  <si>
    <t>Quizartinib</t>
  </si>
  <si>
    <t>HMDB0257064</t>
  </si>
  <si>
    <t>CC(C)(C)C1=CC(NC(=O)NC2=CC=C(C=C2)C2=CN3C(SC4=C3C=CC(OCCN3CCOCC3)=C4)=N2)=NO1</t>
  </si>
  <si>
    <t>CVWXJKQAOSCOAB-UHFFFAOYSA-N</t>
  </si>
  <si>
    <t>C29H32N6O4S</t>
  </si>
  <si>
    <t>13.91_517.3888m/z</t>
  </si>
  <si>
    <t>22-Acetylpriverogenin B</t>
  </si>
  <si>
    <t>HMDB0034645</t>
  </si>
  <si>
    <t>26339-94-6</t>
  </si>
  <si>
    <t>CC(=O)OC1CC(C)(C)CC2C11COC22CCC3C4(C)CCC(O)C(C)(C)C4CCC3(C)C2(C)CC1O</t>
  </si>
  <si>
    <t>ASSAYFMXRNLTCY-UHFFFAOYSA-N</t>
  </si>
  <si>
    <t>C32H52O5</t>
  </si>
  <si>
    <t>7.84_364.0985m/z</t>
  </si>
  <si>
    <t>Lykurim</t>
  </si>
  <si>
    <t>HMDB0254257</t>
  </si>
  <si>
    <t>CS(=O)(=O)OCCNCC(O)C(O)CNCCOS(C)(=O)=O</t>
  </si>
  <si>
    <t>BYZJBHCTZJGJFV-UHFFFAOYSA-N</t>
  </si>
  <si>
    <t>C10H24N2O8S2</t>
  </si>
  <si>
    <t>3.46_274.1770m/z</t>
  </si>
  <si>
    <t>Ala Ala Ile</t>
  </si>
  <si>
    <t>CCC(C)C(C(=O)O)NC(=O)C(C)NC(=O)C(C)N</t>
  </si>
  <si>
    <t>LGQPPBQRUBVTIF-JBDRJPRFSA-N</t>
  </si>
  <si>
    <t>C12H23N3O4</t>
  </si>
  <si>
    <t>4.14_370.0717m/z</t>
  </si>
  <si>
    <t>isoxazolyl penicillin</t>
  </si>
  <si>
    <t>HMDB0253713</t>
  </si>
  <si>
    <t>CC1=C(C=NO1)C(=O)NC1C2SC(C)(C)C(N2C1=O)C(O)=O</t>
  </si>
  <si>
    <t>NHKXZQVFDPYSRT-UHFFFAOYSA-N</t>
  </si>
  <si>
    <t>C13H15N3O5S</t>
  </si>
  <si>
    <t>5.16_261.1107m/z</t>
  </si>
  <si>
    <t>Glycyl-Tryptophan</t>
  </si>
  <si>
    <t>HMDB0028852</t>
  </si>
  <si>
    <t>NCC(=O)NC(CC1=CNC2=CC=CC=C12)C(O)=O</t>
  </si>
  <si>
    <t>AJHCSUXXECOXOY-UHFFFAOYSA-N</t>
  </si>
  <si>
    <t>6.11_475.1952m/z</t>
  </si>
  <si>
    <t>Balapiravir</t>
  </si>
  <si>
    <t>HMDB0248852</t>
  </si>
  <si>
    <t>CC(C)C(=O)OCC1(OC(C(OC(=O)C(C)C)C1OC(=O)C(C)C)N1C=CC(N)=NC1=O)N=[N+]=[N-]</t>
  </si>
  <si>
    <t>VKXWOLCNTHXCLF-UHFFFAOYSA-N</t>
  </si>
  <si>
    <t>C21H30N6O8</t>
  </si>
  <si>
    <t>15.03_463.3104m/z</t>
  </si>
  <si>
    <t>Dinonyl phthalate</t>
  </si>
  <si>
    <t>HMDB0251424</t>
  </si>
  <si>
    <t>CCCCCCCCCOC(=O)C1=CC=CC=C1C(=O)OCCCCCCCCC</t>
  </si>
  <si>
    <t>DROMNWUQASBTFM-UHFFFAOYSA-N</t>
  </si>
  <si>
    <t>7.03_299.1626m/z</t>
  </si>
  <si>
    <t>Ipurolic acid</t>
  </si>
  <si>
    <t>LMFA01050081</t>
  </si>
  <si>
    <t>CCCC(O)CCCCCCCC(O)CC(=O)O</t>
  </si>
  <si>
    <t>AVKYODWULTZQPQ-UHFFFAOYSA-N</t>
  </si>
  <si>
    <t>4.89_335.0827m/z</t>
  </si>
  <si>
    <t>Methionyl-Phenylalanine</t>
  </si>
  <si>
    <t>HMDB0028980</t>
  </si>
  <si>
    <t>CSCCC(N)C(=O)NC(CC1=CC=CC=C1)C(O)=O</t>
  </si>
  <si>
    <t>HGCNKOLVKRAVHD-UHFFFAOYSA-N</t>
  </si>
  <si>
    <t>C14H20N2O3S</t>
  </si>
  <si>
    <t>4.55_370.2449m/z</t>
  </si>
  <si>
    <t>Posatirelin</t>
  </si>
  <si>
    <t>HMDB0256710</t>
  </si>
  <si>
    <t>CC(C)CC(NC(=O)C1CCCC(=O)N1)C(=O)N1CCCC1C(N)=O</t>
  </si>
  <si>
    <t>DPNGIIPSQYKWQA-UHFFFAOYSA-N</t>
  </si>
  <si>
    <t>C17H28N4O4</t>
  </si>
  <si>
    <t>4.36_326.2182m/z</t>
  </si>
  <si>
    <t>(R)-1-O-b-D-glucopyranosyl-1,3-octanediol</t>
  </si>
  <si>
    <t>HMDB0029362</t>
  </si>
  <si>
    <t>120727-21-1</t>
  </si>
  <si>
    <t>CCCCCC(O)CCOC1OC(CO)C(O)C(O)C1O</t>
  </si>
  <si>
    <t>PDTNYXYWXDHHEM-UHFFFAOYSA-N</t>
  </si>
  <si>
    <t>C14H28O7</t>
  </si>
  <si>
    <t>7.33_600.2770m/z</t>
  </si>
  <si>
    <t>Gly-arg-gly-glu-ser-pro</t>
  </si>
  <si>
    <t>HMDB0252941</t>
  </si>
  <si>
    <t>NCC(=O)NC(CCCN=C(N)N)C(=O)NCC(=O)NC(CCC(O)=O)C(=O)NC(CO)C(=O)N1CCCC1C(O)=O</t>
  </si>
  <si>
    <t>AGOOUZZBQZNYCU-UHFFFAOYSA-N</t>
  </si>
  <si>
    <t>C23H39N9O10</t>
  </si>
  <si>
    <t>10.08_247.1337m/z</t>
  </si>
  <si>
    <t>Perezone</t>
  </si>
  <si>
    <t>HMDB0256311</t>
  </si>
  <si>
    <t>CC(CCC=C(C)C)C1=C(O)C(=O)C(C)=CC1=O</t>
  </si>
  <si>
    <t>JZXORCGMYQZBBQ-UHFFFAOYSA-N</t>
  </si>
  <si>
    <t>C15H20O3</t>
  </si>
  <si>
    <t>4.51_335.0339m/z</t>
  </si>
  <si>
    <t>2'-Phosphophloretin</t>
  </si>
  <si>
    <t>HMDB0245540</t>
  </si>
  <si>
    <t>OC1=CC=C(CCC(=O)C2=C(O)C=C(O)C=C2OP(O)(O)=O)C=C1</t>
  </si>
  <si>
    <t>PHNOWZISRACWQS-UHFFFAOYSA-N</t>
  </si>
  <si>
    <t>Chalcones and dihydrochalcones</t>
  </si>
  <si>
    <t>C15H15O8P</t>
  </si>
  <si>
    <t>0.74_243.0620m/z</t>
  </si>
  <si>
    <t>1-[(2R,3R,4S,5R)-3,4-Dihydroxy-5-(hydroxymethyl)oxolan-2-yl]oxypyrimidin-2-one</t>
  </si>
  <si>
    <t>HMDB0257989</t>
  </si>
  <si>
    <t>OCC1OC(ON2C=CC=NC2=O)C(O)C1O</t>
  </si>
  <si>
    <t>BGSCNPOVJFBBAQ-UHFFFAOYSA-N</t>
  </si>
  <si>
    <t>11.15_719.3113m/z</t>
  </si>
  <si>
    <t>Lepidine C</t>
  </si>
  <si>
    <t>HMDB0032717</t>
  </si>
  <si>
    <t>COC1=CC=C(OC2=CC=CC(CC3=NC=CN3)=C2)C(CC2=NC=CN2)=C1</t>
  </si>
  <si>
    <t>GTJSRUGILPIENS-UHFFFAOYSA-N</t>
  </si>
  <si>
    <t>C21H20N4O2</t>
  </si>
  <si>
    <t>8.01_242.2487m/z</t>
  </si>
  <si>
    <t>3-Pentadecenal</t>
  </si>
  <si>
    <t>HMDB0040377</t>
  </si>
  <si>
    <t>140899-08-7</t>
  </si>
  <si>
    <t>CCCCCCCCCCC\C=C\CC=O</t>
  </si>
  <si>
    <t>CLUQHDODXPPERO-OUKQBFOZSA-N</t>
  </si>
  <si>
    <t>6.60_425.1719m/z</t>
  </si>
  <si>
    <t>2-(p-Aminobenzamido)pyridine</t>
  </si>
  <si>
    <t>HMDB0247356</t>
  </si>
  <si>
    <t>NC1=CC=C(C=C1)C(=O)NC1=CC=CC=N1</t>
  </si>
  <si>
    <t>GBYNWLIJDNPFRH-UHFFFAOYSA-N</t>
  </si>
  <si>
    <t>C12H11N3O</t>
  </si>
  <si>
    <t>13.99_708.5403m/z</t>
  </si>
  <si>
    <t>DG(18:0/20:5(7Z,9Z,11E,13E,17Z)-3OH(5,6,15)/0:0)</t>
  </si>
  <si>
    <t>HMDB0295955</t>
  </si>
  <si>
    <t>CCCCCCCCCCCCCCCCCC(=O)OC[C@H](CO)OC(=O)CCC[C@@H](O)[C@H](O)\C=C/C=C\C=C\C=C\[C@@H](O)C\C=C/CC</t>
  </si>
  <si>
    <t>LEVRREUSSZGJPB-SYEUGHSDSA-N</t>
  </si>
  <si>
    <t>C41H70O8</t>
  </si>
  <si>
    <t>8.42_281.1527m/z</t>
  </si>
  <si>
    <t>Acerogenin G</t>
  </si>
  <si>
    <t>C1=CC(=CC=C1CCCCC(=O)CCC2=CC=C(C=C2)O)O</t>
  </si>
  <si>
    <t>QUHYUSAHBDACNG-UHFFFAOYSA-N</t>
  </si>
  <si>
    <t>C19H22O3</t>
  </si>
  <si>
    <t>0.70_198.0709m/z</t>
  </si>
  <si>
    <t>Metribuzin-DA</t>
  </si>
  <si>
    <t>CC(C)(C)C1=NN=C(NC1=O)SC</t>
  </si>
  <si>
    <t>MIWRSUQXSCLDNV-UHFFFAOYSA-N</t>
  </si>
  <si>
    <t>Aryl thioethers</t>
  </si>
  <si>
    <t>C8H13N3OS</t>
  </si>
  <si>
    <t>8.48_576.8772m/z</t>
  </si>
  <si>
    <t>4-(4-Hydroxy-3-isopropylphenoxy)-3,5-diiodophenylacetic acid</t>
  </si>
  <si>
    <t>HMDB0246055</t>
  </si>
  <si>
    <t>CC(C)C1=C(O)C=CC(OC2=C(I)C=C(CC(O)=O)C=C2I)=C1</t>
  </si>
  <si>
    <t>KSZBMSJSJFZGRF-UHFFFAOYSA-N</t>
  </si>
  <si>
    <t>C17H16I2O4</t>
  </si>
  <si>
    <t>11.11_269.2122m/z</t>
  </si>
  <si>
    <t>11-keto palmitic acid</t>
  </si>
  <si>
    <t>HMDB0030978</t>
  </si>
  <si>
    <t>LMFA01060058</t>
  </si>
  <si>
    <t>2388-81-0</t>
  </si>
  <si>
    <t>C(CCCCCC(=O)CCCCC)CCCC(=O)O</t>
  </si>
  <si>
    <t>ANQQVTWQIBPDKQ-UHFFFAOYSA-N</t>
  </si>
  <si>
    <t>C16H30O3</t>
  </si>
  <si>
    <t>4.00_298.2235m/z</t>
  </si>
  <si>
    <t>Palmitic acid(d3)</t>
  </si>
  <si>
    <t>LMFA01010046</t>
  </si>
  <si>
    <t>C(CCCCCCCCCCCCCC([2H])([2H])[2H])C(=O)O</t>
  </si>
  <si>
    <t>IPCSVZSSVZVIGE-FIBGUPNXSA-N</t>
  </si>
  <si>
    <t>C16H[2]3H[1]29O2</t>
  </si>
  <si>
    <t>4.69_410.2087m/z</t>
  </si>
  <si>
    <t>Ile Phe Met</t>
  </si>
  <si>
    <t>CCC(C)C(C(=O)NC(CC1=CC=CC=C1)C(=O)NC(CCSC)C(=O)O)N</t>
  </si>
  <si>
    <t>RENBRDSDKPSRIH-HJWJTTGWSA-N</t>
  </si>
  <si>
    <t>C20H31N3O4S</t>
  </si>
  <si>
    <t>522</t>
  </si>
  <si>
    <t>Maltose</t>
  </si>
  <si>
    <t>HMDB0000163</t>
  </si>
  <si>
    <t>C00208</t>
  </si>
  <si>
    <t>hsa00500,hsa02010,hsa04973</t>
  </si>
  <si>
    <t>Starch and sucrose metabolism|ABC transporters|Carbohydrate digestion and absorption</t>
  </si>
  <si>
    <t>69-79-4</t>
  </si>
  <si>
    <t>C(C1C(C(C(C(O1)OC2C(OC(C(C2O)O)O)CO)O)O)O)O</t>
  </si>
  <si>
    <t>GUBGYTABKSRVRQ-QUYVBRFLSA-N</t>
  </si>
  <si>
    <t>C12H22O11</t>
  </si>
  <si>
    <t>9.15_549.2688m/z</t>
  </si>
  <si>
    <t>[(1S,2S,4S,5S)-2-(6-Aminopurin-9-yl)-5-(hydroxymethyl)-4-bicyclo[3.1.0]hexanyl]methanol</t>
  </si>
  <si>
    <t>HMDB0260215</t>
  </si>
  <si>
    <t>NC1=NC=NC2=C1N=CN2C1CC(CO)C2(CO)CC12</t>
  </si>
  <si>
    <t>OZHVLGSYPOGCRG-UHFFFAOYSA-N</t>
  </si>
  <si>
    <t>Cyclopentyl nucleosides</t>
  </si>
  <si>
    <t>C13H17N5O2</t>
  </si>
  <si>
    <t>10.39_345.1320m/z</t>
  </si>
  <si>
    <t>n-acetylmuramyl-l-alanine</t>
  </si>
  <si>
    <t>HMDB0255071</t>
  </si>
  <si>
    <t>CC(OC1C(N)C(OC(CO)C1O)N(C(C)C(O)=O)C(C)=O)C(O)=O</t>
  </si>
  <si>
    <t>BHFOXNINBMQQOR-UHFFFAOYSA-N</t>
  </si>
  <si>
    <t>C14H24N2O9</t>
  </si>
  <si>
    <t>4.07_197.1291m/z</t>
  </si>
  <si>
    <t>Cyclo(L-prolyl-L-valyl)</t>
  </si>
  <si>
    <t>HMDB0240493</t>
  </si>
  <si>
    <t>[H][C@@]12CCCN1C(=O)[C@@]([H])(N=C2O)C(C)C</t>
  </si>
  <si>
    <t>XLUAWXQORJEMBD-YUMQZZPRSA-N</t>
  </si>
  <si>
    <t>4.93_786.4020m/z</t>
  </si>
  <si>
    <t>OHODiA-PI</t>
  </si>
  <si>
    <t>LMGP20050032</t>
  </si>
  <si>
    <t>[C@]([H])(OC(CCCC(O)/C=C/C(=O)O)=O)(COP(=O)(O)O[C@H]1[C@H](O)[C@@H](O)[C@H](O)[C@@H](O)[C@H]1O)COC(CCCCCCC/C=C\CCCCCCCC)=O</t>
  </si>
  <si>
    <t>XPIBHMKPQNUICW-YOIMPFALSA-N</t>
  </si>
  <si>
    <t>C35H61O16P</t>
  </si>
  <si>
    <t>8.39_307.1916m/z</t>
  </si>
  <si>
    <t>16-J1-PhytoP</t>
  </si>
  <si>
    <t>LMFA02030067</t>
  </si>
  <si>
    <t>C(CCCCCCC[C@@H]1C=CC(=O)[C@@H]1/C=C/[C@@H](O)CC)(=O)O</t>
  </si>
  <si>
    <t>FWGSZKXOWWJSMJ-PHMYGAEPSA-N</t>
  </si>
  <si>
    <t>4.63_380.1350n</t>
  </si>
  <si>
    <t>N-(5-(((5-(1,1-Dimethylethyl)-2-oxazolyl)methyl)thio)-2-thiazolyl)-4-piperidinecarboxamide</t>
  </si>
  <si>
    <t>HMDB0246181</t>
  </si>
  <si>
    <t>CC(C)(C)C1=CN=C(CSC2=CN=C(NC(=O)C3CCNCC3)S2)O1</t>
  </si>
  <si>
    <t>OUSFTKFNBAZUKL-UHFFFAOYSA-N</t>
  </si>
  <si>
    <t>Piperidinecarboxylic acids and derivatives</t>
  </si>
  <si>
    <t>C17H24N4O2S2</t>
  </si>
  <si>
    <t>12.13_451.2873m/z</t>
  </si>
  <si>
    <t>Pirlindole</t>
  </si>
  <si>
    <t>HMDB0256605</t>
  </si>
  <si>
    <t>CC1=CC=C2N3CCNC4CCCC(=C34)C2=C1</t>
  </si>
  <si>
    <t>IWVRVEIKCBFZNF-UHFFFAOYSA-N</t>
  </si>
  <si>
    <t>C15H18N2</t>
  </si>
  <si>
    <t>9.05_515.3683m/z</t>
  </si>
  <si>
    <t>Tumonoic Acid I</t>
  </si>
  <si>
    <t>CCCCC(C)CC(C)C(=O)N1CCCC1C(=O)OC(C(C)CC)C(=O)OC(C(C)CC)C(=O)O</t>
  </si>
  <si>
    <t>LWUJNFXMOSWRGO-HXWZHSPTSA-N</t>
  </si>
  <si>
    <t>C27H47NO7</t>
  </si>
  <si>
    <t>4.30_763.3614m/z</t>
  </si>
  <si>
    <t>1,2,10-Trihydroxydihydro-trans-linalyl oxide 7-O-beta-D-glucopyranoside</t>
  </si>
  <si>
    <t>HMDB0033237</t>
  </si>
  <si>
    <t>219814-37-6</t>
  </si>
  <si>
    <t>CC(C)(OC1OC(CO)C(O)C(O)C1O)C1CCC(CO)(O1)C(O)CO</t>
  </si>
  <si>
    <t>RYNMENUEBZLOQZ-UHFFFAOYSA-N</t>
  </si>
  <si>
    <t>C16H30O10</t>
  </si>
  <si>
    <t>12.19_432.3462n</t>
  </si>
  <si>
    <t>Polyglycerol esters of fatty acids</t>
  </si>
  <si>
    <t>HMDB0303271</t>
  </si>
  <si>
    <t>CCCCCCCCCCCCCCCCCC(=O)OCC(O)COCC(O)CO</t>
  </si>
  <si>
    <t>DUUKZBGYNMHUHO-UHFFFAOYSA-N</t>
  </si>
  <si>
    <t>C24H48O6</t>
  </si>
  <si>
    <t>9.32_279.0062m/z</t>
  </si>
  <si>
    <t>Riluzole</t>
  </si>
  <si>
    <t>HMDB0014878</t>
  </si>
  <si>
    <t>C07937</t>
  </si>
  <si>
    <t>1744-22-5</t>
  </si>
  <si>
    <t>NC1=NC2=C(S1)C=C(OC(F)(F)F)C=C2</t>
  </si>
  <si>
    <t>FTALBRSUTCGOEG-UHFFFAOYSA-N</t>
  </si>
  <si>
    <t>C8H5F3N2OS</t>
  </si>
  <si>
    <t>4.53_233.1866m/z</t>
  </si>
  <si>
    <t>Ethyl butylacetylaminopropionate</t>
  </si>
  <si>
    <t>HMDB0246904</t>
  </si>
  <si>
    <t>C18830</t>
  </si>
  <si>
    <t>52304-36-6</t>
  </si>
  <si>
    <t>CCCCN(CCC(=O)OCC)C(C)=O</t>
  </si>
  <si>
    <t>VZRKEAFHFMSHCD-UHFFFAOYSA-N</t>
  </si>
  <si>
    <t>C11H21NO3</t>
  </si>
  <si>
    <t>9.99_374.2832n</t>
  </si>
  <si>
    <t>1alpha,24-dihydroxy-25,26,27-trinorvitamin D3 / 1alpha,24-dihydroxy-25,26,27-trinorcholecalciferol</t>
  </si>
  <si>
    <t>LMST03020023</t>
  </si>
  <si>
    <t>[C@@H]1(O)C(=C)/C(=C\C=C2\[C@]3([H])CC[C@@]([C@@](C)([H])CCCO)([H])[C@@]3(C)CCC\2)/C[C@@H](O)C1</t>
  </si>
  <si>
    <t>GAFYEUBDVXSMDD-UUSULHAXSA-N</t>
  </si>
  <si>
    <t>4.42_596.9602m/z</t>
  </si>
  <si>
    <t>Perfluorododecanoic acid</t>
  </si>
  <si>
    <t>HMDB0256318</t>
  </si>
  <si>
    <t>OC(=O)C(F)(F)C(F)(F)C(F)(F)C(F)(F)C(F)(F)C(F)(F)C(F)(F)C(F)(F)C(F)(F)C(F)(F)C(F)(F)F</t>
  </si>
  <si>
    <t>CXGONMQFMIYUJR-UHFFFAOYSA-N</t>
  </si>
  <si>
    <t>C12HF23O2</t>
  </si>
  <si>
    <t>14.47_399.1845m/z</t>
  </si>
  <si>
    <t>Harmalol</t>
  </si>
  <si>
    <t>HMDB0029838</t>
  </si>
  <si>
    <t>C06537</t>
  </si>
  <si>
    <t>525-57-5</t>
  </si>
  <si>
    <t>CC1=NCCC2=C1NC1=C2C=CC(O)=C1</t>
  </si>
  <si>
    <t>RHVPEFQDYMMNSY-UHFFFAOYSA-N</t>
  </si>
  <si>
    <t>Harmala alkaloids</t>
  </si>
  <si>
    <t>C12H12N2O</t>
  </si>
  <si>
    <t>3.84_461.2286m/z</t>
  </si>
  <si>
    <t>3alpha,7alpha,11alpha-Trihydroxy-12-oxo-5beta-cholan-24-oic Acid</t>
  </si>
  <si>
    <t>LMST04010415</t>
  </si>
  <si>
    <t>C1[C@]2(C)[C@@]3([H])[C@H](O)C(=O)[C@]4(C)[C@@]([H])([C@]([H])(C)CCC(O)=O)CC[C@@]4([H])[C@]3([H])[C@H](O)C[C@]2([H])C[C@H](O)C1</t>
  </si>
  <si>
    <t>DUHZPNGFRJKFOH-DCZNNHDUSA-N</t>
  </si>
  <si>
    <t>C24H38O6</t>
  </si>
  <si>
    <t>3.69_449.2486m/z</t>
  </si>
  <si>
    <t>Tyr His Leu</t>
  </si>
  <si>
    <t>CC(C)CC(C(=O)O)NC(=O)C(CC1=CN=CN1)NC(=O)C(CC2=CC=C(C=C2)O)N</t>
  </si>
  <si>
    <t>FBHBVXUBTYVCRU-BZSNNMDCSA-N</t>
  </si>
  <si>
    <t>C21H29N5O5</t>
  </si>
  <si>
    <t>5.35_149.0965m/z</t>
  </si>
  <si>
    <t>Perillic acid</t>
  </si>
  <si>
    <t>HMDB0004586</t>
  </si>
  <si>
    <t>LMPR0102090041</t>
  </si>
  <si>
    <t>C11924</t>
  </si>
  <si>
    <t>7694-45-3</t>
  </si>
  <si>
    <t>C1CC(C(=C)C)CC=C1C(=O)O</t>
  </si>
  <si>
    <t>CDSMSBUVCWHORP-UHFFFAOYSA-N</t>
  </si>
  <si>
    <t>8.09_279.0944m/z</t>
  </si>
  <si>
    <t>1-(beta-D-Ribofuranosyl)-1,4-dihydronicotinamide</t>
  </si>
  <si>
    <t>HMDB0011648</t>
  </si>
  <si>
    <t>C15497</t>
  </si>
  <si>
    <t>R-HSA-1430728,R-HSA-211859,R-HSA-211945</t>
  </si>
  <si>
    <t>Metabolism|Biological oxidations|Phase I - Functionalization of compounds</t>
  </si>
  <si>
    <t>NC(=O)C1=CN(C=CC1)[C@@H]1O[C@H](CO)[C@@H](O)[C@H]1O</t>
  </si>
  <si>
    <t>MAKBMGXNXXXBFE-TURQNECASA-N</t>
  </si>
  <si>
    <t>C11H16N2O5</t>
  </si>
  <si>
    <t>11.48_609.3516m/z</t>
  </si>
  <si>
    <t>Halocins</t>
  </si>
  <si>
    <t>HMDB0038173</t>
  </si>
  <si>
    <t>120501-02-2</t>
  </si>
  <si>
    <t>OC(C#CCN1CCCCC1)(C1=CC=CC=C1)C1=CC=CC=C1</t>
  </si>
  <si>
    <t>MGWAMKURIHGGNO-UHFFFAOYSA-N</t>
  </si>
  <si>
    <t>C21H23NO</t>
  </si>
  <si>
    <t>0.85_214.9700m/z</t>
  </si>
  <si>
    <t>VINYLSULFONIC ACID</t>
  </si>
  <si>
    <t>HMDB0259830</t>
  </si>
  <si>
    <t>OS(=O)(=O)C=C</t>
  </si>
  <si>
    <t>NLVXSWCKKBEXTG-UHFFFAOYSA-N</t>
  </si>
  <si>
    <t>C2H4O3S</t>
  </si>
  <si>
    <t>3.50_397.1901m/z</t>
  </si>
  <si>
    <t>Carmoxirole</t>
  </si>
  <si>
    <t>HMDB0249686</t>
  </si>
  <si>
    <t>OC(=O)C1=CC2=C(NC=C2CCCCN2CCC(=CC2)C2=CC=CC=C2)C=C1</t>
  </si>
  <si>
    <t>AFSOIHMEOKEZJF-UHFFFAOYSA-N</t>
  </si>
  <si>
    <t>C24H26N2O2</t>
  </si>
  <si>
    <t>4.02_172.0971m/z</t>
  </si>
  <si>
    <t>Acrylamide-sodium acrylate resin</t>
  </si>
  <si>
    <t>HMDB0303186</t>
  </si>
  <si>
    <t>CCC(CC(C)C(O)=O)C(O)=N</t>
  </si>
  <si>
    <t>WOOUQGFMGLSRBS-UHFFFAOYSA-N</t>
  </si>
  <si>
    <t>C8H15NO3</t>
  </si>
  <si>
    <t>8.21_560.2945m/z</t>
  </si>
  <si>
    <t>Deoxycholylglutamic acid</t>
  </si>
  <si>
    <t>HMDB0242437</t>
  </si>
  <si>
    <t>CC(CCC(=O)NC(CCC(O)=O)C(O)=O)C1CCC2C3CCC4CC(O)CCC4(C)C3CC(O)C12C</t>
  </si>
  <si>
    <t>ZDFLHZVTXWIGQV-UHFFFAOYSA-N</t>
  </si>
  <si>
    <t>C29H47NO7</t>
  </si>
  <si>
    <t>6.91_383.0931m/z</t>
  </si>
  <si>
    <t>Glucosyringic acid</t>
  </si>
  <si>
    <t>HMDB0303364</t>
  </si>
  <si>
    <t>COC1=CC(=CC(OC)=C1OC1OC(CO)C(O)C(O)C1O)C(O)=O</t>
  </si>
  <si>
    <t>BLKMDORKRDACEI-UHFFFAOYSA-N</t>
  </si>
  <si>
    <t>C15H20O10</t>
  </si>
  <si>
    <t>14.30_434.9891m/z</t>
  </si>
  <si>
    <t>Fosfosal</t>
  </si>
  <si>
    <t>HMDB0252467</t>
  </si>
  <si>
    <t>6064-83-1</t>
  </si>
  <si>
    <t>OC(=O)C1=CC=CC=C1OP(O)(O)=O</t>
  </si>
  <si>
    <t>FFKUDWZICMJVPA-UHFFFAOYSA-N</t>
  </si>
  <si>
    <t>C7H7O6P</t>
  </si>
  <si>
    <t>9.34_330.2649m/z</t>
  </si>
  <si>
    <t>7S,8S-DiHODE</t>
  </si>
  <si>
    <t>LMFA02000224</t>
  </si>
  <si>
    <t>C07354</t>
  </si>
  <si>
    <t>OC(=O)CCCCC[C@H](O)[C@@H](O)/C=C\C/C=C\CCCCC</t>
  </si>
  <si>
    <t>NMONGVDUESEHOK-MPOZZNMKSA-N</t>
  </si>
  <si>
    <t>7.05_587.2846m/z</t>
  </si>
  <si>
    <t>Tocopheronic acid</t>
  </si>
  <si>
    <t>HMDB0030555</t>
  </si>
  <si>
    <t>1948-76-1</t>
  </si>
  <si>
    <t>CC1=C(C)C(=O)C(CCC(C)(O)CCC(O)=O)=C(C)C1=O</t>
  </si>
  <si>
    <t>LRYFTDGIIUTFFA-UHFFFAOYSA-N</t>
  </si>
  <si>
    <t>C16H22O5</t>
  </si>
  <si>
    <t>4.96_245.0930m/z</t>
  </si>
  <si>
    <t>N-Acetyltryptophan</t>
  </si>
  <si>
    <t>HMDB0013713</t>
  </si>
  <si>
    <t>1218-34-4</t>
  </si>
  <si>
    <t>CC(=O)N[C@@H](CC1=CNC2=C1C=CC=C2)C(O)=O</t>
  </si>
  <si>
    <t>DZTHIGRZJZPRDV-LBPRGKRZSA-N</t>
  </si>
  <si>
    <t>C13H14N2O3</t>
  </si>
  <si>
    <t>8.33_605.3295m/z</t>
  </si>
  <si>
    <t>Cucurbitacin C</t>
  </si>
  <si>
    <t>HMDB0034706</t>
  </si>
  <si>
    <t>C08795</t>
  </si>
  <si>
    <t>5988-76-1</t>
  </si>
  <si>
    <t>CC(=O)OC(C)(C)\C=C\C(=O)C(C)(O)C1C(O)CC2(C)C3CC=C4C(CCC(O)C4(C)C)C3(CO)C(=O)CC12C</t>
  </si>
  <si>
    <t>DGIGXLXLGBAJJN-BUHFOSPRSA-N</t>
  </si>
  <si>
    <t>Cucurbitacins</t>
  </si>
  <si>
    <t>C32H48O8</t>
  </si>
  <si>
    <t>4.32_170.1063n</t>
  </si>
  <si>
    <t>(3xi,6xi)-Cyclo(alanylvalyl)</t>
  </si>
  <si>
    <t>HMDB0033926</t>
  </si>
  <si>
    <t>CC(C)C1NC(=O)C(C)NC1=O</t>
  </si>
  <si>
    <t>ORLDMMKUTCCBSM-UHFFFAOYSA-N</t>
  </si>
  <si>
    <t>5.61_370.2813m/z</t>
  </si>
  <si>
    <t>N-Palmitoyl Asparagine</t>
  </si>
  <si>
    <t>HMDB0241921</t>
  </si>
  <si>
    <t>CCCCCCCCCCCCCCCC(=O)NC(CC(N)=O)C(O)=O</t>
  </si>
  <si>
    <t>FTMCGBHTBKAWHW-UHFFFAOYSA-N</t>
  </si>
  <si>
    <t>C20H38N2O4</t>
  </si>
  <si>
    <t>3.86_389.2409m/z</t>
  </si>
  <si>
    <t>4-Hydroxydodecanedioylcarnitine</t>
  </si>
  <si>
    <t>HMDB0241286</t>
  </si>
  <si>
    <t>C[N+](C)(C)CC(CC([O-])=O)OC(=O)CCC(O)CCCCCCCC(O)=O</t>
  </si>
  <si>
    <t>JGNYBJMUQRWUMX-UHFFFAOYSA-N</t>
  </si>
  <si>
    <t>C19H35NO7</t>
  </si>
  <si>
    <t>1.01_307.0250m/z</t>
  </si>
  <si>
    <t>Nitazoxanide</t>
  </si>
  <si>
    <t>HMDB0014649</t>
  </si>
  <si>
    <t>55981-09-4</t>
  </si>
  <si>
    <t>CC(=O)OC1=CC=CC=C1C(=O)NC1=NC=C(S1)[N+]([O-])=O</t>
  </si>
  <si>
    <t>YQNQNVDNTFHQSW-UHFFFAOYSA-N</t>
  </si>
  <si>
    <t>C12H9N3O5S</t>
  </si>
  <si>
    <t>12.91_719.5654m/z</t>
  </si>
  <si>
    <t>CE(6 keto-PGF1alpha)</t>
  </si>
  <si>
    <t>HMDB0290215</t>
  </si>
  <si>
    <t>[H][C@@]1(CC[C@@]2([H])[C@]3([H])CC=C4C[C@H](CC[C@]4(C)[C@@]3([H])CC[C@]12C)OC(=O)CCCCC(=O)C[C@H]1[C@@H](O)C[C@@H](O)[C@@H]1\C=C\[C@@H](O)CCCCC)[C@H](C)CCCC(C)C</t>
  </si>
  <si>
    <t>JIBXJDIMJSTDQN-RLQIUDMVSA-N</t>
  </si>
  <si>
    <t>C47H78O6</t>
  </si>
  <si>
    <t>4.38_203.0919m/z</t>
  </si>
  <si>
    <t>2-hydroxy-7-methyl-Octanedioic acid</t>
  </si>
  <si>
    <t>LMFA01170136</t>
  </si>
  <si>
    <t>C(O)(=O)C(O)CCCCC(C)C(O)=O</t>
  </si>
  <si>
    <t>KQONDWAKSAUKLO-UHFFFAOYSA-N</t>
  </si>
  <si>
    <t>C9H16O5</t>
  </si>
  <si>
    <t>9.50_287.2015m/z</t>
  </si>
  <si>
    <t>Androstenedione</t>
  </si>
  <si>
    <t>HMDB0000053</t>
  </si>
  <si>
    <t>LMST02020007</t>
  </si>
  <si>
    <t>C00280</t>
  </si>
  <si>
    <t>hsa00140,hsa04913,hsa04917</t>
  </si>
  <si>
    <t>Steroid hormone biosynthesis|Ovarian steroidogenesis|Prolactin signaling pathway</t>
  </si>
  <si>
    <t>R-HSA-1430728,R-HSA-162582,R-HSA-1643685,R-HSA-193048,R-HSA-193144,R-HSA-194315,R-HSA-195258,R-HSA-196071,R-HSA-211859,R-HSA-211897,R-HSA-211945,R-HSA-211976,R-HSA-212436,R-HSA-2262752,R-HSA-3371497,R-HSA-556833,R-HSA-5579029,R-HSA-5579030,R-HSA-5625740,R-HSA-5625886,R-HSA-5668914,R-HSA-73857,R-HSA-74160,R-HSA-8878166,R-HSA-8940973,R-HSA-8941326,R-HSA-8953897,R-HSA-8957322,R-HSA-9716542</t>
  </si>
  <si>
    <t>Metabolism|Signal Transduction|Disease|Androgen biosynthesis|Estrogen biosynthesis|Signaling by Rho GTPases|RHO GTPase Effectors|Metabolism of steroid hormones|Biological oxidations|Cytochrome P450 - arranged by substrate type|Phase I - Functionalization of compounds|Endogenous sterols|Generic Transcription Pathway|Cellular responses to stress|HSP90 chaperone cycle for steroid hormone receptors (SHR) in the presence of ligand|Metabolism of lipids|Metabolic disorders of biological oxidation enzymes|Defective CYP19A1 causes AEXS|RHO GTPases activate PKNs|Activated PKN1 stimulates transcription of AR (androgen receptor) regulated genes KLK2 and KLK3|Diseases of metabolism|RNA Polymerase II Transcription|Gene expression (Transcription)|Transcriptional regulation by RUNX2|RUNX2 regulates osteoblast differentiation|RUNX2 regulates bone development|Cellular responses to stimuli|Metabolism of steroids|Signaling by Rho GTPases, Miro GTPases and RHOBTB3</t>
  </si>
  <si>
    <t>63-05-8</t>
  </si>
  <si>
    <t>C1[C@]2(C)[C@@]3([H])CC[C@]4(C)C(=O)CC[C@@]4([H])[C@]3([H])CCC2=CC(=O)C1</t>
  </si>
  <si>
    <t>AEMFNILZOJDQLW-QAGGRKNESA-N</t>
  </si>
  <si>
    <t>C19H26O2</t>
  </si>
  <si>
    <t>10.97_277.1443m/z</t>
  </si>
  <si>
    <t>Monooctyl phthalate</t>
  </si>
  <si>
    <t>HMDB0254869</t>
  </si>
  <si>
    <t>CCCCCCCCOC(=O)C1=CC=CC=C1C(O)=O</t>
  </si>
  <si>
    <t>PKIYFBICNICNGJ-UHFFFAOYSA-N</t>
  </si>
  <si>
    <t>7.00_239.1286m/z</t>
  </si>
  <si>
    <t>Mycinonic acid III</t>
  </si>
  <si>
    <t>LMFA01020444</t>
  </si>
  <si>
    <t>C(=C/C(=O)[C@@H](C(=O)O)C)\C=C\[C@H](C)[C@H](O)CC</t>
  </si>
  <si>
    <t>BMTLPJXRTRRHHH-RRMMGMBQSA-N</t>
  </si>
  <si>
    <t>C13H20O4</t>
  </si>
  <si>
    <t>12.11_534.3176m/z</t>
  </si>
  <si>
    <t>Gly-Pro-Arg-Pro-Lys</t>
  </si>
  <si>
    <t>HMDB0252830</t>
  </si>
  <si>
    <t>NCCCCC(NC(=O)C1CCCN1C(=O)C(CCCN=C(N)N)NC(=O)C1CCCN1C(=O)CN)C(O)=O</t>
  </si>
  <si>
    <t>SQEGVOSYJNDGRT-UHFFFAOYSA-N</t>
  </si>
  <si>
    <t>C24H43N9O6</t>
  </si>
  <si>
    <t>10.12_438.9829m/z</t>
  </si>
  <si>
    <t>Sodium alum</t>
  </si>
  <si>
    <t>HMDB0303553</t>
  </si>
  <si>
    <t>O.O.O.O.O.O.O.O.O.O.O.O.[Na+].[Al+3].[O-]S([O-])(=O)=O.[O-]S([O-])(=O)=O</t>
  </si>
  <si>
    <t>ZEMWIYASLJTEHQ-UHFFFAOYSA-J</t>
  </si>
  <si>
    <t>Post-transition metal oxoanionic compounds</t>
  </si>
  <si>
    <t>Post-transition metal sulfates</t>
  </si>
  <si>
    <t>AlH24NaO20S2</t>
  </si>
  <si>
    <t>10.01_432.1691m/z</t>
  </si>
  <si>
    <t>beta-D-Xylopyranosyl-(1-&gt;3)-alpha-L-arabinofuranosyl-(1-&gt;3)-L-arabinose</t>
  </si>
  <si>
    <t>HMDB0038861</t>
  </si>
  <si>
    <t>79409-35-1</t>
  </si>
  <si>
    <t>OCC1OC(OC2C(O)COC(O)C2O)C(O)C1OC1OCC(O)C(O)C1O</t>
  </si>
  <si>
    <t>FASIISXZAJLLSP-UHFFFAOYSA-N</t>
  </si>
  <si>
    <t>C15H26O13</t>
  </si>
  <si>
    <t>4.98_255.0928m/z</t>
  </si>
  <si>
    <t>(R)-2-Amino-N-(2,2,4,4-tetramethyl-3-thietanyl)propanamide</t>
  </si>
  <si>
    <t>HMDB0034910</t>
  </si>
  <si>
    <t>80875-07-6</t>
  </si>
  <si>
    <t>CC(N)C(=O)NC1C(C)(C)SC1(C)C</t>
  </si>
  <si>
    <t>VAVRZFPMKSCTDL-UHFFFAOYSA-N</t>
  </si>
  <si>
    <t>Thietanes</t>
  </si>
  <si>
    <t>C10H20N2OS</t>
  </si>
  <si>
    <t>4.51_572.2391m/z</t>
  </si>
  <si>
    <t>Marmesin rutinoside</t>
  </si>
  <si>
    <t>HMDB0041413</t>
  </si>
  <si>
    <t>159650-11-0</t>
  </si>
  <si>
    <t>CC1OC(OCC2OC(OC(C)(C)C3CC4=C(O3)C=C3OC(=O)C=CC3=C4)C(O)C(O)C2O)C(O)C(O)C1O</t>
  </si>
  <si>
    <t>YRSYZKMFCFPXRA-UHFFFAOYSA-N</t>
  </si>
  <si>
    <t>C26H34O13</t>
  </si>
  <si>
    <t>3.96_381.1128m/z</t>
  </si>
  <si>
    <t>Methyl acrylate-divinylbenzene, completely hydrolyzed, copolymer</t>
  </si>
  <si>
    <t>HMDB0032389</t>
  </si>
  <si>
    <t>128903-15-1</t>
  </si>
  <si>
    <t>COC1=CC=C(C=C1)C(=O)NNC(=O)CSC1=NN=C(N1C)C1=CN=CC=C1</t>
  </si>
  <si>
    <t>VZAIFVKTKJTLKF-UHFFFAOYSA-N</t>
  </si>
  <si>
    <t>Pyridyltriazoles</t>
  </si>
  <si>
    <t>C18H18N6O3S</t>
  </si>
  <si>
    <t>4.65_401.1456m/z</t>
  </si>
  <si>
    <t>Zingerone glucoside</t>
  </si>
  <si>
    <t>HMDB0040558</t>
  </si>
  <si>
    <t>64703-96-4</t>
  </si>
  <si>
    <t>COC1=C(OC2OC(CO)C(O)C(O)C2O)C=CC(CCC(C)=O)=C1</t>
  </si>
  <si>
    <t>GXSGZLLXMDVQAS-UHFFFAOYSA-N</t>
  </si>
  <si>
    <t>0.80_194.9639m/z</t>
  </si>
  <si>
    <t>TETRANITROMETHANE</t>
  </si>
  <si>
    <t>HMDB0258923</t>
  </si>
  <si>
    <t>C19300</t>
  </si>
  <si>
    <t>509-14-8</t>
  </si>
  <si>
    <t>O=N(=O)C(N(=O)=O)(N(=O)=O)N(=O)=O</t>
  </si>
  <si>
    <t>NYTOUQBROMCLBJ-UHFFFAOYSA-N</t>
  </si>
  <si>
    <t>Ortho amides</t>
  </si>
  <si>
    <t>CN4O8</t>
  </si>
  <si>
    <t>11.38_570.3779m/z</t>
  </si>
  <si>
    <t>1-(2-methoxy-eicosanyl)-sn-glycero-3-phosphoethanolamine</t>
  </si>
  <si>
    <t>LMGP02060023</t>
  </si>
  <si>
    <t>[C@](COP(=O)(O)OCCN)([H])(O)COCC(OC)CCCCCCCCCCCCCCCCCC</t>
  </si>
  <si>
    <t>QDZNJWXLLOYCQE-DCWQJPKNSA-N</t>
  </si>
  <si>
    <t>C26H56NO7P</t>
  </si>
  <si>
    <t>9.89_355.1895m/z</t>
  </si>
  <si>
    <t>3-Phenylpropyl acetate</t>
  </si>
  <si>
    <t>HMDB0033386</t>
  </si>
  <si>
    <t>C17663</t>
  </si>
  <si>
    <t>122-72-5</t>
  </si>
  <si>
    <t>CC(=O)OCCCC1=CC=CC=C1</t>
  </si>
  <si>
    <t>JRJGKUTZNBZHNK-UHFFFAOYSA-N</t>
  </si>
  <si>
    <t>C11H14O2</t>
  </si>
  <si>
    <t>14.91_617.4766m/z</t>
  </si>
  <si>
    <t>Palustrine</t>
  </si>
  <si>
    <t>HMDB0256095</t>
  </si>
  <si>
    <t>CCC(O)C1CC=CC2CC(=O)NCCCCNCCCN12</t>
  </si>
  <si>
    <t>YBZUGUWOQLUNKD-UHFFFAOYSA-N</t>
  </si>
  <si>
    <t>C17H31N3O2</t>
  </si>
  <si>
    <t>4.28_468.2079m/z</t>
  </si>
  <si>
    <t>Ac-Ser-Asp-Lys-Pro-OH</t>
  </si>
  <si>
    <t>HMDB0062552</t>
  </si>
  <si>
    <t>[H][C@@](CO)(N=C(C)O)C(O)=N[C@@]([H])(CC(O)=O)C(O)=N[C@@]([H])(CCCCN)C(=O)N1CCC[C@@]1([H])C(O)=O</t>
  </si>
  <si>
    <t>HJDRXEQUFWLOGJ-AJNGGQMLSA-N</t>
  </si>
  <si>
    <t>1.07_205.1189m/z</t>
  </si>
  <si>
    <t>Serylvaline</t>
  </si>
  <si>
    <t>HMDB0029052</t>
  </si>
  <si>
    <t>51782-06-0</t>
  </si>
  <si>
    <t>CC(C)[C@H](NC(=O)[C@@H](N)CO)C(O)=O</t>
  </si>
  <si>
    <t>ILVGMCVCQBJPSH-WDSKDSINSA-N</t>
  </si>
  <si>
    <t>C8H16N2O4</t>
  </si>
  <si>
    <t>513</t>
  </si>
  <si>
    <t>Cellobiose</t>
  </si>
  <si>
    <t>HMDB0000055</t>
  </si>
  <si>
    <t>C06422</t>
  </si>
  <si>
    <t>528-50-7</t>
  </si>
  <si>
    <t>OC[C@H]1O[C@@H](O[C@H]2[C@H](O)[C@@H](O)[C@H](O)O[C@@H]2CO)[C@H](O)[C@@H](O)[C@@H]1O</t>
  </si>
  <si>
    <t>GUBGYTABKSRVRQ-QRZGKKJRSA-N</t>
  </si>
  <si>
    <t>4.57_472.2407m/z</t>
  </si>
  <si>
    <t>Butyl (S)-3-hydroxybutyrate [arabinosyl-(1-&gt;6)-glucoside]</t>
  </si>
  <si>
    <t>HMDB0039214</t>
  </si>
  <si>
    <t>CCCCOC(=O)CC(C)OC1OC(COC2OCC(O)C(O)C2O)C(O)C(O)C1O</t>
  </si>
  <si>
    <t>MLIAQAVEASULJH-UHFFFAOYSA-N</t>
  </si>
  <si>
    <t>C19H34O12</t>
  </si>
  <si>
    <t>7.94_327.2178m/z</t>
  </si>
  <si>
    <t>Floionic acid</t>
  </si>
  <si>
    <t>LMFA01170030</t>
  </si>
  <si>
    <t>C(CCCCCCCC(O)C(O)CCCCCCCC(=O)O)(=O)O</t>
  </si>
  <si>
    <t>NQBSWIGTUPEPIH-UHFFFAOYSA-N</t>
  </si>
  <si>
    <t>C18H34O6</t>
  </si>
  <si>
    <t>0.77_201.1236m/z</t>
  </si>
  <si>
    <t>N-Acetylisoputreanine</t>
  </si>
  <si>
    <t>HMDB0094713</t>
  </si>
  <si>
    <t>CC(O)=NCCCNCCCC(O)=O</t>
  </si>
  <si>
    <t>YGIAGXACEXFIDU-UHFFFAOYSA-N</t>
  </si>
  <si>
    <t>12.17_365.1896m/z</t>
  </si>
  <si>
    <t>4,5-dehydro Docosahexaenoic Acid</t>
  </si>
  <si>
    <t>CCC=CCC=CCC=CCC=CCC=CCC#CCCC(=O)O</t>
  </si>
  <si>
    <t>OXENLKNOBTVOJA-JLNKQSITSA-N</t>
  </si>
  <si>
    <t>6.58_235.1700m/z</t>
  </si>
  <si>
    <t>Zedoarondiol</t>
  </si>
  <si>
    <t>HMDB0036448</t>
  </si>
  <si>
    <t>98644-24-7</t>
  </si>
  <si>
    <t>CC(C)=C1CC2C(CCC2(C)O)C(C)(O)CC1=O</t>
  </si>
  <si>
    <t>TXIKNNOOLCGADE-UHFFFAOYSA-N</t>
  </si>
  <si>
    <t>C15H24O3</t>
  </si>
  <si>
    <t>4.61_455.1638m/z</t>
  </si>
  <si>
    <t>Betamethasone phosphate</t>
  </si>
  <si>
    <t>HMDB0249163</t>
  </si>
  <si>
    <t>CC1CC2C3CCC4=CC(=O)C=CC4(C)C3(F)C(O)CC2(C)C1(O)C(=O)COP(O)(O)=O</t>
  </si>
  <si>
    <t>VQODGRNSFPNSQE-UHFFFAOYSA-N</t>
  </si>
  <si>
    <t>C22H30FO8P</t>
  </si>
  <si>
    <t>11.15_351.2541m/z</t>
  </si>
  <si>
    <t>3-Ethyl-4-(9-hydroxy-4,6,8,10-tetramethyl-7-oxododec-4-en-2-yl)oxetan-2-one</t>
  </si>
  <si>
    <t>HMDB0251673</t>
  </si>
  <si>
    <t>CCC(C)C(O)C(C)C(=O)C(C)C=C(C)CC(C)C1OC(=O)C1CC</t>
  </si>
  <si>
    <t>UNBMQQNYLCPCHS-UHFFFAOYSA-N</t>
  </si>
  <si>
    <t>C21H36O4</t>
  </si>
  <si>
    <t>5.83_227.1285m/z</t>
  </si>
  <si>
    <t>9-hydroxy-traumatin</t>
  </si>
  <si>
    <t>LMFA01050566</t>
  </si>
  <si>
    <t>C(CCCCCCCC(O)/C=C/C([H])=O)(=O)O</t>
  </si>
  <si>
    <t>ADPDWAFVBDMZSV-SOFGYWHQSA-N</t>
  </si>
  <si>
    <t>3.76_257.9690m/z</t>
  </si>
  <si>
    <t>1-hydroxy-2-methyl-2-(E)-butenyl 4-diphosphate</t>
  </si>
  <si>
    <t>HMDB0304014</t>
  </si>
  <si>
    <t>CC(CO)=CCOP([O-])(=O)OP([O-])([O-])=O</t>
  </si>
  <si>
    <t>MDSIZRKJVDMQOQ-UHFFFAOYSA-K</t>
  </si>
  <si>
    <t>Isoprenoid phosphates</t>
  </si>
  <si>
    <t>C5H9O8P2-3</t>
  </si>
  <si>
    <t>5.42_389.0673m/z</t>
  </si>
  <si>
    <t>[Acetyl-[2-(5-methoxy-1H-indol-3-yl)ethyl]amino]oxy hydrogen sulfate</t>
  </si>
  <si>
    <t>HMDB0257614</t>
  </si>
  <si>
    <t>COC1=CC2=C(NC=C2CCN(OOS(O)(=O)=O)C(C)=O)C=C1</t>
  </si>
  <si>
    <t>FSPZUDOOZUQXKG-UHFFFAOYSA-N</t>
  </si>
  <si>
    <t>C13H16N2O7S</t>
  </si>
  <si>
    <t>8.21_315.2151m/z</t>
  </si>
  <si>
    <t>Val-Val-Val</t>
  </si>
  <si>
    <t>HMDB0094676</t>
  </si>
  <si>
    <t>CC(C)C(N)C(=O)NC(C(C)C)C(=O)NC(C(C)C)C(O)=O</t>
  </si>
  <si>
    <t>LSLXWOCIIFUZCQ-UHFFFAOYSA-N</t>
  </si>
  <si>
    <t>C15H29N3O4</t>
  </si>
  <si>
    <t>4.69_205.0979m/z</t>
  </si>
  <si>
    <t>Phenylalanyl-Glycine</t>
  </si>
  <si>
    <t>HMDB0304788</t>
  </si>
  <si>
    <t>NC(CC1=CC=CC=C1)C(O)=NCC(O)=O</t>
  </si>
  <si>
    <t>GLUBLISJVJFHQS-UHFFFAOYSA-N</t>
  </si>
  <si>
    <t>C11H14N2O3</t>
  </si>
  <si>
    <t>6.07_265.1446m/z</t>
  </si>
  <si>
    <t>Absindiol</t>
  </si>
  <si>
    <t>HMDB0033229</t>
  </si>
  <si>
    <t>213198-34-6</t>
  </si>
  <si>
    <t>CC1C2C(OC1=O)C1C(CC(O)C1=C)C(C)CC2O</t>
  </si>
  <si>
    <t>IBIJTDJAWRYXRF-UHFFFAOYSA-N</t>
  </si>
  <si>
    <t>4.13_211.0721m/z</t>
  </si>
  <si>
    <t>1-[(2R,4R,5R)-3,4-Dihydroxy-5-(hydroxymethyl)-2-oxolanyl]-2-pyrimidinone</t>
  </si>
  <si>
    <t>HMDB0246409</t>
  </si>
  <si>
    <t>OCC1OC(C(O)C1O)N1C=CC=NC1=O</t>
  </si>
  <si>
    <t>RPQZTTQVRYEKCR-UHFFFAOYSA-N</t>
  </si>
  <si>
    <t>C9H12N2O5</t>
  </si>
  <si>
    <t>10.29_409.2549m/z</t>
  </si>
  <si>
    <t>ascr#25</t>
  </si>
  <si>
    <t>LMFA13040012</t>
  </si>
  <si>
    <t>O([C@@H](CCCCCCCCCC/C=C/C(=O)O)C)[C@H]1[C@H](O)C[C@@H](O)[C@H](C)O1</t>
  </si>
  <si>
    <t>MTVUVHUAEUQKIN-YWWXTUTHSA-N</t>
  </si>
  <si>
    <t>C21H38O6</t>
  </si>
  <si>
    <t>9.73_397.3205n</t>
  </si>
  <si>
    <t>(11Z)-Hexadecenoylcarnitine</t>
  </si>
  <si>
    <t>HMDB0241469</t>
  </si>
  <si>
    <t>CCCCC=CCCCCCCCCCC(=O)OC(CC([O-])=O)C[N+](C)(C)C</t>
  </si>
  <si>
    <t>HDMQICTZSCDWPG-UHFFFAOYSA-N</t>
  </si>
  <si>
    <t>C23H43NO4</t>
  </si>
  <si>
    <t>14.45_495.4059m/z</t>
  </si>
  <si>
    <t>Nuciferoic  Acid</t>
  </si>
  <si>
    <t>LMFA01060224</t>
  </si>
  <si>
    <t>C(CCCCCCCCCC(=O)CCC=CCCCCCCCCCCCCCC)(=O)O</t>
  </si>
  <si>
    <t>BSDRFFLTAKTFLT-UHFFFAOYSA-N</t>
  </si>
  <si>
    <t>C29H54O3</t>
  </si>
  <si>
    <t>5.28_730.3613m/z</t>
  </si>
  <si>
    <t>Antiaroside D</t>
  </si>
  <si>
    <t>LMST01120039</t>
  </si>
  <si>
    <t>O([C@H]1C[C@@]2([C@](CC1)([C@@]1([C@@](CC2)([C@@]2([C@](CC1)([C@](CC2)(C1COC(C=1)=O)[H])C)O)[H])[H])C=O)O)[C@H]1[C@H](O)[C@H](O)[C@@H](O[C@H]2[C@H](O)[C@@H](O)[C@H](O)[C@@H](CO)O2)[C@H](C)O1</t>
  </si>
  <si>
    <t>CAYUJEAJKPLCAV-CXEWPRIPSA-N</t>
  </si>
  <si>
    <t>C35H52O15</t>
  </si>
  <si>
    <t>7.16_454.1650m/z</t>
  </si>
  <si>
    <t>3-Amino-6-{4-[(4-Methylpiperazin-1-Yl)sulfonyl]phenyl}-N-Pyridin-3-Ylpyrazine-2-Carboxamide</t>
  </si>
  <si>
    <t>HMDB0248784</t>
  </si>
  <si>
    <t>R-HSA-1643685,R-HSA-5663205,R-HSA-9678108,R-HSA-9679506,R-HSA-9683610,R-HSA-9683701,R-HSA-9694516,R-HSA-9694631,R-HSA-9694635,R-HSA-9772573,R-HSA-9824446</t>
  </si>
  <si>
    <t>Disease|Infectious disease|SARS-CoV-1 Infection|SARS-CoV Infections|Maturation of nucleoprotein|Translation of Structural Proteins|SARS-CoV-2 Infection|Maturation of nucleoprotein|Translation of Structural Proteins|Late SARS-CoV-2 Infection Events|Viral Infection Pathways</t>
  </si>
  <si>
    <t>CN1CCN(CC1)S(=O)(=O)C1=CC=C(C=C1)C1=CN=C(N)C(=N1)C(=O)NC1=CN=CC=C1</t>
  </si>
  <si>
    <t>FHCSBLWRGCOVPT-UHFFFAOYSA-N</t>
  </si>
  <si>
    <t>C21H23N7O3S</t>
  </si>
  <si>
    <t>11.92_413.2675m/z</t>
  </si>
  <si>
    <t>S-Oblatone B</t>
  </si>
  <si>
    <t>LMPK13070006</t>
  </si>
  <si>
    <t>C1(O)C=C(O)C=C2O[C@](CCCCCCC/C=C\CCC/C=C\CCC)(O)CC(=O)C=12</t>
  </si>
  <si>
    <t>DVJXJOLDILGBLK-DIHOGPOPSA-N</t>
  </si>
  <si>
    <t>4.94_795.3767m/z</t>
  </si>
  <si>
    <t>Methyl 4-[(E)-2-(5,5,8,8-tetramethyl-6,7-dihydronaphthalen-2-yl)prop-1-enyl]benzenesulfonate</t>
  </si>
  <si>
    <t>HMDB0257579</t>
  </si>
  <si>
    <t>COS(=O)(=O)C1=CC=C(C=C(C)C2=CC3=C(C=C2)C(C)(C)CCC3(C)C)C=C1</t>
  </si>
  <si>
    <t>MLYWTSIIVNLGSO-UHFFFAOYSA-N</t>
  </si>
  <si>
    <t>C24H30O3S</t>
  </si>
  <si>
    <t>12.13_393.3015m/z</t>
  </si>
  <si>
    <t>Methyl-[12]-gingerdiol</t>
  </si>
  <si>
    <t>HMDB0303110</t>
  </si>
  <si>
    <t>CCCCCCCCCCCC(O)CC(O)CCC1=CC(OC)=C(OC)C=C1</t>
  </si>
  <si>
    <t>JPTWXRLYILAXIR-UHFFFAOYSA-N</t>
  </si>
  <si>
    <t>C24H42O4</t>
  </si>
  <si>
    <t>9.03_518.3464m/z</t>
  </si>
  <si>
    <t>medicagenate</t>
  </si>
  <si>
    <t>HMDB0304417</t>
  </si>
  <si>
    <t>CC1(C)CCC2(CCC3(C)C(=CCC4C5(C)CC(O)C(O)C(C)(C5CCC34C)C([O-])=O)C2C1)C([O-])=O</t>
  </si>
  <si>
    <t>IDGXIXSKISLYAC-UHFFFAOYSA-L</t>
  </si>
  <si>
    <t>C30H44O6-2</t>
  </si>
  <si>
    <t>11.40_276.1605m/z</t>
  </si>
  <si>
    <t>Eptazocine</t>
  </si>
  <si>
    <t>HMDB0251893</t>
  </si>
  <si>
    <t>CN1CCC2(C)CC(CC3=C2C=C(O)C=C3)C1</t>
  </si>
  <si>
    <t>ZOWQTJXNFTWSCS-UHFFFAOYSA-N</t>
  </si>
  <si>
    <t>C15H21NO</t>
  </si>
  <si>
    <t>0.76_205.1188m/z</t>
  </si>
  <si>
    <t>N-(3-carboxypropanoyl)-N-hydroxyputrescine</t>
  </si>
  <si>
    <t>LMFA08020188</t>
  </si>
  <si>
    <t>OC(CCC(N(CCCCN)O)=O)=O</t>
  </si>
  <si>
    <t>HJMSTRBGVUJGAI-UHFFFAOYSA-N</t>
  </si>
  <si>
    <t>10.33_452.3748m/z</t>
  </si>
  <si>
    <t>7alpha,12alpha,(25R)26-Trihydroxy-5beta-cholestan-3-one</t>
  </si>
  <si>
    <t>LMST04030246</t>
  </si>
  <si>
    <t>[C@]12([C@H](O)C[C@]3([H])CC(=O)CC[C@]3(C)[C@@]1([H])C[C@H](O)[C@]1(C)[C@@]([H])([C@@](C)([H])CCC[C@@H](C)CO)CC[C@@]21[H])[H]</t>
  </si>
  <si>
    <t>UCVRZTRGVBWBPR-QGLFLVSTSA-N</t>
  </si>
  <si>
    <t>10.64_526.2939m/z</t>
  </si>
  <si>
    <t>PE(22:5(4Z,7Z,10Z,13Z,16Z)/0:0)</t>
  </si>
  <si>
    <t>HMDB0011524</t>
  </si>
  <si>
    <t>LMGP02050069</t>
  </si>
  <si>
    <t>C(OP(OCCN)(O)=O)[C@]([H])(O)COC(=O)CC/C=C\C/C=C\C/C=C\C/C=C\C/C=C\CCCCC</t>
  </si>
  <si>
    <t>GUWNUQBHHWXHBE-GOGKNFEWSA-N</t>
  </si>
  <si>
    <t>10.91_433.1999m/z</t>
  </si>
  <si>
    <t>3'-Methoxy-[6]-Gingerdiol 3,5-diacetate</t>
  </si>
  <si>
    <t>HMDB0040569</t>
  </si>
  <si>
    <t>143519-18-0</t>
  </si>
  <si>
    <t>CCCCCC(CC(CCC1=CC(OC)=C(OC)C=C1)OC(C)=O)OC(C)=O</t>
  </si>
  <si>
    <t>QCJKXQWAFFZFLJ-UHFFFAOYSA-N</t>
  </si>
  <si>
    <t>1.30_446.1957n</t>
  </si>
  <si>
    <t>Estrone 3-glucuronide</t>
  </si>
  <si>
    <t>HMDB0004483</t>
  </si>
  <si>
    <t>LMST05010011</t>
  </si>
  <si>
    <t>C11133</t>
  </si>
  <si>
    <t>2479-90-5</t>
  </si>
  <si>
    <t>[C@@H]1([C@@H]([C@H]([C@H](O)[C@@H](C(O)=O)O1)O)O)OC1C=CC2=C(CC[C@]3([H])[C@]2([H])CC[C@]2(C)C(CC[C@@]32[H])=O)C=1</t>
  </si>
  <si>
    <t>FJAZVHYPASAQKM-JBAURARKSA-N</t>
  </si>
  <si>
    <t>C24H30O8</t>
  </si>
  <si>
    <t>7.19_179.0705m/z</t>
  </si>
  <si>
    <t>5-(3E-Pentenyl)tetrahydro-2-oxo-3-furancarboxylic acid</t>
  </si>
  <si>
    <t>HMDB0030991</t>
  </si>
  <si>
    <t>C\C=C\CCC1CC(C(O)=O)C(=O)O1</t>
  </si>
  <si>
    <t>KHWZQNGOXILAEN-NSCUHMNNSA-N</t>
  </si>
  <si>
    <t>14.05_431.3169m/z</t>
  </si>
  <si>
    <t>Shibic acid</t>
  </si>
  <si>
    <t>LMFA01030831</t>
  </si>
  <si>
    <t>C(CCCCCCCCC/C=C\C/C=C\C/C=C\C/C=C\C/C=C\CC)(=O)O</t>
  </si>
  <si>
    <t>HIFHGEKXHBBCMU-JLNKQSITSA-N</t>
  </si>
  <si>
    <t>C26H42O2</t>
  </si>
  <si>
    <t>4.85_333.0992n</t>
  </si>
  <si>
    <t>Flurtamone</t>
  </si>
  <si>
    <t>HMDB0252414</t>
  </si>
  <si>
    <t>CNC1=C(C(=O)C(O1)C1=CC=CC=C1)C1=CC(=CC=C1)C(F)(F)F</t>
  </si>
  <si>
    <t>NYRMIJKDBAQCHC-UHFFFAOYSA-N</t>
  </si>
  <si>
    <t>C18H14F3NO2</t>
  </si>
  <si>
    <t>11.30_646.3726m/z</t>
  </si>
  <si>
    <t>PKOOA-PC</t>
  </si>
  <si>
    <t>LMGP20010015</t>
  </si>
  <si>
    <t>[C@](COP(=O)([O-])OCC[N+](C)(C)C)([H])(OC(CCCC(=O)/C=C/C(=O)[H])=O)COC(CCCCCCCCCCCCCCC)=O</t>
  </si>
  <si>
    <t>VZSPQCMFLSGTPO-UJOXVDDTSA-N</t>
  </si>
  <si>
    <t>C32H58NO10P</t>
  </si>
  <si>
    <t>5.54_243.1237m/z</t>
  </si>
  <si>
    <t>Polyethylene, oxidized</t>
  </si>
  <si>
    <t>HMDB0032472</t>
  </si>
  <si>
    <t>68441-17-8</t>
  </si>
  <si>
    <t>CC(C(O)CCCCC=O)C(=O)CCC(O)=O</t>
  </si>
  <si>
    <t>AZUZXOSWBOBCJY-UHFFFAOYSA-N</t>
  </si>
  <si>
    <t>8.58_473.3543m/z</t>
  </si>
  <si>
    <t>N-nervonoyl taurine</t>
  </si>
  <si>
    <t>LMFA08020257</t>
  </si>
  <si>
    <t>C(CNC(CCCCCCCCCCCCC/C=C\CCCCCCCC)=O)S(O)(=O)=O</t>
  </si>
  <si>
    <t>QIEYQUYASMRRHE-KTKRTIGZSA-N</t>
  </si>
  <si>
    <t>C26H51NO4S</t>
  </si>
  <si>
    <t>4.08_188.0921m/z</t>
  </si>
  <si>
    <t>L-Allysine Ethylene Acetal</t>
  </si>
  <si>
    <t>215054-80-1</t>
  </si>
  <si>
    <t>C1COC(O1)CCCC(C(=O)O)N</t>
  </si>
  <si>
    <t>RQULWPSGQYZREI-LURJTMIESA-N</t>
  </si>
  <si>
    <t>C8H15NO4</t>
  </si>
  <si>
    <t>5.59_243.0334m/z</t>
  </si>
  <si>
    <t>4-phenylbutanic acid-O-sulphate</t>
  </si>
  <si>
    <t>HMDB0059983</t>
  </si>
  <si>
    <t>OS(=O)(=O)OC(=O)CCCC1=CC=CC=C1</t>
  </si>
  <si>
    <t>QSAHCHSSSJBMMN-UHFFFAOYSA-N</t>
  </si>
  <si>
    <t>C10H12O5S</t>
  </si>
  <si>
    <t>4.67_256.1340m/z</t>
  </si>
  <si>
    <t>4'-Methoxychalcone</t>
  </si>
  <si>
    <t>HMDB0032585</t>
  </si>
  <si>
    <t>LMPK12120188</t>
  </si>
  <si>
    <t>22966-19-4</t>
  </si>
  <si>
    <t>C1(OC)=CC=C(C(=O)/C=C/C2C=CC=CC=2)C=C1</t>
  </si>
  <si>
    <t>KJHHAPASNNVTSN-KPKJPENVSA-N</t>
  </si>
  <si>
    <t>C16H14O2</t>
  </si>
  <si>
    <t>4.22_453.1381m/z</t>
  </si>
  <si>
    <t>Wybutoxine</t>
  </si>
  <si>
    <t>HMDB0039126</t>
  </si>
  <si>
    <t>36238-44-5</t>
  </si>
  <si>
    <t>COC(=O)NC(C(CC1=C(C)N=C2N1C(=O)C1=C(N=CN1)N2C)OO)C(=O)OC</t>
  </si>
  <si>
    <t>FRYWGCQTDZARGT-UHFFFAOYSA-N</t>
  </si>
  <si>
    <t>C16H20N6O7</t>
  </si>
  <si>
    <t>11.33_452.3145m/z</t>
  </si>
  <si>
    <t>6-MethylHexadecanoylcarnitine</t>
  </si>
  <si>
    <t>HMDB0240865</t>
  </si>
  <si>
    <t>CCCCCCCCCCC(C)CCCCC(=O)OC(CC([O-])=O)C[N+](C)(C)C</t>
  </si>
  <si>
    <t>ZKDCNBUCLMDHKO-UHFFFAOYSA-N</t>
  </si>
  <si>
    <t>C24H47NO4</t>
  </si>
  <si>
    <t>5.08_222.1040n</t>
  </si>
  <si>
    <t>BUTHIONINE SULFOXIMINE</t>
  </si>
  <si>
    <t>HMDB0249462</t>
  </si>
  <si>
    <t>C04543</t>
  </si>
  <si>
    <t>5072-26-4</t>
  </si>
  <si>
    <t>CCCCS(=N)(=O)CCC(N)C(O)=O</t>
  </si>
  <si>
    <t>KJQFBVYMGADDTQ-UHFFFAOYSA-N</t>
  </si>
  <si>
    <t>C8H18N2O3S</t>
  </si>
  <si>
    <t>2.68_188.1167n</t>
  </si>
  <si>
    <t>Glycyl-Isoleucine</t>
  </si>
  <si>
    <t>HMDB0028844</t>
  </si>
  <si>
    <t>CCC(C)C(N=C(O)CN)C(O)=O</t>
  </si>
  <si>
    <t>KGVHCTWYMPWEGN-UHFFFAOYSA-N</t>
  </si>
  <si>
    <t>0.70_152.0012m/z</t>
  </si>
  <si>
    <t>3-Sulfinoalanine</t>
  </si>
  <si>
    <t>HMDB0000996</t>
  </si>
  <si>
    <t>C00606</t>
  </si>
  <si>
    <t>hsa00270,hsa00430</t>
  </si>
  <si>
    <t>Cysteine and methionine metabolism|Taurine and hypotaurine metabolism</t>
  </si>
  <si>
    <t>1115-65-7</t>
  </si>
  <si>
    <t>N[C@@H](CS(O)=O)C(O)=O</t>
  </si>
  <si>
    <t>ADVPTQAUNPRNPO-REOHCLBHSA-N</t>
  </si>
  <si>
    <t>C3H7NO4S</t>
  </si>
  <si>
    <t>5.33_350.1724m/z</t>
  </si>
  <si>
    <t>Arctiopicrin</t>
  </si>
  <si>
    <t>HMDB0301857</t>
  </si>
  <si>
    <t>C09297</t>
  </si>
  <si>
    <t>19889-01-1</t>
  </si>
  <si>
    <t>CC(CO)C(=O)O[C@H]1C\C(C)=C\CC\C(CO)=C\[C@H]2OC(=O)C(=C)[C@H]12</t>
  </si>
  <si>
    <t>VOOFFTMORIBISQ-UMRVURNHSA-N</t>
  </si>
  <si>
    <t>10.75_680.4323m/z</t>
  </si>
  <si>
    <t>13-sophorosyloxydocosanoic acid</t>
  </si>
  <si>
    <t>LMFA13020004</t>
  </si>
  <si>
    <t>C18191</t>
  </si>
  <si>
    <t>C(C(CCCCCCCCC)O[C@@H]1O[C@H](CO)[C@@H](O)[C@H](O)[C@H]1O[C@@H]1O[C@H](CO)[C@@H](O)[C@H](O)[C@H]1O)CCCCCCCCCCC(=O)O</t>
  </si>
  <si>
    <t>OAKLJPBSRRDONB-FCILMWLFSA-N</t>
  </si>
  <si>
    <t>C34H64O13</t>
  </si>
  <si>
    <t>1.18_255.0400m/z</t>
  </si>
  <si>
    <t>cis,trans-5'-Hydroxythalidomide</t>
  </si>
  <si>
    <t>HMDB0013870</t>
  </si>
  <si>
    <t>OC1CC(N2C(=O)C3=CC=CC=C3C2=O)C(=O)NC1=O</t>
  </si>
  <si>
    <t>HHTOWVWIVBSOKC-UHFFFAOYSA-N</t>
  </si>
  <si>
    <t>C13H10N2O5</t>
  </si>
  <si>
    <t>4.51_244.0768m/z</t>
  </si>
  <si>
    <t>Flumequine</t>
  </si>
  <si>
    <t>HMDB0041895</t>
  </si>
  <si>
    <t>42835-25-6</t>
  </si>
  <si>
    <t>CC1CCC2=CC(F)=CC3=C2N1C=C(C(O)=O)C3=O</t>
  </si>
  <si>
    <t>DPSPPJIUMHPXMA-UHFFFAOYSA-N</t>
  </si>
  <si>
    <t>C14H12FNO3</t>
  </si>
  <si>
    <t>0.74_177.0396m/z</t>
  </si>
  <si>
    <t>D-Gluconic acid, delta-lactone</t>
  </si>
  <si>
    <t>HMDB0246042</t>
  </si>
  <si>
    <t>OCC1OC(=O)C(O)C(O)C1O</t>
  </si>
  <si>
    <t>PHOQVHQSTUBQQK-UHFFFAOYSA-N</t>
  </si>
  <si>
    <t>C6H10O6</t>
  </si>
  <si>
    <t>14.47_503.4112m/z</t>
  </si>
  <si>
    <t>5-Pentacosenylresorcinol</t>
  </si>
  <si>
    <t>HMDB0301751</t>
  </si>
  <si>
    <t>CCCCCCCCCCCCCCCCCCCCCCC\C=C\C1=CC(O)=CC(O)=C1</t>
  </si>
  <si>
    <t>VURYBPDWGJKISB-OCOZRVBESA-N</t>
  </si>
  <si>
    <t>C31H54O2</t>
  </si>
  <si>
    <t>7.78_158.1543m/z</t>
  </si>
  <si>
    <t>2,4-Nonadien-1-ol</t>
  </si>
  <si>
    <t>HMDB0034845</t>
  </si>
  <si>
    <t>LMFA05000608</t>
  </si>
  <si>
    <t>64576-90-5</t>
  </si>
  <si>
    <t>C(/CCCC)=C\C=C\CO</t>
  </si>
  <si>
    <t>NCPWFIVLKCFWSP-BSWSSELBSA-N</t>
  </si>
  <si>
    <t>C9H16O</t>
  </si>
  <si>
    <t>7.45_238.9947m/z</t>
  </si>
  <si>
    <t>Ethoxzolamide</t>
  </si>
  <si>
    <t>HMDB0014456</t>
  </si>
  <si>
    <t>452-35-7</t>
  </si>
  <si>
    <t>CCOC1=CC2=C(C=C1)N=C(S2)S(N)(=O)=O</t>
  </si>
  <si>
    <t>OUZWUKMCLIBBOG-UHFFFAOYSA-N</t>
  </si>
  <si>
    <t>C9H10N2O3S2</t>
  </si>
  <si>
    <t>13.26_390.2266m/z</t>
  </si>
  <si>
    <t>Pentadeca-3,6,9-trienedioylcarnitine</t>
  </si>
  <si>
    <t>HMDB0241450</t>
  </si>
  <si>
    <t>C[N+](C)(C)CC(CC([O-])=O)OC(=O)CC=CCC=CCC=CCCCCC(O)=O</t>
  </si>
  <si>
    <t>AEESIZVTDUAOEG-UHFFFAOYSA-N</t>
  </si>
  <si>
    <t>C22H35NO6</t>
  </si>
  <si>
    <t>8.19_301.2172m/z</t>
  </si>
  <si>
    <t>9-hydroxy-2Z,5E,7Z,11Z,14Z-Eicosapentaenoic acid</t>
  </si>
  <si>
    <t>LMFA01030717</t>
  </si>
  <si>
    <t>C(/C=C\C/C=C/C=C\C(O)C/C=C\C/C=C\CCCCC)(=O)O</t>
  </si>
  <si>
    <t>HYIMLVVUIPGBLR-MFUNBAKFSA-N</t>
  </si>
  <si>
    <t>6.35_366.0731m/z</t>
  </si>
  <si>
    <t>Coenzyme B</t>
  </si>
  <si>
    <t>HMDB0304798</t>
  </si>
  <si>
    <t>CC(OP(O)(O)=O)C(N=C(O)CCCCCCS)C(O)=O</t>
  </si>
  <si>
    <t>JBJSVEVEEGOEBZ-UHFFFAOYSA-N</t>
  </si>
  <si>
    <t>C11H22NO7PS</t>
  </si>
  <si>
    <t>11.72_596.3937m/z</t>
  </si>
  <si>
    <t>PC(O-16:0/4:0)</t>
  </si>
  <si>
    <t>LMGP01020072</t>
  </si>
  <si>
    <t>[C@](COP(=O)([O-])OCC[N+](C)(C)C)([H])(OC(CCC)=O)COCCCCCCCCCCCCCCCC</t>
  </si>
  <si>
    <t>UVHUBDICYDPLIO-HHHXNRCGSA-N</t>
  </si>
  <si>
    <t>C28H58NO7P</t>
  </si>
  <si>
    <t>11.19_280.1632m/z</t>
  </si>
  <si>
    <t>Methylmalonylcarnitine</t>
  </si>
  <si>
    <t>HMDB0013133</t>
  </si>
  <si>
    <t>256928-70-8</t>
  </si>
  <si>
    <t>C[C@H](C(O)=O)C(=O)O[C@H](CC(O)=O)C[N+](C)(C)C</t>
  </si>
  <si>
    <t>XROYFEWIXXCPAW-HTQZYQBOSA-O</t>
  </si>
  <si>
    <t>C11H20NO6+</t>
  </si>
  <si>
    <t>11.97_578.3464m/z</t>
  </si>
  <si>
    <t>PE(22:2(13Z,16Z)/0:0)</t>
  </si>
  <si>
    <t>HMDB0011522</t>
  </si>
  <si>
    <t>LMGP02050024</t>
  </si>
  <si>
    <t>[C@](COP(=O)(O)OCCN)([H])(O)COC(CCCCCCCCCCC/C=C\C/C=C\CCCCC)=O</t>
  </si>
  <si>
    <t>XXZVISSNQKLBNF-IPQYAGCOSA-N</t>
  </si>
  <si>
    <t>C27H52NO7P</t>
  </si>
  <si>
    <t>3.71_294.1227n</t>
  </si>
  <si>
    <t>Glu Phe</t>
  </si>
  <si>
    <t>C1=CC=C(C=C1)CC(C(=O)O)NC(=O)C(CCC(=O)O)N</t>
  </si>
  <si>
    <t>XMBSYZWANAQXEV-UHFFFAOYSA-N</t>
  </si>
  <si>
    <t>C14H18N2O5</t>
  </si>
  <si>
    <t>3.98_342.2136m/z</t>
  </si>
  <si>
    <t>L-Prolinamide, 5-oxo-L-prolyl-L-norvalyl-</t>
  </si>
  <si>
    <t>HMDB0253911</t>
  </si>
  <si>
    <t>CCCC(NC(=O)C1CCC(=O)N1)C(=O)N1CCCC1C(N)=O</t>
  </si>
  <si>
    <t>YWZAPMXAANPWLC-UHFFFAOYSA-N</t>
  </si>
  <si>
    <t>C15H24N4O4</t>
  </si>
  <si>
    <t>11.23_592.3620m/z</t>
  </si>
  <si>
    <t>PC(20:2(11Z,14Z)/0:0)</t>
  </si>
  <si>
    <t>HMDB0010392</t>
  </si>
  <si>
    <t>LMGP01050132</t>
  </si>
  <si>
    <t>[C@](COP(=O)([O-])OCC[N+](C)(C)C)([H])(O)COC(CCCCCCCCC/C=C\C/C=C\CCCCC)=O</t>
  </si>
  <si>
    <t>YYQVCMMXPIJVHY-ZOIJLGJPSA-N</t>
  </si>
  <si>
    <t>5.45_180.9882m/z</t>
  </si>
  <si>
    <t>3,5-Dinitrocatechol</t>
  </si>
  <si>
    <t>HMDB0246069</t>
  </si>
  <si>
    <t>OC1=CC(=CC(=C1O)[N+]([O-])=O)[N+]([O-])=O</t>
  </si>
  <si>
    <t>VDCDWNDTNSWDFJ-UHFFFAOYSA-N</t>
  </si>
  <si>
    <t>C6H4N2O6</t>
  </si>
  <si>
    <t>4.89_335.1499m/z</t>
  </si>
  <si>
    <t>(E)-5-(1-(2-Hydroxyethyl)-3-(pyridin-4-yl)-1H-pyrazol-4-yl)-2,3-dihydro-1H-inden-1-one oxime</t>
  </si>
  <si>
    <t>HMDB0252658</t>
  </si>
  <si>
    <t>OCCN1C=C(C(=N1)C1=CC=NC=C1)C1=CC2=C(C=C1)C(CC2)=NO</t>
  </si>
  <si>
    <t>DEZZLWQELQORIU-UHFFFAOYSA-N</t>
  </si>
  <si>
    <t>C19H18N4O2</t>
  </si>
  <si>
    <t>8.91_350.2314m/z</t>
  </si>
  <si>
    <t>10-nitro-9E-octadecenoic acid</t>
  </si>
  <si>
    <t>HMDB0062737</t>
  </si>
  <si>
    <t>LMFA01120003</t>
  </si>
  <si>
    <t>C(CCCCCCC/C=C(/[N+]([O-])=O)\CCCCCCCC)(=O)O</t>
  </si>
  <si>
    <t>WRADPCFZZWXOTI-BMRADRMJSA-N</t>
  </si>
  <si>
    <t>C18H33NO4</t>
  </si>
  <si>
    <t>5.94_280.0407m/z</t>
  </si>
  <si>
    <t>2-(Ethylsulfinylmethyl)phenyl methylcarbamate</t>
  </si>
  <si>
    <t>HMDB0040289</t>
  </si>
  <si>
    <t>53380-22-6</t>
  </si>
  <si>
    <t>CCS(=O)CC1=C(OC(=O)NC)C=CC=C1</t>
  </si>
  <si>
    <t>OMOLDRXZKFFGJI-UHFFFAOYSA-N</t>
  </si>
  <si>
    <t>Phenyl methylcarbamates</t>
  </si>
  <si>
    <t>C11H15NO3S</t>
  </si>
  <si>
    <t>11.66_433.3332m/z</t>
  </si>
  <si>
    <t>3alpha,12alpha-Dihydroxy-5beta-cholest-24-en-26-oic acid</t>
  </si>
  <si>
    <t>LMST04030143</t>
  </si>
  <si>
    <t>C1[C@]2(C)[C@@]3([H])C[C@H](O)[C@]4(C)[C@@]([H])([C@]([H])(C)CC/C=C(\C)/C(O)=O)CC[C@@]4([H])[C@]3([H])CC[C@]2([H])C[C@H](O)C1</t>
  </si>
  <si>
    <t>ICPKBNNULRZCMH-SVJCOMFJSA-N</t>
  </si>
  <si>
    <t>7.88_437.1948m/z</t>
  </si>
  <si>
    <t>1,7-DIDEACETOXY-1,7-DIOXO-3-DEACETYLKHIVORIN</t>
  </si>
  <si>
    <t>CC1(C2CC(=O)C3(C(C2(C(=O)CC1O)C)CCC4(C35C(O5)C(=O)OC4C6=COC=C6)C)C)C</t>
  </si>
  <si>
    <t>BSZLLSHGSWKZRE-IYLQSFRJSA-N</t>
  </si>
  <si>
    <t>C26H32O7</t>
  </si>
  <si>
    <t>6.48_406.2732n</t>
  </si>
  <si>
    <t>3alpha,12beta-Dihydroxy-11-oxo-5beta-cholan-24-oic Acid</t>
  </si>
  <si>
    <t>LMST04010188</t>
  </si>
  <si>
    <t>C1[C@]2(C)[C@@]3([H])C(=O)[C@@H](O)[C@]4(C)[C@@]([H])([C@]([H])(C)CCC(O)=O)CC[C@@]4([H])[C@]3([H])CC[C@]2([H])C[C@H](O)C1</t>
  </si>
  <si>
    <t>DBKCKIVBUXCUCX-BOUFHLEDSA-N</t>
  </si>
  <si>
    <t>4.20_363.1200m/z</t>
  </si>
  <si>
    <t>3-iodo-hexadecanoic acid</t>
  </si>
  <si>
    <t>LMFA01090038</t>
  </si>
  <si>
    <t>C(CC(I)CCCCCCCCCCCCC)(=O)O</t>
  </si>
  <si>
    <t>NCMJGOFMXHKQDT-UHFFFAOYSA-N</t>
  </si>
  <si>
    <t>C16H31IO2</t>
  </si>
  <si>
    <t>0.69_146.0811m/z</t>
  </si>
  <si>
    <t>3,4-Pyrrolidinediol, 2-(hydroxymethyl)-1-methyl-, (2R,3R,4R)-</t>
  </si>
  <si>
    <t>HMDB0254400</t>
  </si>
  <si>
    <t>CN1CC(O)C(O)C1CO</t>
  </si>
  <si>
    <t>UBVOJPDDTVFNFJ-UHFFFAOYSA-N</t>
  </si>
  <si>
    <t>7.63_264.1602m/z</t>
  </si>
  <si>
    <t>Curcolone</t>
  </si>
  <si>
    <t>HMDB0038188</t>
  </si>
  <si>
    <t>17015-43-9</t>
  </si>
  <si>
    <t>CC1=COC2=C1C(=O)C1=C(C)CCC(O)C1(C)C2</t>
  </si>
  <si>
    <t>PFIXJSCFTAVWBW-UHFFFAOYSA-N</t>
  </si>
  <si>
    <t>C15H18O3</t>
  </si>
  <si>
    <t>504</t>
  </si>
  <si>
    <t>Sucrose</t>
  </si>
  <si>
    <t>HMDB0000258</t>
  </si>
  <si>
    <t>C00089</t>
  </si>
  <si>
    <t>hsa00052,hsa00500,hsa02010,hsa04742,hsa04973</t>
  </si>
  <si>
    <t>Galactose metabolism|Starch and sucrose metabolism|ABC transporters|Taste transduction|Carbohydrate digestion and absorption</t>
  </si>
  <si>
    <t>R-HSA-162582,R-HSA-1643685,R-HSA-189085,R-HSA-372790,R-HSA-388396,R-HSA-418594,R-HSA-420499,R-HSA-500792,R-HSA-5659898,R-HSA-5663084,R-HSA-5668914,R-HSA-8935690,R-HSA-8963743,R-HSA-9709957,R-HSA-9717189,R-HSA-9717207</t>
  </si>
  <si>
    <t>Signal Transduction|Disease|Digestion of dietary carbohydrate|Signaling by GPCR|GPCR downstream signalling|G alpha (i) signalling events|Class C/3 (Metabotropic glutamate/pheromone receptors)|GPCR ligand binding|Intestinal saccharidase deficiencies|Diseases of carbohydrate metabolism|Diseases of metabolism|Digestion|Digestion and absorption|Sensory Perception|Sensory perception of taste|Sensory perception of sweet, bitter, and umami (glutamate) taste</t>
  </si>
  <si>
    <t>57-50-1</t>
  </si>
  <si>
    <t>OC[C@H]1O[C@@](CO)(O[C@H]2O[C@H](CO)[C@@H](O)[C@H](O)[C@H]2O)[C@@H](O)[C@@H]1O</t>
  </si>
  <si>
    <t>CZMRCDWAGMRECN-UGDNZRGBSA-N</t>
  </si>
  <si>
    <t>9.21_239.1650m/z</t>
  </si>
  <si>
    <t>7-oxo-11E-Tetradecenoic acid</t>
  </si>
  <si>
    <t>LMFA01060186</t>
  </si>
  <si>
    <t>C(CCCCCC(=O)CCC/C=C/CC)(=O)O</t>
  </si>
  <si>
    <t>WPGZVCKWXQHYGF-ONEGZZNKSA-N</t>
  </si>
  <si>
    <t>C14H24O3</t>
  </si>
  <si>
    <t>3.71_122.0969m/z</t>
  </si>
  <si>
    <t>5-Ethyl-2-methylpyridine</t>
  </si>
  <si>
    <t>HMDB0029729</t>
  </si>
  <si>
    <t>104-90-5</t>
  </si>
  <si>
    <t>CCC1=CN=C(C)C=C1</t>
  </si>
  <si>
    <t>NTSLROIKFLNUIJ-UHFFFAOYSA-N</t>
  </si>
  <si>
    <t>Methylpyridines</t>
  </si>
  <si>
    <t>C8H11N</t>
  </si>
  <si>
    <t>4.09_318.1924m/z</t>
  </si>
  <si>
    <t>Octanedioylcarnitine</t>
  </si>
  <si>
    <t>HMDB0241733</t>
  </si>
  <si>
    <t>C[N+](C)(C)CC(CC([O-])=O)OC(=O)CCCCCCC(O)=O</t>
  </si>
  <si>
    <t>YVWVEIPYMGBQPE-UHFFFAOYSA-N</t>
  </si>
  <si>
    <t>C15H27NO6</t>
  </si>
  <si>
    <t>0.67_203.1508m/z</t>
  </si>
  <si>
    <t>Symmetric dimethylarginine</t>
  </si>
  <si>
    <t>HMDB0003334</t>
  </si>
  <si>
    <t>R-HSA-1430728,R-HSA-162582,R-HSA-194138,R-HSA-202131,R-HSA-203615,R-HSA-4420097,R-HSA-5218920,R-HSA-8939211,R-HSA-9006931,R-HSA-9006934,R-HSA-9009391</t>
  </si>
  <si>
    <t>Metabolism|Signal Transduction|Signaling by VEGF|Metabolism of nitric oxide: NOS3 activation and regulation|eNOS activation|VEGFA-VEGFR2 Pathway|VEGFR2 mediated vascular permeability|ESR-mediated signaling|Signaling by Nuclear Receptors|Signaling by Receptor Tyrosine Kinases|Extra-nuclear estrogen signaling</t>
  </si>
  <si>
    <t>30344-00-4</t>
  </si>
  <si>
    <t>CN\C(NCCC[C@H](N)C(O)=O)=N/C</t>
  </si>
  <si>
    <t>HVPFXCBJHIIJGS-LURJTMIESA-N</t>
  </si>
  <si>
    <t>8.48_476.2789m/z</t>
  </si>
  <si>
    <t>PE(0:0/18:3(9Z,12Z,15Z))</t>
  </si>
  <si>
    <t>HMDB0011479</t>
  </si>
  <si>
    <t>LMGP02050043</t>
  </si>
  <si>
    <t>C(OP(OCCN)(O)=O)[C@]([H])(OC(=O)CCCCCCC/C=C\C/C=C\C/C=C\CC)CO</t>
  </si>
  <si>
    <t>JGWWMNVPHKMUCV-WOBXFXBNSA-N</t>
  </si>
  <si>
    <t>5.55_376.1323n</t>
  </si>
  <si>
    <t>5-O-Methylchamanetin</t>
  </si>
  <si>
    <t>LMPK12140148</t>
  </si>
  <si>
    <t>C1(O)=C(CC2C(O)=CC=CC=2)C2OC(C3C=CC=CC=3)CC(=O)C=2C(OC)=C1</t>
  </si>
  <si>
    <t>KKEXONXLVLHEJJ-UHFFFAOYSA-N</t>
  </si>
  <si>
    <t>C23H20O5</t>
  </si>
  <si>
    <t>5.57_245.1658m/z</t>
  </si>
  <si>
    <t>Hydrogenated MDI</t>
  </si>
  <si>
    <t>HMDB0253250</t>
  </si>
  <si>
    <t>O=C=NC1CCC(CC2CCC(CC2)N=C=O)CC1</t>
  </si>
  <si>
    <t>KORSJDCBLAPZEQ-UHFFFAOYSA-N</t>
  </si>
  <si>
    <t>Isocyanates</t>
  </si>
  <si>
    <t>C15H22N2O2</t>
  </si>
  <si>
    <t>6.74_239.9679m/z</t>
  </si>
  <si>
    <t>5-IAI</t>
  </si>
  <si>
    <t>C1C(CC2=C1C=CC(=C2)I)N</t>
  </si>
  <si>
    <t>BIHPYCDDPGNWQO-UHFFFAOYSA-N</t>
  </si>
  <si>
    <t>C9H10IN</t>
  </si>
  <si>
    <t>9.65_375.1852m/z</t>
  </si>
  <si>
    <t>Phenothiazine, 10-((N-butyl-2-piperidyl)methyl)-</t>
  </si>
  <si>
    <t>HMDB0256029</t>
  </si>
  <si>
    <t>CCCCN1CCCCC1CN1C2=CC=CC=C2SC2=CC=CC=C12</t>
  </si>
  <si>
    <t>LCAAEPGBRICJHD-UHFFFAOYSA-N</t>
  </si>
  <si>
    <t>C22H28N2S</t>
  </si>
  <si>
    <t>1.30_290.0827m/z</t>
  </si>
  <si>
    <t>3-Aminobenzanthrone</t>
  </si>
  <si>
    <t>HMDB0245815</t>
  </si>
  <si>
    <t>NC1=C2C=CC=C3C(=O)C4=CC=CC=C4C(C=C1)=C23</t>
  </si>
  <si>
    <t>ZXPXRBDYCANCCU-UHFFFAOYSA-N</t>
  </si>
  <si>
    <t>C17H11NO</t>
  </si>
  <si>
    <t>5.84_211.0970m/z</t>
  </si>
  <si>
    <t>5-Hydroxy-p-mentha-6,8-dien-2-one</t>
  </si>
  <si>
    <t>HMDB0037011</t>
  </si>
  <si>
    <t>56423-48-4</t>
  </si>
  <si>
    <t>CC(=C)C1CC(=O)C(C)=CC1O</t>
  </si>
  <si>
    <t>IQBZOAYOGMNFPL-UHFFFAOYSA-N</t>
  </si>
  <si>
    <t>9.65_550.3885m/z</t>
  </si>
  <si>
    <t>PC(20:1(9Z)/0:0)</t>
  </si>
  <si>
    <t>LMGP01050047</t>
  </si>
  <si>
    <t>[C@](COP(=O)([O-])OCC[N+](C)(C)C)([H])(O)COC(CCCCCCC/C=C\CCCCCCCCCC)=O</t>
  </si>
  <si>
    <t>GJTDRNFWIDPARY-GTPZACKGSA-N</t>
  </si>
  <si>
    <t>13.49_281.2483m/z</t>
  </si>
  <si>
    <t>Malvalic acid</t>
  </si>
  <si>
    <t>HMDB0302286</t>
  </si>
  <si>
    <t>LMFA01140002</t>
  </si>
  <si>
    <t>C08321</t>
  </si>
  <si>
    <t>OC(=O)CCCCCCC1CC=1CCCCCCCC</t>
  </si>
  <si>
    <t>HPSSZFFAYWBIPY-UHFFFAOYSA-N</t>
  </si>
  <si>
    <t>0.77_372.1049m/z</t>
  </si>
  <si>
    <t>Asp Glu Glu</t>
  </si>
  <si>
    <t>C(CC(=O)O)C(C(=O)NC(CCC(=O)O)C(=O)O)NC(=O)C(CC(=O)O)N</t>
  </si>
  <si>
    <t>GHODABZPVZMWCE-FXQIFTODSA-N</t>
  </si>
  <si>
    <t>C14H21N3O10</t>
  </si>
  <si>
    <t>4.94_429.1416m/z</t>
  </si>
  <si>
    <t>8-O-Acetyl shanzhiside methyl ester</t>
  </si>
  <si>
    <t>HMDB0248874</t>
  </si>
  <si>
    <t>COC(=O)C1=COC(OC2OC(CO)C(O)C(O)C2O)C2C1C(O)CC2(C)OC(C)=O</t>
  </si>
  <si>
    <t>ARFRZOLTIRQFCI-UHFFFAOYSA-N</t>
  </si>
  <si>
    <t>C19H28O12</t>
  </si>
  <si>
    <t>9.65_312.1945n</t>
  </si>
  <si>
    <t>Granisetron</t>
  </si>
  <si>
    <t>HMDB0015026</t>
  </si>
  <si>
    <t>C07023</t>
  </si>
  <si>
    <t>109889-09-0</t>
  </si>
  <si>
    <t>CN1N=C(C(=O)NC2CC3CCCC(C2)N3C)C2=CC=CC=C12</t>
  </si>
  <si>
    <t>MFWNKCLOYSRHCJ-UHFFFAOYSA-N</t>
  </si>
  <si>
    <t>C18H24N4O</t>
  </si>
  <si>
    <t>6.54_373.2021m/z</t>
  </si>
  <si>
    <t>Penicildione B</t>
  </si>
  <si>
    <t>LMST02030239</t>
  </si>
  <si>
    <t>C1CC2[C@@](C)([C@]34O[C@H]3C[C@@]3([C@](O)([C@H](C)C[C@@]3([H])[C@]14[H])C(=O)CO)C)CCC(=O)C=2</t>
  </si>
  <si>
    <t>TUIYCBORCUOUBA-QDBZYVRYSA-N</t>
  </si>
  <si>
    <t>1.21_237.9717m/z</t>
  </si>
  <si>
    <t>Trisodium nitrilotriacetate</t>
  </si>
  <si>
    <t>HMDB0303313</t>
  </si>
  <si>
    <t>[Na+].[Na+].[Na+].[O-]C(=O)CN(CC([O-])=O)CC([O-])=O</t>
  </si>
  <si>
    <t>DZCAZXAJPZCSCU-UHFFFAOYSA-K</t>
  </si>
  <si>
    <t>C6H6NNa3O6</t>
  </si>
  <si>
    <t>4.77_695.0855m/z</t>
  </si>
  <si>
    <t>Gossypetin 3-glucuronide-8-glucoside</t>
  </si>
  <si>
    <t>LMPK12113200</t>
  </si>
  <si>
    <t>C1(O)=C(O[C@H]2[C@H](O)[C@@H](O)[C@H](O)[C@@H](CO)O2)C2OC(C3C=C(O)C(O)=CC=3)=C(O[C@H]3[C@H](O)[C@@H](O)[C@H](O)[C@@H](C(=O)O)O3)C(=O)C=2C(O)=C1</t>
  </si>
  <si>
    <t>OQGHLKIINJRWAG-JQHPUGQPSA-N</t>
  </si>
  <si>
    <t>C27H28O19</t>
  </si>
  <si>
    <t>166</t>
  </si>
  <si>
    <t>4-Deoxy-Erythronic Acid</t>
  </si>
  <si>
    <t>HMDB0245394</t>
  </si>
  <si>
    <t>LMFA01050397</t>
  </si>
  <si>
    <t>C(=O)(O)C(O)C(O)C</t>
  </si>
  <si>
    <t>LOUGYXZSURQALL-UHFFFAOYSA-N</t>
  </si>
  <si>
    <t>0.62_173.0788m/z</t>
  </si>
  <si>
    <t>TRIETHYLENE GLYCOL</t>
  </si>
  <si>
    <t>HMDB0259193</t>
  </si>
  <si>
    <t>OCCOCCOCCO</t>
  </si>
  <si>
    <t>ZIBGPFATKBEMQZ-UHFFFAOYSA-N</t>
  </si>
  <si>
    <t>C6H14O4</t>
  </si>
  <si>
    <t>11.40_399.1843m/z</t>
  </si>
  <si>
    <t>Acetylsalvipisone</t>
  </si>
  <si>
    <t>HMDB0031877</t>
  </si>
  <si>
    <t>CC(C)C1=C(OC(C)=O)C(=O)C2=C(C=CC(C)=C2CCCC(C)=C)C1=O</t>
  </si>
  <si>
    <t>MCXIDKIJSQDYCT-UHFFFAOYSA-N</t>
  </si>
  <si>
    <t>C22H26O4</t>
  </si>
  <si>
    <t>5.35_317.1395m/z</t>
  </si>
  <si>
    <t>Disperse Yellow 7</t>
  </si>
  <si>
    <t>HMDB0251482</t>
  </si>
  <si>
    <t>CC1=C(O)C=CC(=C1)N=NC1=CC=C(C=C1)N=NC1=CC=CC=C1</t>
  </si>
  <si>
    <t>VGKYEIFFSOPYEW-UHFFFAOYSA-N</t>
  </si>
  <si>
    <t>C19H16N4O</t>
  </si>
  <si>
    <t>298</t>
  </si>
  <si>
    <t>L-2,4-Diaminobutyric Acid</t>
  </si>
  <si>
    <t>HMDB0006284</t>
  </si>
  <si>
    <t>C03283</t>
  </si>
  <si>
    <t>R-HSA-112310,R-HSA-112315,R-HSA-112316,R-HSA-352230,R-HSA-382551,R-HSA-425366,R-HSA-425393,R-HSA-425407,R-HSA-442660,R-HSA-888590,R-HSA-888593</t>
  </si>
  <si>
    <t>Neurotransmitter release cycle|Transmission across Chemical Synapses|Neuronal System|Amino acid transport across the plasma membrane|Transport of small molecules|Transport of bile salts and organic acids, metal ions and amine compounds|Transport of inorganic cations/anions and amino acids/oligopeptides|SLC-mediated transmembrane transport|Na+/Cl- dependent neurotransmitter transporters|GABA synthesis, release, reuptake and degradation|Reuptake of GABA</t>
  </si>
  <si>
    <t>1758-80-1</t>
  </si>
  <si>
    <t>NCC[C@H](N)C(O)=O</t>
  </si>
  <si>
    <t>OGNSCSPNOLGXSM-VKHMYHEASA-N</t>
  </si>
  <si>
    <t>C4H10N2O2</t>
  </si>
  <si>
    <t>6.04_293.1616m/z</t>
  </si>
  <si>
    <t>Tryptophyl-Alanine</t>
  </si>
  <si>
    <t>HMDB0029076</t>
  </si>
  <si>
    <t>CC(NC(=O)C(N)CC1=CNC2=C1C=CC=C2)C(O)=O</t>
  </si>
  <si>
    <t>OHGNSVACHBZKSS-UHFFFAOYSA-N</t>
  </si>
  <si>
    <t>C14H17N3O3</t>
  </si>
  <si>
    <t>7.25_355.0617m/z</t>
  </si>
  <si>
    <t>Neodiospyrin</t>
  </si>
  <si>
    <t>HMDB0029538</t>
  </si>
  <si>
    <t>33916-25-5</t>
  </si>
  <si>
    <t>CC1=CC2=C(C(O)=C1)C(=O)C(=CC2=O)C1=C(C)C=C(O)C2=C1C(=O)C=CC2=O</t>
  </si>
  <si>
    <t>LZAXNDGRDVWTFX-UHFFFAOYSA-N</t>
  </si>
  <si>
    <t>C22H14O6</t>
  </si>
  <si>
    <t>7.20_411.1856m/z</t>
  </si>
  <si>
    <t>2-(5-Fluoropentyl)-2-methylmalonic acid</t>
  </si>
  <si>
    <t>HMDB0254798</t>
  </si>
  <si>
    <t>CC(CCCCCF)(C(O)=O)C(O)=O</t>
  </si>
  <si>
    <t>BOYGOAXVKOOCKN-UHFFFAOYSA-N</t>
  </si>
  <si>
    <t>C9H15FO4</t>
  </si>
  <si>
    <t>14.92_575.4686m/z</t>
  </si>
  <si>
    <t>DG(15:1(9Z)/18:3(9Z,12Z,15Z)/0:0)[iso2]</t>
  </si>
  <si>
    <t>LMGL02010458</t>
  </si>
  <si>
    <t>OC[C@]([H])(OC(CCCCCCC/C=C\C/C=C\C/C=C\CC)=O)COC(CCCCCCC/C=C\CCCCC)=O</t>
  </si>
  <si>
    <t>XXWMFMSFEDQPDK-UIWGRZGKSA-N</t>
  </si>
  <si>
    <t>0.74_174.1242m/z</t>
  </si>
  <si>
    <t>n-iminoethyl-l-ornithine</t>
  </si>
  <si>
    <t>HMDB0255161</t>
  </si>
  <si>
    <t>NCCCC(NCC=N)C(O)=O</t>
  </si>
  <si>
    <t>GZEWDUYXKDCZJU-UHFFFAOYSA-N</t>
  </si>
  <si>
    <t>C7H15N3O2</t>
  </si>
  <si>
    <t>4.18_827.3144m/z</t>
  </si>
  <si>
    <t>Diltiazem</t>
  </si>
  <si>
    <t>HMDB0014487</t>
  </si>
  <si>
    <t>C06958</t>
  </si>
  <si>
    <t>42399-41-7</t>
  </si>
  <si>
    <t>COC1=CC=C(C=C1)[C@@H]1SC2=CC=CC=C2N(CCN(C)C)C(=O)[C@@H]1OC(C)=O</t>
  </si>
  <si>
    <t>HSUGRBWQSSZJOP-RTWAWAEBSA-N</t>
  </si>
  <si>
    <t>Benzothiazepines</t>
  </si>
  <si>
    <t>C22H26N2O4S</t>
  </si>
  <si>
    <t>52</t>
  </si>
  <si>
    <t>Oxalic Acid</t>
  </si>
  <si>
    <t>HMDB0002329</t>
  </si>
  <si>
    <t>C00209</t>
  </si>
  <si>
    <t>hsa00230,hsa00630</t>
  </si>
  <si>
    <t>Purine metabolism|Glyoxylate and dicarboxylate metabolism</t>
  </si>
  <si>
    <t>R-HSA-1430728,R-HSA-389661,R-HSA-71291</t>
  </si>
  <si>
    <t>Metabolism|Glyoxylate metabolism and glycine degradation|Metabolism of amino acids and derivatives</t>
  </si>
  <si>
    <t>144-62-7</t>
  </si>
  <si>
    <t>OC(=O)C(O)=O</t>
  </si>
  <si>
    <t>MUBZPKHOEPUJKR-UHFFFAOYSA-N</t>
  </si>
  <si>
    <t>C2H2O4</t>
  </si>
  <si>
    <t>8.42_308.1398m/z</t>
  </si>
  <si>
    <t>1-(4-Aminophenyl)-7,8-dimethoxy-3-methyl-5H-2,3-benzodiazepin-4-one</t>
  </si>
  <si>
    <t>HMDB0249843</t>
  </si>
  <si>
    <t>COC1=C(OC)C=C2C(CC(=O)N(C)N=C2C2=CC=C(N)C=C2)=C1</t>
  </si>
  <si>
    <t>GDTSALVRCCQVSC-UHFFFAOYSA-N</t>
  </si>
  <si>
    <t>C18H19N3O3</t>
  </si>
  <si>
    <t>8.09_311.2229m/z</t>
  </si>
  <si>
    <t>9,10,13-TriHOME(11)</t>
  </si>
  <si>
    <t>LMFA02000168</t>
  </si>
  <si>
    <t>C14835</t>
  </si>
  <si>
    <t>C(O)(/C=C/C(O)CCCCC)C(O)CCCCCCCC(=O)O</t>
  </si>
  <si>
    <t>NTVFQBIHLSPEGQ-BUHFOSPRSA-N</t>
  </si>
  <si>
    <t>15.22_354.3012m/z</t>
  </si>
  <si>
    <t>5-Hexyl-3,4-dimethyl-2-furannonanoic acid</t>
  </si>
  <si>
    <t>HMDB0112101</t>
  </si>
  <si>
    <t>116627-47-5</t>
  </si>
  <si>
    <t>CCCCCCC1=C(C)C(C)=C(CCCCCCCCC(O)=O)O1</t>
  </si>
  <si>
    <t>VCPFFDKUTASVTD-UHFFFAOYSA-N</t>
  </si>
  <si>
    <t>C21H36O3</t>
  </si>
  <si>
    <t>9.34_249.1495m/z</t>
  </si>
  <si>
    <t>Ketopelenolide a</t>
  </si>
  <si>
    <t>HMDB0036664</t>
  </si>
  <si>
    <t>17909-92-1</t>
  </si>
  <si>
    <t>CC1C2CC\C(C)=C/CC(=O)C(C)CC2OC1=O</t>
  </si>
  <si>
    <t>KLZWSNKEPLKAOS-UITAMQMPSA-N</t>
  </si>
  <si>
    <t>5.42_230.0641m/z</t>
  </si>
  <si>
    <t>TG003</t>
  </si>
  <si>
    <t>300801-52-9</t>
  </si>
  <si>
    <t>CCN1C2=C(C=CC(=C2)OC)SC1=CC(=O)C</t>
  </si>
  <si>
    <t>BGVLELSCIHASRV-QPEQYQDCSA-N</t>
  </si>
  <si>
    <t>C13H15NO2S</t>
  </si>
  <si>
    <t>7.62_499.2916m/z</t>
  </si>
  <si>
    <t>DG(20:3(8Z,11Z,14Z)-2OH(5,6)/2:0/0:0)</t>
  </si>
  <si>
    <t>HMDB0296940</t>
  </si>
  <si>
    <t>CCCCC\C=C/C\C=C/C\C=C/CC(O)C(O)CCCC(=O)OC[C@H](CO)OC(C)=O</t>
  </si>
  <si>
    <t>LLSOKXUEVCJGEL-UGRJECAESA-N</t>
  </si>
  <si>
    <t>C25H42O7</t>
  </si>
  <si>
    <t>7.29_589.2998m/z</t>
  </si>
  <si>
    <t>Butralin</t>
  </si>
  <si>
    <t>HMDB0249470</t>
  </si>
  <si>
    <t>C18582</t>
  </si>
  <si>
    <t>33629-47-9</t>
  </si>
  <si>
    <t>CCC(C)NC1=C(C=C(C=C1N(=O)=O)C(C)(C)C)N(=O)=O</t>
  </si>
  <si>
    <t>SPNQRCTZKIBOAX-UHFFFAOYSA-N</t>
  </si>
  <si>
    <t>C14H21N3O4</t>
  </si>
  <si>
    <t>5.10_208.0313n</t>
  </si>
  <si>
    <t>Isoquinolinesulfonamide</t>
  </si>
  <si>
    <t>HMDB0253686</t>
  </si>
  <si>
    <t>NS(=O)(=O)C1=NC=CC2=CC=CC=C12</t>
  </si>
  <si>
    <t>GZZCYMXZJQCAJU-UHFFFAOYSA-N</t>
  </si>
  <si>
    <t>C9H8N2O2S</t>
  </si>
  <si>
    <t>6.25_315.0078m/z</t>
  </si>
  <si>
    <t>Pentaerythritol tetranitrate</t>
  </si>
  <si>
    <t>HMDB0256253</t>
  </si>
  <si>
    <t>[O-][N+](=O)OCC(CO[N+]([O-])=O)(CO[N+]([O-])=O)CO[N+]([O-])=O</t>
  </si>
  <si>
    <t>TZRXHJWUDPFEEY-UHFFFAOYSA-N</t>
  </si>
  <si>
    <t>C5H8N4O12</t>
  </si>
  <si>
    <t>11.32_720.4461m/z</t>
  </si>
  <si>
    <t>PHDdiA-PC</t>
  </si>
  <si>
    <t>LMGP20010018</t>
  </si>
  <si>
    <t>[C@](COP(=O)([O-])OCC[N+](C)(C)C)([H])(OC(CCCCCCCC(O)/C=C/C(=O)O)=O)COC(CCCCCCCCCCCCCCC)=O</t>
  </si>
  <si>
    <t>ROXGEXKMHGJPKJ-RPBMCPQRSA-N</t>
  </si>
  <si>
    <t>C36H68NO11P</t>
  </si>
  <si>
    <t>1.19_181.0228m/z</t>
  </si>
  <si>
    <t>thienobenzodiazepine</t>
  </si>
  <si>
    <t>HMDB0258987</t>
  </si>
  <si>
    <t>C1SC2=CC=C3C=CC=NN=C3C2=C1</t>
  </si>
  <si>
    <t>FBQWNZHNXNQNKD-UHFFFAOYSA-N</t>
  </si>
  <si>
    <t>C11H8N2S</t>
  </si>
  <si>
    <t>11.82_439.3216m/z</t>
  </si>
  <si>
    <t>3beta,4beta-dihydroxycholest-8(9)-en-23-one</t>
  </si>
  <si>
    <t>LMST01010446</t>
  </si>
  <si>
    <t>C12CC[C@@]3([H])[C@@H](O)[C@@H](O)CC[C@]3(C)C=1CC[C@]1(C)[C@@]([H])([C@@](C)([H])CC(=O)CC(C)C)CC[C@@]21[H]</t>
  </si>
  <si>
    <t>AALOHBFIUQFXDI-WDGFOIEYSA-N</t>
  </si>
  <si>
    <t>13.14_408.3096m/z</t>
  </si>
  <si>
    <t>Sodium stearyl fumarate</t>
  </si>
  <si>
    <t>HMDB0303305</t>
  </si>
  <si>
    <t>[Na+].CCCCCCCCCCCCCCCCCCOC(=O)\C=C\C([O-])=O</t>
  </si>
  <si>
    <t>STFSJTPVIIDAQX-LTRPLHCISA-M</t>
  </si>
  <si>
    <t>C22H39NaO4</t>
  </si>
  <si>
    <t>14.47_451.3797m/z</t>
  </si>
  <si>
    <t>26:2(5Z,9Z)(25Me)</t>
  </si>
  <si>
    <t>LMFA01020359</t>
  </si>
  <si>
    <t>C(CCC/C=C\CC/C=C\CCCCCCCCCCCCCCC(C)C)(=O)O</t>
  </si>
  <si>
    <t>DNEGLXLXJLONIP-CCVDTEMHSA-N</t>
  </si>
  <si>
    <t>C27H50O2</t>
  </si>
  <si>
    <t>9.99_540.2491n</t>
  </si>
  <si>
    <t>PA(22:6(4Z,7Z,10Z,13E,15E,19Z)-OH(17)/2:0)</t>
  </si>
  <si>
    <t>HMDB0266566</t>
  </si>
  <si>
    <t>[H][C@@](COC(=O)CC\C=C/C\C=C/C\C=C/C\C=C\C=C\C(O)C\C=C/CC)(COP(O)(O)=O)OC(C)=O</t>
  </si>
  <si>
    <t>AQWMIOKFDNEXRD-JNUNFCONSA-N</t>
  </si>
  <si>
    <t>C27H41O9P</t>
  </si>
  <si>
    <t>127</t>
  </si>
  <si>
    <t>Benzoic Acid</t>
  </si>
  <si>
    <t>HMDB0001870</t>
  </si>
  <si>
    <t>C00539</t>
  </si>
  <si>
    <t>R-HSA-1430728,R-HSA-156580,R-HSA-156587,R-HSA-159424,R-HSA-177135,R-HSA-211859</t>
  </si>
  <si>
    <t>Metabolism|Phase II - Conjugation of compounds|Amino Acid conjugation|Conjugation of carboxylic acids|Conjugation of benzoate with glycine|Biological oxidations</t>
  </si>
  <si>
    <t>65-85-0</t>
  </si>
  <si>
    <t>OC(=O)C1=CC=CC=C1</t>
  </si>
  <si>
    <t>WPYMKLBDIGXBTP-UHFFFAOYSA-N</t>
  </si>
  <si>
    <t>9.46_307.0960m/z</t>
  </si>
  <si>
    <t>DMABA-d6 NHS ester</t>
  </si>
  <si>
    <t>1175002-04-6</t>
  </si>
  <si>
    <t>CN(C)C1=CC=C(C=C1)C(=O)ON2C(=O)CCC2=O</t>
  </si>
  <si>
    <t>FNGFZOAQGYOQTG-WFGJKAKNSA-N</t>
  </si>
  <si>
    <t>C13H8D6N2O4</t>
  </si>
  <si>
    <t>0.64_164.9208m/z</t>
  </si>
  <si>
    <t>Sodium sulfate</t>
  </si>
  <si>
    <t>HMDB0303546</t>
  </si>
  <si>
    <t>C13199</t>
  </si>
  <si>
    <t>[Na+].[Na+].[O-]S([O-])(=O)=O</t>
  </si>
  <si>
    <t>PMZURENOXWZQFD-UHFFFAOYSA-L</t>
  </si>
  <si>
    <t>Alkali metal sulfates</t>
  </si>
  <si>
    <t>Na2O4S</t>
  </si>
  <si>
    <t>9.23_288.1605m/z</t>
  </si>
  <si>
    <t>BRN 2646116</t>
  </si>
  <si>
    <t>LMFA08020168</t>
  </si>
  <si>
    <t>C10944</t>
  </si>
  <si>
    <t>O=C(/C=C/C=C/CC1C=CC=CC=1)NCC(C)C</t>
  </si>
  <si>
    <t>APSXSFZATMGGAT-HCFISPQYSA-N</t>
  </si>
  <si>
    <t>C16H21NO</t>
  </si>
  <si>
    <t>10.55_343.2276n</t>
  </si>
  <si>
    <t>Dibucaine</t>
  </si>
  <si>
    <t>HMDB0014668</t>
  </si>
  <si>
    <t>C07879</t>
  </si>
  <si>
    <t>85-79-0</t>
  </si>
  <si>
    <t>CCCCOC1=NC2=CC=CC=C2C(=C1)C(=O)NCCN(CC)CC</t>
  </si>
  <si>
    <t>PUFQVTATUTYEAL-UHFFFAOYSA-N</t>
  </si>
  <si>
    <t>Quinolones and derivatives</t>
  </si>
  <si>
    <t>C20H29N3O2</t>
  </si>
  <si>
    <t>4.22_417.2357m/z</t>
  </si>
  <si>
    <t>Gln Leu Leu</t>
  </si>
  <si>
    <t>CC(C)CC(C(=O)NC(CC(C)C)C(=O)O)NC(=O)C(CCC(=O)N)N</t>
  </si>
  <si>
    <t>XFAUJGNLHIGXET-AVGNSLFASA-N</t>
  </si>
  <si>
    <t>C17H32N4O5</t>
  </si>
  <si>
    <t>290</t>
  </si>
  <si>
    <t>Xylitol</t>
  </si>
  <si>
    <t>HMDB0242149</t>
  </si>
  <si>
    <t>C00379</t>
  </si>
  <si>
    <t>hsa00040,hsa02010</t>
  </si>
  <si>
    <t>Pentose and glucuronate interconversions|ABC transporters</t>
  </si>
  <si>
    <t>488-81-3</t>
  </si>
  <si>
    <t>OC[C@H](O)C(O)[C@H](O)CO</t>
  </si>
  <si>
    <t>HEBKCHPVOIAQTA-NGQZWQHPSA-N</t>
  </si>
  <si>
    <t>C5H12O5</t>
  </si>
  <si>
    <t>11.11_706.2649m/z</t>
  </si>
  <si>
    <t>PBD dimer</t>
  </si>
  <si>
    <t>HMDB0256148</t>
  </si>
  <si>
    <t>COC1=CC=C(C=C1)C1=CN2C(C1)C=NC1=CC(OCCCOC3=C(OC)C=C4C(=C3)N=CC3CC(=CN3C4=O)C3=CC=C(N)C=C3)=C(OC)C=C1C2=O</t>
  </si>
  <si>
    <t>OMRPLUKQNWNZAV-UHFFFAOYSA-N</t>
  </si>
  <si>
    <t>C42H39N5O7</t>
  </si>
  <si>
    <t>11.51_417.2861m/z</t>
  </si>
  <si>
    <t>DG(8:0/0:0/10:0)</t>
  </si>
  <si>
    <t>HMDB0092902</t>
  </si>
  <si>
    <t>[H][C@@](O)(COC(=O)CCCCCCC)COC(=O)CCCCCCCCC</t>
  </si>
  <si>
    <t>AMRVOUCEFGMNBS-LJQANCHMSA-N</t>
  </si>
  <si>
    <t>C21H40O5</t>
  </si>
  <si>
    <t>1.19_239.9873m/z</t>
  </si>
  <si>
    <t>thiram</t>
  </si>
  <si>
    <t>HMDB0259039</t>
  </si>
  <si>
    <t>C11160</t>
  </si>
  <si>
    <t>137-26-8</t>
  </si>
  <si>
    <t>CN(C)C(=S)SSC(=S)N(C)C</t>
  </si>
  <si>
    <t>KUAZQDVKQLNFPE-UHFFFAOYSA-N</t>
  </si>
  <si>
    <t>C6H12N2S4</t>
  </si>
  <si>
    <t>1.57_188.0504m/z</t>
  </si>
  <si>
    <t>Diethylthiophosphate</t>
  </si>
  <si>
    <t>HMDB0001460</t>
  </si>
  <si>
    <t>C06607</t>
  </si>
  <si>
    <t>5871-17-0</t>
  </si>
  <si>
    <t>CCOP(O)(=S)OCC</t>
  </si>
  <si>
    <t>PKUWKAXTAVNIJR-UHFFFAOYSA-N</t>
  </si>
  <si>
    <t>C4H11O3PS</t>
  </si>
  <si>
    <t>7.07_482.1988m/z</t>
  </si>
  <si>
    <t>D-Glucosaminide</t>
  </si>
  <si>
    <t>HMDB0004270</t>
  </si>
  <si>
    <t>C06023</t>
  </si>
  <si>
    <t>78341-33-0</t>
  </si>
  <si>
    <t>N[C@H]1[C@H](O)O[C@H](CO)[C@@H](OC2O[C@H](CO)C(O[C@@H]3O[C@H](CO)[C@@H](O)[C@H](O)[C@H]3N)[C@H](O)[C@H]2N)[C@@H]1O</t>
  </si>
  <si>
    <t>RQFQJYYMBWVMQG-KAPKVSAKSA-N</t>
  </si>
  <si>
    <t>C18H35N3O13</t>
  </si>
  <si>
    <t>0.80_242.0248m/z</t>
  </si>
  <si>
    <t>O-Phosphotyrosine</t>
  </si>
  <si>
    <t>HMDB0006049</t>
  </si>
  <si>
    <t>C06501</t>
  </si>
  <si>
    <t>21820-51-9</t>
  </si>
  <si>
    <t>N[C@@H](CC1=CC=C(OP(O)(O)=O)C=C1)C(O)=O</t>
  </si>
  <si>
    <t>DCWXELXMIBXGTH-QMMMGPOBSA-N</t>
  </si>
  <si>
    <t>C9H12NO6P</t>
  </si>
  <si>
    <t>4.16_698.2721m/z</t>
  </si>
  <si>
    <t>Glucosaminylmuramyl-2-alanine-D-isoglutamine</t>
  </si>
  <si>
    <t>HMDB0259500</t>
  </si>
  <si>
    <t>CC(NC(=O)C(C)OC1C(NC(C)=O)C(O)OC(CO)C1OC1OC(CO)C(O)C(O)C1N)C(=O)NC(CCC(N)=O)C(O)=O</t>
  </si>
  <si>
    <t>MXMOFDISXOBSJM-UHFFFAOYSA-N</t>
  </si>
  <si>
    <t>C25H43N5O15</t>
  </si>
  <si>
    <t>9.26_294.2439m/z</t>
  </si>
  <si>
    <t>19-norandrosterone</t>
  </si>
  <si>
    <t>HMDB0002697</t>
  </si>
  <si>
    <t>LMST02010042</t>
  </si>
  <si>
    <t>1225-01-0</t>
  </si>
  <si>
    <t>C1[C@@]2([H])[C@@]([H])(CC[C@]3([H])[C@]2([H])CC[C@@]2(C)[C@@]3([H])CCC2=O)C[C@H](O)C1</t>
  </si>
  <si>
    <t>UOUIARGWRPHDBX-CQZDKXCPSA-N</t>
  </si>
  <si>
    <t>9.66_543.1285m/z</t>
  </si>
  <si>
    <t>(2R)-5,7-Dihydroxy-2-(4-hydroxyphenyl)-2,3-dihydro-4H-chromen-4-one</t>
  </si>
  <si>
    <t>HMDB0242579</t>
  </si>
  <si>
    <t>C00509</t>
  </si>
  <si>
    <t>480-41-1</t>
  </si>
  <si>
    <t>OC1=CC=C(C=C1)C1CC(=O)C2=C(O)C=C(O)C=C2O1</t>
  </si>
  <si>
    <t>FTVWIRXFELQLPI-UHFFFAOYSA-N</t>
  </si>
  <si>
    <t>C15H12O5</t>
  </si>
  <si>
    <t>11.07_479.2027m/z</t>
  </si>
  <si>
    <t>Tyr-Gly-Gly-Phe-Gly-NH2</t>
  </si>
  <si>
    <t>HMDB0259340</t>
  </si>
  <si>
    <t>NC(CC1=CC=C(O)C=C1)C(=O)NCC(=O)NCC(=O)NC(CC1=CC=CC=C1)C(=O)NCC(N)=O</t>
  </si>
  <si>
    <t>XTWUMDHUVLVWBI-UHFFFAOYSA-N</t>
  </si>
  <si>
    <t>C24H30N6O6</t>
  </si>
  <si>
    <t>4.38_379.1756n</t>
  </si>
  <si>
    <t>Asp Val Phe</t>
  </si>
  <si>
    <t>CC(C)C(C(=O)NC(CC1=CC=CC=C1)C(=O)O)NC(=O)C(CC(=O)O)N</t>
  </si>
  <si>
    <t>SFJUYBCDQBAYAJ-YDHLFZDLSA-N</t>
  </si>
  <si>
    <t>C18H25N3O6</t>
  </si>
  <si>
    <t>14.14_639.4992m/z</t>
  </si>
  <si>
    <t>DG(20:4n6/0:0/18:3n3)</t>
  </si>
  <si>
    <t>HMDB0056336</t>
  </si>
  <si>
    <t>[H][C@](O)(COC(=O)CCCCCCC\C=C/C\C=C/C\C=C/CC)COC(=O)CCC\C=C/C\C=C/C\C=C/C\C=C/CCCCC</t>
  </si>
  <si>
    <t>APFCEEOZYOJMIB-RRJBTLHSSA-N</t>
  </si>
  <si>
    <t>C41H66O5</t>
  </si>
  <si>
    <t>14.46_573.4893m/z</t>
  </si>
  <si>
    <t>DG(16:0/0:0/18:3n3)</t>
  </si>
  <si>
    <t>HMDB0056030</t>
  </si>
  <si>
    <t>[H][C@@](O)(COC(=O)CCCCCCCCCCCCCCC)COC(=O)CCCCCCC\C=C/C\C=C/C\C=C/CC</t>
  </si>
  <si>
    <t>MYAYLXFSVQLRHH-RGDIWOFYSA-N</t>
  </si>
  <si>
    <t>C37H66O5</t>
  </si>
  <si>
    <t>13.95_251.2012m/z</t>
  </si>
  <si>
    <t>7,10,13-hexadecatrienoic acid</t>
  </si>
  <si>
    <t>LMFA01030138</t>
  </si>
  <si>
    <t>C(CCCCC/C=C\C/C=C\C/C=C\CC)(=O)O</t>
  </si>
  <si>
    <t>KBGYPXOSNDMZRV-PDBXOOCHSA-N</t>
  </si>
  <si>
    <t>9.71_287.2470n</t>
  </si>
  <si>
    <t>Prosopinine</t>
  </si>
  <si>
    <t>LMSP01080049</t>
  </si>
  <si>
    <t>[C@@H]1(CCCCCCCC(O)CC)CC[C@@H](O)[C@@H](CO)N1</t>
  </si>
  <si>
    <t>SEUBYHFHBZVRCC-QGAIPKOMSA-N</t>
  </si>
  <si>
    <t>C16H33NO3</t>
  </si>
  <si>
    <t>1.27_244.9990m/z</t>
  </si>
  <si>
    <t>2-Hydroxy-1,4-benzoxazin-3-one sulfate</t>
  </si>
  <si>
    <t>HMDB0240439</t>
  </si>
  <si>
    <t>OC1=NC2=CC=CC=C2OC1OS(O)(=O)=O</t>
  </si>
  <si>
    <t>XQOGGBJDHDDLTI-UHFFFAOYSA-N</t>
  </si>
  <si>
    <t>Benzoxazines</t>
  </si>
  <si>
    <t>Benzoxazinones</t>
  </si>
  <si>
    <t>C8H7NO6S</t>
  </si>
  <si>
    <t>6.75_320.1865m/z</t>
  </si>
  <si>
    <t>6-Ketoestriol</t>
  </si>
  <si>
    <t>HMDB00530</t>
  </si>
  <si>
    <t>LMST02010053</t>
  </si>
  <si>
    <t>[C@@]12([H])CC(=O)C3C=C(O)C=CC=3[C@@]1([H])CC[C@]1(C)[C@H](O)[C@H](O)C[C@@]21[H]</t>
  </si>
  <si>
    <t>PYFIDTBVOMQKDC-UPASLHODSA-N</t>
  </si>
  <si>
    <t>C18H22O4</t>
  </si>
  <si>
    <t>4.72_322.1410m/z</t>
  </si>
  <si>
    <t>PC(0:0/5:0)</t>
  </si>
  <si>
    <t>LMGP01050091</t>
  </si>
  <si>
    <t>[C@](COP(=O)([O-])OCC[N+](C)(C)C)([H])(OC(CCCC)=O)CO</t>
  </si>
  <si>
    <t>FUNVSMBQMVEBQX-GFCCVEGCSA-N</t>
  </si>
  <si>
    <t>C13H28NO7P</t>
  </si>
  <si>
    <t>0.73_268.1179n</t>
  </si>
  <si>
    <t>Histidylhydroxyproline</t>
  </si>
  <si>
    <t>HMDB0028886</t>
  </si>
  <si>
    <t>224638-19-1</t>
  </si>
  <si>
    <t>N[C@@H](CC1=CNC=N1)C(=O)N1C[C@H](O)C[C@H]1C(O)=O</t>
  </si>
  <si>
    <t>WEUKYXZXBBLBOY-VGMNWLOBSA-N</t>
  </si>
  <si>
    <t>C11H16N4O4</t>
  </si>
  <si>
    <t>1.08_306.0127m/z</t>
  </si>
  <si>
    <t>Urothion</t>
  </si>
  <si>
    <t>HMDB0002377</t>
  </si>
  <si>
    <t>19295-31-9</t>
  </si>
  <si>
    <t>CSC1=C(SC2=C1N=C1C(=O)N=C(N)NC1=N2)C(O)CO</t>
  </si>
  <si>
    <t>RPUOVNROVSNPBD-UHFFFAOYSA-N</t>
  </si>
  <si>
    <t>C11H11N5O3S2</t>
  </si>
  <si>
    <t>7.06_367.2127m/z</t>
  </si>
  <si>
    <t>20-carboxy-LTB4</t>
  </si>
  <si>
    <t>HMDB0006059</t>
  </si>
  <si>
    <t>LMFA03020016</t>
  </si>
  <si>
    <t>C05950</t>
  </si>
  <si>
    <t>80434-82-8</t>
  </si>
  <si>
    <t>C([C@@H](O)/C=C/C=C/C=C\[C@@H](O)CCCC(O)=O)/C=C\CCCCC(=O)O</t>
  </si>
  <si>
    <t>SXWGPVJGNOLNHT-VFLUTPEKSA-N</t>
  </si>
  <si>
    <t>3.85_336.1203m/z</t>
  </si>
  <si>
    <t>Tryptophyl-Serine</t>
  </si>
  <si>
    <t>HMDB0029092</t>
  </si>
  <si>
    <t>NC(CC1=CNC2=C1C=CC=C2)C(=O)NC(CO)C(O)=O</t>
  </si>
  <si>
    <t>MYVYPSWUSKCCHG-UHFFFAOYSA-N</t>
  </si>
  <si>
    <t>C14H17N3O4</t>
  </si>
  <si>
    <t>1.19_234.9975m/z</t>
  </si>
  <si>
    <t>Methazolamide</t>
  </si>
  <si>
    <t>C07764</t>
  </si>
  <si>
    <t>CC(=O)N=C1N(N=C(S1)S(=O)(=O)N)C</t>
  </si>
  <si>
    <t>FLOSMHQXBMRNHR-UHFFFAOYSA-N</t>
  </si>
  <si>
    <t>C5H8N4O3S2</t>
  </si>
  <si>
    <t>8.36_221.1543m/z</t>
  </si>
  <si>
    <t>(9R,13R)-1a,1b-dihomo-jasmonic acid</t>
  </si>
  <si>
    <t>LMFA02010010</t>
  </si>
  <si>
    <t>C(CCC[C@H]1[C@@H](C/C=C\CC)C(=O)CC1)(=O)O</t>
  </si>
  <si>
    <t>LVQJNKFFJNUFNY-OPVGQWETSA-N</t>
  </si>
  <si>
    <t>11.49_303.1550m/z</t>
  </si>
  <si>
    <t>Glutamylarginine</t>
  </si>
  <si>
    <t>HMDB0028813</t>
  </si>
  <si>
    <t>7219-59-2</t>
  </si>
  <si>
    <t>N[C@@H](CCC(O)=O)C(=O)N[C@@H](CCCNC(N)=N)C(O)=O</t>
  </si>
  <si>
    <t>MPZWMIIOPAPAKE-BQBZGAKWSA-N</t>
  </si>
  <si>
    <t>C11H21N5O5</t>
  </si>
  <si>
    <t>13.33_491.3748m/z</t>
  </si>
  <si>
    <t>(20S)-Stigmasta-5-ene-3beta,7alpha,20-triol</t>
  </si>
  <si>
    <t>LMST01040270</t>
  </si>
  <si>
    <t>[C@@](O)([C@]1([H])[C@@]2(C)CC[C@]3([H])[C@@]4(C)CC[C@H](O)CC4=C[C@@H](O)[C@@]3([H])[C@]2([H])CC1)(C)CC[C@@H](CC)C(C)C</t>
  </si>
  <si>
    <t>LFXFYKDBWOCRFD-IJSUCEOISA-N</t>
  </si>
  <si>
    <t>11.38_611.3297m/z</t>
  </si>
  <si>
    <t>Propentofylline</t>
  </si>
  <si>
    <t>HMDB0256822</t>
  </si>
  <si>
    <t>CCCN1C=NC2=C1C(=O)N(CCCCC(C)=O)C(=O)N2C</t>
  </si>
  <si>
    <t>RBQOQRRFDPXAGN-UHFFFAOYSA-N</t>
  </si>
  <si>
    <t>C15H22N4O3</t>
  </si>
  <si>
    <t>5.37_506.2533n</t>
  </si>
  <si>
    <t>11alpha-hydroxyprogesterone 11-glucosiduronic acid</t>
  </si>
  <si>
    <t>LMST05010050</t>
  </si>
  <si>
    <t>C1CC2[C@@](C)([C@@]3([H])[C@H](O[C@@H]4O[C@H](C(O)=O)[C@@H](O)[C@H](O)[C@H]4O)C[C@@]4([C@H](CC[C@@]4([H])[C@]13[H])C(=O)C)C)CCC(=O)C=2</t>
  </si>
  <si>
    <t>WVTMNZAPPOMZST-RKCIHFDFSA-N</t>
  </si>
  <si>
    <t>C27H38O9</t>
  </si>
  <si>
    <t>6.23_282.1346m/z</t>
  </si>
  <si>
    <t>Sanfetrinem</t>
  </si>
  <si>
    <t>HMDB0257478</t>
  </si>
  <si>
    <t>COC1CCCC2C3C(C(C)O)C(=O)N3C(C(O)=O)=C12</t>
  </si>
  <si>
    <t>ICFDDEJRXZSWTA-UHFFFAOYSA-N</t>
  </si>
  <si>
    <t>C14H19NO5</t>
  </si>
  <si>
    <t>9.16_256.1915m/z</t>
  </si>
  <si>
    <t>Sundiversifolide</t>
  </si>
  <si>
    <t>LMPR0103390002</t>
  </si>
  <si>
    <t>C1(CCCO)[C@@H](C)C[C@H]2OC(=O)[C@@H](C)[C@H]2CC=1</t>
  </si>
  <si>
    <t>OXNJNKIMPIRBQC-YRRQLQLVSA-N</t>
  </si>
  <si>
    <t>11.27_301.2743m/z</t>
  </si>
  <si>
    <t>17-hydroxy stearic acid</t>
  </si>
  <si>
    <t>LMFA02000135</t>
  </si>
  <si>
    <t>C(CCCCCCCCCCCCCC(O)C)CC(=O)O</t>
  </si>
  <si>
    <t>CKGPXFKOAGKQDN-UHFFFAOYSA-N</t>
  </si>
  <si>
    <t>5.22_413.0417m/z</t>
  </si>
  <si>
    <t>Bis-(4-methylumbelliferyl)phosphate</t>
  </si>
  <si>
    <t>HMDB0246897</t>
  </si>
  <si>
    <t>CC1=CC(=O)OC2=C1C=CC(OP(O)(=O)OC1=CC3=C(C=C1)C(C)=CC(=O)O3)=C2</t>
  </si>
  <si>
    <t>FEGSOIMPQDYXJD-UHFFFAOYSA-N</t>
  </si>
  <si>
    <t>C20H15O8P</t>
  </si>
  <si>
    <t>8.83_391.2130m/z</t>
  </si>
  <si>
    <t>3-Methylidene-4-oxopentyl angelate</t>
  </si>
  <si>
    <t>HMDB0302499</t>
  </si>
  <si>
    <t>C\C=C(\C)C(=O)OCCC(=C)C(C)=O</t>
  </si>
  <si>
    <t>BYOAHAKIXHJNTC-YVMONPNESA-N</t>
  </si>
  <si>
    <t>4.77_306.0528m/z</t>
  </si>
  <si>
    <t>2-(2-Amino-3-methoxyphenyl)-4H-1-benzopyran-4-one</t>
  </si>
  <si>
    <t>HMDB0244751</t>
  </si>
  <si>
    <t>167869-21-8</t>
  </si>
  <si>
    <t>COC1=CC=CC(=C1N)C1=CC(=O)C2=CC=CC=C2O1</t>
  </si>
  <si>
    <t>QFWCYNPOPKQOKV-UHFFFAOYSA-N</t>
  </si>
  <si>
    <t>C16H13NO3</t>
  </si>
  <si>
    <t>10.37_552.3103m/z</t>
  </si>
  <si>
    <t>PE(0:0/24:6(6Z,9Z,12Z,15Z,18Z,21Z))</t>
  </si>
  <si>
    <t>HMDB0011499</t>
  </si>
  <si>
    <t>LMGP02050063</t>
  </si>
  <si>
    <t>C(OP(OCCN)(O)=O)[C@]([H])(OC(=O)CCCC/C=C\C/C=C\C/C=C\C/C=C\C/C=C\C/C=C\CC)CO</t>
  </si>
  <si>
    <t>FQPLXQPTXKRVQH-RGSQNDLGSA-N</t>
  </si>
  <si>
    <t>C29H48NO7P</t>
  </si>
  <si>
    <t>13.93_447.3481m/z</t>
  </si>
  <si>
    <t>Octadecyl ferulate</t>
  </si>
  <si>
    <t>HMDB0302977</t>
  </si>
  <si>
    <t>[H]\C(=C(\[H])C1=CC(OC)=C(O)C=C1)C(=O)OCCCCCCCCCCCCCCCCCC</t>
  </si>
  <si>
    <t>SESLBPIXVOYQJJ-LSDHQDQOSA-N</t>
  </si>
  <si>
    <t>C28H46O4</t>
  </si>
  <si>
    <t>6.11_551.2118m/z</t>
  </si>
  <si>
    <t>3-O-(beta-D-glucopyranosyl-(1-&gt;6)-beta-D-glucopyranosyl) ethyl 3-hydroxyoctanoate</t>
  </si>
  <si>
    <t>LMFA13010044</t>
  </si>
  <si>
    <t>O([C@H]1[C@H](O)[C@@H](O)[C@H](O)[C@@H](CO[C@H]2[C@H](O)[C@@H](O)[C@H](O)[C@@H](CO)O2)O1)C(CC(=O)OCC)CCCCC</t>
  </si>
  <si>
    <t>QAIPLYVRKVVKMO-LVKFBHBHSA-N</t>
  </si>
  <si>
    <t>C22H40O13</t>
  </si>
  <si>
    <t>11.41_634.4541m/z</t>
  </si>
  <si>
    <t>Nonoxynol-9</t>
  </si>
  <si>
    <t>HMDB0015680</t>
  </si>
  <si>
    <t>26571-11-9</t>
  </si>
  <si>
    <t>CCCCCCCCCC1=CC=C(OCCOCCOCCOCCOCCOCCOCCOCCOCCO)C=C1</t>
  </si>
  <si>
    <t>FBWNMEQMRUMQSO-UHFFFAOYSA-N</t>
  </si>
  <si>
    <t>C33H60O10</t>
  </si>
  <si>
    <t>5.18_255.1236m/z</t>
  </si>
  <si>
    <t>ascr#7</t>
  </si>
  <si>
    <t>LMFA13040006</t>
  </si>
  <si>
    <t>O([C@@H](CC/C=C/C(=O)O)C)[C@H]1[C@H](O)C[C@@H](O)[C@H](C)O1</t>
  </si>
  <si>
    <t>GGHOMCWJOMBZEK-LHYQPRBASA-N</t>
  </si>
  <si>
    <t>C13H22O6</t>
  </si>
  <si>
    <t>146</t>
  </si>
  <si>
    <t>Pyrazinoic Acid</t>
  </si>
  <si>
    <t>HMDB0059734</t>
  </si>
  <si>
    <t>C19915</t>
  </si>
  <si>
    <t>98-97-5</t>
  </si>
  <si>
    <t>OC(=O)C1=CN=CC=N1</t>
  </si>
  <si>
    <t>NIPZZXUFJPQHNH-UHFFFAOYSA-N</t>
  </si>
  <si>
    <t>C5H4N2O2</t>
  </si>
  <si>
    <t>4.50_271.1359m/z</t>
  </si>
  <si>
    <t>WZ811</t>
  </si>
  <si>
    <t>55778-02-4</t>
  </si>
  <si>
    <t>C1=CC=NC(=C1)NCC2=CC=C(C=C2)CNC3=CC=CC=N3</t>
  </si>
  <si>
    <t>KBVFRXIGQQRMEF-UHFFFAOYSA-N</t>
  </si>
  <si>
    <t>Benzylamines</t>
  </si>
  <si>
    <t>C18H18N4</t>
  </si>
  <si>
    <t>0.64_193.1316m/z</t>
  </si>
  <si>
    <t>2-Amino-3-methyl-1-pyrrolidin-1-YL-butan-1-one</t>
  </si>
  <si>
    <t>HMDB0246938</t>
  </si>
  <si>
    <t>CC(C)C(N)C(=O)N1CCCC1</t>
  </si>
  <si>
    <t>IHBAVXVTGLANPI-UHFFFAOYSA-N</t>
  </si>
  <si>
    <t>C9H18N2O</t>
  </si>
  <si>
    <t>13.49_502.3753m/z</t>
  </si>
  <si>
    <t>11-HydroxyNonadecanoylcarnitine</t>
  </si>
  <si>
    <t>HMDB0241561</t>
  </si>
  <si>
    <t>CCCCCCCCC(O)CCCCCCCCCC(=O)OC(CC([O-])=O)C[N+](C)(C)C</t>
  </si>
  <si>
    <t>LZIQXDUPOFNDEY-UHFFFAOYSA-N</t>
  </si>
  <si>
    <t>C26H51NO5</t>
  </si>
  <si>
    <t>9.60_622.3371n</t>
  </si>
  <si>
    <t>Brainesteroside C</t>
  </si>
  <si>
    <t>LMST01010434</t>
  </si>
  <si>
    <t>C1[C@H](O)[C@H](O[C@H]2[C@H](O)[C@@H](O)[C@H](O)[C@@H](CO)O2)CC2=C(O)C(=O)C3=C(CC[C@]4(C3=CC[C@]4([H])[C@](O)(C)[C@H](O)CCC(C)C)C)[C@]21C</t>
  </si>
  <si>
    <t>UVTRNQDEASOAEI-CRTQUAMDSA-N</t>
  </si>
  <si>
    <t>C33H50O11</t>
  </si>
  <si>
    <t>14.29_312.3270m/z</t>
  </si>
  <si>
    <t>9R,10S-Epoxy-6Z-eicosene</t>
  </si>
  <si>
    <t>LMFA12000307</t>
  </si>
  <si>
    <t>CCCCC/C=C\C[C@@H]1O[C@@H]1CCCCCCCCCC</t>
  </si>
  <si>
    <t>JJKUQABYACBLID-MJULWQABSA-N</t>
  </si>
  <si>
    <t>12.05_375.1482m/z</t>
  </si>
  <si>
    <t>Eperezolid</t>
  </si>
  <si>
    <t>HMDB0251836</t>
  </si>
  <si>
    <t>CC(=O)NCC1CN(C(=O)O1)C1=CC(F)=C(C=C1)N1CCN(CC1)C(=O)CO</t>
  </si>
  <si>
    <t>SIMWTRCFFSTNMG-UHFFFAOYSA-N</t>
  </si>
  <si>
    <t>C18H23FN4O5</t>
  </si>
  <si>
    <t>7.50_537.2520m/z</t>
  </si>
  <si>
    <t>29-demethylgeodisterol-O-sulfite</t>
  </si>
  <si>
    <t>LMST01031091</t>
  </si>
  <si>
    <t>C1C2[C@@]3([H])CC[C@]4(C)[C@@]([H])([C@](O)(C)CCC(=C)C(C)C)[C@@H](O)C[C@@]4([H])[C@]3([H])CCC=2C=C(OS(O)(=O)=O)C=1</t>
  </si>
  <si>
    <t>JOGWUZSAGSFJKC-KZPPUNKBSA-N</t>
  </si>
  <si>
    <t>C27H40O6S</t>
  </si>
  <si>
    <t>4.65_240.0875m/z</t>
  </si>
  <si>
    <t>3-[2-Carboxyprop-1-enyl(ethoxycarbonyl)amino]-2-methylprop-2-enoic acid</t>
  </si>
  <si>
    <t>HMDB0257806</t>
  </si>
  <si>
    <t>CCOC(=O)N(C=C(C)C(O)=O)C=C(C)C(O)=O</t>
  </si>
  <si>
    <t>WJKBLCUQNVHPKU-UHFFFAOYSA-N</t>
  </si>
  <si>
    <t>C11H15NO6</t>
  </si>
  <si>
    <t>3.69_249.0379m/z</t>
  </si>
  <si>
    <t>Diflunisal</t>
  </si>
  <si>
    <t>HMDB0014999</t>
  </si>
  <si>
    <t>C01691</t>
  </si>
  <si>
    <t>22494-42-4</t>
  </si>
  <si>
    <t>OC(=O)C1=C(O)C=CC(=C1)C1=C(F)C=C(F)C=C1</t>
  </si>
  <si>
    <t>HUPFGZXOMWLGNK-UHFFFAOYSA-N</t>
  </si>
  <si>
    <t>C13H8F2O3</t>
  </si>
  <si>
    <t>5.22_267.0382m/z</t>
  </si>
  <si>
    <t>Pyrazolopyrimidinone</t>
  </si>
  <si>
    <t>HMDB0256955</t>
  </si>
  <si>
    <t>O=C1N=NC2=CN=CN=C12</t>
  </si>
  <si>
    <t>DOTPSQVYOBAWPQ-UHFFFAOYSA-N</t>
  </si>
  <si>
    <t>C5H2N4O</t>
  </si>
  <si>
    <t>9.03_327.2178m/z</t>
  </si>
  <si>
    <t>9-hydroperoxy-12,13-dihydroxy-10-octadecenoic acid</t>
  </si>
  <si>
    <t>LMFA02000107</t>
  </si>
  <si>
    <t>C(=C/C(O)C(O)CCCCC)\C(OO)CCCCCCCC(=O)O</t>
  </si>
  <si>
    <t>XKOSMZYONOMNMT-BUHFOSPRSA-N</t>
  </si>
  <si>
    <t>12.97_463.3432m/z</t>
  </si>
  <si>
    <t>Secosterol-A</t>
  </si>
  <si>
    <t>LMST01010127</t>
  </si>
  <si>
    <t>[C@@]1([H])(CC=O)[C@]2([H])CC[C@]([H])([C@@](C)([H])CCCC(C)C)[C@@]2(C)CC[C@]1([H])[C@@]1(C)CC[C@H](O)CC1=O</t>
  </si>
  <si>
    <t>YAKOGNWFSAFQBB-MCFZVKJISA-N</t>
  </si>
  <si>
    <t>7.86_187.1332m/z</t>
  </si>
  <si>
    <t>9R-hydroxy-decanoic acid</t>
  </si>
  <si>
    <t>LMFA01050247</t>
  </si>
  <si>
    <t>C(CCCCCCC[C@H](O)C)(=O)O</t>
  </si>
  <si>
    <t>UOQXHXSPGSKEGI-SECBINFHSA-N</t>
  </si>
  <si>
    <t>7.34_304.1684n</t>
  </si>
  <si>
    <t>Latanoprost Lactone Diol</t>
  </si>
  <si>
    <t>145667-75-0</t>
  </si>
  <si>
    <t>C1C(C(C2C1OC(=O)C2)CCC(CCC3=CC=CC=C3)O)O</t>
  </si>
  <si>
    <t>CQVHXVLSHMRWEC-UTSKFRMZSA-N</t>
  </si>
  <si>
    <t>4.40_747.3687m/z</t>
  </si>
  <si>
    <t>Hypromellosum</t>
  </si>
  <si>
    <t>HMDB0256007</t>
  </si>
  <si>
    <t>COCC1OC(OC2C(COCC(C)O)OC(OC)C(OCC(C)O)C2OCC(C)O)C(OC)C(OC)C1OC1OC(CO)C(OC)C(O)C1O</t>
  </si>
  <si>
    <t>VUKAUDKDFVSVFT-UHFFFAOYSA-N</t>
  </si>
  <si>
    <t>C32H60O19</t>
  </si>
  <si>
    <t>12.67_298.2508n</t>
  </si>
  <si>
    <t>5-Hexyltetrahydro-2-furanoctanoic acid</t>
  </si>
  <si>
    <t>HMDB0031127</t>
  </si>
  <si>
    <t>61781-98-4</t>
  </si>
  <si>
    <t>CCCCCCC1CCC(CCCCCCCC(O)=O)O1</t>
  </si>
  <si>
    <t>AQIVDANQKWQSRX-UHFFFAOYSA-N</t>
  </si>
  <si>
    <t>11.09_541.3311m/z</t>
  </si>
  <si>
    <t>3-O-alpha-L-rhamnopyranosyl-3-hydroxyundecanoyl-3-hydroxydecanoic acid</t>
  </si>
  <si>
    <t>LMFA13030012</t>
  </si>
  <si>
    <t>O([C@H]1[C@H](O)[C@H](O)[C@@H](O)[C@H](C)O1)C(CCCCCCCC)CC(=O)OC(CCCCCCC)CC(=O)O</t>
  </si>
  <si>
    <t>NGNCBDCGTXYZBV-ALOCDAIASA-N</t>
  </si>
  <si>
    <t>C27H50O9</t>
  </si>
  <si>
    <t>9.93_748.5439m/z</t>
  </si>
  <si>
    <t>Cer(d20:1/LTE4)</t>
  </si>
  <si>
    <t>HMDB0290114</t>
  </si>
  <si>
    <t>CCCCCCCCCCCCCCC\C=C\[C@@H](O)[C@H](CO)NC(=O)[C@@H](N)CS[C@H](\C=C\C=C\C=C/C\C=C/CCCCC)[C@@H](O)CCCC(O)=O</t>
  </si>
  <si>
    <t>TXFWFFFSFAHKHH-OGSSWOCLSA-N</t>
  </si>
  <si>
    <t>C43H76N2O6S</t>
  </si>
  <si>
    <t>10.29_365.1969m/z</t>
  </si>
  <si>
    <t>Oryzalide A</t>
  </si>
  <si>
    <t>HMDB0037591</t>
  </si>
  <si>
    <t>128500-67-4</t>
  </si>
  <si>
    <t>CC12OC1C13CC2CCC1C1(C)C(O)OC(=O)C(C)(C)C1CC3</t>
  </si>
  <si>
    <t>JEZFFKVMFCDTRK-UHFFFAOYSA-N</t>
  </si>
  <si>
    <t>8.29_493.2821n</t>
  </si>
  <si>
    <t>Cytochalasin H</t>
  </si>
  <si>
    <t>LMPK11000007</t>
  </si>
  <si>
    <t>[C@@H]1(C)C(=C)[C@@H](O)[C@]2([H])C=CC[C@H](C)C[C@@](C)(O)C=C[C@H](OC(C)=O)[C@@]32C(=O)N[C@@H](CC2C=CC=CC=2)[C@]13[H]</t>
  </si>
  <si>
    <t>NAEWXXDGBKTIMN-DNIQSDAFSA-N</t>
  </si>
  <si>
    <t>C30H39NO5</t>
  </si>
  <si>
    <t>3.40_778.2629m/z</t>
  </si>
  <si>
    <t>3'-Sialyl-3-fucosyllactose</t>
  </si>
  <si>
    <t>HMDB0006606</t>
  </si>
  <si>
    <t>122560-33-2</t>
  </si>
  <si>
    <t>[H][C@@](O[C@@H]1O[C@H](CO)[C@H](O)[C@H](O[C@@]2(C[C@H](O)[C@@H](NC(C)=O)[C@@]([H])(O2)[C@H](O)[C@H](O)CO)C(O)=O)[C@H]1O)([C@H](O)CO)[C@]([H])(O[C@@H]1O[C@@H](C)[C@@H](O)[C@@H](O)[C@@H]1O)[C@@H](O)C=O</t>
  </si>
  <si>
    <t>FNCPZGGSTQEGGK-DRSOAOOLSA-N</t>
  </si>
  <si>
    <t>C29H49NO23</t>
  </si>
  <si>
    <t>4.71_444.3183m/z</t>
  </si>
  <si>
    <t>N-stearoyl histidine</t>
  </si>
  <si>
    <t>LMFA08020135</t>
  </si>
  <si>
    <t>C1(N=CNC=1)C[C@]([H])(NC(CCCCCCCCCCCCCCCCC)=O)C(=O)O</t>
  </si>
  <si>
    <t>FGJOQQQRZNFKBP-QFIPXVFZSA-N</t>
  </si>
  <si>
    <t>C24H43N3O3</t>
  </si>
  <si>
    <t>4.22_263.0288m/z</t>
  </si>
  <si>
    <t>Ethidimuron</t>
  </si>
  <si>
    <t>C19092</t>
  </si>
  <si>
    <t>30043-49-3</t>
  </si>
  <si>
    <t>CCS(=O)(=O)C1=NN=C(S1)N(C)C(=O)NC</t>
  </si>
  <si>
    <t>KCOCSOWTADCKOL-UHFFFAOYSA-N</t>
  </si>
  <si>
    <t>C7H12N4O3S2</t>
  </si>
  <si>
    <t>10.04_307.1905m/z</t>
  </si>
  <si>
    <t>Sacrolide A</t>
  </si>
  <si>
    <t>LMFA07040154</t>
  </si>
  <si>
    <t>C1CCCCCC(=O)O[C@H](C/C=C\CC)C(=O)C=C[C@H](O)C1</t>
  </si>
  <si>
    <t>UYLKXNMQPMQPNW-USYDTVFMSA-N</t>
  </si>
  <si>
    <t>4.77_423.1278m/z</t>
  </si>
  <si>
    <t>2,3-Butanediol apiosylglucoside</t>
  </si>
  <si>
    <t>HMDB0033063</t>
  </si>
  <si>
    <t>CC(O)C(C)OC1OC(COC2OCC(O)(CO)C2O)C(O)C(O)C1O</t>
  </si>
  <si>
    <t>IXOASERJLNPXSS-UHFFFAOYSA-N</t>
  </si>
  <si>
    <t>C15H28O11</t>
  </si>
  <si>
    <t>6.53_371.0150m/z</t>
  </si>
  <si>
    <t>8-Nitro-cGMP</t>
  </si>
  <si>
    <t>HMDB0247452</t>
  </si>
  <si>
    <t>NC1=NC2=C(N=C(N2C2OC3COP(O)(=O)OC3C2O)[N+]([O-])=O)C(=O)N1</t>
  </si>
  <si>
    <t>XRKODJJSPSPDGM-UHFFFAOYSA-N</t>
  </si>
  <si>
    <t>C10H11N6O9P</t>
  </si>
  <si>
    <t>5.41_230.0972m/z</t>
  </si>
  <si>
    <t>Benzo[c]phenanthridine</t>
  </si>
  <si>
    <t>HMDB0246755</t>
  </si>
  <si>
    <t>C1=CC=C2C(C=CC3=C2N=CC2=CC=CC=C32)=C1</t>
  </si>
  <si>
    <t>XPDJLGHACUMTKU-UHFFFAOYSA-N</t>
  </si>
  <si>
    <t>C17H11N</t>
  </si>
  <si>
    <t>10.12_438.2628m/z</t>
  </si>
  <si>
    <t>PE(14:0(13Me)/0:0)</t>
  </si>
  <si>
    <t>LMGP02050074</t>
  </si>
  <si>
    <t>[C@](COP(=O)(O)OCCN)([H])(O)COC(CCCCCCCCCCCC(C)C)=O</t>
  </si>
  <si>
    <t>OTLGIBROBHTAHD-LJQANCHMSA-N</t>
  </si>
  <si>
    <t>7.37_453.2976m/z</t>
  </si>
  <si>
    <t>3beta,5alpha,9alpha-trihydroxycholesta-7,14-dien-6-one</t>
  </si>
  <si>
    <t>LMST01010261</t>
  </si>
  <si>
    <t>C1[C@@]2(C)[C@](C(=O)C=C3[C@]2(O)CC[C@@]2(C)C3=CC[C@]2([H])[C@@]([H])(CCCC(C)C)C)(O)C[C@@H](O)C1</t>
  </si>
  <si>
    <t>LWZRFRLSISCLQC-LOVAIWNMSA-N</t>
  </si>
  <si>
    <t>8.79_409.1765m/z</t>
  </si>
  <si>
    <t>Quinaprilat</t>
  </si>
  <si>
    <t>HMDB0042005</t>
  </si>
  <si>
    <t>82768-85-2</t>
  </si>
  <si>
    <t>[H][C@@](C)(N[C@@]([H])(CCC1=CC=CC=C1)C(O)=O)C(=O)N1CC2=CC=CC=C2C[C@@]1([H])C(O)=O</t>
  </si>
  <si>
    <t>FLSLEGPOVLMJMN-YSSFQJQWSA-N</t>
  </si>
  <si>
    <t>C23H26N2O5</t>
  </si>
  <si>
    <t>6.53_214.1443m/z</t>
  </si>
  <si>
    <t>N-Nonanoylglycine</t>
  </si>
  <si>
    <t>HMDB0013279</t>
  </si>
  <si>
    <t>CCCCCCCCC(=O)NCC(O)=O</t>
  </si>
  <si>
    <t>JXDFEUKNHBHUCP-UHFFFAOYSA-N</t>
  </si>
  <si>
    <t>5.70_223.0972m/z</t>
  </si>
  <si>
    <t>senkyunolide I</t>
  </si>
  <si>
    <t>HMDB0258236</t>
  </si>
  <si>
    <t>CCCC=C1OC(=O)C2=C1CCC(O)C2O</t>
  </si>
  <si>
    <t>DQNGMIQSXNGHOA-UHFFFAOYSA-N</t>
  </si>
  <si>
    <t>C12H16O4</t>
  </si>
  <si>
    <t>10.13_339.2694m/z</t>
  </si>
  <si>
    <t>chola-4,6-dien-24-oic acid</t>
  </si>
  <si>
    <t>LMST04010442</t>
  </si>
  <si>
    <t>C1CCC=C2C=C[C@]3([H])[C@@]([H])([C@]21C)CC[C@]1(C)[C@@]([H])([C@H](C)CCC(O)=O)CC[C@]13[H]</t>
  </si>
  <si>
    <t>GEVCCQBVZLDDJV-HGZXIFPPSA-N</t>
  </si>
  <si>
    <t>5.00_201.1127m/z</t>
  </si>
  <si>
    <t>9,10-dihydroxy-2-decenoic acid</t>
  </si>
  <si>
    <t>LMFA01050428</t>
  </si>
  <si>
    <t>C(/C=C/CCCCCC(O)CO)(=O)O</t>
  </si>
  <si>
    <t>LJVFDEUMLMNPKS-FNORWQNLSA-N</t>
  </si>
  <si>
    <t>11.64_441.3320m/z</t>
  </si>
  <si>
    <t>(20R,22R)-20,22-dihydroxycholesterol</t>
  </si>
  <si>
    <t>LMST01010200</t>
  </si>
  <si>
    <t>C05501</t>
  </si>
  <si>
    <t>R-HSA-1430728,R-HSA-1643685,R-HSA-196071,R-HSA-196108,R-HSA-211859,R-HSA-211897,R-HSA-211945,R-HSA-211976,R-HSA-556833,R-HSA-5579026,R-HSA-5579029,R-HSA-5668914,R-HSA-8957322</t>
  </si>
  <si>
    <t>Metabolism|Disease|Metabolism of steroid hormones|Pregnenolone biosynthesis|Biological oxidations|Cytochrome P450 - arranged by substrate type|Phase I - Functionalization of compounds|Endogenous sterols|Metabolism of lipids|Defective CYP11A1 causes AICSR|Metabolic disorders of biological oxidation enzymes|Diseases of metabolism|Metabolism of steroids</t>
  </si>
  <si>
    <t>[C@]12(C)CC[C@@]3([H])[C@@]([H])(CC=C4C[C@@H](O)CC[C@]34C)[C@]1([H])CC[C@]2([H])[C@](O)(C)[C@H](O)CCC(C)C</t>
  </si>
  <si>
    <t>ISBSSBGEYIBVTO-TYKWNDPBSA-N</t>
  </si>
  <si>
    <t>453</t>
  </si>
  <si>
    <t>3-Beta-D-Galactosyl-Sn-Glycerol</t>
  </si>
  <si>
    <t>HMDB0304157</t>
  </si>
  <si>
    <t>C05401</t>
  </si>
  <si>
    <t>hsa00052,hsa00561</t>
  </si>
  <si>
    <t>Galactose metabolism|Glycerolipid metabolism</t>
  </si>
  <si>
    <t>16232-91-0</t>
  </si>
  <si>
    <t>OC[C@@H](O)CO[C@@H]1O[C@H](CO)[C@H](O)[C@H](O)[C@H]1O</t>
  </si>
  <si>
    <t>NHJUPBDCSOGIKX-NTXXKDEISA-N</t>
  </si>
  <si>
    <t>C9H18O8</t>
  </si>
  <si>
    <t>5.33_234.0350m/z</t>
  </si>
  <si>
    <t>Benzo[d][2,1]benzothiazepine</t>
  </si>
  <si>
    <t>HMDB0258137</t>
  </si>
  <si>
    <t>S1C=C2C=CC=CC2=C2C=CC=CC2=N1</t>
  </si>
  <si>
    <t>RCZNTCRHZYKQIC-UHFFFAOYSA-N</t>
  </si>
  <si>
    <t>C13H9NS</t>
  </si>
  <si>
    <t>10.74_355.2045m/z</t>
  </si>
  <si>
    <t>(R,E)-S-2-acetamido-13-(methylamino)-13-oxotridec-3-enyl ethanethioate</t>
  </si>
  <si>
    <t>CC(=O)NC(CSC(=O)C)C=CCCCCCCCCC(=O)NC</t>
  </si>
  <si>
    <t>SKFVXBGHGZPOOB-DPCFLFMUSA-N</t>
  </si>
  <si>
    <t>C18H32N2O3S</t>
  </si>
  <si>
    <t>9.81_266.1034m/z</t>
  </si>
  <si>
    <t>Hydrocotarnine</t>
  </si>
  <si>
    <t>HMDB0033701</t>
  </si>
  <si>
    <t>C13534</t>
  </si>
  <si>
    <t>550-10-7</t>
  </si>
  <si>
    <t>COC1=C2CN(C)CCC2=CC2=C1OCO2</t>
  </si>
  <si>
    <t>XXANNZJIZQTCBP-UHFFFAOYSA-N</t>
  </si>
  <si>
    <t>C12H15NO3</t>
  </si>
  <si>
    <t>10.14_406.2596m/z</t>
  </si>
  <si>
    <t>N-arachidonoyl glycine</t>
  </si>
  <si>
    <t>HMDB0005096</t>
  </si>
  <si>
    <t>LMFA08020003</t>
  </si>
  <si>
    <t>R-HSA-162582,R-HSA-372790,R-HSA-373076,R-HSA-388396,R-HSA-418594,R-HSA-500792</t>
  </si>
  <si>
    <t>Signal Transduction|Signaling by GPCR|Class A/1 (Rhodopsin-like receptors)|GPCR downstream signalling|G alpha (i) signalling events|GPCR ligand binding</t>
  </si>
  <si>
    <t>179113-91-8</t>
  </si>
  <si>
    <t>C(/C/C=C\C/C=C\CCCCC)=C/C/C=C\CCCC(=O)NCC(=O)O</t>
  </si>
  <si>
    <t>YLEARPUNMCCKMP-DOFZRALJSA-N</t>
  </si>
  <si>
    <t>C22H35NO3</t>
  </si>
  <si>
    <t>5.42_201.0222m/z</t>
  </si>
  <si>
    <t>3-ethylphenyl Sulfate</t>
  </si>
  <si>
    <t>HMDB0062721</t>
  </si>
  <si>
    <t>CCC1=CC(OS(O)(=O)=O)=CC=C1</t>
  </si>
  <si>
    <t>DMIBREBMNWKSQY-UHFFFAOYSA-N</t>
  </si>
  <si>
    <t>C8H10O4S</t>
  </si>
  <si>
    <t>8.91_235.0985m/z</t>
  </si>
  <si>
    <t>BURIMAMIDE</t>
  </si>
  <si>
    <t>HMDB0249446</t>
  </si>
  <si>
    <t>C07448</t>
  </si>
  <si>
    <t>34970-69-9</t>
  </si>
  <si>
    <t>CNC(=S)NCCCCC1=CN=CN1</t>
  </si>
  <si>
    <t>HXRBAVXGYZUSED-UHFFFAOYSA-N</t>
  </si>
  <si>
    <t>C9H16N4S</t>
  </si>
  <si>
    <t>3.61_407.0451m/z</t>
  </si>
  <si>
    <t>Daucic acid</t>
  </si>
  <si>
    <t>HMDB0031665</t>
  </si>
  <si>
    <t>34098-52-7</t>
  </si>
  <si>
    <t>OC1C=C(OC(C1O)C(O)=O)C(O)=O</t>
  </si>
  <si>
    <t>KUKCUROTFRBUNU-UHFFFAOYSA-N</t>
  </si>
  <si>
    <t>C7H8O7</t>
  </si>
  <si>
    <t>10.33_417.2649m/z</t>
  </si>
  <si>
    <t>3'-Hydroxysimvastatin</t>
  </si>
  <si>
    <t>133645-46-2</t>
  </si>
  <si>
    <t>CCC(C)(C)C(=O)OC1CC(=CC2=C(CC(C(C12)CCC3CC(CC(=O)O3)O)C)O)C</t>
  </si>
  <si>
    <t>FNUSCSUPEVWTIN-UHFFFAOYSA-N</t>
  </si>
  <si>
    <t>9.79_283.1319m/z</t>
  </si>
  <si>
    <t>2,2,4-Trimethyl-6-(1-oxo-3-phenylpropyl)-1,3,5-cyclohexanetrione</t>
  </si>
  <si>
    <t>HMDB0037245</t>
  </si>
  <si>
    <t>LMPK12120594</t>
  </si>
  <si>
    <t>34328-57-9</t>
  </si>
  <si>
    <t>C1(=O)C(C)(C)C(=O)C(C(=O)CCC2C=CC=CC=2)C(=O)C1C</t>
  </si>
  <si>
    <t>CTSXBYQFSBUGKB-UHFFFAOYSA-N</t>
  </si>
  <si>
    <t>C18H20O4</t>
  </si>
  <si>
    <t>7.47_373.2751m/z</t>
  </si>
  <si>
    <t>4-epi-4-F3t-NeuroP DPA6</t>
  </si>
  <si>
    <t>CCCCCC=CCC=CCC1C(CC(C1C=CC(CCC(=O)O)O)O)O</t>
  </si>
  <si>
    <t>PHXISEYOLYYFEN-COSWWLHQSA-N</t>
  </si>
  <si>
    <t>4.55_194.1546m/z</t>
  </si>
  <si>
    <t>N-butyryl-L-Homoserine lactone-d5</t>
  </si>
  <si>
    <t>CCCC(=O)NC1CCOC1=O</t>
  </si>
  <si>
    <t>VFFNZZXXTGXBOG-PLFILOGFSA-N</t>
  </si>
  <si>
    <t>C8H8D5NO3</t>
  </si>
  <si>
    <t>4.08_342.1673m/z</t>
  </si>
  <si>
    <t>Pro Asp Leu</t>
  </si>
  <si>
    <t>CC(C)CC(C(=O)O)NC(=O)C(CC(=O)O)NC(=O)C1CCCN1</t>
  </si>
  <si>
    <t>KPDRZQUWJKTMBP-DCAQKATOSA-N</t>
  </si>
  <si>
    <t>4.71_221.1270n</t>
  </si>
  <si>
    <t>N-(2,3,4-Trihydroxybutyl)-L-valine</t>
  </si>
  <si>
    <t>HMDB0254995</t>
  </si>
  <si>
    <t>CC(C)C(NCC(O)C(O)CO)C(O)=O</t>
  </si>
  <si>
    <t>RDRWAVXWDDQLBN-UHFFFAOYSA-N</t>
  </si>
  <si>
    <t>C9H19NO5</t>
  </si>
  <si>
    <t>188</t>
  </si>
  <si>
    <t>Glutaric Acid</t>
  </si>
  <si>
    <t>HMDB0000661</t>
  </si>
  <si>
    <t>C00489</t>
  </si>
  <si>
    <t>hsa00071,hsa00310</t>
  </si>
  <si>
    <t>Fatty acid degradation|Lysine degradation</t>
  </si>
  <si>
    <t>110-94-1</t>
  </si>
  <si>
    <t>OC(=O)CCCC(O)=O</t>
  </si>
  <si>
    <t>JFCQEDHGNNZCLN-UHFFFAOYSA-N</t>
  </si>
  <si>
    <t>12.71_417.3010m/z</t>
  </si>
  <si>
    <t>1-O-(2R-methoxy-4Z,7Z,10Z,13Z,16Z,19Z-docosahexaenyl)-sn-glycerol</t>
  </si>
  <si>
    <t>LMGL01020044</t>
  </si>
  <si>
    <t>[C@](CO)([H])(O)COC[C@H](OC)C/C=C\C/C=C\C/C=C\C/C=C\C/C=C\C/C=C\CC</t>
  </si>
  <si>
    <t>CZCDHKINCYAFPF-QRWVTZTPSA-N</t>
  </si>
  <si>
    <t>4.46_305.1869m/z</t>
  </si>
  <si>
    <t>12Z,16-heptadecadienoic acid</t>
  </si>
  <si>
    <t>LMFA01031238</t>
  </si>
  <si>
    <t>C(CCCCCCCCCC/C=C\CCC=C)(=O)O</t>
  </si>
  <si>
    <t>DJPJIMVUISFALP-WAYWQWQTSA-N</t>
  </si>
  <si>
    <t>C17H30O2</t>
  </si>
  <si>
    <t>8.50_393.2264m/z</t>
  </si>
  <si>
    <t>Isoforskolin</t>
  </si>
  <si>
    <t>HMDB0253641</t>
  </si>
  <si>
    <t>CC(=O)OC1C(O)C2(C)OC(C)(CC(=O)C2(O)C2(C)C(O)CCC(C)(C)C12)C=C</t>
  </si>
  <si>
    <t>CLOQVZCSBYBUPB-UHFFFAOYSA-N</t>
  </si>
  <si>
    <t>C22H34O7</t>
  </si>
  <si>
    <t>10.25_534.2136m/z</t>
  </si>
  <si>
    <t>20-carboxy-N-acetyl-leukotriene E4</t>
  </si>
  <si>
    <t>LMFA03020081</t>
  </si>
  <si>
    <t>C(CCC[C@H](O)[C@H](SC[C@H](NC(C)=O)C(=O)O)/C=C/C=C/C=C\C/C=C\CCCCC(=O)O)(=O)O</t>
  </si>
  <si>
    <t>CDLXVLKWNIXANF-WGJURILISA-N</t>
  </si>
  <si>
    <t>C25H37NO8S</t>
  </si>
  <si>
    <t>4.22_314.0259m/z</t>
  </si>
  <si>
    <t>Rimeporide</t>
  </si>
  <si>
    <t>HMDB0257559</t>
  </si>
  <si>
    <t>CC1=CC(=C(C=C1C(=O)NC(N)=N)S(C)(=O)=O)S(C)(=O)=O</t>
  </si>
  <si>
    <t>GROMEQPXDKRRIE-UHFFFAOYSA-N</t>
  </si>
  <si>
    <t>C11H15N3O5S2</t>
  </si>
  <si>
    <t>6.90_787.2691m/z</t>
  </si>
  <si>
    <t>N-Acetylserotonin glucuronide</t>
  </si>
  <si>
    <t>HMDB0060833</t>
  </si>
  <si>
    <t>CC(=O)NCCC1=CNC2=C1C=C(OC1OC(C(O)C(O)C1O)C(O)=O)C=C2</t>
  </si>
  <si>
    <t>DRKQFNYKSNWOTC-UHFFFAOYSA-N</t>
  </si>
  <si>
    <t>C18H22N2O8</t>
  </si>
  <si>
    <t>1.03_330.0277m/z</t>
  </si>
  <si>
    <t>CAY10638</t>
  </si>
  <si>
    <t>C1=CSC(=C1)CCOC2=CC=C(C=C2)C=C3C(=O)NC(=O)S3</t>
  </si>
  <si>
    <t>NTKWOUHXDKSPIX-UVTDQMKNSA-N</t>
  </si>
  <si>
    <t>C16H13NO3S2</t>
  </si>
  <si>
    <t>0.74_111.0076m/z</t>
  </si>
  <si>
    <t>2,5-Dioxopentanoate</t>
  </si>
  <si>
    <t>HMDB0060365</t>
  </si>
  <si>
    <t>C00433</t>
  </si>
  <si>
    <t>hsa00040,hsa00053,hsa00470</t>
  </si>
  <si>
    <t>Pentose and glucuronate interconversions|Ascorbate and aldarate metabolism|D-Amino acid metabolism</t>
  </si>
  <si>
    <t>OC(=O)C(=O)CCC=O</t>
  </si>
  <si>
    <t>VHKNBDIQDAXGBL-UHFFFAOYSA-N</t>
  </si>
  <si>
    <t>Short-chain keto acids and derivatives</t>
  </si>
  <si>
    <t>C5H6O4</t>
  </si>
  <si>
    <t>8.18_467.2799m/z</t>
  </si>
  <si>
    <t>Volicitin</t>
  </si>
  <si>
    <t>LMFA08020212</t>
  </si>
  <si>
    <t>[C@]([H])(NC(=O)CCCCCCC/C=C\C/C=C\C/C=C\C(O)C)(CCC(N)=O)C(O)=O</t>
  </si>
  <si>
    <t>YDUZXFXPORORCL-RXMDRCAOSA-N</t>
  </si>
  <si>
    <t>C23H38N2O5</t>
  </si>
  <si>
    <t>8.39_357.2649m/z</t>
  </si>
  <si>
    <t>13,14-Dihydro PGF-1a</t>
  </si>
  <si>
    <t>HMDB0005076</t>
  </si>
  <si>
    <t>CCCCC[C@H](O)CC[C@H]1[C@H](O)C[C@H](O)[C@@H]1CCCCCCC(O)=O</t>
  </si>
  <si>
    <t>WMHAOJIJVNDMKA-BRIYLRKRSA-N</t>
  </si>
  <si>
    <t>10.91_486.3300m/z</t>
  </si>
  <si>
    <t>Lucyin A</t>
  </si>
  <si>
    <t>HMDB0041041</t>
  </si>
  <si>
    <t>152845-76-6</t>
  </si>
  <si>
    <t>CC1(C)CC2C3=CCC4C5(C)CCC(O)C(C)(C=O)C5CCC4(C)C3(C)CCC2(CC1O)C(O)=O</t>
  </si>
  <si>
    <t>MFGKQCGZFKURGT-UHFFFAOYSA-N</t>
  </si>
  <si>
    <t>9.23_377.1583m/z</t>
  </si>
  <si>
    <t>Prenylcysteine</t>
  </si>
  <si>
    <t>HMDB0256764</t>
  </si>
  <si>
    <t>CC(C)=CCNC(CS)C(O)=O</t>
  </si>
  <si>
    <t>PGSOFWOYBQXDSO-UHFFFAOYSA-N</t>
  </si>
  <si>
    <t>C8H15NO2S</t>
  </si>
  <si>
    <t>7.64_406.9978m/z</t>
  </si>
  <si>
    <t>Bismuth Subsalicylate</t>
  </si>
  <si>
    <t>HMDB0015408</t>
  </si>
  <si>
    <t>C07870</t>
  </si>
  <si>
    <t>14882-18-9</t>
  </si>
  <si>
    <t>O[Bi]1OC(=O)C2=CC=CC=C2O1</t>
  </si>
  <si>
    <t>ZREIPSZUJIFJNP-UHFFFAOYSA-K</t>
  </si>
  <si>
    <t>C7H5BiO4</t>
  </si>
  <si>
    <t>5.22_192.0516m/z</t>
  </si>
  <si>
    <t>6-Formylpterin</t>
  </si>
  <si>
    <t>HMDB0247066</t>
  </si>
  <si>
    <t>OC1=NC(=N)NC2=C1N=C(C=O)C=N2</t>
  </si>
  <si>
    <t>LLJAQDVNMGLRBD-UHFFFAOYSA-N</t>
  </si>
  <si>
    <t>C7H5N5O2</t>
  </si>
  <si>
    <t>15.07_438.3337m/z</t>
  </si>
  <si>
    <t>27-Nor-cholestane-pentol</t>
  </si>
  <si>
    <t>HMDB0002126</t>
  </si>
  <si>
    <t>LMST01010213</t>
  </si>
  <si>
    <t>78648-95-0</t>
  </si>
  <si>
    <t>[C@]12([C@H](O)C[C@]3([H])C[C@H](O)CC[C@]3(C)[C@@]1([H])C[C@H](O)[C@]1(C)[C@@]([H])([C@@](C)([H])CCC(O)C(O)C)CC[C@@]21[H])[H]</t>
  </si>
  <si>
    <t>UBCPEZWGUOSYHO-JAPSQKQGSA-N</t>
  </si>
  <si>
    <t>C26H46O5</t>
  </si>
  <si>
    <t>4.48_215.1396m/z</t>
  </si>
  <si>
    <t>Dethiobiotin</t>
  </si>
  <si>
    <t>HMDB0003581</t>
  </si>
  <si>
    <t>C01909</t>
  </si>
  <si>
    <t>533-48-2</t>
  </si>
  <si>
    <t>C[C@@H]1NC(=O)N[C@@H]1CCCCCC(O)=O</t>
  </si>
  <si>
    <t>AUTOLBMXDDTRRT-JGVFFNPUSA-N</t>
  </si>
  <si>
    <t>C10H18N2O3</t>
  </si>
  <si>
    <t>0.76_243.1347m/z</t>
  </si>
  <si>
    <t>Isoleucylhydroxyproline</t>
  </si>
  <si>
    <t>HMDB0028908</t>
  </si>
  <si>
    <t>90965-80-3</t>
  </si>
  <si>
    <t>CC[C@H](C)[C@H](N)C(=O)N1C[C@H](O)C[C@H]1C(O)=O</t>
  </si>
  <si>
    <t>IFZSZULHIWFRSB-KZVJFYERSA-N</t>
  </si>
  <si>
    <t>C11H20N2O4</t>
  </si>
  <si>
    <t>12.71_485.3849m/z</t>
  </si>
  <si>
    <t>MG(0:0/24:1(15Z)/0:0)</t>
  </si>
  <si>
    <t>HMDB0011559</t>
  </si>
  <si>
    <t>[H]C(CO)(CO)OC(=O)CCCCCCCCCCCCC\C=C/CCCCCCCC</t>
  </si>
  <si>
    <t>HXZFYDGMORCWCA-KTKRTIGZSA-N</t>
  </si>
  <si>
    <t>5.43_399.1174m/z</t>
  </si>
  <si>
    <t>Allithiamine</t>
  </si>
  <si>
    <t>HMDB0031758</t>
  </si>
  <si>
    <t>554-44-9</t>
  </si>
  <si>
    <t>C\C(N(CC1=C(N)N=C(C)N=C1)C=O)=C(\CCO)SSCC=C</t>
  </si>
  <si>
    <t>WNCAVNGLACHSRZ-SDNWHVSQSA-N</t>
  </si>
  <si>
    <t>C15H22N4O2S2</t>
  </si>
  <si>
    <t>0.74_224.0230m/z</t>
  </si>
  <si>
    <t>S-Carboxymethyl-L-cysteine</t>
  </si>
  <si>
    <t>HMDB0029415</t>
  </si>
  <si>
    <t>2387-59-9</t>
  </si>
  <si>
    <t>NC(CSCC(O)=O)C(O)=O</t>
  </si>
  <si>
    <t>GBFLZEXEOZUWRN-UHFFFAOYSA-N</t>
  </si>
  <si>
    <t>C5H9NO4S</t>
  </si>
  <si>
    <t>8.00_184.0135n</t>
  </si>
  <si>
    <t>1-deoxy-L-glycero-tetrulose 4-phosphate</t>
  </si>
  <si>
    <t>HMDB0304013</t>
  </si>
  <si>
    <t>C15556</t>
  </si>
  <si>
    <t>hsa00740</t>
  </si>
  <si>
    <t>Riboflavin metabolism</t>
  </si>
  <si>
    <t>CC(=O)C(O)COP(O)(O)=O</t>
  </si>
  <si>
    <t>OKYHYXLCTGGOLM-UHFFFAOYSA-N</t>
  </si>
  <si>
    <t>C4H9O6P</t>
  </si>
  <si>
    <t>7.24_324.1033m/z</t>
  </si>
  <si>
    <t>2,2-Dimethyl-4-(4-methylsulfonylphenyl)-5-propoxyfuran-3-one</t>
  </si>
  <si>
    <t>HMDB0255395</t>
  </si>
  <si>
    <t>CCCOC1=C(C(=O)C(C)(C)O1)C1=CC=C(C=C1)S(C)(=O)=O</t>
  </si>
  <si>
    <t>NXDIJCMISUCNAE-UHFFFAOYSA-N</t>
  </si>
  <si>
    <t>Benzenesulfonyl compounds</t>
  </si>
  <si>
    <t>C16H20O5S</t>
  </si>
  <si>
    <t>328</t>
  </si>
  <si>
    <t>Citrulline</t>
  </si>
  <si>
    <t>HMDB0000904</t>
  </si>
  <si>
    <t>C00327</t>
  </si>
  <si>
    <t>372-75-8</t>
  </si>
  <si>
    <t>N[C@@H](CCCNC(N)=O)C(O)=O</t>
  </si>
  <si>
    <t>RHGKLRLOHDJJDR-BYPYZUCNSA-N</t>
  </si>
  <si>
    <t>C6H13N3O3</t>
  </si>
  <si>
    <t>3.53_433.1223m/z</t>
  </si>
  <si>
    <t>Sulfinpyrazone sulfide</t>
  </si>
  <si>
    <t>HMDB0060943</t>
  </si>
  <si>
    <t>3736-92-3</t>
  </si>
  <si>
    <t>O=C1C(CCSC2=CC=CC=C2)C(=O)N(N1C1=CC=CC=C1)C1=CC=CC=C1</t>
  </si>
  <si>
    <t>PLGXGMUJUXKCDD-UHFFFAOYSA-N</t>
  </si>
  <si>
    <t>C23H20N2O2S</t>
  </si>
  <si>
    <t>4.68_183.0292m/z</t>
  </si>
  <si>
    <t>alpha-Furyl methyl diketone</t>
  </si>
  <si>
    <t>HMDB0032920</t>
  </si>
  <si>
    <t>1438-92-2</t>
  </si>
  <si>
    <t>CC(=O)C(=O)C1=CC=CO1</t>
  </si>
  <si>
    <t>JXZJRYDTSDCGLO-UHFFFAOYSA-N</t>
  </si>
  <si>
    <t>C7H6O3</t>
  </si>
  <si>
    <t>11.07_624.2824m/z</t>
  </si>
  <si>
    <t>Phaeophorbide b</t>
  </si>
  <si>
    <t>HMDB0031149</t>
  </si>
  <si>
    <t>20239-99-0</t>
  </si>
  <si>
    <t>CCC1=C(C=O)C2=N\C\1=C/C1=C(C)C3=C(N1)\C(C(C(=O)OC)C3=O)=C1/N=C(/C=C3\N/C(=C\2)C(C=C)=C3C)C(C)C1CCC(O)=O</t>
  </si>
  <si>
    <t>PROPHBCDMQAJMH-DZJPEQLASA-N</t>
  </si>
  <si>
    <t>Chlorins</t>
  </si>
  <si>
    <t>C35H34N4O6</t>
  </si>
  <si>
    <t>11.72_339.2154m/z</t>
  </si>
  <si>
    <t>9,10-EpODE</t>
  </si>
  <si>
    <t>LMFA02000015</t>
  </si>
  <si>
    <t>C(CCCCCCC[C@@H]1O/C/1=C\C=C/CCCCC)(=O)O</t>
  </si>
  <si>
    <t>LVVCDOSOKGYQFY-KKJXIILJSA-N</t>
  </si>
  <si>
    <t>6.81_227.1285m/z</t>
  </si>
  <si>
    <t>3Z-dodecenedioic acid</t>
  </si>
  <si>
    <t>LMFA01170137</t>
  </si>
  <si>
    <t>C(C/C=C\CCCCCCCC(O)=O)(=O)O</t>
  </si>
  <si>
    <t>KOJGUMRURQVAIH-ALCCZGGFSA-N</t>
  </si>
  <si>
    <t>9.58_206.1306m/z</t>
  </si>
  <si>
    <t>triacsin c</t>
  </si>
  <si>
    <t>HMDB0259140</t>
  </si>
  <si>
    <t>CCCC=CCC=CC=CC=NN=NO</t>
  </si>
  <si>
    <t>NKTGCVUIESDXPU-UHFFFAOYSA-N</t>
  </si>
  <si>
    <t>C11H17N3O</t>
  </si>
  <si>
    <t>10.03_466.3303m/z</t>
  </si>
  <si>
    <t>PC(P-15:0/0:0)</t>
  </si>
  <si>
    <t>LMGP01070003</t>
  </si>
  <si>
    <t>[C@](COP(=O)([O-])OCC[N+](C)(C)C)([H])(O)CO/C=C\CCCCCCCCCCCCC</t>
  </si>
  <si>
    <t>CORCYSWIDKFRAW-HIVNOOBXSA-N</t>
  </si>
  <si>
    <t>1.05_146.0816m/z</t>
  </si>
  <si>
    <t>3-oxo-5S-amino-hexanoic acid</t>
  </si>
  <si>
    <t>HMDB0012131</t>
  </si>
  <si>
    <t>LMFA01060173</t>
  </si>
  <si>
    <t>C03656</t>
  </si>
  <si>
    <t>19355-90-9</t>
  </si>
  <si>
    <t>C([C@@H](N)C)C(=O)CC(=O)O</t>
  </si>
  <si>
    <t>FAASBXNEOGMQHS-BYPYZUCNSA-N</t>
  </si>
  <si>
    <t>C6H11NO3</t>
  </si>
  <si>
    <t>5.61_301.1193m/z</t>
  </si>
  <si>
    <t>1-{2-[(3-Ethylphenyl)amino]-2-oxoethyl}-6-oxo-1,6-dihydropyridine-3-carboxylic acid</t>
  </si>
  <si>
    <t>HMDB0243809</t>
  </si>
  <si>
    <t>CCC1=CC(NC(=O)CN2C=C(C=CC2=O)C(O)=O)=CC=C1</t>
  </si>
  <si>
    <t>DZJOJMJMCWMOFT-UHFFFAOYSA-N</t>
  </si>
  <si>
    <t>C16H16N2O4</t>
  </si>
  <si>
    <t>10.72_515.1852m/z</t>
  </si>
  <si>
    <t>5-Amino-1-[(2R,4S,5R)-3,4-dihydroxy-5-(hydroxymethyl)oxolan-2-yl]imidazole-4-carboxamide</t>
  </si>
  <si>
    <t>HMDB0248904</t>
  </si>
  <si>
    <t>2627-69-2</t>
  </si>
  <si>
    <t>NC(=O)C1=C(N)N(C=N1)C1OC(CO)C(O)C1O</t>
  </si>
  <si>
    <t>RTRQQBHATOEIAF-UHFFFAOYSA-N</t>
  </si>
  <si>
    <t>Imidazole ribonucleosides and ribonucleotides</t>
  </si>
  <si>
    <t>1-ribosyl-imidazolecarboxamides</t>
  </si>
  <si>
    <t>C9H14N4O5</t>
  </si>
  <si>
    <t>5.28_299.2130m/z</t>
  </si>
  <si>
    <t>3Z,6Z,9Z,11Z-Nonadecatetraene</t>
  </si>
  <si>
    <t>LMFA11000177</t>
  </si>
  <si>
    <t>CC/C=C\C/C=C\C/C=C\C=C/CCCCCCC</t>
  </si>
  <si>
    <t>OVZCIKHRKAWMCA-PPEBMUNXSA-N</t>
  </si>
  <si>
    <t>C19H32</t>
  </si>
  <si>
    <t>12.47_405.3011m/z</t>
  </si>
  <si>
    <t>3-Hydroxy-1-phenyl-1-octadecanone</t>
  </si>
  <si>
    <t>HMDB0035680</t>
  </si>
  <si>
    <t>CCCCCCCCCCCCCCCC(O)CC(=O)C1=CC=CC=C1</t>
  </si>
  <si>
    <t>AESWPUVMLJHDRW-UHFFFAOYSA-N</t>
  </si>
  <si>
    <t>C24H40O2</t>
  </si>
  <si>
    <t>6.35_419.1677m/z</t>
  </si>
  <si>
    <t>3-(4-Hydroxy-3-methoxyphenyl)-2-methylpropionic acid</t>
  </si>
  <si>
    <t>HMDB0060737</t>
  </si>
  <si>
    <t>COC1=C(O)C=CC(CC(C)C(O)=O)=C1</t>
  </si>
  <si>
    <t>XUQXZROVMZNKPO-UHFFFAOYSA-N</t>
  </si>
  <si>
    <t>C11H14O4</t>
  </si>
  <si>
    <t>0.76_159.1496m/z</t>
  </si>
  <si>
    <t>Hygrine</t>
  </si>
  <si>
    <t>HMDB0302902</t>
  </si>
  <si>
    <t>C06179</t>
  </si>
  <si>
    <t>496-49-1</t>
  </si>
  <si>
    <t>CN1CCC[C@@H]1CC(C)=O</t>
  </si>
  <si>
    <t>ADKXZIOQKHHDNQ-MRVPVSSYSA-N</t>
  </si>
  <si>
    <t>C8H15NO</t>
  </si>
  <si>
    <t>6.35_337.2380m/z</t>
  </si>
  <si>
    <t>ent-3-oxo,14alpha,16beta,17-trihydroxyatisane</t>
  </si>
  <si>
    <t>LMPR0104150009</t>
  </si>
  <si>
    <t>C1(=O)CC[C@@]2(C)[C@]3([H])C[C@@H]4C[C@H](O)[C@]3(C[C@]4(O)CO)CC[C@]2([H])[C@@]1(C)C</t>
  </si>
  <si>
    <t>IDEMAPKQEHHDJP-MHMVHWBXSA-N</t>
  </si>
  <si>
    <t>8.97_568.2814m/z</t>
  </si>
  <si>
    <t>Isepamicine</t>
  </si>
  <si>
    <t>HMDB0253048</t>
  </si>
  <si>
    <t>CNC1C(O)C(OC2C(CC(N)C(OC3OC(CN)C(O)C(O)C3O)C2O)NC(=O)C(O)CN)OCC1(C)O</t>
  </si>
  <si>
    <t>UDIIBEDMEYAVNG-UHFFFAOYSA-N</t>
  </si>
  <si>
    <t>C22H43N5O12</t>
  </si>
  <si>
    <t>0.71_269.0545m/z</t>
  </si>
  <si>
    <t>Leflunomide</t>
  </si>
  <si>
    <t>HMDB0015229</t>
  </si>
  <si>
    <t>C07905</t>
  </si>
  <si>
    <t>75706-12-6</t>
  </si>
  <si>
    <t>CC1=C(C=NO1)C(=O)NC1=CC=C(C=C1)C(F)(F)F</t>
  </si>
  <si>
    <t>VHOGYURTWQBHIL-UHFFFAOYSA-N</t>
  </si>
  <si>
    <t>C12H9F3N2O2</t>
  </si>
  <si>
    <t>5.00_185.0812m/z</t>
  </si>
  <si>
    <t>1,2-Cyclohexanedicarboxylic acid, 4-methyl-</t>
  </si>
  <si>
    <t>HMDB0253138</t>
  </si>
  <si>
    <t>CC1CCC(C(C1)C(O)=O)C(O)=O</t>
  </si>
  <si>
    <t>YWVFNWVZBAWOOY-UHFFFAOYSA-N</t>
  </si>
  <si>
    <t>14.77_569.4196m/z</t>
  </si>
  <si>
    <t>12-Deoxyphorbol 13-palmitate</t>
  </si>
  <si>
    <t>CCCCCCCCCCCCCCCC(=O)OC12CC(C3(C(C1C2(C)C)C=C(CC4(C3C=C(C4=O)C)O)CO)O)C</t>
  </si>
  <si>
    <t>QUVRUINWOFZNJL-IEIRSVMLSA-N</t>
  </si>
  <si>
    <t>C36H58O6</t>
  </si>
  <si>
    <t>14.75_547.4376m/z</t>
  </si>
  <si>
    <t>DG(18:3(10,12,15)-OH(9)/0:0/a-13:0)</t>
  </si>
  <si>
    <t>HMDB0297450</t>
  </si>
  <si>
    <t>CC\C=C\C\C=C\C=C\C(O)CCCCCCCC(=O)OC[C@@H](O)COC(=O)CCCCCCCCC(C)CC</t>
  </si>
  <si>
    <t>CRSQLTRIWRFAOC-AVYAOQMKSA-N</t>
  </si>
  <si>
    <t>C34H60O6</t>
  </si>
  <si>
    <t>7.86_303.0072m/z</t>
  </si>
  <si>
    <t>Ethylene glycol dinitrate</t>
  </si>
  <si>
    <t>HMDB0252070</t>
  </si>
  <si>
    <t>O=N(=O)OCCON(=O)=O</t>
  </si>
  <si>
    <t>UQXKXGWGFRWILX-UHFFFAOYSA-N</t>
  </si>
  <si>
    <t>C2H4N2O6</t>
  </si>
  <si>
    <t>8.15_478.2062m/z</t>
  </si>
  <si>
    <t>icas#14</t>
  </si>
  <si>
    <t>LMFA13040123</t>
  </si>
  <si>
    <t>O([C@@H](CCCCCC(=O)O)C)[C@H]1[C@H](O)C[C@@H](OC(=O)C2=CNC3C=CC=CC=32)[C@H](C)O1</t>
  </si>
  <si>
    <t>WFTLFOBGVIIQCZ-JEFMMDONSA-N</t>
  </si>
  <si>
    <t>4.89_161.0966m/z</t>
  </si>
  <si>
    <t>4-Pentenoic acid, 2-fluoro-2-propyl-</t>
  </si>
  <si>
    <t>HMDB0246567</t>
  </si>
  <si>
    <t>CCCC(F)(CC=C)C(O)=O</t>
  </si>
  <si>
    <t>CYSFMOXXKZIWLO-UHFFFAOYSA-N</t>
  </si>
  <si>
    <t>C8H13FO2</t>
  </si>
  <si>
    <t>0.68_437.0412m/z</t>
  </si>
  <si>
    <t>Creatinine nitrite nitrate</t>
  </si>
  <si>
    <t>HMDB0250532</t>
  </si>
  <si>
    <t>CN1C(N)=NC(=O)C1(ON=O)O[N+]([O-])=O</t>
  </si>
  <si>
    <t>BVMRJQKBFJDKEW-UHFFFAOYSA-N</t>
  </si>
  <si>
    <t>C4H5N5O6</t>
  </si>
  <si>
    <t>6.17_229.1685n</t>
  </si>
  <si>
    <t>N-Decanoylglycine</t>
  </si>
  <si>
    <t>HMDB0013267</t>
  </si>
  <si>
    <t>CCCCCCCCCC(=O)NCC(O)=O</t>
  </si>
  <si>
    <t>WRRYZYASRAUROW-UHFFFAOYSA-N</t>
  </si>
  <si>
    <t>C12H23NO3</t>
  </si>
  <si>
    <t>4.07_303.1925m/z</t>
  </si>
  <si>
    <t>7-hydroxy-10E-Heptadecen-8-ynoic acid</t>
  </si>
  <si>
    <t>LMFA01031066</t>
  </si>
  <si>
    <t>C(O)(=O)CCCCCC(O)C#C/C=C/CCCCCC</t>
  </si>
  <si>
    <t>IHRRJGGTQOBZEY-BQYQJAHWSA-N</t>
  </si>
  <si>
    <t>5.58_223.0970m/z</t>
  </si>
  <si>
    <t>alpha,alpha-Dimethylphenethyl formate</t>
  </si>
  <si>
    <t>HMDB0036235</t>
  </si>
  <si>
    <t>10058-43-2</t>
  </si>
  <si>
    <t>CC(C)(CC1=CC=CC=C1)OC=O</t>
  </si>
  <si>
    <t>CFSCYYFRHIBXMS-UHFFFAOYSA-N</t>
  </si>
  <si>
    <t>6.94_421.2208m/z</t>
  </si>
  <si>
    <t>Pramipexole</t>
  </si>
  <si>
    <t>HMDB0014557</t>
  </si>
  <si>
    <t>104632-26-0</t>
  </si>
  <si>
    <t>CCCN[C@H]1CCC2=C(C1)SC(N)=N2</t>
  </si>
  <si>
    <t>FASDKYOPVNHBLU-ZETCQYMHSA-N</t>
  </si>
  <si>
    <t>C10H17N3S</t>
  </si>
  <si>
    <t>7.20_215.0873m/z</t>
  </si>
  <si>
    <t>1-Methylpyrene</t>
  </si>
  <si>
    <t>HMDB0243945</t>
  </si>
  <si>
    <t>CC1=C2C=CC3=CC=CC4=CC=C(C=C1)C2=C34</t>
  </si>
  <si>
    <t>KBSPJIWZDWBDGM-UHFFFAOYSA-N</t>
  </si>
  <si>
    <t>C17H12</t>
  </si>
  <si>
    <t>3.98_593.2672m/z</t>
  </si>
  <si>
    <t>Lansamide 3</t>
  </si>
  <si>
    <t>HMDB0034591</t>
  </si>
  <si>
    <t>211504-98-2</t>
  </si>
  <si>
    <t>CN1C(O)C(C(C(O)C1=O)C1=CC=CC=C1)C1=CC=CC=C1</t>
  </si>
  <si>
    <t>FTFQYXRXXIHIHC-UHFFFAOYSA-N</t>
  </si>
  <si>
    <t>C18H19NO3</t>
  </si>
  <si>
    <t>6.69_481.2080m/z</t>
  </si>
  <si>
    <t>3'-Hydroxy-T2 Toxin</t>
  </si>
  <si>
    <t>HMDB0036601</t>
  </si>
  <si>
    <t>84474-35-1</t>
  </si>
  <si>
    <t>CC(=O)OCC12CC(OC(=O)CC(C)(C)O)C(C)=CC1OC1C(O)C(OC(C)=O)C2(C)C11CO1</t>
  </si>
  <si>
    <t>MLDQZNYFEGLVAS-UHFFFAOYSA-N</t>
  </si>
  <si>
    <t>C24H34O10</t>
  </si>
  <si>
    <t>3.60_305.0228m/z</t>
  </si>
  <si>
    <t>3-[[(2R)-2-Acetamido-2-carboxyethyl]disulfanyl]-2-aminopropanoic acid</t>
  </si>
  <si>
    <t>HMDB0247775</t>
  </si>
  <si>
    <t>CC(=O)NC(CSSCC(N)C(O)=O)C(O)=O</t>
  </si>
  <si>
    <t>ZLCOWUKVVFVVKA-UHFFFAOYSA-N</t>
  </si>
  <si>
    <t>C8H14N2O5S2</t>
  </si>
  <si>
    <t>0.82_246.0561m/z</t>
  </si>
  <si>
    <t>l-Felinine</t>
  </si>
  <si>
    <t>HMDB0245004</t>
  </si>
  <si>
    <t>CC(C)(CCO)SCC(N)C(O)=O</t>
  </si>
  <si>
    <t>IFERABFGYYJODC-UHFFFAOYSA-N</t>
  </si>
  <si>
    <t>C8H17NO3S</t>
  </si>
  <si>
    <t>7.70_266.1547m/z</t>
  </si>
  <si>
    <t>E-10-Hydroxydesmethylnortriptyline</t>
  </si>
  <si>
    <t>HMDB0014257</t>
  </si>
  <si>
    <t>NCC\C=C1/C2=CC=CC=C2CC(O)C2=CC=CC=C12</t>
  </si>
  <si>
    <t>PIEVJGJKDMQGSG-XNTDXEJSSA-N</t>
  </si>
  <si>
    <t>Dibenzocycloheptenes</t>
  </si>
  <si>
    <t>C18H19NO</t>
  </si>
  <si>
    <t>4.77_285.1607m/z</t>
  </si>
  <si>
    <t>Tropisetron</t>
  </si>
  <si>
    <t>C13666</t>
  </si>
  <si>
    <t>89565-68-4</t>
  </si>
  <si>
    <t>CN1C2CCC1CC(C2)OC(=O)C3=CNC4=CC=CC=C43</t>
  </si>
  <si>
    <t>ZNRGQMMCGHDTEI-FUNVUKJBSA-N</t>
  </si>
  <si>
    <t>C17H20N2O2</t>
  </si>
  <si>
    <t>7.17_520.1239m/z</t>
  </si>
  <si>
    <t>Pelargonidin 3-(6''-acetylglucoside)</t>
  </si>
  <si>
    <t>LMPK12010029</t>
  </si>
  <si>
    <t>C1(O)=CC2[O+]=C(C3C=CC(O)=CC=3)C(O[C@H]3[C@H](O)[C@@H](O)[C@H](O)[C@@H](COC(=O)C)O3)=CC=2C(O)=C1</t>
  </si>
  <si>
    <t>SYFJGOZRUVEOJC-ZFVIQDPVSA-O</t>
  </si>
  <si>
    <t>C23H23O11+</t>
  </si>
  <si>
    <t>5.22_454.0932m/z</t>
  </si>
  <si>
    <t>(beta-1-O-[N-(2-hydroxymethyl-3-chlorophenyl)-anthraniloyl]-D-glucupyranuronic acid)</t>
  </si>
  <si>
    <t>HMDB0060033</t>
  </si>
  <si>
    <t>OCC1=C(NC2=CC=CC=C2C(=O)O[C@@H]2O[C@@H]([C@@H](O)[C@H](O)[C@H]2O)C(O)=O)C=CC=C1Cl</t>
  </si>
  <si>
    <t>AJHQYJCHUXKKEZ-GHHWKCCRSA-N</t>
  </si>
  <si>
    <t>C20H20ClNO9</t>
  </si>
  <si>
    <t>4.37_200.0381m/z</t>
  </si>
  <si>
    <t>5-Acetyl-2,4-dimethylthiazole</t>
  </si>
  <si>
    <t>HMDB0041484</t>
  </si>
  <si>
    <t>38205-60-6</t>
  </si>
  <si>
    <t>CC(=O)C1=C(C)N=C(C)S1</t>
  </si>
  <si>
    <t>BLQOKWQUTLNKON-UHFFFAOYSA-N</t>
  </si>
  <si>
    <t>C7H9NOS</t>
  </si>
  <si>
    <t>10.61_125.0002m/z</t>
  </si>
  <si>
    <t>phosphonoacetaldehyde</t>
  </si>
  <si>
    <t>HMDB0256485</t>
  </si>
  <si>
    <t>C03167</t>
  </si>
  <si>
    <t>hsa00440</t>
  </si>
  <si>
    <t>Phosphonate and phosphinate metabolism</t>
  </si>
  <si>
    <t>OP(O)(=O)CC=O</t>
  </si>
  <si>
    <t>YEMKIGUKNDOZEG-UHFFFAOYSA-N</t>
  </si>
  <si>
    <t>C2H5O4P</t>
  </si>
  <si>
    <t>8.33_244.2643m/z</t>
  </si>
  <si>
    <t>Pentadecan-2-one</t>
  </si>
  <si>
    <t>HMDB0031081</t>
  </si>
  <si>
    <t>LMFA12000056</t>
  </si>
  <si>
    <t>2345-28-0</t>
  </si>
  <si>
    <t>CC(=O)CCCCCCCCCCCCC</t>
  </si>
  <si>
    <t>CJPNOLIZCWDHJK-UHFFFAOYSA-N</t>
  </si>
  <si>
    <t>1.01_123.0558m/z</t>
  </si>
  <si>
    <t>Pi-Methylimidazoleacetic acid</t>
  </si>
  <si>
    <t>HMDB0004988</t>
  </si>
  <si>
    <t>4200-48-0</t>
  </si>
  <si>
    <t>CN1C=NC=C1CC(O)=O</t>
  </si>
  <si>
    <t>UJCGYTCAMOHYCG-UHFFFAOYSA-N</t>
  </si>
  <si>
    <t>C6H8N2O2</t>
  </si>
  <si>
    <t>6.52_403.2169m/z</t>
  </si>
  <si>
    <t>Cabastine</t>
  </si>
  <si>
    <t>HMDB0249522</t>
  </si>
  <si>
    <t>CC1CN(CCC1(C(O)=O)C1=CC=CC=C1)C1CCC(CC1)(C#N)C1=CC=C(F)C=C1</t>
  </si>
  <si>
    <t>ZCGOMHNNNFPNMX-UHFFFAOYSA-N</t>
  </si>
  <si>
    <t>C26H29FN2O2</t>
  </si>
  <si>
    <t>5.08_301.0829m/z</t>
  </si>
  <si>
    <t>Thioacetanilide</t>
  </si>
  <si>
    <t>HMDB0258998</t>
  </si>
  <si>
    <t>CC(=S)NC1=CC=CC=C1</t>
  </si>
  <si>
    <t>MWCGLTCRJJFXKR-UHFFFAOYSA-N</t>
  </si>
  <si>
    <t>C8H9NS</t>
  </si>
  <si>
    <t>12.10_251.0473m/z</t>
  </si>
  <si>
    <t>Diphenyl phosphate</t>
  </si>
  <si>
    <t>HMDB0251449</t>
  </si>
  <si>
    <t>OP(=O)(OC1=CC=CC=C1)OC1=CC=CC=C1</t>
  </si>
  <si>
    <t>ASMQGLCHMVWBQR-UHFFFAOYSA-N</t>
  </si>
  <si>
    <t>C12H11O4P</t>
  </si>
  <si>
    <t>3.96_175.0872m/z</t>
  </si>
  <si>
    <t>Cotinine N-oxide</t>
  </si>
  <si>
    <t>HMDB0001411</t>
  </si>
  <si>
    <t>36508-80-2</t>
  </si>
  <si>
    <t>CN1[C@@H](CCC1=O)C1=C[N+]([O-])=CC=C1</t>
  </si>
  <si>
    <t>CIPULDKLIIVIER-VIFPVBQESA-N</t>
  </si>
  <si>
    <t>Pyrrolidinylpyridines</t>
  </si>
  <si>
    <t>C10H12N2O2</t>
  </si>
  <si>
    <t>10.58_502.2940m/z</t>
  </si>
  <si>
    <t>PE(20:3(5Z,8Z,11Z)/0:0)</t>
  </si>
  <si>
    <t>HMDB0011515</t>
  </si>
  <si>
    <t>LMGP02050066</t>
  </si>
  <si>
    <t>C(OP(OCCN)(O)=O)[C@]([H])(O)COC(=O)CCC/C=C\C/C=C\C/C=C\CCCCCCCC</t>
  </si>
  <si>
    <t>YBDFPZJQBYCWBA-WMTBOZPISA-N</t>
  </si>
  <si>
    <t>C25H46NO7P</t>
  </si>
  <si>
    <t>21</t>
  </si>
  <si>
    <t>Cyclohexylamine</t>
  </si>
  <si>
    <t>HMDB0031404</t>
  </si>
  <si>
    <t>C00571</t>
  </si>
  <si>
    <t>108-91-8</t>
  </si>
  <si>
    <t>NC1CCCCC1</t>
  </si>
  <si>
    <t>PAFZNILMFXTMIY-UHFFFAOYSA-N</t>
  </si>
  <si>
    <t>C6H13N</t>
  </si>
  <si>
    <t>5.21_984.5127m/z</t>
  </si>
  <si>
    <t>CDP-DG(18:2(9Z,12Z)/18:1(11Z))</t>
  </si>
  <si>
    <t>HMDB0115967</t>
  </si>
  <si>
    <t>[H][C@@](COC(=O)CCCCCCC\C=C/C\C=C/CCCCC)(COP(O)(=O)OP(O)(=O)OC[C@H]1O[C@H](C(O)[C@H]1O)N1C=CC(N)=NC1=O)OC(=O)CCCCCCCCC\C=C/CCCCCC</t>
  </si>
  <si>
    <t>FXSZUVYWFRGGJM-LHPRAQAESA-N</t>
  </si>
  <si>
    <t>C48H83N3O15P2</t>
  </si>
  <si>
    <t>3.69_403.1235m/z</t>
  </si>
  <si>
    <t>Phlorisobutyrophenone 2-glucoside</t>
  </si>
  <si>
    <t>HMDB0029651</t>
  </si>
  <si>
    <t>17004-75-0</t>
  </si>
  <si>
    <t>CC(C)C(=O)C1=C(OC2OC(CO)C(O)C(O)C2O)C=C(O)C=C1O</t>
  </si>
  <si>
    <t>PSBKCHXAPMSDFN-UHFFFAOYSA-N</t>
  </si>
  <si>
    <t>4.63_578.2472m/z</t>
  </si>
  <si>
    <t>Taurochenodeoxycholic acid 3-sulfate</t>
  </si>
  <si>
    <t>LMST05020029</t>
  </si>
  <si>
    <t>[C@]12([C@H](O)C[C@]3([H])C[C@H](OS(=O)(=O)O)CC[C@]3(C)[C@@]1([H])CC[C@]1(C)[C@@]([H])([C@@](C)([H])CCC(=O)NCCS(=O)(O)=O)CC[C@@]21[H])[H]</t>
  </si>
  <si>
    <t>GLVWZDCWCRWVFM-BJLOMENOSA-N</t>
  </si>
  <si>
    <t>C26H45NO9S2</t>
  </si>
  <si>
    <t>14.46_612.5217m/z</t>
  </si>
  <si>
    <t>DG(15:0/0:0/18:1(9Z)-O(12,13))</t>
  </si>
  <si>
    <t>HMDB0295309</t>
  </si>
  <si>
    <t>CCCCCCCCCCCCCCC(=O)OC[C@@H](O)COC(=O)CCCCCCC\C=C/CC1OC1CCCCC</t>
  </si>
  <si>
    <t>DTVMUBLEINMVCD-OYYMTURMSA-N</t>
  </si>
  <si>
    <t>8.42_278.2489m/z</t>
  </si>
  <si>
    <t>Tetrahydrobungeanool</t>
  </si>
  <si>
    <t>LMFA08020321</t>
  </si>
  <si>
    <t>C(/C=C/C=C/CCCCCCCCC)(=O)NCC(C)(C)O</t>
  </si>
  <si>
    <t>GJDPGFHVEKFXEZ-SQIWNDBBSA-N</t>
  </si>
  <si>
    <t>9.44_449.3500m/z</t>
  </si>
  <si>
    <t>Sphinganine-1-phosphocholine</t>
  </si>
  <si>
    <t>HMDB0012082</t>
  </si>
  <si>
    <t>LMSP01060002</t>
  </si>
  <si>
    <t>[C@](COP(=O)([O-])OCC[N+](C)(C)C)([H])(N)[C@]([H])(O)CCCCCCCCCCCCCCC</t>
  </si>
  <si>
    <t>GSEOJHIBPQRSNH-XZOQPEGZSA-N</t>
  </si>
  <si>
    <t>C23H51N2O5P</t>
  </si>
  <si>
    <t>251</t>
  </si>
  <si>
    <t>Dodecanol</t>
  </si>
  <si>
    <t>HMDB0011626</t>
  </si>
  <si>
    <t>LMFA05000001</t>
  </si>
  <si>
    <t>C02277</t>
  </si>
  <si>
    <t>R-HSA-381753,R-HSA-9709957</t>
  </si>
  <si>
    <t>Olfactory Signaling Pathway|Sensory Perception</t>
  </si>
  <si>
    <t>112-53-8</t>
  </si>
  <si>
    <t>C(CCCCCCCCCCC)O</t>
  </si>
  <si>
    <t>LQZZUXJYWNFBMV-UHFFFAOYSA-N</t>
  </si>
  <si>
    <t>C12H26O</t>
  </si>
  <si>
    <t>11.63_325.2748m/z</t>
  </si>
  <si>
    <t>Lesquerolic acid</t>
  </si>
  <si>
    <t>LMFA01050117</t>
  </si>
  <si>
    <t>C(/C=C\CC(O)CCCCCC)CCCCCCCCC(=O)O</t>
  </si>
  <si>
    <t>OONXYOAWMIVMCI-KAMYIIQDSA-N</t>
  </si>
  <si>
    <t>C20H38O3</t>
  </si>
  <si>
    <t>7.25_596.3211m/z</t>
  </si>
  <si>
    <t>Am-LPE(0:0/16:0)</t>
  </si>
  <si>
    <t>LMGP21050007</t>
  </si>
  <si>
    <t>[C@](COP(=O)(O)OCCNC[C@@]1(O)OC[C@@H](O)[C@@H](O)[C@@H]1O)([H])(OC(CCCCCCCCCCCCCCC)=O)CO</t>
  </si>
  <si>
    <t>GXOLQSIRTRGIMX-ZNZBEBECSA-N</t>
  </si>
  <si>
    <t>8.84_405.2261m/z</t>
  </si>
  <si>
    <t>1alpha-O-Methylquassin</t>
  </si>
  <si>
    <t>HMDB0039558</t>
  </si>
  <si>
    <t>COC1C(OC)=CC(C)C2CC3OC(=O)CC4C(C)=C(OC)C(=O)C(C34C)C12C</t>
  </si>
  <si>
    <t>YHEQIRIWAKHQFI-UHFFFAOYSA-N</t>
  </si>
  <si>
    <t>13.89_545.3851m/z</t>
  </si>
  <si>
    <t>11alpha-Hemiglutaryloxy-1,25-dihydroxyvitamin D3</t>
  </si>
  <si>
    <t>LMST03020617</t>
  </si>
  <si>
    <t>C1(/C[C@H](CC(=O)CCCC(O)=O)C[C@]2(C)[C@@]([H])([C@]([H])(C)CCCC(O)(C)C)CC[C@@]/12[H])=C/C=C1\C(=C)[C@@H](O)C[C@H](O)C\1</t>
  </si>
  <si>
    <t>AMPJOWCBMADIGZ-OKNBPXAMSA-N</t>
  </si>
  <si>
    <t>C33H52O6</t>
  </si>
  <si>
    <t>9.24_151.1485m/z</t>
  </si>
  <si>
    <t>10-Undecen-2-one</t>
  </si>
  <si>
    <t>HMDB0033577</t>
  </si>
  <si>
    <t>LMFA12000157</t>
  </si>
  <si>
    <t>36219-73-5</t>
  </si>
  <si>
    <t>CC(=O)CCCCCCCC=C</t>
  </si>
  <si>
    <t>FJHNSGVMPSITEQ-UHFFFAOYSA-N</t>
  </si>
  <si>
    <t>C11H20O</t>
  </si>
  <si>
    <t>4.63_321.1457m/z</t>
  </si>
  <si>
    <t>1-[6-(2-Carboxypyrrolidin-1-yl)-6-oxohexanoyl]pyrrolidine-2-carboxylic acid</t>
  </si>
  <si>
    <t>HMDB0257669</t>
  </si>
  <si>
    <t>OC(=O)C1CCCN1C(=O)CCCCC(=O)N1CCCC1C(O)=O</t>
  </si>
  <si>
    <t>HZLAWYIBLZNRFZ-UHFFFAOYSA-N</t>
  </si>
  <si>
    <t>C16H24N2O6</t>
  </si>
  <si>
    <t>8.43_647.3437n</t>
  </si>
  <si>
    <t>OKODiA-PE</t>
  </si>
  <si>
    <t>LMGP20020045</t>
  </si>
  <si>
    <t>[C@](COP(=O)(O)OCCN)([H])(OC(CCCC(=O)/C=C/C(=O)O)=O)COC(CCCCCCC/C=C\CCCCCCCC)=O</t>
  </si>
  <si>
    <t>URGRUSUUYQAEOW-SAWQOWPESA-N</t>
  </si>
  <si>
    <t>C31H54NO11P</t>
  </si>
  <si>
    <t>4.75_329.1878m/z</t>
  </si>
  <si>
    <t>Androsterone</t>
  </si>
  <si>
    <t>HMDB0000031</t>
  </si>
  <si>
    <t>LMST02020001</t>
  </si>
  <si>
    <t>C00523</t>
  </si>
  <si>
    <t>53-41-8</t>
  </si>
  <si>
    <t>C1[C@@H](O)C[C@]2([H])CC[C@@]3([H])[C@]4([H])CCC(=O)[C@@]4(C)CC[C@]3([H])[C@@]2(C)C1</t>
  </si>
  <si>
    <t>QGXBDMJGAMFCBF-HLUDHZFRSA-N</t>
  </si>
  <si>
    <t>7.50_688.3088m/z</t>
  </si>
  <si>
    <t>14,15-HxA3-C(11S)</t>
  </si>
  <si>
    <t>LMFA03090008</t>
  </si>
  <si>
    <t>S([C@@H]([C@@H](O)CCCCC)/C=C/[C@@H](O)C/C=C\C/C=C\CCCC(=O)O)C[C@@H](C(=O)NCC(O)=O)NC(CC[C@@H](C(O)=O)N)=O</t>
  </si>
  <si>
    <t>JHBHHPKTNQAMGQ-MHUJEVIJSA-N</t>
  </si>
  <si>
    <t>C30H49N3O10S</t>
  </si>
  <si>
    <t>11.79_305.0229m/z</t>
  </si>
  <si>
    <t>4'-Hydroxy Nimesulide</t>
  </si>
  <si>
    <t>HMDB0246630</t>
  </si>
  <si>
    <t>CS(=O)(=O)NC1=C(OC2=CC=C(O)C=C2)C=C(C=C1)[N+]([O-])=O</t>
  </si>
  <si>
    <t>XYHFQSKAUPPPBY-UHFFFAOYSA-N</t>
  </si>
  <si>
    <t>C13H12N2O6S</t>
  </si>
  <si>
    <t>0.89_277.0736m/z</t>
  </si>
  <si>
    <t>3-Aminopropylphosphonic acid</t>
  </si>
  <si>
    <t>HMDB0245822</t>
  </si>
  <si>
    <t>NCCCP(O)(O)=O</t>
  </si>
  <si>
    <t>GSZQTIFGANBTNF-UHFFFAOYSA-N</t>
  </si>
  <si>
    <t>C3H10NO3P</t>
  </si>
  <si>
    <t>5.29_219.0634m/z</t>
  </si>
  <si>
    <t>N7-(2-Carbamoyl-2-hydroxyethyl)guanine</t>
  </si>
  <si>
    <t>HMDB0255307</t>
  </si>
  <si>
    <t>NC(=O)C(O)CN1C=NC2=C1C(=O)NC(N)=N2</t>
  </si>
  <si>
    <t>JYHHZNJOFXOGSQ-UHFFFAOYSA-N</t>
  </si>
  <si>
    <t>C8H10N6O3</t>
  </si>
  <si>
    <t>1.30_202.1079m/z</t>
  </si>
  <si>
    <t>1-Methyl-4-piperidyl acetate</t>
  </si>
  <si>
    <t>HMDB0243931</t>
  </si>
  <si>
    <t>CN1CCC(CC1)OC(C)=O</t>
  </si>
  <si>
    <t>RWPYOAUYOSFJQV-UHFFFAOYSA-N</t>
  </si>
  <si>
    <t>3.88_402.2128m/z</t>
  </si>
  <si>
    <t>Istradefylline</t>
  </si>
  <si>
    <t>HMDB0253719</t>
  </si>
  <si>
    <t>CCN1C2=C(N(C)C(C=CC3=CC(OC)=C(OC)C=C3)=N2)C(=O)N(CC)C1=O</t>
  </si>
  <si>
    <t>IQVRBWUUXZMOPW-UHFFFAOYSA-N</t>
  </si>
  <si>
    <t>C20H24N4O4</t>
  </si>
  <si>
    <t>4.81_370.1775m/z</t>
  </si>
  <si>
    <t>Epanolol</t>
  </si>
  <si>
    <t>HMDB0251835</t>
  </si>
  <si>
    <t>C11773</t>
  </si>
  <si>
    <t>86880-51-5</t>
  </si>
  <si>
    <t>OC(CNCCNC(=O)CC1=CC=C(O)C=C1)COC1=CC=CC=C1C#N</t>
  </si>
  <si>
    <t>YARKMNAWFIMDKV-UHFFFAOYSA-N</t>
  </si>
  <si>
    <t>C20H23N3O4</t>
  </si>
  <si>
    <t>9.32_331.1919m/z</t>
  </si>
  <si>
    <t>PGE3 1,15-lactone</t>
  </si>
  <si>
    <t>LMFA03010199</t>
  </si>
  <si>
    <t>O[C@@H]1CC([C@@H]2CC=CCCCC(=O)O[C@@H](C/C=C\CC)C=C[C@H]21)=O</t>
  </si>
  <si>
    <t>BZTIGFGJIMLNRE-QLOYDKTKSA-N</t>
  </si>
  <si>
    <t>7.07_681.3471m/z</t>
  </si>
  <si>
    <t>Physagulin D</t>
  </si>
  <si>
    <t>LMST01160046</t>
  </si>
  <si>
    <t>[C@]12([C@H](O)C=C3C[C@@H](O[C@H]4[C@H](O)[C@@H](O)[C@H](O)[C@@H](CO)O4)C[C@H](O)[C@]3(C)[C@@]1([H])CC[C@]1(C)[C@@]([H])([C@@](C)([H])[C@H]3CC(C)=C(CO)C(=O)O3)CC[C@@]21[H])[H]</t>
  </si>
  <si>
    <t>ONUZSIYVENIZOQ-YFRGYWQISA-N</t>
  </si>
  <si>
    <t>C34H52O11</t>
  </si>
  <si>
    <t>7.17_425.1173m/z</t>
  </si>
  <si>
    <t>Luprostiol</t>
  </si>
  <si>
    <t>HMDB0254218</t>
  </si>
  <si>
    <t>OC(COC1=CC(Cl)=CC=C1)CSC1C(O)CC(O)C1CC=CCCCC(O)=O</t>
  </si>
  <si>
    <t>KFUDFIMHDRJVLV-UHFFFAOYSA-N</t>
  </si>
  <si>
    <t>C21H29ClO6S</t>
  </si>
  <si>
    <t>10.55_551.2405m/z</t>
  </si>
  <si>
    <t>pedilstatin</t>
  </si>
  <si>
    <t>LMPR0104330004</t>
  </si>
  <si>
    <t>C09143</t>
  </si>
  <si>
    <t>C1=C(CO)C[C@@]2([H])C(C(C)=C[C@@]2([H])[C@@]2(O)[C@@H]([C@@H](OC(=O)/C=C\C=C\CCC)[C@@]3(OC(C)=O)C(C)(C)[C@@]3([H])[C@@]21[H])C)=O</t>
  </si>
  <si>
    <t>ALKHEZOKTHCOBM-GTBZSHDQSA-N</t>
  </si>
  <si>
    <t>C30H40O7</t>
  </si>
  <si>
    <t>10.97_279.2325m/z</t>
  </si>
  <si>
    <t>13-Hydroxyoctadeca-9,12-dienoic acid</t>
  </si>
  <si>
    <t>HMDB0244510</t>
  </si>
  <si>
    <t>CCCCCC(O)=CCC=CCCCCCCCC(O)=O</t>
  </si>
  <si>
    <t>KJXHHTPQSFDEKB-UHFFFAOYSA-N</t>
  </si>
  <si>
    <t>6.67_553.2291m/z</t>
  </si>
  <si>
    <t>Entecavir</t>
  </si>
  <si>
    <t>HMDB0014585</t>
  </si>
  <si>
    <t>142217-69-4</t>
  </si>
  <si>
    <t>NC1=NC(=O)C2=C(N1)N(C=N2)[C@H]1C[C@H](O)[C@@H](CO)C1=C</t>
  </si>
  <si>
    <t>QDGZDCVAUDNJFG-FXQIFTODSA-N</t>
  </si>
  <si>
    <t>C12H15N5O3</t>
  </si>
  <si>
    <t>3.90_459.2465m/z</t>
  </si>
  <si>
    <t>PS(12:0/0:0)</t>
  </si>
  <si>
    <t>LMGP03050008</t>
  </si>
  <si>
    <t>C(O)(=O)[C@@]([H])(N)COP(OC[C@]([H])(O)COC(CCCCCCCCCCC)=O)(=O)O</t>
  </si>
  <si>
    <t>OBMNLLRGDUINGE-CVEARBPZSA-N</t>
  </si>
  <si>
    <t>C18H36NO9P</t>
  </si>
  <si>
    <t>9.52_373.2141m/z</t>
  </si>
  <si>
    <t>CPA(16:0)</t>
  </si>
  <si>
    <t>HMDB07003</t>
  </si>
  <si>
    <t>LMGP00000057</t>
  </si>
  <si>
    <t>[C@@]1([H])(COP(O)(=O)O1)COC(CCCCCCCCCCCCCCC)=O</t>
  </si>
  <si>
    <t>WLYRJURLXSFXRK-GOSISDBHSA-N</t>
  </si>
  <si>
    <t>C19H37O6P</t>
  </si>
  <si>
    <t>3.10_98.0481m/z</t>
  </si>
  <si>
    <t>3-Methyl-5-pyrazolone</t>
  </si>
  <si>
    <t>CC1=NNC(=O)C1</t>
  </si>
  <si>
    <t>NHLAPJMCARJFOG-UHFFFAOYSA-N</t>
  </si>
  <si>
    <t>C4H6N2O</t>
  </si>
  <si>
    <t>4.71_270.0960m/z</t>
  </si>
  <si>
    <t>L-arginino-succinate</t>
  </si>
  <si>
    <t>HMDB0304399</t>
  </si>
  <si>
    <t>[N+]C(CCCNC(=[N+])NC(CC([O-])=O)C([O-])=O)C([O-])=O</t>
  </si>
  <si>
    <t>KRGUQRPULONCQB-UHFFFAOYSA-K</t>
  </si>
  <si>
    <t>C10H17N4O6-</t>
  </si>
  <si>
    <t>9.56_219.1096m/z</t>
  </si>
  <si>
    <t>Misonidazole</t>
  </si>
  <si>
    <t>HMDB0254755</t>
  </si>
  <si>
    <t>COCC(O)CN1C=CN=C1[N+]([O-])=O</t>
  </si>
  <si>
    <t>OBBCSXFCDPPXOL-UHFFFAOYSA-N</t>
  </si>
  <si>
    <t>C7H11N3O4</t>
  </si>
  <si>
    <t>6.83_314.2335m/z</t>
  </si>
  <si>
    <t>5-Decenoylcarnitine</t>
  </si>
  <si>
    <t>HMDB0241071</t>
  </si>
  <si>
    <t>CCCCC=CCCCC(=O)OC(CC([O-])=O)C[N+](C)(C)C</t>
  </si>
  <si>
    <t>WIHJEDBLXYSOJI-UHFFFAOYSA-N</t>
  </si>
  <si>
    <t>C17H31NO4</t>
  </si>
  <si>
    <t>4.38_304.1152m/z</t>
  </si>
  <si>
    <t>Glutaminylhydroxyproline</t>
  </si>
  <si>
    <t>HMDB0028798</t>
  </si>
  <si>
    <t>N[C@@H](CCC(N)=O)C(=O)N1C[C@H](O)C[C@H]1C(O)=O</t>
  </si>
  <si>
    <t>HNXKAWFNQGNMNH-VQVTYTSYSA-N</t>
  </si>
  <si>
    <t>10.73_329.2706m/z</t>
  </si>
  <si>
    <t>Methyl 8-[3-(2-hydroxyoctyl)oxiran-2-yl]octanoate</t>
  </si>
  <si>
    <t>HMDB0246127</t>
  </si>
  <si>
    <t>CCCCCCC(O)CC1OC1CCCCCCCC(=O)OC</t>
  </si>
  <si>
    <t>JTZNGIXLOGCDSA-UHFFFAOYSA-N</t>
  </si>
  <si>
    <t>C19H36O4</t>
  </si>
  <si>
    <t>5.27_197.0813m/z</t>
  </si>
  <si>
    <t>(2E,4E)-2,7-Dimethyl-2,4-octadienedioic acid</t>
  </si>
  <si>
    <t>HMDB0034099</t>
  </si>
  <si>
    <t>110107-15-8</t>
  </si>
  <si>
    <t>CC(C\C=C\C=C(/C)C(O)=O)C(O)=O</t>
  </si>
  <si>
    <t>ZBXYMKUZCWCGPC-BDWKERMESA-N</t>
  </si>
  <si>
    <t>7.35_303.1602m/z</t>
  </si>
  <si>
    <t>8-Cyclopentyl-3-(3-fluoro-propyl)-1-propyl-3,7-dihydro-purine-2,6-dione</t>
  </si>
  <si>
    <t>HMDB0260333</t>
  </si>
  <si>
    <t>CCCN1C(=O)N(CCCF)C2=C(NC(=N2)C2CCCC2)C1=O</t>
  </si>
  <si>
    <t>GGGMDKJPUXTDAW-UHFFFAOYSA-N</t>
  </si>
  <si>
    <t>C16H23FN4O2</t>
  </si>
  <si>
    <t>11.97_449.3275m/z</t>
  </si>
  <si>
    <t>Trihydroxycholestanoic acid</t>
  </si>
  <si>
    <t>HMDB0259220</t>
  </si>
  <si>
    <t>CC(CCCC(O)(C(O)O)C(O)=O)C1CCC2C3CCC4CCCCC4(C)C3CCC12C</t>
  </si>
  <si>
    <t>AMIDBPAREATYGJ-UHFFFAOYSA-N</t>
  </si>
  <si>
    <t>7.81_209.1178m/z</t>
  </si>
  <si>
    <t>Sedanonic acid</t>
  </si>
  <si>
    <t>HMDB0032871</t>
  </si>
  <si>
    <t>6697-07-0</t>
  </si>
  <si>
    <t>CCCCC(=O)C1CCCC=C1C(O)=O</t>
  </si>
  <si>
    <t>PHVSWPDOXIQPTN-UHFFFAOYSA-N</t>
  </si>
  <si>
    <t>C12H18O3</t>
  </si>
  <si>
    <t>6.46_202.2172m/z</t>
  </si>
  <si>
    <t>Laurylaldehyde</t>
  </si>
  <si>
    <t>HMDB0033933</t>
  </si>
  <si>
    <t>LMFA06000071</t>
  </si>
  <si>
    <t>C02278</t>
  </si>
  <si>
    <t>112-54-9</t>
  </si>
  <si>
    <t>C(CC)CCCCCCCCC([H])=O</t>
  </si>
  <si>
    <t>HFJRKMMYBMWEAD-UHFFFAOYSA-N</t>
  </si>
  <si>
    <t>C12H24O</t>
  </si>
  <si>
    <t>8.83_265.1445m/z</t>
  </si>
  <si>
    <t>2-[3]-ladderane ethanoic acid</t>
  </si>
  <si>
    <t>LMFA01140082</t>
  </si>
  <si>
    <t>C12CCC(CC(O)=O)CC1C1C3CCC3C21</t>
  </si>
  <si>
    <t>MZLSFWGEQLSKRL-UHFFFAOYSA-N</t>
  </si>
  <si>
    <t>11.07_537.3097m/z</t>
  </si>
  <si>
    <t>POB-PE</t>
  </si>
  <si>
    <t>LMGP20020032</t>
  </si>
  <si>
    <t>[C@](COP(=O)(O)OCCN)([H])(OC(CCC(=O)[H])=O)COC(CCCCCCCCCCCCCCC)=O</t>
  </si>
  <si>
    <t>QYVWBNOJLAKOKN-HSZRJFAPSA-N</t>
  </si>
  <si>
    <t>C25H48NO9P</t>
  </si>
  <si>
    <t>4.05_366.2039m/z</t>
  </si>
  <si>
    <t>Leu Ala Tyr</t>
  </si>
  <si>
    <t>CC(C)CC(C(=O)NC(C)C(=O)NC(CC1=CC=C(C=C1)O)C(=O)O)N</t>
  </si>
  <si>
    <t>SUPVSFFZWVOEOI-CQDKDKBSSA-N</t>
  </si>
  <si>
    <t>C18H27N3O5</t>
  </si>
  <si>
    <t>4.55_191.0317m/z</t>
  </si>
  <si>
    <t>N-Nitrosothialdine</t>
  </si>
  <si>
    <t>HMDB0031186</t>
  </si>
  <si>
    <t>114375-58-5</t>
  </si>
  <si>
    <t>CC1SC(C)N(N=O)C(C)S1</t>
  </si>
  <si>
    <t>HAKZNKDZKQNRNW-UHFFFAOYSA-N</t>
  </si>
  <si>
    <t>Azacyclic compounds</t>
  </si>
  <si>
    <t>Dithiazinanes</t>
  </si>
  <si>
    <t>C6H12N2OS2</t>
  </si>
  <si>
    <t>3.61_226.0719n</t>
  </si>
  <si>
    <t>N-(2,4-Dinitrophenyl)ethylenediamine</t>
  </si>
  <si>
    <t>HMDB0245740</t>
  </si>
  <si>
    <t>NCCNC1=C(C=C(C=C1)[N+]([O-])=O)[N+]([O-])=O</t>
  </si>
  <si>
    <t>AIUKPEQJKQUQKZ-UHFFFAOYSA-N</t>
  </si>
  <si>
    <t>C8H10N4O4</t>
  </si>
  <si>
    <t>5.38_272.0712m/z</t>
  </si>
  <si>
    <t>Naptalam</t>
  </si>
  <si>
    <t>C18869</t>
  </si>
  <si>
    <t>132-66-1</t>
  </si>
  <si>
    <t>C1=CC=C2C(=C1)C=CC=C2NC(=O)C3=CC=CC=C3C(=O)O</t>
  </si>
  <si>
    <t>JXTHEWSKYLZVJC-UHFFFAOYSA-N</t>
  </si>
  <si>
    <t>C18H13NO3</t>
  </si>
  <si>
    <t>4.32_224.1266m/z</t>
  </si>
  <si>
    <t>Polihexanide</t>
  </si>
  <si>
    <t>HMDB0245739</t>
  </si>
  <si>
    <t>CCCCCCNC(=N)NC(N)=N</t>
  </si>
  <si>
    <t>VAZJLPXFVQHDFB-UHFFFAOYSA-N</t>
  </si>
  <si>
    <t>C8H19N5</t>
  </si>
  <si>
    <t>5.43_464.9624m/z</t>
  </si>
  <si>
    <t>Ribavirin 5'-triphosphate</t>
  </si>
  <si>
    <t>HMDB0257207</t>
  </si>
  <si>
    <t>NC(=O)C1=NN(C=N1)C1OC(COP(O)(=O)OP(O)(=O)OP(O)(O)=O)C(O)C1O</t>
  </si>
  <si>
    <t>MMJOCKKLRMRSEQ-UHFFFAOYSA-N</t>
  </si>
  <si>
    <t>Triazole ribonucleosides and ribonucleotides</t>
  </si>
  <si>
    <t>C8H15N4O14P3</t>
  </si>
  <si>
    <t>9.50_484.3225m/z</t>
  </si>
  <si>
    <t>Psychosine</t>
  </si>
  <si>
    <t>HMDB0000648</t>
  </si>
  <si>
    <t>C01747</t>
  </si>
  <si>
    <t>2238-90-6</t>
  </si>
  <si>
    <t>CCCCCCCCCCCCCC=CC(C(COC1C(C(C(C(O1)CO)O)O)O)N)O</t>
  </si>
  <si>
    <t>HHJTWTPUPVQKNA-DWSXXLTBSA-N</t>
  </si>
  <si>
    <t>C24H47NO7</t>
  </si>
  <si>
    <t>2.42_229.0706m/z</t>
  </si>
  <si>
    <t>Phosphocreatine</t>
  </si>
  <si>
    <t>HMDB0001511</t>
  </si>
  <si>
    <t>C02305</t>
  </si>
  <si>
    <t>67-07-2</t>
  </si>
  <si>
    <t>CN(CC(O)=O)C(=N)NP(O)(O)=O</t>
  </si>
  <si>
    <t>DRBBFCLWYRJSJZ-UHFFFAOYSA-N</t>
  </si>
  <si>
    <t>C4H10N3O5P</t>
  </si>
  <si>
    <t>13.71_419.3530m/z</t>
  </si>
  <si>
    <t>3beta-Hydroxy-5beta-cholestan-26-oic acid</t>
  </si>
  <si>
    <t>LMST04030053</t>
  </si>
  <si>
    <t>C1[C@]2(C)[C@@]3([H])CC[C@]4(C)[C@@]([H])([C@]([H])(C)CCCC(C)C(O)=O)CC[C@@]4([H])[C@]3([H])CC[C@]2([H])C[C@@H](O)C1</t>
  </si>
  <si>
    <t>GMTQWYNNGJJVNK-GBAPSEQASA-N</t>
  </si>
  <si>
    <t>6.04_249.1492m/z</t>
  </si>
  <si>
    <t>abscisic aldehyde</t>
  </si>
  <si>
    <t>HMDB0303940</t>
  </si>
  <si>
    <t>LMPR0103050004</t>
  </si>
  <si>
    <t>C13455</t>
  </si>
  <si>
    <t>[C@]1(C(C)(C)CC(=O)C=C1C)(O)/C=C/C(/C)=C\C=O</t>
  </si>
  <si>
    <t>RIKWDZWVHUIUAM-KICRZJJPSA-N</t>
  </si>
  <si>
    <t>11.92_277.2169m/z</t>
  </si>
  <si>
    <t>Heisteric acid</t>
  </si>
  <si>
    <t>LMFA01031067</t>
  </si>
  <si>
    <t>C(CCCCC/C=C\C#C/C=C/CCCCCC)(=O)O</t>
  </si>
  <si>
    <t>IOWMGGBYHCCEJN-MDFXNHGISA-N</t>
  </si>
  <si>
    <t>12.70_389.2690m/z</t>
  </si>
  <si>
    <t>Jambone C</t>
  </si>
  <si>
    <t>LMPK13070040</t>
  </si>
  <si>
    <t>C(CCCCCCC/C=C\C/C=C\CCCCC)(=O)C1=C(O)C=C(O)C=C1O</t>
  </si>
  <si>
    <t>UCOBYSXJAQLYQH-HZJYTTRNSA-N</t>
  </si>
  <si>
    <t>5.06_301.1270m/z</t>
  </si>
  <si>
    <t>Decarbamoylsaxitoxin</t>
  </si>
  <si>
    <t>HMDB0038319</t>
  </si>
  <si>
    <t>58911-04-9</t>
  </si>
  <si>
    <t>OCC1NC(=N)N2CCC(O)(O)C22NC(=N)NC12</t>
  </si>
  <si>
    <t>VRRIYZJUSNMZMP-UHFFFAOYSA-N</t>
  </si>
  <si>
    <t>C9H16N6O3</t>
  </si>
  <si>
    <t>12.36_385.1913m/z</t>
  </si>
  <si>
    <t>Butyryl timolol</t>
  </si>
  <si>
    <t>HMDB0249485</t>
  </si>
  <si>
    <t>CCCC(=O)OC(CNC(C)(C)C)COC1=NSN=C1N1CCOCC1</t>
  </si>
  <si>
    <t>IGJCFKQCZRWRRM-UHFFFAOYSA-N</t>
  </si>
  <si>
    <t>C17H30N4O4S</t>
  </si>
  <si>
    <t>0.72_178.0715m/z</t>
  </si>
  <si>
    <t>2-Amino-2-deoxy-D-gluconic acid</t>
  </si>
  <si>
    <t>HMDB0250755</t>
  </si>
  <si>
    <t>NC(C(O)C(O)C(O)CO)C(O)=O</t>
  </si>
  <si>
    <t>UFYKDFXCZBTLOO-UHFFFAOYSA-N</t>
  </si>
  <si>
    <t>C6H13NO6</t>
  </si>
  <si>
    <t>6.60_430.2085m/z</t>
  </si>
  <si>
    <t>4'-Hydroxycilostazol, trans-</t>
  </si>
  <si>
    <t>HMDB0247541</t>
  </si>
  <si>
    <t>OC1CCC(CC1)N1N=NN=C1CCCCOC1=CC=C2NC(=O)CCC2=C1</t>
  </si>
  <si>
    <t>KFXNZXLUGHLDBB-UHFFFAOYSA-N</t>
  </si>
  <si>
    <t>C20H27N5O3</t>
  </si>
  <si>
    <t>5.85_209.0814m/z</t>
  </si>
  <si>
    <t>2,4,6-Trimethylbenzoic acid</t>
  </si>
  <si>
    <t>CC1=CC(=C(C(=C1)C)C(=O)O)C</t>
  </si>
  <si>
    <t>FFFIRKXTFQCCKJ-UHFFFAOYSA-N</t>
  </si>
  <si>
    <t>C10H12O2</t>
  </si>
  <si>
    <t>10.57_239.1647m/z</t>
  </si>
  <si>
    <t>5-oxo-6E,8E-tetradecadienoic acid</t>
  </si>
  <si>
    <t>LMFA01031188</t>
  </si>
  <si>
    <t>C(CCCC(=O)/C=C/C=C/CCCCC)(=O)O</t>
  </si>
  <si>
    <t>CUBKHJDNGLGYAG-LQPGMRSMSA-N</t>
  </si>
  <si>
    <t>100</t>
  </si>
  <si>
    <t>3-Amino-Isobutanoic Acid</t>
  </si>
  <si>
    <t>HMDB0003911</t>
  </si>
  <si>
    <t>LMFA01100054</t>
  </si>
  <si>
    <t>C05145</t>
  </si>
  <si>
    <t>144-90-1</t>
  </si>
  <si>
    <t>C(=O)(O)C(C)CN</t>
  </si>
  <si>
    <t>QCHPKSFMDHPSNR-UHFFFAOYSA-N</t>
  </si>
  <si>
    <t>10.27_554.3024m/z</t>
  </si>
  <si>
    <t>2-[4,6-Bis(2,4-dimethylphenyl)-1,3,5-triazin-2-yl]-5-(octyloxy)phenol</t>
  </si>
  <si>
    <t>HMDB0037802</t>
  </si>
  <si>
    <t>2725-22-6</t>
  </si>
  <si>
    <t>CCCCCCCCOC1=CC(O)=C(C=C1)C1=NC(=NC(=N1)C1=CC=C(C)C=C1C)C1=CC=C(C)C=C1C</t>
  </si>
  <si>
    <t>ZSSVCEUEVMALRD-UHFFFAOYSA-N</t>
  </si>
  <si>
    <t>C33H39N3O2</t>
  </si>
  <si>
    <t>12.69_419.3169m/z</t>
  </si>
  <si>
    <t>5-((Z)-nonadec-8-en-1-yl)resorcinol</t>
  </si>
  <si>
    <t>LMPK15030031</t>
  </si>
  <si>
    <t>C1(O)C=C(CCCCCCC/C=C\CCCCCCCCCC)C=C(O)C=1</t>
  </si>
  <si>
    <t>ACEHMJPBIOAJFL-QXMHVHEDSA-N</t>
  </si>
  <si>
    <t>C25H42O2</t>
  </si>
  <si>
    <t>0.93_168.9482m/z</t>
  </si>
  <si>
    <t>Methylarsonite</t>
  </si>
  <si>
    <t>HMDB0012259</t>
  </si>
  <si>
    <t>C07295</t>
  </si>
  <si>
    <t>25400-23-1</t>
  </si>
  <si>
    <t>C[As](O)O</t>
  </si>
  <si>
    <t>OXBIRPQQKCQWGV-UHFFFAOYSA-N</t>
  </si>
  <si>
    <t>CH5AsO2</t>
  </si>
  <si>
    <t>10.45_397.3113m/z</t>
  </si>
  <si>
    <t>Setariol</t>
  </si>
  <si>
    <t>HMDB0041583</t>
  </si>
  <si>
    <t>142942-85-6</t>
  </si>
  <si>
    <t>CC(CO)CCCC(=C)C1CCC2(O)C3=CCC4CC(O)CCC44CC34CCC12C</t>
  </si>
  <si>
    <t>LHQZNTIWWWUEJH-UHFFFAOYSA-N</t>
  </si>
  <si>
    <t>C27H42O3</t>
  </si>
  <si>
    <t>5.06_259.0767m/z</t>
  </si>
  <si>
    <t>CAY10503</t>
  </si>
  <si>
    <t>C1=CC(=CC=C1C2=CC=C(C=C2)O)C3=CC(=CC(=C3)O)O</t>
  </si>
  <si>
    <t>DADMQAUVBPTTDT-UHFFFAOYSA-N</t>
  </si>
  <si>
    <t>Terphenyls</t>
  </si>
  <si>
    <t>C18H14O3</t>
  </si>
  <si>
    <t>13.51_313.2385m/z</t>
  </si>
  <si>
    <t>Methyl 9Z-hexadecenoate</t>
  </si>
  <si>
    <t>LMFA07010501</t>
  </si>
  <si>
    <t>O=C(CCCCCCC/C=C\CCCCCC)OC</t>
  </si>
  <si>
    <t>IZFGRAGOVZCUFB-HJWRWDBZSA-N</t>
  </si>
  <si>
    <t>C17H32O2</t>
  </si>
  <si>
    <t>4.86_172.0971m/z</t>
  </si>
  <si>
    <t>Hexanoylglycine</t>
  </si>
  <si>
    <t>HMDB0000701</t>
  </si>
  <si>
    <t>24003-67-6</t>
  </si>
  <si>
    <t>CCCCCC(=O)NCC(O)=O</t>
  </si>
  <si>
    <t>UPCKIPHSXMXJOX-UHFFFAOYSA-N</t>
  </si>
  <si>
    <t>97</t>
  </si>
  <si>
    <t>3-Hydroxy-Isovaleric Acid</t>
  </si>
  <si>
    <t>HMDB0000754</t>
  </si>
  <si>
    <t>LMFA01050396</t>
  </si>
  <si>
    <t>625-08-1</t>
  </si>
  <si>
    <t>C(=O)(O)CC(O)(C)C</t>
  </si>
  <si>
    <t>AXFYFNCPONWUHW-UHFFFAOYSA-N</t>
  </si>
  <si>
    <t>15.24_494.9888m/z</t>
  </si>
  <si>
    <t>2-[4-hydroxy-3-(sulfooxy)phenyl]acetic acid</t>
  </si>
  <si>
    <t>HMDB0125151</t>
  </si>
  <si>
    <t>OC(=O)CC1=CC(OS(O)(=O)=O)=C(O)C=C1</t>
  </si>
  <si>
    <t>KAIXMDKRVHGWDK-UHFFFAOYSA-N</t>
  </si>
  <si>
    <t>C8H8O7S</t>
  </si>
  <si>
    <t>8.58_313.2168m/z</t>
  </si>
  <si>
    <t>Metabolite M</t>
  </si>
  <si>
    <t>HMDB0254496</t>
  </si>
  <si>
    <t>CC12CCC3C(=CC=C4CC(O)CCC34C)C1CCC2C(=O)CO</t>
  </si>
  <si>
    <t>MGYSTOQOSMRLQF-UHFFFAOYSA-N</t>
  </si>
  <si>
    <t>8.16_604.3260m/z</t>
  </si>
  <si>
    <t>PKOOA-PE</t>
  </si>
  <si>
    <t>LMGP20020022</t>
  </si>
  <si>
    <t>[C@](COP(=O)(O)OCCN)([H])(OC(CCCC(=O)/C=C/C(=O)[H])=O)COC(CCCCCCCCCCCCCCC)=O</t>
  </si>
  <si>
    <t>RFLSUNZNGCAQEJ-DRTHVRHMSA-N</t>
  </si>
  <si>
    <t>C29H52NO10P</t>
  </si>
  <si>
    <t>4.21_331.0912m/z</t>
  </si>
  <si>
    <t>3-Methylxanthine</t>
  </si>
  <si>
    <t>HMDB0001886</t>
  </si>
  <si>
    <t>C16357</t>
  </si>
  <si>
    <t>1076-22-8</t>
  </si>
  <si>
    <t>CN1C2=C(NC=N2)C(=O)NC1=O</t>
  </si>
  <si>
    <t>GMSNIKWWOQHZGF-UHFFFAOYSA-N</t>
  </si>
  <si>
    <t>C6H6N4O2</t>
  </si>
  <si>
    <t>3.90_466.1952m/z</t>
  </si>
  <si>
    <t>Glu Asp Trp</t>
  </si>
  <si>
    <t>C1=CC=C2C(=C1)C(=CN2)CC(C(=O)O)NC(=O)C(CC(=O)O)NC(=O)C(CCC(=O)O)N</t>
  </si>
  <si>
    <t>PBFGQTGPSKWHJA-QEJZJMRPSA-N</t>
  </si>
  <si>
    <t>C20H24N4O8</t>
  </si>
  <si>
    <t>7.17_639.1086m/z</t>
  </si>
  <si>
    <t>Sorafenib beta-D-Glucuronide</t>
  </si>
  <si>
    <t>HMDB0060872</t>
  </si>
  <si>
    <t>CNC(=O)C1=NC=CC(OC2=CC=C(NC(=O)N([C@@H]3O[C@@H]([C@@H](O)[C@H](O)[C@H]3O)C(O)=O)C3=CC(=C(Cl)C=C3)C(F)(F)F)C=C2)=C1</t>
  </si>
  <si>
    <t>HALZWBPBJOJUOZ-QMDPOKHVSA-N</t>
  </si>
  <si>
    <t>C27H24ClF3N4O9</t>
  </si>
  <si>
    <t>5.92_374.1984m/z</t>
  </si>
  <si>
    <t>1,2,3,4-Tetrahydro-1-[1-hydroxy-3-(4-hydroxyphenyl)-2-propenyl]-6,7-dimethoxy-2-naphthalenol</t>
  </si>
  <si>
    <t>HMDB0041401</t>
  </si>
  <si>
    <t>163811-76-5</t>
  </si>
  <si>
    <t>COC1=C(OC)C=C2C(C(O)\C=C/C3=CC=C(O)C=C3)C(O)CCC2=C1</t>
  </si>
  <si>
    <t>KAYRJPGARKNUEX-UITAMQMPSA-N</t>
  </si>
  <si>
    <t>C21H24O5</t>
  </si>
  <si>
    <t>5.37_587.2461m/z</t>
  </si>
  <si>
    <t>6-Hydroxysandoricin</t>
  </si>
  <si>
    <t>HMDB0037556</t>
  </si>
  <si>
    <t>C01536</t>
  </si>
  <si>
    <t>133585-56-5</t>
  </si>
  <si>
    <t>COC(=O)C(O)C1C(C)(C)C(CC2OC34C(O)C(=O)OC(C5=COC=C5)C3(C)C(CC(C4=C)C12C)OC(C)=O)OC(C)=O</t>
  </si>
  <si>
    <t>NKHYHRMLCJNKHW-UHFFFAOYSA-N</t>
  </si>
  <si>
    <t>C31H40O12</t>
  </si>
  <si>
    <t>3.47_571.2371m/z</t>
  </si>
  <si>
    <t>Met-enkephalinamide</t>
  </si>
  <si>
    <t>HMDB0254489</t>
  </si>
  <si>
    <t>CSCCC(NC(=O)C(CC1=CC=CC=C1)NC(=O)CNC(=O)CNC(=O)C(N)CC1=CC=C(O)C=C1)C(N)=O</t>
  </si>
  <si>
    <t>HBDDEVHKKBWEQT-UHFFFAOYSA-N</t>
  </si>
  <si>
    <t>C27H36N6O6S</t>
  </si>
  <si>
    <t>7.88_231.1386m/z</t>
  </si>
  <si>
    <t>Enokipodin A</t>
  </si>
  <si>
    <t>HMDB0035903</t>
  </si>
  <si>
    <t>306951-07-5</t>
  </si>
  <si>
    <t>CC1=CC2=C(C=C1O)C1(C)CCC(O)(O2)C1(C)C</t>
  </si>
  <si>
    <t>KANVQRLDTGOSBL-UHFFFAOYSA-N</t>
  </si>
  <si>
    <t>7.75_409.1881m/z</t>
  </si>
  <si>
    <t>3b,8a-Dihydroxy-6b-angeloyloxy-7(11)-eremophilen-12,8-olide</t>
  </si>
  <si>
    <t>HMDB0040757</t>
  </si>
  <si>
    <t>162613-66-3</t>
  </si>
  <si>
    <t>C\C=C(/C)C(=O)OC1C2=C(C)C(=O)OC2(O)CC2CCC(O)C(C)C12C</t>
  </si>
  <si>
    <t>YOQIGAVHLYFIAF-UXBLZVDNSA-N</t>
  </si>
  <si>
    <t>11.79_580.3622m/z</t>
  </si>
  <si>
    <t>PC(18:0(11cp)/0:0)</t>
  </si>
  <si>
    <t>LMGP01050145</t>
  </si>
  <si>
    <t>[C@](COP(=O)([O-])OCC[N+](C)(C)C)([H])(O)COC(CCCCCCCCCC1CC1CCCCCC)=O</t>
  </si>
  <si>
    <t>JMNXFZCXVGEDAC-NRUKRLKBSA-N</t>
  </si>
  <si>
    <t>4.54_193.0070m/z</t>
  </si>
  <si>
    <t>Zonisamide</t>
  </si>
  <si>
    <t>HMDB0015045</t>
  </si>
  <si>
    <t>C07504</t>
  </si>
  <si>
    <t>68291-97-4</t>
  </si>
  <si>
    <t>NS(=O)(=O)CC1=NOC2=CC=CC=C12</t>
  </si>
  <si>
    <t>UBQNRHZMVUUOMG-UHFFFAOYSA-N</t>
  </si>
  <si>
    <t>Benzisoxazoles</t>
  </si>
  <si>
    <t>C8H8N2O3S</t>
  </si>
  <si>
    <t>4.85_344.1868m/z</t>
  </si>
  <si>
    <t>3,5-Dimethyl-3'-isopropyl-L-thyronine</t>
  </si>
  <si>
    <t>HMDB0246061</t>
  </si>
  <si>
    <t>CC(C)C1=C(O)C=CC(OC2=C(C)C=C(CC(N)C(O)=O)C=C2C)=C1</t>
  </si>
  <si>
    <t>QHHWMOKQVCJRPS-UHFFFAOYSA-N</t>
  </si>
  <si>
    <t>C20H25NO4</t>
  </si>
  <si>
    <t>5.08_249.1607m/z</t>
  </si>
  <si>
    <t>CC(=O)Nccccccn1C=CC(=O)C(O)=C1C</t>
  </si>
  <si>
    <t>HMDB0257739</t>
  </si>
  <si>
    <t>CC(=O)NCCCCCCN1C=CC(=O)C(O)=C1C</t>
  </si>
  <si>
    <t>AUVGDBMRJYKPEA-UHFFFAOYSA-N</t>
  </si>
  <si>
    <t>C14H22N2O3</t>
  </si>
  <si>
    <t>3.62_237.1238m/z</t>
  </si>
  <si>
    <t>Alanylphenylalanine</t>
  </si>
  <si>
    <t>HMDB0028694</t>
  </si>
  <si>
    <t>3061-90-3</t>
  </si>
  <si>
    <t>C[C@H](N)C(=O)N[C@@H](CC1=CC=CC=C1)C(O)=O</t>
  </si>
  <si>
    <t>OMNVYXHOSHNURL-WPRPVWTQSA-N</t>
  </si>
  <si>
    <t>11.35_311.1727m/z</t>
  </si>
  <si>
    <t>Sinapine</t>
  </si>
  <si>
    <t>HMDB0029379</t>
  </si>
  <si>
    <t>C00933</t>
  </si>
  <si>
    <t>84123-22-8</t>
  </si>
  <si>
    <t>COC1=CC(\C=C\C(=O)OCC[N+](C)(C)C)=CC(OC)=C1O</t>
  </si>
  <si>
    <t>HUJXHFRXWWGYQH-UHFFFAOYSA-O</t>
  </si>
  <si>
    <t>C16H24NO5+</t>
  </si>
  <si>
    <t>4.67_591.2897m/z</t>
  </si>
  <si>
    <t>Enkephalinamide-Leu, Ala(2)-</t>
  </si>
  <si>
    <t>HMDB0244970</t>
  </si>
  <si>
    <t>CC(C)CC(NC(=O)C(CC1=CC=CC=C1)NC(=O)CNC(=O)C(C)NC(=O)C(N)CC1=CC=C(O)C=C1)C(N)=O</t>
  </si>
  <si>
    <t>YPERDMXQKOFCQT-UHFFFAOYSA-N</t>
  </si>
  <si>
    <t>C29H40N6O6</t>
  </si>
  <si>
    <t>13.33_547.4371m/z</t>
  </si>
  <si>
    <t>DG(13:0/0:0/18:1(12Z)-O(9S,10R))</t>
  </si>
  <si>
    <t>HMDB0294935</t>
  </si>
  <si>
    <t>CCCCCCCCCCCCC(=O)OC[C@@H](O)COC(=O)CCCCCCCC1OC1C\C=C/CCCCC</t>
  </si>
  <si>
    <t>AJFYCZHTDRFKQA-BDNDDWPVSA-N</t>
  </si>
  <si>
    <t>5.28_332.1141m/z</t>
  </si>
  <si>
    <t>4,2'-Dihydroxy-6'-methoxy-3',4'-methylenedioxychalcone</t>
  </si>
  <si>
    <t>LMPK12120346</t>
  </si>
  <si>
    <t>C12OCOC1=C(O)C(C(=O)/C=C/C1C=CC(O)=CC=1)=C(OC)C=2</t>
  </si>
  <si>
    <t>FDKKYJDJQQWMEA-QPJJXVBHSA-N</t>
  </si>
  <si>
    <t>1.41_349.0017m/z</t>
  </si>
  <si>
    <t>Apigenin 7-sulfate</t>
  </si>
  <si>
    <t>HMDB0037851</t>
  </si>
  <si>
    <t>LMPK12110431</t>
  </si>
  <si>
    <t>56857-56-8</t>
  </si>
  <si>
    <t>C1(OS(O)(=O)=O)=CC2OC(C3C=CC(O)=CC=3)=CC(=O)C=2C(O)=C1</t>
  </si>
  <si>
    <t>UQUHXFINOFUDCC-UHFFFAOYSA-N</t>
  </si>
  <si>
    <t>C15H10O8S</t>
  </si>
  <si>
    <t>7.06_352.0575m/z</t>
  </si>
  <si>
    <t>Avenanthramide E</t>
  </si>
  <si>
    <t>HMDB0038944</t>
  </si>
  <si>
    <t>93755-77-2</t>
  </si>
  <si>
    <t>COC1=C(O)C=CC(\C=C/C(=O)NC2=C(C=CC=C2)C(O)=O)=C1</t>
  </si>
  <si>
    <t>FSKJPXSYWQUVGO-CLFYSBASSA-N</t>
  </si>
  <si>
    <t>C17H15NO5</t>
  </si>
  <si>
    <t>9.56_281.1907m/z</t>
  </si>
  <si>
    <t>Atamestane</t>
  </si>
  <si>
    <t>HMDB0248692</t>
  </si>
  <si>
    <t>CC1=CC(=O)C=C2CCC3C4CCC(=O)C4(C)CCC3C12C</t>
  </si>
  <si>
    <t>PEPMWUSGRKINHX-UHFFFAOYSA-N</t>
  </si>
  <si>
    <t>9.65_476.2647m/z</t>
  </si>
  <si>
    <t>1,3-DIDEACETYL-7-DEACETOXY-7-OXOKHIVORIN</t>
  </si>
  <si>
    <t>CC1(C(CC(C2(C1CC(=O)C3(C2CCC4(C35C(O5)C(=O)OC4C6=COC=C6)C)C)C)O)O)C</t>
  </si>
  <si>
    <t>BBSPXZBAZKHYLF-HUBYRZTESA-N</t>
  </si>
  <si>
    <t>C26H34O7</t>
  </si>
  <si>
    <t>6.13_250.0663m/z</t>
  </si>
  <si>
    <t>2-[(5-Methylsulfinyl)-4-penten-2-ynylidene]-1,6-dioxaspiro[4.4]non-3-ene</t>
  </si>
  <si>
    <t>HMDB0032670</t>
  </si>
  <si>
    <t>CS(=O)\C=C/C#C\C=C1\OC2(CCCO2)C=C1</t>
  </si>
  <si>
    <t>HGPOBYCDHSNTNP-QFQHGIJPSA-N</t>
  </si>
  <si>
    <t>C13H14O3S</t>
  </si>
  <si>
    <t>0.84_275.0097m/z</t>
  </si>
  <si>
    <t>Cysteinyl-Aspartate</t>
  </si>
  <si>
    <t>HMDB0028771</t>
  </si>
  <si>
    <t>NC(CS)C(=O)NC(CC(O)=O)C(O)=O</t>
  </si>
  <si>
    <t>TULNGKSILXCZQT-UHFFFAOYSA-N</t>
  </si>
  <si>
    <t>C7H12N2O5S</t>
  </si>
  <si>
    <t>3.71_467.2407m/z</t>
  </si>
  <si>
    <t>Antibiotic GR 95647X</t>
  </si>
  <si>
    <t>HMDB0033034</t>
  </si>
  <si>
    <t>CC(C)CC(C1=C(O)C(C=O)=C(O)C(C=O)=C1O)C1(C)CC2C3C(CC(O)C2C1)C3(C)C</t>
  </si>
  <si>
    <t>UYWXWYBEHLAUEW-UHFFFAOYSA-N</t>
  </si>
  <si>
    <t>Benzenetriols and derivatives</t>
  </si>
  <si>
    <t>C26H36O6</t>
  </si>
  <si>
    <t>4.71_189.1028m/z</t>
  </si>
  <si>
    <t>5-Methyl-2-(4-methylphenyl)-2,4-dihydro-3H-pyrazol-3-one</t>
  </si>
  <si>
    <t>CC1=NN(C(=O)C1)C2=CC=C(C=C2)C</t>
  </si>
  <si>
    <t>IOQOLGUXWSBWHR-UHFFFAOYSA-N</t>
  </si>
  <si>
    <t>C11H12N2O</t>
  </si>
  <si>
    <t>6.91_409.0957m/z</t>
  </si>
  <si>
    <t>Benzoic acid, 2-[[3-(2-quinolinylmethoxy)phenyl]amino]-</t>
  </si>
  <si>
    <t>HMDB0258454</t>
  </si>
  <si>
    <t>R-HSA-162582,R-HSA-1643685,R-HSA-372790,R-HSA-373076,R-HSA-391903,R-HSA-391906,R-HSA-500792,R-HSA-5663205,R-HSA-9679191,R-HSA-9679506,R-HSA-9824446</t>
  </si>
  <si>
    <t>Signal Transduction|Disease|Signaling by GPCR|Class A/1 (Rhodopsin-like receptors)|Eicosanoid ligand-binding receptors|Leukotriene receptors|GPCR ligand binding|Infectious disease|Potential therapeutics for SARS|SARS-CoV Infections|Viral Infection Pathways</t>
  </si>
  <si>
    <t>OC(=O)C1=CC=CC=C1NC1=CC(OCC2=NC3=CC=CC=C3C=C2)=CC=C1</t>
  </si>
  <si>
    <t>LMPZHLXYBWGGNT-UHFFFAOYSA-N</t>
  </si>
  <si>
    <t>C23H18N2O3</t>
  </si>
  <si>
    <t>10.39_520.2658m/z</t>
  </si>
  <si>
    <t>PS(18:2(9Z,12Z)/0:0)</t>
  </si>
  <si>
    <t>HMDB0240604</t>
  </si>
  <si>
    <t>LMGP03050011</t>
  </si>
  <si>
    <t>1218913-82-6</t>
  </si>
  <si>
    <t>C(O)(=O)[C@@]([H])(N)COP(OC[C@]([H])(O)COC(CCCCCCC/C=C\C/C=C\CCCCC)=O)(=O)O</t>
  </si>
  <si>
    <t>HLISFLFEEBTXRV-FRZHUQNDSA-N</t>
  </si>
  <si>
    <t>C24H44NO9P</t>
  </si>
  <si>
    <t>4.67_427.1298m/z</t>
  </si>
  <si>
    <t>Telatinib</t>
  </si>
  <si>
    <t>HMDB0258783</t>
  </si>
  <si>
    <t>CNC(=O)C1=NC=CC(COC2=NN=C(NC3=CC=C(Cl)C=C3)C3=C2OC=C3)=C1</t>
  </si>
  <si>
    <t>QFCXANHHBCGMAS-UHFFFAOYSA-N</t>
  </si>
  <si>
    <t>C20H16ClN5O3</t>
  </si>
  <si>
    <t>5.79_278.1398m/z</t>
  </si>
  <si>
    <t>Methylphenidate</t>
  </si>
  <si>
    <t>HMDB0014566</t>
  </si>
  <si>
    <t>C07196</t>
  </si>
  <si>
    <t>113-45-1</t>
  </si>
  <si>
    <t>COC(=O)C(C1CCCCN1)C1=CC=CC=C1</t>
  </si>
  <si>
    <t>DUGOZIWVEXMGBE-UHFFFAOYSA-N</t>
  </si>
  <si>
    <t>C14H19NO2</t>
  </si>
  <si>
    <t>5.06_417.1961m/z</t>
  </si>
  <si>
    <t>Androstane-3,17-diol 17-sulfate</t>
  </si>
  <si>
    <t>HMDB0247995</t>
  </si>
  <si>
    <t>CC12CCC3C(CCC4CC(O)CCC34C)C1CCC2OS(O)(=O)=O</t>
  </si>
  <si>
    <t>KWYNDVHEQWYGIL-UHFFFAOYSA-N</t>
  </si>
  <si>
    <t>C19H32O5S</t>
  </si>
  <si>
    <t>1.85_245.1141m/z</t>
  </si>
  <si>
    <t>gamma-Glutamylvaline</t>
  </si>
  <si>
    <t>HMDB0011172</t>
  </si>
  <si>
    <t>2746-34-1</t>
  </si>
  <si>
    <t>CC(C)[C@H](NC(=O)CC[C@H](N)C(O)=O)C(O)=O</t>
  </si>
  <si>
    <t>AQAKHZVPOOGUCK-XPUUQOCRSA-N</t>
  </si>
  <si>
    <t>12.71_591.4631m/z</t>
  </si>
  <si>
    <t>DG(15:0/0:0/18:3(9,11,15)-OH(13))</t>
  </si>
  <si>
    <t>HMDB0295373</t>
  </si>
  <si>
    <t>CCCCCCCCCCCCCCC(=O)OC[C@@H](O)COC(=O)CCCCCCC\C=C\C=C\C(O)C\C=C\CC</t>
  </si>
  <si>
    <t>NDQCVBYVTMEEQZ-RXQYGXENSA-N</t>
  </si>
  <si>
    <t>1.25_302.0962m/z</t>
  </si>
  <si>
    <t>Taurolidine</t>
  </si>
  <si>
    <t>HMDB0258744</t>
  </si>
  <si>
    <t>O=S1(=O)CCN(CN2CCS(=O)(=O)NC2)CN1</t>
  </si>
  <si>
    <t>AJKIRUJIDFJUKJ-UHFFFAOYSA-N</t>
  </si>
  <si>
    <t>Thiadiazinanes</t>
  </si>
  <si>
    <t>C7H16N4O4S2</t>
  </si>
  <si>
    <t>6.15_200.1652m/z</t>
  </si>
  <si>
    <t>2-Hexenoylcholine</t>
  </si>
  <si>
    <t>HMDB0013162</t>
  </si>
  <si>
    <t>LMFA07010716</t>
  </si>
  <si>
    <t>[N+](C)(C)(C)CCOC(=O)/C=C/CCC</t>
  </si>
  <si>
    <t>FEBXWAFFYJZFMS-BQYQJAHWSA-N</t>
  </si>
  <si>
    <t>C11H22NO2+</t>
  </si>
  <si>
    <t>6.68_163.1485m/z</t>
  </si>
  <si>
    <t>Homodihydrojasmone</t>
  </si>
  <si>
    <t>HMDB0031181</t>
  </si>
  <si>
    <t>4868-24-0</t>
  </si>
  <si>
    <t>CCCCCCC1=C(C)CCC1=O</t>
  </si>
  <si>
    <t>JAPZZAUIIPKQJW-UHFFFAOYSA-N</t>
  </si>
  <si>
    <t>11.72_356.2055m/z</t>
  </si>
  <si>
    <t>Farnesyl Thiosalicylic Acid Amide</t>
  </si>
  <si>
    <t>1092521-74-8</t>
  </si>
  <si>
    <t>CC(=CCCC(=CCCC(=CCSC1=CC=CC=C1C(=O)N)C)C)C</t>
  </si>
  <si>
    <t>GZTMFRUGZMZCRD-CFBAGHHKSA-N</t>
  </si>
  <si>
    <t>C22H31NOS</t>
  </si>
  <si>
    <t>9.65_235.1700m/z</t>
  </si>
  <si>
    <t>7-Hydroxycostal</t>
  </si>
  <si>
    <t>HMDB0035202</t>
  </si>
  <si>
    <t>86703-04-0</t>
  </si>
  <si>
    <t>CC12CCCC(=C)C1CC(O)(CC2)C(=C)C=O</t>
  </si>
  <si>
    <t>VRDBEJGMTYROKE-UHFFFAOYSA-N</t>
  </si>
  <si>
    <t>9.66_488.3017m/z</t>
  </si>
  <si>
    <t>Withaferin A</t>
  </si>
  <si>
    <t>LMST01160017</t>
  </si>
  <si>
    <t>C08841</t>
  </si>
  <si>
    <t>5119-48-2</t>
  </si>
  <si>
    <t>O1[C@@H]2C[C@@]3([H])[C@]4([H])CC[C@]([H])([C@H](C)[C@@]5([H])CC(C)=C(CO)C(=O)O5)[C@@]4(C)CC[C@]3([H])[C@]3(C(C=C[C@@H]([C@]132)O)=O)C</t>
  </si>
  <si>
    <t>DBRXOUCRJQVYJQ-CKNDUULBSA-N</t>
  </si>
  <si>
    <t>C28H38O6</t>
  </si>
  <si>
    <t>8.73_415.0963m/z</t>
  </si>
  <si>
    <t>1,2-Anthraquinone</t>
  </si>
  <si>
    <t>HMDB0244055</t>
  </si>
  <si>
    <t>O=C1C=CC2=CC3=CC=CC=C3C=C2C1=O</t>
  </si>
  <si>
    <t>RGHILYZRVFRRNK-UHFFFAOYSA-N</t>
  </si>
  <si>
    <t>C14H8O2</t>
  </si>
  <si>
    <t>11.21_347.1717m/z</t>
  </si>
  <si>
    <t>1,1,1-Tri(butyryloxy)propane</t>
  </si>
  <si>
    <t>HMDB0257803</t>
  </si>
  <si>
    <t>CCCC(=O)OC(CC)(OC(=O)CCC)OC(=O)CCC</t>
  </si>
  <si>
    <t>LXBMSTULRDBVCU-UHFFFAOYSA-N</t>
  </si>
  <si>
    <t>C15H26O6</t>
  </si>
  <si>
    <t>6.37_277.1445m/z</t>
  </si>
  <si>
    <t>3,8-Dihydroxy-6-methoxy-7(11)-eremophilen-12,8-olide</t>
  </si>
  <si>
    <t>HMDB0041551</t>
  </si>
  <si>
    <t>COC1C2=C(C)C(=O)OC2(O)CC2CCC(O)C(C)C12C</t>
  </si>
  <si>
    <t>PVRCOBIICILOMH-UHFFFAOYSA-N</t>
  </si>
  <si>
    <t>C16H24O5</t>
  </si>
  <si>
    <t>13.88_571.4371m/z</t>
  </si>
  <si>
    <t>DG(a-13:0/20:3(8Z,11Z,14Z)-O(5,6)/0:0)</t>
  </si>
  <si>
    <t>HMDB0297275</t>
  </si>
  <si>
    <t>CCCCC\C=C/C\C=C/C\C=C/CC1OC1CCCC(=O)O[C@@H](CO)COC(=O)CCCCCCCCC(C)CC</t>
  </si>
  <si>
    <t>BWRNWHBJJBFIOH-WLGWGOQCSA-N</t>
  </si>
  <si>
    <t>13.33_423.3483m/z</t>
  </si>
  <si>
    <t>DG(8:0/i-15:0/0:0)</t>
  </si>
  <si>
    <t>HMDB0092919</t>
  </si>
  <si>
    <t>[H][C@](CO)(COC(=O)CCCCCCC)OC(=O)CCCCCCCCCCCC(C)C</t>
  </si>
  <si>
    <t>AVIVNFATIIEVKI-DEOSSOPVSA-N</t>
  </si>
  <si>
    <t>C26H50O5</t>
  </si>
  <si>
    <t>3.75_423.1999m/z</t>
  </si>
  <si>
    <t>Berkeleylactone G</t>
  </si>
  <si>
    <t>LMFA07040167</t>
  </si>
  <si>
    <t>[C@@H]1([C@@H](OC(=O)CCC(=O)O)CCCCCCCC[C@H](O)[C@@H](C)OC(=O)C=C1)O</t>
  </si>
  <si>
    <t>LHCHMGFKQQZRRH-JUDWWFKISA-N</t>
  </si>
  <si>
    <t>C20H32O8</t>
  </si>
  <si>
    <t>1.30_428.1151m/z</t>
  </si>
  <si>
    <t>2-Naphthalenecarboxamide, 3-hydroxy-N-(2-methoxy-3-dibenzofuranyl)-</t>
  </si>
  <si>
    <t>HMDB0245718</t>
  </si>
  <si>
    <t>COC1=C(NC(=O)C2=C(O)C=C3C=CC=CC3=C2)C=C2OC3=CC=CC=C3C2=C1</t>
  </si>
  <si>
    <t>CZPWGRUUELIMPA-UHFFFAOYSA-N</t>
  </si>
  <si>
    <t>Dibenzofurans</t>
  </si>
  <si>
    <t>C24H17NO4</t>
  </si>
  <si>
    <t>4.03_552.2938n</t>
  </si>
  <si>
    <t>Desglucocheirotoxol</t>
  </si>
  <si>
    <t>HMDB0033828</t>
  </si>
  <si>
    <t>29336-13-8</t>
  </si>
  <si>
    <t>CC1OC(OC2CCC3(CO)C4CCC5(C)C(CCC5(O)C4CCC3(O)C2)C2=CC(=O)OC2)C(O)C(O)C1O</t>
  </si>
  <si>
    <t>UQEKVLJMBGSQGS-UHFFFAOYSA-N</t>
  </si>
  <si>
    <t>C29H44O10</t>
  </si>
  <si>
    <t>6.16_321.0569m/z</t>
  </si>
  <si>
    <t>Alanine glyoxylate</t>
  </si>
  <si>
    <t>HMDB0248103</t>
  </si>
  <si>
    <t>CC(N)C(=O)OOC(=O)C=O</t>
  </si>
  <si>
    <t>BAUFXWFPLZNILU-UHFFFAOYSA-N</t>
  </si>
  <si>
    <t>C5H7NO5</t>
  </si>
  <si>
    <t>10.14_469.2574m/z</t>
  </si>
  <si>
    <t>PA(17:0/0:0)</t>
  </si>
  <si>
    <t>HMDB0062318</t>
  </si>
  <si>
    <t>LMGP10050036</t>
  </si>
  <si>
    <t>[C@](COP(=O)(O)O)([H])(O)COC(CCCCCCCCCCCCCCCC)=O</t>
  </si>
  <si>
    <t>AXKVUJMUBAXXKG-LJQANCHMSA-N</t>
  </si>
  <si>
    <t>C20H41O7P</t>
  </si>
  <si>
    <t>6.31_467.1925m/z</t>
  </si>
  <si>
    <t>15-Acetoxyscirpene-3,4-diol 4-O-a-D-glucopyranoside</t>
  </si>
  <si>
    <t>HMDB0035590</t>
  </si>
  <si>
    <t>99124-45-5</t>
  </si>
  <si>
    <t>CC(=O)OCC12CCC(C)=CC1OC1C(O)C(OC3OC(CO)C(O)C(O)C3O)C2(C)C11CO1</t>
  </si>
  <si>
    <t>HUIYHYRPRGTYKA-UHFFFAOYSA-N</t>
  </si>
  <si>
    <t>C23H34O11</t>
  </si>
  <si>
    <t>5.08_298.0721m/z</t>
  </si>
  <si>
    <t>Marshdine</t>
  </si>
  <si>
    <t>HMDB0041141</t>
  </si>
  <si>
    <t>160927-87-7</t>
  </si>
  <si>
    <t>COC1=CC2=C(C(O)=C1)C(=O)C1=C(N2C)C2=C(OCO2)C=C1</t>
  </si>
  <si>
    <t>HIDPWENUZOGSOF-UHFFFAOYSA-N</t>
  </si>
  <si>
    <t>C16H13NO5</t>
  </si>
  <si>
    <t>9.68_642.4292m/z</t>
  </si>
  <si>
    <t>PA(17:2(9Z,12Z)/15:1(9Z))</t>
  </si>
  <si>
    <t>LMGP10010281</t>
  </si>
  <si>
    <t>[C@](COP(=O)(O)O)([H])(OC(CCCCCCC/C=C\CCCCC)=O)COC(CCCCCCC/C=C\C/C=C\CCCC)=O</t>
  </si>
  <si>
    <t>AAQIWYQFGXFNEJ-OEEQQZRRSA-N</t>
  </si>
  <si>
    <t>C35H63O8P</t>
  </si>
  <si>
    <t>12.66_240.2328m/z</t>
  </si>
  <si>
    <t>alpha-Triticene</t>
  </si>
  <si>
    <t>HMDB0030939</t>
  </si>
  <si>
    <t>85769-28-4</t>
  </si>
  <si>
    <t>CCCCCCCCCCC(=C)\C=C/C=O</t>
  </si>
  <si>
    <t>STNNDCBSPFQUIQ-QBFSEMIESA-N</t>
  </si>
  <si>
    <t>5.35_280.1301m/z</t>
  </si>
  <si>
    <t>Artabsinolide A</t>
  </si>
  <si>
    <t>HMDB0035620</t>
  </si>
  <si>
    <t>82078-63-5</t>
  </si>
  <si>
    <t>CC1C2CCC(C)(O)C3=C(C2OC1=O)C(C)(O)CC3=O</t>
  </si>
  <si>
    <t>ZSOYDVICJGNUTP-UHFFFAOYSA-N</t>
  </si>
  <si>
    <t>C15H20O5</t>
  </si>
  <si>
    <t>4.61_301.2132m/z</t>
  </si>
  <si>
    <t>Pegvaliase</t>
  </si>
  <si>
    <t>HMDB0256204</t>
  </si>
  <si>
    <t>COCCOCCCCCC(=O)NCCCCC(N)C(O)=O</t>
  </si>
  <si>
    <t>NPOCDVAOUKODSQ-UHFFFAOYSA-N</t>
  </si>
  <si>
    <t>C15H30N2O5</t>
  </si>
  <si>
    <t>15.17_350.9887m/z</t>
  </si>
  <si>
    <t>Sedoheptulose 1,7-bisphosphate</t>
  </si>
  <si>
    <t>HMDB0060274</t>
  </si>
  <si>
    <t>C00447</t>
  </si>
  <si>
    <t>815-91-8</t>
  </si>
  <si>
    <t>O[C@H](COP(O)(O)=O)[C@@H](O)[C@@H](O)[C@H](O)C(=O)COP(O)(O)=O</t>
  </si>
  <si>
    <t>OKHXOUGRECCASI-SHUUEZRQSA-N</t>
  </si>
  <si>
    <t>C7H16O13P2</t>
  </si>
  <si>
    <t>7.07_365.2095m/z</t>
  </si>
  <si>
    <t>4-Butyl-5-propylthiazole</t>
  </si>
  <si>
    <t>HMDB0040067</t>
  </si>
  <si>
    <t>57246-59-0</t>
  </si>
  <si>
    <t>CCCCC1=C(CCC)SC=N1</t>
  </si>
  <si>
    <t>AHPGPUJQEGRVBS-UHFFFAOYSA-N</t>
  </si>
  <si>
    <t>C10H17NS</t>
  </si>
  <si>
    <t>10.61_98.9848m/z</t>
  </si>
  <si>
    <t>Potassium acetate</t>
  </si>
  <si>
    <t>HMDB0303539</t>
  </si>
  <si>
    <t>C12554</t>
  </si>
  <si>
    <t>127-08-2</t>
  </si>
  <si>
    <t>[K+].CC([O-])=O</t>
  </si>
  <si>
    <t>SCVFZCLFOSHCOH-UHFFFAOYSA-M</t>
  </si>
  <si>
    <t>C2H3KO2</t>
  </si>
  <si>
    <t>10.84_291.1602m/z</t>
  </si>
  <si>
    <t>Monoisononyl phthalate</t>
  </si>
  <si>
    <t>HMDB0244325</t>
  </si>
  <si>
    <t>CC(C)CCCCCCOC(=O)C1=CC=CC=C1C(O)=O</t>
  </si>
  <si>
    <t>RNCMBSSLYOAVRT-UHFFFAOYSA-N</t>
  </si>
  <si>
    <t>4.28_441.1890m/z</t>
  </si>
  <si>
    <t>1-[2-Amino-6-(3,5-dimethoxyphenyl)pyrido[2,3-d]pyrimidin-7-yl]-3-tert-butylurea</t>
  </si>
  <si>
    <t>HMDB0244843</t>
  </si>
  <si>
    <t>COC1=CC(=CC(OC)=C1)C1=C(NC(=O)NC(C)(C)C)N=C2N=C(N)N=CC2=C1</t>
  </si>
  <si>
    <t>NHJSWORVNIOXIT-UHFFFAOYSA-N</t>
  </si>
  <si>
    <t>C20H24N6O3</t>
  </si>
  <si>
    <t>9.54_432.1612n</t>
  </si>
  <si>
    <t>Benzyl gentiobioside</t>
  </si>
  <si>
    <t>HMDB0041515</t>
  </si>
  <si>
    <t>56775-64-5</t>
  </si>
  <si>
    <t>OCC1OC(OCC2OC(OCC3=CC=CC=C3)C(O)C(O)C2O)C(O)C(O)C1O</t>
  </si>
  <si>
    <t>LLEMMFPELBNINR-UHFFFAOYSA-N</t>
  </si>
  <si>
    <t>1.41_270.9851m/z</t>
  </si>
  <si>
    <t>Hexose monophosphate</t>
  </si>
  <si>
    <t>HMDB0253163</t>
  </si>
  <si>
    <t>OCC1OC2(O)OP3(=O)OC(O)(C1O)C2(O)O3</t>
  </si>
  <si>
    <t>BKZSBXIPCZNKCN-UHFFFAOYSA-N</t>
  </si>
  <si>
    <t>C6H9O10P</t>
  </si>
  <si>
    <t>4.98_186.0712m/z</t>
  </si>
  <si>
    <t>Fluorofenidone</t>
  </si>
  <si>
    <t>HMDB0245559</t>
  </si>
  <si>
    <t>CC1=CN(C(=O)C=C1)C1=CC(F)=CC=C1</t>
  </si>
  <si>
    <t>JDZYVVUJIQYGRX-UHFFFAOYSA-N</t>
  </si>
  <si>
    <t>C12H10FNO</t>
  </si>
  <si>
    <t>9.89_448.3433m/z</t>
  </si>
  <si>
    <t>Vaccenyl carnitine</t>
  </si>
  <si>
    <t>HMDB0006351</t>
  </si>
  <si>
    <t>CCCCCC\C=C\CCCCCCCCCC(=O)O[C@@H](CC([O-])=O)C[N+](C)(C)C</t>
  </si>
  <si>
    <t>HOAMADDCQBUDDY-YSESTWPTSA-N</t>
  </si>
  <si>
    <t>8.59_531.0100m/z</t>
  </si>
  <si>
    <t>3-Methylgallic acid 5-sulfate</t>
  </si>
  <si>
    <t>HMDB0240444</t>
  </si>
  <si>
    <t>COC1C=C(C=C(OS(O)(=O)=O)C1O)C(O)=O</t>
  </si>
  <si>
    <t>JIMIRVGENXXZSQ-UHFFFAOYSA-N</t>
  </si>
  <si>
    <t>C8H10O8S</t>
  </si>
  <si>
    <t>4.07_318.2031m/z</t>
  </si>
  <si>
    <t>Ser Val Ile</t>
  </si>
  <si>
    <t>CCC(C)C(C(=O)O)NC(=O)C(C(C)C)NC(=O)C(CO)N</t>
  </si>
  <si>
    <t>MFQMZDPAZRZAPV-NAKRPEOUSA-N</t>
  </si>
  <si>
    <t>C14H27N3O5</t>
  </si>
  <si>
    <t>9.97_279.1603m/z</t>
  </si>
  <si>
    <t>5-Acetoxy-tetradeca-2E,4E,6E-trienoic acid</t>
  </si>
  <si>
    <t>LMFA01050551</t>
  </si>
  <si>
    <t>C(/C=C/C=C(\OC(=O)C)/C=C/CCCCCCC)(=O)O</t>
  </si>
  <si>
    <t>YQFHNRBXJBNOLE-HBCXVKFPSA-N</t>
  </si>
  <si>
    <t>C16H24O4</t>
  </si>
  <si>
    <t>14.03_573.4166m/z</t>
  </si>
  <si>
    <t>ELV-N34</t>
  </si>
  <si>
    <t>LMFA01050554</t>
  </si>
  <si>
    <t>C(CCCCCCCCCCCCCC/C=C\C/C=C\C[C@@H](O)/C=C/C=C/C=C\[C@@H](O)C/C=C\CC)(=O)O</t>
  </si>
  <si>
    <t>RELOZBYGQUUUEG-FMNPVTMVSA-N</t>
  </si>
  <si>
    <t>C34H56O4</t>
  </si>
  <si>
    <t>5.90_414.3017m/z</t>
  </si>
  <si>
    <t>N-Hexadecyl-N,N-dimethyl-3-ammonio-1-propanesulfonate</t>
  </si>
  <si>
    <t>HMDB0245635</t>
  </si>
  <si>
    <t>CCCCCCCCCCCCCCCC[N+](C)(C)CCCS([O-])(=O)=O</t>
  </si>
  <si>
    <t>TUBRCQBRKJXJEA-UHFFFAOYSA-N</t>
  </si>
  <si>
    <t>C21H45NO3S</t>
  </si>
  <si>
    <t>7.51_479.2269m/z</t>
  </si>
  <si>
    <t>N-[(1S)-1-(Ethoxycarbonyl)-3-phenylpropyl]-L-alanyl-L-proline 3-nitrooxypropyl ester</t>
  </si>
  <si>
    <t>HMDB0255492</t>
  </si>
  <si>
    <t>CCOC(=O)C(CCC1=CC=CC=C1)NC(C)C(=O)N1CCCC1C(=O)OCCCO[N+]([O-])=O</t>
  </si>
  <si>
    <t>YGMKQTIZFBBSRD-UHFFFAOYSA-N</t>
  </si>
  <si>
    <t>C23H33N3O8</t>
  </si>
  <si>
    <t>5.69_251.1632m/z</t>
  </si>
  <si>
    <t>Antibiotic JBIR 27</t>
  </si>
  <si>
    <t>CC1C(CCC2=CC(=O)C(CC12CO)C(=C)C)O</t>
  </si>
  <si>
    <t>VXPARNCTMSWSHF-UHFFFAOYSA-N</t>
  </si>
  <si>
    <t>7.02_297.1321m/z</t>
  </si>
  <si>
    <t>3-Methyladenine</t>
  </si>
  <si>
    <t>HMDB0011600</t>
  </si>
  <si>
    <t>C00913</t>
  </si>
  <si>
    <t>5142-23-4</t>
  </si>
  <si>
    <t>CN1C=NC(=N)C2=C1N=CN2</t>
  </si>
  <si>
    <t>ZPBYVFQJHWLTFB-UHFFFAOYSA-N</t>
  </si>
  <si>
    <t>C6H7N5</t>
  </si>
  <si>
    <t>273</t>
  </si>
  <si>
    <t>L-(+)-Tartaric Acid</t>
  </si>
  <si>
    <t>HMDB0000956</t>
  </si>
  <si>
    <t>C00898</t>
  </si>
  <si>
    <t>87-69-4</t>
  </si>
  <si>
    <t>O[C@H]([C@@H](O)C(O)=O)C(O)=O</t>
  </si>
  <si>
    <t>FEWJPZIEWOKRBE-JCYAYHJZSA-N</t>
  </si>
  <si>
    <t>C4H6O6</t>
  </si>
  <si>
    <t>14.15_381.2319m/z</t>
  </si>
  <si>
    <t>Tetrofosmin</t>
  </si>
  <si>
    <t>HMDB0258939</t>
  </si>
  <si>
    <t>CCOCCP(CCOCC)CCP(CCOCC)CCOCC</t>
  </si>
  <si>
    <t>QCWJONLQSHEGEJ-UHFFFAOYSA-N</t>
  </si>
  <si>
    <t>Organophosphorus compounds</t>
  </si>
  <si>
    <t>Organic phosphines and derivatives</t>
  </si>
  <si>
    <t>C18H40O4P2</t>
  </si>
  <si>
    <t>4.51_171.0654m/z</t>
  </si>
  <si>
    <t>trans-3-Octenedioic acid</t>
  </si>
  <si>
    <t>HMDB0013312</t>
  </si>
  <si>
    <t>OC(=O)CCC\C=C\CC(O)=O</t>
  </si>
  <si>
    <t>QWWZNXBOJLOHGI-HNQUOIGGSA-N</t>
  </si>
  <si>
    <t>C8H12O4</t>
  </si>
  <si>
    <t>101</t>
  </si>
  <si>
    <t>Dl-2-Hydroxy Valeric Acid</t>
  </si>
  <si>
    <t>HMDB0001863</t>
  </si>
  <si>
    <t>LMFA01050007</t>
  </si>
  <si>
    <t>617-31-2</t>
  </si>
  <si>
    <t>C(CC)C(O)C(=O)O</t>
  </si>
  <si>
    <t>JRHWHSJDIILJAT-UHFFFAOYSA-N</t>
  </si>
  <si>
    <t>1.17_320.1009m/z</t>
  </si>
  <si>
    <t>(S)-malyl N-acetyl-alpha-D-glucosaminide</t>
  </si>
  <si>
    <t>LMFA13010059</t>
  </si>
  <si>
    <t>O[C@H]1[C@@H]([C@H]([C@@H](O[C@@H](CC(O)=O)C(O)=O)O[C@@H]1CO)NC(C)=O)O</t>
  </si>
  <si>
    <t>COBMRTSHZAUOCY-BVKYVCSXSA-N</t>
  </si>
  <si>
    <t>C12H19NO10</t>
  </si>
  <si>
    <t>0.74_171.0765m/z</t>
  </si>
  <si>
    <t>N-(gamma-Glutamyl)ethanolamine</t>
  </si>
  <si>
    <t>HMDB0039222</t>
  </si>
  <si>
    <t>2650-74-0</t>
  </si>
  <si>
    <t>NC(CCC(=O)NCCO)C(O)=O</t>
  </si>
  <si>
    <t>DGBJQQBLTDLFMF-UHFFFAOYSA-N</t>
  </si>
  <si>
    <t>0.93_352.9432m/z</t>
  </si>
  <si>
    <t>2'-Fluoro-5-iodoarauracil</t>
  </si>
  <si>
    <t>HMDB0245538</t>
  </si>
  <si>
    <t>OCC1OC(C(F)C1O)N1C=C(I)C(=O)NC1=O</t>
  </si>
  <si>
    <t>IPVFGAYTKQKGBM-UHFFFAOYSA-N</t>
  </si>
  <si>
    <t>C9H10FIN2O5</t>
  </si>
  <si>
    <t>6.88_628.3108m/z</t>
  </si>
  <si>
    <t>Taxine B</t>
  </si>
  <si>
    <t>HMDB0258750</t>
  </si>
  <si>
    <t>C19989</t>
  </si>
  <si>
    <t>1361-51-9</t>
  </si>
  <si>
    <t>CN(C)C(CC(=O)OC1CCC2(C)C(C(O)C3(O)CC(=O)C(C)=C(C(OC(C)=O)C2O)C3(C)C)C1=C)C1=CC=CC=C1</t>
  </si>
  <si>
    <t>XMZFIBDTPOUHMW-UHFFFAOYSA-N</t>
  </si>
  <si>
    <t>C33H45NO8</t>
  </si>
  <si>
    <t>9.63_201.1643m/z</t>
  </si>
  <si>
    <t>2,6-Di-tert-butyl-4-methylene-2,5-cyclohexadienone</t>
  </si>
  <si>
    <t>HMDB0245711</t>
  </si>
  <si>
    <t>CC(C)(C)C1=CC(=C)C=C(C1=O)C(C)(C)C</t>
  </si>
  <si>
    <t>JJQCWPWUHZFKBN-UHFFFAOYSA-N</t>
  </si>
  <si>
    <t>6.47_245.1393m/z</t>
  </si>
  <si>
    <t>5R-hydroxy-4R-decanolide</t>
  </si>
  <si>
    <t>LMFA07040022</t>
  </si>
  <si>
    <t>C1CC(=O)O[C@H]1[C@H](O)CCCCCC</t>
  </si>
  <si>
    <t>BCVDPRNPUNARHZ-NXEZZACHSA-N</t>
  </si>
  <si>
    <t>C11H20O3</t>
  </si>
  <si>
    <t>9.07_449.3284m/z</t>
  </si>
  <si>
    <t>3alpha,7alpha,12alpha,22-Tetrahydroxy-5beta-cholestan-26-oic acid</t>
  </si>
  <si>
    <t>LMST04030043</t>
  </si>
  <si>
    <t>C1[C@]2(C)[C@@]3([H])C[C@H](O)[C@]4(C)[C@@]([H])([C@]([H])(C)C(O)CCC(C)C(O)=O)CC[C@@]4([H])[C@]3([H])[C@H](O)C[C@]2([H])C[C@H](O)C1</t>
  </si>
  <si>
    <t>MDFNVHMQCZHMCN-PQUODPOPSA-N</t>
  </si>
  <si>
    <t>C27H46O6</t>
  </si>
  <si>
    <t>5.03_231.1235m/z</t>
  </si>
  <si>
    <t>(1beta,2beta,5beta)-p-Menth-3-ene-1,2,5-triol</t>
  </si>
  <si>
    <t>HMDB0038978</t>
  </si>
  <si>
    <t>359875-80-2</t>
  </si>
  <si>
    <t>CC(C)C1=CC(O)C(C)(O)CC1O</t>
  </si>
  <si>
    <t>SYRVWXFZYGDVTF-UHFFFAOYSA-N</t>
  </si>
  <si>
    <t>9.42_272.2956m/z</t>
  </si>
  <si>
    <t>8Z-Heptadecen-2S-ol</t>
  </si>
  <si>
    <t>LMFA05000528</t>
  </si>
  <si>
    <t>C[C@H](O)CCCCC/C=C\CCCCCCCC</t>
  </si>
  <si>
    <t>MOLUOORQSUBBLU-MQNTZWLQSA-N</t>
  </si>
  <si>
    <t>8.73_581.2410m/z</t>
  </si>
  <si>
    <t>(3Z)-phytochromobilin</t>
  </si>
  <si>
    <t>HMDB0303975</t>
  </si>
  <si>
    <t>CC=C1C(C)C(=O)NC1=CC1=C(C)C(CCC([O-])=O)=C(N1)C=C1N=C(C=C2NC(=O)C(C=C)=C2C)C(C)=C1CCC([O-])=O</t>
  </si>
  <si>
    <t>DKMLMZVDTGOEGU-UHFFFAOYSA-L</t>
  </si>
  <si>
    <t>C33H34N4O6-2</t>
  </si>
  <si>
    <t>1.57_219.0450m/z</t>
  </si>
  <si>
    <t>1-Heptanesulfonic acid</t>
  </si>
  <si>
    <t>HMDB0243886</t>
  </si>
  <si>
    <t>CCCCCCCS(O)(=O)=O</t>
  </si>
  <si>
    <t>AKRQHOWXVSDJEF-UHFFFAOYSA-N</t>
  </si>
  <si>
    <t>C7H16O3S</t>
  </si>
  <si>
    <t>0.73_127.0395m/z</t>
  </si>
  <si>
    <t>furaneol (keto form)</t>
  </si>
  <si>
    <t>HMDB0304357</t>
  </si>
  <si>
    <t>CC1OC(C)=C([O-])C1=O</t>
  </si>
  <si>
    <t>INAXVXBDKKUCGI-UHFFFAOYSA-M</t>
  </si>
  <si>
    <t>C6H7O3-</t>
  </si>
  <si>
    <t>2.06_120.0813m/z</t>
  </si>
  <si>
    <t>2-Hydroxyphenethylamine</t>
  </si>
  <si>
    <t>HMDB0001065</t>
  </si>
  <si>
    <t>C02735</t>
  </si>
  <si>
    <t>7568-93-6</t>
  </si>
  <si>
    <t>NCC(O)C1=CC=CC=C1</t>
  </si>
  <si>
    <t>ULSIYEODSMZIPX-UHFFFAOYSA-N</t>
  </si>
  <si>
    <t>C8H11NO</t>
  </si>
  <si>
    <t>8.09_237.1492m/z</t>
  </si>
  <si>
    <t>Lycocasuarinen acid E</t>
  </si>
  <si>
    <t>LMFA01050597</t>
  </si>
  <si>
    <t>C(/C=C/C=C/[C@@H](O)C/C=C/C/C=C/CC)(=O)O</t>
  </si>
  <si>
    <t>KCCZWBMGSUSPAS-WPZXCLMWSA-N</t>
  </si>
  <si>
    <t>C14H20O3</t>
  </si>
  <si>
    <t>11.93_441.3587m/z</t>
  </si>
  <si>
    <t>3S-hydroxy-4R-methyl-2S-(n-eicosanyl)butanolide</t>
  </si>
  <si>
    <t>LMPK03000097</t>
  </si>
  <si>
    <t>C(CCCCCCCCCCCCCCCCCCC)[C@H]1[C@@H](O)[C@@H](C)OC1=O</t>
  </si>
  <si>
    <t>UHXFUQMDLJEQAJ-SGNDLWITSA-N</t>
  </si>
  <si>
    <t>C25H48O3</t>
  </si>
  <si>
    <t>0.74_243.0983m/z</t>
  </si>
  <si>
    <t>Prolyl-Glutamate</t>
  </si>
  <si>
    <t>HMDB0029016</t>
  </si>
  <si>
    <t>OC(=O)CCC(NC(=O)C1CCCN1)C(O)=O</t>
  </si>
  <si>
    <t>QLROSWPKSBORFJ-UHFFFAOYSA-N</t>
  </si>
  <si>
    <t>C10H16N2O5</t>
  </si>
  <si>
    <t>4.94_330.1146m/z</t>
  </si>
  <si>
    <t>(E)-2-(3-(Naphthalen-2-yl)but-2-enamido)benzoic acid</t>
  </si>
  <si>
    <t>HMDB0249179</t>
  </si>
  <si>
    <t>CC(=CC(=O)NC1=CC=CC=C1C(O)=O)C1=CC2=CC=CC=C2C=C1</t>
  </si>
  <si>
    <t>PGFQXGLPJUCTOI-UHFFFAOYSA-N</t>
  </si>
  <si>
    <t>C21H17NO3</t>
  </si>
  <si>
    <t>8.75_296.1115m/z</t>
  </si>
  <si>
    <t>N'-Hydroxysaxitoxin</t>
  </si>
  <si>
    <t>HMDB0033664</t>
  </si>
  <si>
    <t>153856-77-0</t>
  </si>
  <si>
    <t>ONC(=O)OCC1NC(=N)N2CCC(O)(O)C22NC(=N)NC12</t>
  </si>
  <si>
    <t>AGUPJSLCNZPQMF-UHFFFAOYSA-N</t>
  </si>
  <si>
    <t>8.31_243.1600m/z</t>
  </si>
  <si>
    <t>Brassylic acid</t>
  </si>
  <si>
    <t>HMDB0002327</t>
  </si>
  <si>
    <t>LMFA01170014</t>
  </si>
  <si>
    <t>505-52-2</t>
  </si>
  <si>
    <t>C(CCCCCCCCCCCC(=O)O)(=O)O</t>
  </si>
  <si>
    <t>DXNCZXXFRKPEPY-UHFFFAOYSA-N</t>
  </si>
  <si>
    <t>C13H24O4</t>
  </si>
  <si>
    <t>5.31_217.0477m/z</t>
  </si>
  <si>
    <t>Imidazooxazole</t>
  </si>
  <si>
    <t>HMDB0253423</t>
  </si>
  <si>
    <t>C1OC2=NC=NC2=N1</t>
  </si>
  <si>
    <t>NQFKGOQVVYYPJL-UHFFFAOYSA-N</t>
  </si>
  <si>
    <t>Oxazolines</t>
  </si>
  <si>
    <t>C4H3N3O</t>
  </si>
  <si>
    <t>10.27_476.3746m/z</t>
  </si>
  <si>
    <t>Adrenoylcarnitine</t>
  </si>
  <si>
    <t>HMDB0242169</t>
  </si>
  <si>
    <t>[H]\C(CCCCC)=C(/[H])C\C([H])=C(\[H])C\C([H])=C(\[H])C\C([H])=C(\[H])CCCCCC(=O)C(C(O)C[N+](C)(C)C)C([O-])=O</t>
  </si>
  <si>
    <t>NOOVQASQKNUFLE-SNPVRQPZSA-N</t>
  </si>
  <si>
    <t>C29H49NO4</t>
  </si>
  <si>
    <t>4.24_329.1505m/z</t>
  </si>
  <si>
    <t>Tyrosyl-Phenylalanine</t>
  </si>
  <si>
    <t>HMDB0029112</t>
  </si>
  <si>
    <t>NC(CC1=CC=C(O)C=C1)C(=O)NC(CC1=CC=CC=C1)C(O)=O</t>
  </si>
  <si>
    <t>CGWAPUBOXJWXMS-UHFFFAOYSA-N</t>
  </si>
  <si>
    <t>C18H20N2O4</t>
  </si>
  <si>
    <t>8.49_395.2079m/z</t>
  </si>
  <si>
    <t>Oryzalic acid A</t>
  </si>
  <si>
    <t>HMDB0037593</t>
  </si>
  <si>
    <t>134859-97-5</t>
  </si>
  <si>
    <t>CC(C)(C1CCC23CC(CCC2C1(C)CC(O)=O)C1(C)OC31)C(O)=O</t>
  </si>
  <si>
    <t>QGTMYAPGXJWNQR-UHFFFAOYSA-N</t>
  </si>
  <si>
    <t>6.91_317.1168m/z</t>
  </si>
  <si>
    <t>Emmotin A</t>
  </si>
  <si>
    <t>LMPR0103200001</t>
  </si>
  <si>
    <t>C1=C(COC)C2C(=O)[C@H](O)[C@@H](C(O)(C)C)CC=2C(C)=C1</t>
  </si>
  <si>
    <t>GRTATZFIZSZURL-GXTWGEPZSA-N</t>
  </si>
  <si>
    <t>10.25_425.1946m/z</t>
  </si>
  <si>
    <t>Phenazopyridine</t>
  </si>
  <si>
    <t>C07429</t>
  </si>
  <si>
    <t>C1=CC=C(C=C1)N=NC2=C(N=C(C=C2)N)N</t>
  </si>
  <si>
    <t>QPFYXYFORQJZEC-UHFFFAOYSA-N</t>
  </si>
  <si>
    <t>C11H11N5</t>
  </si>
  <si>
    <t>4.28_372.2016m/z</t>
  </si>
  <si>
    <t>Iclaprim</t>
  </si>
  <si>
    <t>HMDB0253366</t>
  </si>
  <si>
    <t>COC1=C(OC)C2=C(C=CC(O2)C2CC2)C(CC2=CN=C(N)N=C2N)=C1</t>
  </si>
  <si>
    <t>HWJPWWYTGBZDEG-UHFFFAOYSA-N</t>
  </si>
  <si>
    <t>C19H22N4O3</t>
  </si>
  <si>
    <t>10.93_532.3866m/z</t>
  </si>
  <si>
    <t>N,N-bis(4-acetamidobutyl)-15-methylhexadec-6E-enamide</t>
  </si>
  <si>
    <t>LMFA08020234</t>
  </si>
  <si>
    <t>C(C(N(CCCCNC(=O)C)CCCCNC(=O)C)=O)CCC/C=C/CCCCCCCC(C)C</t>
  </si>
  <si>
    <t>JUKQCFLROLXSKB-VQHVLOKHSA-N</t>
  </si>
  <si>
    <t>C29H55N3O3</t>
  </si>
  <si>
    <t>305</t>
  </si>
  <si>
    <t>Uridine Diphosphate Glucuronic Acid</t>
  </si>
  <si>
    <t>HMDB0000935</t>
  </si>
  <si>
    <t>C00167</t>
  </si>
  <si>
    <t>2616-64-0</t>
  </si>
  <si>
    <t>O[C@@H]1[C@@H](COP(O)(=O)OP(O)(=O)O[C@H]2O[C@@H]([C@@H](O)[C@H](O)[C@H]2O)C(O)=O)O[C@H]([C@@H]1O)N1C=CC(=O)NC1=O</t>
  </si>
  <si>
    <t>HDYANYHVCAPMJV-LXQIFKJMSA-N</t>
  </si>
  <si>
    <t>10.14_383.3282m/z</t>
  </si>
  <si>
    <t>N-Palmitoyl Lysine</t>
  </si>
  <si>
    <t>HMDB0241929</t>
  </si>
  <si>
    <t>CCCCCCCCCCCCCCCC(=O)NC(CCCCN)C(O)=O</t>
  </si>
  <si>
    <t>OLDGKSQBWGEFNM-UHFFFAOYSA-N</t>
  </si>
  <si>
    <t>C22H44N2O3</t>
  </si>
  <si>
    <t>14.20_665.4969m/z</t>
  </si>
  <si>
    <t>DG(6 keto-PGF1alpha/0:0/i-16:0)</t>
  </si>
  <si>
    <t>HMDB0299199</t>
  </si>
  <si>
    <t>CCCCC[C@H](O)\C=C\[C@H]1[C@H](O)C[C@H](O)[C@@H]1CC(=O)CCCCC(=O)OC[C@@H](O)COC(=O)CCCCCCCCCCCCC(C)C</t>
  </si>
  <si>
    <t>DRYQEDRTDDGJQO-KWSBGVGDSA-N</t>
  </si>
  <si>
    <t>C39H70O9</t>
  </si>
  <si>
    <t>4.98_215.0920m/z</t>
  </si>
  <si>
    <t>Isoketocamphoric acid</t>
  </si>
  <si>
    <t>HMDB0301824</t>
  </si>
  <si>
    <t>CC(=O)C(C)(C)C(CC(O)=O)CC(O)=O</t>
  </si>
  <si>
    <t>WLXCRBOZJKAXCC-UHFFFAOYSA-N</t>
  </si>
  <si>
    <t>C10H16O5</t>
  </si>
  <si>
    <t>12.42_529.4242m/z</t>
  </si>
  <si>
    <t>2,4,6-Tris(dimethylaminomethyl)phenol</t>
  </si>
  <si>
    <t>HMDB0247627</t>
  </si>
  <si>
    <t>CN(C)CC1=CC(CN(C)C)=C(O)C(CN(C)C)=C1</t>
  </si>
  <si>
    <t>AHDSRXYHVZECER-UHFFFAOYSA-N</t>
  </si>
  <si>
    <t>Phenylmethylamines</t>
  </si>
  <si>
    <t>C15H27N3O</t>
  </si>
  <si>
    <t>4.83_804.3636m/z</t>
  </si>
  <si>
    <t>Biomer</t>
  </si>
  <si>
    <t>HMDB0249225</t>
  </si>
  <si>
    <t>CCCCCOC(=O)CC1=CC=C(CC2=CC=C(NC(=O)OCCCCOC(=O)NC3=CC=C(CC4=CC=C(NC(=O)OCCCCC)C=C4)C=C3)C=C2)C=C1</t>
  </si>
  <si>
    <t>CWEFIMQKSZFZNY-UHFFFAOYSA-N</t>
  </si>
  <si>
    <t>C45H55N3O8</t>
  </si>
  <si>
    <t>13.71_363.1993m/z</t>
  </si>
  <si>
    <t>N-(4-Fluorophenyl)-4,5-dimethyl-6-[(1S)-1-methyl-3,4-dihydro-1H-isoquinolin-2-YL]pyrimidin-2-amine</t>
  </si>
  <si>
    <t>HMDB0244857</t>
  </si>
  <si>
    <t>CC1N(CCC2=CC=CC=C12)C1=NC(NC2=CC=C(F)C=C2)=NC(C)=C1C</t>
  </si>
  <si>
    <t>LECZXZOBEZITCL-UHFFFAOYSA-N</t>
  </si>
  <si>
    <t>C22H23FN4</t>
  </si>
  <si>
    <t>0.91_262.9759m/z</t>
  </si>
  <si>
    <t>Perfluorovaleric acid</t>
  </si>
  <si>
    <t>HMDB0256331</t>
  </si>
  <si>
    <t>OC(=O)C(F)(F)C(F)(F)C(F)(F)C(F)(F)F</t>
  </si>
  <si>
    <t>CXZGQIAOTKWCDB-UHFFFAOYSA-N</t>
  </si>
  <si>
    <t>C5HF9O2</t>
  </si>
  <si>
    <t>7.80_354.9842m/z</t>
  </si>
  <si>
    <t>D-ribulose-1,5-bisphosphate</t>
  </si>
  <si>
    <t>HMDB0304322</t>
  </si>
  <si>
    <t>C01182</t>
  </si>
  <si>
    <t>hsa00030,hsa00630</t>
  </si>
  <si>
    <t>Pentose phosphate pathway|Glyoxylate and dicarboxylate metabolism</t>
  </si>
  <si>
    <t>2002-28-0</t>
  </si>
  <si>
    <t>O[C@H](COP(O)(O)=O)[C@@H](O)C(=O)COP(O)(O)=O</t>
  </si>
  <si>
    <t>YAHZABJORDUQGO-NQXXGFSBSA-N</t>
  </si>
  <si>
    <t>C5H12O11P2</t>
  </si>
  <si>
    <t>7.66_262.1448m/z</t>
  </si>
  <si>
    <t>Ethoxyquin</t>
  </si>
  <si>
    <t>HMDB0039531</t>
  </si>
  <si>
    <t>C07475</t>
  </si>
  <si>
    <t>91-53-2</t>
  </si>
  <si>
    <t>CCOC1=CC2=C(NC(C)(C)C=C2C)C=C1</t>
  </si>
  <si>
    <t>DECIPOUIJURFOJ-UHFFFAOYSA-N</t>
  </si>
  <si>
    <t>C14H19NO</t>
  </si>
  <si>
    <t>10.65_435.2950m/z</t>
  </si>
  <si>
    <t>Polysorbate 60</t>
  </si>
  <si>
    <t>HMDB0037183</t>
  </si>
  <si>
    <t>9005-67-8</t>
  </si>
  <si>
    <t>CCCCCCCCCCCC(=O)OC[C@@H](O)[C@H]1OC[C@H](OCCO)[C@H]1OCCO</t>
  </si>
  <si>
    <t>CRBBOOXGHMTWOC-NPDDRXJXSA-N</t>
  </si>
  <si>
    <t>C22H42O8</t>
  </si>
  <si>
    <t>7.96_183.1382m/z</t>
  </si>
  <si>
    <t>3S-hydroxy-undecanoic acid</t>
  </si>
  <si>
    <t>LMFA01050327</t>
  </si>
  <si>
    <t>C(C[C@@H](O)CCCCCCCC)(=O)O</t>
  </si>
  <si>
    <t>FARPMBPKLYEDIL-JTQLQIEISA-N</t>
  </si>
  <si>
    <t>C11H22O3</t>
  </si>
  <si>
    <t>4.87_375.0572m/z</t>
  </si>
  <si>
    <t>Iodopindolol</t>
  </si>
  <si>
    <t>HMDB0253531</t>
  </si>
  <si>
    <t>CC(C)NCC(O)COC1=CC=CC2=C1C(I)=CN2</t>
  </si>
  <si>
    <t>LOMQONAZKMLAOB-UHFFFAOYSA-N</t>
  </si>
  <si>
    <t>C14H19IN2O2</t>
  </si>
  <si>
    <t>332</t>
  </si>
  <si>
    <t>Udp-N-Acetylglucosamine</t>
  </si>
  <si>
    <t>HMDB0000290</t>
  </si>
  <si>
    <t>LMSL01010002</t>
  </si>
  <si>
    <t>C00043</t>
  </si>
  <si>
    <t>hsa00520,hsa00524,hsa04931,hsa05415</t>
  </si>
  <si>
    <t>Amino sugar and nucleotide sugar metabolism|Neomycin, kanamycin and gentamicin biosynthesis|Insulin resistance|Diabetic cardiomyopathy</t>
  </si>
  <si>
    <t>528-04-1</t>
  </si>
  <si>
    <t>O(P(O)(=O)OC[C@@H]1[C@@H](O)[C@@H](O)[C@H](N2C(=O)NC(=O)C=C2)O1)P(O[C@H]1O[C@@H]([C@H]([C@@H]([C@H]1NC(C)=O)O)O)CO)(=O)O</t>
  </si>
  <si>
    <t>LFTYTUAZOPRMMI-CFRASDGPSA-N</t>
  </si>
  <si>
    <t>C17H27N3O17P2</t>
  </si>
  <si>
    <t>0.72_146.1179m/z</t>
  </si>
  <si>
    <t>4-Trimethylammoniobutanoic acid</t>
  </si>
  <si>
    <t>HMDB0001161</t>
  </si>
  <si>
    <t>C01181</t>
  </si>
  <si>
    <t>R-HSA-1430728,R-HSA-71262,R-HSA-71291</t>
  </si>
  <si>
    <t>Metabolism|Carnitine synthesis|Metabolism of amino acids and derivatives</t>
  </si>
  <si>
    <t>407-64-7</t>
  </si>
  <si>
    <t>C[N+](C)(C)CCCC([O-])=O</t>
  </si>
  <si>
    <t>JHPNVNIEXXLNTR-UHFFFAOYSA-N</t>
  </si>
  <si>
    <t>C7H15NO2</t>
  </si>
  <si>
    <t>5.22_439.1612m/z</t>
  </si>
  <si>
    <t>Gibberellin A39</t>
  </si>
  <si>
    <t>HMDB0035045</t>
  </si>
  <si>
    <t>57672-81-8</t>
  </si>
  <si>
    <t>[H][C@@]12C[C@H](O)[C@@H]3C[C@]1(CC3=C)[C@@H](C(O)=O)[C@@]1([H])[C@]2(CC[C@H](O)[C@@]1(C)C(O)=O)C(O)=O</t>
  </si>
  <si>
    <t>LKLDZCIWUDJQCF-OZPHONOWSA-N</t>
  </si>
  <si>
    <t>C20H26O8</t>
  </si>
  <si>
    <t>7.88_626.3059m/z</t>
  </si>
  <si>
    <t>LTC4</t>
  </si>
  <si>
    <t>HMDB0001198</t>
  </si>
  <si>
    <t>LMFA03020003</t>
  </si>
  <si>
    <t>C02166</t>
  </si>
  <si>
    <t>hsa00590,hsa04080,hsa04664,hsa05310</t>
  </si>
  <si>
    <t>Arachidonic acid metabolism|Neuroactive ligand-receptor interaction|Fc epsilon RI signaling pathway|Asthma</t>
  </si>
  <si>
    <t>R-HSA-1430728,R-HSA-162582,R-HSA-1643685,R-HSA-2142691,R-HSA-2142753,R-HSA-372790,R-HSA-373076,R-HSA-388396,R-HSA-391903,R-HSA-391906,R-HSA-416476,R-HSA-418594,R-HSA-500792,R-HSA-556833,R-HSA-5663205,R-HSA-8978868,R-HSA-9658195,R-HSA-9662851,R-HSA-9664433,R-HSA-9664535,R-HSA-9824443</t>
  </si>
  <si>
    <t>Metabolism|Signal Transduction|Disease|Synthesis of Leukotrienes (LT) and Eoxins (EX)|Arachidonic acid metabolism|Signaling by GPCR|Class A/1 (Rhodopsin-like receptors)|GPCR downstream signalling|Eicosanoid ligand-binding receptors|Leukotriene receptors|G alpha (q) signalling events|G alpha (i) signalling events|GPCR ligand binding|Metabolism of lipids|Infectious disease|Fatty acid metabolism|Leishmania infection|Anti-inflammatory response favouring Leishmania parasite infection|Leishmania parasite growth and survival|LTC4-CYSLTR mediated IL4 production|Parasitic Infection Pathways</t>
  </si>
  <si>
    <t>72025-60-6</t>
  </si>
  <si>
    <t>C(=O)(NCC(O)=O)[C@@H](NC(=O)CC[C@H](N)C(=O)O)CS[C@@H]([C@@H](O)CCCC(O)=O)/C=C/C=C/C=C\C/C=C\CCCCC</t>
  </si>
  <si>
    <t>GWNVDXQDILPJIG-NXOLIXFESA-N</t>
  </si>
  <si>
    <t>C30H47N3O9S</t>
  </si>
  <si>
    <t>456</t>
  </si>
  <si>
    <t>Pseudouridine</t>
  </si>
  <si>
    <t>HMDB0000767</t>
  </si>
  <si>
    <t>C02067</t>
  </si>
  <si>
    <t>R-HSA-1430728,R-HSA-15869,R-HSA-73614,R-HSA-8956321</t>
  </si>
  <si>
    <t>Metabolism|Metabolism of nucleotides|Pyrimidine salvage|Nucleotide salvage</t>
  </si>
  <si>
    <t>1445-07-4</t>
  </si>
  <si>
    <t>OC[C@H]1O[C@H]([C@H](O)[C@@H]1O)C1=CNC(=O)NC1=O</t>
  </si>
  <si>
    <t>PTJWIQPHWPFNBW-GBNDHIKLSA-N</t>
  </si>
  <si>
    <t>7.32_431.2839m/z</t>
  </si>
  <si>
    <t>Aglepristone</t>
  </si>
  <si>
    <t>HMDB0248061</t>
  </si>
  <si>
    <t>CC=CC1(O)CCC2C3CCC4=CC(=O)CCC4=C3C(CC12C)C1=CC=C(C=C1)N(C)C</t>
  </si>
  <si>
    <t>RTCKAOKDXNYXEH-UHFFFAOYSA-N</t>
  </si>
  <si>
    <t>C29H37NO2</t>
  </si>
  <si>
    <t>10.18_342.2651m/z</t>
  </si>
  <si>
    <t>3-ketosphingosine</t>
  </si>
  <si>
    <t>LMSP01010002</t>
  </si>
  <si>
    <t>C06121</t>
  </si>
  <si>
    <t>[C@](CO)([H])(N)C(=O)/C=C/CCCCCCCCCCCCC</t>
  </si>
  <si>
    <t>VWTPJNGTEYZXFV-ZWKQNVPVSA-N</t>
  </si>
  <si>
    <t>13.10_207.1247m/z</t>
  </si>
  <si>
    <t>N-Nitrosoanatabine</t>
  </si>
  <si>
    <t>HMDB0255199</t>
  </si>
  <si>
    <t>O=NN1CC=CCC1C1=CN=CC=C1</t>
  </si>
  <si>
    <t>ZJOFAFWTOKDIFH-UHFFFAOYSA-N</t>
  </si>
  <si>
    <t>C10H11N3O</t>
  </si>
  <si>
    <t>91</t>
  </si>
  <si>
    <t>2-Methylalanine</t>
  </si>
  <si>
    <t>HMDB0001906</t>
  </si>
  <si>
    <t>LMFA01100053</t>
  </si>
  <si>
    <t>C03665</t>
  </si>
  <si>
    <t>62-57-7</t>
  </si>
  <si>
    <t>C(=O)(O)C(N)(C)C</t>
  </si>
  <si>
    <t>FUOOLUPWFVMBKG-UHFFFAOYSA-N</t>
  </si>
  <si>
    <t>4.65_417.1701m/z</t>
  </si>
  <si>
    <t>16-DHPS</t>
  </si>
  <si>
    <t>HMDB0244722</t>
  </si>
  <si>
    <t>CC(=O)C1=CCC2C3CC=C4CC(CCC4(C)C3CCC12C)OS(O)(=O)=O</t>
  </si>
  <si>
    <t>VKIDWBKYXUWBJK-UHFFFAOYSA-N</t>
  </si>
  <si>
    <t>C21H30O5S</t>
  </si>
  <si>
    <t>10.10_444.3334m/z</t>
  </si>
  <si>
    <t>4-Methylpentadecanoylcarnitine</t>
  </si>
  <si>
    <t>HMDB0240852</t>
  </si>
  <si>
    <t>CCCCCCCCCCCC(C)CCC(=O)OC(CC([O-])=O)C[N+](C)(C)C</t>
  </si>
  <si>
    <t>NWAGBCRERWFMIX-UHFFFAOYSA-N</t>
  </si>
  <si>
    <t>378</t>
  </si>
  <si>
    <t>Aldehydo-L-Iduronate</t>
  </si>
  <si>
    <t>HMDB0062783</t>
  </si>
  <si>
    <t>OC(C=O)C(O)C(O)C(O)C(O)=O</t>
  </si>
  <si>
    <t>IAJILQKETJEXLJ-UHFFFAOYSA-N</t>
  </si>
  <si>
    <t>7.28_367.1375m/z</t>
  </si>
  <si>
    <t>Dihydroconiferin</t>
  </si>
  <si>
    <t>HMDB0041509</t>
  </si>
  <si>
    <t>17609-06-2</t>
  </si>
  <si>
    <t>COC1=C(OC2OC(CO)C(O)C(O)C2O)C=CC(CCCO)=C1</t>
  </si>
  <si>
    <t>QFYFLJZBZITPGX-UHFFFAOYSA-N</t>
  </si>
  <si>
    <t>C16H24O8</t>
  </si>
  <si>
    <t>5.20_250.0963n</t>
  </si>
  <si>
    <t>N-Acetylkynurenine</t>
  </si>
  <si>
    <t>HMDB0240342</t>
  </si>
  <si>
    <t>3428-08-8</t>
  </si>
  <si>
    <t>CC(=O)N[C@@H](CC(=O)C1=C(N)C=CC=C1)C(O)=O</t>
  </si>
  <si>
    <t>PPIMFXHQDQRWGJ-JTQLQIEISA-N</t>
  </si>
  <si>
    <t>C12H14N2O4</t>
  </si>
  <si>
    <t>4.03_1018.4925m/z</t>
  </si>
  <si>
    <t>PGP(LTE4/20:2(11Z,14Z))</t>
  </si>
  <si>
    <t>HMDB0273366</t>
  </si>
  <si>
    <t>CCCCC\C=C/C\C=C/CCCCCCCCCC(=O)O[C@H](COC(=O)[C@@H](N)CS[C@H](\C=C\C=C\C=C/C\C=C/CCCCC)[C@@H](O)CCCC(O)=O)COP(O)(=O)OC[C@@H](O)COP(O)(O)=O</t>
  </si>
  <si>
    <t>NUTVWHLHLGSWRI-HGXOFTLBSA-N</t>
  </si>
  <si>
    <t>C49H85NO16P2S</t>
  </si>
  <si>
    <t>14.67_511.0018m/z</t>
  </si>
  <si>
    <t>4-Methylumbelliferone sulfate</t>
  </si>
  <si>
    <t>HMDB0240465</t>
  </si>
  <si>
    <t>C11585</t>
  </si>
  <si>
    <t>25892-63-1</t>
  </si>
  <si>
    <t>CC1=CC(=O)OC2=C1C=CC(OS(O)(=O)=O)=C2</t>
  </si>
  <si>
    <t>FUYLLJCBCKRIAL-UHFFFAOYSA-N</t>
  </si>
  <si>
    <t>C10H8O6S</t>
  </si>
  <si>
    <t>1.27_244.0541m/z</t>
  </si>
  <si>
    <t>5-[(Diaminomethylidene)amino]-2-(sulfanylmethyl)pentanethioic S-acid</t>
  </si>
  <si>
    <t>HMDB0247532</t>
  </si>
  <si>
    <t>NC(N)=NCCCC(CS)C(S)=O</t>
  </si>
  <si>
    <t>HNPQJYRZYQRLFN-UHFFFAOYSA-N</t>
  </si>
  <si>
    <t>C7H15N3OS2</t>
  </si>
  <si>
    <t>11.03_323.2585m/z</t>
  </si>
  <si>
    <t>1,2-Ethanediol monoricinoleate</t>
  </si>
  <si>
    <t>HMDB0252073</t>
  </si>
  <si>
    <t>CCCCCCC(O)CC=CCCCCCCCC(=O)OCCO</t>
  </si>
  <si>
    <t>XLMXUUQMSMKFMH-UHFFFAOYSA-N</t>
  </si>
  <si>
    <t>C20H38O4</t>
  </si>
  <si>
    <t>0.85_260.9937m/z</t>
  </si>
  <si>
    <t>(2E)-4-hydroxy-3-methylbut-2-en-1-yl trihydrogen diphosphate</t>
  </si>
  <si>
    <t>LMPR01010009</t>
  </si>
  <si>
    <t>C11811</t>
  </si>
  <si>
    <t>C(O)/C(/C)=C/COP(OP(O)(O)=O)(O)=O</t>
  </si>
  <si>
    <t>MDSIZRKJVDMQOQ-GORDUTHDSA-N</t>
  </si>
  <si>
    <t>C5H12O8P2</t>
  </si>
  <si>
    <t>10.60_323.2226m/z</t>
  </si>
  <si>
    <t>1-Acetoxy-2-hydroxy-16-heptadecyn-4-one</t>
  </si>
  <si>
    <t>HMDB0031007</t>
  </si>
  <si>
    <t>LMFA05000595</t>
  </si>
  <si>
    <t>24607-10-1</t>
  </si>
  <si>
    <t>C#CCCCCCCCCCCCC(=O)CC(O)COC(C)=O</t>
  </si>
  <si>
    <t>HZHSVQVECJXVRP-UHFFFAOYSA-N</t>
  </si>
  <si>
    <t>4.25_180.0658m/z</t>
  </si>
  <si>
    <t>2-Phenylacetamide</t>
  </si>
  <si>
    <t>HMDB0010715</t>
  </si>
  <si>
    <t>C02505</t>
  </si>
  <si>
    <t>103-81-1</t>
  </si>
  <si>
    <t>NC(=O)CC1=CC=CC=C1</t>
  </si>
  <si>
    <t>LSBDFXRDZJMBSC-UHFFFAOYSA-N</t>
  </si>
  <si>
    <t>Phenylacetamides</t>
  </si>
  <si>
    <t>C8H9NO</t>
  </si>
  <si>
    <t>4.24_218.1393m/z</t>
  </si>
  <si>
    <t>alpha-Carboxy-delta-nonalactone</t>
  </si>
  <si>
    <t>HMDB0030990</t>
  </si>
  <si>
    <t>CCCCC1CCC(C(O)=O)C(=O)O1</t>
  </si>
  <si>
    <t>AVHURGYCHVYRHG-UHFFFAOYSA-N</t>
  </si>
  <si>
    <t>5.70_419.1042m/z</t>
  </si>
  <si>
    <t>Succinylaminoimidazole carboxamide riboside</t>
  </si>
  <si>
    <t>HMDB0240295</t>
  </si>
  <si>
    <t>17388-80-6</t>
  </si>
  <si>
    <t>NC1=C(N=CN1[C@@H]1O[C@H](CO)[C@@H](O)[C@H]1O)C(=O)N[C@@H](CC(O)=O)C(O)=O</t>
  </si>
  <si>
    <t>XNKLTOHYNRQCLJ-ZZZDFHIKSA-N</t>
  </si>
  <si>
    <t>C13H18N4O9</t>
  </si>
  <si>
    <t>4.18_201.0763m/z</t>
  </si>
  <si>
    <t>8-hydroxy-5,6-Octadienoic acid</t>
  </si>
  <si>
    <t>HMDB0031101</t>
  </si>
  <si>
    <t>LMFA01031076</t>
  </si>
  <si>
    <t>C(CCCC=C=CCO)(=O)O</t>
  </si>
  <si>
    <t>LNDWPMYWLUFZEI-UHFFFAOYSA-N</t>
  </si>
  <si>
    <t>C8H12O3</t>
  </si>
  <si>
    <t>7.98_242.1516n</t>
  </si>
  <si>
    <t>(3S,5R,6R,7E)-3,5,6-Trihydroxy-7-megastigmen-9-one</t>
  </si>
  <si>
    <t>HMDB0038736</t>
  </si>
  <si>
    <t>CC(=O)\C=C\C1(O)C(C)(C)CC(O)CC1(C)O</t>
  </si>
  <si>
    <t>QASOACWKTAXFSE-AATRIKPKSA-N</t>
  </si>
  <si>
    <t>C13H22O4</t>
  </si>
  <si>
    <t>7.86_333.0483m/z</t>
  </si>
  <si>
    <t>Beta-Nicotinamide mononucleotide</t>
  </si>
  <si>
    <t>HMDB0000229</t>
  </si>
  <si>
    <t>C00455</t>
  </si>
  <si>
    <t>1094-61-7</t>
  </si>
  <si>
    <t>C1=CC(=C[N+](=C1)C2C(C(C(O2)COP(=O)(O)[O-])O)O)C(=O)N</t>
  </si>
  <si>
    <t>DAYLJWODMCOQEW-TURQNECASA-N</t>
  </si>
  <si>
    <t>Pyridine nucleotides</t>
  </si>
  <si>
    <t>Nicotinamide nucleotides</t>
  </si>
  <si>
    <t>C11H15N2O8P</t>
  </si>
  <si>
    <t>8.54_413.2315m/z</t>
  </si>
  <si>
    <t>o-Desmethyl ranolazine</t>
  </si>
  <si>
    <t>HMDB0244785</t>
  </si>
  <si>
    <t>CC1=CC=CC(C)=C1NC(=O)CN1CCN(CC(O)COC2=CC=CC=C2O)CC1</t>
  </si>
  <si>
    <t>JQTKNELUBGGUKI-UHFFFAOYSA-N</t>
  </si>
  <si>
    <t>C23H31N3O4</t>
  </si>
  <si>
    <t>4.48_173.1289m/z</t>
  </si>
  <si>
    <t>Arecoline</t>
  </si>
  <si>
    <t>HMDB0030353</t>
  </si>
  <si>
    <t>C10129</t>
  </si>
  <si>
    <t>63-75-2</t>
  </si>
  <si>
    <t>COC(=O)C1=CCCN(C)C1</t>
  </si>
  <si>
    <t>HJJPJSXJAXAIPN-UHFFFAOYSA-N</t>
  </si>
  <si>
    <t>C8H13NO2</t>
  </si>
  <si>
    <t>4.63_266.1872m/z</t>
  </si>
  <si>
    <t>Pindolol</t>
  </si>
  <si>
    <t>HMDB0015095</t>
  </si>
  <si>
    <t>C07445</t>
  </si>
  <si>
    <t>R-HSA-162582,R-HSA-372790,R-HSA-373076,R-HSA-375280,R-HSA-390666,R-HSA-390696,R-HSA-500792</t>
  </si>
  <si>
    <t>Signal Transduction|Signaling by GPCR|Class A/1 (Rhodopsin-like receptors)|Amine ligand-binding receptors|Serotonin receptors|Adrenoceptors|GPCR ligand binding</t>
  </si>
  <si>
    <t>13523-86-9</t>
  </si>
  <si>
    <t>CC(C)NCC(O)COC1=CC=CC2=C1C=CN2</t>
  </si>
  <si>
    <t>JZQKKSLKJUAGIC-UHFFFAOYSA-N</t>
  </si>
  <si>
    <t>11.03_128.0477n</t>
  </si>
  <si>
    <t>(±)-Furaneol</t>
  </si>
  <si>
    <t>HMDB0040594</t>
  </si>
  <si>
    <t>CC1OC(C)=C(O)C1=O</t>
  </si>
  <si>
    <t>INAXVXBDKKUCGI-UHFFFAOYSA-N</t>
  </si>
  <si>
    <t>C6H8O3</t>
  </si>
  <si>
    <t>3.77_328.0970m/z</t>
  </si>
  <si>
    <t>Robenacoxib</t>
  </si>
  <si>
    <t>HMDB0257284</t>
  </si>
  <si>
    <t>CCC1=CC(CC(O)=O)=C(NC2=C(F)C(F)=CC(F)=C2F)C=C1</t>
  </si>
  <si>
    <t>ZEXGDYFACFXQPF-UHFFFAOYSA-N</t>
  </si>
  <si>
    <t>C16H13F4NO2</t>
  </si>
  <si>
    <t>4.53_289.1922m/z</t>
  </si>
  <si>
    <t>ROXATIDINE</t>
  </si>
  <si>
    <t>HMDB0257317</t>
  </si>
  <si>
    <t>OCC(O)=NCCCOC1=CC=CC(CN2CCCCC2)=C1</t>
  </si>
  <si>
    <t>BCCREUFCSIMJFS-UHFFFAOYSA-N</t>
  </si>
  <si>
    <t>Benzylpiperidines</t>
  </si>
  <si>
    <t>4.47_230.1395m/z</t>
  </si>
  <si>
    <t>N-(2-Hydroxy-3-methylbutanoyl)leucine</t>
  </si>
  <si>
    <t>CC(C)CC(C(=O)O)NC(=O)C(C(C)C)O</t>
  </si>
  <si>
    <t>SWEPQJJUAVEABL-IENPIDJESA-N</t>
  </si>
  <si>
    <t>4.38_482.1724m/z</t>
  </si>
  <si>
    <t>Val Tyr Tyr</t>
  </si>
  <si>
    <t>CC(C)C(C(=O)NC(CC1=CC=C(C=C1)O)C(=O)NC(CC2=CC=C(C=C2)O)C(=O)O)N</t>
  </si>
  <si>
    <t>OWFGFHQMSBTKLX-UFYCRDLUSA-N</t>
  </si>
  <si>
    <t>C23H29N3O6</t>
  </si>
  <si>
    <t>4.24_262.1658m/z</t>
  </si>
  <si>
    <t>(2S,3R)-3-Hydroxy-2-methylbutanoylcarnitine</t>
  </si>
  <si>
    <t>HMDB0241646</t>
  </si>
  <si>
    <t>CC(O)C(C)C(=O)OC(CC([O-])=O)C[N+](C)(C)C</t>
  </si>
  <si>
    <t>BFUHRGXPEKKLCB-UHFFFAOYSA-N</t>
  </si>
  <si>
    <t>C12H23NO5</t>
  </si>
  <si>
    <t>7.80_461.2160m/z</t>
  </si>
  <si>
    <t>QUINAMIDE ISOPROPYLIDENE</t>
  </si>
  <si>
    <t>CC1(OC2CC(CC(C2O1)O)(C(=O)N)O)C</t>
  </si>
  <si>
    <t>OFKNGVGNKBZNOR-QGOVLLJGSA-N</t>
  </si>
  <si>
    <t>C10H17NO5</t>
  </si>
  <si>
    <t>6.08_278.1165n</t>
  </si>
  <si>
    <t>Isohelenol</t>
  </si>
  <si>
    <t>C09485</t>
  </si>
  <si>
    <t>71013-32-6</t>
  </si>
  <si>
    <t>CC1CC2C(=C(C(=O)O2)CO)C(C3(C1C=CC3=O)C)O</t>
  </si>
  <si>
    <t>HNDYFBSTNFZJEB-JMLQNSIWSA-N</t>
  </si>
  <si>
    <t>C15H18O5</t>
  </si>
  <si>
    <t>15.17_410.9890m/z</t>
  </si>
  <si>
    <t>Dinitrophenyl thioether</t>
  </si>
  <si>
    <t>HMDB0251420</t>
  </si>
  <si>
    <t>[O-][N+](=O)C1=C(C(SC2=CC=CC(=C2[N+]([O-])=O)[N+]([O-])=O)=CC=C1)[N+]([O-])=O</t>
  </si>
  <si>
    <t>WYIXHEJIUZZJLJ-UHFFFAOYSA-N</t>
  </si>
  <si>
    <t>C12H6N4O8S</t>
  </si>
  <si>
    <t>1.07_228.1120n</t>
  </si>
  <si>
    <t>Prolylhydroxyproline</t>
  </si>
  <si>
    <t>HMDB0006695</t>
  </si>
  <si>
    <t>18684-24-7</t>
  </si>
  <si>
    <t>O[C@@H]1C[C@H](N(C1)C(=O)[C@@H]1CCCN1)C(O)=O</t>
  </si>
  <si>
    <t>ONPXCLZMBSJLSP-CSMHCCOUSA-N</t>
  </si>
  <si>
    <t>4.07_264.1483n</t>
  </si>
  <si>
    <t>Valylphenylalanine</t>
  </si>
  <si>
    <t>HMDB0029134</t>
  </si>
  <si>
    <t>3918-92-1</t>
  </si>
  <si>
    <t>CC(C)[C@H](N)C(=O)N[C@@H](CC1=CC=CC=C1)C(O)=O</t>
  </si>
  <si>
    <t>GJNDXQBALKCYSZ-RYUDHWBXSA-N</t>
  </si>
  <si>
    <t>14.71_391.2613m/z</t>
  </si>
  <si>
    <t>Palmitoyl 3-carbacyclic Phosphatidic Acid</t>
  </si>
  <si>
    <t>476310-22-2</t>
  </si>
  <si>
    <t>CCCCCCCCCCCCCCCC(=O)OCC1CCP(=O)(O1)O</t>
  </si>
  <si>
    <t>LJNWYINJKCNEPA-UHFFFAOYSA-N</t>
  </si>
  <si>
    <t>C20H39O5P</t>
  </si>
  <si>
    <t>3.96_186.0553m/z</t>
  </si>
  <si>
    <t>3-amino-2-naphthoic acid</t>
  </si>
  <si>
    <t>5959-52-4</t>
  </si>
  <si>
    <t>C1=CC=C2C=C(C(=CC2=C1)C(=O)O)N</t>
  </si>
  <si>
    <t>XFXOLBNQYFRSLQ-UHFFFAOYSA-N</t>
  </si>
  <si>
    <t>C11H9NO2</t>
  </si>
  <si>
    <t>308</t>
  </si>
  <si>
    <t>Diglycerol</t>
  </si>
  <si>
    <t>C(C(COCC(CO)O)O)O</t>
  </si>
  <si>
    <t>GPLRAVKSCUXZTP-UHFFFAOYSA-N</t>
  </si>
  <si>
    <t>C6H14O5</t>
  </si>
  <si>
    <t>252</t>
  </si>
  <si>
    <t>2-Hydroxyglutaric Acid</t>
  </si>
  <si>
    <t>HMDB0059655</t>
  </si>
  <si>
    <t>LMFA01050483</t>
  </si>
  <si>
    <t>C02630</t>
  </si>
  <si>
    <t>hsa00650</t>
  </si>
  <si>
    <t>Butanoate metabolism</t>
  </si>
  <si>
    <t>2889-31-8</t>
  </si>
  <si>
    <t>OC(C(=O)O)CCC(=O)O</t>
  </si>
  <si>
    <t>HWXBTNAVRSUOJR-UHFFFAOYSA-N</t>
  </si>
  <si>
    <t>Short-chain hydroxy acids and derivatives</t>
  </si>
  <si>
    <t>C5H8O5</t>
  </si>
  <si>
    <t>10.93_327.2326m/z</t>
  </si>
  <si>
    <t>21-HDHA</t>
  </si>
  <si>
    <t>LMFA04000060</t>
  </si>
  <si>
    <t>C(CC/C=C\C/C=C\C/C=C\C/C=C\C/C=C\C/C=C\C(O)C)(=O)O</t>
  </si>
  <si>
    <t>IXAMNXQQWDOFMN-NZONWQNASA-N</t>
  </si>
  <si>
    <t>9.44_381.2284m/z</t>
  </si>
  <si>
    <t>8-iso-PGA1</t>
  </si>
  <si>
    <t>HMDB0002236</t>
  </si>
  <si>
    <t>LMFA03110008</t>
  </si>
  <si>
    <t>211186-29-7</t>
  </si>
  <si>
    <t>C(CCCCCC[C@H]1[C@@H](/C=C/[C@@H](O)CCCCC)C=CC1=O)(=O)O</t>
  </si>
  <si>
    <t>BGKHCLZFGPIKKU-DRSVPBQLSA-N</t>
  </si>
  <si>
    <t>8.45_185.0812m/z</t>
  </si>
  <si>
    <t>5-(2-Methylpropyl)tetrahydro-2-oxo-3-furancarboxylic acid</t>
  </si>
  <si>
    <t>HMDB0030988</t>
  </si>
  <si>
    <t>CC(C)CC1CC(C(O)=O)C(=O)O1</t>
  </si>
  <si>
    <t>ODKYFEYTVOPOOV-UHFFFAOYSA-N</t>
  </si>
  <si>
    <t>4.98_229.0456m/z</t>
  </si>
  <si>
    <t>Flonicamid</t>
  </si>
  <si>
    <t>C18463</t>
  </si>
  <si>
    <t>158062-67-0</t>
  </si>
  <si>
    <t>C1=CN=CC(=C1C(F)(F)F)C(=O)NCC#N</t>
  </si>
  <si>
    <t>RLQJEEJISHYWON-UHFFFAOYSA-N</t>
  </si>
  <si>
    <t>C9H6F3N3O</t>
  </si>
  <si>
    <t>6.12_260.9991m/z</t>
  </si>
  <si>
    <t>Endothion</t>
  </si>
  <si>
    <t>HMDB0251802</t>
  </si>
  <si>
    <t>C18982</t>
  </si>
  <si>
    <t>2778-04-3</t>
  </si>
  <si>
    <t>COC1=COC(CSP(=O)(OC)OC)=CC1=O</t>
  </si>
  <si>
    <t>YCAGGFXSFQFVQL-UHFFFAOYSA-N</t>
  </si>
  <si>
    <t>C9H13O6PS</t>
  </si>
  <si>
    <t>12.70_888.5703m/z</t>
  </si>
  <si>
    <t>PS(22:1(13Z)/20:4(8Z,11Z,14Z,17Z))</t>
  </si>
  <si>
    <t>HMDB0116776</t>
  </si>
  <si>
    <t>[H][C@](N)(COP(O)(=O)OC[C@@]([H])(COC(=O)CCCCCCCCCCC\C=C/CCCCCCCC)OC(=O)CCCCCC\C=C/C\C=C/C\C=C/C\C=C/CC)C(O)=O</t>
  </si>
  <si>
    <t>CDXKZHKMDMRDAL-STRFCPJBSA-N</t>
  </si>
  <si>
    <t>C48H84NO10P</t>
  </si>
  <si>
    <t>6.94_265.1444m/z</t>
  </si>
  <si>
    <t>Arlatin</t>
  </si>
  <si>
    <t>HMDB0035740</t>
  </si>
  <si>
    <t>93552-69-3</t>
  </si>
  <si>
    <t>CC1C2CCC(C)(O)C3(O)CC=C(C)C3C2OC1=O</t>
  </si>
  <si>
    <t>VBQMPXNFLQSHMH-UHFFFAOYSA-N</t>
  </si>
  <si>
    <t>10.37_816.2932m/z</t>
  </si>
  <si>
    <t>Phyllanthusol B</t>
  </si>
  <si>
    <t>HMDB0035904</t>
  </si>
  <si>
    <t>294864-89-4</t>
  </si>
  <si>
    <t>CC1COC2(CC1OC(=O)C1=CC=CC=C1)OC1CC(CC(O)C1(O)C2O)C(=O)OC1CC(O)C(O)C(O)C1OC1OC(CO)C(O)C(O)C1NC(C)=O</t>
  </si>
  <si>
    <t>OFMUQXHBRUAVAD-UHFFFAOYSA-N</t>
  </si>
  <si>
    <t>C35H49NO18</t>
  </si>
  <si>
    <t>11.94_223.1699m/z</t>
  </si>
  <si>
    <t>(1S,2S)-3-oxo-2-pentyl-cyclopentanebutanoic acid</t>
  </si>
  <si>
    <t>LMFA02010016</t>
  </si>
  <si>
    <t>OC(=O)CCC[C@@H]1[C@H](CCCCC)C(=O)CC1</t>
  </si>
  <si>
    <t>MQWNXLZVXAQZES-RYUDHWBXSA-N</t>
  </si>
  <si>
    <t>3.62_470.0845m/z</t>
  </si>
  <si>
    <t>(beta-1-O-[N-(2-hydroxymethyl-3-chlorophenyl)anthraniloyl]-D-glucupyranuronic acid)</t>
  </si>
  <si>
    <t>HMDB0060034</t>
  </si>
  <si>
    <t>OCC1=C(NC2=CC=CC=C2C(=O)O[C@@H]2O[C@@H]([C@@H](O)[C@H](O)[C@H]2O)C(O)=O)C=CC(O)=C1Cl</t>
  </si>
  <si>
    <t>NZWGBGFWNQHXDI-GHHWKCCRSA-N</t>
  </si>
  <si>
    <t>C20H20ClNO10</t>
  </si>
  <si>
    <t>10.10_512.3204m/z</t>
  </si>
  <si>
    <t>Maraviroc</t>
  </si>
  <si>
    <t>HMDB0015584</t>
  </si>
  <si>
    <t>376348-65-1</t>
  </si>
  <si>
    <t>[H][C@]12CC[C@]([H])(CC(C1)N1C(C)=NN=C1C(C)C)N2CC[C@H](NC(=O)C1CCC(F)(F)CC1)C1=CC=CC=C1</t>
  </si>
  <si>
    <t>GSNHKUDZZFZSJB-HLMSNRGBSA-N</t>
  </si>
  <si>
    <t>Tropane alkaloids</t>
  </si>
  <si>
    <t>C29H41F2N5O</t>
  </si>
  <si>
    <t>10.25_289.1359m/z</t>
  </si>
  <si>
    <t>N-(6-Aminohexyl)-1-Naphthalenesulfonamide</t>
  </si>
  <si>
    <t>HMDB0255017</t>
  </si>
  <si>
    <t>NCCCCCCNS(=O)(=O)C1=CC=CC2=CC=CC=C12</t>
  </si>
  <si>
    <t>FVJRBJIENDRNBE-UHFFFAOYSA-N</t>
  </si>
  <si>
    <t>C16H22N2O2S</t>
  </si>
  <si>
    <t>0.73_292.0721m/z</t>
  </si>
  <si>
    <t>Etamicastat</t>
  </si>
  <si>
    <t>HMDB0251986</t>
  </si>
  <si>
    <t>NCCC1=CNC(=S)N1C1COC2=C(F)C=C(F)C=C2C1</t>
  </si>
  <si>
    <t>CWWWTTYMUOYSQA-UHFFFAOYSA-N</t>
  </si>
  <si>
    <t>C14H15F2N3OS</t>
  </si>
  <si>
    <t>6.19_217.0902n</t>
  </si>
  <si>
    <t>1-Aminopyrene</t>
  </si>
  <si>
    <t>HMDB0041793</t>
  </si>
  <si>
    <t>1606-67-3</t>
  </si>
  <si>
    <t>NC1=C2C=CC3=CC=CC4=C3C2=C(C=C1)C=C4</t>
  </si>
  <si>
    <t>YZVWKHVRBDQPMQ-UHFFFAOYSA-N</t>
  </si>
  <si>
    <t>C16H11N</t>
  </si>
  <si>
    <t>5.85_479.2288m/z</t>
  </si>
  <si>
    <t>1beta,3beta,5beta,14beta,16beta-pentahydroxy-bufa-20,22-dienolide</t>
  </si>
  <si>
    <t>LMST01130040</t>
  </si>
  <si>
    <t>[C@H]1(O)[C@]2(C)[C@@]3([H])CC[C@]4(C)[C@@]([H])(C5=COC(=O)C=C5)[C@@H](O)C[C@]4(O)[C@]3([H])CC[C@]2(O)C[C@@H](O)C1</t>
  </si>
  <si>
    <t>MLCCELAAOHCIOY-JVCAUVCHSA-N</t>
  </si>
  <si>
    <t>C24H34O7</t>
  </si>
  <si>
    <t>1.92_252.0237m/z</t>
  </si>
  <si>
    <t>Amoscanate</t>
  </si>
  <si>
    <t>HMDB0248349</t>
  </si>
  <si>
    <t>[O-][N+](=O)C1=CC=C(NC2=CC=C(C=C2)N=C=S)C=C1</t>
  </si>
  <si>
    <t>DKVNAGXPRSYHLB-UHFFFAOYSA-N</t>
  </si>
  <si>
    <t>C13H9N3O2S</t>
  </si>
  <si>
    <t>4.07_594.2898m/z</t>
  </si>
  <si>
    <t>Bafetinib</t>
  </si>
  <si>
    <t>HMDB0240206</t>
  </si>
  <si>
    <t>859212-16-1</t>
  </si>
  <si>
    <t>CN(C)[C@H]1CCN(CC2=C(C=C(C=C2)C(=O)NC2=CC(NC3=NC=CC(=N3)C3=CN=CN=C3)=C(C)C=C2)C(F)(F)F)C1</t>
  </si>
  <si>
    <t>ZGBAJMQHJDFTQJ-DEOSSOPVSA-N</t>
  </si>
  <si>
    <t>C30H31F3N8O</t>
  </si>
  <si>
    <t>0.74_232.1066n</t>
  </si>
  <si>
    <t>4-(Glutamylamino) butanoate</t>
  </si>
  <si>
    <t>HMDB0012161</t>
  </si>
  <si>
    <t>C15767</t>
  </si>
  <si>
    <t>5105-96-4</t>
  </si>
  <si>
    <t>N[C@@H](CCC(=O)NCCCC(O)=O)C(O)=O</t>
  </si>
  <si>
    <t>MKYPKZSGLSOGLL-LURJTMIESA-N</t>
  </si>
  <si>
    <t>C9H16N2O5</t>
  </si>
  <si>
    <t>1.01_244.1066n</t>
  </si>
  <si>
    <t>gamma-Glutamylproline</t>
  </si>
  <si>
    <t>HMDB0029157</t>
  </si>
  <si>
    <t>53411-63-5</t>
  </si>
  <si>
    <t>N[C@@H](CCC(=O)N1CCC[C@H]1C(O)=O)C(O)=O</t>
  </si>
  <si>
    <t>VBCZKAGVUKCANO-BQBZGAKWSA-N</t>
  </si>
  <si>
    <t>3.75_462.1977n</t>
  </si>
  <si>
    <t>5-Oxo-prolyl-glycyl-arginine-4-nitroanilide</t>
  </si>
  <si>
    <t>HMDB0250211</t>
  </si>
  <si>
    <t>NC(N)=NCCCC(NC(=O)CNC(=O)C1CCC(=O)N1)C(=O)NC1=CC=C(C=C1)[N+]([O-])=O</t>
  </si>
  <si>
    <t>DGYWXYFLXYIOCP-UHFFFAOYSA-N</t>
  </si>
  <si>
    <t>C19H26N8O6</t>
  </si>
  <si>
    <t>2.94_233.0541m/z</t>
  </si>
  <si>
    <t>(2S)-2-[(2-Carboxy-2-oxoethyl)amino]pentanedioic acid</t>
  </si>
  <si>
    <t>HMDB0257920</t>
  </si>
  <si>
    <t>OC(=O)CCC(NCC(=O)C(O)=O)C(O)=O</t>
  </si>
  <si>
    <t>XREHQPOYORRYEU-UHFFFAOYSA-N</t>
  </si>
  <si>
    <t>C8H11NO7</t>
  </si>
  <si>
    <t>10.65_424.3039m/z</t>
  </si>
  <si>
    <t>5-Hydroxypentadecanoylcarnitine</t>
  </si>
  <si>
    <t>HMDB0241434</t>
  </si>
  <si>
    <t>CCCCCCCCCCC(O)CCCC(=O)OC(CC([O-])=O)C[N+](C)(C)C</t>
  </si>
  <si>
    <t>FBGNJEDMAHOUHV-UHFFFAOYSA-N</t>
  </si>
  <si>
    <t>C22H43NO5</t>
  </si>
  <si>
    <t>9.91_444.2005m/z</t>
  </si>
  <si>
    <t>ibho#10</t>
  </si>
  <si>
    <t>LMFA13040140</t>
  </si>
  <si>
    <t>O(CCCCCC[C@@H](O)CC(=O)O)[C@H]1[C@H](O)C[C@@H](OC(=O)C2=CNC3C=CC=CC=32)[C@H](C)O1</t>
  </si>
  <si>
    <t>HYGXRAVBIUWTNN-HIYLOANVSA-N</t>
  </si>
  <si>
    <t>C24H33NO8</t>
  </si>
  <si>
    <t>2.45_259.1299m/z</t>
  </si>
  <si>
    <t>Valylproline</t>
  </si>
  <si>
    <t>HMDB0029135</t>
  </si>
  <si>
    <t>20488-27-1</t>
  </si>
  <si>
    <t>CC(C)[C@H](N)C(=O)N1CCC[C@H]1C(O)=O</t>
  </si>
  <si>
    <t>GIAZPLMMQOERPN-YUMQZZPRSA-N</t>
  </si>
  <si>
    <t>1.78_153.0158m/z</t>
  </si>
  <si>
    <t>Methyl nitrate</t>
  </si>
  <si>
    <t>HMDB0254603</t>
  </si>
  <si>
    <t>CO[N+]([O-])=O</t>
  </si>
  <si>
    <t>LRMHVVPPGGOAJQ-UHFFFAOYSA-N</t>
  </si>
  <si>
    <t>CH3NO3</t>
  </si>
  <si>
    <t>14.47_891.7666m/z</t>
  </si>
  <si>
    <t>TG(16:0/16:0/19:1(9Z))[iso3]</t>
  </si>
  <si>
    <t>LMGL03012983</t>
  </si>
  <si>
    <t>C(OC(=O)CCCCCCC/C=C\CCCCCCCCC)[C@]([H])(OC(CCCCCCCCCCCCCCC)=O)COC(CCCCCCCCCCCCCCC)=O</t>
  </si>
  <si>
    <t>ADCOBDZTCWVQTA-RECIZXRKSA-N</t>
  </si>
  <si>
    <t>C54H102O6</t>
  </si>
  <si>
    <t>5.21_253.1080m/z</t>
  </si>
  <si>
    <t>Jasmine ketolactone</t>
  </si>
  <si>
    <t>HMDB0030150</t>
  </si>
  <si>
    <t>70981-24-7</t>
  </si>
  <si>
    <t>O=C1CCC2CC(=O)OCC\C=C/CC12</t>
  </si>
  <si>
    <t>DINQMNROFIPFOH-UPHRSURJSA-N</t>
  </si>
  <si>
    <t>4.67_173.0153n</t>
  </si>
  <si>
    <t>Polyvidone</t>
  </si>
  <si>
    <t>HMDB0033843</t>
  </si>
  <si>
    <t>9003-39-8</t>
  </si>
  <si>
    <t>PCC(P)N1CCCC1=O</t>
  </si>
  <si>
    <t>LQIAZOCLNBBZQK-UHFFFAOYSA-N</t>
  </si>
  <si>
    <t>C6H9NOP2</t>
  </si>
  <si>
    <t>13.04_491.3125m/z</t>
  </si>
  <si>
    <t>LysoPA(22:2(13Z,16Z)/0:0)</t>
  </si>
  <si>
    <t>HMDB0114751</t>
  </si>
  <si>
    <t>CCCCC\C=C/C\C=C/CCCCCCCCCCCC(=O)OCC(O)COP(O)(O)=O</t>
  </si>
  <si>
    <t>GFXKNONHFFXXOL-HZJYTTRNSA-N</t>
  </si>
  <si>
    <t>C25H47O7P</t>
  </si>
  <si>
    <t>1.25_233.1139m/z</t>
  </si>
  <si>
    <t>Asp Val</t>
  </si>
  <si>
    <t>CC(C)C(C(=O)O)NC(=O)C(CC(=O)O)N</t>
  </si>
  <si>
    <t>CPMKYMGGYUFOHS-FSPLSTOPSA-N</t>
  </si>
  <si>
    <t>4.87_301.1554m/z</t>
  </si>
  <si>
    <t>Morphinone</t>
  </si>
  <si>
    <t>HMDB0003563</t>
  </si>
  <si>
    <t>C01735</t>
  </si>
  <si>
    <t>467-02-7</t>
  </si>
  <si>
    <t>[H][C@@]12OC3=C(O)C=CC4=C3[C@@]11CCN(C)[C@H](C4)[C@]1([H])C=CC2=O</t>
  </si>
  <si>
    <t>PFBSOANQDDTNGJ-YNHQPCIGSA-N</t>
  </si>
  <si>
    <t>3.64_266.1275n</t>
  </si>
  <si>
    <t>Threonylphenylalanine</t>
  </si>
  <si>
    <t>HMDB0029068</t>
  </si>
  <si>
    <t>16875-27-7</t>
  </si>
  <si>
    <t>C[C@@H](O)[C@H](N)C(=O)N[C@@H](CC1=CC=CC=C1)C(O)=O</t>
  </si>
  <si>
    <t>IQHUITKNHOKGFC-MIMYLULJSA-N</t>
  </si>
  <si>
    <t>C13H18N2O4</t>
  </si>
  <si>
    <t>9.44_377.2600n</t>
  </si>
  <si>
    <t>N-margaroyl taurine</t>
  </si>
  <si>
    <t>LMFA08020247</t>
  </si>
  <si>
    <t>C(CNC(CCCCCCCCCCCCCCCC)=O)S(O)(=O)=O</t>
  </si>
  <si>
    <t>NKUBJVWCFAYGAD-UHFFFAOYSA-N</t>
  </si>
  <si>
    <t>C19H39NO4S</t>
  </si>
  <si>
    <t>8.05_233.1544m/z</t>
  </si>
  <si>
    <t>(6beta,8alpha)-6-Hydroxy-7(11)-eremophilen-12,8-olide</t>
  </si>
  <si>
    <t>HMDB0035148</t>
  </si>
  <si>
    <t>10250-03-0</t>
  </si>
  <si>
    <t>CC1CCCC2CC3OC(=O)C(C)=C3C(O)C12C</t>
  </si>
  <si>
    <t>YDCNBSJHGGIZNP-UHFFFAOYSA-N</t>
  </si>
  <si>
    <t>13.63_224.0123m/z</t>
  </si>
  <si>
    <t>6-Fluoropyridoxal</t>
  </si>
  <si>
    <t>HMDB0247064</t>
  </si>
  <si>
    <t>CC1=C(O)C(C=O)=C(CO)C(F)=N1</t>
  </si>
  <si>
    <t>NTOKCJHDRACAJH-UHFFFAOYSA-N</t>
  </si>
  <si>
    <t>Pyridine carboxaldehydes</t>
  </si>
  <si>
    <t>C8H8FNO3</t>
  </si>
  <si>
    <t>6.92_761.0852m/z</t>
  </si>
  <si>
    <t>Desacetycefapirin</t>
  </si>
  <si>
    <t>HMDB0037269</t>
  </si>
  <si>
    <t>38115-21-8</t>
  </si>
  <si>
    <t>OCC1=C(N2C(SC1)C(NC(=O)CSC1=CC=NC=C1)C2=O)C(O)=O</t>
  </si>
  <si>
    <t>IOFHZPVEQXTSQW-UHFFFAOYSA-N</t>
  </si>
  <si>
    <t>C15H15N3O5S2</t>
  </si>
  <si>
    <t>2.42_246.1458m/z</t>
  </si>
  <si>
    <t>Asparaginylisoleucine</t>
  </si>
  <si>
    <t>HMDB0028734</t>
  </si>
  <si>
    <t>438533-59-6</t>
  </si>
  <si>
    <t>CC[C@H](C)[C@H](NC(=O)[C@@H](N)CC(N)=O)C(O)=O</t>
  </si>
  <si>
    <t>MQLZLIYPFDIDMZ-HAFWLYHUSA-N</t>
  </si>
  <si>
    <t>C10H19N3O4</t>
  </si>
  <si>
    <t>11.53_413.2311m/z</t>
  </si>
  <si>
    <t>N-Methylphenylalanyl-prolyl-arginine</t>
  </si>
  <si>
    <t>HMDB0255190</t>
  </si>
  <si>
    <t>CNC(CC1=CC=CC=C1)C(=O)N1CCCC1C(=O)NC(CCCN=C(N)N)C(O)=O</t>
  </si>
  <si>
    <t>LVCPRLFCRFDKSQ-UHFFFAOYSA-N</t>
  </si>
  <si>
    <t>C21H32N6O4</t>
  </si>
  <si>
    <t>9.01_203.1801m/z</t>
  </si>
  <si>
    <t>alpha-Curcumene</t>
  </si>
  <si>
    <t>HMDB0059878</t>
  </si>
  <si>
    <t>C09649</t>
  </si>
  <si>
    <t>CC(CCC=C(C)C)C1=CC=C(C)C=C1</t>
  </si>
  <si>
    <t>VMYXUZSZMNBRCN-UHFFFAOYSA-N</t>
  </si>
  <si>
    <t>C15H22</t>
  </si>
  <si>
    <t>8.60_241.1442m/z</t>
  </si>
  <si>
    <t>Buibuilactone</t>
  </si>
  <si>
    <t>LMFA07040029</t>
  </si>
  <si>
    <t>O1[C@](/C=C\CCCCCC)([H])CCC1=O</t>
  </si>
  <si>
    <t>ADZMLQKJPQFTIS-TVRMLOFPSA-N</t>
  </si>
  <si>
    <t>4.55_446.2973m/z</t>
  </si>
  <si>
    <t>Dynorphin B (10-13)</t>
  </si>
  <si>
    <t>HMDB0012936</t>
  </si>
  <si>
    <t>CC(C)[C@H](NC(=O)[C@H](N)CCCCN)C(=O)N[C@H](C(C)C)C(=O)N[C@@H]([C@H](C)O)C(O)=O</t>
  </si>
  <si>
    <t>VSLCIGXQLCYQTD-NPJQDHAYSA-N</t>
  </si>
  <si>
    <t>C20H39N5O6</t>
  </si>
  <si>
    <t>0.78_382.9985m/z</t>
  </si>
  <si>
    <t>fructose-6-phosphate pyruvate</t>
  </si>
  <si>
    <t>HMDB0252493</t>
  </si>
  <si>
    <t>CC(=O)C(=O)OOP1(=O)OC2(O1)OC(O)(CO)C(O)C(O)C2O</t>
  </si>
  <si>
    <t>OHEOSHNLEHYTOS-UHFFFAOYSA-N</t>
  </si>
  <si>
    <t>C9H13O13P</t>
  </si>
  <si>
    <t>10.37_314.3427m/z</t>
  </si>
  <si>
    <t>Phytol</t>
  </si>
  <si>
    <t>HMDB0002019</t>
  </si>
  <si>
    <t>LMPR0104010002</t>
  </si>
  <si>
    <t>C01389</t>
  </si>
  <si>
    <t>150-86-7</t>
  </si>
  <si>
    <t>[C@H](C)(CCC/C(/C)=C/CO)CCC[C@H](C)CCCC(C)C</t>
  </si>
  <si>
    <t>BOTWFXYSPFMFNR-PYDDKJGSSA-N</t>
  </si>
  <si>
    <t>C20H40O</t>
  </si>
  <si>
    <t>9.34_393.2286m/z</t>
  </si>
  <si>
    <t>15(R)-15-methyl Prostaglandin A2</t>
  </si>
  <si>
    <t>CCCCCC(C)(C=CC1C=CC(=O)C1CC=CCCCC(=O)O)O</t>
  </si>
  <si>
    <t>UEBXYYKXJUBAJX-ULDSDQABSA-N</t>
  </si>
  <si>
    <t>4.72_192.0660m/z</t>
  </si>
  <si>
    <t>2-Methylhippuric acid</t>
  </si>
  <si>
    <t>HMDB0011723</t>
  </si>
  <si>
    <t>42013-20-7</t>
  </si>
  <si>
    <t>CC1=C(C=CC=C1)C(=O)NCC(O)=O</t>
  </si>
  <si>
    <t>YOEBAVRJHRCKRE-UHFFFAOYSA-N</t>
  </si>
  <si>
    <t>C10H11NO3</t>
  </si>
  <si>
    <t>4.94_255.1236m/z</t>
  </si>
  <si>
    <t>Ieodomycin B</t>
  </si>
  <si>
    <t>LMFA07040110</t>
  </si>
  <si>
    <t>[C@@H]1(OC(=O)C[C@@H](O)C1)CC/C(/C)=C/C=C</t>
  </si>
  <si>
    <t>UFMCBVUOEQAWAI-LTJOXERKSA-N</t>
  </si>
  <si>
    <t>14.47_402.1635m/z</t>
  </si>
  <si>
    <t>4-Hydroxytoremifene</t>
  </si>
  <si>
    <t>HMDB0246469</t>
  </si>
  <si>
    <t>CN(C)CCOC1=CC=C(C=C1)C(=C(CCCl)C1=CC=CC=C1)C1=CC=C(O)C=C1</t>
  </si>
  <si>
    <t>OIUCUUXSMIJSEB-UHFFFAOYSA-N</t>
  </si>
  <si>
    <t>C26H28ClNO2</t>
  </si>
  <si>
    <t>6.11_325.1351m/z</t>
  </si>
  <si>
    <t>Aspergillomarasmine A</t>
  </si>
  <si>
    <t>HMDB0029450</t>
  </si>
  <si>
    <t>3484-65-9</t>
  </si>
  <si>
    <t>NC(CNC(CNC(CC(O)=O)C(O)=O)C(O)=O)C(O)=O</t>
  </si>
  <si>
    <t>XFTWUNOVBCHBJR-UHFFFAOYSA-N</t>
  </si>
  <si>
    <t>C10H17N3O8</t>
  </si>
  <si>
    <t>9.81_204.1754m/z</t>
  </si>
  <si>
    <t>Sarmentine</t>
  </si>
  <si>
    <t>HMDB0038840</t>
  </si>
  <si>
    <t>78910-33-5</t>
  </si>
  <si>
    <t>CCCCC\C=C/C=C/C(=O)N1CCCC1</t>
  </si>
  <si>
    <t>BFZBGTMIBOQWBA-BQGCWICQSA-N</t>
  </si>
  <si>
    <t>N-acylpyrrolidines</t>
  </si>
  <si>
    <t>C14H23NO</t>
  </si>
  <si>
    <t>9.87_211.1334m/z</t>
  </si>
  <si>
    <t>2-Heptylfuran</t>
  </si>
  <si>
    <t>HMDB0036190</t>
  </si>
  <si>
    <t>3777-71-7</t>
  </si>
  <si>
    <t>CCCCCCCC1=CC=CO1</t>
  </si>
  <si>
    <t>BHTUFJXTYNLISA-UHFFFAOYSA-N</t>
  </si>
  <si>
    <t>11.47_268.0833m/z</t>
  </si>
  <si>
    <t>2-Fluoroadenosine</t>
  </si>
  <si>
    <t>HMDB0245130</t>
  </si>
  <si>
    <t>NC1=NC(F)=NC2=C1N=CN2C1OC(CO)C(O)C1O</t>
  </si>
  <si>
    <t>HBUBKKRHXORPQB-UHFFFAOYSA-N</t>
  </si>
  <si>
    <t>C10H12FN5O4</t>
  </si>
  <si>
    <t>12.20_327.1270m/z</t>
  </si>
  <si>
    <t>2-hydroxymethylolanzapine</t>
  </si>
  <si>
    <t>HMDB0060987</t>
  </si>
  <si>
    <t>CN1CCN(CC1)C1=NC2=CC=CC=C2NC2=C1C=C(CO)S2</t>
  </si>
  <si>
    <t>FPDIERBPQFAFSI-UHFFFAOYSA-N</t>
  </si>
  <si>
    <t>C17H20N4OS</t>
  </si>
  <si>
    <t>9.50_411.2031m/z</t>
  </si>
  <si>
    <t>Pheneturide</t>
  </si>
  <si>
    <t>HMDB0256403</t>
  </si>
  <si>
    <t>C12590</t>
  </si>
  <si>
    <t>90-49-3</t>
  </si>
  <si>
    <t>CCC(C(O)=NC(O)=N)C1=CC=CC=C1</t>
  </si>
  <si>
    <t>AJOQSQHYDOFIOX-UHFFFAOYSA-N</t>
  </si>
  <si>
    <t>C11H14N2O2</t>
  </si>
  <si>
    <t>1.03_260.0356m/z</t>
  </si>
  <si>
    <t>Sulfacarbamide</t>
  </si>
  <si>
    <t>HMDB0258571</t>
  </si>
  <si>
    <t>NC1=CC=C(C=C1)S(=O)(=O)NC(O)=N</t>
  </si>
  <si>
    <t>WVAKABMNNSMCDK-UHFFFAOYSA-N</t>
  </si>
  <si>
    <t>C7H9N3O3S</t>
  </si>
  <si>
    <t>12.20_295.1891m/z</t>
  </si>
  <si>
    <t>Sodium myristate</t>
  </si>
  <si>
    <t>HMDB0303301</t>
  </si>
  <si>
    <t>[Na+].CCCCCCCCCCCCCC([O-])=O</t>
  </si>
  <si>
    <t>JUQGWKYSEXPRGL-UHFFFAOYSA-M</t>
  </si>
  <si>
    <t>C14H27NaO2</t>
  </si>
  <si>
    <t>5.06_235.0924m/z</t>
  </si>
  <si>
    <t>Threonylaspartic acid</t>
  </si>
  <si>
    <t>HMDB0029057</t>
  </si>
  <si>
    <t>108320-97-4</t>
  </si>
  <si>
    <t>C[C@@H](O)[C@H](N)C(=O)N[C@@H](CC(O)=O)C(O)=O</t>
  </si>
  <si>
    <t>IOWJRKAVLALBQB-IWGUZYHVSA-N</t>
  </si>
  <si>
    <t>C8H14N2O6</t>
  </si>
  <si>
    <t>6.13_239.0916m/z</t>
  </si>
  <si>
    <t>[2-(2-Methylphenyl)-1,3-dioxolan-4-yl]methanol</t>
  </si>
  <si>
    <t>HMDB0059940</t>
  </si>
  <si>
    <t>CC1=CC=CC=C1C1OCC(CO)O1</t>
  </si>
  <si>
    <t>SZESZZKBJJPMKG-UHFFFAOYSA-N</t>
  </si>
  <si>
    <t>10.45_123.1173m/z</t>
  </si>
  <si>
    <t>4-nonenal</t>
  </si>
  <si>
    <t>HMDB0032535</t>
  </si>
  <si>
    <t>LMFA06000043</t>
  </si>
  <si>
    <t>2277-16-9</t>
  </si>
  <si>
    <t>C(CC/C=C/CCC([H])=O)C</t>
  </si>
  <si>
    <t>QPULDJYQYDGZEI-AATRIKPKSA-N</t>
  </si>
  <si>
    <t>7.08_257.1739m/z</t>
  </si>
  <si>
    <t>3-hydroxy-tetradecanedioic acid</t>
  </si>
  <si>
    <t>HMDB0000394</t>
  </si>
  <si>
    <t>LMFA01170094</t>
  </si>
  <si>
    <t>73179-89-2</t>
  </si>
  <si>
    <t>C(=O)(O)CC(O)CCCCCCCCCCC(=O)O</t>
  </si>
  <si>
    <t>CEDZIURHISELSQ-UHFFFAOYSA-N</t>
  </si>
  <si>
    <t>C14H26O5</t>
  </si>
  <si>
    <t>5.47_215.1284m/z</t>
  </si>
  <si>
    <t>trans-p-Menth-2-ene-1,4-diol</t>
  </si>
  <si>
    <t>HMDB0037021</t>
  </si>
  <si>
    <t>21473-37-0</t>
  </si>
  <si>
    <t>CC(C)C1(O)CCC(C)(O)C=C1</t>
  </si>
  <si>
    <t>WHOYVNZMAORLBI-UHFFFAOYSA-N</t>
  </si>
  <si>
    <t>C10H18O2</t>
  </si>
  <si>
    <t>0.74_224.9792m/z</t>
  </si>
  <si>
    <t>Thiophene, 2-nitroso-</t>
  </si>
  <si>
    <t>HMDB0259028</t>
  </si>
  <si>
    <t>O=NC1=CC=CS1</t>
  </si>
  <si>
    <t>KFYLNCXBNKZPQI-UHFFFAOYSA-N</t>
  </si>
  <si>
    <t>C4H3NOS</t>
  </si>
  <si>
    <t>10.10_651.3144m/z</t>
  </si>
  <si>
    <t>PA(8:0/5-iso PGF2VI)</t>
  </si>
  <si>
    <t>HMDB0266631</t>
  </si>
  <si>
    <t>CCCCCCCC(=O)OC[C@H](COP(O)(O)=O)OC(=O)C\C=C/C[C@@H]1[C@@H](O)C[C@@H](O)[C@@H]1\C=C\[C@H](O)CCCCC</t>
  </si>
  <si>
    <t>ILKVIIVXTVCNCA-OMTYVZHCSA-N</t>
  </si>
  <si>
    <t>C29H51O11P</t>
  </si>
  <si>
    <t>4.63_447.1152m/z</t>
  </si>
  <si>
    <t>4-Hydroxy-5-(3',4',5'-trihydroxyphenyl)-valeric acid-O-methyl-O-glucuronide</t>
  </si>
  <si>
    <t>HMDB0059970</t>
  </si>
  <si>
    <t>OC(CCC(=O)OCO[C@@H]1O[C@@H]([C@@H](O)[C@H](O)[C@H]1O)C(O)=O)CC1=CC(O)=C(O)C(O)=C1</t>
  </si>
  <si>
    <t>GDEQVTXLETYPCM-GELMFUDPSA-N</t>
  </si>
  <si>
    <t>C18H24O13</t>
  </si>
  <si>
    <t>10.93_329.2483m/z</t>
  </si>
  <si>
    <t>Leiopathic acid</t>
  </si>
  <si>
    <t>LMFA04000099</t>
  </si>
  <si>
    <t>C(CCCCC/C=C\C[C@@H](O)/C=C/C=C\C/C=C\C/C=C\CC)(=O)O</t>
  </si>
  <si>
    <t>MGUZOUCQDDHSGO-RFPXNJKWSA-N</t>
  </si>
  <si>
    <t>9.56_529.2589m/z</t>
  </si>
  <si>
    <t>geodisterol-O-sulfite</t>
  </si>
  <si>
    <t>LMST01040193</t>
  </si>
  <si>
    <t>C1C2[C@@]3([H])CC[C@]4(C)[C@@]([H])([C@](O)(C)CC/C(=C\C)/C(C)C)[C@@H](O)C[C@@]4([H])[C@]3([H])CCC=2C=C(OS(O)(=O)=O)C=1</t>
  </si>
  <si>
    <t>BGCSDXFDUOTODX-NMDKGTOKSA-N</t>
  </si>
  <si>
    <t>C28H42O6S</t>
  </si>
  <si>
    <t>9.36_359.0138m/z</t>
  </si>
  <si>
    <t>cis-3,5-Diethyl-1,2,4-trithiolane</t>
  </si>
  <si>
    <t>HMDB0303125</t>
  </si>
  <si>
    <t>CC[C@H]1SS[C@@H](CC)S1</t>
  </si>
  <si>
    <t>WQXXXHMEBYGSBG-OLQVQODUSA-N</t>
  </si>
  <si>
    <t>Trithiolanes</t>
  </si>
  <si>
    <t>C6H12S3</t>
  </si>
  <si>
    <t>11.03_172.1336m/z</t>
  </si>
  <si>
    <t>Gabapentin</t>
  </si>
  <si>
    <t>HMDB0005015</t>
  </si>
  <si>
    <t>C07018</t>
  </si>
  <si>
    <t>60142-96-3</t>
  </si>
  <si>
    <t>NCC1(CC(O)=O)CCCCC1</t>
  </si>
  <si>
    <t>UGJMXCAKCUNAIE-UHFFFAOYSA-N</t>
  </si>
  <si>
    <t>C9H17NO2</t>
  </si>
  <si>
    <t>9.97_435.1826m/z</t>
  </si>
  <si>
    <t>EUPATORIOCHROMENE</t>
  </si>
  <si>
    <t>C09006</t>
  </si>
  <si>
    <t>19013-03-7</t>
  </si>
  <si>
    <t>CC(=O)C1=C(C=C2C(=C1)C=CC(O2)(C)C)O</t>
  </si>
  <si>
    <t>SVUVYHFYZBCYRF-UHFFFAOYSA-N</t>
  </si>
  <si>
    <t>C13H14O3</t>
  </si>
  <si>
    <t>9.89_350.2130m/z</t>
  </si>
  <si>
    <t>Piperundecalidine</t>
  </si>
  <si>
    <t>HMDB0030240</t>
  </si>
  <si>
    <t>88660-11-1</t>
  </si>
  <si>
    <t>O=C(\C=C\C=C\CCCC\C=C\C1=CC2=C(OCO2)C=C1)N1CCCCC1</t>
  </si>
  <si>
    <t>BADLEYLQAILHPV-AZMZBSBOSA-N</t>
  </si>
  <si>
    <t>C23H29NO3</t>
  </si>
  <si>
    <t>12.40_489.3587m/z</t>
  </si>
  <si>
    <t>(3beta,5alpha,6beta,22E,24R)-23-Methylergosta-7,22-diene-3,5,6-triol</t>
  </si>
  <si>
    <t>HMDB0033633</t>
  </si>
  <si>
    <t>243449-54-9</t>
  </si>
  <si>
    <t>CC(C)C(C)C(\C)=C\C(C)C1CCC2C3=CC(O)C4(O)CC(O)CCC4(C)C3CCC12C</t>
  </si>
  <si>
    <t>CZRJCGNHTAJYEV-NBVRZTHBSA-N</t>
  </si>
  <si>
    <t>11.15_417.3373m/z</t>
  </si>
  <si>
    <t>paricalcitol</t>
  </si>
  <si>
    <t>HMDB0015046</t>
  </si>
  <si>
    <t>LMST04030163</t>
  </si>
  <si>
    <t>C08127</t>
  </si>
  <si>
    <t>R-HSA-1430728,R-HSA-196791,R-HSA-556833,R-HSA-8957322</t>
  </si>
  <si>
    <t>Metabolism|Vitamin D (calciferol) metabolism|Metabolism of lipids|Metabolism of steroids</t>
  </si>
  <si>
    <t>131918-61-1</t>
  </si>
  <si>
    <t>C1CC/C(=C\C=C2\C[C@H](C[C@H](O)C\2)O)/[C@]2([H])CC[C@]([H])([C@@H](/C=C/[C@H](C)C(O)(C)C)C)[C@]21C</t>
  </si>
  <si>
    <t>BPKAHTKRCLCHEA-UBFJEZKGSA-N</t>
  </si>
  <si>
    <t>8.56_187.1332m/z</t>
  </si>
  <si>
    <t>delta1-nonen-3-ol</t>
  </si>
  <si>
    <t>HMDB0034152</t>
  </si>
  <si>
    <t>LMFA05000504</t>
  </si>
  <si>
    <t>21964-44-3</t>
  </si>
  <si>
    <t>C=CC(O)CCCCCC</t>
  </si>
  <si>
    <t>DWUPJMHAPOQKGJ-UHFFFAOYSA-N</t>
  </si>
  <si>
    <t>C9H18O</t>
  </si>
  <si>
    <t>285</t>
  </si>
  <si>
    <t>Dl-Xylose</t>
  </si>
  <si>
    <t>HMDB0242608</t>
  </si>
  <si>
    <t>OCC(O)C(O)C(O)C=O</t>
  </si>
  <si>
    <t>PYMYPHUHKUWMLA-UHFFFAOYSA-N</t>
  </si>
  <si>
    <t>10.13_356.3049n</t>
  </si>
  <si>
    <t>N-myristoyl lysine</t>
  </si>
  <si>
    <t>LMFA08020264</t>
  </si>
  <si>
    <t>NCCCC[C@H](NC(=O)CCCCCCCCCCCCC)C(=O)O</t>
  </si>
  <si>
    <t>DVHIYVOBSKWPJD-SFHVURJKSA-N</t>
  </si>
  <si>
    <t>C20H40N2O3</t>
  </si>
  <si>
    <t>3.84_387.2251m/z</t>
  </si>
  <si>
    <t>Tetraethylene glycol</t>
  </si>
  <si>
    <t>HMDB0094708</t>
  </si>
  <si>
    <t>OCCOCCOCCOCCO</t>
  </si>
  <si>
    <t>UWHCKJMYHZGTIT-UHFFFAOYSA-N</t>
  </si>
  <si>
    <t>C8H18O5</t>
  </si>
  <si>
    <t>9.46_307.1164m/z</t>
  </si>
  <si>
    <t>Phosphatidylglycerol</t>
  </si>
  <si>
    <t>HMDB0302468</t>
  </si>
  <si>
    <t>CCC.CCO.OCC(O)COP(O)(O)=O</t>
  </si>
  <si>
    <t>GDQGIGPGALPYCN-UHFFFAOYSA-N</t>
  </si>
  <si>
    <t>C8H23O7P</t>
  </si>
  <si>
    <t>242</t>
  </si>
  <si>
    <t>Salicyl Alcohol</t>
  </si>
  <si>
    <t>HMDB0059709</t>
  </si>
  <si>
    <t>C02323</t>
  </si>
  <si>
    <t>90-01-7</t>
  </si>
  <si>
    <t>OCC1=C(O)C=CC=C1</t>
  </si>
  <si>
    <t>CQRYARSYNCAZFO-UHFFFAOYSA-N</t>
  </si>
  <si>
    <t>Benzyl alcohols</t>
  </si>
  <si>
    <t>C7H8O2</t>
  </si>
  <si>
    <t>9.13_372.2445m/z</t>
  </si>
  <si>
    <t>11-dehydro Thromboxane B2-d4</t>
  </si>
  <si>
    <t>CCCCCC(C=CC1C(C(CC(=O)O1)O)CC=CCCCC(=O)O)O</t>
  </si>
  <si>
    <t>KJYIVXDPWBUJBQ-ZUCLGDGSSA-N</t>
  </si>
  <si>
    <t>C20H28D4O6</t>
  </si>
  <si>
    <t>4.63_630.3423n</t>
  </si>
  <si>
    <t>Remikiren</t>
  </si>
  <si>
    <t>HMDB0014357</t>
  </si>
  <si>
    <t>C07465</t>
  </si>
  <si>
    <t>126222-34-2</t>
  </si>
  <si>
    <t>CC(C)(C)S(=O)(=O)C[C@H](CC1=CC=CC=C1)C(=O)N[C@@H](CC1=CN=CN1)C(=O)N[C@H](CC1CCCCC1)[C@H](O)[C@H](O)C1CC1</t>
  </si>
  <si>
    <t>UXIGZRQVLGFTOU-PUNKFERVSA-N</t>
  </si>
  <si>
    <t>M+, M+Na, M+NH4</t>
  </si>
  <si>
    <t>C33H50N4O6S</t>
  </si>
  <si>
    <t>0.73_282.1197m/z</t>
  </si>
  <si>
    <t>1-Methyladenosin</t>
  </si>
  <si>
    <t>HMDB0243935</t>
  </si>
  <si>
    <t>CN1C=NC2=C(N=CN2C2OC(CO)C(O)C2O)C1=N</t>
  </si>
  <si>
    <t>GFYLSDSUCHVORB-UHFFFAOYSA-N</t>
  </si>
  <si>
    <t>7.42_505.1488m/z</t>
  </si>
  <si>
    <t>N-Acetyl-S-benzyl-L-cysteine</t>
  </si>
  <si>
    <t>HMDB0255061</t>
  </si>
  <si>
    <t>CC(=O)NC(CSCC1=CC=CC=C1)C(O)=O</t>
  </si>
  <si>
    <t>BJUXDERNWYKSIQ-UHFFFAOYSA-N</t>
  </si>
  <si>
    <t>C12H15NO3S</t>
  </si>
  <si>
    <t>6.38_425.1719m/z</t>
  </si>
  <si>
    <t>CAY10572</t>
  </si>
  <si>
    <t>845714-00-3</t>
  </si>
  <si>
    <t>C1CNC(=O)C2=C1NC(=C2)C3=CC=NC=C3</t>
  </si>
  <si>
    <t>DKXHSOUZPMHNIZ-UHFFFAOYSA-N</t>
  </si>
  <si>
    <t>12.49_375.2751m/z</t>
  </si>
  <si>
    <t>MG(16:0/0:0/0:0)[rac]</t>
  </si>
  <si>
    <t>HMDB0245964</t>
  </si>
  <si>
    <t>LMGL01010001</t>
  </si>
  <si>
    <t>542-44-9</t>
  </si>
  <si>
    <t>OCC([H])(O)COC(CCCCCCCCCCCCCCC)=O</t>
  </si>
  <si>
    <t>QHZLMUACJMDIAE-UHFFFAOYSA-N</t>
  </si>
  <si>
    <t>4.04_582.2696m/z</t>
  </si>
  <si>
    <t>7-O-acetyl-6-epi-19,20-epoxycytochalasin P</t>
  </si>
  <si>
    <t>LMPK11000018</t>
  </si>
  <si>
    <t>[C@@H]1(C)[C@@](O)(C)[C@@H](OC(=O)C)[C@]2([H])C=CC[C@H](C)C(=O)[C@@](O)(C)[C@H]3O[C@@H]3[C@@H](OC(=O)C)[C@@]32C(=O)N[C@@H](CC2C=CC=CC=2)[C@]13[H]</t>
  </si>
  <si>
    <t>GNJAKHROYCBGQY-BLOALNRTSA-N</t>
  </si>
  <si>
    <t>C32H41NO9</t>
  </si>
  <si>
    <t>5.18_333.0935m/z</t>
  </si>
  <si>
    <t>Penicilloic acid</t>
  </si>
  <si>
    <t>HMDB0060617</t>
  </si>
  <si>
    <t>CC1(C)SC(NC1C(O)=O)C(NC(=O)CC1=CC=CC=C1)C(O)=O</t>
  </si>
  <si>
    <t>HCYWNSXLUZRKJX-UHFFFAOYSA-N</t>
  </si>
  <si>
    <t>C16H20N2O5S</t>
  </si>
  <si>
    <t>8.31_313.1196m/z</t>
  </si>
  <si>
    <t>1-(2-Benzoylphenyl)-1,3-dimethylurea</t>
  </si>
  <si>
    <t>HMDB0260229</t>
  </si>
  <si>
    <t>CNC(=O)N(C)C1=CC=CC=C1C(=O)C1=CC=CC=C1</t>
  </si>
  <si>
    <t>BCTHZXMPHDMIDM-UHFFFAOYSA-N</t>
  </si>
  <si>
    <t>Benzophenones</t>
  </si>
  <si>
    <t>4.68_381.1919m/z</t>
  </si>
  <si>
    <t>Pro Trp Val</t>
  </si>
  <si>
    <t>CC(C)C(C(=O)O)NC(=O)C(CC1=CNC2=CC=CC=C21)NC(=O)C3CCCN3</t>
  </si>
  <si>
    <t>HOJUNFDJDAPVBI-BZSNNMDCSA-N</t>
  </si>
  <si>
    <t>C21H28N4O4</t>
  </si>
  <si>
    <t>5.86_300.0853m/z</t>
  </si>
  <si>
    <t>Besifovir</t>
  </si>
  <si>
    <t>HMDB0249090</t>
  </si>
  <si>
    <t>NC1=NC=C2N=CN(CC3(CC3)OCP(O)(O)=O)C2=N1</t>
  </si>
  <si>
    <t>KDNSSKPZBDNJDF-UHFFFAOYSA-N</t>
  </si>
  <si>
    <t>C10H14N5O4P</t>
  </si>
  <si>
    <t>4.90_211.0971m/z</t>
  </si>
  <si>
    <t>4-Methyl-5-oxo-2-pentyl-2,5-dihydro-3-furancarboxylic acid</t>
  </si>
  <si>
    <t>CCCCCC1C(=C(C(=O)O1)C)C(=O)O</t>
  </si>
  <si>
    <t>OIUPBOONLQPLQI-UHFFFAOYSA-N</t>
  </si>
  <si>
    <t>5.57_232.1703m/z</t>
  </si>
  <si>
    <t>Alprenolol</t>
  </si>
  <si>
    <t>HMDB0015004</t>
  </si>
  <si>
    <t>13655-52-2</t>
  </si>
  <si>
    <t>CC(C)NCC(O)COC1=CC=CC=C1CC=C</t>
  </si>
  <si>
    <t>PAZJSJFMUHDSTF-UHFFFAOYSA-N</t>
  </si>
  <si>
    <t>C15H23NO2</t>
  </si>
  <si>
    <t>3.76_229.1554m/z</t>
  </si>
  <si>
    <t>Isoleucyl-Valine</t>
  </si>
  <si>
    <t>HMDB0028920</t>
  </si>
  <si>
    <t>CCC(C)C(N)C(=O)NC(C(C)C)C(O)=O</t>
  </si>
  <si>
    <t>BCXBIONYYJCSDF-UHFFFAOYSA-N</t>
  </si>
  <si>
    <t>2.68_187.1081m/z</t>
  </si>
  <si>
    <t>Glycylleucine</t>
  </si>
  <si>
    <t>HMDB0000759</t>
  </si>
  <si>
    <t>C02155</t>
  </si>
  <si>
    <t>869-19-2</t>
  </si>
  <si>
    <t>CC(C)C[C@H](NC(=O)CN)C(O)=O</t>
  </si>
  <si>
    <t>DKEXFJVMVGETOO-LURJTMIESA-N</t>
  </si>
  <si>
    <t>5.16_203.1073m/z</t>
  </si>
  <si>
    <t>cis-3-Hexenyl salicylate</t>
  </si>
  <si>
    <t>HMDB0061942</t>
  </si>
  <si>
    <t>CC\C=C/CCOC(=O)C1=CC=CC=C1O</t>
  </si>
  <si>
    <t>IEPWIPZLLIOZLU-ARJAWSKDSA-N</t>
  </si>
  <si>
    <t>C13H16O3</t>
  </si>
  <si>
    <t>4.98_274.2026m/z</t>
  </si>
  <si>
    <t>4-Methylhexanoylcarnitine</t>
  </si>
  <si>
    <t>HMDB0241036</t>
  </si>
  <si>
    <t>CCC(C)CCC(=O)OC(CC([O-])=O)C[N+](C)(C)C</t>
  </si>
  <si>
    <t>ACFMZWWFBAJSPV-UHFFFAOYSA-N</t>
  </si>
  <si>
    <t>C14H27NO4</t>
  </si>
  <si>
    <t>14.44_314.2466n</t>
  </si>
  <si>
    <t>9-HpOME</t>
  </si>
  <si>
    <t>LMFA02000117</t>
  </si>
  <si>
    <t>C(CCCCCCCC(OO)/C=C/CCCCCCC)(=O)O</t>
  </si>
  <si>
    <t>DIKRZYGTMAMIKZ-SDNWHVSQSA-N</t>
  </si>
  <si>
    <t>6.58_358.2601m/z</t>
  </si>
  <si>
    <t>(10E)-8-Hydroxydodec-10-enoylcarnitine</t>
  </si>
  <si>
    <t>HMDB0241225</t>
  </si>
  <si>
    <t>CC=CCC(O)CCCCCCC(=O)OC(CC([O-])=O)C[N+](C)(C)C</t>
  </si>
  <si>
    <t>JQTYXVHESHDMCQ-UHFFFAOYSA-N</t>
  </si>
  <si>
    <t>C19H35NO5</t>
  </si>
  <si>
    <t>5.02_459.3051m/z</t>
  </si>
  <si>
    <t>24,24-difluoro-1alpha-hydroxyvitamin D3</t>
  </si>
  <si>
    <t>LMST03020137</t>
  </si>
  <si>
    <t>[C@@H]1(O)C(=C)/C(=C\C=C2\[C@]3([H])CC[C@@]([C@@](C)([H])CCC(F)(F)C(C)C)([H])[C@@]3(C)CCC\2)/C[C@@H](O)C1</t>
  </si>
  <si>
    <t>IAMSSYQGDXZKMX-VPNMKRJMSA-N</t>
  </si>
  <si>
    <t>C27H42F2O2</t>
  </si>
  <si>
    <t>1.43_144.0656m/z</t>
  </si>
  <si>
    <t>4-Acetamidobutanoic acid</t>
  </si>
  <si>
    <t>HMDB0003681</t>
  </si>
  <si>
    <t>C02946</t>
  </si>
  <si>
    <t>3025-96-5</t>
  </si>
  <si>
    <t>CC(=O)NCCCC(O)=O</t>
  </si>
  <si>
    <t>UZTFMUBKZQVKLK-UHFFFAOYSA-N</t>
  </si>
  <si>
    <t>7.22_325.2021m/z</t>
  </si>
  <si>
    <t>2,3-dinor-PGE1</t>
  </si>
  <si>
    <t>LMFA03010169</t>
  </si>
  <si>
    <t>C(CCCC[C@@H]1[C@@H](/C=C/[C@@H](O)CCCCC)[C@H](O)CC1=O)(=O)O</t>
  </si>
  <si>
    <t>GTUGBRJEKVKOKQ-LRSAKWJDSA-N</t>
  </si>
  <si>
    <t>4.03_203.0015m/z</t>
  </si>
  <si>
    <t>Sulfuric acid 4-methoxyphenyl ester</t>
  </si>
  <si>
    <t>HMDB0242192</t>
  </si>
  <si>
    <t>COC1=CC=C(OS(O)(=O)=O)C=C1</t>
  </si>
  <si>
    <t>IGTMFIJOUADBDC-UHFFFAOYSA-N</t>
  </si>
  <si>
    <t>2.05_236.0926m/z</t>
  </si>
  <si>
    <t>5-Methoxytryptophol</t>
  </si>
  <si>
    <t>HMDB0001896</t>
  </si>
  <si>
    <t>712-09-4</t>
  </si>
  <si>
    <t>COC1=CC=C2NC=C(CCO)C2=C1</t>
  </si>
  <si>
    <t>QLWKTGDEPLRFAT-UHFFFAOYSA-N</t>
  </si>
  <si>
    <t>C11H13NO2</t>
  </si>
  <si>
    <t>3.66_376.1727m/z</t>
  </si>
  <si>
    <t>Phe Pro Asn</t>
  </si>
  <si>
    <t>C1CC(N(C1)C(=O)C(CC2=CC=CC=C2)N)C(=O)NC(CC(=O)N)C(=O)O</t>
  </si>
  <si>
    <t>RVEVENLSADZUMS-IHRRRGAJSA-N</t>
  </si>
  <si>
    <t>C18H24N4O5</t>
  </si>
  <si>
    <t>12.90_356.2939n</t>
  </si>
  <si>
    <t>MG(18:1(9Z)/0:0/0:0)</t>
  </si>
  <si>
    <t>HMDB0011567</t>
  </si>
  <si>
    <t>129784-87-8</t>
  </si>
  <si>
    <t>[H][C@](O)(CO)COC(=O)CCCCCCC\C=C/CCCCCCCC</t>
  </si>
  <si>
    <t>RZRNAYUHWVFMIP-QJRAZLAKSA-N</t>
  </si>
  <si>
    <t>4.13_313.1898m/z</t>
  </si>
  <si>
    <t>Gardiquimod</t>
  </si>
  <si>
    <t>HMDB0252643</t>
  </si>
  <si>
    <t>CCNCC1=NC2=C(N1CC(C)(C)O)C1=CC=CC=C1N=C2N</t>
  </si>
  <si>
    <t>FHJATBIERQTCTN-UHFFFAOYSA-N</t>
  </si>
  <si>
    <t>Imidazoquinolines</t>
  </si>
  <si>
    <t>C17H23N5O</t>
  </si>
  <si>
    <t>6.60_571.1750m/z</t>
  </si>
  <si>
    <t>Fidexaban</t>
  </si>
  <si>
    <t>HMDB0252254</t>
  </si>
  <si>
    <t>CN(CC(O)=O)C1=C(F)C(OC2=CC=CC(=C2)C2=NCCN2C)=NC(OC2=C(O)C=CC(=C2)C(N)=N)=C1F</t>
  </si>
  <si>
    <t>NPNSVNGQJGRSNR-UHFFFAOYSA-N</t>
  </si>
  <si>
    <t>C25H24F2N6O5</t>
  </si>
  <si>
    <t>13.16_341.3062m/z</t>
  </si>
  <si>
    <t>21-hydroxy-heneicosanoic acid</t>
  </si>
  <si>
    <t>LMFA01050076</t>
  </si>
  <si>
    <t>C(CCCCCCCCCCCCC(=O)O)CCCCCCCO</t>
  </si>
  <si>
    <t>NENJNFMRWQAPAC-UHFFFAOYSA-N</t>
  </si>
  <si>
    <t>C21H42O3</t>
  </si>
  <si>
    <t>6.17_421.1865m/z</t>
  </si>
  <si>
    <t>12alpha-Hydroxy-13,18-dehydroparain</t>
  </si>
  <si>
    <t>HMDB0039557</t>
  </si>
  <si>
    <t>COC1=CC(C)C2CC3OC(=O)CC4C(=C)C(O)C(O)C(C34C)C2(C)C1=O</t>
  </si>
  <si>
    <t>CKRHSGZMMGXRKZ-UHFFFAOYSA-N</t>
  </si>
  <si>
    <t>9.71_207.1387m/z</t>
  </si>
  <si>
    <t>(E)-3-oxo-beta-ionone</t>
  </si>
  <si>
    <t>HMDB0303900</t>
  </si>
  <si>
    <t>[H]\C(=C(\[H])C1=C(C)C(=O)CCC1(C)C)C(C)=O</t>
  </si>
  <si>
    <t>OBHGOXFSRVNKBS-AATRIKPKSA-N</t>
  </si>
  <si>
    <t>3.50_342.1673m/z</t>
  </si>
  <si>
    <t>Pro Glu Val</t>
  </si>
  <si>
    <t>CC(C)C(C(=O)O)NC(=O)C(CCC(=O)O)NC(=O)C1CCCN1</t>
  </si>
  <si>
    <t>VPEVBAUSTBWQHN-NHCYSSNCSA-N</t>
  </si>
  <si>
    <t>12.12_337.2746m/z</t>
  </si>
  <si>
    <t>MG(18:2(9Z,12Z)/0:0/0:0)</t>
  </si>
  <si>
    <t>HMDB0011568</t>
  </si>
  <si>
    <t>67968-46-1</t>
  </si>
  <si>
    <t>[H][C@](O)(CO)COC(=O)CCCCCCC\C=C/C\C=C/CCCCC</t>
  </si>
  <si>
    <t>WECGLUPZRHILCT-GSNKCQISSA-N</t>
  </si>
  <si>
    <t>C21H38O4</t>
  </si>
  <si>
    <t>9.75_307.1916m/z</t>
  </si>
  <si>
    <t>(9Z,11E)-12-((3S,5R)-5-((R)-1-hydroxypropyl)-1,2-dioxolan-3-yl)dodeca-9,11-dienoic acid</t>
  </si>
  <si>
    <t>LMFA02050001</t>
  </si>
  <si>
    <t>C(CCCCCCC(=O)O)/C=C\C=C\[C@H]1OO[C@@H]([C@H](O)CC)C1</t>
  </si>
  <si>
    <t>NHKZWYFRFFWLDJ-SCISLTCXSA-N</t>
  </si>
  <si>
    <t>9.03_494.2872m/z</t>
  </si>
  <si>
    <t>1-(2-methoxy-6Z-hexadecenyl)-sn-glycero-3-phosphoserine</t>
  </si>
  <si>
    <t>LMGP03060012</t>
  </si>
  <si>
    <t>C(O)(=O)[C@@]([H])(N)COP(OC[C@]([H])(O)COCC(OC)CCC/C=C\CCCCCCCCC)(=O)O</t>
  </si>
  <si>
    <t>XPHUKSCOPYVDNM-RHMRNEJVSA-N</t>
  </si>
  <si>
    <t>C23H46NO9P</t>
  </si>
  <si>
    <t>4.81_351.2017m/z</t>
  </si>
  <si>
    <t>methyl 9-(alpha-D-galactosyloxy)nonanoate</t>
  </si>
  <si>
    <t>LMFA13010150</t>
  </si>
  <si>
    <t>C(OC)(=O)CCCCCCCCO[C@@H]1[C@H](O)[C@@H](O)[C@@H](O)[C@@H](CO)O1</t>
  </si>
  <si>
    <t>ZJZBQHWSENWEMY-CHUNWDLHSA-N</t>
  </si>
  <si>
    <t>C16H30O8</t>
  </si>
  <si>
    <t>6.67_461.2163m/z</t>
  </si>
  <si>
    <t>hydrocortisone hemisuccinate</t>
  </si>
  <si>
    <t>HMDB0253246</t>
  </si>
  <si>
    <t>CC12CC(O)C3C(CCC4=CC(=O)CCC34C)C1CCC2(O)C(=O)COC(=O)CCC(O)=O</t>
  </si>
  <si>
    <t>VWQWXZAWFPZJDA-UHFFFAOYSA-N</t>
  </si>
  <si>
    <t>6.80_215.1284m/z</t>
  </si>
  <si>
    <t>Undecanedioic acid</t>
  </si>
  <si>
    <t>HMDB0000888</t>
  </si>
  <si>
    <t>LMFA01170007</t>
  </si>
  <si>
    <t>1852-04-6</t>
  </si>
  <si>
    <t>C(CCCCCCCCCC(=O)O)(=O)O</t>
  </si>
  <si>
    <t>LWBHHRRTOZQPDM-UHFFFAOYSA-N</t>
  </si>
  <si>
    <t>C11H20O4</t>
  </si>
  <si>
    <t>3.67_469.2051m/z</t>
  </si>
  <si>
    <t>2',5'-Dideoxyadenosine</t>
  </si>
  <si>
    <t>HMDB0245554</t>
  </si>
  <si>
    <t>CC1OC(CC1O)N1C=NC2=C1N=CN=C2N</t>
  </si>
  <si>
    <t>FFHPXOJTVQDVMO-UHFFFAOYSA-N</t>
  </si>
  <si>
    <t>2',5'-dideoxyribonucleosides</t>
  </si>
  <si>
    <t>C10H13N5O2</t>
  </si>
  <si>
    <t>5.77_406.1310n</t>
  </si>
  <si>
    <t>3-[[(2S)-3-(4-Phenylphenyl)-2-(phosphonomethylamino)propanoyl]amino]propanoic acid</t>
  </si>
  <si>
    <t>HMDB0249872</t>
  </si>
  <si>
    <t>OC(=O)CCNC(=O)C(CC1=CC=C(C=C1)C1=CC=CC=C1)NCP(O)(O)=O</t>
  </si>
  <si>
    <t>MVRLTBIHUWUGAR-UHFFFAOYSA-N</t>
  </si>
  <si>
    <t>C19H23N2O6P</t>
  </si>
  <si>
    <t>4.61_481.2543m/z</t>
  </si>
  <si>
    <t>Lucidenic acid A</t>
  </si>
  <si>
    <t>HMDB0037611</t>
  </si>
  <si>
    <t>95311-94-7</t>
  </si>
  <si>
    <t>CC(CCC(O)=O)C1CC(=O)C2(C)C3=C(C(=O)CC12C)C1(C)CCC(=O)C(C)(C)C1CC3O</t>
  </si>
  <si>
    <t>INIPQDKLXQHEAJ-UHFFFAOYSA-N</t>
  </si>
  <si>
    <t>C27H38O6</t>
  </si>
  <si>
    <t>9.48_246.1859m/z</t>
  </si>
  <si>
    <t>Desvenlafaxine</t>
  </si>
  <si>
    <t>HMDB0015646</t>
  </si>
  <si>
    <t>93413-62-8</t>
  </si>
  <si>
    <t>CN(C)CC(C1=CC=C(O)C=C1)C1(O)CCCCC1</t>
  </si>
  <si>
    <t>KYYIDSXMWOZKMP-UHFFFAOYSA-N</t>
  </si>
  <si>
    <t>C16H25NO2</t>
  </si>
  <si>
    <t>12.71_301.0111m/z</t>
  </si>
  <si>
    <t>2(3H)-Benzothiazolone</t>
  </si>
  <si>
    <t>HMDB0249030</t>
  </si>
  <si>
    <t>OC1=NC2=CC=CC=C2S1</t>
  </si>
  <si>
    <t>YEDUAINPPJYDJZ-UHFFFAOYSA-N</t>
  </si>
  <si>
    <t>0.74_166.0170m/z</t>
  </si>
  <si>
    <t>L-Cysteine</t>
  </si>
  <si>
    <t>HMDB0000574</t>
  </si>
  <si>
    <t>C00097</t>
  </si>
  <si>
    <t>hsa00260,hsa00270,hsa00430,hsa00470,hsa00480,hsa00730,hsa00770,hsa00920,hsa00970,hsa04122,hsa04216,hsa04974,hsa05230</t>
  </si>
  <si>
    <t>Glycine, serine and threonine metabolism|Cysteine and methionine metabolism|Taurine and hypotaurine metabolism|D-Amino acid metabolism|Glutathione metabolism|Thiamine metabolism|Pantothenate and CoA biosynthesis|Sulfur metabolism|Aminoacyl-tRNA biosynthesis|Sulfur relay system|Ferroptosis|Protein digestion and absorption|Central carbon metabolism in cancer</t>
  </si>
  <si>
    <t>52-90-4</t>
  </si>
  <si>
    <t>N[C@@H](CS)C(O)=O</t>
  </si>
  <si>
    <t>XUJNEKJLAYXESH-REOHCLBHSA-N</t>
  </si>
  <si>
    <t>C3H7NO2S</t>
  </si>
  <si>
    <t>0.62_485.0354m/z</t>
  </si>
  <si>
    <t>N-acetyl-2-carboxy Benzenesulfonamide</t>
  </si>
  <si>
    <t>849067-18-1</t>
  </si>
  <si>
    <t>CC(=O)NS(=O)(=O)C1=CC=CC=C1C(=O)O</t>
  </si>
  <si>
    <t>ADVANFQVCYCSNR-UHFFFAOYSA-N</t>
  </si>
  <si>
    <t>C9H9NO5S</t>
  </si>
  <si>
    <t>6.00_283.1552m/z</t>
  </si>
  <si>
    <t>Geranyl acetoacetate</t>
  </si>
  <si>
    <t>HMDB0038256</t>
  </si>
  <si>
    <t>LMFA07010896</t>
  </si>
  <si>
    <t>10032-00-5</t>
  </si>
  <si>
    <t>C/C(=C\CC/C(=C\COC(=O)CC(=O)C)/C)/C</t>
  </si>
  <si>
    <t>RYILZWKGLGVPOC-WQLSENKSSA-N</t>
  </si>
  <si>
    <t>10.91_339.1917m/z</t>
  </si>
  <si>
    <t>MG(14:1(9Z)/0:0/0:0)</t>
  </si>
  <si>
    <t>HMDB0011562</t>
  </si>
  <si>
    <t>[H][C@](O)(CO)COC(=O)CCCCCCC\C=C/CCCC</t>
  </si>
  <si>
    <t>ARCRKLOZHGPFFJ-KJPDOMRESA-N</t>
  </si>
  <si>
    <t>11.07_777.5475m/z</t>
  </si>
  <si>
    <t>Gamithromycin</t>
  </si>
  <si>
    <t>HMDB0252606</t>
  </si>
  <si>
    <t>CCCN1CC(C)C(O)C(C)(O)C(CC)OC(=O)C(C)C(OC2CC(C)(OC)C(O)C(C)O2)C(C)C(OC2OC(C)CC(C2O)N(C)C)C(C)(O)CC1C</t>
  </si>
  <si>
    <t>VWAMTBXLZPEDQO-UHFFFAOYSA-N</t>
  </si>
  <si>
    <t>C40H76N2O12</t>
  </si>
  <si>
    <t>6.43_179.0706m/z</t>
  </si>
  <si>
    <t>Guaifenesin</t>
  </si>
  <si>
    <t>HMDB0004998</t>
  </si>
  <si>
    <t>93-14-1</t>
  </si>
  <si>
    <t>COC1=CC=CC=C1OCC(O)CO</t>
  </si>
  <si>
    <t>HSRJKNPTNIJEKV-UHFFFAOYSA-N</t>
  </si>
  <si>
    <t>0.76_222.0856m/z</t>
  </si>
  <si>
    <t>3-(2-Hydroxyethyl)histidine</t>
  </si>
  <si>
    <t>HMDB0245773</t>
  </si>
  <si>
    <t>NC(CC1=CN=CN1CCO)C(O)=O</t>
  </si>
  <si>
    <t>GTRAYRSSCLGTSF-UHFFFAOYSA-N</t>
  </si>
  <si>
    <t>C8H13N3O3</t>
  </si>
  <si>
    <t>11.34_407.2417m/z</t>
  </si>
  <si>
    <t>Acetyl-L-carnitine</t>
  </si>
  <si>
    <t>LMFA07070050</t>
  </si>
  <si>
    <t>C02571</t>
  </si>
  <si>
    <t>hsa04931</t>
  </si>
  <si>
    <t>Insulin resistance</t>
  </si>
  <si>
    <t>5080-50-2</t>
  </si>
  <si>
    <t>O(C(C)=O)[C@H](CC(=O)[O-])C[N+](C)(C)C</t>
  </si>
  <si>
    <t>RDHQFKQIGNGIED-MRVPVSSYSA-N</t>
  </si>
  <si>
    <t>0.69_254.0331m/z</t>
  </si>
  <si>
    <t>6-Imidazol-1-yl-7-nitro-1,4-dihydroquinoxaline-2,3-dione</t>
  </si>
  <si>
    <t>HMDB0259953</t>
  </si>
  <si>
    <t>[O-][N+](=O)C1=C(C=C2NC(=O)C(=O)NC2=C1)N1C=CN=C1</t>
  </si>
  <si>
    <t>GBWIZNYOJITVFI-UHFFFAOYSA-N</t>
  </si>
  <si>
    <t>C11H7N5O4</t>
  </si>
  <si>
    <t>14.04_313.3216m/z</t>
  </si>
  <si>
    <t>1,2 Dipalmitoylphosphatidylcholine</t>
  </si>
  <si>
    <t>HMDB0255793</t>
  </si>
  <si>
    <t>CCCCCCCN(CCCCCCC)C(=O)N(CC)CC</t>
  </si>
  <si>
    <t>NCNOHIFPJKVOIA-UHFFFAOYSA-N</t>
  </si>
  <si>
    <t>C19H40N2O</t>
  </si>
  <si>
    <t>532</t>
  </si>
  <si>
    <t>Levan</t>
  </si>
  <si>
    <t>HMDB0003539</t>
  </si>
  <si>
    <t>C01355</t>
  </si>
  <si>
    <t>hsa00051,hsa04973</t>
  </si>
  <si>
    <t>Fructose and mannose metabolism|Carbohydrate digestion and absorption</t>
  </si>
  <si>
    <t>9013-95-0</t>
  </si>
  <si>
    <t>OC[C@H]1O[C@@](CO)(OC[C@H]2O[C@@](CO)(CO[C@H]3O[C@](O)(CO)[C@@H](O)[C@@H]3O)[C@@H](O)[C@@H]2O)[C@@H](O)[C@@H]1O</t>
  </si>
  <si>
    <t>AIHDCSAXVMAMJH-GFBKWZILSA-N</t>
  </si>
  <si>
    <t>C18H32O16</t>
  </si>
  <si>
    <t>3.80_221.1656m/z</t>
  </si>
  <si>
    <t>(2S,3S)-2-Amino-N-benzyl-3-methylpentanamide</t>
  </si>
  <si>
    <t>HMDB0244500</t>
  </si>
  <si>
    <t>CCC(C)C(N)C(=O)NCC1=CC=CC=C1</t>
  </si>
  <si>
    <t>QCNUBIUWWWTVLZ-UHFFFAOYSA-N</t>
  </si>
  <si>
    <t>C13H20N2O</t>
  </si>
  <si>
    <t>11.80_293.2482m/z</t>
  </si>
  <si>
    <t>13(S)-HODE methyl ester</t>
  </si>
  <si>
    <t>109837-85-6</t>
  </si>
  <si>
    <t>CCCCCC(C=CC=CCCCCCCCC(=O)OC)O</t>
  </si>
  <si>
    <t>ZVMLLPSSQZSZOA-UHFFFAOYSA-N</t>
  </si>
  <si>
    <t>10.70_269.2122m/z</t>
  </si>
  <si>
    <t>(-)-Malyngolide</t>
  </si>
  <si>
    <t>CCCCCCCCCC1(CCC(C(=O)O1)C)CO</t>
  </si>
  <si>
    <t>OEXPVULGTKWKEH-ZBFHGGJFSA-N</t>
  </si>
  <si>
    <t>11.63_365.2313m/z</t>
  </si>
  <si>
    <t>3R-HETE</t>
  </si>
  <si>
    <t>LMFA03060023</t>
  </si>
  <si>
    <t>C(/C/C=C\C/C=C\CCCCC)=C/C/C=C\C[C@@H](O)CC(=O)O</t>
  </si>
  <si>
    <t>HVJLGJXEWCPPDB-VXFQMENQSA-N</t>
  </si>
  <si>
    <t>5.09_221.1179m/z</t>
  </si>
  <si>
    <t>Dehydrovomifoliol</t>
  </si>
  <si>
    <t>HMDB0036819</t>
  </si>
  <si>
    <t>C04223</t>
  </si>
  <si>
    <t>15764-81-5</t>
  </si>
  <si>
    <t>CC(=O)\C=C\C1(O)C(C)=CC(=O)CC1(C)C</t>
  </si>
  <si>
    <t>JJRYPZMXNLLZFH-AATRIKPKSA-N</t>
  </si>
  <si>
    <t>13.08_459.0266m/z</t>
  </si>
  <si>
    <t>Pancrelipase</t>
  </si>
  <si>
    <t>HMDB0304827</t>
  </si>
  <si>
    <t>C18724</t>
  </si>
  <si>
    <t>129-67-9</t>
  </si>
  <si>
    <t>[Na+].[Na+].[O-]C(=O)C1C2CCC(O2)C1C([O-])=O</t>
  </si>
  <si>
    <t>XRHVZWWRFMCBAZ-UHFFFAOYSA-L</t>
  </si>
  <si>
    <t>C8H8Na2O5</t>
  </si>
  <si>
    <t>134</t>
  </si>
  <si>
    <t>Caprylic Acid</t>
  </si>
  <si>
    <t>HMDB0000482</t>
  </si>
  <si>
    <t>LMFA01010008</t>
  </si>
  <si>
    <t>C06423</t>
  </si>
  <si>
    <t>hsa00061,hsa00785</t>
  </si>
  <si>
    <t>Fatty acid biosynthesis|Lipoic acid metabolism</t>
  </si>
  <si>
    <t>R-HSA-2980736,R-HSA-381753,R-HSA-392499,R-HSA-422085,R-HSA-9709957</t>
  </si>
  <si>
    <t>Peptide hormone metabolism|Olfactory Signaling Pathway|Metabolism of proteins|Synthesis, secretion, and deacylation of Ghrelin|Sensory Perception</t>
  </si>
  <si>
    <t>124-07-2</t>
  </si>
  <si>
    <t>CCCCCCCC(=O)O</t>
  </si>
  <si>
    <t>WWZKQHOCKIZLMA-UHFFFAOYSA-N</t>
  </si>
  <si>
    <t>9.40_211.0355m/z</t>
  </si>
  <si>
    <t>3-Nitrobenzaldoxime</t>
  </si>
  <si>
    <t>HMDB0245946</t>
  </si>
  <si>
    <t>ON=CC1=CC(=CC=C1)[N+]([O-])=O</t>
  </si>
  <si>
    <t>GQMMRLBWXCGBEV-UHFFFAOYSA-N</t>
  </si>
  <si>
    <t>C7H6N2O3</t>
  </si>
  <si>
    <t>1.01_235.1196m/z</t>
  </si>
  <si>
    <t>Histidylproline</t>
  </si>
  <si>
    <t>HMDB0028893</t>
  </si>
  <si>
    <t>20930-58-9</t>
  </si>
  <si>
    <t>N[C@@H](CC1=CNC=N1)C(=O)N1CCC[C@H]1C(O)=O</t>
  </si>
  <si>
    <t>LNCFUHAPNTYMJB-IUCAKERBSA-N</t>
  </si>
  <si>
    <t>9.99_211.1335m/z</t>
  </si>
  <si>
    <t>Dihydro-3-(1-octenyl)-2,5-furandione</t>
  </si>
  <si>
    <t>HMDB0037816</t>
  </si>
  <si>
    <t>7757-96-2</t>
  </si>
  <si>
    <t>CCCCCC\C=C\C1CC(=O)OC1=O</t>
  </si>
  <si>
    <t>FLISWPFVWWWNNP-BQYQJAHWSA-N</t>
  </si>
  <si>
    <t>4.71_394.1986m/z</t>
  </si>
  <si>
    <t>Phe Asp Ile</t>
  </si>
  <si>
    <t>CCC(C)C(C(=O)O)NC(=O)C(CC(=O)O)NC(=O)C(CC1=CC=CC=C1)N</t>
  </si>
  <si>
    <t>IUVYJBMTHARMIP-PCBIJLKTSA-N</t>
  </si>
  <si>
    <t>C19H27N3O6</t>
  </si>
  <si>
    <t>7.05_357.0620m/z</t>
  </si>
  <si>
    <t>Aflatoxin B1</t>
  </si>
  <si>
    <t>HMDB0006552</t>
  </si>
  <si>
    <t>C06800</t>
  </si>
  <si>
    <t>hsa00980,hsa05204,hsa05225</t>
  </si>
  <si>
    <t>Metabolism of xenobiotics by cytochrome P450|Chemical carcinogenesis - DNA adducts|Hepatocellular carcinoma</t>
  </si>
  <si>
    <t>R-HSA-1430728,R-HSA-211859,R-HSA-211897,R-HSA-211945,R-HSA-211981,R-HSA-5423646</t>
  </si>
  <si>
    <t>Metabolism|Biological oxidations|Cytochrome P450 - arranged by substrate type|Phase I - Functionalization of compounds|Xenobiotics|Aflatoxin activation and detoxification</t>
  </si>
  <si>
    <t>1162-65-8</t>
  </si>
  <si>
    <t>[H][C@]12OC=C[C@@]1([H])C1=C(O2)C=C(OC)C2=C1OC(=O)C1=C2CCC1=O</t>
  </si>
  <si>
    <t>OQIQSTLJSLGHID-WNWIJWBNSA-N</t>
  </si>
  <si>
    <t>2.82_177.1028m/z</t>
  </si>
  <si>
    <t>4-Methylaminorex</t>
  </si>
  <si>
    <t>HMDB0246502</t>
  </si>
  <si>
    <t>CC1N=C(N)OC1C1=CC=CC=C1</t>
  </si>
  <si>
    <t>LJQBMYDFWFGESC-UHFFFAOYSA-N</t>
  </si>
  <si>
    <t>C10H12N2O</t>
  </si>
  <si>
    <t>9.34_409.1767m/z</t>
  </si>
  <si>
    <t>Benfuracarb</t>
  </si>
  <si>
    <t>HMDB0248952</t>
  </si>
  <si>
    <t>C11073</t>
  </si>
  <si>
    <t>82560-54-1</t>
  </si>
  <si>
    <t>CCOC(=O)CCN(SN(C)C(=O)OC1=CC=CC2=C1OC(C)(C)C2)C(C)C</t>
  </si>
  <si>
    <t>FYZBOYWSHKHDMT-UHFFFAOYSA-N</t>
  </si>
  <si>
    <t>Coumarans</t>
  </si>
  <si>
    <t>C20H30N2O5S</t>
  </si>
  <si>
    <t>9.95_576.2866m/z</t>
  </si>
  <si>
    <t>Implitapide</t>
  </si>
  <si>
    <t>HMDB0259646</t>
  </si>
  <si>
    <t>CC1=NC2=C(C3=CC=CC=C3N2CC2=CC(=CC=C2)C(C2CCCC2)C(=O)NC(CO)C2=CC=CC=C2)C(C)=C1</t>
  </si>
  <si>
    <t>AMNXBQPRODZJQR-UHFFFAOYSA-N</t>
  </si>
  <si>
    <t>C35H37N3O2</t>
  </si>
  <si>
    <t>461</t>
  </si>
  <si>
    <t>D-Mannose 6-Phosphate</t>
  </si>
  <si>
    <t>HMDB0304312</t>
  </si>
  <si>
    <t>C00275</t>
  </si>
  <si>
    <t>hsa00051,hsa00520,hsa04142</t>
  </si>
  <si>
    <t>Fructose and mannose metabolism|Amino sugar and nucleotide sugar metabolism|Lysosome</t>
  </si>
  <si>
    <t>OC1O[C@H](COP(O)(O)=O)[C@@H](O)[C@H](O)[C@@H]1O</t>
  </si>
  <si>
    <t>NBSCHQHZLSJFNQ-QTVWNMPRSA-N</t>
  </si>
  <si>
    <t>C6H13O9P</t>
  </si>
  <si>
    <t>163</t>
  </si>
  <si>
    <t>N-Methylhydantoin</t>
  </si>
  <si>
    <t>HMDB0003646</t>
  </si>
  <si>
    <t>C02565</t>
  </si>
  <si>
    <t>616-04-6</t>
  </si>
  <si>
    <t>CN1CC(=O)NC1=O</t>
  </si>
  <si>
    <t>RHYBFKMFHLPQPH-UHFFFAOYSA-N</t>
  </si>
  <si>
    <t>Imidazolines</t>
  </si>
  <si>
    <t>C4H6N2O2</t>
  </si>
  <si>
    <t>11.13_368.2811m/z</t>
  </si>
  <si>
    <t>MG(18:4(6Z,9Z,12Z,15Z)/0:0/0:0)</t>
  </si>
  <si>
    <t>HMDB0011571</t>
  </si>
  <si>
    <t>[H][C@](O)(CO)COC(=O)CCCC\C=C/C\C=C/C\C=C/C\C=C/CC</t>
  </si>
  <si>
    <t>YICVZGXPPMTJCG-LIYQNMAISA-N</t>
  </si>
  <si>
    <t>5.22_249.0921m/z</t>
  </si>
  <si>
    <t>(E)-4-[5-(4-Hydroxyphenoxy)-3-penten-1-ynyl]phenol</t>
  </si>
  <si>
    <t>HMDB0041447</t>
  </si>
  <si>
    <t>166762-98-7</t>
  </si>
  <si>
    <t>OC1=CC=C(OC\C=C/C#CC2=CC=C(O)C=C2)C=C1</t>
  </si>
  <si>
    <t>GXRXAVMCQJHRCM-IWQZZHSRSA-N</t>
  </si>
  <si>
    <t>4-alkoxyphenols</t>
  </si>
  <si>
    <t>C17H14O3</t>
  </si>
  <si>
    <t>7.59_289.2536m/z</t>
  </si>
  <si>
    <t>2-Cyclopentene-1-pentadec-9c-enoic acid</t>
  </si>
  <si>
    <t>LMFA01140039</t>
  </si>
  <si>
    <t>C(O)(=O)CCCCCCC/C=C\CCCCCC1CCC=C1</t>
  </si>
  <si>
    <t>GFPRKNCSMMGSNS-IWQZZHSRSA-N</t>
  </si>
  <si>
    <t>4.40_211.0606m/z</t>
  </si>
  <si>
    <t>beta-(2-Methoxyphenoxy)-lactic acid</t>
  </si>
  <si>
    <t>HMDB0060557</t>
  </si>
  <si>
    <t>COC1=CC=CC=C1OCC(O)C(O)=O</t>
  </si>
  <si>
    <t>MXVBBOLVTSAHEX-UHFFFAOYSA-N</t>
  </si>
  <si>
    <t>C10H12O5</t>
  </si>
  <si>
    <t>12.05_447.3116m/z</t>
  </si>
  <si>
    <t>1alpha,25-dihydroxy-21-norvitamin D3 / 1alpha,25-dihydroxy-21-norcholecalciferol</t>
  </si>
  <si>
    <t>LMST03020048</t>
  </si>
  <si>
    <t>[C@@H]1(O)C(=C)/C(=C\C=C2\[C@]3([H])CC[C@@](CCCCC(O)(C)C)([H])[C@@]3(C)CCC\2)/C[C@@H](O)C1</t>
  </si>
  <si>
    <t>AUXHOSNBFNGFED-BQXVGYHGSA-N</t>
  </si>
  <si>
    <t>3.65_210.9932n</t>
  </si>
  <si>
    <t>Stattic</t>
  </si>
  <si>
    <t>HMDB0258488</t>
  </si>
  <si>
    <t>[O-][N+](=O)C1=CC2=C(C=CS2(=O)=O)C=C1</t>
  </si>
  <si>
    <t>ZRRGOUHITGRLBA-UHFFFAOYSA-N</t>
  </si>
  <si>
    <t>C8H5NO4S</t>
  </si>
  <si>
    <t>5.06_481.3185m/z</t>
  </si>
  <si>
    <t>20-hydroxyecdysone</t>
  </si>
  <si>
    <t>HMDB0030180</t>
  </si>
  <si>
    <t>LMST01010209</t>
  </si>
  <si>
    <t>C02633</t>
  </si>
  <si>
    <t>5289-74-7</t>
  </si>
  <si>
    <t>C1[C@H](O)[C@H](O)C[C@@]2([H])C(=O)C=C3[C@@](CC[C@]4([C@@]3(O)CC[C@]4([H])[C@](O)(C)[C@H](O)CCC(O)(C)C)C)([H])[C@]21C</t>
  </si>
  <si>
    <t>NKDFYOWSKOHCCO-YPVLXUMRSA-N</t>
  </si>
  <si>
    <t>C27H44O7</t>
  </si>
  <si>
    <t>5.08_315.1815m/z</t>
  </si>
  <si>
    <t>4-keto-n-caprylic acid</t>
  </si>
  <si>
    <t>LMFA01060018</t>
  </si>
  <si>
    <t>C(CCC)C(=O)CCC(=O)O</t>
  </si>
  <si>
    <t>RITBMTJPNSJVHF-UHFFFAOYSA-N</t>
  </si>
  <si>
    <t>0.60_427.1530m/z</t>
  </si>
  <si>
    <t>Isochandalone</t>
  </si>
  <si>
    <t>LMPK12050209</t>
  </si>
  <si>
    <t>C1(O)C(C/C=C(\C)/C)=C(O)C2C(=O)C(C3=CC4C=CC(C)(C)OC=4C=C3)=COC=2C=1</t>
  </si>
  <si>
    <t>CUDNUXBRPAPDBJ-UHFFFAOYSA-N</t>
  </si>
  <si>
    <t>C25H24O5</t>
  </si>
  <si>
    <t>1.00_297.0704m/z</t>
  </si>
  <si>
    <t>Mefenacet</t>
  </si>
  <si>
    <t>HMDB0254408</t>
  </si>
  <si>
    <t>C14525</t>
  </si>
  <si>
    <t>73250-68-7</t>
  </si>
  <si>
    <t>CN(C(=O)COC1=NC2=CC=CC=C2S1)C1=CC=CC=C1</t>
  </si>
  <si>
    <t>XIGAUIHYSDTJHW-UHFFFAOYSA-N</t>
  </si>
  <si>
    <t>C16H14N2O2S</t>
  </si>
  <si>
    <t>6.20_223.0972m/z</t>
  </si>
  <si>
    <t>Alongside</t>
  </si>
  <si>
    <t>HMDB0248179</t>
  </si>
  <si>
    <t>CC1CC=CC(=O)CC=CC(O)CC(=O)O1</t>
  </si>
  <si>
    <t>BKNQGBKAJUUPBQ-UHFFFAOYSA-N</t>
  </si>
  <si>
    <t>2.35_217.1190m/z</t>
  </si>
  <si>
    <t>Serylisoleucine</t>
  </si>
  <si>
    <t>HMDB0029042</t>
  </si>
  <si>
    <t>91086-51-0</t>
  </si>
  <si>
    <t>CC[C@H](C)[C@H](NC(=O)[C@@H](N)CO)C(O)=O</t>
  </si>
  <si>
    <t>BXLYSRPHVMCOPS-ACZMJKKPSA-N</t>
  </si>
  <si>
    <t>11.44_343.0826m/z</t>
  </si>
  <si>
    <t>RETUSIN 7-METHYL ETHER</t>
  </si>
  <si>
    <t>COC1=CC=C(C=C1)C2=COC3=C(C2=O)C=CC(=C3O)OC</t>
  </si>
  <si>
    <t>RRCYPDDIDYVEIW-UHFFFAOYSA-N</t>
  </si>
  <si>
    <t>11.65_337.1998m/z</t>
  </si>
  <si>
    <t>Mueggelone</t>
  </si>
  <si>
    <t>LMFA07040153</t>
  </si>
  <si>
    <t>C1CCCC(=O)OC(/C=C/C2OC2C/C=C\CC)CCC1</t>
  </si>
  <si>
    <t>NQKZDMRQSOUOJH-MKZMYESJSA-N</t>
  </si>
  <si>
    <t>3.33_216.9800m/z</t>
  </si>
  <si>
    <t>4-Methylcatechol sulfate</t>
  </si>
  <si>
    <t>HMDB0242166</t>
  </si>
  <si>
    <t>CC1=C2OS(=O)(=O)OC1=C(O)C(O)=C2</t>
  </si>
  <si>
    <t>AATDNGCLCGOWJE-UHFFFAOYSA-N</t>
  </si>
  <si>
    <t>C7H6O6S</t>
  </si>
  <si>
    <t>10.99_761.5222m/z</t>
  </si>
  <si>
    <t>SM(d18:2(4E,14Z)/20:5(5Z,8Z,10E,14Z,17Z)-OH(12))</t>
  </si>
  <si>
    <t>HMDB0290588</t>
  </si>
  <si>
    <t>[H][C@@](COP([O-])(=O)OCC[N+](C)(C)C)(NC(=O)CCC\C=C/C\C=C/C=C/C(O)C\C=C/C\C=C/CC)[C@H](O)\C=C\CCCCCCCC\C=C/CCC</t>
  </si>
  <si>
    <t>AREXAUNPJLPJKV-MJSVTGPMSA-N</t>
  </si>
  <si>
    <t>C43H75N2O7P</t>
  </si>
  <si>
    <t>12.44_283.2642m/z</t>
  </si>
  <si>
    <t>Dihydroisophorol</t>
  </si>
  <si>
    <t>HMDB0029557</t>
  </si>
  <si>
    <t>116-02-9</t>
  </si>
  <si>
    <t>CC1CC(O)CC(C)(C)C1</t>
  </si>
  <si>
    <t>BRRVXFOKWJKTGG-UHFFFAOYSA-N</t>
  </si>
  <si>
    <t>4.57_310.1477m/z</t>
  </si>
  <si>
    <t>Hydroxyprolyl-Arginine</t>
  </si>
  <si>
    <t>HMDB0028857</t>
  </si>
  <si>
    <t>NC(=N)NCCCC(NC(=O)C1CC(O)CN1)C(O)=O</t>
  </si>
  <si>
    <t>AZDCVMCXGLWYHN-UHFFFAOYSA-N</t>
  </si>
  <si>
    <t>C11H21N5O4</t>
  </si>
  <si>
    <t>10.97_448.1560m/z</t>
  </si>
  <si>
    <t>Pitavastatin Lactone</t>
  </si>
  <si>
    <t>HMDB0256618</t>
  </si>
  <si>
    <t>OC1CC(OC(=O)C1)C=CC1=C(C2=CC=C(F)C=C2)C2=CC=CC=C2N=C1C1CC1</t>
  </si>
  <si>
    <t>XJVKVAFYQRWVAJ-UHFFFAOYSA-N</t>
  </si>
  <si>
    <t>C25H22FNO3</t>
  </si>
  <si>
    <t>1.27_262.0144m/z</t>
  </si>
  <si>
    <t>2-Hydroxy-4-methoxyacetophenone 5-sulfate</t>
  </si>
  <si>
    <t>HMDB0041648</t>
  </si>
  <si>
    <t>COC1=CC(O)=C(C=C1OS(O)(=O)=O)C(C)=O</t>
  </si>
  <si>
    <t>IFFSTUJRUZMSDG-UHFFFAOYSA-N</t>
  </si>
  <si>
    <t>C9H10O7S</t>
  </si>
  <si>
    <t>14.33_533.4219m/z</t>
  </si>
  <si>
    <t>DG(i-12:0/18:3(9,11,15)-OH(13)/0:0)</t>
  </si>
  <si>
    <t>HMDB0298489</t>
  </si>
  <si>
    <t>CC\C=C\CC(O)\C=C\C=C\CCCCCCCC(=O)O[C@@H](CO)COC(=O)CCCCCCCCC(C)C</t>
  </si>
  <si>
    <t>DVGDRSNIWDQPRM-YLNPRZJSSA-N</t>
  </si>
  <si>
    <t>C33H58O6</t>
  </si>
  <si>
    <t>10.15_313.1225m/z</t>
  </si>
  <si>
    <t>Carbestrol</t>
  </si>
  <si>
    <t>C14660</t>
  </si>
  <si>
    <t>1755-52-8</t>
  </si>
  <si>
    <t>CCC1=C(CCC(C1C)C(=O)O)C2=CC=C(C=C2)OC</t>
  </si>
  <si>
    <t>VJKVHUZOVAWKEB-UHFFFAOYSA-N</t>
  </si>
  <si>
    <t>C17H22O3</t>
  </si>
  <si>
    <t>356</t>
  </si>
  <si>
    <t>Hydroxyphenyllactic Acid</t>
  </si>
  <si>
    <t>HMDB0000755</t>
  </si>
  <si>
    <t>C03672</t>
  </si>
  <si>
    <t>306-23-0</t>
  </si>
  <si>
    <t>OC(CC1=CC=C(O)C=C1)C(O)=O</t>
  </si>
  <si>
    <t>JVGVDSSUAVXRDY-UHFFFAOYSA-N</t>
  </si>
  <si>
    <t>C9H10O4</t>
  </si>
  <si>
    <t>10.73_464.3514n</t>
  </si>
  <si>
    <t>3alpha,7alpha,12alpha-Trihydroxy-24-methyl-5beta-Cholestan-26-oic acid</t>
  </si>
  <si>
    <t>LMST04040002</t>
  </si>
  <si>
    <t>C1[C@]2(C)[C@@]3([H])C[C@H](O)[C@]4(C)[C@@]([H])([C@]([H])(C)CCC(C)C(C)C(O)=O)CC[C@@]4([H])[C@]3([H])[C@H](O)C[C@]2([H])C[C@H](O)C1</t>
  </si>
  <si>
    <t>KNFSIJCTWSWAOV-BIZJTFIWSA-N</t>
  </si>
  <si>
    <t>0.58_243.1096m/z</t>
  </si>
  <si>
    <t>His Ser</t>
  </si>
  <si>
    <t>C1=C(NC=N1)CC(C(=O)NC(CO)C(=O)O)N</t>
  </si>
  <si>
    <t>KRBMQYPTDYSENE-UHFFFAOYSA-N</t>
  </si>
  <si>
    <t>0.60_359.1654m/z</t>
  </si>
  <si>
    <t>6-(alpha-D-Glucosaminyl)-1D-myo-inositol</t>
  </si>
  <si>
    <t>HMDB0011668</t>
  </si>
  <si>
    <t>C15658</t>
  </si>
  <si>
    <t>N[C@@H]1[C@@H](O)[C@H](O)[C@@H](CO)O[C@@H]1O[C@@H]1[C@@H](O)[C@H](O)[C@@H](O)[C@@H](O)[C@H]1O</t>
  </si>
  <si>
    <t>HEPUIGACZYVUCD-YZRQSVRMSA-N</t>
  </si>
  <si>
    <t>C12H23NO10</t>
  </si>
  <si>
    <t>4.28_587.1931m/z</t>
  </si>
  <si>
    <t>AG-490</t>
  </si>
  <si>
    <t>133550-30-8</t>
  </si>
  <si>
    <t>C1=CC=C(C=C1)CNC(=O)C(=CC2=CC(=C(C=C2)O)O)C#N</t>
  </si>
  <si>
    <t>TUCIOBMMDDOEMM-RIYZIHGNSA-N</t>
  </si>
  <si>
    <t>C17H14N2O3</t>
  </si>
  <si>
    <t>116</t>
  </si>
  <si>
    <t>3-Aminobutanoic Acid</t>
  </si>
  <si>
    <t>HMDB0031654</t>
  </si>
  <si>
    <t>541-48-0</t>
  </si>
  <si>
    <t>CC(N)CC(O)=O</t>
  </si>
  <si>
    <t>OQEBBZSWEGYTPG-UHFFFAOYSA-N</t>
  </si>
  <si>
    <t>11.07_443.1533m/z</t>
  </si>
  <si>
    <t>6-Fluoro-DL-tryptophan</t>
  </si>
  <si>
    <t>HMDB0247058</t>
  </si>
  <si>
    <t>NC(CC1=CNC2=C1C=CC(F)=C2)C(O)=O</t>
  </si>
  <si>
    <t>YMEXGEAJNZRQEH-UHFFFAOYSA-N</t>
  </si>
  <si>
    <t>C11H11FN2O2</t>
  </si>
  <si>
    <t>13.06_530.3100m/z</t>
  </si>
  <si>
    <t>Val-Tyr-Leu-Arg</t>
  </si>
  <si>
    <t>HMDB0304815</t>
  </si>
  <si>
    <t>CC(C)CC(N=C(O)C(CC1=CC=C(O)C=C1)N=C(O)C(N)C(C)C)C(O)=NC(CCCNC(N)=N)C(O)=O</t>
  </si>
  <si>
    <t>PQXJRCMPKACZNI-UHFFFAOYSA-N</t>
  </si>
  <si>
    <t>C26H43N7O6</t>
  </si>
  <si>
    <t>2.16_246.1457m/z</t>
  </si>
  <si>
    <t>Isoleucyl-Asparagine</t>
  </si>
  <si>
    <t>HMDB0028902</t>
  </si>
  <si>
    <t>CCC(C)C(N)C(=O)NC(CC(N)=O)C(O)=O</t>
  </si>
  <si>
    <t>HZYHBDVRCBDJJV-UHFFFAOYSA-N</t>
  </si>
  <si>
    <t>14.05_501.3954m/z</t>
  </si>
  <si>
    <t>Onocerin</t>
  </si>
  <si>
    <t>LMPR0106230004</t>
  </si>
  <si>
    <t>C1C[C@]2(C)[C@@H](CC[C@]3(C)[C@@]4(C)CCC(O)C(C)(C)[C@]4([H])CCC3=C)C(=C)CC[C@@]2([H])C(C)(C)[C@H]1O</t>
  </si>
  <si>
    <t>LZCBSDCEOLCIOF-MLMKHFPESA-N</t>
  </si>
  <si>
    <t>C31H52O2</t>
  </si>
  <si>
    <t>12.01_538.3519m/z</t>
  </si>
  <si>
    <t>PE(P-20:0/0:0)</t>
  </si>
  <si>
    <t>LMGP02070004</t>
  </si>
  <si>
    <t>[C@](COP(=O)(O)OCCN)([H])(O)CO/C=C\CCCCCCCCCCCCCCCCCC</t>
  </si>
  <si>
    <t>GBHFCJJMZAWCCH-HFQDTZRISA-N</t>
  </si>
  <si>
    <t>C25H52NO6P</t>
  </si>
  <si>
    <t>8.58_245.1542m/z</t>
  </si>
  <si>
    <t>Ametryn</t>
  </si>
  <si>
    <t>HMDB0248288</t>
  </si>
  <si>
    <t>C18700</t>
  </si>
  <si>
    <t>834-12-8</t>
  </si>
  <si>
    <t>CCNC1=NC(NC(C)C)=NC(SC)=N1</t>
  </si>
  <si>
    <t>RQVYBGPQFYCBGX-UHFFFAOYSA-N</t>
  </si>
  <si>
    <t>1,3,5-triazines</t>
  </si>
  <si>
    <t>C9H17N5S</t>
  </si>
  <si>
    <t>10.10_606.3029m/z</t>
  </si>
  <si>
    <t>PKHdiA-PE</t>
  </si>
  <si>
    <t>LMGP20020016</t>
  </si>
  <si>
    <t>[C@](COP(=O)(O)OCCN)([H])(OC(CCC(=O)/C=C/C(=O)O)=O)COC(CCCCCCCCCCCCCCC)=O</t>
  </si>
  <si>
    <t>UAQNHOYAWYONCV-QQDPUAARSA-N</t>
  </si>
  <si>
    <t>C28H50NO11P</t>
  </si>
  <si>
    <t>8.37_227.1286m/z</t>
  </si>
  <si>
    <t>Butanedioic acid, octenyl-</t>
  </si>
  <si>
    <t>HMDB0249455</t>
  </si>
  <si>
    <t>OC(=O)CCC(=O)OCCCCCCC=C</t>
  </si>
  <si>
    <t>GUOCOOQWZHQBJI-UHFFFAOYSA-N</t>
  </si>
  <si>
    <t>3.69_372.0874m/z</t>
  </si>
  <si>
    <t>Arotinolol</t>
  </si>
  <si>
    <t>HMDB0248613</t>
  </si>
  <si>
    <t>CC(C)(C)NCC(O)CSC1=NC(=CS1)C1=CC=C(S1)C(N)=O</t>
  </si>
  <si>
    <t>BHIAIPWSVYSKJS-UHFFFAOYSA-N</t>
  </si>
  <si>
    <t>Thiophene carboxylic acids and derivatives</t>
  </si>
  <si>
    <t>C15H21N3O2S3</t>
  </si>
  <si>
    <t>201</t>
  </si>
  <si>
    <t>Diglycolic Acid</t>
  </si>
  <si>
    <t>HMDB0251283</t>
  </si>
  <si>
    <t>OC(=O)COCC(O)=O</t>
  </si>
  <si>
    <t>QEVGZEDELICMKH-UHFFFAOYSA-N</t>
  </si>
  <si>
    <t>3.74_461.1892m/z</t>
  </si>
  <si>
    <t>gamma-Glutamyl-2-aminobutyrate</t>
  </si>
  <si>
    <t>HMDB0242176</t>
  </si>
  <si>
    <t>CCC(NC(=O)CCC([NH3+])C([O-])=O)C([O-])=O</t>
  </si>
  <si>
    <t>FUZOZPRKGAXGOB-UHFFFAOYSA-M</t>
  </si>
  <si>
    <t>C9H15N2O5-</t>
  </si>
  <si>
    <t>0.76_155.0201m/z</t>
  </si>
  <si>
    <t>Dimethyl sulfoxide</t>
  </si>
  <si>
    <t>HMDB0002151</t>
  </si>
  <si>
    <t>C11143</t>
  </si>
  <si>
    <t>hsa00920</t>
  </si>
  <si>
    <t>Sulfur metabolism</t>
  </si>
  <si>
    <t>67-68-5</t>
  </si>
  <si>
    <t>CS(C)=O</t>
  </si>
  <si>
    <t>IAZDPXIOMUYVGZ-UHFFFAOYSA-N</t>
  </si>
  <si>
    <t>C2H6OS</t>
  </si>
  <si>
    <t>7.06_385.1685m/z</t>
  </si>
  <si>
    <t>Antiarone K</t>
  </si>
  <si>
    <t>LMPK12120278</t>
  </si>
  <si>
    <t>C1=CC(OC)=C(OC)C2C[C@@H](C(C)(O)C)[C@@]([H])(C1=2)CC(=O)C1C(O)=CC(O)=CC=1O</t>
  </si>
  <si>
    <t>KYTOWOLLYORKTN-UKRRQHHQSA-N</t>
  </si>
  <si>
    <t>C22H26O7</t>
  </si>
  <si>
    <t>10.25_561.2566m/z</t>
  </si>
  <si>
    <t>4-(4-Fluoronaphthalen-1-yl)-6-isopropylpyrimidin-2-amine</t>
  </si>
  <si>
    <t>HMDB0244859</t>
  </si>
  <si>
    <t>CC(C)C1=NC(N)=NC(=C1)C1=CC=C(F)C2=CC=CC=C12</t>
  </si>
  <si>
    <t>ZZZQXCUPAJFVBN-UHFFFAOYSA-N</t>
  </si>
  <si>
    <t>C17H16FN3</t>
  </si>
  <si>
    <t>4.61_343.1903m/z</t>
  </si>
  <si>
    <t>Malabaricone B</t>
  </si>
  <si>
    <t>HMDB0254307</t>
  </si>
  <si>
    <t>OC1=CC=C(CCCCCCCCC(=O)C2=C(O)C=CC=C2O)C=C1</t>
  </si>
  <si>
    <t>KOAPDMKKECXPHX-UHFFFAOYSA-N</t>
  </si>
  <si>
    <t>C21H26O4</t>
  </si>
  <si>
    <t>10.21_351.1474m/z</t>
  </si>
  <si>
    <t>Praziquantel</t>
  </si>
  <si>
    <t>HMDB0015191</t>
  </si>
  <si>
    <t>C07367</t>
  </si>
  <si>
    <t>55268-74-1</t>
  </si>
  <si>
    <t>O=C(C1CCCCC1)N1CC2N(CCC3=CC=CC=C23)C(=O)C1</t>
  </si>
  <si>
    <t>FSVJFNAIGNNGKK-UHFFFAOYSA-N</t>
  </si>
  <si>
    <t>C19H24N2O2</t>
  </si>
  <si>
    <t>7.07_223.0972m/z</t>
  </si>
  <si>
    <t>3-(2-Hydroxy-4-methylphenyl)-2-butanone</t>
  </si>
  <si>
    <t>HMDB0038179</t>
  </si>
  <si>
    <t>83810-64-4</t>
  </si>
  <si>
    <t>CC(C(C)=O)C1=C(O)C=C(C)C=C1</t>
  </si>
  <si>
    <t>YWKYLGVKGIAHDU-UHFFFAOYSA-N</t>
  </si>
  <si>
    <t>0.77_302.0501n</t>
  </si>
  <si>
    <t>9-(2,6-Dioxo-3H-purin-9-yl)-3H-purine-2,6-dione</t>
  </si>
  <si>
    <t>HMDB0257773</t>
  </si>
  <si>
    <t>O=C1NC2=C(N=CN2N2C=NC3=C2NC(=O)NC3=O)C(=O)N1</t>
  </si>
  <si>
    <t>LLFQXBCTHVBLEI-UHFFFAOYSA-N</t>
  </si>
  <si>
    <t>C10H6N8O4</t>
  </si>
  <si>
    <t>11.88_184.1700m/z</t>
  </si>
  <si>
    <t>11-amino-undecanoic acid</t>
  </si>
  <si>
    <t>LMFA01100004</t>
  </si>
  <si>
    <t>C19325</t>
  </si>
  <si>
    <t>C(CCCCCCCCCCN)(=O)O</t>
  </si>
  <si>
    <t>GUOSQNAUYHMCRU-UHFFFAOYSA-N</t>
  </si>
  <si>
    <t>C11H23NO2</t>
  </si>
  <si>
    <t>11.49_484.3409n</t>
  </si>
  <si>
    <t>(25S)-5alpha-cholestan-3beta,6alpha,7beta,8beta,15alpha,16beta,26-heptol</t>
  </si>
  <si>
    <t>LMST01010327</t>
  </si>
  <si>
    <t>C1[C@]2(C)[C@@]3([H])CC[C@]4(C)[C@@]([H])([C@]([H])(C)CCC[C@@H](CO)C)[C@@H](O)[C@H](O)[C@@]4([H])[C@]3(O)[C@@H](O)[C@H](O)[C@@]2([H])C[C@@H](O)C1</t>
  </si>
  <si>
    <t>VHACFTUFOBCYNP-YDVWPAHASA-N</t>
  </si>
  <si>
    <t>C27H48O7</t>
  </si>
  <si>
    <t>0.82_169.0923n</t>
  </si>
  <si>
    <t>5-Ethyl-4-methyl-2-(1-methylethyl)thiazole</t>
  </si>
  <si>
    <t>HMDB0040082</t>
  </si>
  <si>
    <t>53498-31-0</t>
  </si>
  <si>
    <t>CCC1=C(C)N=C(S1)C(C)C</t>
  </si>
  <si>
    <t>AYEGWZGUAQDVNB-UHFFFAOYSA-N</t>
  </si>
  <si>
    <t>C9H15NS</t>
  </si>
  <si>
    <t>9.87_410.2571m/z</t>
  </si>
  <si>
    <t>tilorone</t>
  </si>
  <si>
    <t>HMDB0259096</t>
  </si>
  <si>
    <t>27591-69-1</t>
  </si>
  <si>
    <t>CCN(CC)CCOC1=CC2=C(C=C1)C1=C(C=C(OCCN(CC)CC)C=C1)C2=O</t>
  </si>
  <si>
    <t>MPMFCABZENCRHV-UHFFFAOYSA-N</t>
  </si>
  <si>
    <t>C25H34N2O3</t>
  </si>
  <si>
    <t>3.71_224.1765m/z</t>
  </si>
  <si>
    <t>Agrocybenine</t>
  </si>
  <si>
    <t>HMDB0041445</t>
  </si>
  <si>
    <t>178764-92-6</t>
  </si>
  <si>
    <t>CC1=C2NC(C)(C)CC2=NC(C)(C)C1=O</t>
  </si>
  <si>
    <t>OTBGQBSPIWKINO-UHFFFAOYSA-N</t>
  </si>
  <si>
    <t>5.06_236.0805n</t>
  </si>
  <si>
    <t>4-Acetylaminohippuric acid</t>
  </si>
  <si>
    <t>HMDB0246331</t>
  </si>
  <si>
    <t>CC(=O)NC1=CC=C(C=C1)C(=O)NCC(O)=O</t>
  </si>
  <si>
    <t>VLSCGEIQKZBMEA-UHFFFAOYSA-N</t>
  </si>
  <si>
    <t>C11H12N2O4</t>
  </si>
  <si>
    <t>5.11_471.1132m/z</t>
  </si>
  <si>
    <t>Sorbinil</t>
  </si>
  <si>
    <t>HMDB0258388</t>
  </si>
  <si>
    <t>FC1=CC2=C(OCCC22NC(=O)NC2=O)C=C1</t>
  </si>
  <si>
    <t>LXANPKRCLVQAOG-UHFFFAOYSA-N</t>
  </si>
  <si>
    <t>C11H9FN2O3</t>
  </si>
  <si>
    <t>6.17_405.1920m/z</t>
  </si>
  <si>
    <t>Cortisone</t>
  </si>
  <si>
    <t>HMDB0002802</t>
  </si>
  <si>
    <t>LMST02030090</t>
  </si>
  <si>
    <t>C00762</t>
  </si>
  <si>
    <t>hsa00140,hsa04960</t>
  </si>
  <si>
    <t>Steroid hormone biosynthesis|Aldosterone-regulated sodium reabsorption</t>
  </si>
  <si>
    <t>R-HSA-1430728,R-HSA-194002,R-HSA-196071,R-HSA-556833,R-HSA-8957322,R-HSA-9709957,R-HSA-9717189,R-HSA-9717207</t>
  </si>
  <si>
    <t>Metabolism|Glucocorticoid biosynthesis|Metabolism of steroid hormones|Metabolism of lipids|Metabolism of steroids|Sensory Perception|Sensory perception of taste|Sensory perception of sweet, bitter, and umami (glutamate) taste</t>
  </si>
  <si>
    <t>53-06-5</t>
  </si>
  <si>
    <t>[C@@]12([H])CC[C@](O)(C(=O)CO)[C@@]1(C)CC(=O)[C@]1([H])[C@@]3(C)CCC(=O)C=C3CC[C@@]21[H]</t>
  </si>
  <si>
    <t>MFYSYFVPBJMHGN-ZPOLXVRWSA-N</t>
  </si>
  <si>
    <t>1.01_246.0561m/z</t>
  </si>
  <si>
    <t>N-Cyclohexyltaurine</t>
  </si>
  <si>
    <t>HMDB0255106</t>
  </si>
  <si>
    <t>OS(=O)(=O)CCNC1CCCCC1</t>
  </si>
  <si>
    <t>MKWKNSIESPFAQN-UHFFFAOYSA-N</t>
  </si>
  <si>
    <t>11.79_489.3588m/z</t>
  </si>
  <si>
    <t>1alpha,25-dihydroxy-26,27-dimethylvitamin D3 / 1alpha,25-dihydroxy-26,27-dimethylcholecalciferol</t>
  </si>
  <si>
    <t>LMST03020420</t>
  </si>
  <si>
    <t>[C@@H]1(O)C(=C)/C(=C\C=C2\[C@]3([H])CC[C@@]([C@@](C)([H])CCCC(O)(CC)CC)([H])[C@@]3(C)CCC\2)/C[C@@H](O)C1</t>
  </si>
  <si>
    <t>SVILWCIGEZESEP-KBNXZVMKSA-N</t>
  </si>
  <si>
    <t>4.82_369.0184m/z</t>
  </si>
  <si>
    <t>2-hydroxy-3-butenylglucosinolate</t>
  </si>
  <si>
    <t>HMDB0304069</t>
  </si>
  <si>
    <t>OCC1OC(SC(CC(O)C=C)=NOS([O-])(=O)=O)C(O)C(O)C1O</t>
  </si>
  <si>
    <t>MYHSVHWQEVDFQT-UHFFFAOYSA-M</t>
  </si>
  <si>
    <t>C11H18NO10S2-</t>
  </si>
  <si>
    <t>5.24_284.0581m/z</t>
  </si>
  <si>
    <t>6-Thioinosinic acid</t>
  </si>
  <si>
    <t>HMDB0060791</t>
  </si>
  <si>
    <t>OC[C@H]1O[C@H]([C@H](O)[C@@H]1O)N1C=NC2=C1N=CN=C2S</t>
  </si>
  <si>
    <t>NKGPJODWTZCHGF-KQYNXXCUSA-N</t>
  </si>
  <si>
    <t>C10H12N4O4S</t>
  </si>
  <si>
    <t>11.84_345.2436m/z</t>
  </si>
  <si>
    <t>Epoxydocosapentaenoic acid</t>
  </si>
  <si>
    <t>HMDB0251880</t>
  </si>
  <si>
    <t>OC(=O)CCCCCCCCCCCC=CC=CC=CC=CC1=CO1</t>
  </si>
  <si>
    <t>PBGYFRIGTFDUSJ-UHFFFAOYSA-N</t>
  </si>
  <si>
    <t>6.92_465.1742m/z</t>
  </si>
  <si>
    <t>Trh-gly</t>
  </si>
  <si>
    <t>HMDB0259129</t>
  </si>
  <si>
    <t>OC(=O)CNC(=O)C1CCCN1C(=O)C(CC1=CN=CN1)NC(=O)C1CCC(=O)N1</t>
  </si>
  <si>
    <t>CSVCLHYFVGHUCM-UHFFFAOYSA-N</t>
  </si>
  <si>
    <t>C18H24N6O6</t>
  </si>
  <si>
    <t>13.51_451.2623m/z</t>
  </si>
  <si>
    <t>Bis(ethylphenyl)ether</t>
  </si>
  <si>
    <t>HMDB0249257</t>
  </si>
  <si>
    <t>C(CC1=CC=CC=C1)OCCC1=CC=CC=C1</t>
  </si>
  <si>
    <t>AMOYMEBHYUTMKJ-UHFFFAOYSA-N</t>
  </si>
  <si>
    <t>C16H18O</t>
  </si>
  <si>
    <t>4.13_321.2184m/z</t>
  </si>
  <si>
    <t>triprenyl phenol</t>
  </si>
  <si>
    <t>HMDB0259268</t>
  </si>
  <si>
    <t>CC(C)=CCC1=C(CC=C(C)C)C(CC=C(C)C)=C(O)C=C1</t>
  </si>
  <si>
    <t>HWIAUYAWZMTQLR-UHFFFAOYSA-N</t>
  </si>
  <si>
    <t>C21H30O</t>
  </si>
  <si>
    <t>3.59_385.0371m/z</t>
  </si>
  <si>
    <t>1-(2-Hydroxy-5-(trifluoromethyl)phenyl)-5-(trifluoromethyl)-1H-benzo[d]imidazol-2(3H)-one</t>
  </si>
  <si>
    <t>HMDB0255771</t>
  </si>
  <si>
    <t>C13833</t>
  </si>
  <si>
    <t>153587-01-0</t>
  </si>
  <si>
    <t>OC1=C(C=C(C=C1)C(F)(F)F)N1C(=O)NC2=C1C=CC(=C2)C(F)(F)F</t>
  </si>
  <si>
    <t>YLFMCMWKHSDUCT-UHFFFAOYSA-N</t>
  </si>
  <si>
    <t>Phenylbenzimidazoles</t>
  </si>
  <si>
    <t>C15H8F6N2O2</t>
  </si>
  <si>
    <t>7.30_347.1860m/z</t>
  </si>
  <si>
    <t>Dinor-PGD2</t>
  </si>
  <si>
    <t>LMFA03010214</t>
  </si>
  <si>
    <t>[C@H]1(/C=C/[C@@H](O)CCCCC)C(=O)C[C@H](O)[C@@H]1C/C=C\CC(O)=O</t>
  </si>
  <si>
    <t>FZIZOWJGWYHKEL-BVWFDSDTSA-N</t>
  </si>
  <si>
    <t>C18H28O5</t>
  </si>
  <si>
    <t>3.92_410.1574m/z</t>
  </si>
  <si>
    <t>Glu Asp Phe</t>
  </si>
  <si>
    <t>C1=CC=C(C=C1)CC(C(=O)O)NC(=O)C(CC(=O)O)NC(=O)C(CCC(=O)O)N</t>
  </si>
  <si>
    <t>PAQUJCSYVIBPLC-AVGNSLFASA-N</t>
  </si>
  <si>
    <t>C18H23N3O8</t>
  </si>
  <si>
    <t>4.63_423.1535m/z</t>
  </si>
  <si>
    <t>2',3'-Dideoxyuridine</t>
  </si>
  <si>
    <t>HMDB0245547</t>
  </si>
  <si>
    <t>OCC1CCC(O1)N1C=CC(=O)NC1=O</t>
  </si>
  <si>
    <t>BTOTXLJHDSNXMW-UHFFFAOYSA-N</t>
  </si>
  <si>
    <t>13.26_405.1739m/z</t>
  </si>
  <si>
    <t>Alanylasparagine</t>
  </si>
  <si>
    <t>HMDB0028682</t>
  </si>
  <si>
    <t>31796-57-3</t>
  </si>
  <si>
    <t>C[C@H](N)C(=O)N[C@@H](CC(N)=O)C(O)=O</t>
  </si>
  <si>
    <t>CCUAQNUWXLYFRA-IMJSIDKUSA-N</t>
  </si>
  <si>
    <t>C7H13N3O4</t>
  </si>
  <si>
    <t>10.53_260.2149n</t>
  </si>
  <si>
    <t>6-[5]-ladderane-1-hexanol</t>
  </si>
  <si>
    <t>LMFA05000063</t>
  </si>
  <si>
    <t>C1C2C3C4C5CC(CCCCCCO)C5C4C3C2C1</t>
  </si>
  <si>
    <t>MFSSFGRNGHJJLI-UHFFFAOYSA-N</t>
  </si>
  <si>
    <t>C18H28O</t>
  </si>
  <si>
    <t>9.56_391.1403m/z</t>
  </si>
  <si>
    <t>Deferasirox</t>
  </si>
  <si>
    <t>HMDB0015547</t>
  </si>
  <si>
    <t>201530-41-8</t>
  </si>
  <si>
    <t>OC(=O)C1=CC=C(C=C1)N1N=C(N=C1C1=CC=CC=C1O)C1=CC=CC=C1O</t>
  </si>
  <si>
    <t>BOFQWVMAQOTZIW-UHFFFAOYSA-N</t>
  </si>
  <si>
    <t>Triazoles</t>
  </si>
  <si>
    <t>C21H15N3O4</t>
  </si>
  <si>
    <t>8.09_243.1387m/z</t>
  </si>
  <si>
    <t>10-Hydroxy-3-methoxy-1,3,5,7-cadinatetraen-9-one</t>
  </si>
  <si>
    <t>HMDB0036456</t>
  </si>
  <si>
    <t>C09695</t>
  </si>
  <si>
    <t>72843-51-7</t>
  </si>
  <si>
    <t>COC1=C(C)C=C2C(=CC(=O)C(C)(O)C2=C1)C(C)C</t>
  </si>
  <si>
    <t>VMEKKHYIQYOLHA-UHFFFAOYSA-N</t>
  </si>
  <si>
    <t>C16H20O3</t>
  </si>
  <si>
    <t>0.69_315.0818m/z</t>
  </si>
  <si>
    <t>1-(5-Hydroxy-2-oxo-2,3-dihydroimidazol-4-yl)urea</t>
  </si>
  <si>
    <t>HMDB0248150</t>
  </si>
  <si>
    <t>NC(=O)NC1=C(O)NC(=O)N1</t>
  </si>
  <si>
    <t>MLVVTNIFHMERMU-UHFFFAOYSA-N</t>
  </si>
  <si>
    <t>C4H6N4O3</t>
  </si>
  <si>
    <t>5.70_255.1237m/z</t>
  </si>
  <si>
    <t>oscr#7</t>
  </si>
  <si>
    <t>LMFA13040095</t>
  </si>
  <si>
    <t>O[C@@H]1C[C@@H](O)[C@H](C)O[C@H]1OCCCC/C=C/C(=O)O</t>
  </si>
  <si>
    <t>PECXANWMSPKDGB-XROMHLQASA-N</t>
  </si>
  <si>
    <t>14.46_720.5707n</t>
  </si>
  <si>
    <t>CE(20:4(7E,9E,11Z,13E)-3OH(5S,6R,15S))</t>
  </si>
  <si>
    <t>HMDB0290221</t>
  </si>
  <si>
    <t>[H][C@@]1(CC[C@@]2([H])[C@]3([H])CC=C4C[C@H](CC[C@]4(C)[C@@]3([H])CC[C@]12C)OC(=O)CCC[C@@H](O)[C@H](O)\C=C\C=C\C=C/C=C/[C@H](O)CCCCC)[C@H](C)CCCC(C)C</t>
  </si>
  <si>
    <t>IXNNTDPJOKTSEC-KGLPNVGLSA-N</t>
  </si>
  <si>
    <t>C47H76O5</t>
  </si>
  <si>
    <t>4.87_187.0758m/z</t>
  </si>
  <si>
    <t>7-Propoxy-chromen-2-one</t>
  </si>
  <si>
    <t>HMDB0247286</t>
  </si>
  <si>
    <t>CCCOC1=CC2=C(C=CC(=O)O2)C=C1</t>
  </si>
  <si>
    <t>FCCCOTWGEKNZMI-UHFFFAOYSA-N</t>
  </si>
  <si>
    <t>C12H12O3</t>
  </si>
  <si>
    <t>1.09_118.0423n</t>
  </si>
  <si>
    <t>2,4,6-Octatriyn-1-ol</t>
  </si>
  <si>
    <t>HMDB0030968</t>
  </si>
  <si>
    <t>LMFA05000606</t>
  </si>
  <si>
    <t>13033-21-1</t>
  </si>
  <si>
    <t>OCC#CC#CC#CC</t>
  </si>
  <si>
    <t>CDDRQTICNABTAT-UHFFFAOYSA-N</t>
  </si>
  <si>
    <t>C8H6O</t>
  </si>
  <si>
    <t>5.61_233.0768m/z</t>
  </si>
  <si>
    <t>(2S)-5-Amino-2-[(2-carboxy-2-oxoethyl)amino]-5-oxopentanoic acid</t>
  </si>
  <si>
    <t>HMDB0257975</t>
  </si>
  <si>
    <t>NC(=O)CCC(NCC(=O)C(O)=O)C(O)=O</t>
  </si>
  <si>
    <t>FBZQQZFTYAAHAJ-UHFFFAOYSA-N</t>
  </si>
  <si>
    <t>6.64_456.3124m/z</t>
  </si>
  <si>
    <t>Samarone D</t>
  </si>
  <si>
    <t>LMPK13070036</t>
  </si>
  <si>
    <t>C(CCCCCC/C=C\C/C=C\C/C=C\CC)C1OC2=C(C)C(O)=C(C)C(O)=C2C(=O)C=1</t>
  </si>
  <si>
    <t>FYDWMDBDVFBVJY-AGRJPVHOSA-N</t>
  </si>
  <si>
    <t>C28H38O4</t>
  </si>
  <si>
    <t>4.09_326.1954n</t>
  </si>
  <si>
    <t>Heptaethylene glycol</t>
  </si>
  <si>
    <t>HMDB0061835</t>
  </si>
  <si>
    <t>5617-32-3</t>
  </si>
  <si>
    <t>OCCOCCOCCOCCOCCOCCOCCO</t>
  </si>
  <si>
    <t>XPJRQAIZZQMSCM-UHFFFAOYSA-N</t>
  </si>
  <si>
    <t>C14H30O8</t>
  </si>
  <si>
    <t>0.65_257.1037n</t>
  </si>
  <si>
    <t>Glycerophosphocholine</t>
  </si>
  <si>
    <t>HMDB0000086</t>
  </si>
  <si>
    <t>C00670</t>
  </si>
  <si>
    <t>hsa00564,hsa00565,hsa05231</t>
  </si>
  <si>
    <t>Glycerophospholipid metabolism|Ether lipid metabolism|Choline metabolism in cancer</t>
  </si>
  <si>
    <t>R-HSA-1430728,R-HSA-1483115,R-HSA-1483206,R-HSA-1483255,R-HSA-1483257,R-HSA-556833,R-HSA-6814848</t>
  </si>
  <si>
    <t>Metabolism|Hydrolysis of LPC|Glycerophospholipid biosynthesis|PI Metabolism|Phospholipid metabolism|Metabolism of lipids|Glycerophospholipid catabolism</t>
  </si>
  <si>
    <t>28319-77-9</t>
  </si>
  <si>
    <t>C[N+](C)(C)CCOP([O-])(=O)OC[C@H](O)CO</t>
  </si>
  <si>
    <t>SUHOQUVVVLNYQR-MRVPVSSYSA-N</t>
  </si>
  <si>
    <t>C8H20NO6P</t>
  </si>
  <si>
    <t>10.41_309.1474m/z</t>
  </si>
  <si>
    <t>(Z)-16-oxo-octadeca-9,17-dien-12,14-diynoic acid</t>
  </si>
  <si>
    <t>LMFA01031142</t>
  </si>
  <si>
    <t>C(/C=C\CCCCCCCC(=O)O)C#CC#CC(=O)C=C</t>
  </si>
  <si>
    <t>RDXYIPKEXLIJQI-HYXAFXHYSA-N</t>
  </si>
  <si>
    <t>C18H22O3</t>
  </si>
  <si>
    <t>10.33_499.1905m/z</t>
  </si>
  <si>
    <t>2-(2,4-Dimethylphenyl)indan-1,3-dione</t>
  </si>
  <si>
    <t>HMDB0244921</t>
  </si>
  <si>
    <t>CC1=CC(C)=C(C=C1)C1C(=O)C2=CC=CC=C2C1=O</t>
  </si>
  <si>
    <t>JMYHHWKXFCFDSK-UHFFFAOYSA-N</t>
  </si>
  <si>
    <t>Indanones</t>
  </si>
  <si>
    <t>C17H14O2</t>
  </si>
  <si>
    <t>10.14_471.3269m/z</t>
  </si>
  <si>
    <t>7',8'-Dihydro-8'-hydroxyreticulataxanthin</t>
  </si>
  <si>
    <t>HMDB0039090</t>
  </si>
  <si>
    <t>CC(=O)CC(O)C(\C)=C\C=C/C(/C)=C/C=C/C=C(/C)\C=C\C=C(\C)/C=C/C1=C(C)CC(O)CC1(C)C</t>
  </si>
  <si>
    <t>IMAVGDVEEYAALY-MGHOLWCTSA-N</t>
  </si>
  <si>
    <t>C33H46O3</t>
  </si>
  <si>
    <t>7.25_353.0458m/z</t>
  </si>
  <si>
    <t>Nimesulide</t>
  </si>
  <si>
    <t>HMDB0255611</t>
  </si>
  <si>
    <t>51803-78-2</t>
  </si>
  <si>
    <t>CS(=O)(=O)NC1=C(OC2=CC=CC=C2)C=C(C=C1)[N+]([O-])=O</t>
  </si>
  <si>
    <t>HYWYRSMBCFDLJT-UHFFFAOYSA-N</t>
  </si>
  <si>
    <t>C13H12N2O5S</t>
  </si>
  <si>
    <t>1.30_265.0740n</t>
  </si>
  <si>
    <t>Furofoline</t>
  </si>
  <si>
    <t>HMDB0034319</t>
  </si>
  <si>
    <t>C10681</t>
  </si>
  <si>
    <t>62541-22-4</t>
  </si>
  <si>
    <t>CN1C2=CC=CC=C2C(=O)C2=C1C1=C(OC=C1)C=C2O</t>
  </si>
  <si>
    <t>ZFFUGPKCSIVPEI-UHFFFAOYSA-N</t>
  </si>
  <si>
    <t>C16H11NO3</t>
  </si>
  <si>
    <t>10.47_462.2991m/z</t>
  </si>
  <si>
    <t>(2E,4E)-Octadeca-2,4-dienoylcarnitine</t>
  </si>
  <si>
    <t>HMDB0241541</t>
  </si>
  <si>
    <t>CCCCCCCCCCCCCC=CC=CC(=O)OC(CC([O-])=O)C[N+](C)(C)C</t>
  </si>
  <si>
    <t>FUDZPSAPZLYOMT-UHFFFAOYSA-N</t>
  </si>
  <si>
    <t>11.47_223.1698m/z</t>
  </si>
  <si>
    <t>Isokobusone</t>
  </si>
  <si>
    <t>HMDB0036791</t>
  </si>
  <si>
    <t>C16977</t>
  </si>
  <si>
    <t>24173-72-6</t>
  </si>
  <si>
    <t>CC1(C)CC2C1CCC(=C)C(O)CCC2=O</t>
  </si>
  <si>
    <t>BSFUDCIRZBAPDS-UHFFFAOYSA-N</t>
  </si>
  <si>
    <t>6.89_173.0030m/z</t>
  </si>
  <si>
    <t>Dihydroxy-(2-methoxyethoxy)-sulfanylidene-$l^{5}-phosphane</t>
  </si>
  <si>
    <t>HMDB0258062</t>
  </si>
  <si>
    <t>COCCOP(O)(O)=S</t>
  </si>
  <si>
    <t>IBYZHOSMLJYFCH-UHFFFAOYSA-N</t>
  </si>
  <si>
    <t>C3H9O4PS</t>
  </si>
  <si>
    <t>0.74_365.1204m/z</t>
  </si>
  <si>
    <t>Isomugineic acid</t>
  </si>
  <si>
    <t>HMDB0033555</t>
  </si>
  <si>
    <t>74281-81-5</t>
  </si>
  <si>
    <t>OC(CN1CCC1C(O)=O)C(NCCC(O)C(O)=O)C(O)=O</t>
  </si>
  <si>
    <t>GJRGEVKCJPPZIT-UHFFFAOYSA-N</t>
  </si>
  <si>
    <t>C12H20N2O8</t>
  </si>
  <si>
    <t>14.03_433.3323m/z</t>
  </si>
  <si>
    <t>2,3-Dihydro-5-hydroxy-2,2-dipentyl-4,6-di-tert-butylbenzofuran</t>
  </si>
  <si>
    <t>HMDB0249329</t>
  </si>
  <si>
    <t>CCCCCC1(CCCCC)CC2=C(O1)C=C(C(O)=C2C(C)(C)C)C(C)(C)C</t>
  </si>
  <si>
    <t>AGURKSYKTJQPNA-UHFFFAOYSA-N</t>
  </si>
  <si>
    <t>C26H44O2</t>
  </si>
  <si>
    <t>11.07_932.5636m/z</t>
  </si>
  <si>
    <t>PC(22:6(5Z,8E,10Z,13Z,15E,19Z)-2OH(7S, 17S)/20:3(5Z,8Z,11Z))</t>
  </si>
  <si>
    <t>HMDB0287312</t>
  </si>
  <si>
    <t>[H][C@@](COC(=O)CCC\C=C/[C@H](O)\C=C\C=C/C\C=C/C=C/[C@H](O)C\C=C/CC)(COP([O-])(=O)OCC[N+](C)(C)C)OC(=O)CCC\C=C/C\C=C/C\C=C/CCCCCCCC</t>
  </si>
  <si>
    <t>LLZULYHZXJELCF-BWDGOBNDSA-N</t>
  </si>
  <si>
    <t>C50H82NO10P</t>
  </si>
  <si>
    <t>7.79_648.3523m/z</t>
  </si>
  <si>
    <t>PC(20:3(6,8,11)-OH(5)/2:0)</t>
  </si>
  <si>
    <t>HMDB0288901</t>
  </si>
  <si>
    <t>[H][C@@](COC(=O)CCCC(O)\C=C\C=C\C\C=C\CCCCCCCC)(COP([O-])(=O)OCC[N+](C)(C)C)OC(C)=O</t>
  </si>
  <si>
    <t>PEQQLHYNQZDEAP-XLSIUFFZSA-N</t>
  </si>
  <si>
    <t>C30H54NO9P</t>
  </si>
  <si>
    <t>10.95_277.1806m/z</t>
  </si>
  <si>
    <t>6-Gingerol</t>
  </si>
  <si>
    <t>C10462</t>
  </si>
  <si>
    <t>23513-14-6</t>
  </si>
  <si>
    <t>CCCCCC(CC(=O)CCC1=CC(=C(C=C1)O)OC)O</t>
  </si>
  <si>
    <t>NLDDIKRKFXEWBK-AWEZNQCLSA-N</t>
  </si>
  <si>
    <t>0.70_160.0973m/z</t>
  </si>
  <si>
    <t>Medicanine</t>
  </si>
  <si>
    <t>HMDB0038625</t>
  </si>
  <si>
    <t>91106-30-8</t>
  </si>
  <si>
    <t>OCCCN1CCC1C(O)=O</t>
  </si>
  <si>
    <t>ROVDTLLPFWAZJC-UHFFFAOYSA-N</t>
  </si>
  <si>
    <t>C7H13NO3</t>
  </si>
  <si>
    <t>1.38_127.0508m/z</t>
  </si>
  <si>
    <t>Thymine</t>
  </si>
  <si>
    <t>HMDB0000262</t>
  </si>
  <si>
    <t>65-71-4</t>
  </si>
  <si>
    <t>CC1=CNC(=O)NC1=O</t>
  </si>
  <si>
    <t>RWQNBRDOKXIBIV-UHFFFAOYSA-N</t>
  </si>
  <si>
    <t>C5H6N2O2</t>
  </si>
  <si>
    <t>5.67_134.0605m/z</t>
  </si>
  <si>
    <t>Indoxyl</t>
  </si>
  <si>
    <t>HMDB0004094</t>
  </si>
  <si>
    <t>C05658</t>
  </si>
  <si>
    <t>480-93-3</t>
  </si>
  <si>
    <t>OC1=CNC2=CC=CC=C12</t>
  </si>
  <si>
    <t>PCKPVGOLPKLUHR-UHFFFAOYSA-N</t>
  </si>
  <si>
    <t>C8H7NO</t>
  </si>
  <si>
    <t>3.59_317.0495m/z</t>
  </si>
  <si>
    <t>9-dimethylarsinoyl-nonanoic acid</t>
  </si>
  <si>
    <t>LMFA00000030</t>
  </si>
  <si>
    <t>C(CCCCCCCC(=O)O)[As](C)(=O)C</t>
  </si>
  <si>
    <t>KCRYGWREJDRGBG-UHFFFAOYSA-N</t>
  </si>
  <si>
    <t>C11H23AsO3</t>
  </si>
  <si>
    <t>0.68_102.0548m/z</t>
  </si>
  <si>
    <t>Tromethamine</t>
  </si>
  <si>
    <t>HMDB0240288</t>
  </si>
  <si>
    <t>C07182</t>
  </si>
  <si>
    <t>77-86-1</t>
  </si>
  <si>
    <t>NC(CO)(CO)CO</t>
  </si>
  <si>
    <t>LENZDBCJOHFCAS-UHFFFAOYSA-N</t>
  </si>
  <si>
    <t>C4H11NO3</t>
  </si>
  <si>
    <t>9.21_611.3803m/z</t>
  </si>
  <si>
    <t>N,N'-Diallylpentobarbital</t>
  </si>
  <si>
    <t>HMDB0255272</t>
  </si>
  <si>
    <t>CCCC(C)C1(CC)C(=O)N(CC=C)C(=O)N(CC=C)C1=O</t>
  </si>
  <si>
    <t>QRZXQPATUWXGQM-UHFFFAOYSA-N</t>
  </si>
  <si>
    <t>12.23_303.2326m/z</t>
  </si>
  <si>
    <t>5(S)-HETE lactone</t>
  </si>
  <si>
    <t>127708-42-3</t>
  </si>
  <si>
    <t>CCCCCC=CCC=CCC=CC=CC1CCCC(=O)O1</t>
  </si>
  <si>
    <t>QZMAEYDIHWEEAF-JGKLHWIESA-N</t>
  </si>
  <si>
    <t>10.21_554.3831m/z</t>
  </si>
  <si>
    <t>PC(O-18:0/0:0)</t>
  </si>
  <si>
    <t>HMDB0011149</t>
  </si>
  <si>
    <t>LMGP01060014</t>
  </si>
  <si>
    <t>C04317</t>
  </si>
  <si>
    <t>74430-89-0</t>
  </si>
  <si>
    <t>[C@](COP(=O)([O-])OCC[N+](C)(C)C)([H])(O)COCCCCCCCCCCCCCCCCCC</t>
  </si>
  <si>
    <t>XKBJVQHMEXMFDZ-AREMUKBSSA-N</t>
  </si>
  <si>
    <t>C26H56NO6P</t>
  </si>
  <si>
    <t>11.88_457.3538m/z</t>
  </si>
  <si>
    <t>oscr#36</t>
  </si>
  <si>
    <t>LMFA13040060</t>
  </si>
  <si>
    <t>O[C@@H]1C[C@@H](O)[C@H](C)O[C@H]1OCCCCCCCCCCCCCCCCCCCC(O)=O</t>
  </si>
  <si>
    <t>NALXHMIWEUPQCH-POMLREGLSA-N</t>
  </si>
  <si>
    <t>C26H50O6</t>
  </si>
  <si>
    <t>10.27_229.1805m/z</t>
  </si>
  <si>
    <t>3Z-Dodecen-1-ol</t>
  </si>
  <si>
    <t>LMFA05000154</t>
  </si>
  <si>
    <t>OCC/C=C\CCCCCCCC</t>
  </si>
  <si>
    <t>BDGQTWOHKASHQU-KTKRTIGZSA-N</t>
  </si>
  <si>
    <t>7.40_228.1601m/z</t>
  </si>
  <si>
    <t>Icaridin</t>
  </si>
  <si>
    <t>HMDB0253340</t>
  </si>
  <si>
    <t>CCC(C)OC(=O)N1CCCCC1CCO</t>
  </si>
  <si>
    <t>QLHULAHOXSSASE-UHFFFAOYSA-N</t>
  </si>
  <si>
    <t>13.62_493.2997m/z</t>
  </si>
  <si>
    <t>Threonyllysine</t>
  </si>
  <si>
    <t>HMDB0029066</t>
  </si>
  <si>
    <t>23161-31-1</t>
  </si>
  <si>
    <t>C[C@@H](O)[C@H](N)C(=O)N[C@@H](CCCCN)C(O)=O</t>
  </si>
  <si>
    <t>YKRQRPFODDJQTC-CSMHCCOUSA-N</t>
  </si>
  <si>
    <t>C10H21N3O4</t>
  </si>
  <si>
    <t>4.17_385.2253n</t>
  </si>
  <si>
    <t>Stachyflin</t>
  </si>
  <si>
    <t>HMDB0258481</t>
  </si>
  <si>
    <t>CC1CCC2C(C)(C)C(O)CCC22OC3=C(CC12C)C(O)=CC1=C3CNC1=O</t>
  </si>
  <si>
    <t>KUWCILGWLAWLGB-UHFFFAOYSA-N</t>
  </si>
  <si>
    <t>C23H31NO4</t>
  </si>
  <si>
    <t>4.78_421.1120m/z</t>
  </si>
  <si>
    <t>2',4',3,4,alpha-Pentahydroxydihydrochalcone 3'-C-xyloside</t>
  </si>
  <si>
    <t>LMPK12120568</t>
  </si>
  <si>
    <t>C1(O)C([C@@H]2OC[C@@H](O)[C@H](O)[C@H]2O)=C(O)C(C(=O)C(O)CC2C=C(O)C(O)=CC=2)=CC=1</t>
  </si>
  <si>
    <t>AETBTCNMANLWCB-PXDMKZRMSA-N</t>
  </si>
  <si>
    <t>4.81_477.9897m/z</t>
  </si>
  <si>
    <t>Glucocheirolin</t>
  </si>
  <si>
    <t>HMDB0038407</t>
  </si>
  <si>
    <t>554-86-9</t>
  </si>
  <si>
    <t>CS(=O)(=O)CCC\C(SC1OC(CO)C(O)C(O)C1O)=N/OS(O)(=O)=O</t>
  </si>
  <si>
    <t>OFKKQTQFWWIRBD-KPKJPENVSA-N</t>
  </si>
  <si>
    <t>C11H21NO11S3</t>
  </si>
  <si>
    <t>4.15_604.2843m/z</t>
  </si>
  <si>
    <t>POB-PS</t>
  </si>
  <si>
    <t>LMGP20040017</t>
  </si>
  <si>
    <t>C(O)(=O)[C@@]([H])(N)COP(OC[C@]([H])(OC(CCC(=O)[H])=O)COC(CCCCCCCCCCCCCCC)=O)(=O)O</t>
  </si>
  <si>
    <t>IMHWZIBEXZSLHP-PKTZIBPZSA-N</t>
  </si>
  <si>
    <t>C26H48NO11P</t>
  </si>
  <si>
    <t>186</t>
  </si>
  <si>
    <t>5-Methylimidazolidine-2,4-Dione</t>
  </si>
  <si>
    <t>CC1C(=O)NC(=O)N1</t>
  </si>
  <si>
    <t>VMAQYKGITHDWKL-UHFFFAOYSA-N</t>
  </si>
  <si>
    <t>2.33_295.1300m/z</t>
  </si>
  <si>
    <t>Tyrosylhydroxyproline</t>
  </si>
  <si>
    <t>HMDB0029106</t>
  </si>
  <si>
    <t>936346-34-8</t>
  </si>
  <si>
    <t>N[C@@H](CC1=CC=C(O)C=C1)C(=O)N1C[C@H](O)C[C@H]1C(O)=O</t>
  </si>
  <si>
    <t>FTWOPDCJCRFTHX-WOPDTQHZSA-N</t>
  </si>
  <si>
    <t>13.69_546.3937n</t>
  </si>
  <si>
    <t>cholest-5,24-dien-3beta-yl beta-D-glucopyranoside</t>
  </si>
  <si>
    <t>LMST01010348</t>
  </si>
  <si>
    <t>C1[C@@]2(C)C(=CC[C@@]3([H])[C@@]4([H])[C@@](C)([C@@]([H])([C@@]([H])(CC/C=C(/C)\C)C)CC4)CC[C@]23[H])C[C@@H](O[C@H]2[C@H](O)[C@@H](O)[C@H](O)[C@@H](CO)O2)C1</t>
  </si>
  <si>
    <t>QSPACSWMSZHXLY-UQBZCTSOSA-N</t>
  </si>
  <si>
    <t>3.29_302.1721m/z</t>
  </si>
  <si>
    <t>Siguazodan</t>
  </si>
  <si>
    <t>HMDB0258290</t>
  </si>
  <si>
    <t>CN=C(NC#N)NC1=CC=C(C=C1)C1=NN=C(O)CC1C</t>
  </si>
  <si>
    <t>NUHPODZZKHQQET-UHFFFAOYSA-N</t>
  </si>
  <si>
    <t>Pyridazines and derivatives</t>
  </si>
  <si>
    <t>C14H16N6O</t>
  </si>
  <si>
    <t>0.93_323.0271m/z</t>
  </si>
  <si>
    <t>Uridine 5'-monophosphate</t>
  </si>
  <si>
    <t>HMDB0000288</t>
  </si>
  <si>
    <t>C00105</t>
  </si>
  <si>
    <t>58-97-9</t>
  </si>
  <si>
    <t>O[C@H]1[C@@H](O)[C@@H](O[C@@H]1COP(O)(O)=O)N1C=CC(=O)NC1=O</t>
  </si>
  <si>
    <t>DJJCXFVJDGTHFX-XVFCMESISA-N</t>
  </si>
  <si>
    <t>C9H13N2O9P</t>
  </si>
  <si>
    <t>5.52_222.1131m/z</t>
  </si>
  <si>
    <t>2,3,6,7-Tetrahydro-6,7-dimethylcyclopent[b]azepin-8(1H)-one</t>
  </si>
  <si>
    <t>HMDB0039667</t>
  </si>
  <si>
    <t>CC1C(C)C2=C(NCCC=C2)C1=O</t>
  </si>
  <si>
    <t>IWVJMIGICFUHHO-UHFFFAOYSA-N</t>
  </si>
  <si>
    <t>C11H15NO</t>
  </si>
  <si>
    <t>6.77_399.2841m/z</t>
  </si>
  <si>
    <t>3-Hydroxytetradeca-6,8,10-trienoylcarnitine</t>
  </si>
  <si>
    <t>HMDB0241411</t>
  </si>
  <si>
    <t>CCCC=CC=CC=CCCC(O)CC(=O)OC(CC([O-])=O)C[N+](C)(C)C</t>
  </si>
  <si>
    <t>BYHUXRAVIYPPGC-UHFFFAOYSA-N</t>
  </si>
  <si>
    <t>C21H35NO5</t>
  </si>
  <si>
    <t>5.36_391.0601m/z</t>
  </si>
  <si>
    <t>8-Nitroguanine</t>
  </si>
  <si>
    <t>HMDB0247453</t>
  </si>
  <si>
    <t>NC1=NC2=C(NC(=N2)[N+]([O-])=O)C(=O)N1</t>
  </si>
  <si>
    <t>IYHJRKNFFYAOGE-UHFFFAOYSA-N</t>
  </si>
  <si>
    <t>C5H4N6O3</t>
  </si>
  <si>
    <t>4.25_216.1237m/z</t>
  </si>
  <si>
    <t>2-Amino-3-cyclohexylpropanoic acid</t>
  </si>
  <si>
    <t>HMDB0244979</t>
  </si>
  <si>
    <t>NC(CC1CCCCC1)C(O)=O</t>
  </si>
  <si>
    <t>ORQXBVXKBGUSBA-UHFFFAOYSA-N</t>
  </si>
  <si>
    <t>9.91_242.2849m/z</t>
  </si>
  <si>
    <t>Tetrabutylammonium</t>
  </si>
  <si>
    <t>32503-27-8</t>
  </si>
  <si>
    <t>CCCC[N+](CCCC)(CCCC)CCCC</t>
  </si>
  <si>
    <t>DZLFLBLQUQXARW-UHFFFAOYSA-N</t>
  </si>
  <si>
    <t>C16H36N+</t>
  </si>
  <si>
    <t>14.89_391.0199m/z</t>
  </si>
  <si>
    <t>Calcium ascorbate</t>
  </si>
  <si>
    <t>HMDB0304830</t>
  </si>
  <si>
    <t>[Ca++].OCC(O)C1OC(=O)C(O)=C1O.OCC(O)C1OC(=O)C(O)=C1O</t>
  </si>
  <si>
    <t>BLORRZQTHNGFTI-UHFFFAOYSA-N</t>
  </si>
  <si>
    <t>C12H16CaO12+2</t>
  </si>
  <si>
    <t>12.42_401.1481m/z</t>
  </si>
  <si>
    <t>Simazine</t>
  </si>
  <si>
    <t>HMDB0258294</t>
  </si>
  <si>
    <t>C11172</t>
  </si>
  <si>
    <t>122-34-9</t>
  </si>
  <si>
    <t>CCN=C1NC(Cl)=NC(N1)=NCC</t>
  </si>
  <si>
    <t>ODCWYMIRDDJXKW-UHFFFAOYSA-N</t>
  </si>
  <si>
    <t>C7H12ClN5</t>
  </si>
  <si>
    <t>3.92_225.0513m/z</t>
  </si>
  <si>
    <t>Nicotinuric acid</t>
  </si>
  <si>
    <t>HMDB0003269</t>
  </si>
  <si>
    <t>C05380</t>
  </si>
  <si>
    <t>583-08-4</t>
  </si>
  <si>
    <t>OC(=O)CNC(=O)C1=CN=CC=C1</t>
  </si>
  <si>
    <t>ZBSGKPYXQINNGF-UHFFFAOYSA-N</t>
  </si>
  <si>
    <t>C8H8N2O3</t>
  </si>
  <si>
    <t>6.16_270.0596m/z</t>
  </si>
  <si>
    <t>Metiazinic acid</t>
  </si>
  <si>
    <t>HMDB0254672</t>
  </si>
  <si>
    <t>CN1C2=CC=CC=C2SC2=C1C=C(CC(O)=O)C=C2</t>
  </si>
  <si>
    <t>LMINNBXUMGNKMM-UHFFFAOYSA-N</t>
  </si>
  <si>
    <t>C15H13NO2S</t>
  </si>
  <si>
    <t>4.84_206.9875m/z</t>
  </si>
  <si>
    <t>2-Nitrobenzoic acid thiocyanate</t>
  </si>
  <si>
    <t>HMDB0245256</t>
  </si>
  <si>
    <t>[O-][N+](=O)C1=CC=CC=C1C(=O)SC#N</t>
  </si>
  <si>
    <t>OYTDZZUXWGYBLY-UHFFFAOYSA-N</t>
  </si>
  <si>
    <t>C8H4N2O3S</t>
  </si>
  <si>
    <t>13.33_473.3639m/z</t>
  </si>
  <si>
    <t>4alpha-Hydroxymethyl-4beta-methyl-5alpha-cholesta-8,24-dien-3beta-ol</t>
  </si>
  <si>
    <t>HMDB0012170</t>
  </si>
  <si>
    <t>CC(CCC=C(C)C)C1CCC2C3=C(CC[C@]12C)[C@@]1(C)CC[C@H](O)[C@@](C)(CO)C1CC3</t>
  </si>
  <si>
    <t>LEUVIESGHNFBEK-AEWFMJFUSA-N</t>
  </si>
  <si>
    <t>13.49_142.9916m/z</t>
  </si>
  <si>
    <t>Methylphosphonfluoridate</t>
  </si>
  <si>
    <t>HMDB0254658</t>
  </si>
  <si>
    <t>CP(O)(F)=O</t>
  </si>
  <si>
    <t>XQGIZQWEZVJRDD-UHFFFAOYSA-N</t>
  </si>
  <si>
    <t>CH4FO2P</t>
  </si>
  <si>
    <t>8.27_365.1972m/z</t>
  </si>
  <si>
    <t>Gibberellin A74</t>
  </si>
  <si>
    <t>HMDB0038746</t>
  </si>
  <si>
    <t>90806-14-7</t>
  </si>
  <si>
    <t>[H][C@@]12C[C@H](O)[C@@H]3C[C@]1(CC3=C)[C@@H](C(O)=O)[C@@]1([H])[C@@]2(C)CC[C@H](O)[C@@]1(C)C(O)=O</t>
  </si>
  <si>
    <t>RKDWVYHBXWADKI-TVOMTTNMSA-N</t>
  </si>
  <si>
    <t>5.37_330.2206n</t>
  </si>
  <si>
    <t>17alpha-hydroxyprogesterone</t>
  </si>
  <si>
    <t>HMDB0000374</t>
  </si>
  <si>
    <t>LMST02030161</t>
  </si>
  <si>
    <t>C01176</t>
  </si>
  <si>
    <t>hsa00140,hsa04913,hsa04927,hsa04934</t>
  </si>
  <si>
    <t>Steroid hormone biosynthesis|Ovarian steroidogenesis|Cortisol synthesis and secretion|Cushing syndrome</t>
  </si>
  <si>
    <t>R-HSA-1430728,R-HSA-1643685,R-HSA-193048,R-HSA-194002,R-HSA-196071,R-HSA-556833,R-HSA-5579028,R-HSA-5579029,R-HSA-5668914,R-HSA-8957322</t>
  </si>
  <si>
    <t>Metabolism|Disease|Androgen biosynthesis|Glucocorticoid biosynthesis|Metabolism of steroid hormones|Metabolism of lipids|Defective CYP17A1 causes AH5|Metabolic disorders of biological oxidation enzymes|Diseases of metabolism|Metabolism of steroids</t>
  </si>
  <si>
    <t>68-96-2</t>
  </si>
  <si>
    <t>C1CC2[C@@](C)([C@@]3([H])CC[C@@]4(C)[C@@]([H])(CC[C@@]4(C(C)=O)O)[C@]13[H])CCC(=O)C=2</t>
  </si>
  <si>
    <t>DBPWSSGDRRHUNT-CEGNMAFCSA-N</t>
  </si>
  <si>
    <t>10.13_505.2108m/z</t>
  </si>
  <si>
    <t>Berkeleylactone B</t>
  </si>
  <si>
    <t>LMFA07040162</t>
  </si>
  <si>
    <t>C1(O[C@H](C)CCCCCCCCC[C@H](OC(CCC(O)=O)=O)C(=O)C[C@H]1SC[C@@H](O)C(O)=O)=O</t>
  </si>
  <si>
    <t>YSXYCGBWEPKTNJ-OQIJWPOYSA-N</t>
  </si>
  <si>
    <t>C23H36O10S</t>
  </si>
  <si>
    <t>4.77_603.2922n</t>
  </si>
  <si>
    <t>Neocasomorphin (1-5)</t>
  </si>
  <si>
    <t>HMDB0060144</t>
  </si>
  <si>
    <t>CC(C)[C@H](N=C(O)[C@H]1CCCN1C(=O)[C@H](N)CC1=CC=C(O)C=C1)C(O)=N[C@H](CCC(O)=O)C(=O)N1CCC[C@@H]1C(O)=O</t>
  </si>
  <si>
    <t>WRNQQFNBEUKAAX-MOGNJTFLSA-N</t>
  </si>
  <si>
    <t>C29H41N5O9</t>
  </si>
  <si>
    <t>9.65_358.2961m/z</t>
  </si>
  <si>
    <t>Tridecanoylcarnitine</t>
  </si>
  <si>
    <t>HMDB0241308</t>
  </si>
  <si>
    <t>CCCCCCCCCCCCC(=O)OC(CC([O-])=O)C[N+](C)(C)C</t>
  </si>
  <si>
    <t>OLAOWMDKXPIITQ-UHFFFAOYSA-N</t>
  </si>
  <si>
    <t>10.06_369.1835m/z</t>
  </si>
  <si>
    <t>CC-401</t>
  </si>
  <si>
    <t>HMDB0249719</t>
  </si>
  <si>
    <t>C(CN1CCCCC1)OC1=CC=CC(=C1)C1=NNC2=CC=C(C=C12)C1=NNC=N1</t>
  </si>
  <si>
    <t>XDJCLCLBSGGNKS-UHFFFAOYSA-N</t>
  </si>
  <si>
    <t>C22H24N6O</t>
  </si>
  <si>
    <t>6.95_252.1604m/z</t>
  </si>
  <si>
    <t>Tetranor-8-NO2-CLA</t>
  </si>
  <si>
    <t>LMFA01120009</t>
  </si>
  <si>
    <t>OC(=O)CCC/C=C/C=C(/[N+]([O-])=O)\CCCCCC</t>
  </si>
  <si>
    <t>NEDSPIMVNZOJHB-PGMBSLALSA-N</t>
  </si>
  <si>
    <t>C14H23NO4</t>
  </si>
  <si>
    <t>4.36_384.0454m/z</t>
  </si>
  <si>
    <t>Ticarcillin</t>
  </si>
  <si>
    <t>HMDB0015545</t>
  </si>
  <si>
    <t>C07139</t>
  </si>
  <si>
    <t>34787-01-4</t>
  </si>
  <si>
    <t>[H][C@]12SC(C)(C)[C@@H](N1C(=O)[C@H]2NC(=O)[C@H](C(O)=O)C1=CSC=C1)C(O)=O</t>
  </si>
  <si>
    <t>OHKOGUYZJXTSFX-KZFFXBSXSA-N</t>
  </si>
  <si>
    <t>C15H16N2O6S2</t>
  </si>
  <si>
    <t>5.28_146.0603m/z</t>
  </si>
  <si>
    <t>4-formyl Indole</t>
  </si>
  <si>
    <t>C1=CC(=C2C=CNC2=C1)C=O</t>
  </si>
  <si>
    <t>JFDDFGLNZWNJTK-UHFFFAOYSA-N</t>
  </si>
  <si>
    <t>C9H7NO</t>
  </si>
  <si>
    <t>14.96_479.3747m/z</t>
  </si>
  <si>
    <t>24-Ethylbrassinone</t>
  </si>
  <si>
    <t>HMDB0302394</t>
  </si>
  <si>
    <t>[H][C@@]12CC(=O)[C@@]3([H])C[C@H](O)[C@H](O)C[C@]3(C)C1CC[C@]1(C)C(CCC21)C(C)[C@@H](O)[C@H](O)C(CC)C(C)C</t>
  </si>
  <si>
    <t>WADMTJKRYLAHQV-BRGOLETBSA-N</t>
  </si>
  <si>
    <t>C29H50O5</t>
  </si>
  <si>
    <t>11.74_281.2486m/z</t>
  </si>
  <si>
    <t>DL-11-hydroxy stearic acid</t>
  </si>
  <si>
    <t>HMDB0112183</t>
  </si>
  <si>
    <t>LMFA02000129</t>
  </si>
  <si>
    <t>13419-91-5</t>
  </si>
  <si>
    <t>C(CCCCCCCC(O)CCCCCCC)CC(=O)O</t>
  </si>
  <si>
    <t>CJUFNCPPYUSJPR-UHFFFAOYSA-N</t>
  </si>
  <si>
    <t>11.90_178.1363n</t>
  </si>
  <si>
    <t>2-Cyclohexylidenecyclohexanone</t>
  </si>
  <si>
    <t>HMDB0245090</t>
  </si>
  <si>
    <t>O=C1CCCCC1=C1CCCCC1</t>
  </si>
  <si>
    <t>TYDSIOSLHQWFOU-UHFFFAOYSA-N</t>
  </si>
  <si>
    <t>M+H-H2O, M+H, M+NH4</t>
  </si>
  <si>
    <t>C12H18O</t>
  </si>
  <si>
    <t>2.06_168.0934m/z</t>
  </si>
  <si>
    <t>3E,5E,11E-Trideca-1,3,5,11-tetraene-7,9-diyne</t>
  </si>
  <si>
    <t>HMDB0302484</t>
  </si>
  <si>
    <t>17091-00-8</t>
  </si>
  <si>
    <t>C\C=C\C#CC#C\C=C\C=C\C=C</t>
  </si>
  <si>
    <t>ASVIELUINMCNMW-FSNIPRKGSA-N</t>
  </si>
  <si>
    <t>Enynes</t>
  </si>
  <si>
    <t>C13H12</t>
  </si>
  <si>
    <t>4.38_645.3297m/z</t>
  </si>
  <si>
    <t>Evasterioside B</t>
  </si>
  <si>
    <t>LMST05050013</t>
  </si>
  <si>
    <t>C1[C@]2(C)[C@@]3([H])CC[C@]4(C)[C@@]([H])([C@]([H])(C)/C=C/C(O[C@@H]5OC[C@@H](O)[C@H](O)[C@H]5O)C(C)C)C[C@H](O)[C@@]4([H])[C@]3(O)C[C@@H](O)[C@@]2([H])C[C@@H](OS(=O)(=O)O)C1</t>
  </si>
  <si>
    <t>JJOMVGVJXRBILN-UZWUURQCSA-N</t>
  </si>
  <si>
    <t>C32H54O12S</t>
  </si>
  <si>
    <t>6.77_265.1446m/z</t>
  </si>
  <si>
    <t>1alpha,15-Dihydroxymarasmene</t>
  </si>
  <si>
    <t>HMDB0036038</t>
  </si>
  <si>
    <t>124869-04-1</t>
  </si>
  <si>
    <t>CC1(CCC(C23C1CC=C4C2C(OC4)OC3O)O)C</t>
  </si>
  <si>
    <t>HLFAYJASJWZZCH-USBNRDFKSA-N</t>
  </si>
  <si>
    <t>11.53_336.2546m/z</t>
  </si>
  <si>
    <t>Linoleoyl glycine</t>
  </si>
  <si>
    <t>2764-03-6</t>
  </si>
  <si>
    <t>CCCCCC=CCC=CCCCCCCCC(=O)NCC(=O)O</t>
  </si>
  <si>
    <t>YCRHZEHWEYAHCO-HZJYTTRNSA-N</t>
  </si>
  <si>
    <t>C20H35NO3</t>
  </si>
  <si>
    <t>7.72_321.0932m/z</t>
  </si>
  <si>
    <t>Thymidine glycol</t>
  </si>
  <si>
    <t>HMDB0042036</t>
  </si>
  <si>
    <t>32645-65-1</t>
  </si>
  <si>
    <t>CC1(O)C(O)N([C@H]2C[C@H](O)[C@@H](CO)O2)C(=O)N=C1O</t>
  </si>
  <si>
    <t>RKEITGVZZHXKON-SKAWGCAZSA-N</t>
  </si>
  <si>
    <t>0.74_209.0540m/z</t>
  </si>
  <si>
    <t>2-(Trifluoromethyl)isonicotinic acid</t>
  </si>
  <si>
    <t>HMDB0244959</t>
  </si>
  <si>
    <t>OC(=O)C1=CC(=NC=C1)C(F)(F)F</t>
  </si>
  <si>
    <t>BZFGKBQHQJVAHS-UHFFFAOYSA-N</t>
  </si>
  <si>
    <t>C7H4F3NO2</t>
  </si>
  <si>
    <t>1.01_124.0398m/z</t>
  </si>
  <si>
    <t>Isonicotinic acid</t>
  </si>
  <si>
    <t>HMDB0060665</t>
  </si>
  <si>
    <t>C07446</t>
  </si>
  <si>
    <t>55-22-1</t>
  </si>
  <si>
    <t>OC(=O)C1=CC=NC=C1</t>
  </si>
  <si>
    <t>TWBYWOBDOCUKOW-UHFFFAOYSA-N</t>
  </si>
  <si>
    <t>C6H5NO2</t>
  </si>
  <si>
    <t>9.77_391.2470m/z</t>
  </si>
  <si>
    <t>MG(0:0/18:2(10E,12Z)+=O(9)/0:0)</t>
  </si>
  <si>
    <t>HMDB0260540</t>
  </si>
  <si>
    <t>CCCCC\C=C/C=C/C(=O)CCCCCCCC(=O)OC(CO)CO</t>
  </si>
  <si>
    <t>HELAENKKBIFZLS-ZJHFMPGASA-N</t>
  </si>
  <si>
    <t>8.58_437.2796m/z</t>
  </si>
  <si>
    <t>Ethamoxytriphetol</t>
  </si>
  <si>
    <t>HMDB0251999</t>
  </si>
  <si>
    <t>C14596</t>
  </si>
  <si>
    <t>67-98-1</t>
  </si>
  <si>
    <t>CCN(CC)CCOC1=CC=C(C=C1)C(O)(CC1=CC=C(OC)C=C1)C1=CC=CC=C1</t>
  </si>
  <si>
    <t>KDYQVUUCWUPJGE-UHFFFAOYSA-N</t>
  </si>
  <si>
    <t>C27H33NO3</t>
  </si>
  <si>
    <t>11.07_405.2646m/z</t>
  </si>
  <si>
    <t>Annocherin A</t>
  </si>
  <si>
    <t>HMDB0033399</t>
  </si>
  <si>
    <t>218281-62-0</t>
  </si>
  <si>
    <t>CC(=O)OCC1(O)CC23CC1CCC2C1(C)CCCC(C)(COC(C)=O)C1CC3</t>
  </si>
  <si>
    <t>OQDCKOUFTOKDOD-UHFFFAOYSA-N</t>
  </si>
  <si>
    <t>10.60_693.2961m/z</t>
  </si>
  <si>
    <t>3-(4-((3-Phenoxybenzyl)amino)phenyl)propanoic acid</t>
  </si>
  <si>
    <t>HMDB0252994</t>
  </si>
  <si>
    <t>885101-89-3</t>
  </si>
  <si>
    <t>OC(=O)CCC1=CC=C(NCC2=CC(OC3=CC=CC=C3)=CC=C2)C=C1</t>
  </si>
  <si>
    <t>DGENZVKCTGIDRZ-UHFFFAOYSA-N</t>
  </si>
  <si>
    <t>C22H21NO3</t>
  </si>
  <si>
    <t>4.86_273.1247m/z</t>
  </si>
  <si>
    <t>4-((6-Methoxyquinolin-8-yl)amino)pentanoic acid</t>
  </si>
  <si>
    <t>HMDB0247386</t>
  </si>
  <si>
    <t>77229-68-6</t>
  </si>
  <si>
    <t>COC1=CC(NC(C)CCC(O)=O)=C2N=CC=CC2=C1</t>
  </si>
  <si>
    <t>KIMKJIXTIWKABF-UHFFFAOYSA-N</t>
  </si>
  <si>
    <t>C15H18N2O3</t>
  </si>
  <si>
    <t>4.84_162.9977m/z</t>
  </si>
  <si>
    <t>1-(Difluoromethyl)-2,3,4-trifluorobenzene</t>
  </si>
  <si>
    <t>HMDB0243802</t>
  </si>
  <si>
    <t>FC(F)C1=C(F)C(F)=C(F)C=C1</t>
  </si>
  <si>
    <t>DFRYLFZTEQJOKJ-UHFFFAOYSA-N</t>
  </si>
  <si>
    <t>C7H3F5</t>
  </si>
  <si>
    <t>6.74_224.9743m/z</t>
  </si>
  <si>
    <t>2-dimethylarsinoyl-acetic acid</t>
  </si>
  <si>
    <t>LMFA00000035</t>
  </si>
  <si>
    <t>C(C(O)=O)[As](C)(=O)C</t>
  </si>
  <si>
    <t>WDBNOSZAJMWOEF-UHFFFAOYSA-N</t>
  </si>
  <si>
    <t>C4H9AsO3</t>
  </si>
  <si>
    <t>3.69_398.2049m/z</t>
  </si>
  <si>
    <t>Asn Thr Phe</t>
  </si>
  <si>
    <t>CC(C(C(=O)NC(CC1=CC=CC=C1)C(=O)O)NC(=O)C(CC(=O)N)N)O</t>
  </si>
  <si>
    <t>PIABYSIYPGLLDQ-XVSYOHENSA-N</t>
  </si>
  <si>
    <t>C17H24N4O6</t>
  </si>
  <si>
    <t>4.40_428.2057m/z</t>
  </si>
  <si>
    <t>6-Hydroxydodecanedioylcarnitine</t>
  </si>
  <si>
    <t>HMDB0241289</t>
  </si>
  <si>
    <t>C[N+](C)(C)CC(CC([O-])=O)OC(=O)CCCCC(O)CCCCCC(O)=O</t>
  </si>
  <si>
    <t>YBTIESRHTAYAFK-UHFFFAOYSA-N</t>
  </si>
  <si>
    <t>14.33_399.3269m/z</t>
  </si>
  <si>
    <t>(6R)-6,19-epidioxy-6,19-dihydrovitamin D3 / (6R)-6,19-epidioxy-6,19-dihydrocholecalciferol</t>
  </si>
  <si>
    <t>LMST03020248</t>
  </si>
  <si>
    <t>[C@@H]1(O)CC2[C@H](OOCC=2CC1)/C=C1/[C@]2([H])CC[C@@]([C@@](C)([H])CCCC(C)C)([H])[C@@]2(C)CCC/1</t>
  </si>
  <si>
    <t>WPWVACZRAWXVOS-DMKNHAEJSA-N</t>
  </si>
  <si>
    <t>8.85_279.1583m/z</t>
  </si>
  <si>
    <t>(1alpha,4beta,5beta)-4-Hydroxy-7(11),10(14)-guaiadien-8-one</t>
  </si>
  <si>
    <t>HMDB0036449</t>
  </si>
  <si>
    <t>CC(C)=C1CC2C(CCC2(C)O)C(=C)CC1=O</t>
  </si>
  <si>
    <t>ITIGZFMSPAFZAE-UHFFFAOYSA-N</t>
  </si>
  <si>
    <t>6.33_215.1283m/z</t>
  </si>
  <si>
    <t>1-Cyclopropyl-4-methyl-1,3-cyclohexanediol</t>
  </si>
  <si>
    <t>HMDB0036992</t>
  </si>
  <si>
    <t>83133-21-5</t>
  </si>
  <si>
    <t>CC1CCC(O)(CC1O)C1CC1</t>
  </si>
  <si>
    <t>NTSNDVXMQVLQPO-UHFFFAOYSA-N</t>
  </si>
  <si>
    <t>0.56_203.2237m/z</t>
  </si>
  <si>
    <t>Spermine</t>
  </si>
  <si>
    <t>HMDB0001256</t>
  </si>
  <si>
    <t>C00750</t>
  </si>
  <si>
    <t>hsa00330,hsa00410,hsa00480,hsa00770</t>
  </si>
  <si>
    <t>Arginine and proline metabolism|beta-Alanine metabolism|Glutathione metabolism|Pantothenate and CoA biosynthesis</t>
  </si>
  <si>
    <t>71-44-3</t>
  </si>
  <si>
    <t>NCCCNCCCCNCCCN</t>
  </si>
  <si>
    <t>PFNFFQXMRSDOHW-UHFFFAOYSA-N</t>
  </si>
  <si>
    <t>C10H26N4</t>
  </si>
  <si>
    <t>9.62_225.1492m/z</t>
  </si>
  <si>
    <t>3,6,8-dodecatrien-1-ol</t>
  </si>
  <si>
    <t>LMFA05000058</t>
  </si>
  <si>
    <t>C(CC)/C=C/C=C/C/C=C/CCO</t>
  </si>
  <si>
    <t>KWVQYNPBWXUHHT-ZYXMWXIMSA-N</t>
  </si>
  <si>
    <t>14.63_510.3961m/z</t>
  </si>
  <si>
    <t>(-)-Pellynol C</t>
  </si>
  <si>
    <t>LMFA05000740</t>
  </si>
  <si>
    <t>C(C#CC#CC(O)CCCCCCCCCCC/C=C\C#CCCCCCCC/C=C/C(O)C#C)O</t>
  </si>
  <si>
    <t>LNKXNLNNKBMGQR-VTHIMXSSSA-N</t>
  </si>
  <si>
    <t>C33H48O3</t>
  </si>
  <si>
    <t>4.46_718.3423m/z</t>
  </si>
  <si>
    <t>Veratridine</t>
  </si>
  <si>
    <t>C06544</t>
  </si>
  <si>
    <t>71-62-5</t>
  </si>
  <si>
    <t>CC1CCC2C(C3(C(CC4(C5CCC6C7(C5(CC4(C3CN2C1)O)OC6(C(CC7)OC(=O)C8=CC(=C(C=C8)OC)OC)O)C)O)O)O)(C)O</t>
  </si>
  <si>
    <t>FVECELJHCSPHKY-YFUMOZOISA-N</t>
  </si>
  <si>
    <t>C36H51NO11</t>
  </si>
  <si>
    <t>4.63_312.1482n</t>
  </si>
  <si>
    <t>Phenylalanylphenylalanine</t>
  </si>
  <si>
    <t>HMDB0013302</t>
  </si>
  <si>
    <t>2577-40-4</t>
  </si>
  <si>
    <t>N[C@@H](CC1=CC=CC=C1)C(=O)N[C@@H](CC1=CC=CC=C1)C(O)=O</t>
  </si>
  <si>
    <t>GKZIWHRNKRBEOH-HOTGVXAUSA-N</t>
  </si>
  <si>
    <t>C18H20N2O3</t>
  </si>
  <si>
    <t>13.51_740.5468n</t>
  </si>
  <si>
    <t>SM(d18:1/18:3(10,12,15)-OH(9))</t>
  </si>
  <si>
    <t>HMDB0290548</t>
  </si>
  <si>
    <t>[H][C@@](COP([O-])(=O)OCC[N+](C)(C)C)(NC(=O)CCCCCCCC(O)\C=C\C=C\C\C=C\CC)[C@H](O)\C=C\CCCCCCCCCCCCC</t>
  </si>
  <si>
    <t>JWKGJRJMKMQJRA-NTCCPZBDSA-N</t>
  </si>
  <si>
    <t>M+H-H2O, M+, M+H</t>
  </si>
  <si>
    <t>C41H77N2O7P</t>
  </si>
  <si>
    <t>0.68_178.0091m/z</t>
  </si>
  <si>
    <t>Sodium fumarate</t>
  </si>
  <si>
    <t>HMDB0303642</t>
  </si>
  <si>
    <t>[Na+].[Na+].[O-]C(=O)\C=C\C([O-])=O</t>
  </si>
  <si>
    <t>MSJMDZAOKORVFC-SEPHDYHBSA-L</t>
  </si>
  <si>
    <t>C4H2Na2O4</t>
  </si>
  <si>
    <t>1.11_187.1081m/z</t>
  </si>
  <si>
    <t>Valylalanine</t>
  </si>
  <si>
    <t>HMDB0029120</t>
  </si>
  <si>
    <t>27493-61-4</t>
  </si>
  <si>
    <t>CC(C)[C@H](N)C(=O)N[C@@H](C)C(O)=O</t>
  </si>
  <si>
    <t>HSRXSKHRSXRCFC-WDSKDSINSA-N</t>
  </si>
  <si>
    <t>4.98_321.0956m/z</t>
  </si>
  <si>
    <t>4-coumaroylshikimate</t>
  </si>
  <si>
    <t>HMDB0304174</t>
  </si>
  <si>
    <t>OC1C=C(CC(OC(=O)C=CC2=CC=C(O)C=C2)C1O)C(O)=O</t>
  </si>
  <si>
    <t>GVECSFFLZYNEBO-UHFFFAOYSA-N</t>
  </si>
  <si>
    <t>C16H16O7</t>
  </si>
  <si>
    <t>5.82_159.1017m/z</t>
  </si>
  <si>
    <t>(S)-3-hydroxyoctanoic acid</t>
  </si>
  <si>
    <t>HMDB0001954</t>
  </si>
  <si>
    <t>LMFA01050433</t>
  </si>
  <si>
    <t>33796-86-0</t>
  </si>
  <si>
    <t>CCCCC[C@H](O)CC(O)=O</t>
  </si>
  <si>
    <t>NDPLAKGOSZHTPH-ZETCQYMHSA-N</t>
  </si>
  <si>
    <t>C8H16O3</t>
  </si>
  <si>
    <t>10.27_219.1961m/z</t>
  </si>
  <si>
    <t>8,8-Dimethoxy-2,6-dimethyl-2-octanol</t>
  </si>
  <si>
    <t>HMDB0040219</t>
  </si>
  <si>
    <t>141-92-4</t>
  </si>
  <si>
    <t>COC(CC(C)CCCC(C)(C)O)OC</t>
  </si>
  <si>
    <t>QCJVKUULZGKQDG-UHFFFAOYSA-N</t>
  </si>
  <si>
    <t>C12H26O3</t>
  </si>
  <si>
    <t>14.46_352.2856m/z</t>
  </si>
  <si>
    <t>hydroxytetradecadienyl-l-carnitine</t>
  </si>
  <si>
    <t>HMDB0253295</t>
  </si>
  <si>
    <t>C[N+](C)(C)CC(O)(CC([O-])=O)C=CC=CCCCCCCCCCCO</t>
  </si>
  <si>
    <t>VEOYBEJCEMJLHN-UHFFFAOYSA-N</t>
  </si>
  <si>
    <t>C21H39NO4</t>
  </si>
  <si>
    <t>4.67_751.2522m/z</t>
  </si>
  <si>
    <t>Lactacystin</t>
  </si>
  <si>
    <t>133343-34-7</t>
  </si>
  <si>
    <t>CC1C(C(NC1=O)(C(C(C)C)O)C(=O)SCC(C(=O)O)NC(=O)C)O</t>
  </si>
  <si>
    <t>DAQAKHDKYAWHCG-RWTHQLGUSA-N</t>
  </si>
  <si>
    <t>C15H24N2O7S</t>
  </si>
  <si>
    <t>9.65_121.1016m/z</t>
  </si>
  <si>
    <t>m-Ethyl_toluene</t>
  </si>
  <si>
    <t>HMDB0059848</t>
  </si>
  <si>
    <t>C14522</t>
  </si>
  <si>
    <t>620-14-4</t>
  </si>
  <si>
    <t>[H]C1=C([H])C(=C([H])C(=C1[H])C([H])([H])C([H])([H])[H])C([H])([H])[H]</t>
  </si>
  <si>
    <t>ZLCSFXXPPANWQY-UHFFFAOYSA-N</t>
  </si>
  <si>
    <t>C9H12</t>
  </si>
  <si>
    <t>11.47_203.1801m/z</t>
  </si>
  <si>
    <t>Humuladienone</t>
  </si>
  <si>
    <t>HMDB0038208</t>
  </si>
  <si>
    <t>24405-90-1</t>
  </si>
  <si>
    <t>CC1C\C=C/C(C)(C)C\C=C(C)/CCC1=O</t>
  </si>
  <si>
    <t>XWFINABYEHNSEP-CGBKSYCJSA-N</t>
  </si>
  <si>
    <t>11.43_347.2589m/z</t>
  </si>
  <si>
    <t>Methyl-[10]-gingerol</t>
  </si>
  <si>
    <t>HMDB0303109</t>
  </si>
  <si>
    <t>CCCCCCCCCC(O)CC(=O)CCC1=CC=C(OC)C(OC)=C1</t>
  </si>
  <si>
    <t>YCMYNWSNMYONMK-UHFFFAOYSA-N</t>
  </si>
  <si>
    <t>4.13_386.2398m/z</t>
  </si>
  <si>
    <t>1-[Fluoro(methoxy)phosphoryl]oxyicosa-5,8,11,14-tetraene</t>
  </si>
  <si>
    <t>HMDB0260245</t>
  </si>
  <si>
    <t>CCCCCC=CCC=CCC=CCC=CCCCCOP(F)(=O)OC</t>
  </si>
  <si>
    <t>HNVKMEOEBANRAT-UHFFFAOYSA-N</t>
  </si>
  <si>
    <t>C21H36FO3P</t>
  </si>
  <si>
    <t>12.69_489.3587m/z</t>
  </si>
  <si>
    <t>Aragusterol B</t>
  </si>
  <si>
    <t>LMST01110019</t>
  </si>
  <si>
    <t>C1[C@]2(C)[C@@]3([H])C[C@@H](O)[C@]4(C)[C@@]([H])([C@](O)(C)CC[C@H]([C@@H]5C[C@H]5C)C)CC[C@@]4([H])[C@]3([H])CC[C@@]2([H])CC(=O)C1</t>
  </si>
  <si>
    <t>JSHYQWPIKGSRNU-JVMQVZFBSA-N</t>
  </si>
  <si>
    <t>0.76_253.1191m/z</t>
  </si>
  <si>
    <t>Alanyl-Tyrosine</t>
  </si>
  <si>
    <t>HMDB0304776</t>
  </si>
  <si>
    <t>CC(N)C(O)=NC(CC1=CC=C(O)C=C1)C(O)=O</t>
  </si>
  <si>
    <t>ALZVPLKYDKJKQU-UHFFFAOYSA-N</t>
  </si>
  <si>
    <t>C12H16N2O4</t>
  </si>
  <si>
    <t>10.99_455.2029m/z</t>
  </si>
  <si>
    <t>Acetyl-arginyl-glycyl-aspartyl-serinamide</t>
  </si>
  <si>
    <t>HMDB0247924</t>
  </si>
  <si>
    <t>CC(=O)NC(CCCN=C(N)N)C(=O)NCC(=O)NC(CC(O)=O)C(=O)NC(CO)C(N)=O</t>
  </si>
  <si>
    <t>GFOJSWCCTWFSJD-UHFFFAOYSA-N</t>
  </si>
  <si>
    <t>C17H30N8O8</t>
  </si>
  <si>
    <t>8.19_374.2550m/z</t>
  </si>
  <si>
    <t>Undecanoylcarnitine</t>
  </si>
  <si>
    <t>HMDB0013321</t>
  </si>
  <si>
    <t>LMFA07070110</t>
  </si>
  <si>
    <t>C(C[N+](C)(C)C)(OC(=O)CCCCCCCCCC)CC(=O)[O-]</t>
  </si>
  <si>
    <t>FPUYBGZEWPJSDX-UHFFFAOYSA-N</t>
  </si>
  <si>
    <t>1.36_154.0503m/z</t>
  </si>
  <si>
    <t>3-Amino-4-hydroxybenzoic acid</t>
  </si>
  <si>
    <t>HMDB0304941</t>
  </si>
  <si>
    <t>C12115</t>
  </si>
  <si>
    <t>1571-72-8</t>
  </si>
  <si>
    <t>NC1=C(O)C=CC(=C1)C(O)=O</t>
  </si>
  <si>
    <t>MRBKRZAPGUCWOS-UHFFFAOYSA-N</t>
  </si>
  <si>
    <t>C7H7NO3</t>
  </si>
  <si>
    <t>4.88_324.1686n</t>
  </si>
  <si>
    <t>p-Hydroxyubenimex</t>
  </si>
  <si>
    <t>HMDB0255924</t>
  </si>
  <si>
    <t>CC(C)CC(NC(=O)C(O)C(N)CC1=CC=C(O)C=C1)C(O)=O</t>
  </si>
  <si>
    <t>FRMXVEDKXFUWRZ-UHFFFAOYSA-N</t>
  </si>
  <si>
    <t>C16H24N2O5</t>
  </si>
  <si>
    <t>7.27_345.0361m/z</t>
  </si>
  <si>
    <t>Cinnavalininate</t>
  </si>
  <si>
    <t>HMDB0004078</t>
  </si>
  <si>
    <t>C05640</t>
  </si>
  <si>
    <t>NC1=C(C(O)=O)C2=NC3=C(C=CC=C3OC2=CC1=O)C(O)=O</t>
  </si>
  <si>
    <t>FSBKJYLVDRVPTK-UHFFFAOYSA-N</t>
  </si>
  <si>
    <t>Phenoxazines</t>
  </si>
  <si>
    <t>C14H8N2O6</t>
  </si>
  <si>
    <t>1.36_288.1444n</t>
  </si>
  <si>
    <t>Gly Asn Val</t>
  </si>
  <si>
    <t>CC(C)C(C(=O)O)NC(=O)C(CC(=O)N)NC(=O)CN</t>
  </si>
  <si>
    <t>GRIRDMVMJJDZKV-RCOVLWMOSA-N</t>
  </si>
  <si>
    <t>C11H20N4O5</t>
  </si>
  <si>
    <t>7.31_169.0861m/z</t>
  </si>
  <si>
    <t>2,3-Dimethyl-2-cyclohexen-1-one</t>
  </si>
  <si>
    <t>HMDB0031414</t>
  </si>
  <si>
    <t>1122-20-9</t>
  </si>
  <si>
    <t>CC1=C(C)C(=O)CCC1</t>
  </si>
  <si>
    <t>FRJKTQQNQDTORT-UHFFFAOYSA-N</t>
  </si>
  <si>
    <t>C8H12O</t>
  </si>
  <si>
    <t>10.91_339.2174m/z</t>
  </si>
  <si>
    <t>9-HOTE</t>
  </si>
  <si>
    <t>HMDB0010224</t>
  </si>
  <si>
    <t>CC\C=C/CC\C=C\C=C(\O)CCCCCCCC(O)=O</t>
  </si>
  <si>
    <t>YUPHIKSLGBATJK-OBKPXJAFSA-N</t>
  </si>
  <si>
    <t>4.22_416.1306m/z</t>
  </si>
  <si>
    <t>3'-Amino-3'-deoxythimidine glucuronide</t>
  </si>
  <si>
    <t>HMDB0060751</t>
  </si>
  <si>
    <t>CC1=CN(C2CC(N)C(CO[C@@H]3[C@@H](O)C(O)O[C@@H]([C@H]3O)C(O)=O)O2)C(=O)N=C1O</t>
  </si>
  <si>
    <t>RDVUSEMLHAXQRK-SMNQMHOSSA-N</t>
  </si>
  <si>
    <t>C16H23N3O10</t>
  </si>
  <si>
    <t>5.70_369.1556m/z</t>
  </si>
  <si>
    <t>4-Acetoxyscirpene-3,15-diol</t>
  </si>
  <si>
    <t>HMDB0035847</t>
  </si>
  <si>
    <t>CC(=O)OC1C(O)C2OC3C=C(C)CCC3(CO)C1(C)C21CO1</t>
  </si>
  <si>
    <t>YIFMFXZUYBFVFL-UHFFFAOYSA-N</t>
  </si>
  <si>
    <t>0.83_238.8913m/z</t>
  </si>
  <si>
    <t>Trimetaphosphoric acid</t>
  </si>
  <si>
    <t>HMDB0059921</t>
  </si>
  <si>
    <t>C02466</t>
  </si>
  <si>
    <t>OP1(=O)OP(O)(=O)OP(O)(=O)O1</t>
  </si>
  <si>
    <t>AZSFNUJOCKMOGB-UHFFFAOYSA-N</t>
  </si>
  <si>
    <t>H3O9P3</t>
  </si>
  <si>
    <t>11.36_269.2122m/z</t>
  </si>
  <si>
    <t>8E,10Z-Pentadecadien-1-ol</t>
  </si>
  <si>
    <t>LMFA05000193</t>
  </si>
  <si>
    <t>OCCCCCCC/C=C/C=C\CCCC</t>
  </si>
  <si>
    <t>SSMFOGNWAYJUHT-IGTJQSIKSA-N</t>
  </si>
  <si>
    <t>4.84_717.2295m/z</t>
  </si>
  <si>
    <t>Halistanol sulfonic acid H</t>
  </si>
  <si>
    <t>LMST05020045</t>
  </si>
  <si>
    <t>O=S(O)(O[C@H]1C[C@@]2([H])[C@]3([H])CC[C@]([H])([C@H](C)CCC(C)C(C)=C)[C@@]3(C)CC[C@]2([H])[C@]2(C)[C@]1([H])C[C@H](OS(O)(=O)=O)[C@H](C2)OS(=O)(O)=O)=O</t>
  </si>
  <si>
    <t>UKKOBSCNEQERMS-ZGTRXXLVSA-N</t>
  </si>
  <si>
    <t>C28H48O12S3</t>
  </si>
  <si>
    <t>10.37_214.1807m/z</t>
  </si>
  <si>
    <t>7-dodecynoic acid</t>
  </si>
  <si>
    <t>LMFA01030470</t>
  </si>
  <si>
    <t>C(CCCCCC#CCCCC)(=O)O</t>
  </si>
  <si>
    <t>PWFWYJYJCDMRTO-UHFFFAOYSA-N</t>
  </si>
  <si>
    <t>0.77_221.0926m/z</t>
  </si>
  <si>
    <t>Felbamate</t>
  </si>
  <si>
    <t>HMDB0015084</t>
  </si>
  <si>
    <t>C07501</t>
  </si>
  <si>
    <t>25451-15-4</t>
  </si>
  <si>
    <t>NC(=O)OCC(COC(N)=O)C1=CC=CC=C1</t>
  </si>
  <si>
    <t>WKGXYQFOCVYPAC-UHFFFAOYSA-N</t>
  </si>
  <si>
    <t>3.86_387.2251m/z</t>
  </si>
  <si>
    <t>3-Hydroxydodec-6-enedioylcarnitine</t>
  </si>
  <si>
    <t>HMDB0241231</t>
  </si>
  <si>
    <t>C[N+](C)(C)CC(CC([O-])=O)OC(=O)CC(O)CCC=CCCCCC(O)=O</t>
  </si>
  <si>
    <t>AANSXJATPVBQRF-UHFFFAOYSA-N</t>
  </si>
  <si>
    <t>6.89_505.1870m/z</t>
  </si>
  <si>
    <t>2'-Fluoro-2',3'-dideoxyadenosine</t>
  </si>
  <si>
    <t>HMDB0245536</t>
  </si>
  <si>
    <t>NC1=NC=NC2=C1N=CN2C1OC(CO)CC1F</t>
  </si>
  <si>
    <t>KBEMFSMODRNJHE-UHFFFAOYSA-N</t>
  </si>
  <si>
    <t>Purine 2',3'-dideoxyribonucleosides</t>
  </si>
  <si>
    <t>C10H12FN5O2</t>
  </si>
  <si>
    <t>6.62_274.2022m/z</t>
  </si>
  <si>
    <t>5-Nonyltetrahydro-2-oxo-3-furancarboxylic acid</t>
  </si>
  <si>
    <t>HMDB0030993</t>
  </si>
  <si>
    <t>CCCCCCCCCC1CC(C(O)=O)C(=O)O1</t>
  </si>
  <si>
    <t>DKQLZKCYTLXNBN-UHFFFAOYSA-N</t>
  </si>
  <si>
    <t>C14H24O4</t>
  </si>
  <si>
    <t>3.90_528.2739m/z</t>
  </si>
  <si>
    <t>Physapubenolide</t>
  </si>
  <si>
    <t>HMDB0033976</t>
  </si>
  <si>
    <t>LMST01160015</t>
  </si>
  <si>
    <t>C1C(=O)[C@]2(C)[C@@]3([H])CC[C@]4(C)[C@@]([H])([C@@H]([C@]5([H])OC(=O)C(C)=C(C)C5)C)C[C@H](OC(=O)C)[C@]4(O)[C@]3([H])C[C@H]3O[C@@]23[C@@H](O)C=1</t>
  </si>
  <si>
    <t>OPYWYTLAPWWTKW-RHITVKEVSA-N</t>
  </si>
  <si>
    <t>C30H40O8</t>
  </si>
  <si>
    <t>8.87_524.2791m/z</t>
  </si>
  <si>
    <t>Scyphostatin</t>
  </si>
  <si>
    <t>HMDB0258187</t>
  </si>
  <si>
    <t>CCC(C)C=C(C)CC(C)CC(C)C=CC=CC=CC(=O)NC(CO)CC1(O)C2OC2C=CC1=O</t>
  </si>
  <si>
    <t>KSIWZCYBCSQXTA-UHFFFAOYSA-N</t>
  </si>
  <si>
    <t>C29H43NO5</t>
  </si>
  <si>
    <t>3.31_293.1764m/z</t>
  </si>
  <si>
    <t>Lerisetron</t>
  </si>
  <si>
    <t>HMDB0254019</t>
  </si>
  <si>
    <t>C(N1C2=CC=CC=C2N=C1N1CCNCC1)C1=CC=CC=C1</t>
  </si>
  <si>
    <t>PWWDCRQZITYKDV-UHFFFAOYSA-N</t>
  </si>
  <si>
    <t>C18H20N4</t>
  </si>
  <si>
    <t>7.70_537.3399m/z</t>
  </si>
  <si>
    <t>Butyryl trihexyl citrate</t>
  </si>
  <si>
    <t>HMDB0247498</t>
  </si>
  <si>
    <t>CCCCCCOC(=O)CC(CC(=O)OCCCCCC)(OC(=O)CCC)C(=O)OCCCCCC</t>
  </si>
  <si>
    <t>GWVUTNGDMGTPFE-UHFFFAOYSA-N</t>
  </si>
  <si>
    <t>C28H50O8</t>
  </si>
  <si>
    <t>5.33_244.0559m/z</t>
  </si>
  <si>
    <t>1-Iodoheptane</t>
  </si>
  <si>
    <t>HMDB0243907</t>
  </si>
  <si>
    <t>CCCCCCCI</t>
  </si>
  <si>
    <t>LMHCYRULPLGEEZ-UHFFFAOYSA-N</t>
  </si>
  <si>
    <t>C7H15I</t>
  </si>
  <si>
    <t>380</t>
  </si>
  <si>
    <t>4-Hydroxycinnamic Acid</t>
  </si>
  <si>
    <t>HMDB0002035</t>
  </si>
  <si>
    <t>C00811</t>
  </si>
  <si>
    <t>hsa00130,hsa00350</t>
  </si>
  <si>
    <t>Ubiquinone and other terpenoid-quinone biosynthesis|Tyrosine metabolism</t>
  </si>
  <si>
    <t>501-98-4</t>
  </si>
  <si>
    <t>OC(=O)\C=C\C1=CC=C(O)C=C1</t>
  </si>
  <si>
    <t>NGSWKAQJJWESNS-ZZXKWVIFSA-N</t>
  </si>
  <si>
    <t>7.75_505.1492m/z</t>
  </si>
  <si>
    <t>OSU03012</t>
  </si>
  <si>
    <t>C1=CC=C2C(=C1)C=CC3=C2C=CC(=C3)C4=CC(=NN4C5=CC=C(C=C5)NC(=O)CN)C(F)(F)F</t>
  </si>
  <si>
    <t>YULUCECVQOCQFQ-UHFFFAOYSA-N</t>
  </si>
  <si>
    <t>C26H19F3N4O</t>
  </si>
  <si>
    <t>11.70_608.3026m/z</t>
  </si>
  <si>
    <t>MeOSuc-Ala-Ala-Pro-Val-PNA</t>
  </si>
  <si>
    <t>HMDB0247307</t>
  </si>
  <si>
    <t>COC(=O)CCC(=O)NC(C)C(=O)NC(C)C(=O)N1CCCC1C(=O)NC(C(C)C)C(=O)NC1=CC=C(C=C1)[N+]([O-])=O</t>
  </si>
  <si>
    <t>VLVGCNNWNUERRZ-UHFFFAOYSA-N</t>
  </si>
  <si>
    <t>C27H38N6O9</t>
  </si>
  <si>
    <t>4.36_387.1347m/z</t>
  </si>
  <si>
    <t>14-carboxy-15,16,17,18,19,20-hexanor-leukotriene E3</t>
  </si>
  <si>
    <t>LMFA03020052</t>
  </si>
  <si>
    <t>C(C(=O)O)/C=C\C=C\C=C\[C@@H](SC[C@@H](C(O)=O)N)[C@H](CCCC(O)=O)O</t>
  </si>
  <si>
    <t>AKPPXGOSRLMJLI-PYYRFDPSSA-N</t>
  </si>
  <si>
    <t>C17H25NO7S</t>
  </si>
  <si>
    <t>6.81_173.1175m/z</t>
  </si>
  <si>
    <t>2-Allyloxymethyl-2-ethylpropanediol</t>
  </si>
  <si>
    <t>CCC(CO)(CO)COCC=C</t>
  </si>
  <si>
    <t>LZDXRPVSAKWYDH-UHFFFAOYSA-N</t>
  </si>
  <si>
    <t>2.45_260.1381n</t>
  </si>
  <si>
    <t>Glutamylisoleucine</t>
  </si>
  <si>
    <t>HMDB0028822</t>
  </si>
  <si>
    <t>5879-22-1</t>
  </si>
  <si>
    <t>CC[C@H](C)[C@H](NC(=O)[C@@H](N)CCC(O)=O)C(O)=O</t>
  </si>
  <si>
    <t>SNFUTDLOCQQRQD-ZKWXMUAHSA-N</t>
  </si>
  <si>
    <t>7.96_319.0800m/z</t>
  </si>
  <si>
    <t>11-Methoxynoryangonin</t>
  </si>
  <si>
    <t>HMDB0030754</t>
  </si>
  <si>
    <t>77900-31-3</t>
  </si>
  <si>
    <t>COC1=CC(=O)OC(\C=C/C2=CC(OC)=C(O)C=C2)=C1</t>
  </si>
  <si>
    <t>YHVDGZPFCGLBOW-HYXAFXHYSA-N</t>
  </si>
  <si>
    <t>C15H14O5</t>
  </si>
  <si>
    <t>10.41_796.4775m/z</t>
  </si>
  <si>
    <t>PS(20:4(5E,8Z,12Z,14Z)-OH(11R)/16:1(9Z))</t>
  </si>
  <si>
    <t>HMDB0281235</t>
  </si>
  <si>
    <t>[H][C@@](COC(=O)CCC\C=C\C\C=C/C[C@H](O)\C=C/C=C\CCCCC)(COP(O)(=O)OC[C@H](N)C(O)=O)OC(=O)CCCCCCC\C=C/CCCCCC</t>
  </si>
  <si>
    <t>AASPADMWBFSWST-KKMFUHGESA-N</t>
  </si>
  <si>
    <t>C42H72NO11P</t>
  </si>
  <si>
    <t>2.02_209.0927m/z</t>
  </si>
  <si>
    <t>L-Kynurenine</t>
  </si>
  <si>
    <t>HMDB0000684</t>
  </si>
  <si>
    <t>C00328</t>
  </si>
  <si>
    <t>hsa00380,hsa05143</t>
  </si>
  <si>
    <t>Tryptophan metabolism|African trypanosomiasis</t>
  </si>
  <si>
    <t>2922-83-0</t>
  </si>
  <si>
    <t>N[C@@H](CC(=O)C1=CC=CC=C1N)C(O)=O</t>
  </si>
  <si>
    <t>YGPSJZOEDVAXAB-QMMMGPOBSA-N</t>
  </si>
  <si>
    <t>C10H12N2O3</t>
  </si>
  <si>
    <t>315</t>
  </si>
  <si>
    <t>Ribonic Acid</t>
  </si>
  <si>
    <t>HMDB0000867</t>
  </si>
  <si>
    <t>C01685</t>
  </si>
  <si>
    <t>642-98-8</t>
  </si>
  <si>
    <t>OC[C@@H](O)[C@@H](O)[C@@H](O)C(O)=O</t>
  </si>
  <si>
    <t>QXKAIJAYHKCRRA-BXXZVTAOSA-N</t>
  </si>
  <si>
    <t>3.63_295.1275m/z</t>
  </si>
  <si>
    <t>Paucine</t>
  </si>
  <si>
    <t>HMDB0029876</t>
  </si>
  <si>
    <t>C03002</t>
  </si>
  <si>
    <t>29554-26-5</t>
  </si>
  <si>
    <t>NCCCC\N=C(/O)\C=C/C1=CC(O)=C(O)C=C1</t>
  </si>
  <si>
    <t>KTZNZCYTXQYEHT-XQRVVYSFSA-N</t>
  </si>
  <si>
    <t>8.09_219.1387m/z</t>
  </si>
  <si>
    <t>2-[5]-ladderane ethanoic acid</t>
  </si>
  <si>
    <t>LMFA01140081</t>
  </si>
  <si>
    <t>C(C(O)=O)C1C2C3C4C5CCC5C4C3C2C1</t>
  </si>
  <si>
    <t>DZIBLSUVSGTNGQ-UHFFFAOYSA-N</t>
  </si>
  <si>
    <t>9.01_292.1435n</t>
  </si>
  <si>
    <t>Fusarochromanone</t>
  </si>
  <si>
    <t>HMDB0033514</t>
  </si>
  <si>
    <t>104653-89-6</t>
  </si>
  <si>
    <t>CC1(C)CC(=O)C2=C(O1)C=CC(C(=O)CC(N)CO)=C2N</t>
  </si>
  <si>
    <t>COSICWYFCAPPJB-UHFFFAOYSA-N</t>
  </si>
  <si>
    <t>C15H20N2O4</t>
  </si>
  <si>
    <t>14.32_515.4107m/z</t>
  </si>
  <si>
    <t>32:5(17Z,20Z,23Z,26Z,29Z)</t>
  </si>
  <si>
    <t>LMFA01030834</t>
  </si>
  <si>
    <t>C(CCCCCCCCCCCCCCC/C=C\C/C=C\C/C=C\C/C=C\C/C=C\CC)(=O)O</t>
  </si>
  <si>
    <t>PQBCYTBVNFCCOI-JLNKQSITSA-N</t>
  </si>
  <si>
    <t>C32H54O2</t>
  </si>
  <si>
    <t>3.90_201.1603m/z</t>
  </si>
  <si>
    <t>Methyprylon</t>
  </si>
  <si>
    <t>HMDB0015239</t>
  </si>
  <si>
    <t>125-64-4</t>
  </si>
  <si>
    <t>CCC1(CC)C(=O)NCC(C)C1=O</t>
  </si>
  <si>
    <t>SIDLZWOQUZRBRU-UHFFFAOYSA-N</t>
  </si>
  <si>
    <t>Piperidinones</t>
  </si>
  <si>
    <t>C10H17NO2</t>
  </si>
  <si>
    <t>1.49_269.1119m/z</t>
  </si>
  <si>
    <t>N-Demethylpromethazine</t>
  </si>
  <si>
    <t>37707-23-6</t>
  </si>
  <si>
    <t>CC(CN1C2=CC=CC=C2SC3=CC=CC=C31)NC</t>
  </si>
  <si>
    <t>IJOZCCILCJIHOA-UHFFFAOYSA-N</t>
  </si>
  <si>
    <t>C16H18N2S</t>
  </si>
  <si>
    <t>4.75_338.2035m/z</t>
  </si>
  <si>
    <t>Leu Ala Ile</t>
  </si>
  <si>
    <t>CCC(C)C(C(=O)O)NC(=O)C(C)NC(=O)C(CC(C)C)N</t>
  </si>
  <si>
    <t>QPRQGENIBFLVEB-BJDJZHNGSA-N</t>
  </si>
  <si>
    <t>3.61_227.1034m/z</t>
  </si>
  <si>
    <t>Alaptide</t>
  </si>
  <si>
    <t>HMDB0248111</t>
  </si>
  <si>
    <t>CC1NC(=O)C2(CCCC2)NC1=O</t>
  </si>
  <si>
    <t>LTRSPDHUDXWHRY-UHFFFAOYSA-N</t>
  </si>
  <si>
    <t>C9H14N2O2</t>
  </si>
  <si>
    <t>5.26_298.1296m/z</t>
  </si>
  <si>
    <t>Gravolenic acid</t>
  </si>
  <si>
    <t>HMDB0033884</t>
  </si>
  <si>
    <t>13781-46-9</t>
  </si>
  <si>
    <t>CC(C)(O)C1CC2=C(O)C(O)=CC(\C=C/C(O)=O)=C2O1</t>
  </si>
  <si>
    <t>DABSIZUNYJTFDJ-ARJAWSKDSA-N</t>
  </si>
  <si>
    <t>C14H16O6</t>
  </si>
  <si>
    <t>4.59_318.1823m/z</t>
  </si>
  <si>
    <t>Isoleucyl-Tryptophan</t>
  </si>
  <si>
    <t>HMDB0028918</t>
  </si>
  <si>
    <t>CCC(C)C(N)C(=O)NC(CC1=CNC2=CC=CC=C12)C(O)=O</t>
  </si>
  <si>
    <t>BVRPESWOSNFUCJ-UHFFFAOYSA-N</t>
  </si>
  <si>
    <t>C17H23N3O3</t>
  </si>
  <si>
    <t>7.13_469.0754m/z</t>
  </si>
  <si>
    <t>3,5,7-Tris(acetyloxy)-2-[4-(acetyloxy)-3-hydroxyphenyl]-4H-1-benzopyran-4-one</t>
  </si>
  <si>
    <t>LMPK12112303</t>
  </si>
  <si>
    <t>C12=C(OC(C)=O)C=C(OC(C)=O)C=C1OC(C1C=CC(OC(C)=O)=C(O)C=1)=C(OC(C)=O)C2=O</t>
  </si>
  <si>
    <t>ZWYZHJDVFHNBDP-UHFFFAOYSA-N</t>
  </si>
  <si>
    <t>C23H18O11</t>
  </si>
  <si>
    <t>449</t>
  </si>
  <si>
    <t>Melatonin</t>
  </si>
  <si>
    <t>HMDB0001389</t>
  </si>
  <si>
    <t>C01598</t>
  </si>
  <si>
    <t>hsa00380,hsa04080,hsa04713</t>
  </si>
  <si>
    <t>Tryptophan metabolism|Neuroactive ligand-receptor interaction|Circadian entrainment</t>
  </si>
  <si>
    <t>R-HSA-1430728,R-HSA-162582,R-HSA-209776,R-HSA-209931,R-HSA-211859,R-HSA-211945,R-HSA-372790,R-HSA-373076,R-HSA-388396,R-HSA-418594,R-HSA-500792,R-HSA-71291</t>
  </si>
  <si>
    <t>Metabolism|Signal Transduction|Metabolism of amine-derived hormones|Serotonin and melatonin biosynthesis|Biological oxidations|Phase I - Functionalization of compounds|Signaling by GPCR|Class A/1 (Rhodopsin-like receptors)|GPCR downstream signalling|G alpha (i) signalling events|GPCR ligand binding|Metabolism of amino acids and derivatives</t>
  </si>
  <si>
    <t>73-31-4</t>
  </si>
  <si>
    <t>COC1=CC2=C(NC=C2CCNC(C)=O)C=C1</t>
  </si>
  <si>
    <t>DRLFMBDRBRZALE-UHFFFAOYSA-N</t>
  </si>
  <si>
    <t>C13H16N2O2</t>
  </si>
  <si>
    <t>13.22_159.9854m/z</t>
  </si>
  <si>
    <t>thiol-maleimide</t>
  </si>
  <si>
    <t>HMDB0259015</t>
  </si>
  <si>
    <t>O=C1NC(=O)C(=C1)C1=CC=CS1</t>
  </si>
  <si>
    <t>AUDYZXNUHIIGRB-UHFFFAOYSA-N</t>
  </si>
  <si>
    <t>C8H5NO2S</t>
  </si>
  <si>
    <t>4.62_217.1077m/z</t>
  </si>
  <si>
    <t>3-Hydroxysebacic acid</t>
  </si>
  <si>
    <t>HMDB0000350</t>
  </si>
  <si>
    <t>446881-43-2</t>
  </si>
  <si>
    <t>O[C@H](CCCCCCC(O)=O)CC(O)=O</t>
  </si>
  <si>
    <t>OQYZCCKCJQWHIE-MRVPVSSYSA-N</t>
  </si>
  <si>
    <t>4.90_304.0803m/z</t>
  </si>
  <si>
    <t>1-(6-Aminopurin-9-yl)-5-methylpyrimidine-2,4-dione</t>
  </si>
  <si>
    <t>HMDB0257910</t>
  </si>
  <si>
    <t>CC1=CN(N2C=NC3=C2N=CN=C3N)C(=O)NC1=O</t>
  </si>
  <si>
    <t>XNKUEYOALKMIRE-UHFFFAOYSA-N</t>
  </si>
  <si>
    <t>C10H9N7O2</t>
  </si>
  <si>
    <t>0.70_233.0774m/z</t>
  </si>
  <si>
    <t>Glutamylserine</t>
  </si>
  <si>
    <t>HMDB0028828</t>
  </si>
  <si>
    <t>5875-38-7</t>
  </si>
  <si>
    <t>N[C@@H](CCC(O)=O)C(=O)N[C@@H](CO)C(O)=O</t>
  </si>
  <si>
    <t>UQHGAYSULGRWRG-WHFBIAKZSA-N</t>
  </si>
  <si>
    <t>13.53_423.3483m/z</t>
  </si>
  <si>
    <t>DG(i-13:0/10:0/0:0)</t>
  </si>
  <si>
    <t>HMDB0093147</t>
  </si>
  <si>
    <t>[H][C@](CO)(COC(=O)CCCCCCCCCC(C)C)OC(=O)CCCCCCCCC</t>
  </si>
  <si>
    <t>YUDLLPUFKJGYRT-DEOSSOPVSA-N</t>
  </si>
  <si>
    <t>4.73_207.1501m/z</t>
  </si>
  <si>
    <t>Phenyl(piperidin-4-yl)methanone</t>
  </si>
  <si>
    <t>HMDB0256431</t>
  </si>
  <si>
    <t>O=C(C1CCNCC1)C1=CC=CC=C1</t>
  </si>
  <si>
    <t>DDRCHUGHUHZNKZ-UHFFFAOYSA-N</t>
  </si>
  <si>
    <t>C12H15NO</t>
  </si>
  <si>
    <t>13.33_483.3695m/z</t>
  </si>
  <si>
    <t>bhos#40</t>
  </si>
  <si>
    <t>LMFA13040057</t>
  </si>
  <si>
    <t>O(CCCCCCCCCCCCCCCCCCC[C@@H](O)CC(=O)O)[C@H]1[C@H](O)C[C@@H](O)[C@H](C)O1</t>
  </si>
  <si>
    <t>JFATZVZKPLWHAI-HWRPZNHGSA-N</t>
  </si>
  <si>
    <t>4.20_597.2839m/z</t>
  </si>
  <si>
    <t>Cucurbitacin B</t>
  </si>
  <si>
    <t>LMST01010104</t>
  </si>
  <si>
    <t>C08794</t>
  </si>
  <si>
    <t>R-HSA-162582,R-HSA-372790,R-HSA-388396,R-HSA-418594,R-HSA-420499,R-HSA-500792,R-HSA-9709957,R-HSA-9717189,R-HSA-9717207</t>
  </si>
  <si>
    <t>Signal Transduction|Signaling by GPCR|GPCR downstream signalling|G alpha (i) signalling events|Class C/3 (Metabotropic glutamate/pheromone receptors)|GPCR ligand binding|Sensory Perception|Sensory perception of taste|Sensory perception of sweet, bitter, and umami (glutamate) taste</t>
  </si>
  <si>
    <t>6199-67-3</t>
  </si>
  <si>
    <t>[C@@]12(C)C[C@H]([C@]([H])([C@](O)(C)C(=O)/C=C/C(C)(C)OC(=O)C)[C@@]1(C)CC([C@@]1(C)[C@]3([H])C[C@@H](C(=O)C(C)(C)C3=CC[C@@]21[H])O)=O)O</t>
  </si>
  <si>
    <t>IXQKXEUSCPEQRD-DKRGWESNSA-N</t>
  </si>
  <si>
    <t>C32H46O8</t>
  </si>
  <si>
    <t>4.18_159.0653m/z</t>
  </si>
  <si>
    <t>3-Methyladipic acid</t>
  </si>
  <si>
    <t>HMDB0000555</t>
  </si>
  <si>
    <t>3058-01-3</t>
  </si>
  <si>
    <t>C[C@@H](CCC(O)=O)CC(O)=O</t>
  </si>
  <si>
    <t>SYEOWUNSTUDKGM-YFKPBYRVSA-N</t>
  </si>
  <si>
    <t>C7H12O4</t>
  </si>
  <si>
    <t>10.08_405.2264m/z</t>
  </si>
  <si>
    <t>Maresin 1</t>
  </si>
  <si>
    <t>LMFA04050001</t>
  </si>
  <si>
    <t>C(CC/C=C\C[C@@H](O)/C=C/C=C/C=C\[C@@H](O)C/C=C\C/C=C\CC)(=O)O</t>
  </si>
  <si>
    <t>HLHYXXBCQOUTGK-FHCQLJOMSA-N</t>
  </si>
  <si>
    <t>9.11_471.3419m/z</t>
  </si>
  <si>
    <t>(9E)-9-Nitrooctadec-9-enoylcarnitine</t>
  </si>
  <si>
    <t>HMDB0241824</t>
  </si>
  <si>
    <t>CCCCCCCCC=C(CCCCCCCC(=O)OC(CC([O-])=O)C[N+](C)(C)C)N(=O)=O</t>
  </si>
  <si>
    <t>CZXBKJMYDNXFNV-UHFFFAOYSA-N</t>
  </si>
  <si>
    <t>C25H46N2O6</t>
  </si>
  <si>
    <t>9.62_247.1339m/z</t>
  </si>
  <si>
    <t>Atractylenolide III</t>
  </si>
  <si>
    <t>HMDB0248708</t>
  </si>
  <si>
    <t>CC1=C2CC3C(=C)CCCC3(C)CC2(O)OC1=O</t>
  </si>
  <si>
    <t>FBMORZZOJSDNRQ-UHFFFAOYSA-N</t>
  </si>
  <si>
    <t>10.43_578.4203m/z</t>
  </si>
  <si>
    <t>PC(22:1(11Z)/0:0)</t>
  </si>
  <si>
    <t>LMGP01050134</t>
  </si>
  <si>
    <t>[C@](COP(=O)([O-])OCC[N+](C)(C)C)([H])(O)COC(CCCCCCCCC/C=C\CCCCCCCCCC)=O</t>
  </si>
  <si>
    <t>DNYZTHZOYQPAPM-BMAUTABQSA-N</t>
  </si>
  <si>
    <t>C30H60NO7P</t>
  </si>
  <si>
    <t>10.97_237.1855m/z</t>
  </si>
  <si>
    <t>Oleraceacid A</t>
  </si>
  <si>
    <t>LMFA01031263</t>
  </si>
  <si>
    <t>C(CCCCC/C=C/C=C/C/C=C/CC)(=O)O</t>
  </si>
  <si>
    <t>WRCWZQOTAJVLSU-SIRUGEDZSA-N</t>
  </si>
  <si>
    <t>7.06_212.1418n</t>
  </si>
  <si>
    <t>Patulolide C</t>
  </si>
  <si>
    <t>LMFA07040122</t>
  </si>
  <si>
    <t>C1(O[C@H](C)CCCCCC[C@H](O)C=C1)=O</t>
  </si>
  <si>
    <t>KANOICQRSIXTJU-OJLMFNQTSA-N</t>
  </si>
  <si>
    <t>13.12_441.3588m/z</t>
  </si>
  <si>
    <t>DG(10:0/a-13:0/0:0)</t>
  </si>
  <si>
    <t>HMDB0092971</t>
  </si>
  <si>
    <t>[H][C@](CO)(COC(=O)CCCCCCCCC)OC(=O)CCCCCCCCC(C)CC</t>
  </si>
  <si>
    <t>AMRSBVODZRRKES-CGAIIQECSA-N</t>
  </si>
  <si>
    <t>4.50_413.1308m/z</t>
  </si>
  <si>
    <t>Flecainide</t>
  </si>
  <si>
    <t>HMDB0015326</t>
  </si>
  <si>
    <t>C07001</t>
  </si>
  <si>
    <t>54143-55-4</t>
  </si>
  <si>
    <t>FC(F)(F)COC1=CC(C(=O)NCC2CCCCN2)=C(OCC(F)(F)F)C=C1</t>
  </si>
  <si>
    <t>DJBNUMBKLMJRSA-UHFFFAOYSA-N</t>
  </si>
  <si>
    <t>C17H20F6N2O3</t>
  </si>
  <si>
    <t>4.75_740.2901m/z</t>
  </si>
  <si>
    <t>Rifamycins</t>
  </si>
  <si>
    <t>HMDB0257226</t>
  </si>
  <si>
    <t>COC1C=COC2(C)OC3=C(C)C(O)=C4C(=O)C(NC(=O)C(C)=CC=CC(C)C(O)C(C)C(O)C(C)C(OC(C)=O)C1C)=CC(=O)C4=C3C2=O</t>
  </si>
  <si>
    <t>BTVYFIMKUHNOBZ-UHFFFAOYSA-N</t>
  </si>
  <si>
    <t>C37H45NO12</t>
  </si>
  <si>
    <t>8.19_315.1816m/z</t>
  </si>
  <si>
    <t>3-Oxovalproic acid</t>
  </si>
  <si>
    <t>HMDB0060685</t>
  </si>
  <si>
    <t>C16652</t>
  </si>
  <si>
    <t>60113-81-7</t>
  </si>
  <si>
    <t>CCCC(C(O)=O)C(=O)CC</t>
  </si>
  <si>
    <t>PPYHXKUZTSZTQU-UHFFFAOYSA-N</t>
  </si>
  <si>
    <t>0.76_213.0014m/z</t>
  </si>
  <si>
    <t>S-Nitrosomercaptoethanol</t>
  </si>
  <si>
    <t>HMDB0257419</t>
  </si>
  <si>
    <t>OCCSN=O</t>
  </si>
  <si>
    <t>AVGNNQMFRRYDBY-UHFFFAOYSA-N</t>
  </si>
  <si>
    <t>C2H5NO2S</t>
  </si>
  <si>
    <t>10.55_327.0788m/z</t>
  </si>
  <si>
    <t>Propaphos</t>
  </si>
  <si>
    <t>HMDB0256818</t>
  </si>
  <si>
    <t>C19013</t>
  </si>
  <si>
    <t>7292-16-2</t>
  </si>
  <si>
    <t>CCCOP(=O)(OCCC)OC1=CC=C(SC)C=C1</t>
  </si>
  <si>
    <t>PWYIUEFFPNVCMW-UHFFFAOYSA-N</t>
  </si>
  <si>
    <t>C13H21O4PS</t>
  </si>
  <si>
    <t>5.42_217.1075m/z</t>
  </si>
  <si>
    <t>7-methyl-6-oxo-octanoic acid</t>
  </si>
  <si>
    <t>LMFA01060157</t>
  </si>
  <si>
    <t>C(CCCCC(=O)C(C)C)(=O)O</t>
  </si>
  <si>
    <t>OCTWQXZMIOXBML-UHFFFAOYSA-N</t>
  </si>
  <si>
    <t>9.23_597.3049m/z</t>
  </si>
  <si>
    <t>PI(18:1(9Z)/0:0)</t>
  </si>
  <si>
    <t>HMDB0061693</t>
  </si>
  <si>
    <t>LMGP06050005</t>
  </si>
  <si>
    <t>1114770-15-8</t>
  </si>
  <si>
    <t>[C@]([H])(O)(COP(=O)(O)O[C@H]1[C@H](O)[C@@H](O)[C@H](O)[C@@H](O)[C@H]1O)COC(CCCCCCC/C=C\CCCCCCCC)=O</t>
  </si>
  <si>
    <t>UGDOFRYHDCDVHD-FRWBGTIISA-N</t>
  </si>
  <si>
    <t>12.90_538.4846m/z</t>
  </si>
  <si>
    <t>(17Z)-Hexacos-17-enoylcarnitine</t>
  </si>
  <si>
    <t>HMDB0241641</t>
  </si>
  <si>
    <t>CCCCCCCCC=CCCCCCCCCCCCCCCCC(=O)OC(CC([O-])=O)C[N+](C)(C)C</t>
  </si>
  <si>
    <t>IEXHCKQROJJVJL-UHFFFAOYSA-N</t>
  </si>
  <si>
    <t>C33H63NO4</t>
  </si>
  <si>
    <t>6.15_315.1349m/z</t>
  </si>
  <si>
    <t>[8]-Shogaol</t>
  </si>
  <si>
    <t>HMDB0031463</t>
  </si>
  <si>
    <t>C10494</t>
  </si>
  <si>
    <t>36700-45-5</t>
  </si>
  <si>
    <t>CCCCCC=CC(=O)CCC1=CC(OC)=C(O)C=C1</t>
  </si>
  <si>
    <t>OQWKEEOHDMUXEO-UHFFFAOYSA-N</t>
  </si>
  <si>
    <t>C17H24O3</t>
  </si>
  <si>
    <t>13.75_163.9909m/z</t>
  </si>
  <si>
    <t>(±)-Methamidophos</t>
  </si>
  <si>
    <t>HMDB0031803</t>
  </si>
  <si>
    <t>C18667</t>
  </si>
  <si>
    <t>115182-35-9</t>
  </si>
  <si>
    <t>COP(N)(=O)SC</t>
  </si>
  <si>
    <t>NNKVPIKMPCQWCG-UHFFFAOYSA-N</t>
  </si>
  <si>
    <t>Organothiophosphorus compounds</t>
  </si>
  <si>
    <t>Phosphoramidothioic-acid-O,S-diesters</t>
  </si>
  <si>
    <t>C2H8NO2PS</t>
  </si>
  <si>
    <t>14.74_589.4476m/z</t>
  </si>
  <si>
    <t>Ribosylhopane</t>
  </si>
  <si>
    <t>LMPR04000028</t>
  </si>
  <si>
    <t>C1C[C@]2(C)C3[C@@](C)(CCC2C(C)(C)C1)[C@]1(C)CCC2C(C(CCC4OC(O)C(O)C4O)C)CC[C@]2(C)C1CC3</t>
  </si>
  <si>
    <t>AGSPYXOEGPQCDH-DGGLOESNSA-N</t>
  </si>
  <si>
    <t>11.19_532.3761m/z</t>
  </si>
  <si>
    <t>Pyrrolidino PAF C-16</t>
  </si>
  <si>
    <t>91021-63-5</t>
  </si>
  <si>
    <t>CCCCCCCCCCCCCCCCOCC(COP(=O)([O-])OCC[N+]1(CCCC1)C)OC(=O)C</t>
  </si>
  <si>
    <t>QBLLCUIJMABRFJ-MUUNZHRXSA-N</t>
  </si>
  <si>
    <t>11.21_257.2121m/z</t>
  </si>
  <si>
    <t>10-Hydroxymyristic acid methyl ester</t>
  </si>
  <si>
    <t>HMDB0031061</t>
  </si>
  <si>
    <t>CCCCC(O)CCCCCCCCC(=O)OC</t>
  </si>
  <si>
    <t>XWWWWMGJQNMRKX-UHFFFAOYSA-N</t>
  </si>
  <si>
    <t>C15H30O3</t>
  </si>
  <si>
    <t>4.58_275.1038m/z</t>
  </si>
  <si>
    <t>Glutamylphenylalanine</t>
  </si>
  <si>
    <t>HMDB0029156</t>
  </si>
  <si>
    <t>20556-22-3</t>
  </si>
  <si>
    <t>N[C@@H](CCC(O)=O)C(=O)N[C@@H](CC1=CC=CC=C1)C(O)=O</t>
  </si>
  <si>
    <t>XMBSYZWANAQXEV-QWRGUYRKSA-N</t>
  </si>
  <si>
    <t>5.06_256.1131m/z</t>
  </si>
  <si>
    <t>Isoquinoline, 1-(1-naphthalenyl)-</t>
  </si>
  <si>
    <t>HMDB0253685</t>
  </si>
  <si>
    <t>C1=CC=C2C(C=CC=C2C2=NC=CC3=CC=CC=C23)=C1</t>
  </si>
  <si>
    <t>YGRSXJJORLXYPT-UHFFFAOYSA-N</t>
  </si>
  <si>
    <t>Naphthylisoquinolines</t>
  </si>
  <si>
    <t>C19H13N</t>
  </si>
  <si>
    <t>12.05_437.3275m/z</t>
  </si>
  <si>
    <t>ascr#35</t>
  </si>
  <si>
    <t>LMFA13040018</t>
  </si>
  <si>
    <t>O([C@@H](CCCCCCCCCCCCCCC/C=C/C(=O)O)C)[C@H]1[C@H](O)C[C@@H](O)[C@H](C)O1</t>
  </si>
  <si>
    <t>GIUKRFWFBBFDTQ-LAOJQUNESA-N</t>
  </si>
  <si>
    <t>C26H48O6</t>
  </si>
  <si>
    <t>12.69_285.2435m/z</t>
  </si>
  <si>
    <t>Hexadecan-2-one</t>
  </si>
  <si>
    <t>HMDB0031052</t>
  </si>
  <si>
    <t>LMFA12000187</t>
  </si>
  <si>
    <t>18787-63-8</t>
  </si>
  <si>
    <t>CC(=O)CCCCCCCCCCCCCC</t>
  </si>
  <si>
    <t>XCXKZBWAKKPFCJ-UHFFFAOYSA-N</t>
  </si>
  <si>
    <t>10.71_411.3064m/z</t>
  </si>
  <si>
    <t>oscr#31</t>
  </si>
  <si>
    <t>LMFA13040067</t>
  </si>
  <si>
    <t>O[C@@H]1C[C@@H](O)[C@H](C)O[C@H]1OCCCCCCCCCCCCCCC/C=C/C(=O)O</t>
  </si>
  <si>
    <t>VXOVWFJOWNESCS-PGYXGQNHSA-N</t>
  </si>
  <si>
    <t>7.61_315.1348m/z</t>
  </si>
  <si>
    <t>Methyl 6,7-dimethoxy-4-ethyl-beta-carboline-3-carboxylate</t>
  </si>
  <si>
    <t>HMDB0251535</t>
  </si>
  <si>
    <t>CCC1=C2C(NC3=CC(OC)=C(OC)C=C23)=CN=C1C(=O)OC</t>
  </si>
  <si>
    <t>GADIKQPUNWAMEB-UHFFFAOYSA-N</t>
  </si>
  <si>
    <t>C17H18N2O4</t>
  </si>
  <si>
    <t>3.73_375.1573m/z</t>
  </si>
  <si>
    <t>Calabaxanthone</t>
  </si>
  <si>
    <t>HMDB0030655</t>
  </si>
  <si>
    <t>39011-96-6</t>
  </si>
  <si>
    <t>COC1=C(CC=C(C)C)C2=C(OC3=C(C(O)=C4C=CC(C)(C)OC4=C3)C2=O)C=C1</t>
  </si>
  <si>
    <t>PLKQPRRVFTZBAE-UHFFFAOYSA-N</t>
  </si>
  <si>
    <t>C24H24O5</t>
  </si>
  <si>
    <t>4.13_440.2520m/z</t>
  </si>
  <si>
    <t>Gln Leu Tyr</t>
  </si>
  <si>
    <t>CC(C)CC(C(=O)NC(CC1=CC=C(C=C1)O)C(=O)O)NC(=O)C(CCC(=O)N)N</t>
  </si>
  <si>
    <t>HSHCEAUPUPJPTE-JYJNAYRXSA-N</t>
  </si>
  <si>
    <t>C20H30N4O6</t>
  </si>
  <si>
    <t>0.74_188.0920m/z</t>
  </si>
  <si>
    <t>1-(2-Hydroxyethyl)-2-(hydroxymethyl)piperidine-3,4,5-triol</t>
  </si>
  <si>
    <t>HMDB0243780</t>
  </si>
  <si>
    <t>OCCN1CC(O)C(O)C(O)C1CO</t>
  </si>
  <si>
    <t>IBAQFPQHRJAVAV-UHFFFAOYSA-N</t>
  </si>
  <si>
    <t>C8H17NO5</t>
  </si>
  <si>
    <t>12.66_198.1858m/z</t>
  </si>
  <si>
    <t>12-amino-dodecanoic acid</t>
  </si>
  <si>
    <t>LMFA01100005</t>
  </si>
  <si>
    <t>C(CCCCCCCCCCCN)(=O)O</t>
  </si>
  <si>
    <t>PBLZLIFKVPJDCO-UHFFFAOYSA-N</t>
  </si>
  <si>
    <t>C12H25NO2</t>
  </si>
  <si>
    <t>10.12_544.2662m/z</t>
  </si>
  <si>
    <t>PE(0:0/20:5(5Z,8Z,11Z,14Z,17Z))</t>
  </si>
  <si>
    <t>HMDB0011489</t>
  </si>
  <si>
    <t>LMGP02050053</t>
  </si>
  <si>
    <t>C(OP(OCCN)(O)=O)[C@]([H])(OC(=O)CCC/C=C\C/C=C\C/C=C\C/C=C\C/C=C\CC)CO</t>
  </si>
  <si>
    <t>MMHCCHGAKPRCIO-KOYQJJOGSA-N</t>
  </si>
  <si>
    <t>C25H42NO7P</t>
  </si>
  <si>
    <t>14.48_533.3831m/z</t>
  </si>
  <si>
    <t>5beta,6beta-epoxygorgostane-3beta,7alpha,11alpha,12beta-tetrol 12-acetate</t>
  </si>
  <si>
    <t>LMST01060026</t>
  </si>
  <si>
    <t>C1[C@]2(C)[C@@]3([H])[C@H](O)[C@@H](OC(C)=O)[C@]4(C)[C@@]([H])([C@]([H])(C)[C@H]5C[C@]5(C)[C@H](C)C(C)C)CC[C@@]4([H])[C@]3([H])[C@H](O)[C@H]3O[C@]32C[C@@H](O)C1</t>
  </si>
  <si>
    <t>DDLFXAOVNKGXCB-MYJWWNAKSA-N</t>
  </si>
  <si>
    <t>C32H52O6</t>
  </si>
  <si>
    <t>7.24_373.0464m/z</t>
  </si>
  <si>
    <t>Fluorescin</t>
  </si>
  <si>
    <t>HMDB0252365</t>
  </si>
  <si>
    <t>OC(=O)C1=CC=CC=C1C1C2=CC=C(O)C=C2OC2=C1C=CC(O)=C2</t>
  </si>
  <si>
    <t>MURGITYSBWUQTI-UHFFFAOYSA-N</t>
  </si>
  <si>
    <t>C20H14O5</t>
  </si>
  <si>
    <t>8.00_309.2073m/z</t>
  </si>
  <si>
    <t>(11E,15Z)-9,10,13-Trihydroxy-11,15-octadecadienoic acid</t>
  </si>
  <si>
    <t>CCC=CCC(C=CC(C(CCCCCCCC(=O)O)O)O)O</t>
  </si>
  <si>
    <t>ADHVWICOFLYDST-MKZMYESJSA-N</t>
  </si>
  <si>
    <t>7.32_650.3146m/z</t>
  </si>
  <si>
    <t>Peanut oil, hydrogenated</t>
  </si>
  <si>
    <t>HMDB0250835</t>
  </si>
  <si>
    <t>NCCCCC(NC(=O)C(CC1=CC=CC=C1)NC(=O)C(CCCN=C(N)N)NC(=O)C(N)CC1=CC=C(O)C=C1)C(N)=O</t>
  </si>
  <si>
    <t>UEVAHGMTRWGMTB-UHFFFAOYSA-N</t>
  </si>
  <si>
    <t>C30H45N9O5</t>
  </si>
  <si>
    <t>4.67_437.2405m/z</t>
  </si>
  <si>
    <t>HC Toxin</t>
  </si>
  <si>
    <t>C15676</t>
  </si>
  <si>
    <t>83209-65-8</t>
  </si>
  <si>
    <t>CC1C(=O)NC(C(=O)N2CCCC2C(=O)NC(C(=O)N1)C)CCCCCC(=O)C3CO3</t>
  </si>
  <si>
    <t>GNYCTMYOHGBSBI-SVZOTFJBSA-N</t>
  </si>
  <si>
    <t>C21H32N4O6</t>
  </si>
  <si>
    <t>4.96_317.1507m/z</t>
  </si>
  <si>
    <t>8-Acetoxy-4-acoren-3-one</t>
  </si>
  <si>
    <t>HMDB0030974</t>
  </si>
  <si>
    <t>185154-95-4</t>
  </si>
  <si>
    <t>CC(C)C1C(CC(C)C11CC=C(C)C(=O)C1)OC(C)=O</t>
  </si>
  <si>
    <t>LDEHIZSFHFOEKN-UHFFFAOYSA-N</t>
  </si>
  <si>
    <t>C17H26O3</t>
  </si>
  <si>
    <t>4.69_260.1866m/z</t>
  </si>
  <si>
    <t>Hexanoylcarnitine</t>
  </si>
  <si>
    <t>HMDB0000756</t>
  </si>
  <si>
    <t>22671-29-0</t>
  </si>
  <si>
    <t>CCCCCC(=O)O[C@H](CC(O)=O)C[N+](C)(C)C</t>
  </si>
  <si>
    <t>VVPRQWTYSNDTEA-LLVKDONJSA-O</t>
  </si>
  <si>
    <t>C13H26NO4+</t>
  </si>
  <si>
    <t>10.99_363.2542m/z</t>
  </si>
  <si>
    <t>5alpha-Pregnan-20alpha-ol-3-one</t>
  </si>
  <si>
    <t>HMDB0060408</t>
  </si>
  <si>
    <t>C18041</t>
  </si>
  <si>
    <t>C[C@H](O)[C@H]1CC[C@H]2[C@@H]3CC[C@H]4CC(=O)CC[C@]4(C)[C@H]3CC[C@]12C</t>
  </si>
  <si>
    <t>DYVGYXXLXQESJE-SKLBOBKVSA-N</t>
  </si>
  <si>
    <t>C21H34O2</t>
  </si>
  <si>
    <t>0.62_301.1421m/z</t>
  </si>
  <si>
    <t>Glyceryl 5-hydroxydecanoate</t>
  </si>
  <si>
    <t>HMDB0032297</t>
  </si>
  <si>
    <t>26446-31-1</t>
  </si>
  <si>
    <t>CCCCCC(O)CCCC(=O)OCC(O)CO</t>
  </si>
  <si>
    <t>ILJDYMFZBMWGGZ-UHFFFAOYSA-N</t>
  </si>
  <si>
    <t>C13H26O5</t>
  </si>
  <si>
    <t>9.46_545.2046m/z</t>
  </si>
  <si>
    <t>Tryptoquivaline</t>
  </si>
  <si>
    <t>HMDB0259309</t>
  </si>
  <si>
    <t>CC(C)C(OC(C)=O)C1=NC2=CC=CC=C2C(=O)N1C1CC2(OC1=O)C1N(O)C(C)(C)C(=O)N1C1=CC=CC=C21</t>
  </si>
  <si>
    <t>CYNVLFGDEQQUPE-UHFFFAOYSA-N</t>
  </si>
  <si>
    <t>C29H30N4O7</t>
  </si>
  <si>
    <t>3.84_352.1514m/z</t>
  </si>
  <si>
    <t>Asp Ala Phe</t>
  </si>
  <si>
    <t>CC(C(=O)NC(CC1=CC=CC=C1)C(=O)O)NC(=O)C(CC(=O)O)N</t>
  </si>
  <si>
    <t>NECWUSYTYSIFNC-DLOVCJGASA-N</t>
  </si>
  <si>
    <t>C16H21N3O6</t>
  </si>
  <si>
    <t>14.63_430.3458n</t>
  </si>
  <si>
    <t>Nebrosteroid K</t>
  </si>
  <si>
    <t>LMST01010338</t>
  </si>
  <si>
    <t>[C@]12(CC=C3C[C@@H](O)CC[C@]3(C(=O)OC)[C@@]1([H])CC[C@]1(C)[C@@]([H])([C@@](C)([H])CCCC(C)C)CC[C@@]21[H])[H]</t>
  </si>
  <si>
    <t>RJUFSIGCWNUVCK-ROUDTPAMSA-N</t>
  </si>
  <si>
    <t>C28H46O3</t>
  </si>
  <si>
    <t>12.65_399.3269m/z</t>
  </si>
  <si>
    <t>1alpha,25-dihydroxy-3-deoxyvitamin D3 / 1alpha,25-dihydroxy-3-deoxycholecalciferol</t>
  </si>
  <si>
    <t>LMST03020241</t>
  </si>
  <si>
    <t>[C@@H]1(O)C(=C)/C(=C\C=C2\[C@]3([H])CC[C@@]([H])([C@@]3(C)CCC\2)[C@]([H])(C)CCCC(O)(C)C)/CCC1</t>
  </si>
  <si>
    <t>SMHOCVXBTUJVBK-FBXCIANDSA-N</t>
  </si>
  <si>
    <t>13.51_466.1516m/z</t>
  </si>
  <si>
    <t>Amrubicinol (mixture)</t>
  </si>
  <si>
    <t>HMDB0248365</t>
  </si>
  <si>
    <t>CC(O)C1(N)CC(OC2CC(O)C(O)CO2)C2=C(O)C3=C(C(O)=C2C1)C(=O)C1=CC=CC=C1C3=O</t>
  </si>
  <si>
    <t>HSDGDISMODBEAN-UHFFFAOYSA-N</t>
  </si>
  <si>
    <t>Naphthacenes</t>
  </si>
  <si>
    <t>Tetracenequinones</t>
  </si>
  <si>
    <t>C25H27NO9</t>
  </si>
  <si>
    <t>11.55_289.1394m/z</t>
  </si>
  <si>
    <t>4-Aminophenylmannoside</t>
  </si>
  <si>
    <t>HMDB0246178</t>
  </si>
  <si>
    <t>NC1=CC=C(OC2OC(CO)C(O)C(O)C2O)C=C1</t>
  </si>
  <si>
    <t>MIAKOEWBCMPCQR-UHFFFAOYSA-N</t>
  </si>
  <si>
    <t>C12H17NO6</t>
  </si>
  <si>
    <t>4.11_483.2348m/z</t>
  </si>
  <si>
    <t>MG(TXB2/0:0/0:0)</t>
  </si>
  <si>
    <t>HMDB0260482</t>
  </si>
  <si>
    <t>CCCCC[C@H](O)\C=C\[C@H]1OC(O)C[C@H](O)[C@@H]1C\C=C/CCCC(=O)OC[C@@H](O)CO</t>
  </si>
  <si>
    <t>IICVENUOZSIBNH-HXUYKSDOSA-N</t>
  </si>
  <si>
    <t>C23H40O8</t>
  </si>
  <si>
    <t>7.68_287.1412m/z</t>
  </si>
  <si>
    <t>(6Z,10E)-hexadec-6,10-dien-8-ynoic acid</t>
  </si>
  <si>
    <t>LMFA01031150</t>
  </si>
  <si>
    <t>C(#C/C=C\CCCCC(=O)O)/C=C/CCCCC</t>
  </si>
  <si>
    <t>AJOUVFQEKMCFLL-WFKFFMJQSA-N</t>
  </si>
  <si>
    <t>6.93_315.1347m/z</t>
  </si>
  <si>
    <t>Cyclopropyl-methoxycarbonyl metomidate</t>
  </si>
  <si>
    <t>HMDB0259618</t>
  </si>
  <si>
    <t>COC(=O)C1(CC1)OC(=O)C1=CN=CN1C(C)C1=CC=CC=C1</t>
  </si>
  <si>
    <t>DRAFVCKNYNQOKR-UHFFFAOYSA-N</t>
  </si>
  <si>
    <t>0.68_106.0505m/z</t>
  </si>
  <si>
    <t>D-Serine</t>
  </si>
  <si>
    <t>HMDB0003406</t>
  </si>
  <si>
    <t>C00740</t>
  </si>
  <si>
    <t>hsa00260,hsa00470</t>
  </si>
  <si>
    <t>Glycine, serine and threonine metabolism|D-Amino acid metabolism</t>
  </si>
  <si>
    <t>R-HSA-112314,R-HSA-112315,R-HSA-112316,R-HSA-1430728,R-HSA-162582,R-HSA-352230,R-HSA-382551,R-HSA-425393,R-HSA-425407,R-HSA-438064,R-HSA-438066,R-HSA-442742,R-HSA-442755,R-HSA-442982,R-HSA-5673001,R-HSA-5683057,R-HSA-5684996,R-HSA-71291,R-HSA-9617324,R-HSA-9620244,R-HSA-977347</t>
  </si>
  <si>
    <t>Neurotransmitter receptors and postsynaptic signal transmission|Transmission across Chemical Synapses|Neuronal System|Metabolism|Signal Transduction|Amino acid transport across the plasma membrane|Transport of small molecules|Transport of inorganic cations/anions and amino acids/oligopeptides|SLC-mediated transmembrane transport|Post NMDA receptor activation events|Unblocking of NMDA receptors, glutamate binding and activation|CREB1 phosphorylation through NMDA receptor-mediated activation of RAS signaling|Activation of NMDA receptors and postsynaptic events|Ras activation upon Ca2+ influx through NMDA receptor|RAF/MAP kinase cascade|MAPK family signaling cascades|MAPK1/MAPK3 signaling|Metabolism of amino acids and derivatives|Negative regulation of NMDA receptor-mediated neuronal transmission|Long-term potentiation|Serine biosynthesis</t>
  </si>
  <si>
    <t>312-84-5</t>
  </si>
  <si>
    <t>N[C@H](CO)C(O)=O</t>
  </si>
  <si>
    <t>MTCFGRXMJLQNBG-UWTATZPHSA-N</t>
  </si>
  <si>
    <t>9.81_512.2996m/z</t>
  </si>
  <si>
    <t>PC(14:0/0:0)</t>
  </si>
  <si>
    <t>HMDB0010379</t>
  </si>
  <si>
    <t>LMGP01050012</t>
  </si>
  <si>
    <t>20559-16-4</t>
  </si>
  <si>
    <t>[C@](COP(=O)([O-])OCC[N+](C)(C)C)([H])(O)COC(CCCCCCCCCCCCC)=O</t>
  </si>
  <si>
    <t>VXUOFDJKYGDUJI-OAQYLSRUSA-N</t>
  </si>
  <si>
    <t>11.32_385.2000m/z</t>
  </si>
  <si>
    <t>Pexacerfont</t>
  </si>
  <si>
    <t>HMDB0256359</t>
  </si>
  <si>
    <t>CCC(C)NC1=NC(C)=NC2=C(C(C)=NN12)C1=C(C)N=C(OC)C=C1</t>
  </si>
  <si>
    <t>LBWQSAZEYIZZCE-UHFFFAOYSA-N</t>
  </si>
  <si>
    <t>Pyrazolylpyridines</t>
  </si>
  <si>
    <t>C18H24N6O</t>
  </si>
  <si>
    <t>8.97_353.2320m/z</t>
  </si>
  <si>
    <t>5-epi-5-iso-LGD2</t>
  </si>
  <si>
    <t>LMFA03100033</t>
  </si>
  <si>
    <t>C(CCC[C@@H](O)/C=C/[C@H](C=O)[C@@H](C/C=C\CCCCC)C(=O)C)(=O)O</t>
  </si>
  <si>
    <t>HFMAGYDCADKGBI-GJXUSZJUSA-N</t>
  </si>
  <si>
    <t>2.94_316.1627m/z</t>
  </si>
  <si>
    <t>Phenylalanyllysine</t>
  </si>
  <si>
    <t>HMDB0029000</t>
  </si>
  <si>
    <t>6456-72-0</t>
  </si>
  <si>
    <t>NCCCC[C@H](NC(=O)[C@@H](N)CC1=CC=CC=C1)C(O)=O</t>
  </si>
  <si>
    <t>FADYJNXDPBKVCA-STQMWFEESA-N</t>
  </si>
  <si>
    <t>C15H23N3O3</t>
  </si>
  <si>
    <t>9.54_543.1286m/z</t>
  </si>
  <si>
    <t>Epifisetinidol-(4beta-&gt;8)-catechin</t>
  </si>
  <si>
    <t>HMDB0032007</t>
  </si>
  <si>
    <t>OC1CC2=C(OC1C1=CC(O)=C(O)C=C1)C(C1C(O)C(OC3=C1C=CC(O)=C3)C1=CC(O)=C(O)C=C1)=C(O)C=C2O</t>
  </si>
  <si>
    <t>CVPALQKJIJFGCD-UHFFFAOYSA-N</t>
  </si>
  <si>
    <t>Biflavonoids and polyflavonoids</t>
  </si>
  <si>
    <t>C30H26O11</t>
  </si>
  <si>
    <t>0.68_118.0498m/z</t>
  </si>
  <si>
    <t>4-Amino-3-hydroxybutyrate</t>
  </si>
  <si>
    <t>HMDB0061877</t>
  </si>
  <si>
    <t>C03678</t>
  </si>
  <si>
    <t>NCC(O)CC(O)=O</t>
  </si>
  <si>
    <t>YQGDEPYYFWUPGO-UHFFFAOYSA-N</t>
  </si>
  <si>
    <t>521</t>
  </si>
  <si>
    <t>Maltotriose</t>
  </si>
  <si>
    <t>HMDB0001262</t>
  </si>
  <si>
    <t>C01835</t>
  </si>
  <si>
    <t>hsa04973</t>
  </si>
  <si>
    <t>Carbohydrate digestion and absorption</t>
  </si>
  <si>
    <t>1109-28-0</t>
  </si>
  <si>
    <t>OC[C@H]1O[C@H](O[C@H]2[C@H](O)[C@@H](O)[C@@H](O[C@H]3[C@H](O)[C@@H](O)C(O)O[C@@H]3CO)O[C@@H]2CO)[C@H](O)[C@@H](O)[C@@H]1O</t>
  </si>
  <si>
    <t>FYGDTMLNYKFZSV-DZOUCCHMSA-N</t>
  </si>
  <si>
    <t>3.34_230.0612m/z</t>
  </si>
  <si>
    <t>Thiostatin</t>
  </si>
  <si>
    <t>HMDB0259033</t>
  </si>
  <si>
    <t>CC(C)CC(N)C(O)CC(S)=O</t>
  </si>
  <si>
    <t>VQLRGRRXGZBIBG-UHFFFAOYSA-N</t>
  </si>
  <si>
    <t>C8H17NO2S</t>
  </si>
  <si>
    <t>0.74_303.0834m/z</t>
  </si>
  <si>
    <t>N-Acetyl-1-aspartylglutamic acid</t>
  </si>
  <si>
    <t>HMDB0255414</t>
  </si>
  <si>
    <t>C12270</t>
  </si>
  <si>
    <t>hsa00250,hsa04080</t>
  </si>
  <si>
    <t>Alanine, aspartate and glutamate metabolism|Neuroactive ligand-receptor interaction</t>
  </si>
  <si>
    <t>3106-85-2</t>
  </si>
  <si>
    <t>CC(=O)NC(CC(O)=O)C(=O)NC(CCC(O)=O)C(O)=O</t>
  </si>
  <si>
    <t>OPVPGKGADVGKTG-UHFFFAOYSA-N</t>
  </si>
  <si>
    <t>C11H16N2O8</t>
  </si>
  <si>
    <t>12.54_432.1611m/z</t>
  </si>
  <si>
    <t>(2S)-2-((3-((4-(4-Fluorophenoxy)phenyl)methylcarbamoyl)-4-methoxy-phenyl)methyl)butanoic acid</t>
  </si>
  <si>
    <t>HMDB0259671</t>
  </si>
  <si>
    <t>CCC(CC1=CC(C(=O)NCC2=CC=C(OC3=CC=C(F)C=C3)C=C2)=C(OC)C=C1)C(O)=O</t>
  </si>
  <si>
    <t>VRHOBXXCNBZJRX-UHFFFAOYSA-N</t>
  </si>
  <si>
    <t>C26H26FNO5</t>
  </si>
  <si>
    <t>0.71_185.0214m/z</t>
  </si>
  <si>
    <t>TRIMETHYL PHOSPHATE</t>
  </si>
  <si>
    <t>HMDB0259237</t>
  </si>
  <si>
    <t>COP(=O)(OC)OC</t>
  </si>
  <si>
    <t>WVLBCYQITXONBZ-UHFFFAOYSA-N</t>
  </si>
  <si>
    <t>C3H9O4P</t>
  </si>
  <si>
    <t>10.33_518.9902m/z</t>
  </si>
  <si>
    <t>3,5-Dihydroxycinnamic acid sulfate</t>
  </si>
  <si>
    <t>HMDB0240449</t>
  </si>
  <si>
    <t>[H]\C(=C(\[H])C1=CC(O)=CC(OS(O)(=O)=O)=C1)C(O)=O</t>
  </si>
  <si>
    <t>KTPBHOMURDURSV-OWOJBTEDSA-N</t>
  </si>
  <si>
    <t>C9H8O7S</t>
  </si>
  <si>
    <t>2.75_281.1507m/z</t>
  </si>
  <si>
    <t>Tyrosyl-Valine</t>
  </si>
  <si>
    <t>HMDB0029118</t>
  </si>
  <si>
    <t>CC(C)C(N=C(O)C(N)CC1=CC=C(O)C=C1)C(O)=O</t>
  </si>
  <si>
    <t>OYOQKMOWUDVWCR-UHFFFAOYSA-N</t>
  </si>
  <si>
    <t>C14H20N2O4</t>
  </si>
  <si>
    <t>12.71_465.3589m/z</t>
  </si>
  <si>
    <t>(3alpha,5alpha,22R,23R)-Cholestane-3,22,23-triol</t>
  </si>
  <si>
    <t>HMDB0039463</t>
  </si>
  <si>
    <t>378795-16-5</t>
  </si>
  <si>
    <t>CC(C)CC(O)C(O)C(C)C1CCC2C3CCC4CC(O)CCC4(C)C3CCC12C</t>
  </si>
  <si>
    <t>FHSVMYDBGPVTTJ-UHFFFAOYSA-N</t>
  </si>
  <si>
    <t>1.15_221.0928m/z</t>
  </si>
  <si>
    <t>Tyr-Gly</t>
  </si>
  <si>
    <t>HMDB0259337</t>
  </si>
  <si>
    <t>NC(CC1=CC=C(O)C=C1)C(O)=NCC(O)=O</t>
  </si>
  <si>
    <t>HPYDSVWYXXKHRD-UHFFFAOYSA-N</t>
  </si>
  <si>
    <t>1.23_221.9829m/z</t>
  </si>
  <si>
    <t>5-Mercapto-2-nitro-benzoic acid</t>
  </si>
  <si>
    <t>HMDB0245253</t>
  </si>
  <si>
    <t>OC(=O)C1=CC(S)=CC=C1[N+]([O-])=O</t>
  </si>
  <si>
    <t>GANZODCWZFAEGN-UHFFFAOYSA-N</t>
  </si>
  <si>
    <t>C7H5NO4S</t>
  </si>
  <si>
    <t>8.46_242.1759m/z</t>
  </si>
  <si>
    <t>(8alpha,10beta,11beta)-3-Hydroxy-4,15-dinor-1(5)-xanthen-12,8-olide</t>
  </si>
  <si>
    <t>HMDB0037244</t>
  </si>
  <si>
    <t>342372-61-6</t>
  </si>
  <si>
    <t>CC1C2CC=C(CCO)C(C)CC2OC1=O</t>
  </si>
  <si>
    <t>MOXJTUNOIGNZKZ-UHFFFAOYSA-N</t>
  </si>
  <si>
    <t>12.69_427.1635m/z</t>
  </si>
  <si>
    <t>Miricorilant</t>
  </si>
  <si>
    <t>HMDB0250460</t>
  </si>
  <si>
    <t>FC(F)(F)C1=CC=CC(CC2=C(NC(=O)NC2=O)C2CCC(CC2)C2=CC=CC=C2)=C1</t>
  </si>
  <si>
    <t>GVVUZBSCYAVFTI-UHFFFAOYSA-N</t>
  </si>
  <si>
    <t>C24H23F3N2O2</t>
  </si>
  <si>
    <t>13.67_231.1511m/z</t>
  </si>
  <si>
    <t>1-Acetyl-2-methylcyclopentene</t>
  </si>
  <si>
    <t>HMDB0061832</t>
  </si>
  <si>
    <t>CC1CC(CC(C1C)C(C)=C)C(C)=C</t>
  </si>
  <si>
    <t>PLHCNOGRIXPXHK-UHFFFAOYSA-N</t>
  </si>
  <si>
    <t>C14H24</t>
  </si>
  <si>
    <t>0.69_286.0601m/z</t>
  </si>
  <si>
    <t>Incadronic acid</t>
  </si>
  <si>
    <t>HMDB0253442</t>
  </si>
  <si>
    <t>OP(O)(=O)C(NC1CCCCCC1)P(O)(O)=O</t>
  </si>
  <si>
    <t>LWRDQHOZTAOILO-UHFFFAOYSA-N</t>
  </si>
  <si>
    <t>C8H19NO6P2</t>
  </si>
  <si>
    <t>11.90_180.1519n</t>
  </si>
  <si>
    <t>(3Z,6Z,9Z)-dodecatrienol</t>
  </si>
  <si>
    <t>LMFA05000097</t>
  </si>
  <si>
    <t>C08375</t>
  </si>
  <si>
    <t>C(/C/C=C\CCO)=C/C/C=C\CC</t>
  </si>
  <si>
    <t>OFAUAWIRDOCHFP-PDBXOOCHSA-N</t>
  </si>
  <si>
    <t>5.45_286.1152m/z</t>
  </si>
  <si>
    <t>Tetrahydrobiopterin</t>
  </si>
  <si>
    <t>HMDB0000027</t>
  </si>
  <si>
    <t>C00272</t>
  </si>
  <si>
    <t>hsa00790,hsa05418</t>
  </si>
  <si>
    <t>Folate biosynthesis|Fluid shear stress and atherosclerosis</t>
  </si>
  <si>
    <t>62989-33-7</t>
  </si>
  <si>
    <t>[H][C@@]1(CNC2=C(N1)C(=O)N=C(N)N2)[C@@H](O)[C@H](C)O</t>
  </si>
  <si>
    <t>FNKQXYHWGSIFBK-RPDRRWSUSA-N</t>
  </si>
  <si>
    <t>C9H15N5O3</t>
  </si>
  <si>
    <t>4.16_602.2685m/z</t>
  </si>
  <si>
    <t>Diethylaminoethyl-dextran</t>
  </si>
  <si>
    <t>HMDB0251242</t>
  </si>
  <si>
    <t>CCN(CC)C(C)C(=O)C(O)C(O)C(O)C(O)COC1OC(COC2OC(CO)C(O)C(O)C2O)C(O)C(O)C1O</t>
  </si>
  <si>
    <t>SDMSZTYCRNDCBO-UHFFFAOYSA-N</t>
  </si>
  <si>
    <t>C24H45NO16</t>
  </si>
  <si>
    <t>0.74_276.1021m/z</t>
  </si>
  <si>
    <t>Oxaprozin</t>
  </si>
  <si>
    <t>HMDB0015126</t>
  </si>
  <si>
    <t>C07356</t>
  </si>
  <si>
    <t>21256-18-8</t>
  </si>
  <si>
    <t>OC(=O)CCC1=NC(=C(O1)C1=CC=CC=C1)C1=CC=CC=C1</t>
  </si>
  <si>
    <t>OFPXSFXSNFPTHF-UHFFFAOYSA-N</t>
  </si>
  <si>
    <t>C18H15NO3</t>
  </si>
  <si>
    <t>7.68_353.1139m/z</t>
  </si>
  <si>
    <t>1-Isothiocyanato-3-phenylpropane</t>
  </si>
  <si>
    <t>HMDB0038444</t>
  </si>
  <si>
    <t>2627-27-2</t>
  </si>
  <si>
    <t>S=C=NCCCC1=CC=CC=C1</t>
  </si>
  <si>
    <t>GRUOGLPIAPZLHJ-UHFFFAOYSA-N</t>
  </si>
  <si>
    <t>C10H11NS</t>
  </si>
  <si>
    <t>4.17_346.1986m/z</t>
  </si>
  <si>
    <t>Asp Val Leu</t>
  </si>
  <si>
    <t>CC(C)CC(C(=O)O)NC(=O)C(C(C)C)NC(=O)C(CC(=O)O)N</t>
  </si>
  <si>
    <t>GIKOVDMXBAFXDF-NHCYSSNCSA-N</t>
  </si>
  <si>
    <t>C15H27N3O6</t>
  </si>
  <si>
    <t>8.09_255.1599m/z</t>
  </si>
  <si>
    <t>C75 trans</t>
  </si>
  <si>
    <t>HMDB0249518</t>
  </si>
  <si>
    <t>191282-48-1</t>
  </si>
  <si>
    <t>CCCCCCCCC1OC(=O)C(=C)C1C(O)=O</t>
  </si>
  <si>
    <t>VCWLZDVWHQVAJU-UHFFFAOYSA-N</t>
  </si>
  <si>
    <t>C14H22O4</t>
  </si>
  <si>
    <t>10.78_773.1752m/z</t>
  </si>
  <si>
    <t>4-[4-(Quinolin-2-ylmethoxy)phenyl]sulfanylbenzoic Acid</t>
  </si>
  <si>
    <t>HMDB0258094</t>
  </si>
  <si>
    <t>OC(=O)C1=CC=C(SC2=CC=C(OCC3=NC4=CC=CC=C4C=C3)C=C2)C=C1</t>
  </si>
  <si>
    <t>LUJVBUZNMXMQRK-UHFFFAOYSA-N</t>
  </si>
  <si>
    <t>C23H17NO3S</t>
  </si>
  <si>
    <t>1.13_252.0014m/z</t>
  </si>
  <si>
    <t>4-hydroxylamino-2,6-dinitrotoluene</t>
  </si>
  <si>
    <t>HMDB0304181</t>
  </si>
  <si>
    <t>C16392</t>
  </si>
  <si>
    <t>59283-75-9</t>
  </si>
  <si>
    <t>CC1=C(C=C(NO)C=C1[N+]([O-])=O)[N+]([O-])=O</t>
  </si>
  <si>
    <t>HTTDEAQRSCMCQS-UHFFFAOYSA-N</t>
  </si>
  <si>
    <t>C7H7N3O5</t>
  </si>
  <si>
    <t>15.07_411.3846m/z</t>
  </si>
  <si>
    <t>Mycolipanolic acid (C26)</t>
  </si>
  <si>
    <t>LMFA01020333</t>
  </si>
  <si>
    <t>C([C@@H](C)[C@@H](O)[C@@H](C)C[C@@H](C)CCCCCCCCCCCCCCCCC)(=O)O</t>
  </si>
  <si>
    <t>ZIJNQYNXSXJLDW-QORCZRPOSA-N</t>
  </si>
  <si>
    <t>C26H52O3</t>
  </si>
  <si>
    <t>4.27_448.1993m/z</t>
  </si>
  <si>
    <t>Benzoyl-DL-arginine-naphthylamide</t>
  </si>
  <si>
    <t>HMDB0257846</t>
  </si>
  <si>
    <t>NC(N)=NCCCC(NC(=O)C1=CC=CC=C1)C(=O)NC1=CC=CC2=CC=CC=C12</t>
  </si>
  <si>
    <t>CVWZIGOXWLVKHP-UHFFFAOYSA-N</t>
  </si>
  <si>
    <t>C23H25N5O2</t>
  </si>
  <si>
    <t>1.03_269.1618m/z</t>
  </si>
  <si>
    <t>Sophocarpine</t>
  </si>
  <si>
    <t>HMDB0258379</t>
  </si>
  <si>
    <t>O=C1C=CCC2C3CCCN4CCCC(CN12)C34</t>
  </si>
  <si>
    <t>AAGFPTSOPGCENQ-UHFFFAOYSA-N</t>
  </si>
  <si>
    <t>Lupin alkaloids</t>
  </si>
  <si>
    <t>Matrine alkaloids</t>
  </si>
  <si>
    <t>C15H22N2O</t>
  </si>
  <si>
    <t>0.99_333.0646m/z</t>
  </si>
  <si>
    <t>Rosoxacin</t>
  </si>
  <si>
    <t>HMDB0014955</t>
  </si>
  <si>
    <t>40034-42-2</t>
  </si>
  <si>
    <t>CCN1C=C(C(O)=O)C(=O)C2=C1C=C(C=C2)C1=CC=NC=C1</t>
  </si>
  <si>
    <t>XBPZXDSZHPDXQU-UHFFFAOYSA-N</t>
  </si>
  <si>
    <t>6.25_201.0763m/z</t>
  </si>
  <si>
    <t>2,5-Dimethyl-4-ethoxy-3(2H)-furanone</t>
  </si>
  <si>
    <t>HMDB0032232</t>
  </si>
  <si>
    <t>65330-49-6</t>
  </si>
  <si>
    <t>CCOC1=C(C)OC(C)C1=O</t>
  </si>
  <si>
    <t>AILFSZXBRNLVHY-UHFFFAOYSA-N</t>
  </si>
  <si>
    <t>205</t>
  </si>
  <si>
    <t>Capric Acid</t>
  </si>
  <si>
    <t>HMDB0000511</t>
  </si>
  <si>
    <t>LMFA01010010</t>
  </si>
  <si>
    <t>C01571</t>
  </si>
  <si>
    <t>R-HSA-1430728,R-HSA-1643685,R-HSA-2980736,R-HSA-382551,R-HSA-392499,R-HSA-422085,R-HSA-425397,R-HSA-425407,R-HSA-556833,R-HSA-5619102,R-HSA-5619108,R-HSA-5619115,R-HSA-75105,R-HSA-804914,R-HSA-8978868</t>
  </si>
  <si>
    <t>Metabolism|Disease|Peptide hormone metabolism|Transport of small molecules|Metabolism of proteins|Synthesis, secretion, and deacylation of Ghrelin|Transport of vitamins, nucleosides, and related molecules|SLC-mediated transmembrane transport|Metabolism of lipids|SLC transporter disorders|Defective SLC27A4 causes ichthyosis prematurity syndrome (IPS)|Disorders of transmembrane transporters|Fatty acyl-CoA biosynthesis|Transport of fatty acids|Fatty acid metabolism</t>
  </si>
  <si>
    <t>334-48-5</t>
  </si>
  <si>
    <t>CCCCCCCCCC(=O)O</t>
  </si>
  <si>
    <t>GHVNFZFCNZKVNT-UHFFFAOYSA-N</t>
  </si>
  <si>
    <t>C10H20O2</t>
  </si>
  <si>
    <t>9.71_229.1044m/z</t>
  </si>
  <si>
    <t>6-Carboxy-5,6,7,8-tetrahydropterin</t>
  </si>
  <si>
    <t>HMDB0060410</t>
  </si>
  <si>
    <t>C20239</t>
  </si>
  <si>
    <t>NC1=NC2=C(NC(CN2)C(O)=O)C(=O)N1</t>
  </si>
  <si>
    <t>QSIYONWVWDSRRO-UHFFFAOYSA-N</t>
  </si>
  <si>
    <t>C7H9N5O3</t>
  </si>
  <si>
    <t>4.07_301.1769m/z</t>
  </si>
  <si>
    <t>Arginylphenylalaninamide</t>
  </si>
  <si>
    <t>HMDB0257190</t>
  </si>
  <si>
    <t>NC(CCCN=C(N)N)C(=O)NC(CC1=CC=CC=C1)C(N)=O</t>
  </si>
  <si>
    <t>CQZWLVDDIOZTJI-UHFFFAOYSA-N</t>
  </si>
  <si>
    <t>C15H24N6O2</t>
  </si>
  <si>
    <t>5.31_220.0976m/z</t>
  </si>
  <si>
    <t>1-Benzoylpyrrolidine</t>
  </si>
  <si>
    <t>HMDB0243833</t>
  </si>
  <si>
    <t>O=C(N1CCCC1)C1=CC=CC=C1</t>
  </si>
  <si>
    <t>VIQDUCBDZPYNNX-UHFFFAOYSA-N</t>
  </si>
  <si>
    <t>C11H13NO</t>
  </si>
  <si>
    <t>177</t>
  </si>
  <si>
    <t>4-Deoxyerythronic Acid</t>
  </si>
  <si>
    <t>HMDB0000498</t>
  </si>
  <si>
    <t>759-06-8</t>
  </si>
  <si>
    <t>C[C@@H](O)[C@@H](O)C(O)=O</t>
  </si>
  <si>
    <t>LOUGYXZSURQALL-PWNYCUMCSA-N</t>
  </si>
  <si>
    <t>9.87_217.1593m/z</t>
  </si>
  <si>
    <t>Dihydroisoalantolactone</t>
  </si>
  <si>
    <t>HMDB0035935</t>
  </si>
  <si>
    <t>CC1C2CC3C(=C)CCCC3(C)CC2OC1=O</t>
  </si>
  <si>
    <t>YYJRTJYCOMIDIC-UHFFFAOYSA-N</t>
  </si>
  <si>
    <t>3.73_281.1119m/z</t>
  </si>
  <si>
    <t>Promazine 5-sulfoxide</t>
  </si>
  <si>
    <t>HMDB0013938</t>
  </si>
  <si>
    <t>146-21-4</t>
  </si>
  <si>
    <t>CN(C)CCCN1C2=CC=CC=C2S(=O)C2=CC=CC=C12</t>
  </si>
  <si>
    <t>KSHDHDWHIWBNHA-UHFFFAOYSA-N</t>
  </si>
  <si>
    <t>C17H20N2OS</t>
  </si>
  <si>
    <t>4.07_415.2201m/z</t>
  </si>
  <si>
    <t>Octaethylene glycol</t>
  </si>
  <si>
    <t>HMDB0094680</t>
  </si>
  <si>
    <t>OCCOCCOCCOCCOCCOCCOCCOCCO</t>
  </si>
  <si>
    <t>GLZWNFNQMJAZGY-UHFFFAOYSA-N</t>
  </si>
  <si>
    <t>C16H34O9</t>
  </si>
  <si>
    <t>8.31_355.2395m/z</t>
  </si>
  <si>
    <t>4,4'-Methylenebis(2,6-diethylaniline)</t>
  </si>
  <si>
    <t>CCC1=CC(=CC(=C1N)CC)CC2=CC(=C(C(=C2)CC)N)CC</t>
  </si>
  <si>
    <t>NWIVYGKSHSJHEF-UHFFFAOYSA-N</t>
  </si>
  <si>
    <t>C21H30N2</t>
  </si>
  <si>
    <t>14.72_696.5064m/z</t>
  </si>
  <si>
    <t>Cer(t18:0/PGE2)</t>
  </si>
  <si>
    <t>HMDB0290161</t>
  </si>
  <si>
    <t>CCCCCCCCCCCCCCC(O)C(O)[C@H](CO)NC(=O)CCC\C=C/C[C@@H]1[C@@H](\C=C\[C@@H](O)CCCCC)[C@H](O)CC1=O</t>
  </si>
  <si>
    <t>KKWJWUOOLKGVOK-ORIYXNGSSA-N</t>
  </si>
  <si>
    <t>C38H69NO7</t>
  </si>
  <si>
    <t>10.93_272.2590m/z</t>
  </si>
  <si>
    <t>16-Hexadecanolide</t>
  </si>
  <si>
    <t>LMFA07040054</t>
  </si>
  <si>
    <t>C1(OCCCCCCCCCCCCCCC1)=O</t>
  </si>
  <si>
    <t>LOKPJYNMYCVCRM-UHFFFAOYSA-N</t>
  </si>
  <si>
    <t>4.24_429.1784m/z</t>
  </si>
  <si>
    <t>Ptelatoside B</t>
  </si>
  <si>
    <t>HMDB0034447</t>
  </si>
  <si>
    <t>90852-99-6</t>
  </si>
  <si>
    <t>CC1OC(OC2C(OC3=CC=C(C=C)C=C3)OC(CO)C(O)C2O)C(O)C(O)C1O</t>
  </si>
  <si>
    <t>DIBOBJSTTKLQQV-UHFFFAOYSA-N</t>
  </si>
  <si>
    <t>C20H28O10</t>
  </si>
  <si>
    <t>4.03_516.2431m/z</t>
  </si>
  <si>
    <t>8-Epiiridodial glucoside tetraacetate</t>
  </si>
  <si>
    <t>LMPR0102070027</t>
  </si>
  <si>
    <t>C11658</t>
  </si>
  <si>
    <t>C(=O)(OC[C@H]1O[C@H]([C@H](OC(C)=O)[C@H]([C@@H]1OC(C)=O)OC(C)=O)O[C@@H]1OC=C(C)[C@@]2([H])CC[C@@H](C)[C@]21[H])C</t>
  </si>
  <si>
    <t>WRILMBKQMSIVJG-CHBUFIJZSA-N</t>
  </si>
  <si>
    <t>C24H34O11</t>
  </si>
  <si>
    <t>10.93_564.3307m/z</t>
  </si>
  <si>
    <t>PC(18:2(2E,4E)/0:0)</t>
  </si>
  <si>
    <t>LMGP01050034</t>
  </si>
  <si>
    <t>[C@](COP(=O)([O-])OCC[N+](C)(C)C)([H])(O)COC(/C=C/C=C/CCCCCCCCCCCCC)=O</t>
  </si>
  <si>
    <t>CLDXAAPENVNFAW-JRMAHNDFSA-N</t>
  </si>
  <si>
    <t>13.26_296.2957m/z</t>
  </si>
  <si>
    <t>cis-6S,7R-Epoxy-9Z,12Z-nonadecadiene</t>
  </si>
  <si>
    <t>LMFA12000302</t>
  </si>
  <si>
    <t>CCCCC[C@@H]1O[C@@H]1C/C=C\C/C=C\CCCCCC</t>
  </si>
  <si>
    <t>POOQINPZQWHSMY-BLHNFABKSA-N</t>
  </si>
  <si>
    <t>4.46_201.1239m/z</t>
  </si>
  <si>
    <t>Methylnoradrenaline</t>
  </si>
  <si>
    <t>HMDB0002832</t>
  </si>
  <si>
    <t>C17925</t>
  </si>
  <si>
    <t>6539-57-7</t>
  </si>
  <si>
    <t>CC(N)C(O)C1=CC(O)=C(O)C=C1</t>
  </si>
  <si>
    <t>GEFQWZLICWMTKF-UHFFFAOYSA-N</t>
  </si>
  <si>
    <t>C9H13NO3</t>
  </si>
  <si>
    <t>379</t>
  </si>
  <si>
    <t>Indoleacetic Acid</t>
  </si>
  <si>
    <t>HMDB0000197</t>
  </si>
  <si>
    <t>C00954</t>
  </si>
  <si>
    <t>87-51-4</t>
  </si>
  <si>
    <t>OC(=O)CC1=CNC2=C1C=CC=C2</t>
  </si>
  <si>
    <t>SEOVTRFCIGRIMH-UHFFFAOYSA-N</t>
  </si>
  <si>
    <t>C10H9NO2</t>
  </si>
  <si>
    <t>1.32_304.1513m/z</t>
  </si>
  <si>
    <t>Fe(II)-nicotianamine</t>
  </si>
  <si>
    <t>HMDB0304350</t>
  </si>
  <si>
    <t>[N+]C(CC[N+]C(CC[N+]1CCC1C([O-])=O)C([O-])=O)C([O-])=O</t>
  </si>
  <si>
    <t>DWMVIOITGJSUFN-UHFFFAOYSA-K</t>
  </si>
  <si>
    <t>7.17_451.1775m/z</t>
  </si>
  <si>
    <t>Zapoterin</t>
  </si>
  <si>
    <t>HMDB0035984</t>
  </si>
  <si>
    <t>C08788</t>
  </si>
  <si>
    <t>35796-71-5</t>
  </si>
  <si>
    <t>CC12CC(O)C3C4(C)C=CC(=O)OC(C)(C)C4CC(=O)C3(C)C11OC1C(=O)OC2C1=COC=C1</t>
  </si>
  <si>
    <t>OZGKITZRRFNYRV-UHFFFAOYSA-N</t>
  </si>
  <si>
    <t>C26H30O8</t>
  </si>
  <si>
    <t>209</t>
  </si>
  <si>
    <t>L-Citramalic Acid</t>
  </si>
  <si>
    <t>HMDB0000426</t>
  </si>
  <si>
    <t>C02614</t>
  </si>
  <si>
    <t>6236-09-5</t>
  </si>
  <si>
    <t>CC(CC(=O)O)(C(=O)O)O</t>
  </si>
  <si>
    <t>XFTRTWQBIOMVPK-YFKPBYRVSA-N</t>
  </si>
  <si>
    <t>3.35_205.0291m/z</t>
  </si>
  <si>
    <t>1-Hydroxyanthraquinone</t>
  </si>
  <si>
    <t>HMDB0243898</t>
  </si>
  <si>
    <t>C02980</t>
  </si>
  <si>
    <t>129-43-1</t>
  </si>
  <si>
    <t>OC1=C2C(=O)C3=CC=CC=C3C(=O)C2=CC=C1</t>
  </si>
  <si>
    <t>BTLXPCBPYBNQNR-UHFFFAOYSA-N</t>
  </si>
  <si>
    <t>C14H8O3</t>
  </si>
  <si>
    <t>1.27_193.0293m/z</t>
  </si>
  <si>
    <t>S-(2-Furanylmethyl) propanethioate</t>
  </si>
  <si>
    <t>HMDB0037732</t>
  </si>
  <si>
    <t>59020-85-8</t>
  </si>
  <si>
    <t>CCC(=O)SCC1=CC=CO1</t>
  </si>
  <si>
    <t>JNVPDFNCAUOOIT-UHFFFAOYSA-N</t>
  </si>
  <si>
    <t>C8H10O2S</t>
  </si>
  <si>
    <t>13.30_434.2478m/z</t>
  </si>
  <si>
    <t>ZANOTERONE</t>
  </si>
  <si>
    <t>HMDB0259986</t>
  </si>
  <si>
    <t>CC12CCC3C(CCC4CC5=NN(C=C5CC34C)S(C)(=O)=O)C1CCC2(O)C#C</t>
  </si>
  <si>
    <t>MHDDZDPNIDVLNK-UHFFFAOYSA-N</t>
  </si>
  <si>
    <t>C23H32N2O3S</t>
  </si>
  <si>
    <t>8.01_219.1751m/z</t>
  </si>
  <si>
    <t>2-Hydroxyacorenone</t>
  </si>
  <si>
    <t>HMDB0030916</t>
  </si>
  <si>
    <t>185154-94-3</t>
  </si>
  <si>
    <t>CC(C)C1C(O)CC(C)C11CC=C(C)C(=O)C1</t>
  </si>
  <si>
    <t>ADNFCKCPNFGLCH-UHFFFAOYSA-N</t>
  </si>
  <si>
    <t>5.91_261.0150m/z</t>
  </si>
  <si>
    <t>1-Methoxyspirobrassinin</t>
  </si>
  <si>
    <t>HMDB0034303</t>
  </si>
  <si>
    <t>156499-63-7</t>
  </si>
  <si>
    <t>CON1C(=O)C2(CN=C(SC)S2)C2=CC=CC=C12</t>
  </si>
  <si>
    <t>HXTLALYTXJCGLD-UHFFFAOYSA-N</t>
  </si>
  <si>
    <t>C12H12N2O2S2</t>
  </si>
  <si>
    <t>4.49_435.2252m/z</t>
  </si>
  <si>
    <t>(3S,5R,6S,7E,9x)-7-Megastigmene-3,6,9-triol 9-glucoside</t>
  </si>
  <si>
    <t>HMDB0041176</t>
  </si>
  <si>
    <t>LMFA13010057</t>
  </si>
  <si>
    <t>C1C(C(O)(/C=C/C(OC2OC(C(C(O)C2O)O)CO)C)C(C)CC1O)(C)C</t>
  </si>
  <si>
    <t>MRPDHXXPDCVBPQ-AATRIKPKSA-N</t>
  </si>
  <si>
    <t>C19H34O8</t>
  </si>
  <si>
    <t>5.18_307.2023m/z</t>
  </si>
  <si>
    <t>11-cis-3,4-didehydroretinol</t>
  </si>
  <si>
    <t>LMPR01090010</t>
  </si>
  <si>
    <t>C1C(C)(C)C(/C=C/C(=C/C=C\C(\C)=C\CO)/C)=C(C)C=C1</t>
  </si>
  <si>
    <t>XWCYDHJOKKGVHC-IOUUIBBYSA-N</t>
  </si>
  <si>
    <t>4.61_505.2674m/z</t>
  </si>
  <si>
    <t>(24RS)-28,28,28-trifluoro-25-hydroxyvitamin D2</t>
  </si>
  <si>
    <t>LMST03010010</t>
  </si>
  <si>
    <t>C1C(=C)/C(=C\C=C2\[C@]3([H])CC[C@@]([C@@](C)([H])/C=C/C(C(F)(F)F)C(O)(C)C)([H])[C@@]3(C)CCC\2)/C[C@@H](O)C1</t>
  </si>
  <si>
    <t>CQXQBTDUDMEGPA-PQSCPWQBSA-N</t>
  </si>
  <si>
    <t>C28H41F3O2</t>
  </si>
  <si>
    <t>11.19_596.2667m/z</t>
  </si>
  <si>
    <t>TOG10</t>
  </si>
  <si>
    <t>LMFA03000027</t>
  </si>
  <si>
    <t>C(CCC/C=C\C/C=C\C(SC[C@@H](C(=O)NCC(O)=O)NC(CC[C@@H](C(O)=O)N)=O)CC(=O)C/C=C\CCC)(=O)O</t>
  </si>
  <si>
    <t>SKKVPWLMSXAYQM-NZGCILPESA-N</t>
  </si>
  <si>
    <t>C28H43N3O9S</t>
  </si>
  <si>
    <t>11.51_269.2486m/z</t>
  </si>
  <si>
    <t>1-Hexadecene</t>
  </si>
  <si>
    <t>HMDB0243889</t>
  </si>
  <si>
    <t>CCCCCCCCCCCCCCC=C</t>
  </si>
  <si>
    <t>GQEZCXVZFLOKMC-UHFFFAOYSA-N</t>
  </si>
  <si>
    <t>C16H32</t>
  </si>
  <si>
    <t>10.99_257.2272m/z</t>
  </si>
  <si>
    <t>Androstene group</t>
  </si>
  <si>
    <t>HMDB0246369</t>
  </si>
  <si>
    <t>CC12CCCC1C1CCC3=CCCCC3(C)C1CC2</t>
  </si>
  <si>
    <t>IATKKATWPOVYCC-UHFFFAOYSA-N</t>
  </si>
  <si>
    <t>C19H30</t>
  </si>
  <si>
    <t>10.91_259.2063m/z</t>
  </si>
  <si>
    <t>Octadeca-2,4,6,8-tetraenoic acid</t>
  </si>
  <si>
    <t>HMDB0255898</t>
  </si>
  <si>
    <t>CCCCCCCCCC=CC=CC=CC=CC(O)=O</t>
  </si>
  <si>
    <t>LGHXTTIAZFVCCU-UHFFFAOYSA-N</t>
  </si>
  <si>
    <t>6.31_255.2117m/z</t>
  </si>
  <si>
    <t>16-fluoro-7Z-hexadecenoic acid</t>
  </si>
  <si>
    <t>LMFA01090049</t>
  </si>
  <si>
    <t>C(CCCCC/C=C\CCCCCCCCF)(=O)O</t>
  </si>
  <si>
    <t>IOVAKPNDTNJMGW-RQOWECAXSA-N</t>
  </si>
  <si>
    <t>C16H29FO2</t>
  </si>
  <si>
    <t>5.61_355.1276m/z</t>
  </si>
  <si>
    <t>S-Hydroxymethylglutathione</t>
  </si>
  <si>
    <t>HMDB0004662</t>
  </si>
  <si>
    <t>C14180</t>
  </si>
  <si>
    <t>R-HSA-1430728,R-HSA-211859,R-HSA-211945,R-HSA-71384</t>
  </si>
  <si>
    <t>Metabolism|Biological oxidations|Phase I - Functionalization of compounds|Ethanol oxidation</t>
  </si>
  <si>
    <t>32260-87-0</t>
  </si>
  <si>
    <t>N[C@@H](CCC(=O)N[C@@H](CSCO)C(=O)NCC(O)=O)C(O)=O</t>
  </si>
  <si>
    <t>PIUSLWSYOYFRFR-BQBZGAKWSA-N</t>
  </si>
  <si>
    <t>C11H19N3O7S</t>
  </si>
  <si>
    <t>1.05_190.0296m/z</t>
  </si>
  <si>
    <t>Fluoroquinolone carboxylic</t>
  </si>
  <si>
    <t>HMDB0252392</t>
  </si>
  <si>
    <t>OC(=O)C1=C(F)C2=CC=CC=C2NC1=O</t>
  </si>
  <si>
    <t>XNXHTLMYBNXMJK-UHFFFAOYSA-N</t>
  </si>
  <si>
    <t>C10H6FNO3</t>
  </si>
  <si>
    <t>9.64_632.3571m/z</t>
  </si>
  <si>
    <t>PHHdiA-PC</t>
  </si>
  <si>
    <t>LMGP20010010</t>
  </si>
  <si>
    <t>[C@](COP(=O)([O-])OCC[N+](C)(C)C)([H])(OC(CCC(O)/C=C/C(=O)O)=O)COC(CCCCCCCCCCCCCCC)=O</t>
  </si>
  <si>
    <t>FDBODRZRPLXQIU-KQFWQPQWSA-N</t>
  </si>
  <si>
    <t>C31H58NO11P</t>
  </si>
  <si>
    <t>1.19_333.0658m/z</t>
  </si>
  <si>
    <t>Taurocyamine</t>
  </si>
  <si>
    <t>HMDB0003584</t>
  </si>
  <si>
    <t>C01959</t>
  </si>
  <si>
    <t>hsa00430</t>
  </si>
  <si>
    <t>Taurine and hypotaurine metabolism</t>
  </si>
  <si>
    <t>543-18-0</t>
  </si>
  <si>
    <t>NC(N)=NCCS(O)(=O)=O</t>
  </si>
  <si>
    <t>JKLRIMRKZBSSED-UHFFFAOYSA-N</t>
  </si>
  <si>
    <t>C3H9N3O3S</t>
  </si>
  <si>
    <t>11.23_461.3275m/z</t>
  </si>
  <si>
    <t>Dormatinone</t>
  </si>
  <si>
    <t>LMST01010100</t>
  </si>
  <si>
    <t>[C@]12(CC=C3C[C@@H](O)CC[C@]3(C)[C@@]1([H])CC[C@]1(C)[C@@]([H])([C@@](C)([H])C(=O)CC[C@@H](CO)C)CC[C@@]21[H])[H]</t>
  </si>
  <si>
    <t>ANPHLQXCHVRCDX-LURFOZDGSA-N</t>
  </si>
  <si>
    <t>4.06_369.1491m/z</t>
  </si>
  <si>
    <t>Xambioona</t>
  </si>
  <si>
    <t>LMPK12140053</t>
  </si>
  <si>
    <t>C1C2OC(C)(C)C=CC=2C2OC(C3C=C4C=CC(C)(C)OC4=CC=3)CC(=O)C=2C=1</t>
  </si>
  <si>
    <t>FGJUXFVUOCKRCY-UHFFFAOYSA-N</t>
  </si>
  <si>
    <t>Pyranoflavonoids</t>
  </si>
  <si>
    <t>C25H24O4</t>
  </si>
  <si>
    <t>9.13_257.1758m/z</t>
  </si>
  <si>
    <t>Tetradecanedioic acid</t>
  </si>
  <si>
    <t>HMDB0000872</t>
  </si>
  <si>
    <t>LMFA01170018</t>
  </si>
  <si>
    <t>C11002</t>
  </si>
  <si>
    <t>821-38-5</t>
  </si>
  <si>
    <t>C(CCCCCCCCCCCCC(=O)O)(=O)O</t>
  </si>
  <si>
    <t>HQHCYKULIHKCEB-UHFFFAOYSA-N</t>
  </si>
  <si>
    <t>4.40_769.3509m/z</t>
  </si>
  <si>
    <t>Bifeprunox</t>
  </si>
  <si>
    <t>HMDB0249198</t>
  </si>
  <si>
    <t>O=C1NC2=C(O1)C(=CC=C2)N1CCN(CC2=CC(=CC=C2)C2=CC=CC=C2)CC1</t>
  </si>
  <si>
    <t>CYGODHVAJQTCBG-UHFFFAOYSA-N</t>
  </si>
  <si>
    <t>C24H23N3O2</t>
  </si>
  <si>
    <t>0.71_199.0371m/z</t>
  </si>
  <si>
    <t>Diethylphosphate</t>
  </si>
  <si>
    <t>HMDB0012209</t>
  </si>
  <si>
    <t>C06608</t>
  </si>
  <si>
    <t>598-02-7</t>
  </si>
  <si>
    <t>CCOP(O)(=O)OCC</t>
  </si>
  <si>
    <t>UCQFCFPECQILOL-UHFFFAOYSA-N</t>
  </si>
  <si>
    <t>C4H11O4P</t>
  </si>
  <si>
    <t>7.05_239.0699m/z</t>
  </si>
  <si>
    <t>Davidigenin</t>
  </si>
  <si>
    <t>LMPK12120452</t>
  </si>
  <si>
    <t>C09618</t>
  </si>
  <si>
    <t>C1(O)C=CC(C(=O)CCC2C=CC(O)=CC=2)=C(O)C=1</t>
  </si>
  <si>
    <t>UDGKKUWYNITJRX-UHFFFAOYSA-N</t>
  </si>
  <si>
    <t>C15H14O4</t>
  </si>
  <si>
    <t>4.82_379.0721m/z</t>
  </si>
  <si>
    <t>(4-Sulfamoylphenyl) 4-(diaminomethylideneamino)benzoate</t>
  </si>
  <si>
    <t>HMDB0246580</t>
  </si>
  <si>
    <t>NC(N)=NC1=CC=C(C=C1)C(=O)OC1=CC=C(C=C1)S(N)(=O)=O</t>
  </si>
  <si>
    <t>YFUQTMNUQVFBBS-UHFFFAOYSA-N</t>
  </si>
  <si>
    <t>Depsides and depsidones</t>
  </si>
  <si>
    <t>C14H14N4O4S</t>
  </si>
  <si>
    <t>5.86_386.1772m/z</t>
  </si>
  <si>
    <t>5-(3-(4-(2-(4-Fluorophenyl)ethoxy)phenyl)propyl)furan-2-carboxylic acid</t>
  </si>
  <si>
    <t>HMDB0248362</t>
  </si>
  <si>
    <t>OC(=O)C1=CC=C(CCCC2=CC=C(OCCC3=CC=C(F)C=C3)C=C2)O1</t>
  </si>
  <si>
    <t>MPLLLQUZNJSVTK-UHFFFAOYSA-N</t>
  </si>
  <si>
    <t>Furoic acid and derivatives</t>
  </si>
  <si>
    <t>C22H21FO4</t>
  </si>
  <si>
    <t>1.09_270.0561m/z</t>
  </si>
  <si>
    <t>L-Proline, 1-(2-methyl-3-(methylthio)-1-oxopropyl)-, (S)-</t>
  </si>
  <si>
    <t>HMDB0257407</t>
  </si>
  <si>
    <t>CSCC(C)C(=O)N1CCCC1C(O)=O</t>
  </si>
  <si>
    <t>QIAJJGXZCRBHQT-UHFFFAOYSA-N</t>
  </si>
  <si>
    <t>C10H17NO3S</t>
  </si>
  <si>
    <t>9.52_305.1604m/z</t>
  </si>
  <si>
    <t>Gabazine</t>
  </si>
  <si>
    <t>HMDB0252568</t>
  </si>
  <si>
    <t>C13796</t>
  </si>
  <si>
    <t>COC1=CC=C(C=C1)C1=NN(CCCC(O)=O)C(=N)C=C1</t>
  </si>
  <si>
    <t>ACVGNKYJVGNLIL-UHFFFAOYSA-N</t>
  </si>
  <si>
    <t>C15H17N3O3</t>
  </si>
  <si>
    <t>14.46_136.0219m/z</t>
  </si>
  <si>
    <t>Benzothiazole</t>
  </si>
  <si>
    <t>HMDB0032930</t>
  </si>
  <si>
    <t>95-16-9</t>
  </si>
  <si>
    <t>S1C=NC2=CC=CC=C12</t>
  </si>
  <si>
    <t>IOJUPLGTWVMSFF-UHFFFAOYSA-N</t>
  </si>
  <si>
    <t>C7H5NS</t>
  </si>
  <si>
    <t>5.95_169.0861m/z</t>
  </si>
  <si>
    <t>1,4-Ipomeadiol</t>
  </si>
  <si>
    <t>HMDB0030471</t>
  </si>
  <si>
    <t>53011-73-7</t>
  </si>
  <si>
    <t>CC(O)CCC(O)C1=COC=C1</t>
  </si>
  <si>
    <t>AORCXYMSPVAQIZ-UHFFFAOYSA-N</t>
  </si>
  <si>
    <t>C9H14O3</t>
  </si>
  <si>
    <t>5.01_153.0547m/z</t>
  </si>
  <si>
    <t>HOOA lactone</t>
  </si>
  <si>
    <t>LMFA07040114</t>
  </si>
  <si>
    <t>C1(CCCC(=O)O1)/C=C/C=O</t>
  </si>
  <si>
    <t>RCJOKQHNYYSHIB-DUXPYHPUSA-N</t>
  </si>
  <si>
    <t>C8H10O3</t>
  </si>
  <si>
    <t>4.73_284.1140m/z</t>
  </si>
  <si>
    <t>Dihydrocitrinone</t>
  </si>
  <si>
    <t>HMDB0251297</t>
  </si>
  <si>
    <t>CC1OC(=O)C2=C(O)C(C(O)=O)=C(O)C(C)=C2C1C</t>
  </si>
  <si>
    <t>VVVMDYGNIVXIIG-UHFFFAOYSA-N</t>
  </si>
  <si>
    <t>C13H14O6</t>
  </si>
  <si>
    <t>4.25_247.1185m/z</t>
  </si>
  <si>
    <t>ascr#9</t>
  </si>
  <si>
    <t>LMFA13040007</t>
  </si>
  <si>
    <t>O([C@@H](CCC(=O)O)C)[C@H]1[C@H](O)C[C@@H](O)[C@H](C)O1</t>
  </si>
  <si>
    <t>NZMXMOQNHSVRAJ-WNPHYYBUSA-N</t>
  </si>
  <si>
    <t>C11H20O6</t>
  </si>
  <si>
    <t>1.01_199.0964n</t>
  </si>
  <si>
    <t>gamma-Glutamyl-beta-aminopropiononitrile</t>
  </si>
  <si>
    <t>HMDB0060477</t>
  </si>
  <si>
    <t>C06114</t>
  </si>
  <si>
    <t>[H][C@](N)(CCC(O)=NCCC#N)C(O)=O</t>
  </si>
  <si>
    <t>VQPVVWAFTIFKDD-LURJTMIESA-N</t>
  </si>
  <si>
    <t>4.07_331.1278m/z</t>
  </si>
  <si>
    <t>meta-O-Dealkylated flecainide</t>
  </si>
  <si>
    <t>HMDB0060831</t>
  </si>
  <si>
    <t>OC1=CC=C(OCC(F)(F)F)C(=C1)C(=O)NCC1CCCCN1</t>
  </si>
  <si>
    <t>FVJPPEWHZCSTAC-UHFFFAOYSA-N</t>
  </si>
  <si>
    <t>C15H19F3N2O3</t>
  </si>
  <si>
    <t>9.65_295.1186m/z</t>
  </si>
  <si>
    <t>2-Methacryloyloxyethyl phosphorylcholine</t>
  </si>
  <si>
    <t>HMDB0247194</t>
  </si>
  <si>
    <t>CC(=C)C(=O)OCCOP([O-])(=O)OCC[N+](C)(C)C</t>
  </si>
  <si>
    <t>ZSZRUEAFVQITHH-UHFFFAOYSA-N</t>
  </si>
  <si>
    <t>C11H22NO6P</t>
  </si>
  <si>
    <t>5.85_309.0763m/z</t>
  </si>
  <si>
    <t>Americanin A</t>
  </si>
  <si>
    <t>HMDB0030834</t>
  </si>
  <si>
    <t>69506-79-2</t>
  </si>
  <si>
    <t>OCC1OC2=C(OC1C1=CC(O)=C(O)C=C1)C=CC(\C=C/C=O)=C2</t>
  </si>
  <si>
    <t>NTXXGPYGMQQSML-UPHRSURJSA-N</t>
  </si>
  <si>
    <t>Benzodioxanes</t>
  </si>
  <si>
    <t>Phenylbenzodioxanes</t>
  </si>
  <si>
    <t>C18H16O6</t>
  </si>
  <si>
    <t>11.15_407.2803m/z</t>
  </si>
  <si>
    <t>5-(11S-hydroxy-8Z-heptadecenyl) resorcinol</t>
  </si>
  <si>
    <t>LMPK15030053</t>
  </si>
  <si>
    <t>C(CCCCCC/C=C\C[C@@H](O)CCCCCC)C1=CC(O)=CC(O)=C1</t>
  </si>
  <si>
    <t>QKJHTDPOTJRZOH-DGDFFNOKSA-N</t>
  </si>
  <si>
    <t>C23H38O3</t>
  </si>
  <si>
    <t>7.55_300.2014m/z</t>
  </si>
  <si>
    <t>Hexaethylene glycol</t>
  </si>
  <si>
    <t>HMDB0061822</t>
  </si>
  <si>
    <t>2615-15-8</t>
  </si>
  <si>
    <t>OCCOCCOCCOCCOCCOCCO</t>
  </si>
  <si>
    <t>IIRDTKBZINWQAW-UHFFFAOYSA-N</t>
  </si>
  <si>
    <t>C12H26O7</t>
  </si>
  <si>
    <t>8.87_458.3491m/z</t>
  </si>
  <si>
    <t>8-[(2R,3S)-3-(8-Hydroxyoctyl)oxiran-2-yl]octanoylcarnitine</t>
  </si>
  <si>
    <t>HMDB0241808</t>
  </si>
  <si>
    <t>C[N+](C)(C)CC(CC([O-])=O)OC(=O)CCCCCCCC1OC1CCCCCCCCO</t>
  </si>
  <si>
    <t>CNTZQHQMTBMFEL-UHFFFAOYSA-N</t>
  </si>
  <si>
    <t>C25H47NO6</t>
  </si>
  <si>
    <t>15.40_419.3168m/z</t>
  </si>
  <si>
    <t>Octyl decyl phthalate</t>
  </si>
  <si>
    <t>CCCCCCCCCCOC(=O)C1=CC=CC=C1C(=O)OCCCCCCCC</t>
  </si>
  <si>
    <t>LVAGMBHLXLZJKZ-UHFFFAOYSA-N</t>
  </si>
  <si>
    <t>9.91_563.1853m/z</t>
  </si>
  <si>
    <t>1-Methylinosine</t>
  </si>
  <si>
    <t>HMDB0002721</t>
  </si>
  <si>
    <t>2140-73-0</t>
  </si>
  <si>
    <t>CN1C=NC2=C(N=CN2[C@@H]2O[C@H](CO)[C@@H](O)[C@H]2O)C1=O</t>
  </si>
  <si>
    <t>WJNGQIYEQLPJMN-IOSLPCCCSA-N</t>
  </si>
  <si>
    <t>C11H14N4O5</t>
  </si>
  <si>
    <t>10.58_510.2369m/z</t>
  </si>
  <si>
    <t>[5-[2,4-Bis((3S)-3-methylmorpholin-4-yl)pyrido[2,3-d]pyrimidin-7-yl]-2-methoxyphenyl]methanol</t>
  </si>
  <si>
    <t>HMDB0248789</t>
  </si>
  <si>
    <t>COC1=C(CO)C=C(C=C1)C1=NC2=C(C=C1)C(=NC(=N2)N1CCOCC1C)N1CCOCC1C</t>
  </si>
  <si>
    <t>KVLFRAWTRWDEDF-UHFFFAOYSA-N</t>
  </si>
  <si>
    <t>C25H31N5O4</t>
  </si>
  <si>
    <t>6.77_346.1541n</t>
  </si>
  <si>
    <t>coumarin-SAHA</t>
  </si>
  <si>
    <t>CC1=CC(=O)OC2=C1C=CC(=C2)NC(=O)CCCCCCC(=O)NO</t>
  </si>
  <si>
    <t>YSRCADVJNRJJAV-UHFFFAOYSA-N</t>
  </si>
  <si>
    <t>C18H22N2O5</t>
  </si>
  <si>
    <t>7.07_455.1798m/z</t>
  </si>
  <si>
    <t>5-(Hexahydro-2-oxo-1H-thieno[3,4-D]imidazol-6-YL)pentanal</t>
  </si>
  <si>
    <t>HMDB0246728</t>
  </si>
  <si>
    <t>O=CCCCCC1SCC2NC(=O)NC12</t>
  </si>
  <si>
    <t>ARDNWGMSCXSPBF-UHFFFAOYSA-N</t>
  </si>
  <si>
    <t>C10H16N2O2S</t>
  </si>
  <si>
    <t>4.89_964.4638m/z</t>
  </si>
  <si>
    <t>Nystatin</t>
  </si>
  <si>
    <t>HMDB0014784</t>
  </si>
  <si>
    <t>LMPK06000001</t>
  </si>
  <si>
    <t>C06572</t>
  </si>
  <si>
    <t>1400-61-9</t>
  </si>
  <si>
    <t>C1(O[C@@H]([C@@H](O)[C@H](N)[C@@H]1O)C)OC1C=CC=CC=CC=CCCC=CC=CC(C)C(O)C(C)C(OC(=O)CC(O)CC(O)CC(O)CCC(O)C(O)CC(=O)CC(O)C(C(=O)O)C(O)C1)C</t>
  </si>
  <si>
    <t>ZDFDJJJGIRGMBE-AFARJNEBSA-N</t>
  </si>
  <si>
    <t>C47H75NO17</t>
  </si>
  <si>
    <t>6.37_403.1896m/z</t>
  </si>
  <si>
    <t>3-(3-Methylbutylidene)-1(3H)-isobenzofuranone</t>
  </si>
  <si>
    <t>HMDB0031663</t>
  </si>
  <si>
    <t>CC(C)C\C=C1/OC(=O)C2=CC=CC=C12</t>
  </si>
  <si>
    <t>LLCYNDRFWDIIQS-WQLSENKSSA-N</t>
  </si>
  <si>
    <t>Isocoumarans</t>
  </si>
  <si>
    <t>Isobenzofuranones</t>
  </si>
  <si>
    <t>C13H14O2</t>
  </si>
  <si>
    <t>6.18_473.1794m/z</t>
  </si>
  <si>
    <t>Isolariciresinol 9'-O-alpha-L-arabinofuranoside</t>
  </si>
  <si>
    <t>HMDB0032906</t>
  </si>
  <si>
    <t>63358-10-1</t>
  </si>
  <si>
    <t>COC1=C(O)C=C2C(C(COC3OC(CO)C(O)C3O)C(CO)CC2=C1)C1=CC(OC)=C(O)C=C1</t>
  </si>
  <si>
    <t>HLTAJPBMZNNKMA-UHFFFAOYSA-N</t>
  </si>
  <si>
    <t>Lignan glycosides</t>
  </si>
  <si>
    <t>C25H32O10</t>
  </si>
  <si>
    <t>1.01_217.1189m/z</t>
  </si>
  <si>
    <t>Pro Thr</t>
  </si>
  <si>
    <t>CC(C(C(=O)O)NC(=O)C1CCCN1)O</t>
  </si>
  <si>
    <t>GVUVRRPYYDHHGK-ACZMJKKPSA-N</t>
  </si>
  <si>
    <t>C9H16N2O4</t>
  </si>
  <si>
    <t>1.17_313.0338m/z</t>
  </si>
  <si>
    <t>Inosine 2',3'-cyclic phosphate</t>
  </si>
  <si>
    <t>HMDB0011680</t>
  </si>
  <si>
    <t>C05768</t>
  </si>
  <si>
    <t>15569-30-9</t>
  </si>
  <si>
    <t>OC[C@H]1O[C@H]([C@@H]2OP(O)(=O)O[C@H]12)N1C=NC2=C1NC=NC2=O</t>
  </si>
  <si>
    <t>SBJVDTBACUMFFD-KQYNXXCUSA-N</t>
  </si>
  <si>
    <t>C10H11N4O7P</t>
  </si>
  <si>
    <t>9.58_383.3288m/z</t>
  </si>
  <si>
    <t>3-nonadecylphenol</t>
  </si>
  <si>
    <t>LMPK15010006</t>
  </si>
  <si>
    <t>C1C=C(CCCCCCCCCCCCCCCCCCC)C=C(O)C=1</t>
  </si>
  <si>
    <t>CVAJGZCZYKYYFH-UHFFFAOYSA-N</t>
  </si>
  <si>
    <t>C25H44O</t>
  </si>
  <si>
    <t>11.74_341.2698m/z</t>
  </si>
  <si>
    <t>Eicosanedioic acid</t>
  </si>
  <si>
    <t>HMDB0242141</t>
  </si>
  <si>
    <t>LMFA01170035</t>
  </si>
  <si>
    <t>C(CCCCCCCCCCCCCCCCCCC(=O)O)(=O)O</t>
  </si>
  <si>
    <t>JJOJFIHJIRWASH-UHFFFAOYSA-N</t>
  </si>
  <si>
    <t>7.98_292.2279m/z</t>
  </si>
  <si>
    <t>Exocarpic acid</t>
  </si>
  <si>
    <t>LMFA01030556</t>
  </si>
  <si>
    <t>C(CCCCCCCC#CC#C/C=C/CCCC)(=O)O</t>
  </si>
  <si>
    <t>ACHMRCSARDWYGC-AATRIKPKSA-N</t>
  </si>
  <si>
    <t>5.80_317.1869m/z</t>
  </si>
  <si>
    <t>Proglumide</t>
  </si>
  <si>
    <t>HMDB0256796</t>
  </si>
  <si>
    <t>6620-60-6</t>
  </si>
  <si>
    <t>CCCN(CCC)C(=O)C(CCC(O)=O)N=C(O)C1=CC=CC=C1</t>
  </si>
  <si>
    <t>DGMKFQYCZXERLX-UHFFFAOYSA-N</t>
  </si>
  <si>
    <t>C18H26N2O4</t>
  </si>
  <si>
    <t>6.35_269.1395m/z</t>
  </si>
  <si>
    <t>Annuionone C</t>
  </si>
  <si>
    <t>HMDB0032689</t>
  </si>
  <si>
    <t>155418-97-6</t>
  </si>
  <si>
    <t>CC(O)\C=C\C12OC1(C)CC(=O)CC2(C)C</t>
  </si>
  <si>
    <t>DZVNWYFIADDOQC-AATRIKPKSA-N</t>
  </si>
  <si>
    <t>0.98_278.1245m/z</t>
  </si>
  <si>
    <t>Fructosylvaline</t>
  </si>
  <si>
    <t>HMDB0252498</t>
  </si>
  <si>
    <t>CC(C)C(NCC(=O)C(O)C(O)C(O)CO)C(O)=O</t>
  </si>
  <si>
    <t>JEQHVKBNRPNQDY-UHFFFAOYSA-N</t>
  </si>
  <si>
    <t>7.94_341.0619m/z</t>
  </si>
  <si>
    <t>P-Toluenesulfonamide</t>
  </si>
  <si>
    <t>HMDB0246504</t>
  </si>
  <si>
    <t>C14412</t>
  </si>
  <si>
    <t>70-55-3</t>
  </si>
  <si>
    <t>CC1=CC=C(C=C1)S(N)(=O)=O</t>
  </si>
  <si>
    <t>LMYRWZFENFIFIT-UHFFFAOYSA-N</t>
  </si>
  <si>
    <t>C7H9NO2S</t>
  </si>
  <si>
    <t>9.30_305.1758m/z</t>
  </si>
  <si>
    <t>5'-Carboxy-gamma-chromanol</t>
  </si>
  <si>
    <t>HMDB0012799</t>
  </si>
  <si>
    <t>1221262-11-8</t>
  </si>
  <si>
    <t>C[C@@H](CCC[C@]1(C)CCC2=CC(O)=C(C)C(C)=C2O1)C(O)=O</t>
  </si>
  <si>
    <t>CNGKBUHOCIWLHJ-BBATYDOGSA-N</t>
  </si>
  <si>
    <t>C18H26O4</t>
  </si>
  <si>
    <t>13.31_382.1818m/z</t>
  </si>
  <si>
    <t>1,4-Bis(4-methoxyphenyl)-3-(3-phenylpropyl)-2-azetidinone</t>
  </si>
  <si>
    <t>HMDB0257552</t>
  </si>
  <si>
    <t>COC1=CC=C(C=C1)C1C(CCCC2=CC=CC=C2)C(=O)N1C1=CC=C(OC)C=C1</t>
  </si>
  <si>
    <t>IMNTVVOUWFPRSB-UHFFFAOYSA-N</t>
  </si>
  <si>
    <t>C26H27NO3</t>
  </si>
  <si>
    <t>3.75_290.1320m/z</t>
  </si>
  <si>
    <t>Tx 60</t>
  </si>
  <si>
    <t>HMDB0259331</t>
  </si>
  <si>
    <t>CCOP(C)(=O)SCCN(C(C)C)C(C)C</t>
  </si>
  <si>
    <t>JJIUCEJQJXNMHV-UHFFFAOYSA-N</t>
  </si>
  <si>
    <t>C11H26NO2PS</t>
  </si>
  <si>
    <t>11.55_367.2846m/z</t>
  </si>
  <si>
    <t>11,12-dihydroxy arachidic acid</t>
  </si>
  <si>
    <t>LMFA01050095</t>
  </si>
  <si>
    <t>C(C(O)C(O)CCCCCCCC)CCCCCCCCC(=O)O</t>
  </si>
  <si>
    <t>DQAUXZPAFJGMFY-UHFFFAOYSA-N</t>
  </si>
  <si>
    <t>14.80_383.3169m/z</t>
  </si>
  <si>
    <t>Docosenic acid</t>
  </si>
  <si>
    <t>HMDB0302285</t>
  </si>
  <si>
    <t>[H]\C(CCCCCCCCCCCCCCCCCCC)=C(\[H])C(O)=O</t>
  </si>
  <si>
    <t>ATNNLHXCRAAGJS-QZQOTICOSA-N</t>
  </si>
  <si>
    <t>C22H42O2</t>
  </si>
  <si>
    <t>7.88_209.1078m/z</t>
  </si>
  <si>
    <t>4-Vinylpyridine</t>
  </si>
  <si>
    <t>HMDB0246594</t>
  </si>
  <si>
    <t>C=CC1=CC=NC=C1</t>
  </si>
  <si>
    <t>KFDVPJUYSDEJTH-UHFFFAOYSA-N</t>
  </si>
  <si>
    <t>C7H7N</t>
  </si>
  <si>
    <t>3.73_172.1337m/z</t>
  </si>
  <si>
    <t>1-Hydroxy-2,2,6,6-tetramethyl-4-piperidinone</t>
  </si>
  <si>
    <t>HMDB0243896</t>
  </si>
  <si>
    <t>CC1(C)CC(=O)CC(C)(C)N1O</t>
  </si>
  <si>
    <t>KMEUSKGEUADGET-UHFFFAOYSA-N</t>
  </si>
  <si>
    <t>4.98_588.3142m/z</t>
  </si>
  <si>
    <t>PI(16:1(9Z)/0:0)</t>
  </si>
  <si>
    <t>LMGP06050009</t>
  </si>
  <si>
    <t>[C@]([H])(O)(COP(=O)(O)O[C@H]1[C@H](O)[C@@H](O)[C@H](O)[C@@H](O)[C@H]1O)COC(CCCCCCC/C=C\CCCCCC)=O</t>
  </si>
  <si>
    <t>VPFGUPHJCAHVJV-YUCDOUPMSA-N</t>
  </si>
  <si>
    <t>C25H47O12P</t>
  </si>
  <si>
    <t>12.36_363.2098m/z</t>
  </si>
  <si>
    <t>Fallypride</t>
  </si>
  <si>
    <t>HMDB0252161</t>
  </si>
  <si>
    <t>COC1=C(OC)C(=CC(CCCF)=C1)C(=O)NCC1CCCN1CC=C</t>
  </si>
  <si>
    <t>OABRYNHZQBZDMG-UHFFFAOYSA-N</t>
  </si>
  <si>
    <t>C20H29FN2O3</t>
  </si>
  <si>
    <t>9.66_277.0967m/z</t>
  </si>
  <si>
    <t>Potassium dodecanoate</t>
  </si>
  <si>
    <t>HMDB0303652</t>
  </si>
  <si>
    <t>[K+].CCCCCCCCCCCC([O-])=O</t>
  </si>
  <si>
    <t>HIDKSOTTZRMUML-UHFFFAOYSA-M</t>
  </si>
  <si>
    <t>C12H23KO2</t>
  </si>
  <si>
    <t>9.68_322.2750m/z</t>
  </si>
  <si>
    <t>Yucalexin P21</t>
  </si>
  <si>
    <t>HMDB0036754</t>
  </si>
  <si>
    <t>119626-54-9</t>
  </si>
  <si>
    <t>CC1(C)C(O)CCC2(C)C3CC(O)C(C)(C=C)C=C3CCC12</t>
  </si>
  <si>
    <t>BXDBZZUQTQKCEI-UHFFFAOYSA-N</t>
  </si>
  <si>
    <t>3.26_177.1028m/z</t>
  </si>
  <si>
    <t>1-Acetylindole</t>
  </si>
  <si>
    <t>576-15-8</t>
  </si>
  <si>
    <t>CC(=O)N1C=CC2=CC=CC=C21</t>
  </si>
  <si>
    <t>UUCUQJHYUPXDHN-UHFFFAOYSA-N</t>
  </si>
  <si>
    <t>4.03_282.1353m/z</t>
  </si>
  <si>
    <t>L-3-(3-Hydroxy-4-pivaloyloxyphenyl)alanine</t>
  </si>
  <si>
    <t>HMDB0255476</t>
  </si>
  <si>
    <t>CC(C)(C)C(=O)OC1=C(O)C=C(CC(N)C(O)=O)C=C1</t>
  </si>
  <si>
    <t>YEWQCSYEZLTGNS-UHFFFAOYSA-N</t>
  </si>
  <si>
    <t>7.25_229.1442m/z</t>
  </si>
  <si>
    <t>Cladosporacid C</t>
  </si>
  <si>
    <t>LMFA01050581</t>
  </si>
  <si>
    <t>C(/C=C/C(OC)CCCCCC(O)C)(=O)O</t>
  </si>
  <si>
    <t>AOGGAUMDWFZAEF-CMDGGOBGSA-N</t>
  </si>
  <si>
    <t>C12H22O4</t>
  </si>
  <si>
    <t>6.78_355.2601m/z</t>
  </si>
  <si>
    <t>N-myristoyl glutamine</t>
  </si>
  <si>
    <t>LMFA08020219</t>
  </si>
  <si>
    <t>[C@]([H])(NC(=O)CCCCCCCCCCCCC)(CCC(N)=O)C(O)=O</t>
  </si>
  <si>
    <t>GQCSFCKGCIEEJN-INIZCTEOSA-N</t>
  </si>
  <si>
    <t>C19H36N2O4</t>
  </si>
  <si>
    <t>12.68_166.1362n</t>
  </si>
  <si>
    <t>(+/-)-cis- and trans-2-Methyl-2-(4-methyl-3-pentenyl)cyclopropanecarbaldehyde</t>
  </si>
  <si>
    <t>HMDB0303211</t>
  </si>
  <si>
    <t>CC(C)=CCCC1(C)CC1C=O</t>
  </si>
  <si>
    <t>HVRSGXFUZOKZNT-UHFFFAOYSA-N</t>
  </si>
  <si>
    <t>Organic oxides</t>
  </si>
  <si>
    <t>13.96_554.3701m/z</t>
  </si>
  <si>
    <t>UNC-0638</t>
  </si>
  <si>
    <t>CC(C)N1CCC(CC1)NC2=NC(=NC3=CC(=C(C=C32)OC)OCCCN4CCCC4)C5CCCCC5</t>
  </si>
  <si>
    <t>QOECJCJVIMVJGX-UHFFFAOYSA-N</t>
  </si>
  <si>
    <t>C30H47N5O2</t>
  </si>
  <si>
    <t>9.65_264.2694m/z</t>
  </si>
  <si>
    <t>Dodecylbenzene</t>
  </si>
  <si>
    <t>HMDB0251572</t>
  </si>
  <si>
    <t>CCCCCCCCCCCCC1=CC=CC=C1</t>
  </si>
  <si>
    <t>KWKXNDCHNDYVRT-UHFFFAOYSA-N</t>
  </si>
  <si>
    <t>C18H30</t>
  </si>
  <si>
    <t>9.83_239.1650m/z</t>
  </si>
  <si>
    <t>7,8-Dehydro-3,4-dihydro-beta-ionol</t>
  </si>
  <si>
    <t>HMDB0036184</t>
  </si>
  <si>
    <t>57069-86-0</t>
  </si>
  <si>
    <t>CC(O)CCC1=C(C)C=CCC1(C)C</t>
  </si>
  <si>
    <t>WPGXAVCJKGSOBD-UHFFFAOYSA-N</t>
  </si>
  <si>
    <t>3.56_225.0759n</t>
  </si>
  <si>
    <t>2,2'-Anhydrocytidine</t>
  </si>
  <si>
    <t>HMDB0243629</t>
  </si>
  <si>
    <t>OCC1OC2C(OC3=NC(=N)C=CN23)C1O</t>
  </si>
  <si>
    <t>BBDAGFIXKZCXAH-UHFFFAOYSA-N</t>
  </si>
  <si>
    <t>C9H11N3O4</t>
  </si>
  <si>
    <t>4.77_567.0177m/z</t>
  </si>
  <si>
    <t>Luteolin 7-sulfate-3'-glucoside</t>
  </si>
  <si>
    <t>LMPK12110721</t>
  </si>
  <si>
    <t>C1(OS(O)(=O)=O)=CC2OC(C3C=CC(O)=C(O[C@H]4[C@H](O)[C@@H](O)[C@H](O)[C@@H](CO)O4)C=3)=CC(=O)C=2C(O)=C1</t>
  </si>
  <si>
    <t>OTZOUMPODICORE-QNDFHXLGSA-N</t>
  </si>
  <si>
    <t>C21H20O14S</t>
  </si>
  <si>
    <t>253</t>
  </si>
  <si>
    <t>Prolin</t>
  </si>
  <si>
    <t>HMDB0251528</t>
  </si>
  <si>
    <t>C16435</t>
  </si>
  <si>
    <t>OC(=O)C1CCCN1</t>
  </si>
  <si>
    <t>ONIBWKKTOPOVIA-UHFFFAOYSA-N</t>
  </si>
  <si>
    <t>7.65_331.1164m/z</t>
  </si>
  <si>
    <t>5-Hydroxy-3-(4-hydroxybenzyl)-7,8-dimethoxy-4-chromanone</t>
  </si>
  <si>
    <t>HMDB0037253</t>
  </si>
  <si>
    <t>93078-82-1</t>
  </si>
  <si>
    <t>COC1=C(OC)C2=C(C(O)=C1)C(=O)C(CC1=CC=C(O)C=C1)CO2</t>
  </si>
  <si>
    <t>GMCVGMAGOGOINY-UHFFFAOYSA-N</t>
  </si>
  <si>
    <t>Homoisoflavonoids</t>
  </si>
  <si>
    <t>Homoisoflavans</t>
  </si>
  <si>
    <t>C18H18O6</t>
  </si>
  <si>
    <t>4.24_662.1450m/z</t>
  </si>
  <si>
    <t>N-Trifluoroacetyladriamycin</t>
  </si>
  <si>
    <t>HMDB0061164</t>
  </si>
  <si>
    <t>[H][C@@]1(C[C@@](O)(CC2=C(O)C3=C(C(O)=C12)C(=O)C1=C(C=CC=C1OC)C3=O)C(=O)CO)O[C@H]1C[C@H](NC(=O)C(F)(F)F)[C@H](O)[C@H](C)O1</t>
  </si>
  <si>
    <t>RQIOYWADAKTIJC-XUKKXQNXSA-N</t>
  </si>
  <si>
    <t>C29H28F3NO12</t>
  </si>
  <si>
    <t>6.71_344.2439m/z</t>
  </si>
  <si>
    <t>2,3-dinor-11b-PGF2alpha</t>
  </si>
  <si>
    <t>HMDB02277</t>
  </si>
  <si>
    <t>LMFA03010011</t>
  </si>
  <si>
    <t>240405-20-3</t>
  </si>
  <si>
    <t>[C@H]1(/C=C/[C@@H](O)CCCCC)[C@@H](O)C[C@H](O)[C@@H]1C/C=C\CC(=O)O</t>
  </si>
  <si>
    <t>IDKLJIUIJUVJNR-KSJYGFEGSA-N</t>
  </si>
  <si>
    <t>3.80_397.2088m/z</t>
  </si>
  <si>
    <t>Val Phe Asp</t>
  </si>
  <si>
    <t>CC(C)C(C(=O)NC(CC1=CC=CC=C1)C(=O)NC(CC(=O)O)C(=O)O)N</t>
  </si>
  <si>
    <t>WMRWZYSRQUORHJ-YDHLFZDLSA-N</t>
  </si>
  <si>
    <t>4.84_392.1833m/z</t>
  </si>
  <si>
    <t>Asp Phe Leu</t>
  </si>
  <si>
    <t>CC(C)CC(C(=O)O)NC(=O)C(CC1=CC=CC=C1)NC(=O)C(CC(=O)O)N</t>
  </si>
  <si>
    <t>LTCKTLYKRMCFOC-KKUMJFAQSA-N</t>
  </si>
  <si>
    <t>1.03_272.0691m/z</t>
  </si>
  <si>
    <t>Dexelvucitabine</t>
  </si>
  <si>
    <t>HMDB0251085</t>
  </si>
  <si>
    <t>NC1=NC(=O)N(C=C1F)C1OC(CO)C=C1</t>
  </si>
  <si>
    <t>HSBKFSPNDWWPSL-UHFFFAOYSA-N</t>
  </si>
  <si>
    <t>C9H10FN3O3</t>
  </si>
  <si>
    <t>4.60_207.0657m/z</t>
  </si>
  <si>
    <t>Genipin</t>
  </si>
  <si>
    <t>HMDB0035830</t>
  </si>
  <si>
    <t>C09780</t>
  </si>
  <si>
    <t>6902-77-8</t>
  </si>
  <si>
    <t>COC(=O)C1=COC(O)C2C1CC=C2CO</t>
  </si>
  <si>
    <t>AZKVWQKMDGGDSV-UHFFFAOYSA-N</t>
  </si>
  <si>
    <t>C11H14O5</t>
  </si>
  <si>
    <t>4.67_318.1661m/z</t>
  </si>
  <si>
    <t>Naratriptan</t>
  </si>
  <si>
    <t>HMDB0015087</t>
  </si>
  <si>
    <t>C07792</t>
  </si>
  <si>
    <t>121679-13-8</t>
  </si>
  <si>
    <t>CNS(=O)(=O)CCC1=CC2=C(NC=C2C2CCN(C)CC2)C=C1</t>
  </si>
  <si>
    <t>AMKVXSZCKVJAGH-UHFFFAOYSA-N</t>
  </si>
  <si>
    <t>C17H25N3O2S</t>
  </si>
  <si>
    <t>8.99_331.0194m/z</t>
  </si>
  <si>
    <t>Nitroimidazo-oxazine</t>
  </si>
  <si>
    <t>HMDB0255651</t>
  </si>
  <si>
    <t>[O-][N+](=O)C1=NOC2=NC=NC2=C1</t>
  </si>
  <si>
    <t>YVMGQODAKAHLHB-UHFFFAOYSA-N</t>
  </si>
  <si>
    <t>C5H2N4O3</t>
  </si>
  <si>
    <t>7.43_303.1713m/z</t>
  </si>
  <si>
    <t>(Z)-heptadec-14-en-11-ynoic acid</t>
  </si>
  <si>
    <t>LMFA01031149</t>
  </si>
  <si>
    <t>C(CCCCCCCCC(=O)O)C#CC/C=C\CC</t>
  </si>
  <si>
    <t>AQRFGVGEUUXXPS-ARJAWSKDSA-N</t>
  </si>
  <si>
    <t>C17H28O2</t>
  </si>
  <si>
    <t>5.57_216.0170m/z</t>
  </si>
  <si>
    <t>Benzimidazol carbamate</t>
  </si>
  <si>
    <t>HMDB0248992</t>
  </si>
  <si>
    <t>NC(=O)ON1C=NC2=CC=CC=C12</t>
  </si>
  <si>
    <t>AHGNXJYQZLZKFZ-UHFFFAOYSA-N</t>
  </si>
  <si>
    <t>C8H7N3O2</t>
  </si>
  <si>
    <t>4.75_180.1024m/z</t>
  </si>
  <si>
    <t>Rehmagluamide</t>
  </si>
  <si>
    <t>LMFA08040070</t>
  </si>
  <si>
    <t>C(/C(/C)=C/C=C/C(=O)C)(=O)NCCO</t>
  </si>
  <si>
    <t>WQCAJGYNYVBEIO-MSLMYCKWSA-N</t>
  </si>
  <si>
    <t>C10H15NO3</t>
  </si>
  <si>
    <t>9.91_417.1814m/z</t>
  </si>
  <si>
    <t>Proflavine</t>
  </si>
  <si>
    <t>HMDB0015255</t>
  </si>
  <si>
    <t>C11181</t>
  </si>
  <si>
    <t>92-62-6</t>
  </si>
  <si>
    <t>NC1=CC2=NC3=C(C=CC(N)=C3)C=C2C=C1</t>
  </si>
  <si>
    <t>WDVSHHCDHLJJJR-UHFFFAOYSA-N</t>
  </si>
  <si>
    <t>C13H11N3</t>
  </si>
  <si>
    <t>8.16_465.2498m/z</t>
  </si>
  <si>
    <t>5-alpha-Dihydrotestosterone glucuronide</t>
  </si>
  <si>
    <t>HMDB0006203</t>
  </si>
  <si>
    <t>LMST05010041</t>
  </si>
  <si>
    <t>42037-24-1</t>
  </si>
  <si>
    <t>[C@]12(CC[C@@]3([H])CC(=O)CC[C@]3(C)[C@@]1([H])CC[C@]1(C)[C@@H](O[C@H]3[C@H](O)[C@@H](O)[C@H](O)[C@@H](C(O)=O)O3)CC[C@@]21[H])[H]</t>
  </si>
  <si>
    <t>CLQMBSSRTBUNDV-CPKOJWPQSA-N</t>
  </si>
  <si>
    <t>C25H38O8</t>
  </si>
  <si>
    <t>11.15_259.1549m/z</t>
  </si>
  <si>
    <t>4-Hydroxycinnamoylagmatine</t>
  </si>
  <si>
    <t>HMDB0033460</t>
  </si>
  <si>
    <t>C04498</t>
  </si>
  <si>
    <t>7295-86-5</t>
  </si>
  <si>
    <t>NC(=N)NCCCCNC(=O)\C=C\C1=CC=C(O)C=C1</t>
  </si>
  <si>
    <t>AKIHYQWCLCDMMI-VMPITWQZSA-N</t>
  </si>
  <si>
    <t>C14H20N4O2</t>
  </si>
  <si>
    <t>10.95_494.3259m/z</t>
  </si>
  <si>
    <t>Scyphostatin A</t>
  </si>
  <si>
    <t>LMSP01080060</t>
  </si>
  <si>
    <t>[C@@H]12O[C@@H]1[C@@](O)(C[C@H](NC(/C=C/C=C/C=C/C=C/[C@H](C)C[C@H](C)C/C(/C)=C/[C@H](C)CC)=O)CO)C(=O)C=C2</t>
  </si>
  <si>
    <t>CCAHAWZXHIPJRB-NAKAOWIOSA-N</t>
  </si>
  <si>
    <t>C31H45NO5</t>
  </si>
  <si>
    <t>10.07_296.1397m/z</t>
  </si>
  <si>
    <t>Bimakalim</t>
  </si>
  <si>
    <t>HMDB0249212</t>
  </si>
  <si>
    <t>CC1(C)OC2=C(C=C(C=C2)C#N)C(=C1)N1C=CC=CC1=O</t>
  </si>
  <si>
    <t>JTVSKASWNROQQF-UHFFFAOYSA-N</t>
  </si>
  <si>
    <t>C17H14N2O2</t>
  </si>
  <si>
    <t>280</t>
  </si>
  <si>
    <t>D-Xylose</t>
  </si>
  <si>
    <t>HMDB0000098</t>
  </si>
  <si>
    <t>C00181</t>
  </si>
  <si>
    <t>hsa00040,hsa00520,hsa02010</t>
  </si>
  <si>
    <t>Pentose and glucuronate interconversions|Amino sugar and nucleotide sugar metabolism|ABC transporters</t>
  </si>
  <si>
    <t>58-86-6</t>
  </si>
  <si>
    <t>O[C@@H]1COC(O)[C@H](O)[C@H]1O</t>
  </si>
  <si>
    <t>SRBFZHDQGSBBOR-IOVATXLUSA-N</t>
  </si>
  <si>
    <t>5.91_265.1445m/z</t>
  </si>
  <si>
    <t>1alpha-Hydroxyarbusculin A</t>
  </si>
  <si>
    <t>HMDB0037059</t>
  </si>
  <si>
    <t>50301-94-5</t>
  </si>
  <si>
    <t>CC1(O)CCC(O)C2(C)CCC3C(OC(=O)C3=C)C12</t>
  </si>
  <si>
    <t>LVABKRFKENTQBT-UHFFFAOYSA-N</t>
  </si>
  <si>
    <t>4.60_151.0390m/z</t>
  </si>
  <si>
    <t>ortho-Hydroxyphenylacetic acid</t>
  </si>
  <si>
    <t>HMDB0000669</t>
  </si>
  <si>
    <t>C05852</t>
  </si>
  <si>
    <t>614-75-5</t>
  </si>
  <si>
    <t>OC(=O)CC1=C(O)C=CC=C1</t>
  </si>
  <si>
    <t>CCVYRRGZDBSHFU-UHFFFAOYSA-N</t>
  </si>
  <si>
    <t>Phenylacetic acids</t>
  </si>
  <si>
    <t>C8H8O3</t>
  </si>
  <si>
    <t>9.34_385.0935m/z</t>
  </si>
  <si>
    <t>Ambanol</t>
  </si>
  <si>
    <t>LMPK12080058</t>
  </si>
  <si>
    <t>C12OC=CC1=CC1C(O)C(C3=CC4OCOC=4C=C3OC)COC=1C=2</t>
  </si>
  <si>
    <t>DORQFPCYGCVJIH-UHFFFAOYSA-N</t>
  </si>
  <si>
    <t>C19H16O6</t>
  </si>
  <si>
    <t>15.03_551.4686m/z</t>
  </si>
  <si>
    <t>DG(14:0/17:1(9Z)/0:0)[iso2]</t>
  </si>
  <si>
    <t>LMGL02010381</t>
  </si>
  <si>
    <t>OC[C@]([H])(OC(CCCCCCC/C=C\CCCCCCC)=O)COC(CCCCCCCCCCCCC)=O</t>
  </si>
  <si>
    <t>CWJDHJXDPBOJNU-WKBUOZHXSA-N</t>
  </si>
  <si>
    <t>9.68_398.9368m/z</t>
  </si>
  <si>
    <t>2,3-dihydrothieno-Thiadiazole Carboxylate</t>
  </si>
  <si>
    <t>COC(=O)C1=CSC2=C1N=NS2</t>
  </si>
  <si>
    <t>FMCBCIKSEQJAGA-UHFFFAOYSA-N</t>
  </si>
  <si>
    <t>C6H4N2O2S2</t>
  </si>
  <si>
    <t>4.91_636.3261m/z</t>
  </si>
  <si>
    <t>PKOOA-PG</t>
  </si>
  <si>
    <t>LMGP20060006</t>
  </si>
  <si>
    <t>[H][C@](O)(CO)COP(OC[C@]([H])(OC(CCCC(=O)/C=C/C(=O)[H])=O)COC(CCCCCCCCCCCCCCC)=O)(=O)O</t>
  </si>
  <si>
    <t>HBOKFSNIKIKNHB-WCAXJYTHSA-N</t>
  </si>
  <si>
    <t>C30H53O12P</t>
  </si>
  <si>
    <t>3.50_511.2407m/z</t>
  </si>
  <si>
    <t>Asn-Arg-Ala-Ile</t>
  </si>
  <si>
    <t>HMDB0304797</t>
  </si>
  <si>
    <t>CCC(C)C(N=C(O)C(C)N=C(O)C(CCCNC(N)=N)N=C(O)C(N)CC(O)=N)C(O)=O</t>
  </si>
  <si>
    <t>SVSBLOSMLPLILN-UHFFFAOYSA-N</t>
  </si>
  <si>
    <t>C19H36N8O6</t>
  </si>
  <si>
    <t>4.53_141.1158n</t>
  </si>
  <si>
    <t>Allylisopropylacetamide</t>
  </si>
  <si>
    <t>HMDB0248168</t>
  </si>
  <si>
    <t>CC(C)C(CC=C)C(N)=O</t>
  </si>
  <si>
    <t>HINLFAQOKAHXOD-UHFFFAOYSA-N</t>
  </si>
  <si>
    <t>9.52_135.1172m/z</t>
  </si>
  <si>
    <t>m-Propyltoluene</t>
  </si>
  <si>
    <t>HMDB0059821</t>
  </si>
  <si>
    <t>[H]C1=C([H])C(=C([H])C(=C1[H])C([H])([H])C([H])([H])C([H])([H])[H])C([H])([H])[H]</t>
  </si>
  <si>
    <t>QUEBYVKXYIKVSO-UHFFFAOYSA-N</t>
  </si>
  <si>
    <t>C10H14</t>
  </si>
  <si>
    <t>11.57_275.2017m/z</t>
  </si>
  <si>
    <t>Stearidonic acid</t>
  </si>
  <si>
    <t>HMDB0006547</t>
  </si>
  <si>
    <t>LMFA01030357</t>
  </si>
  <si>
    <t>C16300</t>
  </si>
  <si>
    <t>20290-75-9</t>
  </si>
  <si>
    <t>C(CCCC/C=C\C/C=C\C/C=C\C/C=C\CC)(=O)O</t>
  </si>
  <si>
    <t>JIWBIWFOSCKQMA-LTKCOYKYSA-N</t>
  </si>
  <si>
    <t>1.30_218.0610m/z</t>
  </si>
  <si>
    <t>9-[2-(Phosphanylmethoxy)propyl]purin-6-amine</t>
  </si>
  <si>
    <t>HMDB0258068</t>
  </si>
  <si>
    <t>CC(CN1C=NC2=C1N=CN=C2N)OCP</t>
  </si>
  <si>
    <t>RZVRUUYWPMZIOS-UHFFFAOYSA-N</t>
  </si>
  <si>
    <t>C9H12N5OP</t>
  </si>
  <si>
    <t>4.85_606.2786m/z</t>
  </si>
  <si>
    <t>Ziritaxestat</t>
  </si>
  <si>
    <t>HMDB0252755</t>
  </si>
  <si>
    <t>CCC1=C(N(C)C2=NC(=C(S2)C#N)C2=CC=C(F)C=C2)N2C=C(C=C(C)C2=N1)N1CCN(CC(=O)N2CC(O)C2)CC1</t>
  </si>
  <si>
    <t>REQQVBGILUTQNN-UHFFFAOYSA-N</t>
  </si>
  <si>
    <t>C30H33FN8O2S</t>
  </si>
  <si>
    <t>1.30_205.0712m/z</t>
  </si>
  <si>
    <t>4,6-O-Ethylidene-D-glucose</t>
  </si>
  <si>
    <t>HMDB0246615</t>
  </si>
  <si>
    <t>CC1OCC(O)C(O1)C(O)C(O)C=O</t>
  </si>
  <si>
    <t>CYJNDOQNVXFIJC-UHFFFAOYSA-N</t>
  </si>
  <si>
    <t>Dioxanes</t>
  </si>
  <si>
    <t>1,3-dioxanes</t>
  </si>
  <si>
    <t>C8H14O6</t>
  </si>
  <si>
    <t>4.85_812.3513m/z</t>
  </si>
  <si>
    <t>Aclarubicin</t>
  </si>
  <si>
    <t>C18638</t>
  </si>
  <si>
    <t>57576-44-0</t>
  </si>
  <si>
    <t>CCC1(CC(C2=C(C3=C(C=C2C1C(=O)OC)C(=O)C4=C(C3=O)C(=CC=C4)O)O)OC5CC(C(C(O5)C)OC6CC(C(C(O6)C)OC7CCC(=O)C(O7)C)O)N(C)C)O</t>
  </si>
  <si>
    <t>USZYSDMBJDPRIF-SVEJIMAYSA-N</t>
  </si>
  <si>
    <t>C42H53NO15</t>
  </si>
  <si>
    <t>6.86_464.3019m/z</t>
  </si>
  <si>
    <t>3beta,5alpha,6beta-Trihydroxy-cholanoyl-glycine</t>
  </si>
  <si>
    <t>LMST05030019</t>
  </si>
  <si>
    <t>[C@]12(C[C@@H](O)[C@@]3(O)C[C@@H](O)CC[C@]3(C)[C@@]1([H])CC[C@]1(C)[C@@]([H])([C@@](C)([H])CCC(=O)NCC(=O)O)CC[C@@]21[H])[H]</t>
  </si>
  <si>
    <t>PVXZQUUYXFMXMF-ABSIFXOISA-N</t>
  </si>
  <si>
    <t>10.74_459.1458m/z</t>
  </si>
  <si>
    <t>N-desalkyl delavirdine</t>
  </si>
  <si>
    <t>HMDB0061021</t>
  </si>
  <si>
    <t>CS(=O)(=O)NC1=CC=C2NC(=CC2=C1)C(=O)N1CCN(CC1)C1=C(N)C=CC=N1</t>
  </si>
  <si>
    <t>MTEFFPTUUPAKOV-UHFFFAOYSA-N</t>
  </si>
  <si>
    <t>C19H22N6O3S</t>
  </si>
  <si>
    <t>9.54_318.2412m/z</t>
  </si>
  <si>
    <t>Methandrostenolone</t>
  </si>
  <si>
    <t>HMDB0041925</t>
  </si>
  <si>
    <t>LMST02020013</t>
  </si>
  <si>
    <t>72-63-9</t>
  </si>
  <si>
    <t>C1[C@]2(C)[C@@]3([H])CC[C@]4(C)[C@@](C)(O)CC[C@@]4([H])[C@]3([H])CCC2=CC(=O)C=1</t>
  </si>
  <si>
    <t>XWALNWXLMVGSFR-HLXURNFRSA-N</t>
  </si>
  <si>
    <t>9.85_381.2655n</t>
  </si>
  <si>
    <t>Sphinganine-phosphate</t>
  </si>
  <si>
    <t>HMDB0001383</t>
  </si>
  <si>
    <t>LMSP01050002</t>
  </si>
  <si>
    <t>C01120</t>
  </si>
  <si>
    <t>19794-97-9</t>
  </si>
  <si>
    <t>[C@](COP(=O)(O)O)([H])(N)[C@]([H])(O)CCCCCCCCCCCCCCC</t>
  </si>
  <si>
    <t>YHEDRJPUIRMZMP-ZWKOTPCHSA-N</t>
  </si>
  <si>
    <t>C18H40NO5P</t>
  </si>
  <si>
    <t>3.48_121.0687m/z</t>
  </si>
  <si>
    <t>4-(Methylthio)-2-butanol</t>
  </si>
  <si>
    <t>HMDB0041476</t>
  </si>
  <si>
    <t>13296-23-6</t>
  </si>
  <si>
    <t>CSCCC(C)O</t>
  </si>
  <si>
    <t>BQFFCKMCUHRYIN-UHFFFAOYSA-N</t>
  </si>
  <si>
    <t>C5H12OS</t>
  </si>
  <si>
    <t>2.20_240.1028m/z</t>
  </si>
  <si>
    <t>Propionic acid, 2-methyl-2-((piperidinomethyl)thio)-</t>
  </si>
  <si>
    <t>HMDB0249401</t>
  </si>
  <si>
    <t>CC(C)(SCN1CCCCC1)C(O)=O</t>
  </si>
  <si>
    <t>NEHWDLUEJCEYRF-UHFFFAOYSA-N</t>
  </si>
  <si>
    <t>C10H19NO2S</t>
  </si>
  <si>
    <t>3.60_146.0604m/z</t>
  </si>
  <si>
    <t>OXYQUINOLINE</t>
  </si>
  <si>
    <t>C19434</t>
  </si>
  <si>
    <t>148-24-3</t>
  </si>
  <si>
    <t>C1=CC2=C(C(=C1)O)N=CC=C2</t>
  </si>
  <si>
    <t>MCJGNVYPOGVAJF-UHFFFAOYSA-N</t>
  </si>
  <si>
    <t>8-hydroxyquinolines</t>
  </si>
  <si>
    <t>6.18_422.1823m/z</t>
  </si>
  <si>
    <t>Neopetasitenine</t>
  </si>
  <si>
    <t>HMDB0030329</t>
  </si>
  <si>
    <t>60409-51-0</t>
  </si>
  <si>
    <t>C[C@H]1O[C@]11C[C@@H](C)[C@@](C)(OC(C)=O)C(=O)OC\C2=C\CN(C)CC[C@@H](OC1=O)C2=O</t>
  </si>
  <si>
    <t>RNNVXCSFOWGBQP-MWTIQZJTSA-N</t>
  </si>
  <si>
    <t>Azaspirodecane derivatives</t>
  </si>
  <si>
    <t>C21H29NO8</t>
  </si>
  <si>
    <t>9.62_621.3283m/z</t>
  </si>
  <si>
    <t>Foliandrin</t>
  </si>
  <si>
    <t>HMDB0252427</t>
  </si>
  <si>
    <t>COC1CC(OC2CCC3(C)C(CCC4C3CCC3(C)C(C(CC43O)OC(C)=O)C3=CC(=O)OC3)C2)OC(C)C1O</t>
  </si>
  <si>
    <t>JLPDBLFIVFSOCC-UHFFFAOYSA-N</t>
  </si>
  <si>
    <t>C32H48O9</t>
  </si>
  <si>
    <t>11.70_185.0925m/z</t>
  </si>
  <si>
    <t>Prolyl-Serine</t>
  </si>
  <si>
    <t>HMDB0029026</t>
  </si>
  <si>
    <t>OCC(NC(=O)C1CCCN1)C(O)=O</t>
  </si>
  <si>
    <t>AFWBWPCXSWUCLB-UHFFFAOYSA-N</t>
  </si>
  <si>
    <t>C8H14N2O4</t>
  </si>
  <si>
    <t>1.78_398.2050m/z</t>
  </si>
  <si>
    <t>Glu His Leu</t>
  </si>
  <si>
    <t>CC(C)CC(C(=O)O)NC(=O)C(CC1=CN=CN1)NC(=O)C(CCC(=O)O)N</t>
  </si>
  <si>
    <t>DVLZZEPUNFEUBW-AVGNSLFASA-N</t>
  </si>
  <si>
    <t>C17H27N5O6</t>
  </si>
  <si>
    <t>2.06_254.0612m/z</t>
  </si>
  <si>
    <t>Isosorbide Dinitrate</t>
  </si>
  <si>
    <t>HMDB0015021</t>
  </si>
  <si>
    <t>C07456</t>
  </si>
  <si>
    <t>87-33-2</t>
  </si>
  <si>
    <t>[H][C@]12OC[C@H](O[N+]([O-])=O)[C@@]1([H])OC[C@H]2O[N+]([O-])=O</t>
  </si>
  <si>
    <t>MOYKHGMNXAOIAT-JGWLITMVSA-N</t>
  </si>
  <si>
    <t>C6H8N2O8</t>
  </si>
  <si>
    <t>1.30_397.1312m/z</t>
  </si>
  <si>
    <t>beta-D-Xylopyranosyl-(1-&gt;5)-alpha-L-arabinofuranosyl-(1-&gt;3)-L-arabinose</t>
  </si>
  <si>
    <t>HMDB0038859</t>
  </si>
  <si>
    <t>7268-42-0</t>
  </si>
  <si>
    <t>OC1C(O)C(OC2C(O)COC(O)C2O)OC1COC1OCC(O)C(O)C1O</t>
  </si>
  <si>
    <t>RBNRMSRJWILJMU-UHFFFAOYSA-N</t>
  </si>
  <si>
    <t>4.28_600.3186m/z</t>
  </si>
  <si>
    <t>Brincidofovir</t>
  </si>
  <si>
    <t>HMDB0249384</t>
  </si>
  <si>
    <t>CCCCCCCCCCCCCCCCOCCCOP(O)(=O)COC(CO)CN1C=CC(N)=NC1=O</t>
  </si>
  <si>
    <t>WXJFKKQWPMNTIM-UHFFFAOYSA-N</t>
  </si>
  <si>
    <t>C27H52N3O7P</t>
  </si>
  <si>
    <t>8.11_583.2571m/z</t>
  </si>
  <si>
    <t>Azelnidipine</t>
  </si>
  <si>
    <t>HMDB0248792</t>
  </si>
  <si>
    <t>CC(C)OC(=O)C1=C(C)NC(N)=C(C1C1=CC=CC(=C1)[N+]([O-])=O)C(=O)OC1CN(C1)C(C1=CC=CC=C1)C1=CC=CC=C1</t>
  </si>
  <si>
    <t>ZKFQEACEUNWPMT-UHFFFAOYSA-N</t>
  </si>
  <si>
    <t>C33H34N4O6</t>
  </si>
  <si>
    <t>7.98_235.1700m/z</t>
  </si>
  <si>
    <t>Ilicic acid</t>
  </si>
  <si>
    <t>CC12CCCC(C1CC(CC2)C(=C)C(=O)O)(C)O</t>
  </si>
  <si>
    <t>FXKCXGBBUBCRPU-QHSBEEBCSA-N</t>
  </si>
  <si>
    <t>5.10_336.1168m/z</t>
  </si>
  <si>
    <t>PC(0:0/3:0)</t>
  </si>
  <si>
    <t>LMGP01050086</t>
  </si>
  <si>
    <t>[C@](COP(=O)([O-])OCC[N+](C)(C)C)([H])(OC(CC)=O)CO</t>
  </si>
  <si>
    <t>UQKHQGLDMCRPFS-SNVBAGLBSA-N</t>
  </si>
  <si>
    <t>C11H24NO7P</t>
  </si>
  <si>
    <t>5.56_529.1928m/z</t>
  </si>
  <si>
    <t>Plantacyanin</t>
  </si>
  <si>
    <t>HMDB0303586</t>
  </si>
  <si>
    <t>C1=CC=C2C(=C1)N(C1=CC=CC=C21)C1=CC=C(C=C1)C1=CC=C(C=C1)N1C2=CC=CC=C2C2=CC=CC=C12</t>
  </si>
  <si>
    <t>VFUDMQLBKNMONU-UHFFFAOYSA-N</t>
  </si>
  <si>
    <t>C36H24N2</t>
  </si>
  <si>
    <t>8.64_332.3168m/z</t>
  </si>
  <si>
    <t>19-hydroxy-nonadecanoic acid</t>
  </si>
  <si>
    <t>LMFA01050072</t>
  </si>
  <si>
    <t>C(CCCCCCCCCCCCCCCCO)CC(=O)O</t>
  </si>
  <si>
    <t>LSEAKSNIGVHVQY-UHFFFAOYSA-N</t>
  </si>
  <si>
    <t>1.01_246.0198m/z</t>
  </si>
  <si>
    <t>(2R,2'S)-Isobuteine</t>
  </si>
  <si>
    <t>HMDB0030411</t>
  </si>
  <si>
    <t>66512-75-2</t>
  </si>
  <si>
    <t>CC(CSCC(N)C(O)=O)C(O)=O</t>
  </si>
  <si>
    <t>QSPWUNSFUXUUDG-UHFFFAOYSA-N</t>
  </si>
  <si>
    <t>C7H13NO4S</t>
  </si>
  <si>
    <t>9.46_488.2379m/z</t>
  </si>
  <si>
    <t>Versetamide</t>
  </si>
  <si>
    <t>HMDB0259796</t>
  </si>
  <si>
    <t>COCCNC(=O)CN(CCN(CCN(CC(O)=O)CC(=O)NCCOC)CC(O)=O)CC(O)=O</t>
  </si>
  <si>
    <t>AXFGWXLCWCNPHP-UHFFFAOYSA-N</t>
  </si>
  <si>
    <t>C20H37N5O10</t>
  </si>
  <si>
    <t>8.21_452.3305n</t>
  </si>
  <si>
    <t>VD 2728</t>
  </si>
  <si>
    <t>LMST03020643</t>
  </si>
  <si>
    <t>C1/C(=C/C=C2\CCC[C@]3(C)C([C@]([H])(C)/C=C/C=C/C(CC)(O)CC)=CC[C@@]\23[H])/C(=C)[C@@H](O)C[C@@H]1O</t>
  </si>
  <si>
    <t>AHKACQBAPDEQTN-WHZAAVMFSA-N</t>
  </si>
  <si>
    <t>C30H44O3</t>
  </si>
  <si>
    <t>5.03_394.9759m/z</t>
  </si>
  <si>
    <t>Perfluoro(methylcyclohexane)</t>
  </si>
  <si>
    <t>HMDB0256314</t>
  </si>
  <si>
    <t>FC(F)(F)C1(F)C(F)(F)C(F)(F)C(F)(F)C(F)(F)C1(F)F</t>
  </si>
  <si>
    <t>QIROQPWSJUXOJC-UHFFFAOYSA-N</t>
  </si>
  <si>
    <t>C7F14</t>
  </si>
  <si>
    <t>7.92_310.9949m/z</t>
  </si>
  <si>
    <t>O,O,S-Trimethyl phosphorothioate</t>
  </si>
  <si>
    <t>HMDB0255873</t>
  </si>
  <si>
    <t>COP(=O)(OC)SC</t>
  </si>
  <si>
    <t>WTUNGUOZHBRADH-UHFFFAOYSA-N</t>
  </si>
  <si>
    <t>C3H9O3PS</t>
  </si>
  <si>
    <t>12.03_413.2676m/z</t>
  </si>
  <si>
    <t>Lupulone</t>
  </si>
  <si>
    <t>HMDB0030041</t>
  </si>
  <si>
    <t>C10706</t>
  </si>
  <si>
    <t>468-28-0</t>
  </si>
  <si>
    <t>CC(C)CC(=O)C1=C(O)C(CC=C(C)C)(CC=C(C)C)C(=O)C(CC=C(C)C)C1=O</t>
  </si>
  <si>
    <t>WYJNATSMJAUNMZ-UHFFFAOYSA-N</t>
  </si>
  <si>
    <t>C26H38O4</t>
  </si>
  <si>
    <t>9.81_391.2130m/z</t>
  </si>
  <si>
    <t>11-oxo-undeca-5,8-dienoic acid</t>
  </si>
  <si>
    <t>LMFA01060220</t>
  </si>
  <si>
    <t>C(=O)(O)CCC/C=C\C/C=C\CC=O</t>
  </si>
  <si>
    <t>KPKKCUVOGCYKCP-OVYZBVKCSA-N</t>
  </si>
  <si>
    <t>7.88_271.0733m/z</t>
  </si>
  <si>
    <t>7-Methyl-2-(2-furyl)-1,8-naphthyridine-4(1H)-one</t>
  </si>
  <si>
    <t>HMDB0247633</t>
  </si>
  <si>
    <t>CC1=NC2=C(C=C1)C(=O)C=C(N2)C1=CC=CO1</t>
  </si>
  <si>
    <t>INGWEZCOABYORO-UHFFFAOYSA-N</t>
  </si>
  <si>
    <t>C13H10N2O2</t>
  </si>
  <si>
    <t>14.46_543.4042m/z</t>
  </si>
  <si>
    <t>3beta-Acetoxy-11alpha-methoxy-12-ursen-28-oic acid</t>
  </si>
  <si>
    <t>HMDB0031675</t>
  </si>
  <si>
    <t>189139-96-6</t>
  </si>
  <si>
    <t>COC1C=C2C3C(C)C(C)CCC3(CCC2(C)C2(C)CCC3C(C)(C)C(CCC3(C)C12)OC(C)=O)C(=O)OC</t>
  </si>
  <si>
    <t>URPWCDDDSKJTOF-UHFFFAOYSA-N</t>
  </si>
  <si>
    <t>C34H54O5</t>
  </si>
  <si>
    <t>13.32_198.1857m/z</t>
  </si>
  <si>
    <t>N-methylundec-10-enamide</t>
  </si>
  <si>
    <t>CNC(=O)CCCCCCCCC=C</t>
  </si>
  <si>
    <t>RCLCFRYUMCUYEA-UHFFFAOYSA-N</t>
  </si>
  <si>
    <t>C12H23NO</t>
  </si>
  <si>
    <t>4.71_235.0765m/z</t>
  </si>
  <si>
    <t>7-Hydroxy-2-methylisoflavone</t>
  </si>
  <si>
    <t>HMDB0033979</t>
  </si>
  <si>
    <t>LMPK12050001</t>
  </si>
  <si>
    <t>2859-88-3</t>
  </si>
  <si>
    <t>C1(O)=CC2OC(C)=C(C3C=CC=CC=3)C(=O)C=2C=C1</t>
  </si>
  <si>
    <t>BBCDTCKKROIGAB-UHFFFAOYSA-N</t>
  </si>
  <si>
    <t>C16H12O3</t>
  </si>
  <si>
    <t>4.50_345.1433m/z</t>
  </si>
  <si>
    <t>Laninamivir</t>
  </si>
  <si>
    <t>HMDB0253972</t>
  </si>
  <si>
    <t>COC(C(O)CO)C1OC(=CC(N=C(N)N)C1NC(C)=O)C(O)=O</t>
  </si>
  <si>
    <t>QNRRHYPPQFELSF-UHFFFAOYSA-N</t>
  </si>
  <si>
    <t>C13H22N4O7</t>
  </si>
  <si>
    <t>10.21_378.2648m/z</t>
  </si>
  <si>
    <t>Calycanthidine</t>
  </si>
  <si>
    <t>HMDB0030281</t>
  </si>
  <si>
    <t>C09097</t>
  </si>
  <si>
    <t>5516-85-8</t>
  </si>
  <si>
    <t>CN1CCC2(C1NC1=C2C=CC=C1)C12CCN(C)C1N(C)C1=C2C=CC=C1</t>
  </si>
  <si>
    <t>GSQUXSFTXJRLQJ-UHFFFAOYSA-N</t>
  </si>
  <si>
    <t>Pyrroloindoles</t>
  </si>
  <si>
    <t>C23H28N4</t>
  </si>
  <si>
    <t>6.24_236.1290m/z</t>
  </si>
  <si>
    <t>Diethyltoluamide</t>
  </si>
  <si>
    <t>HMDB0250930</t>
  </si>
  <si>
    <t>C10935</t>
  </si>
  <si>
    <t>134-62-3</t>
  </si>
  <si>
    <t>CCN(CC)C(=O)C1=CC=CC(C)=C1</t>
  </si>
  <si>
    <t>MMOXZBCLCQITDF-UHFFFAOYSA-N</t>
  </si>
  <si>
    <t>C12H17NO</t>
  </si>
  <si>
    <t>6.03_265.0104m/z</t>
  </si>
  <si>
    <t>2,2'-Dithiodipyridine</t>
  </si>
  <si>
    <t>HMDB0245356</t>
  </si>
  <si>
    <t>S(SC1=CC=CC=N1)C1=CC=CC=N1</t>
  </si>
  <si>
    <t>HAXFWIACAGNFHA-UHFFFAOYSA-N</t>
  </si>
  <si>
    <t>C10H8N2S2</t>
  </si>
  <si>
    <t>6.13_316.1046m/z</t>
  </si>
  <si>
    <t>4-(8-Methyl-9H-1,3-dioxolo(4,5-h)(2,3)benzodiazepin-5-yl)benzenamine</t>
  </si>
  <si>
    <t>HMDB0252997</t>
  </si>
  <si>
    <t>C15040</t>
  </si>
  <si>
    <t>102771-26-6</t>
  </si>
  <si>
    <t>CC1=NN=C(C2=CC=C(N)C=C2)C2=CC3=C(OCO3)C=C2C1</t>
  </si>
  <si>
    <t>LFBZZHVSGAHQPP-UHFFFAOYSA-N</t>
  </si>
  <si>
    <t>C17H15N3O2</t>
  </si>
  <si>
    <t>7.61_289.0696m/z</t>
  </si>
  <si>
    <t>Suberenone</t>
  </si>
  <si>
    <t>HMDB0030595</t>
  </si>
  <si>
    <t>35897-95-1</t>
  </si>
  <si>
    <t>COC1=CC2=C(C=CC(=O)O2)C=C1\C=C\C(C)=O</t>
  </si>
  <si>
    <t>GSVYFPMXLIFUDJ-ONEGZZNKSA-N</t>
  </si>
  <si>
    <t>C14H12O4</t>
  </si>
  <si>
    <t>13.33_724.4652m/z</t>
  </si>
  <si>
    <t>Idremcinal</t>
  </si>
  <si>
    <t>HMDB0253381</t>
  </si>
  <si>
    <t>CCC1OC(=O)C(C)C(OC2CC(C)(OC)C(O)C(C)O2)C(C)C(OC2OC(C)CC(C2O)N(C)C(C)C)C2(C)CC(C)=C(O2)C(C)C(O)C1(C)O</t>
  </si>
  <si>
    <t>FPBKIOZMKHHNLL-UHFFFAOYSA-N</t>
  </si>
  <si>
    <t>C39H69NO12</t>
  </si>
  <si>
    <t>10.16_297.2071m/z</t>
  </si>
  <si>
    <t>8E-Heptadecenedioic acid</t>
  </si>
  <si>
    <t>LMFA01170053</t>
  </si>
  <si>
    <t>C(CCCCCC/C=C/CCCCCCCC(=O)O)(=O)O</t>
  </si>
  <si>
    <t>VDTSYDDUGXHLDV-OWOJBTEDSA-N</t>
  </si>
  <si>
    <t>C17H30O4</t>
  </si>
  <si>
    <t>1.17_174.1010n</t>
  </si>
  <si>
    <t>Glycylvaline</t>
  </si>
  <si>
    <t>HMDB0028854</t>
  </si>
  <si>
    <t>1963-21-9</t>
  </si>
  <si>
    <t>CC(C)[C@H](NC(=O)CN)C(O)=O</t>
  </si>
  <si>
    <t>STKYPAFSDFAEPH-LURJTMIESA-N</t>
  </si>
  <si>
    <t>8.69_94.9919m/z</t>
  </si>
  <si>
    <t>Sulfamide</t>
  </si>
  <si>
    <t>HMDB0258578</t>
  </si>
  <si>
    <t>NS(N)(=O)=O</t>
  </si>
  <si>
    <t>NVBFHJWHLNUMCV-UHFFFAOYSA-N</t>
  </si>
  <si>
    <t>Other non-metal organides</t>
  </si>
  <si>
    <t>Other non-metal oxides</t>
  </si>
  <si>
    <t>H4N2O2S</t>
  </si>
  <si>
    <t>12.32_578.3831m/z</t>
  </si>
  <si>
    <t>PC(18:0/3:0)</t>
  </si>
  <si>
    <t>LMGP01010829</t>
  </si>
  <si>
    <t>[C@](COP(=O)([O-])OCC[N+](C)(C)C)([H])(OC(CC)=O)COC(CCCCCCCCCCCCCCCCC)=O</t>
  </si>
  <si>
    <t>BTUFMQGOQOCKKM-HHHXNRCGSA-N</t>
  </si>
  <si>
    <t>C29H58NO8P</t>
  </si>
  <si>
    <t>11.97_487.3419m/z</t>
  </si>
  <si>
    <t>Klyflaccisteroid K</t>
  </si>
  <si>
    <t>LMST01060041</t>
  </si>
  <si>
    <t>C1C[C@H](O)C[C@]23OO[C@]([C@]4([H])CC[C@]([H])([C@H](C)[C@H]5C[C@]5(C)[C@H](C)C(C)C)[C@@]4(C)CCO)(C=C2)C(=O)[C@@]13C</t>
  </si>
  <si>
    <t>PYCSWFKPEPDESO-WXQDRBBESA-N</t>
  </si>
  <si>
    <t>C30H48O5</t>
  </si>
  <si>
    <t>11.03_667.3078m/z</t>
  </si>
  <si>
    <t>Dslet</t>
  </si>
  <si>
    <t>HMDB0251628</t>
  </si>
  <si>
    <t>CC(C)CC(NC(=O)C(CC1=CC=CC=C1)NC(=O)CNC(=O)C(CO)NC(=O)C(N)CC1=CC=C(O)C=C1)C(=O)NC(C(C)O)C(O)=O</t>
  </si>
  <si>
    <t>PKSODCLCMBUCPW-UHFFFAOYSA-N</t>
  </si>
  <si>
    <t>C33H46N6O10</t>
  </si>
  <si>
    <t>8.27_277.1427m/z</t>
  </si>
  <si>
    <t>Isoalantolactone</t>
  </si>
  <si>
    <t>HMDB0035934</t>
  </si>
  <si>
    <t>C09484</t>
  </si>
  <si>
    <t>470-17-7</t>
  </si>
  <si>
    <t>CC12CCCC(=C)C1CC1C(C2)OC(=O)C1=C</t>
  </si>
  <si>
    <t>CVUANYCQTOGILD-UHFFFAOYSA-N</t>
  </si>
  <si>
    <t>3.48_346.1021m/z</t>
  </si>
  <si>
    <t>3''-deamino-3''-oxonicotianamine</t>
  </si>
  <si>
    <t>HMDB0304096</t>
  </si>
  <si>
    <t>[O-]C(=O)C(CC[N+]1CCC1C([O-])=O)[N+]CCC(=O)C([O-])=O</t>
  </si>
  <si>
    <t>RPGJYKVCHUARBL-UHFFFAOYSA-K</t>
  </si>
  <si>
    <t>C12H17N2O7-</t>
  </si>
  <si>
    <t>9.03_254.1761m/z</t>
  </si>
  <si>
    <t>12,13-Dimethyl-5,14-dioxabicyclo[9.2.1]-tetradeca-1(13),11-dien-4-one</t>
  </si>
  <si>
    <t>LMFA07040039</t>
  </si>
  <si>
    <t>C12OC(=C(C)C=1C)CCCCCOC(=O)CC2</t>
  </si>
  <si>
    <t>WLZAQMWDLSAMIH-UHFFFAOYSA-N</t>
  </si>
  <si>
    <t>4.73_188.9973m/z</t>
  </si>
  <si>
    <t>6-Sulfanyl-1H-pyrimidine-2,4-dione</t>
  </si>
  <si>
    <t>HMDB0255801</t>
  </si>
  <si>
    <t>SC1=CC(=O)NC(=O)N1</t>
  </si>
  <si>
    <t>HCFLFBOWTIRGOA-UHFFFAOYSA-N</t>
  </si>
  <si>
    <t>C4H4N2O2S</t>
  </si>
  <si>
    <t>1.43_197.0310m/z</t>
  </si>
  <si>
    <t>Oxypurinol</t>
  </si>
  <si>
    <t>HMDB0000786</t>
  </si>
  <si>
    <t>C07599</t>
  </si>
  <si>
    <t>2465-59-0</t>
  </si>
  <si>
    <t>O=C1NC(=O)C2=CNNC2=N1</t>
  </si>
  <si>
    <t>HXNFUBHNUDHIGC-UHFFFAOYSA-N</t>
  </si>
  <si>
    <t>C5H4N4O2</t>
  </si>
  <si>
    <t>1.89_161.0446m/z</t>
  </si>
  <si>
    <t>Levulinic acid</t>
  </si>
  <si>
    <t>HMDB0000720</t>
  </si>
  <si>
    <t>LMFA01060006</t>
  </si>
  <si>
    <t>123-76-2</t>
  </si>
  <si>
    <t>CC(=O)CCC(=O)O</t>
  </si>
  <si>
    <t>JOOXCMJARBKPKM-UHFFFAOYSA-N</t>
  </si>
  <si>
    <t>C5H8O3</t>
  </si>
  <si>
    <t>4.80_321.0904m/z</t>
  </si>
  <si>
    <t>Dansylsarcosine</t>
  </si>
  <si>
    <t>HMDB0250853</t>
  </si>
  <si>
    <t>CN(C)C1=CC=CC2=C1C=CC=C2S(=O)(=O)N(C)CC(O)=O</t>
  </si>
  <si>
    <t>BRLJKBOXIVONAG-UHFFFAOYSA-N</t>
  </si>
  <si>
    <t>C15H18N2O4S</t>
  </si>
  <si>
    <t>7.88_287.1279m/z</t>
  </si>
  <si>
    <t>CAY10616</t>
  </si>
  <si>
    <t>586410-08-4</t>
  </si>
  <si>
    <t>COC1=C(C=C(C=C1)C=CC2=CC(=CC(=C2)OC)OC)O</t>
  </si>
  <si>
    <t>UQIWTPQGJCCTPA-UHFFFAOYSA-N</t>
  </si>
  <si>
    <t>C17H18O4</t>
  </si>
  <si>
    <t>8.31_492.2736m/z</t>
  </si>
  <si>
    <t>1-(2-methoxy-5Z-hexadecenyl)-sn-glycero-3-phosphoserine</t>
  </si>
  <si>
    <t>LMGP03060013</t>
  </si>
  <si>
    <t>C(O)(=O)[C@@]([H])(N)COP(OC[C@]([H])(O)COCC(OC)CC/C=C\CCCCCCCCCC)(=O)O</t>
  </si>
  <si>
    <t>LTLBGXGZOHFPSW-FDBZRYSYSA-N</t>
  </si>
  <si>
    <t>3.61_451.0711m/z</t>
  </si>
  <si>
    <t>(Z)-Resveratrol 3-(4''-sulfoglucoside)</t>
  </si>
  <si>
    <t>HMDB0037076</t>
  </si>
  <si>
    <t>OCC1OC(OC2=CC(\C=C/C3=CC=C(O)C=C3)=CC(O)=C2)C(O)C(O)C1OS(O)(=O)=O</t>
  </si>
  <si>
    <t>AUBJHOOEDBNQCQ-UPHRSURJSA-N</t>
  </si>
  <si>
    <t>C20H22O11S</t>
  </si>
  <si>
    <t>8.71_177.1277m/z</t>
  </si>
  <si>
    <t>(1S,2R,4S)-(-)-Bornyl acetate</t>
  </si>
  <si>
    <t>LMPR0102120014</t>
  </si>
  <si>
    <t>C09837</t>
  </si>
  <si>
    <t>C12([C@]([H])(OC(=O)C)CC(CC1)C2(C)C)C</t>
  </si>
  <si>
    <t>KGEKLUUHTZCSIP-SQLBVSGCSA-N</t>
  </si>
  <si>
    <t>6.91_243.1843n</t>
  </si>
  <si>
    <t>N-Undecanoylglycine</t>
  </si>
  <si>
    <t>HMDB0013286</t>
  </si>
  <si>
    <t>CCCCCCCCCCC(=O)NCC(O)=O</t>
  </si>
  <si>
    <t>HEUQYIQQCNOXOG-UHFFFAOYSA-N</t>
  </si>
  <si>
    <t>C13H25NO3</t>
  </si>
  <si>
    <t>3.56_399.2254m/z</t>
  </si>
  <si>
    <t>Ile Tyr Ser</t>
  </si>
  <si>
    <t>CCC(C)C(C(=O)NC(CC1=CC=C(C=C1)O)C(=O)NC(CO)C(=O)O)N</t>
  </si>
  <si>
    <t>ZGKVPOSSTGHJAF-HJPIBITLSA-N</t>
  </si>
  <si>
    <t>C18H27N3O6</t>
  </si>
  <si>
    <t>7.90_556.3259m/z</t>
  </si>
  <si>
    <t>(25R)-3alpha,7alpha,12alpha-trihydroxy-5beta-cholestan-27-oyl taurine</t>
  </si>
  <si>
    <t>LMST05040007</t>
  </si>
  <si>
    <t>C1[C@]2(C)[C@@]3([H])C[C@H](O)[C@]4(C)[C@@]([H])([C@]([H])(C)CCC[C@@]([H])(C)C(=O)NCCS(O)(=O)=O)CC[C@@]4([H])[C@]3([H])[C@H](O)C[C@]2([H])C[C@H](O)C1</t>
  </si>
  <si>
    <t>LUBLVJXOGCYWKT-NDPLYMFXSA-N</t>
  </si>
  <si>
    <t>C29H51NO7S</t>
  </si>
  <si>
    <t>3.92_526.2588m/z</t>
  </si>
  <si>
    <t>Withangulatin A</t>
  </si>
  <si>
    <t>HMDB0037383</t>
  </si>
  <si>
    <t>120824-03-5</t>
  </si>
  <si>
    <t>CC(C1CC(C)=C(C)C(=O)O1)C1=CC(OC(C)=O)C2(O)C3CC4OC44C(O)C=CC(=O)C4(C)C3CCC12C</t>
  </si>
  <si>
    <t>PLPXOWZTDPJPHC-UHFFFAOYSA-N</t>
  </si>
  <si>
    <t>C30H38O8</t>
  </si>
  <si>
    <t>4.89_308.1746n</t>
  </si>
  <si>
    <t>8-Hydroxycarteolol</t>
  </si>
  <si>
    <t>HMDB0060990</t>
  </si>
  <si>
    <t>59826-22-1</t>
  </si>
  <si>
    <t>CC(C)(C)NCC(O)COC1=C2CCC(O)=NC2=C(O)C=C1</t>
  </si>
  <si>
    <t>TVZJLAKRXHGVOK-UHFFFAOYSA-N</t>
  </si>
  <si>
    <t>C16H24N2O4</t>
  </si>
  <si>
    <t>10.07_522.2848m/z</t>
  </si>
  <si>
    <t>Batrachotoxinin A 20-alpha-benzoate</t>
  </si>
  <si>
    <t>HMDB0248883</t>
  </si>
  <si>
    <t>CC(OC(=O)C1=CC=CC=C1)C1=CCC23OCCN(C)CC12CC(O)C12OC4(O)CCC1(C)C(CC=C32)C4</t>
  </si>
  <si>
    <t>BQDUFJGPBNLKPK-UHFFFAOYSA-N</t>
  </si>
  <si>
    <t>C31H39NO6</t>
  </si>
  <si>
    <t>12.20_338.2704m/z</t>
  </si>
  <si>
    <t>N-oleoyl glycine</t>
  </si>
  <si>
    <t>HMDB0013631</t>
  </si>
  <si>
    <t>LMFA08020082</t>
  </si>
  <si>
    <t>2601-90-3</t>
  </si>
  <si>
    <t>C(CNC(CCCCCCC/C=C\CCCCCCCC)=O)(=O)O</t>
  </si>
  <si>
    <t>HPFXACZRFJDURI-KTKRTIGZSA-N</t>
  </si>
  <si>
    <t>C20H37NO3</t>
  </si>
  <si>
    <t>6.87_147.1171m/z</t>
  </si>
  <si>
    <t>Bicyclo[3.1.1]hept-2-ene-2-acetaldehyde, 6,6-dimethyl-</t>
  </si>
  <si>
    <t>HMDB0246132</t>
  </si>
  <si>
    <t>CC1(C)C2CC1C(CC=O)=CC2</t>
  </si>
  <si>
    <t>BLKPFVWYBFDTPX-UHFFFAOYSA-N</t>
  </si>
  <si>
    <t>C11H16O</t>
  </si>
  <si>
    <t>487</t>
  </si>
  <si>
    <t>2-Cyclohexyl-4-(Hydroxymethyl)-8a-Methyl-4,4a,5,6,7,8-Hexahydro-3h-Benzo[E]Oxazine-3-Carbonitrile</t>
  </si>
  <si>
    <t>CC12CCCCC1C(C(N(O2)C3CCCCC3)C#N)CO</t>
  </si>
  <si>
    <t>QOQGHRCZPTWNCQ-UHFFFAOYSA-N</t>
  </si>
  <si>
    <t>C17H28N2O2</t>
  </si>
  <si>
    <t>1.28_389.1876m/z</t>
  </si>
  <si>
    <t>(S)-3-{4-[2-(5-Methyl-2-phenyl-oxazol-4-yl)-ethoxy]-phenyl}-2-propylamino-propionic acid</t>
  </si>
  <si>
    <t>HMDB0249974</t>
  </si>
  <si>
    <t>CCCNC(CC1=CC=C(OCCC2=C(C)OC(=N2)C2=CC=CC=C2)C=C1)C(O)=O</t>
  </si>
  <si>
    <t>RDGUFKZGMLPVHL-UHFFFAOYSA-N</t>
  </si>
  <si>
    <t>C24H28N2O4</t>
  </si>
  <si>
    <t>7.39_327.0988m/z</t>
  </si>
  <si>
    <t>bendazac</t>
  </si>
  <si>
    <t>HMDB0248946</t>
  </si>
  <si>
    <t>OC(=O)COC1=NN(CC2=CC=CC=C2)C2=CC=CC=C12</t>
  </si>
  <si>
    <t>BYFMCKSPFYVMOU-UHFFFAOYSA-N</t>
  </si>
  <si>
    <t>C16H14N2O3</t>
  </si>
  <si>
    <t>8.50_219.1751m/z</t>
  </si>
  <si>
    <t>(3xi,7(11)Z)-7(11)-Copaene-4,12-diol</t>
  </si>
  <si>
    <t>HMDB0037393</t>
  </si>
  <si>
    <t>C\C(CO)=C1\CCC2(C)C3CCC(C)(O)C2C13</t>
  </si>
  <si>
    <t>VCKNBYBUMOAFMV-MDZDMXLPSA-N</t>
  </si>
  <si>
    <t>4.53_224.0560m/z</t>
  </si>
  <si>
    <t>Adrenochrome</t>
  </si>
  <si>
    <t>HMDB0012884</t>
  </si>
  <si>
    <t>54-06-8</t>
  </si>
  <si>
    <t>CN1CC(C2=CC(=O)C(=O)C=C21)O</t>
  </si>
  <si>
    <t>RPHLQSHHTJORHI-UHFFFAOYSA-N</t>
  </si>
  <si>
    <t>10.97_221.1065m/z</t>
  </si>
  <si>
    <t>SU 5416</t>
  </si>
  <si>
    <t>204005-46-9</t>
  </si>
  <si>
    <t>CC1=CC(=C(N1)C=C2C3=CC=CC=C3NC2=O)C</t>
  </si>
  <si>
    <t>WUWDLXZGHZSWQZ-WQLSENKSSA-N</t>
  </si>
  <si>
    <t>C15H14N2O</t>
  </si>
  <si>
    <t>3.52_146.1179m/z</t>
  </si>
  <si>
    <t>Acetylcholine</t>
  </si>
  <si>
    <t>HMDB0000895</t>
  </si>
  <si>
    <t>C01996</t>
  </si>
  <si>
    <t>hsa00564,hsa04024,hsa04080,hsa04725,hsa04742,hsa04810,hsa04911,hsa04970,hsa04971,hsa04972,hsa05022,hsa05033</t>
  </si>
  <si>
    <t>Glycerophospholipid metabolism|cAMP signaling pathway|Neuroactive ligand-receptor interaction|Cholinergic synapse|Taste transduction|Regulation of actin cytoskeleton|Insulin secretion|Salivary secretion|Gastric acid secretion|Pancreatic secretion|Pathways of neurodegeneration - multiple diseases|Nicotine addiction</t>
  </si>
  <si>
    <t>R-HSA-112310,R-HSA-112311,R-HSA-112314,R-HSA-112315,R-HSA-112316,R-HSA-1430728,R-HSA-1483191,R-HSA-1483206,R-HSA-1483257,R-HSA-162582,R-HSA-163685,R-HSA-181431,R-HSA-264642,R-HSA-2980736,R-HSA-372790,R-HSA-373076,R-HSA-375280,R-HSA-381771,R-HSA-388396,R-HSA-390648,R-HSA-392499,R-HSA-399997,R-HSA-400508,R-HSA-416476,R-HSA-418594,R-HSA-422356,R-HSA-500792,R-HSA-556833,R-HSA-622323,R-HSA-622327,R-HSA-629587,R-HSA-629594,R-HSA-629597,R-HSA-9659379,R-HSA-9662361,R-HSA-9667769,R-HSA-9709957</t>
  </si>
  <si>
    <t>Neurotransmitter release cycle|Neurotransmitter clearance|Neurotransmitter receptors and postsynaptic signal transmission|Transmission across Chemical Synapses|Neuronal System|Metabolism|Synthesis of PC|Glycerophospholipid biosynthesis|Phospholipid metabolism|Signal Transduction|Integration of energy metabolism|Acetylcholine binding and downstream events|Acetylcholine Neurotransmitter Release Cycle|Peptide hormone metabolism|Signaling by GPCR|Class A/1 (Rhodopsin-like receptors)|Amine ligand-binding receptors|Synthesis, secretion, and inactivation of Glucagon-like Peptide-1 (GLP-1)|GPCR downstream signalling|Muscarinic acetylcholine receptors|Metabolism of proteins|Acetylcholine regulates insulin secretion|Incretin synthesis, secretion, and inactivation|G alpha (q) signalling events|G alpha (i) signalling events|Regulation of insulin secretion|GPCR ligand binding|Metabolism of lipids|Presynaptic nicotinic acetylcholine receptors|Postsynaptic nicotinic acetylcholine receptors|Highly sodium permeable postsynaptic acetylcholine nicotinic receptors|Highly calcium permeable postsynaptic nicotinic acetylcholine receptors|Highly calcium permeable nicotinic acetylcholine receptors|Sensory processing of sound|Sensory processing of sound by outer hair cells of the cochlea|Acetylcholine inhibits contraction of outer hair cells|Sensory Perception</t>
  </si>
  <si>
    <t>51-84-3</t>
  </si>
  <si>
    <t>CC(=O)OCC[N+](C)(C)C</t>
  </si>
  <si>
    <t>OIPILFWXSMYKGL-UHFFFAOYSA-N</t>
  </si>
  <si>
    <t>C7H16NO2+</t>
  </si>
  <si>
    <t>10.97_372.3485m/z</t>
  </si>
  <si>
    <t>21-oxo-docosanoic acid</t>
  </si>
  <si>
    <t>LMFA01060141</t>
  </si>
  <si>
    <t>C(CCCCCCCCCCCCCCCCCCCC(=O)C)(=O)O</t>
  </si>
  <si>
    <t>BODATZSSGBZDGB-UHFFFAOYSA-N</t>
  </si>
  <si>
    <t>4.98_205.0746n</t>
  </si>
  <si>
    <t>Indolelactic acid</t>
  </si>
  <si>
    <t>HMDB0000671</t>
  </si>
  <si>
    <t>C02043</t>
  </si>
  <si>
    <t>7417-65-4</t>
  </si>
  <si>
    <t>O[C@@H](CC1=CNC2=C1C=CC=C2)C(O)=O</t>
  </si>
  <si>
    <t>XGILAAMKEQUXLS-JTQLQIEISA-N</t>
  </si>
  <si>
    <t>C11H11NO3</t>
  </si>
  <si>
    <t>7.27_169.1225m/z</t>
  </si>
  <si>
    <t>2,6-Dimethyl-7-octene-2,3,6-triol</t>
  </si>
  <si>
    <t>HMDB0038186</t>
  </si>
  <si>
    <t>LMFA05000610</t>
  </si>
  <si>
    <t>73815-21-1</t>
  </si>
  <si>
    <t>OC(C(O)(C)C)CCC(O)(C=C)C</t>
  </si>
  <si>
    <t>CNYFGLAROLNGDG-UHFFFAOYSA-N</t>
  </si>
  <si>
    <t>5.11_241.1080m/z</t>
  </si>
  <si>
    <t>Loliolide</t>
  </si>
  <si>
    <t>HMDB0302428</t>
  </si>
  <si>
    <t>C[C@@]12C[C@@H](O)CC(C)(C)C1=CC(=O)O2</t>
  </si>
  <si>
    <t>XEVQXKKKAVVSMW-WRWORJQWSA-N</t>
  </si>
  <si>
    <t>12.36_283.2431m/z</t>
  </si>
  <si>
    <t>Pregnan-20-one</t>
  </si>
  <si>
    <t>HMDB0256754</t>
  </si>
  <si>
    <t>CC(=O)C1CCC2C3CCC4CCCCC4(C)C3CCC12C</t>
  </si>
  <si>
    <t>RSRDWHPVTMQUGZ-UHFFFAOYSA-N</t>
  </si>
  <si>
    <t>C21H34O</t>
  </si>
  <si>
    <t>4.32_310.1772m/z</t>
  </si>
  <si>
    <t>Phenylbutyrylglutamine</t>
  </si>
  <si>
    <t>HMDB0011687</t>
  </si>
  <si>
    <t>NC(=O)CCC(NC(=O)CCCC1=CC=CC=C1)C(O)=O</t>
  </si>
  <si>
    <t>XKQKXKRCMAJADR-UHFFFAOYSA-N</t>
  </si>
  <si>
    <t>14.76_335.2958m/z</t>
  </si>
  <si>
    <t>13Z,16Z-docosadienoic acid</t>
  </si>
  <si>
    <t>HMDB0061714</t>
  </si>
  <si>
    <t>LMFA01030405</t>
  </si>
  <si>
    <t>C16533</t>
  </si>
  <si>
    <t>17735-98-7</t>
  </si>
  <si>
    <t>C(CCCCCCCCCCC/C=C\C/C=C\CCCCC)(=O)O</t>
  </si>
  <si>
    <t>HVGRZDASOHMCSK-HZJYTTRNSA-N</t>
  </si>
  <si>
    <t>C22H40O2</t>
  </si>
  <si>
    <t>8.13_448.3053m/z</t>
  </si>
  <si>
    <t>N-(3beta,7beta,dihydroxycholest-5-en-24-oyl) glycine</t>
  </si>
  <si>
    <t>LMST05030017</t>
  </si>
  <si>
    <t>[C@]12([C@@H](O)C=C3C[C@@H](O)CC[C@]3(C)[C@@]1([H])CC[C@]1(C)[C@@]([H])([C@@](C)([H])CCC(=O)NCC(=O)O)CC[C@@]21[H])[H]</t>
  </si>
  <si>
    <t>BMRAURDLHOPSBE-FRMRTHFDSA-N</t>
  </si>
  <si>
    <t>C26H41NO5</t>
  </si>
  <si>
    <t>7.88_267.0584m/z</t>
  </si>
  <si>
    <t>zardaverine</t>
  </si>
  <si>
    <t>HMDB0259989</t>
  </si>
  <si>
    <t>COC1=C(OC(F)F)C=CC(=C1)C1=NNC(=O)C=C1</t>
  </si>
  <si>
    <t>HJMQDJPMQIHLPB-UHFFFAOYSA-N</t>
  </si>
  <si>
    <t>C12H10F2N2O3</t>
  </si>
  <si>
    <t>3.93_175.0604m/z</t>
  </si>
  <si>
    <t>3S-methyl-2-oxo-pentanoic acid</t>
  </si>
  <si>
    <t>HMDB0000491</t>
  </si>
  <si>
    <t>LMFA01020275</t>
  </si>
  <si>
    <t>C00671</t>
  </si>
  <si>
    <t>hsa00280,hsa00290,hsa00785</t>
  </si>
  <si>
    <t>Valine, leucine and isoleucine degradation|Valine, leucine and isoleucine biosynthesis|Lipoic acid metabolism</t>
  </si>
  <si>
    <t>24809-08-3</t>
  </si>
  <si>
    <t>C(=O)(C(=O)O)[C@@H](C)CC</t>
  </si>
  <si>
    <t>JVQYSWDUAOAHFM-BYPYZUCNSA-N</t>
  </si>
  <si>
    <t>14.44_507.3675m/z</t>
  </si>
  <si>
    <t>Penicisteroid G</t>
  </si>
  <si>
    <t>LMST01031168</t>
  </si>
  <si>
    <t>C1[C@]2(C)[C@@]3([H])CC[C@]4(C)[C@@]([H])([C@]([H])(C)/C=C/[C@H](C)C(C)C)[C@@H](OC(C)=O)C[C@@]4([H])[C@]3([H])[C@@H](O)[C@@H](O)[C@@]2(O)C[C@@H](O)C1</t>
  </si>
  <si>
    <t>YPVCIWCUGYKDFP-XUGZGNRJSA-N</t>
  </si>
  <si>
    <t>8.06_307.0797m/z</t>
  </si>
  <si>
    <t>4-Fluorophenylacetic acid</t>
  </si>
  <si>
    <t>405-50-5</t>
  </si>
  <si>
    <t>C1=CC(=CC=C1CC(=O)O)F</t>
  </si>
  <si>
    <t>MGKPFALCNDRSQD-UHFFFAOYSA-N</t>
  </si>
  <si>
    <t>C8H7FO2</t>
  </si>
  <si>
    <t>11.37_207.1749m/z</t>
  </si>
  <si>
    <t>9-tetradecynoic acid</t>
  </si>
  <si>
    <t>LMFA01030590</t>
  </si>
  <si>
    <t>C(CCCCCCCC#CCCCC)(=O)O</t>
  </si>
  <si>
    <t>MWCVRFWPJVJKHE-UHFFFAOYSA-N</t>
  </si>
  <si>
    <t>C14H24O2</t>
  </si>
  <si>
    <t>7.25_327.0663m/z</t>
  </si>
  <si>
    <t>Perylene-1,2-dione</t>
  </si>
  <si>
    <t>HMDB0256354</t>
  </si>
  <si>
    <t>O=C1C=C2C=CC=C3C4=CC=CC5=C4C(=CC=C5)C(C1=O)=C23</t>
  </si>
  <si>
    <t>IYYMDGDZPDXTGT-UHFFFAOYSA-N</t>
  </si>
  <si>
    <t>C20H10O2</t>
  </si>
  <si>
    <t>11.09_433.2958m/z</t>
  </si>
  <si>
    <t>(+)-Desoxyscalarin</t>
  </si>
  <si>
    <t>LMPR0105060002</t>
  </si>
  <si>
    <t>C1C[C@]2(C)C3C[C@H](O)[C@]4(C)[C@H]5[C@H](O)OCC5=CCC4[C@]3(C)CCC2C(C)(C)C1</t>
  </si>
  <si>
    <t>TVZPMYDGQOHLDW-VMCJJPMPSA-N</t>
  </si>
  <si>
    <t>C25H40O3</t>
  </si>
  <si>
    <t>9.93_131.0859m/z</t>
  </si>
  <si>
    <t>Butyrophenone</t>
  </si>
  <si>
    <t>HMDB0249483</t>
  </si>
  <si>
    <t>CCCC(=O)C1=CC=CC=C1</t>
  </si>
  <si>
    <t>FFSAXUULYPJSKH-UHFFFAOYSA-N</t>
  </si>
  <si>
    <t>C10H12O</t>
  </si>
  <si>
    <t>4.57_499.2278m/z</t>
  </si>
  <si>
    <t>Perindoprilat glucuronide</t>
  </si>
  <si>
    <t>HMDB0060863</t>
  </si>
  <si>
    <t>120381-56-8</t>
  </si>
  <si>
    <t>CCC(NC(C)C(=O)N1[C@H]2CCCC[C@H]2C[C@H]1C(=O)O[C@@]1(O[C@H](C)[C@@H](O)[C@H](O)[C@H]1O)C(O)=O)C(O)=O</t>
  </si>
  <si>
    <t>DCYRDAKXQLERQS-FQCHSDBKSA-N</t>
  </si>
  <si>
    <t>C23H36N2O11</t>
  </si>
  <si>
    <t>5.09_697.2958m/z</t>
  </si>
  <si>
    <t>Riddelliine</t>
  </si>
  <si>
    <t>HMDB0257220</t>
  </si>
  <si>
    <t>CC=C1CC(=C)C(O)(CO)C(=O)OCC2=CCN3CCC(OC1=O)C23</t>
  </si>
  <si>
    <t>SVCNNZDUGWLODJ-UHFFFAOYSA-N</t>
  </si>
  <si>
    <t>C18H23NO6</t>
  </si>
  <si>
    <t>3.77_200.1049n</t>
  </si>
  <si>
    <t>3,6-dioxo-decanoic acid</t>
  </si>
  <si>
    <t>LMFA01060079</t>
  </si>
  <si>
    <t>C(CC(=O)CCC(=O)CCCC)(=O)O</t>
  </si>
  <si>
    <t>AEVOBXGBFZDZTC-UHFFFAOYSA-N</t>
  </si>
  <si>
    <t>5.06_276.1200m/z</t>
  </si>
  <si>
    <t>N-gamma-Glutamylglutamine</t>
  </si>
  <si>
    <t>HMDB0029147</t>
  </si>
  <si>
    <t>1466-50-8</t>
  </si>
  <si>
    <t>N[C@@H](CCC(=O)NC(=O)CC[C@H](N)C(O)=O)C(O)=O</t>
  </si>
  <si>
    <t>FCWNOQOVMGNKNG-WDSKDSINSA-N</t>
  </si>
  <si>
    <t>C10H17N3O6</t>
  </si>
  <si>
    <t>7.72_430.3179m/z</t>
  </si>
  <si>
    <t>hexadecanedioic acid mono-L-carnitine ester</t>
  </si>
  <si>
    <t>HMDB00712</t>
  </si>
  <si>
    <t>LMFA07070007</t>
  </si>
  <si>
    <t>O=C(O[C@](CC([O-])=O)(C[N+](C)(C)C)[H])CCCCCCCCCCCCCCC(O)=O</t>
  </si>
  <si>
    <t>UNHCPLSWMNPZTD-HXUWFJFHSA-N</t>
  </si>
  <si>
    <t>C23H43NO6</t>
  </si>
  <si>
    <t>5.10_275.1765m/z</t>
  </si>
  <si>
    <t>5-Cyclohexadecen-1-one</t>
  </si>
  <si>
    <t>C1CCCCCC(=O)CCCC=CCCCC1</t>
  </si>
  <si>
    <t>ABRIMXGLNHCLIP-UHFFFAOYSA-N</t>
  </si>
  <si>
    <t>4.94_649.2995m/z</t>
  </si>
  <si>
    <t>OKODiA-PA</t>
  </si>
  <si>
    <t>LMGP20070030</t>
  </si>
  <si>
    <t>[C@](COP(=O)(O)O)([H])(OC(CCCC(=O)/C=C/C(=O)O)=O)COC(CCCCCCC/C=C\CCCCCCCC)=O</t>
  </si>
  <si>
    <t>VXDWKQOMTIIWSK-UKDIVRNCSA-N</t>
  </si>
  <si>
    <t>C29H49O11P</t>
  </si>
  <si>
    <t>6.04_225.1129m/z</t>
  </si>
  <si>
    <t>Tuberonic acid</t>
  </si>
  <si>
    <t>HMDB0303749</t>
  </si>
  <si>
    <t>LMFA02020007</t>
  </si>
  <si>
    <t>C(C[C@@H]1[C@H](C/C=C\CCO)C(=O)CC1)(=O)O</t>
  </si>
  <si>
    <t>RZGFUGXQKMEMOO-SZXTZRQCSA-N</t>
  </si>
  <si>
    <t>10.97_365.2076m/z</t>
  </si>
  <si>
    <t>16,17S-DHA-epoxide</t>
  </si>
  <si>
    <t>LMFA04000052</t>
  </si>
  <si>
    <t>CCC=CCC1C(O1)C=CC=CC=CCC=CCC=CCCC(=O)O</t>
  </si>
  <si>
    <t>XLYRHVKBJYDBOS-DZMZNAAPSA-N</t>
  </si>
  <si>
    <t>8.66_280.1448m/z</t>
  </si>
  <si>
    <t>9-Hydroxyellipticine</t>
  </si>
  <si>
    <t>HMDB0247598</t>
  </si>
  <si>
    <t>CC1=C2C=CN=CC2=C(C)C2=C1NC1=C2C=C(O)C=C1</t>
  </si>
  <si>
    <t>QZTWUDDGLIDXSE-UHFFFAOYSA-N</t>
  </si>
  <si>
    <t>C17H14N2O</t>
  </si>
  <si>
    <t>13.30_443.3360m/z</t>
  </si>
  <si>
    <t>ascr#33</t>
  </si>
  <si>
    <t>LMFA13040021</t>
  </si>
  <si>
    <t>O([C@@H](CCCCCCCCCCCCCC/C=C/C(=O)O)C)[C@H]1[C@H](O)C[C@@H](O)[C@H](C)O1</t>
  </si>
  <si>
    <t>JQBYGLLYFPDQJA-NVJHKYEUSA-N</t>
  </si>
  <si>
    <t>C25H46O6</t>
  </si>
  <si>
    <t>9.46_547.2209m/z</t>
  </si>
  <si>
    <t>Farglitazar</t>
  </si>
  <si>
    <t>HMDB0252167</t>
  </si>
  <si>
    <t>CC1=C(CCOC2=CC=C(CC(NC3=CC=CC=C3C(=O)C3=CC=CC=C3)C(O)=O)C=C2)N=C(O1)C1=CC=CC=C1</t>
  </si>
  <si>
    <t>ZZCHHVUQYRMYLW-UHFFFAOYSA-N</t>
  </si>
  <si>
    <t>C34H30N2O5</t>
  </si>
  <si>
    <t>2.06_226.0661m/z</t>
  </si>
  <si>
    <t>Molinate</t>
  </si>
  <si>
    <t>C11086</t>
  </si>
  <si>
    <t>2212-67-1</t>
  </si>
  <si>
    <t>CCSC(=O)N1CCCCCC1</t>
  </si>
  <si>
    <t>DEDOPGXGGQYYMW-UHFFFAOYSA-N</t>
  </si>
  <si>
    <t>Azepanes</t>
  </si>
  <si>
    <t>C9H17NOS</t>
  </si>
  <si>
    <t>4.24_833.3906m/z</t>
  </si>
  <si>
    <t>Betavulgaroside VII</t>
  </si>
  <si>
    <t>HMDB0033427</t>
  </si>
  <si>
    <t>178535-51-8</t>
  </si>
  <si>
    <t>CC1(C)CCC2(CCC3(C)C(=CCC4C5(C)CCC(OC6OC(C(O)C(OC(OCC(O)=O)C(O)C(O)=O)C6O)C(O)=O)C(C)(CO)C5CCC34C)C2C1)C(O)=O</t>
  </si>
  <si>
    <t>CGACRJSIKAAWCW-UHFFFAOYSA-N</t>
  </si>
  <si>
    <t>C41H62O16</t>
  </si>
  <si>
    <t>12.22_323.2592m/z</t>
  </si>
  <si>
    <t>6Z,9Z-Nonadecadien-3-one</t>
  </si>
  <si>
    <t>LMFA12000206</t>
  </si>
  <si>
    <t>CCC(=O)CC/C=C\C/C=C\CCCCCCCCC</t>
  </si>
  <si>
    <t>KQDHAQAIMOEUOT-QGLGPCELSA-N</t>
  </si>
  <si>
    <t>7.84_276.2813m/z</t>
  </si>
  <si>
    <t>Taxane</t>
  </si>
  <si>
    <t>HMDB0258747</t>
  </si>
  <si>
    <t>CC1CCC2CC3C(C)CCCC3(C)CCC1C2(C)C</t>
  </si>
  <si>
    <t>DKPFODGZWDEEBT-UHFFFAOYSA-N</t>
  </si>
  <si>
    <t>C20H36</t>
  </si>
  <si>
    <t>8.43_801.2782m/z</t>
  </si>
  <si>
    <t>sialyl-lewisx</t>
  </si>
  <si>
    <t>HMDB0258283</t>
  </si>
  <si>
    <t>98603-84-0</t>
  </si>
  <si>
    <t>CC1OC(OC(C(NC(C)=O)C=O)C(OC2OC(CO)C(O)C(OC3(CC(O)C(NC(C)=O)C(O3)C(O)C(O)CO)C(O)=O)C2O)C(O)CO)C(O)C(O)C1O</t>
  </si>
  <si>
    <t>LAQPKDLYOBZWBT-UHFFFAOYSA-N</t>
  </si>
  <si>
    <t>C31H52N2O23</t>
  </si>
  <si>
    <t>5.29_227.1285m/z</t>
  </si>
  <si>
    <t>Acremin F</t>
  </si>
  <si>
    <t>CC1(CC(C(=CC1O)C=CC(C)(C)O)O)O</t>
  </si>
  <si>
    <t>KLZSJMCXTDLPSF-PMNWLSNQSA-N</t>
  </si>
  <si>
    <t>9.48_522.3753m/z</t>
  </si>
  <si>
    <t>Cyclopassifloic acid D</t>
  </si>
  <si>
    <t>HMDB0035948</t>
  </si>
  <si>
    <t>292167-37-4</t>
  </si>
  <si>
    <t>CC(C)C(=O)CC(O)C(C)C1CCC2(C)C3CCC4C5(CC35CCC12C)C(O)CC(O)C4(C)C(O)=O</t>
  </si>
  <si>
    <t>ULQMFCLUVWBZLS-UHFFFAOYSA-N</t>
  </si>
  <si>
    <t>C30H48O6</t>
  </si>
  <si>
    <t>4.71_304.2128m/z</t>
  </si>
  <si>
    <t>5-Hydroxyoctanoylcarnitine</t>
  </si>
  <si>
    <t>HMDB0241694</t>
  </si>
  <si>
    <t>CCCC(O)CCCC(=O)OC(CC([O-])=O)C[N+](C)(C)C</t>
  </si>
  <si>
    <t>QGIAELIQCWJQCP-UHFFFAOYSA-N</t>
  </si>
  <si>
    <t>C15H29NO5</t>
  </si>
  <si>
    <t>12.06_309.1653m/z</t>
  </si>
  <si>
    <t>(2R)-2-Amino-6-[[(3S,4R,5R)-3,4,5,6-tetrahydroxy-2-oxohexyl]amino]hexanoic acid</t>
  </si>
  <si>
    <t>HMDB0242138</t>
  </si>
  <si>
    <t>[H][C@@](N)(CCCCNCC(=O)[C@@]([H])(O)[C@]([H])(O)[C@]([H])(O)CO)C(O)=O</t>
  </si>
  <si>
    <t>BFSYFTQDGRDJNV-QCNRFFRDSA-N</t>
  </si>
  <si>
    <t>4.07_443.1677m/z</t>
  </si>
  <si>
    <t>Tyr Asp Phe</t>
  </si>
  <si>
    <t>C1=CC=C(C=C1)CC(C(=O)O)NC(=O)C(CC(=O)O)NC(=O)C(CC2=CC=C(C=C2)O)N</t>
  </si>
  <si>
    <t>WPVGRKLNHJJCEN-BZSNNMDCSA-N</t>
  </si>
  <si>
    <t>C22H25N3O7</t>
  </si>
  <si>
    <t>7.66_307.1189m/z</t>
  </si>
  <si>
    <t>Taraxinic acid</t>
  </si>
  <si>
    <t>HMDB0303482</t>
  </si>
  <si>
    <t>C\C1=C\C2OC(=O)C(=C)C2CC\C(=C/CC1)C(O)=O</t>
  </si>
  <si>
    <t>KZWCOWFKXMTBRH-IMDCMVKOSA-N</t>
  </si>
  <si>
    <t>C15H18O4</t>
  </si>
  <si>
    <t>10.69_204.1389m/z</t>
  </si>
  <si>
    <t>(E)-2-Tridecene-4,6,8-triyn-1-ol</t>
  </si>
  <si>
    <t>HMDB0030931</t>
  </si>
  <si>
    <t>CCCCC#CC#CC#C\C=C\CO</t>
  </si>
  <si>
    <t>FMSLWOPQZBZTPK-VAWYXSNFSA-N</t>
  </si>
  <si>
    <t>C13H14O</t>
  </si>
  <si>
    <t>13.71_404.2255m/z</t>
  </si>
  <si>
    <t>Sulfamide, N,N-dimethyl-N'-((8alpha)-6-propylergolin-8-yl)-</t>
  </si>
  <si>
    <t>HMDB0250520</t>
  </si>
  <si>
    <t>CCCN1CC(CC2C1CC1=CNC3=CC=CC2=C13)NS(=O)(=O)N(CC)CC</t>
  </si>
  <si>
    <t>WXDTTZQKSMHWCD-UHFFFAOYSA-N</t>
  </si>
  <si>
    <t>Indoloquinolines</t>
  </si>
  <si>
    <t>C21H32N4O2S</t>
  </si>
  <si>
    <t>6.54_411.2392m/z</t>
  </si>
  <si>
    <t>Tetrahydrocortisol</t>
  </si>
  <si>
    <t>HMDB0000949</t>
  </si>
  <si>
    <t>C05465</t>
  </si>
  <si>
    <t>R-HSA-1430728,R-HSA-159418,R-HSA-1643685,R-HSA-192105,R-HSA-193368,R-HSA-194068,R-HSA-382551,R-HSA-425397,R-HSA-425407,R-HSA-556833,R-HSA-5619084,R-HSA-5619115,R-HSA-5678520,R-HSA-879518,R-HSA-8957322</t>
  </si>
  <si>
    <t>Metabolism|Recycling of bile acids and salts|Disease|Synthesis of bile acids and bile salts|Synthesis of bile acids and bile salts via 7alpha-hydroxycholesterol|Bile acid and bile salt metabolism|Transport of small molecules|Transport of vitamins, nucleosides, and related molecules|SLC-mediated transmembrane transport|Metabolism of lipids|ABC transporter disorders|Disorders of transmembrane transporters|Defective ABCB11 causes PFIC2 and BRIC2|Transport of organic anions|Metabolism of steroids</t>
  </si>
  <si>
    <t>53-02-1</t>
  </si>
  <si>
    <t>C[C@]12C[C@H](O)C3C(CCC4C[C@H](O)CC[C@]34C)C1CC[C@]2(O)C(=O)CO</t>
  </si>
  <si>
    <t>AODPIQQILQLWGS-OBRSLYEHSA-N</t>
  </si>
  <si>
    <t>5.52_169.0861m/z</t>
  </si>
  <si>
    <t>Nonate</t>
  </si>
  <si>
    <t>HMDB0011717</t>
  </si>
  <si>
    <t>CCCCC[C@@H](CC(O)=O)C(O)=O</t>
  </si>
  <si>
    <t>FNZSVEHJZREFPF-ZETCQYMHSA-N</t>
  </si>
  <si>
    <t>7.59_233.1545m/z</t>
  </si>
  <si>
    <t>Valerenolic acid</t>
  </si>
  <si>
    <t>HMDB0036563</t>
  </si>
  <si>
    <t>1619-16-5</t>
  </si>
  <si>
    <t>CC1CCC(\C=C(/C)C(O)=O)C2=C(C)CC(O)C12</t>
  </si>
  <si>
    <t>XJNQXTISSHEQKD-UXBLZVDNSA-N</t>
  </si>
  <si>
    <t>0.70_190.1191m/z</t>
  </si>
  <si>
    <t>N6-Carbamoyl-DL-Lysine</t>
  </si>
  <si>
    <t>C(CCNC(=O)N)CC(C(=O)O)N</t>
  </si>
  <si>
    <t>XIGSAGMEBXLVJJ-UHFFFAOYSA-N</t>
  </si>
  <si>
    <t>C7H15N3O3</t>
  </si>
  <si>
    <t>14.92_566.4131m/z</t>
  </si>
  <si>
    <t>4'-Hydroxyechinenone</t>
  </si>
  <si>
    <t>LMPR01070778</t>
  </si>
  <si>
    <t>C1C(C)(C)C(/C=C/C(/C)=C/C=C/C(/C)=C/C=C/C=C(\C)/C=C/C=C(\C)/C=C/C2=C(C)C(O)CCC2(C)C)=C(C)C(=O)C1</t>
  </si>
  <si>
    <t>RONAGRFBGGXGHB-DKLMTRRASA-N</t>
  </si>
  <si>
    <t>C40H54O2</t>
  </si>
  <si>
    <t>4.07_334.1410m/z</t>
  </si>
  <si>
    <t>Glutamyltryptophan</t>
  </si>
  <si>
    <t>HMDB0028830</t>
  </si>
  <si>
    <t>38101-59-6</t>
  </si>
  <si>
    <t>N[C@@H](CCC(O)=O)C(=O)N[C@@H](CC1=CNC2=CC=CC=C12)C(O)=O</t>
  </si>
  <si>
    <t>LLEUXCDZPQOJMY-AAEUAGOBSA-N</t>
  </si>
  <si>
    <t>8.84_563.3556m/z</t>
  </si>
  <si>
    <t>Cucurbitacin IIa</t>
  </si>
  <si>
    <t>HMDB0246992</t>
  </si>
  <si>
    <t>CC(=O)OC(C)(C)CCC(=O)C(C)(O)C1C(O)CC2(C)C3CC=C4C(CC(O)C(O)C4(C)C)C3(C)C(=O)CC12C</t>
  </si>
  <si>
    <t>LKYNAQSYQLFTCM-UHFFFAOYSA-N</t>
  </si>
  <si>
    <t>C32H50O8</t>
  </si>
  <si>
    <t>5.44_199.0945m/z</t>
  </si>
  <si>
    <t>Decadienedioic acid</t>
  </si>
  <si>
    <t>HMDB0242172</t>
  </si>
  <si>
    <t>[H]\C(CCCCC(O)=O)=C(\[H])/C(/[H])=C(\[H])C(O)=O</t>
  </si>
  <si>
    <t>FRWVXIATCBRYHA-KPMZXABDSA-N</t>
  </si>
  <si>
    <t>12.68_138.1048n</t>
  </si>
  <si>
    <t>3,5,5-Trimethyl-3-cyclohexen-1-one</t>
  </si>
  <si>
    <t>HMDB0040338</t>
  </si>
  <si>
    <t>471-01-2</t>
  </si>
  <si>
    <t>CC1=CC(C)(C)CC(=O)C1</t>
  </si>
  <si>
    <t>LKOKKQDYMZUSCG-UHFFFAOYSA-N</t>
  </si>
  <si>
    <t>C9H14O</t>
  </si>
  <si>
    <t>13.08_337.2746m/z</t>
  </si>
  <si>
    <t>Isolinderanolide</t>
  </si>
  <si>
    <t>HMDB0038105</t>
  </si>
  <si>
    <t>139559-06-1</t>
  </si>
  <si>
    <t>CCCCCCCCCCCCCCC\C=C1\C(O)C(=C)OC1=O</t>
  </si>
  <si>
    <t>HFEZVKMFKXUREP-ZPHPHTNESA-N</t>
  </si>
  <si>
    <t>Tetrahydrofurans</t>
  </si>
  <si>
    <t>12.05_317.2122m/z</t>
  </si>
  <si>
    <t>8(9)-EpETE</t>
  </si>
  <si>
    <t>LMFA03000001</t>
  </si>
  <si>
    <t>851378-93-3</t>
  </si>
  <si>
    <t>C(CCC/C=C\CC1OC1C/C=C\C/C=C\C/C=C\CC)(=O)O</t>
  </si>
  <si>
    <t>YKIOHMXLFWMWKD-JJUYGIQRSA-N</t>
  </si>
  <si>
    <t>1.56_354.9841m/z</t>
  </si>
  <si>
    <t>Ribose 1,5-bisphosphate</t>
  </si>
  <si>
    <t>HMDB0011688</t>
  </si>
  <si>
    <t>C01151</t>
  </si>
  <si>
    <t>hsa00030,hsa00440</t>
  </si>
  <si>
    <t>Pentose phosphate pathway|Phosphonate and phosphinate metabolism</t>
  </si>
  <si>
    <t>14689-84-0</t>
  </si>
  <si>
    <t>O[C@H]1[C@@H](O)[C@@H](OP(O)(O)=O)O[C@@H]1COP(O)(O)=O</t>
  </si>
  <si>
    <t>AAAFZMYJJHWUPN-TXICZTDVSA-N</t>
  </si>
  <si>
    <t>8.05_195.1021m/z</t>
  </si>
  <si>
    <t>2-ISOPRENYL-3-HYDROXY-5-METHYL-a-PYRONE</t>
  </si>
  <si>
    <t>CC1=CC(=C(C(=O)O1)CC=C(C)C)O</t>
  </si>
  <si>
    <t>COFJZDUAVQUGRU-UHFFFAOYSA-N</t>
  </si>
  <si>
    <t>13.51_499.3638m/z</t>
  </si>
  <si>
    <t>13-(beta-D-glucosyloxy)docosanoic acid</t>
  </si>
  <si>
    <t>LMFA13010054</t>
  </si>
  <si>
    <t>C04103</t>
  </si>
  <si>
    <t>C(=O)(O)CCCCCCCCCCCC(O[C@@H]1O[C@H](CO)[C@@H](O)[C@H](O)[C@H]1O)CCCCCCCCC</t>
  </si>
  <si>
    <t>MVSYTBQOJXSHFZ-SFOFOFCKSA-N</t>
  </si>
  <si>
    <t>C28H54O8</t>
  </si>
  <si>
    <t>4.91_715.8382m/z</t>
  </si>
  <si>
    <t>pppGpp</t>
  </si>
  <si>
    <t>HMDB0304469</t>
  </si>
  <si>
    <t>NC1=NC2=C(N=CN2C2OC(COP([O-])(=O)OP([O-])(=O)OP([O-])([O-])=O)C(OP([O-])(=O)OP(O)([O-])=O)C2O)C(=O)N1</t>
  </si>
  <si>
    <t>KCPMACXZAITQAX-UHFFFAOYSA-H</t>
  </si>
  <si>
    <t>C10H12N5O20P5-6</t>
  </si>
  <si>
    <t>4.38_534.2596m/z</t>
  </si>
  <si>
    <t>AFN911</t>
  </si>
  <si>
    <t>HMDB0013863</t>
  </si>
  <si>
    <t>CN1CCN(CC2=CC=C(C=C2)C(=O)NC2=CC(NC3=NC=CC(=N3)C3=CN=CC=C3)C(CO)C=C2)CC1</t>
  </si>
  <si>
    <t>JBSTUPHUZMAVFU-UHFFFAOYSA-N</t>
  </si>
  <si>
    <t>C29H33N7O2</t>
  </si>
  <si>
    <t>8.25_326.2095n</t>
  </si>
  <si>
    <t>(Z)-5-[(2R,3S,4S)-4-Hydroxy-2-[(E)-3-hydroxyoct-1-enyl]oxan-3-yl]pent-3-enoic acid</t>
  </si>
  <si>
    <t>HMDB0244345</t>
  </si>
  <si>
    <t>CCCCCC(O)C=CC1OCCC(O)C1CC=CCC(O)=O</t>
  </si>
  <si>
    <t>CMBTXTLLBGRNAY-UHFFFAOYSA-N</t>
  </si>
  <si>
    <t>3.73_276.1353m/z</t>
  </si>
  <si>
    <t>Trp Ala</t>
  </si>
  <si>
    <t>CC(C(=O)O)NC(=O)C(CC1=CNC2=CC=CC=C21)N</t>
  </si>
  <si>
    <t>OHGNSVACHBZKSS-KWQFWETISA-N</t>
  </si>
  <si>
    <t>0.73_202.0829m/z</t>
  </si>
  <si>
    <t>Asparaginyl-Serine</t>
  </si>
  <si>
    <t>HMDB0028740</t>
  </si>
  <si>
    <t>NC(CC(N)=O)C(=O)NC(CO)C(O)=O</t>
  </si>
  <si>
    <t>SONUFGRSSMFHFN-UHFFFAOYSA-N</t>
  </si>
  <si>
    <t>C7H13N3O5</t>
  </si>
  <si>
    <t>1.01_187.1083m/z</t>
  </si>
  <si>
    <t>N6-Carboxymethyllysine</t>
  </si>
  <si>
    <t>HMDB0240347</t>
  </si>
  <si>
    <t>R-HSA-1280215,R-HSA-166016,R-HSA-166058,R-HSA-166166,R-HSA-168138,R-HSA-168142,R-HSA-168164,R-HSA-168176,R-HSA-168179,R-HSA-168181,R-HSA-168188,R-HSA-168249,R-HSA-168256,R-HSA-168898,R-HSA-168928,R-HSA-181438,R-HSA-2173782,R-HSA-3000480,R-HSA-3000497,R-HSA-445989,R-HSA-446652,R-HSA-449147,R-HSA-5653656,R-HSA-879415,R-HSA-9020702,R-HSA-933542,R-HSA-937061,R-HSA-975138,R-HSA-975155,R-HSA-975871</t>
  </si>
  <si>
    <t>Cytokine Signaling in Immune system|Toll Like Receptor 4 (TLR4) Cascade|MyD88:MAL(TIRAP) cascade initiated on plasma membrane|MyD88-independent TLR4 cascade |Toll Like Receptor 9 (TLR9) Cascade|Toll Like Receptor 10 (TLR10) Cascade|Toll Like Receptor 3 (TLR3) Cascade|Toll Like Receptor 5 (TLR5) Cascade|Toll Like Receptor TLR1:TLR2 Cascade|Toll Like Receptor 7/8 (TLR7/8) Cascade|Toll Like Receptor TLR6:TLR2 Cascade|Innate Immune System|Immune System|Toll-like Receptor Cascades|DDX58/IFIH1-mediated induction of interferon-alpha/beta|Toll Like Receptor 2 (TLR2) Cascade|Binding and Uptake of Ligands by Scavenger Receptors|Scavenging by Class A Receptors|Scavenging by Class H Receptors|TAK1-dependent IKK and NF-kappa-B activation  |Interleukin-1 family signaling|Signaling by Interleukins|Vesicle-mediated transport|Advanced glycosylation endproduct receptor signaling|Interleukin-1 signaling|TRAF6 mediated NF-kB activation|TRIF(TICAM1)-mediated TLR4 signaling |TRAF6 mediated induction of NFkB and MAP kinases upon TLR7/8 or 9 activation|MyD88 dependent cascade initiated on endosome|MyD88 cascade initiated on plasma membrane</t>
  </si>
  <si>
    <t>5746-04-3</t>
  </si>
  <si>
    <t>N[C@@H](CCCCNCC(O)=O)C(O)=O</t>
  </si>
  <si>
    <t>NUXSIDPKKIEIMI-LURJTMIESA-N</t>
  </si>
  <si>
    <t>11.97_344.2806m/z</t>
  </si>
  <si>
    <t>Palmitoyl-EA</t>
  </si>
  <si>
    <t>HMDB0002100</t>
  </si>
  <si>
    <t>LMFA08040013</t>
  </si>
  <si>
    <t>C16512</t>
  </si>
  <si>
    <t>hsa04080</t>
  </si>
  <si>
    <t>Neuroactive ligand-receptor interaction</t>
  </si>
  <si>
    <t>544-31-0</t>
  </si>
  <si>
    <t>C(CCCCCCCCCCCCCC)C(=O)NCCO</t>
  </si>
  <si>
    <t>HXYVTAGFYLMHSO-UHFFFAOYSA-N</t>
  </si>
  <si>
    <t>5.70_394.1256m/z</t>
  </si>
  <si>
    <t>gamma-Glutamyl-5-hydroxytryptophan</t>
  </si>
  <si>
    <t>HMDB0252616</t>
  </si>
  <si>
    <t>NC(CCC(O)=O)C(=O)NC(CC1=CNC2=C1C=C(O)C=C2)C(O)=O</t>
  </si>
  <si>
    <t>GJOHGZXBEHBULM-UHFFFAOYSA-N</t>
  </si>
  <si>
    <t>C16H19N3O6</t>
  </si>
  <si>
    <t>5.00_235.0357m/z</t>
  </si>
  <si>
    <t>1-Iodononane</t>
  </si>
  <si>
    <t>HMDB0243908</t>
  </si>
  <si>
    <t>CCCCCCCCCI</t>
  </si>
  <si>
    <t>OGSJMFCWOUHXHN-UHFFFAOYSA-N</t>
  </si>
  <si>
    <t>C9H19I</t>
  </si>
  <si>
    <t>9.91_512.1881m/z</t>
  </si>
  <si>
    <t>Bopta</t>
  </si>
  <si>
    <t>HMDB0249345</t>
  </si>
  <si>
    <t>OC(=O)CN(CCN(CC(O)=O)CC(O)=O)CCN(CC(O)=O)C(COCC1=CC=CC=C1)C(O)=O</t>
  </si>
  <si>
    <t>OEIYJWYTUDFZBH-UHFFFAOYSA-N</t>
  </si>
  <si>
    <t>C22H31N3O11</t>
  </si>
  <si>
    <t>13.47_574.3970m/z</t>
  </si>
  <si>
    <t>Rocuronium</t>
  </si>
  <si>
    <t>HMDB0014866</t>
  </si>
  <si>
    <t>C07556</t>
  </si>
  <si>
    <t>119302-91-9</t>
  </si>
  <si>
    <t>[H][C@@]12C[C@@H]([C@H](OC(C)=O)[C@@]1(C)CC[C@@]1([H])[C@@]2([H])CC[C@@]2([H])C[C@H](O)[C@H](C[C@]12C)N1CCOCC1)[N+]1(CC=C)CCCC1</t>
  </si>
  <si>
    <t>YXRDKMPIGHSVRX-OOJCLDBCSA-N</t>
  </si>
  <si>
    <t>C32H53N2O4+</t>
  </si>
  <si>
    <t>4.62_189.0761m/z</t>
  </si>
  <si>
    <t>5-aceto valeric acid</t>
  </si>
  <si>
    <t>LMFA01060015</t>
  </si>
  <si>
    <t>C(C(=O)C)CCCC(=O)O</t>
  </si>
  <si>
    <t>IZOQMUVIDMLRDC-UHFFFAOYSA-N</t>
  </si>
  <si>
    <t>C7H12O3</t>
  </si>
  <si>
    <t>14.05_295.2643m/z</t>
  </si>
  <si>
    <t>13-Cyclohexyltridecanoic acid</t>
  </si>
  <si>
    <t>LMFA01140009</t>
  </si>
  <si>
    <t>C(CCCC1CCCCC1)CCCCCCCCC(O)=O</t>
  </si>
  <si>
    <t>JBTBXKNLITZKLW-UHFFFAOYSA-N</t>
  </si>
  <si>
    <t>C19H36O2</t>
  </si>
  <si>
    <t>5.23_303.0666m/z</t>
  </si>
  <si>
    <t>2-(4-Methoxyphenyl)naphthalic anhydride</t>
  </si>
  <si>
    <t>HMDB0032909</t>
  </si>
  <si>
    <t>COC1=CC=C(C=C1)C1=C2C(=O)OC(=O)C3=CC=CC(C=C1)=C23</t>
  </si>
  <si>
    <t>QJNMPLSUKPHYQK-UHFFFAOYSA-N</t>
  </si>
  <si>
    <t>C19H12O4</t>
  </si>
  <si>
    <t>0.63_128.9584m/z</t>
  </si>
  <si>
    <t>Methylene dithiocyanate</t>
  </si>
  <si>
    <t>HMDB0254635</t>
  </si>
  <si>
    <t>N#CSCSC#N</t>
  </si>
  <si>
    <t>JWZXKXIUSSIAMR-UHFFFAOYSA-N</t>
  </si>
  <si>
    <t>Thioacetals</t>
  </si>
  <si>
    <t>Dithioacetals</t>
  </si>
  <si>
    <t>C3H2N2S2</t>
  </si>
  <si>
    <t>3.69_335.1363m/z</t>
  </si>
  <si>
    <t>Pyroglutamyl-glutamyl-proline amide</t>
  </si>
  <si>
    <t>HMDB0247524</t>
  </si>
  <si>
    <t>NC(=O)C1CCCN1C(=O)C(CCC(O)=O)NC(=O)C1CCC(=O)N1</t>
  </si>
  <si>
    <t>HYZBGWLLSXSYLX-UHFFFAOYSA-N</t>
  </si>
  <si>
    <t>C15H22N4O6</t>
  </si>
  <si>
    <t>13.51_309.2437m/z</t>
  </si>
  <si>
    <t>6E,11Z-octadecadienal</t>
  </si>
  <si>
    <t>LMFA06000282</t>
  </si>
  <si>
    <t>C(CCCC/C=C/CCC/C=C\CCCCCC)(=O)[H]</t>
  </si>
  <si>
    <t>AMVROEXDYFQCMJ-LQZWXTFHSA-N</t>
  </si>
  <si>
    <t>1.38_215.1397m/z</t>
  </si>
  <si>
    <t>Prolyl-Valine</t>
  </si>
  <si>
    <t>HMDB0029030</t>
  </si>
  <si>
    <t>CC(C)C(NC(=O)C1CCCN1)C(O)=O</t>
  </si>
  <si>
    <t>AWJGUZSYVIVZGP-UHFFFAOYSA-N</t>
  </si>
  <si>
    <t>8.21_599.2521m/z</t>
  </si>
  <si>
    <t>Ptilosaponoside B</t>
  </si>
  <si>
    <t>LMST05050002</t>
  </si>
  <si>
    <t>C1[C@]2(CO)[C@@]3([H])CC[C@]4(C)[C@@]([H])(C=C)CC[C@@]4([H])[C@]3([H])CC[C@@]2([H])[C@@H](O[C@H]2[C@H](O)[C@@H](OS(=O)(=O)O)[C@H](O)[C@@H](CO)O2)[C@@H](O)C1</t>
  </si>
  <si>
    <t>KTFHNNJQQWKFQS-YFWYBDIGSA-N</t>
  </si>
  <si>
    <t>C27H44O11S</t>
  </si>
  <si>
    <t>5.87_239.0918m/z</t>
  </si>
  <si>
    <t>3,4-dimethyl-5-carboxyethyl-2-furanpropanoic acid</t>
  </si>
  <si>
    <t>LMFA01150050</t>
  </si>
  <si>
    <t>C(=O)(O)CCC1=C(C)C(C)=C(CCC(=O)O)O1</t>
  </si>
  <si>
    <t>KRGCZCCLCZHGNO-UHFFFAOYSA-N</t>
  </si>
  <si>
    <t>8.08_563.2840m/z</t>
  </si>
  <si>
    <t>Oxyhumulinic acid</t>
  </si>
  <si>
    <t>HMDB0038989</t>
  </si>
  <si>
    <t>469-30-7</t>
  </si>
  <si>
    <t>CC(C)CC(=O)C1=C(O)C(O)C(O)(CC=C(C)C)C1=O</t>
  </si>
  <si>
    <t>QSHUUGSBRMSXKV-UHFFFAOYSA-N</t>
  </si>
  <si>
    <t>C15H22O5</t>
  </si>
  <si>
    <t>7.56_253.1444m/z</t>
  </si>
  <si>
    <t>(5alpha,8beta,9beta)-5,9-Epoxy-3,6-megastigmadien-8-ol</t>
  </si>
  <si>
    <t>HMDB0034672</t>
  </si>
  <si>
    <t>69927-26-0</t>
  </si>
  <si>
    <t>CC1OC2(C)C=CCC(C)(C)C2=CC1O</t>
  </si>
  <si>
    <t>ULAJGYNCWKGREU-UHFFFAOYSA-N</t>
  </si>
  <si>
    <t>4.77_160.1215n</t>
  </si>
  <si>
    <t>Emeriamine</t>
  </si>
  <si>
    <t>HMDB0251771</t>
  </si>
  <si>
    <t>C[N+](C)(C)CC(N)CC([O-])=O</t>
  </si>
  <si>
    <t>DAWBGYHPBBDHMQ-UHFFFAOYSA-N</t>
  </si>
  <si>
    <t>C7H16N2O2</t>
  </si>
  <si>
    <t>4.15_479.1991m/z</t>
  </si>
  <si>
    <t>Tirofiban</t>
  </si>
  <si>
    <t>HMDB0014913</t>
  </si>
  <si>
    <t>C07965</t>
  </si>
  <si>
    <t>144494-65-5</t>
  </si>
  <si>
    <t>CCCCS(=O)(=O)N[C@@H](CC1=CC=C(OCCCCC2CCNCC2)C=C1)C(O)=O</t>
  </si>
  <si>
    <t>COKMIXFXJJXBQG-NRFANRHFSA-N</t>
  </si>
  <si>
    <t>C22H36N2O5S</t>
  </si>
  <si>
    <t>5.61_343.1642m/z</t>
  </si>
  <si>
    <t>CAY10486</t>
  </si>
  <si>
    <t>615264-52-3</t>
  </si>
  <si>
    <t>COC(=O)C(CC1=CC=CC=C1)NC(=O)C=CC2=CC=C(C=C2)O</t>
  </si>
  <si>
    <t>ATJBWQGWPYQIAR-KQPPXVQYSA-N</t>
  </si>
  <si>
    <t>C19H19NO4</t>
  </si>
  <si>
    <t>5.22_274.1038m/z</t>
  </si>
  <si>
    <t>Glutamine-glutamate</t>
  </si>
  <si>
    <t>HMDB0252813</t>
  </si>
  <si>
    <t>NC(CCC(N)=O)C(=O)OOC(=O)C(N)CCC(O)=O</t>
  </si>
  <si>
    <t>ZGCDPPJRJQLAMD-UHFFFAOYSA-N</t>
  </si>
  <si>
    <t>C10H17N3O7</t>
  </si>
  <si>
    <t>8.42_352.2257m/z</t>
  </si>
  <si>
    <t>15-keto-PGE1</t>
  </si>
  <si>
    <t>HMDB0001320</t>
  </si>
  <si>
    <t>LMFA03010146</t>
  </si>
  <si>
    <t>C04654</t>
  </si>
  <si>
    <t>22973-19-9</t>
  </si>
  <si>
    <t>[C@H]1(/C=C/C(=O)CCCCC)[C@H](O)CC(=O)[C@@H]1CCCCCCC(=O)O</t>
  </si>
  <si>
    <t>VXPBDCBTMSKCKZ-XQHNHVHJSA-N</t>
  </si>
  <si>
    <t>4.85_169.0864m/z</t>
  </si>
  <si>
    <t>methoxyhydroxyphenylethanol</t>
  </si>
  <si>
    <t>HMDB0254549</t>
  </si>
  <si>
    <t>COCC(O)(O)C1=CC=CC=C1</t>
  </si>
  <si>
    <t>VFGZMFRZTCQUDR-UHFFFAOYSA-N</t>
  </si>
  <si>
    <t>9.63_304.2130m/z</t>
  </si>
  <si>
    <t>Thonzylamine</t>
  </si>
  <si>
    <t>HMDB0240222</t>
  </si>
  <si>
    <t>91-85-0</t>
  </si>
  <si>
    <t>COC1=CC=C(CN(CCN(C)C)C2=NC=CC=N2)C=C1</t>
  </si>
  <si>
    <t>GULNIHOSWFYMRN-UHFFFAOYSA-N</t>
  </si>
  <si>
    <t>C16H22N4O</t>
  </si>
  <si>
    <t>3.92_180.1025m/z</t>
  </si>
  <si>
    <t>Methyl l-phenylalaninate</t>
  </si>
  <si>
    <t>HMDB0245704</t>
  </si>
  <si>
    <t>COC(=O)C(N)CC1=CC=CC=C1</t>
  </si>
  <si>
    <t>VSDUZFOSJDMAFZ-UHFFFAOYSA-N</t>
  </si>
  <si>
    <t>C10H13NO2</t>
  </si>
  <si>
    <t>7.76_573.1366m/z</t>
  </si>
  <si>
    <t>ML130</t>
  </si>
  <si>
    <t>CC1=CC=C(C=C1)S(=O)(=O)N2C3=CC=CC=C3N=C2N</t>
  </si>
  <si>
    <t>SRFABRWQVPCPRG-UHFFFAOYSA-N</t>
  </si>
  <si>
    <t>C14H13N3O2S</t>
  </si>
  <si>
    <t>1.07_247.9441m/z</t>
  </si>
  <si>
    <t>Bismuth</t>
  </si>
  <si>
    <t>HMDB0002196</t>
  </si>
  <si>
    <t>C15471</t>
  </si>
  <si>
    <t>7440-69-9</t>
  </si>
  <si>
    <t>[Bi+3]</t>
  </si>
  <si>
    <t>JDIBGQFKXXXXPN-UHFFFAOYSA-N</t>
  </si>
  <si>
    <t>Homogeneous metal compounds</t>
  </si>
  <si>
    <t>Homogeneous post-transition metal compounds</t>
  </si>
  <si>
    <t>Bi+3</t>
  </si>
  <si>
    <t>0.60_495.1407m/z</t>
  </si>
  <si>
    <t>PF-3845</t>
  </si>
  <si>
    <t>C1CN(CCC1CC2=CC(=CC=C2)OC3=NC=C(C=C3)C(F)(F)F)C(=O)NC4=CN=CC=C4</t>
  </si>
  <si>
    <t>NBOJHRYUGLRASX-UHFFFAOYSA-N</t>
  </si>
  <si>
    <t>C24H23F3N4O2</t>
  </si>
  <si>
    <t>4.38_527.2844m/z</t>
  </si>
  <si>
    <t>Neuromedin N (1-4)</t>
  </si>
  <si>
    <t>HMDB0013021</t>
  </si>
  <si>
    <t>CC[C@@H](C)[C@@H](N)C(=O)N1CCC[C@H]1C(=O)N[C@@H](CC1=CC=C(O)C=C1)C(=O)N[C@H]([C@H](C)CC)C(O)=O</t>
  </si>
  <si>
    <t>SKGLAZSLOGYCCA-PEFXOJROSA-N</t>
  </si>
  <si>
    <t>C26H40N4O6</t>
  </si>
  <si>
    <t>9.38_396.3121m/z</t>
  </si>
  <si>
    <t>9,12-Hexadecadienoylcarnitine</t>
  </si>
  <si>
    <t>HMDB0013334</t>
  </si>
  <si>
    <t>1911579-97-9</t>
  </si>
  <si>
    <t>CCC\C=C/C\C=C/CCCCCCCC(=O)O[C@H](CC(O)=O)C[N+](C)(C)C</t>
  </si>
  <si>
    <t>CMVGCHSJDXKPBB-ROVXQSMVSA-O</t>
  </si>
  <si>
    <t>C23H42NO4+</t>
  </si>
  <si>
    <t>0.73_241.0799m/z</t>
  </si>
  <si>
    <t>Serinyl-Hydroxyproline</t>
  </si>
  <si>
    <t>HMDB0029040</t>
  </si>
  <si>
    <t>C1C(CN(C1C(=O)O)C(=O)C(CO)N)O</t>
  </si>
  <si>
    <t>IISAHBYOIFITKV-UHFFFAOYSA-N</t>
  </si>
  <si>
    <t>C8H14N2O5</t>
  </si>
  <si>
    <t>7.39_667.2625m/z</t>
  </si>
  <si>
    <t>3,4,7-Trihydroxy-5-methoxy-8-prenylflavan 4-O-(beta-D-xylopyranosyl-(1-&gt;6)-beta-D-glucopyranoside)</t>
  </si>
  <si>
    <t>LMPK12020211</t>
  </si>
  <si>
    <t>C1(O)=C(C/C=C(\C)/C)C2O[C@H](C3C=CC(O)=CC=3)[C@@H](O)[C@@H](O[C@H]3[C@H](O)[C@@H](O)[C@H](O)[C@@H](CO[C@H]4[C@H](O)[C@@H](O)[C@H](O)CO4)O3)C=2C(OC)=C1</t>
  </si>
  <si>
    <t>SGQQCSHVXAXBTJ-ZVQKGNERSA-N</t>
  </si>
  <si>
    <t>C32H42O15</t>
  </si>
  <si>
    <t>6.82_237.1130m/z</t>
  </si>
  <si>
    <t>11,12,13-Trinor-1(10)-spirovetivene-2,7-dione</t>
  </si>
  <si>
    <t>HMDB0036734</t>
  </si>
  <si>
    <t>84413-75-2</t>
  </si>
  <si>
    <t>CC1CC(=O)C=C(C)C11CCC(=O)C1</t>
  </si>
  <si>
    <t>OGDKSKNHHSXJNA-UHFFFAOYSA-N</t>
  </si>
  <si>
    <t>8.71_503.3227m/z</t>
  </si>
  <si>
    <t>3-O-alpha-L-rhamnopyranosyl-3-hydroxydecanoyl-3-hydroxydecanoic acid</t>
  </si>
  <si>
    <t>LMFA13030001</t>
  </si>
  <si>
    <t>O([C@H]1[C@H](O)[C@H](O)[C@@H](O)[C@H](C)O1)C(CCCCCCC)CC(=O)OC(CCCCCCC)CC(=O)O</t>
  </si>
  <si>
    <t>PPMPLIBYTIWXPG-MSJADDGSSA-N</t>
  </si>
  <si>
    <t>C26H48O9</t>
  </si>
  <si>
    <t>8.36_568.3269n</t>
  </si>
  <si>
    <t>6alpha-Glucuronosylhyodeoxycholate</t>
  </si>
  <si>
    <t>LMST05010016</t>
  </si>
  <si>
    <t>C11246</t>
  </si>
  <si>
    <t>O([C@@H]1[C@]2([H])C[C@@H](CC[C@]2(C)[C@@]2([H])CC[C@]3(C)[C@]([H])(CC[C@@]3([H])[C@]2([H])C1)[C@H](C)CCC(=O)O)O)[C@@H]1O[C@@H]([C@H]([C@H](O)[C@H]1O)O)C(=O)O</t>
  </si>
  <si>
    <t>MAXKTGFGXCXJFY-HHUAQUJWSA-N</t>
  </si>
  <si>
    <t>3.82_298.1871m/z</t>
  </si>
  <si>
    <t>Lisofylline</t>
  </si>
  <si>
    <t>HMDB0243557</t>
  </si>
  <si>
    <t>CC(O)CCCCN1C(=O)N(C)C2=C(N(C)C=N2)C1=O</t>
  </si>
  <si>
    <t>NSMXQKNUPPXBRG-UHFFFAOYSA-N</t>
  </si>
  <si>
    <t>C13H20N4O3</t>
  </si>
  <si>
    <t>11.28_511.3411m/z</t>
  </si>
  <si>
    <t>Commikuanoid A</t>
  </si>
  <si>
    <t>LMST01100050</t>
  </si>
  <si>
    <t>C1=CC(=O)C(C)(C)[C@]2([H])CC[C@@]3([H])[C@]4(C)CC[C@]([H])([C@@]5([H])C[C@]([H])(/C=C(\C)/C)O[C@@H]5OC)[C@@]4(C)CC[C@@]43C[C@]124</t>
  </si>
  <si>
    <t>IYMDGDMQHUIHPB-CBEKUQLRSA-N</t>
  </si>
  <si>
    <t>C31H46O3</t>
  </si>
  <si>
    <t>11.48_532.3411m/z</t>
  </si>
  <si>
    <t>PE(0:0/22:2(13Z,16Z))</t>
  </si>
  <si>
    <t>HMDB0011492</t>
  </si>
  <si>
    <t>LMGP02050056</t>
  </si>
  <si>
    <t>C(OP(OCCN)(O)=O)[C@]([H])(OC(=O)CCCCCCCCCCC/C=C\C/C=C\CCCCC)CO</t>
  </si>
  <si>
    <t>KZPDUKAMWGOSFG-IPQYAGCOSA-N</t>
  </si>
  <si>
    <t>5.00_277.1192m/z</t>
  </si>
  <si>
    <t>5-Benzylacyclouridine</t>
  </si>
  <si>
    <t>HMDB0246756</t>
  </si>
  <si>
    <t>OCCOCN1C=C(CC2=CC=CC=C2)C(=O)NC1=O</t>
  </si>
  <si>
    <t>SPJAGILXQBHHSZ-UHFFFAOYSA-N</t>
  </si>
  <si>
    <t>C14H16N2O4</t>
  </si>
  <si>
    <t>13.68_297.2435m/z</t>
  </si>
  <si>
    <t>9,10-epoxystearic acid</t>
  </si>
  <si>
    <t>HMDB0247617</t>
  </si>
  <si>
    <t>LMFA02000326</t>
  </si>
  <si>
    <t>C19418</t>
  </si>
  <si>
    <t>2443-39-2</t>
  </si>
  <si>
    <t>C(CCCCCCCC1OC1CCCCCCCC)(=O)O</t>
  </si>
  <si>
    <t>IMYZYCNQZDBZBQ-UHFFFAOYSA-N</t>
  </si>
  <si>
    <t>9.65_314.2100m/z</t>
  </si>
  <si>
    <t>2S-hydroxy-3-(10Z-tetradecenoyloxy)-propanoic acid</t>
  </si>
  <si>
    <t>LMFA07010692</t>
  </si>
  <si>
    <t>C(CCCCCCCC/C=C\CCC)(=O)OC[C@H](O)C(O)=O</t>
  </si>
  <si>
    <t>LIMKXIDXBKHPRU-XVWMLYKFSA-N</t>
  </si>
  <si>
    <t>C17H30O5</t>
  </si>
  <si>
    <t>14.71_190.0503m/z</t>
  </si>
  <si>
    <t>5-Hydroxy-6-methoxy-1h-indole-2-carboxylic acid</t>
  </si>
  <si>
    <t>HMDB0246803</t>
  </si>
  <si>
    <t>COC1=C(O)C=C2C=C(NC2=C1)C(O)=O</t>
  </si>
  <si>
    <t>FWKJNOVLYWGWCH-UHFFFAOYSA-N</t>
  </si>
  <si>
    <t>C10H9NO4</t>
  </si>
  <si>
    <t>2.49_317.1255m/z</t>
  </si>
  <si>
    <t>Gly Phe Asn</t>
  </si>
  <si>
    <t>C1=CC=C(C=C1)CC(C(=O)NC(CC(=O)N)C(=O)O)NC(=O)CN</t>
  </si>
  <si>
    <t>MTBIKIMYHUWBRX-QWRGUYRKSA-N</t>
  </si>
  <si>
    <t>C15H20N4O5</t>
  </si>
  <si>
    <t>11.05_675.4442n</t>
  </si>
  <si>
    <t>OON-PC</t>
  </si>
  <si>
    <t>LMGP20010029</t>
  </si>
  <si>
    <t>[C@](COP(=O)([O-])OCC[N+](C)(C)C)([H])(OC(CCCCCCCC=O)=O)COC(CCCCCCC/C=C\CCCCCCCC)=O</t>
  </si>
  <si>
    <t>OIKHXQGBBKPTHX-XJFUVJCPSA-N</t>
  </si>
  <si>
    <t>C35H66NO9P</t>
  </si>
  <si>
    <t>520</t>
  </si>
  <si>
    <t>1-Monolinolein</t>
  </si>
  <si>
    <t>HMDB0242115</t>
  </si>
  <si>
    <t>LMGL01010006</t>
  </si>
  <si>
    <t>26545-74-4</t>
  </si>
  <si>
    <t>OCC([H])(O)COC(CCCCCCC/C=C\C/C=C\CCCCC)=O</t>
  </si>
  <si>
    <t>WECGLUPZRHILCT-HZJYTTRNSA-N</t>
  </si>
  <si>
    <t>5.33_206.0400m/z</t>
  </si>
  <si>
    <t>1,3-Dinitro-5-nitroso-1,3,5-triazinane</t>
  </si>
  <si>
    <t>HMDB0253136</t>
  </si>
  <si>
    <t>[O-][N+](=O)N1CN(CN(C1)[N+]([O-])=O)N=O</t>
  </si>
  <si>
    <t>LOSVOOKTCVILPF-UHFFFAOYSA-N</t>
  </si>
  <si>
    <t>C3H6N6O5</t>
  </si>
  <si>
    <t>5.63_338.1970m/z</t>
  </si>
  <si>
    <t>3,4-dimethylidenenonanedioylcarnitine</t>
  </si>
  <si>
    <t>HMDB0240803</t>
  </si>
  <si>
    <t>C[N+](C)(C)CC(CC([O-])=O)OC(=O)CC(=C)C(=C)CCCCC(O)=O</t>
  </si>
  <si>
    <t>BWXNWHUDCQRSKQ-UHFFFAOYSA-N</t>
  </si>
  <si>
    <t>C18H29NO6</t>
  </si>
  <si>
    <t>6.91_184.0189m/z</t>
  </si>
  <si>
    <t>Benzothiazepine</t>
  </si>
  <si>
    <t>HMDB0249028</t>
  </si>
  <si>
    <t>S1N=CC=CC2=CC=CC=C12</t>
  </si>
  <si>
    <t>FHGWEHGZBUBQKL-UHFFFAOYSA-N</t>
  </si>
  <si>
    <t>C9H7NS</t>
  </si>
  <si>
    <t>1.21_207.0086m/z</t>
  </si>
  <si>
    <t>Polystyrene sulfonate</t>
  </si>
  <si>
    <t>HMDB0015435</t>
  </si>
  <si>
    <t>28210-41-5</t>
  </si>
  <si>
    <t>OS(=O)(=O)C1=CC=C(C=C)C=C1</t>
  </si>
  <si>
    <t>MAGFQRLKWCCTQJ-UHFFFAOYSA-N</t>
  </si>
  <si>
    <t>C8H8O3S</t>
  </si>
  <si>
    <t>0.60_481.1250m/z</t>
  </si>
  <si>
    <t>6-Prenylisocaviunin</t>
  </si>
  <si>
    <t>LMPK12050439</t>
  </si>
  <si>
    <t>C1(O)C(C/C=C(\C)/C)=C(O)C2C(=O)C(C3=C(OC)C=C(OC)C(OC)=C3)=COC=2C=1OC</t>
  </si>
  <si>
    <t>PIYOXJNPMRGPBI-UHFFFAOYSA-N</t>
  </si>
  <si>
    <t>C24H26O8</t>
  </si>
  <si>
    <t>10.09_509.3371m/z</t>
  </si>
  <si>
    <t>(10E)-19-(3-carboxylpropyl)vitamin D3 / (10E)-19-(3-carboxylpropyl)cholecalciferol</t>
  </si>
  <si>
    <t>LMST03020493</t>
  </si>
  <si>
    <t>C1/C(=C\CCCC(=O)O)/C(=C\C=C2\[C@]3([H])CC[C@@]([C@@](C)([H])CCCC(C)C)([H])[C@@]3(C)CCC\2)/C[C@@H](O)C1</t>
  </si>
  <si>
    <t>AVESXZIXJGDLRC-LVAGTQQESA-N</t>
  </si>
  <si>
    <t>9.38_197.1177m/z</t>
  </si>
  <si>
    <t>Limonene-1,2-epoxide</t>
  </si>
  <si>
    <t>LMPR0102090015</t>
  </si>
  <si>
    <t>C07271</t>
  </si>
  <si>
    <t>C12(C)CC[C@@H](C(C)=C)CC1O2</t>
  </si>
  <si>
    <t>CCEFMUBVSUDRLG-XNWIYYODSA-N</t>
  </si>
  <si>
    <t>C10H16O</t>
  </si>
  <si>
    <t>13.68_327.2904m/z</t>
  </si>
  <si>
    <t>11-methoxy-nonadecanoic acid</t>
  </si>
  <si>
    <t>LMFA01080031</t>
  </si>
  <si>
    <t>C(CC)CCCCCC(OC)CCCCCCCCCC(=O)O</t>
  </si>
  <si>
    <t>ROZAZLGTUNTXFB-UHFFFAOYSA-N</t>
  </si>
  <si>
    <t>8.92_307.1916m/z</t>
  </si>
  <si>
    <t>12,17</t>
  </si>
  <si>
    <t>LMFA03000025</t>
  </si>
  <si>
    <t>C(CCCCCCC/C=C\CC1C2OC(C)(O1)C(O)CC2)(=O)O</t>
  </si>
  <si>
    <t>AXRADOFMFPTYAS-VURMDHGXSA-N</t>
  </si>
  <si>
    <t>13.39_552.3537m/z</t>
  </si>
  <si>
    <t>Cholylvaline</t>
  </si>
  <si>
    <t>HMDB0242380</t>
  </si>
  <si>
    <t>CC(C)C(NC(=O)CCC(C)C1CCC2C3C(O)CC4CC(O)CCC4(C)C3CC(O)C12C)C(O)=O</t>
  </si>
  <si>
    <t>WVFDPCYTNIXGHI-UHFFFAOYSA-N</t>
  </si>
  <si>
    <t>C29H49NO6</t>
  </si>
  <si>
    <t>4.32_412.2215m/z</t>
  </si>
  <si>
    <t>cis-3-Hexenyl b-primeveroside</t>
  </si>
  <si>
    <t>HMDB0031690</t>
  </si>
  <si>
    <t>132278-37-6</t>
  </si>
  <si>
    <t>CC\C=C/CCOC1OC(COC2OCC(O)C(O)C2O)C(O)C(O)C1O</t>
  </si>
  <si>
    <t>NVTNXPADRDASMP-ARJAWSKDSA-N</t>
  </si>
  <si>
    <t>C17H30O10</t>
  </si>
  <si>
    <t>13.51_410.1767m/z</t>
  </si>
  <si>
    <t>Fluvastatin</t>
  </si>
  <si>
    <t>HMDB0015227</t>
  </si>
  <si>
    <t>C07014</t>
  </si>
  <si>
    <t>93957-54-1</t>
  </si>
  <si>
    <t>CC(C)N1C(\C=C\[C@H](O)C[C@H](O)CC(O)=O)=C(C2=CC=C(F)C=C2)C2=CC=CC=C12</t>
  </si>
  <si>
    <t>FJLGEFLZQAZZCD-JUFISIKESA-N</t>
  </si>
  <si>
    <t>C24H26FNO4</t>
  </si>
  <si>
    <t>4.98_167.0708m/z</t>
  </si>
  <si>
    <t>L-3-Phenyllactic acid</t>
  </si>
  <si>
    <t>HMDB0000748</t>
  </si>
  <si>
    <t>C05607</t>
  </si>
  <si>
    <t>20312-36-1</t>
  </si>
  <si>
    <t>O[C@H](CC1=CC=CC=C1)C(O)=O</t>
  </si>
  <si>
    <t>VOXXWSYKYCBWHO-MRVPVSSYSA-N</t>
  </si>
  <si>
    <t>10.35_233.1543m/z</t>
  </si>
  <si>
    <t>alantolactone</t>
  </si>
  <si>
    <t>LMPR0103190013</t>
  </si>
  <si>
    <t>C09289</t>
  </si>
  <si>
    <t>546-43-0</t>
  </si>
  <si>
    <t>O1[C@]2([H])C[C@@]3(C)CCC[C@H](C)C3=C[C@]2([H])C(=C)C1=O</t>
  </si>
  <si>
    <t>PXOYOCNNSUAQNS-AGNJHWRGSA-N</t>
  </si>
  <si>
    <t>6.78_345.1458m/z</t>
  </si>
  <si>
    <t>N-(4-Amino-2,5-diethoxyphenyl)benzamide</t>
  </si>
  <si>
    <t>HMDB0244456</t>
  </si>
  <si>
    <t>CCOC1=CC(N=C(O)C2=CC=CC=C2)=C(OCC)C=C1N</t>
  </si>
  <si>
    <t>CNXZLZNEIYFZGU-UHFFFAOYSA-N</t>
  </si>
  <si>
    <t>C17H20N2O3</t>
  </si>
  <si>
    <t>2.08_316.0360m/z</t>
  </si>
  <si>
    <t>Fenoxaprop</t>
  </si>
  <si>
    <t>HMDB0252210</t>
  </si>
  <si>
    <t>CC(OC1=CC=C(OC2=NC3=C(O2)C=C(Cl)C=C3)C=C1)C(O)=O</t>
  </si>
  <si>
    <t>MPPOHAUSNPTFAJ-UHFFFAOYSA-N</t>
  </si>
  <si>
    <t>2-phenoxypropionic acids</t>
  </si>
  <si>
    <t>C16H12ClNO5</t>
  </si>
  <si>
    <t>5.17_398.1796m/z</t>
  </si>
  <si>
    <t>Propyl 6-ethyl-5-ethylsulfanylcarbonyl-2-phenyl-4-propylpyridine-3-carboxylate</t>
  </si>
  <si>
    <t>HMDB0254925</t>
  </si>
  <si>
    <t>CCCOC(=O)C1=C(CCC)C(C(=O)SCC)=C(CC)N=C1C1=CC=CC=C1</t>
  </si>
  <si>
    <t>UUSHFEVEROROSP-UHFFFAOYSA-N</t>
  </si>
  <si>
    <t>C23H29NO3S</t>
  </si>
  <si>
    <t>413</t>
  </si>
  <si>
    <t>Sedoheptulose</t>
  </si>
  <si>
    <t>C(C(C(C(C(C(=O)CO)O)O)O)O)O</t>
  </si>
  <si>
    <t>HSNZZMHEPUFJNZ-SHUUEZRQSA-N</t>
  </si>
  <si>
    <t>C7H14O7</t>
  </si>
  <si>
    <t>1.58_187.1081m/z</t>
  </si>
  <si>
    <t>N-(3-Amino-3-oxopropyl)-L-valine</t>
  </si>
  <si>
    <t>HMDB0246894</t>
  </si>
  <si>
    <t>CC(C)C(NCCC(N)=O)C(O)=O</t>
  </si>
  <si>
    <t>BZEVQVJZLREGPF-UHFFFAOYSA-N</t>
  </si>
  <si>
    <t>8.27_234.9833m/z</t>
  </si>
  <si>
    <t>Pentafluorobenzoyl acetate</t>
  </si>
  <si>
    <t>HMDB0256261</t>
  </si>
  <si>
    <t>CC(=O)OC(=O)C1=C(F)C(F)=C(F)C(F)=C1F</t>
  </si>
  <si>
    <t>WODCDQXOYWLWCW-UHFFFAOYSA-N</t>
  </si>
  <si>
    <t>Benzyloxycarbonyls</t>
  </si>
  <si>
    <t>C9H3F5O3</t>
  </si>
  <si>
    <t>1.03_418.0846m/z</t>
  </si>
  <si>
    <t>Balaglitazone</t>
  </si>
  <si>
    <t>HMDB0248851</t>
  </si>
  <si>
    <t>CN1C(COC2=CC=C(CC3SC(=O)NC3=O)C=C2)=NC2=CC=CC=C2C1=O</t>
  </si>
  <si>
    <t>IETKPTYAGKZLKY-UHFFFAOYSA-N</t>
  </si>
  <si>
    <t>C20H17N3O4S</t>
  </si>
  <si>
    <t>4.55_695.3424m/z</t>
  </si>
  <si>
    <t>Nemifitide</t>
  </si>
  <si>
    <t>HMDB0255508</t>
  </si>
  <si>
    <t>NC(CC1=CC=C(F)C=C1)C(=O)N1CC(O)CC1C(=O)NC(CCCN=C(N)N)C(=O)NCC(=O)NC(CC1=CNC2=CC=CC=C12)C(N)=O</t>
  </si>
  <si>
    <t>SGXPTOACEHQGHL-UHFFFAOYSA-N</t>
  </si>
  <si>
    <t>C33H43FN10O6</t>
  </si>
  <si>
    <t>1.01_179.0135m/z</t>
  </si>
  <si>
    <t>1-(3-Hydroxy-5-methyl-2-thienyl)ethanone</t>
  </si>
  <si>
    <t>HMDB0032334</t>
  </si>
  <si>
    <t>133860-42-1</t>
  </si>
  <si>
    <t>CC(=O)C1=C(O)C=C(C)S1</t>
  </si>
  <si>
    <t>IOOPSZCABYNBDZ-UHFFFAOYSA-N</t>
  </si>
  <si>
    <t>C7H8O2S</t>
  </si>
  <si>
    <t>3.72_388.1728m/z</t>
  </si>
  <si>
    <t>Asp Pro Ile</t>
  </si>
  <si>
    <t>CCC(C)C(C(=O)O)NC(=O)C1CCCN1C(=O)C(CC(=O)O)N</t>
  </si>
  <si>
    <t>MVRGBQGZSDJBSM-GMOBBJLQSA-N</t>
  </si>
  <si>
    <t>1.01_147.0288m/z</t>
  </si>
  <si>
    <t>Arabinonic acid</t>
  </si>
  <si>
    <t>HMDB0000539</t>
  </si>
  <si>
    <t>C00878</t>
  </si>
  <si>
    <t>488-30-2</t>
  </si>
  <si>
    <t>OC[C@@H](O)[C@@H](O)[C@H](O)C(O)=O</t>
  </si>
  <si>
    <t>QXKAIJAYHKCRRA-JJYYJPOSSA-N</t>
  </si>
  <si>
    <t>8.43_177.0913m/z</t>
  </si>
  <si>
    <t>2-Ethoxy-5-(1-propenyl)phenol</t>
  </si>
  <si>
    <t>HMDB0040800</t>
  </si>
  <si>
    <t>94-86-0</t>
  </si>
  <si>
    <t>CCOC1=C(O)C=C(\C=C\C)C=C1</t>
  </si>
  <si>
    <t>RADIRXJQODWKGQ-HWKANZROSA-N</t>
  </si>
  <si>
    <t>7.35_497.2398m/z</t>
  </si>
  <si>
    <t>Sarcoehrendin H</t>
  </si>
  <si>
    <t>LMFA03010228</t>
  </si>
  <si>
    <t>[C@H]1(/C=C/[C@@H](OC(C)=O)CCC(=O)CC)[C@H](OC(=O)C)C[C@H](O)[C@@H]1C/C=C\CCCC(=O)O</t>
  </si>
  <si>
    <t>CPIJHEBONZDQHV-YPHBWWPFSA-N</t>
  </si>
  <si>
    <t>C24H36O8</t>
  </si>
  <si>
    <t>5.01_287.0514m/z</t>
  </si>
  <si>
    <t>Orotidine</t>
  </si>
  <si>
    <t>HMDB0000788</t>
  </si>
  <si>
    <t>314-50-1</t>
  </si>
  <si>
    <t>OC[C@H]1O[C@H]([C@H](O)[C@@H]1O)N1C(=O)NC(=O)C=C1C(O)=O</t>
  </si>
  <si>
    <t>FKCRAVPPBFWEJD-XVFCMESISA-N</t>
  </si>
  <si>
    <t>C10H12N2O8</t>
  </si>
  <si>
    <t>7.82_181.1228m/z</t>
  </si>
  <si>
    <t>Dihydroactinidiolide</t>
  </si>
  <si>
    <t>HMDB0035240</t>
  </si>
  <si>
    <t>15356-74-8</t>
  </si>
  <si>
    <t>CC12CCCC(C)(C)C1=CC(=O)O2</t>
  </si>
  <si>
    <t>IMKHDCBNRDRUEB-UHFFFAOYSA-N</t>
  </si>
  <si>
    <t>C11H16O2</t>
  </si>
  <si>
    <t>10.76_313.2383m/z</t>
  </si>
  <si>
    <t>Turneroic acid</t>
  </si>
  <si>
    <t>LMFA02000385</t>
  </si>
  <si>
    <t>C(CCCCCCCCCC(O)C1OC1CCCCC)(=O)O</t>
  </si>
  <si>
    <t>BTMXTMNQUDQPJN-UHFFFAOYSA-N</t>
  </si>
  <si>
    <t>8.38_273.2677n</t>
  </si>
  <si>
    <t>C16 Sphinganine</t>
  </si>
  <si>
    <t>LMSP01040001</t>
  </si>
  <si>
    <t>C13915</t>
  </si>
  <si>
    <t>OC[C@]([H])(N)[C@]([H])(O)CCCCCCCCCCCCC</t>
  </si>
  <si>
    <t>ZKLREJQHRKUJHD-JKSUJKDBSA-N</t>
  </si>
  <si>
    <t>C16H35NO2</t>
  </si>
  <si>
    <t>1.20_291.0636m/z</t>
  </si>
  <si>
    <t>5'-Deoxy-5'-fluorouridine</t>
  </si>
  <si>
    <t>HMDB0246881</t>
  </si>
  <si>
    <t>OC1C(O)C(OC1CF)N1C=CC(=O)NC1=O</t>
  </si>
  <si>
    <t>JIWIXZJAAUQOCE-UHFFFAOYSA-N</t>
  </si>
  <si>
    <t>C9H11FN2O5</t>
  </si>
  <si>
    <t>9.77_447.1985m/z</t>
  </si>
  <si>
    <t>6alpha,9alpha-Difluoroprednisolone-17-butyrate</t>
  </si>
  <si>
    <t>HMDB0060797</t>
  </si>
  <si>
    <t>CCCC(=O)O[C@@]1(CC[C@H]2[C@@H]3C[C@H](F)C4=CC(=O)C=C[C@]4(C)[C@@]3(F)[C@@H](O)C[C@]12C)C(=O)CO</t>
  </si>
  <si>
    <t>BQEJAAIPKDQEPV-MXHGPKCJSA-N</t>
  </si>
  <si>
    <t>C25H32F2O6</t>
  </si>
  <si>
    <t>1.01_275.0096m/z</t>
  </si>
  <si>
    <t>Aspartyl-Cysteine</t>
  </si>
  <si>
    <t>HMDB0028750</t>
  </si>
  <si>
    <t>NC(CC(O)=O)C(=O)NC(CS)C(O)=O</t>
  </si>
  <si>
    <t>FKBFDTRILNZGAI-UHFFFAOYSA-N</t>
  </si>
  <si>
    <t>4.38_368.1619m/z</t>
  </si>
  <si>
    <t>Tyr Gly Phe</t>
  </si>
  <si>
    <t>C1=CC=C(C=C1)CC(C(=O)O)NC(=O)CNC(=O)C(CC2=CC=C(C=C2)O)N</t>
  </si>
  <si>
    <t>NOOMDULIORCDNF-IRXDYDNUSA-N</t>
  </si>
  <si>
    <t>C20H23N3O5</t>
  </si>
  <si>
    <t>8.31_363.1816m/z</t>
  </si>
  <si>
    <t>(1(10)E,4E,6a,9b)-9-(2-Methylpropanoyloxy)-1(10),4,11(13)-germacratrien-12,6-olide</t>
  </si>
  <si>
    <t>HMDB0031373</t>
  </si>
  <si>
    <t>CC(C)C(=O)OC1CC2C(OC(=O)C2=C)\C=C(C)\CC\C=C1/C</t>
  </si>
  <si>
    <t>XXAILDIUKGAZIM-GHEQENTPSA-N</t>
  </si>
  <si>
    <t>C19H26O4</t>
  </si>
  <si>
    <t>3.54_345.1458m/z</t>
  </si>
  <si>
    <t>Tyr Tyr</t>
  </si>
  <si>
    <t>C1=CC(=CC=C1CC(C(=O)NC(CC2=CC=C(C=C2)O)C(=O)O)N)O</t>
  </si>
  <si>
    <t>JAQGKXUEKGKTKX-HOTGVXAUSA-N</t>
  </si>
  <si>
    <t>C18H20N2O5</t>
  </si>
  <si>
    <t>7.72_257.0853m/z</t>
  </si>
  <si>
    <t>S-2,5-Dimethyl-3-furanyl 3-methylbutanethioate</t>
  </si>
  <si>
    <t>HMDB0037153</t>
  </si>
  <si>
    <t>55764-28-8</t>
  </si>
  <si>
    <t>CC(C)CC(=O)SC1=C(C)OC(C)=C1</t>
  </si>
  <si>
    <t>XFNLWIPNTYNNJX-UHFFFAOYSA-N</t>
  </si>
  <si>
    <t>C11H16O2S</t>
  </si>
  <si>
    <t>10.27_225.1491m/z</t>
  </si>
  <si>
    <t>2-Carboxy-4-dodecanolide</t>
  </si>
  <si>
    <t>HMDB0030987</t>
  </si>
  <si>
    <t>CCCCCCCCC1CC(C(O)=O)C(=O)O1</t>
  </si>
  <si>
    <t>FMXVFWDIAZJILA-UHFFFAOYSA-N</t>
  </si>
  <si>
    <t>4.40_659.8608m/z</t>
  </si>
  <si>
    <t>Phytic acid</t>
  </si>
  <si>
    <t>HMDB0003502</t>
  </si>
  <si>
    <t>C01204</t>
  </si>
  <si>
    <t>83-86-3</t>
  </si>
  <si>
    <t>C1(C(C(C(C(C1OP(=O)(O)O)OP(=O)(O)O)OP(=O)(O)O)OP(=O)(O)O)OP(=O)(O)O)OP(=O)(O)O</t>
  </si>
  <si>
    <t>IMQLKJBTEOYOSI-UHFFFAOYSA-N</t>
  </si>
  <si>
    <t>C6H18O24P6</t>
  </si>
  <si>
    <t>8.72_330.2054m/z</t>
  </si>
  <si>
    <t>AB-Pinaca</t>
  </si>
  <si>
    <t>HMDB0247743</t>
  </si>
  <si>
    <t>CCCCCN1N=C(C(=O)NC(C(C)C)C(N)=O)C2=CC=CC=C12</t>
  </si>
  <si>
    <t>GIMHPAQOAAZSHS-UHFFFAOYSA-N</t>
  </si>
  <si>
    <t>C18H26N4O2</t>
  </si>
  <si>
    <t>11.38_403.2854m/z</t>
  </si>
  <si>
    <t>11'-Carboxy-gamma-chromanol</t>
  </si>
  <si>
    <t>HMDB0012517</t>
  </si>
  <si>
    <t>C[C@@H](CCC[C@@H](C)CCC(O)=O)CCC[C@]1(C)CCC2=C(O1)C(C)=C(C)C(O)=C2</t>
  </si>
  <si>
    <t>IITULCXNOMOXAH-YYULODDRSA-N</t>
  </si>
  <si>
    <t>C25H40O4</t>
  </si>
  <si>
    <t>6.39_350.2313m/z</t>
  </si>
  <si>
    <t>Glaucocalyxin A</t>
  </si>
  <si>
    <t>HMDB0252739</t>
  </si>
  <si>
    <t>CC1(C)C2CC(O)C34C(O)C(CCC3C2(C)CCC1=O)C(=C)C4=O</t>
  </si>
  <si>
    <t>UCDVIBNDYLUWFP-UHFFFAOYSA-N</t>
  </si>
  <si>
    <t>10.74_407.2804m/z</t>
  </si>
  <si>
    <t>Norlithocholic acid</t>
  </si>
  <si>
    <t>LMST04060023</t>
  </si>
  <si>
    <t>C1[C@]2(C)[C@@]3([H])CC[C@]4(C)[C@@]([H])([C@]([H])(C)CC(=O)O)CC[C@@]4([H])[C@]3([H])CC[C@]2([H])C[C@H](O)C1</t>
  </si>
  <si>
    <t>BIGINLZPDKMEPQ-RLEVVIJMSA-N</t>
  </si>
  <si>
    <t>10.53_341.2123m/z</t>
  </si>
  <si>
    <t>14-oxo-DoHE(1-)</t>
  </si>
  <si>
    <t>HMDB0062685</t>
  </si>
  <si>
    <t>CCC=CCC=CCC(=O)C=CC=CCC=CCC=CCCC(O)=O</t>
  </si>
  <si>
    <t>CTOFGDVNVOUNPL-UHFFFAOYSA-N</t>
  </si>
  <si>
    <t>4.89_350.0828m/z</t>
  </si>
  <si>
    <t>N-(6-Aminopyridin-2-yl)-4'-cyanobiphenyl-4-sulfonamide</t>
  </si>
  <si>
    <t>HMDB0256368</t>
  </si>
  <si>
    <t>NC1=NC(NS(=O)(=O)C2=CC=C(C=C2)C2=CC=C(C=C2)C#N)=CC=C1</t>
  </si>
  <si>
    <t>ZESFDAKNYJQYKO-UHFFFAOYSA-N</t>
  </si>
  <si>
    <t>C18H14N4O2S</t>
  </si>
  <si>
    <t>8.89_177.0551m/z</t>
  </si>
  <si>
    <t>(R)-3,4-Dihydro-6,8-dihydroxy-3-methyl-1H-2-benzopyran-1-one</t>
  </si>
  <si>
    <t>HMDB0303675</t>
  </si>
  <si>
    <t>CC1CC2=C(C(O)=CC(O)=C2)C(=O)O1</t>
  </si>
  <si>
    <t>DHLPMLVSBRRUGA-UHFFFAOYSA-N</t>
  </si>
  <si>
    <t>C10H10O4</t>
  </si>
  <si>
    <t>4.53_552.2681m/z</t>
  </si>
  <si>
    <t>1-(2-methoxy-hexadecanyl)-sn-glycero-3-phosphoserine</t>
  </si>
  <si>
    <t>LMGP03060014</t>
  </si>
  <si>
    <t>C(O)(=O)[C@@]([H])(N)COP(OC[C@]([H])(O)COCC(OC)CCCCCCCCCCCCCC)(=O)O</t>
  </si>
  <si>
    <t>BIHKFDAWQKZWQX-QFMSAKRMSA-N</t>
  </si>
  <si>
    <t>C23H48NO9P</t>
  </si>
  <si>
    <t>4.27_388.1552m/z</t>
  </si>
  <si>
    <t>Glu Pro Tyr</t>
  </si>
  <si>
    <t>C1CC(N(C1)C(=O)C(CCC(=O)O)N)C(=O)NC(CC2=CC=C(C=C2)O)C(=O)O</t>
  </si>
  <si>
    <t>ARIORLIIMJACKZ-KKUMJFAQSA-N</t>
  </si>
  <si>
    <t>C19H25N3O7</t>
  </si>
  <si>
    <t>3.61_337.0625m/z</t>
  </si>
  <si>
    <t>Monosodium glutamate</t>
  </si>
  <si>
    <t>HMDB0303331</t>
  </si>
  <si>
    <t>[Na+].NC(CCC(O)=O)C([O-])=O</t>
  </si>
  <si>
    <t>LPUQAYUQRXPFSQ-UHFFFAOYSA-M</t>
  </si>
  <si>
    <t>C5H8NNaO4</t>
  </si>
  <si>
    <t>14.47_521.4215m/z</t>
  </si>
  <si>
    <t>DG(12:0/17:2(9Z,12Z)/0:0)[iso2]</t>
  </si>
  <si>
    <t>LMGL02010334</t>
  </si>
  <si>
    <t>OC[C@]([H])(OC(CCCCCCC/C=C\C/C=C\CCCC)=O)COC(CCCCCCCCCCC)=O</t>
  </si>
  <si>
    <t>GZCNJZBJTMDVCJ-UQYJLNGWSA-N</t>
  </si>
  <si>
    <t>C32H58O5</t>
  </si>
  <si>
    <t>3.90_357.2146m/z</t>
  </si>
  <si>
    <t>Gln Pro Leu</t>
  </si>
  <si>
    <t>CC(C)CC(C(=O)O)NC(=O)C1CCCN1C(=O)C(CCC(=O)N)N</t>
  </si>
  <si>
    <t>XQDGOJPVMSWZSO-SRVKXCTJSA-N</t>
  </si>
  <si>
    <t>C16H28N4O5</t>
  </si>
  <si>
    <t>8.37_567.3180m/z</t>
  </si>
  <si>
    <t>(3a,5b,7a)-23-Carboxy-7-hydroxy-24-norcholan-3-yl-b-D-Glucopyranosiduronic acid</t>
  </si>
  <si>
    <t>HMDB0002430</t>
  </si>
  <si>
    <t>58814-71-4</t>
  </si>
  <si>
    <t>[H][C@@]1(CC[C@@]2([H])[C@]3([H])[C@H](O)C[C@]4([H])C[C@@H](CC[C@]4(C)[C@@]3([H])CC[C@]12C)OC1O[C@@H]([C@@H](O)[C@H](O)[C@H]1O)C(O)=O)[C@H](C)CCC(O)=O</t>
  </si>
  <si>
    <t>GDNGOAUIUTXUES-RWDHRDFGSA-N</t>
  </si>
  <si>
    <t>4.60_159.0654m/z</t>
  </si>
  <si>
    <t>2,2-Dimethylglutaric acid</t>
  </si>
  <si>
    <t>HMDB0061676</t>
  </si>
  <si>
    <t>CC(C)(CCC(O)=O)C(O)=O</t>
  </si>
  <si>
    <t>BTUDGPVTCYNYLK-UHFFFAOYSA-N</t>
  </si>
  <si>
    <t>1.19_138.0916m/z</t>
  </si>
  <si>
    <t>Tyramine</t>
  </si>
  <si>
    <t>HMDB0000306</t>
  </si>
  <si>
    <t>C00483</t>
  </si>
  <si>
    <t>hsa00350,hsa04080,hsa04974</t>
  </si>
  <si>
    <t>Tyrosine metabolism|Neuroactive ligand-receptor interaction|Protein digestion and absorption</t>
  </si>
  <si>
    <t>R-HSA-140179,R-HSA-141333,R-HSA-1430728,R-HSA-211859,R-HSA-211945</t>
  </si>
  <si>
    <t>Amine Oxidase reactions|Biogenic amines are oxidatively deaminated to aldehydes by MAOA and MAOB|Metabolism|Biological oxidations|Phase I - Functionalization of compounds</t>
  </si>
  <si>
    <t>51-67-2</t>
  </si>
  <si>
    <t>NCCC1=CC=C(O)C=C1</t>
  </si>
  <si>
    <t>DZGWFCGJZKJUFP-UHFFFAOYSA-N</t>
  </si>
  <si>
    <t>4.14_183.0292m/z</t>
  </si>
  <si>
    <t>4-Hydroxybenzoic acid</t>
  </si>
  <si>
    <t>HMDB0000500</t>
  </si>
  <si>
    <t>C00156</t>
  </si>
  <si>
    <t>hsa00130,hsa00790</t>
  </si>
  <si>
    <t>Ubiquinone and other terpenoid-quinone biosynthesis|Folate biosynthesis</t>
  </si>
  <si>
    <t>R-HSA-1430728,R-HSA-196854,R-HSA-2142789,R-HSA-8978934</t>
  </si>
  <si>
    <t>Metabolism|Metabolism of vitamins and cofactors|Ubiquinol biosynthesis|Metabolism of cofactors</t>
  </si>
  <si>
    <t>99-96-7</t>
  </si>
  <si>
    <t>OC(=O)C1=CC=C(O)C=C1</t>
  </si>
  <si>
    <t>FJKROLUGYXJWQN-UHFFFAOYSA-N</t>
  </si>
  <si>
    <t>13.14_198.1858m/z</t>
  </si>
  <si>
    <t>3Z,6Z,8E-Dodecatrien-1-ol</t>
  </si>
  <si>
    <t>LMFA05000166</t>
  </si>
  <si>
    <t>OCC/C=C\C/C=C\C=C\CCC</t>
  </si>
  <si>
    <t>KWVQYNPBWXUHHT-LGRDCDGLSA-N</t>
  </si>
  <si>
    <t>10.93_401.1634m/z</t>
  </si>
  <si>
    <t>Benzetimide</t>
  </si>
  <si>
    <t>HMDB0248988</t>
  </si>
  <si>
    <t>OC1=NC(=O)C(CC1)(C1CCN(CC2=CC=CC=C2)CC1)C1=CC=CC=C1</t>
  </si>
  <si>
    <t>LQQIVYSCPWCSSD-UHFFFAOYSA-N</t>
  </si>
  <si>
    <t>C23H26N2O2</t>
  </si>
  <si>
    <t>3.65_358.0282m/z</t>
  </si>
  <si>
    <t>2-Hydroxypropyl glucosinolate</t>
  </si>
  <si>
    <t>HMDB0038428</t>
  </si>
  <si>
    <t>76265-21-9</t>
  </si>
  <si>
    <t>CC(O)C\C(SC1OC(CO)C(O)C(O)C1O)=N/OS(O)(=O)=O</t>
  </si>
  <si>
    <t>GUFJTWBPQBCRFN-IZZDOVSWSA-N</t>
  </si>
  <si>
    <t>C10H19NO10S2</t>
  </si>
  <si>
    <t>8.93_280.1895m/z</t>
  </si>
  <si>
    <t>Vanillyl octanamide</t>
  </si>
  <si>
    <t>HMDB0302471</t>
  </si>
  <si>
    <t>CCCCCCCCN=C(O)C1=CC(OC)=C(O)C=C1</t>
  </si>
  <si>
    <t>CMUQEPIYTHQKDV-UHFFFAOYSA-N</t>
  </si>
  <si>
    <t>C16H25NO3</t>
  </si>
  <si>
    <t>13.01_385.3323m/z</t>
  </si>
  <si>
    <t>Behenic acid</t>
  </si>
  <si>
    <t>HMDB0000944</t>
  </si>
  <si>
    <t>LMFA01010022</t>
  </si>
  <si>
    <t>C08281</t>
  </si>
  <si>
    <t>112-85-6</t>
  </si>
  <si>
    <t>C(CCCCCCCCCCCCC(=O)O)CCCCCCCC</t>
  </si>
  <si>
    <t>UKMSUNONTOPOIO-UHFFFAOYSA-N</t>
  </si>
  <si>
    <t>7.41_301.2174m/z</t>
  </si>
  <si>
    <t>(ent-15beta)-15,19-Dihydroxy-7-trachylobanone</t>
  </si>
  <si>
    <t>HMDB0039012</t>
  </si>
  <si>
    <t>137648-01-2</t>
  </si>
  <si>
    <t>CC12C3CC4(C1O)C(CC23)C1(C)CCCC(C)(CO)C1CC4=O</t>
  </si>
  <si>
    <t>SSTASBUCOHAYRJ-UHFFFAOYSA-N</t>
  </si>
  <si>
    <t>3.63_375.1020n</t>
  </si>
  <si>
    <t>Azidocillin</t>
  </si>
  <si>
    <t>HMDB0015685</t>
  </si>
  <si>
    <t>17243-38-8</t>
  </si>
  <si>
    <t>[H][C@]12SC(C)(C)[C@@H](N1C(=O)[C@H]2NC(=O)[C@H](N=[N+]=[N-])C1=CC=CC=C1)C(O)=O</t>
  </si>
  <si>
    <t>ODFHGIPNGIAMDK-NJBDSQKTSA-N</t>
  </si>
  <si>
    <t>C16H17N5O4S</t>
  </si>
  <si>
    <t>5.04_308.1747n</t>
  </si>
  <si>
    <t>Diacetolol</t>
  </si>
  <si>
    <t>HMDB0251120</t>
  </si>
  <si>
    <t>22568-64-5</t>
  </si>
  <si>
    <t>CC(C)NCC(O)COC1=C(C=C(C=C1)N=C(C)O)C(C)=O</t>
  </si>
  <si>
    <t>AWOGXJOBNAWQSF-UHFFFAOYSA-N</t>
  </si>
  <si>
    <t>6.19_269.1086m/z</t>
  </si>
  <si>
    <t>3,3'-Dihydroxy-4,5-dimethoxybibenzyl</t>
  </si>
  <si>
    <t>HMDB0302010</t>
  </si>
  <si>
    <t>CC1=CC=CC(=C1)C1=NN=C(O1)C1=CC=CC2=CC=CC=C12</t>
  </si>
  <si>
    <t>VLEVIOBDMUPMGI-UHFFFAOYSA-N</t>
  </si>
  <si>
    <t>C19H14N2O</t>
  </si>
  <si>
    <t>7.86_366.2650m/z</t>
  </si>
  <si>
    <t>6-Hydroxytrtradeca-9,12-dienoylcarnitine</t>
  </si>
  <si>
    <t>HMDB0241387</t>
  </si>
  <si>
    <t>CC=CCC=CCCC(O)CCCCC(=O)OC(CC([O-])=O)C[N+](C)(C)C</t>
  </si>
  <si>
    <t>VKPTUZZSRHSTFP-UHFFFAOYSA-N</t>
  </si>
  <si>
    <t>C21H37NO5</t>
  </si>
  <si>
    <t>4.20_231.1137m/z</t>
  </si>
  <si>
    <t>(1xi,3xi)-1,2,3,4-Tetrahydro-1-methyl-beta-carboline-3-carboxylic acid</t>
  </si>
  <si>
    <t>HMDB0037942</t>
  </si>
  <si>
    <t>CC1NC(CC2=C1NC1=CC=CC=C21)C(O)=O</t>
  </si>
  <si>
    <t>ZUPHXNBLQCSEIA-UHFFFAOYSA-N</t>
  </si>
  <si>
    <t>C13H14N2O2</t>
  </si>
  <si>
    <t>4.51_203.0014m/z</t>
  </si>
  <si>
    <t>4-Methylcatechol 1-sulfate</t>
  </si>
  <si>
    <t>HMDB0240459</t>
  </si>
  <si>
    <t>2349374-79-2</t>
  </si>
  <si>
    <t>CC1=CC(O)=C(OS(O)(=O)=O)C=C1</t>
  </si>
  <si>
    <t>NCOMUGOPQPRVSE-UHFFFAOYSA-N</t>
  </si>
  <si>
    <t>5.38_255.1138m/z</t>
  </si>
  <si>
    <t>2-(p-Acetamidophenyl)-2-ethylglutarimide</t>
  </si>
  <si>
    <t>HMDB0247904</t>
  </si>
  <si>
    <t>CCC1(CCC(=O)NC1=O)C1=CC=C(NC(C)=O)C=C1</t>
  </si>
  <si>
    <t>PBWKSBSBPBMFIS-UHFFFAOYSA-N</t>
  </si>
  <si>
    <t>4.42_411.2615m/z</t>
  </si>
  <si>
    <t>Leu Val Tyr</t>
  </si>
  <si>
    <t>CC(C)CC(C(=O)NC(C(C)C)C(=O)NC(CC1=CC=C(C=C1)O)C(=O)O)N</t>
  </si>
  <si>
    <t>MSFITIBEMPWCBD-ULQDDVLXSA-N</t>
  </si>
  <si>
    <t>C20H31N3O5</t>
  </si>
  <si>
    <t>4.46_347.1612m/z</t>
  </si>
  <si>
    <t>Corchorifatty acid A</t>
  </si>
  <si>
    <t>HMDB0032664</t>
  </si>
  <si>
    <t>CCC(=O)\C=C\C=C\C=C\C(O)CCCCCCCC(O)=O</t>
  </si>
  <si>
    <t>FCCFXOHVERVHQR-KDXRDGMUSA-N</t>
  </si>
  <si>
    <t>4.67_199.0969m/z</t>
  </si>
  <si>
    <t>delta-Valerolactone</t>
  </si>
  <si>
    <t>HMDB0250981</t>
  </si>
  <si>
    <t>C02240</t>
  </si>
  <si>
    <t>542-28-9</t>
  </si>
  <si>
    <t>O=C1CCCCO1</t>
  </si>
  <si>
    <t>OZJPLYNZGCXSJM-UHFFFAOYSA-N</t>
  </si>
  <si>
    <t>C5H8O2</t>
  </si>
  <si>
    <t>4.56_393.0443m/z</t>
  </si>
  <si>
    <t>2-O-(6-Phospho-alpha-mannosyl)-D-glycerate</t>
  </si>
  <si>
    <t>HMDB0012152</t>
  </si>
  <si>
    <t>C16699</t>
  </si>
  <si>
    <t>OC[C@@H](O[C@H]1O[C@H](COP(O)(O)=O)[C@@H](O)[C@H](O)[C@@H]1O)C(O)=O</t>
  </si>
  <si>
    <t>BOLXAGHGKNGVBE-MTXRGOKVSA-N</t>
  </si>
  <si>
    <t>C9H17O12P</t>
  </si>
  <si>
    <t>4.26_377.1470m/z</t>
  </si>
  <si>
    <t>Riboflavin</t>
  </si>
  <si>
    <t>HMDB0000244</t>
  </si>
  <si>
    <t>C00255</t>
  </si>
  <si>
    <t>hsa00740,hsa02010,hsa04977</t>
  </si>
  <si>
    <t>Riboflavin metabolism|ABC transporters|Vitamin digestion and absorption</t>
  </si>
  <si>
    <t>83-88-5</t>
  </si>
  <si>
    <t>CC1=C(C)C=C2N(C[C@H](O)[C@H](O)[C@H](O)CO)C3=NC(=O)NC(=O)C3=NC2=C1</t>
  </si>
  <si>
    <t>AUNGANRZJHBGPY-SCRDCRAPSA-N</t>
  </si>
  <si>
    <t>5.67_253.1078m/z</t>
  </si>
  <si>
    <t>methyl 4-[2-(2-formyl-vinyl)-3-hydroxy-5-oxo-cyclopentyl]-butanoate</t>
  </si>
  <si>
    <t>LMFA01050152</t>
  </si>
  <si>
    <t>C1(C(=O)CC(O)C1/C=C/C=O)CCCC(=O)OC</t>
  </si>
  <si>
    <t>GMLSPPGVFGIUKF-HWKANZROSA-N</t>
  </si>
  <si>
    <t>1.67_294.1626m/z</t>
  </si>
  <si>
    <t>Ogyline</t>
  </si>
  <si>
    <t>HMDB0254813</t>
  </si>
  <si>
    <t>CC12C=CC3=C4CCC(=O)C=C4CCC3C1CCC2(O)C#C</t>
  </si>
  <si>
    <t>GVDMJXQHPUYPHP-UHFFFAOYSA-N</t>
  </si>
  <si>
    <t>C20H22O2</t>
  </si>
  <si>
    <t>10.41_272.1604m/z</t>
  </si>
  <si>
    <t>Midodrine</t>
  </si>
  <si>
    <t>HMDB0014356</t>
  </si>
  <si>
    <t>C07890</t>
  </si>
  <si>
    <t>133163-28-7</t>
  </si>
  <si>
    <t>COC1=CC(C(O)CNC(=O)CN)=C(OC)C=C1</t>
  </si>
  <si>
    <t>PTKSEFOSCHHMPD-UHFFFAOYSA-N</t>
  </si>
  <si>
    <t>C12H18N2O4</t>
  </si>
  <si>
    <t>7.76_427.1327m/z</t>
  </si>
  <si>
    <t>Etanidazole</t>
  </si>
  <si>
    <t>HMDB0251988</t>
  </si>
  <si>
    <t>22668-01-5</t>
  </si>
  <si>
    <t>OCCN=C(O)CN1C=CN=C1N(=O)=O</t>
  </si>
  <si>
    <t>WCDWBPCFGJXFJZ-UHFFFAOYSA-N</t>
  </si>
  <si>
    <t>C7H10N4O4</t>
  </si>
  <si>
    <t>12.09_407.2029m/z</t>
  </si>
  <si>
    <t>Teneligliptin</t>
  </si>
  <si>
    <t>HMDB0258815</t>
  </si>
  <si>
    <t>CC1=NN(C(=C1)N1CCN(CC1)C1CNC(C1)C(=O)N1CCSC1)C1=CC=CC=C1</t>
  </si>
  <si>
    <t>WGRQANOPCQRCME-UHFFFAOYSA-N</t>
  </si>
  <si>
    <t>C22H30N6OS</t>
  </si>
  <si>
    <t>13.04_434.1766m/z</t>
  </si>
  <si>
    <t>MAM2201 N-(4-hydroxypentyl) metabolite</t>
  </si>
  <si>
    <t>CC1=CC=C(C2=CC=CC=C12)C(=O)C3=CN(C4=CC=CC=C43)CCCC(CF)O</t>
  </si>
  <si>
    <t>KKTSWDJPCZIFLG-UHFFFAOYSA-N</t>
  </si>
  <si>
    <t>C25H24FNO2</t>
  </si>
  <si>
    <t>4.65_277.0329m/z</t>
  </si>
  <si>
    <t>2-O-Feruloyltartronic acid</t>
  </si>
  <si>
    <t>HMDB0032957</t>
  </si>
  <si>
    <t>95519-25-8</t>
  </si>
  <si>
    <t>COC1=C(O)C=CC(\C=C\C(=O)OC(C(O)=O)C(O)=O)=C1</t>
  </si>
  <si>
    <t>ZWXOJLRXYPVVQY-HWKANZROSA-N</t>
  </si>
  <si>
    <t>C13H12O8</t>
  </si>
  <si>
    <t>8.39_375.1792m/z</t>
  </si>
  <si>
    <t>Diflucortolone</t>
  </si>
  <si>
    <t>HMDB0251260</t>
  </si>
  <si>
    <t>CC1CC2C3CC(F)C4=CC(=O)C=CC4(C)C3(F)C(O)CC2(C)C1C(=O)CO</t>
  </si>
  <si>
    <t>OGPWIDANBSLJPC-UHFFFAOYSA-N</t>
  </si>
  <si>
    <t>C22H28F2O4</t>
  </si>
  <si>
    <t>0.85_180.9165m/z</t>
  </si>
  <si>
    <t>3-Iodopropanoic acid</t>
  </si>
  <si>
    <t>HMDB0031252</t>
  </si>
  <si>
    <t>141-76-4</t>
  </si>
  <si>
    <t>OC(=O)CCI</t>
  </si>
  <si>
    <t>KMRNTNDWADEIIX-UHFFFAOYSA-N</t>
  </si>
  <si>
    <t>C3H5IO2</t>
  </si>
  <si>
    <t>6.77_356.3285m/z</t>
  </si>
  <si>
    <t>22-hydroxydocosanoate</t>
  </si>
  <si>
    <t>HMDB0304091</t>
  </si>
  <si>
    <t>OCCCCCCCCCCCCCCCCCCCCCC([O-])=O</t>
  </si>
  <si>
    <t>IBPVZXPSTLXWCG-UHFFFAOYSA-M</t>
  </si>
  <si>
    <t>C22H43O3-</t>
  </si>
  <si>
    <t>5.06_251.0583m/z</t>
  </si>
  <si>
    <t>3-(2-Furoyl)quinoline-2-carboxaldehyde</t>
  </si>
  <si>
    <t>HMDB0245772</t>
  </si>
  <si>
    <t>O=CC1=NC2=CC=CC=C2C=C1C(=O)C1=CC=CO1</t>
  </si>
  <si>
    <t>PNCHURHVMDRFTR-UHFFFAOYSA-N</t>
  </si>
  <si>
    <t>C15H9NO3</t>
  </si>
  <si>
    <t>8.92_328.1622m/z</t>
  </si>
  <si>
    <t>Histidinyl-Lysine</t>
  </si>
  <si>
    <t>HMDB0253180</t>
  </si>
  <si>
    <t>NCCCCC(NC(=O)C(N)CC1=CN=CN1)C(O)=O</t>
  </si>
  <si>
    <t>CZVQSYNVUHAILZ-UHFFFAOYSA-N</t>
  </si>
  <si>
    <t>C12H21N5O3</t>
  </si>
  <si>
    <t>3.84_189.0761m/z</t>
  </si>
  <si>
    <t>4-Hydroxycyclohexylcarboxylic acid</t>
  </si>
  <si>
    <t>HMDB0001988</t>
  </si>
  <si>
    <t>17419-81-7</t>
  </si>
  <si>
    <t>OC1CCC(CC1)C(O)=O</t>
  </si>
  <si>
    <t>HCFRWBBJISAZNK-UHFFFAOYSA-N</t>
  </si>
  <si>
    <t>10.07_251.2009m/z</t>
  </si>
  <si>
    <t>Berkeleylactone L</t>
  </si>
  <si>
    <t>LMFA07040172</t>
  </si>
  <si>
    <t>[C@@H]1(CCCCCCCCCC[C@@H](C)OC(=O)C=C1)O</t>
  </si>
  <si>
    <t>JVNFUDLQCWWEEB-WCVFXIOZSA-N</t>
  </si>
  <si>
    <t>12.42_457.1796m/z</t>
  </si>
  <si>
    <t>Cinalukast</t>
  </si>
  <si>
    <t>HMDB0014725</t>
  </si>
  <si>
    <t>128312-51-6</t>
  </si>
  <si>
    <t>CCC(CC)(CC(=O)NC1=CC=CC(\C=C\C2=NC(=CS2)C2CCC2)=C1)C(O)=O</t>
  </si>
  <si>
    <t>BZMKNPGKXJAIDV-VAWYXSNFSA-N</t>
  </si>
  <si>
    <t>C23H28N2O3S</t>
  </si>
  <si>
    <t>8.36_269.1134m/z</t>
  </si>
  <si>
    <t>Zedoarol</t>
  </si>
  <si>
    <t>HMDB0038202</t>
  </si>
  <si>
    <t>C17490</t>
  </si>
  <si>
    <t>103994-22-5</t>
  </si>
  <si>
    <t>CC1CCC2C(=C)CC3=C(C(C)=CO3)C(=O)C12O</t>
  </si>
  <si>
    <t>CKDRPCYJCDMPFO-UHFFFAOYSA-N</t>
  </si>
  <si>
    <t>6.40_159.1017m/z</t>
  </si>
  <si>
    <t>2R-hydroxy-octanoic acid</t>
  </si>
  <si>
    <t>HMDB0002264</t>
  </si>
  <si>
    <t>LMFA01050313</t>
  </si>
  <si>
    <t>30117-44-3</t>
  </si>
  <si>
    <t>C([C@H](O)CCCCCC)(=O)O</t>
  </si>
  <si>
    <t>JKRDADVRIYVCCY-SSDOTTSWSA-N</t>
  </si>
  <si>
    <t>10.51_313.2292m/z</t>
  </si>
  <si>
    <t>4-oxo 2-Nonenal-d3</t>
  </si>
  <si>
    <t>CCCCCC(=O)C=CC=O</t>
  </si>
  <si>
    <t>SEPPVOUBHWNCAW-PKJLGKQPSA-N</t>
  </si>
  <si>
    <t>C9H11D3O2</t>
  </si>
  <si>
    <t>10.93_481.3535m/z</t>
  </si>
  <si>
    <t>5beta-Cholestane-3alpha,7alpha,12alpha,22-tetrol</t>
  </si>
  <si>
    <t>LMST04030093</t>
  </si>
  <si>
    <t>C1[C@]2(C)[C@@]3([H])C[C@H](O)[C@]4(C)[C@@]([H])([C@]([H])(C)C(O)CCC(C)C)CC[C@@]4([H])[C@]3([H])[C@H](O)C[C@]2([H])C[C@H](O)C1</t>
  </si>
  <si>
    <t>MLULULTZNSKKMF-GYXDSTCHSA-N</t>
  </si>
  <si>
    <t>6.76_355.2495m/z</t>
  </si>
  <si>
    <t>LAGOCHILIN</t>
  </si>
  <si>
    <t>23554-81-6</t>
  </si>
  <si>
    <t>CC1CCC2C(C13CCC(O3)(CCO)CO)(CCC(C2(C)CO)O)C</t>
  </si>
  <si>
    <t>XYPPDQHBNJURHU-IPOQXWOTSA-N</t>
  </si>
  <si>
    <t>11.53_297.2225m/z</t>
  </si>
  <si>
    <t>Pregnenolone</t>
  </si>
  <si>
    <t>HMDB0000253</t>
  </si>
  <si>
    <t>LMST02030088</t>
  </si>
  <si>
    <t>C01953</t>
  </si>
  <si>
    <t>hsa00140,hsa04913,hsa04925,hsa04927,hsa04934</t>
  </si>
  <si>
    <t>Steroid hormone biosynthesis|Ovarian steroidogenesis|Aldosterone synthesis and secretion|Cortisol synthesis and secretion|Cushing syndrome</t>
  </si>
  <si>
    <t>R-HSA-1430728,R-HSA-156580,R-HSA-156584,R-HSA-1643685,R-HSA-193048,R-HSA-193993,R-HSA-194002,R-HSA-196071,R-HSA-196108,R-HSA-211859,R-HSA-211897,R-HSA-211945,R-HSA-211976,R-HSA-556833,R-HSA-5579028,R-HSA-5579029,R-HSA-5668914,R-HSA-8957322</t>
  </si>
  <si>
    <t>Metabolism|Phase II - Conjugation of compounds|Cytosolic sulfonation of small molecules|Disease|Androgen biosynthesis|Mineralocorticoid biosynthesis|Glucocorticoid biosynthesis|Metabolism of steroid hormones|Pregnenolone biosynthesis|Biological oxidations|Cytochrome P450 - arranged by substrate type|Phase I - Functionalization of compounds|Endogenous sterols|Metabolism of lipids|Defective CYP17A1 causes AH5|Metabolic disorders of biological oxidation enzymes|Diseases of metabolism|Metabolism of steroids</t>
  </si>
  <si>
    <t>145-13-1</t>
  </si>
  <si>
    <t>[C@]12(CC=C3C[C@@H](O)CC[C@]3(C)[C@@]1([H])CC[C@]1(C)[C@@H](C(=O)C)CC[C@@]21[H])[H]</t>
  </si>
  <si>
    <t>ORNBQBCIOKFOEO-QGVNFLHTSA-N</t>
  </si>
  <si>
    <t>4.50_285.1321m/z</t>
  </si>
  <si>
    <t>Cyclocreatine</t>
  </si>
  <si>
    <t>HMDB0250642</t>
  </si>
  <si>
    <t>35404-50-3</t>
  </si>
  <si>
    <t>NC1=NCCN1CC(O)=O</t>
  </si>
  <si>
    <t>AMHZIUVRYRVYBA-UHFFFAOYSA-N</t>
  </si>
  <si>
    <t>C5H9N3O2</t>
  </si>
  <si>
    <t>11.51_342.2649m/z</t>
  </si>
  <si>
    <t>N-Palmitoyl Serine</t>
  </si>
  <si>
    <t>HMDB0241932</t>
  </si>
  <si>
    <t>CCCCCCCCCCCCCCCC(=O)NC(CO)C(O)=O</t>
  </si>
  <si>
    <t>BFVRFWIQTACAPT-UHFFFAOYSA-N</t>
  </si>
  <si>
    <t>C19H37NO4</t>
  </si>
  <si>
    <t>4.71_230.1760m/z</t>
  </si>
  <si>
    <t>Lycocasuarinen acid B</t>
  </si>
  <si>
    <t>LMFA01050595</t>
  </si>
  <si>
    <t>C(/C=C/C=C/[C@@H](O)CCCCCC)(=O)O</t>
  </si>
  <si>
    <t>RJYXYKQBJQBREY-PLZNCBDESA-N</t>
  </si>
  <si>
    <t>7.40_212.9976m/z</t>
  </si>
  <si>
    <t>Pentafluorobenzene</t>
  </si>
  <si>
    <t>HMDB0256258</t>
  </si>
  <si>
    <t>FC1=CC(F)=C(F)C(F)=C1F</t>
  </si>
  <si>
    <t>WACNXHCZHTVBJM-UHFFFAOYSA-N</t>
  </si>
  <si>
    <t>C6HF5</t>
  </si>
  <si>
    <t>6.81_247.0949m/z</t>
  </si>
  <si>
    <t>5'-Amino-5'-deoxyadenosine</t>
  </si>
  <si>
    <t>HMDB0246876</t>
  </si>
  <si>
    <t>NCC1OC(C(O)C1O)N1C=NC2=C(N)N=CN=C12</t>
  </si>
  <si>
    <t>GVSGUDGNTHCZHI-UHFFFAOYSA-N</t>
  </si>
  <si>
    <t>C10H14N6O3</t>
  </si>
  <si>
    <t>11.30_323.2592m/z</t>
  </si>
  <si>
    <t>11R-HEDE</t>
  </si>
  <si>
    <t>LMFA03000005</t>
  </si>
  <si>
    <t>OC(=O)CCCCCCCCC[C@@H](O)/C=C/C=C\CCCCC</t>
  </si>
  <si>
    <t>HDMIRVFIVOGVIC-VOYJXKAKSA-N</t>
  </si>
  <si>
    <t>C20H36O3</t>
  </si>
  <si>
    <t>1.28_335.0611m/z</t>
  </si>
  <si>
    <t>Glucose pyruvate lactate</t>
  </si>
  <si>
    <t>HMDB0252788</t>
  </si>
  <si>
    <t>CC(=O)C(=O)OOC(=O)C(C)(O)C1(O)OC(CO)C(O)C(O)C1O</t>
  </si>
  <si>
    <t>KFQNTCARAVTGMW-UHFFFAOYSA-N</t>
  </si>
  <si>
    <t>C12H18O12</t>
  </si>
  <si>
    <t>6.41_289.1922m/z</t>
  </si>
  <si>
    <t>9S,10R-Epoxy-3Z,6Z-octadecadiene</t>
  </si>
  <si>
    <t>LMFA12000286</t>
  </si>
  <si>
    <t>CCCCCCCC[C@H]1O[C@H]1C/C=C\C/C=C\C</t>
  </si>
  <si>
    <t>CNYHVWZOWVYRKM-YNOGVTSOSA-N</t>
  </si>
  <si>
    <t>9.07_586.3517m/z</t>
  </si>
  <si>
    <t>Janthitrem B</t>
  </si>
  <si>
    <t>HMDB0030528</t>
  </si>
  <si>
    <t>73561-90-7</t>
  </si>
  <si>
    <t>CC(=C)C1OC2CCC3(C)C4(C)C(CC5=C4NC4=C5C=C5C(O)C6C(=CC(C)(C)OC6(C)C)C5=C4)CCC3(O)C2=CC1O</t>
  </si>
  <si>
    <t>FYYNBFCZCKFSKS-UHFFFAOYSA-N</t>
  </si>
  <si>
    <t>C37H47NO5</t>
  </si>
  <si>
    <t>547</t>
  </si>
  <si>
    <t>Dl-Alpha-Tocopherol</t>
  </si>
  <si>
    <t>HMDB0242201</t>
  </si>
  <si>
    <t>10191-41-0</t>
  </si>
  <si>
    <t>CC(C)CCCC(C)CCCC(C)CCCC1(C)CCC2=C(C)C(O)=C(C)C(C)=C2O1</t>
  </si>
  <si>
    <t>GVJHHUAWPYXKBD-UHFFFAOYSA-N</t>
  </si>
  <si>
    <t>C29H50O2</t>
  </si>
  <si>
    <t>11.67_345.2800m/z</t>
  </si>
  <si>
    <t>cis-4,10-13,16-Docosatetraenoic Acid methyl ester</t>
  </si>
  <si>
    <t>CCCCCC=CCC=CCCCC=CC=CCC(C)CCC(=O)O</t>
  </si>
  <si>
    <t>HVFQPDPGNKROPA-UWKXONKZSA-N</t>
  </si>
  <si>
    <t>5.85_367.0388m/z</t>
  </si>
  <si>
    <t>5-Hydroxyisourate</t>
  </si>
  <si>
    <t>HMDB0030097</t>
  </si>
  <si>
    <t>C11821</t>
  </si>
  <si>
    <t>151359-24-9</t>
  </si>
  <si>
    <t>O[C@@]12NC(=O)NC1=NC(=O)NC2=O</t>
  </si>
  <si>
    <t>LTQYPAVLAYVKTK-YFKPBYRVSA-N</t>
  </si>
  <si>
    <t>C5H4N4O4</t>
  </si>
  <si>
    <t>9.32_347.1993m/z</t>
  </si>
  <si>
    <t>2,4,6,8,10-dodecapentaenal</t>
  </si>
  <si>
    <t>LMFA06000073</t>
  </si>
  <si>
    <t>C(=C/C)\C=C\C=C\C=C\C=C\C([H])=O</t>
  </si>
  <si>
    <t>NLPJEWTYXLOFLM-GNUNTXLASA-N</t>
  </si>
  <si>
    <t>C12H14O</t>
  </si>
  <si>
    <t>12.54_451.1633m/z</t>
  </si>
  <si>
    <t>Bms-378806</t>
  </si>
  <si>
    <t>HMDB0249317</t>
  </si>
  <si>
    <t>COC1=C2C(NC=C2C(=O)C(=O)N2CCN(CC2C)C(=O)C2=CC=CC=C2)=NC=C1</t>
  </si>
  <si>
    <t>OKGPFTLYBPQBIX-UHFFFAOYSA-N</t>
  </si>
  <si>
    <t>C22H22N4O4</t>
  </si>
  <si>
    <t>0.72_221.0907n</t>
  </si>
  <si>
    <t>(2R,5S)-5-Amino-1,2,6,7-tetrahydroxyoctane-3,4-dione</t>
  </si>
  <si>
    <t>HMDB0255319</t>
  </si>
  <si>
    <t>CC(O)C(O)C(N)C(=O)C(=O)C(O)CO</t>
  </si>
  <si>
    <t>KFTDHDXFEXLYOC-UHFFFAOYSA-N</t>
  </si>
  <si>
    <t>C8H15NO6</t>
  </si>
  <si>
    <t>4.40_387.1755m/z</t>
  </si>
  <si>
    <t>(2R,5R)-2-[6-(Cyclopentylamino)-8-(methylamino)purin-9-yl]-5-(hydroxymethyl)oxolane-3,4-diol</t>
  </si>
  <si>
    <t>HMDB0255318</t>
  </si>
  <si>
    <t>CNC1=NC2=C(N=CN=C2NC2CCCC2)N1C1OC(CO)C(O)C1O</t>
  </si>
  <si>
    <t>ARVGZMRDUMAGBG-UHFFFAOYSA-N</t>
  </si>
  <si>
    <t>C16H24N6O4</t>
  </si>
  <si>
    <t>3.60_229.1191m/z</t>
  </si>
  <si>
    <t>Morph</t>
  </si>
  <si>
    <t>HMDB0254890</t>
  </si>
  <si>
    <t>CC1(O)CC(NN2CCOCC2)=C(O)C1=O</t>
  </si>
  <si>
    <t>LIHDYIAAKPQZSN-UHFFFAOYSA-N</t>
  </si>
  <si>
    <t>14.46_312.2673n</t>
  </si>
  <si>
    <t>Ricinoleic Acid methyl ester</t>
  </si>
  <si>
    <t>141-24-2</t>
  </si>
  <si>
    <t>CCCCCCC(CC=CCCCCCCCC(=O)OC)O</t>
  </si>
  <si>
    <t>XKGDWZQXVZSXAO-ADYSOMBNSA-N</t>
  </si>
  <si>
    <t>C19H36O3</t>
  </si>
  <si>
    <t>6.28_437.1793m/z</t>
  </si>
  <si>
    <t>8-Propanoylneosolaniol</t>
  </si>
  <si>
    <t>HMDB0038562</t>
  </si>
  <si>
    <t>111112-47-1</t>
  </si>
  <si>
    <t>CCC(=O)O[C@H]1C[C@@]2(COC(C)=O)[C@H](O[C@@H]3[C@H](O)[C@@H](OC(C)=O)[C@@]2(C)[C@]32CO2)C=C1C</t>
  </si>
  <si>
    <t>ZSGWJLBSFZRJAT-MLXHEQMXSA-N</t>
  </si>
  <si>
    <t>C22H30O9</t>
  </si>
  <si>
    <t>7.61_561.2322m/z</t>
  </si>
  <si>
    <t>PI(12:0/0:0)</t>
  </si>
  <si>
    <t>LMGP06050007</t>
  </si>
  <si>
    <t>[C@]([H])(O)(COP(=O)(O)O[C@H]1[C@H](O)[C@@H](O)[C@H](O)[C@@H](O)[C@H]1O)COC(CCCCCCCCCCC)=O</t>
  </si>
  <si>
    <t>XRLCEWWZNPSDGB-PSZFZNCLSA-N</t>
  </si>
  <si>
    <t>C21H41O12P</t>
  </si>
  <si>
    <t>4.85_294.1709m/z</t>
  </si>
  <si>
    <t>Acetylpterosin C</t>
  </si>
  <si>
    <t>HMDB0030764</t>
  </si>
  <si>
    <t>CC1C(O)C2=C(C1=O)C(C)=C(CCOC(C)=O)C(C)=C2</t>
  </si>
  <si>
    <t>KBPAOKSMUDDOIN-UHFFFAOYSA-N</t>
  </si>
  <si>
    <t>C16H20O4</t>
  </si>
  <si>
    <t>7.60_465.2494m/z</t>
  </si>
  <si>
    <t>Androsterone 3-glucuronide</t>
  </si>
  <si>
    <t>HMDB0002829</t>
  </si>
  <si>
    <t>LMST05010013</t>
  </si>
  <si>
    <t>C11135</t>
  </si>
  <si>
    <t>1852-43-3</t>
  </si>
  <si>
    <t>[C@H]1([C@H]([C@H](O)[C@@H](O)[C@@H](O1)O[C@@H]1CC[C@@]2(C)[C@@]([H])(CC[C@@]3([H])[C@]4([H])CCC(=O)[C@]4(CC[C@@]32[H])C)C1)O)C(O)=O</t>
  </si>
  <si>
    <t>VFUIRAVTUVCQTF-BSOWLZGZSA-N</t>
  </si>
  <si>
    <t>5.82_227.0897m/z</t>
  </si>
  <si>
    <t>Dacarbazine</t>
  </si>
  <si>
    <t>HMDB0014989</t>
  </si>
  <si>
    <t>4342-03-4</t>
  </si>
  <si>
    <t>CN(C)N=NC1=C(N=CN1)C(N)=O</t>
  </si>
  <si>
    <t>FDKXTQMXEQVLRF-UHFFFAOYSA-N</t>
  </si>
  <si>
    <t>C6H10N6O</t>
  </si>
  <si>
    <t>8.99_305.1759m/z</t>
  </si>
  <si>
    <t>MENTHYL BENZOATE</t>
  </si>
  <si>
    <t>6284-35-1</t>
  </si>
  <si>
    <t>CC1CCC(C(C1)OC(=O)C2=CC=CC=C2)C(C)C</t>
  </si>
  <si>
    <t>TTYVYRHNIVBWCB-UHFFFAOYSA-N</t>
  </si>
  <si>
    <t>C17H24O2</t>
  </si>
  <si>
    <t>1.09_274.1407m/z</t>
  </si>
  <si>
    <t>Ser Val Ser</t>
  </si>
  <si>
    <t>CC(C)C(C(=O)NC(CO)C(=O)O)NC(=O)C(CO)N</t>
  </si>
  <si>
    <t>JGUWRQWULDWNCM-FXQIFTODSA-N</t>
  </si>
  <si>
    <t>C11H21N3O6</t>
  </si>
  <si>
    <t>6.64_191.1071m/z</t>
  </si>
  <si>
    <t>Coronafacic acid</t>
  </si>
  <si>
    <t>C15765</t>
  </si>
  <si>
    <t>62251-98-3</t>
  </si>
  <si>
    <t>CCC1CC2C(CCC2=O)C(=C1)C(=O)O</t>
  </si>
  <si>
    <t>ONMAUQRMJXNSCG-VGMNWLOBSA-N</t>
  </si>
  <si>
    <t>4.46_319.1663m/z</t>
  </si>
  <si>
    <t>Raspailyne B1</t>
  </si>
  <si>
    <t>LMGL01030011</t>
  </si>
  <si>
    <t>OC[C@]([H])(O)CO/C=C\C#C/C=C\CCCCCCCC</t>
  </si>
  <si>
    <t>BPDWNJUQPWBHGB-MQTLYGHRSA-N</t>
  </si>
  <si>
    <t>Glycerol vinyl ethers</t>
  </si>
  <si>
    <t>12.44_597.3652m/z</t>
  </si>
  <si>
    <t>DG(8:0/PGE2/0:0)</t>
  </si>
  <si>
    <t>HMDB0297111</t>
  </si>
  <si>
    <t>CCCCCCCC(=O)OC[C@H](CO)OC(=O)CCC\C=C/C[C@@H]1[C@@H](\C=C\[C@@H](O)CCCCC)[C@H](O)CC1=O</t>
  </si>
  <si>
    <t>AILKFPPCISGDKN-UPEHPVGASA-N</t>
  </si>
  <si>
    <t>C31H52O8</t>
  </si>
  <si>
    <t>8.42_231.0872m/z</t>
  </si>
  <si>
    <t>Hydralazine pyruvate hydrazone</t>
  </si>
  <si>
    <t>HMDB0061143</t>
  </si>
  <si>
    <t>67536-13-4</t>
  </si>
  <si>
    <t>C\C(=N/NC1=NN=CC2=CC=CC=C12)C(O)=O</t>
  </si>
  <si>
    <t>CXGHHASVNBBLOU-NTUHNPAUSA-N</t>
  </si>
  <si>
    <t>C11H10N4O2</t>
  </si>
  <si>
    <t>8.15_423.2903m/z</t>
  </si>
  <si>
    <t>13'-Carboxy-gamma-tocotrienol</t>
  </si>
  <si>
    <t>HMDB0012558</t>
  </si>
  <si>
    <t>C\C(CC\C=C(/C)C(O)=O)=C/CC\C(C)=C\CC[C@]1(C)CCC2=C(O1)C(C)=C(C)C(O)=C2</t>
  </si>
  <si>
    <t>UJMZKOBSLDXUHY-YQHRJHOASA-N</t>
  </si>
  <si>
    <t>C28H40O4</t>
  </si>
  <si>
    <t>5.93_464.3019m/z</t>
  </si>
  <si>
    <t>N-palmitoyl tyrosine</t>
  </si>
  <si>
    <t>HMDB0062340</t>
  </si>
  <si>
    <t>LMFA08020098</t>
  </si>
  <si>
    <t>C1(C=CC(O)=CC=1)C[C@]([H])(NC(CCCCCCCCCCCCCCC)=O)C(=O)O</t>
  </si>
  <si>
    <t>IPAZGTSTZYXZAT-QHCPKHFHSA-N</t>
  </si>
  <si>
    <t>C25H41NO4</t>
  </si>
  <si>
    <t>9.71_227.1801m/z</t>
  </si>
  <si>
    <t>4-Acetyl-6-tert-butyl-1,1-dimethylindane</t>
  </si>
  <si>
    <t>HMDB0031867</t>
  </si>
  <si>
    <t>13171-00-1</t>
  </si>
  <si>
    <t>CC(=O)C1=C2CCC(C)(C)C2=CC(=C1)C(C)(C)C</t>
  </si>
  <si>
    <t>IKTHMQYJOWTSJO-UHFFFAOYSA-N</t>
  </si>
  <si>
    <t>C17H24O</t>
  </si>
  <si>
    <t>7.28_357.2802m/z</t>
  </si>
  <si>
    <t>Docosa-4,7,10,13,16,19-hexaenoic acid ethyl ester</t>
  </si>
  <si>
    <t>HMDB0247518</t>
  </si>
  <si>
    <t>CCOC(=O)CCC=CCC=CCC=CCC=CCC=CCC=CCC</t>
  </si>
  <si>
    <t>ITNKVODZACVXDS-UHFFFAOYSA-N</t>
  </si>
  <si>
    <t>10.39_820.4759m/z</t>
  </si>
  <si>
    <t>PE(20:5(5Z,8Z,11Z,14Z,17Z)/18:3(9,11,15)-OH(13))</t>
  </si>
  <si>
    <t>HMDB0262636</t>
  </si>
  <si>
    <t>[H][C@@](COC(=O)CCC\C=C/C\C=C/C\C=C/C\C=C/C\C=C/CC)(COP(O)(=O)OCCN)OC(=O)CCCCCCC\C=C\C=C\C(O)C\C=C\CC</t>
  </si>
  <si>
    <t>ALBWJZCCVRAMTF-TYVBBBPDSA-N</t>
  </si>
  <si>
    <t>C43H70NO9P</t>
  </si>
  <si>
    <t>13.33_453.3588m/z</t>
  </si>
  <si>
    <t>17-oxo-20Z-hexacosenoic acid</t>
  </si>
  <si>
    <t>LMFA01060149</t>
  </si>
  <si>
    <t>C(CCCCCCCCCCCCCCCC(=O)CC/C=C\CCCCC)(=O)O</t>
  </si>
  <si>
    <t>KBDNHCBOCXMQNL-SSZFMOIBSA-N</t>
  </si>
  <si>
    <t>C26H48O3</t>
  </si>
  <si>
    <t>0.74_202.9970m/z</t>
  </si>
  <si>
    <t>2-Hydroxy-5-(trifluoromethoxy)benzoic Acid</t>
  </si>
  <si>
    <t>HMDB0245146</t>
  </si>
  <si>
    <t>OC(=O)C1=C(O)C=CC(OC(F)(F)F)=C1</t>
  </si>
  <si>
    <t>HNYMLXYADOZCNY-UHFFFAOYSA-N</t>
  </si>
  <si>
    <t>C8H5F3O4</t>
  </si>
  <si>
    <t>0.71_363.0879m/z</t>
  </si>
  <si>
    <t>Neobanone</t>
  </si>
  <si>
    <t>LMPK12060036</t>
  </si>
  <si>
    <t>C12OC=CC1=CC1C(=O)C3(OC)C4=C(OCC3OC=1C=2)C=C(OC)C(OC)=C4</t>
  </si>
  <si>
    <t>DGLSPEHHYIIOPE-UHFFFAOYSA-N</t>
  </si>
  <si>
    <t>Rotenoids</t>
  </si>
  <si>
    <t>C21H18O7</t>
  </si>
  <si>
    <t>4.81_292.0761m/z</t>
  </si>
  <si>
    <t>Glycodiazine</t>
  </si>
  <si>
    <t>HMDB0015461</t>
  </si>
  <si>
    <t>C12791</t>
  </si>
  <si>
    <t>339-44-6</t>
  </si>
  <si>
    <t>COCCOC1=CN=C(NS(=O)(=O)C2=CC=CC=C2)N=C1</t>
  </si>
  <si>
    <t>QFWPJPIVLCBXFJ-UHFFFAOYSA-N</t>
  </si>
  <si>
    <t>C13H15N3O4S</t>
  </si>
  <si>
    <t>11.57_375.1273m/z</t>
  </si>
  <si>
    <t>Ethinyl estradiol sulfate</t>
  </si>
  <si>
    <t>HMDB0252017</t>
  </si>
  <si>
    <t>CC12CCC3C(CCC4=C3C=CC(OS(O)(=O)=O)=C4)C1CCC2(O)C#C</t>
  </si>
  <si>
    <t>WLGIWVFFGMPRLM-UHFFFAOYSA-N</t>
  </si>
  <si>
    <t>C20H24O5S</t>
  </si>
  <si>
    <t>8.27_625.3597m/z</t>
  </si>
  <si>
    <t>Ponasteroside A</t>
  </si>
  <si>
    <t>HMDB0034091</t>
  </si>
  <si>
    <t>20117-33-3</t>
  </si>
  <si>
    <t>[H][C@@]1(CC[C@@]2(O)C3=CC(=O)[C@]4([H])C[C@@H](O[C@]5([H])O[C@H](CO)[C@@H](O)[C@H](O)[C@H]5O)[C@@H](O)C[C@]4(C)[C@@]3([H])CC[C@]12C)[C@@](C)(O)[C@H](O)CCC(C)C</t>
  </si>
  <si>
    <t>CNAKQRUFJWYXIC-PPOCGGKUSA-N</t>
  </si>
  <si>
    <t>C33H54O11</t>
  </si>
  <si>
    <t>4.53_261.0357m/z</t>
  </si>
  <si>
    <t>2-Oxosuccinamate</t>
  </si>
  <si>
    <t>HMDB0060350</t>
  </si>
  <si>
    <t>C02362</t>
  </si>
  <si>
    <t>OC(=N)CC(=O)C(O)=O</t>
  </si>
  <si>
    <t>ONGPAWNLFDCRJE-UHFFFAOYSA-N</t>
  </si>
  <si>
    <t>C4H5NO4</t>
  </si>
  <si>
    <t>2.64_258.1459m/z</t>
  </si>
  <si>
    <t>Glutaminylleucine</t>
  </si>
  <si>
    <t>HMDB0028801</t>
  </si>
  <si>
    <t>34027-65-1</t>
  </si>
  <si>
    <t>CC(C)C[C@H](NC(=O)[C@@H](N)CCC(N)=O)C(O)=O</t>
  </si>
  <si>
    <t>ARPVSMCNIDAQBO-YUMQZZPRSA-N</t>
  </si>
  <si>
    <t>4.83_676.3678m/z</t>
  </si>
  <si>
    <t>(S)-Nerolidol 3-O-[a-L-rhamnopyranosyl-(1-&gt;4)-a-L-rhamnopyranosyl-(1-&gt;6)-b-D-glucopyranoside]</t>
  </si>
  <si>
    <t>HMDB0040846</t>
  </si>
  <si>
    <t>130466-33-0</t>
  </si>
  <si>
    <t>CC1OC(OC2C(C)OC(OCC3OC(OC(C)(CC\C=C(/C)CCC=C(C)C)C=C)C(O)C(O)C3O)C(O)C2O)C(O)C(O)C1O</t>
  </si>
  <si>
    <t>HIAIQDVRFUXFLS-GHRIWEEISA-N</t>
  </si>
  <si>
    <t>C33H56O14</t>
  </si>
  <si>
    <t>3.90_254.1614m/z</t>
  </si>
  <si>
    <t>Prolyl-Arginine</t>
  </si>
  <si>
    <t>HMDB0029011</t>
  </si>
  <si>
    <t>NC(=N)NCCCC(NC(=O)C1CCCN1)C(O)=O</t>
  </si>
  <si>
    <t>HMNSRTLZAJHSIK-UHFFFAOYSA-N</t>
  </si>
  <si>
    <t>11.17_276.2331m/z</t>
  </si>
  <si>
    <t>1,6Z,9Z,12Z,15Z-octadecapenten-3-one</t>
  </si>
  <si>
    <t>LMFA12000378</t>
  </si>
  <si>
    <t>C=CC(=O)CC/C=C\C/C=C\C/C=C\C/C=C\CC</t>
  </si>
  <si>
    <t>IVDMCRPNDZNGKM-AFSLFLIVSA-N</t>
  </si>
  <si>
    <t>C18H26O</t>
  </si>
  <si>
    <t>5.14_233.1544m/z</t>
  </si>
  <si>
    <t>FS4 toxin</t>
  </si>
  <si>
    <t>HMDB0037064</t>
  </si>
  <si>
    <t>CC1(CC(=O)C=C1CO)C1(C)CCC(C)(O)C=C1</t>
  </si>
  <si>
    <t>MKMOUQVTTUPKSO-UHFFFAOYSA-N</t>
  </si>
  <si>
    <t>2.68_147.0921m/z</t>
  </si>
  <si>
    <t>5-Fluoromethylornithine</t>
  </si>
  <si>
    <t>HMDB0245493</t>
  </si>
  <si>
    <t>NC(CF)CCC(N)C(O)=O</t>
  </si>
  <si>
    <t>PRNUWRQQLDXHRZ-UHFFFAOYSA-N</t>
  </si>
  <si>
    <t>C6H13FN2O2</t>
  </si>
  <si>
    <t>5.42_227.0918m/z</t>
  </si>
  <si>
    <t>Asperitaconic acid C</t>
  </si>
  <si>
    <t>LMFA01170148</t>
  </si>
  <si>
    <t>[C@H](C(=C)C(O)=O)(C(=O)O)CCCCC(=O)C</t>
  </si>
  <si>
    <t>IGSGZWAWTKVRCR-VIFPVBQESA-N</t>
  </si>
  <si>
    <t>C11H16O5</t>
  </si>
  <si>
    <t>8.72_237.1492m/z</t>
  </si>
  <si>
    <t>Eremopetasidione</t>
  </si>
  <si>
    <t>HMDB0040778</t>
  </si>
  <si>
    <t>163135-94-2</t>
  </si>
  <si>
    <t>CC1C(O)CCC2CC(=O)C(=CC12C)C(C)=O</t>
  </si>
  <si>
    <t>ZKOZDFWTXYIUDZ-UHFFFAOYSA-N</t>
  </si>
  <si>
    <t>1.29_131.0950n</t>
  </si>
  <si>
    <t>L-Leucine</t>
  </si>
  <si>
    <t>HMDB0000687</t>
  </si>
  <si>
    <t>C00123</t>
  </si>
  <si>
    <t>hsa00280,hsa00290,hsa00970,hsa04150,hsa05131,hsa05230</t>
  </si>
  <si>
    <t>Valine, leucine and isoleucine degradation|Valine, leucine and isoleucine biosynthesis|Aminoacyl-tRNA biosynthesis|mTOR signaling pathway|Shigellosis|Central carbon metabolism in cancer</t>
  </si>
  <si>
    <t>61-90-5</t>
  </si>
  <si>
    <t>CC(C)C[C@H](N)C(O)=O</t>
  </si>
  <si>
    <t>ROHFNLRQFUQHCH-YFKPBYRVSA-N</t>
  </si>
  <si>
    <t>9.50_676.3448m/z</t>
  </si>
  <si>
    <t>OKOOA-PE</t>
  </si>
  <si>
    <t>LMGP20020044</t>
  </si>
  <si>
    <t>[C@](COP(=O)(O)OCCN)([H])(OC(CCCC(=O)/C=C/C=O)=O)COC(CCCCCCC/C=C\CCCCCCCC)=O</t>
  </si>
  <si>
    <t>AIJDATWGBVIZEN-ZEWFGLQISA-N</t>
  </si>
  <si>
    <t>C31H54NO10P</t>
  </si>
  <si>
    <t>12.71_433.3323m/z</t>
  </si>
  <si>
    <t>1alpha,25-dihydroxy-3-deoxy-19-norvitamin D3 / 1alpha,25-dihydroxy-3-deoxy-19-norcholecalciferol</t>
  </si>
  <si>
    <t>LMST03020562</t>
  </si>
  <si>
    <t>[C@@H]1(O)C/C(=C\C=C2\[C@]3([H])CC[C@@]([C@@](C)([H])CCCC(O)(C)C)([H])[C@@]3(C)CCC\2)/CCC1</t>
  </si>
  <si>
    <t>LJMDYVKRZKWSKK-UDMMNZRLSA-N</t>
  </si>
  <si>
    <t>508</t>
  </si>
  <si>
    <t>Beta-Lactose</t>
  </si>
  <si>
    <t>HMDB0041627</t>
  </si>
  <si>
    <t>C01970</t>
  </si>
  <si>
    <t>5965-66-2</t>
  </si>
  <si>
    <t>OC[C@H]1O[C@@H](O[C@H]2[C@H](O)[C@@H](O)[C@H](O)O[C@@H]2CO)[C@H](O)[C@@H](O)[C@H]1O</t>
  </si>
  <si>
    <t>GUBGYTABKSRVRQ-DCSYEGIMSA-N</t>
  </si>
  <si>
    <t>1.03_241.0596n</t>
  </si>
  <si>
    <t>2,4-Dihydroxy-7,8-dimethoxy-2H-1,4-benzoxazin-3(4H)-one</t>
  </si>
  <si>
    <t>HMDB0037549</t>
  </si>
  <si>
    <t>60032-92-0</t>
  </si>
  <si>
    <t>COC1=C(OC)C2=C(C=C1)N(O)C(=O)C(O)O2</t>
  </si>
  <si>
    <t>VBXNJRCPOOQJML-UHFFFAOYSA-N</t>
  </si>
  <si>
    <t>C10H11NO6</t>
  </si>
  <si>
    <t>9.18_203.1801m/z</t>
  </si>
  <si>
    <t>Nonylphenol</t>
  </si>
  <si>
    <t>HMDB0038982</t>
  </si>
  <si>
    <t>LMPK15010001</t>
  </si>
  <si>
    <t>C14550</t>
  </si>
  <si>
    <t>104-40-5</t>
  </si>
  <si>
    <t>C1C=C(CCCCCCCCC)C=CC=1O</t>
  </si>
  <si>
    <t>IGFHQQFPSIBGKE-UHFFFAOYSA-N</t>
  </si>
  <si>
    <t>184</t>
  </si>
  <si>
    <t>1,3-Benzenediol</t>
  </si>
  <si>
    <t>HMDB0032037</t>
  </si>
  <si>
    <t>C01751</t>
  </si>
  <si>
    <t>108-46-3</t>
  </si>
  <si>
    <t>OC1=CC(O)=CC=C1</t>
  </si>
  <si>
    <t>GHMLBKRAJCXXBS-UHFFFAOYSA-N</t>
  </si>
  <si>
    <t>C6H6O2</t>
  </si>
  <si>
    <t>12.99_283.2279m/z</t>
  </si>
  <si>
    <t>(±)-2-Dodecylcyclobutanone</t>
  </si>
  <si>
    <t>HMDB0037544</t>
  </si>
  <si>
    <t>CCCCCCCCCCCCC1CCC1=O</t>
  </si>
  <si>
    <t>VVKRFZDUZMLMQM-UHFFFAOYSA-N</t>
  </si>
  <si>
    <t>C16H30O</t>
  </si>
  <si>
    <t>4.61_452.1806m/z</t>
  </si>
  <si>
    <t>Tyr Thr Phe</t>
  </si>
  <si>
    <t>CC(C(C(=O)NC(CC1=CC=CC=C1)C(=O)O)NC(=O)C(CC2=CC=C(C=C2)O)N)O</t>
  </si>
  <si>
    <t>LDKDSFQSEUOCOO-RPTUDFQQSA-N</t>
  </si>
  <si>
    <t>C22H27N3O6</t>
  </si>
  <si>
    <t>12.94_353.3304n</t>
  </si>
  <si>
    <t>Anandamide (20:1, n-9)</t>
  </si>
  <si>
    <t>LMFA08040010</t>
  </si>
  <si>
    <t>C(C/C=C\CCCCCCCC)CCCCCCCC(=O)NCCO</t>
  </si>
  <si>
    <t>YDKRGMXLBRWZJR-KTKRTIGZSA-N</t>
  </si>
  <si>
    <t>C22H43NO2</t>
  </si>
  <si>
    <t>10.33_414.3589m/z</t>
  </si>
  <si>
    <t>3-MethylHexadecanoylcarnitine</t>
  </si>
  <si>
    <t>HMDB0240862</t>
  </si>
  <si>
    <t>CCCCCCCCCCCCCC(C)CC(=O)OC(CC([O-])=O)C[N+](C)(C)C</t>
  </si>
  <si>
    <t>PSVDVCBWHPUWGB-UHFFFAOYSA-N</t>
  </si>
  <si>
    <t>4.21_399.0787m/z</t>
  </si>
  <si>
    <t>Glucose lactate pyruvate</t>
  </si>
  <si>
    <t>HMDB0252783</t>
  </si>
  <si>
    <t>CC(O)C(=O)OOC(=O)C(=O)CC1(O)OC(CO)C(O)C(O)C1O</t>
  </si>
  <si>
    <t>FWQWYTQHEPIGFR-UHFFFAOYSA-N</t>
  </si>
  <si>
    <t>13.51_683.4506m/z</t>
  </si>
  <si>
    <t>PE-Cer(d14:2(4E,6E)/19:0)</t>
  </si>
  <si>
    <t>LMSP03020039</t>
  </si>
  <si>
    <t>[C@](COP(=O)(O)OCCN)([H])(NC(CCCCCCCCCCCCCCCCCC)=O)[C@]([H])(O)/C=C/C=C/CCCCCCC</t>
  </si>
  <si>
    <t>CKKDLMNKUBVQFV-YKENKANRSA-N</t>
  </si>
  <si>
    <t>C35H69N2O6P</t>
  </si>
  <si>
    <t>4.87_371.2389m/z</t>
  </si>
  <si>
    <t>Dodecyl glucoside</t>
  </si>
  <si>
    <t>59122-55-3</t>
  </si>
  <si>
    <t>CCCCCCCCCCCCOC1C(C(C(C(O1)CO)O)O)O</t>
  </si>
  <si>
    <t>PYIDGJJWBIBVIA-UYTYNIKBSA-N</t>
  </si>
  <si>
    <t>C18H36O6</t>
  </si>
  <si>
    <t>8.29_211.1334m/z</t>
  </si>
  <si>
    <t>7-oxo-11-Dodecenoic acid</t>
  </si>
  <si>
    <t>LMFA01060182</t>
  </si>
  <si>
    <t>54921-60-7</t>
  </si>
  <si>
    <t>C(CCCCCC(=O)CCCC=C)(=O)O</t>
  </si>
  <si>
    <t>CDSFEDLMFNBDBT-UHFFFAOYSA-N</t>
  </si>
  <si>
    <t>4.17_629.7904m/z</t>
  </si>
  <si>
    <t>3,3',5-Triiodothyronamine</t>
  </si>
  <si>
    <t>HMDB0246014</t>
  </si>
  <si>
    <t>NCCC1=CC(I)=C(OC2=CC(I)=C(O)C=C2)C(I)=C1</t>
  </si>
  <si>
    <t>KIXGKGGCXPSNDX-UHFFFAOYSA-N</t>
  </si>
  <si>
    <t>C14H12I3NO2</t>
  </si>
  <si>
    <t>4.71_153.0547m/z</t>
  </si>
  <si>
    <t>2-Octenedioic acid</t>
  </si>
  <si>
    <t>HMDB0000341</t>
  </si>
  <si>
    <t>5698-50-0</t>
  </si>
  <si>
    <t>OC(=O)CCCC\C=C\C(O)=O</t>
  </si>
  <si>
    <t>BNTPVRGYUHJFHN-HWKANZROSA-N</t>
  </si>
  <si>
    <t>6.22_295.1163m/z</t>
  </si>
  <si>
    <t>Helinorbisabone</t>
  </si>
  <si>
    <t>HMDB0032116</t>
  </si>
  <si>
    <t>201288-95-1</t>
  </si>
  <si>
    <t>CC(C(O)\C=C\C(C)=O)C1=C(O)C=C(C)C(O)=C1</t>
  </si>
  <si>
    <t>QUWXRNSZOIJARN-SNAWJCMRSA-N</t>
  </si>
  <si>
    <t>C14H18O4</t>
  </si>
  <si>
    <t>1.30_350.1636n</t>
  </si>
  <si>
    <t>strychnine N-oxide</t>
  </si>
  <si>
    <t>C1C[N+]2(CC3=CCOC4CC(=O)N5C6C4C3CC2C61C7=CC=CC=C75)[O-]</t>
  </si>
  <si>
    <t>ADTDBAKUQAKBGZ-VXJIXCKJSA-N</t>
  </si>
  <si>
    <t>C21H22N2O3</t>
  </si>
  <si>
    <t>14.46_420.3460m/z</t>
  </si>
  <si>
    <t>C-6 Ceramide</t>
  </si>
  <si>
    <t>124753-97-5</t>
  </si>
  <si>
    <t>CCCCCCCCCCCCCC=CC(C(CO)NC(=O)CCCCC)O</t>
  </si>
  <si>
    <t>NPRJSFWNFTXXQC-QFWQFVLDSA-N</t>
  </si>
  <si>
    <t>6.11_197.0815m/z</t>
  </si>
  <si>
    <t>(S)-Batatic acid</t>
  </si>
  <si>
    <t>HMDB0035721</t>
  </si>
  <si>
    <t>CC(CCC(=O)C1=COC=C1)C(O)=O</t>
  </si>
  <si>
    <t>IVEUNBPJQOKPGL-UHFFFAOYSA-N</t>
  </si>
  <si>
    <t>0.74_215.0668m/z</t>
  </si>
  <si>
    <t>gamma-Glutamylserine</t>
  </si>
  <si>
    <t>HMDB0029158</t>
  </si>
  <si>
    <t>5875-35-4</t>
  </si>
  <si>
    <t>N[C@@H](CCC(=O)N[C@@H](CO)C(O)=O)C(O)=O</t>
  </si>
  <si>
    <t>SQBNIUOYNOKDTI-WHFBIAKZSA-N</t>
  </si>
  <si>
    <t>12.71_429.1742m/z</t>
  </si>
  <si>
    <t>Tarazepide</t>
  </si>
  <si>
    <t>HMDB0258726</t>
  </si>
  <si>
    <t>CN1C2=CC=CC=C2C(=NC(NC(=O)C2=CC3=C4N2CCCC4=CC=C3)C1=O)C1=CC=CC=C1</t>
  </si>
  <si>
    <t>CZPILLBHPRAPCB-UHFFFAOYSA-N</t>
  </si>
  <si>
    <t>C28H24N4O2</t>
  </si>
  <si>
    <t>4.36_223.1426m/z</t>
  </si>
  <si>
    <t>Hexamethylene bisacetamide</t>
  </si>
  <si>
    <t>HMDB0041901</t>
  </si>
  <si>
    <t>3073-59-4</t>
  </si>
  <si>
    <t>CC(O)=NCCCCCCN=C(C)O</t>
  </si>
  <si>
    <t>BNQSTAOJRULKNX-UHFFFAOYSA-N</t>
  </si>
  <si>
    <t>C10H20N2O2</t>
  </si>
  <si>
    <t>5.00_225.0169m/z</t>
  </si>
  <si>
    <t>2-(Phosphonomethyl)pentanedioic acid</t>
  </si>
  <si>
    <t>HMDB0244955</t>
  </si>
  <si>
    <t>OC(=O)CCC(CP(O)(O)=O)C(O)=O</t>
  </si>
  <si>
    <t>ISEYJGQFXSTPMQ-UHFFFAOYSA-N</t>
  </si>
  <si>
    <t>C6H11O7P</t>
  </si>
  <si>
    <t>4.18_219.0451m/z</t>
  </si>
  <si>
    <t>N-Acetyl-S-(N-methylcarbamoyl)cysteine</t>
  </si>
  <si>
    <t>HMDB0041942</t>
  </si>
  <si>
    <t>C11490</t>
  </si>
  <si>
    <t>103974-29-4</t>
  </si>
  <si>
    <t>[H][C@@](CSC(O)=NC)(N=C(C)O)C(O)=O</t>
  </si>
  <si>
    <t>MXRPNYMMDLFYDL-YFKPBYRVSA-N</t>
  </si>
  <si>
    <t>C7H12N2O4S</t>
  </si>
  <si>
    <t>3.40_233.0541m/z</t>
  </si>
  <si>
    <t>O-Phospho-4-hydroxy-L-threonine</t>
  </si>
  <si>
    <t>HMDB0006802</t>
  </si>
  <si>
    <t>C06055</t>
  </si>
  <si>
    <t>94987-72-1</t>
  </si>
  <si>
    <t>N[C@@H]([C@H](O)COP(O)(O)=O)C(O)=O</t>
  </si>
  <si>
    <t>FKHAKIJOKDGEII-GBXIJSLDSA-N</t>
  </si>
  <si>
    <t>C4H10NO7P</t>
  </si>
  <si>
    <t>489</t>
  </si>
  <si>
    <t>Leucrose</t>
  </si>
  <si>
    <t>7158-70-5</t>
  </si>
  <si>
    <t>C(C1C(C(C(C(O1)OC(CO)C(C(C(=O)CO)O)O)O)O)O)O</t>
  </si>
  <si>
    <t>DXALOGXSFLZLLN-WTZPKTTFSA-N</t>
  </si>
  <si>
    <t>4.96_470.1836m/z</t>
  </si>
  <si>
    <t>Mecinarone</t>
  </si>
  <si>
    <t>HMDB0254392</t>
  </si>
  <si>
    <t>COC1=CC=C(C=CC(=O)C2=C(OC)C3=C(OC=C3)C(OC)=C2OCCN(C)C)C=C1</t>
  </si>
  <si>
    <t>WKEFCGWXBSXUOD-UHFFFAOYSA-N</t>
  </si>
  <si>
    <t>C24H27NO6</t>
  </si>
  <si>
    <t>4.67_409.1417m/z</t>
  </si>
  <si>
    <t>N-((6-Methyl-5-oxo-3-thiomorpholinyl)carbonyl)-L-histidyl-L-proline</t>
  </si>
  <si>
    <t>HMDB0250383</t>
  </si>
  <si>
    <t>CC1SCC(NC1=O)C(=O)NC(CC1=CN=CN1)C(=O)N1CCCC1C(O)=O</t>
  </si>
  <si>
    <t>BWBSSERHKZVUKK-UHFFFAOYSA-N</t>
  </si>
  <si>
    <t>C17H23N5O5S</t>
  </si>
  <si>
    <t>3.60_226.0726n</t>
  </si>
  <si>
    <t>lysine phosphoester</t>
  </si>
  <si>
    <t>HMDB0254265</t>
  </si>
  <si>
    <t>NCCCCC(N)C(=O)OP(O)(O)=O</t>
  </si>
  <si>
    <t>UGPVGRMTKQLUNS-UHFFFAOYSA-N</t>
  </si>
  <si>
    <t>C6H15N2O5P</t>
  </si>
  <si>
    <t>8.29_290.2971m/z</t>
  </si>
  <si>
    <t>6Z,9Z,20-Heneicosatriene</t>
  </si>
  <si>
    <t>LMFA11000137</t>
  </si>
  <si>
    <t>CCCCC/C=C\C/C=C\CCCCCCCCCC=C</t>
  </si>
  <si>
    <t>JEADKAHJFBCEDU-MLWYYCKJSA-N</t>
  </si>
  <si>
    <t>C21H38</t>
  </si>
  <si>
    <t>4.09_467.2450m/z</t>
  </si>
  <si>
    <t>4-[3-[4-(Diphenylmethyl)-1-piperazinyl]-2-hydroxypropoxy]-1H-indole-2-carbonitrile</t>
  </si>
  <si>
    <t>HMDB0251609</t>
  </si>
  <si>
    <t>OC(COC1=CC=CC2=C1C=C(N2)C#N)CN1CCN(CC1)C(C1=CC=CC=C1)C1=CC=CC=C1</t>
  </si>
  <si>
    <t>BYBYHCOEAFHGJL-UHFFFAOYSA-N</t>
  </si>
  <si>
    <t>C29H30N4O2</t>
  </si>
  <si>
    <t>11.94_317.2484m/z</t>
  </si>
  <si>
    <t>[10]-Paradol</t>
  </si>
  <si>
    <t>HMDB0040642</t>
  </si>
  <si>
    <t>36700-48-8</t>
  </si>
  <si>
    <t>CCCCCCCCCCCC(=O)CCC1=CC(OC)=C(O)C=C1</t>
  </si>
  <si>
    <t>XNBUKRQGYHYOOP-UHFFFAOYSA-N</t>
  </si>
  <si>
    <t>7.14_295.0216m/z</t>
  </si>
  <si>
    <t>(2R,3S)-Piscidic acid</t>
  </si>
  <si>
    <t>HMDB0030809</t>
  </si>
  <si>
    <t>35388-57-9</t>
  </si>
  <si>
    <t>OC(C(O)=O)C(O)(CC1=CC=C(O)C=C1)C(O)=O</t>
  </si>
  <si>
    <t>TUODPMGCCJSJRH-UHFFFAOYSA-N</t>
  </si>
  <si>
    <t>C11H12O7</t>
  </si>
  <si>
    <t>4.28_398.1722m/z</t>
  </si>
  <si>
    <t>Ala Tyr Phe</t>
  </si>
  <si>
    <t>CC(C(=O)NC(CC1=CC=C(C=C1)O)C(=O)NC(CC2=CC=CC=C2)C(=O)O)N</t>
  </si>
  <si>
    <t>JNJHNBXBGNJESC-KKXDTOCCSA-N</t>
  </si>
  <si>
    <t>C21H25N3O5</t>
  </si>
  <si>
    <t>255</t>
  </si>
  <si>
    <t>Phenyllactic Acid</t>
  </si>
  <si>
    <t>HMDB0000779</t>
  </si>
  <si>
    <t>C01479</t>
  </si>
  <si>
    <t>828-01-3</t>
  </si>
  <si>
    <t>OC(CC1=CC=CC=C1)C(O)=O</t>
  </si>
  <si>
    <t>VOXXWSYKYCBWHO-UHFFFAOYSA-N</t>
  </si>
  <si>
    <t>7.16_347.2227m/z</t>
  </si>
  <si>
    <t>Urocortisone</t>
  </si>
  <si>
    <t>LMST02030098</t>
  </si>
  <si>
    <t>C05470</t>
  </si>
  <si>
    <t>53-05-4</t>
  </si>
  <si>
    <t>[C@@]12([H])CC[C@](O)(C(=O)CO)[C@@]1(C)CC(=O)[C@]1([H])[C@@]3(C)CC[C@@H](O)C[C@@]3([H])CC[C@@]21[H]</t>
  </si>
  <si>
    <t>SYGWGHVTLUBCEM-ZIZPXRJBSA-N</t>
  </si>
  <si>
    <t>420</t>
  </si>
  <si>
    <t>Margaric Acid</t>
  </si>
  <si>
    <t>HMDB0002259</t>
  </si>
  <si>
    <t>LMFA01010017</t>
  </si>
  <si>
    <t>506-12-7</t>
  </si>
  <si>
    <t>C(CCCCCCC)CCCCCCCCC(=O)O</t>
  </si>
  <si>
    <t>KEMQGTRYUADPNZ-UHFFFAOYSA-N</t>
  </si>
  <si>
    <t>13.29_431.3165m/z</t>
  </si>
  <si>
    <t>25-hydroxy-3-deoxy-2-oxavitamin D3 / 25-hydroxy-3-deoxy-2-oxacholecalciferol</t>
  </si>
  <si>
    <t>LMST03020040</t>
  </si>
  <si>
    <t>C1C(=C)/C(=C\C=C2\[C@]3([H])CC[C@@]([C@@](C)([H])CCCC(O)(C)C)([H])[C@@]3(C)CCC\2)/CCO1</t>
  </si>
  <si>
    <t>CCFSYRQFWNVGDG-SDPFTLJPSA-N</t>
  </si>
  <si>
    <t>1.52_301.1306m/z</t>
  </si>
  <si>
    <t>His Phe</t>
  </si>
  <si>
    <t>C1=CC=C(C=C1)CC(C(=O)O)NC(=O)C(CC2=CN=CN2)N</t>
  </si>
  <si>
    <t>XMAUFHMAAVTODF-UHFFFAOYSA-N</t>
  </si>
  <si>
    <t>3.92_226.0597n</t>
  </si>
  <si>
    <t>Nitrotyrosine</t>
  </si>
  <si>
    <t>HMDB0001904</t>
  </si>
  <si>
    <t>621-44-3</t>
  </si>
  <si>
    <t>C1=CC(=CC=C1CC(C(=O)O)N[N+](=O)[O-])O</t>
  </si>
  <si>
    <t>GIANIJCPTPUNBA-QMMMGPOBSA-N</t>
  </si>
  <si>
    <t>3.10_82.0534m/z</t>
  </si>
  <si>
    <t>1-Methylimidazole</t>
  </si>
  <si>
    <t>HMDB0243940</t>
  </si>
  <si>
    <t>CN1C=CN=C1</t>
  </si>
  <si>
    <t>MCTWTZJPVLRJOU-UHFFFAOYSA-N</t>
  </si>
  <si>
    <t>C4H6N2</t>
  </si>
  <si>
    <t>5.01_453.1569m/z</t>
  </si>
  <si>
    <t>N-[4-(Benzylamino)-3-cyanoquinolin-2-yl]-4-methoxybenzamide</t>
  </si>
  <si>
    <t>HMDB0258468</t>
  </si>
  <si>
    <t>COC1=CC=C(C=C1)C(O)=NC1=NC2=CC=CC=C2C(NCC2=CC=CC=C2)=C1C#N</t>
  </si>
  <si>
    <t>FFHQNQNMELQOEF-UHFFFAOYSA-N</t>
  </si>
  <si>
    <t>C25H20N4O2</t>
  </si>
  <si>
    <t>7.68_497.2760m/z</t>
  </si>
  <si>
    <t>DG(20:4(6E,8Z,11Z,13E)-2OH(5S,15S)/0:0/2:0)</t>
  </si>
  <si>
    <t>HMDB0297002</t>
  </si>
  <si>
    <t>CCCCC[C@H](O)\C=C\C=C/C\C=C/C=C/[C@H](O)CCCC(=O)OC[C@@H](O)COC(C)=O</t>
  </si>
  <si>
    <t>ASBFZEOAUUCKBN-FGWOOYDVSA-N</t>
  </si>
  <si>
    <t>C25H40O7</t>
  </si>
  <si>
    <t>10.04_291.1968m/z</t>
  </si>
  <si>
    <t>9S-hydroxy-10S,11S-epoxy-12Z,15Z-octadecadienoic acid</t>
  </si>
  <si>
    <t>LMFA02000019</t>
  </si>
  <si>
    <t>C(CCCCCCC[C@H](O)[C@@H]1O[C@H]1/C=C\C/C=C\CC)(=O)O</t>
  </si>
  <si>
    <t>OAIJQUCVLFETGX-OYWKBIDZSA-N</t>
  </si>
  <si>
    <t>7.84_302.1761m/z</t>
  </si>
  <si>
    <t>Ractopamine</t>
  </si>
  <si>
    <t>CC(CCC1=CC=C(C=C1)O)NCC(C2=CC=C(C=C2)O)O</t>
  </si>
  <si>
    <t>YJQZYXCXBBCEAQ-UHFFFAOYSA-N</t>
  </si>
  <si>
    <t>C18H23NO3</t>
  </si>
  <si>
    <t>4.33_157.0496m/z</t>
  </si>
  <si>
    <t>Syoyualdehyde</t>
  </si>
  <si>
    <t>HMDB0033569</t>
  </si>
  <si>
    <t>58921-44-1</t>
  </si>
  <si>
    <t>CC(=O)C(\C)=C/C=O</t>
  </si>
  <si>
    <t>PEBMIJGMJUFNQE-HYXAFXHYSA-N</t>
  </si>
  <si>
    <t>9.66_135.0808m/z</t>
  </si>
  <si>
    <t>Chavicol</t>
  </si>
  <si>
    <t>HMDB0034107</t>
  </si>
  <si>
    <t>C16930</t>
  </si>
  <si>
    <t>501-92-8</t>
  </si>
  <si>
    <t>OC1=CC=C(CC=C)C=C1</t>
  </si>
  <si>
    <t>RGIBXDHONMXTLI-UHFFFAOYSA-N</t>
  </si>
  <si>
    <t>C9H10O</t>
  </si>
  <si>
    <t>14.09_515.3743m/z</t>
  </si>
  <si>
    <t>Eburicoic acid</t>
  </si>
  <si>
    <t>HMDB0251678</t>
  </si>
  <si>
    <t>CC(C)C(=C)CCC(C1CCC2(C)C3=C(CCC12C)C1(C)CCC(O)C(C)(C)C1CC3)C(O)=O</t>
  </si>
  <si>
    <t>UGMQOYZVOPASJF-UHFFFAOYSA-N</t>
  </si>
  <si>
    <t>0.69_78.9177m/z</t>
  </si>
  <si>
    <t>Calcium</t>
  </si>
  <si>
    <t>HMDB0000464</t>
  </si>
  <si>
    <t>C00076</t>
  </si>
  <si>
    <t>hsa04010,hsa04012,hsa04014,hsa04015,hsa04020,hsa04022,hsa04024,hsa04062,hsa04064,hsa04066,hsa04070,hsa04072,hsa04114,hsa04141,hsa04152,hsa04210,hsa04211,hsa04217,hsa04218,hsa04260,hsa04261,hsa04270,hsa04310,hsa04360,hsa04370,hsa04371,hsa04380,hsa04530,hsa04540,hsa04611,hsa04613,hsa04621,hsa04625,hsa04650,hsa04658,hsa04659,hsa04660,hsa04662,hsa04664,hsa04666,hsa04670,hsa04710,hsa04713,hsa04720,hsa04721,hsa04722,hsa04724,hsa04725,hsa04726,hsa04727,hsa04728,hsa04730,hsa04740,hsa04742,hsa04744,hsa04750,hsa04911,hsa04912,hsa04915,hsa04916,hsa04918,hsa04919,hsa04920,hsa04921,hsa04922,hsa04924,hsa04925,hsa04926,hsa04927,hsa04928,hsa04929,hsa04930,hsa04933,hsa04934,hsa04935,hsa04936,hsa04961,hsa04970,hsa04971,hsa04972,hsa04973,hsa04974,hsa04978,hsa05010,hsa05012,hsa05014,hsa05016,hsa05017,hsa05020,hsa05022,hsa05031,hsa05032,hsa05033,hsa05034,hsa05131,hsa05133,hsa05135,hsa05140,hsa05142,hsa05143,hsa05145,hsa05146,hsa05152,hsa05161,hsa05163,hsa05166,hsa05167,hsa05169,hsa05170,hsa05200,hsa05207,hsa05214,hsa05223,hsa05225,hsa05235,hsa05410,hsa05412,hsa05414,hsa05415,hsa05417,hsa05418</t>
  </si>
  <si>
    <t>MAPK signaling pathway|ErbB signaling pathway|Ras signaling pathway|Rap1 signaling pathway|Calcium signaling pathway|cGMP-PKG signaling pathway|cAMP signaling pathway|Chemokine signaling pathway|NF-kappa B signaling pathway|HIF-1 signaling pathway|Phosphatidylinositol signaling system|Phospholipase D signaling pathway|Oocyte meiosis|Protein processing in endoplasmic reticulum|AMPK signaling pathway|Apoptosis|Longevity regulating pathway|Necroptosis|Cellular senescence|Cardiac muscle contraction|Adrenergic signaling in cardiomyocytes|Vascular smooth muscle contraction|Wnt signaling pathway|Axon guidance|VEGF signaling pathway|Apelin signaling pathway|Osteoclast differentiation|Tight junction|Gap junction|Platelet activation|Neutrophil extracellular trap formation|NOD-like receptor signaling pathway|C-type lectin receptor signaling pathway|Natural killer cell mediated cytotoxicity|Th1 and Th2 cell differentiation|Th17 cell differentiation|T cell receptor signaling pathway|B cell receptor signaling pathway|Fc epsilon RI signaling pathway|Fc gamma R-mediated phagocytosis|Leukocyte transendothelial migration|Circadian rhythm|Circadian entrainment|Long-term potentiation|Synaptic vesicle cycle|Neurotrophin signaling pathway|Glutamatergic synapse|Cholinergic synapse|Serotonergic synapse|GABAergic synapse|Dopaminergic synapse|Long-term depression|Olfactory transduction|Taste transduction|Phototransduction|Inflammatory mediator regulation of TRP channels|Insulin secretion|GnRH signaling pathway|Estrogen signaling pathway|Melanogenesis|Thyroid hormone synthesis|Thyroid hormone signaling pathway|Adipocytokine signaling pathway|Oxytocin signaling pathway|Glucagon signaling pathway|Renin secretion|Aldosterone synthesis and secretion|Relaxin signaling pathway|Cortisol synthesis and secretion|Parathyroid hormone synthesis, secretion and action|GnRH secretion|Type II diabetes mellitus|AGE-RAGE signaling pathway in diabetic complications|Cushing syndrome|Growth hormone synthesis, secretion and action|Alcoholic liver disease|Endocrine and other factor-regulated calcium reabsorption|Salivary secretion|Gastric acid secretion|Pancreatic secretion|Carbohydrate digestion and absorption|Protein digestion and absorption|Mineral absorption|Alzheimer disease|Parkinson disease|Amyotrophic lateral sclerosis|Huntington disease|Spinocerebellar ataxia|Prion disease|Pathways of neurodegeneration - multiple diseases|Amphetamine addiction|Morphine addiction|Nicotine addiction|Alcoholism|Shigellosis|Pertussis|Yersinia infection|Leishmaniasis|Chagas disease|African trypanosomiasis|Toxoplasmosis|Amoebiasis|Tuberculosis|Hepatitis B|Human cytomegalovirus infection|Human T-cell leukemia virus 1 infection|Kaposi sarcoma-associated herpesvirus infection|Epstein-Barr virus infection|Human immunodeficiency virus 1 infection|Pathways in cancer|Chemical carcinogenesis - receptor activation|Glioma|Non-small cell lung cancer|Hepatocellular carcinoma|PD-L1 expression and PD-1 checkpoint pathway in cancer|Hypertrophic cardiomyopathy|Arrhythmogenic right ventricular cardiomyopathy|Dilated cardiomyopathy|Diabetic cardiomyopathy|Lipid and atherosclerosis|Fluid shear stress and atherosclerosis</t>
  </si>
  <si>
    <t>R-HSA-109582,R-HSA-111885,R-HSA-111931,R-HSA-111932,R-HSA-111933,R-HSA-111957,R-HSA-111995,R-HSA-111996,R-HSA-111997,R-HSA-112040,R-HSA-112043,R-HSA-112308,R-HSA-112310,R-HSA-112314,R-HSA-112315,R-HSA-112316,R-HSA-114508,R-HSA-114516,R-HSA-114608,R-HSA-1168372,R-HSA-1169091,R-HSA-1187000,R-HSA-1227986,R-HSA-1236974,R-HSA-1236975,R-HSA-1250196,R-HSA-1266738,R-HSA-1280218,R-HSA-1300642,R-HSA-139853,R-HSA-140834,R-HSA-140837,R-HSA-140875,R-HSA-140877,R-HSA-1430728,R-HSA-1445148,R-HSA-1474151,R-HSA-1474165,R-HSA-1474228,R-HSA-1474244,R-HSA-1482788,R-HSA-1482798,R-HSA-1482801,R-HSA-1482839,R-HSA-1482922,R-HSA-1482925,R-HSA-1483115,R-HSA-1483166,R-HSA-1483206,R-HSA-1483249,R-HSA-1483255,R-HSA-1483257,R-HSA-1489509,R-HSA-1500931,R-HSA-15869,R-HSA-1592230,R-HSA-162582,R-HSA-1630316,R-HSA-163615,R-HSA-163685,R-HSA-1638091,R-HSA-163841,R-HSA-1640170,R-HSA-1643685,R-HSA-166016,R-HSA-1660499,R-HSA-1660514,R-HSA-1660516,R-HSA-1660517,R-HSA-166058,R-HSA-1660662,R-HSA-1663150,R-HSA-166520,R-HSA-166658,R-HSA-166662,R-HSA-166663,R-HSA-166786,R-HSA-167060,R-HSA-168179,R-HSA-168188,R-HSA-168249,R-HSA-168256,R-HSA-168898,R-HSA-173623,R-HSA-1793185,R-HSA-180024,R-HSA-181431,R-HSA-181438,R-HSA-1852241,R-HSA-1855204,R-HSA-194138,R-HSA-194315,R-HSA-195258,R-HSA-195721,R-HSA-196854,R-HSA-199991,R-HSA-202131,R-HSA-2024096,R-HSA-2024101,R-HSA-2025928,R-HSA-202733,R-HSA-2029480,R-HSA-2029485,R-HSA-203615,R-HSA-209952,R-HSA-210500,R-HSA-211859,R-HSA-211945,R-HSA-212436,R-HSA-2142688,R-HSA-2142691,R-HSA-2142700,R-HSA-2142753,R-HSA-2142845,R-HSA-2151201,R-HSA-2160916,R-HSA-2187338,R-HSA-2206281,R-HSA-2206285,R-HSA-2206296,R-HSA-2454202,R-HSA-2485179,R-HSA-2514856,R-HSA-2514859,R-HSA-264876,R-HSA-2672351,R-HSA-2855086,R-HSA-2871809,R-HSA-2871837,R-HSA-2980736,R-HSA-2980766,R-HSA-3000178,R-HSA-3247509,R-HSA-3295583,R-HSA-354192,R-HSA-354194,R-HSA-372708,R-HSA-372790,R-HSA-373076,R-HSA-375276,R-HSA-381426,R-HSA-381753,R-HSA-381771,R-HSA-382551,R-HSA-3858494,R-HSA-388396,R-HSA-390522,R-HSA-392499,R-HSA-392517,R-HSA-397014,R-HSA-399710,R-HSA-399719,R-HSA-399721,R-HSA-400508,R-HSA-400511,R-HSA-4086398,R-HSA-4086400,R-HSA-416476,R-HSA-416993,R-HSA-418346,R-HSA-418359,R-HSA-418360,R-HSA-418594,R-HSA-418597,R-HSA-418990,R-HSA-420499,R-HSA-421270,R-HSA-422085,R-HSA-422356,R-HSA-425393,R-HSA-425407,R-HSA-425561,R-HSA-428157,R-HSA-438064,R-HSA-438066,R-HSA-4419969,R-HSA-4420097,R-HSA-442720,R-HSA-442729,R-HSA-442742,R-HSA-442755,R-HSA-442982,R-HSA-445355,R-HSA-446728,R-HSA-451306,R-HSA-451308,R-HSA-451326,R-HSA-456926,R-HSA-4839726,R-HSA-500792,R-HSA-5099900,R-HSA-5210891,R-HSA-5218920,R-HSA-5218921,R-HSA-5260271,R-HSA-5339562,R-HSA-556833,R-HSA-5576891,R-HSA-5576892,R-HSA-5576893,R-HSA-5578775,R-HSA-5602358,R-HSA-5602498,R-HSA-5603041,R-HSA-5607763,R-HSA-5607764,R-HSA-5619036,R-HSA-5619055,R-HSA-5619077,R-HSA-5619102,R-HSA-5619115,R-HSA-5621481,R-HSA-5621575,R-HSA-5626467,R-HSA-5627123,R-HSA-5653656,R-HSA-5663084,R-HSA-5663202,R-HSA-5663205,R-HSA-5668599,R-HSA-5668914,R-HSA-5673000,R-HSA-5673001,R-HSA-5674135,R-HSA-5683057,R-HSA-5684996,R-HSA-5686938,R-HSA-597592,R-HSA-622323,R-HSA-622327,R-HSA-629594,R-HSA-629597,R-HSA-6799990,R-HSA-6802946,R-HSA-6802948,R-HSA-6802949,R-HSA-6802952,R-HSA-6802955,R-HSA-6802957,R-HSA-6803157,R-HSA-6805567,R-HSA-6809371,R-HSA-68875,R-HSA-68886,R-HSA-69278,R-HSA-70221,R-HSA-71387,R-HSA-73857,R-HSA-74160,R-HSA-76002,R-HSA-76005,R-HSA-76009,R-HSA-8850843,R-HSA-8862803,R-HSA-8863678,R-HSA-8876384,R-HSA-8876493,R-HSA-888590,R-HSA-8935690,R-HSA-8939211,R-HSA-8949215,R-HSA-8956319,R-HSA-8963743,R-HSA-8978868,R-HSA-8978934,R-HSA-8982491,R-HSA-8986944,R-HSA-9005891,R-HSA-9005895,R-HSA-9006925,R-HSA-9006931,R-HSA-9006934,R-HSA-9009391,R-HSA-9018678,R-HSA-9022535,R-HSA-9022692,R-HSA-9036866,R-HSA-936837,R-HSA-9617324,R-HSA-9619229,R-HSA-9619483,R-HSA-9620244,R-HSA-9634815,R-HSA-9645723,R-HSA-9648002,R-HSA-9649948,R-HSA-9651496,R-HSA-9656223,R-HSA-9657688,R-HSA-9658195,R-HSA-9659379,R-HSA-9660826,R-HSA-9662001,R-HSA-9662360,R-HSA-9662361,R-HSA-9662851,R-HSA-9664323,R-HSA-9664424,R-HSA-9664433,R-HSA-9667769,R-HSA-9668250,R-HSA-9671793,R-HSA-9672383,R-HSA-9672391,R-HSA-9672396,R-HSA-9673202,R-HSA-9673221,R-HSA-9675151,R-HSA-9678108,R-HSA-9679506,R-HSA-9692914,R-HSA-9692916,R-HSA-9694516,R-HSA-9697154,R-HSA-9705671,R-HSA-9705683,R-HSA-9709957,R-HSA-9716542,R-HSA-9717189,R-HSA-9717207,R-HSA-9734009,R-HSA-9748784,R-HSA-9754706,R-HSA-9759475,R-HSA-9759476,R-HSA-9762292,R-HSA-9764260,R-HSA-9768759,R-HSA-9768777,R-HSA-977225,R-HSA-977606,R-HSA-9824439,R-HSA-9824443,R-HSA-9824446,R-HSA-983169,R-HSA-9833576,R-HSA-983695,R-HSA-983705,R-HSA-983712</t>
  </si>
  <si>
    <t>Hemostasis|Opioid Signalling|PKA-mediated phosphorylation of CREB|CaMK IV-mediated phosphorylation of CREB|Calmodulin induced events|Cam-PDE 1 activation|phospho-PLA2 pathway|Ca-dependent events|CaM pathway|G-protein mediated events|PLC beta mediated events|Presynaptic depolarization and calcium channel opening|Neurotransmitter release cycle|Neurotransmitter receptors and postsynaptic signal transmission|Transmission across Chemical Synapses|Neuronal System|Effects of PIP2 hydrolysis|Disinhibition of SNARE formation|Platelet degranulation |Downstream signaling events of B Cell Receptor (BCR)|Activation of NF-kappaB in B cells|Fertilization|Signaling by ERBB2|ER-Phagosome pathway|Antigen processing-Cross presentation|SHC1 events in ERBB2 signaling|Developmental Biology|Adaptive Immune System|Sperm Motility And Taxes|Elevation of cytosolic Ca2+ levels|Extrinsic Pathway of Fibrin Clot Formation|Intrinsic Pathway of Fibrin Clot Formation|Common Pathway of Fibrin Clot Formation|Formation of Fibrin Clot (Clotting Cascade)|Metabolism|Translocation of SLC2A4 (GLUT4) to the plasma membrane|Tetrahydrobiopterin (BH4) synthesis, recycling, salvage and regulation|Reproduction|Degradation of the extracellular matrix|Extracellular matrix organization|Acyl chain remodelling of PC|Acyl chain remodeling of CL|Acyl chain remodelling of PS|Acyl chain remodelling of PE|Acyl chain remodelling of PI|Acyl chain remodelling of PG|Hydrolysis of LPC|Synthesis of PA|Glycerophospholipid biosynthesis|Inositol phosphate metabolism|PI Metabolism|Phospholipid metabolism|DAG and IP3 signaling|Cell-Cell communication|Metabolism of nucleotides|Mitochondrial biogenesis|Signal Transduction|Glycosaminoglycan metabolism|PKA activation|Integration of energy metabolism|Heparan sulfate/heparin (HS-GAG) metabolism|Gamma carboxylation, hypusine formation and arylsulfatase activation|Cell Cycle|Disease|Toll Like Receptor 4 (TLR4) Cascade|Synthesis of PIPs at the plasma membrane|Synthesis of PIPs at the Golgi membrane|Synthesis of PIPs at the early endosome membrane|Synthesis of PIPs at the late endosome membrane|MyD88:MAL(TIRAP) cascade initiated on plasma membrane|Glycosphingolipid metabolism|The activation of arylsulfatases|Signaling by NTRKs|Complement cascade|Lectin pathway of complement activation|Initial triggering of complement|Creation of C4 and C2 activators|NGF processing|Toll Like Receptor TLR1:TLR2 Cascade|Toll Like Receptor TLR6:TLR2 Cascade|Innate Immune System|Immune System|Toll-like Receptor Cascades|Classical antibody-mediated complement activation|Chondroitin sulfate/dermatan sulfate metabolism|DARPP-32 events|Acetylcholine binding and downstream events|Toll Like Receptor 2 (TLR2) Cascade|Organelle biogenesis and maintenance|Synthesis of IP3 and IP4 in the cytosol|Signaling by VEGF|Signaling by Rho GTPases|RHO GTPase Effectors|Signaling by WNT|Metabolism of vitamins and cofactors|Membrane Trafficking|Metabolism of nitric oxide: NOS3 activation and regulation|HS-GAG degradation|CS/DS degradation|Calcineurin activates NFAT|Cell surface interactions at the vascular wall|Fcgamma receptor (FCGR) dependent phagocytosis|Role of phospholipids in phagocytosis|eNOS activation|Peptide hormone biosynthesis|Glutamate Neurotransmitter Release Cycle|Biological oxidations|Phase I - Functionalization of compounds|Generic Transcription Pathway|Synthesis of 5-eicosatetraenoic acids|Synthesis of Leukotrienes (LT) and Eoxins (EX)|Synthesis of Lipoxins (LX)|Arachidonic acid metabolism|Hyaluronan metabolism|Transcriptional activation of mitochondrial biogenesis|Hyaluronan uptake and degradation|Visual phototransduction|Mucopolysaccharidoses|MPS VI - Maroteaux-Lamy syndrome|MPS II - Hunter syndrome|Fc epsilon receptor (FCERI) signaling|Activation of the phototransduction cascade|The phototransduction cascade|Inactivation, recovery and regulation of the phototransduction cascade|Insulin processing|Stimuli-sensing channels|Ficolins bind to repetitive carbohydrate structures on the target cell surface|FCERI mediated Ca+2 mobilization|FCERI mediated NF-kB activation|Peptide hormone metabolism|Nuclear Envelope Breakdown|ECM proteoglycans|Chromatin modifying enzymes|TRP channels|Integrin signaling|GRB2:SOS provides linkage to MAPK signaling for Integrins |p130Cas linkage to MAPK signaling for integrins|Signaling by GPCR|Class A/1 (Rhodopsin-like receptors)|Peptide ligand-binding receptors|Regulation of Insulin-like Growth Factor (IGF) transport and uptake by Insulin-like Growth Factor Binding Proteins (IGFBPs)|Olfactory Signaling Pathway|Synthesis, secretion, and inactivation of Glucagon-like Peptide-1 (GLP-1)|Transport of small molecules|Beta-catenin independent WNT signaling|GPCR downstream signalling|Striated Muscle Contraction|Metabolism of proteins|Rap1 signalling|Muscle contraction|Activation of AMPA receptors|Trafficking of AMPA receptors|Glutamate binding, activation of AMPA receptors and synaptic plasticity|Incretin synthesis, secretion, and inactivation|Synthesis, secretion, and inactivation of Glucose-dependent Insulinotropic Polypeptide (GIP)|Ca2+ pathway|PCP/CE pathway|G alpha (q) signalling events|Trafficking of GluR2-containing AMPA receptors|Platelet homeostasis|Reduction of cytosolic Ca++ levels|Platelet calcium homeostasis|G alpha (i) signalling events|G alpha (z) signalling events|Adherens junctions interactions|Class C/3 (Metabotropic glutamate/pheromone receptors)|Cell-cell junction organization|Synthesis, secretion, and deacylation of Ghrelin|Regulation of insulin secretion|Transport of inorganic cations/anions and amino acids/oligopeptides|SLC-mediated transmembrane transport|Sodium/Calcium exchangers|Sphingolipid metabolism|Post NMDA receptor activation events|Unblocking of NMDA receptors, glutamate binding and activation|Depolymerization of the Nuclear Lamina|VEGFA-VEGFR2 Pathway|CREB1 phosphorylation through the activation of Adenylate Cyclase|CREB1 phosphorylation through the activation of CaMKII/CaMKK/CaMKIV cascasde|CREB1 phosphorylation through NMDA receptor-mediated activation of RAS signaling|Activation of NMDA receptors and postsynaptic events|Ras activation upon Ca2+ influx through NMDA receptor|Smooth Muscle Contraction|Cell junction organization|Ionotropic activity of kainate receptors|Activation of Ca-permeable Kainate Receptor|Activation of kainate receptors upon glutamate binding|Thrombin signalling through proteinase activated receptors (PARs)|Chromatin organization|GPCR ligand binding|WNT5A-dependent internalization of FZD4|Uptake and function of anthrax toxins|VEGFR2 mediated vascular permeability|VEGFR2 mediated cell proliferation|Diseases of Immune System|Uptake and actions of bacterial toxins|Metabolism of lipids|Cardiac conduction|Phase 0 - rapid depolarisation|Phase 2 - plateau phase|Ion homeostasis|Diseases associated with the TLR signaling cascade|MyD88 deficiency (TLR2/4)|IRAK4 deficiency (TLR2/4)|CLEC7A (Dectin-1) induces NFAT activation|CLEC7A (Dectin-1) signaling|Defective SLC24A5 causes oculocutaneous albinism 6 (OCA6)|Defective SLC24A4 causes hypomineralized amelogenesis imperfecta (AI)|Defective SLC24A1 causes congenital stationary night blindness 1D (CSNB1D)|SLC transporter disorders|Disorders of transmembrane transporters|C-type lectin receptors (CLRs)|CD209 (DC-SIGN) signaling|RHO GTPases activate IQGAPs|RHO GTPases activate PAKs|Vesicle-mediated transport|Diseases of carbohydrate metabolism|Diseases of signal transduction by growth factor receptors and second messengers|Infectious disease|RHO GTPases Activate NADPH Oxidases|Diseases of metabolism|RAF activation|RAF/MAP kinase cascade|MAP2K and MAPK activation|MAPK family signaling cascades|MAPK1/MAPK3 signaling|Regulation of TLR by endogenous ligand|Post-translational protein modification|Presynaptic nicotinic acetylcholine receptors|Postsynaptic nicotinic acetylcholine receptors|Highly calcium permeable postsynaptic nicotinic acetylcholine receptors|Highly calcium permeable nicotinic acetylcholine receptors|Metal sequestration by antimicrobial proteins|Signaling by moderate kinase activity BRAF mutants|Signaling by high-kinase activity BRAF mutants|Signaling by RAS mutants|Signaling by BRAF and RAF1 fusions|Paradoxical activation of RAF signaling by kinase inactive BRAF|Oncogenic MAPK signaling|Antimicrobial peptides|Keratinization|Formation of the cornified envelope|Mitotic Prophase|M Phase|Cell Cycle, Mitotic|Glycogen breakdown (glycogenolysis)|Metabolism of carbohydrates|RNA Polymerase II Transcription|Gene expression (Transcription)|Platelet activation, signaling and aggregation|Response to elevated platelet cytosolic Ca2+|Platelet Aggregation (Plug Formation)|Phosphate bond hydrolysis by NTPDase proteins|Deregulated CDK5 triggers multiple neurodegenerative pathways in Alzheimer's disease models|Neurodegenerative Diseases|Listeria monocytogenes entry into host cells|InlA-mediated entry of Listeria monocytogenes into host cells|GABA synthesis, release, reuptake and degradation|Digestion|ESR-mediated signaling|Mitochondrial calcium ion transport|Nucleotide catabolism|Digestion and absorption|Fatty acid metabolism|Metabolism of cofactors|Glycogen metabolism|Transcriptional Regulation by MECP2|Loss of function of MECP2 in Rett syndrome|Pervasive developmental disorders|Intracellular signaling by second messengers|Signaling by Nuclear Receptors|Signaling by Receptor Tyrosine Kinases|Extra-nuclear estrogen signaling|Biosynthesis of specialized proresolving mediators (SPMs)|Loss of phosphorylation of MECP2 at T308|Regulation of MECP2 expression and activity|Expression and Processing of Neurotrophins|Ion transport by P-type ATPases|Negative regulation of NMDA receptor-mediated neuronal transmission|Activation of RAC1 downstream of NMDARs|Activation of AMPK downstream of NMDARs|Long-term potentiation|Transcriptional Regulation by NPAS4|Diseases of programmed cell death|RAS processing|Signaling downstream of RAS mutants|Defects of contact activation system (CAS) and kallikrein/kinin system (KKS)|Signaling by RAF1 mutants|Defective factor XII causes hereditary angioedema|Leishmania infection|Sensory processing of sound|Purinergic signaling in leishmaniasis infection|Defective factor VIII causes hemophilia A|Sensory processing of sound by inner hair cells of the cochlea|Sensory processing of sound by outer hair cells of the cochlea|Anti-inflammatory response favouring Leishmania parasite infection|FCGR3A-mediated IL10 synthesis|Cell recruitment (pro-inflammatory response)|Leishmania parasite growth and survival|Acetylcholine inhibits contraction of outer hair cells|Defective factor IX causes hemophilia B|Diseases of hemostasis|Defective factor IX causes thrombophilia|Defective F8 cleavage by thrombin|Defective cofactor function of FVIIIa variant|Defective F9 variant does not activate FX|Defective F9 activation|Disorders of Developmental Biology|SARS-CoV-1 Infection|SARS-CoV Infections|SARS-CoV-1-host interactions|SARS-CoV-1 activates/modulates innate immune responses|SARS-CoV-2 Infection|Disorders of Nervous System Development|SARS-CoV-2 activates/modulates innate and adaptive immune responses|SARS-CoV-2-host interactions|Sensory Perception|Signaling by Rho GTPases, Miro GTPases and RHOBTB3|Sensory perception of taste|Sensory perception of sweet, bitter, and umami (glutamate) taste|Defective Intrinsic Pathway for Apoptosis|Drug ADME|Atorvastatin ADME|Regulation of CDH11 Expression and Function|Regulation of Homotypic Cell-Cell Adhesion|Regulation of CDH11 function|Regulation of Expression and Function of Type II Classical Cadherins|Regulation of NPAS4 gene expression|Regulation of NPAS4 gene transcription|Amyloid fiber formation|Regulation of Complement cascade|Bacterial Infection Pathways|Parasitic Infection Pathways|Viral Infection Pathways|Class I MHC mediated antigen processing &amp; presentation|CDH11 homotypic and heterotypic interactions|Antigen activates B Cell Receptor (BCR) leading to generation of second messengers|Signaling by the B Cell Receptor (BCR)|Ion channel transport</t>
  </si>
  <si>
    <t>7440-70-2</t>
  </si>
  <si>
    <t>[Ca++]</t>
  </si>
  <si>
    <t>BHPQYMZQTOCNFJ-UHFFFAOYSA-N</t>
  </si>
  <si>
    <t>Homogeneous alkaline earth metal compounds</t>
  </si>
  <si>
    <t>Ca+2</t>
  </si>
  <si>
    <t>14.47_670.4907m/z</t>
  </si>
  <si>
    <t>Cer(t18:0/5-iso PGF2VI)</t>
  </si>
  <si>
    <t>HMDB0290171</t>
  </si>
  <si>
    <t>CCCCCCCCCCCCCCC(O)C(O)[C@H](CO)NC(=O)C\C=C/C[C@@H]1[C@@H](O)C[C@@H](O)[C@@H]1\C=C\[C@H](O)CCCCC</t>
  </si>
  <si>
    <t>DTPMDOWSHMODQP-WMASQSPWSA-N</t>
  </si>
  <si>
    <t>C36H67NO7</t>
  </si>
  <si>
    <t>4.16_344.1829m/z</t>
  </si>
  <si>
    <t>Ile Asp Val</t>
  </si>
  <si>
    <t>CCC(C)C(C(=O)NC(CC(=O)O)C(=O)NC(C(C)C)C(=O)O)N</t>
  </si>
  <si>
    <t>LLZLRXBTOOFODM-QSFUFRPTSA-N</t>
  </si>
  <si>
    <t>9.21_636.3499m/z</t>
  </si>
  <si>
    <t>Allodesmosine</t>
  </si>
  <si>
    <t>HMDB0040704</t>
  </si>
  <si>
    <t>129717-82-4</t>
  </si>
  <si>
    <t>NC(CCCCC(CCC(N)C(O)=O)C1=C(CCC(N)C(O)=O)C=[N+](CCCCC(N)C(O)=O)C=C1CCC(N)C(O)=O)C(O)=O</t>
  </si>
  <si>
    <t>IQEPQBCFQPLNCF-UHFFFAOYSA-O</t>
  </si>
  <si>
    <t>C30H51N6O10+</t>
  </si>
  <si>
    <t>4.07_297.0790m/z</t>
  </si>
  <si>
    <t>N-(3-Pyrene)maleimide</t>
  </si>
  <si>
    <t>HMDB0255003</t>
  </si>
  <si>
    <t>O=C1C=CC(=O)N1C1=CC2=CC=CC3=C2C2=C(C=CC=C12)C=C3</t>
  </si>
  <si>
    <t>NPTUGEKDRBZJRE-UHFFFAOYSA-N</t>
  </si>
  <si>
    <t>C20H11NO2</t>
  </si>
  <si>
    <t>5.62_185.0811m/z</t>
  </si>
  <si>
    <t>3,4,4-Trimethyl-1,2-cyclopentanedione</t>
  </si>
  <si>
    <t>HMDB0040526</t>
  </si>
  <si>
    <t>86702-81-0</t>
  </si>
  <si>
    <t>CC1=C(O)C(=O)CC1(C)C</t>
  </si>
  <si>
    <t>LTRJTLUJZFBIEN-UHFFFAOYSA-N</t>
  </si>
  <si>
    <t>2.55_215.1650m/z</t>
  </si>
  <si>
    <t>œâ-hydroxylaurate</t>
  </si>
  <si>
    <t>HMDB0304547</t>
  </si>
  <si>
    <t>OCCCCCCCCCCCC([O-])=O</t>
  </si>
  <si>
    <t>ZDHCZVWCTKTBRY-UHFFFAOYSA-M</t>
  </si>
  <si>
    <t>C12H23O3-</t>
  </si>
  <si>
    <t>5.03_171.0066m/z</t>
  </si>
  <si>
    <t>Dimethylphosphate</t>
  </si>
  <si>
    <t>HMDB0061734</t>
  </si>
  <si>
    <t>813-78-5</t>
  </si>
  <si>
    <t>COP(O)(=O)OC</t>
  </si>
  <si>
    <t>KKUKTXOBAWVSHC-UHFFFAOYSA-N</t>
  </si>
  <si>
    <t>C2H7O4P</t>
  </si>
  <si>
    <t>9.34_453.0803m/z</t>
  </si>
  <si>
    <t>5-(2'-Carboxyethyl)-4,6-Dihydroxypicolinate</t>
  </si>
  <si>
    <t>HMDB0006794</t>
  </si>
  <si>
    <t>C05655</t>
  </si>
  <si>
    <t>OC(=O)CCC1C(O)=CC(=NC1=O)C(O)=O</t>
  </si>
  <si>
    <t>PAKGMMKOUIXEKV-UHFFFAOYSA-N</t>
  </si>
  <si>
    <t>C9H9NO6</t>
  </si>
  <si>
    <t>13.30_393.2209m/z</t>
  </si>
  <si>
    <t>Lumateperone</t>
  </si>
  <si>
    <t>HMDB0253721</t>
  </si>
  <si>
    <t>CN1CCN2C3CCN(CCCC(=O)C4=CC=C(F)C=C4)CC3C3=C2C1=CC=C3</t>
  </si>
  <si>
    <t>HOIIHACBCFLJET-UHFFFAOYSA-N</t>
  </si>
  <si>
    <t>C24H28FN3O</t>
  </si>
  <si>
    <t>4.53_322.0885m/z</t>
  </si>
  <si>
    <t>Asparagine glutamate</t>
  </si>
  <si>
    <t>HMDB0248666</t>
  </si>
  <si>
    <t>NC(CCC(O)=O)C(=O)OOC(=O)C(N)CC(N)=O</t>
  </si>
  <si>
    <t>XGPQZYNDGSOWLW-UHFFFAOYSA-N</t>
  </si>
  <si>
    <t>C9H15N3O7</t>
  </si>
  <si>
    <t>6.48_307.2024m/z</t>
  </si>
  <si>
    <t>Retinal</t>
  </si>
  <si>
    <t>HMDB0001358</t>
  </si>
  <si>
    <t>LMPR01090002</t>
  </si>
  <si>
    <t>C00376</t>
  </si>
  <si>
    <t>hsa00830,hsa04744,hsa04977</t>
  </si>
  <si>
    <t>Retinol metabolism|Phototransduction|Vitamin digestion and absorption</t>
  </si>
  <si>
    <t>R-HSA-1430728,R-HSA-162582,R-HSA-1643685,R-HSA-196854,R-HSA-2187335,R-HSA-2187338,R-HSA-2453864,R-HSA-2453902,R-HSA-2466712,R-HSA-2474795,R-HSA-2514856,R-HSA-2514859,R-HSA-382551,R-HSA-382556,R-HSA-5362517,R-HSA-5365859,R-HSA-6806667,R-HSA-9006931,R-HSA-9675143,R-HSA-9709957,R-HSA-975634</t>
  </si>
  <si>
    <t>Metabolism|Signal Transduction|Disease|Metabolism of vitamins and cofactors|The retinoid cycle in cones (daylight vision)|Visual phototransduction|Retinoid cycle disease events|The canonical retinoid cycle in rods (twilight vision)|Biosynthesis of A2E, implicated in retinal degradation|Diseases associated with visual transduction|The phototransduction cascade|Inactivation, recovery and regulation of the phototransduction cascade|Transport of small molecules|ABC-family proteins mediated transport|Signaling by Retinoic Acid|RA biosynthesis pathway|Metabolism of fat-soluble vitamins|Signaling by Nuclear Receptors|Diseases of the neuronal system|Sensory Perception|Retinoid metabolism and transport</t>
  </si>
  <si>
    <t>116-31-4</t>
  </si>
  <si>
    <t>C1C(C)(C)C(/C=C/C(/C)=C/C=C/C(/C)=C/C=O)=C(C)CC1</t>
  </si>
  <si>
    <t>NCYCYZXNIZJOKI-OVSJKPMPSA-N</t>
  </si>
  <si>
    <t>3.77_698.3434m/z</t>
  </si>
  <si>
    <t>OKOHA-PC</t>
  </si>
  <si>
    <t>LMGP20010031</t>
  </si>
  <si>
    <t>[C@](COP(=O)([O-])OCC[N+](C)(C)C)([H])(OC(CCC(=O)/C=C/C=O)=O)COC(CCCCCCC/C=C\CCCCCCCC)=O</t>
  </si>
  <si>
    <t>GDCLLOXIUNOPDF-VKBIKRCBSA-N</t>
  </si>
  <si>
    <t>C33H58NO10P</t>
  </si>
  <si>
    <t>1.36_221.9829m/z</t>
  </si>
  <si>
    <t>L-Homocysteic acid</t>
  </si>
  <si>
    <t>HMDB0002205</t>
  </si>
  <si>
    <t>C16511</t>
  </si>
  <si>
    <t>14857-77-3</t>
  </si>
  <si>
    <t>N[C@@H](CCS(O)(=O)=O)C(O)=O</t>
  </si>
  <si>
    <t>VBOQYPQEPHKASR-VKHMYHEASA-N</t>
  </si>
  <si>
    <t>C4H9NO5S</t>
  </si>
  <si>
    <t>4.20_409.1726m/z</t>
  </si>
  <si>
    <t>Olodaterol</t>
  </si>
  <si>
    <t>HMDB0255957</t>
  </si>
  <si>
    <t>COC1=CC=C(CC(C)(C)NCC(O)C2=CC(O)=CC3=C2OCC(=O)N3)C=C1</t>
  </si>
  <si>
    <t>COUYJEVMBVSIHV-UHFFFAOYSA-N</t>
  </si>
  <si>
    <t>C21H26N2O5</t>
  </si>
  <si>
    <t>3.61_433.0448m/z</t>
  </si>
  <si>
    <t>4-amino-2-methyl-5-phosphomethylpyrimidine</t>
  </si>
  <si>
    <t>HMDB0304169</t>
  </si>
  <si>
    <t>CC1=NC=C(COP([O-])([O-])=O)C(=N)N1</t>
  </si>
  <si>
    <t>PKYFHKIYHBRTPI-UHFFFAOYSA-L</t>
  </si>
  <si>
    <t>C6H8N3O4P-2</t>
  </si>
  <si>
    <t>7.22_579.2791m/z</t>
  </si>
  <si>
    <t>Corchoroside A</t>
  </si>
  <si>
    <t>HMDB0033846</t>
  </si>
  <si>
    <t>508-76-9</t>
  </si>
  <si>
    <t>CC1OC(CC(O)C1O)OC1CCC2(C=O)C3CCC4(C)C(CCC4(O)C3CCC2(O)C1)C1=CC(=O)OC1</t>
  </si>
  <si>
    <t>QBILRDAMJUPXCX-UHFFFAOYSA-N</t>
  </si>
  <si>
    <t>C29H42O9</t>
  </si>
  <si>
    <t>4.93_651.3157m/z</t>
  </si>
  <si>
    <t>Naloxonazine</t>
  </si>
  <si>
    <t>HMDB0255437</t>
  </si>
  <si>
    <t>OC1=C2OC3C(CCC4(O)C5CC(C=C1)=C2C34CCN5CC=C)=NN=C1CCC2(O)C3CC4=C5C(OC1C25CCN3CC=C)=C(O)C=C4</t>
  </si>
  <si>
    <t>AJPSBXJNFJCCBI-UHFFFAOYSA-N</t>
  </si>
  <si>
    <t>C38H42N4O6</t>
  </si>
  <si>
    <t>1.51_262.1659m/z</t>
  </si>
  <si>
    <t>Veliparib</t>
  </si>
  <si>
    <t>HMDB0259777</t>
  </si>
  <si>
    <t>CC1(CCCN1)C1=NC2=C(C=CC=C2N1)C(N)=O</t>
  </si>
  <si>
    <t>JNAHVYVRKWKWKQ-UHFFFAOYSA-N</t>
  </si>
  <si>
    <t>C13H16N4O</t>
  </si>
  <si>
    <t>10.01_506.0232m/z</t>
  </si>
  <si>
    <t>alpha,beta-Methylene ATP</t>
  </si>
  <si>
    <t>HMDB0248246</t>
  </si>
  <si>
    <t>NC1=NC=NC2=C1N=CN2C1OC(COP(O)(=O)CP(O)(=O)OP(O)(O)=O)C(O)C1O</t>
  </si>
  <si>
    <t>CAWZRIXWFRFUQB-UHFFFAOYSA-N</t>
  </si>
  <si>
    <t>C11H18N5O12P3</t>
  </si>
  <si>
    <t>8.94_425.2008m/z</t>
  </si>
  <si>
    <t>9-Hydroxy-risperidone</t>
  </si>
  <si>
    <t>HMDB0247256</t>
  </si>
  <si>
    <t>147663-04-5</t>
  </si>
  <si>
    <t>CC1=C(CCN2CCC(CC2)C2=NOC3=C2C=CC(F)=C3)C(=O)N2CC(O)CCC2=N1</t>
  </si>
  <si>
    <t>ABWPQNZPAOAQSG-UHFFFAOYSA-N</t>
  </si>
  <si>
    <t>Pyridopyrimidines</t>
  </si>
  <si>
    <t>C23H27FN4O3</t>
  </si>
  <si>
    <t>4.63_369.0988m/z</t>
  </si>
  <si>
    <t>Quercetagetin 3,5,6,3',4'-pentamethyl ether</t>
  </si>
  <si>
    <t>HMDB0302149</t>
  </si>
  <si>
    <t>LMPK12113016</t>
  </si>
  <si>
    <t>C1(O)=CC2OC(C3C=C(OC)C(OC)=CC=3)=C(OC)C(=O)C=2C(OC)=C1OC</t>
  </si>
  <si>
    <t>DFMQEEUDLFLPFL-UHFFFAOYSA-N</t>
  </si>
  <si>
    <t>C20H20O8</t>
  </si>
  <si>
    <t>10.06_315.2541m/z</t>
  </si>
  <si>
    <t>15,16-dihydroxy-octadecanoic acid</t>
  </si>
  <si>
    <t>HMDB0031008</t>
  </si>
  <si>
    <t>LMFA02000174</t>
  </si>
  <si>
    <t>C(CCCCCCCCCCCCCC(O)C(O)CC)(=O)O</t>
  </si>
  <si>
    <t>LSFLNLHTOKKPHT-UHFFFAOYSA-N</t>
  </si>
  <si>
    <t>1.15_248.0718m/z</t>
  </si>
  <si>
    <t>O-(N-Phthalimido)acetophenone</t>
  </si>
  <si>
    <t>HMDB0255867</t>
  </si>
  <si>
    <t>CC(=O)C1=CC=CC=C1N1C(=O)C2=CC=CC=C2C1=O</t>
  </si>
  <si>
    <t>GWPXUNTVFUYEFS-UHFFFAOYSA-N</t>
  </si>
  <si>
    <t>11.90_179.1798m/z</t>
  </si>
  <si>
    <t>2-tridecenal</t>
  </si>
  <si>
    <t>HMDB0037275</t>
  </si>
  <si>
    <t>LMFA06000075</t>
  </si>
  <si>
    <t>7774-82-5</t>
  </si>
  <si>
    <t>C(CCC)CCCCCC/C=C/C([H])=O</t>
  </si>
  <si>
    <t>VMUNAKQXJLHODT-VAWYXSNFSA-N</t>
  </si>
  <si>
    <t>C13H24O</t>
  </si>
  <si>
    <t>11.36_331.1916m/z</t>
  </si>
  <si>
    <t>(1(10)E,4E,6a,9b)-9-(3-Methylbutanoyloxy)-1(10),4,11(13)-germacratrien-12,6-olide</t>
  </si>
  <si>
    <t>HMDB0031375</t>
  </si>
  <si>
    <t>CC(C)CC(=O)OC1CC2C(OC(=O)C2=C)\C=C(C)\CC\C=C1/C</t>
  </si>
  <si>
    <t>YDKFFCLOGJQHFQ-KGZUQBBUSA-N</t>
  </si>
  <si>
    <t>0.84_193.0090m/z</t>
  </si>
  <si>
    <t>3-Acetyl-2,5-dimethylthiophene</t>
  </si>
  <si>
    <t>HMDB0040589</t>
  </si>
  <si>
    <t>2530-10-1</t>
  </si>
  <si>
    <t>CC(=O)C1=C(C)SC(C)=C1</t>
  </si>
  <si>
    <t>PUSJAEJRDNPYKM-UHFFFAOYSA-N</t>
  </si>
  <si>
    <t>C8H10OS</t>
  </si>
  <si>
    <t>11.15_390.2652m/z</t>
  </si>
  <si>
    <t>Anandamide (20:5, n-3)</t>
  </si>
  <si>
    <t>HMDB0013649</t>
  </si>
  <si>
    <t>LMFA08040008</t>
  </si>
  <si>
    <t>109001-03-8</t>
  </si>
  <si>
    <t>C(/C/C=C\C/C=C\C/C=C\CC)=C/C/C=C\CCCC(=O)NCCO</t>
  </si>
  <si>
    <t>OVKKNJPJQKTXIT-JLNKQSITSA-N</t>
  </si>
  <si>
    <t>C22H35NO2</t>
  </si>
  <si>
    <t>6.13_527.2132m/z</t>
  </si>
  <si>
    <t>Dutasteride</t>
  </si>
  <si>
    <t>HMDB0015258</t>
  </si>
  <si>
    <t>164656-23-9</t>
  </si>
  <si>
    <t>[H][C@@]1(CC[C@@]2([H])[C@]3([H])CC[C@@]4([H])NC(=O)C=C[C@]4(C)[C@@]3([H])CC[C@]12C)C(=O)NC1=CC(=CC=C1C(F)(F)F)C(F)(F)F</t>
  </si>
  <si>
    <t>JWJOTENAMICLJG-QWBYCMEYSA-N</t>
  </si>
  <si>
    <t>C27H30F6N2O2</t>
  </si>
  <si>
    <t>3.61_492.0923m/z</t>
  </si>
  <si>
    <t>cyanidin 5-O-beta-D-glucoside</t>
  </si>
  <si>
    <t>HMDB0304305</t>
  </si>
  <si>
    <t>[H][C@]1(CO)O[C@@]([H])(OC2=CC(=O)C=C3OC(=C(O)C=C23)C2=CC(O)=C([O-])C=C2)[C@]([H])(O)[C@@]([H])(O)[C@]1([H])O</t>
  </si>
  <si>
    <t>GMRSKDNJSHIDNL-GQUPQBGVSA-M</t>
  </si>
  <si>
    <t>C21H19O11-</t>
  </si>
  <si>
    <t>11.32_488.3150m/z</t>
  </si>
  <si>
    <t>PE(0:0/20:1(11Z))</t>
  </si>
  <si>
    <t>HMDB0011482</t>
  </si>
  <si>
    <t>LMGP02050046</t>
  </si>
  <si>
    <t>C(OP(OCCN)(O)=O)[C@]([H])(OC(=O)CCCCCCCCC/C=C\CCCCCCCC)CO</t>
  </si>
  <si>
    <t>DGAUETYRWFLGRT-OPSAWKISSA-N</t>
  </si>
  <si>
    <t>1.82_362.1571m/z</t>
  </si>
  <si>
    <t>Val Glu Asp</t>
  </si>
  <si>
    <t>CC(C)C(C(=O)NC(CCC(=O)O)C(=O)NC(CC(=O)O)C(=O)O)N</t>
  </si>
  <si>
    <t>GBESYURLQOYWLU-LAEOZQHASA-N</t>
  </si>
  <si>
    <t>C14H23N3O8</t>
  </si>
  <si>
    <t>7.61_221.0816m/z</t>
  </si>
  <si>
    <t>Monoisobutyl phthalic acid</t>
  </si>
  <si>
    <t>HMDB0002056</t>
  </si>
  <si>
    <t>30833-53-5</t>
  </si>
  <si>
    <t>CC(C)COC(=O)C1=CC=CC=C1C(O)=O</t>
  </si>
  <si>
    <t>RZJSUWQGFCHNFS-UHFFFAOYSA-N</t>
  </si>
  <si>
    <t>C12H14O4</t>
  </si>
  <si>
    <t>13.06_355.2644m/z</t>
  </si>
  <si>
    <t>Tetracosahexaenoic acid, n-3</t>
  </si>
  <si>
    <t>HMDB0060117</t>
  </si>
  <si>
    <t>CC\C=C/C\C=C/C\C=C/C\C=C/C\C=C/C=C\CCCCCC(O)=O</t>
  </si>
  <si>
    <t>RFKXDFPDYHBCRC-JGDWKEERSA-N</t>
  </si>
  <si>
    <t>1.05_294.0713m/z</t>
  </si>
  <si>
    <t>(S)-5-[(4-Amino-4-carboxy-1-oxobutyl)amino]-2-nitrobenzoic acid</t>
  </si>
  <si>
    <t>HMDB0246929</t>
  </si>
  <si>
    <t>NC(CCC(=O)NC1=CC(C(O)=O)=C(C=C1)[N+]([O-])=O)C(O)=O</t>
  </si>
  <si>
    <t>AHFFWTMLFDZSOF-UHFFFAOYSA-N</t>
  </si>
  <si>
    <t>C12H13N3O7</t>
  </si>
  <si>
    <t>4.04_342.9477m/z</t>
  </si>
  <si>
    <t>O,S,S-Trimethyl phosphorodithioate</t>
  </si>
  <si>
    <t>HMDB0255875</t>
  </si>
  <si>
    <t>COP(=O)(SC)SC</t>
  </si>
  <si>
    <t>NIJIQSOYZWDHAQ-UHFFFAOYSA-N</t>
  </si>
  <si>
    <t>C3H9O2PS2</t>
  </si>
  <si>
    <t>4.60_321.0591m/z</t>
  </si>
  <si>
    <t>O-Coumaric acid glucuronide</t>
  </si>
  <si>
    <t>HMDB0240548</t>
  </si>
  <si>
    <t>[H]C(=C([H])C1=CC=CC=C1OC1OC(C(O)C(O)C1O)C(O)=O)C(O)=O</t>
  </si>
  <si>
    <t>KRKMNGLGYXJMBZ-WAYWQWQTSA-N</t>
  </si>
  <si>
    <t>C15H16O9</t>
  </si>
  <si>
    <t>0.68_124.9902m/z</t>
  </si>
  <si>
    <t>2-Hydroxyethanesulfonate</t>
  </si>
  <si>
    <t>HMDB0003903</t>
  </si>
  <si>
    <t>C05123</t>
  </si>
  <si>
    <t>107-36-8</t>
  </si>
  <si>
    <t>OCCS(O)(=O)=O</t>
  </si>
  <si>
    <t>SUMDYPCJJOFFON-UHFFFAOYSA-N</t>
  </si>
  <si>
    <t>C2H6O4S</t>
  </si>
  <si>
    <t>0.74_231.0983m/z</t>
  </si>
  <si>
    <t>Pro Ala</t>
  </si>
  <si>
    <t>CC(C(=O)O)NC(=O)C1CCCN1</t>
  </si>
  <si>
    <t>FELJDCNGZFDUNR-WDSKDSINSA-N</t>
  </si>
  <si>
    <t>C8H14N2O3</t>
  </si>
  <si>
    <t>0.76_190.0349m/z</t>
  </si>
  <si>
    <t>(2s,3r,4s,5r)-3,4,5-Trihydroxy-6-oxopiperidine-2-carboxylic acid</t>
  </si>
  <si>
    <t>HMDB0242545</t>
  </si>
  <si>
    <t>OC1C(O)C(NC(=O)C1O)C(O)=O</t>
  </si>
  <si>
    <t>YEWOHTVJCCDCCS-UHFFFAOYSA-N</t>
  </si>
  <si>
    <t>C6H9NO6</t>
  </si>
  <si>
    <t>9.77_177.1279m/z</t>
  </si>
  <si>
    <t>Dodecatrienoic acid</t>
  </si>
  <si>
    <t>HMDB0302622</t>
  </si>
  <si>
    <t>CCCCCC=CC=CC=CC(O)=O</t>
  </si>
  <si>
    <t>QFQUMHBUJBZOBZ-UHFFFAOYSA-N</t>
  </si>
  <si>
    <t>10.56_577.3750m/z</t>
  </si>
  <si>
    <t>5beta,6beta-Epoxygorgostan-3beta,7alpha,11alpha,12beta-tetrol 11-acetate</t>
  </si>
  <si>
    <t>LMST01060018</t>
  </si>
  <si>
    <t>C1[C@]2(C)[C@@]3([H])[C@H](OC(C)=O)[C@@H](O)[C@]4(C)[C@@]([H])([C@]([H])(C)[C@H]5C[C@]5(C)[C@H](C)C(C)C)CC[C@@]4([H])[C@]3([H])[C@H](O)[C@H]3O[C@]32C[C@@H](O)C1</t>
  </si>
  <si>
    <t>MVBIPJLQNLNYFV-MYJWWNAKSA-N</t>
  </si>
  <si>
    <t>4.18_849.2961m/z</t>
  </si>
  <si>
    <t>Filgotinib</t>
  </si>
  <si>
    <t>HMDB0252256</t>
  </si>
  <si>
    <t>O=C(NC1=NN2C(C=CC=C2C2=CC=C(CN3CCS(=O)(=O)CC3)C=C2)=N1)C1CC1</t>
  </si>
  <si>
    <t>RIJLVEAXPNLDTC-UHFFFAOYSA-N</t>
  </si>
  <si>
    <t>C21H23N5O3S</t>
  </si>
  <si>
    <t>13.53_499.3652n</t>
  </si>
  <si>
    <t>(6Z,9Z,12Z,15Z,18Z,21Z)-Tetracosa-6,9,12,15,18,21-hexaenoylcarnitine</t>
  </si>
  <si>
    <t>HMDB0241636</t>
  </si>
  <si>
    <t>CCC=CCC=CCC=CCC=CCC=CCC=CCCCCC(=O)OC(CC([O-])=O)C[N+](C)(C)C</t>
  </si>
  <si>
    <t>IFDZWUCFCCROPG-UHFFFAOYSA-N</t>
  </si>
  <si>
    <t>C31H49NO4</t>
  </si>
  <si>
    <t>4.14_253.0355m/z</t>
  </si>
  <si>
    <t>Benzoyl meso-tartaric acid</t>
  </si>
  <si>
    <t>HMDB0039511</t>
  </si>
  <si>
    <t>65621-34-3</t>
  </si>
  <si>
    <t>OC(C(OC(=O)C1=CC=CC=C1)C(O)=O)C(O)=O</t>
  </si>
  <si>
    <t>JXXURQWKKCNUBH-UHFFFAOYSA-N</t>
  </si>
  <si>
    <t>C11H10O7</t>
  </si>
  <si>
    <t>4.24_248.0652m/z</t>
  </si>
  <si>
    <t>(+)-2-Amino-7-phosphonoheptanoic acid</t>
  </si>
  <si>
    <t>HMDB0242241</t>
  </si>
  <si>
    <t>NC(CCCCCP(O)(O)=O)C(O)=O</t>
  </si>
  <si>
    <t>MYDMWESTDPJANS-UHFFFAOYSA-N</t>
  </si>
  <si>
    <t>C7H16NO5P</t>
  </si>
  <si>
    <t>1.18_240.9937m/z</t>
  </si>
  <si>
    <t>5-Methylthioribulose 1-phosphate</t>
  </si>
  <si>
    <t>HMDB0001299</t>
  </si>
  <si>
    <t>C04582</t>
  </si>
  <si>
    <t>86316-83-8</t>
  </si>
  <si>
    <t>CSC[C@@H](O)[C@@H](O)C(=O)COP(O)(O)=O</t>
  </si>
  <si>
    <t>CNSJRYUMVMWNMC-RITPCOANSA-N</t>
  </si>
  <si>
    <t>C6H13O7PS</t>
  </si>
  <si>
    <t>12.69_367.2435m/z</t>
  </si>
  <si>
    <t>Chamazulene</t>
  </si>
  <si>
    <t>HMDB0036470</t>
  </si>
  <si>
    <t>LMPR0103410002</t>
  </si>
  <si>
    <t>C09633</t>
  </si>
  <si>
    <t>529-05-5</t>
  </si>
  <si>
    <t>C12=C(C)C=CC1=C(C)C=CC(CC)=C2</t>
  </si>
  <si>
    <t>GXGJIOMUZAGVEH-UHFFFAOYSA-N</t>
  </si>
  <si>
    <t>C14H16</t>
  </si>
  <si>
    <t>5.26_305.1869m/z</t>
  </si>
  <si>
    <t>Ritodrine</t>
  </si>
  <si>
    <t>HMDB0015005</t>
  </si>
  <si>
    <t>C07239</t>
  </si>
  <si>
    <t>26652-09-5</t>
  </si>
  <si>
    <t>C[C@H](NCCC1=CC=C(O)C=C1)[C@H](O)C1=CC=C(O)C=C1</t>
  </si>
  <si>
    <t>IOVGROKTTNBUGK-SJCJKPOMSA-N</t>
  </si>
  <si>
    <t>C17H21NO3</t>
  </si>
  <si>
    <t>386</t>
  </si>
  <si>
    <t>Galactonic Acid</t>
  </si>
  <si>
    <t>HMDB0000565</t>
  </si>
  <si>
    <t>C00880</t>
  </si>
  <si>
    <t>13382-27-9</t>
  </si>
  <si>
    <t>OC[C@@H](O)[C@H](O)[C@H](O)[C@@H](O)C(O)=O</t>
  </si>
  <si>
    <t>RGHNJXZEOKUKBD-MGCNEYSASA-N</t>
  </si>
  <si>
    <t>0.73_297.0703m/z</t>
  </si>
  <si>
    <t>Febuxostat</t>
  </si>
  <si>
    <t>HMDB0252185</t>
  </si>
  <si>
    <t>CC(C)COC1=C(C=C(C=C1)C1=NC(C)=C(S1)C(O)=O)C#N</t>
  </si>
  <si>
    <t>BQSJTQLCZDPROO-UHFFFAOYSA-N</t>
  </si>
  <si>
    <t>C16H16N2O3S</t>
  </si>
  <si>
    <t>11.21_445.1688m/z</t>
  </si>
  <si>
    <t>Eremopetasitenin B2</t>
  </si>
  <si>
    <t>HMDB0030901</t>
  </si>
  <si>
    <t>189100-15-0</t>
  </si>
  <si>
    <t>CS\C=C/C(=O)OC1CCC2CC34OC3(C(C)C(=O)O4)C(OC(=O)C(\C)=C\C)C2(C)C1C</t>
  </si>
  <si>
    <t>DDMWYCBISCBTIJ-PCGFSOLGSA-N</t>
  </si>
  <si>
    <t>C24H32O7S</t>
  </si>
  <si>
    <t>0.94_143.0340m/z</t>
  </si>
  <si>
    <t>Pyruvaldehyde</t>
  </si>
  <si>
    <t>HMDB0001167</t>
  </si>
  <si>
    <t>C00546</t>
  </si>
  <si>
    <t>hsa00260,hsa00620,hsa00640,hsa05415</t>
  </si>
  <si>
    <t>Glycine, serine and threonine metabolism|Pyruvate metabolism|Propanoate metabolism|Diabetic cardiomyopathy</t>
  </si>
  <si>
    <t>78-98-8</t>
  </si>
  <si>
    <t>CC(=O)C=O</t>
  </si>
  <si>
    <t>AIJULSRZWUXGPQ-UHFFFAOYSA-N</t>
  </si>
  <si>
    <t>C3H4O2</t>
  </si>
  <si>
    <t>4.36_188.0671m/z</t>
  </si>
  <si>
    <t>Phenyl-Alanine</t>
  </si>
  <si>
    <t>HMDB0256428</t>
  </si>
  <si>
    <t>CC(NC1=CC=CC=C1)C(O)=O</t>
  </si>
  <si>
    <t>XWKAVQKJQBISOL-UHFFFAOYSA-N</t>
  </si>
  <si>
    <t>5.12_392.2559m/z</t>
  </si>
  <si>
    <t>Ile Phe Ile</t>
  </si>
  <si>
    <t>CCC(C)C(C(=O)NC(CC1=CC=CC=C1)C(=O)NC(C(C)CC)C(=O)O)N</t>
  </si>
  <si>
    <t>WYUHAXJAMDTOAU-IAVJCBSLSA-N</t>
  </si>
  <si>
    <t>C21H33N3O4</t>
  </si>
  <si>
    <t>4.15_846.3865m/z</t>
  </si>
  <si>
    <t>Bms-275183</t>
  </si>
  <si>
    <t>HMDB0249316</t>
  </si>
  <si>
    <t>COC(=O)OC12COC1CC(O)C1(C)C2C(OC(=O)C2=CC=CC=C2)C2(O)CC(OC(=O)C(O)C(NC(=O)OC(C)(C)C)C(C)(C)C)C(C)=C(C(OC(C)=O)C1=O)C2(C)C</t>
  </si>
  <si>
    <t>AHXICHPPXIGCBN-UHFFFAOYSA-N</t>
  </si>
  <si>
    <t>C43H59NO16</t>
  </si>
  <si>
    <t>4.27_445.0814m/z</t>
  </si>
  <si>
    <t>2'-Hydroxyisoorientin</t>
  </si>
  <si>
    <t>HMDB0035883</t>
  </si>
  <si>
    <t>OCC1OC(C(O)C(O)C1O)C1=C(O)C2=C(OC(=CC2=O)C2=CC(O)=C(O)C=C2O)C=C1O</t>
  </si>
  <si>
    <t>VGWBNVOKYXNHPW-UHFFFAOYSA-N</t>
  </si>
  <si>
    <t>C21H20O12</t>
  </si>
  <si>
    <t>11.23_432.3241n</t>
  </si>
  <si>
    <t>3alpha,7alpha-Dihydroxy-5beta-cholest-23-en-26-oic acid</t>
  </si>
  <si>
    <t>LMST04030060</t>
  </si>
  <si>
    <t>C1[C@]2(C)[C@@]3([H])CC[C@]4(C)[C@@]([H])([C@]([H])(C)C/C=C/C(C)C(O)=O)CC[C@@]4([H])[C@]3([H])[C@H](O)C[C@]2([H])C[C@H](O)C1</t>
  </si>
  <si>
    <t>HTHIXBFFDWLAFX-FGQCIORFSA-N</t>
  </si>
  <si>
    <t>12.13_479.2781m/z</t>
  </si>
  <si>
    <t>Cucurbitacin S</t>
  </si>
  <si>
    <t>LMST01010116</t>
  </si>
  <si>
    <t>C08806</t>
  </si>
  <si>
    <t>[C@@]12(C)C[C@@H]3[C@]([H])([C@H](C)C(=O)C[C@@H](C(O)(C)C)O3)[C@@]1(C)CC(=O)[C@@]1(C)[C@]3([H])C=C(C(=O)C(C)(C)C3=CC[C@@]21[H])O</t>
  </si>
  <si>
    <t>MBYLRWSUZLFUTO-PQNVQGKDSA-N</t>
  </si>
  <si>
    <t>C30H42O6</t>
  </si>
  <si>
    <t>4.32_275.1502m/z</t>
  </si>
  <si>
    <t>4-Alanylaminoantipyrine</t>
  </si>
  <si>
    <t>HMDB0246333</t>
  </si>
  <si>
    <t>CC(N)C(=O)NC1=C(C)N(C)N(C1=O)C1=CC=CC=C1</t>
  </si>
  <si>
    <t>OQLNWFVUXWWSTH-UHFFFAOYSA-N</t>
  </si>
  <si>
    <t>C14H18N4O2</t>
  </si>
  <si>
    <t>6.11_276.1198m/z</t>
  </si>
  <si>
    <t>Triethyl citrate</t>
  </si>
  <si>
    <t>HMDB0034263</t>
  </si>
  <si>
    <t>77-93-0</t>
  </si>
  <si>
    <t>CCOC(=O)CC(O)(CC(=O)OCC)C(=O)OCC</t>
  </si>
  <si>
    <t>DOOTYTYQINUNNV-UHFFFAOYSA-N</t>
  </si>
  <si>
    <t>C12H20O7</t>
  </si>
  <si>
    <t>14.48_190.0980m/z</t>
  </si>
  <si>
    <t>4-(Methylnitrosamino)-1-(3-pyridyl)-1-butanone</t>
  </si>
  <si>
    <t>HMDB0011603</t>
  </si>
  <si>
    <t>C16453</t>
  </si>
  <si>
    <t>hsa00980,hsa05204,hsa05207,hsa05208</t>
  </si>
  <si>
    <t>Metabolism of xenobiotics by cytochrome P450|Chemical carcinogenesis - DNA adducts|Chemical carcinogenesis - receptor activation|Chemical carcinogenesis - reactive oxygen species</t>
  </si>
  <si>
    <t>64091-91-4</t>
  </si>
  <si>
    <t>CN(CCCC(=O)C1=CN=CC=C1)N=O</t>
  </si>
  <si>
    <t>FLAQQSHRLBFIEZ-UHFFFAOYSA-N</t>
  </si>
  <si>
    <t>8.89_223.0972m/z</t>
  </si>
  <si>
    <t>Diethyl phthalic acid</t>
  </si>
  <si>
    <t>HMDB0094660</t>
  </si>
  <si>
    <t>C14175</t>
  </si>
  <si>
    <t>84-66-2</t>
  </si>
  <si>
    <t>CCOC(=O)C1=CC=CC=C1C(=O)OCC</t>
  </si>
  <si>
    <t>FLKPEMZONWLCSK-UHFFFAOYSA-N</t>
  </si>
  <si>
    <t>6.62_261.1971m/z</t>
  </si>
  <si>
    <t>Ropinirole</t>
  </si>
  <si>
    <t>HMDB0014413</t>
  </si>
  <si>
    <t>C07564</t>
  </si>
  <si>
    <t>91374-21-9</t>
  </si>
  <si>
    <t>CCCN(CCC)CCC1=C2CC(=O)NC2=CC=C1</t>
  </si>
  <si>
    <t>UHSKFQJFRQCDBE-UHFFFAOYSA-N</t>
  </si>
  <si>
    <t>C16H24N2O</t>
  </si>
  <si>
    <t>7.00_209.0815m/z</t>
  </si>
  <si>
    <t>Thymoquinone</t>
  </si>
  <si>
    <t>HMDB0034732</t>
  </si>
  <si>
    <t>490-91-5</t>
  </si>
  <si>
    <t>CC(C)C1=CC(=O)C(C)=CC1=O</t>
  </si>
  <si>
    <t>KEQHJBNSCLWCAE-UHFFFAOYSA-N</t>
  </si>
  <si>
    <t>13.39_595.4349m/z</t>
  </si>
  <si>
    <t>DG(13:0/22:5(4Z,7Z,10Z,13Z,19Z)-O(16,17)/0:0)</t>
  </si>
  <si>
    <t>HMDB0294993</t>
  </si>
  <si>
    <t>CCCCCCCCCCCCC(=O)OC[C@H](CO)OC(=O)CC\C=C/C\C=C/C\C=C/C\C=C/CC1OC1C\C=C/CC</t>
  </si>
  <si>
    <t>NALZOQFMUVIDEG-LKHRCOCISA-N</t>
  </si>
  <si>
    <t>7.16_271.2067m/z</t>
  </si>
  <si>
    <t>7A-Methyl-19-nortestosterone</t>
  </si>
  <si>
    <t>HMDB0253192</t>
  </si>
  <si>
    <t>CC1CC2=CC(=O)CCC2C2CCC3(C)C(O)CCC3C12</t>
  </si>
  <si>
    <t>YSGQGNQWBLYHPE-UHFFFAOYSA-N</t>
  </si>
  <si>
    <t>C19H28O2</t>
  </si>
  <si>
    <t>11.27_249.1856m/z</t>
  </si>
  <si>
    <t>16:4(6,9,12,15)</t>
  </si>
  <si>
    <t>LMFA01030166</t>
  </si>
  <si>
    <t>C(CCCC/C=C\CC=CCC=CCC=C)(=O)O</t>
  </si>
  <si>
    <t>OKBAWLHHZWRDBE-QNJRHPAQSA-N</t>
  </si>
  <si>
    <t>4.81_211.0349m/z</t>
  </si>
  <si>
    <t>2-[Carbamimidoyl(phosphonomethyl)amino]acetic acid</t>
  </si>
  <si>
    <t>HMDB0257852</t>
  </si>
  <si>
    <t>NC(=N)N(CC(O)=O)CP(O)(O)=O</t>
  </si>
  <si>
    <t>ANHXJQGWAVJYPQ-UHFFFAOYSA-N</t>
  </si>
  <si>
    <t>7.14_328.2492m/z</t>
  </si>
  <si>
    <t>(7E)-Undec-7-enoylcarnitine</t>
  </si>
  <si>
    <t>HMDB0241160</t>
  </si>
  <si>
    <t>CCCC=CCCCCCC(=O)OC(CC([O-])=O)C[N+](C)(C)C</t>
  </si>
  <si>
    <t>LVDLTJPEAHCFJD-UHFFFAOYSA-N</t>
  </si>
  <si>
    <t>1.43_331.0036m/z</t>
  </si>
  <si>
    <t>2-Amino-5-iodo-6-phenyl-4-pyrimidinone</t>
  </si>
  <si>
    <t>HMDB0247325</t>
  </si>
  <si>
    <t>NC1=NC(=C(I)C(=O)N1)C1=CC=CC=C1</t>
  </si>
  <si>
    <t>JBQRDRKWCBEQKP-UHFFFAOYSA-N</t>
  </si>
  <si>
    <t>C10H8IN3O</t>
  </si>
  <si>
    <t>10.82_481.2569m/z</t>
  </si>
  <si>
    <t>PG(16:1(9Z)/0:0)</t>
  </si>
  <si>
    <t>LMGP04050013</t>
  </si>
  <si>
    <t>[H][C@](O)(CO)COP(OC[C@]([H])(O)COC(CCCCCCC/C=C\CCCCCC)=O)(=O)O</t>
  </si>
  <si>
    <t>JSKJPUCKVIJTKI-PNHFMCTPSA-N</t>
  </si>
  <si>
    <t>C22H43O9P</t>
  </si>
  <si>
    <t>0.78_201.0876m/z</t>
  </si>
  <si>
    <t>Glutamylalanine</t>
  </si>
  <si>
    <t>HMDB0003764</t>
  </si>
  <si>
    <t>21064-18-6</t>
  </si>
  <si>
    <t>C[C@H](NC(=O)[C@@H](N)CCC(O)=O)C(O)=O</t>
  </si>
  <si>
    <t>JZDHUJAFXGNDSB-WHFBIAKZSA-N</t>
  </si>
  <si>
    <t>14.47_409.3689m/z</t>
  </si>
  <si>
    <t>(2Z,6E)-3,7,11,15,19-Pentamethyl-2,6-eicosadien-1-ol</t>
  </si>
  <si>
    <t>HMDB0035154</t>
  </si>
  <si>
    <t>26549-03-1</t>
  </si>
  <si>
    <t>CC(C)CCCC(C)CCCC(C)CCC\C(C)=C\CC\C(C)=C\CO</t>
  </si>
  <si>
    <t>QVAALZYWZYXTTP-OCQYTUGVSA-N</t>
  </si>
  <si>
    <t>C25H48O</t>
  </si>
  <si>
    <t>5.01_271.0212m/z</t>
  </si>
  <si>
    <t>Methyl 3,5-dinitrobenzoate</t>
  </si>
  <si>
    <t>HMDB0254567</t>
  </si>
  <si>
    <t>COC(=O)C1=CC(=CC(=C1)[N+]([O-])=O)[N+]([O-])=O</t>
  </si>
  <si>
    <t>POGCCFLNFPIIGW-UHFFFAOYSA-N</t>
  </si>
  <si>
    <t>C8H6N2O6</t>
  </si>
  <si>
    <t>2.40_311.1249m/z</t>
  </si>
  <si>
    <t>gamma-Glutamyltyrosine</t>
  </si>
  <si>
    <t>HMDB0011741</t>
  </si>
  <si>
    <t>7432-23-7</t>
  </si>
  <si>
    <t>N[C@@H](CCC(=O)N[C@@H](CC1=CC=C(O)C=C1)C(O)=O)C(O)=O</t>
  </si>
  <si>
    <t>VVLXCWVSSLFQDS-QWRGUYRKSA-N</t>
  </si>
  <si>
    <t>C14H18N2O6</t>
  </si>
  <si>
    <t>11.48_503.3365m/z</t>
  </si>
  <si>
    <t>(3beta,17alpha,23S)-17,23-Epoxy-3,29-dihydroxy-27-norlanost-8-en-24-one</t>
  </si>
  <si>
    <t>HMDB0035142</t>
  </si>
  <si>
    <t>CCC(=O)C1CC(C)C2(CCC3(C)C4=C(CCC23C)C2(C)CCC(O)C(C)(CO)C2CC4)O1</t>
  </si>
  <si>
    <t>WKRCCXBCFBIWPN-UHFFFAOYSA-N</t>
  </si>
  <si>
    <t>C29H46O4</t>
  </si>
  <si>
    <t>6.89_330.1592n</t>
  </si>
  <si>
    <t>4-({4-[(2,4,6-Trimethylphenyl)amino]-1,3,5-triazin-2-yl}amino)benzonitrile</t>
  </si>
  <si>
    <t>HMDB0246280</t>
  </si>
  <si>
    <t>CC1=CC(C)=C(NC2=NC=NC(NC3=CC=C(C=C3)C#N)=N2)C(C)=C1</t>
  </si>
  <si>
    <t>SOPKWXMQSHLEKD-UHFFFAOYSA-N</t>
  </si>
  <si>
    <t>C19H18N6</t>
  </si>
  <si>
    <t>11.29_191.1436m/z</t>
  </si>
  <si>
    <t>10-fluoro-capric acid</t>
  </si>
  <si>
    <t>LMFA01090047</t>
  </si>
  <si>
    <t>C(CCCCCCCCCF)(=O)O</t>
  </si>
  <si>
    <t>LXJHQFGNWFLQTR-UHFFFAOYSA-N</t>
  </si>
  <si>
    <t>C10H19FO2</t>
  </si>
  <si>
    <t>6.08_255.1138m/z</t>
  </si>
  <si>
    <t>(+)-Anhydro-beta-rotunol</t>
  </si>
  <si>
    <t>LMPR0103650002</t>
  </si>
  <si>
    <t>C1(=O)C=C(C)[C@]2(C[C@@H](C(=C)C)CC2)C(C)=C1</t>
  </si>
  <si>
    <t>JZRJXZHBHSDLDS-ZDUSSCGKSA-N</t>
  </si>
  <si>
    <t>C15H20O</t>
  </si>
  <si>
    <t>4.30_741.3796m/z</t>
  </si>
  <si>
    <t>PA-PI</t>
  </si>
  <si>
    <t>LMGP20050013</t>
  </si>
  <si>
    <t>[C@]([H])(OC(CCCCCCCC(O)=O)=O)(COP(=O)(O)O[C@H]1[C@H](O)[C@@H](O)[C@H](O)[C@@H](O)[C@H]1O)COC(CCCCCCCCCCCCCCC)=O</t>
  </si>
  <si>
    <t>GASSMURBTFATAP-UURBAPLQSA-N</t>
  </si>
  <si>
    <t>C34H63O15P</t>
  </si>
  <si>
    <t>1.27_191.0136m/z</t>
  </si>
  <si>
    <t>S-Nitroso-N-acetylcysteine</t>
  </si>
  <si>
    <t>HMDB0257414</t>
  </si>
  <si>
    <t>CC(=O)NC(CSN=O)C(O)=O</t>
  </si>
  <si>
    <t>QTJKCQPXTOYYHJ-UHFFFAOYSA-N</t>
  </si>
  <si>
    <t>C5H8N2O4S</t>
  </si>
  <si>
    <t>6.17_230.1759m/z</t>
  </si>
  <si>
    <t>Vulgarole</t>
  </si>
  <si>
    <t>HMDB0035085</t>
  </si>
  <si>
    <t>61586-52-5</t>
  </si>
  <si>
    <t>CC(=O)OC1C(O)C2CCC1(C)C2(C)C</t>
  </si>
  <si>
    <t>QRRSWTCVSAQEPQ-UHFFFAOYSA-N</t>
  </si>
  <si>
    <t>14.47_299.2592m/z</t>
  </si>
  <si>
    <t>11Z-heptadecen-1-ol</t>
  </si>
  <si>
    <t>LMFA05000052</t>
  </si>
  <si>
    <t>C(/C=C\CCCCC)CCCCCCCCCO</t>
  </si>
  <si>
    <t>BVPFCRZLYCFEPB-SREVYHEPSA-N</t>
  </si>
  <si>
    <t>10.06_591.3541m/z</t>
  </si>
  <si>
    <t>Agavoside A</t>
  </si>
  <si>
    <t>HMDB0034391</t>
  </si>
  <si>
    <t>56857-65-9</t>
  </si>
  <si>
    <t>CC1C2C(CC3C4CCC5CC(CCC5(C)C4CC(=O)C23C)OC2OC(CO)C(O)C(O)C2O)OC11CCC(C)CO1</t>
  </si>
  <si>
    <t>NVCUAFIUMZCPGV-UHFFFAOYSA-N</t>
  </si>
  <si>
    <t>C33H52O9</t>
  </si>
  <si>
    <t>1.45_167.0246m/z</t>
  </si>
  <si>
    <t>N-Acetyltaurine</t>
  </si>
  <si>
    <t>HMDB0240253</t>
  </si>
  <si>
    <t>19213-70-8</t>
  </si>
  <si>
    <t>CC(=O)NCCS(O)(=O)=O</t>
  </si>
  <si>
    <t>CXJAAWRLVGAKDV-UHFFFAOYSA-N</t>
  </si>
  <si>
    <t>C4H9NO4S</t>
  </si>
  <si>
    <t>1.30_276.0177m/z</t>
  </si>
  <si>
    <t>2,5-Dioxopyrrolidin-1-yl 2-(acetylthio)acetate</t>
  </si>
  <si>
    <t>HMDB0247382</t>
  </si>
  <si>
    <t>CC(=O)SCC(=O)ON1C(=O)CCC1=O</t>
  </si>
  <si>
    <t>FLCQLSRLQIPNLM-UHFFFAOYSA-N</t>
  </si>
  <si>
    <t>C8H9NO5S</t>
  </si>
  <si>
    <t>9.93_341.2335m/z</t>
  </si>
  <si>
    <t>alpha-artemisic acid</t>
  </si>
  <si>
    <t>LMFA02000155</t>
  </si>
  <si>
    <t>C(/C=C/C(O)CCCCC)=C\CCCCCCCC(=O)O</t>
  </si>
  <si>
    <t>HNICUWMFWZBIFP-KDFHGORWSA-N</t>
  </si>
  <si>
    <t>4.73_291.1714m/z</t>
  </si>
  <si>
    <t>Procaterol</t>
  </si>
  <si>
    <t>HMDB0015453</t>
  </si>
  <si>
    <t>72332-33-3</t>
  </si>
  <si>
    <t>CC[C@H](NC(C)C)[C@H](O)C1=C2C=CC(=O)NC2=C(O)C=C1</t>
  </si>
  <si>
    <t>FKNXQNWAXFXVNW-BLLLJJGKSA-N</t>
  </si>
  <si>
    <t>C16H22N2O3</t>
  </si>
  <si>
    <t>8.25_337.1672m/z</t>
  </si>
  <si>
    <t>sufac#1</t>
  </si>
  <si>
    <t>LMFA01020436</t>
  </si>
  <si>
    <t>C(CCCCCCCCC(OS(O)(=O)=O)CCC(C)C)(=O)O</t>
  </si>
  <si>
    <t>JZVLQNZGNMOISM-UHFFFAOYSA-N</t>
  </si>
  <si>
    <t>C15H30O6S</t>
  </si>
  <si>
    <t>4.42_261.1246m/z</t>
  </si>
  <si>
    <t>N1-(alpha-D-ribosyl)-5,6-dimethyl-benzimidazole</t>
  </si>
  <si>
    <t>HMDB0011112</t>
  </si>
  <si>
    <t>C05775</t>
  </si>
  <si>
    <t>CC1=CC2=C(C=C1C)N(C=N2)[C@H]1O[C@H](CO)C(O)C1O</t>
  </si>
  <si>
    <t>HLRUKOJSWOKCPP-RYSNWHEDSA-N</t>
  </si>
  <si>
    <t>Benzimidazole ribonucleosides and ribonucleotides</t>
  </si>
  <si>
    <t>0.80_86.0972m/z</t>
  </si>
  <si>
    <t>N,N,N-Trimethylethenaminium</t>
  </si>
  <si>
    <t>HMDB0059961</t>
  </si>
  <si>
    <t>C[N+](C)(C)C=C</t>
  </si>
  <si>
    <t>PPJWCUOWPVSSSW-UHFFFAOYSA-N</t>
  </si>
  <si>
    <t>C5H12N+</t>
  </si>
  <si>
    <t>8.33_213.1490m/z</t>
  </si>
  <si>
    <t>10-hydroxy-11-dodecenoic acid</t>
  </si>
  <si>
    <t>LMFA01050169</t>
  </si>
  <si>
    <t>C(CCCCCCCCC(O)C=C)(=O)O</t>
  </si>
  <si>
    <t>MEUHQOZYCJHRAS-UHFFFAOYSA-N</t>
  </si>
  <si>
    <t>C12H22O3</t>
  </si>
  <si>
    <t>13.33_327.2906m/z</t>
  </si>
  <si>
    <t>3-Ethylheptadecan-2-one</t>
  </si>
  <si>
    <t>LMFA12000268</t>
  </si>
  <si>
    <t>CC(=O)C(CC)CCCCCCCCCCCCCC</t>
  </si>
  <si>
    <t>AMDIPZGBYHWZOW-UHFFFAOYSA-N</t>
  </si>
  <si>
    <t>C19H38O</t>
  </si>
  <si>
    <t>0.84_162.0458m/z</t>
  </si>
  <si>
    <t>N-Acetylcysteinamide</t>
  </si>
  <si>
    <t>HMDB0255065</t>
  </si>
  <si>
    <t>CC(=O)NC(CS)C(N)=O</t>
  </si>
  <si>
    <t>UJCHIZDEQZMODR-UHFFFAOYSA-N</t>
  </si>
  <si>
    <t>C5H10N2O2S</t>
  </si>
  <si>
    <t>35</t>
  </si>
  <si>
    <t>1-Butylamine</t>
  </si>
  <si>
    <t>HMDB0031321</t>
  </si>
  <si>
    <t>C18706</t>
  </si>
  <si>
    <t>109-73-9</t>
  </si>
  <si>
    <t>CCCCN</t>
  </si>
  <si>
    <t>HQABUPZFAYXKJW-UHFFFAOYSA-N</t>
  </si>
  <si>
    <t>C4H11N</t>
  </si>
  <si>
    <t>9.97_413.2910m/z</t>
  </si>
  <si>
    <t>docosanedioate</t>
  </si>
  <si>
    <t>HMDB0304342</t>
  </si>
  <si>
    <t>[O-]C(=O)CCCCCCCCCCCCCCCCCCCCC([O-])=O</t>
  </si>
  <si>
    <t>DGXRZJSPDXZJFG-UHFFFAOYSA-L</t>
  </si>
  <si>
    <t>C22H40O4-2</t>
  </si>
  <si>
    <t>3.94_424.1731m/z</t>
  </si>
  <si>
    <t>Glu Phe Glu</t>
  </si>
  <si>
    <t>C1=CC=C(C=C1)CC(C(=O)NC(CCC(=O)O)C(=O)O)NC(=O)C(CCC(=O)O)N</t>
  </si>
  <si>
    <t>JDUKCSSHWNIQQZ-IHRRRGAJSA-N</t>
  </si>
  <si>
    <t>C19H25N3O8</t>
  </si>
  <si>
    <t>3.91_962.4587m/z</t>
  </si>
  <si>
    <t>CDP-DG(18:3(10,12,15)-OH(9)/i-14:0)</t>
  </si>
  <si>
    <t>HMDB0293555</t>
  </si>
  <si>
    <t>[H][C@@](COC(=O)CCCCCCCC(O)\C=C\C=C\C\C=C\CC)(COP(O)(=O)OP(O)(=O)OC[C@H]1O[C@H]([C@H](O)[C@@H]1O)N1C=CC(N)=NC1=O)OC(=O)CCCCCCCCCCC(C)C</t>
  </si>
  <si>
    <t>BELFDPMVDUZLFW-NORGNVPVSA-N</t>
  </si>
  <si>
    <t>C44H75N3O16P2</t>
  </si>
  <si>
    <t>9.13_279.1580m/z</t>
  </si>
  <si>
    <t>Prehumulinic acid</t>
  </si>
  <si>
    <t>HMDB0030148</t>
  </si>
  <si>
    <t>CC(C)CCC(=O)C1=C(O)C(O)C(CC=C(C)C)C1=O</t>
  </si>
  <si>
    <t>NFUYEMRFZRYITM-UHFFFAOYSA-N</t>
  </si>
  <si>
    <t>5.33_154.0422m/z</t>
  </si>
  <si>
    <t>1-Phenyl-2,4-pentadiyn-1-one</t>
  </si>
  <si>
    <t>HMDB0032945</t>
  </si>
  <si>
    <t>29743-36-0</t>
  </si>
  <si>
    <t>O=C(C#CC#C)C1=CC=CC=C1</t>
  </si>
  <si>
    <t>ZKQQJUBGJLUJNT-UHFFFAOYSA-N</t>
  </si>
  <si>
    <t>C11H6O</t>
  </si>
  <si>
    <t>5.12_202.0903m/z</t>
  </si>
  <si>
    <t>(+/-)-3-[(2-methyl-3-furyl)thio]-2-butanone</t>
  </si>
  <si>
    <t>HMDB0032401</t>
  </si>
  <si>
    <t>61295-44-1</t>
  </si>
  <si>
    <t>CC(SC1=C(C)OC=C1)C(C)=O</t>
  </si>
  <si>
    <t>AOEYNSLUBHRZPA-UHFFFAOYSA-N</t>
  </si>
  <si>
    <t>C9H12O2S</t>
  </si>
  <si>
    <t>7.78_372.2759m/z</t>
  </si>
  <si>
    <t>8-iso-PGE1</t>
  </si>
  <si>
    <t>HMDB0004686</t>
  </si>
  <si>
    <t>LMFA03110002</t>
  </si>
  <si>
    <t>21003-46-3</t>
  </si>
  <si>
    <t>[C@H]1(/C=C/[C@@H](O)CCCCC)[C@H](O)CC(=O)[C@H]1CCCCCCC(=O)O</t>
  </si>
  <si>
    <t>GMVPRGQOIOIIMI-JCPCGATGSA-N</t>
  </si>
  <si>
    <t>12.27_327.2327m/z</t>
  </si>
  <si>
    <t>4Z,7Z,9E,11E,13Z,16Z,19Z-docosaheptaenoic acid</t>
  </si>
  <si>
    <t>LMFA01031158</t>
  </si>
  <si>
    <t>C(=C/C/C=C\C=C\C=C\C=C/C/C=C\C/C=C\CC)/CCC(O)=O</t>
  </si>
  <si>
    <t>ONCVIMINFCGUNI-SXKGLJMYSA-N</t>
  </si>
  <si>
    <t>8.60_881.5769m/z</t>
  </si>
  <si>
    <t>Sulfated Dihydromenaquinone-9</t>
  </si>
  <si>
    <t>LMPR02010038</t>
  </si>
  <si>
    <t>C1(C/C=C(\C)/CCCC(C)CC/C=C(\C)/CC/C=C(\C)/CC/C=C(\C)/CC/C=C(\C)/CC/C=C(\C)/CC/C=C(\C)/CC/C=C(\C)/COS(O)(=O)=O)C(=O)C2=C(C=CC=C2)C(=O)C=1C</t>
  </si>
  <si>
    <t>YLFBUPJPGZEDIM-HSHHTCJHSA-N</t>
  </si>
  <si>
    <t>C56H82O6S</t>
  </si>
  <si>
    <t>10.25_642.2492m/z</t>
  </si>
  <si>
    <t>(E,E)-4,4''-Bi(N-4-hydroxycinnamoylserotonin)</t>
  </si>
  <si>
    <t>HMDB0041431</t>
  </si>
  <si>
    <t>175702-01-9</t>
  </si>
  <si>
    <t>OC1=CC=C(\C=C\C(=O)NCCC2=CNC3=C2C(=C(O)C=C3)C2=C(O)C=CC3=C2C(CCNC(=O)\C=C\C2=CC=C(O)C=C2)=CN3)C=C1</t>
  </si>
  <si>
    <t>OIUNULHHOJRJBI-IAGONARPSA-N</t>
  </si>
  <si>
    <t>C38H34N4O6</t>
  </si>
  <si>
    <t>12.22_469.3536m/z</t>
  </si>
  <si>
    <t>ascr#37</t>
  </si>
  <si>
    <t>LMFA13040017</t>
  </si>
  <si>
    <t>O([C@@H](CCCCCCCCCCCCCCCC/C=C/C(=O)O)C)[C@H]1[C@H](O)C[C@@H](O)[C@H](C)O1</t>
  </si>
  <si>
    <t>IRXQRQDBIJEMEI-OQERHXAMSA-N</t>
  </si>
  <si>
    <t>C27H50O6</t>
  </si>
  <si>
    <t>4.71_258.0928m/z</t>
  </si>
  <si>
    <t>Fluindione</t>
  </si>
  <si>
    <t>HMDB0252334</t>
  </si>
  <si>
    <t>FC1=CC=C(C=C1)C1C(=O)C2=CC=CC=C2C1=O</t>
  </si>
  <si>
    <t>NASXCEITKQITLD-UHFFFAOYSA-N</t>
  </si>
  <si>
    <t>C15H9FO2</t>
  </si>
  <si>
    <t>0.99_303.0325m/z</t>
  </si>
  <si>
    <t>Sulfamerazine</t>
  </si>
  <si>
    <t>HMDB0015521</t>
  </si>
  <si>
    <t>127-79-7</t>
  </si>
  <si>
    <t>CC1=NC(NS(=O)(=O)C2=CC=C(N)C=C2)=NC=C1</t>
  </si>
  <si>
    <t>QPPBRPIAZZHUNT-UHFFFAOYSA-N</t>
  </si>
  <si>
    <t>C11H12N4O2S</t>
  </si>
  <si>
    <t>3.84_313.1702m/z</t>
  </si>
  <si>
    <t>Sumatriptan</t>
  </si>
  <si>
    <t>HMDB0005037</t>
  </si>
  <si>
    <t>C07319</t>
  </si>
  <si>
    <t>103628-46-2</t>
  </si>
  <si>
    <t>CNS(=O)(=O)CC1=CC2=C(NC=C2CCN(C)C)C=C1</t>
  </si>
  <si>
    <t>KQKPFRSPSRPDEB-UHFFFAOYSA-N</t>
  </si>
  <si>
    <t>C14H21N3O2S</t>
  </si>
  <si>
    <t>5.57_154.1231m/z</t>
  </si>
  <si>
    <t>2-Azaspiro[4.5]decan-3-one</t>
  </si>
  <si>
    <t>HMDB0247166</t>
  </si>
  <si>
    <t>OC1=NCC2(C1)CCCCC2</t>
  </si>
  <si>
    <t>JAWPQJDOQPSNIQ-UHFFFAOYSA-N</t>
  </si>
  <si>
    <t>C9H15NO</t>
  </si>
  <si>
    <t>5.43_280.9909m/z</t>
  </si>
  <si>
    <t>3-Iodo-2-propynyl butylcarbamate</t>
  </si>
  <si>
    <t>HMDB0246958</t>
  </si>
  <si>
    <t>CCCCNC(=O)OCC#CI</t>
  </si>
  <si>
    <t>WYVVKGNFXHOCQV-UHFFFAOYSA-N</t>
  </si>
  <si>
    <t>C8H12INO2</t>
  </si>
  <si>
    <t>3.77_354.1673m/z</t>
  </si>
  <si>
    <t>Ser Thr Phe</t>
  </si>
  <si>
    <t>CC(C(C(=O)NC(CC1=CC=CC=C1)C(=O)O)NC(=O)C(CO)N)O</t>
  </si>
  <si>
    <t>DYEGLQRVMBWQLD-IXOXFDKPSA-N</t>
  </si>
  <si>
    <t>C16H23N3O6</t>
  </si>
  <si>
    <t>2.47_225.0878m/z</t>
  </si>
  <si>
    <t>Carbidopa</t>
  </si>
  <si>
    <t>HMDB0014336</t>
  </si>
  <si>
    <t>C07562</t>
  </si>
  <si>
    <t>28860-95-9</t>
  </si>
  <si>
    <t>C[C@@](CC1=CC(O)=C(O)C=C1)(NN)C(O)=O</t>
  </si>
  <si>
    <t>TZFNLOMSOLWIDK-JTQLQIEISA-N</t>
  </si>
  <si>
    <t>4.90_313.0461m/z</t>
  </si>
  <si>
    <t>3-Maleimidobenzoic acid N-hydroxysuccinimide ester</t>
  </si>
  <si>
    <t>HMDB0246994</t>
  </si>
  <si>
    <t>O=C(ON1C(=O)CCC1=O)C1=CC(=CC=C1)N1C(=O)C=CC1=O</t>
  </si>
  <si>
    <t>LLXVXPPXELIDGQ-UHFFFAOYSA-N</t>
  </si>
  <si>
    <t>C15H10N2O6</t>
  </si>
  <si>
    <t>7.72_427.2162m/z</t>
  </si>
  <si>
    <t>serofendic acid</t>
  </si>
  <si>
    <t>HMDB0258253</t>
  </si>
  <si>
    <t>CS(=O)CC1C2CCC3(CCC4C(C)(CCCC4(C)C(O)=O)C3C2)C1O</t>
  </si>
  <si>
    <t>RSTMEZAVUUMLEO-UHFFFAOYSA-N</t>
  </si>
  <si>
    <t>C21H34O4S</t>
  </si>
  <si>
    <t>4.77_315.1963m/z</t>
  </si>
  <si>
    <t>gibberellin A12-aldehyde</t>
  </si>
  <si>
    <t>HMDB0304358</t>
  </si>
  <si>
    <t>[H][C@@]12C[C@@]3(CC1=C)[C@@]([H])(CC2)[C@]1(C)CCC[C@@](C)(C([O-])=O)[C@@]1([H])[C@]3([H])C=O</t>
  </si>
  <si>
    <t>ZCTUNYRXJKLWPY-LLCOKINKSA-M</t>
  </si>
  <si>
    <t>C20H27O3-</t>
  </si>
  <si>
    <t>4.20_254.1237m/z</t>
  </si>
  <si>
    <t>Penciclovir</t>
  </si>
  <si>
    <t>HMDB0014444</t>
  </si>
  <si>
    <t>C07417</t>
  </si>
  <si>
    <t>39809-25-1</t>
  </si>
  <si>
    <t>NC1=NC(=O)C2=C(N1)N(CCC(CO)CO)C=N2</t>
  </si>
  <si>
    <t>JNTOCHDNEULJHD-UHFFFAOYSA-N</t>
  </si>
  <si>
    <t>C10H15N5O3</t>
  </si>
  <si>
    <t>4.71_137.0482n</t>
  </si>
  <si>
    <t>Salicylamide</t>
  </si>
  <si>
    <t>HMDB0015687</t>
  </si>
  <si>
    <t>65-45-2</t>
  </si>
  <si>
    <t>NC(=O)C1=CC=CC=C1O</t>
  </si>
  <si>
    <t>SKZKKFZAGNVIMN-UHFFFAOYSA-N</t>
  </si>
  <si>
    <t>C7H7NO2</t>
  </si>
  <si>
    <t>14.40_609.4740m/z</t>
  </si>
  <si>
    <t>DG(18:2(9Z,12Z)/14:0/0:0)</t>
  </si>
  <si>
    <t>HMDB0007240</t>
  </si>
  <si>
    <t>[H][C@](CO)(COC(=O)CCCCCCC\C=C/C\C=C/CCCCC)OC(=O)CCCCCCCCCCCCC</t>
  </si>
  <si>
    <t>AMBUOMWGQGABQI-JWVBYZEHSA-N</t>
  </si>
  <si>
    <t>C35H64O5</t>
  </si>
  <si>
    <t>4.71_318.1822m/z</t>
  </si>
  <si>
    <t>Gly Phe Ile</t>
  </si>
  <si>
    <t>CCC(C)C(C(=O)O)NC(=O)C(CC1=CC=CC=C1)NC(=O)CN</t>
  </si>
  <si>
    <t>IBYOLNARKHMLBG-WHOFXGATSA-N</t>
  </si>
  <si>
    <t>11.88_165.1642m/z</t>
  </si>
  <si>
    <t>5,7-dodecadien-1-ol</t>
  </si>
  <si>
    <t>LMFA05000020</t>
  </si>
  <si>
    <t>C(CC)C/C=C/C=C/CCCCO</t>
  </si>
  <si>
    <t>JUDKGQZMLJXRJX-BSWSSELBSA-N</t>
  </si>
  <si>
    <t>C12H22O</t>
  </si>
  <si>
    <t>1.08_175.0047m/z</t>
  </si>
  <si>
    <t>(E)-3-methyl-6-(pent-3-en-1-yn-1-yl)-1,2-dithiine</t>
  </si>
  <si>
    <t>LMFA12000366</t>
  </si>
  <si>
    <t>C1C=C(C#C/C=C/C)SSC=1C</t>
  </si>
  <si>
    <t>VZBIMBFEZICQSK-ONEGZZNKSA-N</t>
  </si>
  <si>
    <t>Dithiins</t>
  </si>
  <si>
    <t>C10H10S2</t>
  </si>
  <si>
    <t>10.45_310.2150n</t>
  </si>
  <si>
    <t>9-oxo-12,13-epoxy-10-octadecenoic acid</t>
  </si>
  <si>
    <t>HMDB0013623</t>
  </si>
  <si>
    <t>LMFA02000247</t>
  </si>
  <si>
    <t>478931-82-7</t>
  </si>
  <si>
    <t>C(CCCC(=O)/C=C/C1OC1CCCCC)CCCC(=O)O</t>
  </si>
  <si>
    <t>RCMABBHQYMBYKV-BUHFOSPRSA-N</t>
  </si>
  <si>
    <t>11.65_491.3746m/z</t>
  </si>
  <si>
    <t>alpha-Tocopherolquinone</t>
  </si>
  <si>
    <t>HMDB0034408</t>
  </si>
  <si>
    <t>7559-04-8</t>
  </si>
  <si>
    <t>CC(C)CCCC(C)CCCC(C)CCCC(C)(O)CCC1=C(C)C(=O)C(C)=C(C)C1=O</t>
  </si>
  <si>
    <t>LTVDFSLWFKLJDQ-UHFFFAOYSA-N</t>
  </si>
  <si>
    <t>9.89_265.1809m/z</t>
  </si>
  <si>
    <t>(-)-1(10),11-Eremophiladien-9beta-ol</t>
  </si>
  <si>
    <t>LMPR0103250001</t>
  </si>
  <si>
    <t>C1C=C2[C@@H](O)C[C@@H](C(=C)C)C[C@]2(C)[C@@H](C)C1</t>
  </si>
  <si>
    <t>DPDBSHAVHRQWMU-MYZSUADSSA-N</t>
  </si>
  <si>
    <t>10.99_219.1747m/z</t>
  </si>
  <si>
    <t>(+)-3,7(11)-Acoradiene</t>
  </si>
  <si>
    <t>LMPR0103660002</t>
  </si>
  <si>
    <t>C1(=O)C(C)=CC[C@@]2([C@H](C)CC/C/2=C(/C)\C)C1</t>
  </si>
  <si>
    <t>GCGYSSVLNKVBEK-DOMZBBRYSA-N</t>
  </si>
  <si>
    <t>13.16_409.3325m/z</t>
  </si>
  <si>
    <t>MG(0:0/22:2(13Z,16Z)/0:0)</t>
  </si>
  <si>
    <t>HMDB0011553</t>
  </si>
  <si>
    <t>[H]C(CO)(CO)OC(=O)CCCCCCCCCCC\C=C/C\C=C/CCCCC</t>
  </si>
  <si>
    <t>PFISEVUKDJTNGO-HZJYTTRNSA-N</t>
  </si>
  <si>
    <t>C25H46O4</t>
  </si>
  <si>
    <t>6.25_235.0975m/z</t>
  </si>
  <si>
    <t>(S)-2,3-Dihydro-6-hydroxy-5-(hydroxyacetyl)-2-isopropenylbenzofuran</t>
  </si>
  <si>
    <t>HMDB0030486</t>
  </si>
  <si>
    <t>83218-05-7</t>
  </si>
  <si>
    <t>CC(=C)C1CC2=CC(C(=O)CO)=C(O)C=C2O1</t>
  </si>
  <si>
    <t>DSPWIGNSRMCMGP-UHFFFAOYSA-N</t>
  </si>
  <si>
    <t>C13H14O4</t>
  </si>
  <si>
    <t>557</t>
  </si>
  <si>
    <t>Stigmasterol</t>
  </si>
  <si>
    <t>HMDB0000937</t>
  </si>
  <si>
    <t>LMST01040123</t>
  </si>
  <si>
    <t>C05442</t>
  </si>
  <si>
    <t>83-48-7</t>
  </si>
  <si>
    <t>C1[C@]2(C)[C@@]3([H])CC[C@]4(C)[C@@]([H])([C@]([H])(C)/C=C/[C@@H](CC)C(C)C)CC[C@@]4([H])[C@]3([H])CC=C2C[C@@H](O)C1</t>
  </si>
  <si>
    <t>HCXVJBMSMIARIN-PHZDYDNGSA-N</t>
  </si>
  <si>
    <t>11.59_351.2541m/z</t>
  </si>
  <si>
    <t>MG(18:3(6Z,9Z,12Z)/0:0/0:0)</t>
  </si>
  <si>
    <t>HMDB0011569</t>
  </si>
  <si>
    <t>[H][C@](O)(CO)COC(=O)CCCC\C=C/C\C=C/C\C=C/CCCCC</t>
  </si>
  <si>
    <t>XQBHBEXBUZDCRY-FFXVNFNPSA-N</t>
  </si>
  <si>
    <t>4.84_185.0812m/z</t>
  </si>
  <si>
    <t>(E,E)-2-methyl-6-oxohepta-2,4-dienol</t>
  </si>
  <si>
    <t>LMFA05000562</t>
  </si>
  <si>
    <t>CC(=O)/C=C/C=C(\C)/CO</t>
  </si>
  <si>
    <t>CZHVRQOHHDVSOA-HJIKTHEYSA-N</t>
  </si>
  <si>
    <t>4.17_427.1486m/z</t>
  </si>
  <si>
    <t>Pemetrexed</t>
  </si>
  <si>
    <t>HMDB0014780</t>
  </si>
  <si>
    <t>150399-23-8</t>
  </si>
  <si>
    <t>NC1=NC(=O)C2=C(NC=C2CCC2=CC=C(C=C2)C(=O)N[C@H](CCC(O)=O)C(O)=O)N1</t>
  </si>
  <si>
    <t>WBXPDJSOTKVWSJ-CYBMUJFWSA-N</t>
  </si>
  <si>
    <t>C20H21N5O6</t>
  </si>
  <si>
    <t>9.79_287.1499m/z</t>
  </si>
  <si>
    <t>Tensyuic acid E</t>
  </si>
  <si>
    <t>LMFA01170154</t>
  </si>
  <si>
    <t>C(C(=C)C(C(O)=O)CCCCCCCC(=O)OC)(=O)O</t>
  </si>
  <si>
    <t>IOUNJEVHPQCKKE-UHFFFAOYSA-N</t>
  </si>
  <si>
    <t>C14H22O6</t>
  </si>
  <si>
    <t>10.53_326.2484n</t>
  </si>
  <si>
    <t>Avocadyne 2-acetate</t>
  </si>
  <si>
    <t>HMDB0031047</t>
  </si>
  <si>
    <t>37139-04-1</t>
  </si>
  <si>
    <t>CC(=O)OC(CO)CC(O)CCCCCCCCCCCC#C</t>
  </si>
  <si>
    <t>LQFANUWEWSJRJG-UHFFFAOYSA-N</t>
  </si>
  <si>
    <t>M+NH4, M+K, M+Na, M+H-H2O</t>
  </si>
  <si>
    <t>C19H34O4</t>
  </si>
  <si>
    <t>14.47_313.2384m/z</t>
  </si>
  <si>
    <t>Methyl 7Z-hexadecenoate</t>
  </si>
  <si>
    <t>HMDB0061858</t>
  </si>
  <si>
    <t>LMFA07010496</t>
  </si>
  <si>
    <t>56875-67-3</t>
  </si>
  <si>
    <t>O=C(CCCCC/C=C\CCCCCCCC)OC</t>
  </si>
  <si>
    <t>FXCDESKKWMGGON-KHPPLWFESA-N</t>
  </si>
  <si>
    <t>5.04_302.1033m/z</t>
  </si>
  <si>
    <t>1-(2-Methylbenzo[d]oxazol-6-yl)-3-(1,5-naphthyridin-4-yl)urea</t>
  </si>
  <si>
    <t>HMDB0247396</t>
  </si>
  <si>
    <t>CC1=NC2=C(O1)C=C(NC(=O)NC1=C3N=CC=CC3=NC=C1)C=C2</t>
  </si>
  <si>
    <t>AKMNUCBQGHFICM-UHFFFAOYSA-N</t>
  </si>
  <si>
    <t>C17H13N5O2</t>
  </si>
  <si>
    <t>10.70_477.3225m/z</t>
  </si>
  <si>
    <t>9alpha,11alpha-epoxycholest-7-en-3beta,5alpha,6beta-triol</t>
  </si>
  <si>
    <t>LMST01010318</t>
  </si>
  <si>
    <t>C1[C@]2(C)[C@@]34O[C@@H]3C[C@]3(C)[C@@]([H])([C@]([H])(C)CCCC(C)C)CC[C@@]3([H])C4=C[C@@H](O)[C@@]2(O)C[C@@H](O)C1</t>
  </si>
  <si>
    <t>HJWIFUYWCCWKOA-QGRYAOFKSA-N</t>
  </si>
  <si>
    <t>537</t>
  </si>
  <si>
    <t>16beta,17beta-Estriol</t>
  </si>
  <si>
    <t>HMDB0000347</t>
  </si>
  <si>
    <t>LMST02010006</t>
  </si>
  <si>
    <t>547-81-9</t>
  </si>
  <si>
    <t>C1C2[C@@]3([H])CC[C@]4(C)[C@@H](O)[C@@H](O)C[C@@]4([H])[C@]3([H])CCC=2C=C(O)C=1</t>
  </si>
  <si>
    <t>PROQIPRRNZUXQM-ZMSHIADSSA-N</t>
  </si>
  <si>
    <t>C18H24O3</t>
  </si>
  <si>
    <t>4.00_252.0876m/z</t>
  </si>
  <si>
    <t>3-Phenylpropionylglycine</t>
  </si>
  <si>
    <t>HMDB0002042</t>
  </si>
  <si>
    <t>20989-69-9</t>
  </si>
  <si>
    <t>OC(=O)CNCCC(=O)C1=CC=CC=C1</t>
  </si>
  <si>
    <t>XHSURMJJKAFELI-UHFFFAOYSA-N</t>
  </si>
  <si>
    <t>55</t>
  </si>
  <si>
    <t>Sarcosine</t>
  </si>
  <si>
    <t>HMDB0000271</t>
  </si>
  <si>
    <t>C00213</t>
  </si>
  <si>
    <t>107-97-1</t>
  </si>
  <si>
    <t>CNCC(O)=O</t>
  </si>
  <si>
    <t>FSYKKLYZXJSNPZ-UHFFFAOYSA-N</t>
  </si>
  <si>
    <t>4.63_432.1549m/z</t>
  </si>
  <si>
    <t>Ile Asp Phe</t>
  </si>
  <si>
    <t>CCC(C)C(C(=O)NC(CC(=O)O)C(=O)NC(CC1=CC=CC=C1)C(=O)O)N</t>
  </si>
  <si>
    <t>HGNUKGZQASSBKQ-PCBIJLKTSA-N</t>
  </si>
  <si>
    <t>1.63_183.1133m/z</t>
  </si>
  <si>
    <t>2-Amino-3-(4-hydroxyphenyl)propanal</t>
  </si>
  <si>
    <t>HMDB0244978</t>
  </si>
  <si>
    <t>NC(CC1=CC=C(O)C=C1)C=O</t>
  </si>
  <si>
    <t>DXGAIOIQACHYRK-UHFFFAOYSA-N</t>
  </si>
  <si>
    <t>1.09_205.0348m/z</t>
  </si>
  <si>
    <t>Glucose ketone</t>
  </si>
  <si>
    <t>HMDB0252777</t>
  </si>
  <si>
    <t>OCC1OC2(O)C(=O)C2(O)C(O)C1O</t>
  </si>
  <si>
    <t>KVPIGVPHHSOZLC-UHFFFAOYSA-N</t>
  </si>
  <si>
    <t>C7H10O7</t>
  </si>
  <si>
    <t>7.20_360.2396m/z</t>
  </si>
  <si>
    <t>O-decanoyl-R-carnitine</t>
  </si>
  <si>
    <t>HMDB0000651</t>
  </si>
  <si>
    <t>LMFA07070006</t>
  </si>
  <si>
    <t>C03299</t>
  </si>
  <si>
    <t>1492-27-9</t>
  </si>
  <si>
    <t>O=C(O[C@](CC([O-])=O)(C[N+](C)(C)C)[H])CCCCCCCCC</t>
  </si>
  <si>
    <t>LZOSYCMHQXPBFU-OAHLLOKOSA-N</t>
  </si>
  <si>
    <t>7.31_248.9971m/z</t>
  </si>
  <si>
    <t>1,2-Difluoro-3,4-dinitrobenzene</t>
  </si>
  <si>
    <t>HMDB0246222</t>
  </si>
  <si>
    <t>[O-][N+](=O)C1=C(C(F)=C(F)C=C1)[N+]([O-])=O</t>
  </si>
  <si>
    <t>JXSSPZOCHGZWJP-UHFFFAOYSA-N</t>
  </si>
  <si>
    <t>C6H2F2N2O4</t>
  </si>
  <si>
    <t>4.50_481.1183m/z</t>
  </si>
  <si>
    <t>Lyoniresinol 9'-sulfate</t>
  </si>
  <si>
    <t>HMDB0039926</t>
  </si>
  <si>
    <t>COC1=CC(=CC(OC)=C1O)C1C(COS(O)(=O)=O)C(CO)CC2=CC(OC)=C(O)C(OC)=C12</t>
  </si>
  <si>
    <t>RRBNWWDPKOJFOA-UHFFFAOYSA-N</t>
  </si>
  <si>
    <t>C22H28O11S</t>
  </si>
  <si>
    <t>8.31_287.1265m/z</t>
  </si>
  <si>
    <t>Cumambrin A</t>
  </si>
  <si>
    <t>HMDB0303513</t>
  </si>
  <si>
    <t>CC(=O)OC1CC(C)(O)C2CC=C(C)C2C2OC(=O)C(=C)C12</t>
  </si>
  <si>
    <t>XMJROHDIQQOWTO-UHFFFAOYSA-N</t>
  </si>
  <si>
    <t>12.13_431.3167m/z</t>
  </si>
  <si>
    <t>alpha-carboxydimethyldecylhydroxychroman</t>
  </si>
  <si>
    <t>LMPR02020076</t>
  </si>
  <si>
    <t>C1(C)=C(C)C2O[C@@](CCC[C@]([H])(C)CCC[C@]([H])(C)CCCC(=O)O)(C)CCC=2C(C)=C1O</t>
  </si>
  <si>
    <t>OIVWJWRMDQBTTG-DSNGTPCMSA-N</t>
  </si>
  <si>
    <t>1.30_220.0767m/z</t>
  </si>
  <si>
    <t>Ambazone</t>
  </si>
  <si>
    <t>HMDB0248279</t>
  </si>
  <si>
    <t>NC(N)=NNC1=CC=C(C=C1)N=NC(N)=S</t>
  </si>
  <si>
    <t>ANZIOUQAFBXNHU-UHFFFAOYSA-N</t>
  </si>
  <si>
    <t>Phenylhydrazines</t>
  </si>
  <si>
    <t>C8H11N7S</t>
  </si>
  <si>
    <t>4.47_372.2141m/z</t>
  </si>
  <si>
    <t>Leu Glu Leu</t>
  </si>
  <si>
    <t>CC(C)CC(C(=O)NC(CCC(=O)O)C(=O)NC(CC(C)C)C(=O)O)N</t>
  </si>
  <si>
    <t>QVFGXCVIXXBFHO-AVGNSLFASA-N</t>
  </si>
  <si>
    <t>C17H31N3O6</t>
  </si>
  <si>
    <t>3.95_293.1144m/z</t>
  </si>
  <si>
    <t>Lidofenin</t>
  </si>
  <si>
    <t>HMDB0254082</t>
  </si>
  <si>
    <t>CC1=CC=CC(C)=C1N=C(O)CN(CC(O)=O)CC(O)=O</t>
  </si>
  <si>
    <t>DJQJFMSHHYAZJD-UHFFFAOYSA-N</t>
  </si>
  <si>
    <t>1.03_153.0412m/z</t>
  </si>
  <si>
    <t>Xanthine</t>
  </si>
  <si>
    <t>HMDB0000292</t>
  </si>
  <si>
    <t>C00385</t>
  </si>
  <si>
    <t>hsa00230,hsa00232</t>
  </si>
  <si>
    <t>Purine metabolism|Caffeine metabolism</t>
  </si>
  <si>
    <t>R-HSA-1430728,R-HSA-15869,R-HSA-74259,R-HSA-8956319</t>
  </si>
  <si>
    <t>Metabolism|Metabolism of nucleotides|Purine catabolism|Nucleotide catabolism</t>
  </si>
  <si>
    <t>69-89-6</t>
  </si>
  <si>
    <t>O=C1NC2=C(NC=N2)C(=O)N1</t>
  </si>
  <si>
    <t>LRFVTYWOQMYALW-UHFFFAOYSA-N</t>
  </si>
  <si>
    <t>5.56_382.0679m/z</t>
  </si>
  <si>
    <t>Pantoprazole</t>
  </si>
  <si>
    <t>HMDB0005017</t>
  </si>
  <si>
    <t>C11806</t>
  </si>
  <si>
    <t>102625-70-7</t>
  </si>
  <si>
    <t>COC1=C(OC)C(CS(=O)C2=NC3=C(N2)C=C(OC(F)F)C=C3)=NC=C1</t>
  </si>
  <si>
    <t>IQPSEEYGBUAQFF-UHFFFAOYSA-N</t>
  </si>
  <si>
    <t>C16H15F2N3O4S</t>
  </si>
  <si>
    <t>0.74_256.0938m/z</t>
  </si>
  <si>
    <t>N2-gamma-Glutamylglutamine</t>
  </si>
  <si>
    <t>HMDB0011738</t>
  </si>
  <si>
    <t>C05283</t>
  </si>
  <si>
    <t>10148-81-9</t>
  </si>
  <si>
    <t>N[C@@H](CCC(=O)N[C@@H](CCC(N)=O)C(O)=O)C(O)=O</t>
  </si>
  <si>
    <t>JBFYFLXEJFQWMU-WDSKDSINSA-N</t>
  </si>
  <si>
    <t>9.66_234.1263n</t>
  </si>
  <si>
    <t>Dehydrooreadone</t>
  </si>
  <si>
    <t>HMDB0036046</t>
  </si>
  <si>
    <t>124869-07-4</t>
  </si>
  <si>
    <t>CC1(C)C=CC(=O)C2C3C(O)OCC3=CCC12</t>
  </si>
  <si>
    <t>RBUVATMDYDGAJH-UHFFFAOYSA-N</t>
  </si>
  <si>
    <t>6.81_251.0899m/z</t>
  </si>
  <si>
    <t>Amdoxovir</t>
  </si>
  <si>
    <t>HMDB0248284</t>
  </si>
  <si>
    <t>NC1=NC2=C(N=CN2C2COC(CO)O2)C(N)=N1</t>
  </si>
  <si>
    <t>RLAHNGKRJJEIJL-UHFFFAOYSA-N</t>
  </si>
  <si>
    <t>C9H12N6O3</t>
  </si>
  <si>
    <t>0.58_315.1883m/z</t>
  </si>
  <si>
    <t>Pergolide</t>
  </si>
  <si>
    <t>HMDB0015317</t>
  </si>
  <si>
    <t>C07425</t>
  </si>
  <si>
    <t>R-HSA-162582,R-HSA-372790,R-HSA-373076,R-HSA-375280,R-HSA-390666,R-HSA-500792</t>
  </si>
  <si>
    <t>Signal Transduction|Signaling by GPCR|Class A/1 (Rhodopsin-like receptors)|Amine ligand-binding receptors|Serotonin receptors|GPCR ligand binding</t>
  </si>
  <si>
    <t>66104-22-1</t>
  </si>
  <si>
    <t>[H][C@@]12CC3=CNC4=CC=CC(=C34)[C@@]1([H])C[C@@H](CSC)CN2CCC</t>
  </si>
  <si>
    <t>YEHCICAEULNIGD-MZMPZRCHSA-N</t>
  </si>
  <si>
    <t>C19H26N2S</t>
  </si>
  <si>
    <t>4.67_495.9913m/z</t>
  </si>
  <si>
    <t>Dideoxycytidine 5'-Triphosphate</t>
  </si>
  <si>
    <t>HMDB0061726</t>
  </si>
  <si>
    <t>66004-77-1</t>
  </si>
  <si>
    <t>[H][C@@]1(COP(O)(=O)OP(O)(=O)OP(O)(O)=O)CC[C@@]([H])(O1)N1C=CC(=N)N=C1O</t>
  </si>
  <si>
    <t>ARLKCWCREKRROD-POYBYMJQSA-N</t>
  </si>
  <si>
    <t>Pyrimidine deoxyribonucleotides</t>
  </si>
  <si>
    <t>C9H16N3O12P3</t>
  </si>
  <si>
    <t>10.23_497.1751m/z</t>
  </si>
  <si>
    <t>1-(2-Pyridylazo)-2-naphthol</t>
  </si>
  <si>
    <t>HMDB0243783</t>
  </si>
  <si>
    <t>OC1=C(N=NC2=CC=CC=N2)C2=CC=CC=C2C=C1</t>
  </si>
  <si>
    <t>LLYOXZQVOKALCD-UHFFFAOYSA-N</t>
  </si>
  <si>
    <t>C15H11N3O</t>
  </si>
  <si>
    <t>9.05_268.1319n</t>
  </si>
  <si>
    <t>3-carboxy-4-methyl-5-pentyl-2-furanpropanoic acid</t>
  </si>
  <si>
    <t>HMDB0061643</t>
  </si>
  <si>
    <t>LMFA01150047</t>
  </si>
  <si>
    <t>C(CC)CCC1=C(C)C(C(=O)O)=C(CCC(=O)O)O1</t>
  </si>
  <si>
    <t>RIJDKRLRDVBUHJ-UHFFFAOYSA-N</t>
  </si>
  <si>
    <t>12.53_339.2328m/z</t>
  </si>
  <si>
    <t>1,1'-[1,11-Undecanediylbis(oxy)]bisbenzene</t>
  </si>
  <si>
    <t>HMDB0039762</t>
  </si>
  <si>
    <t>141620-04-4</t>
  </si>
  <si>
    <t>C(CCCCCOC1=CC=CC=C1)CCCCCOC1=CC=CC=C1</t>
  </si>
  <si>
    <t>ZPWUBAJYGXZRQA-UHFFFAOYSA-N</t>
  </si>
  <si>
    <t>C23H32O2</t>
  </si>
  <si>
    <t>7.16_336.1829m/z</t>
  </si>
  <si>
    <t>Epiroprim</t>
  </si>
  <si>
    <t>HMDB0251860</t>
  </si>
  <si>
    <t>CCOC1=CC(CC2=CN=C(N)N=C2N)=CC(OCC)=C1N1C=CC=C1</t>
  </si>
  <si>
    <t>NMARPFMJVCXSAV-UHFFFAOYSA-N</t>
  </si>
  <si>
    <t>C19H23N5O2</t>
  </si>
  <si>
    <t>4.34_322.1775m/z</t>
  </si>
  <si>
    <t>Val Gly Phe</t>
  </si>
  <si>
    <t>CC(C)C(C(=O)NCC(=O)NC(CC1=CC=CC=C1)C(=O)O)N</t>
  </si>
  <si>
    <t>MDYSKHBSPXUOPV-JSGCOSHPSA-N</t>
  </si>
  <si>
    <t>C16H23N3O4</t>
  </si>
  <si>
    <t>4.62_219.1135m/z</t>
  </si>
  <si>
    <t>5-(2-Aminopropyl)indole</t>
  </si>
  <si>
    <t>HMDB0246717</t>
  </si>
  <si>
    <t>CC(N)CC1=CC2=C(NC=C2)C=C1</t>
  </si>
  <si>
    <t>AULGMISRJWGTBA-UHFFFAOYSA-N</t>
  </si>
  <si>
    <t>C11H14N2</t>
  </si>
  <si>
    <t>13.83_483.3483m/z</t>
  </si>
  <si>
    <t>Polyporenic acid C</t>
  </si>
  <si>
    <t>HMDB0256688</t>
  </si>
  <si>
    <t>CC(C)C(=C)CCC(C1C(O)CC2(C)C3=CCC4C(C)(C)C(=O)CCC4(C)C3=CCC12C)C(O)=O</t>
  </si>
  <si>
    <t>KPKYWYZPIVAHKU-UHFFFAOYSA-N</t>
  </si>
  <si>
    <t>C31H46O4</t>
  </si>
  <si>
    <t>10.25_393.2283m/z</t>
  </si>
  <si>
    <t>Methyl-(10S)-hydroxy-(11S,12S)-epoxy-(5Z,8Z,14Z,17Z)-eicosatetraenoate</t>
  </si>
  <si>
    <t>LMFA03090012</t>
  </si>
  <si>
    <t>C(CCC/C=C\C/C=C\[C@@H](O)[C@@H]1O[C@H]1C/C=C\C/C=C\CC)(=O)OC</t>
  </si>
  <si>
    <t>TZZBJXZCAVSJCY-LUQRYRFISA-N</t>
  </si>
  <si>
    <t>11.19_509.2891m/z</t>
  </si>
  <si>
    <t>Desmethyl rizatriptan</t>
  </si>
  <si>
    <t>HMDB0244626</t>
  </si>
  <si>
    <t>CNCCC1=CNC2=C1C=C(CN1C=NC=N1)C=C2</t>
  </si>
  <si>
    <t>HTVLSIBBGWEXCH-UHFFFAOYSA-N</t>
  </si>
  <si>
    <t>C14H17N5</t>
  </si>
  <si>
    <t>5.42_233.0607m/z</t>
  </si>
  <si>
    <t>4'-METHOXYFLAVONE</t>
  </si>
  <si>
    <t>4143-74-2</t>
  </si>
  <si>
    <t>COC1=CC=C(C=C1)C2=CC(=O)C3=CC=CC=C3O2</t>
  </si>
  <si>
    <t>OMICQBVLCVRFGN-UHFFFAOYSA-N</t>
  </si>
  <si>
    <t>9.62_512.2994m/z</t>
  </si>
  <si>
    <t>PC(0:0/14:0)</t>
  </si>
  <si>
    <t>LMGP01050073</t>
  </si>
  <si>
    <t>[C@](COP(=O)([O-])OCC[N+](C)(C)C)([H])(OC(CCCCCCCCCCCCC)=O)CO</t>
  </si>
  <si>
    <t>IGZPHNNYPPAPLA-OAQYLSRUSA-N</t>
  </si>
  <si>
    <t>0.80_353.0913m/z</t>
  </si>
  <si>
    <t>N(4)-Acetylsulfadimethoxine</t>
  </si>
  <si>
    <t>HMDB0255282</t>
  </si>
  <si>
    <t>COC1=CC(OC)=NC(NS(=O)(=O)C2=CC=C(C=C2)N=C(C)O)=N1</t>
  </si>
  <si>
    <t>DQWIIKBKAIPUPY-UHFFFAOYSA-N</t>
  </si>
  <si>
    <t>C14H16N4O5S</t>
  </si>
  <si>
    <t>11.88_122.0737n</t>
  </si>
  <si>
    <t>2-Phenylethanol</t>
  </si>
  <si>
    <t>HMDB0033944</t>
  </si>
  <si>
    <t>C05853</t>
  </si>
  <si>
    <t>60-12-8</t>
  </si>
  <si>
    <t>OCCC1=CC=CC=C1</t>
  </si>
  <si>
    <t>WRMNZCZEMHIOCP-UHFFFAOYSA-N</t>
  </si>
  <si>
    <t>C8H10O</t>
  </si>
  <si>
    <t>2.06_465.1000m/z</t>
  </si>
  <si>
    <t>Vericiguat</t>
  </si>
  <si>
    <t>HMDB0304849</t>
  </si>
  <si>
    <t>COC(=O)NC1=C(N)N=C(N=C1N)C1=NN(CC2=CC=CC=C2F)C2=C1C=C(F)C=N2</t>
  </si>
  <si>
    <t>QZFHIXARHDBPBY-UHFFFAOYSA-N</t>
  </si>
  <si>
    <t>Pyrazolopyridines</t>
  </si>
  <si>
    <t>C19H16F2N8O2</t>
  </si>
  <si>
    <t>4.92_390.0766m/z</t>
  </si>
  <si>
    <t>Thiamine monophosphate</t>
  </si>
  <si>
    <t>HMDB0002666</t>
  </si>
  <si>
    <t>C01081</t>
  </si>
  <si>
    <t>hsa00730</t>
  </si>
  <si>
    <t>Thiamine metabolism</t>
  </si>
  <si>
    <t>495-23-8</t>
  </si>
  <si>
    <t>CC1=C(CCOP(O)(O)=O)SC=[N+]1CC1=CN=C(C)N=C1N</t>
  </si>
  <si>
    <t>HZSAJDVWZRBGIF-UHFFFAOYSA-O</t>
  </si>
  <si>
    <t>C12H18N4O4PS+</t>
  </si>
  <si>
    <t>12.13_389.2465m/z</t>
  </si>
  <si>
    <t>[3-(2-Aminopropyl)-6-methylidenecyclohexa-1,3-dien-1-yl]methanediol</t>
  </si>
  <si>
    <t>HMDB0257571</t>
  </si>
  <si>
    <t>CC(N)CC1=CCC(=C)C(=C1)C(O)O</t>
  </si>
  <si>
    <t>LKRVDGINSUYKBV-UHFFFAOYSA-N</t>
  </si>
  <si>
    <t>C11H17NO2</t>
  </si>
  <si>
    <t>4.07_441.1518m/z</t>
  </si>
  <si>
    <t>17-Iodoheptadecanoic acid</t>
  </si>
  <si>
    <t>HMDB0244775</t>
  </si>
  <si>
    <t>OC(=O)CCCCCCCCCCCCCCCCI</t>
  </si>
  <si>
    <t>UBQLJCFBCITRNR-UHFFFAOYSA-N</t>
  </si>
  <si>
    <t>C17H33IO2</t>
  </si>
  <si>
    <t>4.13_380.2193m/z</t>
  </si>
  <si>
    <t>Phe Leu Thr</t>
  </si>
  <si>
    <t>CC(C)CC(C(=O)NC(C(C)O)C(=O)O)NC(=O)C(CC1=CC=CC=C1)N</t>
  </si>
  <si>
    <t>CMHTUJQZQXFNTQ-OEAJRASXSA-N</t>
  </si>
  <si>
    <t>C19H29N3O5</t>
  </si>
  <si>
    <t>3.36_167.9826m/z</t>
  </si>
  <si>
    <t>phosphoenol pyruvate</t>
  </si>
  <si>
    <t>C00074</t>
  </si>
  <si>
    <t>hsa00010,hsa00020,hsa00400,hsa00440,hsa00620,hsa04922,hsa04964,hsa05230</t>
  </si>
  <si>
    <t>Glycolysis / Gluconeogenesis|Citrate cycle (TCA cycle)|Phenylalanine, tyrosine and tryptophan biosynthesis|Phosphonate and phosphinate metabolism|Pyruvate metabolism|Glucagon signaling pathway|Proximal tubule bicarbonate reclamation|Central carbon metabolism in cancer</t>
  </si>
  <si>
    <t>138-08-9</t>
  </si>
  <si>
    <t>C=C(C(=O)[O-])OP(=O)([O-])[O-]</t>
  </si>
  <si>
    <t>DTBNBXWJWCWCIK-UHFFFAOYSA-K</t>
  </si>
  <si>
    <t>C3H5O6P</t>
  </si>
  <si>
    <t>6.60_246.1709m/z</t>
  </si>
  <si>
    <t>(-)-12-hydroxy-9,10-dihydrojasmonic acid</t>
  </si>
  <si>
    <t>LMFA02020015</t>
  </si>
  <si>
    <t>C1(=O)[C@H](CCCCCO)[C@@H](CC(=O)O)CC1</t>
  </si>
  <si>
    <t>SXFKEAKOXUOQGN-NXEZZACHSA-N</t>
  </si>
  <si>
    <t>14.26_569.4790m/z</t>
  </si>
  <si>
    <t>FAHFA(15:0/14-O-18:0)</t>
  </si>
  <si>
    <t>LMFA07090084</t>
  </si>
  <si>
    <t>C(CCCCCCCCCCCC(=O)O)C(OC(CCCCCCCCCCCCCC)=O)CCCC</t>
  </si>
  <si>
    <t>SVNUYGFVNYWLAX-UHFFFAOYSA-N</t>
  </si>
  <si>
    <t>C33H64O4</t>
  </si>
  <si>
    <t>1.14_290.0827m/z</t>
  </si>
  <si>
    <t>Avenalumin III</t>
  </si>
  <si>
    <t>HMDB0038956</t>
  </si>
  <si>
    <t>78214-15-0</t>
  </si>
  <si>
    <t>OC1=CC=C(\C=C\C=C/C2=NC3=CC=CC=C3C(=O)O2)C=C1</t>
  </si>
  <si>
    <t>ASJBOIQMTVOWBG-UJURIKRHSA-N</t>
  </si>
  <si>
    <t>4.51_157.0667m/z</t>
  </si>
  <si>
    <t>5,6,7,8-tetrahydro-2-Naphthoic Acid</t>
  </si>
  <si>
    <t>C14111</t>
  </si>
  <si>
    <t>1131-63-1</t>
  </si>
  <si>
    <t>C1CCC2=C(C1)C=CC(=C2)C(=O)O</t>
  </si>
  <si>
    <t>RSWXAGBBPCRION-UHFFFAOYSA-N</t>
  </si>
  <si>
    <t>C11H12O2</t>
  </si>
  <si>
    <t>8.99_357.3124m/z</t>
  </si>
  <si>
    <t>13-HODE-EA</t>
  </si>
  <si>
    <t>LMFA08040071</t>
  </si>
  <si>
    <t>C(CCCCCCC/C=C\C=C\C(O)CCCCC)(=O)NCCO</t>
  </si>
  <si>
    <t>GBQSRUAXKWJYGA-BSZOFBHHSA-N</t>
  </si>
  <si>
    <t>0.60_323.1559m/z</t>
  </si>
  <si>
    <t>Citalopram N-oxide</t>
  </si>
  <si>
    <t>HMDB0060654</t>
  </si>
  <si>
    <t>C16607</t>
  </si>
  <si>
    <t>63284-72-0</t>
  </si>
  <si>
    <t>CN(C)(=O)CCCC1(OCC2=C1C=CC(=C2)C#N)C1=CC=C(F)C=C1</t>
  </si>
  <si>
    <t>DIOGFDCEWUUSBQ-UHFFFAOYSA-N</t>
  </si>
  <si>
    <t>C20H21FN2O2</t>
  </si>
  <si>
    <t>9.30_445.0311m/z</t>
  </si>
  <si>
    <t>FR</t>
  </si>
  <si>
    <t>HMDB0303046</t>
  </si>
  <si>
    <t>[Fr]</t>
  </si>
  <si>
    <t>KLMCZVJOEAUDNE-UHFFFAOYSA-N</t>
  </si>
  <si>
    <t>Homogeneous alkali metal compounds</t>
  </si>
  <si>
    <t>Fr</t>
  </si>
  <si>
    <t>4.40_378.1673m/z</t>
  </si>
  <si>
    <t>Met Leu Ala</t>
  </si>
  <si>
    <t>CC(C)CC(C(=O)NC(C)C(=O)O)NC(=O)C(CCSC)N</t>
  </si>
  <si>
    <t>AFFKUNVPPLQUGA-DCAQKATOSA-N</t>
  </si>
  <si>
    <t>C14H27N3O4S</t>
  </si>
  <si>
    <t>0.76_258.9815m/z</t>
  </si>
  <si>
    <t>Iodinated glycerol</t>
  </si>
  <si>
    <t>HMDB0253512</t>
  </si>
  <si>
    <t>CC(I)C1OCC(CO)O1</t>
  </si>
  <si>
    <t>LTINPJMVDKPJJI-UHFFFAOYSA-N</t>
  </si>
  <si>
    <t>Dioxolanes</t>
  </si>
  <si>
    <t>1,3-dioxolanes</t>
  </si>
  <si>
    <t>C6H11IO3</t>
  </si>
  <si>
    <t>3.48_229.0408m/z</t>
  </si>
  <si>
    <t>aldicarb</t>
  </si>
  <si>
    <t>C11015</t>
  </si>
  <si>
    <t>116-06-3</t>
  </si>
  <si>
    <t>CC(C)(C=NOC(=O)NC)SC</t>
  </si>
  <si>
    <t>QGLZXHRNAYXIBU-WEVVVXLNSA-N</t>
  </si>
  <si>
    <t>C7H14N2O2S</t>
  </si>
  <si>
    <t>1.13_189.0394m/z</t>
  </si>
  <si>
    <t>3-hexenedioic acid</t>
  </si>
  <si>
    <t>29311-53-3</t>
  </si>
  <si>
    <t>C(C=CCC(=O)O)C(=O)O</t>
  </si>
  <si>
    <t>YHGNXQAFNHCBTK-UHFFFAOYSA-N</t>
  </si>
  <si>
    <t>C6H8O4</t>
  </si>
  <si>
    <t>4.48_920.4646m/z</t>
  </si>
  <si>
    <t>Midecamycin acetate</t>
  </si>
  <si>
    <t>HMDB0254742</t>
  </si>
  <si>
    <t>CCC(=O)OC1C(C)OC(CC1(C)OC(C)=O)OC1C(C)OC(OC2C(CC=O)CC(C)C(OC(C)=O)C=CC=CCC(C)OC(=O)CC(OC(=O)CC)C2OC)C(O)C1N(C)C</t>
  </si>
  <si>
    <t>GQNZGCARKRHPOH-UHFFFAOYSA-N</t>
  </si>
  <si>
    <t>C45H71NO17</t>
  </si>
  <si>
    <t>10.60_335.1841m/z</t>
  </si>
  <si>
    <t>Cymatherelactone</t>
  </si>
  <si>
    <t>LMFA07040130</t>
  </si>
  <si>
    <t>[C@H]12[C@@H]([C@@H]3[C@@H](O3)C1)C=CCCCCC(O[C@H](CC)[C@@H]1C[C@@H]21)=O</t>
  </si>
  <si>
    <t>FIICQHIPIFWHRY-HFOVYDPPSA-N</t>
  </si>
  <si>
    <t>C18H26O3</t>
  </si>
  <si>
    <t>2.68_237.1242m/z</t>
  </si>
  <si>
    <t>ALANYL-dl-PHENYLALANINE</t>
  </si>
  <si>
    <t>1999-45-7</t>
  </si>
  <si>
    <t>CC(C(=O)NC(CC1=CC=CC=C1)C(=O)O)N</t>
  </si>
  <si>
    <t>OMNVYXHOSHNURL-UHFFFAOYSA-N</t>
  </si>
  <si>
    <t>10.27_355.1914m/z</t>
  </si>
  <si>
    <t>Nitenin</t>
  </si>
  <si>
    <t>LMPK12020256</t>
  </si>
  <si>
    <t>C1(OC)=C(CCC(O)(C)C)C2O[C@H](C3C=CC=CC=3)CCC=2C(OC)=C1</t>
  </si>
  <si>
    <t>LUGSEMDQUBBXEJ-SFHVURJKSA-N</t>
  </si>
  <si>
    <t>9.18_343.2643m/z</t>
  </si>
  <si>
    <t>TrHA</t>
  </si>
  <si>
    <t>LMFA01030853</t>
  </si>
  <si>
    <t>C(CCC/C=C\C/C=C\C/C=C\C/C=C\C/C=C\C/C=C\CC)(=O)O</t>
  </si>
  <si>
    <t>GGTVEFDAPOKWMQ-KUBAVDMBSA-N</t>
  </si>
  <si>
    <t>C23H34O2</t>
  </si>
  <si>
    <t>11.90_168.1386m/z</t>
  </si>
  <si>
    <t>Carvone</t>
  </si>
  <si>
    <t>HMDB0035824</t>
  </si>
  <si>
    <t>C11383</t>
  </si>
  <si>
    <t>22327-39-5</t>
  </si>
  <si>
    <t>CC(=C)C1CC=C(C)C(=O)C1</t>
  </si>
  <si>
    <t>ULDHMXUKGWMISQ-UHFFFAOYSA-N</t>
  </si>
  <si>
    <t>C10H14O</t>
  </si>
  <si>
    <t>4.75_210.0899m/z</t>
  </si>
  <si>
    <t>Sinapyl alcohol</t>
  </si>
  <si>
    <t>HMDB0013070</t>
  </si>
  <si>
    <t>C02325</t>
  </si>
  <si>
    <t>537-33-7</t>
  </si>
  <si>
    <t>COC1=CC(\C=C\CO)=CC(OC)=C1O</t>
  </si>
  <si>
    <t>LZFOPEXOUVTGJS-ONEGZZNKSA-N</t>
  </si>
  <si>
    <t>10.95_221.1542m/z</t>
  </si>
  <si>
    <t>3,5,7-Trimethyl-2E,4E,6E,8E-decatetraene</t>
  </si>
  <si>
    <t>LMFA11000054</t>
  </si>
  <si>
    <t>C/C=C(\C)/C=C(\C)/C=C(\C)/C=C/C</t>
  </si>
  <si>
    <t>RRPFGKUHEMWGSW-RYNMLCPOSA-N</t>
  </si>
  <si>
    <t>1.03_217.1190m/z</t>
  </si>
  <si>
    <t>N(epsilon)-(carboxyethyl)lysine</t>
  </si>
  <si>
    <t>HMDB0255289</t>
  </si>
  <si>
    <t>NC(CCCCNCCC(O)=O)C(O)=O</t>
  </si>
  <si>
    <t>SPBWCBIQZFYDOE-UHFFFAOYSA-N</t>
  </si>
  <si>
    <t>211</t>
  </si>
  <si>
    <t>2-Aminoethanethiol</t>
  </si>
  <si>
    <t>HMDB0002991</t>
  </si>
  <si>
    <t>C01678</t>
  </si>
  <si>
    <t>R-HSA-1430728,R-HSA-1614558,R-HSA-1614635,R-HSA-196849,R-HSA-196854,R-HSA-199220,R-HSA-71291</t>
  </si>
  <si>
    <t>Metabolism|Degradation of cysteine and homocysteine|Sulfur amino acid metabolism|Metabolism of water-soluble vitamins and cofactors|Metabolism of vitamins and cofactors|Vitamin B5 (pantothenate) metabolism|Metabolism of amino acids and derivatives</t>
  </si>
  <si>
    <t>60-23-1</t>
  </si>
  <si>
    <t>NCCS</t>
  </si>
  <si>
    <t>UFULAYFCSOUIOV-UHFFFAOYSA-N</t>
  </si>
  <si>
    <t>Thiols</t>
  </si>
  <si>
    <t>Alkylthiols</t>
  </si>
  <si>
    <t>C2H7NS</t>
  </si>
  <si>
    <t>2.22_157.0496m/z</t>
  </si>
  <si>
    <t>2-Isopropylmalic acid</t>
  </si>
  <si>
    <t>HMDB0000402</t>
  </si>
  <si>
    <t>C02504</t>
  </si>
  <si>
    <t>hsa00290,hsa00620</t>
  </si>
  <si>
    <t>Valine, leucine and isoleucine biosynthesis|Pyruvate metabolism</t>
  </si>
  <si>
    <t>3237-44-3</t>
  </si>
  <si>
    <t>CC(C)C(CC(=O)O)(C(=O)O)O</t>
  </si>
  <si>
    <t>BITYXLXUCSKTJS-UHFFFAOYSA-N</t>
  </si>
  <si>
    <t>C7H12O5</t>
  </si>
  <si>
    <t>1.27_190.0460m/z</t>
  </si>
  <si>
    <t>2-O-Methylascorbic acid</t>
  </si>
  <si>
    <t>HMDB0240294</t>
  </si>
  <si>
    <t>17860-87-6</t>
  </si>
  <si>
    <t>[H][C@@]1(OC(=O)C(OC)=C1O)[C@@H](O)CO</t>
  </si>
  <si>
    <t>JBXPKMHATRSERD-WVZVXSGGSA-N</t>
  </si>
  <si>
    <t>C7H10O6</t>
  </si>
  <si>
    <t>11.57_365.2698m/z</t>
  </si>
  <si>
    <t>Pregnanediol</t>
  </si>
  <si>
    <t>HMDB0004025</t>
  </si>
  <si>
    <t>C05484</t>
  </si>
  <si>
    <t>80-92-2</t>
  </si>
  <si>
    <t>[H][C@@]1(CC[C@@]2([H])[C@]3([H])CC[C@]4([H])C[C@H](O)CC[C@]4(C)[C@@]3([H])CC[C@]12C)[C@H](C)O</t>
  </si>
  <si>
    <t>YWYQTGBBEZQBGO-BERLURQNSA-N</t>
  </si>
  <si>
    <t>3.98_157.0496m/z</t>
  </si>
  <si>
    <t>hept-2-enedioic acid</t>
  </si>
  <si>
    <t>LMFA01031011</t>
  </si>
  <si>
    <t>C(=C([H])CCCC(O)=O)C(O)=O</t>
  </si>
  <si>
    <t>OXQWBLJQOBXJPM-UHFFFAOYSA-N</t>
  </si>
  <si>
    <t>C7H10O4</t>
  </si>
  <si>
    <t>8.25_415.3218m/z</t>
  </si>
  <si>
    <t>Rockogenin</t>
  </si>
  <si>
    <t>LMST01080017</t>
  </si>
  <si>
    <t>C1[C@]2(C)[C@@]3([H])C[C@@H](O)[C@]4(C)[C@H]5[C@@H]([C@]6(O[C@H]5C[C@@]4([H])[C@]3([H])CC[C@@]2([H])C[C@@H](O)C1)CC[C@@H](C)CO6)C</t>
  </si>
  <si>
    <t>BQNMOLSYHYSCMS-TUUYSWIFSA-N</t>
  </si>
  <si>
    <t>9.65_253.1804m/z</t>
  </si>
  <si>
    <t>Monomethylglutarate</t>
  </si>
  <si>
    <t>CC1CCC(C(C1)OC(=O)CCCC(=O)O)C(C)C</t>
  </si>
  <si>
    <t>CTMTYSVTTGVYAW-UHFFFAOYSA-N</t>
  </si>
  <si>
    <t>1.57_190.0460m/z</t>
  </si>
  <si>
    <t>Quisqualic acid</t>
  </si>
  <si>
    <t>C08296</t>
  </si>
  <si>
    <t>52809-07-1</t>
  </si>
  <si>
    <t>C(C(C(=O)O)N)N1C(=O)NC(=O)O1</t>
  </si>
  <si>
    <t>ASNFTDCKZKHJSW-REOHCLBHSA-N</t>
  </si>
  <si>
    <t>374</t>
  </si>
  <si>
    <t>Pentadecylic Acid</t>
  </si>
  <si>
    <t>HMDB0000826</t>
  </si>
  <si>
    <t>LMFA01010015</t>
  </si>
  <si>
    <t>C16537</t>
  </si>
  <si>
    <t>R-HSA-1430728,R-HSA-162582,R-HSA-163685,R-HSA-2980736,R-HSA-372790,R-HSA-373076,R-HSA-381771,R-HSA-388396,R-HSA-392499,R-HSA-400451,R-HSA-400508,R-HSA-400511,R-HSA-416476,R-HSA-422356,R-HSA-434316,R-HSA-444209,R-HSA-500792</t>
  </si>
  <si>
    <t>Metabolism|Signal Transduction|Integration of energy metabolism|Peptide hormone metabolism|Signaling by GPCR|Class A/1 (Rhodopsin-like receptors)|Synthesis, secretion, and inactivation of Glucagon-like Peptide-1 (GLP-1)|GPCR downstream signalling|Metabolism of proteins|Free fatty acids regulate insulin secretion|Incretin synthesis, secretion, and inactivation|Synthesis, secretion, and inactivation of Glucose-dependent Insulinotropic Polypeptide (GIP)|G alpha (q) signalling events|Regulation of insulin secretion|Fatty Acids bound to GPR40 (FFAR1) regulate insulin secretion|Free fatty acid receptors|GPCR ligand binding</t>
  </si>
  <si>
    <t>1002-84-2</t>
  </si>
  <si>
    <t>C(CCCCC)CCCCCCCCC(=O)O</t>
  </si>
  <si>
    <t>WQEPLUUGTLDZJY-UHFFFAOYSA-N</t>
  </si>
  <si>
    <t>8.87_500.2789m/z</t>
  </si>
  <si>
    <t>PE(0:0/20:4;O)</t>
  </si>
  <si>
    <t>LMGP20020055</t>
  </si>
  <si>
    <t>C(OP(OCCN)(O)=O)[C@]([H])(OC(=O)CCC/C=C\C/C=C\C/C=C\C=C\[C@@H](O)CCCCC)CO</t>
  </si>
  <si>
    <t>UNKGTCKGUVAXEP-OPPREMTDSA-N</t>
  </si>
  <si>
    <t>C25H44NO8P</t>
  </si>
  <si>
    <t>5.11_207.0228m/z</t>
  </si>
  <si>
    <t>4-phenyl-1,2,3-Thiadiazole</t>
  </si>
  <si>
    <t>25445-77-6</t>
  </si>
  <si>
    <t>C1=CC=C(C=C1)C2=CSN=N2</t>
  </si>
  <si>
    <t>AWPNFXRMNNPKDW-UHFFFAOYSA-N</t>
  </si>
  <si>
    <t>C8H6N2S</t>
  </si>
  <si>
    <t>5.89_133.0648m/z</t>
  </si>
  <si>
    <t>2-Isopropyl-1,4-benzenediol</t>
  </si>
  <si>
    <t>HMDB0032132</t>
  </si>
  <si>
    <t>2349-71-5</t>
  </si>
  <si>
    <t>CC(C)C1=C(O)C=CC(O)=C1</t>
  </si>
  <si>
    <t>HIGSPBFIOSHWQG-UHFFFAOYSA-N</t>
  </si>
  <si>
    <t>Cumenes</t>
  </si>
  <si>
    <t>9.77_506.3626m/z</t>
  </si>
  <si>
    <t>7',8'-Dihydro-8'-hydroxycitraniaxanthin</t>
  </si>
  <si>
    <t>HMDB0036884</t>
  </si>
  <si>
    <t>15446-86-3</t>
  </si>
  <si>
    <t>CC(=O)C1OC1(O)C(\C)=C\C=C\C(\C)=C/C=C/C=C(\C)/C=C/C=C(/C)\C=C\C1=C(C)CCCC1(C)C</t>
  </si>
  <si>
    <t>YDOUJCMZGQTKDH-WDNAESAISA-N</t>
  </si>
  <si>
    <t>C33H44O3</t>
  </si>
  <si>
    <t>4.50_478.1988m/z</t>
  </si>
  <si>
    <t>Belotecan</t>
  </si>
  <si>
    <t>HMDB0248935</t>
  </si>
  <si>
    <t>CCC1(O)C(=O)OCC2=C1C=C1N(CC3=C(CCNC(C)C)C4=CC=CC=C4N=C13)C2=O</t>
  </si>
  <si>
    <t>LNHWXBUNXOXMRL-UHFFFAOYSA-N</t>
  </si>
  <si>
    <t>Camptothecins</t>
  </si>
  <si>
    <t>C25H27N3O4</t>
  </si>
  <si>
    <t>10.45_690.2763m/z</t>
  </si>
  <si>
    <t>OXONITINE</t>
  </si>
  <si>
    <t>545-57-3</t>
  </si>
  <si>
    <t>CC(=O)OC12C3C(CC(C3OC(=O)C4=CC=CC=C4)(C(C1O)OC)O)C56C(CC(C7(C5C(C2C6N(C7)C=O)OC)COC)O)OC</t>
  </si>
  <si>
    <t>SVQZFPSKTHNMRD-DZCZYSFVSA-N</t>
  </si>
  <si>
    <t>C33H43NO12</t>
  </si>
  <si>
    <t>6.93_251.1648m/z</t>
  </si>
  <si>
    <t>Corey PG-Lactone Diol</t>
  </si>
  <si>
    <t>CCCCCC(C=CC1C(CC2C1CC(=O)O2)O)O</t>
  </si>
  <si>
    <t>UMDQPEMZJHAFNL-VOTSOKGWSA-N</t>
  </si>
  <si>
    <t>10.74_377.1867m/z</t>
  </si>
  <si>
    <t>QUININE ETHYL CARBONATE</t>
  </si>
  <si>
    <t>83-75-0</t>
  </si>
  <si>
    <t>CCOC(=O)OC(C1CC2CCN1CC2C=C)C3=C4C=C(C=CC4=NC=C3)OC</t>
  </si>
  <si>
    <t>NSBRKSWSLRQPJW-WWLNLUSPSA-N</t>
  </si>
  <si>
    <t>C23H28N2O4</t>
  </si>
  <si>
    <t>11.77_251.2016m/z</t>
  </si>
  <si>
    <t>9,12-hexadecadienoic acid</t>
  </si>
  <si>
    <t>LMFA01030109</t>
  </si>
  <si>
    <t>C(/C/C=C/CCC)=C\CCCCCCCC(=O)O</t>
  </si>
  <si>
    <t>RVEKLXYYCHAMDF-AOSYACOCSA-N</t>
  </si>
  <si>
    <t>10.73_437.3274m/z</t>
  </si>
  <si>
    <t>Varanic acid</t>
  </si>
  <si>
    <t>HMDB0002195</t>
  </si>
  <si>
    <t>1061-64-9</t>
  </si>
  <si>
    <t>[H][C@@]12CC[C@H]([C@H](C)CC[C@@H](O)[C@@H](O)C(O)=O)[C@@]1(C)CC[C@@]1([H])[C@@]2([H])CC[C@]2([H])C[C@H](O)CC[C@]12C</t>
  </si>
  <si>
    <t>NRDKNLGDNLHWHG-IYELHLJQSA-N</t>
  </si>
  <si>
    <t>C26H44O5</t>
  </si>
  <si>
    <t>9.99_704.5192m/z</t>
  </si>
  <si>
    <t>PE(15:0/18:1(9Z))</t>
  </si>
  <si>
    <t>HMDB0008894</t>
  </si>
  <si>
    <t>LMGP02010458</t>
  </si>
  <si>
    <t>[C@](COP(=O)(O)OCCN)([H])(OC(CCCCCCC/C=C\CCCCCCCC)=O)COC(CCCCCCCCCCCCCC)=O</t>
  </si>
  <si>
    <t>ADCNXGARWPJRBV-UVCQAILXSA-N</t>
  </si>
  <si>
    <t>C38H74NO8P</t>
  </si>
  <si>
    <t>11.03_113.0172m/z</t>
  </si>
  <si>
    <t>3-Methyl-2-thioxoimidazolidin-4-one</t>
  </si>
  <si>
    <t>HMDB0247205</t>
  </si>
  <si>
    <t>694-68-8</t>
  </si>
  <si>
    <t>CN1C(=O)CNC1=S</t>
  </si>
  <si>
    <t>MEJHYNPOIFOIIU-UHFFFAOYSA-N</t>
  </si>
  <si>
    <t>C4H6N2OS</t>
  </si>
  <si>
    <t>12.07_405.3011m/z</t>
  </si>
  <si>
    <t>[14]-Gingerol</t>
  </si>
  <si>
    <t>HMDB0303091</t>
  </si>
  <si>
    <t>CCCCCCCCCCCCCC(O)CC(=O)CCC1=CC(OC)=C(O)C=C1</t>
  </si>
  <si>
    <t>GLKIRXHYCSFCAM-UHFFFAOYSA-N</t>
  </si>
  <si>
    <t>C25H42O4</t>
  </si>
  <si>
    <t>5.08_361.1406m/z</t>
  </si>
  <si>
    <t>Caffeoyl tyrosine</t>
  </si>
  <si>
    <t>HMDB0029295</t>
  </si>
  <si>
    <t>124027-56-1</t>
  </si>
  <si>
    <t>OC(=O)C(CC1=CC=C(O)C=C1)NC(=O)\C=C\C1=CC=C(O)C(O)=C1</t>
  </si>
  <si>
    <t>JRXLVUMFJASLDR-XBXARRHUSA-N</t>
  </si>
  <si>
    <t>C18H17NO6</t>
  </si>
  <si>
    <t>4.58_607.2456m/z</t>
  </si>
  <si>
    <t>2'-Deoxymugineic acid</t>
  </si>
  <si>
    <t>HMDB0033909</t>
  </si>
  <si>
    <t>OC(CCNC(CCN1CCC1C(O)=O)C(O)=O)C(O)=O</t>
  </si>
  <si>
    <t>CUZKLRTTYZOCSD-UHFFFAOYSA-N</t>
  </si>
  <si>
    <t>C12H20N2O7</t>
  </si>
  <si>
    <t>4.96_390.9850m/z</t>
  </si>
  <si>
    <t>Naringenin 7-sulfate</t>
  </si>
  <si>
    <t>HMDB0240547</t>
  </si>
  <si>
    <t>[H][C@]1(CC(=O)C2=C(O)C=C(OS(O)(=O)=O)C=C2O1)C1=CC=C(O)C=C1</t>
  </si>
  <si>
    <t>LCXKYLMSILXZFG-ZDUSSCGKSA-N</t>
  </si>
  <si>
    <t>C15H12O8S</t>
  </si>
  <si>
    <t>525</t>
  </si>
  <si>
    <t>Beta-Sophorose</t>
  </si>
  <si>
    <t>C(C1C(C(C(C(O1)O)OC2C(C(C(C(O2)CO)O)O)O)O)O)O</t>
  </si>
  <si>
    <t>HIWPGCMGAMJNRG-BTLHAWITSA-N</t>
  </si>
  <si>
    <t>1.03_245.0778m/z</t>
  </si>
  <si>
    <t>L-beta-aspartyl-L-glutamic acid</t>
  </si>
  <si>
    <t>HMDB0011164</t>
  </si>
  <si>
    <t>NC(CC(=O)NC(CCC(O)=O)C(O)=O)C(O)=O</t>
  </si>
  <si>
    <t>DBMVITQDGVMXEY-UHFFFAOYSA-N</t>
  </si>
  <si>
    <t>C9H14N2O7</t>
  </si>
  <si>
    <t>7.49_173.1175m/z</t>
  </si>
  <si>
    <t>3,5-Dimethylcyclohexanol</t>
  </si>
  <si>
    <t>HMDB0061913</t>
  </si>
  <si>
    <t>CC1CC(C)CC(O)C1</t>
  </si>
  <si>
    <t>WIYNOPYNRFPWNB-UHFFFAOYSA-N</t>
  </si>
  <si>
    <t>C8H16O</t>
  </si>
  <si>
    <t>5.04_185.1422n</t>
  </si>
  <si>
    <t>2-(Diethylamino)ethyl methacrylate</t>
  </si>
  <si>
    <t>HMDB0244939</t>
  </si>
  <si>
    <t>CCN(CC)CCOC(=O)C(C)=C</t>
  </si>
  <si>
    <t>SJIXRGNQPBQWMK-UHFFFAOYSA-N</t>
  </si>
  <si>
    <t>C10H19NO2</t>
  </si>
  <si>
    <t>9.34_293.2124m/z</t>
  </si>
  <si>
    <t>8,13-DiHODE</t>
  </si>
  <si>
    <t>LMFA02000166</t>
  </si>
  <si>
    <t>C(/C=C/C(O)CCCCC)=C\C(O)CCCCCCC(=O)O</t>
  </si>
  <si>
    <t>HIEIDLBUOKMENO-UTLPMFLDSA-N</t>
  </si>
  <si>
    <t>5.57_714.3377m/z</t>
  </si>
  <si>
    <t>OKHdiA-PC</t>
  </si>
  <si>
    <t>LMGP20010032</t>
  </si>
  <si>
    <t>[C@](COP(=O)([O-])OCC[N+](C)(C)C)([H])(OC(CCC(=O)/C=C/C(=O)O)=O)COC(CCCCCCC/C=C\CCCCCCCC)=O</t>
  </si>
  <si>
    <t>INURYFYRLCBFOH-UHIVKOTGSA-N</t>
  </si>
  <si>
    <t>C33H58NO11P</t>
  </si>
  <si>
    <t>12.24_480.9929m/z</t>
  </si>
  <si>
    <t>Edtmp</t>
  </si>
  <si>
    <t>HMDB0244617</t>
  </si>
  <si>
    <t>OP(O)(=O)CN(CCN(CP(O)(O)=O)CP(O)(O)=O)CP(O)(O)=O</t>
  </si>
  <si>
    <t>NFDRPXJGHKJRLJ-UHFFFAOYSA-N</t>
  </si>
  <si>
    <t>C6H20N2O12P4</t>
  </si>
  <si>
    <t>5.18_269.1507m/z</t>
  </si>
  <si>
    <t>Isamoxole</t>
  </si>
  <si>
    <t>HMDB0253591</t>
  </si>
  <si>
    <t>CCCCN(C(=O)C(C)C)C1=NC(C)=CO1</t>
  </si>
  <si>
    <t>VMBNXRJYPJRJIU-UHFFFAOYSA-N</t>
  </si>
  <si>
    <t>C12H20N2O2</t>
  </si>
  <si>
    <t>3.94_228.0820m/z</t>
  </si>
  <si>
    <t>S-Ethyl dipropylthiocarbamate</t>
  </si>
  <si>
    <t>HMDB0251894</t>
  </si>
  <si>
    <t>C11081</t>
  </si>
  <si>
    <t>759-94-4</t>
  </si>
  <si>
    <t>CCCN(CCC)C(=O)SCC</t>
  </si>
  <si>
    <t>GUVLYNGULCJVDO-UHFFFAOYSA-N</t>
  </si>
  <si>
    <t>C9H19NOS</t>
  </si>
  <si>
    <t>8.50_278.0979m/z</t>
  </si>
  <si>
    <t>Citalopram aldehyde</t>
  </si>
  <si>
    <t>HMDB0060462</t>
  </si>
  <si>
    <t>C16612</t>
  </si>
  <si>
    <t>FC1=CC=C(C=C1)C1(CCC=O)OCC2=C1C=CC(=C2)C#N</t>
  </si>
  <si>
    <t>BBYAFETUIKMLSF-UHFFFAOYSA-N</t>
  </si>
  <si>
    <t>C18H14FNO2</t>
  </si>
  <si>
    <t>14.47_373.2750m/z</t>
  </si>
  <si>
    <t>20-fluoro-11Z-eicosenoic acid</t>
  </si>
  <si>
    <t>LMFA01090053</t>
  </si>
  <si>
    <t>C(CCCCCCCCC/C=C\CCCCCCCCF)(=O)O</t>
  </si>
  <si>
    <t>RVGXQPKNVYMEAH-IWQZZHSRSA-N</t>
  </si>
  <si>
    <t>C20H37FO2</t>
  </si>
  <si>
    <t>7.51_263.2013m/z</t>
  </si>
  <si>
    <t>10E,16-heptadecadien-8-ynoic acid</t>
  </si>
  <si>
    <t>LMFA01030475</t>
  </si>
  <si>
    <t>C(CCCCCCC#C/C=C/CCCCC=C)(=O)O</t>
  </si>
  <si>
    <t>YABWMILQFXOECJ-BQYQJAHWSA-N</t>
  </si>
  <si>
    <t>C17H26O2</t>
  </si>
  <si>
    <t>1.17_339.0502m/z</t>
  </si>
  <si>
    <t>4-Nitrophenyl 4-guanidinobenzoate</t>
  </si>
  <si>
    <t>HMDB0246537</t>
  </si>
  <si>
    <t>NC(N)=NC1=CC=C(C=C1)C(=O)OC1=CC=C(C=C1)[N+]([O-])=O</t>
  </si>
  <si>
    <t>CFOQGBUQTOGYKI-UHFFFAOYSA-N</t>
  </si>
  <si>
    <t>C14H12N4O4</t>
  </si>
  <si>
    <t>12.69_427.2869m/z</t>
  </si>
  <si>
    <t>1,8-Bis(dimethylamino)naphthalene</t>
  </si>
  <si>
    <t>HMDB0245593</t>
  </si>
  <si>
    <t>CN(C)C1=CC=CC2=C1C(=CC=C2)N(C)C</t>
  </si>
  <si>
    <t>GJFNRSDCSTVPCJ-UHFFFAOYSA-N</t>
  </si>
  <si>
    <t>C14H18N2</t>
  </si>
  <si>
    <t>5.33_200.0478m/z</t>
  </si>
  <si>
    <t>Tryptophol</t>
  </si>
  <si>
    <t>HMDB0003447</t>
  </si>
  <si>
    <t>C00955</t>
  </si>
  <si>
    <t>526-55-6</t>
  </si>
  <si>
    <t>OCCC1=CNC2=C1C=CC=C2</t>
  </si>
  <si>
    <t>MBBOMCVGYCRMEA-UHFFFAOYSA-N</t>
  </si>
  <si>
    <t>C10H11NO</t>
  </si>
  <si>
    <t>13.64_451.3431m/z</t>
  </si>
  <si>
    <t>15-(3,4-dimethyl-5-pentylfuran-2-yl)-pentadecanoic acid</t>
  </si>
  <si>
    <t>HMDB0112081</t>
  </si>
  <si>
    <t>LMFA01150031</t>
  </si>
  <si>
    <t>116627-42-0</t>
  </si>
  <si>
    <t>C(CC)CCC1=C(C)C(C)=C(CCCCCCCCCCCCCCC(=O)O)O1</t>
  </si>
  <si>
    <t>WYVWYCPRCDUPPH-UHFFFAOYSA-N</t>
  </si>
  <si>
    <t>C26H46O3</t>
  </si>
  <si>
    <t>4.79_666.3927m/z</t>
  </si>
  <si>
    <t>Proctolin</t>
  </si>
  <si>
    <t>HMDB0256789</t>
  </si>
  <si>
    <t>CC(C)CC(NC(=O)C(CC1=CC=C(O)C=C1)NC(=O)C(N)CCCN=C(N)N)C(=O)N1CCCC1C(=O)NC(C(C)O)C(O)=O</t>
  </si>
  <si>
    <t>KKUPPLMEDQDAJX-UHFFFAOYSA-N</t>
  </si>
  <si>
    <t>C30H48N8O8</t>
  </si>
  <si>
    <t>1.20_264.0721m/z</t>
  </si>
  <si>
    <t>9-beta-d-Arabinofuranosylguanine</t>
  </si>
  <si>
    <t>HMDB0246240</t>
  </si>
  <si>
    <t>OCC1OC(C(O)C1O)N1C=NC2=C1NC(=N)N=C2O</t>
  </si>
  <si>
    <t>NYHBQMYGNKIUIF-UHFFFAOYSA-N</t>
  </si>
  <si>
    <t>C10H13N5O5</t>
  </si>
  <si>
    <t>6.66_327.2178m/z</t>
  </si>
  <si>
    <t>9-epi-9-F1t-PhytoP</t>
  </si>
  <si>
    <t>LMFA02030011</t>
  </si>
  <si>
    <t>C(CCCCCCC[C@@H](O)/C=C/[C@@H]1[C@@H](O)C[C@@H](O)[C@@H]1CC)(=O)O</t>
  </si>
  <si>
    <t>GKBLNJXQDMHILB-DDGADJJWSA-N</t>
  </si>
  <si>
    <t>7.47_151.0757m/z</t>
  </si>
  <si>
    <t>4-Ipomeanol</t>
  </si>
  <si>
    <t>HMDB0030472</t>
  </si>
  <si>
    <t>32954-58-8</t>
  </si>
  <si>
    <t>CC(O)CCC(=O)C1=COC=C1</t>
  </si>
  <si>
    <t>RJYQLMILDVERHH-UHFFFAOYSA-N</t>
  </si>
  <si>
    <t>8.84_286.2750m/z</t>
  </si>
  <si>
    <t>D-erythro-Sphingosine C-17</t>
  </si>
  <si>
    <t>6918-48-5</t>
  </si>
  <si>
    <t>CCCCCCCCCCCCC=CC(C(CO)N)O</t>
  </si>
  <si>
    <t>RBEJCQPPFCKTRZ-CRUCTFTKSA-N</t>
  </si>
  <si>
    <t>C17H35NO2</t>
  </si>
  <si>
    <t>9.77_279.2328m/z</t>
  </si>
  <si>
    <t>estrane-3alpha,17alpha-diol</t>
  </si>
  <si>
    <t>LMST02010019</t>
  </si>
  <si>
    <t>C1C2[C@@]3([H])CC[C@]4(C)[C@H](O)CC[C@@]4([H])[C@]3([H])CC[C@@]2([H])C[C@H](O)C1</t>
  </si>
  <si>
    <t>QNKATSBSLLYTMH-IRGUFUGLSA-N</t>
  </si>
  <si>
    <t>526</t>
  </si>
  <si>
    <t>Melezitose</t>
  </si>
  <si>
    <t>HMDB0011730</t>
  </si>
  <si>
    <t>C08243</t>
  </si>
  <si>
    <t>597-12-6</t>
  </si>
  <si>
    <t>OC[C@H]1O[C@@](CO)(O[C@H]2O[C@H](CO)[C@@H](O)[C@H](O)[C@H]2O)[C@@H](O[C@H]2O[C@H](CO)[C@@H](O)[C@H](O)[C@H]2O)[C@@H]1O</t>
  </si>
  <si>
    <t>QWIZNVHXZXRPDR-WSCXOGSTSA-N</t>
  </si>
  <si>
    <t>14.48_449.3634m/z</t>
  </si>
  <si>
    <t>FAHFA(3:0/2-O-23:0)</t>
  </si>
  <si>
    <t>LMFA07090115</t>
  </si>
  <si>
    <t>C(=O)(O)C(OC(CC)=O)CCCCCCCCCCCCCCCCCCCCC</t>
  </si>
  <si>
    <t>WSSJADGBDLCXHF-UHFFFAOYSA-N</t>
  </si>
  <si>
    <t>524</t>
  </si>
  <si>
    <t>Mg(18:0/0:0/0:0)</t>
  </si>
  <si>
    <t>HMDB0011131</t>
  </si>
  <si>
    <t>22610-61-3</t>
  </si>
  <si>
    <t>[H][C@](O)(CO)COC(=O)CCCCCCCCCCCCCCCCC</t>
  </si>
  <si>
    <t>VBICKXHEKHSIBG-FQEVSTJZSA-N</t>
  </si>
  <si>
    <t>C21H42O4</t>
  </si>
  <si>
    <t>11.57_257.2121m/z</t>
  </si>
  <si>
    <t>2-methoxytetradecanoic acid</t>
  </si>
  <si>
    <t>LMFA01080020</t>
  </si>
  <si>
    <t>C(C(OC)CCCCCCCCCCCC)(=O)O</t>
  </si>
  <si>
    <t>SVEUDKQPMQGCGQ-UHFFFAOYSA-N</t>
  </si>
  <si>
    <t>4.96_310.1075m/z</t>
  </si>
  <si>
    <t>(S)-Nandigerine</t>
  </si>
  <si>
    <t>HMDB0033362</t>
  </si>
  <si>
    <t>31520-97-5</t>
  </si>
  <si>
    <t>COC1=C(O)C=CC2=C1C1=C3C(C2)NCCC3=CC2=C1OCO2</t>
  </si>
  <si>
    <t>CFUKKPQRQGCLAT-UHFFFAOYSA-N</t>
  </si>
  <si>
    <t>Aporphines</t>
  </si>
  <si>
    <t>C18H17NO4</t>
  </si>
  <si>
    <t>11.32_507.3693m/z</t>
  </si>
  <si>
    <t>6-Deoxohomodolichosterone</t>
  </si>
  <si>
    <t>HMDB0034430</t>
  </si>
  <si>
    <t>110345-06-7</t>
  </si>
  <si>
    <t>C\C=C(/C(C)C)C(O)C(O)C(C)C1CCC2C3CCC4CC(O)C(O)CC4(C)C3CCC12C</t>
  </si>
  <si>
    <t>GQSRIBUSVVSLSQ-FBCYGCLPSA-N</t>
  </si>
  <si>
    <t>1.84_467.1037m/z</t>
  </si>
  <si>
    <t>Balipodect</t>
  </si>
  <si>
    <t>HMDB0258682</t>
  </si>
  <si>
    <t>COC1=CN(N=C(C2=CC=NN2C2=CC=CC=C2)C1=O)C1=C(F)C=C(C=C1)N1C=CC=N1</t>
  </si>
  <si>
    <t>KVHRYLNQDWXAGI-UHFFFAOYSA-N</t>
  </si>
  <si>
    <t>C23H17FN6O2</t>
  </si>
  <si>
    <t>4.72_392.1829m/z</t>
  </si>
  <si>
    <t>Phe Asp Leu</t>
  </si>
  <si>
    <t>CC(C)CC(C(=O)O)NC(=O)C(CC(=O)O)NC(=O)C(CC1=CC=CC=C1)N</t>
  </si>
  <si>
    <t>RIYZXJVARWJLKS-KKUMJFAQSA-N</t>
  </si>
  <si>
    <t>6.48_195.1021m/z</t>
  </si>
  <si>
    <t>3-Hydroxyphenyl-valeric acid</t>
  </si>
  <si>
    <t>HMDB0041666</t>
  </si>
  <si>
    <t>OC(=O)CCCCC1=CC=CC(O)=C1</t>
  </si>
  <si>
    <t>CMLIEOOXQFWANJ-UHFFFAOYSA-N</t>
  </si>
  <si>
    <t>6.39_347.1613m/z</t>
  </si>
  <si>
    <t>(6E,8E,10S,12Z)-10-Hydroxy-3-oxooctadecatrienoic acid</t>
  </si>
  <si>
    <t>HMDB0062359</t>
  </si>
  <si>
    <t>2190486-90-7</t>
  </si>
  <si>
    <t>CCCCC\C=C/C[C@H](O)\C=C\C=C\CCC(=O)CC(O)=O</t>
  </si>
  <si>
    <t>DASVGFACDRAZQR-CKBRMXFCSA-N</t>
  </si>
  <si>
    <t>9.85_498.2629m/z</t>
  </si>
  <si>
    <t>PE(20:5(5Z,8Z,11Z,14Z,17Z)/0:0)</t>
  </si>
  <si>
    <t>HMDB0011519</t>
  </si>
  <si>
    <t>LMGP02050027</t>
  </si>
  <si>
    <t>[C@](COP(=O)(O)OCCN)([H])(O)COC(CCC/C=C\C/C=C\C/C=C\C/C=C\C/C=C\CC)=O</t>
  </si>
  <si>
    <t>KCWGBXXAJHVZNN-KOYQJJOGSA-N</t>
  </si>
  <si>
    <t>4.28_611.3090m/z</t>
  </si>
  <si>
    <t>PG-PS</t>
  </si>
  <si>
    <t>LMGP20040016</t>
  </si>
  <si>
    <t>C(O)(=O)[C@@]([H])(N)COP(OC[C@]([H])(OC(CCCC(=O)O)=O)COC(CCCCCCCCCCCCCCC)=O)(=O)O</t>
  </si>
  <si>
    <t>GLCJANLAKISVBJ-PKTZIBPZSA-N</t>
  </si>
  <si>
    <t>C27H50NO12P</t>
  </si>
  <si>
    <t>0.64_237.1468m/z</t>
  </si>
  <si>
    <t>Guanethidine</t>
  </si>
  <si>
    <t>HMDB0015301</t>
  </si>
  <si>
    <t>C07036</t>
  </si>
  <si>
    <t>645-43-2</t>
  </si>
  <si>
    <t>NC(N)=NCCN1CCCCCCC1</t>
  </si>
  <si>
    <t>ACGDKVXYNVEAGU-UHFFFAOYSA-N</t>
  </si>
  <si>
    <t>C10H22N4</t>
  </si>
  <si>
    <t>7.86_300.1605m/z</t>
  </si>
  <si>
    <t>Dihydrocodeine</t>
  </si>
  <si>
    <t>125-28-0</t>
  </si>
  <si>
    <t>CN1CCC23C4C1CC5=C2C(=C(C=C5)OC)OC3C(CC4)O</t>
  </si>
  <si>
    <t>RBOXVHNMENFORY-DNJOTXNNSA-N</t>
  </si>
  <si>
    <t>6.55_213.1127m/z</t>
  </si>
  <si>
    <t>(1S,4R)-1-Hydroxy-2-oxolimonene</t>
  </si>
  <si>
    <t>LMPR0102090042</t>
  </si>
  <si>
    <t>C11937</t>
  </si>
  <si>
    <t>[C@]1(O)(C)CC[C@@H](C(C)=C)CC1=O</t>
  </si>
  <si>
    <t>JEQLRDRDFLXSHY-SCZZXKLOSA-N</t>
  </si>
  <si>
    <t>7.98_293.2119m/z</t>
  </si>
  <si>
    <t>6-Methylgingediol</t>
  </si>
  <si>
    <t>HMDB0303099</t>
  </si>
  <si>
    <t>CCCCCC(O)CC(O)CCC1=CC(OC)=C(OC)C=C1</t>
  </si>
  <si>
    <t>HDNGHNOEMOMCKM-UHFFFAOYSA-N</t>
  </si>
  <si>
    <t>4.55_125.0597m/z</t>
  </si>
  <si>
    <t>3,4-Dimethyl-1,2-cyclopentanedione</t>
  </si>
  <si>
    <t>HMDB0037026</t>
  </si>
  <si>
    <t>13494-06-9</t>
  </si>
  <si>
    <t>CC1CC(=O)C(=O)C1C</t>
  </si>
  <si>
    <t>WGAVDEVFJDQIMZ-UHFFFAOYSA-N</t>
  </si>
  <si>
    <t>C7H10O2</t>
  </si>
  <si>
    <t>9.68_442.3540m/z</t>
  </si>
  <si>
    <t>(9Z)-12-Hydroxyoctadec-9-enoylcarnitine</t>
  </si>
  <si>
    <t>HMDB0241536</t>
  </si>
  <si>
    <t>CCCCCCC(O)CC=CCCCCCCCC(=O)OC(CC([O-])=O)C[N+](C)(C)C</t>
  </si>
  <si>
    <t>JEVCWJFIZZQFED-UHFFFAOYSA-N</t>
  </si>
  <si>
    <t>6</t>
  </si>
  <si>
    <t>Phenol</t>
  </si>
  <si>
    <t>HMDB0000228</t>
  </si>
  <si>
    <t>C15584</t>
  </si>
  <si>
    <t>R-HSA-1430728,R-HSA-156580,R-HSA-156584,R-HSA-156588,R-HSA-211859,R-HSA-211897,R-HSA-211945,R-HSA-211981,R-HSA-211999,R-HSA-9748784,R-HSA-9749641</t>
  </si>
  <si>
    <t>Metabolism|Phase II - Conjugation of compounds|Cytosolic sulfonation of small molecules|Glucuronidation|Biological oxidations|Cytochrome P450 - arranged by substrate type|Phase I - Functionalization of compounds|Xenobiotics|CYP2E1 reactions|Drug ADME|Aspirin ADME</t>
  </si>
  <si>
    <t>108-95-2</t>
  </si>
  <si>
    <t>OC1=CC=CC=C1</t>
  </si>
  <si>
    <t>ISWSIDIOOBJBQZ-UHFFFAOYSA-N</t>
  </si>
  <si>
    <t>C6H6O</t>
  </si>
  <si>
    <t>3.26_233.0608m/z</t>
  </si>
  <si>
    <t>4-Fluoro-3-phenoxybenzoic acid</t>
  </si>
  <si>
    <t>HMDB0246421</t>
  </si>
  <si>
    <t>OC(=O)C1=CC(OC2=CC=CC=C2)=C(F)C=C1</t>
  </si>
  <si>
    <t>VLXNXMTVRWIUJZ-UHFFFAOYSA-N</t>
  </si>
  <si>
    <t>C13H9FO3</t>
  </si>
  <si>
    <t>0.99_270.0424m/z</t>
  </si>
  <si>
    <t>3-(5-Acetamido-2-hydroxyphenyl)sulfanyl-2-oxopropanoic acid</t>
  </si>
  <si>
    <t>HMDB0255408</t>
  </si>
  <si>
    <t>CC(=O)NC1=CC(SCC(=O)C(O)=O)=C(O)C=C1</t>
  </si>
  <si>
    <t>HPMHARFPXWIPKY-UHFFFAOYSA-N</t>
  </si>
  <si>
    <t>C11H11NO5S</t>
  </si>
  <si>
    <t>13.51_669.4955m/z</t>
  </si>
  <si>
    <t>Asitrilobin C</t>
  </si>
  <si>
    <t>HMDB0035436</t>
  </si>
  <si>
    <t>CCCCCCCCCCCCC(O)C1CCC(O1)C(O)CC(O)CCCCCCCCCCC(O)CC1=CC(C)OC1=O</t>
  </si>
  <si>
    <t>BCBLVYJIKUTOHM-UHFFFAOYSA-N</t>
  </si>
  <si>
    <t>C37H68O7</t>
  </si>
  <si>
    <t>14.47_495.3710m/z</t>
  </si>
  <si>
    <t>Lupanine</t>
  </si>
  <si>
    <t>C10772</t>
  </si>
  <si>
    <t>550-90-3</t>
  </si>
  <si>
    <t>C1CCN2CC3CC(C2C1)CN4C3CCCC4=O</t>
  </si>
  <si>
    <t>JYIJIIVLEOETIQ-ZOBORPQBSA-N</t>
  </si>
  <si>
    <t>Sparteine, lupanine, and related alkaloids</t>
  </si>
  <si>
    <t>C15H24N2O</t>
  </si>
  <si>
    <t>9.97_445.2960m/z</t>
  </si>
  <si>
    <t>7alpha,12alpha-dihydroxy-3-oxo-4-cholestenoic acid</t>
  </si>
  <si>
    <t>LMST04030243</t>
  </si>
  <si>
    <t>[C@]12([C@H](O)CC3=CC(=O)CC[C@]3(C)[C@@]1([H])C[C@H](O)[C@]1(C)[C@@]([H])([C@@](C)([H])CCC[C@@H](C)C(=O)O)CC[C@@]21[H])[H]</t>
  </si>
  <si>
    <t>PEIQVFBLXUEBGA-GJKGPBNHSA-N</t>
  </si>
  <si>
    <t>C27H42O5</t>
  </si>
  <si>
    <t>6.40_173.0023m/z</t>
  </si>
  <si>
    <t>2-Thiouracil</t>
  </si>
  <si>
    <t>HMDB0245323</t>
  </si>
  <si>
    <t>C19304</t>
  </si>
  <si>
    <t>141-90-2</t>
  </si>
  <si>
    <t>OC1=NC(S)=NC=C1</t>
  </si>
  <si>
    <t>ZEMGGZBWXRYJHK-UHFFFAOYSA-N</t>
  </si>
  <si>
    <t>C4H4N2OS</t>
  </si>
  <si>
    <t>1.43_260.1382n</t>
  </si>
  <si>
    <t>Isoleucyl-Glutamate</t>
  </si>
  <si>
    <t>HMDB0028906</t>
  </si>
  <si>
    <t>CCC(C)C(N)C(=O)NC(CCC(O)=O)C(O)=O</t>
  </si>
  <si>
    <t>KTGFOCFYOZQVRJ-UHFFFAOYSA-N</t>
  </si>
  <si>
    <t>15.16_463.3796m/z</t>
  </si>
  <si>
    <t>FAHFA(3:0/2-O-24:0)</t>
  </si>
  <si>
    <t>LMFA07090116</t>
  </si>
  <si>
    <t>C(=O)(O)C(OC(CC)=O)CCCCCCCCCCCCCCCCCCCCCC</t>
  </si>
  <si>
    <t>ZQYNGZRQRLLZBQ-UHFFFAOYSA-N</t>
  </si>
  <si>
    <t>13.33_384.1611m/z</t>
  </si>
  <si>
    <t>JWH022</t>
  </si>
  <si>
    <t>209414-16-4</t>
  </si>
  <si>
    <t>C=CCCCN1C=C(C2=CC=CC=C21)C(=O)C3=CC=CC4=CC=CC=C43</t>
  </si>
  <si>
    <t>IVVCMEGHVSDGFJ-UHFFFAOYSA-N</t>
  </si>
  <si>
    <t>C24H21NO</t>
  </si>
  <si>
    <t>12.70_404.2573n</t>
  </si>
  <si>
    <t>3alpha,12alpha-Dihydroxy-15-oxo-5beta-chol-8(14)-en-24-oic Acid</t>
  </si>
  <si>
    <t>LMST04010357</t>
  </si>
  <si>
    <t>C1[C@]2(C)[C@@]3([H])C[C@H](O)[C@]4(C)[C@@]([H])([C@]([H])(C)CCC(O)=O)CC(=O)C4=C3CC[C@]2([H])C[C@H](O)C1</t>
  </si>
  <si>
    <t>IQVARJFISHWEFV-BXZRHGNGSA-N</t>
  </si>
  <si>
    <t>9.97_423.2754m/z</t>
  </si>
  <si>
    <t>9-deoxy-9-methylene-16,16-dimethyl -PGE2</t>
  </si>
  <si>
    <t>LMFA03010059</t>
  </si>
  <si>
    <t>61263-35-2</t>
  </si>
  <si>
    <t>[C@H]1(/C=C/[C@@H](O)C(C)(C)CCCC)[C@H](O)CC(=C)[C@@H]1C/C=C\CCCC(=O)O</t>
  </si>
  <si>
    <t>WMLGLMGSFIXSGO-KTXJXPLISA-N</t>
  </si>
  <si>
    <t>6.73_325.2022m/z</t>
  </si>
  <si>
    <t>delta10-13-PhytoF</t>
  </si>
  <si>
    <t>LMFA02040001</t>
  </si>
  <si>
    <t>C(CCCCCCCC(O)/C=C/C(C1CC(O)C(CC)O1)O)(=O)O</t>
  </si>
  <si>
    <t>LWIIWULNZCFOCA-ZHACJKMWSA-N</t>
  </si>
  <si>
    <t>3.31_159.0657m/z</t>
  </si>
  <si>
    <t>xi-2,3-Dihydro-3,5-dihydroxy-6-methyl-4H-pyran-4-one</t>
  </si>
  <si>
    <t>HMDB0036380</t>
  </si>
  <si>
    <t>COC1=C(C)OCC(O)C1=O</t>
  </si>
  <si>
    <t>JOWYHBUWSWRYOG-UHFFFAOYSA-N</t>
  </si>
  <si>
    <t>6.19_248.1291m/z</t>
  </si>
  <si>
    <t>Pondaplin</t>
  </si>
  <si>
    <t>HMDB0033184</t>
  </si>
  <si>
    <t>C\C1=C\COC2=CC=C(C=C2)\C=C/C(=O)OC1</t>
  </si>
  <si>
    <t>WPMGVJJSBNXOQS-XGBXBTFKSA-N</t>
  </si>
  <si>
    <t>C14H14O3</t>
  </si>
  <si>
    <t>4.57_393.2246m/z</t>
  </si>
  <si>
    <t>Val Tyr Ile</t>
  </si>
  <si>
    <t>CCC(C)C(C(=O)O)NC(=O)C(CC1=CC=C(C=C1)O)NC(=O)C(C(C)C)N</t>
  </si>
  <si>
    <t>GTACFKZDQFTVAI-STECZYCISA-N</t>
  </si>
  <si>
    <t>12.91_453.3030m/z</t>
  </si>
  <si>
    <t>(22E,24R)-15alpha-hydroxyergosta-4,6,8(14),22-tetraen-3-one</t>
  </si>
  <si>
    <t>LMST01031192</t>
  </si>
  <si>
    <t>C1CC(=O)C=C2C=CC3=C4[C@@H](O)C[C@]([H])([C@]([H])(C)/C=C/[C@H](C)C(C)C)[C@@]4(C)CC[C@]3([H])[C@@]12C</t>
  </si>
  <si>
    <t>MMVSNLKSAHIETF-HAPVDJJQSA-N</t>
  </si>
  <si>
    <t>C28H40O2</t>
  </si>
  <si>
    <t>5.20_738.4503m/z</t>
  </si>
  <si>
    <t>PE(18:2(9Z,12Z)/15:1(9Z))</t>
  </si>
  <si>
    <t>LMGP02010658</t>
  </si>
  <si>
    <t>[C@](COP(=O)(O)OCCN)([H])(OC(CCCCCCC/C=C\CCCCC)=O)COC(CCCCCCC/C=C\C/C=C\CCCCC)=O</t>
  </si>
  <si>
    <t>ZTSMDMYZGCQISU-VMZGMEGFSA-N</t>
  </si>
  <si>
    <t>C38H70NO8P</t>
  </si>
  <si>
    <t>1.33_133.0495m/z</t>
  </si>
  <si>
    <t>5-Deoxy-D-ribose</t>
  </si>
  <si>
    <t>HMDB0246776</t>
  </si>
  <si>
    <t>CC(O)C(O)C(O)C=O</t>
  </si>
  <si>
    <t>WDRISBUVHBMJEF-UHFFFAOYSA-N</t>
  </si>
  <si>
    <t>C5H10O4</t>
  </si>
  <si>
    <t>0.73_334.1254m/z</t>
  </si>
  <si>
    <t>Asp Glu Ala</t>
  </si>
  <si>
    <t>CC(C(=O)O)NC(=O)C(CCC(=O)O)NC(=O)C(CC(=O)O)N</t>
  </si>
  <si>
    <t>VAWNQIGQPUOPQW-ACZMJKKPSA-N</t>
  </si>
  <si>
    <t>C12H19N3O8</t>
  </si>
  <si>
    <t>10.74_219.1385m/z</t>
  </si>
  <si>
    <t>2-Isopropylfuran</t>
  </si>
  <si>
    <t>HMDB0040278</t>
  </si>
  <si>
    <t>10599-59-4</t>
  </si>
  <si>
    <t>CC(C)C1=CC=CO1</t>
  </si>
  <si>
    <t>AFOPCURQYRRFRQ-UHFFFAOYSA-N</t>
  </si>
  <si>
    <t>C7H10O</t>
  </si>
  <si>
    <t>11.07_408.2492n</t>
  </si>
  <si>
    <t>MG(0:0/PGJ2/0:0)</t>
  </si>
  <si>
    <t>HMDB0260531</t>
  </si>
  <si>
    <t>CCCCC[C@H](O)\C=C\[C@@H]1[C@@H](C\C=C/CCCC(=O)OC(CO)CO)C=CC1=O</t>
  </si>
  <si>
    <t>JOXRLGMBHKGTRX-CYPOMKGBSA-N</t>
  </si>
  <si>
    <t>C23H36O6</t>
  </si>
  <si>
    <t>11.88_142.1230m/z</t>
  </si>
  <si>
    <t>3,5,5-Trimethyl-2-cyclopenten-1-one</t>
  </si>
  <si>
    <t>HMDB0040246</t>
  </si>
  <si>
    <t>24156-95-4</t>
  </si>
  <si>
    <t>CC1=CC(=O)C(C)(C)C1</t>
  </si>
  <si>
    <t>AVXVDNJFGZNVAB-UHFFFAOYSA-N</t>
  </si>
  <si>
    <t>12.71_515.3742m/z</t>
  </si>
  <si>
    <t>Momoridcin</t>
  </si>
  <si>
    <t>HMDB0030512</t>
  </si>
  <si>
    <t>COC12C=CC3C4(C)CCC(=O)C(C)(C)C4CCC3(C)C1(C)CCC1(CO)CCC(C)C(C)C21</t>
  </si>
  <si>
    <t>SUQFTOPYIBMCAU-UHFFFAOYSA-N</t>
  </si>
  <si>
    <t>4.03_401.1755m/z</t>
  </si>
  <si>
    <t>Lacto-N-biose I</t>
  </si>
  <si>
    <t>HMDB0006575</t>
  </si>
  <si>
    <t>C06372</t>
  </si>
  <si>
    <t>50787-09-2</t>
  </si>
  <si>
    <t>CC(=O)N[C@H]1[C@@H](O)O[C@H](CO)[C@@H](O)[C@@H]1O[C@@H]1O[C@H](CO)[C@H](O)[C@H](O)[C@H]1O</t>
  </si>
  <si>
    <t>HMQPEDMEOBLSQB-RCBHQUQDSA-N</t>
  </si>
  <si>
    <t>C14H25NO11</t>
  </si>
  <si>
    <t>4.83_252.0613m/z</t>
  </si>
  <si>
    <t>2-O-(Z-p-Hydroxycinnamoyl)-(x)-glyceric acid</t>
  </si>
  <si>
    <t>HMDB0041195</t>
  </si>
  <si>
    <t>154639-28-8</t>
  </si>
  <si>
    <t>OCC(OC(=O)\C=C\C1=CC=C(O)C=C1)C(O)=O</t>
  </si>
  <si>
    <t>UYRFKSDZFBCTMU-ZZXKWVIFSA-N</t>
  </si>
  <si>
    <t>C12H12O6</t>
  </si>
  <si>
    <t>0.70_130.0611m/z</t>
  </si>
  <si>
    <t>Beta-Guanidinopropionic acid</t>
  </si>
  <si>
    <t>HMDB0013222</t>
  </si>
  <si>
    <t>C03065</t>
  </si>
  <si>
    <t>353-09-3</t>
  </si>
  <si>
    <t>NC(=N)NCCC(O)=O</t>
  </si>
  <si>
    <t>KMXXSJLYVJEBHI-UHFFFAOYSA-N</t>
  </si>
  <si>
    <t>4.68_287.0861m/z</t>
  </si>
  <si>
    <t>Fluconazole</t>
  </si>
  <si>
    <t>HMDB0014342</t>
  </si>
  <si>
    <t>C07002</t>
  </si>
  <si>
    <t>86386-73-4</t>
  </si>
  <si>
    <t>OC(CN1C=NC=N1)(CN1C=NC=N1)C1=C(F)C=C(F)C=C1</t>
  </si>
  <si>
    <t>RFHAOTPXVQNOHP-UHFFFAOYSA-N</t>
  </si>
  <si>
    <t>C13H12F2N6O</t>
  </si>
  <si>
    <t>3.50_272.1221m/z</t>
  </si>
  <si>
    <t>2-Hydroxyfelbamate</t>
  </si>
  <si>
    <t>HMDB0060670</t>
  </si>
  <si>
    <t>C16582</t>
  </si>
  <si>
    <t>109482-32-8</t>
  </si>
  <si>
    <t>NC(=O)OCC(O)(COC(N)=O)C1=CC=CC=C1</t>
  </si>
  <si>
    <t>VTXNIAJKDLEHGX-UHFFFAOYSA-N</t>
  </si>
  <si>
    <t>3.82_571.2619m/z</t>
  </si>
  <si>
    <t>Antimycin A</t>
  </si>
  <si>
    <t>HMDB0248488</t>
  </si>
  <si>
    <t>C11339</t>
  </si>
  <si>
    <t>642-15-9</t>
  </si>
  <si>
    <t>CCCCCCC1C(OC(=O)CC(C)C)C(C)OC(=O)C(NC(=O)C2=CC=CC(NC=O)=C2O)C(C)OC1=O</t>
  </si>
  <si>
    <t>UIFFUZWRFRDZJC-UHFFFAOYSA-N</t>
  </si>
  <si>
    <t>C28H40N2O9</t>
  </si>
  <si>
    <t>3.73_282.1202n</t>
  </si>
  <si>
    <t>Tyrosyl-Threonine</t>
  </si>
  <si>
    <t>HMDB0029115</t>
  </si>
  <si>
    <t>CC(O)C(NC(=O)C(N)CC1=CC=C(O)C=C1)C(O)=O</t>
  </si>
  <si>
    <t>MFEVVAXTBZELLL-UHFFFAOYSA-N</t>
  </si>
  <si>
    <t>C13H18N2O5</t>
  </si>
  <si>
    <t>9.65_128.0625m/z</t>
  </si>
  <si>
    <t>Naphthalene</t>
  </si>
  <si>
    <t>HMDB0029751</t>
  </si>
  <si>
    <t>C00829</t>
  </si>
  <si>
    <t>hsa00980</t>
  </si>
  <si>
    <t>Metabolism of xenobiotics by cytochrome P450</t>
  </si>
  <si>
    <t>91-20-3</t>
  </si>
  <si>
    <t>C1=CC2=CC=CC=C2C=C1</t>
  </si>
  <si>
    <t>UFWIBTONFRDIAS-UHFFFAOYSA-N</t>
  </si>
  <si>
    <t>C10H8</t>
  </si>
  <si>
    <t>10.25_558.2143m/z</t>
  </si>
  <si>
    <t>Eravacycline</t>
  </si>
  <si>
    <t>HMDB0251900</t>
  </si>
  <si>
    <t>CN(C)C1C2CC3CC4=C(F)C=C(NC(=O)CN5CCCC5)C(O)=C4C(O)=C3C(=O)C2(O)C(O)=C(C(N)=O)C1=O</t>
  </si>
  <si>
    <t>AKLMFDDQCHURPW-UHFFFAOYSA-N</t>
  </si>
  <si>
    <t>Tetracyclines</t>
  </si>
  <si>
    <t>C27H31FN4O8</t>
  </si>
  <si>
    <t>3.67_322.1281m/z</t>
  </si>
  <si>
    <t>4-Methyl-epicatechin</t>
  </si>
  <si>
    <t>HMDB0029228</t>
  </si>
  <si>
    <t>CC1[C@@H](O)[C@H](OC2=CC(O)=CC(O)=C12)C1=CC=C(O)C(O)=C1</t>
  </si>
  <si>
    <t>NLCHNUHNZBPKDF-WLZLGPGOSA-N</t>
  </si>
  <si>
    <t>C16H16O6</t>
  </si>
  <si>
    <t>6.89_218.0804m/z</t>
  </si>
  <si>
    <t>4-[4-(Dimethylamino)phenyl]-3H-1,2,4-triazole-3,5(4H)-dione</t>
  </si>
  <si>
    <t>HMDB0244380</t>
  </si>
  <si>
    <t>CN(C)C1=CC=C(C=C1)N1C(=O)N=NC1=O</t>
  </si>
  <si>
    <t>AVUQGOKVXPENDG-UHFFFAOYSA-N</t>
  </si>
  <si>
    <t>C10H10N4O2</t>
  </si>
  <si>
    <t>4.59_321.0835m/z</t>
  </si>
  <si>
    <t>inosine pyruvate</t>
  </si>
  <si>
    <t>HMDB0253490</t>
  </si>
  <si>
    <t>CC(=O)C(=O)OCC1OC(C(O)C1O)N1C=NC2=C1N=CNC2=O</t>
  </si>
  <si>
    <t>LBVDCFUKPGBAHY-UHFFFAOYSA-N</t>
  </si>
  <si>
    <t>C13H14N4O7</t>
  </si>
  <si>
    <t>5.12_253.0108m/z</t>
  </si>
  <si>
    <t>(E)-5-(pent-3-en-1-yn-1-yl)-2,2'-bithiophene</t>
  </si>
  <si>
    <t>LMFA12000353</t>
  </si>
  <si>
    <t>C1=CC=C(C2=CC=C(C#C/C=C/C)S2)S1</t>
  </si>
  <si>
    <t>FEESEVYIPPQXKI-NSCUHMNNSA-N</t>
  </si>
  <si>
    <t>Bi- and oligothiophenes</t>
  </si>
  <si>
    <t>C13H10S2</t>
  </si>
  <si>
    <t>4.85_189.1026m/z</t>
  </si>
  <si>
    <t>Fluorodopamine</t>
  </si>
  <si>
    <t>HMDB0252375</t>
  </si>
  <si>
    <t>OC1=C(O)C=C(CCNF)C=C1</t>
  </si>
  <si>
    <t>WODALLKZZFNQQR-UHFFFAOYSA-N</t>
  </si>
  <si>
    <t>C8H10FNO2</t>
  </si>
  <si>
    <t>444</t>
  </si>
  <si>
    <t>Beta-D-Fructose 6-Phosphate</t>
  </si>
  <si>
    <t>HMDB0003971</t>
  </si>
  <si>
    <t>C05345</t>
  </si>
  <si>
    <t>OC[C@@]1(O)O[C@H](COP(O)(O)=O)[C@@H](O)[C@@H]1O</t>
  </si>
  <si>
    <t>BGWGXPAPYGQALX-ARQDHWQXSA-N</t>
  </si>
  <si>
    <t>5.14_227.1285m/z</t>
  </si>
  <si>
    <t>4-hydroxyhexenal</t>
  </si>
  <si>
    <t>LMFA06000016</t>
  </si>
  <si>
    <t>160708-91-8</t>
  </si>
  <si>
    <t>CCC(O)/C=C/C([H])=O</t>
  </si>
  <si>
    <t>JYTUBIHWMKQZRB-ONEGZZNKSA-N</t>
  </si>
  <si>
    <t>C6H10O2</t>
  </si>
  <si>
    <t>13.99_437.3638m/z</t>
  </si>
  <si>
    <t>4-Methyl-3-heptyl linoleate</t>
  </si>
  <si>
    <t>LMFA07010656</t>
  </si>
  <si>
    <t>O=C(CCCCCCC/C=C\C/C=C\CCCCC)OC(CC)C(C)CCC</t>
  </si>
  <si>
    <t>MYBYIJWCTLITRC-HDXUUTQWSA-N</t>
  </si>
  <si>
    <t>C26H48O2</t>
  </si>
  <si>
    <t>6.19_243.1093m/z</t>
  </si>
  <si>
    <t>ANCITABINE</t>
  </si>
  <si>
    <t>10212-25-6</t>
  </si>
  <si>
    <t>C1=CN2C3C(C(C(O3)CO)O)OC2=NC1=N</t>
  </si>
  <si>
    <t>BBDAGFIXKZCXAH-CCXZUQQUSA-N</t>
  </si>
  <si>
    <t>8.71_620.3449m/z</t>
  </si>
  <si>
    <t>ibha#30</t>
  </si>
  <si>
    <t>LMFA13040107</t>
  </si>
  <si>
    <t>O([C@@H](CCCCCCCCCCCC[C@@H](O)CC(=O)O)C)[C@H]1[C@H](O)C[C@@H](OC(=O)C2=CNC3C=CC=CC=32)[C@H](C)O1</t>
  </si>
  <si>
    <t>RHGNPNMYKQDMAV-VHJGPELESA-N</t>
  </si>
  <si>
    <t>C32H49NO8</t>
  </si>
  <si>
    <t>5.77_377.1357m/z</t>
  </si>
  <si>
    <t>Omega-Carboxy-trinor-leukotriene B4</t>
  </si>
  <si>
    <t>HMDB0013032</t>
  </si>
  <si>
    <t>O[C@H](CCCC(O)=O)\C=C/C=C/C=C/[C@@H](O)C\C=C/CCC(O)=O</t>
  </si>
  <si>
    <t>XWRIIHRGMKHPHN-LLVPEOCGSA-N</t>
  </si>
  <si>
    <t>4.96_291.0726m/z</t>
  </si>
  <si>
    <t>Manitimus</t>
  </si>
  <si>
    <t>HMDB0254324</t>
  </si>
  <si>
    <t>OC(CCC#C)=C(C#N)C(=O)NC1=CC=C(C=C1)C(F)(F)F</t>
  </si>
  <si>
    <t>IRELROQHIPLASX-UHFFFAOYSA-N</t>
  </si>
  <si>
    <t>C15H11F3N2O2</t>
  </si>
  <si>
    <t>5.84_119.0609m/z</t>
  </si>
  <si>
    <t>4-Hydroxy-benzamidine</t>
  </si>
  <si>
    <t>HMDB0246448</t>
  </si>
  <si>
    <t>NC(=N)C1=CC=C(O)C=C1</t>
  </si>
  <si>
    <t>YYXYBWIDIWTCGS-UHFFFAOYSA-N</t>
  </si>
  <si>
    <t>C7H8N2O</t>
  </si>
  <si>
    <t>1.00_271.0064m/z</t>
  </si>
  <si>
    <t>S-oxocysteine</t>
  </si>
  <si>
    <t>HMDB0257422</t>
  </si>
  <si>
    <t>NC(CS=O)C(O)=O</t>
  </si>
  <si>
    <t>BHLMCOCHAVMHLD-UHFFFAOYSA-N</t>
  </si>
  <si>
    <t>C3H6NO3S</t>
  </si>
  <si>
    <t>4.00_246.1248m/z</t>
  </si>
  <si>
    <t>2-cis-abscisate</t>
  </si>
  <si>
    <t>HMDB0304067</t>
  </si>
  <si>
    <t>CC(C=CC1(O)C(C)=CC(=O)CC1(C)C)=CC([O-])=O</t>
  </si>
  <si>
    <t>JLIDBLDQVAYHNE-UHFFFAOYSA-M</t>
  </si>
  <si>
    <t>C15H19O4-</t>
  </si>
  <si>
    <t>12.22_557.3826m/z</t>
  </si>
  <si>
    <t>Bis-(tetramethyl hydroxypiperidinyl) sebacate</t>
  </si>
  <si>
    <t>HMDB0259422</t>
  </si>
  <si>
    <t>CC1(C)CC(CC(C)(C)N1O)OC(=O)CCCCCCCCC(=O)OC1CC(C)(C)N(O)C(C)(C)C1</t>
  </si>
  <si>
    <t>SXPLGYBFGPYAHS-UHFFFAOYSA-N</t>
  </si>
  <si>
    <t>C28H52N2O6</t>
  </si>
  <si>
    <t>10.10_403.3623m/z</t>
  </si>
  <si>
    <t>Tributylphosphine</t>
  </si>
  <si>
    <t>HMDB0259166</t>
  </si>
  <si>
    <t>CCCCP(CCCC)CCCC</t>
  </si>
  <si>
    <t>TUQOTMZNTHZOKS-UHFFFAOYSA-N</t>
  </si>
  <si>
    <t>C12H27P</t>
  </si>
  <si>
    <t>9.20_383.3320m/z</t>
  </si>
  <si>
    <t>7-oxo-cholesterol</t>
  </si>
  <si>
    <t>HMDB00501</t>
  </si>
  <si>
    <t>LMST01010049</t>
  </si>
  <si>
    <t>R-HSA-168249,R-HSA-168256,R-HSA-168898,R-HSA-2173782,R-HSA-3000471,R-HSA-3000480,R-HSA-3000484,R-HSA-5653656,R-HSA-5686938</t>
  </si>
  <si>
    <t>Innate Immune System|Immune System|Toll-like Receptor Cascades|Binding and Uptake of Ligands by Scavenger Receptors|Scavenging by Class B Receptors|Scavenging by Class A Receptors|Scavenging by Class F Receptors|Vesicle-mediated transport|Regulation of TLR by endogenous ligand</t>
  </si>
  <si>
    <t>566-28-9</t>
  </si>
  <si>
    <t>C1[C@]2(C)[C@@]3([H])CC[C@]4(C)[C@@]([H])([C@]([H])(C)CCCC(C)C)CC[C@@]4([H])[C@]3([H])C(=O)C=C2C[C@@H](O)C1</t>
  </si>
  <si>
    <t>YIKKMWSQVKJCOP-ABXCMAEBSA-N</t>
  </si>
  <si>
    <t>5.00_485.1668m/z</t>
  </si>
  <si>
    <t>gamma-CEHC glucuronide</t>
  </si>
  <si>
    <t>HMDB0242175</t>
  </si>
  <si>
    <t>[H][C@@]1(O)[C@@]([H])(O)[C@]([H])(OC2=CC3=C(OC(C)(CCC(O)=O)CC3)C(C)=C2C)O[C@]([H])(C(O)=O)[C@@]1([H])O</t>
  </si>
  <si>
    <t>NOZSTAZEOBPSBY-LWNJIDTBSA-N</t>
  </si>
  <si>
    <t>C21H28O10</t>
  </si>
  <si>
    <t>10.88_528.3093m/z</t>
  </si>
  <si>
    <t>PE(0:0/22:4(7Z,10Z,13Z,16Z))</t>
  </si>
  <si>
    <t>HMDB0011493</t>
  </si>
  <si>
    <t>LMGP02050057</t>
  </si>
  <si>
    <t>C(OP(OCCN)(O)=O)[C@]([H])(OC(=O)CCCCC/C=C\C/C=C\C/C=C\C/C=C\CCCCC)CO</t>
  </si>
  <si>
    <t>VLFJNHPNIOTOOA-YMIVKDKMSA-N</t>
  </si>
  <si>
    <t>12.97_267.2330m/z</t>
  </si>
  <si>
    <t>(Z)-11-Hexadecenyl formate</t>
  </si>
  <si>
    <t>LMFA07010557</t>
  </si>
  <si>
    <t>O=COCCCCCCCCCC/C=C\CCCC</t>
  </si>
  <si>
    <t>ICMRKBGNISBFNF-WAYWQWQTSA-N</t>
  </si>
  <si>
    <t>8.97_628.3260m/z</t>
  </si>
  <si>
    <t>Penitrem B</t>
  </si>
  <si>
    <t>HMDB0256239</t>
  </si>
  <si>
    <t>CC(=C)C1OC2CCC3(C)C4(C)C(CCC3(O)C22OC2C1O)C1OC(C)(C)C2CC3C2C2=C(CC3=C)C=CC3=C2C1=C4N3</t>
  </si>
  <si>
    <t>CRPJNVUYZRFGAK-UHFFFAOYSA-N</t>
  </si>
  <si>
    <t>C37H45NO5</t>
  </si>
  <si>
    <t>11.19_431.2803m/z</t>
  </si>
  <si>
    <t>Piritramide</t>
  </si>
  <si>
    <t>HMDB0041990</t>
  </si>
  <si>
    <t>302-41-0</t>
  </si>
  <si>
    <t>OC(=N)C1(CCN(CCC(C#N)(C2=CC=CC=C2)C2=CC=CC=C2)CC1)N1CCCCC1</t>
  </si>
  <si>
    <t>IHEHEFLXQFOQJO-UHFFFAOYSA-N</t>
  </si>
  <si>
    <t>C27H34N4O</t>
  </si>
  <si>
    <t>3.50_195.1135m/z</t>
  </si>
  <si>
    <t>1,2,3,4-Tetrahydroisoquinolin-1-yl formate</t>
  </si>
  <si>
    <t>HMDB0258099</t>
  </si>
  <si>
    <t>O=COC1NCCC2=CC=CC=C12</t>
  </si>
  <si>
    <t>LLHHMQWJVUGHFX-UHFFFAOYSA-N</t>
  </si>
  <si>
    <t>C10H11NO2</t>
  </si>
  <si>
    <t>4.17_415.1697m/z</t>
  </si>
  <si>
    <t>Ilepatril</t>
  </si>
  <si>
    <t>HMDB0253398</t>
  </si>
  <si>
    <t>CC(C)C(SC(C)=O)C(=O)NC1CC2=CC=CC=C2C2CCCC(N2C1=O)C(O)=O</t>
  </si>
  <si>
    <t>FXKFFTMLFPWYFH-UHFFFAOYSA-N</t>
  </si>
  <si>
    <t>C22H28N2O5S</t>
  </si>
  <si>
    <t>6.94_313.1194m/z</t>
  </si>
  <si>
    <t>3-(1-Azatricyclo[7.3.1.05,13]trideca-5,7,9(13)-trien-7-yl)-2-cyanoprop-2-enoic acid</t>
  </si>
  <si>
    <t>HMDB0244618</t>
  </si>
  <si>
    <t>OC(=O)C(=CC1=CC2=C3N(CCCC3=C1)CCC2)C#N</t>
  </si>
  <si>
    <t>JXENNHTVELFRHV-UHFFFAOYSA-N</t>
  </si>
  <si>
    <t>Hydroquinolines</t>
  </si>
  <si>
    <t>4.60_503.2514m/z</t>
  </si>
  <si>
    <t>[6]-Gingerdiol 5-O-beta-D-glucopyranoside</t>
  </si>
  <si>
    <t>HMDB0036123</t>
  </si>
  <si>
    <t>CCCCCC(CC(O)CCC1=CC(OC)=C(O)C=C1)OC1OC(CO)C(O)C(O)C1O</t>
  </si>
  <si>
    <t>IJSYHUFAWPXPKA-UHFFFAOYSA-N</t>
  </si>
  <si>
    <t>C23H38O9</t>
  </si>
  <si>
    <t>11.88_192.1519n</t>
  </si>
  <si>
    <t>4-(4-Methyl-3-pentenyl)-3-cyclohexene-1-carboxaldehyde</t>
  </si>
  <si>
    <t>HMDB0031733</t>
  </si>
  <si>
    <t>37677-14-8</t>
  </si>
  <si>
    <t>CC(C)=CCCC1=CCC(CC1)C=O</t>
  </si>
  <si>
    <t>MQBIZQLCHSZBOI-UHFFFAOYSA-N</t>
  </si>
  <si>
    <t>3.61_397.0162m/z</t>
  </si>
  <si>
    <t>Pyrrole-2,3,5-tricarboxylic acid</t>
  </si>
  <si>
    <t>HMDB0256995</t>
  </si>
  <si>
    <t>OC(=O)C1=CC(C(O)=O)=C(N1)C(O)=O</t>
  </si>
  <si>
    <t>UGSAVTSXHXRENH-UHFFFAOYSA-N</t>
  </si>
  <si>
    <t>C7H5NO6</t>
  </si>
  <si>
    <t>14.17_567.4632m/z</t>
  </si>
  <si>
    <t>TG(8:0/8:0/15:0)</t>
  </si>
  <si>
    <t>HMDB0071222</t>
  </si>
  <si>
    <t>[H][C@](COC(=O)CCCCCCC)(COC(=O)CCCCCCCCCCCCCC)OC(=O)CCCCCCC</t>
  </si>
  <si>
    <t>AGCZOOJNZRMTED-HKBQPEDESA-N</t>
  </si>
  <si>
    <t>C34H64O6</t>
  </si>
  <si>
    <t>1.03_334.0721m/z</t>
  </si>
  <si>
    <t>4-Hydroxybenzyl isothiocyanate rhamnoside</t>
  </si>
  <si>
    <t>HMDB0032801</t>
  </si>
  <si>
    <t>73255-40-0</t>
  </si>
  <si>
    <t>CC1OC(OC2=CC=C(CN=C=S)C=C2)C(O)C(O)C1O</t>
  </si>
  <si>
    <t>QAZIHHJTZPNRCM-UHFFFAOYSA-N</t>
  </si>
  <si>
    <t>C14H17NO5S</t>
  </si>
  <si>
    <t>9.40_459.2731m/z</t>
  </si>
  <si>
    <t>Hydrocortisone caproate</t>
  </si>
  <si>
    <t>LMST02030129</t>
  </si>
  <si>
    <t>C13422</t>
  </si>
  <si>
    <t>[C@]12(C)C[C@@H]([C@]3([H])[C@@]4(C)CCC(=O)C=C4CC[C@@]3([H])[C@]1([H])CC[C@]2(O)C(=O)COC(=O)CCCCC)O</t>
  </si>
  <si>
    <t>XZSVYVIYKBHVMV-FOMYWIRZSA-N</t>
  </si>
  <si>
    <t>C27H40O6</t>
  </si>
  <si>
    <t>8.31_283.0251m/z</t>
  </si>
  <si>
    <t>Munjistin</t>
  </si>
  <si>
    <t>HMDB0254946</t>
  </si>
  <si>
    <t>OC(=O)C1=C(O)C=C2C(=O)C3=CC=CC=C3C(=O)C2=C1O</t>
  </si>
  <si>
    <t>PLDISGVCDWLKQC-UHFFFAOYSA-N</t>
  </si>
  <si>
    <t>C15H8O6</t>
  </si>
  <si>
    <t>11.92_574.3876m/z</t>
  </si>
  <si>
    <t>PC(O-18:0/2:0)</t>
  </si>
  <si>
    <t>LMGP01020094</t>
  </si>
  <si>
    <t>R-HSA-109582,R-HSA-162582,R-HSA-372790,R-HSA-373076,R-HSA-388396,R-HSA-416476,R-HSA-418346,R-HSA-500792</t>
  </si>
  <si>
    <t>Hemostasis|Signal Transduction|Signaling by GPCR|Class A/1 (Rhodopsin-like receptors)|GPCR downstream signalling|G alpha (q) signalling events|Platelet homeostasis|GPCR ligand binding</t>
  </si>
  <si>
    <t>[C@](COP(=O)([O-])OCC[N+](C)(C)C)([H])(OC(C)=O)COCCCCCCCCCCCCCCCCCC</t>
  </si>
  <si>
    <t>ZXCIEWBDUAPBJF-MUUNZHRXSA-N</t>
  </si>
  <si>
    <t>7.33_161.0963m/z</t>
  </si>
  <si>
    <t>Jasmolone</t>
  </si>
  <si>
    <t>HMDB0030039</t>
  </si>
  <si>
    <t>54383-66-3</t>
  </si>
  <si>
    <t>CC\C=C\CC1=C(C)C(O)CC1=O</t>
  </si>
  <si>
    <t>SVRKACAGHUZSGU-SNAWJCMRSA-N</t>
  </si>
  <si>
    <t>0.76_302.1356m/z</t>
  </si>
  <si>
    <t>N-(N-(3-Amino-3-carboxypropyl)-3-amino-3-carboxypropyl)azetidine-2-carboxylic acid</t>
  </si>
  <si>
    <t>HMDB0255025</t>
  </si>
  <si>
    <t>NC(CCNC(CCN1CCC1C(O)=O)C(O)=O)C(O)=O</t>
  </si>
  <si>
    <t>KRGPXXHMOXVMMM-UHFFFAOYSA-N</t>
  </si>
  <si>
    <t>0.71_201.0342m/z</t>
  </si>
  <si>
    <t>(2R)-2-Amino-3-methyl-3-(2-nitrosoacetyl)sulfanylbutanoic acid</t>
  </si>
  <si>
    <t>HMDB0242714</t>
  </si>
  <si>
    <t>CC(C)(SC(=O)CN=O)C(N)C(O)=O</t>
  </si>
  <si>
    <t>LPQSWWYVVYRQCA-UHFFFAOYSA-N</t>
  </si>
  <si>
    <t>5.31_601.2678m/z</t>
  </si>
  <si>
    <t>ITX-5061 free base</t>
  </si>
  <si>
    <t>HMDB0260339</t>
  </si>
  <si>
    <t>COC1=C(NC(=O)C(=O)C2=CC=C(OCCN3CCOCC3)C3=CC=CC=C23)C=C(C=C1NS(C)(=O)=O)C(C)(C)C</t>
  </si>
  <si>
    <t>UUROSJLZNDSXRF-UHFFFAOYSA-N</t>
  </si>
  <si>
    <t>C30H37N3O7S</t>
  </si>
  <si>
    <t>6.50_255.1235m/z</t>
  </si>
  <si>
    <t>3,4-dimethyl-5-carboxyethyl-2-furanbutanoic acid</t>
  </si>
  <si>
    <t>LMFA01150053</t>
  </si>
  <si>
    <t>C(C(O)=O)CC1=C(C)C(C)=C(CCCC(=O)O)O1</t>
  </si>
  <si>
    <t>ZRPKUEWUJNRCRJ-UHFFFAOYSA-N</t>
  </si>
  <si>
    <t>7.61_417.3375m/z</t>
  </si>
  <si>
    <t>(24S)-24,25-dihydroxyvitamin D3 / (24S)-24,25-dihydroxycholecalciferol</t>
  </si>
  <si>
    <t>LMST03020274</t>
  </si>
  <si>
    <t>C1C(=C)/C(=C\C=C2\[C@]3([H])CC[C@@]([H])([C@@]3(C)CCC\2)[C@]([H])(C)CC[C@H](O)C(O)(C)C)/C[C@@H](O)C1</t>
  </si>
  <si>
    <t>FCKJYANJHNLEEP-WQUHCOROSA-N</t>
  </si>
  <si>
    <t>4.73_186.1130m/z</t>
  </si>
  <si>
    <t>4-Hepteneoylglycine</t>
  </si>
  <si>
    <t>HMDB0094730</t>
  </si>
  <si>
    <t>CCC=CCCC(O)=NCC(O)=O</t>
  </si>
  <si>
    <t>GMGXVBWDDFAFBM-UHFFFAOYSA-N</t>
  </si>
  <si>
    <t>4.58_343.0913m/z</t>
  </si>
  <si>
    <t>L-alpha-Amino-5-oxo-2(5H)-isoxazolepropanoic acid</t>
  </si>
  <si>
    <t>HMDB0034322</t>
  </si>
  <si>
    <t>59476-61-8</t>
  </si>
  <si>
    <t>NC(CN1OC(=O)C=C1)C(O)=O</t>
  </si>
  <si>
    <t>BDHFFHBFJUZSBF-UHFFFAOYSA-N</t>
  </si>
  <si>
    <t>3.31_230.1872m/z</t>
  </si>
  <si>
    <t>Brivaracetam</t>
  </si>
  <si>
    <t>HMDB0249388</t>
  </si>
  <si>
    <t>CCCC1CN(C(CC)C(N)=O)C(=O)C1</t>
  </si>
  <si>
    <t>MSYKRHVOOPPJKU-UHFFFAOYSA-N</t>
  </si>
  <si>
    <t>C11H20N2O2</t>
  </si>
  <si>
    <t>10.31_406.2745m/z</t>
  </si>
  <si>
    <t>N-(4-Methoxyphenyl)-all-trans-retinamide</t>
  </si>
  <si>
    <t>HMDB0255040</t>
  </si>
  <si>
    <t>COC1=CC=C(NC(=O)C=C(C)C=CC=C(C)C=CC2=C(C)CCCC2(C)C)C=C1</t>
  </si>
  <si>
    <t>DBQHWMPFMCOGIW-UHFFFAOYSA-N</t>
  </si>
  <si>
    <t>C27H35NO2</t>
  </si>
  <si>
    <t>11.39_334.3112m/z</t>
  </si>
  <si>
    <t>n-arachidonylethanolamine</t>
  </si>
  <si>
    <t>HMDB0255084</t>
  </si>
  <si>
    <t>CCCCCC=CCC=CCC=CCC=CCCCCNCCO</t>
  </si>
  <si>
    <t>LJKYKFRQAQCNIN-UHFFFAOYSA-N</t>
  </si>
  <si>
    <t>C22H39NO</t>
  </si>
  <si>
    <t>14.60_174.1282m/z</t>
  </si>
  <si>
    <t>5,5-Dimethyl-2-phenylmorpholine</t>
  </si>
  <si>
    <t>HMDB0246850</t>
  </si>
  <si>
    <t>CC1(C)COC(CN1)C1=CC=CC=C1</t>
  </si>
  <si>
    <t>KJUOROGOOZJYAI-UHFFFAOYSA-N</t>
  </si>
  <si>
    <t>1.76_294.1465m/z</t>
  </si>
  <si>
    <t>Phenylalanylglutamine</t>
  </si>
  <si>
    <t>HMDB0028993</t>
  </si>
  <si>
    <t>39537-24-1</t>
  </si>
  <si>
    <t>N[C@@H](CC1=CC=CC=C1)C(=O)N[C@@H](CCC(N)=O)C(O)=O</t>
  </si>
  <si>
    <t>KLAONOISLHWJEE-QWRGUYRKSA-N</t>
  </si>
  <si>
    <t>C14H19N3O4</t>
  </si>
  <si>
    <t>12.71_535.4007m/z</t>
  </si>
  <si>
    <t>Janohigenin 23-0</t>
  </si>
  <si>
    <t>LMPK15040012</t>
  </si>
  <si>
    <t>C1(O)C=C(CCCCCCCCCCCCCCCCCCCCCCC)C(C(O)=O)=C(O)C=1C</t>
  </si>
  <si>
    <t>DHLRSKNLLXXLFY-UHFFFAOYSA-N</t>
  </si>
  <si>
    <t>C31H54O4</t>
  </si>
  <si>
    <t>1.06_159.0269m/z</t>
  </si>
  <si>
    <t>1-Benzothiepin</t>
  </si>
  <si>
    <t>HMDB0243832</t>
  </si>
  <si>
    <t>S1C=CC=CC2=CC=CC=C12</t>
  </si>
  <si>
    <t>NIGNBCLEMMGDQP-UHFFFAOYSA-N</t>
  </si>
  <si>
    <t>C10H8S</t>
  </si>
  <si>
    <t>1.07_241.2170m/z</t>
  </si>
  <si>
    <t>Auberganol</t>
  </si>
  <si>
    <t>HMDB0039715</t>
  </si>
  <si>
    <t>102490-02-8</t>
  </si>
  <si>
    <t>CC1C(O)CCC2(C)CCC(CC12)C(C)(C)O</t>
  </si>
  <si>
    <t>XALRSJNOMCWQJW-UHFFFAOYSA-N</t>
  </si>
  <si>
    <t>C15H28O2</t>
  </si>
  <si>
    <t>11.82_484.2841n</t>
  </si>
  <si>
    <t>Biotin-XX hydrazide</t>
  </si>
  <si>
    <t>211237-33-1</t>
  </si>
  <si>
    <t>C1C2C(C(S1)CCCCC(=O)NCCCCCC(=O)NCCCCCC(=O)NN)NC(=O)N2</t>
  </si>
  <si>
    <t>LOIYZIMLLRKKNS-FIKGOQFSSA-N</t>
  </si>
  <si>
    <t>C22H40N6O4S</t>
  </si>
  <si>
    <t>5.10_170.0605m/z</t>
  </si>
  <si>
    <t>6-Fluoropyridoxol</t>
  </si>
  <si>
    <t>HMDB0247065</t>
  </si>
  <si>
    <t>CC1=C(O)C(CO)=C(CO)C(F)=N1</t>
  </si>
  <si>
    <t>IDPINNAOTHGQQW-UHFFFAOYSA-N</t>
  </si>
  <si>
    <t>C8H10FNO3</t>
  </si>
  <si>
    <t>1.17_193.0235m/z</t>
  </si>
  <si>
    <t>ERYSOLIN</t>
  </si>
  <si>
    <t>504-84-7</t>
  </si>
  <si>
    <t>CS(=O)(=O)CCCCN=C=S</t>
  </si>
  <si>
    <t>WNCZPWWLBZOFJL-UHFFFAOYSA-N</t>
  </si>
  <si>
    <t>Sulfonyls</t>
  </si>
  <si>
    <t>Sulfones</t>
  </si>
  <si>
    <t>C6H11NO2S2</t>
  </si>
  <si>
    <t>197</t>
  </si>
  <si>
    <t>(S)-3,4-Dihydroxybutyric Acid (Lithium Hydrate)</t>
  </si>
  <si>
    <t>HMDB00337</t>
  </si>
  <si>
    <t>LMFA01050378</t>
  </si>
  <si>
    <t>C(=O)(O)C[C@H](O)CO</t>
  </si>
  <si>
    <t>DZAIOXUZHHTJKN-VKHMYHEASA-N</t>
  </si>
  <si>
    <t>5.87_201.1126m/z</t>
  </si>
  <si>
    <t>Sebacic acid</t>
  </si>
  <si>
    <t>HMDB0000792</t>
  </si>
  <si>
    <t>LMFA01170006</t>
  </si>
  <si>
    <t>C08277</t>
  </si>
  <si>
    <t>111-20-6</t>
  </si>
  <si>
    <t>C(CCCCCCCCC(=O)O)(=O)O</t>
  </si>
  <si>
    <t>CXMXRPHRNRROMY-UHFFFAOYSA-N</t>
  </si>
  <si>
    <t>5.46_458.2974m/z</t>
  </si>
  <si>
    <t>Netilmicin</t>
  </si>
  <si>
    <t>HMDB0015090</t>
  </si>
  <si>
    <t>C07657</t>
  </si>
  <si>
    <t>56391-56-1</t>
  </si>
  <si>
    <t>CCN[C@@H]1C[C@H](N)[C@@H](O[C@H]2OC(CN)=CC[C@H]2N)[C@H](O)[C@H]1O[C@H]1OC[C@H](O)[C@@H](NC)[C@@]1(C)O</t>
  </si>
  <si>
    <t>ZBGPYVZLYBDXKO-HILBYHGXSA-N</t>
  </si>
  <si>
    <t>C21H41N5O7</t>
  </si>
  <si>
    <t>129</t>
  </si>
  <si>
    <t>1-Nonanol</t>
  </si>
  <si>
    <t>HMDB0031265</t>
  </si>
  <si>
    <t>LMFA05000092</t>
  </si>
  <si>
    <t>C14696</t>
  </si>
  <si>
    <t>143-08-8</t>
  </si>
  <si>
    <t>CCCCCCCCCO</t>
  </si>
  <si>
    <t>ZWRUINPWMLAQRD-UHFFFAOYSA-N</t>
  </si>
  <si>
    <t>C9H20O</t>
  </si>
  <si>
    <t>5.81_295.0774m/z</t>
  </si>
  <si>
    <t>Taltrimide</t>
  </si>
  <si>
    <t>HMDB0258703</t>
  </si>
  <si>
    <t>CC(C)NS(=O)(=O)CCN1C(=O)C2=CC=CC=C2C1=O</t>
  </si>
  <si>
    <t>NZKNHIQZWSVJGP-UHFFFAOYSA-N</t>
  </si>
  <si>
    <t>C13H16N2O4S</t>
  </si>
  <si>
    <t>4.05_406.2120m/z</t>
  </si>
  <si>
    <t>Lincomycin</t>
  </si>
  <si>
    <t>C06812</t>
  </si>
  <si>
    <t>154-21-2</t>
  </si>
  <si>
    <t>CCCC1CC(N(C1)C)C(=O)NC(C2C(C(C(C(O2)SC)O)O)O)C(C)O</t>
  </si>
  <si>
    <t>OJMMVQQUTAEWLP-KIDUDLJLSA-N</t>
  </si>
  <si>
    <t>C18H34N2O6S</t>
  </si>
  <si>
    <t>13</t>
  </si>
  <si>
    <t>Lactic Acid</t>
  </si>
  <si>
    <t>C01432</t>
  </si>
  <si>
    <t>50-21-5</t>
  </si>
  <si>
    <t>CC(C(=O)O)O</t>
  </si>
  <si>
    <t>JVTAAEKCZFNVCJ-UHFFFAOYSA-N</t>
  </si>
  <si>
    <t>3.60_292.0648n</t>
  </si>
  <si>
    <t>Etrimfos</t>
  </si>
  <si>
    <t>HMDB0031783</t>
  </si>
  <si>
    <t>C18985</t>
  </si>
  <si>
    <t>38260-54-7</t>
  </si>
  <si>
    <t>CCOC1=CC(OP(=S)(OC)OC)=NC(CC)=N1</t>
  </si>
  <si>
    <t>FGIWFCGDPUIBEZ-UHFFFAOYSA-N</t>
  </si>
  <si>
    <t>C10H17N2O4PS</t>
  </si>
  <si>
    <t>10.35_241.1807m/z</t>
  </si>
  <si>
    <t>12-Tridecen-2-one</t>
  </si>
  <si>
    <t>LMFA12000167</t>
  </si>
  <si>
    <t>CC(=O)CCCCCCCCCC=C</t>
  </si>
  <si>
    <t>UYCZPLKICNDOCL-UHFFFAOYSA-N</t>
  </si>
  <si>
    <t>9.65_449.1900m/z</t>
  </si>
  <si>
    <t>Oxynarcotine</t>
  </si>
  <si>
    <t>HMDB0030247</t>
  </si>
  <si>
    <t>483-89-6</t>
  </si>
  <si>
    <t>CNCCC1=CC2=C(OCO2)C(OC)=C1CC(=O)C1=C(C(O)=O)C(OC)=C(OC)C=C1</t>
  </si>
  <si>
    <t>GLKPKUBRBLNOSC-UHFFFAOYSA-N</t>
  </si>
  <si>
    <t>C22H25NO8</t>
  </si>
  <si>
    <t>4.48_281.1769m/z</t>
  </si>
  <si>
    <t>Minaprine</t>
  </si>
  <si>
    <t>HMDB0014943</t>
  </si>
  <si>
    <t>25905-77-5</t>
  </si>
  <si>
    <t>CC1=CC(=NN=C1NCCN1CCOCC1)C1=CC=CC=C1</t>
  </si>
  <si>
    <t>LDMWSLGGVTVJPG-UHFFFAOYSA-N</t>
  </si>
  <si>
    <t>C17H22N4O</t>
  </si>
  <si>
    <t>4.83_208.0975m/z</t>
  </si>
  <si>
    <t>Phenylpropionylglycine</t>
  </si>
  <si>
    <t>HMDB0000860</t>
  </si>
  <si>
    <t>56613-60-6</t>
  </si>
  <si>
    <t>OC(=O)CNC(=O)CCC1=CC=CC=C1</t>
  </si>
  <si>
    <t>YEIQSAXUPKPPBN-UHFFFAOYSA-N</t>
  </si>
  <si>
    <t>9.40_355.2128m/z</t>
  </si>
  <si>
    <t>Plasmodiophorol A</t>
  </si>
  <si>
    <t>LMFA02000386</t>
  </si>
  <si>
    <t>C(CCCCCCC/C=C\[C@H]1[C@]([H])([C@@H](O)CC)C[C@@H]2O[C@H]12)(=O)O</t>
  </si>
  <si>
    <t>UMHMXTXOIVYKOO-RLHIQTTISA-N</t>
  </si>
  <si>
    <t>13.51_605.4426m/z</t>
  </si>
  <si>
    <t>DG(18:3(6Z,9Z,12Z)/14:1(9Z)/0:0)</t>
  </si>
  <si>
    <t>HMDB0007270</t>
  </si>
  <si>
    <t>[H][C@](CO)(COC(=O)CCCC\C=C/C\C=C/C\C=C/CCCCC)OC(=O)CCCCCCC\C=C/CCCC</t>
  </si>
  <si>
    <t>AFTULFNBAWADMG-GSJZKLKLSA-N</t>
  </si>
  <si>
    <t>C35H60O5</t>
  </si>
  <si>
    <t>10.60_267.1965m/z</t>
  </si>
  <si>
    <t>(1R,2R)-3-oxo-2-pentyl-cyclopentanehexanoic acid</t>
  </si>
  <si>
    <t>LMFA02010014</t>
  </si>
  <si>
    <t>C(O)(=O)CCCCC[C@H]1[C@@H](CCCCC)C(=O)CC1</t>
  </si>
  <si>
    <t>MTWJEFNRVOYKJI-ZIAGYGMSSA-N</t>
  </si>
  <si>
    <t>4.90_218.0818m/z</t>
  </si>
  <si>
    <t>1,2,5,6-Tetrahydro-4H-pyrrolo[3,2,1-ij]quinolin-4-one</t>
  </si>
  <si>
    <t>HMDB0037113</t>
  </si>
  <si>
    <t>C18487</t>
  </si>
  <si>
    <t>57369-32-1</t>
  </si>
  <si>
    <t>O=C1CCC2=CC=CC3=C2N1CC3</t>
  </si>
  <si>
    <t>XRJLAOUDSILTFT-UHFFFAOYSA-N</t>
  </si>
  <si>
    <t>C11H11NO</t>
  </si>
  <si>
    <t>5.28_186.1857m/z</t>
  </si>
  <si>
    <t>3,4,7-Trimethyl-2E,6-octadien-1-ol</t>
  </si>
  <si>
    <t>LMFA05000125</t>
  </si>
  <si>
    <t>OC/C=C(\C)/C(C)C/C=C(\C)/C</t>
  </si>
  <si>
    <t>ZPIKDJYPRJOHLN-YRNVUSSQSA-N</t>
  </si>
  <si>
    <t>3.85_313.1196m/z</t>
  </si>
  <si>
    <t>2-Phenyl-1,3,5-triazine</t>
  </si>
  <si>
    <t>HMDB0245289</t>
  </si>
  <si>
    <t>C1=CC=C(C=C1)C1=NC=NC=N1</t>
  </si>
  <si>
    <t>RXELBMYKBFKHSM-UHFFFAOYSA-N</t>
  </si>
  <si>
    <t>C9H7N3</t>
  </si>
  <si>
    <t>4.79_347.1621m/z</t>
  </si>
  <si>
    <t>Methylgingerol</t>
  </si>
  <si>
    <t>HMDB0029852</t>
  </si>
  <si>
    <t>CCCCCC(O)CC(=O)CCC1=CC=C(OC)C(OC)=C1</t>
  </si>
  <si>
    <t>CTGAPJBPSCUFRO-UHFFFAOYSA-N</t>
  </si>
  <si>
    <t>10.72_430.3077n</t>
  </si>
  <si>
    <t>7alpha-hydroxy-3-oxocholest-4-en-27-oic acid</t>
  </si>
  <si>
    <t>HMDB0012458</t>
  </si>
  <si>
    <t>LMST04030149</t>
  </si>
  <si>
    <t>C17337</t>
  </si>
  <si>
    <t>115538-85-7</t>
  </si>
  <si>
    <t>C1[C@]2(C)[C@@]3([H])CC[C@]4(C)[C@@]([H])([C@]([H])(C)CCCC(C)C(O)=O)CC[C@@]4([H])[C@]3([H])[C@H](O)CC2=CC(=O)C1</t>
  </si>
  <si>
    <t>SATGKQGFUDXGAX-MYWFJNCASA-N</t>
  </si>
  <si>
    <t>473</t>
  </si>
  <si>
    <t>Myo-Inositol 1-Phosphate</t>
  </si>
  <si>
    <t>HMDB0000213</t>
  </si>
  <si>
    <t>C01177</t>
  </si>
  <si>
    <t>hsa00562,hsa02010,hsa04070</t>
  </si>
  <si>
    <t>Inositol phosphate metabolism|ABC transporters|Phosphatidylinositol signaling system</t>
  </si>
  <si>
    <t>C1(C(C(C(C(C1O)O)OP(=O)(O)O)O)O)O</t>
  </si>
  <si>
    <t>INAPMGSXUVUWAF-GCVPSNMTSA-N</t>
  </si>
  <si>
    <t>11.07_426.1507m/z</t>
  </si>
  <si>
    <t>(1-(2-(Methylsulfonamido)ethyl)piperidin-4-yl)methyl 5-fluoro-2-methoxy-1H-indole-3-carboxylate</t>
  </si>
  <si>
    <t>HMDB0242278</t>
  </si>
  <si>
    <t>COC1=C(C(=O)OCC2CCN(CCNS(C)(=O)=O)CC2)C2=C(N1)C=CC(F)=C2</t>
  </si>
  <si>
    <t>SSPCCAYAIDNNJX-UHFFFAOYSA-N</t>
  </si>
  <si>
    <t>C19H26FN3O5S</t>
  </si>
  <si>
    <t>10.21_299.2589m/z</t>
  </si>
  <si>
    <t>9,14-dihydroxy-octadecanoic acid</t>
  </si>
  <si>
    <t>LMFA02000176</t>
  </si>
  <si>
    <t>C(CCCCCCCC(O)CCCCC(O)CCCC)(=O)O</t>
  </si>
  <si>
    <t>UHSVJNCEYVVOCB-UHFFFAOYSA-N</t>
  </si>
  <si>
    <t>10.47_429.3013m/z</t>
  </si>
  <si>
    <t>15,20-dihydroxycholest-4,14-dien-3,16-dione</t>
  </si>
  <si>
    <t>LMST01010314</t>
  </si>
  <si>
    <t>[C@]12(CCC3=CC(=O)CC[C@]3(C)[C@@]1([H])CC[C@]1(C)[C@@]([H])(C(C)(O)CCCC(C)C)C(=O)C(O)=C21)[H]</t>
  </si>
  <si>
    <t>RPOZHMVPPTWLDB-JXGGVMLASA-N</t>
  </si>
  <si>
    <t>5.06_140.1074m/z</t>
  </si>
  <si>
    <t>1,2,3,4-Tetrahydro-6-propanoylpyridine</t>
  </si>
  <si>
    <t>HMDB0034884</t>
  </si>
  <si>
    <t>CCC(=O)C1=CCCCN1</t>
  </si>
  <si>
    <t>DOGZYNACXGUDFW-UHFFFAOYSA-N</t>
  </si>
  <si>
    <t>C8H13NO</t>
  </si>
  <si>
    <t>14.47_571.4369m/z</t>
  </si>
  <si>
    <t>32,35-anhydrobacteriohopan-11-ene-tetrol</t>
  </si>
  <si>
    <t>LMPR04000023</t>
  </si>
  <si>
    <t>C1C[C@]2(C)C3[C@@](C)(CCC2C(C)(C)C1)[C@]1(C)CCC2C(C(CCC4OC[C@H](O)[C@@H]4O)C)CC[C@]2(C)C1C=C3</t>
  </si>
  <si>
    <t>AFHCCDGQGXIVGF-JYEFOXIVSA-N</t>
  </si>
  <si>
    <t>C35H58O3</t>
  </si>
  <si>
    <t>0.60_345.1496m/z</t>
  </si>
  <si>
    <t>(E)-N-(2-Amino-4-fluorophenyl)-3-(1-cinnamyl-1H-pyrazol-4-yl)acrylamide</t>
  </si>
  <si>
    <t>HMDB0257192</t>
  </si>
  <si>
    <t>NC1=C(NC(=O)C=CC2=CN(CC=CC3=CC=CC=C3)N=C2)C=CC(F)=C1</t>
  </si>
  <si>
    <t>BLVQHYHDYFTPDV-UHFFFAOYSA-N</t>
  </si>
  <si>
    <t>C21H19FN4O</t>
  </si>
  <si>
    <t>3.24_149.0235m/z</t>
  </si>
  <si>
    <t>Phenylglyoxylic acid</t>
  </si>
  <si>
    <t>HMDB0001587</t>
  </si>
  <si>
    <t>C02137</t>
  </si>
  <si>
    <t>611-73-4</t>
  </si>
  <si>
    <t>OC(=O)C(=O)C1=CC=CC=C1</t>
  </si>
  <si>
    <t>FAQJJMHZNSSFSM-UHFFFAOYSA-N</t>
  </si>
  <si>
    <t>C8H6O3</t>
  </si>
  <si>
    <t>167</t>
  </si>
  <si>
    <t>Fumaric Acid</t>
  </si>
  <si>
    <t>HMDB0000134</t>
  </si>
  <si>
    <t>C00122</t>
  </si>
  <si>
    <t>hsa00020,hsa00190,hsa00220,hsa00250,hsa00350,hsa00360,hsa00620,hsa00650,hsa00760,hsa04922,hsa05200,hsa05211,hsa05230</t>
  </si>
  <si>
    <t>Citrate cycle (TCA cycle)|Oxidative phosphorylation|Arginine biosynthesis|Alanine, aspartate and glutamate metabolism|Tyrosine metabolism|Phenylalanine metabolism|Pyruvate metabolism|Butanoate metabolism|Nicotinate and nicotinamide metabolism|Glucagon signaling pathway|Pathways in cancer|Renal cell carcinoma|Central carbon metabolism in cancer</t>
  </si>
  <si>
    <t>R-HSA-1428517,R-HSA-1430728,R-HSA-71403,R-HSA-71406</t>
  </si>
  <si>
    <t>The citric acid (TCA) cycle and respiratory electron transport|Metabolism|Citric acid cycle (TCA cycle)|Pyruvate metabolism and Citric Acid (TCA) cycle</t>
  </si>
  <si>
    <t>110-17-8</t>
  </si>
  <si>
    <t>OC(=O)\C=C\C(O)=O</t>
  </si>
  <si>
    <t>VZCYOOQTPOCHFL-OWOJBTEDSA-N</t>
  </si>
  <si>
    <t>C4H4O4</t>
  </si>
  <si>
    <t>4.30_518.2387m/z</t>
  </si>
  <si>
    <t>Cinnamoside</t>
  </si>
  <si>
    <t>HMDB0038923</t>
  </si>
  <si>
    <t>108567-70-0</t>
  </si>
  <si>
    <t>CC(=O)C=C=C1C(C)(C)CC(CC1(C)O)OC1OC(COC2OCC(O)(CO)C2O)C(O)C(O)C1O</t>
  </si>
  <si>
    <t>WGFLJEFKPRMWSU-UHFFFAOYSA-N</t>
  </si>
  <si>
    <t>C24H38O12</t>
  </si>
  <si>
    <t>1.56_129.0353m/z</t>
  </si>
  <si>
    <t>6-Fluoromevalonate</t>
  </si>
  <si>
    <t>HMDB0247063</t>
  </si>
  <si>
    <t>OC1(CF)CCOC(=O)C1</t>
  </si>
  <si>
    <t>DPPMVKMESJJAJZ-UHFFFAOYSA-N</t>
  </si>
  <si>
    <t>C6H9FO3</t>
  </si>
  <si>
    <t>10.29_485.3347m/z</t>
  </si>
  <si>
    <t>1-(2-methoxy-5Z-hexadecenyl)-sn-glycero-3-phosphoethanolamine</t>
  </si>
  <si>
    <t>LMGP02060018</t>
  </si>
  <si>
    <t>[C@](COP(=O)(O)OCCN)([H])(O)COCC(OC)CC/C=C\CCCCCCCCCC</t>
  </si>
  <si>
    <t>GIYHJKMZJHZKIU-WWKOBSEMSA-N</t>
  </si>
  <si>
    <t>11.55_303.2327m/z</t>
  </si>
  <si>
    <t>13-(3-Pentyloxiran-2-yl)trideca-2,4,6-trienoic acid</t>
  </si>
  <si>
    <t>HMDB0255349</t>
  </si>
  <si>
    <t>CCCCCC1OC1CCCCCCC=CC=CC=CC(O)=O</t>
  </si>
  <si>
    <t>DIPMBEXJASNVAC-UHFFFAOYSA-N</t>
  </si>
  <si>
    <t>1.00_225.0624m/z</t>
  </si>
  <si>
    <t>1-[3,4-Dihydroxy-5-(hydroxymethyl)-2-oxolanyl]-1,2,4-triazole-3-carboxamide</t>
  </si>
  <si>
    <t>HMDB0243988</t>
  </si>
  <si>
    <t>NC(=O)C1=NN(C=N1)C1OC(CO)C(O)C1O</t>
  </si>
  <si>
    <t>IWUCXVSUMQZMFG-UHFFFAOYSA-N</t>
  </si>
  <si>
    <t>C8H12N4O5</t>
  </si>
  <si>
    <t>555</t>
  </si>
  <si>
    <t>Lithocholic Acid</t>
  </si>
  <si>
    <t>HMDB0000761</t>
  </si>
  <si>
    <t>LMST04010003</t>
  </si>
  <si>
    <t>C03990</t>
  </si>
  <si>
    <t>434-13-9</t>
  </si>
  <si>
    <t>C1[C@]2(C)[C@@]3([H])CC[C@]4(C)[C@@]([H])([C@]([H])(C)CCC(O)=O)CC[C@@]4([H])[C@]3([H])CC[C@]2([H])C[C@H](O)C1</t>
  </si>
  <si>
    <t>SMEROWZSTRWXGI-HVATVPOCSA-N</t>
  </si>
  <si>
    <t>3.61_356.0476m/z</t>
  </si>
  <si>
    <t>2-Methylpropyl glucosinolate</t>
  </si>
  <si>
    <t>HMDB0038421</t>
  </si>
  <si>
    <t>38226-91-4</t>
  </si>
  <si>
    <t>CC(C)C\C(SC1OC(CO)C(O)C(O)C1O)=N/OS(O)(=O)=O</t>
  </si>
  <si>
    <t>SKLKAEFXBVWMJP-KPKJPENVSA-N</t>
  </si>
  <si>
    <t>C11H21NO9S2</t>
  </si>
  <si>
    <t>7.74_281.1759m/z</t>
  </si>
  <si>
    <t>selina-4(14),11-dien-7-ol</t>
  </si>
  <si>
    <t>LMPR0103190017</t>
  </si>
  <si>
    <t>[C@]1(O)(C[C@]2(C(CCC[C@@]2([C@H](O)C1)C)=C)[H])C(=C)C</t>
  </si>
  <si>
    <t>HXYPZVCIEXGKAX-LJISPDSOSA-N</t>
  </si>
  <si>
    <t>4.73_604.2568m/z</t>
  </si>
  <si>
    <t>Streptomycin</t>
  </si>
  <si>
    <t>HMDB0015214</t>
  </si>
  <si>
    <t>C00413</t>
  </si>
  <si>
    <t>57-92-1</t>
  </si>
  <si>
    <t>CN[C@H]1[C@H](O)[C@@H](O)[C@H](CO)O[C@H]1O[C@H]1[C@H](O[C@H]2[C@H](O)[C@@H](O)[C@H](NC(N)=N)[C@@H](O)[C@@H]2NC(N)=N)O[C@@H](C)[C@]1(O)C=O</t>
  </si>
  <si>
    <t>UCSJYZPVAKXKNQ-HZYVHMACSA-N</t>
  </si>
  <si>
    <t>C21H39N7O12</t>
  </si>
  <si>
    <t>5.15_199.0064m/z</t>
  </si>
  <si>
    <t>4-Vinylphenol sulfate</t>
  </si>
  <si>
    <t>HMDB0062775</t>
  </si>
  <si>
    <t>131351-90-1</t>
  </si>
  <si>
    <t>OS(=O)(=O)OC1=CC=C(C=C)C=C1</t>
  </si>
  <si>
    <t>IETVQHUKTKKBFF-UHFFFAOYSA-N</t>
  </si>
  <si>
    <t>C8H8O4S</t>
  </si>
  <si>
    <t>5.20_302.1032m/z</t>
  </si>
  <si>
    <t>Melannin</t>
  </si>
  <si>
    <t>HMDB0041758</t>
  </si>
  <si>
    <t>LMPK12100004</t>
  </si>
  <si>
    <t>C10504</t>
  </si>
  <si>
    <t>58115-08-5</t>
  </si>
  <si>
    <t>C12C=C(OC)C(O)=CC=1C(C1C=CC(O)=CC=1)=CC(=O)O2</t>
  </si>
  <si>
    <t>HUGUGFBIYQBLCS-UHFFFAOYSA-N</t>
  </si>
  <si>
    <t>C16H12O5</t>
  </si>
  <si>
    <t>11.53_481.2187m/z</t>
  </si>
  <si>
    <t>2,5-Dimethoxy-4-(ethylthio)phenethylamine</t>
  </si>
  <si>
    <t>HMDB0245594</t>
  </si>
  <si>
    <t>CCSC1=C(OC)C=C(CCN)C(OC)=C1</t>
  </si>
  <si>
    <t>HCWQGDLBIKOJPM-UHFFFAOYSA-N</t>
  </si>
  <si>
    <t>C12H19NO2S</t>
  </si>
  <si>
    <t>0.73_188.0922m/z</t>
  </si>
  <si>
    <t>3,4-Dihydroxyphenylglycol</t>
  </si>
  <si>
    <t>HMDB0000318</t>
  </si>
  <si>
    <t>C05576</t>
  </si>
  <si>
    <t>28822-73-3</t>
  </si>
  <si>
    <t>OCC(O)C1=CC(O)=C(O)C=C1</t>
  </si>
  <si>
    <t>MTVWFVDWRVYDOR-UHFFFAOYSA-N</t>
  </si>
  <si>
    <t>C8H10O4</t>
  </si>
  <si>
    <t>1.17_217.1191m/z</t>
  </si>
  <si>
    <t>Threoninyl-Valine</t>
  </si>
  <si>
    <t>HMDB0304791</t>
  </si>
  <si>
    <t>CC(C)C(N=C(O)C(N)C(C)O)C(O)=O</t>
  </si>
  <si>
    <t>CKHWEVXPLJBEOZ-UHFFFAOYSA-N</t>
  </si>
  <si>
    <t>5.41_191.0659m/z</t>
  </si>
  <si>
    <t>Carglumic acid</t>
  </si>
  <si>
    <t>HMDB0015673</t>
  </si>
  <si>
    <t>C05829</t>
  </si>
  <si>
    <t>1188-38-1</t>
  </si>
  <si>
    <t>NC(=O)N[C@@H](CCC(O)=O)C(O)=O</t>
  </si>
  <si>
    <t>LCQLHJZYVOQKHU-VKHMYHEASA-N</t>
  </si>
  <si>
    <t>C6H10N2O5</t>
  </si>
  <si>
    <t>1.02_342.0443m/z</t>
  </si>
  <si>
    <t>L-Cysteinylglycine disulfide</t>
  </si>
  <si>
    <t>HMDB0000709</t>
  </si>
  <si>
    <t>70555-24-7</t>
  </si>
  <si>
    <t>N[C@@H](CSSCC(N)C(=O)NCC(O)=O)C(O)=O</t>
  </si>
  <si>
    <t>ZHRLECIZINSPKL-AKGZTFGVSA-N</t>
  </si>
  <si>
    <t>C8H15N3O5S2</t>
  </si>
  <si>
    <t>1.28_199.0719m/z</t>
  </si>
  <si>
    <t>Methylene bisacrylamide</t>
  </si>
  <si>
    <t>HMDB0254632</t>
  </si>
  <si>
    <t>NC(=O)C=CCC=CC(N)=O</t>
  </si>
  <si>
    <t>FIKFOOMAUXPBJM-UHFFFAOYSA-N</t>
  </si>
  <si>
    <t>C7H10N2O2</t>
  </si>
  <si>
    <t>9.65_213.1281m/z</t>
  </si>
  <si>
    <t>Dehydrocostus lactone</t>
  </si>
  <si>
    <t>C09387</t>
  </si>
  <si>
    <t>477-43-0</t>
  </si>
  <si>
    <t>C=C1CCC2C(C3C1CCC3=C)OC(=O)C2=C</t>
  </si>
  <si>
    <t>NETSQGRTUNRXEO-XUXIUFHCSA-N</t>
  </si>
  <si>
    <t>4.85_302.1032m/z</t>
  </si>
  <si>
    <t>Biochanin A</t>
  </si>
  <si>
    <t>HMDB0002338</t>
  </si>
  <si>
    <t>LMPK12050229</t>
  </si>
  <si>
    <t>C00814</t>
  </si>
  <si>
    <t>491-80-5</t>
  </si>
  <si>
    <t>C1(O)=CC2OC=C(C3C=CC(OC)=CC=3)C(=O)C=2C(O)=C1</t>
  </si>
  <si>
    <t>WUADCCWRTIWANL-UHFFFAOYSA-N</t>
  </si>
  <si>
    <t>6.41_212.9986m/z</t>
  </si>
  <si>
    <t>Desflurane</t>
  </si>
  <si>
    <t>HMDB0015320</t>
  </si>
  <si>
    <t>C07519</t>
  </si>
  <si>
    <t>57041-67-5</t>
  </si>
  <si>
    <t>FC(F)OC(F)C(F)(F)F</t>
  </si>
  <si>
    <t>DPYMFVXJLLWWEU-UHFFFAOYSA-N</t>
  </si>
  <si>
    <t>11.39_331.2640m/z</t>
  </si>
  <si>
    <t>Carbocyclic Thromboxane A2</t>
  </si>
  <si>
    <t>74034-56-3</t>
  </si>
  <si>
    <t>CCCCCC(C=CC1CC2CC(C2)C1CC=CCCCC(=O)O)O</t>
  </si>
  <si>
    <t>ZIWNJZLXPXFNGN-GXTQQWMXSA-N</t>
  </si>
  <si>
    <t>4.28_430.2661m/z</t>
  </si>
  <si>
    <t>Sisomicin sulfate</t>
  </si>
  <si>
    <t>HMDB0242632</t>
  </si>
  <si>
    <t>CNC1C(O)C(OC2C(N)CC(N)C(OC3OC(CN)=CCC3N)C2O)OCC1(C)O</t>
  </si>
  <si>
    <t>URWAJWIAIPFPJE-UHFFFAOYSA-N</t>
  </si>
  <si>
    <t>C19H37N5O7</t>
  </si>
  <si>
    <t>4.53_273.1187n</t>
  </si>
  <si>
    <t>N-Despropyl-rotigotine</t>
  </si>
  <si>
    <t>HMDB0060841</t>
  </si>
  <si>
    <t>OC1=CC=CC2=C1CCC(C2)NCCC1=CC=CS1</t>
  </si>
  <si>
    <t>RDMWWGLKUMLLTG-UHFFFAOYSA-N</t>
  </si>
  <si>
    <t>C16H19NOS</t>
  </si>
  <si>
    <t>9.40_176.0566m/z</t>
  </si>
  <si>
    <t>6-Hydroxymethylpterin</t>
  </si>
  <si>
    <t>HMDB0247079</t>
  </si>
  <si>
    <t>NC1=NC2=NC=C(CO)N=C2C(=O)N1</t>
  </si>
  <si>
    <t>XGWIBNWDLMIPNF-UHFFFAOYSA-N</t>
  </si>
  <si>
    <t>C7H7N5O2</t>
  </si>
  <si>
    <t>4.56_325.0568m/z</t>
  </si>
  <si>
    <t>D-Malic acid p-coumarate</t>
  </si>
  <si>
    <t>HMDB0303755</t>
  </si>
  <si>
    <t>OC(=O)CC(OC(=O)\C=C\C1=CC=C(O)C=C1)C(O)=O</t>
  </si>
  <si>
    <t>QVPHNABUSKBIMG-ZZXKWVIFSA-N</t>
  </si>
  <si>
    <t>C13H12O7</t>
  </si>
  <si>
    <t>13.22_295.2277m/z</t>
  </si>
  <si>
    <t>18-oxo-oleate</t>
  </si>
  <si>
    <t>HMDB0304034</t>
  </si>
  <si>
    <t>[O-]C(=O)CCCCCCCC=CCCCCCCCC=O</t>
  </si>
  <si>
    <t>SNOSCANYFCXCGY-UHFFFAOYSA-M</t>
  </si>
  <si>
    <t>C18H31O3-</t>
  </si>
  <si>
    <t>4.03_586.3213m/z</t>
  </si>
  <si>
    <t>Canesceol</t>
  </si>
  <si>
    <t>HMDB0034084</t>
  </si>
  <si>
    <t>82228-15-7</t>
  </si>
  <si>
    <t>CC1OC(OC2CCC3(CO)C4C(O)CC5(C)C(CCC5(O)C4CCC3(O)C2)C2=CC(=O)OC2)C(O)C(O)C1O</t>
  </si>
  <si>
    <t>BUGNRCRUPAIYMD-UHFFFAOYSA-N</t>
  </si>
  <si>
    <t>C29H44O11</t>
  </si>
  <si>
    <t>13.31_313.2385m/z</t>
  </si>
  <si>
    <t>Heptadec-2-enoic acid</t>
  </si>
  <si>
    <t>HMDB0253101</t>
  </si>
  <si>
    <t>CCCCCCCCCCCCCCC=CC(O)=O</t>
  </si>
  <si>
    <t>GEHPRJRWZDWFBJ-UHFFFAOYSA-N</t>
  </si>
  <si>
    <t>1.17_218.1273n</t>
  </si>
  <si>
    <t>Threonylvaline</t>
  </si>
  <si>
    <t>HMDB0029074</t>
  </si>
  <si>
    <t>99032-17-4</t>
  </si>
  <si>
    <t>CC(C)[C@H](NC(=O)[C@@H](N)[C@@H](C)O)C(O)=O</t>
  </si>
  <si>
    <t>CKHWEVXPLJBEOZ-VQVTYTSYSA-N</t>
  </si>
  <si>
    <t>9.71_249.1858m/z</t>
  </si>
  <si>
    <t>Triton X-100</t>
  </si>
  <si>
    <t>HMDB0259285</t>
  </si>
  <si>
    <t>C11623</t>
  </si>
  <si>
    <t>CC(C)(C)CC(C)(C)C1=CC=C(OCCO)C=C1</t>
  </si>
  <si>
    <t>JYCQQPHGFMYQCF-UHFFFAOYSA-N</t>
  </si>
  <si>
    <t>0.60_237.0704m/z</t>
  </si>
  <si>
    <t>Paracetamol cysteine</t>
  </si>
  <si>
    <t>HMDB0256120</t>
  </si>
  <si>
    <t>CC(=O)NC1=CC=C(OC(=O)C(N)CS)C=C1</t>
  </si>
  <si>
    <t>VKVHWTMZJQWYBR-UHFFFAOYSA-N</t>
  </si>
  <si>
    <t>C11H14N2O3S</t>
  </si>
  <si>
    <t>4.48_487.0279m/z</t>
  </si>
  <si>
    <t>Ellagic acid 2-rhamnoside</t>
  </si>
  <si>
    <t>HMDB0303358</t>
  </si>
  <si>
    <t>CC1OC(OC2=CC3=C4C(OC(=O)C5=CC(O)=C(O)C(OC3=O)=C45)=C2O)C(O)C(O)C1O</t>
  </si>
  <si>
    <t>NLOYJHDXNPMFKW-UHFFFAOYSA-N</t>
  </si>
  <si>
    <t>C20H16O12</t>
  </si>
  <si>
    <t>5.70_389.0889m/z</t>
  </si>
  <si>
    <t>3,7-Dihydroxy-5,3',4'-trimethoxyflavone</t>
  </si>
  <si>
    <t>LMPK12112550</t>
  </si>
  <si>
    <t>C12C(=O)C(O)=C(C3C=C(OC)C(OC)=CC=3)OC=1C=C(O)C=C2OC</t>
  </si>
  <si>
    <t>JVPXWOZUJXXSRX-UHFFFAOYSA-N</t>
  </si>
  <si>
    <t>C18H16O7</t>
  </si>
  <si>
    <t>5.20_363.0942m/z</t>
  </si>
  <si>
    <t>7-Methyl-2'-deoxyguanosine-3'-monophosphate</t>
  </si>
  <si>
    <t>HMDB0247809</t>
  </si>
  <si>
    <t>CN1CN(C2CC(OP(O)(O)=O)C(CO)O2)C2=C1C(=O)NC(N)=N2</t>
  </si>
  <si>
    <t>CLJOXQUSZMKJPT-UHFFFAOYSA-N</t>
  </si>
  <si>
    <t>Ribonucleoside 3'-phosphates</t>
  </si>
  <si>
    <t>C11H18N5O7P</t>
  </si>
  <si>
    <t>12.71_391.2620m/z</t>
  </si>
  <si>
    <t>mLPA(O-16:0)</t>
  </si>
  <si>
    <t>LMGP00000064</t>
  </si>
  <si>
    <t>[C@](COP(=O)(O)OC)([H])(O)COCCCCCCCCCCCCCCCC</t>
  </si>
  <si>
    <t>IXJRAZBOBFNYIJ-HXUWFJFHSA-N</t>
  </si>
  <si>
    <t>C20H43O6P</t>
  </si>
  <si>
    <t>1.21_193.0091m/z</t>
  </si>
  <si>
    <t>1-(5-Methyl-2-thienyl)-1-propanone</t>
  </si>
  <si>
    <t>HMDB0040231</t>
  </si>
  <si>
    <t>59303-13-8</t>
  </si>
  <si>
    <t>CCC(=O)C1=CC=C(C)S1</t>
  </si>
  <si>
    <t>ROPOMQPSWIOWSN-UHFFFAOYSA-N</t>
  </si>
  <si>
    <t>12.69_461.3266m/z</t>
  </si>
  <si>
    <t>2,22,25-trideoxyecdysone</t>
  </si>
  <si>
    <t>LMST01010179</t>
  </si>
  <si>
    <t>C16493</t>
  </si>
  <si>
    <t>C12=CC([C@]3([H])C[C@@H](O)CC[C@]3(C)[C@@]1([H])CC[C@@]1(C)[C@@]2(O)CC[C@@]1([C@H](C)CCCC(C)C)[H])=O</t>
  </si>
  <si>
    <t>FADCOUQPHXGWQS-ZCDXYYCTSA-N</t>
  </si>
  <si>
    <t>7.22_257.2273m/z</t>
  </si>
  <si>
    <t>5alpha-Androsta-16-ene-3-ol</t>
  </si>
  <si>
    <t>HMDB0247010</t>
  </si>
  <si>
    <t>1153-51-1</t>
  </si>
  <si>
    <t>CC12CCC3C(CCC4CC(O)CCC34C)C1CC=C2</t>
  </si>
  <si>
    <t>KRVXMNNRSSQZJP-UHFFFAOYSA-N</t>
  </si>
  <si>
    <t>C19H30O</t>
  </si>
  <si>
    <t>5.00_303.0238m/z</t>
  </si>
  <si>
    <t>Mercaptopurine</t>
  </si>
  <si>
    <t>HMDB0015167</t>
  </si>
  <si>
    <t>C02380</t>
  </si>
  <si>
    <t>R-HSA-1430728,R-HSA-156580,R-HSA-156581,R-HSA-1643685,R-HSA-211859,R-HSA-5578995,R-HSA-5579029,R-HSA-5668914</t>
  </si>
  <si>
    <t>Metabolism|Phase II - Conjugation of compounds|Methylation|Disease|Biological oxidations|Defective TPMT causes TPMT deficiency|Metabolic disorders of biological oxidation enzymes|Diseases of metabolism</t>
  </si>
  <si>
    <t>50-44-2</t>
  </si>
  <si>
    <t>S=C1N=CNC2=C1NC=N2</t>
  </si>
  <si>
    <t>GLVAUDGFNGKCSF-UHFFFAOYSA-N</t>
  </si>
  <si>
    <t>C5H4N4S</t>
  </si>
  <si>
    <t>7.72_278.0856m/z</t>
  </si>
  <si>
    <t>4,5Dimethyl-3-(2-oxo-2-phenyl-ethyl)-thiazole</t>
  </si>
  <si>
    <t>HMDB0257730</t>
  </si>
  <si>
    <t>CC1=C(C)N(CC(=O)C2=CC=CC=C2)CS1</t>
  </si>
  <si>
    <t>FFELZJZEHUFDMF-UHFFFAOYSA-N</t>
  </si>
  <si>
    <t>C13H15NOS</t>
  </si>
  <si>
    <t>13.01_325.2748m/z</t>
  </si>
  <si>
    <t>MG(17:0/0:0/0:0)[rac]</t>
  </si>
  <si>
    <t>LMGL01010002</t>
  </si>
  <si>
    <t>68002-72-2</t>
  </si>
  <si>
    <t>OCC([H])(O)COC(CCCCCCCCCCCCCCCC)=O</t>
  </si>
  <si>
    <t>SVUQHVRAGMNPLW-UHFFFAOYSA-N</t>
  </si>
  <si>
    <t>4.38_801.4011m/z</t>
  </si>
  <si>
    <t>Periandrin V</t>
  </si>
  <si>
    <t>HMDB0039591</t>
  </si>
  <si>
    <t>CC1(C)C(CCC2(C=O)C1CCC1(C)C2CCC2C3=CC(C)(CCC3(C)CCC12C)C(O)=O)OC1OC(C(O)C(O)C1OC1OCC(O)C(O)C1O)C(O)=O</t>
  </si>
  <si>
    <t>OHGFKHHCPIGSKE-UHFFFAOYSA-N</t>
  </si>
  <si>
    <t>C41H62O14</t>
  </si>
  <si>
    <t>0.64_216.0152m/z</t>
  </si>
  <si>
    <t>Phosphocreatinine</t>
  </si>
  <si>
    <t>HMDB0041624</t>
  </si>
  <si>
    <t>CN1CC(=O)NC1=NP(O)(O)=O</t>
  </si>
  <si>
    <t>HIPLEPXPNLWKCQ-UHFFFAOYSA-N</t>
  </si>
  <si>
    <t>C4H8N3O4P</t>
  </si>
  <si>
    <t>4.61_126.0918m/z</t>
  </si>
  <si>
    <t>2-acetyl-1,4,5,6-tetrahydropyridine</t>
  </si>
  <si>
    <t>HMDB0303846</t>
  </si>
  <si>
    <t>CC(=O)C1=CCCCN1</t>
  </si>
  <si>
    <t>HRAOWRVFLSYJKN-UHFFFAOYSA-N</t>
  </si>
  <si>
    <t>C7H11NO</t>
  </si>
  <si>
    <t>65</t>
  </si>
  <si>
    <t>P-Cresol</t>
  </si>
  <si>
    <t>HMDB0001858</t>
  </si>
  <si>
    <t>C01468</t>
  </si>
  <si>
    <t>106-44-5</t>
  </si>
  <si>
    <t>CC1=CC=C(O)C=C1</t>
  </si>
  <si>
    <t>IWDCLRJOBJJRNH-UHFFFAOYSA-N</t>
  </si>
  <si>
    <t>Cresols</t>
  </si>
  <si>
    <t>C7H8O</t>
  </si>
  <si>
    <t>9.03_213.1491m/z</t>
  </si>
  <si>
    <t>4-keto lauric acid</t>
  </si>
  <si>
    <t>LMFA01060039</t>
  </si>
  <si>
    <t>C(CCCCCCC)C(=O)CCC(=O)O</t>
  </si>
  <si>
    <t>HJMCWLADNPBBMN-UHFFFAOYSA-N</t>
  </si>
  <si>
    <t>9.93_341.3173m/z</t>
  </si>
  <si>
    <t>Anandamide (18:2, n-6)</t>
  </si>
  <si>
    <t>HMDB0012252</t>
  </si>
  <si>
    <t>LMFA08040004</t>
  </si>
  <si>
    <t>68171-52-8</t>
  </si>
  <si>
    <t>C(C/C=C\C/C=C\CCCCC)CCCCCC(=O)NCCO</t>
  </si>
  <si>
    <t>KQXDGUVSAAQARU-HZJYTTRNSA-N</t>
  </si>
  <si>
    <t>C20H37NO2</t>
  </si>
  <si>
    <t>6.58_371.1898m/z</t>
  </si>
  <si>
    <t>Penicildione C</t>
  </si>
  <si>
    <t>LMST02030240</t>
  </si>
  <si>
    <t>C1=CC2[C@@](C)([C@]34O[C@H]3C[C@@]3([C@](O)([C@H](C)C[C@@]3([H])[C@]14[H])C(=O)CO)C)CCC(=O)C=2</t>
  </si>
  <si>
    <t>JRPKEULLJJEKSA-QDBZYVRYSA-N</t>
  </si>
  <si>
    <t>12.03_283.2642m/z</t>
  </si>
  <si>
    <t>2-Octadecanone, 3-hydroxy-</t>
  </si>
  <si>
    <t>HMDB0245276</t>
  </si>
  <si>
    <t>CCCCCCCCCCCCCCCC(O)C(C)=O</t>
  </si>
  <si>
    <t>MWKAGZWJHCTVJY-UHFFFAOYSA-N</t>
  </si>
  <si>
    <t>4.05_192.1059m/z</t>
  </si>
  <si>
    <t>D,L-Buthionine</t>
  </si>
  <si>
    <t>HMDB0250809</t>
  </si>
  <si>
    <t>CCCCSCCC(N)C(O)=O</t>
  </si>
  <si>
    <t>LAXXPOJCFVMVAX-UHFFFAOYSA-N</t>
  </si>
  <si>
    <t>4.67_208.0610m/z</t>
  </si>
  <si>
    <t>3-Carbamoyl-2-phenylpropionic acid</t>
  </si>
  <si>
    <t>HMDB0060367</t>
  </si>
  <si>
    <t>C16591</t>
  </si>
  <si>
    <t>OC(=N)OCC(C(O)=O)C1=CC=CC=C1</t>
  </si>
  <si>
    <t>AYRIVCKWIAUVOO-UHFFFAOYSA-N</t>
  </si>
  <si>
    <t>C10H11NO4</t>
  </si>
  <si>
    <t>6.75_272.0900m/z</t>
  </si>
  <si>
    <t>Hydroxypropionylcarnitine</t>
  </si>
  <si>
    <t>HMDB0013125</t>
  </si>
  <si>
    <t>LMFA07070074</t>
  </si>
  <si>
    <t>[C@H](C[N+](C)(C)C)(OC(=O)CCO)CC(=O)[O-]</t>
  </si>
  <si>
    <t>QJGJXKFJFRSERW-QMMMGPOBSA-N</t>
  </si>
  <si>
    <t>C10H19NO5</t>
  </si>
  <si>
    <t>13.24_553.4112m/z</t>
  </si>
  <si>
    <t>DG(14:1n5/0:0/14:1n5)</t>
  </si>
  <si>
    <t>HMDB0056134</t>
  </si>
  <si>
    <t>[H]C(O)(COC(=O)CCC\C=C/CCCCCCCC)COC(=O)CCC\C=C/CCCCCCCC</t>
  </si>
  <si>
    <t>HLHDHRLWUZRJSS-CLFAGFIQSA-N</t>
  </si>
  <si>
    <t>C31H56O5</t>
  </si>
  <si>
    <t>3.69_317.0255m/z</t>
  </si>
  <si>
    <t>Succinimidyl carbonate</t>
  </si>
  <si>
    <t>HMDB0258541</t>
  </si>
  <si>
    <t>OC(=O)ON1C(=O)CCC1=O</t>
  </si>
  <si>
    <t>ZJIFDEVVTPEXDL-UHFFFAOYSA-N</t>
  </si>
  <si>
    <t>C5H5NO5</t>
  </si>
  <si>
    <t>0.68_146.0695n</t>
  </si>
  <si>
    <t>L-Glutamine</t>
  </si>
  <si>
    <t>HMDB0000641</t>
  </si>
  <si>
    <t>C00064</t>
  </si>
  <si>
    <t>hsa00220,hsa00230,hsa00240,hsa00250,hsa00470,hsa00630,hsa00750,hsa00910,hsa00970,hsa02010,hsa04724,hsa04727,hsa04964,hsa04974,hsa05230</t>
  </si>
  <si>
    <t>Arginine biosynthesis|Purine metabolism|Pyrimidine metabolism|Alanine, aspartate and glutamate metabolism|D-Amino acid metabolism|Glyoxylate and dicarboxylate metabolism|Vitamin B6 metabolism|Nitrogen metabolism|Aminoacyl-tRNA biosynthesis|ABC transporters|Glutamatergic synapse|GABAergic synapse|Proximal tubule bicarbonate reclamation|Protein digestion and absorption|Central carbon metabolism in cancer</t>
  </si>
  <si>
    <t>56-85-9</t>
  </si>
  <si>
    <t>N[C@@H](CCC(N)=O)C(O)=O</t>
  </si>
  <si>
    <t>ZDXPYRJPNDTMRX-VKHMYHEASA-N</t>
  </si>
  <si>
    <t>0.71_247.0932m/z</t>
  </si>
  <si>
    <t>Alanylhydroxyproline</t>
  </si>
  <si>
    <t>HMDB0028688</t>
  </si>
  <si>
    <t>76400-25-4</t>
  </si>
  <si>
    <t>C[C@H](N)C(=O)N1C[C@H](O)C[C@H]1C(O)=O</t>
  </si>
  <si>
    <t>KYHSUPXEBSYFGK-JKUQZMGJSA-N</t>
  </si>
  <si>
    <t>0.99_175.1083m/z</t>
  </si>
  <si>
    <t>L-Theanine</t>
  </si>
  <si>
    <t>HMDB0034365</t>
  </si>
  <si>
    <t>C01047</t>
  </si>
  <si>
    <t>3081-61-6</t>
  </si>
  <si>
    <t>CCNC(=O)CC[C@H](N)C(O)=O</t>
  </si>
  <si>
    <t>DATAGRPVKZEWHA-YFKPBYRVSA-N</t>
  </si>
  <si>
    <t>1.27_87.0448m/z</t>
  </si>
  <si>
    <t>(S)-3-Hydroxybutyric acid</t>
  </si>
  <si>
    <t>HMDB0000442</t>
  </si>
  <si>
    <t>LMFA01050463</t>
  </si>
  <si>
    <t>C03197</t>
  </si>
  <si>
    <t>6168-83-8</t>
  </si>
  <si>
    <t>C(=O)(O)C[C@@H](O)C</t>
  </si>
  <si>
    <t>WHBMMWSBFZVSSR-VKHMYHEASA-N</t>
  </si>
  <si>
    <t>10.47_198.0176m/z</t>
  </si>
  <si>
    <t>Potassium salts of fatty acids</t>
  </si>
  <si>
    <t>HMDB0303283</t>
  </si>
  <si>
    <t>FC1=C(F)C(=O)C(F)=C(F)C1=O</t>
  </si>
  <si>
    <t>JKLYZOGJWVAIQS-UHFFFAOYSA-N</t>
  </si>
  <si>
    <t>C6F4O2</t>
  </si>
  <si>
    <t>8.79_269.1760m/z</t>
  </si>
  <si>
    <t>Alepric acid</t>
  </si>
  <si>
    <t>LMFA01030191</t>
  </si>
  <si>
    <t>C1(C=CCC1)CCCCCCCCC(=O)O</t>
  </si>
  <si>
    <t>DTHSUAKYTFUSQU-UHFFFAOYSA-N</t>
  </si>
  <si>
    <t>9.13_287.1498m/z</t>
  </si>
  <si>
    <t>Methyl red</t>
  </si>
  <si>
    <t>HMDB0254611</t>
  </si>
  <si>
    <t>C19459</t>
  </si>
  <si>
    <t>493-52-7</t>
  </si>
  <si>
    <t>CN(C)C1=CC=C(C=C1)N=NC1=CC=CC=C1C(O)=O</t>
  </si>
  <si>
    <t>CEQFOVLGLXCDCX-UHFFFAOYSA-N</t>
  </si>
  <si>
    <t>C15H15N3O2</t>
  </si>
  <si>
    <t>9.05_312.0960n</t>
  </si>
  <si>
    <t>Pteroic acid</t>
  </si>
  <si>
    <t>HMDB0256914</t>
  </si>
  <si>
    <t>C07582</t>
  </si>
  <si>
    <t>119-24-4</t>
  </si>
  <si>
    <t>NC1=NC2=C(N=C(CNC3=CC=C(C=C3)C(O)=O)C=N2)C(O)=N1</t>
  </si>
  <si>
    <t>JOAQINSXLLMRCV-UHFFFAOYSA-N</t>
  </si>
  <si>
    <t>C14H12N6O3</t>
  </si>
  <si>
    <t>3.77_325.1516m/z</t>
  </si>
  <si>
    <t>MONOCROTALINE</t>
  </si>
  <si>
    <t>C10350</t>
  </si>
  <si>
    <t>315-22-0</t>
  </si>
  <si>
    <t>CC1C(=O)OC2CCN3C2C(=CC3)COC(=O)C(C1(C)O)(C)O</t>
  </si>
  <si>
    <t>QVCMHGGNRFRMAD-XFGHUUIASA-N</t>
  </si>
  <si>
    <t>Pyrrolizines</t>
  </si>
  <si>
    <t>C16H23NO6</t>
  </si>
  <si>
    <t>1.70_317.1833m/z</t>
  </si>
  <si>
    <t>Gly Leu Gln</t>
  </si>
  <si>
    <t>CC(C)CC(C(=O)NC(CCC(=O)N)C(=O)O)NC(=O)CN</t>
  </si>
  <si>
    <t>TWTPDFFBLQEBOE-IUCAKERBSA-N</t>
  </si>
  <si>
    <t>C13H24N4O5</t>
  </si>
  <si>
    <t>14.04_392.2262m/z</t>
  </si>
  <si>
    <t>6-Epi-7-isocucurbic acid glucoside</t>
  </si>
  <si>
    <t>HMDB0029782</t>
  </si>
  <si>
    <t>176486-13-8</t>
  </si>
  <si>
    <t>CC\C=C\CC1C(CC(O)=O)CCC1OC1OC(CO)C(O)C(O)C1O</t>
  </si>
  <si>
    <t>GJZJZRWFRZFTEE-ONEGZZNKSA-N</t>
  </si>
  <si>
    <t>C18H30O8</t>
  </si>
  <si>
    <t>4.53_164.0708m/z</t>
  </si>
  <si>
    <t>Indoline</t>
  </si>
  <si>
    <t>HMDB0253472</t>
  </si>
  <si>
    <t>C1CC2=CC=CC=C2N1</t>
  </si>
  <si>
    <t>LPAGFVYQRIESJQ-UHFFFAOYSA-N</t>
  </si>
  <si>
    <t>C8H9N</t>
  </si>
  <si>
    <t>12.24_313.2385m/z</t>
  </si>
  <si>
    <t>1-methylpropyl-tridecanolide</t>
  </si>
  <si>
    <t>LMFA07040053</t>
  </si>
  <si>
    <t>C1(OC(C(C)CC)CCCCCCCCCCC1)=O</t>
  </si>
  <si>
    <t>LCSBQXXSNDOFFD-UHFFFAOYSA-N</t>
  </si>
  <si>
    <t>4.55_201.1126m/z</t>
  </si>
  <si>
    <t>2-Hydroxy-2,6,6-trimethylcyclohexanone</t>
  </si>
  <si>
    <t>HMDB0037023</t>
  </si>
  <si>
    <t>7500-42-7</t>
  </si>
  <si>
    <t>CC1(C)CCCC(C)(O)C1=O</t>
  </si>
  <si>
    <t>FWCGLHYHGUHPRY-UHFFFAOYSA-N</t>
  </si>
  <si>
    <t>4.45_153.0184m/z</t>
  </si>
  <si>
    <t>2,6-Dihydroxybenzoic acid</t>
  </si>
  <si>
    <t>HMDB0013676</t>
  </si>
  <si>
    <t>303-07-1</t>
  </si>
  <si>
    <t>OC(=O)C1=C(O)C=CC=C1O</t>
  </si>
  <si>
    <t>AKEUNCKRJATALU-UHFFFAOYSA-N</t>
  </si>
  <si>
    <t>C7H6O4</t>
  </si>
  <si>
    <t>0.84_232.0276m/z</t>
  </si>
  <si>
    <t>Norepinephrine sulfate</t>
  </si>
  <si>
    <t>HMDB0002062</t>
  </si>
  <si>
    <t>77469-51-3</t>
  </si>
  <si>
    <t>NC[C@H](O)C1=CC(O)=C(OS(O)(=O)=O)C=C1</t>
  </si>
  <si>
    <t>CVJMZWLHUCMEKO-ZETCQYMHSA-N</t>
  </si>
  <si>
    <t>C8H11NO6S</t>
  </si>
  <si>
    <t>10.05_285.2223m/z</t>
  </si>
  <si>
    <t>Stenbolone</t>
  </si>
  <si>
    <t>LMST02020044</t>
  </si>
  <si>
    <t>C14490</t>
  </si>
  <si>
    <t>C1[C@]2(C)[C@@]3([H])CC[C@]4(C)[C@@H](O)CC[C@@]4([H])[C@]3([H])CC[C@@]2([H])CC(=O)C=1C</t>
  </si>
  <si>
    <t>GYBGISLVORKLBN-YNZDMMAESA-N</t>
  </si>
  <si>
    <t>5.77_483.1512m/z</t>
  </si>
  <si>
    <t>Cichorioside K</t>
  </si>
  <si>
    <t>HMDB0302057</t>
  </si>
  <si>
    <t>[H][C@]12CCC(=C)[C@@]1([H])[C@@]13OC(=O)C(CO[C@@H]4O[C@H](CO)[C@@H](O)[C@H](O)[C@H]4O)=C1C=C[C@]2(CO)O3</t>
  </si>
  <si>
    <t>SNIHMWOCIZLGDD-YTPJEGOPSA-N</t>
  </si>
  <si>
    <t>5.16_698.4031n</t>
  </si>
  <si>
    <t>PI(12:0/12:0)</t>
  </si>
  <si>
    <t>LMGP06010962</t>
  </si>
  <si>
    <t>[C@]([H])(OC(CCCCCCCCCCC)=O)(COP(=O)(O)O[C@H]1[C@H](O)[C@@H](O)[C@H](O)[C@@H](O)[C@H]1O)COC(CCCCCCCCCCC)=O</t>
  </si>
  <si>
    <t>VMJRELYANFFHLC-VXBZPWQVSA-N</t>
  </si>
  <si>
    <t>C33H63O13P</t>
  </si>
  <si>
    <t>14.24_359.2958m/z</t>
  </si>
  <si>
    <t>9Z,12Z,15Z,18Z-Tetracosatetraenoic acid</t>
  </si>
  <si>
    <t>HMDB0006246</t>
  </si>
  <si>
    <t>LMFA01030819</t>
  </si>
  <si>
    <t>C(CCCCCCC/C=C\C/C=C\C/C=C\C/C=C\CCCCC)(=O)O</t>
  </si>
  <si>
    <t>MMJZTSLHOIGZPU-DOFZRALJSA-N</t>
  </si>
  <si>
    <t>3.61_560.0795m/z</t>
  </si>
  <si>
    <t>Cefozopran</t>
  </si>
  <si>
    <t>C11203</t>
  </si>
  <si>
    <t>113359-04-9</t>
  </si>
  <si>
    <t>CON=C(C1=NSC(=N1)N)C(=O)NC2C3N(C2=O)C(=C(CS3)C[N+]4=C5C=CC=NN5C=C4)C(=O)[O-]</t>
  </si>
  <si>
    <t>QDUIJCOKQCCXQY-WHJQOFBOSA-N</t>
  </si>
  <si>
    <t>C19H17N9O5S2</t>
  </si>
  <si>
    <t>4.53_207.0770m/z</t>
  </si>
  <si>
    <t>Phenidone</t>
  </si>
  <si>
    <t>HMDB0256404</t>
  </si>
  <si>
    <t>OC1=NN(CC1)C1=CC=CC=C1</t>
  </si>
  <si>
    <t>CMCWWLVWPDLCRM-UHFFFAOYSA-N</t>
  </si>
  <si>
    <t>C9H10N2O</t>
  </si>
  <si>
    <t>0.77_84.0452m/z</t>
  </si>
  <si>
    <t>1-Aminocyclopropanecarboxylic acid</t>
  </si>
  <si>
    <t>HMDB0036458</t>
  </si>
  <si>
    <t>C01234</t>
  </si>
  <si>
    <t>22059-21-8</t>
  </si>
  <si>
    <t>NC1(CC1)C(O)=O</t>
  </si>
  <si>
    <t>PAJPWUMXBYXFCZ-UHFFFAOYSA-N</t>
  </si>
  <si>
    <t>C4H7NO2</t>
  </si>
  <si>
    <t>0.60_284.1365m/z</t>
  </si>
  <si>
    <t>Histidylglutamine</t>
  </si>
  <si>
    <t>HMDB0028883</t>
  </si>
  <si>
    <t>224638-13-5</t>
  </si>
  <si>
    <t>N[C@@H](CC1=CNC=N1)C(=O)N[C@@H](CCC(N)=O)C(O)=O</t>
  </si>
  <si>
    <t>CTCFZNBRZBNKAX-YUMQZZPRSA-N</t>
  </si>
  <si>
    <t>C11H17N5O4</t>
  </si>
  <si>
    <t>113</t>
  </si>
  <si>
    <t>4-Hydroxybutyric Acid</t>
  </si>
  <si>
    <t>HMDB0000710</t>
  </si>
  <si>
    <t>LMFA01050006</t>
  </si>
  <si>
    <t>C00989</t>
  </si>
  <si>
    <t>591-81-1</t>
  </si>
  <si>
    <t>C(CO)CC(=O)O</t>
  </si>
  <si>
    <t>SJZRECIVHVDYJC-UHFFFAOYSA-N</t>
  </si>
  <si>
    <t>0.74_290.0882m/z</t>
  </si>
  <si>
    <t>9-O-Acetylneuraminic acid</t>
  </si>
  <si>
    <t>HMDB0255839</t>
  </si>
  <si>
    <t>CC(=O)OCC(O)C(O)C1OC(O)(CC(O)C1N)C(O)=O</t>
  </si>
  <si>
    <t>BJOZNDRNJJZHPZ-UHFFFAOYSA-N</t>
  </si>
  <si>
    <t>11.72_492.3463m/z</t>
  </si>
  <si>
    <t>1-O-(2-methoxyhexadecyl)-sn-glycerol-3-phosphocholine</t>
  </si>
  <si>
    <t>LMGP01060042</t>
  </si>
  <si>
    <t>[C@](COP(=O)([O-])OCC[N+](C)(C)C)([H])(O)COCC(OC)CCCCCCCCCCCCCC</t>
  </si>
  <si>
    <t>BRRAOCFWJYNWFK-IKOFQBKESA-N</t>
  </si>
  <si>
    <t>4.18_197.0425m/z</t>
  </si>
  <si>
    <t>8-Azaguanine</t>
  </si>
  <si>
    <t>HMDB0247422</t>
  </si>
  <si>
    <t>NC1=NC2=C(NN=N2)C(O)=N1</t>
  </si>
  <si>
    <t>LPXQRXLUHJKZIE-UHFFFAOYSA-N</t>
  </si>
  <si>
    <t>Triazolopyrimidines</t>
  </si>
  <si>
    <t>C4H4N6O</t>
  </si>
  <si>
    <t>0.70_175.0581m/z</t>
  </si>
  <si>
    <t>D-Xylitol</t>
  </si>
  <si>
    <t>HMDB0002917</t>
  </si>
  <si>
    <t>R-HSA-1430728,R-HSA-5661270,R-HSA-71387</t>
  </si>
  <si>
    <t>Metabolism|Formation of xylulose-5-phosphate|Metabolism of carbohydrates</t>
  </si>
  <si>
    <t>87-99-0</t>
  </si>
  <si>
    <t>OC[C@H](O)[C@@H](O)[C@H](O)CO</t>
  </si>
  <si>
    <t>HEBKCHPVOIAQTA-SCDXWVJYSA-N</t>
  </si>
  <si>
    <t>3.76_158.0813m/z</t>
  </si>
  <si>
    <t>N-ISOPROPYLACRYLAMIDE</t>
  </si>
  <si>
    <t>HMDB0255163</t>
  </si>
  <si>
    <t>CC(C)N=C(O)C=C</t>
  </si>
  <si>
    <t>QNILTEGFHQSKFF-UHFFFAOYSA-N</t>
  </si>
  <si>
    <t>C6H11NO</t>
  </si>
  <si>
    <t>0.99_251.0352m/z</t>
  </si>
  <si>
    <t>sparstolonin B</t>
  </si>
  <si>
    <t>HMDB0258408</t>
  </si>
  <si>
    <t>OC1=C2C(=O)C=CC3=C2C(=CO1)C1=C(O3)C=CC(O)=C1</t>
  </si>
  <si>
    <t>KUPDHLFGNQEASI-UHFFFAOYSA-N</t>
  </si>
  <si>
    <t>C15H8O5</t>
  </si>
  <si>
    <t>4.67_188.0345m/z</t>
  </si>
  <si>
    <t>alpha-Cyano-4-hydroxycinnamate</t>
  </si>
  <si>
    <t>HMDB0248196</t>
  </si>
  <si>
    <t>OC(=O)C(=CC1=CC=C(O)C=C1)C#N</t>
  </si>
  <si>
    <t>AFVLVVWMAFSXCK-UHFFFAOYSA-N</t>
  </si>
  <si>
    <t>C10H7NO3</t>
  </si>
  <si>
    <t>5.00_237.0516m/z</t>
  </si>
  <si>
    <t>Modiolide A</t>
  </si>
  <si>
    <t>LMFA07040142</t>
  </si>
  <si>
    <t>C1(=O)C=C[C@H](O)C=C[C@@H](O)C[C@@H](C)O1</t>
  </si>
  <si>
    <t>MKPZLFSGCUYQEY-JKPBTABPSA-N</t>
  </si>
  <si>
    <t>4.69_156.1387m/z</t>
  </si>
  <si>
    <t>3R-aminononanoic acid</t>
  </si>
  <si>
    <t>LMFA01100019</t>
  </si>
  <si>
    <t>C(C[C@H](N)CCCCCC)(=O)O</t>
  </si>
  <si>
    <t>JSJXIPXCQNHXJA-MRVPVSSYSA-N</t>
  </si>
  <si>
    <t>C9H19NO2</t>
  </si>
  <si>
    <t>14.55_365.3426m/z</t>
  </si>
  <si>
    <t>DL-Cerebronic acid</t>
  </si>
  <si>
    <t>HMDB0039540</t>
  </si>
  <si>
    <t>LMFA01050080</t>
  </si>
  <si>
    <t>C17873</t>
  </si>
  <si>
    <t>544-57-0</t>
  </si>
  <si>
    <t>C(CCCCCCCCCCCC(O)C(=O)O)CCCCCCCCCC</t>
  </si>
  <si>
    <t>MSUOLNSQHLHDAS-UHFFFAOYSA-N</t>
  </si>
  <si>
    <t>C24H48O3</t>
  </si>
  <si>
    <t>3.44_252.2178m/z</t>
  </si>
  <si>
    <t>Triethylene glycol monohexyl ether</t>
  </si>
  <si>
    <t>HMDB0259194</t>
  </si>
  <si>
    <t>CCCCCCOCCOCCOCCO</t>
  </si>
  <si>
    <t>RGICCULPCWNRAB-UHFFFAOYSA-N</t>
  </si>
  <si>
    <t>C12H26O4</t>
  </si>
  <si>
    <t>4.51_320.0933m/z</t>
  </si>
  <si>
    <t>Ibafloxacin</t>
  </si>
  <si>
    <t>HMDB0253322</t>
  </si>
  <si>
    <t>CC1CCC2=C(C)C(F)=CC3=C2N1C=C(C(O)=O)C3=O</t>
  </si>
  <si>
    <t>DXKRGNXUIRKXNR-UHFFFAOYSA-N</t>
  </si>
  <si>
    <t>C15H14FNO3</t>
  </si>
  <si>
    <t>13.73_366.3016m/z</t>
  </si>
  <si>
    <t>Tridecyl phloretate</t>
  </si>
  <si>
    <t>HMDB0035477</t>
  </si>
  <si>
    <t>232262-50-9</t>
  </si>
  <si>
    <t>CCCCCCCCCCCCCOC(=O)CCC1=CC=C(O)C=C1</t>
  </si>
  <si>
    <t>LMHWNJAOHBYRNG-UHFFFAOYSA-N</t>
  </si>
  <si>
    <t>9.66_314.3061m/z</t>
  </si>
  <si>
    <t>10Z-nonadecenoic acid</t>
  </si>
  <si>
    <t>HMDB0013622</t>
  </si>
  <si>
    <t>LMFA01030362</t>
  </si>
  <si>
    <t>73033-09-7</t>
  </si>
  <si>
    <t>C(CCCCCCCC/C=C\CCCCCCCC)(=O)O</t>
  </si>
  <si>
    <t>BBOWBNGUEWHNQZ-KTKRTIGZSA-N</t>
  </si>
  <si>
    <t>4.63_449.2044m/z</t>
  </si>
  <si>
    <t>Ile Ser Trp</t>
  </si>
  <si>
    <t>CCC(C)C(C(=O)NC(CO)C(=O)NC(CC1=CNC2=CC=CC=C21)C(=O)O)N</t>
  </si>
  <si>
    <t>JDCQDJVYUXNCGF-SPOWBLRKSA-N</t>
  </si>
  <si>
    <t>C20H28N4O5</t>
  </si>
  <si>
    <t>0.70_126.0224m/z</t>
  </si>
  <si>
    <t>Taurine</t>
  </si>
  <si>
    <t>HMDB0000251</t>
  </si>
  <si>
    <t>C00245</t>
  </si>
  <si>
    <t>hsa00120,hsa00430,hsa00920,hsa02010,hsa04080</t>
  </si>
  <si>
    <t>Primary bile acid biosynthesis|Taurine and hypotaurine metabolism|Sulfur metabolism|ABC transporters|Neuroactive ligand-receptor interaction</t>
  </si>
  <si>
    <t>107-35-7</t>
  </si>
  <si>
    <t>NCCS(O)(=O)=O</t>
  </si>
  <si>
    <t>XOAAWQZATWQOTB-UHFFFAOYSA-N</t>
  </si>
  <si>
    <t>C2H7NO3S</t>
  </si>
  <si>
    <t>1.57_260.0355m/z</t>
  </si>
  <si>
    <t>(3,4-Dihydroxy-5-nitrophenyl)(2-fluorophenyl)methanone</t>
  </si>
  <si>
    <t>HMDB0257265</t>
  </si>
  <si>
    <t>OC1=CC(=CC(=C1O)N(=O)=O)C(=O)C1=CC=CC=C1F</t>
  </si>
  <si>
    <t>RQPAUNZYTYHKHA-UHFFFAOYSA-N</t>
  </si>
  <si>
    <t>C13H8FNO5</t>
  </si>
  <si>
    <t>9.81_219.1748m/z</t>
  </si>
  <si>
    <t>Curdione</t>
  </si>
  <si>
    <t>HMDB0034714</t>
  </si>
  <si>
    <t>C17493</t>
  </si>
  <si>
    <t>13657-68-6</t>
  </si>
  <si>
    <t>CC(C)C1CC(=O)C(C)CC\C=C(C)/CC1=O</t>
  </si>
  <si>
    <t>KDPFMRXIVDLQKX-WDZFZDKYSA-N</t>
  </si>
  <si>
    <t>11.21_413.2311m/z</t>
  </si>
  <si>
    <t>delta9-Tetrahydrocannabinol hemisuccinate</t>
  </si>
  <si>
    <t>HMDB0250983</t>
  </si>
  <si>
    <t>CCCCCC1=CC2=C(C3C=C(C)CCC3C(C)(C)O2)C(OC(=O)CCC(O)=O)=C1</t>
  </si>
  <si>
    <t>YVOODUUYDJKFDY-UHFFFAOYSA-N</t>
  </si>
  <si>
    <t>C25H34O5</t>
  </si>
  <si>
    <t>12.09_273.2341m/z</t>
  </si>
  <si>
    <t>Pyrrole, 2-pentyl</t>
  </si>
  <si>
    <t>HMDB0256996</t>
  </si>
  <si>
    <t>CCCCCC1=CC=CN1</t>
  </si>
  <si>
    <t>SBEGSTRVXAZUOJ-UHFFFAOYSA-N</t>
  </si>
  <si>
    <t>C9H15N</t>
  </si>
  <si>
    <t>6.69_210.1132m/z</t>
  </si>
  <si>
    <t>N-(3-hydroxy-heptanoyl)-homoserine lactone</t>
  </si>
  <si>
    <t>LMFA08030034</t>
  </si>
  <si>
    <t>[C@@H]1(CCOC1=O)NC(=O)CC(O)CCCC</t>
  </si>
  <si>
    <t>HKTRVVRDLKOZKT-GKAPJAKFSA-N</t>
  </si>
  <si>
    <t>6.06_181.1228m/z</t>
  </si>
  <si>
    <t>Methylgeranate</t>
  </si>
  <si>
    <t>HMDB0302475</t>
  </si>
  <si>
    <t>CC(C)=CCC\C(C)=C(/C)C([O-])=O</t>
  </si>
  <si>
    <t>AZFOXTNJXWNTME-MDZDMXLPSA-M</t>
  </si>
  <si>
    <t>C11H17O2-</t>
  </si>
  <si>
    <t>4.57_361.1406m/z</t>
  </si>
  <si>
    <t>4'-Hydroxyisoderricin</t>
  </si>
  <si>
    <t>LMPK12140045</t>
  </si>
  <si>
    <t>C1(OC)C(C/C=C(\C)/C)=C2O[C@H](C3C=CC(O)=CC=3)CC(=O)C2=CC=1</t>
  </si>
  <si>
    <t>IIIACKGGDCVYPY-FQEVSTJZSA-N</t>
  </si>
  <si>
    <t>C21H22O4</t>
  </si>
  <si>
    <t>8.15_343.0197m/z</t>
  </si>
  <si>
    <t>Glycerophosphoric acid</t>
  </si>
  <si>
    <t>HMDB0252849</t>
  </si>
  <si>
    <t>C03189</t>
  </si>
  <si>
    <t>OCC(O)COP(O)(O)=O</t>
  </si>
  <si>
    <t>AWUCVROLDVIAJX-UHFFFAOYSA-N</t>
  </si>
  <si>
    <t>10.65_454.3902m/z</t>
  </si>
  <si>
    <t>Cholestane-3b,5a,6b,(25R)26-tetrol</t>
  </si>
  <si>
    <t>LMST01010458</t>
  </si>
  <si>
    <t>[C@]12(C[C@@H](O)[C@@]3(O)C[C@@H](O)CC[C@]3(C)[C@@]1([H])CC[C@]1(C)[C@@]([H])([C@@](C)([H])CCC[C@@H](C)CO)CC[C@@]21[H])[H]</t>
  </si>
  <si>
    <t>PFYSRSDOSXYIFG-JKYVJSSTSA-N</t>
  </si>
  <si>
    <t>4.31_683.3739m/z</t>
  </si>
  <si>
    <t>N-[[2-(4-Amino-1,2,5-oxadiazol-3-yl)-1-ethylimidazo[5,4-d]pyridin-7-yl]methyl]piperidin-4-amine</t>
  </si>
  <si>
    <t>HMDB0257527</t>
  </si>
  <si>
    <t>CCN1C(=NC2=C1C(CNC1CCNCC1)=CN=C2)C1=NON=C1N</t>
  </si>
  <si>
    <t>MBCJUIJWPYUEBX-UHFFFAOYSA-N</t>
  </si>
  <si>
    <t>Imidazo-[4,5-c]pyridines</t>
  </si>
  <si>
    <t>C16H22N8O</t>
  </si>
  <si>
    <t>0.74_242.0781m/z</t>
  </si>
  <si>
    <t>gamma-Glutamylasparagine</t>
  </si>
  <si>
    <t>HMDB0029144</t>
  </si>
  <si>
    <t>38681-07-1</t>
  </si>
  <si>
    <t>N[C@@H](CCC(=O)N[C@@H](CC(N)=O)C(O)=O)C(O)=O</t>
  </si>
  <si>
    <t>LLBCGXFFHNCCQC-WHFBIAKZSA-N</t>
  </si>
  <si>
    <t>1.00_314.0590n</t>
  </si>
  <si>
    <t>Malaoxon</t>
  </si>
  <si>
    <t>HMDB0060627</t>
  </si>
  <si>
    <t>C07498</t>
  </si>
  <si>
    <t>1634-78-2</t>
  </si>
  <si>
    <t>CCOC(=O)CC(SP(=O)(OC)OC)C(=O)OCC</t>
  </si>
  <si>
    <t>WSORODGWGUUOBO-UHFFFAOYSA-N</t>
  </si>
  <si>
    <t>C10H19O7PS</t>
  </si>
  <si>
    <t>4.40_580.8081m/z</t>
  </si>
  <si>
    <t>Ipodate</t>
  </si>
  <si>
    <t>HMDB0253566</t>
  </si>
  <si>
    <t>C18093</t>
  </si>
  <si>
    <t>5587-89-3</t>
  </si>
  <si>
    <t>CN(C)C=NC1=C(I)C=C(I)C(CCC(O)=O)=C1I</t>
  </si>
  <si>
    <t>YQNFBOJPTAXAKV-UHFFFAOYSA-N</t>
  </si>
  <si>
    <t>C12H13I3N2O2</t>
  </si>
  <si>
    <t>4.69_296.0356m/z</t>
  </si>
  <si>
    <t>2-(Ethylsulfonylmethyl)phenyl methylcarbamate</t>
  </si>
  <si>
    <t>HMDB0040288</t>
  </si>
  <si>
    <t>53380-23-7</t>
  </si>
  <si>
    <t>CCS(=O)(=O)CC1=C(OC(=O)NC)C=CC=C1</t>
  </si>
  <si>
    <t>IOPTXXRNXCPJGO-UHFFFAOYSA-N</t>
  </si>
  <si>
    <t>C11H15NO4S</t>
  </si>
  <si>
    <t>455</t>
  </si>
  <si>
    <t>Fructose 1-Phosphate</t>
  </si>
  <si>
    <t>C01094</t>
  </si>
  <si>
    <t>hsa00051,hsa00400</t>
  </si>
  <si>
    <t>Fructose and mannose metabolism|Phenylalanine, tyrosine and tryptophan biosynthesis</t>
  </si>
  <si>
    <t>15978-08-2</t>
  </si>
  <si>
    <t>O=P(O)(O)OCC1(O)OC(CO)C(O)C1O</t>
  </si>
  <si>
    <t>RHKKZBWRNHGJEZ-VRPWFDPXSA-N</t>
  </si>
  <si>
    <t>12.83_341.2697m/z</t>
  </si>
  <si>
    <t>19:1(16Z)</t>
  </si>
  <si>
    <t>LMFA01030912</t>
  </si>
  <si>
    <t>C(CCCCCCCCCCCCCC/C=C\CC)(=O)O</t>
  </si>
  <si>
    <t>WPTRWTPRXZSACO-ARJAWSKDSA-N</t>
  </si>
  <si>
    <t>1.20_313.0456m/z</t>
  </si>
  <si>
    <t>5'-Phosphoribosyl-N-formylglycinamide</t>
  </si>
  <si>
    <t>HMDB0001308</t>
  </si>
  <si>
    <t>C04376</t>
  </si>
  <si>
    <t>349-34-8</t>
  </si>
  <si>
    <t>O[C@H]1[C@@H](O)[C@H](NC(=O)CNC=O)O[C@@H]1COP(O)(O)=O</t>
  </si>
  <si>
    <t>VDXLUNDMVKSKHO-XVFCMESISA-N</t>
  </si>
  <si>
    <t>Glycinamide ribonucleotides</t>
  </si>
  <si>
    <t>C8H15N2O9P</t>
  </si>
  <si>
    <t>5.81_247.0767m/z</t>
  </si>
  <si>
    <t>Pyrene</t>
  </si>
  <si>
    <t>HMDB0042002</t>
  </si>
  <si>
    <t>C14335</t>
  </si>
  <si>
    <t>129-00-0</t>
  </si>
  <si>
    <t>C1=CC2=C3C(C=CC4=CC=CC(C=C2)=C34)=C1</t>
  </si>
  <si>
    <t>BBEAQIROQSPTKN-UHFFFAOYSA-N</t>
  </si>
  <si>
    <t>C16H10</t>
  </si>
  <si>
    <t>11.84_275.2017m/z</t>
  </si>
  <si>
    <t>5,8,11,14-octadecatetraenoic acid</t>
  </si>
  <si>
    <t>LMFA01030354</t>
  </si>
  <si>
    <t>C(CCC/C=C/C/C=C/C/C=C/C/C=C/CCC)(=O)O</t>
  </si>
  <si>
    <t>UCHYLNQKIYPHBX-ARQYDCTJSA-N</t>
  </si>
  <si>
    <t>3.90_120.0813m/z</t>
  </si>
  <si>
    <t>4-Amino-2,3-xylenol</t>
  </si>
  <si>
    <t>HMDB0246343</t>
  </si>
  <si>
    <t>CC1=C(N)C=CC(O)=C1C</t>
  </si>
  <si>
    <t>UBKPLLYABUUFCE-UHFFFAOYSA-N</t>
  </si>
  <si>
    <t>15.03_695.4202m/z</t>
  </si>
  <si>
    <t>bhos#18</t>
  </si>
  <si>
    <t>LMFA13040088</t>
  </si>
  <si>
    <t>O[C@@H]1C[C@@H](O)[C@H](C)O[C@H]1OCCCCCCCC[C@@H](O)CC(=O)O</t>
  </si>
  <si>
    <t>GGYMGUAMSXCZMJ-ZAPJKBGESA-N</t>
  </si>
  <si>
    <t>C17H32O7</t>
  </si>
  <si>
    <t>14.47_643.4715m/z</t>
  </si>
  <si>
    <t>PA(P-16:0/17:1(9Z))</t>
  </si>
  <si>
    <t>LMGP10030010</t>
  </si>
  <si>
    <t>[C@](COP(=O)(O)O)([H])(OC(CCCCCCC/C=C\CCCCCCC)=O)CO/C=C\CCCCCCCCCCCCCC</t>
  </si>
  <si>
    <t>CIWIQKOTOJDYSP-YOBPBORLSA-N</t>
  </si>
  <si>
    <t>C36H69O7P</t>
  </si>
  <si>
    <t>2.70_233.1504m/z</t>
  </si>
  <si>
    <t>Threonylisoleucine</t>
  </si>
  <si>
    <t>HMDB0029064</t>
  </si>
  <si>
    <t>129050-49-3</t>
  </si>
  <si>
    <t>CC[C@H](C)[C@H](NC(=O)[C@@H](N)[C@@H](C)O)C(O)=O</t>
  </si>
  <si>
    <t>LUMXICQAOKVQOB-YWIQKCBGSA-N</t>
  </si>
  <si>
    <t>2.33_284.1251m/z</t>
  </si>
  <si>
    <t>N-(4-Aminobenzoyl)-L-glutamic acid</t>
  </si>
  <si>
    <t>HMDB0255007</t>
  </si>
  <si>
    <t>NC1=CC=C(C=C1)C(=O)NC(CCC(O)=O)C(O)=O</t>
  </si>
  <si>
    <t>GADGMZDHLQLZRI-UHFFFAOYSA-N</t>
  </si>
  <si>
    <t>C12H14N2O5</t>
  </si>
  <si>
    <t>7.68_264.1444m/z</t>
  </si>
  <si>
    <t>Caffeine, 8-((3-methoxypropyl)amino)-</t>
  </si>
  <si>
    <t>HMDB0247409</t>
  </si>
  <si>
    <t>COCCCNC1=NC2=C(N1C)C(=O)N(C)C(=O)N2C</t>
  </si>
  <si>
    <t>ZZQHGKMTMAORFI-UHFFFAOYSA-N</t>
  </si>
  <si>
    <t>C12H19N5O3</t>
  </si>
  <si>
    <t>10.65_529.2101m/z</t>
  </si>
  <si>
    <t>Demethylasterriquinone B1</t>
  </si>
  <si>
    <t>HMDB0250991</t>
  </si>
  <si>
    <t>CC(C)=CCC1=CC=CC2=C1NC=C2C1=C(O)C(=O)C(C2=C(NC3=CC=CC=C23)C(C)(C)C=C)=C(O)C1=O</t>
  </si>
  <si>
    <t>XMGNJVXBPZAETK-UHFFFAOYSA-N</t>
  </si>
  <si>
    <t>C32H30N2O4</t>
  </si>
  <si>
    <t>347</t>
  </si>
  <si>
    <t>Fructose</t>
  </si>
  <si>
    <t>HMDB0000660</t>
  </si>
  <si>
    <t>C02336</t>
  </si>
  <si>
    <t>R-HSA-1430728,R-HSA-5652084,R-HSA-70350,R-HSA-71387</t>
  </si>
  <si>
    <t>Metabolism|Fructose metabolism|Fructose catabolism|Metabolism of carbohydrates</t>
  </si>
  <si>
    <t>53188-23-1</t>
  </si>
  <si>
    <t>OC[C@H]1O[C@](O)(CO)[C@@H](O)[C@@H]1O</t>
  </si>
  <si>
    <t>RFSUNEUAIZKAJO-ARQDHWQXSA-N</t>
  </si>
  <si>
    <t>3.73_349.0995m/z</t>
  </si>
  <si>
    <t>Vicine</t>
  </si>
  <si>
    <t>HMDB0034073</t>
  </si>
  <si>
    <t>C08437</t>
  </si>
  <si>
    <t>152-93-2</t>
  </si>
  <si>
    <t>NC1=NC(O)=C(OC2OC(CO)C(O)C(O)C2O)C(N)=N1</t>
  </si>
  <si>
    <t>KGNGTSCIQCLKEH-UHFFFAOYSA-N</t>
  </si>
  <si>
    <t>C10H16N4O7</t>
  </si>
  <si>
    <t>30</t>
  </si>
  <si>
    <t>Formamide</t>
  </si>
  <si>
    <t>HMDB0001536</t>
  </si>
  <si>
    <t>C00488</t>
  </si>
  <si>
    <t>75-12-7</t>
  </si>
  <si>
    <t>NC=O</t>
  </si>
  <si>
    <t>ZHNUHDYFZUAESO-UHFFFAOYSA-N</t>
  </si>
  <si>
    <t>CH3NO</t>
  </si>
  <si>
    <t>9.13_619.2899m/z</t>
  </si>
  <si>
    <t>PI(20:5(5Z,8Z,11Z,14Z,17Z)/0:0)</t>
  </si>
  <si>
    <t>LMGP06050026</t>
  </si>
  <si>
    <t>[C@]([H])(O)(COP(=O)(O)O[C@H]1[C@H](O)[C@@H](O)[C@H](O)[C@@H](O)[C@H]1O)COC(CCC/C=C\C/C=C\C/C=C\C/C=C\C/C=C\CC)=O</t>
  </si>
  <si>
    <t>NAVULVNLGJVPQU-PZUWBNINSA-N</t>
  </si>
  <si>
    <t>C29H47O12P</t>
  </si>
  <si>
    <t>1.65_159.0689n</t>
  </si>
  <si>
    <t>4-Amino-1-naphthol</t>
  </si>
  <si>
    <t>HMDB0246337</t>
  </si>
  <si>
    <t>NC1=CC=C(O)C2=CC=CC=C12</t>
  </si>
  <si>
    <t>ABJQKDJOYSQVFX-UHFFFAOYSA-N</t>
  </si>
  <si>
    <t>12.22_483.3096m/z</t>
  </si>
  <si>
    <t>mLPA(O-18:0)</t>
  </si>
  <si>
    <t>LMGP00000065</t>
  </si>
  <si>
    <t>[C@](COP(=O)(O)OC)([H])(O)COCCCCCCCCCCCCCCCCCC</t>
  </si>
  <si>
    <t>FIBCZHAELLGUEG-JOCHJYFZSA-N</t>
  </si>
  <si>
    <t>C22H47O6P</t>
  </si>
  <si>
    <t>5.04_300.1453m/z</t>
  </si>
  <si>
    <t>3-Hydroxynevirapine</t>
  </si>
  <si>
    <t>HMDB0013914</t>
  </si>
  <si>
    <t>CC1=C2NC(=O)C3=C(N=CC=C3)N(C3CC3)C2=NC=C1O</t>
  </si>
  <si>
    <t>DANIONWINZEYME-UHFFFAOYSA-N</t>
  </si>
  <si>
    <t>C15H14N4O2</t>
  </si>
  <si>
    <t>3.86_317.1506m/z</t>
  </si>
  <si>
    <t>4-hydroxy-2-nonenal-[Cys-Gly] conjugate</t>
  </si>
  <si>
    <t>HMDB0304175</t>
  </si>
  <si>
    <t>CCCCCC(O)C(CC=O)SCC([N+])C(=O)NCC([O-])=O</t>
  </si>
  <si>
    <t>XLGVEZUMGDAHMH-UHFFFAOYSA-M</t>
  </si>
  <si>
    <t>C14H26N2O5S</t>
  </si>
  <si>
    <t>1.31_244.0769m/z</t>
  </si>
  <si>
    <t>Asparaginyl-Methionine</t>
  </si>
  <si>
    <t>HMDB0028737</t>
  </si>
  <si>
    <t>CSCCC(N=C(O)C(N)CC(O)=N)C(O)=O</t>
  </si>
  <si>
    <t>IQTUDDBANZYMAR-UHFFFAOYSA-N</t>
  </si>
  <si>
    <t>9.83_461.3155n</t>
  </si>
  <si>
    <t>(5Z,8Z,10E,14Z,17Z)-12-Hydroxyicosa-5,8,10,14,17-pentaenoylcarnitine</t>
  </si>
  <si>
    <t>HMDB0241595</t>
  </si>
  <si>
    <t>CCC=CCC=CCC(O)C=CC=CCC=CCCCC(=O)OC(CC([O-])=O)C[N+](C)(C)C</t>
  </si>
  <si>
    <t>JGTPDCCLPDSJED-UHFFFAOYSA-N</t>
  </si>
  <si>
    <t>C27H43NO5</t>
  </si>
  <si>
    <t>4.32_725.3850m/z</t>
  </si>
  <si>
    <t>Dalargin</t>
  </si>
  <si>
    <t>HMDB0250833</t>
  </si>
  <si>
    <t>CC(C)CC(NC(=O)C(CC1=CC=CC=C1)NC(=O)CNC(=O)C(C)NC(=O)C(N)CC1=CC=C(O)C=C1)C(=O)NC(CCCN=C(N)N)C(O)=O</t>
  </si>
  <si>
    <t>GDPHPXYFLPDZGH-UHFFFAOYSA-N</t>
  </si>
  <si>
    <t>C35H51N9O8</t>
  </si>
  <si>
    <t>4.32_268.1069n</t>
  </si>
  <si>
    <t>Tyrosyl-Serine</t>
  </si>
  <si>
    <t>HMDB0029114</t>
  </si>
  <si>
    <t>NC(CC1=CC=C(O)C=C1)C(=O)NC(CO)C(O)=O</t>
  </si>
  <si>
    <t>ZSXJENBJGRHKIG-UHFFFAOYSA-N</t>
  </si>
  <si>
    <t>C12H16N2O5</t>
  </si>
  <si>
    <t>10.76_634.3726m/z</t>
  </si>
  <si>
    <t>PHOHA-PC</t>
  </si>
  <si>
    <t>LMGP20010012</t>
  </si>
  <si>
    <t>[C@](COP(=O)([O-])OCC[N+](C)(C)C)([H])(OC(CCC(O)/C=C/C(=O)[H])=O)COC(CCCCCCCCCCCCCCC)=O</t>
  </si>
  <si>
    <t>JZEIFJXAJNJJFB-MATOFXKTSA-N</t>
  </si>
  <si>
    <t>4.77_283.1665m/z</t>
  </si>
  <si>
    <t>11-hydroxy-tetradecanoic acid</t>
  </si>
  <si>
    <t>LMFA01050174</t>
  </si>
  <si>
    <t>C(CCCCCCCCCC(O)CCC)(=O)O</t>
  </si>
  <si>
    <t>DMCZWEUMVOFXBT-UHFFFAOYSA-N</t>
  </si>
  <si>
    <t>6.06_401.1640m/z</t>
  </si>
  <si>
    <t>Citreoviridinol A1</t>
  </si>
  <si>
    <t>HMDB0035369</t>
  </si>
  <si>
    <t>94161-12-3</t>
  </si>
  <si>
    <t>COC1=CC(=O)OC(\C=C/C=C/C=C\C2(C)OC3(C)C(O)OC(C)(C3O)C2O)=C1C</t>
  </si>
  <si>
    <t>IQOXOOYMXWDCEG-LXKJUNEMSA-N</t>
  </si>
  <si>
    <t>Dioxepanes</t>
  </si>
  <si>
    <t>1,4-dioxepanes</t>
  </si>
  <si>
    <t>15.29_331.2100m/z</t>
  </si>
  <si>
    <t>2,2'-Azobis(4-methoxy-2,4-dimethylvaleronitrile)</t>
  </si>
  <si>
    <t>HMDB0244704</t>
  </si>
  <si>
    <t>COC(C)(C)CC(C)(N=NC(C)(CC(C)(C)OC)C#N)C#N</t>
  </si>
  <si>
    <t>PFHOSZAOXCYAGJ-UHFFFAOYSA-N</t>
  </si>
  <si>
    <t>C16H28N4O2</t>
  </si>
  <si>
    <t>7.08_149.1328m/z</t>
  </si>
  <si>
    <t>2,4-Dimethyl-1-(1-methylethyl)-benzene</t>
  </si>
  <si>
    <t>HMDB0061810</t>
  </si>
  <si>
    <t>CC(C)C1=C(C)C=C(C)C=C1</t>
  </si>
  <si>
    <t>AADQFNAACHHRLT-UHFFFAOYSA-N</t>
  </si>
  <si>
    <t>C11H16</t>
  </si>
  <si>
    <t>8.89_172.1700m/z</t>
  </si>
  <si>
    <t>1-p-Menthene-6-ol</t>
  </si>
  <si>
    <t>HMDB0302488</t>
  </si>
  <si>
    <t>CC(C)C1CC=C(C)C(O)C1</t>
  </si>
  <si>
    <t>FZXLDENMTYEVAD-UHFFFAOYSA-N</t>
  </si>
  <si>
    <t>9.15_364.2260m/z</t>
  </si>
  <si>
    <t>C17 Sphingosine-1-phosphate</t>
  </si>
  <si>
    <t>LMSP01050007</t>
  </si>
  <si>
    <t>P(OC[C@]([H])(N)[C@]([H])(O)/C=C/CCCCCCCCCCCC)(=O)(O)O</t>
  </si>
  <si>
    <t>VITGNIYTXHNNNE-LHMZYYNSSA-N</t>
  </si>
  <si>
    <t>C17H36NO5P</t>
  </si>
  <si>
    <t>6.78_408.1414m/z</t>
  </si>
  <si>
    <t>Ezetimibe</t>
  </si>
  <si>
    <t>HMDB0015108</t>
  </si>
  <si>
    <t>163222-33-1</t>
  </si>
  <si>
    <t>O[C@@H](CC[C@@H]1[C@H](N(C1=O)C1=CC=C(F)C=C1)C1=CC=C(O)C=C1)C1=CC=C(F)C=C1</t>
  </si>
  <si>
    <t>OLNTVTPDXPETLC-XPWALMASSA-N</t>
  </si>
  <si>
    <t>C24H21F2NO3</t>
  </si>
  <si>
    <t>1.93_299.2591m/z</t>
  </si>
  <si>
    <t>Ricinoleic acid</t>
  </si>
  <si>
    <t>LMFA02000184</t>
  </si>
  <si>
    <t>C08365</t>
  </si>
  <si>
    <t>C(CCCCCCC/C=C\C[C@H](O)CCCCCC)(=O)O</t>
  </si>
  <si>
    <t>WBHHMMIMDMUBKC-QJWNTBNXSA-N</t>
  </si>
  <si>
    <t>1.59_175.0871m/z</t>
  </si>
  <si>
    <t>Indole-3-acetamide</t>
  </si>
  <si>
    <t>HMDB0029739</t>
  </si>
  <si>
    <t>C02693</t>
  </si>
  <si>
    <t>879-37-8</t>
  </si>
  <si>
    <t>NC(=O)CC1=CNC2=C1C=CC=C2</t>
  </si>
  <si>
    <t>ZOAMBXDOGPRZLP-UHFFFAOYSA-N</t>
  </si>
  <si>
    <t>C10H10N2O</t>
  </si>
  <si>
    <t>13.89_668.5479m/z</t>
  </si>
  <si>
    <t>GlcCer(d15:1/18:0)</t>
  </si>
  <si>
    <t>LMSP0501AA46</t>
  </si>
  <si>
    <t>[C@](CO[C@H]1[C@H](O)[C@@H](O)[C@H](O)[C@@H](CO)O1)([H])(NC(CCCCCCCCCCCCCCCCC)=O)[C@]([H])(O)/C=C/CCCCCCCCCC</t>
  </si>
  <si>
    <t>ZSJLFUFUZNAECX-HPDCOOCISA-N</t>
  </si>
  <si>
    <t>C39H75NO8</t>
  </si>
  <si>
    <t>7.52_327.2178m/z</t>
  </si>
  <si>
    <t>Corchorifatty acid F</t>
  </si>
  <si>
    <t>HMDB0035919</t>
  </si>
  <si>
    <t>95341-44-9</t>
  </si>
  <si>
    <t>CC\C=C/CC(O)C(O)\C=C\C(O)CCCCCCCC(O)=O</t>
  </si>
  <si>
    <t>MKYUCBXUUSZMQB-MKZMYESJSA-N</t>
  </si>
  <si>
    <t>3.61_347.1210m/z</t>
  </si>
  <si>
    <t>Diethoxycarbonyldiazene</t>
  </si>
  <si>
    <t>HMDB0251237</t>
  </si>
  <si>
    <t>CCOC(=O)N=NC(=O)OCC</t>
  </si>
  <si>
    <t>FAMRKDQNMBBFBR-UHFFFAOYSA-N</t>
  </si>
  <si>
    <t>C6H10N2O4</t>
  </si>
  <si>
    <t>3.64_401.0946m/z</t>
  </si>
  <si>
    <t>Tricyanmelamin</t>
  </si>
  <si>
    <t>HMDB0259188</t>
  </si>
  <si>
    <t>N#CNC1=NC(NC#N)=NC(NC#N)=N1</t>
  </si>
  <si>
    <t>FJJCIZWZNKZHII-UHFFFAOYSA-N</t>
  </si>
  <si>
    <t>C6H3N9</t>
  </si>
  <si>
    <t>4.85_182.0818m/z</t>
  </si>
  <si>
    <t>cis-p-Coumaric acid</t>
  </si>
  <si>
    <t>HMDB0030677</t>
  </si>
  <si>
    <t>C06738</t>
  </si>
  <si>
    <t>4501-31-9</t>
  </si>
  <si>
    <t>OC(=O)\C=C/C1=CC=C(O)C=C1</t>
  </si>
  <si>
    <t>NGSWKAQJJWESNS-UTCJRWHESA-N</t>
  </si>
  <si>
    <t>8.29_249.1494m/z</t>
  </si>
  <si>
    <t>Artemorin</t>
  </si>
  <si>
    <t>HMDB0302701</t>
  </si>
  <si>
    <t>C09345</t>
  </si>
  <si>
    <t>64845-92-7</t>
  </si>
  <si>
    <t>C\C1=C/[C@H]2OC(=O)C(=C)[C@@H]2CCC(=C)[C@H](O)CC1</t>
  </si>
  <si>
    <t>JNHKVMWTQCZYHK-CVZWCJCVSA-N</t>
  </si>
  <si>
    <t>4.09_360.2137m/z</t>
  </si>
  <si>
    <t>Leu Glu Val</t>
  </si>
  <si>
    <t>CC(C)CC(C(=O)NC(CCC(=O)O)C(=O)NC(C(C)C)C(=O)O)N</t>
  </si>
  <si>
    <t>HVJVUYQWFYMGJS-GVXVVHGQSA-N</t>
  </si>
  <si>
    <t>C16H29N3O6</t>
  </si>
  <si>
    <t>2.07_504.0092m/z</t>
  </si>
  <si>
    <t>Ceftiofur</t>
  </si>
  <si>
    <t>HMDB0033533</t>
  </si>
  <si>
    <t>C13143</t>
  </si>
  <si>
    <t>80370-57-6</t>
  </si>
  <si>
    <t>CO\N=C(/C(=O)NC1C2SCC(CSC(=O)C3=CC=CO3)=C(N2C1=O)C(O)=O)C1=CSC(N)=N1</t>
  </si>
  <si>
    <t>ZBHXIWJRIFEVQY-KSEXSDGBSA-N</t>
  </si>
  <si>
    <t>C19H17N5O7S3</t>
  </si>
  <si>
    <t>9.75_369.1582m/z</t>
  </si>
  <si>
    <t>Chembl4513510</t>
  </si>
  <si>
    <t>HMDB0260357</t>
  </si>
  <si>
    <t>COC1=CC2=C(NC(=C2)C(=O)N2CCC(CC(C)(C)O)CC2)C=C1</t>
  </si>
  <si>
    <t>OXSCPDKUZWPWFR-UHFFFAOYSA-N</t>
  </si>
  <si>
    <t>C19H26N2O3</t>
  </si>
  <si>
    <t>14.84_311.2957m/z</t>
  </si>
  <si>
    <t>Ethyl stearate</t>
  </si>
  <si>
    <t>HMDB0034156</t>
  </si>
  <si>
    <t>LMFA07010883</t>
  </si>
  <si>
    <t>111-61-5</t>
  </si>
  <si>
    <t>CCOC(=O)CCCCCCCCCCCCCCCCC</t>
  </si>
  <si>
    <t>MVLVMROFTAUDAG-UHFFFAOYSA-N</t>
  </si>
  <si>
    <t>9.40_316.3220m/z</t>
  </si>
  <si>
    <t>Tuberculostearic acid</t>
  </si>
  <si>
    <t>LMFA01020015</t>
  </si>
  <si>
    <t>[C@@H](C)(CCCCCCCC)CCCCCCCCC(=O)O</t>
  </si>
  <si>
    <t>BEOUGZFCUMNGOU-GOSISDBHSA-N</t>
  </si>
  <si>
    <t>C19H38O2</t>
  </si>
  <si>
    <t>1.43_185.0811m/z</t>
  </si>
  <si>
    <t>2-Hydroxyglutaric acid diethyl ester</t>
  </si>
  <si>
    <t>HMDB0303910</t>
  </si>
  <si>
    <t>CCOC(=O)CCC(O)C(=O)OCC</t>
  </si>
  <si>
    <t>DYLHSDCNOUDICA-UHFFFAOYSA-N</t>
  </si>
  <si>
    <t>3.60_475.1345m/z</t>
  </si>
  <si>
    <t>Epimedokoreanin A</t>
  </si>
  <si>
    <t>LMPK12110723</t>
  </si>
  <si>
    <t>C12C(=O)C=C(C3C=C4C(O)C(O)C(C)(C)OC4=C(O)C=3)OC=1C1CC(C(=C)C)OC=1C=C2O</t>
  </si>
  <si>
    <t>WBPWEEMLAPPDRR-UHFFFAOYSA-N</t>
  </si>
  <si>
    <t>C25H24O8</t>
  </si>
  <si>
    <t>1.03_84.0452m/z</t>
  </si>
  <si>
    <t>t-4-AMINOCROTONIC ACID (TACA)</t>
  </si>
  <si>
    <t>38090-53-8</t>
  </si>
  <si>
    <t>C(C=CC(=O)O)N</t>
  </si>
  <si>
    <t>FMKJUUQOYOHLTF-OWOJBTEDSA-N</t>
  </si>
  <si>
    <t>10.53_437.3275m/z</t>
  </si>
  <si>
    <t>Dihomocholic acid</t>
  </si>
  <si>
    <t>LMST04020030</t>
  </si>
  <si>
    <t>C1[C@]2(C)[C@@]3([H])C[C@H](O)[C@]4(C)[C@@]([H])([C@]([H])(C)CCCCC(O)=O)CC[C@@]4([H])[C@]3([H])[C@H](O)C[C@]2([H])C[C@H](O)C1</t>
  </si>
  <si>
    <t>MLGBVVWQFBWIGT-HZAMXZRMSA-N</t>
  </si>
  <si>
    <t>4.80_1011.9721m/z</t>
  </si>
  <si>
    <t>TG(21:0/a-25:0/i-18:0)[rac]</t>
  </si>
  <si>
    <t>HMDB0066467</t>
  </si>
  <si>
    <t>[H][C@](COC(=O)CCCCCCCCCCCCCCCCCCCC)(COC(=O)CCCCCCCCCCCCCCC(C)C)OC(=O)CCCCCCCCCCCCCCCCCCCCC(C)CC</t>
  </si>
  <si>
    <t>AOQKQBPVAMVXRL-DKTRMEIRSA-N</t>
  </si>
  <si>
    <t>C67H130O6</t>
  </si>
  <si>
    <t>3.82_459.2101m/z</t>
  </si>
  <si>
    <t>O-Terphenyl</t>
  </si>
  <si>
    <t>HMDB0255870</t>
  </si>
  <si>
    <t>C1=CC=C(C=C1)C1=CC=CC=C1C1=CC=CC=C1</t>
  </si>
  <si>
    <t>OIAQMFOKAXHPNH-UHFFFAOYSA-N</t>
  </si>
  <si>
    <t>C18H14</t>
  </si>
  <si>
    <t>10.23_275.1654m/z</t>
  </si>
  <si>
    <t>13Z,15-Hexadecadiene-2,4-diyne-1-ol</t>
  </si>
  <si>
    <t>LMFA05000742</t>
  </si>
  <si>
    <t>OCC#CC#CCCCCCCC/C=C\C=C</t>
  </si>
  <si>
    <t>SQHFYPMZLFCNGF-ARJAWSKDSA-N</t>
  </si>
  <si>
    <t>C16H22O</t>
  </si>
  <si>
    <t>0.72_186.0766m/z</t>
  </si>
  <si>
    <t>N-dimethylethanolamine phosphate</t>
  </si>
  <si>
    <t>HMDB0304425</t>
  </si>
  <si>
    <t>C[N+](C)CCOP([O-])([O-])=O</t>
  </si>
  <si>
    <t>XNORYOIOVQAIQB-UHFFFAOYSA-L</t>
  </si>
  <si>
    <t>C4H11NO4P-</t>
  </si>
  <si>
    <t>11.39_295.2277m/z</t>
  </si>
  <si>
    <t>Graminoxin B1</t>
  </si>
  <si>
    <t>LMFA01170141</t>
  </si>
  <si>
    <t>C(/C=C\CCCCC)C(CCCCCCCC(=O)O)C(=O)O</t>
  </si>
  <si>
    <t>QWYXAGPNIVDAAW-YFHOEESVSA-N</t>
  </si>
  <si>
    <t>11.29_228.2328m/z</t>
  </si>
  <si>
    <t>Myristamide</t>
  </si>
  <si>
    <t>LMFA01100064</t>
  </si>
  <si>
    <t>O=C(CCCCCCCCCCCCC)N</t>
  </si>
  <si>
    <t>QEALYLRSRQDCRA-UHFFFAOYSA-N</t>
  </si>
  <si>
    <t>C14H29NO</t>
  </si>
  <si>
    <t>5.34_308.0308m/z</t>
  </si>
  <si>
    <t>Olpadronic acid</t>
  </si>
  <si>
    <t>HMDB0255958</t>
  </si>
  <si>
    <t>CN(C)CCC(O)(P(O)(O)=O)P(O)(O)=O</t>
  </si>
  <si>
    <t>UGEPSJNLORCRBO-UHFFFAOYSA-N</t>
  </si>
  <si>
    <t>C5H15NO7P2</t>
  </si>
  <si>
    <t>7.52_241.1443m/z</t>
  </si>
  <si>
    <t>3-dodecynoic acid</t>
  </si>
  <si>
    <t>LMFA01030466</t>
  </si>
  <si>
    <t>C(CC#CCCCCCCCC)(=O)O</t>
  </si>
  <si>
    <t>ANKCBJRFNIWGKQ-UHFFFAOYSA-N</t>
  </si>
  <si>
    <t>3.61_405.0498m/z</t>
  </si>
  <si>
    <t>1-O-p-Coumaroyl-(b-D-glucose 6-O-sulfate)</t>
  </si>
  <si>
    <t>HMDB0041174</t>
  </si>
  <si>
    <t>OC1C(COS(O)(=O)=O)OC(OC(=O)\C=C\C2=CC=C(O)C=C2)C(O)C1O</t>
  </si>
  <si>
    <t>OMFHKRCSRGUKRK-ZZXKWVIFSA-N</t>
  </si>
  <si>
    <t>C15H18O11S</t>
  </si>
  <si>
    <t>4.69_185.0450m/z</t>
  </si>
  <si>
    <t>Tabun</t>
  </si>
  <si>
    <t>HMDB0258670</t>
  </si>
  <si>
    <t>CCOP(=O)(C#N)N(C)C</t>
  </si>
  <si>
    <t>PJVJTCIRVMBVIA-UHFFFAOYSA-N</t>
  </si>
  <si>
    <t>Phosphonic acid esters</t>
  </si>
  <si>
    <t>C5H11N2O2P</t>
  </si>
  <si>
    <t>4.10_187.1332m/z</t>
  </si>
  <si>
    <t>10-hydroxy capric acid</t>
  </si>
  <si>
    <t>HMDB0244272</t>
  </si>
  <si>
    <t>LMFA01050033</t>
  </si>
  <si>
    <t>C02774</t>
  </si>
  <si>
    <t>C(CCCCCCCO)CC(=O)O</t>
  </si>
  <si>
    <t>YJCJVMMDTBEITC-UHFFFAOYSA-N</t>
  </si>
  <si>
    <t>12.38_443.3166m/z</t>
  </si>
  <si>
    <t>25-hydroxy-16,17-didehydrovitamin D3 / 25-hydroxy-16,17-didehydrocholecalciferol</t>
  </si>
  <si>
    <t>LMST03020155</t>
  </si>
  <si>
    <t>C1C(=C)/C(=C\C=C2\[C@]3([H])CC=C([C@@]3(C)CCC\2)[C@]([H])(C)CCCC(O)(C)C)/C[C@@H](O)C1</t>
  </si>
  <si>
    <t>KUUGNMDWOAKHHG-JQJQXOMGSA-N</t>
  </si>
  <si>
    <t>7.74_456.1807m/z</t>
  </si>
  <si>
    <t>Arg-gly-asp-ser</t>
  </si>
  <si>
    <t>HMDB0248573</t>
  </si>
  <si>
    <t>NC(CCCN=C(N)N)C(=O)NCC(=O)NC(CC(O)=O)C(=O)NC(CO)C(O)=O</t>
  </si>
  <si>
    <t>NNRFRJQMBSBXGO-UHFFFAOYSA-N</t>
  </si>
  <si>
    <t>C15H27N7O8</t>
  </si>
  <si>
    <t>4.03_320.1617m/z</t>
  </si>
  <si>
    <t>Ala Thr Phe</t>
  </si>
  <si>
    <t>CC(C(C(=O)NC(CC1=CC=CC=C1)C(=O)O)NC(=O)C(C)N)O</t>
  </si>
  <si>
    <t>JJHBEVZAZXZREW-LFSVMHDDSA-N</t>
  </si>
  <si>
    <t>4.13_288.1565m/z</t>
  </si>
  <si>
    <t>voxtalisib</t>
  </si>
  <si>
    <t>HMDB0259876</t>
  </si>
  <si>
    <t>CCN1C(=O)C(=CC2=C(C)N=C(N)N=C12)C1=CC=NN1</t>
  </si>
  <si>
    <t>RGHYDLZMTYDBDT-UHFFFAOYSA-N</t>
  </si>
  <si>
    <t>C13H14N6O</t>
  </si>
  <si>
    <t>0.70_176.0411m/z</t>
  </si>
  <si>
    <t>4-phenyl-5-methyl-1,2,3-Thiadiazole</t>
  </si>
  <si>
    <t>64273-28-5</t>
  </si>
  <si>
    <t>CC1=C(N=NS1)C2=CC=CC=C2</t>
  </si>
  <si>
    <t>JRIBFXXOLIOOTM-UHFFFAOYSA-N</t>
  </si>
  <si>
    <t>C9H8N2S</t>
  </si>
  <si>
    <t>10.14_241.1807m/z</t>
  </si>
  <si>
    <t>4-(2,6,6-Trimethyl-1-cyclohexenyl)-2-butanol</t>
  </si>
  <si>
    <t>HMDB0036172</t>
  </si>
  <si>
    <t>3293-47-8</t>
  </si>
  <si>
    <t>CC(O)CCC1=C(C)CCCC1(C)C</t>
  </si>
  <si>
    <t>VSYLEWGIVLSDIY-UHFFFAOYSA-N</t>
  </si>
  <si>
    <t>9.97_461.2918m/z</t>
  </si>
  <si>
    <t>Erinacine D</t>
  </si>
  <si>
    <t>HMDB0031896</t>
  </si>
  <si>
    <t>157397-40-5</t>
  </si>
  <si>
    <t>CCOC1CC2C3=C(CCC3(C)CCC2(C)C(OC2OCC(O)C(O)C2O)C=C1C=O)C(C)C</t>
  </si>
  <si>
    <t>ZQHNREXELVXBCG-UHFFFAOYSA-N</t>
  </si>
  <si>
    <t>4.77_377.2344m/z</t>
  </si>
  <si>
    <t>(5alpha,17beta)-17-Benzoyl-4-azaandrost-1-en-3-one</t>
  </si>
  <si>
    <t>HMDB0253725</t>
  </si>
  <si>
    <t>CC12CCC3C(CCC4NC(=O)C=CC34C)C1CCC2C(=O)C1=CC=CC=C1</t>
  </si>
  <si>
    <t>ZYTQEOWFSVTRLX-UHFFFAOYSA-N</t>
  </si>
  <si>
    <t>C25H31NO2</t>
  </si>
  <si>
    <t>9.05_209.1179m/z</t>
  </si>
  <si>
    <t>Isoamyl salicylate</t>
  </si>
  <si>
    <t>HMDB0040225</t>
  </si>
  <si>
    <t>87-20-7</t>
  </si>
  <si>
    <t>CC(C)CCOC(=O)C1=CC=CC=C1O</t>
  </si>
  <si>
    <t>PMGCQNGBLMMXEW-UHFFFAOYSA-N</t>
  </si>
  <si>
    <t>14.84_103.0164m/z</t>
  </si>
  <si>
    <t>Imidazotetrazine</t>
  </si>
  <si>
    <t>HMDB0253424</t>
  </si>
  <si>
    <t>N1C=NC2=C1N=NN=N2</t>
  </si>
  <si>
    <t>LYHRBIAPWZFXBG-UHFFFAOYSA-N</t>
  </si>
  <si>
    <t>Tetrazines</t>
  </si>
  <si>
    <t>C3H2N6</t>
  </si>
  <si>
    <t>6.19_202.1444m/z</t>
  </si>
  <si>
    <t>Poprunellelactone</t>
  </si>
  <si>
    <t>LMFA07040119</t>
  </si>
  <si>
    <t>C1=CC(=O)O[C@H](CCCCC)[C@@H]1O</t>
  </si>
  <si>
    <t>PXBSVQSCXKMEGT-RKDXNWHRSA-N</t>
  </si>
  <si>
    <t>12.42_353.1427m/z</t>
  </si>
  <si>
    <t>O-Ureidohomoserine</t>
  </si>
  <si>
    <t>HMDB0012271</t>
  </si>
  <si>
    <t>51767-67-0</t>
  </si>
  <si>
    <t>NC(CCONC(O)=N)C(O)=O</t>
  </si>
  <si>
    <t>SFYVZOSIAIZWQU-UHFFFAOYSA-N</t>
  </si>
  <si>
    <t>C5H11N3O4</t>
  </si>
  <si>
    <t>11.53_341.2123m/z</t>
  </si>
  <si>
    <t>(4Z,7Z,11E,13Z,16Z,19Z)-10-Hydroperoxydocosahexaenoic acid</t>
  </si>
  <si>
    <t>HMDB0062277</t>
  </si>
  <si>
    <t>121694-98-2</t>
  </si>
  <si>
    <t>CC\C=C/C\C=C/C\C=C/C=C/C(C\C=C/C\C=C/CCC(O)=O)OO</t>
  </si>
  <si>
    <t>YBZVZSNFGOPPCL-SKSHMZPZSA-N</t>
  </si>
  <si>
    <t>9.75_463.3298m/z</t>
  </si>
  <si>
    <t>(5Z,8Z,10E,12S,14Z)-12-Hydroxyicosa-5,8,10,14-tetraenoylcarnitine</t>
  </si>
  <si>
    <t>HMDB0241591</t>
  </si>
  <si>
    <t>CCCCCC=CCC(O)C=CC=CCC=CCCCC(=O)OC(CC([O-])=O)C[N+](C)(C)C</t>
  </si>
  <si>
    <t>NOARSWRROUOLCM-UHFFFAOYSA-N</t>
  </si>
  <si>
    <t>3.84_147.0445m/z</t>
  </si>
  <si>
    <t>Purpald</t>
  </si>
  <si>
    <t>HMDB0244791</t>
  </si>
  <si>
    <t>NN=C1NN=C(S)N1N</t>
  </si>
  <si>
    <t>RDIMQHBOTMWMJA-UHFFFAOYSA-N</t>
  </si>
  <si>
    <t>C2H6N6S</t>
  </si>
  <si>
    <t>8.25_235.0972m/z</t>
  </si>
  <si>
    <t>Precocene I</t>
  </si>
  <si>
    <t>HMDB0256741</t>
  </si>
  <si>
    <t>C09017</t>
  </si>
  <si>
    <t>17598-02-6</t>
  </si>
  <si>
    <t>COC1=CC=C2C=CC(C)(C)OC2=C1</t>
  </si>
  <si>
    <t>CPTJXGLQLVPIGP-UHFFFAOYSA-N</t>
  </si>
  <si>
    <t>C12H14O2</t>
  </si>
  <si>
    <t>1.27_253.0669m/z</t>
  </si>
  <si>
    <t>Limazocic</t>
  </si>
  <si>
    <t>HMDB0254094</t>
  </si>
  <si>
    <t>CC1(C)CSSCC(NC1=O)C(O)=O</t>
  </si>
  <si>
    <t>PTARWFJHCZHOGS-UHFFFAOYSA-N</t>
  </si>
  <si>
    <t>C8H13NO3S2</t>
  </si>
  <si>
    <t>10.99_257.1906m/z</t>
  </si>
  <si>
    <t>5Z,8Z,11Z,14Z,17Z-octadecapentaenoic acid</t>
  </si>
  <si>
    <t>LMFA02000349</t>
  </si>
  <si>
    <t>C(/C=C\C/C=C\C/C=C\C/C=C\CC=C)CCC(O)=O</t>
  </si>
  <si>
    <t>QGOBAKWVSYWVNA-GJDCDIHCSA-N</t>
  </si>
  <si>
    <t>144</t>
  </si>
  <si>
    <t>D-Threonine</t>
  </si>
  <si>
    <t>HMDB0250801</t>
  </si>
  <si>
    <t>CC(O)C(N)C(O)=O</t>
  </si>
  <si>
    <t>AYFVYJQAPQTCCC-UHFFFAOYSA-N</t>
  </si>
  <si>
    <t>0.73_273.1929m/z</t>
  </si>
  <si>
    <t>5-((6-((Aminomethyl)amino)-1-oxohexyl)amino)pentanoic acid</t>
  </si>
  <si>
    <t>HMDB0258266</t>
  </si>
  <si>
    <t>NC(N)=NCCCCCC(=O)NCCCCC(O)=O</t>
  </si>
  <si>
    <t>BULXDAAOZVOYBI-UHFFFAOYSA-N</t>
  </si>
  <si>
    <t>C12H24N4O3</t>
  </si>
  <si>
    <t>4.89_388.1981m/z</t>
  </si>
  <si>
    <t>Terazosin</t>
  </si>
  <si>
    <t>HMDB0015293</t>
  </si>
  <si>
    <t>C07127</t>
  </si>
  <si>
    <t>R-HSA-162582,R-HSA-372790,R-HSA-373076,R-HSA-375280,R-HSA-390696,R-HSA-500792</t>
  </si>
  <si>
    <t>Signal Transduction|Signaling by GPCR|Class A/1 (Rhodopsin-like receptors)|Amine ligand-binding receptors|Adrenoceptors|GPCR ligand binding</t>
  </si>
  <si>
    <t>63590-64-7</t>
  </si>
  <si>
    <t>COC1=C(OC)C=C2C(N)=NC(=NC2=C1)N1CCN(CC1)C(=O)C1CCCO1</t>
  </si>
  <si>
    <t>VCKUSRYTPJJLNI-UHFFFAOYSA-N</t>
  </si>
  <si>
    <t>C19H25N5O4</t>
  </si>
  <si>
    <t>7.74_415.1540m/z</t>
  </si>
  <si>
    <t>Hyaluronic acid</t>
  </si>
  <si>
    <t>HMDB0002061</t>
  </si>
  <si>
    <t>C00518</t>
  </si>
  <si>
    <t>hsa04613</t>
  </si>
  <si>
    <t>Neutrophil extracellular trap formation</t>
  </si>
  <si>
    <t>9004-61-9</t>
  </si>
  <si>
    <t>[H]O[C@H]1[C@H](O)[C@@H](CO)O[C@@H](O[C@H]2[C@H](O)[C@@H](O)[C@H](O)O[C@@H]2C(O)=O)[C@@H]1NC(C)=O</t>
  </si>
  <si>
    <t>LJKKEBYAXYCTNF-GIXQJHCPSA-N</t>
  </si>
  <si>
    <t>C14H23NO12</t>
  </si>
  <si>
    <t>12.20_375.1323m/z</t>
  </si>
  <si>
    <t>Pseudomonine</t>
  </si>
  <si>
    <t>HMDB0041438</t>
  </si>
  <si>
    <t>172923-94-3</t>
  </si>
  <si>
    <t>CC1ON(CCC2=CNC=N2)C(=O)C1NC(=O)C1=C(O)C=CC=C1</t>
  </si>
  <si>
    <t>XYEWTJQWOJBDBL-UHFFFAOYSA-N</t>
  </si>
  <si>
    <t>C16H18N4O4</t>
  </si>
  <si>
    <t>0.74_268.0816n</t>
  </si>
  <si>
    <t>Ara-HX</t>
  </si>
  <si>
    <t>HMDB0247301</t>
  </si>
  <si>
    <t>7013-16-3</t>
  </si>
  <si>
    <t>OCC1OC(C(O)C1O)N1C=NC2=C1N=CN=C2O</t>
  </si>
  <si>
    <t>UGQMRVRMYYASKQ-UHFFFAOYSA-N</t>
  </si>
  <si>
    <t>1.03_160.1084m/z</t>
  </si>
  <si>
    <t>N-(2-Amino-2-oxoethyl)-2-methylprop-2-enamide</t>
  </si>
  <si>
    <t>HMDB0245677</t>
  </si>
  <si>
    <t>CC(=C)C(=O)NCC(N)=O</t>
  </si>
  <si>
    <t>PZWRHDSUKRJIDJ-UHFFFAOYSA-N</t>
  </si>
  <si>
    <t>11.15_479.3376m/z</t>
  </si>
  <si>
    <t>5alpha-Cholest-25-ene-3alpha,7alpha,12alpha,26-tetrol</t>
  </si>
  <si>
    <t>LMST04030088</t>
  </si>
  <si>
    <t>C1[C@]2(C)[C@@]3([H])C[C@H](O)[C@]4(C)[C@@]([H])([C@]([H])(C)CCC/C(/C)=C/O)CC[C@@]4([H])[C@]3([H])[C@H](O)C[C@@]2([H])C[C@H](O)C1</t>
  </si>
  <si>
    <t>NNGGTBKKGNUHML-AVIVXOQHSA-N</t>
  </si>
  <si>
    <t>11.77_368.2805m/z</t>
  </si>
  <si>
    <t>N-oleoyl L-serine</t>
  </si>
  <si>
    <t>HMDB0242185</t>
  </si>
  <si>
    <t>LMFA08020305</t>
  </si>
  <si>
    <t>C(CCCCCCC/C=C\CCCCCCCC)(=O)N[C@@H](CO)C(O)=O</t>
  </si>
  <si>
    <t>MBDKGXAMSZIDKF-VJIACCKLSA-N</t>
  </si>
  <si>
    <t>5.29_286.1086m/z</t>
  </si>
  <si>
    <t>Mefenamic acid</t>
  </si>
  <si>
    <t>HMDB0014922</t>
  </si>
  <si>
    <t>C02168</t>
  </si>
  <si>
    <t>61-68-7</t>
  </si>
  <si>
    <t>CC1=C(C)C(NC2=CC=CC=C2C(O)=O)=CC=C1</t>
  </si>
  <si>
    <t>HYYBABOKPJLUIN-UHFFFAOYSA-N</t>
  </si>
  <si>
    <t>C15H15NO2</t>
  </si>
  <si>
    <t>10.69_123.0921m/z</t>
  </si>
  <si>
    <t>2,5-Diaminotoluene</t>
  </si>
  <si>
    <t>C19386</t>
  </si>
  <si>
    <t>95-70-5</t>
  </si>
  <si>
    <t>CC1=C(C=CC(=C1)N)N</t>
  </si>
  <si>
    <t>OBCSAIDCZQSFQH-UHFFFAOYSA-N</t>
  </si>
  <si>
    <t>C7H10N2</t>
  </si>
  <si>
    <t>214</t>
  </si>
  <si>
    <t>Octylamine</t>
  </si>
  <si>
    <t>HMDB0255916</t>
  </si>
  <si>
    <t>C01740</t>
  </si>
  <si>
    <t>111-86-4</t>
  </si>
  <si>
    <t>CCCCCCCCN</t>
  </si>
  <si>
    <t>IOQPZZOEVPZRBK-UHFFFAOYSA-N</t>
  </si>
  <si>
    <t>C8H19N</t>
  </si>
  <si>
    <t>3.54_120.0813m/z</t>
  </si>
  <si>
    <t>(R)-(-)-2-Phenylglycinol</t>
  </si>
  <si>
    <t>56613-80-0</t>
  </si>
  <si>
    <t>C1=CC=C(C=C1)C(CO)N</t>
  </si>
  <si>
    <t>IJXJGQCXFSSHNL-QMMMGPOBSA-N</t>
  </si>
  <si>
    <t>4.38_399.1409n</t>
  </si>
  <si>
    <t>Difloxacin</t>
  </si>
  <si>
    <t>HMDB0251259</t>
  </si>
  <si>
    <t>C11234</t>
  </si>
  <si>
    <t>98106-17-3</t>
  </si>
  <si>
    <t>CN1CCN(CC1)C1=C(F)C=C2C(=C1)N(C=C(C(O)=O)C2=O)C1=CC=C(F)C=C1</t>
  </si>
  <si>
    <t>NOCJXYPHIIZEHN-UHFFFAOYSA-N</t>
  </si>
  <si>
    <t>C21H19F2N3O3</t>
  </si>
  <si>
    <t>9.56_183.0811m/z</t>
  </si>
  <si>
    <t>2-Methyl-4-propyl-1,3-oxathiane</t>
  </si>
  <si>
    <t>HMDB0031572</t>
  </si>
  <si>
    <t>67715-80-4</t>
  </si>
  <si>
    <t>CCCC1CCOC(C)S1</t>
  </si>
  <si>
    <t>GKGOLPMYJJXRGD-UHFFFAOYSA-N</t>
  </si>
  <si>
    <t>Oxathianes</t>
  </si>
  <si>
    <t>C8H16OS</t>
  </si>
  <si>
    <t>110</t>
  </si>
  <si>
    <t>Leucinic Acid</t>
  </si>
  <si>
    <t>HMDB0000665</t>
  </si>
  <si>
    <t>LMFA01050381</t>
  </si>
  <si>
    <t>498-36-2</t>
  </si>
  <si>
    <t>C(=O)(O)C(O)CC(C)C</t>
  </si>
  <si>
    <t>LVRFTAZAXQPQHI-UHFFFAOYSA-N</t>
  </si>
  <si>
    <t>5.18_341.2448m/z</t>
  </si>
  <si>
    <t>Allopregnanolone</t>
  </si>
  <si>
    <t>HMDB0001449</t>
  </si>
  <si>
    <t>LMST02030130</t>
  </si>
  <si>
    <t>C13712</t>
  </si>
  <si>
    <t>516-54-1</t>
  </si>
  <si>
    <t>[C@@]12([H])CC[C@@]3([H])C[C@H](O)CC[C@]3(C)[C@@]1([H])CC[C@]1(C)[C@@H](C(=O)C)CC[C@@]21[H]</t>
  </si>
  <si>
    <t>AURFZBICLPNKBZ-SYBPFIFISA-N</t>
  </si>
  <si>
    <t>0.54_305.1490m/z</t>
  </si>
  <si>
    <t>Lycorine</t>
  </si>
  <si>
    <t>C08532</t>
  </si>
  <si>
    <t>476-28-8</t>
  </si>
  <si>
    <t>C1CN2CC3=CC4=C(C=C3C5C2C1=CC(C5O)O)OCO4</t>
  </si>
  <si>
    <t>XGVJWXAYKUHDOO-DANNLKNASA-N</t>
  </si>
  <si>
    <t>Amaryllidaceae alkaloids</t>
  </si>
  <si>
    <t>Lycorine-type amaryllidaceae alkaloids</t>
  </si>
  <si>
    <t>C16H17NO4</t>
  </si>
  <si>
    <t>9.44_455.3028m/z</t>
  </si>
  <si>
    <t>1-(4-O-beta-D-glucopyranosyl-3-methoxyphenyl)-3,5-dihydroxydecane</t>
  </si>
  <si>
    <t>HMDB0303085</t>
  </si>
  <si>
    <t>CCCCCC(C)CC(C)CCC1=CC(OC)=C(O[C@@H]2O[C@H](CO)[C@@H](O)[C@H](O)[C@H]2O)C=C1</t>
  </si>
  <si>
    <t>VFLYULAVOFVIAM-RRDRPCBCSA-N</t>
  </si>
  <si>
    <t>13.51_395.3168m/z</t>
  </si>
  <si>
    <t>gamma-dodecalactone</t>
  </si>
  <si>
    <t>HMDB0031683</t>
  </si>
  <si>
    <t>LMFA07040042</t>
  </si>
  <si>
    <t>57084-18-1</t>
  </si>
  <si>
    <t>C1(OC(CCCCCCCC)CC1)=O</t>
  </si>
  <si>
    <t>WGPCZPLRVAWXPW-UHFFFAOYSA-N</t>
  </si>
  <si>
    <t>C12H22O2</t>
  </si>
  <si>
    <t>5.42_261.0557m/z</t>
  </si>
  <si>
    <t>Lanceolatin B</t>
  </si>
  <si>
    <t>C1=CC=C(C=C1)C2=CC(=O)C3=C(O2)C4=C(C=C3)OC=C4</t>
  </si>
  <si>
    <t>NQNOTBRHBRJKKH-UHFFFAOYSA-N</t>
  </si>
  <si>
    <t>C17H10O3</t>
  </si>
  <si>
    <t>4.55_490.1760m/z</t>
  </si>
  <si>
    <t>4-O-Methyl-a-D-glucosyl-(1-&gt;2)-b-D-xylosyl-(1-&gt;4)-D-xylose</t>
  </si>
  <si>
    <t>HMDB0039742</t>
  </si>
  <si>
    <t>10365-86-3</t>
  </si>
  <si>
    <t>COC1C(O)C(O)C(OC2C(O)C(O)COC2OC2COC(O)C(O)C2O)OC1C(O)=O</t>
  </si>
  <si>
    <t>XZGRJCXNJVJWKJ-UHFFFAOYSA-N</t>
  </si>
  <si>
    <t>C17H28O15</t>
  </si>
  <si>
    <t>4.13_297.1278m/z</t>
  </si>
  <si>
    <t>Phenylalanylmethionine</t>
  </si>
  <si>
    <t>HMDB0029001</t>
  </si>
  <si>
    <t>15080-84-9</t>
  </si>
  <si>
    <t>CSCC[C@H](NC(=O)[C@@H](N)CC1=CC=CC=C1)C(O)=O</t>
  </si>
  <si>
    <t>PYOHODCEOHCZBM-RYUDHWBXSA-N</t>
  </si>
  <si>
    <t>11.84_451.3067m/z</t>
  </si>
  <si>
    <t>MG(0:0/22:4(7Z,10Z,13Z,16Z)/0:0)</t>
  </si>
  <si>
    <t>HMDB0011554</t>
  </si>
  <si>
    <t>[H]C(CO)(CO)OC(=O)CCCCC\C=C/C\C=C/C\C=C/C\C=C/CCCCC</t>
  </si>
  <si>
    <t>DVYDCUGIJCYIQN-DOFZRALJSA-N</t>
  </si>
  <si>
    <t>11.51_392.2808m/z</t>
  </si>
  <si>
    <t>N-Oleoyl Glutamic acid</t>
  </si>
  <si>
    <t>HMDB0241959</t>
  </si>
  <si>
    <t>CCCCCCCCC=CCCCCCCCC(=O)NC(CCC(O)=O)C(O)=O</t>
  </si>
  <si>
    <t>UUFVSGRELDGPGL-UHFFFAOYSA-N</t>
  </si>
  <si>
    <t>C23H41NO5</t>
  </si>
  <si>
    <t>4.15_331.1797m/z</t>
  </si>
  <si>
    <t>Sematilide</t>
  </si>
  <si>
    <t>HMDB0258221</t>
  </si>
  <si>
    <t>CCN(CC)CCNC(=O)C1=CC=C(NS(C)(=O)=O)C=C1</t>
  </si>
  <si>
    <t>KHYPYQZQJSBPIX-UHFFFAOYSA-N</t>
  </si>
  <si>
    <t>C14H23N3O3S</t>
  </si>
  <si>
    <t>4.11_350.1727m/z</t>
  </si>
  <si>
    <t>Ser Ile Met</t>
  </si>
  <si>
    <t>CCC(C)C(C(=O)NC(CCSC)C(=O)O)NC(=O)C(CO)N</t>
  </si>
  <si>
    <t>YMDNFPNTIPQMJP-NAKRPEOUSA-N</t>
  </si>
  <si>
    <t>C14H27N3O5S</t>
  </si>
  <si>
    <t>6.50_224.0384m/z</t>
  </si>
  <si>
    <t>5-(4-Hydroxybenzyl)thiazolidine-2,4-dione</t>
  </si>
  <si>
    <t>HMDB0247358</t>
  </si>
  <si>
    <t>OC1=CC=C(CC2SC(=O)NC2=O)C=C1</t>
  </si>
  <si>
    <t>NKOHRVBBQISBSB-UHFFFAOYSA-N</t>
  </si>
  <si>
    <t>Thiazolidines</t>
  </si>
  <si>
    <t>C10H9NO3S</t>
  </si>
  <si>
    <t>7.88_307.1917m/z</t>
  </si>
  <si>
    <t>Cymatherol A</t>
  </si>
  <si>
    <t>LMFA02000374</t>
  </si>
  <si>
    <t>[C@@H]1([C@@H]2C[C@H]2[C@H](O)CC)C[C@@H]2O[C@@H]2[C@H]1/C=C\CCCCC(=O)O</t>
  </si>
  <si>
    <t>GPMZZMPGGQCIEV-HFOVYDPPSA-N</t>
  </si>
  <si>
    <t>88</t>
  </si>
  <si>
    <t>Phosphite</t>
  </si>
  <si>
    <t>[O-]P([O-])[O-]</t>
  </si>
  <si>
    <t>AQSJGOWTSHOLKH-UHFFFAOYSA-N</t>
  </si>
  <si>
    <t>Non-metal phosphites</t>
  </si>
  <si>
    <t>O3P</t>
  </si>
  <si>
    <t>14.08_298.3113m/z</t>
  </si>
  <si>
    <t>Palmitoyl N-Isopropylamide</t>
  </si>
  <si>
    <t>189939-61-5</t>
  </si>
  <si>
    <t>CCCCCCCCCCCCCCCC(=O)NC(C)C</t>
  </si>
  <si>
    <t>TZYVUGCYYQOTQR-UHFFFAOYSA-N</t>
  </si>
  <si>
    <t>C19H39NO</t>
  </si>
  <si>
    <t>4.50_241.0715m/z</t>
  </si>
  <si>
    <t>Elenaic acid</t>
  </si>
  <si>
    <t>HMDB0039136</t>
  </si>
  <si>
    <t>34422-12-3</t>
  </si>
  <si>
    <t>COC(=O)C1=COC(C)C(C=O)C1CC(O)=O</t>
  </si>
  <si>
    <t>MQFAJBBHEYTHKF-UHFFFAOYSA-N</t>
  </si>
  <si>
    <t>C11H14O6</t>
  </si>
  <si>
    <t>7.66_159.1017m/z</t>
  </si>
  <si>
    <t>(+/-)-1-Hepten-3-ol</t>
  </si>
  <si>
    <t>HMDB0303231</t>
  </si>
  <si>
    <t>CCCCC(O)C=C</t>
  </si>
  <si>
    <t>PZKFYTOLVRCMOA-UHFFFAOYSA-N</t>
  </si>
  <si>
    <t>C7H14O</t>
  </si>
  <si>
    <t>4.60_172.0971m/z</t>
  </si>
  <si>
    <t>Acetyl-DL-Leucine</t>
  </si>
  <si>
    <t>99-15-0</t>
  </si>
  <si>
    <t>CC(C)CC(C(=O)O)NC(=O)C</t>
  </si>
  <si>
    <t>WXNXCEHXYPACJF-UHFFFAOYSA-N</t>
  </si>
  <si>
    <t>7.40_509.2393m/z</t>
  </si>
  <si>
    <t>Testosterone 17b-(b-D-glucuronide)</t>
  </si>
  <si>
    <t>HMDB0258856</t>
  </si>
  <si>
    <t>CC12CCC3C(CCC4=CC(=O)CCC34C)C1CCC2OC1OC(C(O)C(O)C1O)C(O)=O</t>
  </si>
  <si>
    <t>NIKZPECGCSUSBV-UHFFFAOYSA-N</t>
  </si>
  <si>
    <t>C25H36O8</t>
  </si>
  <si>
    <t>0.93_143.0253m/z</t>
  </si>
  <si>
    <t>Quindoxin</t>
  </si>
  <si>
    <t>HMDB0032927</t>
  </si>
  <si>
    <t>2423-66-7</t>
  </si>
  <si>
    <t>O=N1=CC=N(=O)C2=CC=CC=C12</t>
  </si>
  <si>
    <t>CKIHZSGJPSDCNC-UHFFFAOYSA-N</t>
  </si>
  <si>
    <t>14.65_435.3481m/z</t>
  </si>
  <si>
    <t>5Z,9Z,21Z-hexacosatrienoic acid</t>
  </si>
  <si>
    <t>LMFA01031125</t>
  </si>
  <si>
    <t>C(CCC/C=C\CC/C=C\CCCCCCCCCC/C=C\CCCC)(=O)O</t>
  </si>
  <si>
    <t>ZQDRALTVWXQWTF-KSJLKCSLSA-N</t>
  </si>
  <si>
    <t>0.68_207.9989m/z</t>
  </si>
  <si>
    <t>Phosphoserine</t>
  </si>
  <si>
    <t>HMDB0000272</t>
  </si>
  <si>
    <t>C01005</t>
  </si>
  <si>
    <t>hsa00260,hsa00270,hsa00970</t>
  </si>
  <si>
    <t>Glycine, serine and threonine metabolism|Cysteine and methionine metabolism|Aminoacyl-tRNA biosynthesis</t>
  </si>
  <si>
    <t>R-HSA-1430728,R-HSA-71291,R-HSA-977347</t>
  </si>
  <si>
    <t>Metabolism|Metabolism of amino acids and derivatives|Serine biosynthesis</t>
  </si>
  <si>
    <t>407-41-0</t>
  </si>
  <si>
    <t>N[C@@H](COP(O)(O)=O)C(O)=O</t>
  </si>
  <si>
    <t>BZQFBWGGLXLEPQ-REOHCLBHSA-N</t>
  </si>
  <si>
    <t>C3H8NO6P</t>
  </si>
  <si>
    <t>9.73_225.1856m/z</t>
  </si>
  <si>
    <t>14-hydroxy-5Z-tetradecenoic acid</t>
  </si>
  <si>
    <t>LMFA01050181</t>
  </si>
  <si>
    <t>C(CCC/C=C\CCCCCCCCO)(=O)O</t>
  </si>
  <si>
    <t>XVNKMDSYLQAATP-XQRVVYSFSA-N</t>
  </si>
  <si>
    <t>C14H26O3</t>
  </si>
  <si>
    <t>9.07_325.0825m/z</t>
  </si>
  <si>
    <t>2-Ethylbenzothiazole</t>
  </si>
  <si>
    <t>HMDB0040034</t>
  </si>
  <si>
    <t>936-77-6</t>
  </si>
  <si>
    <t>CCC1=NC2=CC=CC=C2S1</t>
  </si>
  <si>
    <t>CVULGJIRGZVJHQ-UHFFFAOYSA-N</t>
  </si>
  <si>
    <t>C9H9NS</t>
  </si>
  <si>
    <t>2.06_148.0528n</t>
  </si>
  <si>
    <t>Cinnamic acid</t>
  </si>
  <si>
    <t>HMDB0000567</t>
  </si>
  <si>
    <t>C10438</t>
  </si>
  <si>
    <t>102-94-3</t>
  </si>
  <si>
    <t>OC(=O)\C=C/C1=CC=CC=C1</t>
  </si>
  <si>
    <t>WBYWAXJHAXSJNI-SREVYHEPSA-N</t>
  </si>
  <si>
    <t>Cinnamic acids</t>
  </si>
  <si>
    <t>C9H8O2</t>
  </si>
  <si>
    <t>13.16_368.3173m/z</t>
  </si>
  <si>
    <t>N-Palmitoyl Leucine</t>
  </si>
  <si>
    <t>HMDB0241928</t>
  </si>
  <si>
    <t>CCCCCCCCCCCCCCCC(=O)NC(CC(C)C)C(O)=O</t>
  </si>
  <si>
    <t>UEWVQOCQZFYTBW-UHFFFAOYSA-N</t>
  </si>
  <si>
    <t>C22H43NO3</t>
  </si>
  <si>
    <t>11.41_280.1374m/z</t>
  </si>
  <si>
    <t>2-Methyl-4'-(methylthio)-2-morpholinopropiophenone</t>
  </si>
  <si>
    <t>HMDB0247316</t>
  </si>
  <si>
    <t>CSC1=CC=C(C=C1)C(=O)C(C)(C)N1CCOCC1</t>
  </si>
  <si>
    <t>LWRBVKNFOYUCNP-UHFFFAOYSA-N</t>
  </si>
  <si>
    <t>C15H21NO2S</t>
  </si>
  <si>
    <t>2.03_520.9995m/z</t>
  </si>
  <si>
    <t>2-Nor-2-formylpyridoxal-5'-phosphate</t>
  </si>
  <si>
    <t>HMDB0245273</t>
  </si>
  <si>
    <t>OC1=C(C=O)C(COP(O)(O)=O)=CN=C1C=O</t>
  </si>
  <si>
    <t>CRZDHHVBLGDCIO-UHFFFAOYSA-N</t>
  </si>
  <si>
    <t>C8H8NO7P</t>
  </si>
  <si>
    <t>5.67_301.0960n</t>
  </si>
  <si>
    <t>Citpressine I</t>
  </si>
  <si>
    <t>HMDB0029323</t>
  </si>
  <si>
    <t>81525-58-8</t>
  </si>
  <si>
    <t>COC1=CC2=C(C(O)=C1)C(=O)C1=C(N2C)C(OC)=C(O)C=C1</t>
  </si>
  <si>
    <t>OQMSMWRXIZYYNR-UHFFFAOYSA-N</t>
  </si>
  <si>
    <t>C16H15NO5</t>
  </si>
  <si>
    <t>10.69_431.3165m/z</t>
  </si>
  <si>
    <t>Porrigenin A</t>
  </si>
  <si>
    <t>HMDB0032783</t>
  </si>
  <si>
    <t>196607-75-7</t>
  </si>
  <si>
    <t>CC1C2C(CC3C4CC(O)C5CC(O)C(O)CC5(C)C4CCC23C)OC11CCC(C)CO1</t>
  </si>
  <si>
    <t>FYRLHXNMINIDCB-UHFFFAOYSA-N</t>
  </si>
  <si>
    <t>1.15_218.0611m/z</t>
  </si>
  <si>
    <t>1-Amino-2-methylanthraquinone</t>
  </si>
  <si>
    <t>HMDB0243816</t>
  </si>
  <si>
    <t>C19320</t>
  </si>
  <si>
    <t>82-28-0</t>
  </si>
  <si>
    <t>CC1=C(N)C2=C(C=C1)C(=O)C1=CC=CC=C1C2=O</t>
  </si>
  <si>
    <t>ZLCUIOWQYBYEBG-UHFFFAOYSA-N</t>
  </si>
  <si>
    <t>C15H11NO2</t>
  </si>
  <si>
    <t>60</t>
  </si>
  <si>
    <t>Hydroxypropionic Acid</t>
  </si>
  <si>
    <t>HMDB0000700</t>
  </si>
  <si>
    <t>C01013</t>
  </si>
  <si>
    <t>hsa00240,hsa00410,hsa00640</t>
  </si>
  <si>
    <t>Pyrimidine metabolism|beta-Alanine metabolism|Propanoate metabolism</t>
  </si>
  <si>
    <t>503-66-2</t>
  </si>
  <si>
    <t>OCCC(O)=O</t>
  </si>
  <si>
    <t>ALRHLSYJTWAHJZ-UHFFFAOYSA-N</t>
  </si>
  <si>
    <t>551</t>
  </si>
  <si>
    <t>Lathosterol</t>
  </si>
  <si>
    <t>HMDB0001170</t>
  </si>
  <si>
    <t>LMST01010089</t>
  </si>
  <si>
    <t>C01189</t>
  </si>
  <si>
    <t>R-HSA-1430728,R-HSA-191273,R-HSA-556833,R-HSA-6807062,R-HSA-8957322</t>
  </si>
  <si>
    <t>Metabolism|Cholesterol biosynthesis|Metabolism of lipids|Cholesterol biosynthesis via lathosterol|Metabolism of steroids</t>
  </si>
  <si>
    <t>80-99-9</t>
  </si>
  <si>
    <t>C1[C@]2(C)[C@@]3([H])CC[C@]4(C)[C@@]([H])([C@]([H])(C)CCCC(C)C)CC[C@@]4([H])C3=CC[C@@]2([H])C[C@@H](O)C1</t>
  </si>
  <si>
    <t>IZVFFXVYBHFIHY-SKCNUYALSA-N</t>
  </si>
  <si>
    <t>0.82_237.0557m/z</t>
  </si>
  <si>
    <t>7,8-Dihydroxyflavone</t>
  </si>
  <si>
    <t>HMDB0247297</t>
  </si>
  <si>
    <t>38183-03-8</t>
  </si>
  <si>
    <t>OC1=CC=C2C(=O)C=C(OC2=C1O)C1=CC=CC=C1</t>
  </si>
  <si>
    <t>COCYGNDCWFKTMF-UHFFFAOYSA-N</t>
  </si>
  <si>
    <t>C15H10O4</t>
  </si>
  <si>
    <t>0.99_272.0380m/z</t>
  </si>
  <si>
    <t>2-[(2S)-2-Amino-3-carboxypropanoyl]oxybutanedioic acid</t>
  </si>
  <si>
    <t>HMDB0258136</t>
  </si>
  <si>
    <t>NC(CC(O)=O)C(=O)OC(CC(O)=O)C(O)=O</t>
  </si>
  <si>
    <t>OESVYSFFIRLOIJ-UHFFFAOYSA-N</t>
  </si>
  <si>
    <t>C8H11NO8</t>
  </si>
  <si>
    <t>7.24_225.1024m/z</t>
  </si>
  <si>
    <t>Carbamazepine iminoquinone</t>
  </si>
  <si>
    <t>HMDB0060675</t>
  </si>
  <si>
    <t>C16605</t>
  </si>
  <si>
    <t>O=C1C=CC2=NC3=CC=CC=C3C=CC2=C1</t>
  </si>
  <si>
    <t>CVKDTTCYQAJIAC-UHFFFAOYSA-N</t>
  </si>
  <si>
    <t>C14H9NO</t>
  </si>
  <si>
    <t>7.83_321.1706m/z</t>
  </si>
  <si>
    <t>Ginsenoyne C</t>
  </si>
  <si>
    <t>HMDB0038994</t>
  </si>
  <si>
    <t>LMFA05000662</t>
  </si>
  <si>
    <t>139163-35-2</t>
  </si>
  <si>
    <t>C=CC(O)C#CC#CCC(C(CCCCCC=C)O)O</t>
  </si>
  <si>
    <t>WNVDKDQMWFSCPI-UHFFFAOYSA-N</t>
  </si>
  <si>
    <t>2.06_397.1124m/z</t>
  </si>
  <si>
    <t>Swertiamarin</t>
  </si>
  <si>
    <t>HMDB0258644</t>
  </si>
  <si>
    <t>OCC1OC(OC2OC=C3C(=O)OCCC3(O)C2C=C)C(O)C(O)C1O</t>
  </si>
  <si>
    <t>HEYZWPRKKUGDCR-UHFFFAOYSA-N</t>
  </si>
  <si>
    <t>C16H22O10</t>
  </si>
  <si>
    <t>12.68_142.1230m/z</t>
  </si>
  <si>
    <t>3-amino-octanoic acid</t>
  </si>
  <si>
    <t>LMFA01100020</t>
  </si>
  <si>
    <t>C(CC(N)CCCCC)(=O)O</t>
  </si>
  <si>
    <t>FYHHDJRMDOBZJF-UHFFFAOYSA-N</t>
  </si>
  <si>
    <t>C8H17NO2</t>
  </si>
  <si>
    <t>4.10_352.1040m/z</t>
  </si>
  <si>
    <t>4-(2-amino-3-hydroxyphenyl)-4-oxobutanoic acid O-glucoside</t>
  </si>
  <si>
    <t>HMDB0062374</t>
  </si>
  <si>
    <t>[H][C@]1(CO)O[C@@]([H])(OC2=CC=CC(C(=O)CCC(O)=O)=C2N)[C@]([H])(O)[C@@]([H])(O)[C@]1([H])O</t>
  </si>
  <si>
    <t>XEXCWFKGYJFAQK-LMXXTMHSSA-N</t>
  </si>
  <si>
    <t>C16H21NO9</t>
  </si>
  <si>
    <t>4.22_309.0833m/z</t>
  </si>
  <si>
    <t>Indoxyl glucuronide</t>
  </si>
  <si>
    <t>HMDB0010319</t>
  </si>
  <si>
    <t>35804-66-1</t>
  </si>
  <si>
    <t>O[C@@H]1[C@@H](O)[C@H](OC2=CNC3=CC=CC=C23)O[C@@H]([C@H]1O)C(O)=O</t>
  </si>
  <si>
    <t>KUYNOZVWCFXSNE-BYNIDDHOSA-N</t>
  </si>
  <si>
    <t>C14H15NO7</t>
  </si>
  <si>
    <t>9.52_205.1958m/z</t>
  </si>
  <si>
    <t>Zingiberene</t>
  </si>
  <si>
    <t>LMPR0103060002</t>
  </si>
  <si>
    <t>C09750</t>
  </si>
  <si>
    <t>[C@@]1([H])(C=CC(C)=CC1)[C@@H](C)CC/C=C(\C)/C</t>
  </si>
  <si>
    <t>KKOXKGNSUHTUBV-LSDHHAIUSA-N</t>
  </si>
  <si>
    <t>C15H24</t>
  </si>
  <si>
    <t>2.24_161.0446m/z</t>
  </si>
  <si>
    <t>3-methyl-2-oxo-butanoic acid</t>
  </si>
  <si>
    <t>HMDB0000019</t>
  </si>
  <si>
    <t>LMFA01020274</t>
  </si>
  <si>
    <t>C00141</t>
  </si>
  <si>
    <t>hsa00280,hsa00290,hsa00770,hsa00785</t>
  </si>
  <si>
    <t>Valine, leucine and isoleucine degradation|Valine, leucine and isoleucine biosynthesis|Pantothenate and CoA biosynthesis|Lipoic acid metabolism</t>
  </si>
  <si>
    <t>R-HSA-1430728,R-HSA-70895,R-HSA-71291</t>
  </si>
  <si>
    <t>Metabolism|Branched-chain amino acid catabolism|Metabolism of amino acids and derivatives</t>
  </si>
  <si>
    <t>759-05-7</t>
  </si>
  <si>
    <t>C(=O)(C(=O)O)C(C)C</t>
  </si>
  <si>
    <t>QHKABHOOEWYVLI-UHFFFAOYSA-N</t>
  </si>
  <si>
    <t>1.03_319.0728m/z</t>
  </si>
  <si>
    <t>Caryoynencin C</t>
  </si>
  <si>
    <t>LMFA01031208</t>
  </si>
  <si>
    <t>C(CCCC[C@H](O)/C=C/C=C\C#CC#CC#CC#C)(=O)O</t>
  </si>
  <si>
    <t>GOOGOKNSXZDSND-AIGQMXEJSA-N</t>
  </si>
  <si>
    <t>C18H16O3</t>
  </si>
  <si>
    <t>0.69_290.0057m/z</t>
  </si>
  <si>
    <t>2,8-bis-Trifluoromethyl-4-quinoline carboxylic acid</t>
  </si>
  <si>
    <t>HMDB0060726</t>
  </si>
  <si>
    <t>35853-50-0</t>
  </si>
  <si>
    <t>OC(=O)C1=CC(=NC2=C1C=CC=C2C(F)(F)F)C(F)(F)F</t>
  </si>
  <si>
    <t>QJTJIQBSZLFWFS-UHFFFAOYSA-N</t>
  </si>
  <si>
    <t>C12H5F6NO2</t>
  </si>
  <si>
    <t>7.17_465.1380m/z</t>
  </si>
  <si>
    <t>1-Hydroxy-2-(N-acetylcysteinyl)-3-butene</t>
  </si>
  <si>
    <t>HMDB0244631</t>
  </si>
  <si>
    <t>CC(=O)NC(CSC(CO)C=C)C(O)=O</t>
  </si>
  <si>
    <t>CVFXMLXLNNEEJM-UHFFFAOYSA-N</t>
  </si>
  <si>
    <t>C9H15NO4S</t>
  </si>
  <si>
    <t>4.54_149.0022m/z</t>
  </si>
  <si>
    <t>1,2,3,4-Tetrafluorobenzene</t>
  </si>
  <si>
    <t>HMDB0244115</t>
  </si>
  <si>
    <t>FC1=C(F)C(F)=C(F)C=C1</t>
  </si>
  <si>
    <t>SOZFIIXUNAKEJP-UHFFFAOYSA-N</t>
  </si>
  <si>
    <t>C6H2F4</t>
  </si>
  <si>
    <t>6.08_271.1089m/z</t>
  </si>
  <si>
    <t>5-[[Methyl(prop-2-ynyl)amino]methyl]quinolin-8-ol</t>
  </si>
  <si>
    <t>HMDB0247378</t>
  </si>
  <si>
    <t>CN(CC#C)CC1=C2C=CC=NC2=C(O)C=C1</t>
  </si>
  <si>
    <t>FQFLPZZATVCNLA-UHFFFAOYSA-N</t>
  </si>
  <si>
    <t>C14H14N2O</t>
  </si>
  <si>
    <t>11.67_311.2228m/z</t>
  </si>
  <si>
    <t>18-Hydroperoxyoctadeca-2,4-dienoic acid</t>
  </si>
  <si>
    <t>HMDB0257631</t>
  </si>
  <si>
    <t>OOCCCCCCCCCCCCCC=CC=CC(O)=O</t>
  </si>
  <si>
    <t>ACUNLGKYUQGPDZ-UHFFFAOYSA-N</t>
  </si>
  <si>
    <t>14.75_371.3167m/z</t>
  </si>
  <si>
    <t>FAHFA(10:0/3-O-12:0)</t>
  </si>
  <si>
    <t>LMFA07090140</t>
  </si>
  <si>
    <t>C(C(O)=O)C(OC(CCCCCCCCC)=O)CCCCCCCCC</t>
  </si>
  <si>
    <t>ACHKZGVGTYTTDM-UHFFFAOYSA-N</t>
  </si>
  <si>
    <t>C22H42O4</t>
  </si>
  <si>
    <t>7.49_336.1598m/z</t>
  </si>
  <si>
    <t>Olopatadine</t>
  </si>
  <si>
    <t>HMDB0014906</t>
  </si>
  <si>
    <t>C07789</t>
  </si>
  <si>
    <t>113806-05-6</t>
  </si>
  <si>
    <t>CN(C)CC\C=C1\C2=CC=CC=C2COC2=C1C=C(CC(O)=O)C=C2</t>
  </si>
  <si>
    <t>JBIMVDZLSHOPLA-LSCVHKIXSA-N</t>
  </si>
  <si>
    <t>Benzoxepines</t>
  </si>
  <si>
    <t>Dibenzoxepines</t>
  </si>
  <si>
    <t>4.69_248.0875m/z</t>
  </si>
  <si>
    <t>Doranidazole</t>
  </si>
  <si>
    <t>HMDB0251588</t>
  </si>
  <si>
    <t>OCC(O)C(CO)OCN1C=CN=C1[N+]([O-])=O</t>
  </si>
  <si>
    <t>FIITXXIVUIXYMI-UHFFFAOYSA-N</t>
  </si>
  <si>
    <t>C8H13N3O6</t>
  </si>
  <si>
    <t>1.03_164.0111m/z</t>
  </si>
  <si>
    <t>2-Amino-4-phosphonobutyric acid</t>
  </si>
  <si>
    <t>HMDB0244992</t>
  </si>
  <si>
    <t>NC(CCP(O)(O)=O)C(O)=O</t>
  </si>
  <si>
    <t>DDOQBQRIEWHWBT-UHFFFAOYSA-N</t>
  </si>
  <si>
    <t>C4H10NO5P</t>
  </si>
  <si>
    <t>14.47_477.3957m/z</t>
  </si>
  <si>
    <t>5-n-tricosylresorcinol</t>
  </si>
  <si>
    <t>HMDB0038524</t>
  </si>
  <si>
    <t>LMPK15030006</t>
  </si>
  <si>
    <t>70110-60-0</t>
  </si>
  <si>
    <t>C1(O)C=C(CCCCCCCCCCCCCCCCCCCCCCC)C=C(O)C=1</t>
  </si>
  <si>
    <t>OHTBGMREZYLZQD-UHFFFAOYSA-N</t>
  </si>
  <si>
    <t>C29H52O2</t>
  </si>
  <si>
    <t>10.09_266.1888n</t>
  </si>
  <si>
    <t>13,14-epoxy-7Z,10Z-Hexadecenoic acid</t>
  </si>
  <si>
    <t>LMFA01070023</t>
  </si>
  <si>
    <t>C(O)(=O)CCCCC/C=C\C/C=C\CC1C(CC)O1</t>
  </si>
  <si>
    <t>DEYUZONFWPPQHC-YHOGECKDSA-N</t>
  </si>
  <si>
    <t>5.43_219.0228m/z</t>
  </si>
  <si>
    <t>Brassilexin</t>
  </si>
  <si>
    <t>HMDB0039638</t>
  </si>
  <si>
    <t>119752-76-0</t>
  </si>
  <si>
    <t>N1C2=C(C=NS2)C2=CC=CC=C12</t>
  </si>
  <si>
    <t>NHMBEDDKDVIBQD-UHFFFAOYSA-N</t>
  </si>
  <si>
    <t>C9H6N2S</t>
  </si>
  <si>
    <t>11.49_325.1704m/z</t>
  </si>
  <si>
    <t>Citalopram</t>
  </si>
  <si>
    <t>HMDB0005038</t>
  </si>
  <si>
    <t>C07572</t>
  </si>
  <si>
    <t>59729-33-8</t>
  </si>
  <si>
    <t>CN(C)CCCC1(OCC2=C1C=CC(=C2)C#N)C1=CC=C(F)C=C1</t>
  </si>
  <si>
    <t>WSEQXVZVJXJVFP-UHFFFAOYSA-N</t>
  </si>
  <si>
    <t>C20H21FN2O</t>
  </si>
  <si>
    <t>297</t>
  </si>
  <si>
    <t>Methyl 6-Deoxy-L-Galactopyranoside</t>
  </si>
  <si>
    <t>CC1C(C(C(C(O1)OC)O)O)O</t>
  </si>
  <si>
    <t>OHWCAVRRXKJCRB-DVEMRHSHSA-N</t>
  </si>
  <si>
    <t>1.30_547.3296m/z</t>
  </si>
  <si>
    <t>Venustone</t>
  </si>
  <si>
    <t>LMST01010431</t>
  </si>
  <si>
    <t>C1[C@H](O)[C@H](O)C[C@@]2([H])C(=O)C=C3[C@@](CC[C@]4([C@@]3(O)CC[C@]4([H])[C@](O)(C)[C@H](OC(C[C@H](O)C)=O)CCC(O)(C)C)C)([H])[C@]21C</t>
  </si>
  <si>
    <t>FCKMDUFNBYPSNI-RTYUKWHMSA-N</t>
  </si>
  <si>
    <t>C31H50O9</t>
  </si>
  <si>
    <t>5.28_530.9664m/z</t>
  </si>
  <si>
    <t>2-[(3-Iodophenyl)methyl]-1-[[N'-[(3-iodophenyl)methyl]carbamimidoyl]amino]guanidine</t>
  </si>
  <si>
    <t>HMDB0255366</t>
  </si>
  <si>
    <t>NC(NNC(N)=NCC1=CC(I)=CC=C1)=NCC1=CC(I)=CC=C1</t>
  </si>
  <si>
    <t>INXCCTQPWWSKRH-UHFFFAOYSA-N</t>
  </si>
  <si>
    <t>C16H18I2N6</t>
  </si>
  <si>
    <t>4.26_205.1343m/z</t>
  </si>
  <si>
    <t>Isophorone diisocyanate</t>
  </si>
  <si>
    <t>HMDB0253670</t>
  </si>
  <si>
    <t>CC1(C)CC(CC(C)(CN=C=O)C1)N=C=O</t>
  </si>
  <si>
    <t>NIMLQBUJDJZYEJ-UHFFFAOYSA-N</t>
  </si>
  <si>
    <t>C12H18N2O2</t>
  </si>
  <si>
    <t>12.19_306.2801m/z</t>
  </si>
  <si>
    <t>Ethylestrenol</t>
  </si>
  <si>
    <t>HMDB0252076</t>
  </si>
  <si>
    <t>CCC1(O)CCC2C3CCC4=CCCCC4C3CCC12C</t>
  </si>
  <si>
    <t>AOXRBFRFYPMWLR-UHFFFAOYSA-N</t>
  </si>
  <si>
    <t>11.01_255.2325m/z</t>
  </si>
  <si>
    <t>15-hydroxy-hexadecanoic acid</t>
  </si>
  <si>
    <t>LMFA01050187</t>
  </si>
  <si>
    <t>C(CCCCCCCCCCCCCC(O)C)(=O)O</t>
  </si>
  <si>
    <t>WQPQDBIUAFINBH-UHFFFAOYSA-N</t>
  </si>
  <si>
    <t>266</t>
  </si>
  <si>
    <t>2-Deoxy-D-Ribitol</t>
  </si>
  <si>
    <t>HMDB0033919</t>
  </si>
  <si>
    <t>OCCC(O)C(O)CO</t>
  </si>
  <si>
    <t>ZDAWZDFBPUUDAY-UHFFFAOYSA-N</t>
  </si>
  <si>
    <t>C5H12O4</t>
  </si>
  <si>
    <t>411</t>
  </si>
  <si>
    <t>N-Alpha-Acetyl-L-Lysine</t>
  </si>
  <si>
    <t>HMDB0000446</t>
  </si>
  <si>
    <t>C12989</t>
  </si>
  <si>
    <t>1946-82-3</t>
  </si>
  <si>
    <t>CC(=O)NC(CCCCN)C(=O)O</t>
  </si>
  <si>
    <t>VEYYWZRYIYDQJM-UHFFFAOYSA-N</t>
  </si>
  <si>
    <t>3.98_320.0753m/z</t>
  </si>
  <si>
    <t>5-Hydroxy-6-methoxyindole glucuronide</t>
  </si>
  <si>
    <t>HMDB0010363</t>
  </si>
  <si>
    <t>77463-71-9</t>
  </si>
  <si>
    <t>COC1=C(O[C@@H]2O[C@@H]([C@@H](O)[C@H](O)[C@H]2O)C(O)=O)C=C2C=CNC2=C1</t>
  </si>
  <si>
    <t>MLRMPLSCFCMXGJ-DKBOKBLXSA-N</t>
  </si>
  <si>
    <t>C15H17NO8</t>
  </si>
  <si>
    <t>11.25_339.2154m/z</t>
  </si>
  <si>
    <t>PsiAalpha</t>
  </si>
  <si>
    <t>LMFA07040139</t>
  </si>
  <si>
    <t>[C@H]1(CCCC(=O)O1)CC[C@@H](O)/C=C\C/C=C\CCCCC</t>
  </si>
  <si>
    <t>VLPHJTSSBQZBFD-JFKQHRMJSA-N</t>
  </si>
  <si>
    <t>4.63_425.1073m/z</t>
  </si>
  <si>
    <t>3-Glucosyl-2,3',4,4',6-pentahydroxybenzophenone</t>
  </si>
  <si>
    <t>HMDB0032645</t>
  </si>
  <si>
    <t>92631-83-9</t>
  </si>
  <si>
    <t>OCC1OC(C(O)C(O)C1O)C1=C(O)C=C(O)C(C(=O)C2=CC(O)=C(O)C=C2)=C1O</t>
  </si>
  <si>
    <t>VYGJDASIWDWDAM-UHFFFAOYSA-N</t>
  </si>
  <si>
    <t>C19H20O11</t>
  </si>
  <si>
    <t>1.07_171.1021m/z</t>
  </si>
  <si>
    <t>NONIC ACID</t>
  </si>
  <si>
    <t>CCCCCC(CC(=O)O)C(=O)O</t>
  </si>
  <si>
    <t>FNZSVEHJZREFPF-SSDOTTSWSA-N</t>
  </si>
  <si>
    <t>5.31_203.1282m/z</t>
  </si>
  <si>
    <t>3,10-dihydroxydecanoic acid</t>
  </si>
  <si>
    <t>LMFA01050429</t>
  </si>
  <si>
    <t>C(CC(O)CCCCCCCO)(=O)O</t>
  </si>
  <si>
    <t>WXCLDXYQUQDNDB-UHFFFAOYSA-N</t>
  </si>
  <si>
    <t>C10H20O4</t>
  </si>
  <si>
    <t>3.62_330.1046m/z</t>
  </si>
  <si>
    <t>Profluralin</t>
  </si>
  <si>
    <t>C19065</t>
  </si>
  <si>
    <t>26399-36-0</t>
  </si>
  <si>
    <t>CCCN(CC1CC1)C2=C(C=C(C=C2[N+](=O)[O-])C(F)(F)F)[N+](=O)[O-]</t>
  </si>
  <si>
    <t>ITVQAKZNYJEWKS-UHFFFAOYSA-N</t>
  </si>
  <si>
    <t>C14H16F3N3O4</t>
  </si>
  <si>
    <t>5.06_466.1983m/z</t>
  </si>
  <si>
    <t>Dihydroxyacidissiminol</t>
  </si>
  <si>
    <t>HMDB0040792</t>
  </si>
  <si>
    <t>160387-10-0</t>
  </si>
  <si>
    <t>C\C(=C/COC1=CC=C(CCNC(=O)C2=CC=CC=C2)C=C1)C(O)CC(O)C(C)(C)O</t>
  </si>
  <si>
    <t>GDCAKUNBXRNADM-NBVRZTHBSA-N</t>
  </si>
  <si>
    <t>C25H33NO5</t>
  </si>
  <si>
    <t>5.00_507.1486m/z</t>
  </si>
  <si>
    <t>Bis(2-hydroxyethyl) terephthalate</t>
  </si>
  <si>
    <t>HMDB0249245</t>
  </si>
  <si>
    <t>OCCOC(=O)C1=CC=C(C=C1)C(=O)OCCO</t>
  </si>
  <si>
    <t>QPKOBORKPHRBPS-UHFFFAOYSA-N</t>
  </si>
  <si>
    <t>C12H14O6</t>
  </si>
  <si>
    <t>1.03_294.0510m/z</t>
  </si>
  <si>
    <t>5'-Phosphoribosyl-N-formylglycinamidine</t>
  </si>
  <si>
    <t>HMDB0002305</t>
  </si>
  <si>
    <t>C04640</t>
  </si>
  <si>
    <t>6157-85-3</t>
  </si>
  <si>
    <t>O[C@H]1[C@@H](O)[C@H](NC(=N)CNC=O)O[C@@H]1COP(O)(O)=O</t>
  </si>
  <si>
    <t>PMCOGCVKOAOZQM-XVFCMESISA-N</t>
  </si>
  <si>
    <t>C8H16N3O8P</t>
  </si>
  <si>
    <t>195</t>
  </si>
  <si>
    <t>Beta-Alanine</t>
  </si>
  <si>
    <t>HMDB0000056</t>
  </si>
  <si>
    <t>C00099</t>
  </si>
  <si>
    <t>hsa00240,hsa00410,hsa00640,hsa00770,hsa04080</t>
  </si>
  <si>
    <t>Pyrimidine metabolism|beta-Alanine metabolism|Propanoate metabolism|Pantothenate and CoA biosynthesis|Neuroactive ligand-receptor interaction</t>
  </si>
  <si>
    <t>R-HSA-112310,R-HSA-112315,R-HSA-112316,R-HSA-1643685,R-HSA-352230,R-HSA-382551,R-HSA-425366,R-HSA-425393,R-HSA-425407,R-HSA-442660,R-HSA-5619094,R-HSA-5619102,R-HSA-5619115,R-HSA-888590,R-HSA-888593</t>
  </si>
  <si>
    <t>Neurotransmitter release cycle|Transmission across Chemical Synapses|Neuronal System|Disease|Amino acid transport across the plasma membrane|Transport of small molecules|Transport of bile salts and organic acids, metal ions and amine compounds|Transport of inorganic cations/anions and amino acids/oligopeptides|SLC-mediated transmembrane transport|Na+/Cl- dependent neurotransmitter transporters|Variant SLC6A14 may confer susceptibility towards obesity|SLC transporter disorders|Disorders of transmembrane transporters|GABA synthesis, release, reuptake and degradation|Reuptake of GABA</t>
  </si>
  <si>
    <t>107-95-9</t>
  </si>
  <si>
    <t>NCCC(O)=O</t>
  </si>
  <si>
    <t>UCMIRNVEIXFBKS-UHFFFAOYSA-N</t>
  </si>
  <si>
    <t>3.73_432.1369m/z</t>
  </si>
  <si>
    <t>Tegoprazan</t>
  </si>
  <si>
    <t>HMDB0258778</t>
  </si>
  <si>
    <t>CN(C)C(=O)C1=CC2=C(N=C(C)N2)C(OC2CCOC3=CC(F)=CC(F)=C23)=C1</t>
  </si>
  <si>
    <t>CLIQCDHNPDMGSL-UHFFFAOYSA-N</t>
  </si>
  <si>
    <t>C20H19F2N3O3</t>
  </si>
  <si>
    <t>3.75_277.1459n</t>
  </si>
  <si>
    <t>Methionyl-Lysine</t>
  </si>
  <si>
    <t>HMDB0028978</t>
  </si>
  <si>
    <t>CSCCC(N)C(=O)NC(CCCCN)C(O)=O</t>
  </si>
  <si>
    <t>IMTUWVJPCQPJEE-UHFFFAOYSA-N</t>
  </si>
  <si>
    <t>C11H23N3O3S</t>
  </si>
  <si>
    <t>11.51_483.3114m/z</t>
  </si>
  <si>
    <t>Ganolucidic acid E</t>
  </si>
  <si>
    <t>HMDB0037607</t>
  </si>
  <si>
    <t>114567-50-9</t>
  </si>
  <si>
    <t>CC(CC\C=C(\C)C(O)=O)C1CC(O)C2(C)C3=C(C(=O)CC12C)C1(C)CCC(=O)C(C)(C)C1CC3</t>
  </si>
  <si>
    <t>XRBLVCACUHPHDE-ZDLGFXPLSA-N</t>
  </si>
  <si>
    <t>C30H44O5</t>
  </si>
  <si>
    <t>5.20_185.0812m/z</t>
  </si>
  <si>
    <t>4-Vinylcyclohexene dioxide</t>
  </si>
  <si>
    <t>HMDB0246593</t>
  </si>
  <si>
    <t>C19311</t>
  </si>
  <si>
    <t>106-87-6</t>
  </si>
  <si>
    <t>C1OC1C1CCC2OC2C1</t>
  </si>
  <si>
    <t>OECTYKWYRCHAKR-UHFFFAOYSA-N</t>
  </si>
  <si>
    <t>9.05_407.1125m/z</t>
  </si>
  <si>
    <t>2,3,4,6-Tetra-O-acetyl-beta-D-glucopyranosyl isothiocyanate</t>
  </si>
  <si>
    <t>HMDB0244602</t>
  </si>
  <si>
    <t>CC(=O)OCC1OC(N=C=S)C(OC(C)=O)C(OC(C)=O)C1OC(C)=O</t>
  </si>
  <si>
    <t>WOWNQYXIQWQJRJ-UHFFFAOYSA-N</t>
  </si>
  <si>
    <t>C15H19NO9S</t>
  </si>
  <si>
    <t>4.50_430.1211m/z</t>
  </si>
  <si>
    <t>Sarafloxacin</t>
  </si>
  <si>
    <t>HMDB0039526</t>
  </si>
  <si>
    <t>98105-99-8</t>
  </si>
  <si>
    <t>OC(=O)C1=CN(C2=CC=C(F)C=C2)C2=CC(N3CCNCC3)=C(F)C=C2C1=O</t>
  </si>
  <si>
    <t>XBHBWNFJWIASRO-UHFFFAOYSA-N</t>
  </si>
  <si>
    <t>C20H17F2N3O3</t>
  </si>
  <si>
    <t>8.62_179.0705m/z</t>
  </si>
  <si>
    <t>(4-Methylphenyl)acetaldehyde</t>
  </si>
  <si>
    <t>HMDB0029639</t>
  </si>
  <si>
    <t>104-09-6</t>
  </si>
  <si>
    <t>CC1=CC=C(CC=O)C=C1</t>
  </si>
  <si>
    <t>CIXAYNMKFFQEFU-UHFFFAOYSA-N</t>
  </si>
  <si>
    <t>Phenylacetaldehydes</t>
  </si>
  <si>
    <t>1.20_249.0497m/z</t>
  </si>
  <si>
    <t>5,5-Diphenyl-2-thiohydantoin</t>
  </si>
  <si>
    <t>HMDB0246851</t>
  </si>
  <si>
    <t>O=C1NC(=S)NC1(C1=CC=CC=C1)C1=CC=CC=C1</t>
  </si>
  <si>
    <t>AMDPNECWKZZEBQ-UHFFFAOYSA-N</t>
  </si>
  <si>
    <t>C15H12N2OS</t>
  </si>
  <si>
    <t>7.33_319.0394m/z</t>
  </si>
  <si>
    <t>ensulizole</t>
  </si>
  <si>
    <t>27503-81-7</t>
  </si>
  <si>
    <t>C1=CC=C(C=C1)C2=NC3=C(N2)C=C(C=C3)S(=O)(=O)O</t>
  </si>
  <si>
    <t>UVCJGUGAGLDPAA-UHFFFAOYSA-N</t>
  </si>
  <si>
    <t>C13H10N2O3S</t>
  </si>
  <si>
    <t>14.15_681.4508m/z</t>
  </si>
  <si>
    <t>PA(17:0/18:4(6Z,9Z,12Z,15Z))</t>
  </si>
  <si>
    <t>LMGP10010234</t>
  </si>
  <si>
    <t>[C@](COP(=O)(O)O)([H])(OC(CCCC/C=C\C/C=C\C/C=C\C/C=C\CC)=O)COC(CCCCCCCCCCCCCCCC)=O</t>
  </si>
  <si>
    <t>ADMCCCCDEVNCKM-TUOJISFKSA-N</t>
  </si>
  <si>
    <t>C38H67O8P</t>
  </si>
  <si>
    <t>6.19_314.2335m/z</t>
  </si>
  <si>
    <t>3-hydroxydecanoyl carnitine</t>
  </si>
  <si>
    <t>HMDB0061636</t>
  </si>
  <si>
    <t>CCCCCCCC(O)CC(=O)OC(CC([O-])=O)C[N+](C)(C)C</t>
  </si>
  <si>
    <t>VCRSQDIROUELAR-UHFFFAOYSA-N</t>
  </si>
  <si>
    <t>C17H33NO5</t>
  </si>
  <si>
    <t>1.85_335.0839m/z</t>
  </si>
  <si>
    <t>Flumioxazin</t>
  </si>
  <si>
    <t>HMDB0034854</t>
  </si>
  <si>
    <t>C11035</t>
  </si>
  <si>
    <t>103361-09-7</t>
  </si>
  <si>
    <t>FC1=CC2=C(C=C1N1C(=O)C3=C(CCCC3)C1=O)N(CC#C)C(=O)CO2</t>
  </si>
  <si>
    <t>FOUWCSDKDDHKQP-UHFFFAOYSA-N</t>
  </si>
  <si>
    <t>C19H15FN2O4</t>
  </si>
  <si>
    <t>490</t>
  </si>
  <si>
    <t>Mg(0:0/16:0/0:0)</t>
  </si>
  <si>
    <t>HMDB0011533</t>
  </si>
  <si>
    <t>LMGL01010025</t>
  </si>
  <si>
    <t>OC[C@]([H])(OC(CCCCCCCCCCCCCCC)=O)CO</t>
  </si>
  <si>
    <t>BBNYCLAREVXOSG-UHFFFAOYSA-N</t>
  </si>
  <si>
    <t>0.73_321.0679m/z</t>
  </si>
  <si>
    <t>Sitostanol-beta</t>
  </si>
  <si>
    <t>HMDB0304734</t>
  </si>
  <si>
    <t>OC[C@H](\N=C/C=C1\C[C@H](NC(=C1)C(O)=O)C(O)=O)C(O)=O</t>
  </si>
  <si>
    <t>FPSPMXPRFYBHKR-UQXOTDKOSA-N</t>
  </si>
  <si>
    <t>C12H14N2O7</t>
  </si>
  <si>
    <t>10.53_405.2646m/z</t>
  </si>
  <si>
    <t>O-Arachidonoyl Glycidol</t>
  </si>
  <si>
    <t>439146-24-4</t>
  </si>
  <si>
    <t>CCCCCC=CCC=CCC=CCC=CCCCC(=O)OCC1CO1</t>
  </si>
  <si>
    <t>ACYNJBAUKQMZDF-UHFFFAOYSA-N</t>
  </si>
  <si>
    <t>C23H36O3</t>
  </si>
  <si>
    <t>3.61_429.1544m/z</t>
  </si>
  <si>
    <t>N-Methacryloyl-L-glutamic acid</t>
  </si>
  <si>
    <t>HMDB0255166</t>
  </si>
  <si>
    <t>CC(=C)C(=O)NC(CCC(O)=O)C(O)=O</t>
  </si>
  <si>
    <t>BCKKKQIAPZBSDV-UHFFFAOYSA-N</t>
  </si>
  <si>
    <t>C9H13NO5</t>
  </si>
  <si>
    <t>10.97_349.2385m/z</t>
  </si>
  <si>
    <t>Oryzalexin E</t>
  </si>
  <si>
    <t>HMDB0039702</t>
  </si>
  <si>
    <t>150943-96-7</t>
  </si>
  <si>
    <t>[H][C@]12CCC3=C[C@@](C)(CC[C@@]3(O)[C@]1(C)CC[C@@H](O)C2(C)C)C=C</t>
  </si>
  <si>
    <t>RGLTYROISYBKIW-BDUQCRIQSA-N</t>
  </si>
  <si>
    <t>Hydrophenanthrenes</t>
  </si>
  <si>
    <t>9.07_223.1335m/z</t>
  </si>
  <si>
    <t>3-Methyl-1-phenyl-3-pentanol</t>
  </si>
  <si>
    <t>HMDB0031731</t>
  </si>
  <si>
    <t>10415-87-9</t>
  </si>
  <si>
    <t>CCC(C)(O)CCC1=CC=CC=C1</t>
  </si>
  <si>
    <t>AEJRTNBCFUOSEM-UHFFFAOYSA-N</t>
  </si>
  <si>
    <t>4.26_390.1710m/z</t>
  </si>
  <si>
    <t>3-Pyridazinamine, N-(1-((3,4-difluorophenyl)methyl)-4-piperidinyl)-6-(trifluoromethyl)-</t>
  </si>
  <si>
    <t>HMDB0259582</t>
  </si>
  <si>
    <t>FC1=C(F)C=C(CN2CCC(CC2)NC2=CC=C(N=N2)C(F)(F)F)C=C1</t>
  </si>
  <si>
    <t>UVUYWJWYRLJHEN-UHFFFAOYSA-N</t>
  </si>
  <si>
    <t>C17H17F5N4</t>
  </si>
  <si>
    <t>10.56_339.2541m/z</t>
  </si>
  <si>
    <t>9,10-dimethoxy-13-hydroxy-11-octadecenoic acid</t>
  </si>
  <si>
    <t>LMFA01080004</t>
  </si>
  <si>
    <t>C(OC)(/C=C/C(O)CCCCC)C(OC)CCCCCCCC(=O)O</t>
  </si>
  <si>
    <t>NOFLXSQXUWLFHC-FOCLMDBBSA-N</t>
  </si>
  <si>
    <t>4.40_799.3845m/z</t>
  </si>
  <si>
    <t>Reserpic acid</t>
  </si>
  <si>
    <t>83-60-3</t>
  </si>
  <si>
    <t>COC1C(CC2CN3CCC4=C(C3CC2C1C(=O)O)NC5=C4C=CC(=C5)OC)O</t>
  </si>
  <si>
    <t>JVHNBFFHWQQPLL-WOXROFTLSA-N</t>
  </si>
  <si>
    <t>Corynanthean-type alkaloids</t>
  </si>
  <si>
    <t>C22H28N2O5</t>
  </si>
  <si>
    <t>13.10_407.3167m/z</t>
  </si>
  <si>
    <t>5beta-Cholane-3alpha,24-diol</t>
  </si>
  <si>
    <t>LMST04010316</t>
  </si>
  <si>
    <t>C1[C@]2(C)[C@@]3([H])CC[C@]4(C)[C@@]([H])([C@]([H])(C)CCCO)CC[C@@]4([H])[C@]3([H])CC[C@]2([H])C[C@H](O)C1</t>
  </si>
  <si>
    <t>ACKIMFUPMAASSZ-LYWYBQTLSA-N</t>
  </si>
  <si>
    <t>C24H42O2</t>
  </si>
  <si>
    <t>4.96_201.1029m/z</t>
  </si>
  <si>
    <t>Methyl 2-amino-3-(1H-indol-3-yl)propanoate</t>
  </si>
  <si>
    <t>HMDB0254563</t>
  </si>
  <si>
    <t>COC(=O)C(N)CC1=CNC2=CC=CC=C12</t>
  </si>
  <si>
    <t>KCUNTYMNJVXYKZ-UHFFFAOYSA-N</t>
  </si>
  <si>
    <t>C12H14N2O2</t>
  </si>
  <si>
    <t>15.03_511.3100m/z</t>
  </si>
  <si>
    <t>(-)-Fumigaclavine B</t>
  </si>
  <si>
    <t>HMDB0030201</t>
  </si>
  <si>
    <t>6879-93-2</t>
  </si>
  <si>
    <t>CC1CN(C)C2CC3=CNC4=CC=CC(C2C1O)=C34</t>
  </si>
  <si>
    <t>JUXRVSRUBIFVKE-UHFFFAOYSA-N</t>
  </si>
  <si>
    <t>Clavines and derivatives</t>
  </si>
  <si>
    <t>C16H20N2O</t>
  </si>
  <si>
    <t>3.61_329.0288m/z</t>
  </si>
  <si>
    <t>Inosinic acid</t>
  </si>
  <si>
    <t>HMDB0000175</t>
  </si>
  <si>
    <t>C00130</t>
  </si>
  <si>
    <t>hsa00230,hsa01523,hsa04742</t>
  </si>
  <si>
    <t>Purine metabolism|Antifolate resistance|Taste transduction</t>
  </si>
  <si>
    <t>R-HSA-2173782,R-HSA-3000480,R-HSA-5653656</t>
  </si>
  <si>
    <t>Binding and Uptake of Ligands by Scavenger Receptors|Scavenging by Class A Receptors|Vesicle-mediated transport</t>
  </si>
  <si>
    <t>131-99-7</t>
  </si>
  <si>
    <t>O[C@@H]1[C@@H](COP(O)(O)=O)O[C@H]([C@@H]1O)N1C=NC2=C1N=CNC2=O</t>
  </si>
  <si>
    <t>GRSZFWQUAKGDAV-KQYNXXCUSA-N</t>
  </si>
  <si>
    <t>C10H13N4O8P</t>
  </si>
  <si>
    <t>6.68_144.1386m/z</t>
  </si>
  <si>
    <t>4-Methyl-6-hepten-3-one</t>
  </si>
  <si>
    <t>LMFA12000108</t>
  </si>
  <si>
    <t>CCC(=O)C(C)CC=C</t>
  </si>
  <si>
    <t>AOXNCUPDNCMHRX-UHFFFAOYSA-N</t>
  </si>
  <si>
    <t>C8H14O</t>
  </si>
  <si>
    <t>12.92_247.1405m/z</t>
  </si>
  <si>
    <t>(2S)-2-(Carboxymethylamino)-5-(diaminomethylideneamino)-4-methylpentanoic acid</t>
  </si>
  <si>
    <t>HMDB0260137</t>
  </si>
  <si>
    <t>CC(CN=C(N)N)CC(NCC(O)=O)C(O)=O</t>
  </si>
  <si>
    <t>BEUMZLYCBRLYSB-UHFFFAOYSA-N</t>
  </si>
  <si>
    <t>11.93_417.3012m/z</t>
  </si>
  <si>
    <t>11'-Carboxy-alpha-chromanol</t>
  </si>
  <si>
    <t>HMDB0012515</t>
  </si>
  <si>
    <t>C[C@@H](CCC[C@@H](C)CCC(O)=O)CCC[C@]1(C)CCC2=C(O1)C(C)=C(C)C(O)=C2C</t>
  </si>
  <si>
    <t>FKTCHXAVPYGOSM-CUAXAMRHSA-N</t>
  </si>
  <si>
    <t>175</t>
  </si>
  <si>
    <t>Pipecolic Acid</t>
  </si>
  <si>
    <t>HMDB0000070</t>
  </si>
  <si>
    <t>C00408</t>
  </si>
  <si>
    <t>535-75-1</t>
  </si>
  <si>
    <t>OC(=O)C1CCCCN1</t>
  </si>
  <si>
    <t>HXEACLLIILLPRG-UHFFFAOYSA-N</t>
  </si>
  <si>
    <t>4.63_318.1564n</t>
  </si>
  <si>
    <t>Noopept</t>
  </si>
  <si>
    <t>HMDB0255714</t>
  </si>
  <si>
    <t>CCOC(=O)CNC(=O)C1CCCN1C(=O)CC1=CC=CC=C1</t>
  </si>
  <si>
    <t>PJNSMUBMSNAEEN-UHFFFAOYSA-N</t>
  </si>
  <si>
    <t>M+NH4, M+K</t>
  </si>
  <si>
    <t>C17H22N2O4</t>
  </si>
  <si>
    <t>2.94_281.1119m/z</t>
  </si>
  <si>
    <t>Hydroxy-lacosamide</t>
  </si>
  <si>
    <t>HMDB0061146</t>
  </si>
  <si>
    <t>COC[C@@H](NCC(O)=O)C(=O)NCC1=CC=C(O)C=C1</t>
  </si>
  <si>
    <t>RBFMZJMSICTYCA-LLVKDONJSA-N</t>
  </si>
  <si>
    <t>0.95_225.0611m/z</t>
  </si>
  <si>
    <t>Creatinine aspartate</t>
  </si>
  <si>
    <t>HMDB0250526</t>
  </si>
  <si>
    <t>CN1C(N)=NC(=O)C11OC(=O)CC(N)C(=O)O1</t>
  </si>
  <si>
    <t>QOEACSSLKSYGRF-UHFFFAOYSA-N</t>
  </si>
  <si>
    <t>C8H10N4O5</t>
  </si>
  <si>
    <t>7.90_305.0819m/z</t>
  </si>
  <si>
    <t>Musanolone C</t>
  </si>
  <si>
    <t>HMDB0037111</t>
  </si>
  <si>
    <t>OC1C(O)C2=CC=CC3=C2C(C1=O)=C(C=C3)C1=CC=C(O)C=C1</t>
  </si>
  <si>
    <t>HQIRTAPJDZWJHS-UHFFFAOYSA-N</t>
  </si>
  <si>
    <t>C19H14O4</t>
  </si>
  <si>
    <t>171</t>
  </si>
  <si>
    <t>Citraconic Acid</t>
  </si>
  <si>
    <t>HMDB0000634</t>
  </si>
  <si>
    <t>LMFA01170099</t>
  </si>
  <si>
    <t>C02226</t>
  </si>
  <si>
    <t>hsa00290</t>
  </si>
  <si>
    <t>Valine, leucine and isoleucine biosynthesis</t>
  </si>
  <si>
    <t>498-23-7</t>
  </si>
  <si>
    <t>C(=O)(O)/C(/C)=C\C(=O)O</t>
  </si>
  <si>
    <t>HNEGQIOMVPPMNR-IHWYPQMZSA-N</t>
  </si>
  <si>
    <t>4.04_170.0814m/z</t>
  </si>
  <si>
    <t>2-Ethyl-5-imino-1-cyclopenten-1-ol</t>
  </si>
  <si>
    <t>HMDB0039583</t>
  </si>
  <si>
    <t>90554-84-0</t>
  </si>
  <si>
    <t>CCC1=C(O)C(=N)CC1</t>
  </si>
  <si>
    <t>QWYZDNYETGLKEE-UHFFFAOYSA-N</t>
  </si>
  <si>
    <t>Imines</t>
  </si>
  <si>
    <t>3.75_373.1794m/z</t>
  </si>
  <si>
    <t>Abyssinone III</t>
  </si>
  <si>
    <t>LMPK12140051</t>
  </si>
  <si>
    <t>C1(O)=CC2OC(C3C=C4C=CC(C)(C)OC4=C(C/C=C(\C)/C)C=3)CC(=O)C=2C=C1</t>
  </si>
  <si>
    <t>BWSXMPVDLMJKKY-UHFFFAOYSA-N</t>
  </si>
  <si>
    <t>C25H26O4</t>
  </si>
  <si>
    <t>9.46_287.2228m/z</t>
  </si>
  <si>
    <t>9,10-dihydroxy-hexadecanoic acid</t>
  </si>
  <si>
    <t>LMFA01050191</t>
  </si>
  <si>
    <t>C(CCCCCCCC(O)C(O)CCCCCC)(=O)O</t>
  </si>
  <si>
    <t>MHWBJDVXYSGJET-UHFFFAOYSA-N</t>
  </si>
  <si>
    <t>4.55_814.4495m/z</t>
  </si>
  <si>
    <t>PS(5-iso PGF2VI/15:0)</t>
  </si>
  <si>
    <t>HMDB0281051</t>
  </si>
  <si>
    <t>CCCCCCCCCCCCCCC(=O)O[C@H](COC(=O)C\C=C/C[C@@H]1[C@@H](O)C[C@@H](O)[C@@H]1\C=C\[C@H](O)CCCCC)COP(O)(=O)OC[C@H](N)C(O)=O</t>
  </si>
  <si>
    <t>PXEPCPIWVJFSMF-SMFKLPFLSA-N</t>
  </si>
  <si>
    <t>C39H70NO13P</t>
  </si>
  <si>
    <t>8.53_403.2105m/z</t>
  </si>
  <si>
    <t>Canrenoic acid</t>
  </si>
  <si>
    <t>HMDB0249591</t>
  </si>
  <si>
    <t>CC12CCC3C(C=CC4=CC(=O)CCC34C)C1CCC2(O)CCC(O)=O</t>
  </si>
  <si>
    <t>PBKZPPIHUVSDNM-UHFFFAOYSA-N</t>
  </si>
  <si>
    <t>8.03_299.1400m/z</t>
  </si>
  <si>
    <t>N-Nitrosocimetidine</t>
  </si>
  <si>
    <t>HMDB0255201</t>
  </si>
  <si>
    <t>CN(N=O)C(NC#N)=NCCSCC1=C(C)NC=N1</t>
  </si>
  <si>
    <t>LFTUYYPQNCJQGN-UHFFFAOYSA-N</t>
  </si>
  <si>
    <t>C10H15N7OS</t>
  </si>
  <si>
    <t>2.87_245.1142m/z</t>
  </si>
  <si>
    <t>Aspartyl-Isoleucine</t>
  </si>
  <si>
    <t>HMDB0028756</t>
  </si>
  <si>
    <t>CCC(C)C(NC(=O)C(N)CC(O)=O)C(O)=O</t>
  </si>
  <si>
    <t>BSWHERGFUNMWGS-UHFFFAOYSA-N</t>
  </si>
  <si>
    <t>3.92_271.0312m/z</t>
  </si>
  <si>
    <t>Sulfamethizole</t>
  </si>
  <si>
    <t>HMDB0014715</t>
  </si>
  <si>
    <t>C08050</t>
  </si>
  <si>
    <t>144-82-1</t>
  </si>
  <si>
    <t>CC1=NN=C(NS(=O)(=O)C2=CC=C(N)C=C2)S1</t>
  </si>
  <si>
    <t>VACCAVUAMIDAGB-UHFFFAOYSA-N</t>
  </si>
  <si>
    <t>C9H10N4O2S2</t>
  </si>
  <si>
    <t>5.03_407.0839m/z</t>
  </si>
  <si>
    <t>7-O-Galloyl-sedoheptulose</t>
  </si>
  <si>
    <t>HMDB0247276</t>
  </si>
  <si>
    <t>OCC(=O)C(O)C(O)C(O)C(O)COC(=O)C1=CC(O)=C(O)C(O)=C1</t>
  </si>
  <si>
    <t>FECIIGWIXFGAPK-UHFFFAOYSA-N</t>
  </si>
  <si>
    <t>C14H18O11</t>
  </si>
  <si>
    <t>9.42_444.2755m/z</t>
  </si>
  <si>
    <t>3beta-Hydroxy-7-oxochol-5-en-24-oyl-glycine</t>
  </si>
  <si>
    <t>LMST05030018</t>
  </si>
  <si>
    <t>[C@]12(C(=O)C=C3C[C@@H](O)CC[C@]3(C)[C@@]1([H])CC[C@]1(C)[C@@]([H])([C@@](C)([H])CCC(=O)NCC(=O)O)CC[C@@]21[H])[H]</t>
  </si>
  <si>
    <t>AXBXXYALPXTOOI-UBKHJBOVSA-N</t>
  </si>
  <si>
    <t>C26H39NO5</t>
  </si>
  <si>
    <t>11.29_319.2275m/z</t>
  </si>
  <si>
    <t>5-Oxo-ETE</t>
  </si>
  <si>
    <t>HMDB0010217</t>
  </si>
  <si>
    <t>LMFA03060011</t>
  </si>
  <si>
    <t>C14732</t>
  </si>
  <si>
    <t>R-HSA-1430728,R-HSA-162582,R-HSA-2142688,R-HSA-2142753,R-HSA-372790,R-HSA-373076,R-HSA-388396,R-HSA-391903,R-HSA-418594,R-HSA-500792,R-HSA-556833,R-HSA-8978868</t>
  </si>
  <si>
    <t>Metabolism|Signal Transduction|Synthesis of 5-eicosatetraenoic acids|Arachidonic acid metabolism|Signaling by GPCR|Class A/1 (Rhodopsin-like receptors)|GPCR downstream signalling|Eicosanoid ligand-binding receptors|G alpha (i) signalling events|GPCR ligand binding|Metabolism of lipids|Fatty acid metabolism</t>
  </si>
  <si>
    <t>126432-17-5</t>
  </si>
  <si>
    <t>C(O)(=O)CCCC(=O)/C=C/C=C\C/C=C\C/C=C\CCCCC</t>
  </si>
  <si>
    <t>MEASLHGILYBXFO-XTDASVJISA-N</t>
  </si>
  <si>
    <t>399</t>
  </si>
  <si>
    <t>N-Acetyl-B-Glucosaminylamine</t>
  </si>
  <si>
    <t>HMDB0001104</t>
  </si>
  <si>
    <t>C01239</t>
  </si>
  <si>
    <t>CC(=O)N[C@H]1[C@H](N)O[C@H](CO)[C@@H](O)[C@@H]1O</t>
  </si>
  <si>
    <t>MCGXOCXFFNKASF-FMDGEEDCSA-N</t>
  </si>
  <si>
    <t>C8H16N2O5</t>
  </si>
  <si>
    <t>15.03_322.9939m/z</t>
  </si>
  <si>
    <t>2-C-Methyl-D-erythritol 2,4-cyclodiphosphate</t>
  </si>
  <si>
    <t>C11453</t>
  </si>
  <si>
    <t>143488-44-2</t>
  </si>
  <si>
    <t>CC1(C(COP(=O)(OP(=O)(O1)O)O)O)CO</t>
  </si>
  <si>
    <t>SFRQRNJMIIUYDI-UHNVWZDZSA-N</t>
  </si>
  <si>
    <t>C5H12O9P2</t>
  </si>
  <si>
    <t>9.17_254.1761m/z</t>
  </si>
  <si>
    <t>Labienoxime</t>
  </si>
  <si>
    <t>HMDB0036031</t>
  </si>
  <si>
    <t>81783-01-9</t>
  </si>
  <si>
    <t>CC(C)C(=N\O)\C(C)(C)C\C=C(/C)C=C</t>
  </si>
  <si>
    <t>MEJYWDUBOCZFFS-FENWIEIGSA-N</t>
  </si>
  <si>
    <t>C13H23NO</t>
  </si>
  <si>
    <t>384</t>
  </si>
  <si>
    <t>6-Aminonicotinamide</t>
  </si>
  <si>
    <t>HMDB0247034</t>
  </si>
  <si>
    <t>329-89-5</t>
  </si>
  <si>
    <t>OC(=N)C1=CNC(=N)C=C1</t>
  </si>
  <si>
    <t>ZLWYEPMDOUQDBW-UHFFFAOYSA-N</t>
  </si>
  <si>
    <t>C6H7N3O</t>
  </si>
  <si>
    <t>10.02_392.2890m/z</t>
  </si>
  <si>
    <t>N-Palmitoyl Histidine</t>
  </si>
  <si>
    <t>HMDB0241926</t>
  </si>
  <si>
    <t>CCCCCCCCCCCCCCCC(=O)NC(CC1=CN=CN1)C(O)=O</t>
  </si>
  <si>
    <t>XHUZOURAPKCNRA-UHFFFAOYSA-N</t>
  </si>
  <si>
    <t>C22H39N3O3</t>
  </si>
  <si>
    <t>7.88_319.1163m/z</t>
  </si>
  <si>
    <t>Triciribine</t>
  </si>
  <si>
    <t>35943-35-2</t>
  </si>
  <si>
    <t>CN1C2=NC=NC3=C2C(=CN3C4C(C(C(O4)CO)O)O)C(=N1)N</t>
  </si>
  <si>
    <t>HOGVTUZUJGHKPL-HTVVRFAVSA-N</t>
  </si>
  <si>
    <t>C13H16N6O4</t>
  </si>
  <si>
    <t>10.70_363.2543m/z</t>
  </si>
  <si>
    <t>3beta-hydroxy-5alpha-pregnan-20-one</t>
  </si>
  <si>
    <t>HMDB0001455</t>
  </si>
  <si>
    <t>LMST02030173</t>
  </si>
  <si>
    <t>C15484</t>
  </si>
  <si>
    <t>516-55-2</t>
  </si>
  <si>
    <t>C1C[C@H](O)C[C@]2([H])CC[C@]3([H])[C@@]([H])([C@]21C)CC[C@]1(C)[C@@]([H])(C(=O)C)CC[C@]13[H]</t>
  </si>
  <si>
    <t>AURFZBICLPNKBZ-FZCSVUEKSA-N</t>
  </si>
  <si>
    <t>10.75_316.2855m/z</t>
  </si>
  <si>
    <t>13-HpOME(14E)</t>
  </si>
  <si>
    <t>LMFA02000098</t>
  </si>
  <si>
    <t>C(CCCCCCCCCCCC(O)/C=C/CCC)(=O)O</t>
  </si>
  <si>
    <t>GRHSBDWMCPHRGO-SDNWHVSQSA-N</t>
  </si>
  <si>
    <t>7.33_273.0745m/z</t>
  </si>
  <si>
    <t>Pemirolast</t>
  </si>
  <si>
    <t>HMDB0015023</t>
  </si>
  <si>
    <t>100299-08-9</t>
  </si>
  <si>
    <t>CC1=CC=CN2C(=O)C(=CN=C12)C1=NNN=N1</t>
  </si>
  <si>
    <t>HIANJWSAHKJQTH-UHFFFAOYSA-N</t>
  </si>
  <si>
    <t>C10H8N6O</t>
  </si>
  <si>
    <t>6.31_466.3180m/z</t>
  </si>
  <si>
    <t>Glycohyocholic acid</t>
  </si>
  <si>
    <t>HMDB0240607</t>
  </si>
  <si>
    <t>32747-08-3</t>
  </si>
  <si>
    <t>[H][C@@]1(CC[C@@]2([H])[C@]3([H])[C@H](O)[C@H](O)[C@]4([H])C[C@H](O)CC[C@]4(C)[C@@]3([H])CC[C@]12C)[C@H](C)CCC(=O)NCC(O)=O</t>
  </si>
  <si>
    <t>ZQYUKJFJPJDMMR-ZDWCHQGWSA-N</t>
  </si>
  <si>
    <t>14.70_537.4163m/z</t>
  </si>
  <si>
    <t>16-oxo-palmitate</t>
  </si>
  <si>
    <t>HMDB0304028</t>
  </si>
  <si>
    <t>[O-]C(=O)CCCCCCCCCCCCCCC=O</t>
  </si>
  <si>
    <t>NKVUEIHJDGURIA-UHFFFAOYSA-M</t>
  </si>
  <si>
    <t>C16H29O3-</t>
  </si>
  <si>
    <t>1.21_191.0138m/z</t>
  </si>
  <si>
    <t>BBT(OH)2</t>
  </si>
  <si>
    <t>LMFA12000350</t>
  </si>
  <si>
    <t>C1=CC=C(C#CC(O)CO)S1</t>
  </si>
  <si>
    <t>DJUPJQDYDPZCJZ-UHFFFAOYSA-N</t>
  </si>
  <si>
    <t>C8H8O2S</t>
  </si>
  <si>
    <t>0.99_365.0546m/z</t>
  </si>
  <si>
    <t>Fludarabine</t>
  </si>
  <si>
    <t>HMDB0015206</t>
  </si>
  <si>
    <t>75607-67-9</t>
  </si>
  <si>
    <t>NC1=C2N=CN([C@@H]3O[C@H](COP(O)(O)=O)[C@@H](O)[C@@H]3O)C2=NC(F)=N1</t>
  </si>
  <si>
    <t>GIUYCYHIANZCFB-FJFJXFQQSA-N</t>
  </si>
  <si>
    <t>C10H13FN5O7P</t>
  </si>
  <si>
    <t>13.33_440.1359m/z</t>
  </si>
  <si>
    <t>N-(4,7-Dihydroxy-8-methyl-2-oxo-2H-chromen-3-yl)-2,2-dimethylchromane-6-carboxamide</t>
  </si>
  <si>
    <t>CC1=C(C=CC2=C1OC(=O)C(=C2O)NC(=O)C3=CC4=C(C=C3)OC(CC4)(C)C)O</t>
  </si>
  <si>
    <t>MWCZKKARWNYYQC-UHFFFAOYSA-N</t>
  </si>
  <si>
    <t>C22H21NO6</t>
  </si>
  <si>
    <t>4.67_288.0302m/z</t>
  </si>
  <si>
    <t>5-(3',5'-Dihydroxyphenyl)-γ-valerolactone sulfate</t>
  </si>
  <si>
    <t>HMDB0240474</t>
  </si>
  <si>
    <t>OC1=CC(OS(O)(=O)=O)=CC(CC2CCC(=O)O2)=C1</t>
  </si>
  <si>
    <t>CVGUPVHDNVLHLW-UHFFFAOYSA-N</t>
  </si>
  <si>
    <t>C11H12O7S</t>
  </si>
  <si>
    <t>12.20_356.1298m/z</t>
  </si>
  <si>
    <t>3-[Bis(4-methoxyphenyl)methylidene]-1H-indol-2-one</t>
  </si>
  <si>
    <t>HMDB0258731</t>
  </si>
  <si>
    <t>COC1=CC=C(C=C1)C(=C1C(=O)NC2=CC=CC=C12)C1=CC=C(OC)C=C1</t>
  </si>
  <si>
    <t>KUEYYIJXBRWZIB-UHFFFAOYSA-N</t>
  </si>
  <si>
    <t>C23H19NO3</t>
  </si>
  <si>
    <t>3.92_756.3887m/z</t>
  </si>
  <si>
    <t>Arg-Pro-Pro-Gly-Phe-Ser-Pro</t>
  </si>
  <si>
    <t>HMDB0248578</t>
  </si>
  <si>
    <t>NC(CCCN=C(N)N)C(=O)N1CCCC1C(=O)N1CCCC1C(=O)NCC(=O)NC(CC1=CC=CC=C1)C(=O)NC(CO)C(=O)N1CCCC1C(O)=O</t>
  </si>
  <si>
    <t>CRROPKNGCGVIOG-UHFFFAOYSA-N</t>
  </si>
  <si>
    <t>C35H52N10O9</t>
  </si>
  <si>
    <t>7.84_413.2995m/z</t>
  </si>
  <si>
    <t>N-3-hydroxy-13-methyl-hexadecanoyl glycyl-L-serine</t>
  </si>
  <si>
    <t>LMFA08020283</t>
  </si>
  <si>
    <t>N([C@H](C(O)=O)CO)C(CNC(CC(O)CCCCCCCCCCCC(C)C)=O)=O</t>
  </si>
  <si>
    <t>VCTUHENJCLPYPI-GGYWPGCISA-N</t>
  </si>
  <si>
    <t>C22H42N2O6</t>
  </si>
  <si>
    <t>12.09_343.2294m/z</t>
  </si>
  <si>
    <t>(Z)-2,4-Dihydroxy-6-(8-pentadecenyl)benzoic acid</t>
  </si>
  <si>
    <t>HMDB0039226</t>
  </si>
  <si>
    <t>62071-06-1</t>
  </si>
  <si>
    <t>CCCCCC\C=C\CCCCCCCC1=CC(O)=CC(O)=C1C(O)=O</t>
  </si>
  <si>
    <t>ACSAQPSTIMIXGH-BQYQJAHWSA-N</t>
  </si>
  <si>
    <t>1.20_215.0169m/z</t>
  </si>
  <si>
    <t>Sodium alginate</t>
  </si>
  <si>
    <t>HMDB0303715</t>
  </si>
  <si>
    <t>[Na+].OC1OC(C(O)C(O)C1O)C([O-])=O</t>
  </si>
  <si>
    <t>MSXHSNHNTORCAW-UHFFFAOYSA-M</t>
  </si>
  <si>
    <t>C6H9NaO7</t>
  </si>
  <si>
    <t>14.71_121.0289m/z</t>
  </si>
  <si>
    <t>3,6-Dihydroxycyclohepta-2,4,6-trien-1-one</t>
  </si>
  <si>
    <t>HMDB0260262</t>
  </si>
  <si>
    <t>OC1=CC(=O)C=C(O)C=C1</t>
  </si>
  <si>
    <t>CPXFBGBTVDGTBZ-UHFFFAOYSA-N</t>
  </si>
  <si>
    <t>4.01_211.0602m/z</t>
  </si>
  <si>
    <t>3,4-Dihydroxyphenylacetone</t>
  </si>
  <si>
    <t>HMDB0031132</t>
  </si>
  <si>
    <t>2503-44-8</t>
  </si>
  <si>
    <t>CC(=O)CC1=CC(O)=C(O)C=C1</t>
  </si>
  <si>
    <t>JQXBETDGCMQLMK-UHFFFAOYSA-N</t>
  </si>
  <si>
    <t>389</t>
  </si>
  <si>
    <t>Pterin</t>
  </si>
  <si>
    <t>HMDB0000802</t>
  </si>
  <si>
    <t>C00715</t>
  </si>
  <si>
    <t>2236-60-4</t>
  </si>
  <si>
    <t>NC1=NC2=NC=CN=C2C(=O)N1</t>
  </si>
  <si>
    <t>HNXQXTQTPAJEJL-UHFFFAOYSA-N</t>
  </si>
  <si>
    <t>C6H5N5O</t>
  </si>
  <si>
    <t>14.71_148.0872m/z</t>
  </si>
  <si>
    <t>1,8-Naphthyridine</t>
  </si>
  <si>
    <t>HMDB0244251</t>
  </si>
  <si>
    <t>C1=CC2=CC=CN=C2N=C1</t>
  </si>
  <si>
    <t>FLBAYUMRQUHISI-UHFFFAOYSA-N</t>
  </si>
  <si>
    <t>C8H6N2</t>
  </si>
  <si>
    <t>4.63_347.1168m/z</t>
  </si>
  <si>
    <t>Torasemide</t>
  </si>
  <si>
    <t>HMDB0014359</t>
  </si>
  <si>
    <t>56211-40-6</t>
  </si>
  <si>
    <t>CC(C)NC(=O)NS(=O)(=O)C1=C(NC2=CC=CC(C)=C2)C=CN=C1</t>
  </si>
  <si>
    <t>NGBFQHCMQULJNZ-UHFFFAOYSA-N</t>
  </si>
  <si>
    <t>Pyridinesulfonamides</t>
  </si>
  <si>
    <t>C16H20N4O3S</t>
  </si>
  <si>
    <t>14.57_397.3688m/z</t>
  </si>
  <si>
    <t>15-hydroxy-pentacosanoic acid</t>
  </si>
  <si>
    <t>LMFA01050217</t>
  </si>
  <si>
    <t>C(CCCCCCCCCCCCCC(O)CCCCCCCCCC)(=O)O</t>
  </si>
  <si>
    <t>JIUVLHYELZYWJO-UHFFFAOYSA-N</t>
  </si>
  <si>
    <t>C25H50O3</t>
  </si>
  <si>
    <t>4.24_304.1666m/z</t>
  </si>
  <si>
    <t>Trp Val</t>
  </si>
  <si>
    <t>CC(C)C(C(=O)O)NC(=O)C(CC1=CNC2=CC=CC=C21)N</t>
  </si>
  <si>
    <t>LWFWZRANSFAJDR-JSGCOSHPSA-N</t>
  </si>
  <si>
    <t>C16H21N3O3</t>
  </si>
  <si>
    <t>5.81_357.1017m/z</t>
  </si>
  <si>
    <t>alpha-carboxyethylhydroxychroman sulfate</t>
  </si>
  <si>
    <t>LMPR02020083</t>
  </si>
  <si>
    <t>C1(C)=C(C)C2O[C@@](CCC(=O)OS(O)(=O)=O)(C)CCC=2C(C)=C1O</t>
  </si>
  <si>
    <t>DFNUJIUXQRXFLH-INIZCTEOSA-N</t>
  </si>
  <si>
    <t>C16H22O7S</t>
  </si>
  <si>
    <t>4.89_324.0835m/z</t>
  </si>
  <si>
    <t>Mahaleboside</t>
  </si>
  <si>
    <t>HMDB0032984</t>
  </si>
  <si>
    <t>OCC1OC(OC2=CC=CC3=C2C=CC(=O)O3)C(O)C(O)C1O</t>
  </si>
  <si>
    <t>UMXDJWMIEHQSHF-UHFFFAOYSA-N</t>
  </si>
  <si>
    <t>C15H16O8</t>
  </si>
  <si>
    <t>0.99_338.9892m/z</t>
  </si>
  <si>
    <t>Dihydroxyacetone phosphate</t>
  </si>
  <si>
    <t>HMDB0001473</t>
  </si>
  <si>
    <t>C00111</t>
  </si>
  <si>
    <t>hsa00010,hsa00040,hsa00051,hsa00052,hsa00561,hsa00562,hsa00564,hsa00630,hsa00640,hsa00760</t>
  </si>
  <si>
    <t>Glycolysis / Gluconeogenesis|Pentose and glucuronate interconversions|Fructose and mannose metabolism|Galactose metabolism|Glycerolipid metabolism|Inositol phosphate metabolism|Glycerophospholipid metabolism|Glyoxylate and dicarboxylate metabolism|Propanoate metabolism|Nicotinate and nicotinamide metabolism</t>
  </si>
  <si>
    <t>57-04-5</t>
  </si>
  <si>
    <t>OCC(=O)COP(O)(O)=O</t>
  </si>
  <si>
    <t>GNGACRATGGDKBX-UHFFFAOYSA-N</t>
  </si>
  <si>
    <t>C3H7O6P</t>
  </si>
  <si>
    <t>1.28_303.0503m/z</t>
  </si>
  <si>
    <t>Salsalate</t>
  </si>
  <si>
    <t>HMDB0015471</t>
  </si>
  <si>
    <t>552-94-3</t>
  </si>
  <si>
    <t>OC(=O)C1=CC=CC=C1OC(=O)C1=CC=CC=C1O</t>
  </si>
  <si>
    <t>WVYADZUPLLSGPU-UHFFFAOYSA-N</t>
  </si>
  <si>
    <t>C14H10O5</t>
  </si>
  <si>
    <t>8.41_223.1336m/z</t>
  </si>
  <si>
    <t>13-Oxo-9,11-tridecadienoic acid</t>
  </si>
  <si>
    <t>HMDB0034564</t>
  </si>
  <si>
    <t>LMFA01060202</t>
  </si>
  <si>
    <t>125407-60-5</t>
  </si>
  <si>
    <t>C(=O)/C=C/C=C/CCCCCCCC(=O)O</t>
  </si>
  <si>
    <t>XHDHWGKEDVWKAN-ONNLMXTPSA-N</t>
  </si>
  <si>
    <t>5.57_168.0661m/z</t>
  </si>
  <si>
    <t>3alpha,4,5,7alpha-Tetrahydro-5-hydroxy-1H-isoindole-1,3(2H)-dione</t>
  </si>
  <si>
    <t>HMDB0034887</t>
  </si>
  <si>
    <t>OC1CC2C(C=C1)C(=O)NC2=O</t>
  </si>
  <si>
    <t>GNUDNAYOODXBQP-UHFFFAOYSA-N</t>
  </si>
  <si>
    <t>C8H9NO3</t>
  </si>
  <si>
    <t>11.90_414.3226m/z</t>
  </si>
  <si>
    <t>Arachidoyl glycine</t>
  </si>
  <si>
    <t>617703-96-5</t>
  </si>
  <si>
    <t>CCCCCCCCCCCCCCCCCCCC(=O)NCC(=O)O</t>
  </si>
  <si>
    <t>MUNNIYAZGQGMQR-UHFFFAOYSA-N</t>
  </si>
  <si>
    <t>3.83_356.1829m/z</t>
  </si>
  <si>
    <t>Val-pro-pro</t>
  </si>
  <si>
    <t>HMDB0253034</t>
  </si>
  <si>
    <t>CC(C)C(N)C(=O)N1CCCC1C(=O)N1CCCC1C(O)=O</t>
  </si>
  <si>
    <t>DOFAQXCYFQKSHT-UHFFFAOYSA-N</t>
  </si>
  <si>
    <t>C15H25N3O4</t>
  </si>
  <si>
    <t>0.74_283.0518m/z</t>
  </si>
  <si>
    <t>Ataluren</t>
  </si>
  <si>
    <t>HMDB0248691</t>
  </si>
  <si>
    <t>OC(=O)C1=CC=CC(=C1)C1=NOC(=N1)C1=CC=CC=C1F</t>
  </si>
  <si>
    <t>OOUGLTULBSNHNF-UHFFFAOYSA-N</t>
  </si>
  <si>
    <t>C15H9FN2O3</t>
  </si>
  <si>
    <t>3.61_342.0839m/z</t>
  </si>
  <si>
    <t>HHPAA glucuronide</t>
  </si>
  <si>
    <t>HMDB0240379</t>
  </si>
  <si>
    <t>OCC(=O)NC1=CC=CC=C1O[C@@H]1O[C@@H]([C@@H](O)[C@H](O)[C@H]1O)C(O)=O</t>
  </si>
  <si>
    <t>FGIQLOOXJCVVDO-BYNIDDHOSA-N</t>
  </si>
  <si>
    <t>C14H17NO9</t>
  </si>
  <si>
    <t>3.96_228.0252m/z</t>
  </si>
  <si>
    <t>Xanthurenic acid</t>
  </si>
  <si>
    <t>HMDB0000881</t>
  </si>
  <si>
    <t>C02470</t>
  </si>
  <si>
    <t>59-00-7</t>
  </si>
  <si>
    <t>OC(=O)C1=NC2=C(O)C=CC=C2C(O)=C1</t>
  </si>
  <si>
    <t>FBZONXHGGPHHIY-UHFFFAOYSA-N</t>
  </si>
  <si>
    <t>C10H7NO4</t>
  </si>
  <si>
    <t>9.05_409.1081m/z</t>
  </si>
  <si>
    <t>Brivanib</t>
  </si>
  <si>
    <t>HMDB0249386</t>
  </si>
  <si>
    <t>CC(O)COC1=CN2N=CN=C(OC3=C(F)C4=C(NC(C)=C4)C=C3)C2=C1C</t>
  </si>
  <si>
    <t>WCWUXEGQKLTGDX-UHFFFAOYSA-N</t>
  </si>
  <si>
    <t>C19H19FN4O3</t>
  </si>
  <si>
    <t>9.05_524.2796m/z</t>
  </si>
  <si>
    <t>Deoxynojirimycin Tetrabenzyl Ether</t>
  </si>
  <si>
    <t>69567-11-9</t>
  </si>
  <si>
    <t>C1C(C(C(C(N1)COCC2=CC=CC=C2)OCC3=CC=CC=C3)OCC4=CC=CC=C4)OCC5=CC=CC=C5</t>
  </si>
  <si>
    <t>HHIIDKLQTCPFQA-KMKAFXEASA-N</t>
  </si>
  <si>
    <t>C34H37NO4</t>
  </si>
  <si>
    <t>523</t>
  </si>
  <si>
    <t>Alpha-D-Lactose</t>
  </si>
  <si>
    <t>HMDB0000186</t>
  </si>
  <si>
    <t>C00243</t>
  </si>
  <si>
    <t>hsa00052,hsa02010,hsa04973</t>
  </si>
  <si>
    <t>Galactose metabolism|ABC transporters|Carbohydrate digestion and absorption</t>
  </si>
  <si>
    <t>63-42-3</t>
  </si>
  <si>
    <t>OC[C@H]1O[C@@H](O[C@H]2[C@H](O)[C@@H](O)[C@@H](O)O[C@@H]2CO)[C@H](O)[C@@H](O)[C@H]1O</t>
  </si>
  <si>
    <t>GUBGYTABKSRVRQ-XLOQQCSPSA-N</t>
  </si>
  <si>
    <t>10.51_275.2013m/z</t>
  </si>
  <si>
    <t>13-keto-9Z,11E,15Z-octadecatrienoic acid</t>
  </si>
  <si>
    <t>LMFA02000028</t>
  </si>
  <si>
    <t>C(CCCCCCC/C=C\C=C\C(=O)C/C=C\CC)(=O)O</t>
  </si>
  <si>
    <t>BNMYUQILBYIYOG-JDTPQGGVSA-N</t>
  </si>
  <si>
    <t>8.54_368.2807m/z</t>
  </si>
  <si>
    <t>(3Z)-5-Hydroxytetradec-3-enoylcarnitine</t>
  </si>
  <si>
    <t>HMDB0241363</t>
  </si>
  <si>
    <t>CCCCCCCCCC(O)C=CCC(=O)OC(CC([O-])=O)C[N+](C)(C)C</t>
  </si>
  <si>
    <t>SMSSWGKCWDQRPK-UHFFFAOYSA-N</t>
  </si>
  <si>
    <t>7.70_231.0975m/z</t>
  </si>
  <si>
    <t>Threonylglutamic acid</t>
  </si>
  <si>
    <t>HMDB0029060</t>
  </si>
  <si>
    <t>54532-73-9</t>
  </si>
  <si>
    <t>C[C@@H](O)[C@H](N)C(=O)N[C@@H](CCC(O)=O)C(O)=O</t>
  </si>
  <si>
    <t>BECPPKYKPSRKCP-ZDLURKLDSA-N</t>
  </si>
  <si>
    <t>C9H16N2O6</t>
  </si>
  <si>
    <t>11.42_249.1858m/z</t>
  </si>
  <si>
    <t>Norambreinolide</t>
  </si>
  <si>
    <t>HMDB0035293</t>
  </si>
  <si>
    <t>564-20-5</t>
  </si>
  <si>
    <t>CC12CCC3C(C)(C)CCCC3(C)C1CC(=O)O2</t>
  </si>
  <si>
    <t>IMKJGXCIJJXALX-UHFFFAOYSA-N</t>
  </si>
  <si>
    <t>8.73_253.1445m/z</t>
  </si>
  <si>
    <t>5,9:6,9-Diepoxy-4-megastigmene</t>
  </si>
  <si>
    <t>HMDB0038529</t>
  </si>
  <si>
    <t>133661-30-0</t>
  </si>
  <si>
    <t>CC12CCC3(O1)C(CO2)=CCCC3(C)C</t>
  </si>
  <si>
    <t>AKKNWGRLXKHQDH-UHFFFAOYSA-N</t>
  </si>
  <si>
    <t>11.55_371.1840m/z</t>
  </si>
  <si>
    <t>ascr#18</t>
  </si>
  <si>
    <t>LMFA13040009</t>
  </si>
  <si>
    <t>O([C@@H](CCCCCCCCC(=O)O)C)[C@H]1[C@H](O)C[C@@H](O)[C@H](C)O1</t>
  </si>
  <si>
    <t>AHRWSOYISAIFOZ-JRBZFYFNSA-N</t>
  </si>
  <si>
    <t>C17H32O6</t>
  </si>
  <si>
    <t>8.73_603.2229m/z</t>
  </si>
  <si>
    <t>indole-3-acetyl-glutamine</t>
  </si>
  <si>
    <t>HMDB0304380</t>
  </si>
  <si>
    <t>NC(=O)CCC(NC(=O)CC1=CNC2=C1C=CC=C2)C([O-])=O</t>
  </si>
  <si>
    <t>DVJIJAYHBZALOJ-UHFFFAOYSA-M</t>
  </si>
  <si>
    <t>C15H16N3O4-</t>
  </si>
  <si>
    <t>9.95_450.2628m/z</t>
  </si>
  <si>
    <t>PE(0:0/16:1(9Z))</t>
  </si>
  <si>
    <t>HMDB0011474</t>
  </si>
  <si>
    <t>LMGP02050037</t>
  </si>
  <si>
    <t>C(OP(OCCN)(O)=O)[C@]([H])(OC(=O)CCCCCCC/C=C\CCCCCC)CO</t>
  </si>
  <si>
    <t>MAFRHGZTIOAXEL-WHXUGTBJSA-N</t>
  </si>
  <si>
    <t>C21H42NO7P</t>
  </si>
  <si>
    <t>10.53_291.1966m/z</t>
  </si>
  <si>
    <t>9-KOT</t>
  </si>
  <si>
    <t>LMFA02000371</t>
  </si>
  <si>
    <t>125559-74-2</t>
  </si>
  <si>
    <t>C(CCCCCCCC(=O)/C=C/C=C\C/C=C\CC)(=O)O</t>
  </si>
  <si>
    <t>ACHDMUPTZYZIGR-CUHSZNQNSA-N</t>
  </si>
  <si>
    <t>6.10_296.1259n</t>
  </si>
  <si>
    <t>Phomopsolide B</t>
  </si>
  <si>
    <t>CC=C(C)C(=O)OC1C=CC(=O)OC1C=CC(C(C)O)O</t>
  </si>
  <si>
    <t>JTHHOHSDOJJNFN-HIWLEQICSA-N</t>
  </si>
  <si>
    <t>C15H20O6</t>
  </si>
  <si>
    <t>4.40_821.3327m/z</t>
  </si>
  <si>
    <t>PKCbeta Inhibitor</t>
  </si>
  <si>
    <t>HMDB0256626</t>
  </si>
  <si>
    <t>O=C1NC(=O)C(=C1NC1=CC=CC=C1)C1=CN(CCCN2C=CN=C2)C2=CC=CC=C12</t>
  </si>
  <si>
    <t>KIWODJBCHRADND-UHFFFAOYSA-N</t>
  </si>
  <si>
    <t>C24H21N5O2</t>
  </si>
  <si>
    <t>0.67_134.0192m/z</t>
  </si>
  <si>
    <t>Benzothiophene</t>
  </si>
  <si>
    <t>HMDB0249003</t>
  </si>
  <si>
    <t>S1C=CC2=CC=CC=C12</t>
  </si>
  <si>
    <t>FCEHBMOGCRZNNI-UHFFFAOYSA-N</t>
  </si>
  <si>
    <t>Benzothiophenes</t>
  </si>
  <si>
    <t>1-benzothiophenes</t>
  </si>
  <si>
    <t>C8H6S</t>
  </si>
  <si>
    <t>10.62_680.2488m/z</t>
  </si>
  <si>
    <t>PA(LTE4/2:0)</t>
  </si>
  <si>
    <t>HMDB0266520</t>
  </si>
  <si>
    <t>CCCCC\C=C/C\C=C/C=C/C=C/[C@@H](SC[C@H](N)C(=O)OC[C@H](COP(O)(O)=O)OC(C)=O)[C@@H](O)CCCC(O)=O</t>
  </si>
  <si>
    <t>JQOXWAPVXSYERG-IFKJJAFLSA-N</t>
  </si>
  <si>
    <t>C28H46NO11PS</t>
  </si>
  <si>
    <t>4.50_362.1336m/z</t>
  </si>
  <si>
    <t>2-[[[4-(3-Benzylcyclobutyl)-1,3-thiazol-2-yl]diazenyl]methyl]phenol</t>
  </si>
  <si>
    <t>HMDB0255368</t>
  </si>
  <si>
    <t>OC1=CC=CC=C1CN=NC1=NC(=CS1)C1CC(CC2=CC=CC=C2)C1</t>
  </si>
  <si>
    <t>OBJCEYUMXWFXGU-UHFFFAOYSA-N</t>
  </si>
  <si>
    <t>C21H21N3OS</t>
  </si>
  <si>
    <t>7.32_290.0977m/z</t>
  </si>
  <si>
    <t>5-Carboxy-2'-deoxyuridine</t>
  </si>
  <si>
    <t>HMDB0060774</t>
  </si>
  <si>
    <t>OC[C@H]1O[C@@H](C[C@@H]1O)N1C=C(C(O)=O)C(O)=NC1=O</t>
  </si>
  <si>
    <t>GAGYTXTVUMXAOC-XVMARJQXSA-N</t>
  </si>
  <si>
    <t>C10H12N2O7</t>
  </si>
  <si>
    <t>11.21_323.1715m/z</t>
  </si>
  <si>
    <t>2-(1-Ethoxyethoxy)propanoic acid</t>
  </si>
  <si>
    <t>HMDB0059918</t>
  </si>
  <si>
    <t>CCOC(C)OC(C)C(O)=O</t>
  </si>
  <si>
    <t>FRGRNGNKLISCCU-UHFFFAOYSA-N</t>
  </si>
  <si>
    <t>C7H14O4</t>
  </si>
  <si>
    <t>11.15_375.2542m/z</t>
  </si>
  <si>
    <t>MG(20:5(5Z,8Z,11Z,14Z,17Z)/0:0/0:0)</t>
  </si>
  <si>
    <t>HMDB0011580</t>
  </si>
  <si>
    <t>[H][C@](O)(CO)COC(=O)CCC\C=C/C\C=C/C\C=C/C\C=C/C\C=C/CC</t>
  </si>
  <si>
    <t>DFRRSBYSSXKROX-GABUGCEHSA-N</t>
  </si>
  <si>
    <t>C23H36O4</t>
  </si>
  <si>
    <t>0.74_243.0152m/z</t>
  </si>
  <si>
    <t>4-maleyl-acetoacetate</t>
  </si>
  <si>
    <t>HMDB0304184</t>
  </si>
  <si>
    <t>[O-]C(=O)CC(=O)CC(=O)C=CC([O-])=O</t>
  </si>
  <si>
    <t>GACSIVHAIFQKTC-UHFFFAOYSA-L</t>
  </si>
  <si>
    <t>C8H6O6-2</t>
  </si>
  <si>
    <t>14.73_114.1282m/z</t>
  </si>
  <si>
    <t>Cyclohexanemethylamine</t>
  </si>
  <si>
    <t>HMDB0250653</t>
  </si>
  <si>
    <t>NCC1CCCCC1</t>
  </si>
  <si>
    <t>AVKNGPAMCBSNSO-UHFFFAOYSA-N</t>
  </si>
  <si>
    <t>C7H15N</t>
  </si>
  <si>
    <t>3.86_360.1182m/z</t>
  </si>
  <si>
    <t>(2S)-2-Amino-4-[2-amino-3-(2-amino-3-hydroxybenzoyl)oxyphenyl]-4-oxobutanoic acid</t>
  </si>
  <si>
    <t>HMDB0260146</t>
  </si>
  <si>
    <t>NC(CC(=O)C1=C(N)C(OC(=O)C2=C(N)C(O)=CC=C2)=CC=C1)C(O)=O</t>
  </si>
  <si>
    <t>QGVRYNWEFHUDKD-UHFFFAOYSA-N</t>
  </si>
  <si>
    <t>C17H17N3O6</t>
  </si>
  <si>
    <t>4.22_332.1253m/z</t>
  </si>
  <si>
    <t>gamma-Glutamyltryptophan</t>
  </si>
  <si>
    <t>HMDB0029160</t>
  </si>
  <si>
    <t>66471-20-3</t>
  </si>
  <si>
    <t>N[C@@H](CCC(=O)N[C@@H](CC1=CNC2=CC=CC=C12)C(O)=O)C(O)=O</t>
  </si>
  <si>
    <t>CATMPQFFVNKDEY-AAEUAGOBSA-N</t>
  </si>
  <si>
    <t>4.63_164.0708m/z</t>
  </si>
  <si>
    <t>2-Methyl-2H-1,3-benzoxazin-4(3H)-one</t>
  </si>
  <si>
    <t>HMDB0249616</t>
  </si>
  <si>
    <t>CC1NC(=O)C2=CC=CC=C2O1</t>
  </si>
  <si>
    <t>MOFJSTXFUSYCDO-UHFFFAOYSA-N</t>
  </si>
  <si>
    <t>C9H9NO2</t>
  </si>
  <si>
    <t>12.22_481.2554m/z</t>
  </si>
  <si>
    <t>N-(3-oxo-octanoyl)-homoserine lactone</t>
  </si>
  <si>
    <t>LMFA08030004</t>
  </si>
  <si>
    <t>C11841</t>
  </si>
  <si>
    <t>147795-39-9</t>
  </si>
  <si>
    <t>C1[C@@H](C(=O)OC1)NC(=O)CC(=O)CCCCC</t>
  </si>
  <si>
    <t>FXCMGCFNLNFLSH-JTQLQIEISA-N</t>
  </si>
  <si>
    <t>C12H19NO4</t>
  </si>
  <si>
    <t>11.82_242.2119m/z</t>
  </si>
  <si>
    <t>13-tetradecynoic acid</t>
  </si>
  <si>
    <t>LMFA01030594</t>
  </si>
  <si>
    <t>C(CCCCCCCCCCCC#C)(=O)O</t>
  </si>
  <si>
    <t>JNXXRQLAAJXERE-UHFFFAOYSA-N</t>
  </si>
  <si>
    <t>1.01_233.1137m/z</t>
  </si>
  <si>
    <t>gamma-Aminobutyric acid glutamate</t>
  </si>
  <si>
    <t>HMDB0252609</t>
  </si>
  <si>
    <t>NCCCC(=O)OC(=O)C(N)CCC(O)=O</t>
  </si>
  <si>
    <t>FUDYOSHJTIAFOK-UHFFFAOYSA-N</t>
  </si>
  <si>
    <t>0.56_168.0259m/z</t>
  </si>
  <si>
    <t>1-Naphthyl isothiocyanate</t>
  </si>
  <si>
    <t>HMDB0243961</t>
  </si>
  <si>
    <t>S=C=NC1=CC=CC2=CC=CC=C12</t>
  </si>
  <si>
    <t>JBDOSUUXMYMWQH-UHFFFAOYSA-N</t>
  </si>
  <si>
    <t>C11H7NS</t>
  </si>
  <si>
    <t>8.31_265.1438m/z</t>
  </si>
  <si>
    <t>Artemin</t>
  </si>
  <si>
    <t>HMDB0034696</t>
  </si>
  <si>
    <t>22149-38-8</t>
  </si>
  <si>
    <t>CC1C2CCC3(C)C(O)CCC(=C)C3(O)C2OC1=O</t>
  </si>
  <si>
    <t>CJLHTKGWEUGORV-UHFFFAOYSA-N</t>
  </si>
  <si>
    <t>9.81_529.2898m/z</t>
  </si>
  <si>
    <t>Gallopamil</t>
  </si>
  <si>
    <t>HMDB0252599</t>
  </si>
  <si>
    <t>C13764</t>
  </si>
  <si>
    <t>16662-47-8</t>
  </si>
  <si>
    <t>COC1=CC(=CC(OC)=C1OC)C(CCCN(C)CCC1=CC(OC)=C(OC)C=C1)(C#N)C(C)C</t>
  </si>
  <si>
    <t>XQLWNAFCTODIRK-UHFFFAOYSA-N</t>
  </si>
  <si>
    <t>C28H40N2O5</t>
  </si>
  <si>
    <t>5.00_303.1712m/z</t>
  </si>
  <si>
    <t>Callyspongenol D</t>
  </si>
  <si>
    <t>LMFA05000721</t>
  </si>
  <si>
    <t>C(C#CCCCCCC#CC#CCCCC/C=C\C#C)O</t>
  </si>
  <si>
    <t>NENOYMHTWHLEKR-ARJAWSKDSA-N</t>
  </si>
  <si>
    <t>C20H24O</t>
  </si>
  <si>
    <t>1.96_444.9690m/z</t>
  </si>
  <si>
    <t>Bis(perfluorobutyl)ethene</t>
  </si>
  <si>
    <t>HMDB0247519</t>
  </si>
  <si>
    <t>FC(F)(F)C(F)(F)C(F)(F)C(F)(F)C=CC(F)(F)C(F)(F)C(F)(F)C(F)(F)F</t>
  </si>
  <si>
    <t>FSOCDJTVKIHJDC-UHFFFAOYSA-N</t>
  </si>
  <si>
    <t>C10H2F18</t>
  </si>
  <si>
    <t>6.62_191.0706m/z</t>
  </si>
  <si>
    <t>3-(2,5-dimethoxyphenyl)propanoic acid</t>
  </si>
  <si>
    <t>COC1=CC(=C(C=C1)OC)CCC(=O)O</t>
  </si>
  <si>
    <t>JENQUCZZZGYHRW-UHFFFAOYSA-N</t>
  </si>
  <si>
    <t>5.16_200.0480m/z</t>
  </si>
  <si>
    <t>Methyl fluoroquinolone</t>
  </si>
  <si>
    <t>HMDB0254587</t>
  </si>
  <si>
    <t>CC1=C(F)C(=O)NC2=CC=CC=C12</t>
  </si>
  <si>
    <t>YJZWOFMQJMPNMM-UHFFFAOYSA-N</t>
  </si>
  <si>
    <t>C10H8FNO</t>
  </si>
  <si>
    <t>9.40_318.3286m/z</t>
  </si>
  <si>
    <t>3Z,6Z,9Z-Tricosatriene</t>
  </si>
  <si>
    <t>LMFA11000169</t>
  </si>
  <si>
    <t>CC/C=C\C/C=C\C/C=C\CCCCCCCCCCCCC</t>
  </si>
  <si>
    <t>KUNIJGQAWCLQGU-JTBMWNAQSA-N</t>
  </si>
  <si>
    <t>C23H42</t>
  </si>
  <si>
    <t>10.19_339.1922m/z</t>
  </si>
  <si>
    <t>15-deoxy-delta-12,14-PGA2</t>
  </si>
  <si>
    <t>LMFA03010172</t>
  </si>
  <si>
    <t>C(CCC/C=C\C[C@@H]1/C(=C\C=C\CCCCC)/C=CC1=O)(=O)O</t>
  </si>
  <si>
    <t>BHHHGDAJJMEHST-NBIYZLHXSA-N</t>
  </si>
  <si>
    <t>4.11_285.1220m/z</t>
  </si>
  <si>
    <t>L-phenylalanyl-L-proline</t>
  </si>
  <si>
    <t>C1CC(N(C1)C(=O)C(CC2=CC=CC=C2)[NH3+])C(=O)[O-]</t>
  </si>
  <si>
    <t>WEQJQNWXCSUVMA-UHFFFAOYSA-N</t>
  </si>
  <si>
    <t>0.74_184.0374n</t>
  </si>
  <si>
    <t>3,4-Dihydroxymandelic acid</t>
  </si>
  <si>
    <t>HMDB0001866</t>
  </si>
  <si>
    <t>C05580</t>
  </si>
  <si>
    <t>775-01-9</t>
  </si>
  <si>
    <t>OC(C(O)=O)C1=CC=C(O)C(O)=C1</t>
  </si>
  <si>
    <t>RGHMISIYKIHAJW-UHFFFAOYSA-N</t>
  </si>
  <si>
    <t>C8H8O5</t>
  </si>
  <si>
    <t>12.22_381.2260m/z</t>
  </si>
  <si>
    <t>N-(2,3-Dihydroxypropyl)valine</t>
  </si>
  <si>
    <t>HMDB0254994</t>
  </si>
  <si>
    <t>CC(C)C(NCC(O)CO)C(O)=O</t>
  </si>
  <si>
    <t>XSRKHYQASYXTMX-UHFFFAOYSA-N</t>
  </si>
  <si>
    <t>C8H17NO4</t>
  </si>
  <si>
    <t>7.76_364.2220m/z</t>
  </si>
  <si>
    <t>Diprotin A</t>
  </si>
  <si>
    <t>HMDB0251473</t>
  </si>
  <si>
    <t>CCC(C)C(N)C(=O)N1CCCC1C(=O)NC(C(C)CC)C(O)=O</t>
  </si>
  <si>
    <t>JNTMAZFVYNDPLB-UHFFFAOYSA-N</t>
  </si>
  <si>
    <t>C17H31N3O4</t>
  </si>
  <si>
    <t>13.37_394.3328m/z</t>
  </si>
  <si>
    <t>N-Oleoyl Leucine</t>
  </si>
  <si>
    <t>HMDB0241962</t>
  </si>
  <si>
    <t>CCCCCCCCC=CCCCCCCCC(=O)NC(CC(C)C)C(O)=O</t>
  </si>
  <si>
    <t>UMOAAMQGRRCHPA-UHFFFAOYSA-N</t>
  </si>
  <si>
    <t>C24H45NO3</t>
  </si>
  <si>
    <t>4.92_321.0704m/z</t>
  </si>
  <si>
    <t>Flutamide</t>
  </si>
  <si>
    <t>HMDB0014642</t>
  </si>
  <si>
    <t>C07653</t>
  </si>
  <si>
    <t>13311-84-7</t>
  </si>
  <si>
    <t>CC(C)C(=O)NC1=CC(=C(C=C1)[N+]([O-])=O)C(F)(F)F</t>
  </si>
  <si>
    <t>MKXKFYHWDHIYRV-UHFFFAOYSA-N</t>
  </si>
  <si>
    <t>C11H11F3N2O3</t>
  </si>
  <si>
    <t>1.63_442.1526m/z</t>
  </si>
  <si>
    <t>Alpelisib</t>
  </si>
  <si>
    <t>HMDB0304878</t>
  </si>
  <si>
    <t>[H][C@]1(CCCN1C(O)=NC1=NC(C)=C(S1)C1=CC(=NC=C1)C(C)(C)C(F)(F)F)C(O)=N</t>
  </si>
  <si>
    <t>STUWGJZDJHPWGZ-LBPRGKRZSA-N</t>
  </si>
  <si>
    <t>C19H22F3N5O2S</t>
  </si>
  <si>
    <t>7.49_307.1917m/z</t>
  </si>
  <si>
    <t>1-[2,3-Dimethyl-2-(2-methylbut-3-en-2-yl)furan-3-yl]-3,5-dihydroxy-4-methoxyhexan-2-one</t>
  </si>
  <si>
    <t>HMDB0247708</t>
  </si>
  <si>
    <t>COC(C(C)O)C(O)C(=O)CC1(C)C=COC1(C)C(C)(C)C=C</t>
  </si>
  <si>
    <t>BSIAHHIPMGVHJM-UHFFFAOYSA-N</t>
  </si>
  <si>
    <t>4.22_348.0816m/z</t>
  </si>
  <si>
    <t>Ulifloxacin</t>
  </si>
  <si>
    <t>HMDB0259395</t>
  </si>
  <si>
    <t>C14492</t>
  </si>
  <si>
    <t>112984-60-8</t>
  </si>
  <si>
    <t>CC1SC2=C(C(O)=O)C(=O)C3=CC(F)=C(C=C3N12)N1CCNCC1</t>
  </si>
  <si>
    <t>SUXQDLLXIBLQHW-UHFFFAOYSA-N</t>
  </si>
  <si>
    <t>C16H16FN3O3S</t>
  </si>
  <si>
    <t>4.96_453.1938m/z</t>
  </si>
  <si>
    <t>6-beta-hydroxydexamethasone</t>
  </si>
  <si>
    <t>HMDB0061022</t>
  </si>
  <si>
    <t>C[C@@H]1CC2C3C[C@@H](O)C4=CC(=O)C=C[C@]4(C)[C@@]3(F)[C@@H](O)C[C@]2(C)[C@@]1(O)C(=O)CO</t>
  </si>
  <si>
    <t>RVBSTEHLLHXILB-NFERVAMVSA-N</t>
  </si>
  <si>
    <t>C22H29FO6</t>
  </si>
  <si>
    <t>7.80_321.1473m/z</t>
  </si>
  <si>
    <t>10-(Phosphonooxy)decyl methacrylate</t>
  </si>
  <si>
    <t>HMDB0247525</t>
  </si>
  <si>
    <t>CC(=C)C(=O)OCCCCCCCCCCOP(O)(O)=O</t>
  </si>
  <si>
    <t>CFKBCVIYTWDYRP-UHFFFAOYSA-N</t>
  </si>
  <si>
    <t>C14H27O6P</t>
  </si>
  <si>
    <t>0.74_413.1423m/z</t>
  </si>
  <si>
    <t>6-Amino-9H-purine-9-propanoic acid</t>
  </si>
  <si>
    <t>HMDB0029939</t>
  </si>
  <si>
    <t>4244-47-7</t>
  </si>
  <si>
    <t>NC1=NC=NC2=C1N=CN2CCC(O)=O</t>
  </si>
  <si>
    <t>QXAYJKFBMWMARF-UHFFFAOYSA-N</t>
  </si>
  <si>
    <t>C8H9N5O2</t>
  </si>
  <si>
    <t>3.70_208.0609m/z</t>
  </si>
  <si>
    <t>6-Hydroxy-3,4-dihydro-2(1H)-quinolinone</t>
  </si>
  <si>
    <t>HMDB0246939</t>
  </si>
  <si>
    <t>OC1=CC=C2NC(=O)CCC2=C1</t>
  </si>
  <si>
    <t>HOSGXJWQVBHGLT-UHFFFAOYSA-N</t>
  </si>
  <si>
    <t>6.11_173.1175m/z</t>
  </si>
  <si>
    <t>8-hydroxy-nonanoic acid</t>
  </si>
  <si>
    <t>LMFA01050231</t>
  </si>
  <si>
    <t>C(CCCCCCC(O)C)(=O)O</t>
  </si>
  <si>
    <t>ZQGUXJLCOPSLHD-UHFFFAOYSA-N</t>
  </si>
  <si>
    <t>4.22_489.2573m/z</t>
  </si>
  <si>
    <t>(22E)-26,26,26,27,27,27-hexafluoro-25-hydroxy-22,23-didehydrovitamin D3</t>
  </si>
  <si>
    <t>LMST03020081</t>
  </si>
  <si>
    <t>C1C(=C)/C(=C\C=C2\[C@]3([H])CC[C@@]([C@@](C)([H])/C=C/CC(O)(C(F)(F)F)C(F)(F)F)([H])[C@@]3(C)CCC\2)/C[C@@H](O)C1</t>
  </si>
  <si>
    <t>JHSLRLZHUYHQDA-XOHKPJPJSA-N</t>
  </si>
  <si>
    <t>C27H36F6O2</t>
  </si>
  <si>
    <t>4.63_437.0865m/z</t>
  </si>
  <si>
    <t>Flavin mononucleotide</t>
  </si>
  <si>
    <t>HMDB0001520</t>
  </si>
  <si>
    <t>C00061</t>
  </si>
  <si>
    <t>hsa00190,hsa00740,hsa04977</t>
  </si>
  <si>
    <t>Oxidative phosphorylation|Riboflavin metabolism|Vitamin digestion and absorption</t>
  </si>
  <si>
    <t>146-17-8</t>
  </si>
  <si>
    <t>CC1=CC2=C(C=C1C)N(C[C@H](O)[C@H](O)[C@H](O)COP(O)(O)=O)C1=NC(=O)NC(=O)C1=N2</t>
  </si>
  <si>
    <t>FVTCRASFADXXNN-SCRDCRAPSA-N</t>
  </si>
  <si>
    <t>Flavin nucleotides</t>
  </si>
  <si>
    <t>C17H21N4O9P</t>
  </si>
  <si>
    <t>0.84_111.0238m/z</t>
  </si>
  <si>
    <t>3-(Methylthio)-1-propene</t>
  </si>
  <si>
    <t>HMDB0031653</t>
  </si>
  <si>
    <t>10152-76-8</t>
  </si>
  <si>
    <t>CSCC=C</t>
  </si>
  <si>
    <t>NVLPQIPTCCLBEU-UHFFFAOYSA-N</t>
  </si>
  <si>
    <t>Allyl sulfur compounds</t>
  </si>
  <si>
    <t>C4H8S</t>
  </si>
  <si>
    <t>11.09_642.4600n</t>
  </si>
  <si>
    <t>PA(P-16:0/17:2(9Z,12Z))</t>
  </si>
  <si>
    <t>LMGP10030011</t>
  </si>
  <si>
    <t>[C@](COP(=O)(O)O)([H])(OC(CCCCCCC/C=C\C/C=C\CCCC)=O)CO/C=C\CCCCCCCCCCCCCC</t>
  </si>
  <si>
    <t>SDJPJXUYYJHYFI-REFKTWKYSA-N</t>
  </si>
  <si>
    <t>C36H67O7P</t>
  </si>
  <si>
    <t>4.77_906.4820m/z</t>
  </si>
  <si>
    <t>Nystatin A1</t>
  </si>
  <si>
    <t>LMPK06000004</t>
  </si>
  <si>
    <t>C12155</t>
  </si>
  <si>
    <t>34786-70-4</t>
  </si>
  <si>
    <t>O1[C@H](C)[C@H]([C@H](N)[C@H](O)[C@@H]1O[C@H]1C=CC=CC=CC=CCCC=CC=C[C@@H]([C@@H](O)[C@@H](C)[C@H](C)OC(=O)C[C@H](O)C[C@H](O)C[C@H](O)CC[C@@H](O)[C@H](O)C[C@@]2(C[C@H](O)[C@@H](C(=O)O)[C@]([H])(C1)O2)O)C)O</t>
  </si>
  <si>
    <t>VQOXZBDYSJBXMA-NQTDYLQESA-N</t>
  </si>
  <si>
    <t>8.31_271.1898m/z</t>
  </si>
  <si>
    <t>2,2'-Azobis(2,4-dimethylvaleronitrile)</t>
  </si>
  <si>
    <t>HMDB0245348</t>
  </si>
  <si>
    <t>CC(C)CC(C)(N=NC(C)(CC(C)C)C#N)C#N</t>
  </si>
  <si>
    <t>WYGWHHGCAGTUCH-UHFFFAOYSA-N</t>
  </si>
  <si>
    <t>C14H24N4</t>
  </si>
  <si>
    <t>5.80_244.1131m/z</t>
  </si>
  <si>
    <t>Benzonaphthazepine</t>
  </si>
  <si>
    <t>HMDB0249024</t>
  </si>
  <si>
    <t>N1C=CC=CC2=C1C=CC1=C2C2=CC=CC=C2C=C1</t>
  </si>
  <si>
    <t>CWFLEPHNJKBEDC-UHFFFAOYSA-N</t>
  </si>
  <si>
    <t>C18H13N</t>
  </si>
  <si>
    <t>12.56_401.1635m/z</t>
  </si>
  <si>
    <t>Bay-41-8543</t>
  </si>
  <si>
    <t>HMDB0248896</t>
  </si>
  <si>
    <t>256498-66-5</t>
  </si>
  <si>
    <t>NC1=NC(=NC(N)=C1N1CCOCC1)C1=NN(CC2=CC=CC=C2F)C2=C1C=CC=N2</t>
  </si>
  <si>
    <t>AQYFUZRYBJBAGZ-UHFFFAOYSA-N</t>
  </si>
  <si>
    <t>C21H21FN8O</t>
  </si>
  <si>
    <t>0.65_173.1035m/z</t>
  </si>
  <si>
    <t>L-Arginine</t>
  </si>
  <si>
    <t>HMDB0000517</t>
  </si>
  <si>
    <t>C00062</t>
  </si>
  <si>
    <t>hsa00220,hsa00330,hsa00470,hsa00970,hsa02010,hsa04148,hsa04150,hsa04974,hsa05014,hsa05022,hsa05142,hsa05146,hsa05230</t>
  </si>
  <si>
    <t>Arginine biosynthesis|Arginine and proline metabolism|D-Amino acid metabolism|Aminoacyl-tRNA biosynthesis|ABC transporters|Efferocytosis|mTOR signaling pathway|Protein digestion and absorption|Amyotrophic lateral sclerosis|Pathways of neurodegeneration - multiple diseases|Chagas disease|Amoebiasis|Central carbon metabolism in cancer</t>
  </si>
  <si>
    <t>74-79-3</t>
  </si>
  <si>
    <t>N[C@@H](CCCNC(N)=N)C(O)=O</t>
  </si>
  <si>
    <t>ODKSFYDXXFIFQN-BYPYZUCNSA-N</t>
  </si>
  <si>
    <t>C6H14N4O2</t>
  </si>
  <si>
    <t>4.53_302.0416m/z</t>
  </si>
  <si>
    <t>(2R)-1-(4-Iodophenyl)-N-propan-2-ylpropan-2-amine</t>
  </si>
  <si>
    <t>HMDB0242620</t>
  </si>
  <si>
    <t>CC(C)NC(C)CC1=CC=C(I)C=C1</t>
  </si>
  <si>
    <t>ISEHJSHTIVKELA-UHFFFAOYSA-N</t>
  </si>
  <si>
    <t>C12H18IN</t>
  </si>
  <si>
    <t>4.51_323.1354m/z</t>
  </si>
  <si>
    <t>Dehydromonocrotaline</t>
  </si>
  <si>
    <t>HMDB0250956</t>
  </si>
  <si>
    <t>CC1C(=O)OC2CCN3C=CC(COC(=O)C(C)(O)C1(C)O)=C23</t>
  </si>
  <si>
    <t>ZONSVLURFASOJK-UHFFFAOYSA-N</t>
  </si>
  <si>
    <t>C16H21NO6</t>
  </si>
  <si>
    <t>4.89_483.2379m/z</t>
  </si>
  <si>
    <t>Phe Asn Trp</t>
  </si>
  <si>
    <t>C1=CC=C(C=C1)CC(C(=O)NC(CC(=O)N)C(=O)NC(CC2=CNC3=CC=CC=C32)C(=O)O)N</t>
  </si>
  <si>
    <t>JOXIIFVCSATTDH-IHPCNDPISA-N</t>
  </si>
  <si>
    <t>C24H27N5O5</t>
  </si>
  <si>
    <t>6.31_490.2091m/z</t>
  </si>
  <si>
    <t>Lotamilast</t>
  </si>
  <si>
    <t>HMDB0254171</t>
  </si>
  <si>
    <t>CNC1=NC(C2=CC=CC(NC(=O)C3=CC=C(C=C3)C(=O)OC)=C2)=C2C=C(OC)C(OC)=CC2=N1</t>
  </si>
  <si>
    <t>BBTFKAOFCSOZMB-UHFFFAOYSA-N</t>
  </si>
  <si>
    <t>C26H24N4O5</t>
  </si>
  <si>
    <t>10.99_203.1799m/z</t>
  </si>
  <si>
    <t>Humulene</t>
  </si>
  <si>
    <t>HMDB0036467</t>
  </si>
  <si>
    <t>LMPR0103110001</t>
  </si>
  <si>
    <t>C09684</t>
  </si>
  <si>
    <t>6753-98-6</t>
  </si>
  <si>
    <t>C1C(C)(C)CC=C(C)CCC=C(C)CC=1</t>
  </si>
  <si>
    <t>FAMPSKZZVDUYOS-HRGUGZIWSA-N</t>
  </si>
  <si>
    <t>5.86_253.1807m/z</t>
  </si>
  <si>
    <t>2,3-Dihydroabscisic alcohol</t>
  </si>
  <si>
    <t>HMDB0040685</t>
  </si>
  <si>
    <t>CC(CCO)\C=C\C1(O)C(C)=CC(=O)CC1(C)C</t>
  </si>
  <si>
    <t>JIXIFPSGUSMCIL-FNORWQNLSA-N</t>
  </si>
  <si>
    <t>4.62_381.0763m/z</t>
  </si>
  <si>
    <t>Resorcinolnaphthalein</t>
  </si>
  <si>
    <t>41307-63-5</t>
  </si>
  <si>
    <t>C1=CC2=C3C(=C1)C(=O)OC4(C3=CC=C2)C5=C(C=C(C=C5)O)OC6=C4C=CC(=C6)O</t>
  </si>
  <si>
    <t>FTUOFHGOGJGQAB-UHFFFAOYSA-N</t>
  </si>
  <si>
    <t>C24H14O5</t>
  </si>
  <si>
    <t>5.37_330.2285m/z</t>
  </si>
  <si>
    <t>5-Hydroxydec-8-enoylcarnitine</t>
  </si>
  <si>
    <t>HMDB0241076</t>
  </si>
  <si>
    <t>CC=CCCC(O)CCCC(=O)OC(CC([O-])=O)C[N+](C)(C)C</t>
  </si>
  <si>
    <t>HXIJIIXNWABYIO-UHFFFAOYSA-N</t>
  </si>
  <si>
    <t>C17H31NO5</t>
  </si>
  <si>
    <t>7.61_251.1264m/z</t>
  </si>
  <si>
    <t>Cladosporacid D</t>
  </si>
  <si>
    <t>LMFA01050580</t>
  </si>
  <si>
    <t>C(/C=C/CC(O)/C=C/CCCC(O)C)(=O)O</t>
  </si>
  <si>
    <t>FBODEHACQCEIJP-XCIOYXGDSA-N</t>
  </si>
  <si>
    <t>4.03_314.1329m/z</t>
  </si>
  <si>
    <t>gamma-Aminobutyric acid-betaxanthin</t>
  </si>
  <si>
    <t>HMDB0304751</t>
  </si>
  <si>
    <t>OC(=O)CCC\N=C/C=C1\C[C@H](NC(=C1)C(O)=O)C(O)=O</t>
  </si>
  <si>
    <t>ICGRVJRPJJYWPZ-FDLAANOMSA-N</t>
  </si>
  <si>
    <t>C13H16N2O6</t>
  </si>
  <si>
    <t>3.42_253.1192m/z</t>
  </si>
  <si>
    <t>Serylphenylalanine</t>
  </si>
  <si>
    <t>HMDB0029046</t>
  </si>
  <si>
    <t>16875-28-8</t>
  </si>
  <si>
    <t>N[C@@H](CO)C(=O)N[C@@H](CC1=CC=CC=C1)C(O)=O</t>
  </si>
  <si>
    <t>PPQRSMGDOHLTBE-UWVGGRQHSA-N</t>
  </si>
  <si>
    <t>323</t>
  </si>
  <si>
    <t>3-Deoxyhexitol</t>
  </si>
  <si>
    <t>C(C(CO)O)C(C(CO)O)O</t>
  </si>
  <si>
    <t>RUIACMUVCHMOMF-UHFFFAOYSA-N</t>
  </si>
  <si>
    <t>5.09_359.1249m/z</t>
  </si>
  <si>
    <t>Isodityrosine</t>
  </si>
  <si>
    <t>HMDB0302972</t>
  </si>
  <si>
    <t>N[C@@H](CC1=CC=C(OC2=C(O)C=CC(CC(N)C(O)=O)=C2)C=C1)C(O)=O</t>
  </si>
  <si>
    <t>FWZXNPNHUWFOCM-LSLKUGRBSA-N</t>
  </si>
  <si>
    <t>C18H20N2O6</t>
  </si>
  <si>
    <t>3.96_138.0550m/z</t>
  </si>
  <si>
    <t>Paramethadione</t>
  </si>
  <si>
    <t>HMDB0014755</t>
  </si>
  <si>
    <t>C07411</t>
  </si>
  <si>
    <t>115-67-3</t>
  </si>
  <si>
    <t>CCC1(C)OC(=O)N(C)C1=O</t>
  </si>
  <si>
    <t>VQASKUSHBVDKGU-UHFFFAOYSA-N</t>
  </si>
  <si>
    <t>C7H11NO3</t>
  </si>
  <si>
    <t>10.55_193.1228m/z</t>
  </si>
  <si>
    <t>Tert-butyl 4-methylbenzoate</t>
  </si>
  <si>
    <t>HMDB0258839</t>
  </si>
  <si>
    <t>13756-42-8</t>
  </si>
  <si>
    <t>CC1=CC=C(C=C1)C(=O)OC(C)(C)C</t>
  </si>
  <si>
    <t>GRUSXPIAJWRLRQ-UHFFFAOYSA-N</t>
  </si>
  <si>
    <t>0.74_217.1190m/z</t>
  </si>
  <si>
    <t>[(2S,3R)-2-Amino-3-hydroxybutanoyl] (2S)-pyrrolidine-2-carboxylate</t>
  </si>
  <si>
    <t>HMDB0257877</t>
  </si>
  <si>
    <t>CC(O)C(N)C(=O)OC(=O)C1CCCN1</t>
  </si>
  <si>
    <t>SZSONRAGYKEUGH-UHFFFAOYSA-N</t>
  </si>
  <si>
    <t>5.68_317.1144m/z</t>
  </si>
  <si>
    <t>fluvoxamino acid</t>
  </si>
  <si>
    <t>HMDB0060950</t>
  </si>
  <si>
    <t>88699-91-6</t>
  </si>
  <si>
    <t>NCCO\N=C(/CCCC(O)=O)C1=CC=C(C=C1)C(F)(F)F</t>
  </si>
  <si>
    <t>KUIZEDQDELAFQK-XDHOZWIPSA-N</t>
  </si>
  <si>
    <t>C14H17F3N2O3</t>
  </si>
  <si>
    <t>3.44_147.0921m/z</t>
  </si>
  <si>
    <t>Dimethylbenzimidazole</t>
  </si>
  <si>
    <t>HMDB0003701</t>
  </si>
  <si>
    <t>C03114</t>
  </si>
  <si>
    <t>hsa00740,hsa00860</t>
  </si>
  <si>
    <t>Riboflavin metabolism|Porphyrin metabolism</t>
  </si>
  <si>
    <t>582-60-5</t>
  </si>
  <si>
    <t>CC1=CC2=C(C=C1C)N=CN2</t>
  </si>
  <si>
    <t>LJUQGASMPRMWIW-UHFFFAOYSA-N</t>
  </si>
  <si>
    <t>C9H10N2</t>
  </si>
  <si>
    <t>11.30_371.2593m/z</t>
  </si>
  <si>
    <t>9'-Carboxy-alpha-chromanol</t>
  </si>
  <si>
    <t>HMDB0012866</t>
  </si>
  <si>
    <t>C[C@@H](CCCC(C)C(O)=O)CCC[C@@]1(C)CCC2=C(O1)C(C)=C(C)C(O)=C2C</t>
  </si>
  <si>
    <t>CUGVBZDXUTZXJO-GCIQOJCMSA-N</t>
  </si>
  <si>
    <t>4.78_178.0138m/z</t>
  </si>
  <si>
    <t>4-hydroxy-3-nitrophenylacetate</t>
  </si>
  <si>
    <t>HMDB0062403</t>
  </si>
  <si>
    <t>OC(=O)CC1=CC(=C(O)C=C1)[N+]([O-])=O</t>
  </si>
  <si>
    <t>QBHBHOSRLDPIHG-UHFFFAOYSA-N</t>
  </si>
  <si>
    <t>C8H7NO5</t>
  </si>
  <si>
    <t>13.35_670.4277m/z</t>
  </si>
  <si>
    <t>1-(2-methoxy-tetracosanyl)-sn-glycero-3-phosphoserine</t>
  </si>
  <si>
    <t>LMGP03060023</t>
  </si>
  <si>
    <t>C(O)(=O)[C@@]([H])(N)COP(OC[C@]([H])(O)COCC(OC)CCCCCCCCCCCCCCCCCCCCCC)(=O)O</t>
  </si>
  <si>
    <t>KPHVBANFYWEWRP-MILORHPOSA-N</t>
  </si>
  <si>
    <t>C31H64NO9P</t>
  </si>
  <si>
    <t>3.61_349.0130m/z</t>
  </si>
  <si>
    <t>6-Chloroapigenin</t>
  </si>
  <si>
    <t>LMPK12110430</t>
  </si>
  <si>
    <t>C1(O)=CC2OC(C3C=CC(O)=CC=3)=CC(=O)C=2C(O)=C1Cl</t>
  </si>
  <si>
    <t>FPZXJLZOPYXNPR-UHFFFAOYSA-N</t>
  </si>
  <si>
    <t>C15H9ClO5</t>
  </si>
  <si>
    <t>0.60_305.0580m/z</t>
  </si>
  <si>
    <t>Ethyl (E)-3-diethoxyphosphinothioyloxybut-2-enoate</t>
  </si>
  <si>
    <t>HMDB0257328</t>
  </si>
  <si>
    <t>CCOC(=O)C=C(C)OP(=S)(OCC)OCC</t>
  </si>
  <si>
    <t>MZULHRQPPKQTRY-UHFFFAOYSA-N</t>
  </si>
  <si>
    <t>C10H19O5PS</t>
  </si>
  <si>
    <t>4.94_239.0535m/z</t>
  </si>
  <si>
    <t>Temozolomide</t>
  </si>
  <si>
    <t>HMDB0014991</t>
  </si>
  <si>
    <t>85622-93-1</t>
  </si>
  <si>
    <t>CN1N=NC2=C(N=CN2C1=O)C(N)=O</t>
  </si>
  <si>
    <t>BPEGJWRSRHCHSN-UHFFFAOYSA-N</t>
  </si>
  <si>
    <t>Imidazotetrazines</t>
  </si>
  <si>
    <t>C6H6N6O2</t>
  </si>
  <si>
    <t>5.24_389.0915m/z</t>
  </si>
  <si>
    <t>4-Methoxybenzenepropanol 1-(2-sulfoglucoside)</t>
  </si>
  <si>
    <t>HMDB0034757</t>
  </si>
  <si>
    <t>217971-99-8</t>
  </si>
  <si>
    <t>COC1=CC=C(CCCOC2OC(CO)C(O)C(O)C2OS(O)(=O)=O)C=C1</t>
  </si>
  <si>
    <t>NFHUINPPHVBFGH-UHFFFAOYSA-N</t>
  </si>
  <si>
    <t>C16H24O10S</t>
  </si>
  <si>
    <t>6.66_221.1292m/z</t>
  </si>
  <si>
    <t>3-Indolebutyric acid</t>
  </si>
  <si>
    <t>HMDB0002096</t>
  </si>
  <si>
    <t>C11284</t>
  </si>
  <si>
    <t>133-32-4</t>
  </si>
  <si>
    <t>OC(=O)CCCC1=CNC2=C1C=CC=C2</t>
  </si>
  <si>
    <t>JTEDVYBZBROSJT-UHFFFAOYSA-N</t>
  </si>
  <si>
    <t>C12H13NO2</t>
  </si>
  <si>
    <t>5.03_475.0713m/z</t>
  </si>
  <si>
    <t>Acetamide, N-(4-((6-(4-(trifluoromethyl)phenyl)-4-pyrimidinyl)oxy)-2-benzothiazolyl)-</t>
  </si>
  <si>
    <t>HMDB0248294</t>
  </si>
  <si>
    <t>CC(=O)NC1=NC2=C(OC3=NC=NC(=C3)C3=CC=C(C=C3)C(F)(F)F)C=CC=C2S1</t>
  </si>
  <si>
    <t>YUTIXVXZQIQWGY-UHFFFAOYSA-N</t>
  </si>
  <si>
    <t>C20H13F3N4O2S</t>
  </si>
  <si>
    <t>12.69_484.2139m/z</t>
  </si>
  <si>
    <t>Pivmecillinam</t>
  </si>
  <si>
    <t>HMDB0015543</t>
  </si>
  <si>
    <t>32886-97-8</t>
  </si>
  <si>
    <t>[H]C(=N[C@@H]1C(=O)N2[C@@H](C(=O)OCOC(=O)C(C)(C)C)C(C)(C)S[C@]12[H])N1CCCCCC1</t>
  </si>
  <si>
    <t>NPGNOVNWUSPMDP-HLLBOEOZSA-N</t>
  </si>
  <si>
    <t>C21H33N3O5S</t>
  </si>
  <si>
    <t>10.27_269.1757m/z</t>
  </si>
  <si>
    <t>Capryloylcholine</t>
  </si>
  <si>
    <t>HMDB0013225</t>
  </si>
  <si>
    <t>CCCCCCCC(=O)OCC[N+](C)(C)C</t>
  </si>
  <si>
    <t>AKYPZHWYYXDGEW-UHFFFAOYSA-N</t>
  </si>
  <si>
    <t>C13H28NO2+</t>
  </si>
  <si>
    <t>5.52_283.1187m/z</t>
  </si>
  <si>
    <t>5-Ethyl-3-hydroxy-4-methyl-2(5H)-furanone</t>
  </si>
  <si>
    <t>HMDB0033551</t>
  </si>
  <si>
    <t>CCC1OC(=O)C(O)=C1C</t>
  </si>
  <si>
    <t>IUFQZPBIRYFPFD-UHFFFAOYSA-N</t>
  </si>
  <si>
    <t>C7H10O3</t>
  </si>
  <si>
    <t>9.58_266.1759m/z</t>
  </si>
  <si>
    <t>Parthenolide</t>
  </si>
  <si>
    <t>C07609</t>
  </si>
  <si>
    <t>CC1=CCCC2(C(O2)C3C(CC1)C(=C)C(=O)O3)C</t>
  </si>
  <si>
    <t>KTEXNACQROZXEV-PVLRGYAZSA-N</t>
  </si>
  <si>
    <t>1.01_246.1246n</t>
  </si>
  <si>
    <t>Irofulven</t>
  </si>
  <si>
    <t>HMDB0253585</t>
  </si>
  <si>
    <t>CC1=C(CO)C2=C(C)C3(CC3)C(C)(O)C(=O)C2=C1</t>
  </si>
  <si>
    <t>NICJCIQSJJKZAH-UHFFFAOYSA-N</t>
  </si>
  <si>
    <t>1.30_513.1260m/z</t>
  </si>
  <si>
    <t>Catechin-4-ol 3-O-beta-D-glycopyranoside</t>
  </si>
  <si>
    <t>LMPK12020200</t>
  </si>
  <si>
    <t>C1(O)=CC2O[C@H](C3C=C(O)C(O)=CC=3)[C@@H](O[C@H]3[C@H](O)[C@@H](O)[C@H](O)[C@@H](CO)O3)C(O)C=2C(O)=C1</t>
  </si>
  <si>
    <t>XVCDTACMJMYHGB-OLIINTSTSA-N</t>
  </si>
  <si>
    <t>C21H24O12</t>
  </si>
  <si>
    <t>11.88_128.1074m/z</t>
  </si>
  <si>
    <t>7-Aminoheptanoic acid</t>
  </si>
  <si>
    <t>HMDB0247233</t>
  </si>
  <si>
    <t>NCCCCCCC(O)=O</t>
  </si>
  <si>
    <t>XDOLZJYETYVRKV-UHFFFAOYSA-N</t>
  </si>
  <si>
    <t>11.82_308.2358n</t>
  </si>
  <si>
    <t>methyl 9,10-epoxy-12,15-octadecadienoate</t>
  </si>
  <si>
    <t>LMFA01070012</t>
  </si>
  <si>
    <t>C1(OC1CCCCCCCC(=O)OC)C/C=C/C/C=C/CC</t>
  </si>
  <si>
    <t>WJRQEOOGBUSIOJ-OCJIRGAFSA-N</t>
  </si>
  <si>
    <t>C19H32O3</t>
  </si>
  <si>
    <t>4.88_211.0016m/z</t>
  </si>
  <si>
    <t>7-Hydroxy-4-(trifluoromethyl)coumarin</t>
  </si>
  <si>
    <t>HMDB0247257</t>
  </si>
  <si>
    <t>OC1=CC2=C(C=C1)C(=CC(=O)O2)C(F)(F)F</t>
  </si>
  <si>
    <t>CCKWMCUOHJAVOL-UHFFFAOYSA-N</t>
  </si>
  <si>
    <t>C10H5F3O3</t>
  </si>
  <si>
    <t>0.60_473.1463m/z</t>
  </si>
  <si>
    <t>Isoorientin 7,3',4'-trimethyl ether</t>
  </si>
  <si>
    <t>LMPK12111058</t>
  </si>
  <si>
    <t>C1(OC)=CC2OC(C3C=CC(OC)=C(OC)C=3)=CC(=O)C=2C(O)=C1[C@H]1[C@H](O)[C@@H](O)[C@H](O)[C@@H](CO)O1</t>
  </si>
  <si>
    <t>BEOVASOPYVJANG-VYJJCVKJSA-N</t>
  </si>
  <si>
    <t>C24H26O11</t>
  </si>
  <si>
    <t>4.22_264.1117n</t>
  </si>
  <si>
    <t>Phenylacetylglutamine</t>
  </si>
  <si>
    <t>HMDB0006344</t>
  </si>
  <si>
    <t>C04148</t>
  </si>
  <si>
    <t>28047-15-6</t>
  </si>
  <si>
    <t>NC(=O)CC[C@H](NC(=O)CC1=CC=CC=C1)C(O)=O</t>
  </si>
  <si>
    <t>JFLIEFSWGNOPJJ-JTQLQIEISA-N</t>
  </si>
  <si>
    <t>C13H16N2O4</t>
  </si>
  <si>
    <t>12.05_459.3102m/z</t>
  </si>
  <si>
    <t>3beta,5alpha-dihydroxycholesta-7,9(11)-dien-6-one</t>
  </si>
  <si>
    <t>LMST01010259</t>
  </si>
  <si>
    <t>C1[C@@]2(C)[C@](C(=O)C=C3C2=CC[C@@]2(C)[C@@]3([H])CC[C@]2([H])[C@@]([H])(CCCC(C)C)C)(O)C[C@@H](O)C1</t>
  </si>
  <si>
    <t>AOSNBLFAXVTNOJ-PJEZMQEMSA-N</t>
  </si>
  <si>
    <t>13.49_339.2540m/z</t>
  </si>
  <si>
    <t>Sterculic acid</t>
  </si>
  <si>
    <t>HMDB0258495</t>
  </si>
  <si>
    <t>LMFA01140018</t>
  </si>
  <si>
    <t>C08366</t>
  </si>
  <si>
    <t>C(CCCCCCC(=O)O)C1CC=1CCCCCCCC</t>
  </si>
  <si>
    <t>PQRKPYLNZGDCFH-UHFFFAOYSA-N</t>
  </si>
  <si>
    <t>C19H34O2</t>
  </si>
  <si>
    <t>14.81_584.2645m/z</t>
  </si>
  <si>
    <t>(4E,15Z)-Bilirubin</t>
  </si>
  <si>
    <t>HMDB0000488</t>
  </si>
  <si>
    <t>69853-43-6</t>
  </si>
  <si>
    <t>CC1=C(C=C)\C(NC1=O)=C\C1=C(C)C(CCC(O)=O)=C(CC2=C(CCC(O)=O)C(C)=C(N2)\C=C2\NC(=O)C(C=C)=C2C)N1</t>
  </si>
  <si>
    <t>BPYKTIZUTYGOLE-KDUUSRDASA-N</t>
  </si>
  <si>
    <t>8.43_631.2412m/z</t>
  </si>
  <si>
    <t>Ichangin 4-glucoside</t>
  </si>
  <si>
    <t>HMDB0039340</t>
  </si>
  <si>
    <t>CC(C)(O)C1CC(=O)C2(C)C(CCC3(C)C(OC(=O)C4OC234)C2=COC=C2)C11COC(=O)CC1OC1OC(CO)C(O)C(O)C1O</t>
  </si>
  <si>
    <t>MUZOGCSYWJPGRB-UHFFFAOYSA-N</t>
  </si>
  <si>
    <t>C32H42O14</t>
  </si>
  <si>
    <t>13.04_270.2799m/z</t>
  </si>
  <si>
    <t>cis-6,7-epoxy-9Z-heptadecene</t>
  </si>
  <si>
    <t>LMFA12000271</t>
  </si>
  <si>
    <t>CCCCCC1OC1C/C=C\CCCCCCC</t>
  </si>
  <si>
    <t>DZBUIPPAEPQLKL-QBFSEMIESA-N</t>
  </si>
  <si>
    <t>10.13_348.2530m/z</t>
  </si>
  <si>
    <t>Turricolol E</t>
  </si>
  <si>
    <t>C10838</t>
  </si>
  <si>
    <t>101392-12-5</t>
  </si>
  <si>
    <t>CC(=CCCC(=CCCC(=CCC1=C(C=CC(=C1)O)O)C)CO)C</t>
  </si>
  <si>
    <t>SNVNUOWZKGGIRP-ASKQTUSVSA-N</t>
  </si>
  <si>
    <t>4.37_285.0163m/z</t>
  </si>
  <si>
    <t>Ethyl 2-amino-4-(trifluoromethyl)-1,3-thiazole-5-carboxylate</t>
  </si>
  <si>
    <t>CCOC(=O)C1=C(N=C(S1)N)C(F)(F)F</t>
  </si>
  <si>
    <t>XJRPTMORGOIMMI-UHFFFAOYSA-N</t>
  </si>
  <si>
    <t>C7H7F3N2O2S</t>
  </si>
  <si>
    <t>213</t>
  </si>
  <si>
    <t>Dihydrouracil</t>
  </si>
  <si>
    <t>HMDB0000076</t>
  </si>
  <si>
    <t>C00429</t>
  </si>
  <si>
    <t>hsa00240,hsa00410,hsa00770</t>
  </si>
  <si>
    <t>Pyrimidine metabolism|beta-Alanine metabolism|Pantothenate and CoA biosynthesis</t>
  </si>
  <si>
    <t>R-HSA-110329,R-HSA-1430728,R-HSA-15869,R-HSA-73621,R-HSA-73884,R-HSA-73894,R-HSA-73928,R-HSA-73929,R-HSA-8956319</t>
  </si>
  <si>
    <t>Cleavage of the damaged pyrimidine |Metabolism|Metabolism of nucleotides|Pyrimidine catabolism|Base Excision Repair|DNA Repair|Depyrimidination|Base-Excision Repair, AP Site Formation|Nucleotide catabolism</t>
  </si>
  <si>
    <t>504-07-4</t>
  </si>
  <si>
    <t>O=C1CCNC(=O)N1</t>
  </si>
  <si>
    <t>OIVLITBTBDPEFK-UHFFFAOYSA-N</t>
  </si>
  <si>
    <t>9.20_313.2382m/z</t>
  </si>
  <si>
    <t>alpha-15,16-DiHODE</t>
  </si>
  <si>
    <t>HMDB0010208</t>
  </si>
  <si>
    <t>LMFA02000047</t>
  </si>
  <si>
    <t>C(CCCCCCC/C=C\C/C=C\CC(O)C(O)CC)(=O)O</t>
  </si>
  <si>
    <t>LKLLJYJTYPVCID-OHPMOLHNSA-N</t>
  </si>
  <si>
    <t>7.60_393.2648m/z</t>
  </si>
  <si>
    <t>Noravicholic acid</t>
  </si>
  <si>
    <t>LMST04060029</t>
  </si>
  <si>
    <t>C1[C@]2(C)[C@@]3([H])CC[C@]4(C)[C@@]([H])([C@]([H])(C)CC(O)=O)[C@H](O)C[C@@]4([H])[C@]3([H])[C@H](O)C[C@]2([H])C[C@H](O)C1</t>
  </si>
  <si>
    <t>ISTFBECBMPJDPY-VMHPPZJZSA-N</t>
  </si>
  <si>
    <t>C23H38O5</t>
  </si>
  <si>
    <t>7.32_248.1291m/z</t>
  </si>
  <si>
    <t>Dihydroresveratrol</t>
  </si>
  <si>
    <t>HMDB0240498</t>
  </si>
  <si>
    <t>LMPK13090035</t>
  </si>
  <si>
    <t>C10255</t>
  </si>
  <si>
    <t>C1=C(O)C=C(CCC2=CC=C(O)C=C2)C=C1O</t>
  </si>
  <si>
    <t>HITJFUSPLYBJPE-UHFFFAOYSA-N</t>
  </si>
  <si>
    <t>1.03_250.0625m/z</t>
  </si>
  <si>
    <t>Glutamylcysteine</t>
  </si>
  <si>
    <t>HMDB0028816</t>
  </si>
  <si>
    <t>21566-73-4</t>
  </si>
  <si>
    <t>N[C@@H](CCC(O)=O)C(=O)N[C@@H](CS)C(O)=O</t>
  </si>
  <si>
    <t>PABVKUJVLNMOJP-WHFBIAKZSA-N</t>
  </si>
  <si>
    <t>8.38_387.2539m/z</t>
  </si>
  <si>
    <t>bufalin</t>
  </si>
  <si>
    <t>HMDB0249428</t>
  </si>
  <si>
    <t>CC12CCC3C(CCC4CC(O)CCC34C)C1(O)CCC2C1=COC(=O)C=C1</t>
  </si>
  <si>
    <t>QEEBRPGZBVVINN-UHFFFAOYSA-N</t>
  </si>
  <si>
    <t>14.31_298.3114m/z</t>
  </si>
  <si>
    <t>Tridemorph</t>
  </si>
  <si>
    <t>HMDB0031810</t>
  </si>
  <si>
    <t>C11285</t>
  </si>
  <si>
    <t>81412-43-3</t>
  </si>
  <si>
    <t>CCCCCCCCCCCCCN1CC(C)OC(C)C1</t>
  </si>
  <si>
    <t>YTOPFCCWCSOHFV-UHFFFAOYSA-N</t>
  </si>
  <si>
    <t>0.73_369.1403m/z</t>
  </si>
  <si>
    <t>Imrecoxib</t>
  </si>
  <si>
    <t>HMDB0253438</t>
  </si>
  <si>
    <t>CCCN1CC(=C(C1=O)C1=CC=C(C)C=C1)C1=CC=C(C=C1)S(C)(=O)=O</t>
  </si>
  <si>
    <t>AXMZZGKKZDJGAZ-UHFFFAOYSA-N</t>
  </si>
  <si>
    <t>C21H23NO3S</t>
  </si>
  <si>
    <t>4.03_156.1024m/z</t>
  </si>
  <si>
    <t>Tyrosol</t>
  </si>
  <si>
    <t>HMDB0004284</t>
  </si>
  <si>
    <t>C06044</t>
  </si>
  <si>
    <t>501-94-0</t>
  </si>
  <si>
    <t>OCCC1=CC=C(O)C=C1</t>
  </si>
  <si>
    <t>YCCILVSKPBXVIP-UHFFFAOYSA-N</t>
  </si>
  <si>
    <t>C8H10O2</t>
  </si>
  <si>
    <t>4.83_399.2477m/z</t>
  </si>
  <si>
    <t>Trecetilide</t>
  </si>
  <si>
    <t>HMDB0259115</t>
  </si>
  <si>
    <t>CCN(CCCCCC(C)(C)F)CCCC(O)C1=CC=C(NS(C)(=O)=O)C=C1</t>
  </si>
  <si>
    <t>RPQUKWBLAHJOPX-UHFFFAOYSA-N</t>
  </si>
  <si>
    <t>C21H37FN2O3S</t>
  </si>
  <si>
    <t>9.07_347.0642m/z</t>
  </si>
  <si>
    <t>1,3-Bis(4-nitrophenyl)urea</t>
  </si>
  <si>
    <t>HMDB0244158</t>
  </si>
  <si>
    <t>O=C(NC1=CC=C(C=C1)N(=O)=O)NC1=CC=C(C=C1)N(=O)=O</t>
  </si>
  <si>
    <t>JEZZOKXIXNSKQD-UHFFFAOYSA-N</t>
  </si>
  <si>
    <t>N-phenylureas</t>
  </si>
  <si>
    <t>C13H10N4O5</t>
  </si>
  <si>
    <t>8.54_292.2048n</t>
  </si>
  <si>
    <t>13S-HODTA</t>
  </si>
  <si>
    <t>LMFA02000373</t>
  </si>
  <si>
    <t>C(CCCC/C=C\C/C=C\C=C\[C@@H](O)C/C=C\CC)(=O)O</t>
  </si>
  <si>
    <t>NGBYXHBSPUAWMR-AYGRKINNSA-N</t>
  </si>
  <si>
    <t>3.69_301.0807m/z</t>
  </si>
  <si>
    <t>Nicotinic acid ribonucleoside</t>
  </si>
  <si>
    <t>HMDB0006809</t>
  </si>
  <si>
    <t>C05841</t>
  </si>
  <si>
    <t>4013-06-3</t>
  </si>
  <si>
    <t>OC[C@H]1O[C@H]([C@H](O)[C@@H]1O)[N+]1=CC=CC(=C1)C(O)=O</t>
  </si>
  <si>
    <t>PUEDDPCUCPRQNY-ZYUZMQFOSA-O</t>
  </si>
  <si>
    <t>C11H14NO6+</t>
  </si>
  <si>
    <t>5.06_156.0679m/z</t>
  </si>
  <si>
    <t>Triethylenephosphoramide</t>
  </si>
  <si>
    <t>HMDB0258822</t>
  </si>
  <si>
    <t>C19543</t>
  </si>
  <si>
    <t>545-55-1</t>
  </si>
  <si>
    <t>O=P(N1CC1)(N1CC1)N1CC1</t>
  </si>
  <si>
    <t>FYAMXEPQQLNQDM-UHFFFAOYSA-N</t>
  </si>
  <si>
    <t>C6H12N3OP</t>
  </si>
  <si>
    <t>5.02_431.0813m/z</t>
  </si>
  <si>
    <t>Desacetylcefotaxime</t>
  </si>
  <si>
    <t>HMDB0041868</t>
  </si>
  <si>
    <t>66340-28-1</t>
  </si>
  <si>
    <t>[H][C@]12SCC(CO)=C(N1C(=O)[C@@]2([H])N=C(O)C(=N/OC)\C1=CSC(=N)N1)C(O)=O</t>
  </si>
  <si>
    <t>FHYWAOQGXIZAAF-GHXIOONMSA-N</t>
  </si>
  <si>
    <t>C14H15N5O6S2</t>
  </si>
  <si>
    <t>94</t>
  </si>
  <si>
    <t>2-Ketobutyric Acid</t>
  </si>
  <si>
    <t>CC=C(C(=O)O)O</t>
  </si>
  <si>
    <t>RTWLEDIMOQVWDF-UHFFFAOYSA-N</t>
  </si>
  <si>
    <t>C4H6O3</t>
  </si>
  <si>
    <t>4.72_316.1667m/z</t>
  </si>
  <si>
    <t>Trp Ile</t>
  </si>
  <si>
    <t>CCC(C)C(C(=O)O)NC(=O)C(CC1=CNC2=CC=CC=C21)N</t>
  </si>
  <si>
    <t>PITVQFJBUFDJDD-XEGUGMAKSA-N</t>
  </si>
  <si>
    <t>7.64_347.1614m/z</t>
  </si>
  <si>
    <t>Trichostatin</t>
  </si>
  <si>
    <t>LMPK01000055</t>
  </si>
  <si>
    <t>58880-19-6</t>
  </si>
  <si>
    <t>C1=CC(C(=O)[C@H](C)/C=C(\C)/C=C/C(=O)NO)=CC=C1N(C)C</t>
  </si>
  <si>
    <t>RTKIYFITIVXBLE-QEQCGCAPSA-N</t>
  </si>
  <si>
    <t>C17H22N2O3</t>
  </si>
  <si>
    <t>11.88_170.1543m/z</t>
  </si>
  <si>
    <t>(R)-Carvotanacetone</t>
  </si>
  <si>
    <t>HMDB0034974</t>
  </si>
  <si>
    <t>33375-08-5</t>
  </si>
  <si>
    <t>CC(C)C1CC=C(C)C(=O)C1</t>
  </si>
  <si>
    <t>WPGPCDVQHXOMQP-UHFFFAOYSA-N</t>
  </si>
  <si>
    <t>9.19_239.1287m/z</t>
  </si>
  <si>
    <t>Cucujolide IX</t>
  </si>
  <si>
    <t>LMFA07040037</t>
  </si>
  <si>
    <t>C1(OCCCCCC=CCC=CC1)=O</t>
  </si>
  <si>
    <t>IDCDKEUBOYQTFY-NGNAIVRQSA-N</t>
  </si>
  <si>
    <t>3.96_295.0517m/z</t>
  </si>
  <si>
    <t>Fenitrothion</t>
  </si>
  <si>
    <t>HMDB0041893</t>
  </si>
  <si>
    <t>C14442</t>
  </si>
  <si>
    <t>122-14-5</t>
  </si>
  <si>
    <t>COP(=S)(OC)OC1=CC=C(C(C)=C1)N(=O)=O</t>
  </si>
  <si>
    <t>ZNOLGFHPUIJIMJ-UHFFFAOYSA-N</t>
  </si>
  <si>
    <t>C9H12NO5PS</t>
  </si>
  <si>
    <t>0.99_262.1295m/z</t>
  </si>
  <si>
    <t>Fructosyl valine</t>
  </si>
  <si>
    <t>HMDB0252496</t>
  </si>
  <si>
    <t>CC(C)C(NC1(CO)OC(CO)C(O)C1O)C(O)=O</t>
  </si>
  <si>
    <t>KVUAQCKXYIJBCP-UHFFFAOYSA-N</t>
  </si>
  <si>
    <t>5.50_214.1443m/z</t>
  </si>
  <si>
    <t>Hexaminolevulinate</t>
  </si>
  <si>
    <t>HMDB0253144</t>
  </si>
  <si>
    <t>[H]N([H])CC(=O)CCC(=O)OCCCCCC</t>
  </si>
  <si>
    <t>RYQOILLJDKPETL-UHFFFAOYSA-N</t>
  </si>
  <si>
    <t>13.33_465.3587m/z</t>
  </si>
  <si>
    <t>Cholestanetriol</t>
  </si>
  <si>
    <t>HMDB0250165</t>
  </si>
  <si>
    <t>CC(CCCC(C)C(O)(O)O)C1CCC2C3CCC4CCCCC4(C)C3CCC12C</t>
  </si>
  <si>
    <t>WGZMFEGKNIXYMB-UHFFFAOYSA-N</t>
  </si>
  <si>
    <t>9.77_358.2962m/z</t>
  </si>
  <si>
    <t>11-deoxy-PGF1a</t>
  </si>
  <si>
    <t>LMFA03010068</t>
  </si>
  <si>
    <t>[C@H]1(/C=C/[C@@H](O)CCCCC)CC[C@H](O)[C@@H]1CCCCCCC(=O)O</t>
  </si>
  <si>
    <t>HYBPXYQCXNOTFK-DUSCRHDRSA-N</t>
  </si>
  <si>
    <t>C20H36O4</t>
  </si>
  <si>
    <t>5.86_178.0115m/z</t>
  </si>
  <si>
    <t>4-Nitrocatechol</t>
  </si>
  <si>
    <t>HMDB0002916</t>
  </si>
  <si>
    <t>C02235</t>
  </si>
  <si>
    <t>3316-09-4</t>
  </si>
  <si>
    <t>OC1=C(O)C=C(C=C1)[N+]([O-])=O</t>
  </si>
  <si>
    <t>XJNPNXSISMKQEX-UHFFFAOYSA-N</t>
  </si>
  <si>
    <t>C6H5NO4</t>
  </si>
  <si>
    <t>1.91_138.0553m/z</t>
  </si>
  <si>
    <t>m-Aminobenzoic acid</t>
  </si>
  <si>
    <t>HMDB0001891</t>
  </si>
  <si>
    <t>99-05-8</t>
  </si>
  <si>
    <t>NC1=CC=CC(=C1)C(O)=O</t>
  </si>
  <si>
    <t>XFDUHJPVQKIXHO-UHFFFAOYSA-N</t>
  </si>
  <si>
    <t>8.00_336.1598m/z</t>
  </si>
  <si>
    <t>RCS-4 N-(4-hydroxypentyl) metabolite</t>
  </si>
  <si>
    <t>CC(CCCN1C=C(C2=CC=CC=C21)C(=O)C3=CC=C(C=C3)OC)O</t>
  </si>
  <si>
    <t>OAAZEFGKZWEFTG-UHFFFAOYSA-N</t>
  </si>
  <si>
    <t>4.75_303.0544m/z</t>
  </si>
  <si>
    <t>N-[4-[(6-Methoxypyrimidin-4-yl)sulfamoyl]phenyl]acetamide</t>
  </si>
  <si>
    <t>HMDB0243490</t>
  </si>
  <si>
    <t>COC1=NC=NC(NS(=O)(=O)C2=CC=C(NC(C)=O)C=C2)=C1</t>
  </si>
  <si>
    <t>GYUQXNLLHFAYDF-UHFFFAOYSA-N</t>
  </si>
  <si>
    <t>C13H14N4O4S</t>
  </si>
  <si>
    <t>6.16_629.3545m/z</t>
  </si>
  <si>
    <t>Goshonoside F7</t>
  </si>
  <si>
    <t>HMDB0038378</t>
  </si>
  <si>
    <t>C\C(CCC1C(=C)CCC2C(C)(C)C(CCC12C)OC1OC(CO)C(O)C(O)C1O)=C\COC1OC(CO)C(O)C(O)C1O</t>
  </si>
  <si>
    <t>HILPXFUUVMCHIZ-WJDWOHSUSA-N</t>
  </si>
  <si>
    <t>C32H54O12</t>
  </si>
  <si>
    <t>10.72_497.2890m/z</t>
  </si>
  <si>
    <t>Desethyl-N-acetylprocainamide</t>
  </si>
  <si>
    <t>HMDB0251036</t>
  </si>
  <si>
    <t>72040-49-4</t>
  </si>
  <si>
    <t>CCNCCNC(=O)C1=CC=C(NC(C)=O)C=C1</t>
  </si>
  <si>
    <t>JNDZQWRVBINENC-UHFFFAOYSA-N</t>
  </si>
  <si>
    <t>C13H19N3O2</t>
  </si>
  <si>
    <t>8.79_369.0350m/z</t>
  </si>
  <si>
    <t>[(2S,3R,4R,5R)-5-(2,4-Dioxopyrimidin-1-yl)-3,4-dihydroxyoxolan-2-yl]methyl dihydrogen phosphate</t>
  </si>
  <si>
    <t>HMDB0247871</t>
  </si>
  <si>
    <t>OC1C(COP(O)(O)=O)OC(C1O)N1C=CC(O)=NC1=O</t>
  </si>
  <si>
    <t>DJJCXFVJDGTHFX-UHFFFAOYSA-N</t>
  </si>
  <si>
    <t>4.36_561.3918m/z</t>
  </si>
  <si>
    <t>PA(8:0/i-19:0)</t>
  </si>
  <si>
    <t>HMDB0115692</t>
  </si>
  <si>
    <t>[H][C@@](COC(=O)CCCCCCC)(COP(O)(O)=O)OC(=O)CCCCCCCCCCCCCCCC(C)C</t>
  </si>
  <si>
    <t>BAFUAHRHZYQIEG-MUUNZHRXSA-N</t>
  </si>
  <si>
    <t>C30H59O8P</t>
  </si>
  <si>
    <t>1.36_153.0552m/z</t>
  </si>
  <si>
    <t>(2E)-4-hydroxy-5-methyl-2-propylidene-3(2H)-furanone</t>
  </si>
  <si>
    <t>HMDB0303967</t>
  </si>
  <si>
    <t>CCC=C1OC(C)=C([O-])C1=O</t>
  </si>
  <si>
    <t>JPLUXSIYIQGVTD-UHFFFAOYSA-M</t>
  </si>
  <si>
    <t>C8H9O3-</t>
  </si>
  <si>
    <t>3.54_223.1085m/z</t>
  </si>
  <si>
    <t>Glycyl-Phenylalanine</t>
  </si>
  <si>
    <t>HMDB0028848</t>
  </si>
  <si>
    <t>NCC(O)=NC(CC1=CC=CC=C1)C(O)=O</t>
  </si>
  <si>
    <t>JBCLFWXMTIKCCB-UHFFFAOYSA-N</t>
  </si>
  <si>
    <t>2.07_252.0457m/z</t>
  </si>
  <si>
    <t>6-Methyl-5-pyridin-4-yl-3,6-dihydro-1,3,4-thiadiazin-2-one</t>
  </si>
  <si>
    <t>HMDB0253351</t>
  </si>
  <si>
    <t>CC1SC(=O)NN=C1C1=CC=NC=C1</t>
  </si>
  <si>
    <t>PXZLHVGFLSUUIW-UHFFFAOYSA-N</t>
  </si>
  <si>
    <t>C9H9N3OS</t>
  </si>
  <si>
    <t>4.93_763.4169m/z</t>
  </si>
  <si>
    <t>PG(18:1(12Z)-2OH(9,10)/i-12:0)</t>
  </si>
  <si>
    <t>HMDB0271104</t>
  </si>
  <si>
    <t>[H][C@](O)(CO)COP(O)(=O)OC[C@@]([H])(COC(=O)CCCCCCC[C@@H](O)[C@H](O)C\C=C/CCCCC)OC(=O)CCCCCCCCC(C)C</t>
  </si>
  <si>
    <t>NFNGQDAPSJVEOA-HXNFJOLISA-N</t>
  </si>
  <si>
    <t>C36H69O12P</t>
  </si>
  <si>
    <t>4.57_604.3553m/z</t>
  </si>
  <si>
    <t>Presqualene diphosphate</t>
  </si>
  <si>
    <t>HMDB01278</t>
  </si>
  <si>
    <t>LMPR0106010003</t>
  </si>
  <si>
    <t>C03428</t>
  </si>
  <si>
    <t>R-HSA-1430728,R-HSA-191273,R-HSA-556833,R-HSA-8957322</t>
  </si>
  <si>
    <t>Metabolism|Cholesterol biosynthesis|Metabolism of lipids|Metabolism of steroids</t>
  </si>
  <si>
    <t>[C@@]1([H])(COP(=O)(O)OP(=O)(O)O)[C@]([C@]1([H])/C=C(\C)/CC/C=C(\C)/CC/C=C(\C)/C)(C)CC/C=C(\C)/CC/C=C(\C)/C</t>
  </si>
  <si>
    <t>ATZKAUGGNMSCCY-VVFNRDJMSA-N</t>
  </si>
  <si>
    <t>C30H52O7P2</t>
  </si>
  <si>
    <t>4.28_446.2259m/z</t>
  </si>
  <si>
    <t>Amperozide</t>
  </si>
  <si>
    <t>HMDB0248358</t>
  </si>
  <si>
    <t>[H]N(CC)C(=O)N1CCN(CCCC(C2=CC=C(F)C=C2)C2=CC=C(F)C=C2)CC1</t>
  </si>
  <si>
    <t>NNAIYOXJNVGUOM-UHFFFAOYSA-N</t>
  </si>
  <si>
    <t>C23H29F2N3O</t>
  </si>
  <si>
    <t>3.94_292.1303m/z</t>
  </si>
  <si>
    <t>Seryltryptophan</t>
  </si>
  <si>
    <t>HMDB0029050</t>
  </si>
  <si>
    <t>94421-70-2</t>
  </si>
  <si>
    <t>N[C@@H](CO)C(=O)N[C@@H](CC1=CNC2=C1C=CC=C2)C(O)=O</t>
  </si>
  <si>
    <t>LZLREEUGSYITMX-JQWIXIFHSA-N</t>
  </si>
  <si>
    <t>4.13_415.1969m/z</t>
  </si>
  <si>
    <t>Ile Asn Phe</t>
  </si>
  <si>
    <t>CCC(C)C(C(=O)NC(CC(=O)N)C(=O)NC(CC1=CC=CC=C1)C(=O)O)N</t>
  </si>
  <si>
    <t>ZZHGKECPZXPXJF-PCBIJLKTSA-N</t>
  </si>
  <si>
    <t>C19H28N4O5</t>
  </si>
  <si>
    <t>4.22_302.1513m/z</t>
  </si>
  <si>
    <t>Valyltryptophan</t>
  </si>
  <si>
    <t>HMDB0029138</t>
  </si>
  <si>
    <t>24587-37-9</t>
  </si>
  <si>
    <t>CC(C)[C@H](N)C(=O)N[C@@H](CC1=CNC2=CC=CC=C12)C(O)=O</t>
  </si>
  <si>
    <t>LZDNBBYBDGBADK-KBPBESRZSA-N</t>
  </si>
  <si>
    <t>8.00_377.1948m/z</t>
  </si>
  <si>
    <t>PGA3</t>
  </si>
  <si>
    <t>LMFA03010140</t>
  </si>
  <si>
    <t>36614-31-0</t>
  </si>
  <si>
    <t>[C@H]1(/C=C/[C@@H](O)C/C=C\CC)C=CC(=O)[C@@H]1C/C=C\CCCC(=O)O</t>
  </si>
  <si>
    <t>KSIRMUMXJFWKAC-FHJHOUOTSA-N</t>
  </si>
  <si>
    <t>12.67_395.3165m/z</t>
  </si>
  <si>
    <t>DG(13:0/8:0/0:0)</t>
  </si>
  <si>
    <t>HMDB0093139</t>
  </si>
  <si>
    <t>[H][C@](CO)(COC(=O)CCCCCCCCCCCC)OC(=O)CCCCCCC</t>
  </si>
  <si>
    <t>ZYQZGITUNBGFID-QFIPXVFZSA-N</t>
  </si>
  <si>
    <t>C24H46O5</t>
  </si>
  <si>
    <t>4.94_719.2492m/z</t>
  </si>
  <si>
    <t>Invert sugar</t>
  </si>
  <si>
    <t>HMDB0303239</t>
  </si>
  <si>
    <t>OCC(O)C(O)C(O)C(O)C=O.OCC(O)C(O)C(O)C(=O)CO</t>
  </si>
  <si>
    <t>PJVXUVWGSCCGHT-UHFFFAOYSA-N</t>
  </si>
  <si>
    <t>C12H24O12</t>
  </si>
  <si>
    <t>0.73_217.0569m/z</t>
  </si>
  <si>
    <t>Lycoperdic acid</t>
  </si>
  <si>
    <t>HMDB0030417</t>
  </si>
  <si>
    <t>69086-72-2</t>
  </si>
  <si>
    <t>NC(CC1(CCC(=O)O1)C(O)=O)C(O)=O</t>
  </si>
  <si>
    <t>ZQVZYZVRVFBTDG-UHFFFAOYSA-N</t>
  </si>
  <si>
    <t>C8H11NO6</t>
  </si>
  <si>
    <t>14.19_535.4007m/z</t>
  </si>
  <si>
    <t>Methoprene acid</t>
  </si>
  <si>
    <t>53092-52-7</t>
  </si>
  <si>
    <t>CC(CCCC(C)(C)OC)CC=CC(=CC(=O)O)C</t>
  </si>
  <si>
    <t>MNYBEULOKRVZKY-TZOAMJEDSA-N</t>
  </si>
  <si>
    <t>4.63_385.1517m/z</t>
  </si>
  <si>
    <t>15-Deacetylneosolaniol</t>
  </si>
  <si>
    <t>HMDB0036157</t>
  </si>
  <si>
    <t>C02951</t>
  </si>
  <si>
    <t>76348-84-0</t>
  </si>
  <si>
    <t>CC(=O)OC1C(O)C2OC3C=C(C)C(O)CC3(CO)C1(C)C21CO1</t>
  </si>
  <si>
    <t>CSYVMZMEBKUDRQ-UHFFFAOYSA-N</t>
  </si>
  <si>
    <t>C17H24O7</t>
  </si>
  <si>
    <t>0.76_192.0329m/z</t>
  </si>
  <si>
    <t>2,4-Thiazolidinedicarboxylic acid, 2-methyl-</t>
  </si>
  <si>
    <t>HMDB0244750</t>
  </si>
  <si>
    <t>CC1(NC(CS1)C(O)=O)C(O)=O</t>
  </si>
  <si>
    <t>JCAKCGQZNBEITC-UHFFFAOYSA-N</t>
  </si>
  <si>
    <t>C6H9NO4S</t>
  </si>
  <si>
    <t>10.76_369.2647m/z</t>
  </si>
  <si>
    <t>MG(18:1(9Z)-O(12,13)/0:0/0:0)</t>
  </si>
  <si>
    <t>HMDB0260492</t>
  </si>
  <si>
    <t>CCCCCC1OC1C\C=C/CCCCCCCC(=O)OC[C@@H](O)CO</t>
  </si>
  <si>
    <t>FYCPUPBOVLIBDH-CMIZIVJNSA-N</t>
  </si>
  <si>
    <t>5.00_345.1158n</t>
  </si>
  <si>
    <t>Omeprazole</t>
  </si>
  <si>
    <t>HMDB0001913</t>
  </si>
  <si>
    <t>C07324</t>
  </si>
  <si>
    <t>73590-58-6</t>
  </si>
  <si>
    <t>COC1=CC2=C(C=C1)N=C(N2)S(=O)CC1=NC=C(C)C(OC)=C1C</t>
  </si>
  <si>
    <t>SUBDBMMJDZJVOS-UHFFFAOYSA-N</t>
  </si>
  <si>
    <t>C17H19N3O3S</t>
  </si>
  <si>
    <t>6.41_223.0972m/z</t>
  </si>
  <si>
    <t>1-hydroxy-5-phenyl-3-pentanone</t>
  </si>
  <si>
    <t>LMFA05000603</t>
  </si>
  <si>
    <t>C1(CCC(=O)CCO)C=CC=CC=1</t>
  </si>
  <si>
    <t>VQTZONPDOFOTIF-UHFFFAOYSA-N</t>
  </si>
  <si>
    <t>15.48_397.3324m/z</t>
  </si>
  <si>
    <t>22-tricosenoic acid</t>
  </si>
  <si>
    <t>LMFA01030091</t>
  </si>
  <si>
    <t>C(CCCCCCCCCCCCC(=O)O)CCCCCCCC=C</t>
  </si>
  <si>
    <t>YGTSVJQQDISEHZ-UHFFFAOYSA-N</t>
  </si>
  <si>
    <t>C23H44O2</t>
  </si>
  <si>
    <t>4.89_334.0384m/z</t>
  </si>
  <si>
    <t>Salacinol</t>
  </si>
  <si>
    <t>HMDB0257455</t>
  </si>
  <si>
    <t>OCC(OS([O-])(=O)=O)C(O)C[S+]1CC(O)C(O)C1CO</t>
  </si>
  <si>
    <t>SOWRVDSZMRPKRG-UHFFFAOYSA-N</t>
  </si>
  <si>
    <t>C9H18O9S2</t>
  </si>
  <si>
    <t>10.89_363.2347m/z</t>
  </si>
  <si>
    <t>Quinestrol</t>
  </si>
  <si>
    <t>HMDB0015579</t>
  </si>
  <si>
    <t>LMST02010037</t>
  </si>
  <si>
    <t>C07619</t>
  </si>
  <si>
    <t>152-43-2</t>
  </si>
  <si>
    <t>[C@@]12([H])CC[C@@](O)(C#C)[C@@]1(C)CC[C@]1([H])C3C=CC(OC4CCCC4)=CC=3CC[C@@]21[H]</t>
  </si>
  <si>
    <t>PWZUUYSISTUNDW-VAFBSOEGSA-N</t>
  </si>
  <si>
    <t>C25H32O2</t>
  </si>
  <si>
    <t>9.95_328.3220m/z</t>
  </si>
  <si>
    <t>3-dehydrosphinganine (C20)</t>
  </si>
  <si>
    <t>HMDB0304123</t>
  </si>
  <si>
    <t>CCCCCCCCCCCCCCCCCC(=O)C([N+])CO</t>
  </si>
  <si>
    <t>KEJZKSADWMARKE-UHFFFAOYSA-N</t>
  </si>
  <si>
    <t>C20H42NO2+</t>
  </si>
  <si>
    <t>4.90_803.3948m/z</t>
  </si>
  <si>
    <t>OKDdiA-PI</t>
  </si>
  <si>
    <t>LMGP20050034</t>
  </si>
  <si>
    <t>[C@]([H])(OC(CCCCCCCC(=O)/C=C/C(=O)O)=O)(COP(=O)(O)O[C@H]1[C@H](O)[C@@H](O)[C@H](O)[C@@H](O)[C@H]1O)COC(CCCCCCC/C=C\CCCCCCCC)=O</t>
  </si>
  <si>
    <t>LQHRICVKSBEXHX-JQZAICAISA-N</t>
  </si>
  <si>
    <t>C39H67O16P</t>
  </si>
  <si>
    <t>7.88_512.3365m/z</t>
  </si>
  <si>
    <t>MGTS(16:0/0:0)</t>
  </si>
  <si>
    <t>LMGL06010002</t>
  </si>
  <si>
    <t>[C@](COCCC(C(=O)[O-])[N+](C)(C)C)([H])(O)COC(CCCCCCCCCCCCCCC)=O</t>
  </si>
  <si>
    <t>OLQBJTALXNGBNR-UXMRNZNESA-N</t>
  </si>
  <si>
    <t>C26H51NO6</t>
  </si>
  <si>
    <t>1.38_245.1004m/z</t>
  </si>
  <si>
    <t>3-Isobutyl-1-methylxanthine</t>
  </si>
  <si>
    <t>HMDB0245912</t>
  </si>
  <si>
    <t>C13708</t>
  </si>
  <si>
    <t>28822-58-4</t>
  </si>
  <si>
    <t>CC(C)CN1C2=C(N=CN2)C(=O)N(C)C1=O</t>
  </si>
  <si>
    <t>APIXJSLKIYYUKG-UHFFFAOYSA-N</t>
  </si>
  <si>
    <t>C10H14N4O2</t>
  </si>
  <si>
    <t>1.21_280.0189m/z</t>
  </si>
  <si>
    <t>Morin-5'-sulfonic acid</t>
  </si>
  <si>
    <t>HMDB0254884</t>
  </si>
  <si>
    <t>O=C(N(CC#C)C1=CC=CC=C1)C1=CC=CS1</t>
  </si>
  <si>
    <t>IEYFQXRAJFBTTO-UHFFFAOYSA-N</t>
  </si>
  <si>
    <t>0.76_180.0657m/z</t>
  </si>
  <si>
    <t>2-Acetyl-1,5,6,7-tetrahydro-6-hydroxy-7-(hydroxymethyl)-4H-azepine-4-one</t>
  </si>
  <si>
    <t>HMDB0035177</t>
  </si>
  <si>
    <t>CC(=O)C1=CC(=O)CC(O)C(CO)N1</t>
  </si>
  <si>
    <t>OISIGIMXBVOALX-UHFFFAOYSA-N</t>
  </si>
  <si>
    <t>C9H13NO4</t>
  </si>
  <si>
    <t>10.76_411.2153m/z</t>
  </si>
  <si>
    <t>ingenol mebutate</t>
  </si>
  <si>
    <t>LMFA07010911</t>
  </si>
  <si>
    <t>[C@@]123C=C(C)[C@H](OC(=O)/C(/C)=C\C)[C@@]1(O)[C@H](O)C(CO)=C[C@]([H])([C@]1([H])C(C)(C)[C@]1([H])C[C@H]2C)C3=O</t>
  </si>
  <si>
    <t>VDJHFHXMUKFKET-UXMMOKKRSA-N</t>
  </si>
  <si>
    <t>5.20_249.0492m/z</t>
  </si>
  <si>
    <t>Furylfuramide</t>
  </si>
  <si>
    <t>HMDB0252550</t>
  </si>
  <si>
    <t>NC(=O)C(=CC1=CC=C(O1)[N+]([O-])=O)C1=CC=CO1</t>
  </si>
  <si>
    <t>LYAHJFZLDZDIOH-UHFFFAOYSA-N</t>
  </si>
  <si>
    <t>C11H8N2O5</t>
  </si>
  <si>
    <t>11.38_466.3303m/z</t>
  </si>
  <si>
    <t>PC(O-15:0/0:0)</t>
  </si>
  <si>
    <t>LMGP01060009</t>
  </si>
  <si>
    <t>[C@](COP(=O)([O-])OCC[N+](C)(C)C)([H])(O)COCCCCCCCCCCCCCCC</t>
  </si>
  <si>
    <t>PPXKEQMZYFQYCJ-HSZRJFAPSA-N</t>
  </si>
  <si>
    <t>5.10_196.1452m/z</t>
  </si>
  <si>
    <t>1,2,2-Trimethylpropyl dimethylphosphinate</t>
  </si>
  <si>
    <t>HMDB0244104</t>
  </si>
  <si>
    <t>CC(OP(C)(C)=O)C(C)(C)C</t>
  </si>
  <si>
    <t>YETUOGDVNMBLAI-UHFFFAOYSA-N</t>
  </si>
  <si>
    <t>Organophosphinic acids and derivatives</t>
  </si>
  <si>
    <t>Phosphinic acid esters</t>
  </si>
  <si>
    <t>C8H19O2P</t>
  </si>
  <si>
    <t>1.84_267.1346m/z</t>
  </si>
  <si>
    <t>Phenylalanylthreonine</t>
  </si>
  <si>
    <t>HMDB0029005</t>
  </si>
  <si>
    <t>51352-44-4</t>
  </si>
  <si>
    <t>C[C@@H](O)[C@H](NC(=O)[C@@H](N)CC1=CC=CC=C1)C(O)=O</t>
  </si>
  <si>
    <t>NYQBYASWHVRESG-MIMYLULJSA-N</t>
  </si>
  <si>
    <t>0.99_213.0003m/z</t>
  </si>
  <si>
    <t>Allo-hydroxycitric acid lactone</t>
  </si>
  <si>
    <t>HMDB0259498</t>
  </si>
  <si>
    <t>OC(=O)C1OC(=O)CC1(O)C(O)=O</t>
  </si>
  <si>
    <t>PFHZIWAVXDSFTB-UHFFFAOYSA-N</t>
  </si>
  <si>
    <t>C6H6O7</t>
  </si>
  <si>
    <t>5.24_691.3472m/z</t>
  </si>
  <si>
    <t>SNAG-delta5-CA</t>
  </si>
  <si>
    <t>LMST05050051</t>
  </si>
  <si>
    <t>[C@@]12([H])[C@@H](O[C@H]3[C@H](NC(C)=O)[C@@H](O)[C@H](O)[C@@H](CO)O3)C=C3C[C@@H](OS(O)(=O)=O)CC[C@]3(C)[C@@]1([H])CC[C@]1(C)[C@@]([H])([C@]([H])(C)CCC(=O)O)CC[C@@]21[H]</t>
  </si>
  <si>
    <t>YXAGJPCGPKMTNG-LGBRWLQSSA-N</t>
  </si>
  <si>
    <t>C32H51NO12S</t>
  </si>
  <si>
    <t>11.07_351.2002m/z</t>
  </si>
  <si>
    <t>epitiostanol</t>
  </si>
  <si>
    <t>HMDB0251866</t>
  </si>
  <si>
    <t>CC12CCC3C(CCC4CC5SC5CC34C)C1CCC2O</t>
  </si>
  <si>
    <t>OBMLHUPNRURLOK-UHFFFAOYSA-N</t>
  </si>
  <si>
    <t>C19H30OS</t>
  </si>
  <si>
    <t>7.43_325.2022m/z</t>
  </si>
  <si>
    <t>16-E1t-PhytoP</t>
  </si>
  <si>
    <t>LMFA02030051</t>
  </si>
  <si>
    <t>C(CCCCCCC[C@@H]1C(=O)C[C@@H](O)[C@@H]1/C=C/[C@@H](O)CC)(=O)O</t>
  </si>
  <si>
    <t>PLXNUXTXNUIUNK-WFRUSHSBSA-N</t>
  </si>
  <si>
    <t>8.18_453.2863m/z</t>
  </si>
  <si>
    <t>3alpha,5beta,12alpha-Trihydroxycholan-24-oic Acid</t>
  </si>
  <si>
    <t>LMST04010079</t>
  </si>
  <si>
    <t>C1[C@]2(C)[C@@]3([H])C[C@H](O)[C@]4(C)[C@@]([H])([C@]([H])(C)CCC(O)=O)CC[C@@]4([H])[C@]3([H])CC[C@]2(O)C[C@H](O)C1</t>
  </si>
  <si>
    <t>IHCPIJYMENVZLU-XSNMPADYSA-N</t>
  </si>
  <si>
    <t>13.18_353.2698m/z</t>
  </si>
  <si>
    <t>9Z,12Z-Octadecadienyl acetate</t>
  </si>
  <si>
    <t>LMFA07010394</t>
  </si>
  <si>
    <t>O(C(=O)C)CCCCCCCC/C=C\C/C=C\CCCCC</t>
  </si>
  <si>
    <t>KFXARGMQYWECBV-NQLNTKRDSA-N</t>
  </si>
  <si>
    <t>5.18_337.1384m/z</t>
  </si>
  <si>
    <t>Hycanthone</t>
  </si>
  <si>
    <t>HMDB0253234</t>
  </si>
  <si>
    <t>3105-97-3</t>
  </si>
  <si>
    <t>CCN(CC)CCNC1=C2C(=O)C3=CC=CC=C3SC2=C(CO)C=C1</t>
  </si>
  <si>
    <t>MFZWMTSUNYWVBU-UHFFFAOYSA-N</t>
  </si>
  <si>
    <t>Thiochromenes</t>
  </si>
  <si>
    <t>C20H24N2O2S</t>
  </si>
  <si>
    <t>1.29_329.1436m/z</t>
  </si>
  <si>
    <t>Asp Asn Val</t>
  </si>
  <si>
    <t>CC(C)C(C(=O)O)NC(=O)C(CC(=O)N)NC(=O)C(CC(=O)O)N</t>
  </si>
  <si>
    <t>RDRMWJBLOSRRAW-BYULHYEWSA-N</t>
  </si>
  <si>
    <t>9.36_370.2964m/z</t>
  </si>
  <si>
    <t>Tetradecenoylcarnitine</t>
  </si>
  <si>
    <t>HMDB0258884</t>
  </si>
  <si>
    <t>CCCCCCCCCCCC=CC(=O)C(O)(CC([O-])=O)C[N+](C)(C)C</t>
  </si>
  <si>
    <t>JPZLYVBUZGYFKZ-UHFFFAOYSA-N</t>
  </si>
  <si>
    <t>286</t>
  </si>
  <si>
    <t>L-Homocysteine</t>
  </si>
  <si>
    <t>HMDB0000742</t>
  </si>
  <si>
    <t>C00155</t>
  </si>
  <si>
    <t>hsa00270,hsa00920,hsa01523,hsa04621</t>
  </si>
  <si>
    <t>Cysteine and methionine metabolism|Sulfur metabolism|Antifolate resistance|NOD-like receptor signaling pathway</t>
  </si>
  <si>
    <t>6027-13-0</t>
  </si>
  <si>
    <t>N[C@@H](CCS)C(O)=O</t>
  </si>
  <si>
    <t>FFFHZYDWPBMWHY-VKHMYHEASA-N</t>
  </si>
  <si>
    <t>4.94_231.0511m/z</t>
  </si>
  <si>
    <t>Erinapyrone C</t>
  </si>
  <si>
    <t>HMDB0041026</t>
  </si>
  <si>
    <t>157207-53-9</t>
  </si>
  <si>
    <t>CC(O)C12OC1OC(CO)=CC2=O</t>
  </si>
  <si>
    <t>ZXCJKDVKXCEBEI-UHFFFAOYSA-N</t>
  </si>
  <si>
    <t>C8H10O5</t>
  </si>
  <si>
    <t>0.71_239.0650m/z</t>
  </si>
  <si>
    <t>Noxytiolin</t>
  </si>
  <si>
    <t>HMDB0255760</t>
  </si>
  <si>
    <t>CNC(=S)NCO</t>
  </si>
  <si>
    <t>JLMHZVYLAQPMOZ-UHFFFAOYSA-N</t>
  </si>
  <si>
    <t>Thioureas</t>
  </si>
  <si>
    <t>C3H8N2OS</t>
  </si>
  <si>
    <t>0.56_286.0267m/z</t>
  </si>
  <si>
    <t>1-Nitropyrene</t>
  </si>
  <si>
    <t>HMDB0243967</t>
  </si>
  <si>
    <t>C14421</t>
  </si>
  <si>
    <t>5522-43-0</t>
  </si>
  <si>
    <t>O=N(=O)C1=C2C=CC3=CC=CC4=C3C2=C(C=C4)C=C1</t>
  </si>
  <si>
    <t>ALRLPDGCPYIVHP-UHFFFAOYSA-N</t>
  </si>
  <si>
    <t>C16H9NO2</t>
  </si>
  <si>
    <t>5.53_315.1347m/z</t>
  </si>
  <si>
    <t>Sugeonyl acetate</t>
  </si>
  <si>
    <t>LMPR0103450004</t>
  </si>
  <si>
    <t>[C@]123C(C)(C)[C@H](CC[C@H]1C)[C@H](OC(C)=O)C2=C(C)C(=O)C3</t>
  </si>
  <si>
    <t>FHGRIGPOCXOGPU-BSMYWONQSA-N</t>
  </si>
  <si>
    <t>3.54_115.1123m/z</t>
  </si>
  <si>
    <t>xi-1-Butoxy-1-methoxyethane</t>
  </si>
  <si>
    <t>HMDB0037636</t>
  </si>
  <si>
    <t>CCCCOC(C)OC</t>
  </si>
  <si>
    <t>DGUULUIJEFJCKG-UHFFFAOYSA-N</t>
  </si>
  <si>
    <t>220</t>
  </si>
  <si>
    <t>Erythritol</t>
  </si>
  <si>
    <t>HMDB0002994</t>
  </si>
  <si>
    <t>C00503</t>
  </si>
  <si>
    <t>149-32-6</t>
  </si>
  <si>
    <t>OC[C@H](O)[C@H](O)CO</t>
  </si>
  <si>
    <t>UNXHWFMMPAWVPI-ZXZARUISSA-N</t>
  </si>
  <si>
    <t>C4H10O4</t>
  </si>
  <si>
    <t>9.16_370.2964m/z</t>
  </si>
  <si>
    <t>2-Hydroxymyristoylcarnitine</t>
  </si>
  <si>
    <t>HMDB0013166</t>
  </si>
  <si>
    <t>LMFA07070033</t>
  </si>
  <si>
    <t>C(CCCCC)CCCCCCC(O)C(OC(C[N+](C)(C)C)CC(=O)[O-])=O</t>
  </si>
  <si>
    <t>WWDZVVWQNWNRDM-UHFFFAOYSA-N</t>
  </si>
  <si>
    <t>C21H41NO5</t>
  </si>
  <si>
    <t>3.96_272.0154m/z</t>
  </si>
  <si>
    <t>2,3,4-Trinitrotoluene</t>
  </si>
  <si>
    <t>HMDB0245426</t>
  </si>
  <si>
    <t>CC1=C(C(=C(C=C1)[N+]([O-])=O)[N+]([O-])=O)[N+]([O-])=O</t>
  </si>
  <si>
    <t>FPKOPBFLPLFWAD-UHFFFAOYSA-N</t>
  </si>
  <si>
    <t>C7H5N3O6</t>
  </si>
  <si>
    <t>0.71_157.0357m/z</t>
  </si>
  <si>
    <t>Allantoin</t>
  </si>
  <si>
    <t>HMDB0000462</t>
  </si>
  <si>
    <t>C01551</t>
  </si>
  <si>
    <t>97-59-6</t>
  </si>
  <si>
    <t>NC(=O)NC1NC(=O)NC1=O</t>
  </si>
  <si>
    <t>POJWUDADGALRAB-UHFFFAOYSA-N</t>
  </si>
  <si>
    <t>4.72_277.0440m/z</t>
  </si>
  <si>
    <t>Trifluridine</t>
  </si>
  <si>
    <t>HMDB0014576</t>
  </si>
  <si>
    <t>70-00-8</t>
  </si>
  <si>
    <t>OC[C@H]1O[C@H](C[C@@H]1O)N1C=C(C(=O)NC1=O)C(F)(F)F</t>
  </si>
  <si>
    <t>VSQQQLOSPVPRAZ-RRKCRQDMSA-N</t>
  </si>
  <si>
    <t>C10H11F3N2O5</t>
  </si>
  <si>
    <t>14.48_699.5207m/z</t>
  </si>
  <si>
    <t>PE(16:1(9Z)/P-18:1(11Z))</t>
  </si>
  <si>
    <t>HMDB0008984</t>
  </si>
  <si>
    <t>[H][C@@](COC(=O)CCCCCCC\C=C/CCCCCC)(COP(O)(=O)OCCN)O\C=C/CCCCCCCC\C=C/CCCCCC</t>
  </si>
  <si>
    <t>JMGFSDKKQCFELC-KTHSIHKKSA-N</t>
  </si>
  <si>
    <t>C39H74NO7P</t>
  </si>
  <si>
    <t>11.17_328.0983m/z</t>
  </si>
  <si>
    <t>Cariporide</t>
  </si>
  <si>
    <t>HMDB0249676</t>
  </si>
  <si>
    <t>CC(C)C1=CC=C(C=C1S(C)(=O)=O)C(=O)NC(N)=N</t>
  </si>
  <si>
    <t>IWXNYAIICFKCTM-UHFFFAOYSA-N</t>
  </si>
  <si>
    <t>C12H17N3O3S</t>
  </si>
  <si>
    <t>10.67_260.2016m/z</t>
  </si>
  <si>
    <t>2-Ethylhexyl 4-(dimethylamino)benzoate</t>
  </si>
  <si>
    <t>HMDB0245607</t>
  </si>
  <si>
    <t>CCCCC(CC)COC(=O)C1=CC=C(C=C1)N(C)C</t>
  </si>
  <si>
    <t>WYWZRNAHINYAEF-UHFFFAOYSA-N</t>
  </si>
  <si>
    <t>C17H27NO2</t>
  </si>
  <si>
    <t>8.77_533.2850m/z</t>
  </si>
  <si>
    <t>Diethofencarb</t>
  </si>
  <si>
    <t>C11077</t>
  </si>
  <si>
    <t>87130-20-9</t>
  </si>
  <si>
    <t>CCOC1=C(C=C(C=C1)NC(=O)OC(C)C)OCC</t>
  </si>
  <si>
    <t>LNJNFVJKDJYTEU-UHFFFAOYSA-N</t>
  </si>
  <si>
    <t>Phenylcarbamic acid esters</t>
  </si>
  <si>
    <t>10.18_495.3328m/z</t>
  </si>
  <si>
    <t>(25R)-1beta,3alpha,7alpha-trihydroxy-5beta-cholestan-26-oic acid</t>
  </si>
  <si>
    <t>LMST04030188</t>
  </si>
  <si>
    <t>[C@]12([C@H](O)C[C@]3([H])C[C@H](O)C[C@@H](O)[C@]3(C)[C@@]1([H])CC[C@]1(C)[C@@]([H])([C@@](C)([H])CCC[C@@H](C)C(=O)O)CC[C@@]21[H])[H]</t>
  </si>
  <si>
    <t>JJLSUOWVAMDAIX-NRKUIWSNSA-N</t>
  </si>
  <si>
    <t>10.85_276.2330m/z</t>
  </si>
  <si>
    <t>Galaxolide</t>
  </si>
  <si>
    <t>HMDB0244470</t>
  </si>
  <si>
    <t>CC1C(C)(C)C2=C(C=C3C(C)COCC3=C2)C1(C)C</t>
  </si>
  <si>
    <t>ONKNPOPIGWHAQC-UHFFFAOYSA-N</t>
  </si>
  <si>
    <t>2-benzopyrans</t>
  </si>
  <si>
    <t>3.34_204.0618m/z</t>
  </si>
  <si>
    <t>urea glutamate</t>
  </si>
  <si>
    <t>HMDB0259716</t>
  </si>
  <si>
    <t>NC1CCC(=O)ON(OC1=O)C(N)=O</t>
  </si>
  <si>
    <t>IPWDRBKGZXGXRV-UHFFFAOYSA-N</t>
  </si>
  <si>
    <t>C6H9N3O5</t>
  </si>
  <si>
    <t>5.31_222.1132m/z</t>
  </si>
  <si>
    <t>Odyssic acid</t>
  </si>
  <si>
    <t>LMFA01031114</t>
  </si>
  <si>
    <t>C(CCC(O)C([H])=[C@]=C([H])C#CC#CC)(=O)O</t>
  </si>
  <si>
    <t>JBHZDNMPKRGXNW-RGENBBCFSA-N</t>
  </si>
  <si>
    <t>10.91_737.5045m/z</t>
  </si>
  <si>
    <t>Ternatin</t>
  </si>
  <si>
    <t>HMDB0040991</t>
  </si>
  <si>
    <t>C16302</t>
  </si>
  <si>
    <t>148619-41-4</t>
  </si>
  <si>
    <t>CCC(C)C1NC(=O)C(NC(=O)C(C)N(C)C(=O)C(C)N(C)C(=O)C(CC(C)C)NC(=O)C(CC(C)C)N(C)C(=O)C(C)N(C)C1=O)C(O)C(C)C</t>
  </si>
  <si>
    <t>ZMFVAIFXJWEOMH-UHFFFAOYSA-N</t>
  </si>
  <si>
    <t>C37H67N7O8</t>
  </si>
  <si>
    <t>0.95_123.0076m/z</t>
  </si>
  <si>
    <t>trans-trans-muconic acid</t>
  </si>
  <si>
    <t>HMDB0002349</t>
  </si>
  <si>
    <t>LMFA01170124</t>
  </si>
  <si>
    <t>C03647</t>
  </si>
  <si>
    <t>3588-17-8</t>
  </si>
  <si>
    <t>C(=O)(O)/C=C/C=C/C(=O)O</t>
  </si>
  <si>
    <t>TXXHDPDFNKHHGW-ZPUQHVIOSA-N</t>
  </si>
  <si>
    <t>C6H6O4</t>
  </si>
  <si>
    <t>1.25_130.0499m/z</t>
  </si>
  <si>
    <t>N-Acetyl-L-alanine</t>
  </si>
  <si>
    <t>HMDB0000766</t>
  </si>
  <si>
    <t>97-69-8</t>
  </si>
  <si>
    <t>C[C@H](NC(C)=O)C(O)=O</t>
  </si>
  <si>
    <t>KTHDTJVBEPMMGL-VKHMYHEASA-N</t>
  </si>
  <si>
    <t>1.03_318.9996m/z</t>
  </si>
  <si>
    <t>Benzofuran isophthalate</t>
  </si>
  <si>
    <t>HMDB0249014</t>
  </si>
  <si>
    <t>O=C1OC2=C(OC(=O)C3=CC1=CC=C3)C1=CC=CC=C1O2</t>
  </si>
  <si>
    <t>QBZIQORRGWYVRK-UHFFFAOYSA-N</t>
  </si>
  <si>
    <t>C16H8O5</t>
  </si>
  <si>
    <t>4.75_333.2397m/z</t>
  </si>
  <si>
    <t>6-Hydroxynon-4-enoylcarnitine</t>
  </si>
  <si>
    <t>HMDB0241753</t>
  </si>
  <si>
    <t>CCCC(O)C=CCCC(=O)OC(CC([O-])=O)C[N+](C)(C)C</t>
  </si>
  <si>
    <t>ZBHYMNYETSSWIX-UHFFFAOYSA-N</t>
  </si>
  <si>
    <t>C16H29NO5</t>
  </si>
  <si>
    <t>12.40_457.3538m/z</t>
  </si>
  <si>
    <t>ascr#36</t>
  </si>
  <si>
    <t>LMFA13040019</t>
  </si>
  <si>
    <t>O([C@@H](CCCCCCCCCCCCCCCCCC(=O)O)C)[C@H]1[C@H](O)C[C@@H](O)[C@H](C)O1</t>
  </si>
  <si>
    <t>HXSYLHMSXGUNTO-DHWOPMESSA-N</t>
  </si>
  <si>
    <t>5.45_387.1849m/z</t>
  </si>
  <si>
    <t>10-Methyl-9-(10-methyl-1H-acridin-9-yl)-1H-acridine</t>
  </si>
  <si>
    <t>HMDB0257936</t>
  </si>
  <si>
    <t>CN1C2=CC=CCC2=C(C2=CC=CC=C12)C1=C2CC=CC=C2N(C)C2=CC=CC=C12</t>
  </si>
  <si>
    <t>VTMKASDCHBQQIY-UHFFFAOYSA-N</t>
  </si>
  <si>
    <t>C28H24N2</t>
  </si>
  <si>
    <t>10.23_282.2558n</t>
  </si>
  <si>
    <t>cis-vaccenic acid</t>
  </si>
  <si>
    <t>HMDB0240219</t>
  </si>
  <si>
    <t>LMFA01030076</t>
  </si>
  <si>
    <t>506-17-2</t>
  </si>
  <si>
    <t>C(CCC/C=C\CCCCCC)CCCCCC(=O)O</t>
  </si>
  <si>
    <t>UWHZIFQPPBDJPM-FPLPWBNLSA-N</t>
  </si>
  <si>
    <t>11.51_580.3623m/z</t>
  </si>
  <si>
    <t>PE(22:1(11Z)/0:0)</t>
  </si>
  <si>
    <t>LMGP02050023</t>
  </si>
  <si>
    <t>[C@](COP(=O)(O)OCCN)([H])(O)COC(CCCCCCCCC/C=C\CCCCCCCCCC)=O</t>
  </si>
  <si>
    <t>YIRCYBYHGSZKPX-XCMWCYMESA-N</t>
  </si>
  <si>
    <t>3.61_497.1422m/z</t>
  </si>
  <si>
    <t>6-Nitrotryptophan</t>
  </si>
  <si>
    <t>HMDB0247099</t>
  </si>
  <si>
    <t>NC(CC1=CNC2=C1C=CC(=C2)[N+]([O-])=O)C(O)=O</t>
  </si>
  <si>
    <t>AWLWPSSHYJQPCH-UHFFFAOYSA-N</t>
  </si>
  <si>
    <t>C11H11N3O4</t>
  </si>
  <si>
    <t>3.56_707.3388m/z</t>
  </si>
  <si>
    <t>PKOOA-PI</t>
  </si>
  <si>
    <t>LMGP20050006</t>
  </si>
  <si>
    <t>[C@]([H])(OC(CCCC(=O)/C=C/C(=O)[H])=O)(COP(=O)(O)O[C@H]1[C@H](O)[C@@H](O)[C@H](O)[C@@H](O)[C@H]1O)COC(CCCCCCCCCCCCCCC)=O</t>
  </si>
  <si>
    <t>OOEQJODIXKTVGJ-YUAOBNCYSA-N</t>
  </si>
  <si>
    <t>C33H57O15P</t>
  </si>
  <si>
    <t>3.92_394.1872m/z</t>
  </si>
  <si>
    <t>Asn Val Tyr</t>
  </si>
  <si>
    <t>CC(C)C(C(=O)NC(CC1=CC=C(C=C1)O)C(=O)O)NC(=O)C(CC(=O)N)N</t>
  </si>
  <si>
    <t>HBUJSDCLZCXXCW-YDHLFZDLSA-N</t>
  </si>
  <si>
    <t>C18H26N4O6</t>
  </si>
  <si>
    <t>8.56_363.2152m/z</t>
  </si>
  <si>
    <t>Terguride</t>
  </si>
  <si>
    <t>HMDB0258831</t>
  </si>
  <si>
    <t>CCN(CC)C(=O)NC1CC2C(CC3=CNC4=CC=CC2=C34)N(C)C1</t>
  </si>
  <si>
    <t>JOAHPSVPXZTVEP-UHFFFAOYSA-N</t>
  </si>
  <si>
    <t>C20H28N4O</t>
  </si>
  <si>
    <t>11.05_435.3117m/z</t>
  </si>
  <si>
    <t>1,25-dihydroxy-2,4-dinor-1,3-secovitamin D3 / 1,25-dihydroxy-2,4-dinor-1,3-secocholecalciferol</t>
  </si>
  <si>
    <t>LMST03020032</t>
  </si>
  <si>
    <t>C(O)C(=C)/C(=C\C=C1\[C@]2([H])CC[C@@]([C@@](C)([H])CCCC(O)(C)C)([H])[C@@]2(C)CCC\1)/CO</t>
  </si>
  <si>
    <t>SJNUNWPABBITOQ-KTZDGRMWSA-N</t>
  </si>
  <si>
    <t>C25H42O3</t>
  </si>
  <si>
    <t>4.22_321.0625m/z</t>
  </si>
  <si>
    <t>O-Demethylfonsecin</t>
  </si>
  <si>
    <t>HMDB0033649</t>
  </si>
  <si>
    <t>CC1(O)CC(=O)C2=C(O)C3=C(O)C=C(O)C=C3C=C2O1</t>
  </si>
  <si>
    <t>RTYDQIKVNMHQMZ-UHFFFAOYSA-N</t>
  </si>
  <si>
    <t>Naphthopyranones</t>
  </si>
  <si>
    <t>C14H12O6</t>
  </si>
  <si>
    <t>1.67_253.1192m/z</t>
  </si>
  <si>
    <t>Phenylalanylserine</t>
  </si>
  <si>
    <t>HMDB0029004</t>
  </si>
  <si>
    <t>16053-39-7</t>
  </si>
  <si>
    <t>N[C@@H](CC1=CC=CC=C1)C(=O)N[C@@H](CO)C(O)=O</t>
  </si>
  <si>
    <t>ROHDXJUFQVRDAV-UWVGGRQHSA-N</t>
  </si>
  <si>
    <t>11.57_417.3376m/z</t>
  </si>
  <si>
    <t>20a,22b-Dihydroxycholesterol</t>
  </si>
  <si>
    <t>HMDB0006763</t>
  </si>
  <si>
    <t>15234-55-6</t>
  </si>
  <si>
    <t>[H][C@@]12CC[C@]([H])([C@@](C)(O)[C@H](O)CCC(C)C)[C@@]1(C)CC[C@@]1([H])[C@@]2([H])CC=C2CC(O)CC[C@]12C</t>
  </si>
  <si>
    <t>ISBSSBGEYIBVTO-IVMOZYHGSA-N</t>
  </si>
  <si>
    <t>11.80_409.2961m/z</t>
  </si>
  <si>
    <t>Noladin Ether</t>
  </si>
  <si>
    <t>HMDB0013657</t>
  </si>
  <si>
    <t>LMGL01020034</t>
  </si>
  <si>
    <t>222723-55-9</t>
  </si>
  <si>
    <t>O([C@@](CO)(CO)[H])CCCC/C=C\C/C=C\C/C=C\C/C=C\CCCCC</t>
  </si>
  <si>
    <t>CUJUUWXZAQHCNC-DOFZRALJSA-N</t>
  </si>
  <si>
    <t>Endocannabinoids</t>
  </si>
  <si>
    <t>C23H40O3</t>
  </si>
  <si>
    <t>8.75_647.2362m/z</t>
  </si>
  <si>
    <t>5,4'-Dihydroxy-6-C-prenylflavanone 4'-xylosyl-(1-&gt;2)-rhamnoside</t>
  </si>
  <si>
    <t>LMPK12140101</t>
  </si>
  <si>
    <t>C1C(C/C=C(\C)/C)=C(O)C2C(=O)CC(C3C=CC(O[C@H]4[C@H](O[C@H]5[C@H](O)[C@@H](O)[C@H](O)CO5)[C@H](O)[C@@H](O)[C@H](C)O4)=CC=3)OC=2C=1</t>
  </si>
  <si>
    <t>ZJJKXIQHONOIPV-CQKPLMTESA-N</t>
  </si>
  <si>
    <t>C31H38O12</t>
  </si>
  <si>
    <t>6.73_290.9650m/z</t>
  </si>
  <si>
    <t>4-Mercapto-5-methyl-3(2H)-thiophenone</t>
  </si>
  <si>
    <t>HMDB0039828</t>
  </si>
  <si>
    <t>26486-09-9</t>
  </si>
  <si>
    <t>CC1=C(S)C(=O)CS1</t>
  </si>
  <si>
    <t>PQKQGARVVUSJKY-UHFFFAOYSA-N</t>
  </si>
  <si>
    <t>C5H6OS2</t>
  </si>
  <si>
    <t>11.32_185.1175m/z</t>
  </si>
  <si>
    <t>9R-hydroxy-2E-decenoic acid</t>
  </si>
  <si>
    <t>LMFA01050249</t>
  </si>
  <si>
    <t>C(/C=C/CCCCC[C@H](O)C)(=O)O</t>
  </si>
  <si>
    <t>DZBLNYYGAKHAOJ-BNICOGTQSA-N</t>
  </si>
  <si>
    <t>5.22_268.0867m/z</t>
  </si>
  <si>
    <t>Disperse red 11</t>
  </si>
  <si>
    <t>HMDB0251481</t>
  </si>
  <si>
    <t>COC1=C(N)C2=C(C(N)=C1)C(=O)C1=CC=CC=C1C2=O</t>
  </si>
  <si>
    <t>TUXJTJITXCHUEL-UHFFFAOYSA-N</t>
  </si>
  <si>
    <t>C15H12N2O3</t>
  </si>
  <si>
    <t>14.75_298.3113m/z</t>
  </si>
  <si>
    <t>9Z-Nonadecenal</t>
  </si>
  <si>
    <t>LMFA06000246</t>
  </si>
  <si>
    <t>C(CCCCCCC/C=C\CCCCCCCCC)(=O)[H]</t>
  </si>
  <si>
    <t>AKQYTSLMKKEXOK-KHPPLWFESA-N</t>
  </si>
  <si>
    <t>C19H36O</t>
  </si>
  <si>
    <t>509</t>
  </si>
  <si>
    <t>Nalorphine</t>
  </si>
  <si>
    <t>C11787</t>
  </si>
  <si>
    <t>C=CCN1CCC23C4C1CC5=C2C(=C(C=C5)O)OC3C(C=C4)O</t>
  </si>
  <si>
    <t>UIQMVEYFGZJHCZ-SSTWWWIQSA-N</t>
  </si>
  <si>
    <t>181</t>
  </si>
  <si>
    <t>Erythrono-1,4-Lactone</t>
  </si>
  <si>
    <t>HMDB0000349</t>
  </si>
  <si>
    <t>17675-99-9</t>
  </si>
  <si>
    <t>O[C@@H]1COC(=O)[C@@H]1O</t>
  </si>
  <si>
    <t>SGMJBNSHAZVGMC-PWNYCUMCSA-N</t>
  </si>
  <si>
    <t>4.80_1012.4735m/z</t>
  </si>
  <si>
    <t>CDP-DG(20:4(6Z,8E,10E,14Z)-2OH(5S,12R)/16:1(9Z))</t>
  </si>
  <si>
    <t>HMDB0290904</t>
  </si>
  <si>
    <t>[H][C@@](COC(=O)CCC[C@H](O)\C=C/C=C/C=C/[C@H](O)C\C=C/CCCCC)(COP(O)(=O)OP(O)(=O)OC[C@H]1O[C@H]([C@H](O)[C@@H]1O)N1C=CC(N)=NC1=O)OC(=O)CCCCCCC\C=C/CCCCCC</t>
  </si>
  <si>
    <t>DBVPPDPBIAIGKR-OVEMCWLOSA-N</t>
  </si>
  <si>
    <t>C48H79N3O17P2</t>
  </si>
  <si>
    <t>0.74_427.1098m/z</t>
  </si>
  <si>
    <t>Sulfinpyrazone</t>
  </si>
  <si>
    <t>HMDB0015269</t>
  </si>
  <si>
    <t>C07317</t>
  </si>
  <si>
    <t>57-96-5</t>
  </si>
  <si>
    <t>O=C1C(CCS(=O)C2=CC=CC=C2)C(=O)N(N1C1=CC=CC=C1)C1=CC=CC=C1</t>
  </si>
  <si>
    <t>MBGGBVCUIVRRBF-UHFFFAOYSA-N</t>
  </si>
  <si>
    <t>Phenyl sulfoxides</t>
  </si>
  <si>
    <t>C23H20N2O3S</t>
  </si>
  <si>
    <t>3.86_407.1573m/z</t>
  </si>
  <si>
    <t>Gly Thr Trp</t>
  </si>
  <si>
    <t>CC(C(C(=O)NC(CC1=CNC2=CC=CC=C21)C(=O)O)NC(=O)CN)O</t>
  </si>
  <si>
    <t>WSWWTQYHFCBKBT-DVJZZOLTSA-N</t>
  </si>
  <si>
    <t>C17H22N4O5</t>
  </si>
  <si>
    <t>4.77_134.0605m/z</t>
  </si>
  <si>
    <t>1,3-Dihydro-(2H)-indol-2-one</t>
  </si>
  <si>
    <t>HMDB0061918</t>
  </si>
  <si>
    <t>C12312</t>
  </si>
  <si>
    <t>59-48-3</t>
  </si>
  <si>
    <t>O=C1CC2=CC=CC=C2N1</t>
  </si>
  <si>
    <t>JYGFTBXVXVMTGB-UHFFFAOYSA-N</t>
  </si>
  <si>
    <t>3.76_365.1308m/z</t>
  </si>
  <si>
    <t>4-Fluoro-L-phenylalanine</t>
  </si>
  <si>
    <t>HMDB0246423</t>
  </si>
  <si>
    <t>C11217</t>
  </si>
  <si>
    <t>51-65-0</t>
  </si>
  <si>
    <t>NC(CC1=CC=C(F)C=C1)C(O)=O</t>
  </si>
  <si>
    <t>XWHHYOYVRVGJJY-UHFFFAOYSA-N</t>
  </si>
  <si>
    <t>C9H10FNO2</t>
  </si>
  <si>
    <t>1.11_230.1143m/z</t>
  </si>
  <si>
    <t>Asparaginyl-Valine</t>
  </si>
  <si>
    <t>HMDB0028744</t>
  </si>
  <si>
    <t>CC(C)C(NC(=O)C(N)CC(N)=O)C(O)=O</t>
  </si>
  <si>
    <t>KWBQPGIYEZKDEG-UHFFFAOYSA-N</t>
  </si>
  <si>
    <t>C9H17N3O4</t>
  </si>
  <si>
    <t>4.28_350.2086m/z</t>
  </si>
  <si>
    <t>Phe Leu Ala</t>
  </si>
  <si>
    <t>CC(C)CC(C(=O)NC(C)C(=O)O)NC(=O)C(CC1=CC=CC=C1)N</t>
  </si>
  <si>
    <t>KXUZHWXENMYOHC-QEJZJMRPSA-N</t>
  </si>
  <si>
    <t>C18H27N3O4</t>
  </si>
  <si>
    <t>3.73_344.1077m/z</t>
  </si>
  <si>
    <t>Biotinyl-p-aminobenzoate</t>
  </si>
  <si>
    <t>HMDB0249231</t>
  </si>
  <si>
    <t>NC1=CC=C(C=C1)C(=O)OC(=O)CCCCC1SCC2NC(=O)NC12</t>
  </si>
  <si>
    <t>BAMKNWRZQNDMGG-UHFFFAOYSA-N</t>
  </si>
  <si>
    <t>C17H21N3O4S</t>
  </si>
  <si>
    <t>9.21_584.3573m/z</t>
  </si>
  <si>
    <t>PS(O-20:0/0:0)</t>
  </si>
  <si>
    <t>LMGP03060001</t>
  </si>
  <si>
    <t>C(O)(=O)[C@@]([H])(N)COP(OC[C@]([H])(O)COCCCCCCCCCCCCCCCCCCCC)(=O)O</t>
  </si>
  <si>
    <t>ZEPUSHULPSPFJG-RPBOFIJWSA-N</t>
  </si>
  <si>
    <t>C26H54NO8P</t>
  </si>
  <si>
    <t>3.95_315.0964m/z</t>
  </si>
  <si>
    <t>Cappariloside A</t>
  </si>
  <si>
    <t>HMDB0034937</t>
  </si>
  <si>
    <t>229483-41-4</t>
  </si>
  <si>
    <t>OCC1OC(OC2=CC=CC3=C2C(CC#N)=CN3)C(O)C(O)C1O</t>
  </si>
  <si>
    <t>ZVFUTZQNUQUJLW-UHFFFAOYSA-N</t>
  </si>
  <si>
    <t>C16H18N2O6</t>
  </si>
  <si>
    <t>4.63_446.1275n</t>
  </si>
  <si>
    <t>Febantel</t>
  </si>
  <si>
    <t>HMDB0252182</t>
  </si>
  <si>
    <t>COCC(O)=NC1=C(C=CC(SC2=CC=CC=C2)=C1)N=C(N=C(O)OC)N=C(O)OC</t>
  </si>
  <si>
    <t>HMCCXLBXIJMERM-UHFFFAOYSA-N</t>
  </si>
  <si>
    <t>C20H22N4O6S</t>
  </si>
  <si>
    <t>11.19_515.3511m/z</t>
  </si>
  <si>
    <t>Protopanaxatriol</t>
  </si>
  <si>
    <t>HMDB0243571</t>
  </si>
  <si>
    <t>CC(C)=CCCC(C)(O)C1CCC2(C)C1C(O)CC1C3(C)CCC(O)C(C)(C)C3C(O)CC21C</t>
  </si>
  <si>
    <t>SHCBCKBYTHZQGZ-UHFFFAOYSA-N</t>
  </si>
  <si>
    <t>C30H52O4</t>
  </si>
  <si>
    <t>6.16_314.1034m/z</t>
  </si>
  <si>
    <t>1,2-Disehydronorcoclaurine</t>
  </si>
  <si>
    <t>HMDB0302245</t>
  </si>
  <si>
    <t>OC1=CC=C(CC2=NCCC3=C2C=C(O)C(O)=C3)C=C1</t>
  </si>
  <si>
    <t>CCGUUHSJCGMIMD-UHFFFAOYSA-N</t>
  </si>
  <si>
    <t>C16H15NO3</t>
  </si>
  <si>
    <t>9.07_352.1016m/z</t>
  </si>
  <si>
    <t>Tolnaftate</t>
  </si>
  <si>
    <t>HMDB0005005</t>
  </si>
  <si>
    <t>2398-96-1</t>
  </si>
  <si>
    <t>CN(C(=S)OC1=CC2=CC=CC=C2C=C1)C1=CC=CC(C)=C1</t>
  </si>
  <si>
    <t>FUSNMLFNXJSCDI-UHFFFAOYSA-N</t>
  </si>
  <si>
    <t>C19H17NOS</t>
  </si>
  <si>
    <t>7.12_284.1325m/z</t>
  </si>
  <si>
    <t>Serylarginine</t>
  </si>
  <si>
    <t>HMDB0029033</t>
  </si>
  <si>
    <t>13261-11-5</t>
  </si>
  <si>
    <t>N[C@@H](CO)C(=O)N[C@@H](CCCNC(N)=N)C(O)=O</t>
  </si>
  <si>
    <t>RZEQTVHJZCIUBT-WDSKDSINSA-N</t>
  </si>
  <si>
    <t>C9H19N5O4</t>
  </si>
  <si>
    <t>3.94_297.1453m/z</t>
  </si>
  <si>
    <t>Niazirin</t>
  </si>
  <si>
    <t>HMDB0032807</t>
  </si>
  <si>
    <t>122001-32-5</t>
  </si>
  <si>
    <t>C[C@@H]1O[C@@H](OC2=CC=C(CC#N)C=C2)[C@H](O)[C@H](O)[C@H]1O</t>
  </si>
  <si>
    <t>OBJREHLZEIEGDU-CNJBRALLSA-N</t>
  </si>
  <si>
    <t>C14H17NO5</t>
  </si>
  <si>
    <t>10.55_267.1376m/z</t>
  </si>
  <si>
    <t>LYSERGAMIDE</t>
  </si>
  <si>
    <t>HMDB0254261</t>
  </si>
  <si>
    <t>CN1CC(C=C2C1CC1=CNC3=CC=CC2=C13)C(N)=O</t>
  </si>
  <si>
    <t>GENAHGKEFJLNJB-UHFFFAOYSA-N</t>
  </si>
  <si>
    <t>C16H17N3O</t>
  </si>
  <si>
    <t>6.00_353.0340m/z</t>
  </si>
  <si>
    <t>2-Hydroxy-4-methoxybenzophenone sulfate</t>
  </si>
  <si>
    <t>HMDB0240721</t>
  </si>
  <si>
    <t>COC1=CC(OS(O)(=O)=O)=C(C=C1)C(=O)C1=CC=CC=C1</t>
  </si>
  <si>
    <t>ZWXJDELIUOMUOH-UHFFFAOYSA-N</t>
  </si>
  <si>
    <t>C14H12O6S</t>
  </si>
  <si>
    <t>4.28_383.1928m/z</t>
  </si>
  <si>
    <t>(5S,6R)-Methyl 5,6,7-trihydroxyheptanoate</t>
  </si>
  <si>
    <t>HMDB0247393</t>
  </si>
  <si>
    <t>COC(=O)CCCC(O)C(O)CO</t>
  </si>
  <si>
    <t>RNMFWAFZUNVQOR-UHFFFAOYSA-N</t>
  </si>
  <si>
    <t>C8H16O5</t>
  </si>
  <si>
    <t>6.92_601.1493m/z</t>
  </si>
  <si>
    <t>4-Nitrophenyl beta-D-glucopyranoside</t>
  </si>
  <si>
    <t>HMDB0245678</t>
  </si>
  <si>
    <t>OCC1OC(OC2=CC=C(C=C2)[N+]([O-])=O)C(O)C(O)C1O</t>
  </si>
  <si>
    <t>IFBHRQDFSNCLOZ-UHFFFAOYSA-N</t>
  </si>
  <si>
    <t>C12H15NO8</t>
  </si>
  <si>
    <t>9.89_261.1857m/z</t>
  </si>
  <si>
    <t>12-oxo-5E,8E,10Z-heptadecatrienoic acid</t>
  </si>
  <si>
    <t>LMFA01060111</t>
  </si>
  <si>
    <t>C(CCC/C=C/C/C=C/C=C\C(=O)CCCCC)(=O)O</t>
  </si>
  <si>
    <t>BEHRKNVAYQNKGG-XTYDYNBASA-N</t>
  </si>
  <si>
    <t>4.50_337.1116m/z</t>
  </si>
  <si>
    <t>2,6-diamino-4-hydroxy-5-formamidopyrimidine</t>
  </si>
  <si>
    <t>HMDB0304046</t>
  </si>
  <si>
    <t>NC1=NC(=O)[C-](NC=O)C(N)=[N+]1</t>
  </si>
  <si>
    <t>BKXIMINDJGDBPF-UHFFFAOYSA-N</t>
  </si>
  <si>
    <t>N-arylamides</t>
  </si>
  <si>
    <t>C5H7N5O2</t>
  </si>
  <si>
    <t>4.65_208.1340m/z</t>
  </si>
  <si>
    <t>1-(2,3-Dihydro-6,7-dimethyl-1H-pyrrolizin-5-yl)-2-hydroxy-1-propanone</t>
  </si>
  <si>
    <t>HMDB0040010</t>
  </si>
  <si>
    <t>97073-12-6</t>
  </si>
  <si>
    <t>CC(O)C(=O)C1=C(C)C(C)=C2CCCN12</t>
  </si>
  <si>
    <t>ZCNNVEPQSPOCJM-UHFFFAOYSA-N</t>
  </si>
  <si>
    <t>9.44_750.5063n</t>
  </si>
  <si>
    <t>1,26-Hexacosanediol diferulate</t>
  </si>
  <si>
    <t>HMDB0030751</t>
  </si>
  <si>
    <t>COC1=C(O)C=CC(\C=C\C(=O)OCCCCCCCCCCCCCCCCCCCCCCCCCCOC(=O)\C=C\C2=CC(OC)=C(O)C=C2)=C1</t>
  </si>
  <si>
    <t>CWBAUBYZOXBMBF-BNRZXNFUSA-N</t>
  </si>
  <si>
    <t>C46H70O8</t>
  </si>
  <si>
    <t>0.68_182.0796n</t>
  </si>
  <si>
    <t>Mannitol</t>
  </si>
  <si>
    <t>HMDB0000765</t>
  </si>
  <si>
    <t>C00392</t>
  </si>
  <si>
    <t>69-65-8</t>
  </si>
  <si>
    <t>OC[C@@H](O)[C@@H](O)[C@H](O)[C@H](O)CO</t>
  </si>
  <si>
    <t>FBPFZTCFMRRESA-KVTDHHQDSA-N</t>
  </si>
  <si>
    <t>1.05_177.1028m/z</t>
  </si>
  <si>
    <t>Cotinine</t>
  </si>
  <si>
    <t>486-56-6</t>
  </si>
  <si>
    <t>CN1C(CCC1=O)C2=CN=CC=C2</t>
  </si>
  <si>
    <t>UIKROCXWUNQSPJ-VIFPVBQESA-N</t>
  </si>
  <si>
    <t>10.14_321.2071m/z</t>
  </si>
  <si>
    <t>(S)-[8]-Gingerol</t>
  </si>
  <si>
    <t>HMDB0033615</t>
  </si>
  <si>
    <t>C17495</t>
  </si>
  <si>
    <t>23513-08-8</t>
  </si>
  <si>
    <t>CCCCCCCC(O)CC(=O)CCC1=CC(OC)=C(O)C=C1</t>
  </si>
  <si>
    <t>BCIWKKMTBRYQJU-UHFFFAOYSA-N</t>
  </si>
  <si>
    <t>8.13_271.2521n</t>
  </si>
  <si>
    <t>C16 Sphingosine</t>
  </si>
  <si>
    <t>HMDB0242181</t>
  </si>
  <si>
    <t>LMSP01040008</t>
  </si>
  <si>
    <t>OC[C@]([H])(N)[C@]([H])(O)/C=C/CCCCCCCCCCC</t>
  </si>
  <si>
    <t>BTUSGZZCQZACPT-YYZTVXDQSA-N</t>
  </si>
  <si>
    <t>C16H33NO2</t>
  </si>
  <si>
    <t>10.13_332.3321m/z</t>
  </si>
  <si>
    <t>Benzyldimethyltetradecylammonium</t>
  </si>
  <si>
    <t>CCCCCCCCCCCCCC[N+](C)(C)CC1=CC=CC=C1</t>
  </si>
  <si>
    <t>WNBGYVXHFTYOBY-UHFFFAOYSA-N</t>
  </si>
  <si>
    <t>C23H42N+</t>
  </si>
  <si>
    <t>1.85_164.9562m/z</t>
  </si>
  <si>
    <t>1-Iodobutane</t>
  </si>
  <si>
    <t>HMDB0243906</t>
  </si>
  <si>
    <t>CCCCI</t>
  </si>
  <si>
    <t>KMGBZBJJOKUPIA-UHFFFAOYSA-N</t>
  </si>
  <si>
    <t>C4H9I</t>
  </si>
  <si>
    <t>4.22_426.2172m/z</t>
  </si>
  <si>
    <t>Pratosartan</t>
  </si>
  <si>
    <t>HMDB0256736</t>
  </si>
  <si>
    <t>CCCC1=NC2=C(N1CC1=CC=C(C=C1)C1=CC=CC=C1C1=NNN=N1)C(=O)CCCC2</t>
  </si>
  <si>
    <t>KCTFTBCZZUBAKN-UHFFFAOYSA-N</t>
  </si>
  <si>
    <t>C25H26N6O</t>
  </si>
  <si>
    <t>7.32_384.2760m/z</t>
  </si>
  <si>
    <t>3beta-Allotetrahydrocortisol</t>
  </si>
  <si>
    <t>HMDB0000314</t>
  </si>
  <si>
    <t>LMST02030139</t>
  </si>
  <si>
    <t>651-43-4</t>
  </si>
  <si>
    <t>C1[C@@]2(C)[C@@]([H])(CC[C@]3([H])[C@]2([H])[C@@H](O)C[C@]2(C)[C@@](O)(C(=O)CO)CC[C@@]32[H])C[C@@H](O)C1</t>
  </si>
  <si>
    <t>AODPIQQILQLWGS-VSJLKEFSSA-N</t>
  </si>
  <si>
    <t>9.65_119.0860m/z</t>
  </si>
  <si>
    <t>Indane</t>
  </si>
  <si>
    <t>HMDB0059837</t>
  </si>
  <si>
    <t>C1CC2=CC=CC=C2C1</t>
  </si>
  <si>
    <t>PQNFLJBBNBOBRQ-UHFFFAOYSA-N</t>
  </si>
  <si>
    <t>C9H10</t>
  </si>
  <si>
    <t>11.23_304.1555m/z</t>
  </si>
  <si>
    <t>5-((1-Ethyl-4-piperidinyl)oxy)-9H-pyrrolo(2,3-b:5,4-c')dipyridine-6-carbonitrile</t>
  </si>
  <si>
    <t>HMDB0252656</t>
  </si>
  <si>
    <t>CCN1CCC(CC1)OC1=C2C(NC3=C2C=CC=N3)=CN=C1C#N</t>
  </si>
  <si>
    <t>XEZLBMHDUXSICI-UHFFFAOYSA-N</t>
  </si>
  <si>
    <t>C18H19N5O</t>
  </si>
  <si>
    <t>4.34_428.1832m/z</t>
  </si>
  <si>
    <t>PC(6:2(2E,4E)/6:2(2E,4E))</t>
  </si>
  <si>
    <t>LMGP01011235</t>
  </si>
  <si>
    <t>[C@](COP(=O)([O-])OCC[N+](C)(C)C)([H])(OC(/C=C/C=C/C)=O)COC(/C=C/C=C/C)=O</t>
  </si>
  <si>
    <t>VTXPJSLVGYHUPM-VLAOGXOLSA-N</t>
  </si>
  <si>
    <t>C20H32NO8P</t>
  </si>
  <si>
    <t>7.99_166.0501m/z</t>
  </si>
  <si>
    <t>N-(3-oxo-butanoyl)-homoserine lactone</t>
  </si>
  <si>
    <t>LMFA08030028</t>
  </si>
  <si>
    <t>[C@@H]1(CCOC1=O)NC(=O)CC(=O)C</t>
  </si>
  <si>
    <t>FIHPLICEAUNEFV-LURJTMIESA-N</t>
  </si>
  <si>
    <t>8.47_240.1604m/z</t>
  </si>
  <si>
    <t>2,5-Dibutyl-4-methyloxazole</t>
  </si>
  <si>
    <t>HMDB0037898</t>
  </si>
  <si>
    <t>88300-08-7</t>
  </si>
  <si>
    <t>CCCCC1=NC(C)=C(CCCC)O1</t>
  </si>
  <si>
    <t>GJYCWEFBUWYVBX-UHFFFAOYSA-N</t>
  </si>
  <si>
    <t>C12H21NO</t>
  </si>
  <si>
    <t>12.97_367.1584m/z</t>
  </si>
  <si>
    <t>AB-Fubinaca</t>
  </si>
  <si>
    <t>HMDB0247739</t>
  </si>
  <si>
    <t>CC(C)C(NC(=O)C1=NN(CC2=CC=C(F)C=C2)C2=CC=CC=C12)C(N)=O</t>
  </si>
  <si>
    <t>AKOOIMKXADOPDA-UHFFFAOYSA-N</t>
  </si>
  <si>
    <t>C20H21FN4O2</t>
  </si>
  <si>
    <t>14.72_525.3933m/z</t>
  </si>
  <si>
    <t>Lisdexamfetamine</t>
  </si>
  <si>
    <t>HMDB0015385</t>
  </si>
  <si>
    <t>608137-32-2</t>
  </si>
  <si>
    <t>C[C@@H](CC1=CC=CC=C1)NC(=O)[C@@H](N)CCCCN</t>
  </si>
  <si>
    <t>VOBHXZCDAVEXEY-JSGCOSHPSA-N</t>
  </si>
  <si>
    <t>C15H25N3O</t>
  </si>
  <si>
    <t>4.63_381.1334m/z</t>
  </si>
  <si>
    <t>Carbendazim</t>
  </si>
  <si>
    <t>HMDB0031769</t>
  </si>
  <si>
    <t>C10897</t>
  </si>
  <si>
    <t>10605-21-7</t>
  </si>
  <si>
    <t>COC(=O)NC1=NC2=CC=CC=C2N1</t>
  </si>
  <si>
    <t>TWFZGCMQGLPBSX-UHFFFAOYSA-N</t>
  </si>
  <si>
    <t>2-benzimidazolylcarbamic acid esters</t>
  </si>
  <si>
    <t>C9H9N3O2</t>
  </si>
  <si>
    <t>9.91_173.1330m/z</t>
  </si>
  <si>
    <t>2,2,6,7-Tetramethylbicyclo[4.3.0]nona-1(9),4-dien-8-one</t>
  </si>
  <si>
    <t>HMDB0036685</t>
  </si>
  <si>
    <t>99901-22-1</t>
  </si>
  <si>
    <t>CC1C(=O)C=C2C1(C)C=CCC2(C)C</t>
  </si>
  <si>
    <t>KTDAEZJBJUWAPC-UHFFFAOYSA-N</t>
  </si>
  <si>
    <t>C13H18O</t>
  </si>
  <si>
    <t>8.37_250.1203n</t>
  </si>
  <si>
    <t>3,4-Dihydro-6-hydroxy-2,5,7,8-tetramethyl-2H-1-benzopyran-2-carboxylic acid</t>
  </si>
  <si>
    <t>HMDB0038804</t>
  </si>
  <si>
    <t>56305-04-5</t>
  </si>
  <si>
    <t>CC1=C(O)C(C)=C2CCC(C)(OC2=C1C)C(O)=O</t>
  </si>
  <si>
    <t>GLEVLJDDWXEYCO-UHFFFAOYSA-N</t>
  </si>
  <si>
    <t>4.57_498.1951m/z</t>
  </si>
  <si>
    <t>Paeoniflorin</t>
  </si>
  <si>
    <t>C09959</t>
  </si>
  <si>
    <t>23180-57-6</t>
  </si>
  <si>
    <t>CC12CC3(C4CC1(C4(C(O2)O3)COC(=O)C5=CC=CC=C5)OC6C(C(C(C(O6)CO)O)O)O)O</t>
  </si>
  <si>
    <t>YKRGDOXKVOZESV-WRJNSLSBSA-N</t>
  </si>
  <si>
    <t>C23H28O11</t>
  </si>
  <si>
    <t>14.90_597.5098m/z</t>
  </si>
  <si>
    <t>TG(i-12:0/8:0/i-13:0)</t>
  </si>
  <si>
    <t>HMDB0094827</t>
  </si>
  <si>
    <t>[H][C@@](COC(=O)CCCCCCCCCC(C)C)(COC(=O)CCCCCCCCC(C)C)OC(=O)CCCCCCC</t>
  </si>
  <si>
    <t>AGIVMWGNMLHHEG-MGBGTMOVSA-N</t>
  </si>
  <si>
    <t>C36H68O6</t>
  </si>
  <si>
    <t>260</t>
  </si>
  <si>
    <t>L-Asparagine</t>
  </si>
  <si>
    <t>HMDB0000168</t>
  </si>
  <si>
    <t>C00152</t>
  </si>
  <si>
    <t>hsa00250,hsa00970,hsa05230</t>
  </si>
  <si>
    <t>Alanine, aspartate and glutamate metabolism|Aminoacyl-tRNA biosynthesis|Central carbon metabolism in cancer</t>
  </si>
  <si>
    <t>70-47-3</t>
  </si>
  <si>
    <t>N[C@@H](CC(N)=O)C(O)=O</t>
  </si>
  <si>
    <t>DCXYFEDJOCDNAF-REOHCLBHSA-N</t>
  </si>
  <si>
    <t>4.71_414.1647m/z</t>
  </si>
  <si>
    <t>Ser Tyr Phe</t>
  </si>
  <si>
    <t>C1=CC=C(C=C1)CC(C(=O)O)NC(=O)C(CC2=CC=C(C=C2)O)NC(=O)C(CO)N</t>
  </si>
  <si>
    <t>ZVBCMFDJIMUELU-BZSNNMDCSA-N</t>
  </si>
  <si>
    <t>C21H25N3O6</t>
  </si>
  <si>
    <t>10.66_345.2342m/z</t>
  </si>
  <si>
    <t>Bicifadine</t>
  </si>
  <si>
    <t>HMDB0249183</t>
  </si>
  <si>
    <t>CC1=CC=C(C=C1)C12CC1CNC2</t>
  </si>
  <si>
    <t>OFYVIGTWSQPCLF-UHFFFAOYSA-N</t>
  </si>
  <si>
    <t>C12H15N</t>
  </si>
  <si>
    <t>1.57_269.1142m/z</t>
  </si>
  <si>
    <t>Seryltyrosine</t>
  </si>
  <si>
    <t>HMDB0029051</t>
  </si>
  <si>
    <t>21435-27-8</t>
  </si>
  <si>
    <t>N[C@@H](CO)C(=O)N[C@@H](CC1=CC=C(O)C=C1)C(O)=O</t>
  </si>
  <si>
    <t>MALNXHYEPCSPPU-UWVGGRQHSA-N</t>
  </si>
  <si>
    <t>4.67_842.4171m/z</t>
  </si>
  <si>
    <t>6,7-Didehydrofevicordin F 3-[glucosyl-(1-&gt;6)-glucoside]</t>
  </si>
  <si>
    <t>HMDB0036337</t>
  </si>
  <si>
    <t>178062-90-3</t>
  </si>
  <si>
    <t>CC1=C2C=CC3C4(C)CC(O)C(C(C)(O)C(O)\C=C\C(C)(C)O)C4(C)CC(=O)C3(C)C2=CC(O)=C1OC1OC(COC2OC(CO)C(O)C(O)C2O)C(O)C(O)C1O</t>
  </si>
  <si>
    <t>ASSSZPRIMUKILU-ZHACJKMWSA-N</t>
  </si>
  <si>
    <t>C41H60O17</t>
  </si>
  <si>
    <t>3.74_127.0390m/z</t>
  </si>
  <si>
    <t>2-methyl-glutaric acid</t>
  </si>
  <si>
    <t>HMDB0000422</t>
  </si>
  <si>
    <t>LMFA01170084</t>
  </si>
  <si>
    <t>617-62-9</t>
  </si>
  <si>
    <t>C(=O)(O)C(C)CCC(=O)O</t>
  </si>
  <si>
    <t>AQYCMVICBNBXNA-UHFFFAOYSA-N</t>
  </si>
  <si>
    <t>5.10_654.3768n</t>
  </si>
  <si>
    <t>PI(22:1(11Z)/0:0)</t>
  </si>
  <si>
    <t>LMGP06050022</t>
  </si>
  <si>
    <t>[C@]([H])(O)(COP(=O)(O)O[C@H]1[C@H](O)[C@@H](O)[C@H](O)[C@@H](O)[C@H]1O)COC(CCCCCCCCC/C=C\CCCCCCCCCC)=O</t>
  </si>
  <si>
    <t>BDIUNBUZQYYDQG-LWVCMULMSA-N</t>
  </si>
  <si>
    <t>C31H59O12P</t>
  </si>
  <si>
    <t>5.53_399.1483m/z</t>
  </si>
  <si>
    <t>4-Amino-8-(2-fluoro-6-methoxyphenyl)-N-propylcinnoline-3-carboxamide</t>
  </si>
  <si>
    <t>HMDB0248777</t>
  </si>
  <si>
    <t>CCCNC(=O)C1=C(N)C2=C(N=N1)C(=CC=C2)C1=C(OC)C=CC=C1F</t>
  </si>
  <si>
    <t>KYDURMHFWXCKMW-UHFFFAOYSA-N</t>
  </si>
  <si>
    <t>C19H19FN4O2</t>
  </si>
  <si>
    <t>6.44_240.1602m/z</t>
  </si>
  <si>
    <t>2-Hydroxyibuprofen</t>
  </si>
  <si>
    <t>HMDB0060920</t>
  </si>
  <si>
    <t>51146-55-5</t>
  </si>
  <si>
    <t>CC(C(O)=O)C1=CC=C(CC(C)(C)O)C=C1</t>
  </si>
  <si>
    <t>UJHKVYPPCJBOSG-UHFFFAOYSA-N</t>
  </si>
  <si>
    <t>9.87_249.1855m/z</t>
  </si>
  <si>
    <t>7-Hydroxy-10E-Hexadecen-8-ynoic acid</t>
  </si>
  <si>
    <t>LMFA01031023</t>
  </si>
  <si>
    <t>C(CCCCCC(O)C#C/C=C/CCCCC)(=O)O</t>
  </si>
  <si>
    <t>AGJDSYBSWRQZQH-VOTSOKGWSA-N</t>
  </si>
  <si>
    <t>4.94_267.0513m/z</t>
  </si>
  <si>
    <t>2-succinylbenzoate</t>
  </si>
  <si>
    <t>HMDB0304087</t>
  </si>
  <si>
    <t>C02730</t>
  </si>
  <si>
    <t>hsa00130</t>
  </si>
  <si>
    <t>Ubiquinone and other terpenoid-quinone biosynthesis</t>
  </si>
  <si>
    <t>OC(=O)CCC(=O)C1=C(C=CC=C1)C(O)=O</t>
  </si>
  <si>
    <t>YIVWQNVQRXFZJB-UHFFFAOYSA-N</t>
  </si>
  <si>
    <t>C11H10O5</t>
  </si>
  <si>
    <t>9.89_267.1966m/z</t>
  </si>
  <si>
    <t>9-hydroxy-16-oxo-hexadecanoic acid</t>
  </si>
  <si>
    <t>LMFA01170059</t>
  </si>
  <si>
    <t>C(CCCCCCCC(O)CCCCCCC=O)(=O)O</t>
  </si>
  <si>
    <t>ZEOCBNZYNJLVHK-UHFFFAOYSA-N</t>
  </si>
  <si>
    <t>C16H30O4</t>
  </si>
  <si>
    <t>9.71_371.3646m/z</t>
  </si>
  <si>
    <t>C25:1 Monocyclic highly branched isoprenoid</t>
  </si>
  <si>
    <t>LMPR0105020002</t>
  </si>
  <si>
    <t>C1(CCC(C)=CC1C(C)(CCCC(C)CC)CCCC(C)C)C(C)C</t>
  </si>
  <si>
    <t>BSFSYBSOZFHRHQ-UHFFFAOYSA-N</t>
  </si>
  <si>
    <t>C25H48</t>
  </si>
  <si>
    <t>12.69_380.1892m/z</t>
  </si>
  <si>
    <t>Dorsomorphin</t>
  </si>
  <si>
    <t>HMDB0251590</t>
  </si>
  <si>
    <t>C(CN1CCCCC1)OC1=CC=C(C=C1)C1=CN2N=CC(=C2N=C1)C1=CC=NC=C1</t>
  </si>
  <si>
    <t>XHBVYDAKJHETMP-UHFFFAOYSA-N</t>
  </si>
  <si>
    <t>Pyrazolo[1,5-a]pyrimidines</t>
  </si>
  <si>
    <t>C24H25N5O</t>
  </si>
  <si>
    <t>0.73_143.1183m/z</t>
  </si>
  <si>
    <t>N(6)-Methyllysine</t>
  </si>
  <si>
    <t>HMDB0002038</t>
  </si>
  <si>
    <t>C02728</t>
  </si>
  <si>
    <t>1188-07-4</t>
  </si>
  <si>
    <t>CNCCCC[C@H](N)C(O)=O</t>
  </si>
  <si>
    <t>PQNASZJZHFPQLE-LURJTMIESA-N</t>
  </si>
  <si>
    <t>11.94_359.1523m/z</t>
  </si>
  <si>
    <t>N2-Fructopyranosylarginine</t>
  </si>
  <si>
    <t>HMDB0041541</t>
  </si>
  <si>
    <t>162966-07-6</t>
  </si>
  <si>
    <t>NC(=N)NCCCC(NCC1(O)OCC(O)C(O)C1O)C(O)=O</t>
  </si>
  <si>
    <t>DLFIWFDONDYZKI-UHFFFAOYSA-N</t>
  </si>
  <si>
    <t>C12H24N4O7</t>
  </si>
  <si>
    <t>12.71_421.3327m/z</t>
  </si>
  <si>
    <t>5-n-nonadecylresorcinol</t>
  </si>
  <si>
    <t>HMDB0030956</t>
  </si>
  <si>
    <t>LMPK15030004</t>
  </si>
  <si>
    <t>35176-46-6</t>
  </si>
  <si>
    <t>C1(O)C=C(CCCCCCCCCCCCCCCCCCC)C=C(O)C=1</t>
  </si>
  <si>
    <t>PUNOCEUUYUXUGR-UHFFFAOYSA-N</t>
  </si>
  <si>
    <t>C25H44O2</t>
  </si>
  <si>
    <t>0.74_141.0659m/z</t>
  </si>
  <si>
    <t>Homoglutamine</t>
  </si>
  <si>
    <t>7433-32-1</t>
  </si>
  <si>
    <t>C(CC(C(=O)O)N)CC(=O)N</t>
  </si>
  <si>
    <t>YZJSUQQZGCHHNQ-UHFFFAOYSA-N</t>
  </si>
  <si>
    <t>C6H12N2O3</t>
  </si>
  <si>
    <t>6.29_324.1404m/z</t>
  </si>
  <si>
    <t>Propylenediamine tetra-acetic acid</t>
  </si>
  <si>
    <t>HMDB0246676</t>
  </si>
  <si>
    <t>CC(CN(CC(O)=O)CC(O)=O)N(CC(O)=O)CC(O)=O</t>
  </si>
  <si>
    <t>XNCSCQSQSGDGES-UHFFFAOYSA-N</t>
  </si>
  <si>
    <t>C11H18N2O8</t>
  </si>
  <si>
    <t>3.97_545.2944m/z</t>
  </si>
  <si>
    <t>Desmethylcyproheptadine</t>
  </si>
  <si>
    <t>HMDB0251056</t>
  </si>
  <si>
    <t>C1CC(CCN1)=C1C2=CC=CC=C2C=CC2=CC=CC=C12</t>
  </si>
  <si>
    <t>INPJSDMJYRCDGA-UHFFFAOYSA-N</t>
  </si>
  <si>
    <t>C20H19N</t>
  </si>
  <si>
    <t>3.82_467.1791m/z</t>
  </si>
  <si>
    <t>N-(3-(3-Hydroxy-4-methoxyphenyl)propyl)-L-alpha-aspartyl-L-phenylalanine</t>
  </si>
  <si>
    <t>HMDB0259626</t>
  </si>
  <si>
    <t>COC1=C(O)C=C(CCCNC(CC(O)=O)C(=O)NC(CC2=CC=CC=C2)C(O)=O)C=C1</t>
  </si>
  <si>
    <t>WJYNYVNIRKZJOZ-UHFFFAOYSA-N</t>
  </si>
  <si>
    <t>C23H28N2O7</t>
  </si>
  <si>
    <t>4.16_517.1789m/z</t>
  </si>
  <si>
    <t>Ac-Asp-Glu-Val-Asp</t>
  </si>
  <si>
    <t>HMDB0247772</t>
  </si>
  <si>
    <t>CC(C)C(NC(=O)C(CCC(O)=O)NC(=O)C(CC(O)=O)NC(C)=O)C(=O)NC(CC(O)=O)C(O)=O</t>
  </si>
  <si>
    <t>KUXLVFFUSZCVHJ-UHFFFAOYSA-N</t>
  </si>
  <si>
    <t>C20H30N4O12</t>
  </si>
  <si>
    <t>7.61_273.1110m/z</t>
  </si>
  <si>
    <t>Coriandrone B</t>
  </si>
  <si>
    <t>HMDB0037775</t>
  </si>
  <si>
    <t>139906-04-0</t>
  </si>
  <si>
    <t>COC1=C2CC(O)C(C)(C)OC2=C2C(=O)OC(C)CC2=C1</t>
  </si>
  <si>
    <t>BWHXOOBBSCGLBC-UHFFFAOYSA-N</t>
  </si>
  <si>
    <t>9.73_270.2437m/z</t>
  </si>
  <si>
    <t>10Z,12E-hexadecadienoic acid</t>
  </si>
  <si>
    <t>LMFA01030268</t>
  </si>
  <si>
    <t>C(CCCCCCCC/C=C\C=C\CCC)(=O)O</t>
  </si>
  <si>
    <t>POHNQQRJOMLPNT-DEQVHDEQSA-N</t>
  </si>
  <si>
    <t>3.66_200.1515m/z</t>
  </si>
  <si>
    <t>Carcinine</t>
  </si>
  <si>
    <t>HMDB0249666</t>
  </si>
  <si>
    <t>NCCC(=O)NCCC1=CN=CN1</t>
  </si>
  <si>
    <t>ANRUJJLGVODXIK-UHFFFAOYSA-N</t>
  </si>
  <si>
    <t>C8H14N4O</t>
  </si>
  <si>
    <t>227</t>
  </si>
  <si>
    <t>Benzohydroxamic Acid</t>
  </si>
  <si>
    <t>HMDB0255153</t>
  </si>
  <si>
    <t>ONC(=O)C1=CC=CC=C1</t>
  </si>
  <si>
    <t>VDEUYMSGMPQMIK-UHFFFAOYSA-N</t>
  </si>
  <si>
    <t>1.70_253.2169m/z</t>
  </si>
  <si>
    <t>3Z,9Z-hexadecadienoic acid</t>
  </si>
  <si>
    <t>LMFA01030271</t>
  </si>
  <si>
    <t>C(C/C=C\CCCC/C=C\CCCCCC)(=O)O</t>
  </si>
  <si>
    <t>AKJLYECXIBBTQR-WRKWTSPFSA-N</t>
  </si>
  <si>
    <t>75</t>
  </si>
  <si>
    <t>4-Pyridinol</t>
  </si>
  <si>
    <t>626-64-2</t>
  </si>
  <si>
    <t>C1=CNC=CC1=O</t>
  </si>
  <si>
    <t>GCNTZFIIOFTKIY-UHFFFAOYSA-N</t>
  </si>
  <si>
    <t>C5H5NO</t>
  </si>
  <si>
    <t>12.22_415.3217m/z</t>
  </si>
  <si>
    <t>5alpha-cholesta-24-en-3beta,20beta-diol-23-one</t>
  </si>
  <si>
    <t>LMST01010485</t>
  </si>
  <si>
    <t>C1C[C@H](O)C[C@]2([H])CC[C@@]3([H])[C@]4([H])CC[C@]([H])([C@](O)(C)CC(=O)/C=C(\C)/C)[C@@]4(C)CC[C@]3([H])[C@@]12C</t>
  </si>
  <si>
    <t>JLSGWGFUNKKVBT-YJPGMPNYSA-N</t>
  </si>
  <si>
    <t>14.46_345.2176m/z</t>
  </si>
  <si>
    <t>Calpeptin</t>
  </si>
  <si>
    <t>HMDB0249563</t>
  </si>
  <si>
    <t>CCCCC(NC(=O)C(CC(C)C)NC(=O)OCC1=CC=CC=C1)C=O</t>
  </si>
  <si>
    <t>PGGUOGKHUUUWAF-UHFFFAOYSA-N</t>
  </si>
  <si>
    <t>C20H30N2O4</t>
  </si>
  <si>
    <t>4.26_845.1931m/z</t>
  </si>
  <si>
    <t>Sennoside A</t>
  </si>
  <si>
    <t>HMDB0034317</t>
  </si>
  <si>
    <t>LMPK13040016</t>
  </si>
  <si>
    <t>C10404</t>
  </si>
  <si>
    <t>81-27-6</t>
  </si>
  <si>
    <t>[C@@]1([H])(C2C=CC=C(O[C@H]3[C@H](O)[C@H]([C@H](O)[C@@H](CO)O3)O)C=2C(=O)C2C(O)=CC(C(=O)O)=CC1=2)[C@]1([H])C2C=CC=C(O[C@H]3[C@H](O)[C@H]([C@H](O)[C@@H](CO)O3)O)C=2C(=O)C2C(O)=CC(C(=O)O)=CC1=2</t>
  </si>
  <si>
    <t>IPQVTOJGNYVQEO-KGFNBKMBSA-N</t>
  </si>
  <si>
    <t>C42H38O20</t>
  </si>
  <si>
    <t>10.23_315.2540m/z</t>
  </si>
  <si>
    <t>(9S,10S)-9,10-dihydroxyoctadecanoic acid</t>
  </si>
  <si>
    <t>HMDB0059633</t>
  </si>
  <si>
    <t>LMFA02000238</t>
  </si>
  <si>
    <t>C15988</t>
  </si>
  <si>
    <t>C(O)(=O)CCCCCCC[C@H](O)[C@@H](O)CCCCCCCC</t>
  </si>
  <si>
    <t>VACHUYIREGFMSP-IRXDYDNUSA-N</t>
  </si>
  <si>
    <t>9.66_607.1728m/z</t>
  </si>
  <si>
    <t>N-Acetylaspartylglutamic acid</t>
  </si>
  <si>
    <t>HMDB0001067</t>
  </si>
  <si>
    <t>CC(=O)N[C@@H](CC(O)=O)C(=O)N[C@@H](CCC(O)=O)C(O)=O</t>
  </si>
  <si>
    <t>OPVPGKGADVGKTG-BQBZGAKWSA-N</t>
  </si>
  <si>
    <t>10.11_395.3646m/z</t>
  </si>
  <si>
    <t>5beta-cholestane</t>
  </si>
  <si>
    <t>HMDB0303827</t>
  </si>
  <si>
    <t>LMST01010085</t>
  </si>
  <si>
    <t>C1[C@]2(C)[C@@]3([H])CC[C@]4(C)[C@@]([H])([C@]([H])(C)CCCC(C)C)CC[C@@]4([H])[C@]3([H])CC[C@]2([H])CCC1</t>
  </si>
  <si>
    <t>XIIAYQZJNBULGD-CJPSHIORSA-N</t>
  </si>
  <si>
    <t>C27H48</t>
  </si>
  <si>
    <t>9.79_353.2698m/z</t>
  </si>
  <si>
    <t>Isoraspailyne A</t>
  </si>
  <si>
    <t>LMGL01030008</t>
  </si>
  <si>
    <t>OC[C@]([H])(O)CO/C=C\C#C/C=C\CCCCCCCCCCC(O)C</t>
  </si>
  <si>
    <t>JPVHGPAQJWEPFH-TVSZHIICSA-N</t>
  </si>
  <si>
    <t>4.62_505.0740m/z</t>
  </si>
  <si>
    <t>Deferitrin</t>
  </si>
  <si>
    <t>HMDB0250934</t>
  </si>
  <si>
    <t>CC1(CSC(=N1)C1=C(O)C=C(O)C=C1)C(O)=O</t>
  </si>
  <si>
    <t>OEUUFNIKLCFNLN-UHFFFAOYSA-N</t>
  </si>
  <si>
    <t>C11H11NO4S</t>
  </si>
  <si>
    <t>12.38_469.3902m/z</t>
  </si>
  <si>
    <t>DG(8:0/i-17:0/0:0)</t>
  </si>
  <si>
    <t>HMDB0092929</t>
  </si>
  <si>
    <t>[H][C@](CO)(COC(=O)CCCCCCC)OC(=O)CCCCCCCCCCCCCC(C)C</t>
  </si>
  <si>
    <t>AAMZYAGHOAPQAW-SANMLTNESA-N</t>
  </si>
  <si>
    <t>C28H54O5</t>
  </si>
  <si>
    <t>14.42_207.1597m/z</t>
  </si>
  <si>
    <t>2-[2-(2-Butoxyethoxy)ethoxy]ethanol</t>
  </si>
  <si>
    <t>CCCCOCCOCCOCCO</t>
  </si>
  <si>
    <t>COBPKKZHLDDMTB-UHFFFAOYSA-N</t>
  </si>
  <si>
    <t>C10H22O4</t>
  </si>
  <si>
    <t>4.73_184.0972m/z</t>
  </si>
  <si>
    <t>5-Hepteneoylglycine</t>
  </si>
  <si>
    <t>HMDB0094731</t>
  </si>
  <si>
    <t>CC=CCCCC(O)=NCC(O)=O</t>
  </si>
  <si>
    <t>VCONKYWQTOIFAO-UHFFFAOYSA-N</t>
  </si>
  <si>
    <t>4.15_203.1550m/z</t>
  </si>
  <si>
    <t>Prilocaine</t>
  </si>
  <si>
    <t>HMDB0014888</t>
  </si>
  <si>
    <t>C07531</t>
  </si>
  <si>
    <t>721-50-6</t>
  </si>
  <si>
    <t>CCCNC(C)C(=O)NC1=CC=CC=C1C</t>
  </si>
  <si>
    <t>MVFGUOIZUNYYSO-UHFFFAOYSA-N</t>
  </si>
  <si>
    <t>0.72_133.1107n</t>
  </si>
  <si>
    <t>2-(2-Hydroxypropan-2-ylamino)propan-2-ol</t>
  </si>
  <si>
    <t>HMDB0257796</t>
  </si>
  <si>
    <t>CC(C)(O)NC(C)(C)O</t>
  </si>
  <si>
    <t>YFMRYKUIKVHBCZ-UHFFFAOYSA-N</t>
  </si>
  <si>
    <t>C6H15NO2</t>
  </si>
  <si>
    <t>1.40_357.1227m/z</t>
  </si>
  <si>
    <t>Ala Asn Met</t>
  </si>
  <si>
    <t>CC(C(=O)NC(CC(=O)N)C(=O)NC(CCSC)C(=O)O)N</t>
  </si>
  <si>
    <t>JYEBJTDTPNKQJG-FXQIFTODSA-N</t>
  </si>
  <si>
    <t>C12H22N4O5S</t>
  </si>
  <si>
    <t>152</t>
  </si>
  <si>
    <t>2,3-Dihydroxypyridine</t>
  </si>
  <si>
    <t>HMDB0245397</t>
  </si>
  <si>
    <t>16867-04-2</t>
  </si>
  <si>
    <t>OC1=C(O)N=CC=C1</t>
  </si>
  <si>
    <t>GGOZGYRTNQBSSA-UHFFFAOYSA-N</t>
  </si>
  <si>
    <t>C5H5NO2</t>
  </si>
  <si>
    <t>5.22_461.1435m/z</t>
  </si>
  <si>
    <t>Methylnissolin 3-O-glucoside</t>
  </si>
  <si>
    <t>LMPK12070036</t>
  </si>
  <si>
    <t>O([C@H]1[C@H](O)[C@@H](O)[C@H](O)[C@@H](CO)O1)C1C=CC2C3OC4C(OC)=C(OC)C=CC=4C3COC=2C=1</t>
  </si>
  <si>
    <t>PCIXSTFFMHVOMF-NFOIBEGASA-N</t>
  </si>
  <si>
    <t>C23H26O10</t>
  </si>
  <si>
    <t>5.79_281.0667m/z</t>
  </si>
  <si>
    <t>Austdiol</t>
  </si>
  <si>
    <t>HMDB0030858</t>
  </si>
  <si>
    <t>53043-28-0</t>
  </si>
  <si>
    <t>CC1=CC2=C(C=O)C(=O)C(C)(O)C(O)C2=CO1</t>
  </si>
  <si>
    <t>QVMUHZHZYCDMAI-UHFFFAOYSA-N</t>
  </si>
  <si>
    <t>Azaphilones</t>
  </si>
  <si>
    <t>C12H12O5</t>
  </si>
  <si>
    <t>9.13_366.2412m/z</t>
  </si>
  <si>
    <t>5(S),6(R)-Lipoxin A4 methyl ester</t>
  </si>
  <si>
    <t>97643-35-1</t>
  </si>
  <si>
    <t>CCCCCC(C=CC=CC=CC=CC(C(CCCC(=O)OC)O)O)O</t>
  </si>
  <si>
    <t>UBPCKDCSZPRQJP-APWRIOKISA-N</t>
  </si>
  <si>
    <t>4.55_488.1599m/z</t>
  </si>
  <si>
    <t>Pevonedistat</t>
  </si>
  <si>
    <t>HMDB0256358</t>
  </si>
  <si>
    <t>NS(=O)(=O)OCC1CC(CC1O)N1C=CC2=C1N=CN=C2NC1CCC2=CC=CC=C12</t>
  </si>
  <si>
    <t>MPUQHZXIXSTTDU-UHFFFAOYSA-N</t>
  </si>
  <si>
    <t>C21H25N5O4S</t>
  </si>
  <si>
    <t>7.80_649.2522m/z</t>
  </si>
  <si>
    <t>Endomorphin-1</t>
  </si>
  <si>
    <t>HMDB0005773</t>
  </si>
  <si>
    <t>189388-22-5</t>
  </si>
  <si>
    <t>N[C@@H](CC1=CC=C(O)C=C1)C(=O)N1CCC[C@H]1C(=O)N[C@@H](CC1=CNC2=CC=CC=C12)C(=O)N[C@@H](CC1=CC=CC=C1)C(N)=O</t>
  </si>
  <si>
    <t>ZEXLJFNSKAHNFH-SYKYGTKKSA-N</t>
  </si>
  <si>
    <t>C34H38N6O5</t>
  </si>
  <si>
    <t>6.35_157.0860m/z</t>
  </si>
  <si>
    <t>trans-2-trans-4-Heptadien-1-ol</t>
  </si>
  <si>
    <t>HMDB0032301</t>
  </si>
  <si>
    <t>33467-79-7</t>
  </si>
  <si>
    <t>CC\C=C\C=C\CO</t>
  </si>
  <si>
    <t>MDRZSADXFOPYOC-VNKDHWASSA-N</t>
  </si>
  <si>
    <t>C7H12O</t>
  </si>
  <si>
    <t>1.01_202.0297m/z</t>
  </si>
  <si>
    <t>(R)-Propyl 2-amino-3-mercaptopropanoate</t>
  </si>
  <si>
    <t>HMDB0243697</t>
  </si>
  <si>
    <t>CCCOC(=O)C(N)CS</t>
  </si>
  <si>
    <t>AZDDIYKMQFIXBW-UHFFFAOYSA-N</t>
  </si>
  <si>
    <t>C6H13NO2S</t>
  </si>
  <si>
    <t>10.19_257.2272m/z</t>
  </si>
  <si>
    <t>2-fluoro-hexadecanoic acid</t>
  </si>
  <si>
    <t>LMFA01090041</t>
  </si>
  <si>
    <t>16518-94-8</t>
  </si>
  <si>
    <t>C(C(F)CCCCCCCCCCCCCC)(=O)O</t>
  </si>
  <si>
    <t>JGRIJJOLCNCSNX-UHFFFAOYSA-N</t>
  </si>
  <si>
    <t>C16H31FO2</t>
  </si>
  <si>
    <t>2.49_319.1413m/z</t>
  </si>
  <si>
    <t>Tryptophyl-Asparagine</t>
  </si>
  <si>
    <t>HMDB0029078</t>
  </si>
  <si>
    <t>NC(CC1=CNC2=C1C=CC=C2)C(=O)NC(CC(N)=O)C(O)=O</t>
  </si>
  <si>
    <t>GRQCSEWEPIHLBI-UHFFFAOYSA-N</t>
  </si>
  <si>
    <t>C15H18N4O4</t>
  </si>
  <si>
    <t>2.51_260.1615m/z</t>
  </si>
  <si>
    <t>Val Ala Ala</t>
  </si>
  <si>
    <t>CC(C)C(C(=O)NC(C)C(=O)NC(C)C(=O)O)N</t>
  </si>
  <si>
    <t>IJBTVYLICXHDRI-FXQIFTODSA-N</t>
  </si>
  <si>
    <t>478</t>
  </si>
  <si>
    <t>Arachidic Acid</t>
  </si>
  <si>
    <t>HMDB0002212</t>
  </si>
  <si>
    <t>LMFA01010020</t>
  </si>
  <si>
    <t>C06425</t>
  </si>
  <si>
    <t>R-HSA-1643685,R-HSA-382551,R-HSA-425397,R-HSA-425407,R-HSA-5619102,R-HSA-5619108,R-HSA-5619115,R-HSA-804914</t>
  </si>
  <si>
    <t>Disease|Transport of small molecules|Transport of vitamins, nucleosides, and related molecules|SLC-mediated transmembrane transport|SLC transporter disorders|Defective SLC27A4 causes ichthyosis prematurity syndrome (IPS)|Disorders of transmembrane transporters|Transport of fatty acids</t>
  </si>
  <si>
    <t>506-30-9</t>
  </si>
  <si>
    <t>C(CCCCCCCCCC)CCCCCCCCC(=O)O</t>
  </si>
  <si>
    <t>VKOBVWXKNCXXDE-UHFFFAOYSA-N</t>
  </si>
  <si>
    <t>5.24_330.1281m/z</t>
  </si>
  <si>
    <t>Desmethylofloxacin</t>
  </si>
  <si>
    <t>HMDB0251059</t>
  </si>
  <si>
    <t>CN1CCN(CC1)C1=C(F)C=C2C(=O)C(=CN3CCOC1=C23)C(O)=O</t>
  </si>
  <si>
    <t>RTWRSOHWLYXRRX-UHFFFAOYSA-N</t>
  </si>
  <si>
    <t>C17H18FN3O4</t>
  </si>
  <si>
    <t>300</t>
  </si>
  <si>
    <t>L-Arabinitol</t>
  </si>
  <si>
    <t>HMDB0001851</t>
  </si>
  <si>
    <t>C00532</t>
  </si>
  <si>
    <t>7643-75-6</t>
  </si>
  <si>
    <t>OC[C@H](O)C(O)[C@@H](O)CO</t>
  </si>
  <si>
    <t>HEBKCHPVOIAQTA-IMJSIDKUSA-N</t>
  </si>
  <si>
    <t>0.87_259.0435m/z</t>
  </si>
  <si>
    <t>D-Erythroascorbic acid 1'-a-D-xylopyranoside</t>
  </si>
  <si>
    <t>HMDB0033626</t>
  </si>
  <si>
    <t>174339-85-6</t>
  </si>
  <si>
    <t>OC1COC(OCC2OC(=O)C(O)=C2O)C(O)C1O</t>
  </si>
  <si>
    <t>CMPVKMSVRPPYHP-UHFFFAOYSA-N</t>
  </si>
  <si>
    <t>C10H14O9</t>
  </si>
  <si>
    <t>8.21_464.1833m/z</t>
  </si>
  <si>
    <t>Euchrenone b4</t>
  </si>
  <si>
    <t>LMPK12050306</t>
  </si>
  <si>
    <t>C1(O)C(C/C=C(\C)/C)=C(O)C2C(=O)C(C3=C(OC)C=C4OCOC4=C3)=COC=2C=1C/C=C(/C)\C</t>
  </si>
  <si>
    <t>HEWXGYZXVVKVLP-UHFFFAOYSA-N</t>
  </si>
  <si>
    <t>C27H28O7</t>
  </si>
  <si>
    <t>257</t>
  </si>
  <si>
    <t>Guanidoacetic Acid</t>
  </si>
  <si>
    <t>HMDB0000128</t>
  </si>
  <si>
    <t>C00581</t>
  </si>
  <si>
    <t>R-HSA-1430728,R-HSA-71288,R-HSA-71291</t>
  </si>
  <si>
    <t>Metabolism|Creatine metabolism|Metabolism of amino acids and derivatives</t>
  </si>
  <si>
    <t>352-97-6</t>
  </si>
  <si>
    <t>NC(=N)NCC(O)=O</t>
  </si>
  <si>
    <t>BPMFZUMJYQTVII-UHFFFAOYSA-N</t>
  </si>
  <si>
    <t>C3H7N3O2</t>
  </si>
  <si>
    <t>178</t>
  </si>
  <si>
    <t>9-Decenol</t>
  </si>
  <si>
    <t>HMDB0059861</t>
  </si>
  <si>
    <t>[H]OC([H])([H])C([H])([H])C([H])([H])C([H])([H])C([H])([H])C([H])([H])C([H])([H])C([H])([H])C([H])=C([H])[H]</t>
  </si>
  <si>
    <t>QGFSQVPRCWJZQK-UHFFFAOYSA-N</t>
  </si>
  <si>
    <t>C10H20O</t>
  </si>
  <si>
    <t>10.45_339.2153m/z</t>
  </si>
  <si>
    <t>5-keto-6E,8E-octadecadienoic acid</t>
  </si>
  <si>
    <t>LMFA01031165</t>
  </si>
  <si>
    <t>C(CCCC(=O)/C=C/C=C/CCCCCCCCC)(=O)O</t>
  </si>
  <si>
    <t>YVWMHFYOIJMUMN-CYZWUHAYSA-N</t>
  </si>
  <si>
    <t>11.44_389.2699m/z</t>
  </si>
  <si>
    <t>3beta-hydroxy-24-norchol-5-en-23-al</t>
  </si>
  <si>
    <t>LMST01010302</t>
  </si>
  <si>
    <t>[C@]12(CC=C3C[C@@H](O)CC[C@]3(C)[C@@]1([H])CC[C@]1(C)[C@@]([H])([C@@](C)([H])CC([H])=O)CC[C@@]21[H])[H]</t>
  </si>
  <si>
    <t>NFNYONNZWUAVLB-YDDBCJSBSA-N</t>
  </si>
  <si>
    <t>C23H36O2</t>
  </si>
  <si>
    <t>9.09_374.2737m/z</t>
  </si>
  <si>
    <t>N-stearoyl taurine</t>
  </si>
  <si>
    <t>HMDB0240595</t>
  </si>
  <si>
    <t>LMFA08020078</t>
  </si>
  <si>
    <t>63155-80-6</t>
  </si>
  <si>
    <t>C(CNC(CCCCCCCCCCCCCCCCC)=O)S(O)(=O)=O</t>
  </si>
  <si>
    <t>LMIJIHJZVURGQK-UHFFFAOYSA-N</t>
  </si>
  <si>
    <t>C20H41NO4S</t>
  </si>
  <si>
    <t>8.33_163.1332m/z</t>
  </si>
  <si>
    <t>2-(2-Butoxyethoxy)ethanol</t>
  </si>
  <si>
    <t>HMDB0244918</t>
  </si>
  <si>
    <t>CCCCOCCOCCO</t>
  </si>
  <si>
    <t>OAYXUHPQHDHDDZ-UHFFFAOYSA-N</t>
  </si>
  <si>
    <t>C8H18O3</t>
  </si>
  <si>
    <t>6.15_269.0056m/z</t>
  </si>
  <si>
    <t>3-deoxy-D-arabino-heptulosonate-7-phosphate</t>
  </si>
  <si>
    <t>HMDB0304124</t>
  </si>
  <si>
    <t>C04691</t>
  </si>
  <si>
    <t>O[C@H](COP(O)(O)=O)[C@@H](O)[C@H](O)CC(=O)C(O)=O</t>
  </si>
  <si>
    <t>PJWIPEXIFFQAQZ-PUFIMZNGSA-N</t>
  </si>
  <si>
    <t>C7H13O10P</t>
  </si>
  <si>
    <t>4.28_233.0059m/z</t>
  </si>
  <si>
    <t>Potassium gluconate</t>
  </si>
  <si>
    <t>HMDB0303731</t>
  </si>
  <si>
    <t>[K+].OCC(O)C(O)C(O)C(O)C([O-])=O</t>
  </si>
  <si>
    <t>HLCFGWHYROZGBI-UHFFFAOYSA-M</t>
  </si>
  <si>
    <t>C6H11KO7</t>
  </si>
  <si>
    <t>1.61_276.1566m/z</t>
  </si>
  <si>
    <t>Ala Val Ser</t>
  </si>
  <si>
    <t>CC(C)C(C(=O)NC(CO)C(=O)O)NC(=O)C(C)N</t>
  </si>
  <si>
    <t>REWSWYIDQIELBE-FXQIFTODSA-N</t>
  </si>
  <si>
    <t>C11H21N3O5</t>
  </si>
  <si>
    <t>4.85_204.1060m/z</t>
  </si>
  <si>
    <t>3-Cyclohexyl-1-propylsulfonic acid</t>
  </si>
  <si>
    <t>HMDB0244400</t>
  </si>
  <si>
    <t>OS(=O)(=O)CCCNC1CCCCC1</t>
  </si>
  <si>
    <t>PJWWRFATQTVXHA-UHFFFAOYSA-N</t>
  </si>
  <si>
    <t>C9H19NO3S</t>
  </si>
  <si>
    <t>10.75_302.1437m/z</t>
  </si>
  <si>
    <t>Ralfinamide</t>
  </si>
  <si>
    <t>HMDB0257099</t>
  </si>
  <si>
    <t>CC(NCC1=CC=C(OCC2=CC=CC=C2F)C=C1)C(N)=O</t>
  </si>
  <si>
    <t>BHJIBOFHEFDSAU-UHFFFAOYSA-N</t>
  </si>
  <si>
    <t>C17H19FN2O2</t>
  </si>
  <si>
    <t>6.08_324.1817m/z</t>
  </si>
  <si>
    <t>1H-Purine-2,6-dione, 7-(2-(ethylamino)ethyl)-3,7-dihydro-1,3-dimethyl-8-(phenylmethyl)-</t>
  </si>
  <si>
    <t>HMDB0247769</t>
  </si>
  <si>
    <t>CCNCCN1C(CC2=CC=CC=C2)=NC2=C1C(=O)N(C)C(=O)N2C</t>
  </si>
  <si>
    <t>DWVLBZMSEOBQDH-UHFFFAOYSA-N</t>
  </si>
  <si>
    <t>C18H23N5O2</t>
  </si>
  <si>
    <t>4.20_279.0988m/z</t>
  </si>
  <si>
    <t>Dehydroxymethylepoxyquinomicin</t>
  </si>
  <si>
    <t>HMDB0251110</t>
  </si>
  <si>
    <t>OC1C2OC2C(=O)C=C1NC(=O)C1=CC=CC=C1O</t>
  </si>
  <si>
    <t>IUOMATKBBPCLFR-UHFFFAOYSA-N</t>
  </si>
  <si>
    <t>C13H11NO5</t>
  </si>
  <si>
    <t>5.02_244.1552m/z</t>
  </si>
  <si>
    <t>Pyridine-2-azo-p-dimethylaniline</t>
  </si>
  <si>
    <t>CN(C)C1=CC=C(C=C1)N=NC2=CC=CC=N2</t>
  </si>
  <si>
    <t>IOJNPSPGHUEJAQ-UHFFFAOYSA-N</t>
  </si>
  <si>
    <t>C13H14N4</t>
  </si>
  <si>
    <t>4.98_217.1219m/z</t>
  </si>
  <si>
    <t>Pterosin N</t>
  </si>
  <si>
    <t>HMDB0038218</t>
  </si>
  <si>
    <t>54797-11-4</t>
  </si>
  <si>
    <t>CC1=CC2=C(C(=O)C(C)(O)C2)C(C)=C1CCO</t>
  </si>
  <si>
    <t>FQLXILLXEWJGFO-UHFFFAOYSA-N</t>
  </si>
  <si>
    <t>5.75_332.2442m/z</t>
  </si>
  <si>
    <t>7-Hydroxydecanoylcarnitine</t>
  </si>
  <si>
    <t>HMDB0241056</t>
  </si>
  <si>
    <t>CCCC(O)CCCCCC(=O)OC(CC([O-])=O)C[N+](C)(C)C</t>
  </si>
  <si>
    <t>CUNUJTYZIRIYAM-UHFFFAOYSA-N</t>
  </si>
  <si>
    <t>7.88_321.0927m/z</t>
  </si>
  <si>
    <t>Glutamylglutamic acid</t>
  </si>
  <si>
    <t>HMDB0028818</t>
  </si>
  <si>
    <t>C01425</t>
  </si>
  <si>
    <t>3929-61-1</t>
  </si>
  <si>
    <t>N[C@@H](CCC(O)=O)C(=O)N[C@@H](CCC(O)=O)C(O)=O</t>
  </si>
  <si>
    <t>KOSRFJWDECSPRO-WDSKDSINSA-N</t>
  </si>
  <si>
    <t>10.35_309.1686m/z</t>
  </si>
  <si>
    <t>Glycylprolylarginine</t>
  </si>
  <si>
    <t>HMDB0252828</t>
  </si>
  <si>
    <t>NCC(=O)N1CCCC1C(=O)NC(CCCNC(N)=N)C(O)=O</t>
  </si>
  <si>
    <t>JYPCXBJRLBHWME-UHFFFAOYSA-N</t>
  </si>
  <si>
    <t>C13H24N6O4</t>
  </si>
  <si>
    <t>4.91_393.2520m/z</t>
  </si>
  <si>
    <t>Leu Pro Phe</t>
  </si>
  <si>
    <t>CC(C)CC(C(=O)N1CCCC1C(=O)NC(CC2=CC=CC=C2)C(=O)O)N</t>
  </si>
  <si>
    <t>XXXXOVFBXRERQL-ULQDDVLXSA-N</t>
  </si>
  <si>
    <t>C20H29N3O4</t>
  </si>
  <si>
    <t>11.47_348.2909m/z</t>
  </si>
  <si>
    <t>Cis-8,11,14,17-eicosatetraenoic acid ethanolamide</t>
  </si>
  <si>
    <t>LMFA08040063</t>
  </si>
  <si>
    <t>C(O)CNC(CCCCCC/C=C\C/C=C\C/C=C\C/C=C\CC)=O</t>
  </si>
  <si>
    <t>ZTNVCFQDUOWGNJ-LTKCOYKYSA-N</t>
  </si>
  <si>
    <t>C22H37NO2</t>
  </si>
  <si>
    <t>10.69_349.2379m/z</t>
  </si>
  <si>
    <t>Avocadyne 1-acetate</t>
  </si>
  <si>
    <t>HMDB0031048</t>
  </si>
  <si>
    <t>LMFA05000644</t>
  </si>
  <si>
    <t>24607-06-5</t>
  </si>
  <si>
    <t>C#CCCCCCCCCCCCC(O)CC(O)COC(C)=O</t>
  </si>
  <si>
    <t>JAKAZHIACKJNNB-UHFFFAOYSA-N</t>
  </si>
  <si>
    <t>11.86_299.2589m/z</t>
  </si>
  <si>
    <t>15-oxo-octadecanoic acid</t>
  </si>
  <si>
    <t>LMFA02000259</t>
  </si>
  <si>
    <t>C(CCCCCCCCCCCCCC(=O)CCC)(=O)O</t>
  </si>
  <si>
    <t>ZNCSJRIRJLKPNR-UHFFFAOYSA-N</t>
  </si>
  <si>
    <t>4.90_367.1008m/z</t>
  </si>
  <si>
    <t>5-(3'-Hydroxyphenyl)-γ-valerolactone 3'-glucuronide</t>
  </si>
  <si>
    <t>HMDB0240471</t>
  </si>
  <si>
    <t>[H]C1(CC2=CC(O[C@]3([H])O[C@]([H])(C(O)=O)[C@@]([H])(O)[C@]([H])(O)[C@@]3([H])O)=CC=C2)CCC(=O)O1</t>
  </si>
  <si>
    <t>DPSUQBKEHXAIDY-YHNANPAJSA-N</t>
  </si>
  <si>
    <t>C17H20O9</t>
  </si>
  <si>
    <t>0.76_312.0589m/z</t>
  </si>
  <si>
    <t>2-Amino-4-oxo-6-(1',2'-dioxoprolyl)-7,8-dihydroxypteridine</t>
  </si>
  <si>
    <t>HMDB0001410</t>
  </si>
  <si>
    <t>C05255</t>
  </si>
  <si>
    <t>CC(=O)C(=O)C1=NC2=C(N=C(N)NC2=O)N(O)C1O</t>
  </si>
  <si>
    <t>QBHQZPRDJMYEDG-UHFFFAOYSA-N</t>
  </si>
  <si>
    <t>C9H9N5O5</t>
  </si>
  <si>
    <t>4.22_172.0395m/z</t>
  </si>
  <si>
    <t>Quinaldic acid</t>
  </si>
  <si>
    <t>HMDB0000842</t>
  </si>
  <si>
    <t>C06325</t>
  </si>
  <si>
    <t>93-10-7</t>
  </si>
  <si>
    <t>OC(=O)C1=NC2=C(C=CC=C2)C=C1</t>
  </si>
  <si>
    <t>LOAUVZALPPNFOQ-UHFFFAOYSA-N</t>
  </si>
  <si>
    <t>C10H7NO2</t>
  </si>
  <si>
    <t>9.42_255.1963m/z</t>
  </si>
  <si>
    <t>Petroraspailyne B1</t>
  </si>
  <si>
    <t>LMGL01030004</t>
  </si>
  <si>
    <t>OC[C@]([H])(O)CO/C=C\C#CCCCCCCCC</t>
  </si>
  <si>
    <t>XZTOEFLTNWTMHZ-SSCKCOOKSA-N</t>
  </si>
  <si>
    <t>C15H26O3</t>
  </si>
  <si>
    <t>13.04_439.3794m/z</t>
  </si>
  <si>
    <t>2-N,2-N-Dibutylbenzene-1,2-diamine</t>
  </si>
  <si>
    <t>HMDB0257613</t>
  </si>
  <si>
    <t>CCCCN(CCCC)C1=CC=CC=C1N</t>
  </si>
  <si>
    <t>ZWAAKLAHTGGOEJ-UHFFFAOYSA-N</t>
  </si>
  <si>
    <t>C14H24N2</t>
  </si>
  <si>
    <t>4.63_430.1584n</t>
  </si>
  <si>
    <t>2,3-dinor Fluprostenol</t>
  </si>
  <si>
    <t>C1C(C(C(C1O)C=CC(COC2=CC=CC(=C2)C(F)(F)F)O)CC=CCC(=O)O)O</t>
  </si>
  <si>
    <t>JJUBZOCIDPWZFS-GKRZZTJGSA-N</t>
  </si>
  <si>
    <t>C21H25F3O6</t>
  </si>
  <si>
    <t>9.22_356.2440m/z</t>
  </si>
  <si>
    <t>Lisuride</t>
  </si>
  <si>
    <t>HMDB0014727</t>
  </si>
  <si>
    <t>18016-80-3</t>
  </si>
  <si>
    <t>[H][C@@]12CC3=CNC4=CC=CC(=C34)C1=C[C@@H](CN2C)NC(=O)N(CC)CC</t>
  </si>
  <si>
    <t>BKRGVLQUQGGVSM-KBXCAEBGSA-N</t>
  </si>
  <si>
    <t>C20H26N4O</t>
  </si>
  <si>
    <t>4.89_805.4116m/z</t>
  </si>
  <si>
    <t>28-Glucosylsiaresinolate 3-arabinoside</t>
  </si>
  <si>
    <t>HMDB0037909</t>
  </si>
  <si>
    <t>356785-71-2</t>
  </si>
  <si>
    <t>[H][C@@]12[C@H](O)C(C)(C)CC[C@@]1(CC[C@]1(C)C2=CCC2[C@@]3(C)CC[C@H](O[C@@H]4OC[C@H](O)[C@H](O)[C@H]4O)C(C)(C)C3CC[C@@]12C)C(=O)O[C@@H]1O[C@H](CO)[C@@H](O)[C@H](O)[C@H]1O</t>
  </si>
  <si>
    <t>SLQHZBXUSQZYTB-ZABDJLAHSA-N</t>
  </si>
  <si>
    <t>C41H66O13</t>
  </si>
  <si>
    <t>10.27_562.9950m/z</t>
  </si>
  <si>
    <t>(E)-4-(6-((formyloxy)methyl)-1,2-dithiin-3-yl)but-1-en-3-yn-1-yl acetate</t>
  </si>
  <si>
    <t>LMFA12000369</t>
  </si>
  <si>
    <t>C1C=C(C#C/C=C/OC(C)=O)SSC=1COC(=O)[H]</t>
  </si>
  <si>
    <t>GMPFMYDXLHLHJJ-XVNBXDOJSA-N</t>
  </si>
  <si>
    <t>C12H10O4S2</t>
  </si>
  <si>
    <t>4.32_314.1722m/z</t>
  </si>
  <si>
    <t>Cyclopentolate</t>
  </si>
  <si>
    <t>HMDB0015114</t>
  </si>
  <si>
    <t>C06932</t>
  </si>
  <si>
    <t>512-15-2</t>
  </si>
  <si>
    <t>CN(C)CCOC(=O)C(C1=CC=CC=C1)C1(O)CCCC1</t>
  </si>
  <si>
    <t>SKYSRIRYMSLOIN-UHFFFAOYSA-N</t>
  </si>
  <si>
    <t>C17H25NO3</t>
  </si>
  <si>
    <t>8.87_309.2067m/z</t>
  </si>
  <si>
    <t>ent-9-L1-PhytoP</t>
  </si>
  <si>
    <t>LMFA02030003</t>
  </si>
  <si>
    <t>C(CCCCCCC[C@@H](O)/C=C/C1CCC(=O)C=1CC)(=O)O</t>
  </si>
  <si>
    <t>KXMANOZDITZERP-HBIYDYFMSA-N</t>
  </si>
  <si>
    <t>1.01_182.1042m/z</t>
  </si>
  <si>
    <t>2-Amino-6-methyl-2,3,6,7-tetrahydro-1H-pteridin-4-one</t>
  </si>
  <si>
    <t>HMDB0255376</t>
  </si>
  <si>
    <t>CC1CN=C2NC(N)NC(=O)C2=N1</t>
  </si>
  <si>
    <t>JZHUDBMUACQLEB-UHFFFAOYSA-N</t>
  </si>
  <si>
    <t>C7H11N5O</t>
  </si>
  <si>
    <t>0.95_175.0970m/z</t>
  </si>
  <si>
    <t>Argininic acid</t>
  </si>
  <si>
    <t>HMDB0003148</t>
  </si>
  <si>
    <t>157-07-3</t>
  </si>
  <si>
    <t>NC(=N)NCCC[C@H](O)C(O)=O</t>
  </si>
  <si>
    <t>BMFMQGXDDJALKQ-BYPYZUCNSA-N</t>
  </si>
  <si>
    <t>6.53_271.1552m/z</t>
  </si>
  <si>
    <t>oscr#14</t>
  </si>
  <si>
    <t>LMFA13040092</t>
  </si>
  <si>
    <t>O[C@@H]1C[C@@H](O)[C@H](C)O[C@H]1OCCCCCCCC(=O)O</t>
  </si>
  <si>
    <t>DJYKCDSAKUJQRP-FMCLSXCISA-N</t>
  </si>
  <si>
    <t>C14H26O6</t>
  </si>
  <si>
    <t>1.09_123.0446m/z</t>
  </si>
  <si>
    <t>4-Hydroxybenzaldehyde</t>
  </si>
  <si>
    <t>HMDB0011718</t>
  </si>
  <si>
    <t>C00633</t>
  </si>
  <si>
    <t>123-08-0</t>
  </si>
  <si>
    <t>OC1=CC=C(C=O)C=C1</t>
  </si>
  <si>
    <t>RGHHSNMVTDWUBI-UHFFFAOYSA-N</t>
  </si>
  <si>
    <t>12.05_375.2904m/z</t>
  </si>
  <si>
    <t>7alpha-Hydroxy-5beta-cholan-24-oic Acid</t>
  </si>
  <si>
    <t>HMDB0002492</t>
  </si>
  <si>
    <t>LMST04010011</t>
  </si>
  <si>
    <t>28083-34-3</t>
  </si>
  <si>
    <t>C1[C@]2(C)[C@@]3([H])CC[C@]4(C)[C@@]([H])([C@]([H])(C)CCC(O)=O)CC[C@@]4([H])[C@]3([H])[C@H](O)C[C@]2([H])CCC1</t>
  </si>
  <si>
    <t>JVMCMMXFADJQKU-MMSVWBHPSA-N</t>
  </si>
  <si>
    <t>5.38_159.1017m/z</t>
  </si>
  <si>
    <t>3-Hydroxyvalproic acid</t>
  </si>
  <si>
    <t>HMDB0013899</t>
  </si>
  <si>
    <t>LMFA01050494</t>
  </si>
  <si>
    <t>C16651</t>
  </si>
  <si>
    <t>58888-84-9</t>
  </si>
  <si>
    <t>CCC(O)C(C(=O)O)CCC</t>
  </si>
  <si>
    <t>LLPFTSMZBSRZDV-UHFFFAOYSA-N</t>
  </si>
  <si>
    <t>4.06_229.1554m/z</t>
  </si>
  <si>
    <t>Valylisoleucine</t>
  </si>
  <si>
    <t>HMDB0029130</t>
  </si>
  <si>
    <t>20556-14-3</t>
  </si>
  <si>
    <t>CC[C@H](C)[C@H](NC(=O)[C@@H](N)C(C)C)C(O)=O</t>
  </si>
  <si>
    <t>PNVLWFYAPWAQMU-CIUDSAMLSA-N</t>
  </si>
  <si>
    <t>421</t>
  </si>
  <si>
    <t>Stearyl Alcohol</t>
  </si>
  <si>
    <t>HMDB0002350</t>
  </si>
  <si>
    <t>LMFA05000085</t>
  </si>
  <si>
    <t>D01924</t>
  </si>
  <si>
    <t>112-92-5</t>
  </si>
  <si>
    <t>C(CCCCCCCCCCCCCCO)CCC</t>
  </si>
  <si>
    <t>GLDOVTGHNKAZLK-UHFFFAOYSA-N</t>
  </si>
  <si>
    <t>C18H38O</t>
  </si>
  <si>
    <t>13.99_333.2801m/z</t>
  </si>
  <si>
    <t>DTrE</t>
  </si>
  <si>
    <t>HMDB0002823</t>
  </si>
  <si>
    <t>LMFA01030408</t>
  </si>
  <si>
    <t>28845-86-5</t>
  </si>
  <si>
    <t>C(CCCCCCCCCCC/C=C\C/C=C\C/C=C\CC)(=O)O</t>
  </si>
  <si>
    <t>WBBQTNCISCKUMU-PDBXOOCHSA-N</t>
  </si>
  <si>
    <t>C22H38O2</t>
  </si>
  <si>
    <t>299</t>
  </si>
  <si>
    <t>D-Arabitol</t>
  </si>
  <si>
    <t>HMDB0000568</t>
  </si>
  <si>
    <t>C01904</t>
  </si>
  <si>
    <t>488-82-4</t>
  </si>
  <si>
    <t>OC[C@@H](O)C(O)[C@H](O)CO</t>
  </si>
  <si>
    <t>HEBKCHPVOIAQTA-QWWZWVQMSA-N</t>
  </si>
  <si>
    <t>3.91_223.0608m/z</t>
  </si>
  <si>
    <t>7-Methyl-2H-1,5-benzodioxepin-3(4H)-one</t>
  </si>
  <si>
    <t>CC1=CC2=C(C=C1)OCC(=O)CO2</t>
  </si>
  <si>
    <t>SWUIQEBPZIHZQS-UHFFFAOYSA-N</t>
  </si>
  <si>
    <t>C10H10O3</t>
  </si>
  <si>
    <t>12.80_512.4691m/z</t>
  </si>
  <si>
    <t>10-Methyltricosanoylcarnitine</t>
  </si>
  <si>
    <t>HMDB0240980</t>
  </si>
  <si>
    <t>CCCCCCCCCCCCCC(C)CCCCCCCCC(=O)OC(CC([O-])=O)C[N+](C)(C)C</t>
  </si>
  <si>
    <t>AITMOJDLADRGCD-UHFFFAOYSA-N</t>
  </si>
  <si>
    <t>C31H61NO4</t>
  </si>
  <si>
    <t>5.10_264.1635m/z</t>
  </si>
  <si>
    <t>Mianserin</t>
  </si>
  <si>
    <t>HMDB0015620</t>
  </si>
  <si>
    <t>24219-97-4</t>
  </si>
  <si>
    <t>CN1CCN2C(C1)C1=CC=CC=C1CC1=CC=CC=C21</t>
  </si>
  <si>
    <t>UEQUQVLFIPOEMF-UHFFFAOYSA-N</t>
  </si>
  <si>
    <t>C18H20N2</t>
  </si>
  <si>
    <t>1.27_198.0377m/z</t>
  </si>
  <si>
    <t>Thiolanilide</t>
  </si>
  <si>
    <t>C1=CC=C2C=C(C=CC2=C1)NC(=O)CS</t>
  </si>
  <si>
    <t>SGMHGVVTMOGJMX-UHFFFAOYSA-N</t>
  </si>
  <si>
    <t>C12H11NOS</t>
  </si>
  <si>
    <t>11.41_566.3848m/z</t>
  </si>
  <si>
    <t>1,2-Didecanoyl-sn-glycero-3-phosphocholine</t>
  </si>
  <si>
    <t>HMDB0244070</t>
  </si>
  <si>
    <t>CCCCCCCCCC(=O)OCC(COP([O-])(=O)OCC[N+](C)(C)C)OC(=O)CCCCCCCCC</t>
  </si>
  <si>
    <t>MLKLDGSYMHFAOC-UHFFFAOYSA-N</t>
  </si>
  <si>
    <t>C28H56NO8P</t>
  </si>
  <si>
    <t>9.71_283.1916m/z</t>
  </si>
  <si>
    <t>alpha-Bisabolol oxide B</t>
  </si>
  <si>
    <t>HMDB0038197</t>
  </si>
  <si>
    <t>C16774</t>
  </si>
  <si>
    <t>26184-88-3</t>
  </si>
  <si>
    <t>CC1=CCC(CC1)C1(C)CCC(O1)C(C)(C)O</t>
  </si>
  <si>
    <t>RKBAYVATPNYHLW-UHFFFAOYSA-N</t>
  </si>
  <si>
    <t>C15H26O2</t>
  </si>
  <si>
    <t>8.51_255.1601m/z</t>
  </si>
  <si>
    <t>(6R,8Z)-6-Hydroxy-3-oxotetradecenoic acid</t>
  </si>
  <si>
    <t>HMDB0062363</t>
  </si>
  <si>
    <t>CCCCC\C=C/C[C@H](O)CCC(=O)CC(O)=O</t>
  </si>
  <si>
    <t>JVEAMJNRAYIMIF-DGMVEKRQSA-N</t>
  </si>
  <si>
    <t>432</t>
  </si>
  <si>
    <t>Hexadecane-1,2-Diol</t>
  </si>
  <si>
    <t>CCCCCCCCCCCCCCC(CO)O</t>
  </si>
  <si>
    <t>BTOOAFQCTJZDRC-UHFFFAOYSA-N</t>
  </si>
  <si>
    <t>C16H34O2</t>
  </si>
  <si>
    <t>10.27_464.2782m/z</t>
  </si>
  <si>
    <t>PE(17:1(9Z)/0:0)</t>
  </si>
  <si>
    <t>LMGP02050008</t>
  </si>
  <si>
    <t>[C@](COP(=O)(O)OCCN)([H])(O)COC(CCCCCCC/C=C\CCCCCCC)=O</t>
  </si>
  <si>
    <t>LNJNONCNASQZOB-HEDKFQSOSA-N</t>
  </si>
  <si>
    <t>C22H44NO7P</t>
  </si>
  <si>
    <t>4.67_279.1385m/z</t>
  </si>
  <si>
    <t>Parakmerin A</t>
  </si>
  <si>
    <t>HMDB0033950</t>
  </si>
  <si>
    <t>119555-99-6</t>
  </si>
  <si>
    <t>COC1=C(O)C=CC(=C1)C1OC2=C(C=C(\C=C\C)C=C2)C1C</t>
  </si>
  <si>
    <t>FCFVMNGCSPIORZ-SNAWJCMRSA-N</t>
  </si>
  <si>
    <t>C19H20O3</t>
  </si>
  <si>
    <t>10.51_429.2692m/z</t>
  </si>
  <si>
    <t>N-linolenoyl-glutamine</t>
  </si>
  <si>
    <t>LMFA00000004</t>
  </si>
  <si>
    <t>C(CCCCCCC/C=C\C/C=C\C/C=C\CC)(=O)N[C@@]([H])(CCC(N)=O)C(O)=O</t>
  </si>
  <si>
    <t>FEFAAEYMDHYUFL-IWFQAGGASA-N</t>
  </si>
  <si>
    <t>C23H38N2O4</t>
  </si>
  <si>
    <t>3.26_268.1764m/z</t>
  </si>
  <si>
    <t>(S)-2-Methyl-1-butanol O-beta-D-Glucopyranoside</t>
  </si>
  <si>
    <t>HMDB0303770</t>
  </si>
  <si>
    <t>CCC(C)COC1OC(CO)C(O)C(O)C1O</t>
  </si>
  <si>
    <t>DMALNKYCYUUBGC-UHFFFAOYSA-N</t>
  </si>
  <si>
    <t>C11H22O6</t>
  </si>
  <si>
    <t>4.32_129.0550m/z</t>
  </si>
  <si>
    <t>6-hydroxy-2-hexynoic acid</t>
  </si>
  <si>
    <t>LMFA01050273</t>
  </si>
  <si>
    <t>C(C#CCCCO)(=O)O</t>
  </si>
  <si>
    <t>FMIGBDLVHMCZSR-UHFFFAOYSA-N</t>
  </si>
  <si>
    <t>13.93_533.4217m/z</t>
  </si>
  <si>
    <t>DG(10:0/0:0/20:3(6,8,11)-OH(5))</t>
  </si>
  <si>
    <t>HMDB0294603</t>
  </si>
  <si>
    <t>CCCCCCCCCC(=O)OC[C@@H](O)COC(=O)CCCC(O)\C=C\C=C\C\C=C\CCCCCCCC</t>
  </si>
  <si>
    <t>ACGWBDYVQRLNDQ-FFBOTBFSSA-N</t>
  </si>
  <si>
    <t>4.75_267.1215m/z</t>
  </si>
  <si>
    <t>2-Phenylethyl beta-D-glucopyranoside</t>
  </si>
  <si>
    <t>HMDB0029819</t>
  </si>
  <si>
    <t>18997-54-1</t>
  </si>
  <si>
    <t>OCC1OC(OCCC2=CC=CC=C2)C(O)C(O)C1O</t>
  </si>
  <si>
    <t>MLRIJUWUQTVDQE-UHFFFAOYSA-N</t>
  </si>
  <si>
    <t>C14H20O6</t>
  </si>
  <si>
    <t>4.22_307.0880m/z</t>
  </si>
  <si>
    <t>2,4-Diamino-5,6-dihydroxypyrimidine</t>
  </si>
  <si>
    <t>HMDB0303378</t>
  </si>
  <si>
    <t>NC1=NC(=O)C(O)=C(N)N1.NC1=NC(O)=C(O)C(N)=N1</t>
  </si>
  <si>
    <t>IYLIKMWNAWRQPO-UHFFFAOYSA-N</t>
  </si>
  <si>
    <t>C8H12N8O4</t>
  </si>
  <si>
    <t>13.73_365.1996m/z</t>
  </si>
  <si>
    <t>6-O-Desmethyldonepezil</t>
  </si>
  <si>
    <t>HMDB0013959</t>
  </si>
  <si>
    <t>COC1=C(O)C=C2C(=O)C(CC3CCN(CC4=CC=CC=C4)CC3)CC2=C1</t>
  </si>
  <si>
    <t>DJRBBQJREIMIEU-UHFFFAOYSA-N</t>
  </si>
  <si>
    <t>C23H27NO3</t>
  </si>
  <si>
    <t>13.55_369.3374m/z</t>
  </si>
  <si>
    <t>Docosanal</t>
  </si>
  <si>
    <t>HMDB0251560</t>
  </si>
  <si>
    <t>CCCCCCCCCCCCCCCCCCCCCC=O</t>
  </si>
  <si>
    <t>ULCXRAFXRZTNRO-UHFFFAOYSA-N</t>
  </si>
  <si>
    <t>C22H44O</t>
  </si>
  <si>
    <t>10.05_337.1057m/z</t>
  </si>
  <si>
    <t>Sanggenon F</t>
  </si>
  <si>
    <t>LMPK12140505</t>
  </si>
  <si>
    <t>C1(O)=CC2OC(C3C(O)=C4C=CC(C)(C)OC4=CC=3)CC(=O)C=2C(O)=C1</t>
  </si>
  <si>
    <t>NQLFKRRSBSAFQZ-UHFFFAOYSA-N</t>
  </si>
  <si>
    <t>C20H18O6</t>
  </si>
  <si>
    <t>9.20_309.1328m/z</t>
  </si>
  <si>
    <t>Tyrosyl-alanyl-glycine</t>
  </si>
  <si>
    <t>HMDB0253030</t>
  </si>
  <si>
    <t>CC(NC(=O)C(N)CC1=CC=C(O)C=C1)C(=O)NCC(O)=O</t>
  </si>
  <si>
    <t>DLZKEQQWXODGGZ-UHFFFAOYSA-N</t>
  </si>
  <si>
    <t>C14H19N3O5</t>
  </si>
  <si>
    <t>7.32_206.0950n</t>
  </si>
  <si>
    <t>Cuelure</t>
  </si>
  <si>
    <t>HMDB0033594</t>
  </si>
  <si>
    <t>3572-06-3</t>
  </si>
  <si>
    <t>CC(=O)CCC1=CC=C(OC(C)=O)C=C1</t>
  </si>
  <si>
    <t>UMIKWXDGXDJQJK-UHFFFAOYSA-N</t>
  </si>
  <si>
    <t>Phenol esters</t>
  </si>
  <si>
    <t>C12H14O3</t>
  </si>
  <si>
    <t>5.65_237.1242m/z</t>
  </si>
  <si>
    <t>alpha-Hydroxy-1-methyl-1H-indole-3-propanoic acid</t>
  </si>
  <si>
    <t>HMDB0038338</t>
  </si>
  <si>
    <t>CN1C=C(CC(O)C(O)=O)C2=CC=CC=C12</t>
  </si>
  <si>
    <t>ICSFHZYTTBEENT-UHFFFAOYSA-N</t>
  </si>
  <si>
    <t>C12H13NO3</t>
  </si>
  <si>
    <t>5.91_358.9137m/z</t>
  </si>
  <si>
    <t>Tiron</t>
  </si>
  <si>
    <t>C11159</t>
  </si>
  <si>
    <t>149-45-1</t>
  </si>
  <si>
    <t>C1=C(C=C(C(=C1O)O)S(=O)(=O)[O-])S(=O)(=O)[O-].[Na+].[Na+]</t>
  </si>
  <si>
    <t>ISWQCIVKKSOKNN-UHFFFAOYSA-L</t>
  </si>
  <si>
    <t>C6H4Na2O8S2</t>
  </si>
  <si>
    <t>3.19_151.0992m/z</t>
  </si>
  <si>
    <t>Phenylpropanolamine</t>
  </si>
  <si>
    <t>HMDB0001942</t>
  </si>
  <si>
    <t>C02343</t>
  </si>
  <si>
    <t>14838-15-4</t>
  </si>
  <si>
    <t>C[C@@H](N)[C@@H](O)C1=CC=CC=C1</t>
  </si>
  <si>
    <t>DLNKOYKMWOXYQA-VXNVDRBHSA-N</t>
  </si>
  <si>
    <t>C9H13NO</t>
  </si>
  <si>
    <t>3.73_417.0871m/z</t>
  </si>
  <si>
    <t>Aza-anthracenedione</t>
  </si>
  <si>
    <t>HMDB0248757</t>
  </si>
  <si>
    <t>O=C1N=CC2=CC3=CC=CC=C3C=C2C1=O</t>
  </si>
  <si>
    <t>XYENXGAFFXQHIV-UHFFFAOYSA-N</t>
  </si>
  <si>
    <t>Isoquinolones and derivatives</t>
  </si>
  <si>
    <t>C13H7NO2</t>
  </si>
  <si>
    <t>8.25_265.1081m/z</t>
  </si>
  <si>
    <t>1-(5-Acetyl-2-hydroxyphenyl)-3-methyl-1-butanone</t>
  </si>
  <si>
    <t>HMDB0032589</t>
  </si>
  <si>
    <t>62458-64-4</t>
  </si>
  <si>
    <t>CC(C)CC(=O)C1=C(O)C=CC(=C1)C(C)=O</t>
  </si>
  <si>
    <t>SXPHHWILAWXFLE-UHFFFAOYSA-N</t>
  </si>
  <si>
    <t>8.08_253.1445m/z</t>
  </si>
  <si>
    <t>2,3,5,6,8,8a-Hexahydro-2,5,5,8a-tetramethyl-7H-1-benzopyran-7-one</t>
  </si>
  <si>
    <t>HMDB0040233</t>
  </si>
  <si>
    <t>20194-67-6</t>
  </si>
  <si>
    <t>CC1CC=C2C(C)(C)CC(=O)CC2(C)O1</t>
  </si>
  <si>
    <t>PYUYJSFTZPYHDW-UHFFFAOYSA-N</t>
  </si>
  <si>
    <t>2.72_235.1086m/z</t>
  </si>
  <si>
    <t>N-Methylserotonin</t>
  </si>
  <si>
    <t>HMDB0004369</t>
  </si>
  <si>
    <t>C06212</t>
  </si>
  <si>
    <t>1134-01-6</t>
  </si>
  <si>
    <t>CNCCC1=CNC2=C1C=C(O)C=C2</t>
  </si>
  <si>
    <t>ASUSBMNYRHGZIG-UHFFFAOYSA-N</t>
  </si>
  <si>
    <t>C11H14N2O</t>
  </si>
  <si>
    <t>12.36_297.2435m/z</t>
  </si>
  <si>
    <t>6R,7S-epoxy-octadecanoic acid</t>
  </si>
  <si>
    <t>LMFA02000275</t>
  </si>
  <si>
    <t>C13791</t>
  </si>
  <si>
    <t>[C@H]1(CCCCC(=O)O)O[C@H]1CCCCCCCCCCC</t>
  </si>
  <si>
    <t>PVMIAUUBHIBDJY-DLBZAZTESA-N</t>
  </si>
  <si>
    <t>10.23_383.2420m/z</t>
  </si>
  <si>
    <t>(+/-)11,12-DiHETrE</t>
  </si>
  <si>
    <t>HMDB0002314</t>
  </si>
  <si>
    <t>LMFA03050008</t>
  </si>
  <si>
    <t>C14774</t>
  </si>
  <si>
    <t>192461-95-3</t>
  </si>
  <si>
    <t>C(/C=C\C/C=C\CCCC(=O)O)C(O)C(O)C/C=C\CCCCC</t>
  </si>
  <si>
    <t>LRPPQRCHCPFBPE-KROJNAHFSA-N</t>
  </si>
  <si>
    <t>0.74_269.1616m/z</t>
  </si>
  <si>
    <t>Valerylcarnitine</t>
  </si>
  <si>
    <t>HMDB0013128</t>
  </si>
  <si>
    <t>40225-14-7</t>
  </si>
  <si>
    <t>CCCCC(=O)O[C@H](CC(O)=O)C[N+](C)(C)C</t>
  </si>
  <si>
    <t>VSNFQQXVMPSASB-SNVBAGLBSA-O</t>
  </si>
  <si>
    <t>C12H24NO4+</t>
  </si>
  <si>
    <t>3.86_286.1773m/z</t>
  </si>
  <si>
    <t>Ala Pro Val</t>
  </si>
  <si>
    <t>CC(C)C(C(=O)O)NC(=O)C1CCCN1C(=O)C(C)N</t>
  </si>
  <si>
    <t>YHBDGLZYNIARKJ-GUBZILKMSA-N</t>
  </si>
  <si>
    <t>C13H23N3O4</t>
  </si>
  <si>
    <t>8.79_511.3028m/z</t>
  </si>
  <si>
    <t>LysoPA(i-20:0/0:0)</t>
  </si>
  <si>
    <t>HMDB0114767</t>
  </si>
  <si>
    <t>CC(C)CCCCCCCCCCCCCCCCC(=O)OCC(O)COP(O)(O)=O</t>
  </si>
  <si>
    <t>AUOZPUVRJSFDEQ-UHFFFAOYSA-N</t>
  </si>
  <si>
    <t>C23H47O7P</t>
  </si>
  <si>
    <t>9.05_219.1752m/z</t>
  </si>
  <si>
    <t>Acorusnol</t>
  </si>
  <si>
    <t>HMDB0030920</t>
  </si>
  <si>
    <t>62311-70-0</t>
  </si>
  <si>
    <t>CC(C)C1CCC2(C)C(O)CCC(C)=C2C1=O</t>
  </si>
  <si>
    <t>SZNXJUGSSOHWJM-UHFFFAOYSA-N</t>
  </si>
  <si>
    <t>11.30_325.2655m/z</t>
  </si>
  <si>
    <t>N,N-Diethyl-m-toluidine</t>
  </si>
  <si>
    <t>CCN(CC)C1=CC=CC(=C1)C</t>
  </si>
  <si>
    <t>CIPVVROJHKLHJI-UHFFFAOYSA-N</t>
  </si>
  <si>
    <t>C11H17N</t>
  </si>
  <si>
    <t>4.28_169.0765m/z</t>
  </si>
  <si>
    <t>beta-Carboline</t>
  </si>
  <si>
    <t>HMDB0012897</t>
  </si>
  <si>
    <t>C20157</t>
  </si>
  <si>
    <t>244-63-3</t>
  </si>
  <si>
    <t>N1C2=CC=CC=C2C2=CC=NC=C12</t>
  </si>
  <si>
    <t>AIFRHYZBTHREPW-UHFFFAOYSA-N</t>
  </si>
  <si>
    <t>C11H8N2</t>
  </si>
  <si>
    <t>429</t>
  </si>
  <si>
    <t>Norepinephrine</t>
  </si>
  <si>
    <t>HMDB0000216</t>
  </si>
  <si>
    <t>C00547</t>
  </si>
  <si>
    <t>hsa00350,hsa04024,hsa04261,hsa04270,hsa04540,hsa04714,hsa04742,hsa04923,hsa04924,hsa04970,hsa05207</t>
  </si>
  <si>
    <t>Tyrosine metabolism|cAMP signaling pathway|Adrenergic signaling in cardiomyocytes|Vascular smooth muscle contraction|Gap junction|Thermogenesis|Taste transduction|Regulation of lipolysis in adipocytes|Renin secretion|Salivary secretion|Chemical carcinogenesis - receptor activation</t>
  </si>
  <si>
    <t>51-41-2</t>
  </si>
  <si>
    <t>NC[C@H](O)C1=CC(O)=C(O)C=C1</t>
  </si>
  <si>
    <t>SFLSHLFXELFNJZ-QMMMGPOBSA-N</t>
  </si>
  <si>
    <t>C8H11NO3</t>
  </si>
  <si>
    <t>12.69_511.4006m/z</t>
  </si>
  <si>
    <t>Lyngbic acid</t>
  </si>
  <si>
    <t>LMFA01080034</t>
  </si>
  <si>
    <t>C(CCCC)CC[C@H](OC)C/C=C/CCC(O)=O</t>
  </si>
  <si>
    <t>DHIPOEWPWSLXNL-KGXGESDWSA-N</t>
  </si>
  <si>
    <t>C15H28O3</t>
  </si>
  <si>
    <t>11.55_172.1336m/z</t>
  </si>
  <si>
    <t>5-nonynoic acid</t>
  </si>
  <si>
    <t>LMFA01030506</t>
  </si>
  <si>
    <t>C(CCCC#CCCC)(=O)O</t>
  </si>
  <si>
    <t>GIMQQWKASGCRDK-UHFFFAOYSA-N</t>
  </si>
  <si>
    <t>3.65_396.1390m/z</t>
  </si>
  <si>
    <t>Phe Asp Ala</t>
  </si>
  <si>
    <t>CC(C(=O)O)NC(=O)C(CC(=O)O)NC(=O)C(CC1=CC=CC=C1)N</t>
  </si>
  <si>
    <t>LDSOBEJVGGVWGD-DLOVCJGASA-N</t>
  </si>
  <si>
    <t>1.60_283.0685m/z</t>
  </si>
  <si>
    <t>Xanthosine</t>
  </si>
  <si>
    <t>HMDB0000299</t>
  </si>
  <si>
    <t>C01762</t>
  </si>
  <si>
    <t>146-80-5</t>
  </si>
  <si>
    <t>OC[C@H]1O[C@H]([C@H](O)[C@@H]1O)N1C=NC2=C1N=C(O)N=C2O</t>
  </si>
  <si>
    <t>UBORTCNDUKBEOP-UUOKFMHZSA-N</t>
  </si>
  <si>
    <t>C10H12N4O6</t>
  </si>
  <si>
    <t>4.20_385.1022m/z</t>
  </si>
  <si>
    <t>3-Fluoro-8-methoxy-1H-quinolin-2-one</t>
  </si>
  <si>
    <t>HMDB0257668</t>
  </si>
  <si>
    <t>COC1=CC=CC2=C1NC(=O)C(F)=C2</t>
  </si>
  <si>
    <t>QTKJKYVHYWRRKH-UHFFFAOYSA-N</t>
  </si>
  <si>
    <t>C10H8FNO2</t>
  </si>
  <si>
    <t>9.07_357.0934m/z</t>
  </si>
  <si>
    <t>Tipepidine</t>
  </si>
  <si>
    <t>HMDB0259105</t>
  </si>
  <si>
    <t>CN=C(NCCSCC1=CSC(NC(N)=N)=N1)NC#N</t>
  </si>
  <si>
    <t>YDDXVAXDYKBWDX-UHFFFAOYSA-N</t>
  </si>
  <si>
    <t>C10H16N8S2</t>
  </si>
  <si>
    <t>11.90_455.3380m/z</t>
  </si>
  <si>
    <t>Menthone 1,3-glyceryl ketal</t>
  </si>
  <si>
    <t>HMDB0040004</t>
  </si>
  <si>
    <t>63187-41-7</t>
  </si>
  <si>
    <t>CC(C)C1CCC(C)CC11OCC(O)CO1</t>
  </si>
  <si>
    <t>GECFTYLLVUKXOY-UHFFFAOYSA-N</t>
  </si>
  <si>
    <t>C13H24O3</t>
  </si>
  <si>
    <t>2.26_179.1072m/z</t>
  </si>
  <si>
    <t>(3-Aminopropyl)(n-butyl)phosphinic acid</t>
  </si>
  <si>
    <t>HMDB0249860</t>
  </si>
  <si>
    <t>CCCCP(O)(=O)CCCN</t>
  </si>
  <si>
    <t>ONNMDRQRSGKZCN-UHFFFAOYSA-N</t>
  </si>
  <si>
    <t>C7H18NO2P</t>
  </si>
  <si>
    <t>1.27_201.0876m/z</t>
  </si>
  <si>
    <t>(3S,8As)-7-hydroxy-3-(hydroxymethyl)-2,3,6,7,8,8a-hexahydropyrrolo[1,2-a]pyrazine-1,4-dione</t>
  </si>
  <si>
    <t>HMDB0253728</t>
  </si>
  <si>
    <t>OCC1NC(=O)C2CC(O)CN2C1=O</t>
  </si>
  <si>
    <t>FUYZNZHRVJWTLT-UHFFFAOYSA-N</t>
  </si>
  <si>
    <t>C8H12N2O4</t>
  </si>
  <si>
    <t>112</t>
  </si>
  <si>
    <t>Hydroxyurea</t>
  </si>
  <si>
    <t>HMDB0015140</t>
  </si>
  <si>
    <t>C07044</t>
  </si>
  <si>
    <t>127-07-1</t>
  </si>
  <si>
    <t>NC(=O)NO</t>
  </si>
  <si>
    <t>VSNHCAURESNICA-UHFFFAOYSA-N</t>
  </si>
  <si>
    <t>CH4N2O2</t>
  </si>
  <si>
    <t>11.67_447.3118m/z</t>
  </si>
  <si>
    <t>25-hydroxy-23-oxavitamin D3 / 25-hydroxy-23-oxacholecalciferol</t>
  </si>
  <si>
    <t>LMST03020045</t>
  </si>
  <si>
    <t>C1C(=C)/C(=C\C=C2\[C@]3([H])CC[C@@]([C@@](C)([H])COCC(O)(C)C)([H])[C@@]3(C)CCC\2)/C[C@@H](O)C1</t>
  </si>
  <si>
    <t>CDKNGPIFQZZOMA-CMOHYRQESA-N</t>
  </si>
  <si>
    <t>1.29_86.0972m/z</t>
  </si>
  <si>
    <t>Piperidine</t>
  </si>
  <si>
    <t>HMDB0034301</t>
  </si>
  <si>
    <t>C01746</t>
  </si>
  <si>
    <t>110-89-4</t>
  </si>
  <si>
    <t>C1CCNCC1</t>
  </si>
  <si>
    <t>NQRYJNQNLNOLGT-UHFFFAOYSA-N</t>
  </si>
  <si>
    <t>C5H11N</t>
  </si>
  <si>
    <t>4.09_239.1438m/z</t>
  </si>
  <si>
    <t>3,3'-Dimethylbisphenol A</t>
  </si>
  <si>
    <t>C14339</t>
  </si>
  <si>
    <t>79-97-0</t>
  </si>
  <si>
    <t>CC1=C(C=CC(=C1)C(C)(C)C2=CC(=C(C=C2)O)C)O</t>
  </si>
  <si>
    <t>YMTYZTXUZLQUSF-UHFFFAOYSA-N</t>
  </si>
  <si>
    <t>C17H20O2</t>
  </si>
  <si>
    <t>1.19_323.0279m/z</t>
  </si>
  <si>
    <t>Pseudouridine 5'-phosphate</t>
  </si>
  <si>
    <t>HMDB0001271</t>
  </si>
  <si>
    <t>C01168</t>
  </si>
  <si>
    <t>1157-60-4</t>
  </si>
  <si>
    <t>O[C@H]1[C@@H](O)[C@@H](O[C@@H]1COP(O)(O)=O)C1=CNC(=O)NC1=O</t>
  </si>
  <si>
    <t>MOBMOJGXNHLLIR-GBNDHIKLSA-N</t>
  </si>
  <si>
    <t>6.17_299.0157m/z</t>
  </si>
  <si>
    <t>Imidazole citrate</t>
  </si>
  <si>
    <t>HMDB0253417</t>
  </si>
  <si>
    <t>OC12CC(=O)ON3C=C(OC(=O)C1)N=C3OC2=O</t>
  </si>
  <si>
    <t>VYKJZGXZKPUALN-UHFFFAOYSA-N</t>
  </si>
  <si>
    <t>C9H6N2O7</t>
  </si>
  <si>
    <t>13.83_531.4063m/z</t>
  </si>
  <si>
    <t>Cholesteryl-alpha-D-glucoside</t>
  </si>
  <si>
    <t>LMST05050029</t>
  </si>
  <si>
    <t>O([C@@H]1[C@H](O)[C@@H](O)[C@H](O)[C@@H](CO)O1)[C@H]1CC[C@]2(C)[C@@]3([H])CC[C@]4(C)[C@@H]([C@@H](CCCC(C)C)C)CC[C@@]4([H])[C@]3([H])CC=C2C1</t>
  </si>
  <si>
    <t>FSMCJUNYLQOAIM-HUAQYVKVSA-N</t>
  </si>
  <si>
    <t>C33H56O6</t>
  </si>
  <si>
    <t>6.90_521.0725m/z</t>
  </si>
  <si>
    <t>4-[2-[(Benzothiazol-2-yl)thio]ethyl]-1H-imidazole</t>
  </si>
  <si>
    <t>HMDB0246324</t>
  </si>
  <si>
    <t>C(CC1=CN=CN1)SC1=NC2=CC=CC=C2S1</t>
  </si>
  <si>
    <t>PQYAMCXLVXMWMX-UHFFFAOYSA-N</t>
  </si>
  <si>
    <t>C12H11N3S2</t>
  </si>
  <si>
    <t>1.21_321.0454m/z</t>
  </si>
  <si>
    <t>S-sulfanylglutathione</t>
  </si>
  <si>
    <t>HMDB0304477</t>
  </si>
  <si>
    <t>[N+]C(CCC(=O)NC(CSS)C(=O)NCC([O-])=O)C([O-])=O</t>
  </si>
  <si>
    <t>PRJBNAOAEBCNEG-UHFFFAOYSA-L</t>
  </si>
  <si>
    <t>C10H16N3O6S2-</t>
  </si>
  <si>
    <t>14.30_439.3796m/z</t>
  </si>
  <si>
    <t>22:1(5Z)(9Me,13Me,17Me,21Me)</t>
  </si>
  <si>
    <t>LMPR0104010028</t>
  </si>
  <si>
    <t>C(CCC/C=C\CCC(C)CCCC(C)CCCC(C)CCCC(C)C)(=O)O</t>
  </si>
  <si>
    <t>PGZQYUXXHFRSFY-SREVYHEPSA-N</t>
  </si>
  <si>
    <t>C26H50O2</t>
  </si>
  <si>
    <t>14.23_657.5083m/z</t>
  </si>
  <si>
    <t>DG(22:5(4Z,7Z,10Z,13Z,19Z)-O(16,17)/0:0/i-16:0)</t>
  </si>
  <si>
    <t>HMDB0299315</t>
  </si>
  <si>
    <t>CC\C=C/CC1OC1C\C=C/C\C=C/C\C=C/C\C=C/CCC(=O)OC[C@@H](O)COC(=O)CCCCCCCCCCCCC(C)C</t>
  </si>
  <si>
    <t>AYXCTQUEQYKKLI-AJATVYLBSA-N</t>
  </si>
  <si>
    <t>C41H68O6</t>
  </si>
  <si>
    <t>0.78_257.0308m/z</t>
  </si>
  <si>
    <t>Glucaron</t>
  </si>
  <si>
    <t>HMDB0247896</t>
  </si>
  <si>
    <t>CC(=O)OC1C2OC(=O)C(OC(C)=O)C2OC1=O</t>
  </si>
  <si>
    <t>ZOZKYEHVNDEUCO-UHFFFAOYSA-N</t>
  </si>
  <si>
    <t>C10H10O8</t>
  </si>
  <si>
    <t>3.96_254.0248m/z</t>
  </si>
  <si>
    <t>Pentrinitrol</t>
  </si>
  <si>
    <t>HMDB0256293</t>
  </si>
  <si>
    <t>OCC(CO[N+]([O-])=O)(CO[N+]([O-])=O)CO[N+]([O-])=O</t>
  </si>
  <si>
    <t>BRBAEHHXGZRCBK-UHFFFAOYSA-N</t>
  </si>
  <si>
    <t>C5H9N3O10</t>
  </si>
  <si>
    <t>4.77_829.4644m/z</t>
  </si>
  <si>
    <t>PA(18:0/TXB2)</t>
  </si>
  <si>
    <t>HMDB0263615</t>
  </si>
  <si>
    <t>CCCCCCCCCCCCCCCCCC(=O)OC[C@H](COP(O)(O)=O)OC(=O)CCC\C=C/C[C@H]1[C@@H](O)CC(O)O[C@@H]1\C=C\[C@@H](O)CCCCC</t>
  </si>
  <si>
    <t>BNTKBDMMRYANQE-IWNWNLDXSA-N</t>
  </si>
  <si>
    <t>C41H75O12P</t>
  </si>
  <si>
    <t>371</t>
  </si>
  <si>
    <t>L-Tyrosine</t>
  </si>
  <si>
    <t>HMDB0000158</t>
  </si>
  <si>
    <t>C00082</t>
  </si>
  <si>
    <t>hsa00130,hsa00350,hsa00360,hsa00400,hsa00730,hsa00970,hsa04728,hsa04916,hsa04917,hsa05012,hsa05030,hsa05031,hsa05034</t>
  </si>
  <si>
    <t>Ubiquinone and other terpenoid-quinone biosynthesis|Tyrosine metabolism|Phenylalanine metabolism|Phenylalanine, tyrosine and tryptophan biosynthesis|Thiamine metabolism|Aminoacyl-tRNA biosynthesis|Dopaminergic synapse|Melanogenesis|Prolactin signaling pathway|Parkinson disease|Cocaine addiction|Amphetamine addiction|Alcoholism</t>
  </si>
  <si>
    <t>60-18-4</t>
  </si>
  <si>
    <t>N[C@@H](CC1=CC=C(O)C=C1)C(O)=O</t>
  </si>
  <si>
    <t>OUYCCCASQSFEME-QMMMGPOBSA-N</t>
  </si>
  <si>
    <t>C9H11NO3</t>
  </si>
  <si>
    <t>1.49_147.1135m/z</t>
  </si>
  <si>
    <t>Carbachol</t>
  </si>
  <si>
    <t>HMDB0014555</t>
  </si>
  <si>
    <t>51-83-2</t>
  </si>
  <si>
    <t>C[N+](C)(C)CCOC(N)=O</t>
  </si>
  <si>
    <t>VPJXQGSRWJZDOB-UHFFFAOYSA-O</t>
  </si>
  <si>
    <t>C6H15N2O2+</t>
  </si>
  <si>
    <t>6.87_203.0660m/z</t>
  </si>
  <si>
    <t>2-Amino-3-carboxymuconic acid semialdehyde</t>
  </si>
  <si>
    <t>HMDB0001330</t>
  </si>
  <si>
    <t>C04409</t>
  </si>
  <si>
    <t>16597-19-6</t>
  </si>
  <si>
    <t>N\C(C(O)=O)=C(\C=C/C=O)/C(O)=O</t>
  </si>
  <si>
    <t>KACPVQQHDVBVFC-OIFXTYEKSA-N</t>
  </si>
  <si>
    <t>C7H7NO5</t>
  </si>
  <si>
    <t>4.87_403.2270n</t>
  </si>
  <si>
    <t>metergoline</t>
  </si>
  <si>
    <t>HMDB0254511</t>
  </si>
  <si>
    <t>CN1C=C2CC3C(CC(CNC(=O)OCC4=CC=CC=C4)CN3C)C3=C2C1=CC=C3</t>
  </si>
  <si>
    <t>WZHJKEUHNJHDLS-UHFFFAOYSA-N</t>
  </si>
  <si>
    <t>C25H29N3O2</t>
  </si>
  <si>
    <t>1.09_282.0071m/z</t>
  </si>
  <si>
    <t>Thioxanthine monophosphate</t>
  </si>
  <si>
    <t>HMDB0060876</t>
  </si>
  <si>
    <t>OC1=NC2=C(N=CN2OP(O)(O)=O)C(S)=N1</t>
  </si>
  <si>
    <t>OAOIXPPCQSJBRI-UHFFFAOYSA-N</t>
  </si>
  <si>
    <t>C5H5N4O5PS</t>
  </si>
  <si>
    <t>19</t>
  </si>
  <si>
    <t>Mercaptoacetic Acid</t>
  </si>
  <si>
    <t>HMDB0254464</t>
  </si>
  <si>
    <t>C02086</t>
  </si>
  <si>
    <t>OC(=O)CS</t>
  </si>
  <si>
    <t>CWERGRDVMFNCDR-UHFFFAOYSA-N</t>
  </si>
  <si>
    <t>C2H4O2S</t>
  </si>
  <si>
    <t>11.99_365.2310m/z</t>
  </si>
  <si>
    <t>5R,6R-epoxy-9E-eicosen-7-ynoic acid</t>
  </si>
  <si>
    <t>LMFA01070046</t>
  </si>
  <si>
    <t>C([C@H]1O[C@@H]1C#C/C=C/CCCCCCCCCC)CCC(O)=O</t>
  </si>
  <si>
    <t>AKIUOASIMQPHHW-MCBHFWOFSA-N</t>
  </si>
  <si>
    <t>6.02_334.1499m/z</t>
  </si>
  <si>
    <t>Hydroxytyrosol 4'-O-glucoside</t>
  </si>
  <si>
    <t>HMDB0303789</t>
  </si>
  <si>
    <t>OCCC1=CC(O)=C(OC2OC(CO)C(O)C(O)C2O)C=C1</t>
  </si>
  <si>
    <t>JVOQYXVFJHETKK-UHFFFAOYSA-N</t>
  </si>
  <si>
    <t>C14H20O8</t>
  </si>
  <si>
    <t>12.47_352.2856m/z</t>
  </si>
  <si>
    <t>N-Palmitoyl Proline</t>
  </si>
  <si>
    <t>HMDB0241931</t>
  </si>
  <si>
    <t>CCCCCCCCCCCCCCCC(=O)N1CCCC1C(O)=O</t>
  </si>
  <si>
    <t>XOAIXMQPJQVGRV-UHFFFAOYSA-N</t>
  </si>
  <si>
    <t>C21H39NO3</t>
  </si>
  <si>
    <t>5.08_233.0668m/z</t>
  </si>
  <si>
    <t>METHYL (-)-SHIKIMATE</t>
  </si>
  <si>
    <t>COC(=O)C1=CC(C(C(C1)O)O)O</t>
  </si>
  <si>
    <t>LSNUUAUXWJZSFD-FSDSQADBSA-N</t>
  </si>
  <si>
    <t>4.51_311.1225m/z</t>
  </si>
  <si>
    <t>Oxomemazine</t>
  </si>
  <si>
    <t>HMDB0240230</t>
  </si>
  <si>
    <t>3689-50-7</t>
  </si>
  <si>
    <t>CC(CN(C)C)CN1C2=CC=CC=C2S(=O)(=O)C2=CC=CC=C12</t>
  </si>
  <si>
    <t>QTQPVLDZQVPLGV-UHFFFAOYSA-N</t>
  </si>
  <si>
    <t>C18H22N2O2S</t>
  </si>
  <si>
    <t>6.80_293.1397m/z</t>
  </si>
  <si>
    <t>1-deoxy-11-oxopentalenic acid</t>
  </si>
  <si>
    <t>LMPR0103890003</t>
  </si>
  <si>
    <t>C1=C(C(O)=O)[C@]2([H])CC(=O)[C@@H](C)[C@@]32[C@@]1([H])CC(C)(C)C3</t>
  </si>
  <si>
    <t>QNHNMKVZFMGGJB-LIEMUPCESA-N</t>
  </si>
  <si>
    <t>4.75_418.1388m/z</t>
  </si>
  <si>
    <t>SCD1 Inhibitor</t>
  </si>
  <si>
    <t>HMDB0244474</t>
  </si>
  <si>
    <t>COCCN(C)C1=CC=C(NC(=O)C2=C(OC(=N2)C2=CC=CC=C2)C(F)(F)F)C=C1</t>
  </si>
  <si>
    <t>GLLFNZDVMSLOCL-UHFFFAOYSA-N</t>
  </si>
  <si>
    <t>C21H20F3N3O3</t>
  </si>
  <si>
    <t>11.65_377.2723m/z</t>
  </si>
  <si>
    <t>Ganaxolone</t>
  </si>
  <si>
    <t>HMDB0252627</t>
  </si>
  <si>
    <t>CC(=O)C1CCC2C3CCC4CC(C)(O)CCC4(C)C3CCC12C</t>
  </si>
  <si>
    <t>PGTVWKLGGCQMBR-UHFFFAOYSA-N</t>
  </si>
  <si>
    <t>8.00_445.1822m/z</t>
  </si>
  <si>
    <t>N-(2-Methylacryloyl)-L-histidine</t>
  </si>
  <si>
    <t>HMDB0244546</t>
  </si>
  <si>
    <t>CC(=C)C(=O)NC(CC1=CN=CN1)C(O)=O</t>
  </si>
  <si>
    <t>ADESRODTHOCWKB-UHFFFAOYSA-N</t>
  </si>
  <si>
    <t>C10H13N3O3</t>
  </si>
  <si>
    <t>1.03_213.0124m/z</t>
  </si>
  <si>
    <t>Rutalexin</t>
  </si>
  <si>
    <t>HMDB0302037</t>
  </si>
  <si>
    <t>CN1C(=O)SC2=C(C3=CC=CC=C3N2)C1=O</t>
  </si>
  <si>
    <t>NJGJFPPBMOBRGB-UHFFFAOYSA-N</t>
  </si>
  <si>
    <t>C11H8N2O2S</t>
  </si>
  <si>
    <t>9.71_271.1916m/z</t>
  </si>
  <si>
    <t>Pentadecanedioic acid</t>
  </si>
  <si>
    <t>LMFA01170021</t>
  </si>
  <si>
    <t>C(CCCCCCCCCCCCCC(=O)O)(=O)O</t>
  </si>
  <si>
    <t>BTZVDPWKGXMQFW-UHFFFAOYSA-N</t>
  </si>
  <si>
    <t>C15H28O4</t>
  </si>
  <si>
    <t>5.81_413.2008m/z</t>
  </si>
  <si>
    <t>1-Methyl-2-phenylindole</t>
  </si>
  <si>
    <t>HMDB0243925</t>
  </si>
  <si>
    <t>CN1C(=CC2=CC=CC=C12)C1=CC=CC=C1</t>
  </si>
  <si>
    <t>SFWZZSXCWQTORH-UHFFFAOYSA-N</t>
  </si>
  <si>
    <t>C15H13N</t>
  </si>
  <si>
    <t>4.03_256.9550m/z</t>
  </si>
  <si>
    <t>1,2-Ethanediyldicarbamodithioic acid</t>
  </si>
  <si>
    <t>HMDB0059917</t>
  </si>
  <si>
    <t>SC(S)=NCCN=C(S)S</t>
  </si>
  <si>
    <t>AWYFNIZYMPNGAI-UHFFFAOYSA-N</t>
  </si>
  <si>
    <t>Dithiocarbamic acids and derivatives</t>
  </si>
  <si>
    <t>Dithiocarbamic acid esters</t>
  </si>
  <si>
    <t>C4H8N2S4</t>
  </si>
  <si>
    <t>1.03_262.0511m/z</t>
  </si>
  <si>
    <t>S-Phenylmercapturic acid</t>
  </si>
  <si>
    <t>HMDB0042011</t>
  </si>
  <si>
    <t>4775-80-8</t>
  </si>
  <si>
    <t>CC(O)=NC(CSC1=CC=CC=C1)C(O)=O</t>
  </si>
  <si>
    <t>CICOZWHZVMOPJS-UHFFFAOYSA-N</t>
  </si>
  <si>
    <t>C11H13NO3S</t>
  </si>
  <si>
    <t>13.84_395.3166m/z</t>
  </si>
  <si>
    <t>20:2(5Z,9Z)(11Me,15Me,19Me)</t>
  </si>
  <si>
    <t>LMPR0103010018</t>
  </si>
  <si>
    <t>C(CCC/C=C\CC/C=C\C(C)CCCC(C)CCCC(C)C)(=O)O</t>
  </si>
  <si>
    <t>GAAXOKKROCNDSI-UBAIFNMZSA-N</t>
  </si>
  <si>
    <t>C23H42O2</t>
  </si>
  <si>
    <t>5.42_201.0123m/z</t>
  </si>
  <si>
    <t>Mirin</t>
  </si>
  <si>
    <t>299953-00-7</t>
  </si>
  <si>
    <t>C1=CC(=CC=C1C=C2C(=O)NC(=N)S2)O</t>
  </si>
  <si>
    <t>YBHQCJILTOVLHD-YVMONPNESA-N</t>
  </si>
  <si>
    <t>C10H8N2O2S</t>
  </si>
  <si>
    <t>3.84_645.2984m/z</t>
  </si>
  <si>
    <t>N-Monodemethylolopatadine</t>
  </si>
  <si>
    <t>HMDB0060846</t>
  </si>
  <si>
    <t>CNCC\C=C1\C2=C(COC3=C1C=C(CC(O)=O)C=C3)C=CC=C2</t>
  </si>
  <si>
    <t>VQMJUHOJPCPUAM-IDUWFGFVSA-N</t>
  </si>
  <si>
    <t>C20H21NO3</t>
  </si>
  <si>
    <t>3.98_254.1031m/z</t>
  </si>
  <si>
    <t>N-Acetylvanilalanine</t>
  </si>
  <si>
    <t>HMDB0011716</t>
  </si>
  <si>
    <t>COC1=CC(CC(NC(C)=O)C(O)=O)=CC=C1O</t>
  </si>
  <si>
    <t>UKDKTHYZLXZOSS-UHFFFAOYSA-N</t>
  </si>
  <si>
    <t>C12H15NO5</t>
  </si>
  <si>
    <t>10.14_285.2072m/z</t>
  </si>
  <si>
    <t>Thapsic acid</t>
  </si>
  <si>
    <t>HMDB0000672</t>
  </si>
  <si>
    <t>LMFA01170022</t>
  </si>
  <si>
    <t>C08260</t>
  </si>
  <si>
    <t>505-54-4</t>
  </si>
  <si>
    <t>C(CCCCCCCCCCCCCCC(=O)O)(=O)O</t>
  </si>
  <si>
    <t>QQHJDPROMQRDLA-UHFFFAOYSA-N</t>
  </si>
  <si>
    <t>3.82_465.1628m/z</t>
  </si>
  <si>
    <t>Lamioside</t>
  </si>
  <si>
    <t>LMPR0102070018</t>
  </si>
  <si>
    <t>C11645</t>
  </si>
  <si>
    <t>C(=O)(O[C@@]1(C)C[C@@H](O)[C@]2(O)C(C)=CO[C@@H](O[C@H]3[C@H](O)[C@H]([C@H](O)[C@H](O3)CO)O)[C@@]21[H])C</t>
  </si>
  <si>
    <t>KPUSIQDGYABESP-CJHMEAONSA-N</t>
  </si>
  <si>
    <t>C18H28O11</t>
  </si>
  <si>
    <t>1.09_320.0624m/z</t>
  </si>
  <si>
    <t>Beta-Citryl-L-glutamic acid</t>
  </si>
  <si>
    <t>HMDB0013220</t>
  </si>
  <si>
    <t>69281-09-0</t>
  </si>
  <si>
    <t>OC(=O)CCC(NC(=O)C(O)(CC(O)=O)CC(O)=O)C(O)=O</t>
  </si>
  <si>
    <t>GAQNUGISBQJMKO-UHFFFAOYSA-N</t>
  </si>
  <si>
    <t>C11H15NO10</t>
  </si>
  <si>
    <t>0.60_699.1035m/z</t>
  </si>
  <si>
    <t>Diadenosine diphosphate</t>
  </si>
  <si>
    <t>HMDB0001312</t>
  </si>
  <si>
    <t>14938-28-4</t>
  </si>
  <si>
    <t>NC1=C2N=CN([C@@H]3O[C@H](COP(O)(=O)OP(O)(=O)O[C@@H]4[C@@H](CO)O[C@@H]([C@@H]4O)N4C=NC5=C(N)N=CN=C45)[C@@H](O)[C@H]3O)C2=NC=N1</t>
  </si>
  <si>
    <t>FHISWBUCBBVWGG-SNESVTBZSA-N</t>
  </si>
  <si>
    <t>(3'-&gt;5')-dinucleotides and analogues</t>
  </si>
  <si>
    <t>(3'-&gt;5')-dinucleotides</t>
  </si>
  <si>
    <t>C20H26N10O13P2</t>
  </si>
  <si>
    <t>41</t>
  </si>
  <si>
    <t>2s-Amino-Pentanoic Acid</t>
  </si>
  <si>
    <t>LMFA01100041</t>
  </si>
  <si>
    <t>C01826</t>
  </si>
  <si>
    <t>OC(=O)[C@@H](N)CCC</t>
  </si>
  <si>
    <t>SNDPXSYFESPGGJ-BYPYZUCNSA-N</t>
  </si>
  <si>
    <t>4.07_399.1154m/z</t>
  </si>
  <si>
    <t>1,3-Diethyl-6-hydroxy-2-sulfanylidenepyrimidin-4-one</t>
  </si>
  <si>
    <t>HMDB0246707</t>
  </si>
  <si>
    <t>CCN1C(O)=CC(=O)N(CC)C1=S</t>
  </si>
  <si>
    <t>KLQWKZILGHCZRL-UHFFFAOYSA-N</t>
  </si>
  <si>
    <t>C8H12N2O2S</t>
  </si>
  <si>
    <t>11.77_425.3275m/z</t>
  </si>
  <si>
    <t>oscr#34</t>
  </si>
  <si>
    <t>LMFA13040063</t>
  </si>
  <si>
    <t>O[C@@H]1C[C@@H](O)[C@H](C)O[C@H]1OCCCCCCCCCCCCCCCCCCC(=O)O</t>
  </si>
  <si>
    <t>DUCJPMRHUUCBAA-XJTUCQONSA-N</t>
  </si>
  <si>
    <t>C25H48O6</t>
  </si>
  <si>
    <t>8.38_225.1969m/z</t>
  </si>
  <si>
    <t>1,3-Dicyclohexylurea</t>
  </si>
  <si>
    <t>HMDB0244166</t>
  </si>
  <si>
    <t>2387-23-7</t>
  </si>
  <si>
    <t>O=C(NC1CCCCC1)NC1CCCCC1</t>
  </si>
  <si>
    <t>ADFXKUOMJKEIND-UHFFFAOYSA-N</t>
  </si>
  <si>
    <t>C13H24N2O</t>
  </si>
  <si>
    <t>14.47_615.4609m/z</t>
  </si>
  <si>
    <t>2-[2-(4-Nonylphenoxy)ethoxy]ethanol</t>
  </si>
  <si>
    <t>HMDB0255709</t>
  </si>
  <si>
    <t>CCCCCCCCCC1=CC=C(OCCOCCO)C=C1</t>
  </si>
  <si>
    <t>BLXVTZPGEOGTGG-UHFFFAOYSA-N</t>
  </si>
  <si>
    <t>9.60_536.2999m/z</t>
  </si>
  <si>
    <t>PS(19:1(9Z)/0:0)</t>
  </si>
  <si>
    <t>LMGP03050019</t>
  </si>
  <si>
    <t>C(O)(=O)[C@@]([H])(N)COP(OC[C@]([H])(O)COC(CCCCCCC/C=C\CCCCCCCCC)=O)(=O)O</t>
  </si>
  <si>
    <t>KDKUPWGASYOIMK-MCNIBRDVSA-N</t>
  </si>
  <si>
    <t>12.59_370.2963m/z</t>
  </si>
  <si>
    <t>9-Octadecenamide, N-(2-hydroxyethyl)-, (9Z)-</t>
  </si>
  <si>
    <t>HMDB0247608</t>
  </si>
  <si>
    <t>CCCCCCCCC=CCCCCCCCC(O)=NCCO</t>
  </si>
  <si>
    <t>BOWVQLFMWHZBEF-UHFFFAOYSA-N</t>
  </si>
  <si>
    <t>5.17_354.2036m/z</t>
  </si>
  <si>
    <t>N-decanoyl histidine</t>
  </si>
  <si>
    <t>LMFA08020293</t>
  </si>
  <si>
    <t>C1(N=CNC=1)C[C@]([H])(NC(CCCCCCCCC)=O)C(=O)O</t>
  </si>
  <si>
    <t>BKVABDKAKQZLJF-AWEZNQCLSA-N</t>
  </si>
  <si>
    <t>C16H27N3O3</t>
  </si>
  <si>
    <t>0.72_306.1305m/z</t>
  </si>
  <si>
    <t>Ala Asp Thr</t>
  </si>
  <si>
    <t>CC(C(C(=O)O)NC(=O)C(CC(=O)O)NC(=O)C(C)N)O</t>
  </si>
  <si>
    <t>BTYTYHBSJKQBQA-GCJQMDKQSA-N</t>
  </si>
  <si>
    <t>C11H19N3O7</t>
  </si>
  <si>
    <t>0.76_143.0339m/z</t>
  </si>
  <si>
    <t>2,5-Anhydro-D-mannose</t>
  </si>
  <si>
    <t>HMDB0245490</t>
  </si>
  <si>
    <t>OCC1OC(C=O)C(O)C1O</t>
  </si>
  <si>
    <t>LKAPTZKZHMOIRE-UHFFFAOYSA-N</t>
  </si>
  <si>
    <t>4.03_157.1471n</t>
  </si>
  <si>
    <t>Sec-Butylpropylacetamide</t>
  </si>
  <si>
    <t>HMDB0257395</t>
  </si>
  <si>
    <t>CCCC(C(C)CC)C(N)=O</t>
  </si>
  <si>
    <t>ICMNKCCFRUPZCU-UHFFFAOYSA-N</t>
  </si>
  <si>
    <t>C9H19NO</t>
  </si>
  <si>
    <t>10.53_580.3986m/z</t>
  </si>
  <si>
    <t>PC(P-20:0/0:0)</t>
  </si>
  <si>
    <t>LMGP01070013</t>
  </si>
  <si>
    <t>[C@](COP(=O)([O-])OCC[N+](C)(C)C)([H])(O)CO/C=C\CCCCCCCCCCCCCCCCCC</t>
  </si>
  <si>
    <t>OYMWPFGOIJUGDE-IIJBQYPZSA-N</t>
  </si>
  <si>
    <t>C28H58NO6P</t>
  </si>
  <si>
    <t>13.16_426.2840m/z</t>
  </si>
  <si>
    <t>6-Hydroxyhexadecanedioylcarnitine</t>
  </si>
  <si>
    <t>HMDB0241508</t>
  </si>
  <si>
    <t>C[N+](C)(C)CC(CC([O-])=O)OC(=O)CCCCC(O)CCCCCCCCCC(O)=O</t>
  </si>
  <si>
    <t>BGKHHGPLAYWAIJ-UHFFFAOYSA-N</t>
  </si>
  <si>
    <t>C23H43NO7</t>
  </si>
  <si>
    <t>485</t>
  </si>
  <si>
    <t>2-Hydroxyferruginol</t>
  </si>
  <si>
    <t>CC(C)C1=C(C=C2C(=C1)CCC3C2(CC(CC3(C)C)O)C)O</t>
  </si>
  <si>
    <t>PRYXPGFZVGZNBL-GUOVVMSNSA-N</t>
  </si>
  <si>
    <t>5.84_182.1547m/z</t>
  </si>
  <si>
    <t>N-Ethyl trans-2-cis-6-nonadienamide</t>
  </si>
  <si>
    <t>HMDB0032273</t>
  </si>
  <si>
    <t>LMFA08020193</t>
  </si>
  <si>
    <t>C06551</t>
  </si>
  <si>
    <t>608514-56-3</t>
  </si>
  <si>
    <t>O=C(NCC)/C=C/CC/C=C\CC</t>
  </si>
  <si>
    <t>ARSJQOAYGVNWEK-MLCWLASSSA-N</t>
  </si>
  <si>
    <t>C11H19NO</t>
  </si>
  <si>
    <t>0.97_139.0298m/z</t>
  </si>
  <si>
    <t>4-Fluoro-3-nitroaniline</t>
  </si>
  <si>
    <t>C1=CC(=C(C=C1N)[N+](=O)[O-])F</t>
  </si>
  <si>
    <t>LLIOADBCFIXIEU-UHFFFAOYSA-N</t>
  </si>
  <si>
    <t>C6H5FN2O2</t>
  </si>
  <si>
    <t>174</t>
  </si>
  <si>
    <t>Pelargonic Acid</t>
  </si>
  <si>
    <t>HMDB0000847</t>
  </si>
  <si>
    <t>LMFA01010009</t>
  </si>
  <si>
    <t>C01601</t>
  </si>
  <si>
    <t>112-05-0</t>
  </si>
  <si>
    <t>C(CCCCCCC(=O)O)C</t>
  </si>
  <si>
    <t>FBUKVWPVBMHYJY-UHFFFAOYSA-N</t>
  </si>
  <si>
    <t>C9H18O2</t>
  </si>
  <si>
    <t>282</t>
  </si>
  <si>
    <t>Lauric Acid</t>
  </si>
  <si>
    <t>HMDB0000638</t>
  </si>
  <si>
    <t>LMFA01010012</t>
  </si>
  <si>
    <t>C02679</t>
  </si>
  <si>
    <t>R-HSA-112310,R-HSA-112315,R-HSA-112316,R-HSA-1430728,R-HSA-162582,R-HSA-163685,R-HSA-1643685,R-HSA-211859,R-HSA-211897,R-HSA-211935,R-HSA-211945,R-HSA-2980736,R-HSA-372790,R-HSA-373076,R-HSA-381753,R-HSA-381771,R-HSA-382551,R-HSA-388396,R-HSA-392499,R-HSA-400451,R-HSA-400508,R-HSA-400511,R-HSA-416476,R-HSA-422356,R-HSA-425397,R-HSA-425407,R-HSA-434316,R-HSA-444209,R-HSA-500792,R-HSA-5619102,R-HSA-5619108,R-HSA-5619115,R-HSA-804914,R-HSA-9709957</t>
  </si>
  <si>
    <t>Neurotransmitter release cycle|Transmission across Chemical Synapses|Neuronal System|Metabolism|Signal Transduction|Integration of energy metabolism|Disease|Biological oxidations|Cytochrome P450 - arranged by substrate type|Fatty acids|Phase I - Functionalization of compounds|Peptide hormone metabolism|Signaling by GPCR|Class A/1 (Rhodopsin-like receptors)|Olfactory Signaling Pathway|Synthesis, secretion, and inactivation of Glucagon-like Peptide-1 (GLP-1)|Transport of small molecules|GPCR downstream signalling|Metabolism of proteins|Free fatty acids regulate insulin secretion|Incretin synthesis, secretion, and inactivation|Synthesis, secretion, and inactivation of Glucose-dependent Insulinotropic Polypeptide (GIP)|G alpha (q) signalling events|Regulation of insulin secretion|Transport of vitamins, nucleosides, and related molecules|SLC-mediated transmembrane transport|Fatty Acids bound to GPR40 (FFAR1) regulate insulin secretion|Free fatty acid receptors|GPCR ligand binding|SLC transporter disorders|Defective SLC27A4 causes ichthyosis prematurity syndrome (IPS)|Disorders of transmembrane transporters|Transport of fatty acids|Sensory Perception</t>
  </si>
  <si>
    <t>143-07-7</t>
  </si>
  <si>
    <t>C(CC)CCCCCCCCC(=O)O</t>
  </si>
  <si>
    <t>POULHZVOKOAJMA-UHFFFAOYSA-N</t>
  </si>
  <si>
    <t>5.00_198.0589m/z</t>
  </si>
  <si>
    <t>N-(4-hydroxyphenyl)ethoxycarbothioamide</t>
  </si>
  <si>
    <t>HMDB0033179</t>
  </si>
  <si>
    <t>53409-36-2</t>
  </si>
  <si>
    <t>CCOC(=S)NC1=CC=C(O)C=C1</t>
  </si>
  <si>
    <t>PUWHCBBKAJGINR-UHFFFAOYSA-N</t>
  </si>
  <si>
    <t>C9H11NO2S</t>
  </si>
  <si>
    <t>1.43_157.0497m/z</t>
  </si>
  <si>
    <t>3-Isopropylmalic acid</t>
  </si>
  <si>
    <t>16048-89-8</t>
  </si>
  <si>
    <t>CC(C)C(C(C(=O)O)O)C(=O)O</t>
  </si>
  <si>
    <t>RNQHMTFBUSSBJQ-UHFFFAOYSA-N</t>
  </si>
  <si>
    <t>5.16_285.1949n</t>
  </si>
  <si>
    <t>5-Octenoylcarnitine</t>
  </si>
  <si>
    <t>HMDB0241702</t>
  </si>
  <si>
    <t>CCC=CCCCC(=O)OC(CC([O-])=O)C[N+](C)(C)C</t>
  </si>
  <si>
    <t>RERZFFUJVGADAC-UHFFFAOYSA-N</t>
  </si>
  <si>
    <t>C15H27NO4</t>
  </si>
  <si>
    <t>11.79_507.3289m/z</t>
  </si>
  <si>
    <t>enzacamene</t>
  </si>
  <si>
    <t>36861-47-9</t>
  </si>
  <si>
    <t>CC1=CC=C(C=C1)C=C2C3CCC(C2=O)(C3(C)C)C</t>
  </si>
  <si>
    <t>HEOCBCNFKCOKBX-SDNWHVSQSA-N</t>
  </si>
  <si>
    <t>C18H22O</t>
  </si>
  <si>
    <t>10.43_723.4888m/z</t>
  </si>
  <si>
    <t>PS(14:0/16:1(9Z))</t>
  </si>
  <si>
    <t>HMDB0012333</t>
  </si>
  <si>
    <t>LMGP03010929</t>
  </si>
  <si>
    <t>C(O)(=O)[C@@]([H])(N)COP(OC[C@]([H])(OC(CCCCCCC/C=C\CCCCCC)=O)COC(CCCCCCCCCCCCC)=O)(=O)O</t>
  </si>
  <si>
    <t>DPYXPLKOAXFWHZ-BKTZGLHTSA-N</t>
  </si>
  <si>
    <t>C36H68NO10P</t>
  </si>
  <si>
    <t>1.37_161.0446m/z</t>
  </si>
  <si>
    <t>3-hydroxy-adipic acid</t>
  </si>
  <si>
    <t>HMDB0000345</t>
  </si>
  <si>
    <t>LMFA01170088</t>
  </si>
  <si>
    <t>14292-29-6</t>
  </si>
  <si>
    <t>C(=O)(O)CC(O)CCC(=O)O</t>
  </si>
  <si>
    <t>YVOMYDHIQVMMTA-UHFFFAOYSA-N</t>
  </si>
  <si>
    <t>5.12_368.1593n</t>
  </si>
  <si>
    <t>PA(6:0/6:0)</t>
  </si>
  <si>
    <t>LMGP10010020</t>
  </si>
  <si>
    <t>[C@](COP(=O)(O)O)([H])(OC(CCCCC)=O)COC(CCCCC)=O</t>
  </si>
  <si>
    <t>SFZZRGHNPILUOD-CYBMUJFWSA-N</t>
  </si>
  <si>
    <t>C15H29O8P</t>
  </si>
  <si>
    <t>4.36_236.0673m/z</t>
  </si>
  <si>
    <t>2,4,6-trimethyl-3,5-dinitrobenzonitrile</t>
  </si>
  <si>
    <t>CC1=C(C(=C(C(=C1[N+](=O)[O-])C)[N+](=O)[O-])C)C#N</t>
  </si>
  <si>
    <t>VLNRFZGYQHEUNP-UHFFFAOYSA-N</t>
  </si>
  <si>
    <t>C10H9N3O4</t>
  </si>
  <si>
    <t>2.70_157.0496m/z</t>
  </si>
  <si>
    <t>2,3-dimethyl-3-hydroxy-glutaric acid</t>
  </si>
  <si>
    <t>HMDB0002025</t>
  </si>
  <si>
    <t>LMFA01170081</t>
  </si>
  <si>
    <t>87764-48-5</t>
  </si>
  <si>
    <t>C(=O)(O)C(C)C(C)(O)CC(=O)O</t>
  </si>
  <si>
    <t>CCFYMOIEFAALDH-UHFFFAOYSA-N</t>
  </si>
  <si>
    <t>3.31_184.1218n</t>
  </si>
  <si>
    <t>N-(3-acetamidopropyl)pyrrolidin-2-one</t>
  </si>
  <si>
    <t>HMDB0061384</t>
  </si>
  <si>
    <t>106692-36-8</t>
  </si>
  <si>
    <t>CC(=O)NCCCN1CCCC1=O</t>
  </si>
  <si>
    <t>OAUYENAPBFTAQT-UHFFFAOYSA-N</t>
  </si>
  <si>
    <t>C9H16N2O2</t>
  </si>
  <si>
    <t>6.55_235.0950m/z</t>
  </si>
  <si>
    <t>Dihydralazine</t>
  </si>
  <si>
    <t>HMDB0251288</t>
  </si>
  <si>
    <t>NN=C1NNC(=NN)C2=CC=CC=C12</t>
  </si>
  <si>
    <t>VQKLRVZQQYVIJW-UHFFFAOYSA-N</t>
  </si>
  <si>
    <t>C8H10N6</t>
  </si>
  <si>
    <t>0.51_159.0656m/z</t>
  </si>
  <si>
    <t>betaine aldehyde hydrate</t>
  </si>
  <si>
    <t>HMDB0304272</t>
  </si>
  <si>
    <t>C07345</t>
  </si>
  <si>
    <t>C[N+](C)(C)CC(O)O</t>
  </si>
  <si>
    <t>HEHORKLRCFPRON-UHFFFAOYSA-N</t>
  </si>
  <si>
    <t>C5H14NO2+</t>
  </si>
  <si>
    <t>3.84_358.1986m/z</t>
  </si>
  <si>
    <t>Glu Pro Ile</t>
  </si>
  <si>
    <t>CCC(C)C(C(=O)O)NC(=O)C1CCCN1C(=O)C(CCC(=O)O)N</t>
  </si>
  <si>
    <t>JYXKPJVDCAWMDG-ZPFDUUQYSA-N</t>
  </si>
  <si>
    <t>C16H27N3O6</t>
  </si>
  <si>
    <t>5.44_138.0917m/z</t>
  </si>
  <si>
    <t>bemegride</t>
  </si>
  <si>
    <t>HMDB0248936</t>
  </si>
  <si>
    <t>CCC1(C)CC(O)=NC(=O)C1</t>
  </si>
  <si>
    <t>ORRZGUBHBVWWOP-UHFFFAOYSA-N</t>
  </si>
  <si>
    <t>4.11_789.3404m/z</t>
  </si>
  <si>
    <t>Velagliflozin</t>
  </si>
  <si>
    <t>HMDB0259775</t>
  </si>
  <si>
    <t>OCC1OC(C(O)C(O)C1O)C1=CC(CC2=CC=C(C=C2)C2CC2)=C(C=C1)C#N</t>
  </si>
  <si>
    <t>SENUNDCNOYAWGN-UHFFFAOYSA-N</t>
  </si>
  <si>
    <t>C23H25NO5</t>
  </si>
  <si>
    <t>7.61_251.1286m/z</t>
  </si>
  <si>
    <t>8-hydroxy-3E,5E,10E,12-tridecatetraen-2-one</t>
  </si>
  <si>
    <t>LMFA12000377</t>
  </si>
  <si>
    <t>C(C)(/C=C/C=C/CC(O)C/C=C/C=C)=O</t>
  </si>
  <si>
    <t>WLKGLBGVBUEPDA-MRTDFIMESA-N</t>
  </si>
  <si>
    <t>4.44_673.3133m/z</t>
  </si>
  <si>
    <t>PA(PGD1/8:0)</t>
  </si>
  <si>
    <t>HMDB0266682</t>
  </si>
  <si>
    <t>CCCCCCCC(=O)O[C@H](COC(=O)CCCCCC[C@H]1[C@@H](O)CC(=O)[C@@H]1\C=C\[C@@H](O)CCCCC)COP(O)(O)=O</t>
  </si>
  <si>
    <t>CRIUWPLEQROTAQ-AOOFNFKUSA-N</t>
  </si>
  <si>
    <t>C31H55O11P</t>
  </si>
  <si>
    <t>8.56_270.2075m/z</t>
  </si>
  <si>
    <t>N-LAUROYLSARCOSINE</t>
  </si>
  <si>
    <t>HMDB0255165</t>
  </si>
  <si>
    <t>CCCCCCCCCCCC(=O)N(C)CC(O)=O</t>
  </si>
  <si>
    <t>BACYUWVYYTXETD-UHFFFAOYSA-N</t>
  </si>
  <si>
    <t>C15H29NO3</t>
  </si>
  <si>
    <t>5.36_184.9860m/z</t>
  </si>
  <si>
    <t>Acetylphosphate</t>
  </si>
  <si>
    <t>HMDB0001494</t>
  </si>
  <si>
    <t>C00227</t>
  </si>
  <si>
    <t>hsa00430,hsa00620</t>
  </si>
  <si>
    <t>Taurine and hypotaurine metabolism|Pyruvate metabolism</t>
  </si>
  <si>
    <t>590-54-5</t>
  </si>
  <si>
    <t>CC(=O)OP(O)(O)=O</t>
  </si>
  <si>
    <t>LIPOUNRJVLNBCD-UHFFFAOYSA-N</t>
  </si>
  <si>
    <t>C2H5O5P</t>
  </si>
  <si>
    <t>4.14_251.0172m/z</t>
  </si>
  <si>
    <t>2-Hydroxy-4-trifluoromethyl benzoic acid</t>
  </si>
  <si>
    <t>HMDB0060715</t>
  </si>
  <si>
    <t>328-90-5</t>
  </si>
  <si>
    <t>OC(=O)C1=C(O)C=C(C=C1)C(F)(F)F</t>
  </si>
  <si>
    <t>XMLFPUBZFSJWCN-UHFFFAOYSA-N</t>
  </si>
  <si>
    <t>C8H5F3O3</t>
  </si>
  <si>
    <t>15.05_529.4266m/z</t>
  </si>
  <si>
    <t>DG(13:0/18:3(9Z,12Z,15Z)/0:0)[iso2]</t>
  </si>
  <si>
    <t>LMGL02010362</t>
  </si>
  <si>
    <t>OC[C@]([H])(OC(CCCCCCC/C=C\C/C=C\C/C=C\CC)=O)COC(CCCCCCCCCCCC)=O</t>
  </si>
  <si>
    <t>KDMCZYPOBRIEHO-WUPJKINLSA-N</t>
  </si>
  <si>
    <t>C34H60O5</t>
  </si>
  <si>
    <t>4.73_352.1668m/z</t>
  </si>
  <si>
    <t>Phenylalanyltryptophan</t>
  </si>
  <si>
    <t>HMDB0029006</t>
  </si>
  <si>
    <t>24587-41-5</t>
  </si>
  <si>
    <t>N[C@@H](CC1=CC=CC=C1)C(=O)N[C@@H](CC1=CNC2=CC=CC=C12)C(O)=O</t>
  </si>
  <si>
    <t>JMCOUWKXLXDERB-WMZOPIPTSA-N</t>
  </si>
  <si>
    <t>C20H21N3O3</t>
  </si>
  <si>
    <t>3.76_308.9665m/z</t>
  </si>
  <si>
    <t>thienothiazine</t>
  </si>
  <si>
    <t>HMDB0258990</t>
  </si>
  <si>
    <t>N1SC2=C(SC=C2)C=C1</t>
  </si>
  <si>
    <t>TZIJDLHRFZUDHD-UHFFFAOYSA-N</t>
  </si>
  <si>
    <t>Thienothiazines</t>
  </si>
  <si>
    <t>C6H5NS2</t>
  </si>
  <si>
    <t>10.74_481.3536m/z</t>
  </si>
  <si>
    <t>5beta-Cholestane-3alpha,7alpha,24,26-tetrol</t>
  </si>
  <si>
    <t>HMDB0062417</t>
  </si>
  <si>
    <t>LMST04030023</t>
  </si>
  <si>
    <t>C1[C@]2(C)[C@@]3([H])CC[C@]4(C)[C@@]([H])([C@]([H])(C)CCC(O)C(C)CO)CC[C@@]4([H])[C@]3([H])[C@H](O)C[C@]2([H])C[C@H](O)C1</t>
  </si>
  <si>
    <t>KOHAQNVGTABZFS-ZUMVMERMSA-N</t>
  </si>
  <si>
    <t>0.74_223.0299m/z</t>
  </si>
  <si>
    <t>1-Phenyl-5-mercaptotetrazole</t>
  </si>
  <si>
    <t>C15415</t>
  </si>
  <si>
    <t>86-93-1</t>
  </si>
  <si>
    <t>C1=CC=C(C=C1)N2C(=S)N=NN2</t>
  </si>
  <si>
    <t>GGZHVNZHFYCSEV-UHFFFAOYSA-N</t>
  </si>
  <si>
    <t>Tetrazoles</t>
  </si>
  <si>
    <t>C7H6N4S</t>
  </si>
  <si>
    <t>12.97_429.1738m/z</t>
  </si>
  <si>
    <t>(+/-)-(E)-Ethyl-2-[(E)-hydroxyimino]-5-nitro-3-hexeneamide</t>
  </si>
  <si>
    <t>HMDB0242267</t>
  </si>
  <si>
    <t>CCC(=CC(=NO)C(N)=O)C(C)[N+]([O-])=O</t>
  </si>
  <si>
    <t>MZAGXDHQGXUDDX-UHFFFAOYSA-N</t>
  </si>
  <si>
    <t>C8H13N3O4</t>
  </si>
  <si>
    <t>6.44_238.1448m/z</t>
  </si>
  <si>
    <t>N-Cyclopropyl-trans-2-cis-6-nonadienamide</t>
  </si>
  <si>
    <t>HMDB0032210</t>
  </si>
  <si>
    <t>LMFA08020191</t>
  </si>
  <si>
    <t>608514-55-2</t>
  </si>
  <si>
    <t>O=C(NC1CC1)/C=C/CC/C=C\CC</t>
  </si>
  <si>
    <t>BTSTZWOTLKSKHV-ODYTWBPASA-N</t>
  </si>
  <si>
    <t>C12H19NO</t>
  </si>
  <si>
    <t>7.25_550.1933m/z</t>
  </si>
  <si>
    <t>Simmondsin 2'-ferulate</t>
  </si>
  <si>
    <t>HMDB0035475</t>
  </si>
  <si>
    <t>179466-18-3</t>
  </si>
  <si>
    <t>COC1CC(OC2OC(CO)C(O)C(O)C2OC(=O)\C=C\C2=CC(OC)=C(O)C=C2)\C(=C\C#N)C(O)C1OC</t>
  </si>
  <si>
    <t>GWXJMPVVJCHQIB-USFPABIYSA-N</t>
  </si>
  <si>
    <t>C26H33NO12</t>
  </si>
  <si>
    <t>1.03_290.0460m/z</t>
  </si>
  <si>
    <t>3,4-Dihydroxyphenylvaleric acid 4 sulfate</t>
  </si>
  <si>
    <t>HMDB0240447</t>
  </si>
  <si>
    <t>OC(=O)CCCCC1=CC(O)=C(OS(O)(=O)=O)C=C1</t>
  </si>
  <si>
    <t>CABZBRSEXWBGOQ-UHFFFAOYSA-N</t>
  </si>
  <si>
    <t>C11H14O7S</t>
  </si>
  <si>
    <t>13.84_683.4666m/z</t>
  </si>
  <si>
    <t>PA(17:1(9Z)/18:2(9Z,12Z))</t>
  </si>
  <si>
    <t>LMGP10010258</t>
  </si>
  <si>
    <t>[C@](COP(=O)(O)O)([H])(OC(CCCCCCC/C=C\C/C=C\CCCCC)=O)COC(CCCCCCC/C=C\CCCCCCC)=O</t>
  </si>
  <si>
    <t>ABRCHFUQHPPSAP-GXQKWNIISA-N</t>
  </si>
  <si>
    <t>C38H69O8P</t>
  </si>
  <si>
    <t>11.30_259.1913m/z</t>
  </si>
  <si>
    <t>2-ethyl-2-methyl-butanoic acid</t>
  </si>
  <si>
    <t>LMFA01020146</t>
  </si>
  <si>
    <t>CCC(C)(CC)C(=O)O</t>
  </si>
  <si>
    <t>LHJPKLWGGMAUAN-UHFFFAOYSA-N</t>
  </si>
  <si>
    <t>C7H14O2</t>
  </si>
  <si>
    <t>1.47_258.1208m/z</t>
  </si>
  <si>
    <t>Tetrahydroneopterin</t>
  </si>
  <si>
    <t>HMDB0000942</t>
  </si>
  <si>
    <t>25976-00-5</t>
  </si>
  <si>
    <t>NC1=NC(=O)C2=C(NCC(N2)C(O)C(O)CO)N1</t>
  </si>
  <si>
    <t>XHIXPVCTDRNTTC-UHFFFAOYSA-N</t>
  </si>
  <si>
    <t>11.49_324.2906m/z</t>
  </si>
  <si>
    <t>ent-16b-Kauran-16,19-diol</t>
  </si>
  <si>
    <t>HMDB0302662</t>
  </si>
  <si>
    <t>[H][C@@]12CC[C@@H]3C[C@]1(C[C@@]3(C)O)CC[C@]1([H])[C@](C)(CO)CCC[C@@]21C</t>
  </si>
  <si>
    <t>XZESVXVYTBMYCR-WVMNWVHYSA-N</t>
  </si>
  <si>
    <t>3.40_427.2133m/z</t>
  </si>
  <si>
    <t>17,18-dehydro-clavulone I</t>
  </si>
  <si>
    <t>LMFA03120018</t>
  </si>
  <si>
    <t>[C@]1(OC(=O)C)(C/C=C\C/C=C\CC)C=CC(=O)/C/1=C/C=C\[C@H](OC(C)=O)CCC(=O)OC</t>
  </si>
  <si>
    <t>VNMUCAJMMSZIGB-PMPMEWTASA-N</t>
  </si>
  <si>
    <t>C25H32O7</t>
  </si>
  <si>
    <t>309</t>
  </si>
  <si>
    <t>Glucose 1-Phosphate</t>
  </si>
  <si>
    <t>HMDB0001586</t>
  </si>
  <si>
    <t>C00103</t>
  </si>
  <si>
    <t>hsa00010,hsa00040,hsa00052,hsa00500,hsa00520,hsa00561,hsa04922</t>
  </si>
  <si>
    <t>Glycolysis / Gluconeogenesis|Pentose and glucuronate interconversions|Galactose metabolism|Starch and sucrose metabolism|Amino sugar and nucleotide sugar metabolism|Glycerolipid metabolism|Glucagon signaling pathway</t>
  </si>
  <si>
    <t>59-56-3</t>
  </si>
  <si>
    <t>OC[C@H]1O[C@H](OP(O)(O)=O)[C@H](O)[C@@H](O)[C@@H]1O</t>
  </si>
  <si>
    <t>HXXFSFRBOHSIMQ-VFUOTHLCSA-N</t>
  </si>
  <si>
    <t>11.07_243.1963m/z</t>
  </si>
  <si>
    <t>2-Hydroxymyristic acid</t>
  </si>
  <si>
    <t>HMDB0002261</t>
  </si>
  <si>
    <t>LMFA01050484</t>
  </si>
  <si>
    <t>2507-55-3</t>
  </si>
  <si>
    <t>C(C(O)CCCCCCCCCCCC)(O)=O</t>
  </si>
  <si>
    <t>JYZJYKOZGGEXSX-UHFFFAOYSA-N</t>
  </si>
  <si>
    <t>0.62_281.0729m/z</t>
  </si>
  <si>
    <t>Flunoxaprofen isocyanate</t>
  </si>
  <si>
    <t>HMDB0252342</t>
  </si>
  <si>
    <t>CC(N=C=O)C1=CC2=C(OC(=N2)C2=CC=C(F)C=C2)C=C1</t>
  </si>
  <si>
    <t>UFVXLFRBVOVOFV-UHFFFAOYSA-N</t>
  </si>
  <si>
    <t>C16H11FN2O2</t>
  </si>
  <si>
    <t>283</t>
  </si>
  <si>
    <t>Pyrophosphate(4-)</t>
  </si>
  <si>
    <t>HMDB0304340</t>
  </si>
  <si>
    <t>[O-]P([O-])(=O)OP([O-])([O-])=O</t>
  </si>
  <si>
    <t>XPPKVPWEQAFLFU-UHFFFAOYSA-J</t>
  </si>
  <si>
    <t>O7P2</t>
  </si>
  <si>
    <t>5.52_387.2395m/z</t>
  </si>
  <si>
    <t>5,6-Dihydroxyprostaglandin F1a</t>
  </si>
  <si>
    <t>HMDB0012109</t>
  </si>
  <si>
    <t>C06475</t>
  </si>
  <si>
    <t>11000-26-3</t>
  </si>
  <si>
    <t>CCCCC[C@H](O)\C=C\[C@H]1[C@H](O)C[C@H](O)[C@@H]1CC(O)C(O)CCCC(O)=O</t>
  </si>
  <si>
    <t>SAAOVBGAFHJPIF-NYNACFBQSA-N</t>
  </si>
  <si>
    <t>C20H36O7</t>
  </si>
  <si>
    <t>14.71_261.1493m/z</t>
  </si>
  <si>
    <t>Monoethylhexyl phthalic acid</t>
  </si>
  <si>
    <t>HMDB0013248</t>
  </si>
  <si>
    <t>C03343</t>
  </si>
  <si>
    <t>4376-20-9</t>
  </si>
  <si>
    <t>CCCCC(CC)COC(=O)C1=CC=CC=C1C(O)=O</t>
  </si>
  <si>
    <t>DJDSLBVSSOQSLW-UHFFFAOYSA-N</t>
  </si>
  <si>
    <t>2.40_309.1093m/z</t>
  </si>
  <si>
    <t>methoxycatecholamine</t>
  </si>
  <si>
    <t>HMDB0254544</t>
  </si>
  <si>
    <t>COC1=C(N)C(O)=C(O)C=C1</t>
  </si>
  <si>
    <t>KHTCLRGXXJPSRJ-UHFFFAOYSA-N</t>
  </si>
  <si>
    <t>C7H9NO3</t>
  </si>
  <si>
    <t>85</t>
  </si>
  <si>
    <t>Methyl Glycinate</t>
  </si>
  <si>
    <t>HMDB0254591</t>
  </si>
  <si>
    <t>COC(=O)CN</t>
  </si>
  <si>
    <t>KQSSATDQUYCRGS-UHFFFAOYSA-N</t>
  </si>
  <si>
    <t>5.42_732.4613m/z</t>
  </si>
  <si>
    <t>PE(18:3(9,11,15)-OH(13)/18:3(9Z,12Z,15Z))</t>
  </si>
  <si>
    <t>HMDB0261701</t>
  </si>
  <si>
    <t>[H][C@@](COC(=O)CCCCCCC\C=C\C=C\C(O)C\C=C\CC)(COP(O)(=O)OCCN)OC(=O)CCCCCCC\C=C/C\C=C/C\C=C/CC</t>
  </si>
  <si>
    <t>AKQFWJOATTUTMV-UIMDXTRISA-N</t>
  </si>
  <si>
    <t>C41H70NO9P</t>
  </si>
  <si>
    <t>9.93_179.1435m/z</t>
  </si>
  <si>
    <t>Geijerone</t>
  </si>
  <si>
    <t>HMDB0038194</t>
  </si>
  <si>
    <t>41411-01-2</t>
  </si>
  <si>
    <t>CC(=C)C1CC(=O)CCC1(C)C=C</t>
  </si>
  <si>
    <t>TYUCDLXRFGFSBR-UHFFFAOYSA-N</t>
  </si>
  <si>
    <t>64</t>
  </si>
  <si>
    <t>2-Cyclohexen-1-Ol</t>
  </si>
  <si>
    <t>OC1C=CCCC1</t>
  </si>
  <si>
    <t>PQANGXXSEABURG-UHFFFAOYSA-N</t>
  </si>
  <si>
    <t>C6H10O</t>
  </si>
  <si>
    <t>5.04_231.2076m/z</t>
  </si>
  <si>
    <t>N-(9-Oxodecyl)acetamide</t>
  </si>
  <si>
    <t>CC(=O)CCCCCCCCNC(=O)C</t>
  </si>
  <si>
    <t>JRJBWKJICGFLDP-UHFFFAOYSA-N</t>
  </si>
  <si>
    <t>C12H23NO2</t>
  </si>
  <si>
    <t>0.76_113.0352m/z</t>
  </si>
  <si>
    <t>Uracil</t>
  </si>
  <si>
    <t>HMDB0000300</t>
  </si>
  <si>
    <t>C00106</t>
  </si>
  <si>
    <t>66-22-8</t>
  </si>
  <si>
    <t>O=C1NC=CC(=O)N1</t>
  </si>
  <si>
    <t>ISAKRJDGNUQOIC-UHFFFAOYSA-N</t>
  </si>
  <si>
    <t>C4H4N2O2</t>
  </si>
  <si>
    <t>10.83_933.6313m/z</t>
  </si>
  <si>
    <t>PC(22:6(4Z,7Z,10Z,13E,15E,19Z)-OH(17)/DiMe(11,5))</t>
  </si>
  <si>
    <t>HMDB0289092</t>
  </si>
  <si>
    <t>[H][C@@](COC(=O)CC\C=C/C\C=C/C\C=C/C\C=C\C=C\C(O)C\C=C/CC)(COP([O-])(=O)OCC[N+](C)(C)C)OC(=O)CCCCCCCCCCC1=C(C)C(C)=C(CCCCC)O1</t>
  </si>
  <si>
    <t>LGOYOJUISHZOOG-DJYPTXAISA-N</t>
  </si>
  <si>
    <t>C52H86NO10P</t>
  </si>
  <si>
    <t>4.72_382.0796m/z</t>
  </si>
  <si>
    <t>3-Indole carboxylic acid glucuronide</t>
  </si>
  <si>
    <t>HMDB0013189</t>
  </si>
  <si>
    <t>O[C@@H]1[C@@H](O)[C@H](OC(=O)C2=CNC3=CC=CC=C23)OC([C@H]1O)C(O)=O</t>
  </si>
  <si>
    <t>BDNWJTRKUBXAGH-DOVARBIBSA-N</t>
  </si>
  <si>
    <t>C15H15NO8</t>
  </si>
  <si>
    <t>7.61_398.3199n</t>
  </si>
  <si>
    <t>3beta-hydroxy-5alpha-cholest-8(9),14(15)-dien-23-one</t>
  </si>
  <si>
    <t>LMST01010324</t>
  </si>
  <si>
    <t>C1[C@]2(C)C3CC[C@]4(C)[C@@]([H])([C@]([H])(C)CC(=O)CC(C)C)CC=C4C=3CC[C@@]2([H])C[C@@H](O)C1</t>
  </si>
  <si>
    <t>KKBJXLLYTVWPBT-MZUBLSHPSA-N</t>
  </si>
  <si>
    <t>1.07_147.1134m/z</t>
  </si>
  <si>
    <t>Nipecotic acid</t>
  </si>
  <si>
    <t>HMDB0255618</t>
  </si>
  <si>
    <t>498-95-3</t>
  </si>
  <si>
    <t>OC(=O)C1CCCNC1</t>
  </si>
  <si>
    <t>XJLSEXAGTJCILF-UHFFFAOYSA-N</t>
  </si>
  <si>
    <t>10.74_503.3359m/z</t>
  </si>
  <si>
    <t>5-(3-methyl-5-pentylfuran-2-yl)-pentanoic acid</t>
  </si>
  <si>
    <t>HMDB0112086</t>
  </si>
  <si>
    <t>LMFA01150025</t>
  </si>
  <si>
    <t>157686-84-5</t>
  </si>
  <si>
    <t>C(CC)CCC1=CC(C)=C(CCCCC(=O)O)O1</t>
  </si>
  <si>
    <t>OVQQXXHYNCJQNP-UHFFFAOYSA-N</t>
  </si>
  <si>
    <t>4.77_495.2249m/z</t>
  </si>
  <si>
    <t>6-Hydroxymelatonin</t>
  </si>
  <si>
    <t>HMDB0004081</t>
  </si>
  <si>
    <t>C05643</t>
  </si>
  <si>
    <t>2208-41-5</t>
  </si>
  <si>
    <t>COC1=C(O)C=C2NC=C(CCNC(C)=O)C2=C1</t>
  </si>
  <si>
    <t>OMYMRCXOJJZYKE-UHFFFAOYSA-N</t>
  </si>
  <si>
    <t>4.90_231.0771m/z</t>
  </si>
  <si>
    <t>Indole-3-acetylglycine</t>
  </si>
  <si>
    <t>HMDB0240661</t>
  </si>
  <si>
    <t>13113-08-1</t>
  </si>
  <si>
    <t>OC(=O)CNC(=O)CC1=CNC2=C1C=CC=C2</t>
  </si>
  <si>
    <t>YDXXLJMIHMIOIF-UHFFFAOYSA-N</t>
  </si>
  <si>
    <t>C12H12N2O3</t>
  </si>
  <si>
    <t>11.65_269.2122m/z</t>
  </si>
  <si>
    <t>3-keto palmitic acid</t>
  </si>
  <si>
    <t>HMDB0010733</t>
  </si>
  <si>
    <t>LMFA01060051</t>
  </si>
  <si>
    <t>C(CCCCCCCCCCC)CC(=O)CC(=O)O</t>
  </si>
  <si>
    <t>ASICPMTWQSESKX-UHFFFAOYSA-N</t>
  </si>
  <si>
    <t>8.02_180.1021m/z</t>
  </si>
  <si>
    <t>N-hexanoyl-homoserine lactone</t>
  </si>
  <si>
    <t>LMFA08030025</t>
  </si>
  <si>
    <t>147852-83-3</t>
  </si>
  <si>
    <t>[C@@H]1(CCOC1=O)NC(=O)CCCCC</t>
  </si>
  <si>
    <t>ZJFKKPDLNLCPNP-QMMMGPOBSA-N</t>
  </si>
  <si>
    <t>C10H17NO3</t>
  </si>
  <si>
    <t>1.25_163.0184m/z</t>
  </si>
  <si>
    <t>S-Nitrosohomocysteine</t>
  </si>
  <si>
    <t>HMDB0257418</t>
  </si>
  <si>
    <t>NC(CCSN=O)C(O)=O</t>
  </si>
  <si>
    <t>QWPCKAAAWDCDCW-UHFFFAOYSA-N</t>
  </si>
  <si>
    <t>C4H8N2O3S</t>
  </si>
  <si>
    <t>7.58_695.3632m/z</t>
  </si>
  <si>
    <t>Acrivastine</t>
  </si>
  <si>
    <t>HMDB0240231</t>
  </si>
  <si>
    <t>87848-99-5</t>
  </si>
  <si>
    <t>[H]\C(CN1CCCC1)=C(\C1=CC=C(C)C=C1)C1=CC=CC(=N1)C(\[H])=C(/[H])C(O)=O</t>
  </si>
  <si>
    <t>PWACSDKDOHSSQD-IUTFFREVSA-N</t>
  </si>
  <si>
    <t>Styrenes</t>
  </si>
  <si>
    <t>C22H24N2O2</t>
  </si>
  <si>
    <t>5.56_440.0268m/z</t>
  </si>
  <si>
    <t>adenylo-succinate</t>
  </si>
  <si>
    <t>HMDB0304257</t>
  </si>
  <si>
    <t>OC1C(COP([O-])([O-])=O)OC(C1O)N1C=NC2=C1N=CN=C2NC(CC([O-])=O)C([O-])=O</t>
  </si>
  <si>
    <t>OFBHPPMPBOJXRT-UHFFFAOYSA-J</t>
  </si>
  <si>
    <t>C14H14N5O11P-4</t>
  </si>
  <si>
    <t>0.80_149.0144m/z</t>
  </si>
  <si>
    <t>Ethyl methylphosphonofluoridate</t>
  </si>
  <si>
    <t>HMDB0252055</t>
  </si>
  <si>
    <t>CCOP(C)(F)=O</t>
  </si>
  <si>
    <t>RIYPSXBGLXRZNJ-UHFFFAOYSA-N</t>
  </si>
  <si>
    <t>C3H8FO2P</t>
  </si>
  <si>
    <t>14.63_493.3903m/z</t>
  </si>
  <si>
    <t>(3beta,5alpha,6beta,24R)-Stigmastane-3,5,6-triol</t>
  </si>
  <si>
    <t>HMDB0030014</t>
  </si>
  <si>
    <t>LMST01040240</t>
  </si>
  <si>
    <t>C1C[C@H](O)C[C@]2(O)[C@H](O)C[C@]3([H])[C@@]([H])([C@]21C)CC[C@]1(C)[C@@]([H])([C@H](C)CC[C@@H](CC)C(C)C)CC[C@]13[H]</t>
  </si>
  <si>
    <t>VGSSUFQMXBFFTM-METNKUIYSA-N</t>
  </si>
  <si>
    <t>C29H52O3</t>
  </si>
  <si>
    <t>5.28_194.0818m/z</t>
  </si>
  <si>
    <t>10-hydroxy-2E,8Z-Decadiene-4,6-diynoic acid</t>
  </si>
  <si>
    <t>HMDB0031054</t>
  </si>
  <si>
    <t>LMFA01030708</t>
  </si>
  <si>
    <t>C(O)(=O)/C=C/C#CC#C/C=C\CO</t>
  </si>
  <si>
    <t>AJSNUBLNFVLJEB-CGXWXWIYSA-N</t>
  </si>
  <si>
    <t>C10H8O3</t>
  </si>
  <si>
    <t>7.33_263.0454m/z</t>
  </si>
  <si>
    <t>Phenytoin quinone</t>
  </si>
  <si>
    <t>HMDB0060868</t>
  </si>
  <si>
    <t>O=C1NC(=O)C(N1)(C1=CC=CC=C1)C1=CC(=O)C(=O)C=C1</t>
  </si>
  <si>
    <t>AWCFFJFKIPSEFH-UHFFFAOYSA-N</t>
  </si>
  <si>
    <t>C15H10N2O4</t>
  </si>
  <si>
    <t>7.57_651.2679m/z</t>
  </si>
  <si>
    <t>Linalool (8-hydroxydihydro-)</t>
  </si>
  <si>
    <t>HMDB0304700</t>
  </si>
  <si>
    <t>C06740</t>
  </si>
  <si>
    <t>CC1(C)O[C@H]2CC(=O)OC[C@@]22[C@H]1CC(=O)[C@]1(C)[C@@H]2CC[C@@](C)([C@@H](O[C@@H]2O[C@H](CO)[C@@H](O)[C@H](O)[C@H]2O)C2=COC=C2)[C@@]11O[C@@H]1C(O)=O</t>
  </si>
  <si>
    <t>FYIKIBQJAJRKQM-WNCNYDOCSA-N</t>
  </si>
  <si>
    <t>12.13_496.2682m/z</t>
  </si>
  <si>
    <t>PE(16:1(9Z)/0:0)</t>
  </si>
  <si>
    <t>HMDB0011504</t>
  </si>
  <si>
    <t>LMGP02050010</t>
  </si>
  <si>
    <t>[C@](COP(=O)(O)OCCN)([H])(O)COC(CCCCCCC/C=C\CCCCCC)=O</t>
  </si>
  <si>
    <t>DSOWUEHXZJUNID-WHXUGTBJSA-N</t>
  </si>
  <si>
    <t>13.31_561.4143m/z</t>
  </si>
  <si>
    <t>Campesteryl glucoside</t>
  </si>
  <si>
    <t>LMST01031126</t>
  </si>
  <si>
    <t>C1[C@H](O[C@H]2[C@H](O)[C@@H](O)[C@H](O)[C@@H](CO)O2)CC2=CC[C@@]3([H])[C@]4([H])CC[C@]([H])([C@@]([H])(CC[C@@H](C)C(C)C)C)[C@@]4(C)CC[C@]3([H])[C@@]2(C)C1</t>
  </si>
  <si>
    <t>FWNZEKQVBDXWKA-NYENXMMQSA-N</t>
  </si>
  <si>
    <t>C34H58O6</t>
  </si>
  <si>
    <t>11.94_303.2326m/z</t>
  </si>
  <si>
    <t>7Z,10Z,13Z,16Z,19Z-eicosapentaenoic acid</t>
  </si>
  <si>
    <t>LMFA03000019</t>
  </si>
  <si>
    <t>C(CC/C=C\C/C=C\C/C=C\C/C=C\CC=C)CCC(O)=O</t>
  </si>
  <si>
    <t>WXWWHMAUMNQUSF-GJDCDIHCSA-N</t>
  </si>
  <si>
    <t>1.28_539.0235m/z</t>
  </si>
  <si>
    <t>Nasutin A</t>
  </si>
  <si>
    <t>HMDB0255467</t>
  </si>
  <si>
    <t>OC1=CC2=C3C(=C1)C(=O)OC1=C3C(=CC(O)=C1)C(=O)O2</t>
  </si>
  <si>
    <t>HMANVBHOIJJXNQ-UHFFFAOYSA-N</t>
  </si>
  <si>
    <t>C14H6O6</t>
  </si>
  <si>
    <t>4.93_528.2471m/z</t>
  </si>
  <si>
    <t>Ret-P-man</t>
  </si>
  <si>
    <t>HMDB0257168</t>
  </si>
  <si>
    <t>CC(=CCOP(O)(=O)OC1OC(CO)C(O)C(O)C1O)C=CC=C(C)C=CC1=C(C)CCCC1(C)C</t>
  </si>
  <si>
    <t>BGSGEOPBGIBLBS-UHFFFAOYSA-N</t>
  </si>
  <si>
    <t>C26H41O9P</t>
  </si>
  <si>
    <t>0.60_213.1103m/z</t>
  </si>
  <si>
    <t>6-hydroxymethyl-7,8-dihydropterin</t>
  </si>
  <si>
    <t>HMDB0304227</t>
  </si>
  <si>
    <t>C01300</t>
  </si>
  <si>
    <t>3672-03-5</t>
  </si>
  <si>
    <t>NC1=NC2=C(N=C(CO)CN2)C(=O)N1</t>
  </si>
  <si>
    <t>CQQNNQTXUGLUEV-UHFFFAOYSA-N</t>
  </si>
  <si>
    <t>C7H9N5O2</t>
  </si>
  <si>
    <t>11.42_349.1114m/z</t>
  </si>
  <si>
    <t>Prodiamine</t>
  </si>
  <si>
    <t>HMDB0256792</t>
  </si>
  <si>
    <t>C18884</t>
  </si>
  <si>
    <t>29091-21-2</t>
  </si>
  <si>
    <t>CCCN(CCC)C1=C(C(N)=C(C=C1[N+]([O-])=O)C(F)(F)F)[N+]([O-])=O</t>
  </si>
  <si>
    <t>RSVPPPHXAASNOL-UHFFFAOYSA-N</t>
  </si>
  <si>
    <t>C13H17F3N4O4</t>
  </si>
  <si>
    <t>9.30_606.3185m/z</t>
  </si>
  <si>
    <t>PS(21:0/0:0)</t>
  </si>
  <si>
    <t>LMGP03050026</t>
  </si>
  <si>
    <t>C(O)(=O)[C@@]([H])(N)COP(OC[C@]([H])(O)COC(CCCCCCCCCCCCCCCCCCCC)=O)(=O)O</t>
  </si>
  <si>
    <t>IFZCAKDVWKLKEK-RPBOFIJWSA-N</t>
  </si>
  <si>
    <t>C27H54NO9P</t>
  </si>
  <si>
    <t>3.87_467.1787m/z</t>
  </si>
  <si>
    <t>Gln Phe Glu</t>
  </si>
  <si>
    <t>C1=CC=C(C=C1)CC(C(=O)NC(CCC(=O)O)C(=O)O)NC(=O)C(CCC(=O)N)N</t>
  </si>
  <si>
    <t>BZULIEARJFRINC-IHRRRGAJSA-N</t>
  </si>
  <si>
    <t>C19H26N4O7</t>
  </si>
  <si>
    <t>289</t>
  </si>
  <si>
    <t>D-Ribofuranose</t>
  </si>
  <si>
    <t>HMDB0000283</t>
  </si>
  <si>
    <t>C00121</t>
  </si>
  <si>
    <t>hsa00030,hsa02010</t>
  </si>
  <si>
    <t>Pentose phosphate pathway|ABC transporters</t>
  </si>
  <si>
    <t>R-HSA-1430728,R-HSA-71336,R-HSA-71387</t>
  </si>
  <si>
    <t>Metabolism|Pentose phosphate pathway|Metabolism of carbohydrates</t>
  </si>
  <si>
    <t>613-83-2</t>
  </si>
  <si>
    <t>OC[C@H]1OC(O)[C@H](O)[C@@H]1O</t>
  </si>
  <si>
    <t>HMFHBZSHGGEWLO-SOOFDHNKSA-N</t>
  </si>
  <si>
    <t>0.88_146.0929m/z</t>
  </si>
  <si>
    <t>4-Guanidinobutanoic acid</t>
  </si>
  <si>
    <t>HMDB0003464</t>
  </si>
  <si>
    <t>C01035</t>
  </si>
  <si>
    <t>463-00-3</t>
  </si>
  <si>
    <t>NC(=N)NCCCC(O)=O</t>
  </si>
  <si>
    <t>TUHVEAJXIMEOSA-UHFFFAOYSA-N</t>
  </si>
  <si>
    <t>C5H11N3O2</t>
  </si>
  <si>
    <t>10.39_560.3010m/z</t>
  </si>
  <si>
    <t>Stemobenoid B</t>
  </si>
  <si>
    <t>LMPK13090045</t>
  </si>
  <si>
    <t>C1C(OC)=C(OC2=C(C)C(CCC3=CC=CC=C3OC)=CC(OC)=C2)C(CCC2=CC=CC=C2OC)=C(C)C=1O</t>
  </si>
  <si>
    <t>AUIQCZNJWGIXOM-UHFFFAOYSA-N</t>
  </si>
  <si>
    <t>C34H38O6</t>
  </si>
  <si>
    <t>13.49_511.4006m/z</t>
  </si>
  <si>
    <t>Tripelargonin</t>
  </si>
  <si>
    <t>HMDB0259260</t>
  </si>
  <si>
    <t>CCCCCCCCC(=O)OCC(COC(=O)CCCCCCCC)OC(=O)CCCCCCCC</t>
  </si>
  <si>
    <t>YRIMSXJXBHUHJT-UHFFFAOYSA-N</t>
  </si>
  <si>
    <t>C30H56O6</t>
  </si>
  <si>
    <t>9.09_255.1963m/z</t>
  </si>
  <si>
    <t>5-Acetoxydihydrotheaespirane</t>
  </si>
  <si>
    <t>HMDB0040276</t>
  </si>
  <si>
    <t>72541-09-4</t>
  </si>
  <si>
    <t>CC1CCC2(O1)C(C)(C)CCCC2(C)OC(C)=O</t>
  </si>
  <si>
    <t>LTAWGWRPOGXHBD-UHFFFAOYSA-N</t>
  </si>
  <si>
    <t>3.86_489.1608m/z</t>
  </si>
  <si>
    <t>Phloroacetophenone 6'-[xylosyl-(1-&gt;6)-glucoside]</t>
  </si>
  <si>
    <t>HMDB0032743</t>
  </si>
  <si>
    <t>87432-28-8</t>
  </si>
  <si>
    <t>COC1=CC(OC)=C(C(C)=O)C(OC2OC(COC3OCC(O)C(O)C3O)C(O)C(O)C2O)=C1</t>
  </si>
  <si>
    <t>BAYBVSSLAYYEKP-UHFFFAOYSA-N</t>
  </si>
  <si>
    <t>C21H30O13</t>
  </si>
  <si>
    <t>59</t>
  </si>
  <si>
    <t>3-Pyridinol</t>
  </si>
  <si>
    <t>109-00-2</t>
  </si>
  <si>
    <t>C1=CC(=CN=C1)O</t>
  </si>
  <si>
    <t>GRFNBEZIAWKNCO-UHFFFAOYSA-N</t>
  </si>
  <si>
    <t>Hydroxypyridines</t>
  </si>
  <si>
    <t>0.82_164.9303m/z</t>
  </si>
  <si>
    <t>Holmium</t>
  </si>
  <si>
    <t>HMDB0303934</t>
  </si>
  <si>
    <t>[Ho]</t>
  </si>
  <si>
    <t>KJZYNXUDTRRSPN-UHFFFAOYSA-N</t>
  </si>
  <si>
    <t>Homogeneous lanthanide compounds</t>
  </si>
  <si>
    <t>Ho</t>
  </si>
  <si>
    <t>1.63_471.1066m/z</t>
  </si>
  <si>
    <t>Artonin P</t>
  </si>
  <si>
    <t>LMPK12111511</t>
  </si>
  <si>
    <t>C12=C(O)C=C3OC(C)(C)C=CC3=C1OC1C34OC3(C(=O)C(O)=CC4=O)C(C(C)=C)CC=1C2=O</t>
  </si>
  <si>
    <t>OKKNFQLWCBMTDX-UHFFFAOYSA-N</t>
  </si>
  <si>
    <t>C25H20O8</t>
  </si>
  <si>
    <t>3.84_244.1552m/z</t>
  </si>
  <si>
    <t>3-Methylbut-2-enoylcarnitine</t>
  </si>
  <si>
    <t>HMDB0241659</t>
  </si>
  <si>
    <t>CC(C)=CC(=O)OC(CC([O-])=O)C[N+](C)(C)C</t>
  </si>
  <si>
    <t>KGPNNIOVWVIXOR-UHFFFAOYSA-N</t>
  </si>
  <si>
    <t>C12H21NO4</t>
  </si>
  <si>
    <t>3.92_356.1718m/z</t>
  </si>
  <si>
    <t>2-(1,3-Dimethyl-2,6-dioxo-1,2,3,6-tetrahydro-7H-purin-7-yl)-N-(4-isopropylphenyl)acetamide</t>
  </si>
  <si>
    <t>HMDB0253057</t>
  </si>
  <si>
    <t>CC(C)C1=CC=C(NC(=O)CN2C=NC3=C2C(=O)N(C)C(=O)N3C)C=C1</t>
  </si>
  <si>
    <t>HEQDZPHDVAOBLN-UHFFFAOYSA-N</t>
  </si>
  <si>
    <t>C18H21N5O3</t>
  </si>
  <si>
    <t>14.54_136.1125m/z</t>
  </si>
  <si>
    <t>psi-Pelletierine</t>
  </si>
  <si>
    <t>HMDB0034580</t>
  </si>
  <si>
    <t>C10865</t>
  </si>
  <si>
    <t>552-70-5</t>
  </si>
  <si>
    <t>CN1C2CCCC1CC(=O)C2</t>
  </si>
  <si>
    <t>RHWSKVCZXBAWLZ-UHFFFAOYSA-N</t>
  </si>
  <si>
    <t>28</t>
  </si>
  <si>
    <t>Diisopropylamine</t>
  </si>
  <si>
    <t>HMDB0251358</t>
  </si>
  <si>
    <t>CC(C)NC(C)C</t>
  </si>
  <si>
    <t>UAOMVDZJSHZZME-UHFFFAOYSA-N</t>
  </si>
  <si>
    <t>C6H15N</t>
  </si>
  <si>
    <t>7.49_641.3547m/z</t>
  </si>
  <si>
    <t>(2S)-2-(2-Benzamidoethylamino)-5-(diaminomethylideneamino)pentanoic acid</t>
  </si>
  <si>
    <t>HMDB0257707</t>
  </si>
  <si>
    <t>NC(N)=NCCCC(NCCNC(=O)C1=CC=CC=C1)C(O)=O</t>
  </si>
  <si>
    <t>MBLBNYZSCFZQHW-UHFFFAOYSA-N</t>
  </si>
  <si>
    <t>C15H23N5O3</t>
  </si>
  <si>
    <t>4.11_331.1662m/z</t>
  </si>
  <si>
    <t>Laurelliptine</t>
  </si>
  <si>
    <t>HMDB0033357</t>
  </si>
  <si>
    <t>23599-69-1</t>
  </si>
  <si>
    <t>COC1=C(O)C=C2CC3NCCC4=CC(OC)=C(O)C(C2=C1)=C34</t>
  </si>
  <si>
    <t>HORZNQYQXBFWNZ-UHFFFAOYSA-N</t>
  </si>
  <si>
    <t>C18H19NO4</t>
  </si>
  <si>
    <t>6.93_368.2215n</t>
  </si>
  <si>
    <t>6-keto PGE1</t>
  </si>
  <si>
    <t>HMDB0004241</t>
  </si>
  <si>
    <t>LMFA03010012</t>
  </si>
  <si>
    <t>C05962</t>
  </si>
  <si>
    <t>67786-53-2</t>
  </si>
  <si>
    <t>[C@H]1(/C=C/[C@@H](O)CCCCC)[C@H](O)CC(=O)[C@@H]1CC(=O)CCCCC(=O)O</t>
  </si>
  <si>
    <t>ROUDCKODIMKLNO-CTBSXBMHSA-N</t>
  </si>
  <si>
    <t>11.32_606.4145m/z</t>
  </si>
  <si>
    <t>CerP(d18:1/12:0)</t>
  </si>
  <si>
    <t>HMDB0010699</t>
  </si>
  <si>
    <t>LMSP02050001</t>
  </si>
  <si>
    <t>P(=O)(OC[C@]([H])(NC(=O)CCCCCCCCCCC)[C@]([H])(O)/C=C/CCCCCCCCCCCCC)(O)O</t>
  </si>
  <si>
    <t>KXEMZGPJXBKYJP-VARSQMIESA-N</t>
  </si>
  <si>
    <t>C30H60NO6P</t>
  </si>
  <si>
    <t>259</t>
  </si>
  <si>
    <t>Glycyl-Glycine</t>
  </si>
  <si>
    <t>HMDB0011733</t>
  </si>
  <si>
    <t>C02037</t>
  </si>
  <si>
    <t>556-50-3</t>
  </si>
  <si>
    <t>NCC(=O)NCC(O)=O</t>
  </si>
  <si>
    <t>YMAWOPBAYDPSLA-UHFFFAOYSA-N</t>
  </si>
  <si>
    <t>11.44_354.1143m/z</t>
  </si>
  <si>
    <t>PHOME</t>
  </si>
  <si>
    <t>COC1=CC2=C(C=C1)C=C(C=C2)C(C#N)OC(=O)CC3C(O3)C4=CC=CC=C4</t>
  </si>
  <si>
    <t>NZOVBSWOWQLAJG-UHFFFAOYSA-N</t>
  </si>
  <si>
    <t>C23H19NO4</t>
  </si>
  <si>
    <t>1.34_234.0857m/z</t>
  </si>
  <si>
    <t>Zalcitabine</t>
  </si>
  <si>
    <t>HMDB0015078</t>
  </si>
  <si>
    <t>C07207</t>
  </si>
  <si>
    <t>7481-89-2</t>
  </si>
  <si>
    <t>NC1=NC(=O)N(C=C1)[C@H]1CC[C@@H](CO)O1</t>
  </si>
  <si>
    <t>WREGKURFCTUGRC-POYBYMJQSA-N</t>
  </si>
  <si>
    <t>C9H13N3O3</t>
  </si>
  <si>
    <t>4.86_373.1385m/z</t>
  </si>
  <si>
    <t>Phe-Tyr</t>
  </si>
  <si>
    <t>HMDB0256384</t>
  </si>
  <si>
    <t>17355-18-9</t>
  </si>
  <si>
    <t>NC(CC1=CC=CC=C1)C(=O)NC(CC1=CC=C(O)C=C1)C(O)=O</t>
  </si>
  <si>
    <t>FSXRLASFHBWESK-UHFFFAOYSA-N</t>
  </si>
  <si>
    <t>4.26_331.1092m/z</t>
  </si>
  <si>
    <t>N-[1-(2-Cyclopropylethyl)-6-fluoro-4-hydroxy-2-oxo-1,2-dihydroquinoline-3-carbonyl]glycine</t>
  </si>
  <si>
    <t>HMDB0252957</t>
  </si>
  <si>
    <t>OC(=O)CNC(=O)C1=C(O)C2=C(C=CC(F)=C2)N(CCC2CC2)C1=O</t>
  </si>
  <si>
    <t>TYHRZQVUPPODPT-UHFFFAOYSA-N</t>
  </si>
  <si>
    <t>C17H17FN2O5</t>
  </si>
  <si>
    <t>10.59_297.1473m/z</t>
  </si>
  <si>
    <t>Glycyl-proline-1-naphthylamide</t>
  </si>
  <si>
    <t>HMDB0252835</t>
  </si>
  <si>
    <t>NCC(=O)NC(=O)C1CCCN1C1=CC=CC2=CC=CC=C12</t>
  </si>
  <si>
    <t>ISYRZPSFPJOYCQ-UHFFFAOYSA-N</t>
  </si>
  <si>
    <t>C17H19N3O2</t>
  </si>
  <si>
    <t>5.79_381.1070m/z</t>
  </si>
  <si>
    <t>2-(3-Hydroxy-1H-indol-2-yl)acetic acid</t>
  </si>
  <si>
    <t>HMDB0257584</t>
  </si>
  <si>
    <t>OC(=O)CC1=C(O)C2=CC=CC=C2N1</t>
  </si>
  <si>
    <t>LUCMHWVFHHFPOM-UHFFFAOYSA-N</t>
  </si>
  <si>
    <t>C10H9NO3</t>
  </si>
  <si>
    <t>9.50_635.2842m/z</t>
  </si>
  <si>
    <t>[(3-Hexyl-4-methyl-2-oxo-2H-chromen-7-yl)oxy]acetic acid</t>
  </si>
  <si>
    <t>HMDB0246674</t>
  </si>
  <si>
    <t>CCCCCCC1=C(C)C2=C(OC1=O)C=C(OCC(O)=O)C=C2</t>
  </si>
  <si>
    <t>RLKNMGYLNXTJGA-UHFFFAOYSA-N</t>
  </si>
  <si>
    <t>9.32_440.3386m/z</t>
  </si>
  <si>
    <t>Cholic Acid Methyl Ester</t>
  </si>
  <si>
    <t>1448-36-8</t>
  </si>
  <si>
    <t>CC(CCC(=O)OC)C1CCC2C1(C(CC3C2C(CC4C3(CCC(C4)O)C)O)O)C</t>
  </si>
  <si>
    <t>DLYVTEULDNMQAR-SRNOMOOLSA-N</t>
  </si>
  <si>
    <t>C25H42O5</t>
  </si>
  <si>
    <t>1.09_366.0418m/z</t>
  </si>
  <si>
    <t>2-(3,4-Dicarboxy-2-hydroxybutanoyl)oxypropane-1,2,3-tricarboxylic acid</t>
  </si>
  <si>
    <t>HMDB0257858</t>
  </si>
  <si>
    <t>OC(C(CC(O)=O)C(O)=O)C(=O)OC(CC(O)=O)(CC(O)=O)C(O)=O</t>
  </si>
  <si>
    <t>XIOHVNOSJIIXRK-UHFFFAOYSA-N</t>
  </si>
  <si>
    <t>C12H14O13</t>
  </si>
  <si>
    <t>3.88_600.3164m/z</t>
  </si>
  <si>
    <t>Dihydroergocryptine</t>
  </si>
  <si>
    <t>HMDB0251310</t>
  </si>
  <si>
    <t>CC(C)CC1N2C(=O)C(NC(=O)C3CC4C(CC5=CNC6=CC=CC4=C56)N(C)C3)(OC2(O)C2CCCN2C1=O)C(C)C</t>
  </si>
  <si>
    <t>PBUNVLRHZGSROC-UHFFFAOYSA-N</t>
  </si>
  <si>
    <t>C32H43N5O5</t>
  </si>
  <si>
    <t>0.72_174.1130m/z</t>
  </si>
  <si>
    <t>DL-Arginine</t>
  </si>
  <si>
    <t>HMDB0251511</t>
  </si>
  <si>
    <t>C02385</t>
  </si>
  <si>
    <t>NC(CCCN=C(N)N)C(O)=O</t>
  </si>
  <si>
    <t>ODKSFYDXXFIFQN-UHFFFAOYSA-N</t>
  </si>
  <si>
    <t>10.47_499.3049m/z</t>
  </si>
  <si>
    <t>26,26,26-trifluoro-25-hydroxyvitamin D3</t>
  </si>
  <si>
    <t>LMST03020131</t>
  </si>
  <si>
    <t>C1C(=C)/C(=C\C=C2\[C@]3([H])CC[C@@]([C@@](C)([H])CCCC(O)(C)C(F)(F)F)([H])[C@@]3(C)CCC\2)/C[C@@H](O)C1</t>
  </si>
  <si>
    <t>WBWNQJTXNKZCBN-JJQCCTCBSA-N</t>
  </si>
  <si>
    <t>C27H41F3O2</t>
  </si>
  <si>
    <t>6.11_227.1285m/z</t>
  </si>
  <si>
    <t>(-)-11-hydroxy-9,10-dihydrojasmonic acid</t>
  </si>
  <si>
    <t>LMFA02020012</t>
  </si>
  <si>
    <t>C1[C@H](CC(O)=O)[C@@H](CCCC(O)C)C(=O)C1</t>
  </si>
  <si>
    <t>ZJPORBFEYXKGKA-VXRWAFEHSA-N</t>
  </si>
  <si>
    <t>11.78_219.1749m/z</t>
  </si>
  <si>
    <t>alpha-Sinensal</t>
  </si>
  <si>
    <t>HMDB0038215</t>
  </si>
  <si>
    <t>C09729</t>
  </si>
  <si>
    <t>17909-77-2</t>
  </si>
  <si>
    <t>C\C(CC\C=C(/C)C=O)=C/C\C=C(/C)C=C</t>
  </si>
  <si>
    <t>PFSTYGCNVAVZBK-JQGMZEBDSA-N</t>
  </si>
  <si>
    <t>8.97_512.2007m/z</t>
  </si>
  <si>
    <t>trans-Zeatin-O-glucoside riboside</t>
  </si>
  <si>
    <t>HMDB0032880</t>
  </si>
  <si>
    <t>62512-97-4</t>
  </si>
  <si>
    <t>C\C(COC1OC(CO)C(O)C(O)C1O)=C/CNC1=C2N=CN(C3OC(CO)C(O)C3O)C2=NC=N1</t>
  </si>
  <si>
    <t>MVMBTNNVZQRZQT-XNWCZRBMSA-N</t>
  </si>
  <si>
    <t>C21H31N5O10</t>
  </si>
  <si>
    <t>7.54_371.1900m/z</t>
  </si>
  <si>
    <t>Neoquassin</t>
  </si>
  <si>
    <t>LMPR0106110001</t>
  </si>
  <si>
    <t>C08771</t>
  </si>
  <si>
    <t>[C@@]12(C)[C@@]3([H])CC([H])(O)O[C@]1([H])C[C@@]1([H])[C@H](C)C=C(OC)C(=O)[C@]1(C)[C@@]2([H])C(=O)C(=C3C)OC</t>
  </si>
  <si>
    <t>BDQNCUODBJZKIY-NUPPOKJBSA-N</t>
  </si>
  <si>
    <t>8.56_388.3072m/z</t>
  </si>
  <si>
    <t>3-hydroxytetradecanoylcarnitine</t>
  </si>
  <si>
    <t>HMDB0061640</t>
  </si>
  <si>
    <t>LMFA07070045</t>
  </si>
  <si>
    <t>282523-64-2</t>
  </si>
  <si>
    <t>O(C(CC(O)CCCCCCCCCCC)=O)C(CC(=O)[O-])C[N+](C)(C)C</t>
  </si>
  <si>
    <t>GFAZJTUXMHGTOC-UHFFFAOYSA-N</t>
  </si>
  <si>
    <t>0.74_435.1256m/z</t>
  </si>
  <si>
    <t>Metallibure</t>
  </si>
  <si>
    <t>HMDB0254500</t>
  </si>
  <si>
    <t>CNC(=S)NNC(=S)NC(C)C=C</t>
  </si>
  <si>
    <t>CGFFKDRVHZIQHL-UHFFFAOYSA-N</t>
  </si>
  <si>
    <t>Hydrazines and derivatives</t>
  </si>
  <si>
    <t>C7H14N4S2</t>
  </si>
  <si>
    <t>12.66_281.9326m/z</t>
  </si>
  <si>
    <t>1,1,1-Trifluoro-N-((trifluoromethyl)sulfonyl)methanesulfonamide</t>
  </si>
  <si>
    <t>HMDB0247493</t>
  </si>
  <si>
    <t>FC(F)(F)S(=O)(=O)NS(=O)(=O)C(F)(F)F</t>
  </si>
  <si>
    <t>ZXMGHDIOOHOAAE-UHFFFAOYSA-N</t>
  </si>
  <si>
    <t>C2HF6NO4S2</t>
  </si>
  <si>
    <t>10.25_576.2037m/z</t>
  </si>
  <si>
    <t>Acrimarine J</t>
  </si>
  <si>
    <t>HMDB0040386</t>
  </si>
  <si>
    <t>147395-90-2</t>
  </si>
  <si>
    <t>COC1=C(C=C2C=CC(=O)OC2=C1)C(C=C(C)C)C1=C(O)C2=C(N(C)C3=C(C=CC(O)=C3OC)C2=O)C2=C1OC(C)(C)C=C2</t>
  </si>
  <si>
    <t>ZWXOIPZATSFFPY-UHFFFAOYSA-N</t>
  </si>
  <si>
    <t>C35H33NO8</t>
  </si>
  <si>
    <t>0.64_249.1467m/z</t>
  </si>
  <si>
    <t>DIHYDROJASMONIC ACID, METHYL ESTER</t>
  </si>
  <si>
    <t>24851-98-7</t>
  </si>
  <si>
    <t>CCCCCC1C(CCC1=O)CC(=O)OC</t>
  </si>
  <si>
    <t>KVWWIYGFBYDJQC-UHFFFAOYSA-N</t>
  </si>
  <si>
    <t>9.83_395.2340m/z</t>
  </si>
  <si>
    <t>tetracosahexaenoic acid</t>
  </si>
  <si>
    <t>HMDB02007</t>
  </si>
  <si>
    <t>LMFA01030804</t>
  </si>
  <si>
    <t>C(=O)(O)/C=C/C=C/C=C/C=C/C=C/C=C/CCCCCCCCCCC</t>
  </si>
  <si>
    <t>HPSWUFMMLKGKDS-DNKOKRCQSA-N</t>
  </si>
  <si>
    <t>4.06_206.0453m/z</t>
  </si>
  <si>
    <t>4-(2-Aminophenyl)-2,4-dioxobutanoic acid</t>
  </si>
  <si>
    <t>HMDB0000978</t>
  </si>
  <si>
    <t>C01252</t>
  </si>
  <si>
    <t>90924-76-8</t>
  </si>
  <si>
    <t>NC1=C(C=CC=C1)C(=O)CC(=O)C(O)=O</t>
  </si>
  <si>
    <t>CAOVWYZQMPNAFJ-UHFFFAOYSA-N</t>
  </si>
  <si>
    <t>12.73_327.2541m/z</t>
  </si>
  <si>
    <t>16E-octadecenoic acid</t>
  </si>
  <si>
    <t>HMDB0304769</t>
  </si>
  <si>
    <t>LMFA01030081</t>
  </si>
  <si>
    <t>C(CCCCC/C=C/C)CCCCCCCCC(=O)O</t>
  </si>
  <si>
    <t>DPUHOWDIWWPPIP-NSCUHMNNSA-N</t>
  </si>
  <si>
    <t>8.42_350.2182m/z</t>
  </si>
  <si>
    <t>Tryptophyl-Lysine</t>
  </si>
  <si>
    <t>HMDB0029088</t>
  </si>
  <si>
    <t>NCCCCC(NC(=O)C(N)CC1=CNC2=C1C=CC=C2)C(O)=O</t>
  </si>
  <si>
    <t>DZHDVYLBNKMLMB-UHFFFAOYSA-N</t>
  </si>
  <si>
    <t>C17H24N4O3</t>
  </si>
  <si>
    <t>1.21_247.0736m/z</t>
  </si>
  <si>
    <t>10-phospho-2E-decenoic acid</t>
  </si>
  <si>
    <t>LMFA01050430</t>
  </si>
  <si>
    <t>C(/C=C/CCCCCCCOP(O)(O)=O)(=O)O</t>
  </si>
  <si>
    <t>NAUNHDNEXRZFSD-SOFGYWHQSA-N</t>
  </si>
  <si>
    <t>C10H19O6P</t>
  </si>
  <si>
    <t>10.21_622.3706m/z</t>
  </si>
  <si>
    <t>PC(18:0/3:1(2E))</t>
  </si>
  <si>
    <t>LMGP01010830</t>
  </si>
  <si>
    <t>[C@](COP(=O)([O-])OCC[N+](C)(C)C)([H])(OC(C=C)=O)COC(CCCCCCCCCCCCCCCCC)=O</t>
  </si>
  <si>
    <t>RWCWDKDUSFBMHO-HHHXNRCGSA-N</t>
  </si>
  <si>
    <t>C29H56NO8P</t>
  </si>
  <si>
    <t>1.00_91.0298m/z</t>
  </si>
  <si>
    <t>Pyrimidin-4-yl-Methanol</t>
  </si>
  <si>
    <t>33581-98-5</t>
  </si>
  <si>
    <t>C1=CN=CN=C1CO</t>
  </si>
  <si>
    <t>OEYVFRVNVPKHQQ-UHFFFAOYSA-N</t>
  </si>
  <si>
    <t>C5H6N2O</t>
  </si>
  <si>
    <t>7.47_229.1442m/z</t>
  </si>
  <si>
    <t>Dodecanedioic acid</t>
  </si>
  <si>
    <t>HMDB0000623</t>
  </si>
  <si>
    <t>LMFA01170009</t>
  </si>
  <si>
    <t>C02678</t>
  </si>
  <si>
    <t>693-23-2</t>
  </si>
  <si>
    <t>C(CCCCCCCCCCC(=O)O)(=O)O</t>
  </si>
  <si>
    <t>TVIDDXQYHWJXFK-UHFFFAOYSA-N</t>
  </si>
  <si>
    <t>14.46_427.2468m/z</t>
  </si>
  <si>
    <t>3alpha-Hydroxy-7,12-dioxo-5beta-cholan-24-oic Acid</t>
  </si>
  <si>
    <t>LMST04010192</t>
  </si>
  <si>
    <t>C1[C@]2(C)[C@@]3([H])CC(=O)[C@]4(C)[C@@]([H])([C@]([H])(C)CCC(O)=O)CC[C@@]4([H])[C@]3([H])C(=O)C[C@]2([H])C[C@H](O)C1</t>
  </si>
  <si>
    <t>MAFJMPFLJJCSTB-FQBQTYDJSA-N</t>
  </si>
  <si>
    <t>4.59_700.9583m/z</t>
  </si>
  <si>
    <t>Guanosine 3'-diphosphate 5'-triphosphate</t>
  </si>
  <si>
    <t>HMDB0060480</t>
  </si>
  <si>
    <t>C04494</t>
  </si>
  <si>
    <t>[H][C@]1(COP(O)(=O)OP(O)(=O)OP(O)(O)=O)O[C@@]([H])(N2C=NC3=C2NC(=N)N=C3O)[C@]([H])(O)[C@]1([H])OP(O)(=O)OP(O)(O)=O</t>
  </si>
  <si>
    <t>KCPMACXZAITQAX-UUOKFMHZSA-N</t>
  </si>
  <si>
    <t>C10H18N5O20P5</t>
  </si>
  <si>
    <t>6.66_141.0662m/z</t>
  </si>
  <si>
    <t>(1-Methyl-1h-imidazol-2-yl)-acetic acid</t>
  </si>
  <si>
    <t>HMDB0242285</t>
  </si>
  <si>
    <t>C05828</t>
  </si>
  <si>
    <t>2625-49-2</t>
  </si>
  <si>
    <t>CN1C=CN=C1CC(O)=O</t>
  </si>
  <si>
    <t>MGIKMFCKRKDEIK-UHFFFAOYSA-N</t>
  </si>
  <si>
    <t>4.83_554.2626m/z</t>
  </si>
  <si>
    <t>PC(18:4(9E,11E,13E,15E)/0:0)</t>
  </si>
  <si>
    <t>LMGP01050040</t>
  </si>
  <si>
    <t>[C@](COP(=O)([O-])OCC[N+](C)(C)C)([H])(O)COC(CCCCCCC/C=C/C=C/C=C/C=C/CC)=O</t>
  </si>
  <si>
    <t>WAONNIUKGSJGOR-GKRNIWGMSA-N</t>
  </si>
  <si>
    <t>5.02_389.0939m/z</t>
  </si>
  <si>
    <t>7,7,8,8-Tetrakis(methoxydiazenyl)bicyclo[4.2.0]octa-1(6),3-diene-2,5-dione</t>
  </si>
  <si>
    <t>HMDB0258044</t>
  </si>
  <si>
    <t>CON=NC1(N=NOC)C2=C(C(=O)C=CC2=O)C1(N=NOC)N=NOC</t>
  </si>
  <si>
    <t>BLAGUIMGURIBCO-UHFFFAOYSA-N</t>
  </si>
  <si>
    <t>C12H14N8O6</t>
  </si>
  <si>
    <t>4.62_635.2688m/z</t>
  </si>
  <si>
    <t>16alpha-acetoxycalotropin</t>
  </si>
  <si>
    <t>LMST01120047</t>
  </si>
  <si>
    <t>C1[C@@]2([H])O[C@@]3(O)[C@@H](O)C[C@@H](C)O[C@@]3([H])O[C@]2([H])C[C@]2([H])CC[C@@]3([H])[C@]4(C[C@@H](OC(=O)C)[C@H](C5=CC(=O)OC5)[C@@]4(C)CC[C@]3([H])[C@@]12C=O)O</t>
  </si>
  <si>
    <t>BMPDNBQADRWROC-MVELXVHSSA-N</t>
  </si>
  <si>
    <t>C31H42O11</t>
  </si>
  <si>
    <t>13.95_256.2642m/z</t>
  </si>
  <si>
    <t>3-Methylcyclopentadecanone</t>
  </si>
  <si>
    <t>HMDB0034181</t>
  </si>
  <si>
    <t>541-91-3</t>
  </si>
  <si>
    <t>CC1CCCCCCCCCCCCC(=O)C1</t>
  </si>
  <si>
    <t>ALHUZKCOMYUFRB-UHFFFAOYSA-N</t>
  </si>
  <si>
    <t>5.71_656.3424m/z</t>
  </si>
  <si>
    <t>PKHdiA-PG</t>
  </si>
  <si>
    <t>LMGP20060012</t>
  </si>
  <si>
    <t>[H][C@](O)(CO)COP(OC[C@]([H])(OC(CCC(=O)/C=C/C(=O)O)=O)COC(CCCCCCCCCCCCCCC)=O)(=O)O</t>
  </si>
  <si>
    <t>HFRLZWODHFDKDW-LNOZMOLCSA-N</t>
  </si>
  <si>
    <t>C29H51O13P</t>
  </si>
  <si>
    <t>0.78_218.0247m/z</t>
  </si>
  <si>
    <t>Fudosteine</t>
  </si>
  <si>
    <t>HMDB0252511</t>
  </si>
  <si>
    <t>NC(CSCCCO)C(O)=O</t>
  </si>
  <si>
    <t>KINWYTAUPKOPCQ-UHFFFAOYSA-N</t>
  </si>
  <si>
    <t>11.49_344.2805m/z</t>
  </si>
  <si>
    <t>Ceriporic acid A</t>
  </si>
  <si>
    <t>LMFA01170126</t>
  </si>
  <si>
    <t>C(C(=C)[C@H](C(O)=O)CCCCCCCCCCCCCC)(=O)O</t>
  </si>
  <si>
    <t>CJCOOGIIQHVIQI-QGZVFWFLSA-N</t>
  </si>
  <si>
    <t>0.78_130.0460m/z</t>
  </si>
  <si>
    <t>2,4-Difluoroaniline</t>
  </si>
  <si>
    <t>HMDB0245451</t>
  </si>
  <si>
    <t>NC1=C(F)C=C(F)C=C1</t>
  </si>
  <si>
    <t>CEPCPXLLFXPZGW-UHFFFAOYSA-N</t>
  </si>
  <si>
    <t>C6H5F2N</t>
  </si>
  <si>
    <t>4.15_322.1646m/z</t>
  </si>
  <si>
    <t>Deca-3,5,7-trienedioylcarnitine</t>
  </si>
  <si>
    <t>HMDB0241129</t>
  </si>
  <si>
    <t>C[N+](C)(C)CC(CC([O-])=O)OC(=O)CC=CC=CC=CCC(O)=O</t>
  </si>
  <si>
    <t>ZFCRMARQYOXJRV-UHFFFAOYSA-N</t>
  </si>
  <si>
    <t>C17H25NO6</t>
  </si>
  <si>
    <t>11.51_618.3393m/z</t>
  </si>
  <si>
    <t>OHOHA-PE</t>
  </si>
  <si>
    <t>LMGP20020042</t>
  </si>
  <si>
    <t>[C@](COP(=O)(O)OCCN)([H])(OC(CCC(O)/C=C/C=O)=O)COC(CCCCCCC/C=C\CCCCCCCC)=O</t>
  </si>
  <si>
    <t>AKIIAWKLBFLQGS-ZLUMNJMASA-N</t>
  </si>
  <si>
    <t>C30H54NO10P</t>
  </si>
  <si>
    <t>190</t>
  </si>
  <si>
    <t>2,4-Dihydroxy-Butanoic Acid</t>
  </si>
  <si>
    <t>HMDB0000360</t>
  </si>
  <si>
    <t>LMFA01050385</t>
  </si>
  <si>
    <t>1518-62-3</t>
  </si>
  <si>
    <t>C(=O)(O)C(O)CCO</t>
  </si>
  <si>
    <t>UFYGCFHQAXXBCF-UHFFFAOYSA-N</t>
  </si>
  <si>
    <t>4.43_207.0077m/z</t>
  </si>
  <si>
    <t>N-Nitrosothiazolidine-4-carboxylic acid</t>
  </si>
  <si>
    <t>HMDB0040192</t>
  </si>
  <si>
    <t>86594-16-3</t>
  </si>
  <si>
    <t>OC(=O)C1CSCN1N=O</t>
  </si>
  <si>
    <t>LGLMHMRNPVACGS-UHFFFAOYSA-N</t>
  </si>
  <si>
    <t>C4H6N2O3S</t>
  </si>
  <si>
    <t>11.53_479.3381m/z</t>
  </si>
  <si>
    <t>3alpha,7alpha-Dihydroxy-5beta-cholestan-26-oic acid</t>
  </si>
  <si>
    <t>HMDB0000359</t>
  </si>
  <si>
    <t>LMST04030066</t>
  </si>
  <si>
    <t>17974-66-2</t>
  </si>
  <si>
    <t>C1[C@]2(C)[C@@]3([H])CC[C@]4(C)[C@@]([H])([C@]([H])(C)CCCC(C)C(O)=O)CC[C@@]4([H])[C@]3([H])[C@H](O)C[C@]2([H])C[C@H](O)C1</t>
  </si>
  <si>
    <t>ITZYGDKGRKKBSN-HKFUITGCSA-N</t>
  </si>
  <si>
    <t>4.61_211.1447m/z</t>
  </si>
  <si>
    <t>L,L-Cyclo(leucylprolyl)</t>
  </si>
  <si>
    <t>HMDB0034276</t>
  </si>
  <si>
    <t>2873-36-1</t>
  </si>
  <si>
    <t>CC(C)CC1C(=O)N2CCCC2C(=O)N1</t>
  </si>
  <si>
    <t>SZJNCZMRZAUNQT-UHFFFAOYSA-N</t>
  </si>
  <si>
    <t>C11H18N2O2</t>
  </si>
  <si>
    <t>6.43_225.0764m/z</t>
  </si>
  <si>
    <t>3-Carboxy-4-methyl-5-ethyl-2-furanpropionic acid</t>
  </si>
  <si>
    <t>HMDB0244411</t>
  </si>
  <si>
    <t>CCC1=C(C)C(C(O)=O)=C(CCC(O)=O)O1</t>
  </si>
  <si>
    <t>LOHNKCJVXLFVMW-UHFFFAOYSA-N</t>
  </si>
  <si>
    <t>0.62_145.0971m/z</t>
  </si>
  <si>
    <t>(3S,5S)-3,5-Diaminohexanoate</t>
  </si>
  <si>
    <t>HMDB0012115</t>
  </si>
  <si>
    <t>C01186</t>
  </si>
  <si>
    <t>17027-83-7</t>
  </si>
  <si>
    <t>C[C@H](N)C[C@H](N)CC(O)=O</t>
  </si>
  <si>
    <t>NGDLSXMSQYUVSJ-WHFBIAKZSA-N</t>
  </si>
  <si>
    <t>11.94_278.2493m/z</t>
  </si>
  <si>
    <t>6-[1]-ladderane hexanol</t>
  </si>
  <si>
    <t>LMFA01140088</t>
  </si>
  <si>
    <t>C(CCC1C=CC2C3CCC=CC3C2C1)CCCO</t>
  </si>
  <si>
    <t>WNGSQFREFUKQMP-UHFFFAOYSA-N</t>
  </si>
  <si>
    <t>6.89_460.1704m/z</t>
  </si>
  <si>
    <t>Sabeluzole</t>
  </si>
  <si>
    <t>HMDB0257434</t>
  </si>
  <si>
    <t>CN(C1CCN(CC(O)COC2=CC=C(F)C=C2)CC1)C1=NC2=CC=CC=C2S1</t>
  </si>
  <si>
    <t>IGMKTIJBFUMVIN-UHFFFAOYSA-N</t>
  </si>
  <si>
    <t>C22H26FN3O2S</t>
  </si>
  <si>
    <t>5.08_378.1130m/z</t>
  </si>
  <si>
    <t>VAS2870</t>
  </si>
  <si>
    <t>HMDB0259768</t>
  </si>
  <si>
    <t>C(N1N=NC2=C1N=CN=C2SC1=NC2=CC=CC=C2O1)C1=CC=CC=C1</t>
  </si>
  <si>
    <t>HZSOKHVVANONPV-UHFFFAOYSA-N</t>
  </si>
  <si>
    <t>C18H12N6OS</t>
  </si>
  <si>
    <t>1.09_374.0980m/z</t>
  </si>
  <si>
    <t>S-(2-Hydroxyethyl)glutathione</t>
  </si>
  <si>
    <t>HMDB0062525</t>
  </si>
  <si>
    <t>C14875</t>
  </si>
  <si>
    <t>R-HSA-1430728,R-HSA-156580,R-HSA-156590,R-HSA-211859</t>
  </si>
  <si>
    <t>Metabolism|Phase II - Conjugation of compounds|Glutathione conjugation|Biological oxidations</t>
  </si>
  <si>
    <t>28747-20-8</t>
  </si>
  <si>
    <t>[H][C@](N)(CCC(O)=N[C@@]([H])(CSCCO)C(O)=NCC(O)=O)C(O)=O</t>
  </si>
  <si>
    <t>UUZCUSQQEJSIHR-YUMQZZPRSA-N</t>
  </si>
  <si>
    <t>C12H21N3O7S</t>
  </si>
  <si>
    <t>217</t>
  </si>
  <si>
    <t>Tetritol</t>
  </si>
  <si>
    <t>C(C(C(CO)O)O)O</t>
  </si>
  <si>
    <t>UNXHWFMMPAWVPI-UHFFFAOYSA-N</t>
  </si>
  <si>
    <t>302</t>
  </si>
  <si>
    <t>Beta-Glycerophosphoric Acid</t>
  </si>
  <si>
    <t>HMDB0002520</t>
  </si>
  <si>
    <t>C02979</t>
  </si>
  <si>
    <t>17181-54-3</t>
  </si>
  <si>
    <t>OCC(CO)OP(O)(O)=O</t>
  </si>
  <si>
    <t>DHCLVCXQIBBOPH-UHFFFAOYSA-N</t>
  </si>
  <si>
    <t>1.20_411.1071m/z</t>
  </si>
  <si>
    <t>Isoeugenitol</t>
  </si>
  <si>
    <t>HMDB0029472</t>
  </si>
  <si>
    <t>479-06-1</t>
  </si>
  <si>
    <t>CC1=CC(=O)C2=C(O)C=C(O)C(C)=C2O1</t>
  </si>
  <si>
    <t>XSSGQRFNGHRFBC-UHFFFAOYSA-N</t>
  </si>
  <si>
    <t>C11H10O4</t>
  </si>
  <si>
    <t>0.62_349.0606m/z</t>
  </si>
  <si>
    <t>4-(2,6-Dioxo-1-propyl-3,7-dihydropurin-8-yl)benzenesulfonic acid</t>
  </si>
  <si>
    <t>HMDB0256891</t>
  </si>
  <si>
    <t>CCCN1C(=O)NC2=C(NC(=N2)C2=CC=C(C=C2)S(O)(=O)=O)C1=O</t>
  </si>
  <si>
    <t>UYDRRQPGDSIMNU-UHFFFAOYSA-N</t>
  </si>
  <si>
    <t>C14H14N4O5S</t>
  </si>
  <si>
    <t>10.07_205.1956m/z</t>
  </si>
  <si>
    <t>(-)-Drimenol</t>
  </si>
  <si>
    <t>LMPR0103370001</t>
  </si>
  <si>
    <t>C19743</t>
  </si>
  <si>
    <t>C1C[C@]2(C)[C@@H](CO)C(C)=CC[C@@]2([H])C(C)(C)C1</t>
  </si>
  <si>
    <t>HMWSKUKBAWWOJL-KCQAQPDRSA-N</t>
  </si>
  <si>
    <t>9.66_426.2627m/z</t>
  </si>
  <si>
    <t>PE(14:0/0:0)</t>
  </si>
  <si>
    <t>HMDB0011500</t>
  </si>
  <si>
    <t>LMGP02050003</t>
  </si>
  <si>
    <t>[C@](COP(=O)(O)OCCN)([H])(O)COC(CCCCCCCCCCCCC)=O</t>
  </si>
  <si>
    <t>RPXHXZNGZBHSMJ-GOSISDBHSA-N</t>
  </si>
  <si>
    <t>C19H40NO7P</t>
  </si>
  <si>
    <t>6.73_338.2335m/z</t>
  </si>
  <si>
    <t>3-Hydroxydodeca-7,10-dienoylcarnitine</t>
  </si>
  <si>
    <t>HMDB0241249</t>
  </si>
  <si>
    <t>CC=CCC=CCCCC(O)CC(=O)OC(CC([O-])=O)C[N+](C)(C)C</t>
  </si>
  <si>
    <t>MNGIHRWEPVFTTG-UHFFFAOYSA-N</t>
  </si>
  <si>
    <t>C19H33NO5</t>
  </si>
  <si>
    <t>1.66_251.1036m/z</t>
  </si>
  <si>
    <t>Alanyltyrosine</t>
  </si>
  <si>
    <t>HMDB0028699</t>
  </si>
  <si>
    <t>3061-88-9</t>
  </si>
  <si>
    <t>C[C@H](N)C(=O)N[C@@H](CC1=CC=C(O)C=C1)C(O)=O</t>
  </si>
  <si>
    <t>ALZVPLKYDKJKQU-XVKPBYJWSA-N</t>
  </si>
  <si>
    <t>14.18_376.2858m/z</t>
  </si>
  <si>
    <t>4(5)-EpDPE methyl ester</t>
  </si>
  <si>
    <t>121818-29-9</t>
  </si>
  <si>
    <t>CCC=CCC=CCC=CCC=CCC=CCC1C(O1)CCC(=O)OC</t>
  </si>
  <si>
    <t>WBYKJDXNMZXEMM-JEBPEJKESA-N</t>
  </si>
  <si>
    <t>C23H34O3</t>
  </si>
  <si>
    <t>5.28_148.0760m/z</t>
  </si>
  <si>
    <t>Cinnamamide</t>
  </si>
  <si>
    <t>HMDB0250263</t>
  </si>
  <si>
    <t>NC(=O)C=CC1=CC=CC=C1</t>
  </si>
  <si>
    <t>APEJMQOBVMLION-UHFFFAOYSA-N</t>
  </si>
  <si>
    <t>Cinnamic acid amides</t>
  </si>
  <si>
    <t>C9H9NO</t>
  </si>
  <si>
    <t>11.77_356.2806m/z</t>
  </si>
  <si>
    <t>(4E,8E,9Me-d19:2)sphingosine</t>
  </si>
  <si>
    <t>LMSP01080012</t>
  </si>
  <si>
    <t>C([C@H](N)[C@H](O)/C=C/CC/C=C(\C)/CCCCCCCCC)O</t>
  </si>
  <si>
    <t>QCUHPIBMMDIRKL-JWBJMZHVSA-N</t>
  </si>
  <si>
    <t>C19H37NO2</t>
  </si>
  <si>
    <t>4.20_639.2826m/z</t>
  </si>
  <si>
    <t>Cucurbitacin B 2-sulfate</t>
  </si>
  <si>
    <t>HMDB0250580</t>
  </si>
  <si>
    <t>CC(=O)OC(C)(C)C=CC(=O)C(C)(O)C1C(O)CC2(C)C3CC=C4C(CC(OS(O)(=O)=O)C(=O)C4(C)C)C3(C)C(=O)CC12C</t>
  </si>
  <si>
    <t>OCFTZYJLDGPTQM-UHFFFAOYSA-N</t>
  </si>
  <si>
    <t>C32H46O11S</t>
  </si>
  <si>
    <t>10.99_445.1732m/z</t>
  </si>
  <si>
    <t>Crosatoside B</t>
  </si>
  <si>
    <t>HMDB0039253</t>
  </si>
  <si>
    <t>139742-28-2</t>
  </si>
  <si>
    <t>CC1OC(OC2C(O)C(O)C(CO)OC2OCCC2=CC=C(O)C=C2)C(O)C(O)C1O</t>
  </si>
  <si>
    <t>BMZAMCOQJLZXCY-UHFFFAOYSA-N</t>
  </si>
  <si>
    <t>C20H30O11</t>
  </si>
  <si>
    <t>11.49_305.2483m/z</t>
  </si>
  <si>
    <t>5S-HETrE</t>
  </si>
  <si>
    <t>LMFA03050005</t>
  </si>
  <si>
    <t>C(/C/C=C\CCCCCCCC)=C/C=C/[C@@H](O)CCCC(=O)O</t>
  </si>
  <si>
    <t>LSADDRSUZRRBAN-FDSUASFTSA-N</t>
  </si>
  <si>
    <t>8.93_293.1969m/z</t>
  </si>
  <si>
    <t>Physostigmine</t>
  </si>
  <si>
    <t>HMDB0015116</t>
  </si>
  <si>
    <t>C06535</t>
  </si>
  <si>
    <t>57-47-6</t>
  </si>
  <si>
    <t>[H][C@]12N(C)CC[C@@]1(C)C1=C(C=CC(OC(=O)NC)=C1)N2C</t>
  </si>
  <si>
    <t>PIJVFDBKTWXHHD-HIFRSBDPSA-N</t>
  </si>
  <si>
    <t>C15H21N3O2</t>
  </si>
  <si>
    <t>14.57_497.2946m/z</t>
  </si>
  <si>
    <t>Desmethylnortriptyline</t>
  </si>
  <si>
    <t>HMDB0060531</t>
  </si>
  <si>
    <t>4444-42-2</t>
  </si>
  <si>
    <t>NCCC=C1C2=CC=CC=C2CCC2=CC=CC=C12</t>
  </si>
  <si>
    <t>PTQFRALDEONNOA-UHFFFAOYSA-N</t>
  </si>
  <si>
    <t>C18H19N</t>
  </si>
  <si>
    <t>7.33_363.0442m/z</t>
  </si>
  <si>
    <t>Dipropyl trisulfide</t>
  </si>
  <si>
    <t>HMDB0032825</t>
  </si>
  <si>
    <t>6028-61-1</t>
  </si>
  <si>
    <t>CCCSSSCCC</t>
  </si>
  <si>
    <t>GAZXPZNJTZIGBO-UHFFFAOYSA-N</t>
  </si>
  <si>
    <t>Organic trisulfides</t>
  </si>
  <si>
    <t>C6H14S3</t>
  </si>
  <si>
    <t>540</t>
  </si>
  <si>
    <t>10,12-Docosadiynedioic Acid</t>
  </si>
  <si>
    <t>C(CCCCC(=O)O)CCCC#CC#CCCCCCCCCC(=O)O</t>
  </si>
  <si>
    <t>XCUAGNLOPZWTEH-UHFFFAOYSA-N</t>
  </si>
  <si>
    <t>12.42_345.2255m/z</t>
  </si>
  <si>
    <t>apo-[3-methylcrotonoyl-CoA:carbon-dioxide ligase (ADP-forming)]</t>
  </si>
  <si>
    <t>HMDB0059607</t>
  </si>
  <si>
    <t>NCCCC[C@H](NC=O)C(N)=O</t>
  </si>
  <si>
    <t>DKPYGQKMNSGPGT-LURJTMIESA-N</t>
  </si>
  <si>
    <t>3.61_633.1172m/z</t>
  </si>
  <si>
    <t>Nilutamide</t>
  </si>
  <si>
    <t>HMDB0014803</t>
  </si>
  <si>
    <t>C08164</t>
  </si>
  <si>
    <t>63612-50-0</t>
  </si>
  <si>
    <t>CC1(C)NC(=O)N(C1=O)C1=CC(=C(C=C1)[N+]([O-])=O)C(F)(F)F</t>
  </si>
  <si>
    <t>XWXYUMMDTVBTOU-UHFFFAOYSA-N</t>
  </si>
  <si>
    <t>C12H10F3N3O4</t>
  </si>
  <si>
    <t>11.84_492.3337m/z</t>
  </si>
  <si>
    <t>Glycolipids</t>
  </si>
  <si>
    <t>HMDB0302365</t>
  </si>
  <si>
    <t>CCCCCCCCCCCCC\C=C\[C@@H](O)[C@H](COP(=O)(O)OCC[N+](C)(C)C)NC=O</t>
  </si>
  <si>
    <t>LRYZPFWEZHSTHD-HEFFAWAOSA-O</t>
  </si>
  <si>
    <t>C24H50N2O6P+</t>
  </si>
  <si>
    <t>9.91_303.2331m/z</t>
  </si>
  <si>
    <t>2,4-decadienal</t>
  </si>
  <si>
    <t>LMFA06000057</t>
  </si>
  <si>
    <t>25152-84-5</t>
  </si>
  <si>
    <t>CCCCC/C=C/C=C/C([H])=O</t>
  </si>
  <si>
    <t>JZQKTMZYLHNFPL-BLHCBFLLSA-N</t>
  </si>
  <si>
    <t>4.46_344.2192m/z</t>
  </si>
  <si>
    <t>Ile Leu Thr</t>
  </si>
  <si>
    <t>CCC(C)C(C(=O)NC(CC(C)C)C(=O)NC(C(C)O)C(=O)O)N</t>
  </si>
  <si>
    <t>PHRWFSFCNJPWRO-PPCPHDFISA-N</t>
  </si>
  <si>
    <t>C16H31N3O5</t>
  </si>
  <si>
    <t>10.84_438.2998m/z</t>
  </si>
  <si>
    <t>PE(O-16:0/0:0)</t>
  </si>
  <si>
    <t>LMGP02060002</t>
  </si>
  <si>
    <t>[C@](COP(=O)(O)OCCN)([H])(O)COCCCCCCCCCCCCCCCC</t>
  </si>
  <si>
    <t>OKXWJISJKQKUTN-OAQYLSRUSA-N</t>
  </si>
  <si>
    <t>C21H46NO6P</t>
  </si>
  <si>
    <t>0.99_343.1628m/z</t>
  </si>
  <si>
    <t>Val Asp Gln</t>
  </si>
  <si>
    <t>CC(C)C(C(=O)NC(CC(=O)O)C(=O)NC(CCC(=O)N)C(=O)O)N</t>
  </si>
  <si>
    <t>VUTHNLMCXKLLFI-LAEOZQHASA-N</t>
  </si>
  <si>
    <t>C14H24N4O7</t>
  </si>
  <si>
    <t>14.19_687.5060m/z</t>
  </si>
  <si>
    <t>Bempedoic acid</t>
  </si>
  <si>
    <t>HMDB0251991</t>
  </si>
  <si>
    <t>CC(C)(CCCCCC(O)CCCCCC(C)(C)C(O)=O)C(O)=O</t>
  </si>
  <si>
    <t>HYHMLYSLQUKXKP-UHFFFAOYSA-N</t>
  </si>
  <si>
    <t>C19H36O5</t>
  </si>
  <si>
    <t>1.21_269.0760m/z</t>
  </si>
  <si>
    <t>5,6-Dihydrouridine</t>
  </si>
  <si>
    <t>HMDB0000497</t>
  </si>
  <si>
    <t>5627-05-4</t>
  </si>
  <si>
    <t>OC[C@H]1O[C@H]([C@H](O)[C@@H]1O)N1CCC(=O)NC1=O</t>
  </si>
  <si>
    <t>ZPTBLXKRQACLCR-XVFCMESISA-N</t>
  </si>
  <si>
    <t>C9H14N2O6</t>
  </si>
  <si>
    <t>14.26_417.3377m/z</t>
  </si>
  <si>
    <t>7-Hydroperoxycholesterol</t>
  </si>
  <si>
    <t>HMDB0247254</t>
  </si>
  <si>
    <t>CC(C)CCCC(C)C1CCC2C3C(OO)C=C4CC(O)CCC4(C)C3CCC12C</t>
  </si>
  <si>
    <t>KJIGLXGIVLBXCF-UHFFFAOYSA-N</t>
  </si>
  <si>
    <t>3.50_346.1986m/z</t>
  </si>
  <si>
    <t>Val Ile Asp</t>
  </si>
  <si>
    <t>CCC(C)C(C(=O)NC(CC(=O)O)C(=O)O)NC(=O)C(C(C)C)N</t>
  </si>
  <si>
    <t>LKUDRJSNRWVGMS-QSFUFRPTSA-N</t>
  </si>
  <si>
    <t>14.82_449.2945m/z</t>
  </si>
  <si>
    <t>1-Phenyl-2-benzylaminopropane</t>
  </si>
  <si>
    <t>HMDB0255723</t>
  </si>
  <si>
    <t>CC(CC1=CC=CC=C1)NCC1=CC=CC=C1</t>
  </si>
  <si>
    <t>JLCDKDGHTWGGQM-UHFFFAOYSA-N</t>
  </si>
  <si>
    <t>C16H19N</t>
  </si>
  <si>
    <t>6.29_414.3379m/z</t>
  </si>
  <si>
    <t>Leptinidine</t>
  </si>
  <si>
    <t>LMST01150009</t>
  </si>
  <si>
    <t>C1[C@]2(C)[C@@]3([H])CC[C@]4(C)[C@H]5[C@H](C)[C@@]6([H])[C@@H](O)C[C@H](C)CN6[C@H]5C[C@@]4([H])[C@]3([H])CC=C2C[C@@H](O)C1</t>
  </si>
  <si>
    <t>RFIYLZGMGGONQR-QFJXAUAASA-N</t>
  </si>
  <si>
    <t>C27H43NO2</t>
  </si>
  <si>
    <t>3.64_265.1194m/z</t>
  </si>
  <si>
    <t>Eltoprazine</t>
  </si>
  <si>
    <t>HMDB0251757</t>
  </si>
  <si>
    <t>C1CN(CCN1)C1=C2OCCOC2=CC=C1</t>
  </si>
  <si>
    <t>WVLHGCRWEHCIOT-UHFFFAOYSA-N</t>
  </si>
  <si>
    <t>C12H16N2O2</t>
  </si>
  <si>
    <t>11.49_313.1607m/z</t>
  </si>
  <si>
    <t>10-(2-(Diethylamino)propyl)-10H-pyrido(3,2-b)(1,4)benzothiazine</t>
  </si>
  <si>
    <t>HMDB0250729</t>
  </si>
  <si>
    <t>CCN(CC)C(C)CN1C2=CC=CC=C2SC2=C1N=CC=C2</t>
  </si>
  <si>
    <t>JDONXTPPNMVDHF-UHFFFAOYSA-N</t>
  </si>
  <si>
    <t>C18H23N3S</t>
  </si>
  <si>
    <t>13.70_357.2801m/z</t>
  </si>
  <si>
    <t>6Z,9Z,12Z,15Z,18Z-tetracosapentaenoic acid</t>
  </si>
  <si>
    <t>HMDB0006322</t>
  </si>
  <si>
    <t>LMFA01030820</t>
  </si>
  <si>
    <t>C(CCCC/C=C\C/C=C\C/C=C\C/C=C\C/C=C\CCCCC)(=O)O</t>
  </si>
  <si>
    <t>VENRYLMOFDSSDJ-WMPRHZDHSA-N</t>
  </si>
  <si>
    <t>C24H38O2</t>
  </si>
  <si>
    <t>9.40_225.1492m/z</t>
  </si>
  <si>
    <t>3-Methyl-5-pentyl-2-furanpropanoic acid</t>
  </si>
  <si>
    <t>HMDB0112084</t>
  </si>
  <si>
    <t>69662-69-7</t>
  </si>
  <si>
    <t>CCCCCC1=CC(C)=C(CCC(O)=O)O1</t>
  </si>
  <si>
    <t>QZGKHISFVLMXCZ-UHFFFAOYSA-N</t>
  </si>
  <si>
    <t>4.93_179.0821m/z</t>
  </si>
  <si>
    <t>2-(Ethylamino)-4,5-dihydroxybenzamide</t>
  </si>
  <si>
    <t>HMDB0032852</t>
  </si>
  <si>
    <t>127793-87-7</t>
  </si>
  <si>
    <t>CCNC1=CC(O)=C(O)C=C1C(N)=O</t>
  </si>
  <si>
    <t>VAWDXOCBSZJIEL-UHFFFAOYSA-N</t>
  </si>
  <si>
    <t>C9H12N2O3</t>
  </si>
  <si>
    <t>3.36_360.2145m/z</t>
  </si>
  <si>
    <t>Dodeca-3,5,7-trienoylcarnitine</t>
  </si>
  <si>
    <t>HMDB0241277</t>
  </si>
  <si>
    <t>CCCCC=CC=CC=CCC(=O)OC(CC([O-])=O)C[N+](C)(C)C</t>
  </si>
  <si>
    <t>CDROSEFYTNGSSF-UHFFFAOYSA-N</t>
  </si>
  <si>
    <t>C19H31NO4</t>
  </si>
  <si>
    <t>0.74_394.0745m/z</t>
  </si>
  <si>
    <t>Diflufenican</t>
  </si>
  <si>
    <t>HMDB0251262</t>
  </si>
  <si>
    <t>C18549</t>
  </si>
  <si>
    <t>83164-33-4</t>
  </si>
  <si>
    <t>FC1=CC(F)=C(NC(=O)C2=C(OC3=CC=CC(=C3)C(F)(F)F)N=CC=C2)C=C1</t>
  </si>
  <si>
    <t>WYEHFWKAOXOVJD-UHFFFAOYSA-N</t>
  </si>
  <si>
    <t>C19H11F5N2O2</t>
  </si>
  <si>
    <t>1.58_213.0376m/z</t>
  </si>
  <si>
    <t>fluorobenzoylpropionic acid</t>
  </si>
  <si>
    <t>HMDB0060951</t>
  </si>
  <si>
    <t>84313-94-0</t>
  </si>
  <si>
    <t>OC(=O)CCC(=O)C1=CC(F)=C(F)C=C1</t>
  </si>
  <si>
    <t>GYDFFFKCUNUZEL-UHFFFAOYSA-N</t>
  </si>
  <si>
    <t>C10H8F2O3</t>
  </si>
  <si>
    <t>9.38_226.1445m/z</t>
  </si>
  <si>
    <t>Elemicin</t>
  </si>
  <si>
    <t>HMDB0033778</t>
  </si>
  <si>
    <t>C10451</t>
  </si>
  <si>
    <t>487-11-6</t>
  </si>
  <si>
    <t>COC1=CC(CC=C)=CC(OC)=C1OC</t>
  </si>
  <si>
    <t>BPLQKQKXWHCZSS-UHFFFAOYSA-N</t>
  </si>
  <si>
    <t>0.51_152.1155m/z</t>
  </si>
  <si>
    <t>1,4,7-Triazacyclononane</t>
  </si>
  <si>
    <t>HMDB0244224</t>
  </si>
  <si>
    <t>C1CNCCNCCN1</t>
  </si>
  <si>
    <t>ITWBWJFEJCHKSN-UHFFFAOYSA-N</t>
  </si>
  <si>
    <t>C6H15N3</t>
  </si>
  <si>
    <t>0.73_209.0660m/z</t>
  </si>
  <si>
    <t>L-rhamnofuranose</t>
  </si>
  <si>
    <t>HMDB0304405</t>
  </si>
  <si>
    <t>C02431</t>
  </si>
  <si>
    <t>[H][C@]1(OC(O)[C@H](O)[C@@H]1O)[C@H](C)O</t>
  </si>
  <si>
    <t>AFNUZVCFKQUDBJ-ZZWDRFIYSA-N</t>
  </si>
  <si>
    <t>10.31_429.3011m/z</t>
  </si>
  <si>
    <t>Isonarthogenin</t>
  </si>
  <si>
    <t>LMST01080063</t>
  </si>
  <si>
    <t>[C@]12(CC=C3C[C@@H](O)CC[C@]3(C)[C@@]1([H])CC[C@]1(C)[C@H]3[C@@H]([C@]4(OC[C@H](CO)CC4)O[C@H]3C[C@@]21[H])C)[H]</t>
  </si>
  <si>
    <t>NZQMLFKQRZBSPM-CAKNJAFZSA-N</t>
  </si>
  <si>
    <t>1.17_173.0923m/z</t>
  </si>
  <si>
    <t>N5-Acetylornithine</t>
  </si>
  <si>
    <t>HMDB0240589</t>
  </si>
  <si>
    <t>2185-16-2</t>
  </si>
  <si>
    <t>CC(=O)NCCC[C@H](N)C(O)=O</t>
  </si>
  <si>
    <t>SRXKAYJJGAAOBP-LURJTMIESA-N</t>
  </si>
  <si>
    <t>4.63_419.1676n</t>
  </si>
  <si>
    <t>Acorafloxacin</t>
  </si>
  <si>
    <t>HMDB0247964</t>
  </si>
  <si>
    <t>COC1=C2N(C=C(C(O)=O)C(=O)C2=CC(F)=C1N1CCCC(C1)=C(F)CN)C1CC1</t>
  </si>
  <si>
    <t>VMKVDAAFMQKZJS-UHFFFAOYSA-N</t>
  </si>
  <si>
    <t>C21H23F2N3O4</t>
  </si>
  <si>
    <t>2.39_131.0338m/z</t>
  </si>
  <si>
    <t>2-Acetolactate</t>
  </si>
  <si>
    <t>HMDB0006833</t>
  </si>
  <si>
    <t>LMFA01050472</t>
  </si>
  <si>
    <t>C00900</t>
  </si>
  <si>
    <t>C(=O)(O)C(C)(O)C(=O)C</t>
  </si>
  <si>
    <t>NMDWGEGFJUBKLB-UHFFFAOYSA-N</t>
  </si>
  <si>
    <t>4.07_382.1986m/z</t>
  </si>
  <si>
    <t>Ser Leu Tyr</t>
  </si>
  <si>
    <t>CC(C)CC(C(=O)NC(CC1=CC=C(C=C1)O)C(=O)O)NC(=O)C(CO)N</t>
  </si>
  <si>
    <t>JWOBLHJRDADHLN-KKUMJFAQSA-N</t>
  </si>
  <si>
    <t>0.58_217.0861m/z</t>
  </si>
  <si>
    <t>Coixinden B</t>
  </si>
  <si>
    <t>HMDB0040906</t>
  </si>
  <si>
    <t>C17917</t>
  </si>
  <si>
    <t>151466-74-9</t>
  </si>
  <si>
    <t>COC1=CC(O)(C(C)=O)C2=C1C=C(OC)C=C2</t>
  </si>
  <si>
    <t>BIUULCNWWFDCPG-UHFFFAOYSA-N</t>
  </si>
  <si>
    <t>Indenes and isoindenes</t>
  </si>
  <si>
    <t>5.32_239.0145m/z</t>
  </si>
  <si>
    <t>Methacrifos</t>
  </si>
  <si>
    <t>C18745</t>
  </si>
  <si>
    <t>62610-77-9</t>
  </si>
  <si>
    <t>CC(=COP(=S)(OC)OC)C(=O)OC</t>
  </si>
  <si>
    <t>NTAHCMPOMKHKEU-AATRIKPKSA-N</t>
  </si>
  <si>
    <t>C7H13O5PS</t>
  </si>
  <si>
    <t>8.47_323.1865m/z</t>
  </si>
  <si>
    <t>12-oxo-14,18-dihydroxy-9Z,13E,15Z-octadecatrienoic acid</t>
  </si>
  <si>
    <t>LMFA02000269</t>
  </si>
  <si>
    <t>C(CCCCCCC/C=C\CC(=O)/C=C(\O)/C=C\CCO)(=O)O</t>
  </si>
  <si>
    <t>LFTUCYCUYUJMJB-PBBFMNGQSA-N</t>
  </si>
  <si>
    <t>3.86_595.2349m/z</t>
  </si>
  <si>
    <t>(+)-Ligballinol</t>
  </si>
  <si>
    <t>HMDB0029543</t>
  </si>
  <si>
    <t>OC1=CC=C(C=C1)C1OCC2C1COC2C1=CC=C(O)C=C1</t>
  </si>
  <si>
    <t>AYMLHOROIXAYPH-UHFFFAOYSA-N</t>
  </si>
  <si>
    <t>Furanoid lignans</t>
  </si>
  <si>
    <t>C18H18O4</t>
  </si>
  <si>
    <t>4.65_265.1555m/z</t>
  </si>
  <si>
    <t>S-4-benzyl-3-isobutyryloxazolidin-2-one</t>
  </si>
  <si>
    <t>CC(C)C(=O)N1C(COC1=O)CC2=CC=CC=C2</t>
  </si>
  <si>
    <t>MUIYUSOHHCEUTC-LBPRGKRZSA-N</t>
  </si>
  <si>
    <t>C14H17NO3</t>
  </si>
  <si>
    <t>13.51_411.3482m/z</t>
  </si>
  <si>
    <t>MG(0:0/22:1(13Z)/0:0)</t>
  </si>
  <si>
    <t>HMDB0011552</t>
  </si>
  <si>
    <t>[H]C(CO)(CO)OC(=O)CCCCCCCCCCC\C=C/CCCCCCCC</t>
  </si>
  <si>
    <t>TZDOBCZHGBGJLS-KTKRTIGZSA-N</t>
  </si>
  <si>
    <t>C25H48O4</t>
  </si>
  <si>
    <t>6.49_201.1127m/z</t>
  </si>
  <si>
    <t>3-Methylazelaic acid</t>
  </si>
  <si>
    <t>HMDB0059754</t>
  </si>
  <si>
    <t>CC(CCCCCC(O)=O)CC(O)=O</t>
  </si>
  <si>
    <t>PLOUQIGEQKCKHG-UHFFFAOYSA-N</t>
  </si>
  <si>
    <t>5.80_300.2180m/z</t>
  </si>
  <si>
    <t>Non-4-enoylcarnitine</t>
  </si>
  <si>
    <t>HMDB0241745</t>
  </si>
  <si>
    <t>CCCCC=CCCC(=O)OC(CC([O-])=O)C[N+](C)(C)C</t>
  </si>
  <si>
    <t>YWRHWMGIEXGIKF-UHFFFAOYSA-N</t>
  </si>
  <si>
    <t>C16H29NO4</t>
  </si>
  <si>
    <t>6.73_213.1492m/z</t>
  </si>
  <si>
    <t>Cucurbic acid</t>
  </si>
  <si>
    <t>HMDB0029388</t>
  </si>
  <si>
    <t>58240-50-9</t>
  </si>
  <si>
    <t>CC\C=C\CC1C(O)CCC1CC(O)=O</t>
  </si>
  <si>
    <t>LYSGIJUGUGJIPS-ONEGZZNKSA-N</t>
  </si>
  <si>
    <t>240</t>
  </si>
  <si>
    <t>2-Aminobenzoxazole</t>
  </si>
  <si>
    <t>C1=CC=C2C(=C1)N=C(O2)N</t>
  </si>
  <si>
    <t>JPBLHOJFMBOCAF-UHFFFAOYSA-N</t>
  </si>
  <si>
    <t>C7H6N2O</t>
  </si>
  <si>
    <t>9.79_274.1454m/z</t>
  </si>
  <si>
    <t>2'-Hydroxy-4'-methoxydihydrochalcone</t>
  </si>
  <si>
    <t>HMDB0135615</t>
  </si>
  <si>
    <t>LMPK12120443</t>
  </si>
  <si>
    <t>C1(OC)C=C(O)C(C(=O)CCC2C=CC=CC=2)=CC=1</t>
  </si>
  <si>
    <t>FQCZZYGBJVMLOG-UHFFFAOYSA-N</t>
  </si>
  <si>
    <t>C16H16O3</t>
  </si>
  <si>
    <t>4.46_346.2348m/z</t>
  </si>
  <si>
    <t>Ile Thr Ile</t>
  </si>
  <si>
    <t>CCC(C)C(C(=O)NC(C(C)O)C(=O)NC(C(C)CC)C(=O)O)N</t>
  </si>
  <si>
    <t>HJDZMPFEXINXLO-QPHKQPEJSA-N</t>
  </si>
  <si>
    <t>5.75_349.1407m/z</t>
  </si>
  <si>
    <t>methyl 8-[2-(2-formyl-vinyl)-3-hydroxy-5-oxo-cyclopentyl]-octanoate</t>
  </si>
  <si>
    <t>LMFA01050151</t>
  </si>
  <si>
    <t>C1(C(=O)CC(O)C1/C=C/C=O)CCCCCCCC(=O)OC</t>
  </si>
  <si>
    <t>HJQXDNVSMCDIJM-VQHVLOKHSA-N</t>
  </si>
  <si>
    <t>4.89_299.0715n</t>
  </si>
  <si>
    <t>Fenbendazole</t>
  </si>
  <si>
    <t>HMDB0029745</t>
  </si>
  <si>
    <t>43210-67-9</t>
  </si>
  <si>
    <t>COC(=O)NC1=NC2=C(N1)C=CC(SC1=CC=CC=C1)=C2</t>
  </si>
  <si>
    <t>HDDSHPAODJUKPD-UHFFFAOYSA-N</t>
  </si>
  <si>
    <t>C15H13N3O2S</t>
  </si>
  <si>
    <t>7.98_468.2740m/z</t>
  </si>
  <si>
    <t>Sarcodon scabrosus Depsipeptide</t>
  </si>
  <si>
    <t>HMDB0041421</t>
  </si>
  <si>
    <t>CCC(C)C1NC(=O)C(OC(=O)C(NC(=O)C(C)NC(=O)C(OC1=O)C(C)C)C(C)O)C(C)C</t>
  </si>
  <si>
    <t>ZZZCVVSDKFDQJU-UHFFFAOYSA-N</t>
  </si>
  <si>
    <t>C23H39N3O8</t>
  </si>
  <si>
    <t>12.94_364.1946m/z</t>
  </si>
  <si>
    <t>Arginyl-glycyl-aspartic acid</t>
  </si>
  <si>
    <t>HMDB0248572</t>
  </si>
  <si>
    <t>NC(CCCN=C(N)N)C(=O)NCC(=O)NC(CC(O)=O)C(O)=O</t>
  </si>
  <si>
    <t>IYMAXBFPHPZYIK-UHFFFAOYSA-N</t>
  </si>
  <si>
    <t>C12H22N6O6</t>
  </si>
  <si>
    <t>11.44_405.2647m/z</t>
  </si>
  <si>
    <t>5-(12S-hydroxy-8Z,14Z-heptadecadienyl) resorcinol</t>
  </si>
  <si>
    <t>LMPK15030054</t>
  </si>
  <si>
    <t>C(CCCCCC/C=C\CC[C@H](O)C/C=C\CC)C1=CC(O)=CC(O)=C1</t>
  </si>
  <si>
    <t>VWQPNCPIVYGVMV-NYUKNHBNSA-N</t>
  </si>
  <si>
    <t>1.30_290.0463m/z</t>
  </si>
  <si>
    <t>3'-thiacytidine</t>
  </si>
  <si>
    <t>HMDB0246108</t>
  </si>
  <si>
    <t>NC1=NC(=O)N(C=C1)C1OC(CO)SC1O</t>
  </si>
  <si>
    <t>FPJPTCHRIMPDSG-UHFFFAOYSA-N</t>
  </si>
  <si>
    <t>3'-thia pyrimidine nucleosides</t>
  </si>
  <si>
    <t>C8H11N3O4S</t>
  </si>
  <si>
    <t>11.88_224.2014m/z</t>
  </si>
  <si>
    <t>(4E,6E,d14:2) sphingosine</t>
  </si>
  <si>
    <t>LMSP01080007</t>
  </si>
  <si>
    <t>C([C@H](N)[C@H](O)/C=C/C=C/CCCCCCC)O</t>
  </si>
  <si>
    <t>UWJZVNRNKDOZCA-LNFMSFKKSA-N</t>
  </si>
  <si>
    <t>C14H27NO2</t>
  </si>
  <si>
    <t>4.94_171.0654m/z</t>
  </si>
  <si>
    <t>4-Hydroxy-4-methyl-5-hexenoic acid gamma lactone</t>
  </si>
  <si>
    <t>HMDB0032333</t>
  </si>
  <si>
    <t>1073-11-6</t>
  </si>
  <si>
    <t>CC1(CCC(=O)O1)C=C</t>
  </si>
  <si>
    <t>QESPSAHXYXIGBG-UHFFFAOYSA-N</t>
  </si>
  <si>
    <t>6.90_169.0861m/z</t>
  </si>
  <si>
    <t>4-oxo-2E-nonenoic acid</t>
  </si>
  <si>
    <t>LMFA01060228</t>
  </si>
  <si>
    <t>C(/C=C/C(=O)CCCCC)(=O)O</t>
  </si>
  <si>
    <t>QHYBPAALYZNWPK-VOTSOKGWSA-N</t>
  </si>
  <si>
    <t>5.96_312.2179m/z</t>
  </si>
  <si>
    <t>(5,7)-Decadienoylcarnitine</t>
  </si>
  <si>
    <t>HMDB0241105</t>
  </si>
  <si>
    <t>CCC=CC=CCCCC(=O)OC(CC([O-])=O)C[N+](C)(C)C</t>
  </si>
  <si>
    <t>AUJGIVPNCVRFHK-UHFFFAOYSA-N</t>
  </si>
  <si>
    <t>C17H29NO4</t>
  </si>
  <si>
    <t>14.51_385.3113m/z</t>
  </si>
  <si>
    <t>26:5(8Z,11Z,14Z,17Z,20Z)</t>
  </si>
  <si>
    <t>LMFA01030845</t>
  </si>
  <si>
    <t>C(CCCCCC/C=C\C/C=C\C/C=C\C/C=C\C/C=C\CCCCC)(=O)O</t>
  </si>
  <si>
    <t>RDRLIOJIWJTIIV-WMPRHZDHSA-N</t>
  </si>
  <si>
    <t>3.61_523.1417m/z</t>
  </si>
  <si>
    <t>Indigo</t>
  </si>
  <si>
    <t>HMDB0240742</t>
  </si>
  <si>
    <t>O=C1\C(NC2=CC=CC=C12)=C1/NC2=CC=CC=C2C1=O</t>
  </si>
  <si>
    <t>COHYTHOBJLSHDF-BUHFOSPRSA-N</t>
  </si>
  <si>
    <t>C16H10N2O2</t>
  </si>
  <si>
    <t>6.31_488.1932m/z</t>
  </si>
  <si>
    <t>CAY10622</t>
  </si>
  <si>
    <t>1038549-25-5</t>
  </si>
  <si>
    <t>C1CNCC2=C1C=CC(=C2)NC(=O)C3=CC=CC(=C3)CNC(=O)NC4=CC=C(C=C4)C(=O)N</t>
  </si>
  <si>
    <t>SCIFUGGHOXNSJC-UHFFFAOYSA-N</t>
  </si>
  <si>
    <t>C25H25N5O3</t>
  </si>
  <si>
    <t>13.80_353.2699m/z</t>
  </si>
  <si>
    <t>2E,13Z-Octadecadienyl acetate</t>
  </si>
  <si>
    <t>LMFA07010385</t>
  </si>
  <si>
    <t>O(C(=O)C)C/C=C/CCCCCCCCC/C=C\CCCC</t>
  </si>
  <si>
    <t>NWRSOYAGXTXEMK-NHRIVICHSA-N</t>
  </si>
  <si>
    <t>148</t>
  </si>
  <si>
    <t>Aminocaproic Acid</t>
  </si>
  <si>
    <t>HMDB0001901</t>
  </si>
  <si>
    <t>LMFA01100035</t>
  </si>
  <si>
    <t>C02378</t>
  </si>
  <si>
    <t>60-32-2</t>
  </si>
  <si>
    <t>C(CCCN)CC(=O)O</t>
  </si>
  <si>
    <t>SLXKOJJOQWFEFD-UHFFFAOYSA-N</t>
  </si>
  <si>
    <t>281</t>
  </si>
  <si>
    <t>D-Lyxose</t>
  </si>
  <si>
    <t>C00476</t>
  </si>
  <si>
    <t>1114-34-7</t>
  </si>
  <si>
    <t>OC1OCC(O)C(O)C1O</t>
  </si>
  <si>
    <t>SRBFZHDQGSBBOR-AGQMPKSLSA-N</t>
  </si>
  <si>
    <t>4.15_708.0284m/z</t>
  </si>
  <si>
    <t>Tiazofurin adenine dinucleotide</t>
  </si>
  <si>
    <t>HMDB0259073</t>
  </si>
  <si>
    <t>NC(=O)C1=CSC(=N1)C1OC(COP(O)(=O)OP(O)(=O)OCC2OC(C(O)C2O)N2C=NC3=C2N=CN=C3N)C(O)C1O</t>
  </si>
  <si>
    <t>INQLNSVYIFCUML-UHFFFAOYSA-N</t>
  </si>
  <si>
    <t>C19H25N7O14P2S</t>
  </si>
  <si>
    <t>14.76_453.3957m/z</t>
  </si>
  <si>
    <t>26:0(19Cp)</t>
  </si>
  <si>
    <t>LMFA01140027</t>
  </si>
  <si>
    <t>C(CCCCCCCCCCCCCCCCCC1CC1CCCCCC)(=O)O</t>
  </si>
  <si>
    <t>STWTWRGWTAJRQS-UHFFFAOYSA-N</t>
  </si>
  <si>
    <t>C27H52O2</t>
  </si>
  <si>
    <t>10.49_263.1652m/z</t>
  </si>
  <si>
    <t>4,7(11)-Guaiadien-8-one</t>
  </si>
  <si>
    <t>HMDB0038201</t>
  </si>
  <si>
    <t>CC1CC(=O)C(CC2=C(C)CCC12)=C(C)C</t>
  </si>
  <si>
    <t>KOBSLTSXWKEUCB-UHFFFAOYSA-N</t>
  </si>
  <si>
    <t>10.69_219.1749m/z</t>
  </si>
  <si>
    <t>Bisacumol</t>
  </si>
  <si>
    <t>HMDB0038511</t>
  </si>
  <si>
    <t>120710-98-7</t>
  </si>
  <si>
    <t>CC(CC(O)C=C(C)C)C1=CC=C(C)C=C1</t>
  </si>
  <si>
    <t>NRBFEAZFHRHFFQ-UHFFFAOYSA-N</t>
  </si>
  <si>
    <t>10.68_487.0021m/z</t>
  </si>
  <si>
    <t>O-Coumaric acid sulfate</t>
  </si>
  <si>
    <t>HMDB0240549</t>
  </si>
  <si>
    <t>OC(=O)C=CC1=CC=CC=C1OS(O)(=O)=O</t>
  </si>
  <si>
    <t>BTRJLVGUHCECAH-UHFFFAOYSA-N</t>
  </si>
  <si>
    <t>C9H8O6S</t>
  </si>
  <si>
    <t>5.24_315.0988m/z</t>
  </si>
  <si>
    <t>10,11-Dihydroxycarbamazepine</t>
  </si>
  <si>
    <t>HMDB0060568</t>
  </si>
  <si>
    <t>O[C@@H]1[C@@H](O)C2=CC=CC=C2N(C(O)=N)C2=CC=CC=C12</t>
  </si>
  <si>
    <t>PRGQOPPDPVELEG-KBPBESRZSA-N</t>
  </si>
  <si>
    <t>C15H14N2O3</t>
  </si>
  <si>
    <t>10.10_265.1808m/z</t>
  </si>
  <si>
    <t>Tetranorprostanedioic acid</t>
  </si>
  <si>
    <t>HMDB0258926</t>
  </si>
  <si>
    <t>OC(=O)CCCCCCCC1CCCC1CCC(O)=O</t>
  </si>
  <si>
    <t>VDSTWEBFEFGHLI-UHFFFAOYSA-N</t>
  </si>
  <si>
    <t>C16H28O4</t>
  </si>
  <si>
    <t>10.66_499.1900m/z</t>
  </si>
  <si>
    <t>Threonylmethionine</t>
  </si>
  <si>
    <t>HMDB0029067</t>
  </si>
  <si>
    <t>90729-28-5</t>
  </si>
  <si>
    <t>CSCC[C@H](NC(=O)[C@@H](N)[C@@H](C)O)C(O)=O</t>
  </si>
  <si>
    <t>APIDTRXFGYOLLH-VQVTYTSYSA-N</t>
  </si>
  <si>
    <t>C9H18N2O4S</t>
  </si>
  <si>
    <t>80</t>
  </si>
  <si>
    <t>1,4-Butanediol</t>
  </si>
  <si>
    <t>HMDB0244201</t>
  </si>
  <si>
    <t>OCCCCO</t>
  </si>
  <si>
    <t>WERYXYBDKMZEQL-UHFFFAOYSA-N</t>
  </si>
  <si>
    <t>C4H10O2</t>
  </si>
  <si>
    <t>1.02_333.0941m/z</t>
  </si>
  <si>
    <t>(S)-a-Amino-2,5-dihydro-5-oxo-4-isoxazolepropanoic acid N2-glucoside</t>
  </si>
  <si>
    <t>HMDB0029404</t>
  </si>
  <si>
    <t>29790-46-3</t>
  </si>
  <si>
    <t>NC(CC1=CN(OC1=O)C1OC(CO)C(O)C(O)C1O)C(O)=O</t>
  </si>
  <si>
    <t>OURYTICKCZBKFC-UHFFFAOYSA-N</t>
  </si>
  <si>
    <t>C12H18N2O9</t>
  </si>
  <si>
    <t>14.50_641.5165m/z</t>
  </si>
  <si>
    <t>DG(22:5(4Z,7Z,10Z,13Z,16Z)/16:1(9Z)/0:0)</t>
  </si>
  <si>
    <t>HMDB0007708</t>
  </si>
  <si>
    <t>[H][C@](CO)(COC(=O)CC\C=C/C\C=C/C\C=C/C\C=C/C\C=C/CCCCC)OC(=O)CCCCCCC\C=C/CCCCCC</t>
  </si>
  <si>
    <t>AOLGRWFYCNPHAV-CZQFILTPSA-N</t>
  </si>
  <si>
    <t>C41H68O5</t>
  </si>
  <si>
    <t>9.32_481.2790m/z</t>
  </si>
  <si>
    <t>PC(10:0/4:0)</t>
  </si>
  <si>
    <t>LMGP01010403</t>
  </si>
  <si>
    <t>[C@](COP(=O)([O-])OCC[N+](C)(C)C)([H])(OC(CCC)=O)COC(CCCCCCCCC)=O</t>
  </si>
  <si>
    <t>FTWIALFPWUNAMY-HXUWFJFHSA-N</t>
  </si>
  <si>
    <t>C22H44NO8P</t>
  </si>
  <si>
    <t>3.48_370.1681m/z</t>
  </si>
  <si>
    <t>Estradiol 17-sulfate</t>
  </si>
  <si>
    <t>HMDB0251958</t>
  </si>
  <si>
    <t>CC12CCC3C(CCC4=C3C=CC(O)=C4)C1CCC2OS(O)(=O)=O</t>
  </si>
  <si>
    <t>JSUDNGPWAXYETN-UHFFFAOYSA-N</t>
  </si>
  <si>
    <t>C18H24O5S</t>
  </si>
  <si>
    <t>0.97_179.0796m/z</t>
  </si>
  <si>
    <t>Fructosamine</t>
  </si>
  <si>
    <t>HMDB0002030</t>
  </si>
  <si>
    <t>R-HSA-163841,R-HSA-392499,R-HSA-597592</t>
  </si>
  <si>
    <t>Gamma carboxylation, hypusine formation and arylsulfatase activation|Metabolism of proteins|Post-translational protein modification</t>
  </si>
  <si>
    <t>4429-04-3</t>
  </si>
  <si>
    <t>NC[C@@]1(O)OC[C@@H](O)[C@@H](O)[C@@H]1O</t>
  </si>
  <si>
    <t>IXZISFNWUWKBOM-ARQDHWQXSA-N</t>
  </si>
  <si>
    <t>7.52_263.1265m/z</t>
  </si>
  <si>
    <t>Blennin B</t>
  </si>
  <si>
    <t>HMDB0037528</t>
  </si>
  <si>
    <t>62824-37-7</t>
  </si>
  <si>
    <t>CC1=C2CC(C)(C)CC2C(O)C2=C(C1)C(=O)OC2O</t>
  </si>
  <si>
    <t>SEYJJRRZTHFAPX-UHFFFAOYSA-N</t>
  </si>
  <si>
    <t>6.82_293.0058m/z</t>
  </si>
  <si>
    <t>N-Succinimidyl 3-(2-pyridyldithio)propionate</t>
  </si>
  <si>
    <t>HMDB0258411</t>
  </si>
  <si>
    <t>O=C(CCSSC1=CC=CC=N1)ON1C(=O)CCC1=O</t>
  </si>
  <si>
    <t>JWDFQMWEFLOOED-UHFFFAOYSA-N</t>
  </si>
  <si>
    <t>C12H12N2O4S2</t>
  </si>
  <si>
    <t>6.41_408.1415m/z</t>
  </si>
  <si>
    <t>Acetylcorynoline</t>
  </si>
  <si>
    <t>HMDB0247932</t>
  </si>
  <si>
    <t>CN1CC2=C3OCOC3=CC=C2C2(C)C(CC3=CC4=C(OCO4)C=C3C12)OC(C)=O</t>
  </si>
  <si>
    <t>PUHCFWFODBLSAP-UHFFFAOYSA-N</t>
  </si>
  <si>
    <t>Benzophenanthridine alkaloids</t>
  </si>
  <si>
    <t>Hexahydrobenzophenanthridine alkaloids</t>
  </si>
  <si>
    <t>C23H23NO6</t>
  </si>
  <si>
    <t>4.48_657.3478m/z</t>
  </si>
  <si>
    <t>DGMG(18:4(6Z,9Z,12Z,15Z)/0:0)</t>
  </si>
  <si>
    <t>LMGL04010013</t>
  </si>
  <si>
    <t>O[C@@H]1[C@@H](O)[C@@H](O)[C@@H](CO[C@@H]2[C@H](O)[C@@H](O)[C@@H](O)[C@@H](CO)O2)O[C@H]1OC[C@]([H])(O)COC(CCCC/C=C\C/C=C\C/C=C\C/C=C\CC)=O</t>
  </si>
  <si>
    <t>AXPZWZNFVKVRRH-WNLYTLCASA-N</t>
  </si>
  <si>
    <t>C33H54O14</t>
  </si>
  <si>
    <t>11.29_269.2594m/z</t>
  </si>
  <si>
    <t>Methyl hexyl(2-(hexylamino)ethyl)carbamate</t>
  </si>
  <si>
    <t>HMDB0250199</t>
  </si>
  <si>
    <t>CCCCCCNCCN(CCCCCC)C(=O)OC</t>
  </si>
  <si>
    <t>LOTBYPQQWICYBB-UHFFFAOYSA-N</t>
  </si>
  <si>
    <t>C16H34N2O2</t>
  </si>
  <si>
    <t>0.72_424.1402m/z</t>
  </si>
  <si>
    <t>Zabofloxacin</t>
  </si>
  <si>
    <t>HMDB0259980</t>
  </si>
  <si>
    <t>CON=C1CN(CC11CNC1)C1=C(F)C=C2C(=O)C(=CN(C3CC3)C2=N1)C(O)=O</t>
  </si>
  <si>
    <t>ZNPOCLHDJCAZAH-UHFFFAOYSA-N</t>
  </si>
  <si>
    <t>C19H20FN5O4</t>
  </si>
  <si>
    <t>292</t>
  </si>
  <si>
    <t>4-Deoxypyridoxine</t>
  </si>
  <si>
    <t>HMDB0246408</t>
  </si>
  <si>
    <t>CC1=NC=C(CO)C(C)=C1O</t>
  </si>
  <si>
    <t>KKOWAYISKWGDBG-UHFFFAOYSA-N</t>
  </si>
  <si>
    <t>C8H11NO2</t>
  </si>
  <si>
    <t>0.58_289.1630m/z</t>
  </si>
  <si>
    <t>Arginylasparagine</t>
  </si>
  <si>
    <t>HMDB0028704</t>
  </si>
  <si>
    <t>68040-95-9</t>
  </si>
  <si>
    <t>N[C@@H](CCCNC(N)=N)C(=O)N[C@@H](CC(N)=O)C(O)=O</t>
  </si>
  <si>
    <t>JSLGXODUIAFWCF-WDSKDSINSA-N</t>
  </si>
  <si>
    <t>C10H20N6O4</t>
  </si>
  <si>
    <t>12.22_326.2702m/z</t>
  </si>
  <si>
    <t>N-palmitoyl alanine</t>
  </si>
  <si>
    <t>LMFA08020123</t>
  </si>
  <si>
    <t>C[C@]([H])(NC(CCCCCCCCCCCCCCC)=O)C(=O)O</t>
  </si>
  <si>
    <t>NRBFOSKZAWRBJI-KRWDZBQOSA-N</t>
  </si>
  <si>
    <t>C19H37NO3</t>
  </si>
  <si>
    <t>0.99_313.1275n</t>
  </si>
  <si>
    <t>PC(O-1:0/2:0)</t>
  </si>
  <si>
    <t>LMGP01020005</t>
  </si>
  <si>
    <t>[C@](COP(=O)([O-])OCC[N+](C)(C)C)([H])(OC(C)=O)COC</t>
  </si>
  <si>
    <t>PHIZERZKVIUDPM-LLVKDONJSA-N</t>
  </si>
  <si>
    <t>14.85_167.0949m/z</t>
  </si>
  <si>
    <t>p-Synephrine</t>
  </si>
  <si>
    <t>HMDB0004826</t>
  </si>
  <si>
    <t>C04548</t>
  </si>
  <si>
    <t>94-07-5</t>
  </si>
  <si>
    <t>CNCC(O)C1=CC=C(O)C=C1</t>
  </si>
  <si>
    <t>YRCWQPVGYLYSOX-UHFFFAOYSA-N</t>
  </si>
  <si>
    <t>C9H13NO2</t>
  </si>
  <si>
    <t>4.38_404.2596m/z</t>
  </si>
  <si>
    <t>PC-M6</t>
  </si>
  <si>
    <t>HMDB0038568</t>
  </si>
  <si>
    <t>133613-76-0</t>
  </si>
  <si>
    <t>[H][C@]12CC3=C(NC4=C3C=CC=C4)[C@]1(C)[C@@]1(C)CC[C@]3([H])O[C@@H]([C@H](O)C=C3C1CC2)C(C)(C)O</t>
  </si>
  <si>
    <t>FROHWGGMFSFTTA-QBCJVXSESA-N</t>
  </si>
  <si>
    <t>C27H35NO3</t>
  </si>
  <si>
    <t>6.56_280.1159m/z</t>
  </si>
  <si>
    <t>Saxitoxin</t>
  </si>
  <si>
    <t>HMDB0029368</t>
  </si>
  <si>
    <t>C13757</t>
  </si>
  <si>
    <t>35523-89-8</t>
  </si>
  <si>
    <t>NC(=O)OC[C@@H]1NC(=N)N2CCC(O)(O)[C@@]22N=C(N)N[C@@H]12</t>
  </si>
  <si>
    <t>RPQXVSUAYFXFJA-HGRQIUPRSA-N</t>
  </si>
  <si>
    <t>C10H17N7O4</t>
  </si>
  <si>
    <t>11.37_447.3483m/z</t>
  </si>
  <si>
    <t>(22E,24R)-3beta,5alpha,6beta-trihydroxy-9,11-seco-ergosta-7,22-dien-9-one</t>
  </si>
  <si>
    <t>LMST01031186</t>
  </si>
  <si>
    <t>C1C[C@H](O)C[C@]2(O)[C@H](O)C=C([C@]3([H])CC[C@]([H])([C@]([H])(C)/C=C/[C@H](C)C(C)C)[C@@]3(C)CC)C(=O)[C@@]12C</t>
  </si>
  <si>
    <t>FKUSCLDRWMFGIB-XVYNIBNWSA-N</t>
  </si>
  <si>
    <t>1.34_312.0417m/z</t>
  </si>
  <si>
    <t>Quinophthalone</t>
  </si>
  <si>
    <t>C1=CC=C2C(=C1)C=CC(=N2)C3C(=O)C4=CC=CC=C4C3=O</t>
  </si>
  <si>
    <t>IZMJMCDDWKSTTK-UHFFFAOYSA-N</t>
  </si>
  <si>
    <t>C18H11NO2</t>
  </si>
  <si>
    <t>0.60_359.0300m/z</t>
  </si>
  <si>
    <t>Florasulam</t>
  </si>
  <si>
    <t>HMDB0252312</t>
  </si>
  <si>
    <t>C18850</t>
  </si>
  <si>
    <t>145701-23-1</t>
  </si>
  <si>
    <t>COC1=NC=C(F)C2=NC(=NN12)S(=O)(=O)NC1=C(F)C=CC=C1F</t>
  </si>
  <si>
    <t>QZXATCCPQKOEIH-UHFFFAOYSA-N</t>
  </si>
  <si>
    <t>C12H8F3N5O3S</t>
  </si>
  <si>
    <t>6.86_222.1132m/z</t>
  </si>
  <si>
    <t>N-Pivaloylaniline</t>
  </si>
  <si>
    <t>6625-74-7</t>
  </si>
  <si>
    <t>CC(C)(C)C(=O)NC1=CC=CC=C1</t>
  </si>
  <si>
    <t>LWJNWXYSLBGWDU-UHFFFAOYSA-N</t>
  </si>
  <si>
    <t>7.47_247.1584n</t>
  </si>
  <si>
    <t>Ethylphenidate</t>
  </si>
  <si>
    <t>HMDB0252084</t>
  </si>
  <si>
    <t>CCOC(=O)C(C1CCCCN1)C1=CC=CC=C1</t>
  </si>
  <si>
    <t>AIVSIRYZIBXTMM-UHFFFAOYSA-N</t>
  </si>
  <si>
    <t>C15H21NO2</t>
  </si>
  <si>
    <t>4.63_583.0901m/z</t>
  </si>
  <si>
    <t>Dinitropyrene</t>
  </si>
  <si>
    <t>HMDB0251422</t>
  </si>
  <si>
    <t>[O-][N+](=O)C1=C(C2=C3C(C=CC4=C3C(C=C2)=CC=C4)=C1)[N+]([O-])=O</t>
  </si>
  <si>
    <t>PEOXEBCFEGFKKE-UHFFFAOYSA-N</t>
  </si>
  <si>
    <t>C16H8N2O4</t>
  </si>
  <si>
    <t>4.07_217.0981m/z</t>
  </si>
  <si>
    <t>2-Methoxyidazoxan</t>
  </si>
  <si>
    <t>HMDB0245206</t>
  </si>
  <si>
    <t>COC1(COC2=CC=CC=C2O1)C1=NCCN1</t>
  </si>
  <si>
    <t>HQGWKNGAKBPTBX-UHFFFAOYSA-N</t>
  </si>
  <si>
    <t>Benzo-1,4-dioxanes</t>
  </si>
  <si>
    <t>C12H14N2O3</t>
  </si>
  <si>
    <t>172</t>
  </si>
  <si>
    <t>Putrescine</t>
  </si>
  <si>
    <t>HMDB0001414</t>
  </si>
  <si>
    <t>C00134</t>
  </si>
  <si>
    <t>hsa00330,hsa00470,hsa00480,hsa02010,hsa04148</t>
  </si>
  <si>
    <t>Arginine and proline metabolism|D-Amino acid metabolism|Glutathione metabolism|ABC transporters|Efferocytosis</t>
  </si>
  <si>
    <t>110-60-1</t>
  </si>
  <si>
    <t>NCCCCN</t>
  </si>
  <si>
    <t>KIDHWZJUCRJVML-UHFFFAOYSA-N</t>
  </si>
  <si>
    <t>C4H12N2</t>
  </si>
  <si>
    <t>11.32_455.2392m/z</t>
  </si>
  <si>
    <t>Glycinamide, glycyl-L-prolyl-</t>
  </si>
  <si>
    <t>HMDB0253016</t>
  </si>
  <si>
    <t>NCC(=O)N1CCCC1C(=O)NCC(N)=O</t>
  </si>
  <si>
    <t>JWWLMJFURJYNEX-UHFFFAOYSA-N</t>
  </si>
  <si>
    <t>C9H16N4O3</t>
  </si>
  <si>
    <t>14.48_298.2517n</t>
  </si>
  <si>
    <t>12-HOME(10E)</t>
  </si>
  <si>
    <t>LMFA02000177</t>
  </si>
  <si>
    <t>C(CCCCCCCC/C=C/C(O)CCCCCC)(=O)O</t>
  </si>
  <si>
    <t>KQSRBPJISPYLOS-NTCAYCPXSA-N</t>
  </si>
  <si>
    <t>10.49_528.2712m/z</t>
  </si>
  <si>
    <t>PS(20:3(8Z,11Z,14Z)/0:0)</t>
  </si>
  <si>
    <t>LMGP03050022</t>
  </si>
  <si>
    <t>C(O)(=O)[C@@]([H])(N)COP(OC[C@]([H])(O)COC(CCCCCC/C=C\C/C=C\C/C=C\CCCCC)=O)(=O)O</t>
  </si>
  <si>
    <t>FTZJCZOBXWCRPG-YLXGIGILSA-N</t>
  </si>
  <si>
    <t>C26H46NO9P</t>
  </si>
  <si>
    <t>14.71_113.1330m/z</t>
  </si>
  <si>
    <t>Di-tert-butyl ether</t>
  </si>
  <si>
    <t>HMDB0251117</t>
  </si>
  <si>
    <t>CC(C)(C)OC(C)(C)C</t>
  </si>
  <si>
    <t>AQEFLFZSWDEAIP-UHFFFAOYSA-N</t>
  </si>
  <si>
    <t>C8H18O</t>
  </si>
  <si>
    <t>11.86_279.0266m/z</t>
  </si>
  <si>
    <t>(1R,6R)-6-hydroxy-2-succinylcyclohexa-2,4-diene-1-carboxylate</t>
  </si>
  <si>
    <t>HMDB0303951</t>
  </si>
  <si>
    <t>C05817</t>
  </si>
  <si>
    <t>[H][C@@]1(O)C=CC=C(C(=O)CCC(O)=O)[C@@]1([H])C(O)=O</t>
  </si>
  <si>
    <t>QJYRAJSESKVEAE-PSASIEDQSA-N</t>
  </si>
  <si>
    <t>C11H12O6</t>
  </si>
  <si>
    <t>5.46_186.2221m/z</t>
  </si>
  <si>
    <t>Tetrapropylammonium</t>
  </si>
  <si>
    <t>CCC[N+](CCC)(CCC)CCC</t>
  </si>
  <si>
    <t>OSBSFAARYOCBHB-UHFFFAOYSA-N</t>
  </si>
  <si>
    <t>C12H28N+</t>
  </si>
  <si>
    <t>7.86_323.1102m/z</t>
  </si>
  <si>
    <t>N-(2-Hydroxyethyl)ethylenediaminetriacetic acid</t>
  </si>
  <si>
    <t>HMDB0244676</t>
  </si>
  <si>
    <t>OCCN(CCN(CC(O)=O)CC(O)=O)CC(O)=O</t>
  </si>
  <si>
    <t>URDCARMUOSMFFI-UHFFFAOYSA-N</t>
  </si>
  <si>
    <t>C10H18N2O7</t>
  </si>
  <si>
    <t>4.16_190.0503m/z</t>
  </si>
  <si>
    <t>1-Hydroxyisoquinoline</t>
  </si>
  <si>
    <t>HMDB0243900</t>
  </si>
  <si>
    <t>C06324</t>
  </si>
  <si>
    <t>491-30-5</t>
  </si>
  <si>
    <t>O=C1NC=CC2=CC=CC=C12</t>
  </si>
  <si>
    <t>VDBNYAPERZTOOF-UHFFFAOYSA-N</t>
  </si>
  <si>
    <t>3.60_321.0671m/z</t>
  </si>
  <si>
    <t>2-[1-(2-Fluorophenyl)ethylamino]-5-methyl-5-(trifluoromethyl)-1,3-thiazol-4-one</t>
  </si>
  <si>
    <t>HMDB0257685</t>
  </si>
  <si>
    <t>CC(N=C1NC(=O)C(C)(S1)C(F)(F)F)C1=CC=CC=C1F</t>
  </si>
  <si>
    <t>KNHNFKZUNFPPQE-UHFFFAOYSA-N</t>
  </si>
  <si>
    <t>C13H12F4N2OS</t>
  </si>
  <si>
    <t>3.38_272.1363m/z</t>
  </si>
  <si>
    <t>Aspartyl-Arginine</t>
  </si>
  <si>
    <t>HMDB0028747</t>
  </si>
  <si>
    <t>NC(CC(O)=O)C(O)=NC(CCCNC(N)=N)C(O)=O</t>
  </si>
  <si>
    <t>PSZNHSNIGMJYOZ-UHFFFAOYSA-N</t>
  </si>
  <si>
    <t>C10H19N5O5</t>
  </si>
  <si>
    <t>9.68_395.2343m/z</t>
  </si>
  <si>
    <t>11-dehydro-TXB2-d4</t>
  </si>
  <si>
    <t>LMFA03030011</t>
  </si>
  <si>
    <t>C1[C@H](O)[C@H](C/C=C\C([2H])([2H])C([2H])([2H])CC(=O)O)[C@@H](/C=C/[C@@H](O)CCCCC)OC1=O</t>
  </si>
  <si>
    <t>KJYIVXDPWBUJBQ-DDHOZZTNSA-N</t>
  </si>
  <si>
    <t>C20H[2]4H[1]28O6</t>
  </si>
  <si>
    <t>13.08_296.2958m/z</t>
  </si>
  <si>
    <t>trans-4S,5S-Epoxy-6Z,9Z-nonadecadiene</t>
  </si>
  <si>
    <t>LMFA12000301</t>
  </si>
  <si>
    <t>CCC[C@@H]1O[C@H]1/C=C\C/C=C\CCCCCCCCC</t>
  </si>
  <si>
    <t>XITUWYPEDNZLOT-HKGUKXKYSA-N</t>
  </si>
  <si>
    <t>4.80_439.1612m/z</t>
  </si>
  <si>
    <t>p-Hydroxyl-ethotoin</t>
  </si>
  <si>
    <t>HMDB0061174</t>
  </si>
  <si>
    <t>CCN1C(=O)NC(C1=O)C1=CC=C(O)C=C1</t>
  </si>
  <si>
    <t>UUBDNHDPPHJUHB-UHFFFAOYSA-N</t>
  </si>
  <si>
    <t>10.21_429.3683m/z</t>
  </si>
  <si>
    <t>(9E)-Heptadec-9-enoylcarnitine</t>
  </si>
  <si>
    <t>HMDB0241516</t>
  </si>
  <si>
    <t>CCCCCCCC=CCCCCCCCC(=O)OC(CC([O-])=O)C[N+](C)(C)C</t>
  </si>
  <si>
    <t>HZMKCRJXXVHZKT-UHFFFAOYSA-N</t>
  </si>
  <si>
    <t>3.77_144.0445m/z</t>
  </si>
  <si>
    <t>3-Methyleneoxindole</t>
  </si>
  <si>
    <t>C02796</t>
  </si>
  <si>
    <t>1861-29-6</t>
  </si>
  <si>
    <t>C=C1C2=CC=CC=C2NC1=O</t>
  </si>
  <si>
    <t>IGXUUWYVUGBMFT-UHFFFAOYSA-N</t>
  </si>
  <si>
    <t>3.69_369.0680m/z</t>
  </si>
  <si>
    <t>2-[(3S,5R)-5-[6-(2,4-Dichlorophenyl)hexyl]-3-hydroxy-2-oxooxolan-3-yl]acetic acid</t>
  </si>
  <si>
    <t>HMDB0257512</t>
  </si>
  <si>
    <t>OC(=O)CC1(O)CC(CCCCCCC2=C(Cl)C=C(Cl)C=C2)OC1=O</t>
  </si>
  <si>
    <t>YTRNLFYTHYWDAU-UHFFFAOYSA-N</t>
  </si>
  <si>
    <t>C18H22Cl2O5</t>
  </si>
  <si>
    <t>8.58_258.1583m/z</t>
  </si>
  <si>
    <t>Procainamide</t>
  </si>
  <si>
    <t>HMDB0015169</t>
  </si>
  <si>
    <t>C07401</t>
  </si>
  <si>
    <t>51-06-9</t>
  </si>
  <si>
    <t>CCN(CC)CCNC(=O)C1=CC=C(N)C=C1</t>
  </si>
  <si>
    <t>REQCZEXYDRLIBE-UHFFFAOYSA-N</t>
  </si>
  <si>
    <t>C13H21N3O</t>
  </si>
  <si>
    <t>1.03_407.0032m/z</t>
  </si>
  <si>
    <t>6-Hydroxy-5-[(4-sulfophenyl)azo]-2-naphthalenesulfonic acid</t>
  </si>
  <si>
    <t>HMDB0034022</t>
  </si>
  <si>
    <t>5859-11-0</t>
  </si>
  <si>
    <t>OC1=CC=C2C=C(C=CC2=C1\N=N\C1=CC=C(C=C1)S(O)(=O)=O)S(O)(=O)=O</t>
  </si>
  <si>
    <t>KEYWXKLGZZGHMT-ISLYRVAYSA-N</t>
  </si>
  <si>
    <t>C16H12N2O7S2</t>
  </si>
  <si>
    <t>4.20_359.2030m/z</t>
  </si>
  <si>
    <t>Val Ile Glu</t>
  </si>
  <si>
    <t>CCC(C)C(C(=O)NC(CCC(=O)O)C(=O)O)NC(=O)C(C(C)C)N</t>
  </si>
  <si>
    <t>VXDSPJJQUQDCKH-UKJIMTQDSA-N</t>
  </si>
  <si>
    <t>4.72_314.1147m/z</t>
  </si>
  <si>
    <t>10-Acetoxydecarbamoylmitomycin C</t>
  </si>
  <si>
    <t>HMDB0248002</t>
  </si>
  <si>
    <t>COC12C3NC3CN1C1=C(C2COC(C)=O)C(=O)C(N)=C(C)C1=O</t>
  </si>
  <si>
    <t>RBFIGNNUQCZRCZ-UHFFFAOYSA-N</t>
  </si>
  <si>
    <t>Indolequinones</t>
  </si>
  <si>
    <t>5.81_246.0748m/z</t>
  </si>
  <si>
    <t>p-coumaroyl-homoserine lactone</t>
  </si>
  <si>
    <t>LMFA08030044</t>
  </si>
  <si>
    <t>C(=C/C1=CC=C(O)C=C1)\C(=O)N[C@@H]1C(=O)OCC1</t>
  </si>
  <si>
    <t>CCIXZFJYFQJTGK-GQOHGMTASA-N</t>
  </si>
  <si>
    <t>C13H13NO4</t>
  </si>
  <si>
    <t>7.33_321.0562m/z</t>
  </si>
  <si>
    <t>1-(3-Fluoro-4-hydroxy-5-mercaptomethyltetrahydrofuran-2-yl)-5-methylpyrimidine-2,4(1H,3H)-dione</t>
  </si>
  <si>
    <t>HMDB0243787</t>
  </si>
  <si>
    <t>CC1=CN(C2OC(CS)C(O)C2F)C(=O)NC1=O</t>
  </si>
  <si>
    <t>DGICAMRDPMRJEN-UHFFFAOYSA-N</t>
  </si>
  <si>
    <t>C10H13FN2O4S</t>
  </si>
  <si>
    <t>9.99_177.1643m/z</t>
  </si>
  <si>
    <t>Theaspirane</t>
  </si>
  <si>
    <t>HMDB0036823</t>
  </si>
  <si>
    <t>36431-72-8</t>
  </si>
  <si>
    <t>CC1CCC2(O1)C(C)=CCCC2(C)C</t>
  </si>
  <si>
    <t>GYUZHTWCNKINPY-UHFFFAOYSA-N</t>
  </si>
  <si>
    <t>1.13_281.0755m/z</t>
  </si>
  <si>
    <t>5-Hydroxymethyl-2'-deoxyuridine</t>
  </si>
  <si>
    <t>HMDB0246808</t>
  </si>
  <si>
    <t>OCC1OC(CC1O)N1C=C(CO)C(O)=NC1=O</t>
  </si>
  <si>
    <t>IPAVKOYJGUMINP-UHFFFAOYSA-N</t>
  </si>
  <si>
    <t>C10H14N2O6</t>
  </si>
  <si>
    <t>7.17_479.1728m/z</t>
  </si>
  <si>
    <t>5-ethyl-2-nitro-9h-carbazole</t>
  </si>
  <si>
    <t>CCC1=C2C3=C(C=C(C=C3)[N+](=O)[O-])NC2=CC=C1</t>
  </si>
  <si>
    <t>BPKFPCLKVKNLEE-UHFFFAOYSA-N</t>
  </si>
  <si>
    <t>C14H12N2O2</t>
  </si>
  <si>
    <t>9.87_448.2446m/z</t>
  </si>
  <si>
    <t>PE(8:0/8:0)</t>
  </si>
  <si>
    <t>LMGP02010102</t>
  </si>
  <si>
    <t>[C@](COP(=O)(O)OCCN)([H])(OC(CCCCCCC)=O)COC(CCCCCCC)=O</t>
  </si>
  <si>
    <t>UNACBKDVIYEXSL-LJQANCHMSA-N</t>
  </si>
  <si>
    <t>C21H42NO8P</t>
  </si>
  <si>
    <t>12.12_433.3327m/z</t>
  </si>
  <si>
    <t>Neogitogenin</t>
  </si>
  <si>
    <t>HMDB0301778</t>
  </si>
  <si>
    <t>6811-13-8</t>
  </si>
  <si>
    <t>CC1C2C(CC3C4CCC5CC(O)C(O)CC5(C)C4CCC23C)OC11CCC(C)CO1</t>
  </si>
  <si>
    <t>FWCXELAAYFYCSR-UHFFFAOYSA-N</t>
  </si>
  <si>
    <t>12.67_239.1286m/z</t>
  </si>
  <si>
    <t>4-Hexyloxyphenol</t>
  </si>
  <si>
    <t>C14305</t>
  </si>
  <si>
    <t>18979-55-0</t>
  </si>
  <si>
    <t>CCCCCCOC1=CC=C(C=C1)O</t>
  </si>
  <si>
    <t>XIIIHRLCKLSYNH-UHFFFAOYSA-N</t>
  </si>
  <si>
    <t>2.07_164.0708m/z</t>
  </si>
  <si>
    <t>L-Phenylalanine</t>
  </si>
  <si>
    <t>HMDB0000159</t>
  </si>
  <si>
    <t>C00079</t>
  </si>
  <si>
    <t>hsa00360,hsa00400,hsa00470,hsa00970,hsa04974</t>
  </si>
  <si>
    <t>Phenylalanine metabolism|Phenylalanine, tyrosine and tryptophan biosynthesis|D-Amino acid metabolism|Aminoacyl-tRNA biosynthesis|Protein digestion and absorption</t>
  </si>
  <si>
    <t>63-91-2</t>
  </si>
  <si>
    <t>N[C@@H](CC1=CC=CC=C1)C(O)=O</t>
  </si>
  <si>
    <t>COLNVLDHVKWLRT-QMMMGPOBSA-N</t>
  </si>
  <si>
    <t>4.23_255.0874m/z</t>
  </si>
  <si>
    <t>C11354</t>
  </si>
  <si>
    <t>LMFA01031001</t>
  </si>
  <si>
    <t>O/C(/C(=O)O)=C/C=C\C</t>
  </si>
  <si>
    <t>VPGPQVKJUYKKNN-AWYLAFAOSA-N</t>
  </si>
  <si>
    <t>11.25_305.2484m/z</t>
  </si>
  <si>
    <t>8-HETrE</t>
  </si>
  <si>
    <t>HMDB0060052</t>
  </si>
  <si>
    <t>CCCCC\C=C/C\C=C\C=C/[C@@H](O)CCCCCCC(O)=O</t>
  </si>
  <si>
    <t>SKIQVURLERJJCK-GMPUQMIZSA-N</t>
  </si>
  <si>
    <t>2.02_192.0659m/z</t>
  </si>
  <si>
    <t>5-Hydroxyindoleacetic acid</t>
  </si>
  <si>
    <t>HMDB0000763</t>
  </si>
  <si>
    <t>C05635</t>
  </si>
  <si>
    <t>R-HSA-112311,R-HSA-112315,R-HSA-112316,R-HSA-380612,R-HSA-380615</t>
  </si>
  <si>
    <t>Neurotransmitter clearance|Transmission across Chemical Synapses|Neuronal System|Metabolism of serotonin|Serotonin clearance from the synaptic cleft</t>
  </si>
  <si>
    <t>54-16-0</t>
  </si>
  <si>
    <t>OC(=O)CC1=CNC2=C1C=C(O)C=C2</t>
  </si>
  <si>
    <t>DUUGKQCEGZLZNO-UHFFFAOYSA-N</t>
  </si>
  <si>
    <t>4.67_107.0490m/z</t>
  </si>
  <si>
    <t>3,5-Dimethyl-1,2-cyclopentanedione</t>
  </si>
  <si>
    <t>HMDB0037027</t>
  </si>
  <si>
    <t>13494-07-0</t>
  </si>
  <si>
    <t>CC1CC(C)C(=O)C1=O</t>
  </si>
  <si>
    <t>MIDXCONKKJTLDX-UHFFFAOYSA-N</t>
  </si>
  <si>
    <t>8.06_301.1195m/z</t>
  </si>
  <si>
    <t>Ancymidol</t>
  </si>
  <si>
    <t>HMDB0248390</t>
  </si>
  <si>
    <t>C18774</t>
  </si>
  <si>
    <t>12771-68-5</t>
  </si>
  <si>
    <t>COC1=CC=C(C=C1)C(O)(C1CC1)C1=CN=CN=C1</t>
  </si>
  <si>
    <t>HUTDUHSNJYTCAR-UHFFFAOYSA-N</t>
  </si>
  <si>
    <t>C15H16N2O2</t>
  </si>
  <si>
    <t>12.18_411.3116m/z</t>
  </si>
  <si>
    <t>Sorbitan stearate</t>
  </si>
  <si>
    <t>HMDB0029888</t>
  </si>
  <si>
    <t>LMFA07011020</t>
  </si>
  <si>
    <t>1338-41-6</t>
  </si>
  <si>
    <t>O(C(CCCCCCCCCCCCCCCCC)=O)CC(C1OCC(O)C1O)O</t>
  </si>
  <si>
    <t>HVUMOYIDDBPOLL-UHFFFAOYSA-N</t>
  </si>
  <si>
    <t>C24H46O6</t>
  </si>
  <si>
    <t>1.65_195.1750m/z</t>
  </si>
  <si>
    <t>7Z-Undecenyl acetate</t>
  </si>
  <si>
    <t>LMFA07010216</t>
  </si>
  <si>
    <t>O(C(=O)C)CCCCCC/C=C\CCC</t>
  </si>
  <si>
    <t>BRPOZIBCZYYKOQ-WAYWQWQTSA-N</t>
  </si>
  <si>
    <t>10.15_179.1435m/z</t>
  </si>
  <si>
    <t>7-Isopropyl-5-methylbicyclo[2.2.2]oct-5-en-2-one</t>
  </si>
  <si>
    <t>HMDB0036681</t>
  </si>
  <si>
    <t>73069-42-8</t>
  </si>
  <si>
    <t>CC(C)C1CC2CC(=O)C1C=C2C</t>
  </si>
  <si>
    <t>JGWYWWRNBCMLOE-UHFFFAOYSA-N</t>
  </si>
  <si>
    <t>10.71_308.2228m/z</t>
  </si>
  <si>
    <t>Bolekolic acid</t>
  </si>
  <si>
    <t>LMFA01031027</t>
  </si>
  <si>
    <t>C(CCCCCCC(O)C#CC#C/C=C/CCCC)(=O)O</t>
  </si>
  <si>
    <t>BFYLXOBBDBQUMB-AATRIKPKSA-N</t>
  </si>
  <si>
    <t>11.66_297.2431m/z</t>
  </si>
  <si>
    <t>12-hydroxy-9-octadecynoic acid</t>
  </si>
  <si>
    <t>LMFA02000217</t>
  </si>
  <si>
    <t>C(CCCCCCCC#CCC(O)CCCCCC)(=O)O</t>
  </si>
  <si>
    <t>WLIGEPWCQYIUNZ-UHFFFAOYSA-N</t>
  </si>
  <si>
    <t>0.76_232.1299m/z</t>
  </si>
  <si>
    <t>Valylasparagine</t>
  </si>
  <si>
    <t>HMDB0029122</t>
  </si>
  <si>
    <t>66170-00-1</t>
  </si>
  <si>
    <t>CC(C)[C@H](N)C(=O)N[C@@H](CC(N)=O)C(O)=O</t>
  </si>
  <si>
    <t>WITCOKQIPFWQQD-FSPLSTOPSA-N</t>
  </si>
  <si>
    <t>9.91_280.2402n</t>
  </si>
  <si>
    <t>Rumenic acid</t>
  </si>
  <si>
    <t>HMDB0003797</t>
  </si>
  <si>
    <t>LMFA01030118</t>
  </si>
  <si>
    <t>C04056</t>
  </si>
  <si>
    <t>2540-56-9</t>
  </si>
  <si>
    <t>C(/C=C\C=C\CCCCCC)CCCCCCC(=O)O</t>
  </si>
  <si>
    <t>JBYXPOFIGCOSSB-GOJKSUSPSA-N</t>
  </si>
  <si>
    <t>4.56_381.1071m/z</t>
  </si>
  <si>
    <t>2-(5-Hydroxy-1H-indol-2-yl)acetic acid</t>
  </si>
  <si>
    <t>HMDB0257587</t>
  </si>
  <si>
    <t>OC(=O)CC1=CC2=C(N1)C=CC(O)=C2</t>
  </si>
  <si>
    <t>KCWQSNFJXVMEQC-UHFFFAOYSA-N</t>
  </si>
  <si>
    <t>14.10_442.4035n</t>
  </si>
  <si>
    <t>MG(24:0/0:0/0:0)</t>
  </si>
  <si>
    <t>HMDB0011588</t>
  </si>
  <si>
    <t>[H][C@](O)(CO)COC(=O)CCCCCCCCCCCCCCCCCCCCCCC</t>
  </si>
  <si>
    <t>KIWLCEXSSGNBJU-SANMLTNESA-N</t>
  </si>
  <si>
    <t>C27H54O4</t>
  </si>
  <si>
    <t>10.99_385.2365m/z</t>
  </si>
  <si>
    <t>Medroxyprogesterone acetate</t>
  </si>
  <si>
    <t>C08150</t>
  </si>
  <si>
    <t>71-58-9</t>
  </si>
  <si>
    <t>CC1CC2C(CCC3(C2CCC3(C(=O)C)OC(=O)C)C)C4(C1=CC(=O)CC4)C</t>
  </si>
  <si>
    <t>PSGAAPLEWMOORI-PEINSRQWSA-N</t>
  </si>
  <si>
    <t>0.58_204.1350m/z</t>
  </si>
  <si>
    <t>Lysylglycine</t>
  </si>
  <si>
    <t>HMDB0028951</t>
  </si>
  <si>
    <t>7563-03-3</t>
  </si>
  <si>
    <t>NCCCC[C@H](N)C(=O)NCC(O)=O</t>
  </si>
  <si>
    <t>HGNRJCINZYHNOU-LURJTMIESA-N</t>
  </si>
  <si>
    <t>C8H17N3O3</t>
  </si>
  <si>
    <t>3.75_293.1143m/z</t>
  </si>
  <si>
    <t>(2S,4S)-Monatin</t>
  </si>
  <si>
    <t>HMDB0041309</t>
  </si>
  <si>
    <t>146142-94-1</t>
  </si>
  <si>
    <t>NC(CC(O)(CC1=CNC2=CC=CC=C12)C(O)=O)C(O)=O</t>
  </si>
  <si>
    <t>RMLYXMMBIZLGAQ-UHFFFAOYSA-N</t>
  </si>
  <si>
    <t>C14H16N2O5</t>
  </si>
  <si>
    <t>10.27_299.1448m/z</t>
  </si>
  <si>
    <t>N-(1-Deoxy-1-fructosyl)threonine</t>
  </si>
  <si>
    <t>HMDB0037843</t>
  </si>
  <si>
    <t>70954-04-0</t>
  </si>
  <si>
    <t>CC(O)[C@H](NCC1(O)O[C@H](CO)[C@@H](O)[C@@H]1O)C(O)=O</t>
  </si>
  <si>
    <t>JUBGLICOZRKBCO-KNWYLTHMSA-N</t>
  </si>
  <si>
    <t>C10H19NO8</t>
  </si>
  <si>
    <t>9.75_329.1729m/z</t>
  </si>
  <si>
    <t>1-(1-(Tert-Butoxycarbonyl)piperidin-4-yl)azetidine-3-carboxylic acid</t>
  </si>
  <si>
    <t>HMDB0247560</t>
  </si>
  <si>
    <t>CC(C)(C)OC(=O)N1CCC(CC1)N1CC(C1)C(O)=O</t>
  </si>
  <si>
    <t>PJUNYYOGPCHSBI-UHFFFAOYSA-N</t>
  </si>
  <si>
    <t>C14H24N2O4</t>
  </si>
  <si>
    <t>10.99_249.1855m/z</t>
  </si>
  <si>
    <t>5-Hexyl-2-furanhexanoic acid</t>
  </si>
  <si>
    <t>HMDB0112088</t>
  </si>
  <si>
    <t>CCCCCCC1=CC=C(CCCCCC(O)=O)O1</t>
  </si>
  <si>
    <t>HPFDAHYFHAOXSC-UHFFFAOYSA-N</t>
  </si>
  <si>
    <t>8.60_344.2805m/z</t>
  </si>
  <si>
    <t>5-Methylundecanoylcarnitine</t>
  </si>
  <si>
    <t>HMDB0240808</t>
  </si>
  <si>
    <t>CCCCCCC(C)CCCC(=O)OC(CC([O-])=O)C[N+](C)(C)C</t>
  </si>
  <si>
    <t>JNDCDQAZCWZVJE-UHFFFAOYSA-N</t>
  </si>
  <si>
    <t>5.24_429.1955m/z</t>
  </si>
  <si>
    <t>Trp Met Ile</t>
  </si>
  <si>
    <t>CCC(C)C(C(=O)O)NC(=O)C(CCSC)NC(=O)C(CC1=CNC2=CC=CC=C21)N</t>
  </si>
  <si>
    <t>RIKLKPANMFNREP-FDARSICLSA-N</t>
  </si>
  <si>
    <t>C22H32N4O4S</t>
  </si>
  <si>
    <t>5.96_386.1701m/z</t>
  </si>
  <si>
    <t>n6-[2-(4-Aminophenyl)ethyl]adenosine</t>
  </si>
  <si>
    <t>HMDB0248518</t>
  </si>
  <si>
    <t>NC1=CC=C(CCNC2=NC=NC3=C2N=CN3C2OC(CO)C(O)C2O)C=C1</t>
  </si>
  <si>
    <t>XTPOZVLRZZIEBW-UHFFFAOYSA-N</t>
  </si>
  <si>
    <t>C18H22N6O4</t>
  </si>
  <si>
    <t>14.44_198.1625n</t>
  </si>
  <si>
    <t>Lauroleinic acid</t>
  </si>
  <si>
    <t>HMDB0000529</t>
  </si>
  <si>
    <t>LMFA01030226</t>
  </si>
  <si>
    <t>2430-94-6</t>
  </si>
  <si>
    <t>C(CCC/C=C\CCCCCC)(=O)O</t>
  </si>
  <si>
    <t>IJBFSOLHRKELLR-FPLPWBNLSA-N</t>
  </si>
  <si>
    <t>8.42_412.3072m/z</t>
  </si>
  <si>
    <t>12-HETE-G</t>
  </si>
  <si>
    <t>HMDB0260524</t>
  </si>
  <si>
    <t>LMGL01010031</t>
  </si>
  <si>
    <t>OC[C@]([H])(OC(CCC/C=C\C/C=C\C=C\[C@@H](O)C/C=C\CCCCC)=O)CO</t>
  </si>
  <si>
    <t>VOBREYBFMGVDHP-KUJNIBRASA-N</t>
  </si>
  <si>
    <t>10.76_530.3249m/z</t>
  </si>
  <si>
    <t>PC(19:3(10Z,13Z,16Z)/0:0)</t>
  </si>
  <si>
    <t>LMGP01050003</t>
  </si>
  <si>
    <t>[C@](COP(=O)([O-])OCC[N+](C)(C)C)([H])(O)COC(CCCCCCCC/C=C\C/C=C\C/C=C\CC)=O</t>
  </si>
  <si>
    <t>YWILQZMMAROEQS-MQIAJVHNSA-N</t>
  </si>
  <si>
    <t>C27H50NO7P</t>
  </si>
  <si>
    <t>3.34_161.0394m/z</t>
  </si>
  <si>
    <t>2-Ethylbenzenethiol</t>
  </si>
  <si>
    <t>HMDB0041361</t>
  </si>
  <si>
    <t>4500-58-7</t>
  </si>
  <si>
    <t>CCC1=CC=CC=C1S</t>
  </si>
  <si>
    <t>ABROBCBIIWHVNS-UHFFFAOYSA-N</t>
  </si>
  <si>
    <t>Thiophenols</t>
  </si>
  <si>
    <t>C8H10S</t>
  </si>
  <si>
    <t>7.70_239.2013m/z</t>
  </si>
  <si>
    <t>(3S,4S,6R,7S)-1,10-Bisaboladiene-3,4-diol</t>
  </si>
  <si>
    <t>HMDB0031383</t>
  </si>
  <si>
    <t>129673-87-6</t>
  </si>
  <si>
    <t>CC(CCC=C(C)C)C1CC(O)C(C)(O)C=C1</t>
  </si>
  <si>
    <t>YRFJMOGROZTYPC-UHFFFAOYSA-N</t>
  </si>
  <si>
    <t>10.17_448.3246m/z</t>
  </si>
  <si>
    <t>DG(2:0/0:0/18:1(12Z)-2OH(9,10))</t>
  </si>
  <si>
    <t>HMDB0296965</t>
  </si>
  <si>
    <t>CCCCC\C=C/C[C@@H](O)[C@H](O)CCCCCCCC(=O)OC[C@H](O)COC(C)=O</t>
  </si>
  <si>
    <t>YKWRPCRUVOUHEI-KSULQQROSA-N</t>
  </si>
  <si>
    <t>4.89_179.0707m/z</t>
  </si>
  <si>
    <t>3-(3-hydroxy-4-methoxyphenyl)propanoic acid</t>
  </si>
  <si>
    <t>HMDB0131138</t>
  </si>
  <si>
    <t>COC1=C(O)C=C(CCC(O)=O)C=C1</t>
  </si>
  <si>
    <t>ZVIJTQFTLXXGJA-UHFFFAOYSA-N</t>
  </si>
  <si>
    <t>4.26_472.1981m/z</t>
  </si>
  <si>
    <t>Doxepin N-oxide glucuronide</t>
  </si>
  <si>
    <t>HMDB0061139</t>
  </si>
  <si>
    <t>C[N+](C)(CC\C=C1/C2=C(COC3=C1C=CC=C3)C=CC=C2)O[C@@H]1O[C@@H]([C@@H](O)[C@H](O)[C@H]1O)C(O)=O</t>
  </si>
  <si>
    <t>NLZMYODDTAMNJM-GOSZAKIASA-O</t>
  </si>
  <si>
    <t>C25H30NO8+</t>
  </si>
  <si>
    <t>3.69_563.2689m/z</t>
  </si>
  <si>
    <t>Dihydrozeatin-9-N-glucoside-O-glucoside</t>
  </si>
  <si>
    <t>HMDB0012212</t>
  </si>
  <si>
    <t>619326-04-4</t>
  </si>
  <si>
    <t>C[C@@H](CCNC1=NC=NC2=C1N=CN2[C@@H]1O[C@H](CO)[C@@H](O)[C@H](O)[C@H]1O)CO[C@@H]1O[C@H](CO)[C@@H](O)[C@H](O)[C@H]1O</t>
  </si>
  <si>
    <t>KDIRTCPHKDPWMQ-ADPNGTSNSA-N</t>
  </si>
  <si>
    <t>C22H35N5O11</t>
  </si>
  <si>
    <t>4.67_906.3959m/z</t>
  </si>
  <si>
    <t>Cholyl-lysyl-fluorescein</t>
  </si>
  <si>
    <t>HMDB0250195</t>
  </si>
  <si>
    <t>CC(CCC(=O)NC(CCCCNC(=S)NC1=CC(C(O)=O)=C(C=C1)C1=C2C=CC(=O)C=C2OC2=C1C=CC(O)=C2)C(O)=O)C1CCC2C3C(O)CC4CC(O)CCC4(C)C3CC(O)C12C</t>
  </si>
  <si>
    <t>ZUJFMZPBQQCXQR-UHFFFAOYSA-N</t>
  </si>
  <si>
    <t>C51H63N3O11S</t>
  </si>
  <si>
    <t>0.72_295.0969m/z</t>
  </si>
  <si>
    <t>gamma-L-Glutamyl-L-methionine sulfoxide</t>
  </si>
  <si>
    <t>HMDB0038613</t>
  </si>
  <si>
    <t>39015-69-5</t>
  </si>
  <si>
    <t>CS(=O)CCC(NC(=O)CCC(N)C(O)=O)C(O)=O</t>
  </si>
  <si>
    <t>NEVSWSOSRAOCGK-UHFFFAOYSA-N</t>
  </si>
  <si>
    <t>C10H18N2O6S</t>
  </si>
  <si>
    <t>12.11_351.2906m/z</t>
  </si>
  <si>
    <t>Pantheric Acid A</t>
  </si>
  <si>
    <t>LMFA01031177</t>
  </si>
  <si>
    <t>C(/C=C/C=C\[C@@H](O)CCCCCCCCCCCCCCCC)(=O)O</t>
  </si>
  <si>
    <t>KKPWDPXWIUPCGB-XUQULAACSA-N</t>
  </si>
  <si>
    <t>C22H40O3</t>
  </si>
  <si>
    <t>4.90_157.0497m/z</t>
  </si>
  <si>
    <t>2,5-Dimethyl-3(2H)-furanone</t>
  </si>
  <si>
    <t>HMDB0032233</t>
  </si>
  <si>
    <t>14400-67-0</t>
  </si>
  <si>
    <t>CC1OC(C)=CC1=O</t>
  </si>
  <si>
    <t>ASOSVCXGWPDUGN-UHFFFAOYSA-N</t>
  </si>
  <si>
    <t>4.05_156.1387m/z</t>
  </si>
  <si>
    <t>9-amino-nonanoic acid</t>
  </si>
  <si>
    <t>LMFA01100010</t>
  </si>
  <si>
    <t>C(CCCCCCCCN)(=O)O</t>
  </si>
  <si>
    <t>VWPQCOZMXULHDM-UHFFFAOYSA-N</t>
  </si>
  <si>
    <t>3.88_188.0346m/z</t>
  </si>
  <si>
    <t>Kynurenic acid</t>
  </si>
  <si>
    <t>HMDB0000715</t>
  </si>
  <si>
    <t>C01717</t>
  </si>
  <si>
    <t>R-HSA-1430728,R-HSA-162582,R-HSA-372790,R-HSA-373076,R-HSA-500792,R-HSA-71240,R-HSA-71291</t>
  </si>
  <si>
    <t>Metabolism|Signal Transduction|Signaling by GPCR|Class A/1 (Rhodopsin-like receptors)|GPCR ligand binding|Tryptophan catabolism|Metabolism of amino acids and derivatives</t>
  </si>
  <si>
    <t>492-27-3</t>
  </si>
  <si>
    <t>OC(=O)C1=CC(=O)C2=CC=CC=C2N1</t>
  </si>
  <si>
    <t>HCZHHEIFKROPDY-UHFFFAOYSA-N</t>
  </si>
  <si>
    <t>11.48_353.2123m/z</t>
  </si>
  <si>
    <t>Levonorgestrel acetate</t>
  </si>
  <si>
    <t>HMDB0254058</t>
  </si>
  <si>
    <t>CCC12CCC3C(CCC4=CC(=O)CCC34)C1CCC2(OC(C)=O)C#C</t>
  </si>
  <si>
    <t>YDQDJLTYVZAOQX-UHFFFAOYSA-N</t>
  </si>
  <si>
    <t>C23H30O3</t>
  </si>
  <si>
    <t>93</t>
  </si>
  <si>
    <t>Pyruvic Acid</t>
  </si>
  <si>
    <t>HMDB0000243</t>
  </si>
  <si>
    <t>LMFA01060077</t>
  </si>
  <si>
    <t>C00022</t>
  </si>
  <si>
    <t>hsa00010,hsa00020,hsa00030,hsa00040,hsa00053,hsa00250,hsa00260,hsa00270,hsa00290,hsa00330,hsa00350,hsa00360,hsa00430,hsa00440,hsa00470,hsa00620,hsa00630,hsa00650,hsa00730,hsa00760,hsa00770,hsa00785,hsa00900,hsa04066,hsa04152,hsa04911,hsa04922,hsa04930,hsa04931,hsa05230,hsa05415</t>
  </si>
  <si>
    <t>Glycolysis / Gluconeogenesis|Citrate cycle (TCA cycle)|Pentose phosphate pathway|Pentose and glucuronate interconversions|Ascorbate and aldarate metabolism|Alanine, aspartate and glutamate metabolism|Glycine, serine and threonine metabolism|Cysteine and methionine metabolism|Valine, leucine and isoleucine biosynthesis|Arginine and proline metabolism|Tyrosine metabolism|Phenylalanine metabolism|Taurine and hypotaurine metabolism|Phosphonate and phosphinate metabolism|D-Amino acid metabolism|Pyruvate metabolism|Glyoxylate and dicarboxylate metabolism|Butanoate metabolism|Thiamine metabolism|Nicotinate and nicotinamide metabolism|Pantothenate and CoA biosynthesis|Lipoic acid metabolism|Terpenoid backbone biosynthesis|HIF-1 signaling pathway|AMPK signaling pathway|Insulin secretion|Glucagon signaling pathway|Type II diabetes mellitus|Insulin resistance|Central carbon metabolism in cancer|Diabetic cardiomyopathy</t>
  </si>
  <si>
    <t>127-17-3</t>
  </si>
  <si>
    <t>CC(=O)C(=O)O</t>
  </si>
  <si>
    <t>LCTONWCANYUPML-UHFFFAOYSA-N</t>
  </si>
  <si>
    <t>Alpha-keto acids and derivatives</t>
  </si>
  <si>
    <t>C3H4O3</t>
  </si>
  <si>
    <t>10.97_284.2230m/z</t>
  </si>
  <si>
    <t>Myristoylglycine</t>
  </si>
  <si>
    <t>HMDB0013250</t>
  </si>
  <si>
    <t>CCCCCCCCCCCCCC(=O)NCC(O)=O</t>
  </si>
  <si>
    <t>DYUGTPXLDJQBRB-UHFFFAOYSA-N</t>
  </si>
  <si>
    <t>C16H31NO3</t>
  </si>
  <si>
    <t>0.58_275.1723m/z</t>
  </si>
  <si>
    <t>Lysylglutamine</t>
  </si>
  <si>
    <t>HMDB0028949</t>
  </si>
  <si>
    <t>92352-82-4</t>
  </si>
  <si>
    <t>NCCCC[C@H](N)C(=O)N[C@@H](CCC(N)=O)C(O)=O</t>
  </si>
  <si>
    <t>OAPNERBWQWUPTI-YUMQZZPRSA-N</t>
  </si>
  <si>
    <t>C11H22N4O4</t>
  </si>
  <si>
    <t>1.82_177.1028m/z</t>
  </si>
  <si>
    <t>Serotonin</t>
  </si>
  <si>
    <t>HMDB0000259</t>
  </si>
  <si>
    <t>C00780</t>
  </si>
  <si>
    <t>hsa00380,hsa04024,hsa04080,hsa04540,hsa04726,hsa04742,hsa04750,hsa05207</t>
  </si>
  <si>
    <t>Tryptophan metabolism|cAMP signaling pathway|Neuroactive ligand-receptor interaction|Gap junction|Serotonergic synapse|Taste transduction|Inflammatory mediator regulation of TRP channels|Chemical carcinogenesis - receptor activation</t>
  </si>
  <si>
    <t>50-67-9</t>
  </si>
  <si>
    <t>NCCC1=CNC2=C1C=C(O)C=C2</t>
  </si>
  <si>
    <t>QZAYGJVTTNCVMB-UHFFFAOYSA-N</t>
  </si>
  <si>
    <t>1.82_143.0340m/z</t>
  </si>
  <si>
    <t>3-Hydroxyadipic acid 3,6-lactone</t>
  </si>
  <si>
    <t>HMDB0029171</t>
  </si>
  <si>
    <t>60551-20-4</t>
  </si>
  <si>
    <t>[H]OC(=O)CC1([H])CCC(=O)O1</t>
  </si>
  <si>
    <t>BWEICTHJUIJQPH-UHFFFAOYSA-N</t>
  </si>
  <si>
    <t>4.71_139.0390m/z</t>
  </si>
  <si>
    <t>HOHA lactone</t>
  </si>
  <si>
    <t>LMFA07040113</t>
  </si>
  <si>
    <t>O1C(/C=C/C=O)CCC1=O</t>
  </si>
  <si>
    <t>MGDPEFRLGBFRFH-OWOJBTEDSA-N</t>
  </si>
  <si>
    <t>C7H8O3</t>
  </si>
  <si>
    <t>3.56_289.0807m/z</t>
  </si>
  <si>
    <t>4-Amino-1-(6-aminopurin-9-yl)pyrimidin-2-one</t>
  </si>
  <si>
    <t>HMDB0257570</t>
  </si>
  <si>
    <t>NC1=NC(=O)N(C=C1)N1C=NC2=C1N=CN=C2N</t>
  </si>
  <si>
    <t>HCUAWQYISSJRST-UHFFFAOYSA-N</t>
  </si>
  <si>
    <t>C9H8N8O</t>
  </si>
  <si>
    <t>0.68_174.0875m/z</t>
  </si>
  <si>
    <t>Carbamoyl (2R)-2,5-diaminopentanoate</t>
  </si>
  <si>
    <t>HMDB0257951</t>
  </si>
  <si>
    <t>NCCCC(N)C(=O)OC(N)=O</t>
  </si>
  <si>
    <t>CFSBKLYCPLFHQU-UHFFFAOYSA-N</t>
  </si>
  <si>
    <t>5.00_385.1692m/z</t>
  </si>
  <si>
    <t>Berkeleylactone A</t>
  </si>
  <si>
    <t>LMFA07040161</t>
  </si>
  <si>
    <t>C1(O[C@H](C)CCCCCCCCC[C@H](O)C(=O)C[C@H]1SC[C@@H](O)C(O)=O)=O</t>
  </si>
  <si>
    <t>KQOUUXPIBXWEMV-YALNPMBYSA-N</t>
  </si>
  <si>
    <t>C19H32O7S</t>
  </si>
  <si>
    <t>1.09_229.0328m/z</t>
  </si>
  <si>
    <t>3-(Carboxymethyl)-3-hydroxypentanedioic acid</t>
  </si>
  <si>
    <t>HMDB0059932</t>
  </si>
  <si>
    <t>OC(=O)CC(O)(CC(O)=O)CC(O)=O</t>
  </si>
  <si>
    <t>CQOIYSASVHVTBU-UHFFFAOYSA-N</t>
  </si>
  <si>
    <t>0.99_329.0316m/z</t>
  </si>
  <si>
    <t>Tetraethyl pyrophosphate</t>
  </si>
  <si>
    <t>HMDB0258824</t>
  </si>
  <si>
    <t>C19017</t>
  </si>
  <si>
    <t>107-49-3</t>
  </si>
  <si>
    <t>CCOP(=O)(OCC)OP(=O)(OCC)OCC</t>
  </si>
  <si>
    <t>IDCBOTIENDVCBQ-UHFFFAOYSA-N</t>
  </si>
  <si>
    <t>C8H20O7P2</t>
  </si>
  <si>
    <t>0.85_147.0288m/z</t>
  </si>
  <si>
    <t>D-2-Hydroxyglutaric acid</t>
  </si>
  <si>
    <t>HMDB0000606</t>
  </si>
  <si>
    <t>C01087</t>
  </si>
  <si>
    <t>R-HSA-1428517,R-HSA-1430728,R-HSA-1643685,R-HSA-2978092,R-HSA-5668914,R-HSA-71406,R-HSA-880009</t>
  </si>
  <si>
    <t>The citric acid (TCA) cycle and respiratory electron transport|Metabolism|Disease|Abnormal conversion of 2-oxoglutarate to 2-hydroxyglutarate|Diseases of metabolism|Pyruvate metabolism and Citric Acid (TCA) cycle|Interconversion of 2-oxoglutarate and 2-hydroxyglutarate</t>
  </si>
  <si>
    <t>13095-47-1</t>
  </si>
  <si>
    <t>O[C@H](CCC(O)=O)C(O)=O</t>
  </si>
  <si>
    <t>HWXBTNAVRSUOJR-GSVOUGTGSA-N</t>
  </si>
  <si>
    <t>5.01_340.1037n</t>
  </si>
  <si>
    <t>N-(6-Aminohexyl)-5-chloro-1-naphthalenesulfonamide</t>
  </si>
  <si>
    <t>HMDB0255015</t>
  </si>
  <si>
    <t>NCCCCCCNS(=O)(=O)C1=CC=CC2=C1C=CC=C2Cl</t>
  </si>
  <si>
    <t>IDEHCMNLNCJQST-UHFFFAOYSA-N</t>
  </si>
  <si>
    <t>C16H21ClN2O2S</t>
  </si>
  <si>
    <t>6.17_207.1023m/z</t>
  </si>
  <si>
    <t>Diplosporin</t>
  </si>
  <si>
    <t>HMDB0030680</t>
  </si>
  <si>
    <t>69199-05-9</t>
  </si>
  <si>
    <t>CCC1CCC2=C(C1O)C(=O)C(=CO2)CO</t>
  </si>
  <si>
    <t>BFQQKLXDPGTJKC-HQJQHLMTSA-N</t>
  </si>
  <si>
    <t>0.60_161.1289m/z</t>
  </si>
  <si>
    <t>Putreanine</t>
  </si>
  <si>
    <t>HMDB0006078</t>
  </si>
  <si>
    <t>25887-39-2</t>
  </si>
  <si>
    <t>[NH3+]CCCCNCCC(O)=O</t>
  </si>
  <si>
    <t>BTSHXVLJDRJCMM-UHFFFAOYSA-O</t>
  </si>
  <si>
    <t>C7H17N2O2+</t>
  </si>
  <si>
    <t>6.89_665.2473m/z</t>
  </si>
  <si>
    <t>Pinoresinol diglucoside</t>
  </si>
  <si>
    <t>COC1=C(C=CC(=C1)C2C3COC(C3CO2)C4=CC(=C(C=C4)OC5C(C(C(C(O5)CO)O)O)O)OC)OC6C(C(C(C(O6)CO)O)O)O</t>
  </si>
  <si>
    <t>ZJSJQWDXAYNLNS-FUPWJLLWSA-N</t>
  </si>
  <si>
    <t>C32H42O16</t>
  </si>
  <si>
    <t>5.90_253.1918m/z</t>
  </si>
  <si>
    <t>N,N,O-Tridesmethylvenlafaxine</t>
  </si>
  <si>
    <t>HMDB0061345</t>
  </si>
  <si>
    <t>149289-29-2</t>
  </si>
  <si>
    <t>NCC(C1=CC=C(O)C=C1)C1(O)CCCCC1</t>
  </si>
  <si>
    <t>BHCUWXACHAFFSK-UHFFFAOYSA-N</t>
  </si>
  <si>
    <t>C14H21NO2</t>
  </si>
  <si>
    <t>4.78_135.0441m/z</t>
  </si>
  <si>
    <t>2-Hydroxyacetophenone</t>
  </si>
  <si>
    <t>HMDB0245150</t>
  </si>
  <si>
    <t>C07189</t>
  </si>
  <si>
    <t>582-24-1</t>
  </si>
  <si>
    <t>OCC(=O)C1=CC=CC=C1</t>
  </si>
  <si>
    <t>ZWVHTXAYIKBMEE-UHFFFAOYSA-N</t>
  </si>
  <si>
    <t>C8H8O2</t>
  </si>
  <si>
    <t>4.03_329.1504m/z</t>
  </si>
  <si>
    <t>Phenylalanyltyrosine</t>
  </si>
  <si>
    <t>HMDB0029007</t>
  </si>
  <si>
    <t>N[C@@H](CC1=CC=CC=C1)C(=O)N[C@@H](CC1=CC=C(O)C=C1)C(O)=O</t>
  </si>
  <si>
    <t>FSXRLASFHBWESK-HOTGVXAUSA-N</t>
  </si>
  <si>
    <t>0.77_261.1454m/z</t>
  </si>
  <si>
    <t>Arginylserine</t>
  </si>
  <si>
    <t>HMDB0028718</t>
  </si>
  <si>
    <t>70921-62-9</t>
  </si>
  <si>
    <t>N[C@@H](CCCNC(N)=N)C(=O)N[C@@H](CO)C(O)=O</t>
  </si>
  <si>
    <t>IJYZHIOOBGIINM-WDSKDSINSA-N</t>
  </si>
  <si>
    <t>4.73_916.8719m/z</t>
  </si>
  <si>
    <t>TG(20:1(11Z)/O-18:0/18:2(9Z,12Z))</t>
  </si>
  <si>
    <t>HMDB0050855</t>
  </si>
  <si>
    <t>[H][C@](COC(=O)CCCCCCCCC\C=C/CCCCCCCC)(COC(=O)CCCCCCC\C=C/C\C=C/CCCCC)OCCCCCCCCCCCCCCCCCC</t>
  </si>
  <si>
    <t>DFRAOAGIOAZMIC-JYDIDCMOSA-N</t>
  </si>
  <si>
    <t>C59H110O5</t>
  </si>
  <si>
    <t>7.33_293.0613m/z</t>
  </si>
  <si>
    <t>Garomefrine</t>
  </si>
  <si>
    <t>HMDB0255774</t>
  </si>
  <si>
    <t>CS(=O)(=O)NC1=CC(C(O)CN)=C(F)C=C1</t>
  </si>
  <si>
    <t>XYLJNMCMDOOJRW-UHFFFAOYSA-N</t>
  </si>
  <si>
    <t>C9H13FN2O3S</t>
  </si>
  <si>
    <t>4.71_283.2022m/z</t>
  </si>
  <si>
    <t>Oxprenolol</t>
  </si>
  <si>
    <t>HMDB0015520</t>
  </si>
  <si>
    <t>D08318</t>
  </si>
  <si>
    <t>6452-71-7</t>
  </si>
  <si>
    <t>CC(C)NCC(O)COC1=C(OCC=C)C=CC=C1</t>
  </si>
  <si>
    <t>CEMAWMOMDPGJMB-UHFFFAOYSA-N</t>
  </si>
  <si>
    <t>C15H23NO3</t>
  </si>
  <si>
    <t>1.69_175.0970m/z</t>
  </si>
  <si>
    <t>N-methylphenylethanolaminium</t>
  </si>
  <si>
    <t>HMDB0062808</t>
  </si>
  <si>
    <t>C[NH2+]CC(O)C1=CC=CC=C1</t>
  </si>
  <si>
    <t>ZCTYHONEGJTYQV-UHFFFAOYSA-O</t>
  </si>
  <si>
    <t>C9H14NO+</t>
  </si>
  <si>
    <t>4.90_164.0344m/z</t>
  </si>
  <si>
    <t>1,2-Diacylglycerol-LD-PI-pool</t>
  </si>
  <si>
    <t>HMDB0062270</t>
  </si>
  <si>
    <t>103-71-9</t>
  </si>
  <si>
    <t>O=C=NC1=CC=CC=C1</t>
  </si>
  <si>
    <t>DGTNSSLYPYDJGL-UHFFFAOYSA-N</t>
  </si>
  <si>
    <t>C7H5NO</t>
  </si>
  <si>
    <t>73</t>
  </si>
  <si>
    <t>1,3-Propanediol</t>
  </si>
  <si>
    <t>C02457</t>
  </si>
  <si>
    <t>hsa00561</t>
  </si>
  <si>
    <t>Glycerolipid metabolism</t>
  </si>
  <si>
    <t>504-63-2</t>
  </si>
  <si>
    <t>C(CO)CO</t>
  </si>
  <si>
    <t>YPFDHNVEDLHUCE-UHFFFAOYSA-N</t>
  </si>
  <si>
    <t>C3H8O2</t>
  </si>
  <si>
    <t>7.77_340.2243m/z</t>
  </si>
  <si>
    <t>Ile Pro Ile</t>
  </si>
  <si>
    <t>CCC(C)C(C(=O)N1CCCC1C(=O)NC(C(C)CC)C(=O)O)N</t>
  </si>
  <si>
    <t>JNTMAZFVYNDPLB-PEDHHIEDSA-N</t>
  </si>
  <si>
    <t>11.27_221.1542m/z</t>
  </si>
  <si>
    <t>Tetradecan-7,9-diynoic acid</t>
  </si>
  <si>
    <t>LMFA01031094</t>
  </si>
  <si>
    <t>C(CCCCCC#CC#CCCCC)(=O)O</t>
  </si>
  <si>
    <t>UDDQRZKIDJCZJF-UHFFFAOYSA-N</t>
  </si>
  <si>
    <t>12.76_228.2328m/z</t>
  </si>
  <si>
    <t>Xestoaminol A</t>
  </si>
  <si>
    <t>LMSP01080078</t>
  </si>
  <si>
    <t>C[C@H](N)[C@H](O)CCCCCCC/C=C/CC</t>
  </si>
  <si>
    <t>BVWZJMSWYIKRNF-OOPLNXAUSA-N</t>
  </si>
  <si>
    <t>0.84_266.0989m/z</t>
  </si>
  <si>
    <t>Aspartyl-Aspartate</t>
  </si>
  <si>
    <t>HMDB0028749</t>
  </si>
  <si>
    <t>NC(CC(O)=O)C(=O)NC(CC(O)=O)C(O)=O</t>
  </si>
  <si>
    <t>FRYULLIZUDQONW-UHFFFAOYSA-N</t>
  </si>
  <si>
    <t>C8H12N2O7</t>
  </si>
  <si>
    <t>11.67_349.2749m/z</t>
  </si>
  <si>
    <t>pregnan-21-ol</t>
  </si>
  <si>
    <t>LMST02030174</t>
  </si>
  <si>
    <t>C00892</t>
  </si>
  <si>
    <t>[C@@]12([H])CCC3CCCC[C@]3(C)[C@@]1([H])CC[C@]1(C)[C@H](CC[C@@]21[H])CCO</t>
  </si>
  <si>
    <t>DBMUNIJZUYVPCQ-XFNFOBRPSA-N</t>
  </si>
  <si>
    <t>C21H36O</t>
  </si>
  <si>
    <t>1.03_276.1023m/z</t>
  </si>
  <si>
    <t>2-(7'-methylthio)heptylmalate</t>
  </si>
  <si>
    <t>HMDB0304054</t>
  </si>
  <si>
    <t>CSCCCCCCCC(O)(CC([O-])=O)C([O-])=O</t>
  </si>
  <si>
    <t>PWAKELUEEHWVFQ-UHFFFAOYSA-L</t>
  </si>
  <si>
    <t>C12H20O5S-2</t>
  </si>
  <si>
    <t>7.39_448.3072m/z</t>
  </si>
  <si>
    <t>Glycoursodeoxycholic acid</t>
  </si>
  <si>
    <t>HMDB0000708</t>
  </si>
  <si>
    <t>LMST05030016</t>
  </si>
  <si>
    <t>64480-66-6</t>
  </si>
  <si>
    <t>O[C@H]1C[C@@]2([H])C[C@H](O)[C@@]3([H])[C@]4([H])CC[C@]([H])([C@@](C)([H])CCC(=O)NCC(=O)O)[C@@]4(C)CC[C@]3([H])[C@@]2(C)CC1</t>
  </si>
  <si>
    <t>GHCZAUBVMUEKKP-XROMFQGDSA-N</t>
  </si>
  <si>
    <t>6.89_212.0381m/z</t>
  </si>
  <si>
    <t>4-Methylthiobenzamide-S-oxide</t>
  </si>
  <si>
    <t>HMDB0243616</t>
  </si>
  <si>
    <t>CC1=CC=C(C=C1)C(N)=S=O</t>
  </si>
  <si>
    <t>WTGWOZOXYNUTSS-UHFFFAOYSA-N</t>
  </si>
  <si>
    <t>C8H9NOS</t>
  </si>
  <si>
    <t>8.27_456.3335m/z</t>
  </si>
  <si>
    <t>(9S,10E,12S,13S)-9,12,13-Trihydroxyoctadec-10-enoylcarnitine</t>
  </si>
  <si>
    <t>HMDB0241532</t>
  </si>
  <si>
    <t>CCCCCC(O)C(O)C=CC(O)CCCCCCCC(=O)OC(CC([O-])=O)C[N+](C)(C)C</t>
  </si>
  <si>
    <t>JDXAKTPKOTZICL-UHFFFAOYSA-N</t>
  </si>
  <si>
    <t>C25H47NO7</t>
  </si>
  <si>
    <t>3.29_126.0999m/z</t>
  </si>
  <si>
    <t>Diethylenetriamine</t>
  </si>
  <si>
    <t>HMDB0031413</t>
  </si>
  <si>
    <t>111-40-0</t>
  </si>
  <si>
    <t>NCCNCCN</t>
  </si>
  <si>
    <t>RPNUMPOLZDHAAY-UHFFFAOYSA-N</t>
  </si>
  <si>
    <t>C4H13N3</t>
  </si>
  <si>
    <t>1.02_152.0285m/z</t>
  </si>
  <si>
    <t>Methioprim</t>
  </si>
  <si>
    <t>HMDB0246995</t>
  </si>
  <si>
    <t>CSC1=NC=C(CO)C(N)=N1</t>
  </si>
  <si>
    <t>XLVOWGDFXAVSFE-UHFFFAOYSA-N</t>
  </si>
  <si>
    <t>C6H9N3OS</t>
  </si>
  <si>
    <t>5.32_194.0452m/z</t>
  </si>
  <si>
    <t>Salicyluric acid</t>
  </si>
  <si>
    <t>HMDB0000840</t>
  </si>
  <si>
    <t>C07588</t>
  </si>
  <si>
    <t>R-HSA-1430728,R-HSA-156580,R-HSA-156587,R-HSA-159424,R-HSA-177128,R-HSA-211859,R-HSA-9748784,R-HSA-9749641</t>
  </si>
  <si>
    <t>Metabolism|Phase II - Conjugation of compounds|Amino Acid conjugation|Conjugation of carboxylic acids|Conjugation of salicylate with glycine|Biological oxidations|Drug ADME|Aspirin ADME</t>
  </si>
  <si>
    <t>487-54-7</t>
  </si>
  <si>
    <t>OC(=O)CNC(=O)C1=C(O)C=CC=C1</t>
  </si>
  <si>
    <t>ONJSZLXSECQROL-UHFFFAOYSA-N</t>
  </si>
  <si>
    <t>C9H9NO4</t>
  </si>
  <si>
    <t>0.73_355.0292m/z</t>
  </si>
  <si>
    <t>4-Chloro-1-naphthol</t>
  </si>
  <si>
    <t>HMDB0247127</t>
  </si>
  <si>
    <t>OC1=CC=C(Cl)C2=CC=CC=C12</t>
  </si>
  <si>
    <t>LVSPDZAGCBEQAV-UHFFFAOYSA-N</t>
  </si>
  <si>
    <t>C10H7ClO</t>
  </si>
  <si>
    <t>3.65_157.0496m/z</t>
  </si>
  <si>
    <t>6-hydroxy-2,4-hexadienal</t>
  </si>
  <si>
    <t>LMFA06000017</t>
  </si>
  <si>
    <t>C(O)/C=C/C=C/C([H])=O</t>
  </si>
  <si>
    <t>PCYZGEHNECVSCF-ZPUQHVIOSA-N</t>
  </si>
  <si>
    <t>11.88_238.2170m/z</t>
  </si>
  <si>
    <t>Acoragermacrone</t>
  </si>
  <si>
    <t>HMDB0037069</t>
  </si>
  <si>
    <t>50281-45-3</t>
  </si>
  <si>
    <t>CC(C)C1CC\C(C)=C/CC\C(C)=C/C1=O</t>
  </si>
  <si>
    <t>RESNWHKKMVJDFA-HVZNDUSUSA-N</t>
  </si>
  <si>
    <t>8.69_347.1630m/z</t>
  </si>
  <si>
    <t>Bufogargarizin D</t>
  </si>
  <si>
    <t>LMST01130063</t>
  </si>
  <si>
    <t>[C@]12(CC3C(=O)C=CCCC=3[C@@]1([H])CC[C@]1(C)[C@@]([H])(C3=COC(=O)C=C3)CC[C@@]12O)[H]</t>
  </si>
  <si>
    <t>RDOABMLJNQGVOD-PPDJZNBDSA-N</t>
  </si>
  <si>
    <t>C23H26O4</t>
  </si>
  <si>
    <t>7.90_225.1969m/z</t>
  </si>
  <si>
    <t>N-Desmethyl tapentadol</t>
  </si>
  <si>
    <t>HMDB0060611</t>
  </si>
  <si>
    <t>CC[C@H]([C@@H](C)CNC)C1=CC(O)=CC=C1</t>
  </si>
  <si>
    <t>PQQINTFVECNXLC-GXFFZTMASA-N</t>
  </si>
  <si>
    <t>C13H21NO</t>
  </si>
  <si>
    <t>5.04_441.2250m/z</t>
  </si>
  <si>
    <t>Phe Tyr Leu</t>
  </si>
  <si>
    <t>CC(C)CC(C(=O)O)NC(=O)C(CC1=CC=C(C=C1)O)NC(=O)C(CC2=CC=CC=C2)N</t>
  </si>
  <si>
    <t>ZYNBEWGJFXTBDU-ACRUOGEOSA-N</t>
  </si>
  <si>
    <t>C24H31N3O5</t>
  </si>
  <si>
    <t>3.64_419.0549m/z</t>
  </si>
  <si>
    <t>Iguratimod</t>
  </si>
  <si>
    <t>HMDB0253390</t>
  </si>
  <si>
    <t>CS(=O)(=O)NC1=C(OC2=CC=CC=C2)C=C2C(=O)C(=COC2=C1)N=CO</t>
  </si>
  <si>
    <t>ANMATWQYLIFGOK-UHFFFAOYSA-N</t>
  </si>
  <si>
    <t>C17H14N2O6S</t>
  </si>
  <si>
    <t>10.18_269.2123m/z</t>
  </si>
  <si>
    <t>16-hydroxy-9E-hexadecenoic acid</t>
  </si>
  <si>
    <t>LMFA01050192</t>
  </si>
  <si>
    <t>C(CCCCCCC/C=C/CCCCCCO)(=O)O</t>
  </si>
  <si>
    <t>RPQJFAIEPUKQHK-HNQUOIGGSA-N</t>
  </si>
  <si>
    <t>11.84_407.2805m/z</t>
  </si>
  <si>
    <t>1-O-(1E,3E,5E,7E,9E-eicosapentenyl)-sn-glycerol</t>
  </si>
  <si>
    <t>LMGL01020040</t>
  </si>
  <si>
    <t>[C@](CO)([H])(O)CO/C=C/C=C/C=C/C=C/C=C/CCCCCCCCCC</t>
  </si>
  <si>
    <t>FLVFUGHXHVAEAR-WJAUOLPUSA-N</t>
  </si>
  <si>
    <t>79</t>
  </si>
  <si>
    <t>Alpha-Hydroxyisobutyric Acid</t>
  </si>
  <si>
    <t>HMDB0000729</t>
  </si>
  <si>
    <t>LMFA01050417</t>
  </si>
  <si>
    <t>594-61-6</t>
  </si>
  <si>
    <t>C(=O)(O)C(O)(C)C</t>
  </si>
  <si>
    <t>BWLBGMIXKSTLSX-UHFFFAOYSA-N</t>
  </si>
  <si>
    <t>4.34_289.1192m/z</t>
  </si>
  <si>
    <t>3-Carboxy-2,3,4,9-tetrahydro-1H-pyrido[3,4-b]indole-1-propanoic acid</t>
  </si>
  <si>
    <t>HMDB0034881</t>
  </si>
  <si>
    <t>OC(=O)CCC1NC(CC2=C1NC1=CC=CC=C21)C(O)=O</t>
  </si>
  <si>
    <t>PPKGNUKJFFAWHY-UHFFFAOYSA-N</t>
  </si>
  <si>
    <t>C15H16N2O4</t>
  </si>
  <si>
    <t>4.67_300.9738m/z</t>
  </si>
  <si>
    <t>Demeton-S-methylsulphon</t>
  </si>
  <si>
    <t>C18979</t>
  </si>
  <si>
    <t>17040-19-6</t>
  </si>
  <si>
    <t>CCS(=O)(=O)CCSP(=O)(OC)OC</t>
  </si>
  <si>
    <t>PZIRJMYRYORVIT-UHFFFAOYSA-N</t>
  </si>
  <si>
    <t>C6H15O5PS2</t>
  </si>
  <si>
    <t>4.18_129.0546m/z</t>
  </si>
  <si>
    <t>3-keto-n-caproic acid</t>
  </si>
  <si>
    <t>HMDB0010717</t>
  </si>
  <si>
    <t>LMFA01060008</t>
  </si>
  <si>
    <t>C02122</t>
  </si>
  <si>
    <t>4380-91-0</t>
  </si>
  <si>
    <t>C(C)CC(=O)CC(=O)O</t>
  </si>
  <si>
    <t>BDCLDNALSPBWPQ-UHFFFAOYSA-N</t>
  </si>
  <si>
    <t>11.40_349.2656m/z</t>
  </si>
  <si>
    <t>1-Phenylcyclohexylamine</t>
  </si>
  <si>
    <t>HMDB0243991</t>
  </si>
  <si>
    <t>NC1(CCCCC1)C1=CC=CC=C1</t>
  </si>
  <si>
    <t>RGZGRPPQZUQUCR-UHFFFAOYSA-N</t>
  </si>
  <si>
    <t>C12H17N</t>
  </si>
  <si>
    <t>9.65_211.1335m/z</t>
  </si>
  <si>
    <t>Dihydro-3-(2-octenyl)-2,5-furandione</t>
  </si>
  <si>
    <t>HMDB0033102</t>
  </si>
  <si>
    <t>42482-06-4</t>
  </si>
  <si>
    <t>CCCCC\C=C\CC1CC(=O)OC1=O</t>
  </si>
  <si>
    <t>WSGFXVFLWVXTCJ-VOTSOKGWSA-N</t>
  </si>
  <si>
    <t>3.90_130.1231m/z</t>
  </si>
  <si>
    <t>4-Trimethylammoniobutanal</t>
  </si>
  <si>
    <t>HMDB0001345</t>
  </si>
  <si>
    <t>C01149</t>
  </si>
  <si>
    <t>64595-66-0</t>
  </si>
  <si>
    <t>C[N+](C)(C)CCCC=O</t>
  </si>
  <si>
    <t>OITBLCDWXSXNCN-UHFFFAOYSA-N</t>
  </si>
  <si>
    <t>C7H16NO+</t>
  </si>
  <si>
    <t>5.61_377.2087m/z</t>
  </si>
  <si>
    <t>Enalapril</t>
  </si>
  <si>
    <t>HMDB0014722</t>
  </si>
  <si>
    <t>C06977</t>
  </si>
  <si>
    <t>75847-73-3</t>
  </si>
  <si>
    <t>CCOC(=O)[C@H](CCC1=CC=CC=C1)N[C@@H](C)C(=O)N1CCC[C@H]1C(O)=O</t>
  </si>
  <si>
    <t>GBXSMTUPTTWBMN-XIRDDKMYSA-N</t>
  </si>
  <si>
    <t>C20H28N2O5</t>
  </si>
  <si>
    <t>4.33_253.0716m/z</t>
  </si>
  <si>
    <t>Anthriscinol</t>
  </si>
  <si>
    <t>HMDB0041461</t>
  </si>
  <si>
    <t>COC1=C2OCOC2=CC(=C1)C(O)C=C</t>
  </si>
  <si>
    <t>LCVLPWQYHIJWCD-UHFFFAOYSA-N</t>
  </si>
  <si>
    <t>C11H12O4</t>
  </si>
  <si>
    <t>0.73_205.0519m/z</t>
  </si>
  <si>
    <t>Bisazobiphenyl</t>
  </si>
  <si>
    <t>HMDB0249265</t>
  </si>
  <si>
    <t>C1=CC=C(C=C1)C1=CC2=C(N=N2)C2=C1N=N2</t>
  </si>
  <si>
    <t>FBIBGSLAWOOPCO-UHFFFAOYSA-N</t>
  </si>
  <si>
    <t>C12H6N4</t>
  </si>
  <si>
    <t>3.82_487.1451m/z</t>
  </si>
  <si>
    <t>1-O-E-Cinnamoyl-(6-arabinosylglucose)</t>
  </si>
  <si>
    <t>HMDB0030294</t>
  </si>
  <si>
    <t>181373-66-0</t>
  </si>
  <si>
    <t>OCC1OC(OCC2OC(OC(=O)\C=C\C3=CC=CC=C3)C(O)C(O)C2O)C(O)C1O</t>
  </si>
  <si>
    <t>XEEBIXBFIAEQFZ-VOTSOKGWSA-N</t>
  </si>
  <si>
    <t>Cinnamic acid esters</t>
  </si>
  <si>
    <t>C20H26O11</t>
  </si>
  <si>
    <t>5.88_496.2095m/z</t>
  </si>
  <si>
    <t>Trichotetronine</t>
  </si>
  <si>
    <t>CC=CC=CC(=O)C1C(C2C(=C(C=CC=CC)O)C(=O)C1(C(=O)C2(C)O)C)C3(C(=C(C(=O)O3)C)O)C</t>
  </si>
  <si>
    <t>POOKHYNGUAZJAE-XJZPPUTOSA-N</t>
  </si>
  <si>
    <t>C28H32O8</t>
  </si>
  <si>
    <t>6.20_179.1069m/z</t>
  </si>
  <si>
    <t>2-(2'-trans-pentenyl-5'-hydroxy)-3-methyl-2-cyclopenten-1-one</t>
  </si>
  <si>
    <t>LMFA02020217</t>
  </si>
  <si>
    <t>C1C(=O)C(C/C=C/CCO)=C(C)C1</t>
  </si>
  <si>
    <t>GNZGMEFSZMZQOK-NSCUHMNNSA-N</t>
  </si>
  <si>
    <t>1.63_239.1034m/z</t>
  </si>
  <si>
    <t>Glycyltyrosine</t>
  </si>
  <si>
    <t>HMDB0028853</t>
  </si>
  <si>
    <t>658-79-7</t>
  </si>
  <si>
    <t>NCC(=O)N[C@@H](CC1=CC=C(O)C=C1)C(O)=O</t>
  </si>
  <si>
    <t>XBGGUPMXALFZOT-VIFPVBQESA-N</t>
  </si>
  <si>
    <t>4.87_307.1662m/z</t>
  </si>
  <si>
    <t>norscopolamine</t>
  </si>
  <si>
    <t>HMDB0255751</t>
  </si>
  <si>
    <t>OCC(C(=O)OC1CC2NC(C1)C1OC21)C1=CC=CC=C1</t>
  </si>
  <si>
    <t>MOYZEMOPQDTDHA-UHFFFAOYSA-N</t>
  </si>
  <si>
    <t>C16H19NO4</t>
  </si>
  <si>
    <t>10.10_532.3298m/z</t>
  </si>
  <si>
    <t>(4E,6E,10Z,13Z,16Z,19Z)-8-Hydroxydocosa-4,6,10,13,16,19-hexaenoylcarnitine</t>
  </si>
  <si>
    <t>HMDB0241624</t>
  </si>
  <si>
    <t>CCC=CCC=CCC=CCC=CCC(O)C=CC=CCCC(=O)OC(CC([O-])=O)C[N+](C)(C)C</t>
  </si>
  <si>
    <t>SIKRBCBTMHIBGN-UHFFFAOYSA-N</t>
  </si>
  <si>
    <t>C29H45NO5</t>
  </si>
  <si>
    <t>4.96_425.1454m/z</t>
  </si>
  <si>
    <t>Gibberellin A86</t>
  </si>
  <si>
    <t>HMDB0038450</t>
  </si>
  <si>
    <t>138703-93-2</t>
  </si>
  <si>
    <t>[H][C@@]12C[C@H](O)[C@]3(O)C[C@]1([C@H](O)C3=C)[C@@H](C(O)=O)[C@]1([H])[C@@]3(C)[C@@H](O)CC[C@@]21OC3=O</t>
  </si>
  <si>
    <t>JMGSTZUVIHCAAA-VXURTKDUSA-N</t>
  </si>
  <si>
    <t>C19H24O8</t>
  </si>
  <si>
    <t>10.71_193.1592m/z</t>
  </si>
  <si>
    <t>(E)-5,8-Megastigmadien-4-one</t>
  </si>
  <si>
    <t>HMDB0034671</t>
  </si>
  <si>
    <t>67401-26-7</t>
  </si>
  <si>
    <t>C\C=C/CC1=C(C)C(=O)CCC1(C)C</t>
  </si>
  <si>
    <t>CVDHBGKYPTUEAA-WAYWQWQTSA-N</t>
  </si>
  <si>
    <t>5.02_283.1087m/z</t>
  </si>
  <si>
    <t>SB202235</t>
  </si>
  <si>
    <t>C1C(C2=C(O1)C=C(C=C2)OCC3=CC=CC=C3)N(C(=O)N)O</t>
  </si>
  <si>
    <t>FYAQEFBDKOWIIL-CQSZACIVSA-N</t>
  </si>
  <si>
    <t>476</t>
  </si>
  <si>
    <t>Cis-Gondoic Acid</t>
  </si>
  <si>
    <t>HMDB0002231</t>
  </si>
  <si>
    <t>LMFA01030085</t>
  </si>
  <si>
    <t>C16526</t>
  </si>
  <si>
    <t>5561-99-9</t>
  </si>
  <si>
    <t>C(CCCCCCC(=O)O)CC/C=C\CCCCCCCC</t>
  </si>
  <si>
    <t>BITHHVVYSMSWAG-KTKRTIGZSA-N</t>
  </si>
  <si>
    <t>C20H38O2</t>
  </si>
  <si>
    <t>12.71_491.3748m/z</t>
  </si>
  <si>
    <t>24-ethyl-5alpha-cholest-25-en-3alpha,12alpha,16alpha-triol</t>
  </si>
  <si>
    <t>LMST01040188</t>
  </si>
  <si>
    <t>C1[C@]2(C)[C@@]3([H])C[C@H](O)[C@]4(C)[C@@]([H])([C@]([H])(C)CCC(CC)C(C)=C)[C@H](O)C[C@@]4([H])[C@]3([H])CC[C@@]2([H])C[C@H](O)C1</t>
  </si>
  <si>
    <t>FMNHMKJQPJAHCG-HMZQBNBCSA-N</t>
  </si>
  <si>
    <t>2.06_107.0498m/z</t>
  </si>
  <si>
    <t>Benzaldehyde</t>
  </si>
  <si>
    <t>HMDB0006115</t>
  </si>
  <si>
    <t>C00261</t>
  </si>
  <si>
    <t>100-52-7</t>
  </si>
  <si>
    <t>O=CC1=CC=CC=C1</t>
  </si>
  <si>
    <t>HUMNYLRZRPPJDN-UHFFFAOYSA-N</t>
  </si>
  <si>
    <t>C7H6O</t>
  </si>
  <si>
    <t>319</t>
  </si>
  <si>
    <t>Terephthalic Acid</t>
  </si>
  <si>
    <t>HMDB0002428</t>
  </si>
  <si>
    <t>C06337</t>
  </si>
  <si>
    <t>100-21-0</t>
  </si>
  <si>
    <t>OC(=O)C1=CC=C(C=C1)C(O)=O</t>
  </si>
  <si>
    <t>KKEYFWRCBNTPAC-UHFFFAOYSA-N</t>
  </si>
  <si>
    <t>9.05_380.1299m/z</t>
  </si>
  <si>
    <t>Pentazirinocyclodiphosphathiazene</t>
  </si>
  <si>
    <t>HMDB0258354</t>
  </si>
  <si>
    <t>O=S1(=NP(=NP(=N1)(N1CC1)N1CC1)(N1CC1)N1CC1)N1CC1</t>
  </si>
  <si>
    <t>IQMLWPPOVFMTOU-UHFFFAOYSA-N</t>
  </si>
  <si>
    <t>Aziridines</t>
  </si>
  <si>
    <t>C10H20N8OP2S</t>
  </si>
  <si>
    <t>9.07_478.1990m/z</t>
  </si>
  <si>
    <t>Kenacourt</t>
  </si>
  <si>
    <t>HMDB0253781</t>
  </si>
  <si>
    <t>CC(=O)OCC(=O)C1(O)C(CC2C3CCC4=CC(=O)C=CC4(C)C3(F)C(O)CC12C)OC(C)=O</t>
  </si>
  <si>
    <t>XGMPVBXKDAHORN-UHFFFAOYSA-N</t>
  </si>
  <si>
    <t>C25H31FO8</t>
  </si>
  <si>
    <t>2.74_279.1350m/z</t>
  </si>
  <si>
    <t>4-Coumaroylputrescine</t>
  </si>
  <si>
    <t>HMDB0033461</t>
  </si>
  <si>
    <t>34136-53-3</t>
  </si>
  <si>
    <t>NCCCCNC(=O)\C=C/C1=CC=C(O)C=C1</t>
  </si>
  <si>
    <t>CJHDBEPXEKGBDW-YVMONPNESA-N</t>
  </si>
  <si>
    <t>C13H18N2O2</t>
  </si>
  <si>
    <t>377</t>
  </si>
  <si>
    <t>L-Iditol</t>
  </si>
  <si>
    <t>HMDB0011632</t>
  </si>
  <si>
    <t>C01507</t>
  </si>
  <si>
    <t>488-45-9</t>
  </si>
  <si>
    <t>OC[C@H](O)[C@@H](O)[C@H](O)[C@@H](O)CO</t>
  </si>
  <si>
    <t>FBPFZTCFMRRESA-UNTFVMJOSA-N</t>
  </si>
  <si>
    <t>12.59_435.3119m/z</t>
  </si>
  <si>
    <t>3S-hydroxy-4R-methyl-2S-(n-eicos-11?-yn-19?-enyl)butanolide</t>
  </si>
  <si>
    <t>LMPK03000096</t>
  </si>
  <si>
    <t>C(CCCCCCCCCC#CCCCCCCC=C)[C@H]1[C@@H](O)[C@@H](C)OC1=O</t>
  </si>
  <si>
    <t>JFAPEZBOYBDCPU-SGNDLWITSA-N</t>
  </si>
  <si>
    <t>4.28_449.1126m/z</t>
  </si>
  <si>
    <t>Cyanidin-3-o-beta-glucopyranoside</t>
  </si>
  <si>
    <t>HMDB0250605</t>
  </si>
  <si>
    <t>OCC1OC(OC2=CC3=C(O)C=C(O)C=C3OC2C2=CC(O)=C(O)C=C2)C(O)C(O)C1O</t>
  </si>
  <si>
    <t>VUUHCPBKEAYFDZ-UHFFFAOYSA-N</t>
  </si>
  <si>
    <t>C21H22O11</t>
  </si>
  <si>
    <t>5.56_619.1628m/z</t>
  </si>
  <si>
    <t>6,11-Dihydroxy-2,2-dimethylpyrano[3,2-c]xanthen-7(2H)-one</t>
  </si>
  <si>
    <t>HMDB0040357</t>
  </si>
  <si>
    <t>136364-53-9</t>
  </si>
  <si>
    <t>CC1(C)OC2=C3OC4=C(C=CC=C4O)C(=O)C3=C(O)C=C2C=C1</t>
  </si>
  <si>
    <t>FPDAJKRMMGCXCC-UHFFFAOYSA-N</t>
  </si>
  <si>
    <t>C18H14O5</t>
  </si>
  <si>
    <t>1.27_313.0532m/z</t>
  </si>
  <si>
    <t>Charine</t>
  </si>
  <si>
    <t>HMDB0039877</t>
  </si>
  <si>
    <t>165171-52-8</t>
  </si>
  <si>
    <t>NC1=NC(O)=C(OC2OCC(O)C(O)C2O)C(N)=N1</t>
  </si>
  <si>
    <t>VSPBJCAGAJBGKS-UHFFFAOYSA-N</t>
  </si>
  <si>
    <t>C9H14N4O6</t>
  </si>
  <si>
    <t>4.24_160.1336m/z</t>
  </si>
  <si>
    <t>Methacholine</t>
  </si>
  <si>
    <t>HMDB0015654</t>
  </si>
  <si>
    <t>C07471</t>
  </si>
  <si>
    <t>55-92-5</t>
  </si>
  <si>
    <t>CC(C[N+](C)(C)C)OC(C)=O</t>
  </si>
  <si>
    <t>NZWOPGCLSHLLPA-UHFFFAOYSA-N</t>
  </si>
  <si>
    <t>C8H18NO2+</t>
  </si>
  <si>
    <t>10.64_295.2121m/z</t>
  </si>
  <si>
    <t>Triethyl orthoformate</t>
  </si>
  <si>
    <t>HMDB0259190</t>
  </si>
  <si>
    <t>CCOC(OCC)OCC</t>
  </si>
  <si>
    <t>GKASDNZWUGIAMG-UHFFFAOYSA-N</t>
  </si>
  <si>
    <t>Ortho esters</t>
  </si>
  <si>
    <t>11.47_463.3432m/z</t>
  </si>
  <si>
    <t>Dolichosterone</t>
  </si>
  <si>
    <t>HMDB0034336</t>
  </si>
  <si>
    <t>85797-15-5</t>
  </si>
  <si>
    <t>CC(C)C(=C)C(O)C(O)C(C)C1CCC2C3CC(=O)C4CC(O)C(O)CC4(C)C3CCC12C</t>
  </si>
  <si>
    <t>CYPKCRFYMBXYBU-UHFFFAOYSA-N</t>
  </si>
  <si>
    <t>C28H46O5</t>
  </si>
  <si>
    <t>0.60_110.0718m/z</t>
  </si>
  <si>
    <t>2,3-Diaminopyridine</t>
  </si>
  <si>
    <t>C1=CC(=C(N=C1)N)N</t>
  </si>
  <si>
    <t>ZZYXNRREDYWPLN-UHFFFAOYSA-N</t>
  </si>
  <si>
    <t>9.03_252.1604m/z</t>
  </si>
  <si>
    <t>Rizatriptan</t>
  </si>
  <si>
    <t>HMDB0015088</t>
  </si>
  <si>
    <t>145202-66-0</t>
  </si>
  <si>
    <t>CN(C)CCC1=CNC2=C1C=C(CN1C=NC=N1)C=C2</t>
  </si>
  <si>
    <t>ULFRLSNUDGIQQP-UHFFFAOYSA-N</t>
  </si>
  <si>
    <t>C15H19N5</t>
  </si>
  <si>
    <t>0.67_177.0252m/z</t>
  </si>
  <si>
    <t>Brassicanal A</t>
  </si>
  <si>
    <t>HMDB0038591</t>
  </si>
  <si>
    <t>C11048</t>
  </si>
  <si>
    <t>113866-44-7</t>
  </si>
  <si>
    <t>SC1=C(C=O)C2=CC=CC=C2N1</t>
  </si>
  <si>
    <t>ITVZJCAUYSGPDZ-UHFFFAOYSA-N</t>
  </si>
  <si>
    <t>C9H7NOS</t>
  </si>
  <si>
    <t>9.07_425.0808m/z</t>
  </si>
  <si>
    <t>Fevipiprant</t>
  </si>
  <si>
    <t>HMDB0252238</t>
  </si>
  <si>
    <t>CC1=C(CC(O)=O)C2=CC=CN=C2N1CC1=CC=C(C=C1C(F)(F)F)S(C)(=O)=O</t>
  </si>
  <si>
    <t>GFPPXZDRVCSVNR-UHFFFAOYSA-N</t>
  </si>
  <si>
    <t>C19H17F3N2O4S</t>
  </si>
  <si>
    <t>9.58_309.2073m/z</t>
  </si>
  <si>
    <t>9H-12(13)-EpODE</t>
  </si>
  <si>
    <t>LMFA02000020</t>
  </si>
  <si>
    <t>C(CCCCCCC[C@H](O)/C=C/[C@H]1O[C@H]1C/C=C\CC)(=O)O</t>
  </si>
  <si>
    <t>MGYJEJUWQRJNBN-OADLNGDBSA-N</t>
  </si>
  <si>
    <t>5.55_200.0377m/z</t>
  </si>
  <si>
    <t>Tyramine-O-sulfate</t>
  </si>
  <si>
    <t>HMDB0006409</t>
  </si>
  <si>
    <t>30223-92-8</t>
  </si>
  <si>
    <t>NCCC1=CC=C(OS(O)(=O)=O)C=C1</t>
  </si>
  <si>
    <t>DYDUXGMDSXJQFT-UHFFFAOYSA-N</t>
  </si>
  <si>
    <t>C8H11NO4S</t>
  </si>
  <si>
    <t>1.76_283.1299m/z</t>
  </si>
  <si>
    <t>Threonyltyrosine</t>
  </si>
  <si>
    <t>HMDB0029073</t>
  </si>
  <si>
    <t>145295-02-9</t>
  </si>
  <si>
    <t>C[C@@H](O)[C@H](N)C(=O)N[C@@H](CC1=CC=C(O)C=C1)C(O)=O</t>
  </si>
  <si>
    <t>WCRFXRIWBFRZBR-GGVZMXCHSA-N</t>
  </si>
  <si>
    <t>14.73_454.2934m/z</t>
  </si>
  <si>
    <t>DG(2:0/20:3(8Z,11Z,14Z)-2OH(5,6)/0:0)</t>
  </si>
  <si>
    <t>HMDB0296939</t>
  </si>
  <si>
    <t>CCCCC\C=C/C\C=C/C\C=C/CC(O)C(O)CCCC(=O)O[C@@H](CO)COC(C)=O</t>
  </si>
  <si>
    <t>CFMOCYLRVLGEPE-UGRJECAESA-N</t>
  </si>
  <si>
    <t>3.61_287.0441m/z</t>
  </si>
  <si>
    <t>[(2S,3S,4S,5S,6R)-4,5-Dihydroxy-2,6-dimethyloxan-3-yl] hydrogen sulfate</t>
  </si>
  <si>
    <t>HMDB0252508</t>
  </si>
  <si>
    <t>CC1OC(C)C(OS(O)(=O)=O)C(O)C1O</t>
  </si>
  <si>
    <t>NLMDZXKCTWKRSQ-UHFFFAOYSA-N</t>
  </si>
  <si>
    <t>C7H14O7S</t>
  </si>
  <si>
    <t>11.07_983.6477m/z</t>
  </si>
  <si>
    <t>N,N'-Di-1,2,3,4-Tetrahydroacridin-9-Ylheptane-1,7-Diamine</t>
  </si>
  <si>
    <t>HMDB0249253</t>
  </si>
  <si>
    <t>C(CCCN=C1C2=C(CCCC2)NC2=CC=CC=C12)CCCN=C1C2=C(CCCC2)NC2=CC=CC=C12</t>
  </si>
  <si>
    <t>ITZOKHKOFJOBFS-UHFFFAOYSA-N</t>
  </si>
  <si>
    <t>C33H40N4</t>
  </si>
  <si>
    <t>4.42_347.1249m/z</t>
  </si>
  <si>
    <t>Miraxanthin-V</t>
  </si>
  <si>
    <t>C08557</t>
  </si>
  <si>
    <t>5375-64-4</t>
  </si>
  <si>
    <t>C1C(NC(=CC1=CC=NCCC2=CC(=C(C=C2)O)O)C(=O)O)C(=O)O</t>
  </si>
  <si>
    <t>PDKFHZWVCCZUIF-DJSQHCOFSA-N</t>
  </si>
  <si>
    <t>C17H18N2O6</t>
  </si>
  <si>
    <t>11.28_579.3283m/z</t>
  </si>
  <si>
    <t>16alpha-Fluoroestradiol</t>
  </si>
  <si>
    <t>HMDB0244757</t>
  </si>
  <si>
    <t>CC12CCC3C(CCC4=C3C=CC(O)=C4)C1CC(F)C2O</t>
  </si>
  <si>
    <t>KDLLNMRYZGUVMA-UHFFFAOYSA-N</t>
  </si>
  <si>
    <t>C18H23FO2</t>
  </si>
  <si>
    <t>4.63_344.1071m/z</t>
  </si>
  <si>
    <t>5-Hydroxyomeprazole</t>
  </si>
  <si>
    <t>HMDB0014010</t>
  </si>
  <si>
    <t>R-HSA-1430728,R-HSA-211859,R-HSA-211897,R-HSA-211945,R-HSA-211981</t>
  </si>
  <si>
    <t>Metabolism|Biological oxidations|Cytochrome P450 - arranged by substrate type|Phase I - Functionalization of compounds|Xenobiotics</t>
  </si>
  <si>
    <t>92340-57-3</t>
  </si>
  <si>
    <t>COC1=CC2=C(C=C1)N=C(N2)S(=O)CC1=NC=C(CO)C(OC)=C1C</t>
  </si>
  <si>
    <t>CMZHQFXXAAIBKE-UHFFFAOYSA-N</t>
  </si>
  <si>
    <t>C17H19N3O4S</t>
  </si>
  <si>
    <t>0.58_192.0624m/z</t>
  </si>
  <si>
    <t>6-Hydroxydopamine</t>
  </si>
  <si>
    <t>HMDB0001537</t>
  </si>
  <si>
    <t>1199-18-4</t>
  </si>
  <si>
    <t>NCCC1=C(O)C=C(O)C(O)=C1</t>
  </si>
  <si>
    <t>DIVDFFZHCJEHGG-UHFFFAOYSA-N</t>
  </si>
  <si>
    <t>322</t>
  </si>
  <si>
    <t>Shikimic Acid</t>
  </si>
  <si>
    <t>HMDB0003070</t>
  </si>
  <si>
    <t>C00493</t>
  </si>
  <si>
    <t>138-59-0</t>
  </si>
  <si>
    <t>O[C@@H]1CC(=C[C@@H](O)[C@H]1O)C(O)=O</t>
  </si>
  <si>
    <t>JXOHGGNKMLTUBP-HSUXUTPPSA-N</t>
  </si>
  <si>
    <t>C7H10O5</t>
  </si>
  <si>
    <t>1.55_228.9859m/z</t>
  </si>
  <si>
    <t>2,6-Dithiopurine</t>
  </si>
  <si>
    <t>HMDB0245518</t>
  </si>
  <si>
    <t>S=C1NC2=C(NC=N2)C(=S)N1</t>
  </si>
  <si>
    <t>VQPMXSMUUILNFZ-UHFFFAOYSA-N</t>
  </si>
  <si>
    <t>C5H4N4S2</t>
  </si>
  <si>
    <t>3.64_333.1070m/z</t>
  </si>
  <si>
    <t>3-Methoxyanthranilate</t>
  </si>
  <si>
    <t>HMDB0060374</t>
  </si>
  <si>
    <t>C05831</t>
  </si>
  <si>
    <t>3177-80-8</t>
  </si>
  <si>
    <t>COC1=CC=CC(C(O)=O)=C1N</t>
  </si>
  <si>
    <t>SXOPCLUOUFQBJV-UHFFFAOYSA-N</t>
  </si>
  <si>
    <t>0.78_231.0563m/z</t>
  </si>
  <si>
    <t>Omethoate</t>
  </si>
  <si>
    <t>C18662</t>
  </si>
  <si>
    <t>1113-02-6</t>
  </si>
  <si>
    <t>CNC(=O)CSP(=O)(OC)OC</t>
  </si>
  <si>
    <t>PZXOQEXFMJCDPG-UHFFFAOYSA-N</t>
  </si>
  <si>
    <t>C5H12NO4PS</t>
  </si>
  <si>
    <t>5.01_707.2830m/z</t>
  </si>
  <si>
    <t>Xanthohumol</t>
  </si>
  <si>
    <t>HMDB0037479</t>
  </si>
  <si>
    <t>LMPK12120294</t>
  </si>
  <si>
    <t>C16417</t>
  </si>
  <si>
    <t>6754-58-1</t>
  </si>
  <si>
    <t>C1=CC(O)=CC=C1/C=C/C(=O)C1C(O)=C(C/C=C(\C)/C)C(O)=CC=1OC</t>
  </si>
  <si>
    <t>ORXQGKIUCDPEAJ-YRNVUSSQSA-N</t>
  </si>
  <si>
    <t>C21H22O5</t>
  </si>
  <si>
    <t>10.45_439.2703m/z</t>
  </si>
  <si>
    <t>gemeprost</t>
  </si>
  <si>
    <t>HMDB0252671</t>
  </si>
  <si>
    <t>CCCCC(C)(C)C(O)C=CC1C(O)CC(=O)C1CCCCC=CC(=O)OC</t>
  </si>
  <si>
    <t>KYBOHGVERHWSSV-UHFFFAOYSA-N</t>
  </si>
  <si>
    <t>13.53_289.1939m/z</t>
  </si>
  <si>
    <t>2-chloro-palmitic acid</t>
  </si>
  <si>
    <t>HMDB0245073</t>
  </si>
  <si>
    <t>LMFA01090046</t>
  </si>
  <si>
    <t>C(Cl)(CCCCCCCCCCCCCC)C(=O)O</t>
  </si>
  <si>
    <t>LDQUHRSWFMWRNG-UHFFFAOYSA-N</t>
  </si>
  <si>
    <t>C16H31ClO2</t>
  </si>
  <si>
    <t>6.34_221.0816m/z</t>
  </si>
  <si>
    <t>2-carboxyethyl-5-furanpentanoic acid</t>
  </si>
  <si>
    <t>LMFA01150056</t>
  </si>
  <si>
    <t>C(C(O)=O)CC1=CC=C(CCCCC(=O)O)O1</t>
  </si>
  <si>
    <t>BLYHZIBKUKIQDU-UHFFFAOYSA-N</t>
  </si>
  <si>
    <t>5.87_494.1936m/z</t>
  </si>
  <si>
    <t>Ethyl n-allyl-n-[(e)-2-methyl-3-[4-(4-amidinophenoxycarbonyl)-phenyl]propenoyl]amino acetate</t>
  </si>
  <si>
    <t>HMDB0250062</t>
  </si>
  <si>
    <t>CCOC(=O)CN(CC=C)C(=O)C(C)=CC1=CC=C(C=C1)C(=O)OC1=CC=C(C=C1)C(N)=N</t>
  </si>
  <si>
    <t>PTCNGRBWQCYOSG-UHFFFAOYSA-N</t>
  </si>
  <si>
    <t>C25H27N3O5</t>
  </si>
  <si>
    <t>11.88_209.1237m/z</t>
  </si>
  <si>
    <t>4-Hydroxycitrulline</t>
  </si>
  <si>
    <t>HMDB0029384</t>
  </si>
  <si>
    <t>3618-90-4</t>
  </si>
  <si>
    <t>NC(CC(O)CNC(O)=N)C(O)=O</t>
  </si>
  <si>
    <t>WSFLFFUIEVIDJY-UHFFFAOYSA-N</t>
  </si>
  <si>
    <t>C6H13N3O4</t>
  </si>
  <si>
    <t>7.75_469.1619m/z</t>
  </si>
  <si>
    <t>5-Isoxazoleacetic acid, 4,5-dihydro-3-(4-hydroxyphenyl)-, methyl ester</t>
  </si>
  <si>
    <t>HMDB0253597</t>
  </si>
  <si>
    <t>COC(=O)CC1CC(=NO1)C1=CC=C(O)C=C1</t>
  </si>
  <si>
    <t>AIXMJTYHQHQJLU-UHFFFAOYSA-N</t>
  </si>
  <si>
    <t>C12H13NO4</t>
  </si>
  <si>
    <t>10.29_200.2014m/z</t>
  </si>
  <si>
    <t>dodecanamide</t>
  </si>
  <si>
    <t>HMDB0251566</t>
  </si>
  <si>
    <t>LMFA08010001</t>
  </si>
  <si>
    <t>C13831</t>
  </si>
  <si>
    <t>NC(CCCCCCCCCCC)=O</t>
  </si>
  <si>
    <t>ILRSCQWREDREME-UHFFFAOYSA-N</t>
  </si>
  <si>
    <t>C12H25NO</t>
  </si>
  <si>
    <t>14.47_563.4320m/z</t>
  </si>
  <si>
    <t>12S-hydroxy-16-heptadecynoic acid</t>
  </si>
  <si>
    <t>LMFA01050146</t>
  </si>
  <si>
    <t>148019-74-3</t>
  </si>
  <si>
    <t>C(C[C@H](O)CCCC#C)CCCCCCCCC(=O)O</t>
  </si>
  <si>
    <t>HBFCVDJQUPEEIC-MRXNPFEDSA-N</t>
  </si>
  <si>
    <t>C17H30O3</t>
  </si>
  <si>
    <t>1.03_362.9897m/z</t>
  </si>
  <si>
    <t>Dorzolamide</t>
  </si>
  <si>
    <t>HMDB0015007</t>
  </si>
  <si>
    <t>C06969</t>
  </si>
  <si>
    <t>120279-96-1</t>
  </si>
  <si>
    <t>CCN[C@H]1C[C@H](C)S(=O)(=O)C2=C1C=C(S2)S(N)(=O)=O</t>
  </si>
  <si>
    <t>IAVUPMFITXYVAF-XPUUQOCRSA-N</t>
  </si>
  <si>
    <t>2,3,5-trisubstituted thiophenes</t>
  </si>
  <si>
    <t>C10H16N2O4S3</t>
  </si>
  <si>
    <t>4.46_606.2903m/z</t>
  </si>
  <si>
    <t>Sandoricin</t>
  </si>
  <si>
    <t>HMDB0037555</t>
  </si>
  <si>
    <t>133585-55-4</t>
  </si>
  <si>
    <t>COC(=O)CC1C(C)(C)C(CC2OC34C(O)C(=O)OC(C5=COC=C5)C3(C)C(CC(C4=C)C12C)OC(C)=O)OC(C)=O</t>
  </si>
  <si>
    <t>FPZCLGWPFTXULY-UHFFFAOYSA-N</t>
  </si>
  <si>
    <t>C31H40O11</t>
  </si>
  <si>
    <t>10.29_241.2280m/z</t>
  </si>
  <si>
    <t>(E,E)-2,4-Decadienoic isobutylamide</t>
  </si>
  <si>
    <t>HMDB0030951</t>
  </si>
  <si>
    <t>LMFA08020162</t>
  </si>
  <si>
    <t>18836-52-7</t>
  </si>
  <si>
    <t>CCCCC/C=C\C=C\C(NCC(C)C)=O</t>
  </si>
  <si>
    <t>MAGQQZHFHJDIRE-QNRZBPGKSA-N</t>
  </si>
  <si>
    <t>C14H25NO</t>
  </si>
  <si>
    <t>10.88_325.2384m/z</t>
  </si>
  <si>
    <t>8-methoxy-13-hydroxy-9,11-octadecadienoic acid</t>
  </si>
  <si>
    <t>LMFA01080002</t>
  </si>
  <si>
    <t>C(/C=C/C(O)CCCCC)=C\C(OC)CCCCCCC(=O)O</t>
  </si>
  <si>
    <t>FPDXRJMUHIDIMS-FVIOEUFFSA-N</t>
  </si>
  <si>
    <t>4.61_464.2077m/z</t>
  </si>
  <si>
    <t>4-Hydroxynonenal glutathione</t>
  </si>
  <si>
    <t>HMDB0240578</t>
  </si>
  <si>
    <t>1042945-55-0</t>
  </si>
  <si>
    <t>CCCCC[C@@H]1O[C@@H](O)C[C@@H]1SC[C@H](NC(=O)CC[C@H](N)C(O)=O)C(=O)NCC(O)=O</t>
  </si>
  <si>
    <t>ICRIFHIWWXQBPY-GGOFEBJYSA-N</t>
  </si>
  <si>
    <t>C19H33N3O8S</t>
  </si>
  <si>
    <t>2.75_309.2282m/z</t>
  </si>
  <si>
    <t>N-Propionylprocainamide</t>
  </si>
  <si>
    <t>HMDB0255234</t>
  </si>
  <si>
    <t>CCN(CC)CCNC(=O)C1=CC=C(NC(=O)CC)C=C1</t>
  </si>
  <si>
    <t>CTHPVGZIOICAFO-UHFFFAOYSA-N</t>
  </si>
  <si>
    <t>C16H25N3O2</t>
  </si>
  <si>
    <t>12.36_423.3118m/z</t>
  </si>
  <si>
    <t>C-9,11,21-Trisnor-17-methyl-1alpha,25-dihydroxyvitamin D3</t>
  </si>
  <si>
    <t>LMST03020615</t>
  </si>
  <si>
    <t>C(=C/C=C1\C[C@@H](O)C[C@H](O)C\1)\[C@]1([H])CC[C@](C)(CCCCC(O)(C)C)[C@@]1(C)C</t>
  </si>
  <si>
    <t>FJRQLENTBQARPH-QRDPLHEUSA-N</t>
  </si>
  <si>
    <t>C24H42O3</t>
  </si>
  <si>
    <t>1.59_149.0452m/z</t>
  </si>
  <si>
    <t>7-Methylxanthine</t>
  </si>
  <si>
    <t>HMDB0001991</t>
  </si>
  <si>
    <t>C16353</t>
  </si>
  <si>
    <t>552-62-5</t>
  </si>
  <si>
    <t>CN1C=NC2=C1C(=O)NC(=O)N2</t>
  </si>
  <si>
    <t>PFWLFWPASULGAN-UHFFFAOYSA-N</t>
  </si>
  <si>
    <t>10.49_460.2836m/z</t>
  </si>
  <si>
    <t>PE(0:0/18:1(9Z))</t>
  </si>
  <si>
    <t>HMDB0011476</t>
  </si>
  <si>
    <t>LMGP02050040</t>
  </si>
  <si>
    <t>C(OP(OCCN)(O)=O)[C@]([H])(OC(=O)CCCCCCC/C=C\CCCCCCCC)CO</t>
  </si>
  <si>
    <t>NOVZJYYJYIFXJC-MZMPXXGTSA-N</t>
  </si>
  <si>
    <t>6.78_381.1224m/z</t>
  </si>
  <si>
    <t>Nerolidyl diphosphate</t>
  </si>
  <si>
    <t>LMPR0103010003</t>
  </si>
  <si>
    <t>C06111</t>
  </si>
  <si>
    <t>C(=C)C(OP(=O)(O)OP(O)(=O)O)(C)CC/C=C(\C)/CC/C=C(\C)/C</t>
  </si>
  <si>
    <t>SDXCRASCLFBFND-SDNWHVSQSA-N</t>
  </si>
  <si>
    <t>C15H28O7P2</t>
  </si>
  <si>
    <t>9.95_198.0177m/z</t>
  </si>
  <si>
    <t>1,N6-Ethenoadenine</t>
  </si>
  <si>
    <t>HMDB0244259</t>
  </si>
  <si>
    <t>R-HSA-110331,R-HSA-73884,R-HSA-73894,R-HSA-73927,R-HSA-73929</t>
  </si>
  <si>
    <t>Cleavage of the damaged purine|Base Excision Repair|DNA Repair|Depurination|Base-Excision Repair, AP Site Formation</t>
  </si>
  <si>
    <t>N1C=NC2=C1N=CN1C=CN=C21</t>
  </si>
  <si>
    <t>OGVOXGPIHFKUGM-UHFFFAOYSA-N</t>
  </si>
  <si>
    <t>C7H5N5</t>
  </si>
  <si>
    <t>9.68_186.1858m/z</t>
  </si>
  <si>
    <t>2-undecenal</t>
  </si>
  <si>
    <t>HMDB0040247</t>
  </si>
  <si>
    <t>LMFA06000065</t>
  </si>
  <si>
    <t>2463-77-6</t>
  </si>
  <si>
    <t>C(C)CCCCCC/C=C/C([H])=O</t>
  </si>
  <si>
    <t>PANBRUWVURLWGY-MDZDMXLPSA-N</t>
  </si>
  <si>
    <t>8.37_253.1445m/z</t>
  </si>
  <si>
    <t>(5R,6S)-5,6-Epoxy-7-megastigmen-9-one</t>
  </si>
  <si>
    <t>HMDB0034984</t>
  </si>
  <si>
    <t>CC(=O)\C=C\C12OC1(C)CCCC2(C)C</t>
  </si>
  <si>
    <t>ZTJZJYUGOJYHCU-RMKNXTFCSA-N</t>
  </si>
  <si>
    <t>8.91_475.0038m/z</t>
  </si>
  <si>
    <t>Disodium hydrogen citrate</t>
  </si>
  <si>
    <t>HMDB0303751</t>
  </si>
  <si>
    <t>[Na+].[Na+].OC(=O)CC(O)(CC(O)=O)C(O)=O</t>
  </si>
  <si>
    <t>CEYULKASIQJZGP-UHFFFAOYSA-N</t>
  </si>
  <si>
    <t>C6H8Na2O7+2</t>
  </si>
  <si>
    <t>6.92_533.1618m/z</t>
  </si>
  <si>
    <t>3'-C-Ethynylcytidine</t>
  </si>
  <si>
    <t>HMDB0252093</t>
  </si>
  <si>
    <t>NC1=NC(=O)N(C=C1)C1OC(CO)C(O)(C#C)C1O</t>
  </si>
  <si>
    <t>JFIWEPHGRUDAJN-UHFFFAOYSA-N</t>
  </si>
  <si>
    <t>C11H13N3O5</t>
  </si>
  <si>
    <t>9.42_464.3341m/z</t>
  </si>
  <si>
    <t>7alpha,24S-Dihydroxy-3-oxocholest-4-en-26-oic acid</t>
  </si>
  <si>
    <t>LMST04030247</t>
  </si>
  <si>
    <t>[C@]12([C@H](O)CC3=CC(=O)CC[C@]3(C)[C@@]1([H])CC[C@]1(C)[C@@]([H])([C@@](C)([H])CC[C@H](O)[C@H](C(=O)O)C)CC[C@@]21[H])[H]</t>
  </si>
  <si>
    <t>JZZVPWQJIWZQQG-WVJJBTFRSA-N</t>
  </si>
  <si>
    <t>14.63_317.2253m/z</t>
  </si>
  <si>
    <t>2-chloro-stearic acid</t>
  </si>
  <si>
    <t>HMDB0245076</t>
  </si>
  <si>
    <t>LMFA01090163</t>
  </si>
  <si>
    <t>C(Cl)(CCCCCCCCCCCCCCCC)C(=O)O</t>
  </si>
  <si>
    <t>DQNLLSNNESIVOE-UHFFFAOYSA-N</t>
  </si>
  <si>
    <t>C18H35ClO2</t>
  </si>
  <si>
    <t>393</t>
  </si>
  <si>
    <t>Palmitelaidic Acid</t>
  </si>
  <si>
    <t>HMDB0012328</t>
  </si>
  <si>
    <t>LMFA01030057</t>
  </si>
  <si>
    <t>10030-73-6</t>
  </si>
  <si>
    <t>C(/CCCCCC)=C\CCCCCCCC(=O)O</t>
  </si>
  <si>
    <t>SECPZKHBENQXJG-BQYQJAHWSA-N</t>
  </si>
  <si>
    <t>8.25_197.0197m/z</t>
  </si>
  <si>
    <t>2,4-Dinitroanisole</t>
  </si>
  <si>
    <t>HMDB0245458</t>
  </si>
  <si>
    <t>COC1=C(C=C(C=C1)N(=O)=O)N(=O)=O</t>
  </si>
  <si>
    <t>CVYZVNVPQRKDLW-UHFFFAOYSA-N</t>
  </si>
  <si>
    <t>C7H6N2O5</t>
  </si>
  <si>
    <t>8.78_223.1699m/z</t>
  </si>
  <si>
    <t>(10betaH,11xi)-11-Hydroxy-13-nor-6-eremophilen-8-one</t>
  </si>
  <si>
    <t>HMDB0037605</t>
  </si>
  <si>
    <t>348615-40-7</t>
  </si>
  <si>
    <t>CC(O)C1=CC2(C)C(C)CCCC2CC1=O</t>
  </si>
  <si>
    <t>YAQFZWZUAZKHAL-UHFFFAOYSA-N</t>
  </si>
  <si>
    <t>12.35_405.2644m/z</t>
  </si>
  <si>
    <t>3-dehydrocholate</t>
  </si>
  <si>
    <t>HMDB0304121</t>
  </si>
  <si>
    <t>CC(CCC([O-])=O)C1CCC2C3C(O)CC4CC(=O)CCC4(C)C3CC(O)C12C</t>
  </si>
  <si>
    <t>OEKUSRBIIZNLHZ-UHFFFAOYSA-M</t>
  </si>
  <si>
    <t>C24H37O5-</t>
  </si>
  <si>
    <t>5.55_327.1098n</t>
  </si>
  <si>
    <t>Benzoic acid, 2-[[3-(3,4-dimethoxyphenyl)-1-oxo-2-propenyl]amino]-</t>
  </si>
  <si>
    <t>HMDB0249020</t>
  </si>
  <si>
    <t>COC1=C(OC)C=C(C=CC(=O)NC2=CC=CC=C2C(O)=O)C=C1</t>
  </si>
  <si>
    <t>NZHGWWWHIYHZNX-UHFFFAOYSA-N</t>
  </si>
  <si>
    <t>C18H17NO5</t>
  </si>
  <si>
    <t>0.86_233.9829m/z</t>
  </si>
  <si>
    <t>3-Methoxycatechol sulfate</t>
  </si>
  <si>
    <t>HMDB0242163</t>
  </si>
  <si>
    <t>COC1=C(O)C(O)=CC2=C1OS(=O)(=O)O2</t>
  </si>
  <si>
    <t>KWNPSWVOZWAPLW-UHFFFAOYSA-N</t>
  </si>
  <si>
    <t>C7H6O7S</t>
  </si>
  <si>
    <t>9.85_393.2185m/z</t>
  </si>
  <si>
    <t>Trandolapril-d5 Diketopiperazine</t>
  </si>
  <si>
    <t>HMDB0061178</t>
  </si>
  <si>
    <t>[H][C@@]12C[C@]3([H])N(C(=O)[C@H](C)N([C@H](CCC4=CC=CC=C4)C(=O)OCC)C3=O)[C@@]1([H])CCCC2</t>
  </si>
  <si>
    <t>AKUCMKAPHCGRFV-OSTWSGHESA-N</t>
  </si>
  <si>
    <t>C24H32N2O4</t>
  </si>
  <si>
    <t>6.73_358.2601m/z</t>
  </si>
  <si>
    <t>(9Z)-3-hydroxydodecenoylcarnitine</t>
  </si>
  <si>
    <t>HMDB0240760</t>
  </si>
  <si>
    <t>LMFA07070024</t>
  </si>
  <si>
    <t>C(C([O-])=O)C(OC(CC(O)CCCCC/C=C\CC)=O)C[N+](C)(C)C</t>
  </si>
  <si>
    <t>PKPXVGIKUXUYEF-SREVYHEPSA-N</t>
  </si>
  <si>
    <t>241</t>
  </si>
  <si>
    <t>D-Threonic Acid</t>
  </si>
  <si>
    <t>C(C(C(C(=O)O)O)O)O</t>
  </si>
  <si>
    <t>JPIJQSOTBSSVTP-GBXIJSLDSA-N</t>
  </si>
  <si>
    <t>13.49_327.2276m/z</t>
  </si>
  <si>
    <t>Nadolol</t>
  </si>
  <si>
    <t>HMDB0015334</t>
  </si>
  <si>
    <t>C07249</t>
  </si>
  <si>
    <t>42200-33-9</t>
  </si>
  <si>
    <t>CC(C)(C)NCC(O)COC1=CC=CC2=C1C[C@H](O)[C@H](O)C2</t>
  </si>
  <si>
    <t>VWPOSFSPZNDTMJ-UCWKZMIHSA-N</t>
  </si>
  <si>
    <t>1.03_130.0503m/z</t>
  </si>
  <si>
    <t>Pyroglutamic acid</t>
  </si>
  <si>
    <t>HMDB0000267</t>
  </si>
  <si>
    <t>C01879</t>
  </si>
  <si>
    <t>hsa00480</t>
  </si>
  <si>
    <t>Glutathione metabolism</t>
  </si>
  <si>
    <t>98-79-3</t>
  </si>
  <si>
    <t>OC(=O)[C@@H]1CCC(=O)N1</t>
  </si>
  <si>
    <t>ODHCTXKNWHHXJC-VKHMYHEASA-N</t>
  </si>
  <si>
    <t>1.70_179.1072m/z</t>
  </si>
  <si>
    <t>2-(Diaminomethylideneamino)ethylsulfanylmethanimidamide</t>
  </si>
  <si>
    <t>HMDB0259879</t>
  </si>
  <si>
    <t>NC(N)=NCCSC(N)=N</t>
  </si>
  <si>
    <t>GSYGTVNTZHFQQH-UHFFFAOYSA-N</t>
  </si>
  <si>
    <t>Isothioureas</t>
  </si>
  <si>
    <t>C4H11N5S</t>
  </si>
  <si>
    <t>10.41_808.4683m/z</t>
  </si>
  <si>
    <t>PA(22:6(4Z,7Z,10Z,13E,15E,19Z)-OH(17)/22:6(4Z,7Z,10Z,13Z,16Z,19Z))</t>
  </si>
  <si>
    <t>HMDB0266256</t>
  </si>
  <si>
    <t>[H][C@@](COC(=O)CC\C=C/C\C=C/C\C=C/C\C=C\C=C\C(O)C\C=C/CC)(COP(O)(O)=O)OC(=O)CC\C=C/C\C=C/C\C=C/C\C=C/C\C=C/C\C=C/CC</t>
  </si>
  <si>
    <t>GKUWUQTUUAUPEQ-ITYVDJMXSA-N</t>
  </si>
  <si>
    <t>C47H69O9P</t>
  </si>
  <si>
    <t>9.34_503.2866m/z</t>
  </si>
  <si>
    <t>1-(1-Hydroxy-2,2,6,6-tetramethylpiperidin-4-yl)-1h-pyrrole-2,5-dione</t>
  </si>
  <si>
    <t>HMDB0243771</t>
  </si>
  <si>
    <t>CC1(C)CC(CC(C)(C)N1O)N1C(=O)C=CC1=O</t>
  </si>
  <si>
    <t>ATLHCOBCOLZMIK-UHFFFAOYSA-N</t>
  </si>
  <si>
    <t>C13H20N2O3</t>
  </si>
  <si>
    <t>6.20_200.1286m/z</t>
  </si>
  <si>
    <t>Cyclopropanecarboxamide, 1,2,2,3,3-pentamethyl-</t>
  </si>
  <si>
    <t>HMDB0250674</t>
  </si>
  <si>
    <t>CC1(C)C(C)(C)C1(C)C(N)=O</t>
  </si>
  <si>
    <t>PKSJDCCFDXWPLW-UHFFFAOYSA-N</t>
  </si>
  <si>
    <t>Cyclopropanecarboxylic acids and derivatives</t>
  </si>
  <si>
    <t>C9H17NO</t>
  </si>
  <si>
    <t>11.42_455.3381m/z</t>
  </si>
  <si>
    <t>oscr#35</t>
  </si>
  <si>
    <t>LMFA13040061</t>
  </si>
  <si>
    <t>O[C@@H]1C[C@@H](O)[C@H](C)O[C@H]1OCCCCCCCCCCCCCCCCC/C=C/C(O)=O</t>
  </si>
  <si>
    <t>AIUNLQUMHTUTNR-YHGVQZPQSA-N</t>
  </si>
  <si>
    <t>0.74_145.0979m/z</t>
  </si>
  <si>
    <t>5-Hydroxylysine</t>
  </si>
  <si>
    <t>HMDB0000450</t>
  </si>
  <si>
    <t>C16741</t>
  </si>
  <si>
    <t>1190-94-9</t>
  </si>
  <si>
    <t>NC[C@H](O)CC[C@H](N)C(O)=O</t>
  </si>
  <si>
    <t>YSMODUONRAFBET-UHNVWZDZSA-N</t>
  </si>
  <si>
    <t>C6H14N2O3</t>
  </si>
  <si>
    <t>4.00_276.1354m/z</t>
  </si>
  <si>
    <t>Alanyltryptophan</t>
  </si>
  <si>
    <t>HMDB0013209</t>
  </si>
  <si>
    <t>16305-75-2</t>
  </si>
  <si>
    <t>C[C@H](N)C(=O)N[C@@H](CC1=CNC2=C1C=CC=C2)C(O)=O</t>
  </si>
  <si>
    <t>WUGMRIBZSVSJNP-UFBFGSQYSA-N</t>
  </si>
  <si>
    <t>1.03_298.0545m/z</t>
  </si>
  <si>
    <t>8-Anilino-1-naphthalene sulfonate</t>
  </si>
  <si>
    <t>HMDB0061854</t>
  </si>
  <si>
    <t>C11326</t>
  </si>
  <si>
    <t>82-76-8</t>
  </si>
  <si>
    <t>OS(=O)(=O)C1=C2C(NC3=CC=CC=C3)=CC=CC2=CC=C1</t>
  </si>
  <si>
    <t>FWEOQOXTVHGIFQ-UHFFFAOYSA-N</t>
  </si>
  <si>
    <t>C16H13NO3S</t>
  </si>
  <si>
    <t>3.48_197.0691m/z</t>
  </si>
  <si>
    <t>Alafosfalin</t>
  </si>
  <si>
    <t>HMDB0248096</t>
  </si>
  <si>
    <t>CC(N)C(=O)NC(C)P(O)(O)=O</t>
  </si>
  <si>
    <t>BHAYDBSYOBONRV-UHFFFAOYSA-N</t>
  </si>
  <si>
    <t>C5H13N2O4P</t>
  </si>
  <si>
    <t>9.81_452.2786m/z</t>
  </si>
  <si>
    <t>PE(16:0/0:0)</t>
  </si>
  <si>
    <t>HMDB0011503</t>
  </si>
  <si>
    <t>LMGP02050002</t>
  </si>
  <si>
    <t>53862-35-4</t>
  </si>
  <si>
    <t>[C@](COP(=O)(O)OCCN)([H])(O)COC(CCCCCCCCCCCCCCC)=O</t>
  </si>
  <si>
    <t>YVYMBNSKXOXSKW-HXUWFJFHSA-N</t>
  </si>
  <si>
    <t>6.42_415.2162m/z</t>
  </si>
  <si>
    <t>3beta,5beta,14beta,16beta-19-pentahydroxy-bufa-20,22-dienolide</t>
  </si>
  <si>
    <t>LMST01130039</t>
  </si>
  <si>
    <t>C1[C@]2(CO)[C@@]3([H])CC[C@]4(C)[C@@]([H])(C5=COC(=O)C=C5)[C@@H](O)C[C@]4(O)[C@]3([H])CC[C@]2(O)C[C@@H](O)C1</t>
  </si>
  <si>
    <t>SMHLSHPXWJWHPM-GHFDIACOSA-N</t>
  </si>
  <si>
    <t>9.66_556.1759m/z</t>
  </si>
  <si>
    <t>2-Biphenyl-4-yl-1-(1H-tetrazol-5-yl)ethylaminoethyl phosphonic acid</t>
  </si>
  <si>
    <t>HMDB0249867</t>
  </si>
  <si>
    <t>O=P(CNC(CC1=CC=C(C=C1)C1=CC=CC=C1)C1=NNN=N1)(OC1=CC=CC=C1)OC1=CC=CC=C1</t>
  </si>
  <si>
    <t>AHIFMZUYRNPRJK-UHFFFAOYSA-N</t>
  </si>
  <si>
    <t>C28H26N5O3P</t>
  </si>
  <si>
    <t>3.42_524.2006m/z</t>
  </si>
  <si>
    <t>Dimethyl 3,3'-(6-methoxy-6-oxohex-1-ene-1,1-diyl)bis(5-cyano-6-methoxybenzoate)</t>
  </si>
  <si>
    <t>HMDB0246278</t>
  </si>
  <si>
    <t>COC(=O)CCCC=C(C1=CC(C#N)=C(OC)C(=C1)C(=O)OC)C1=CC(C#N)=C(OC)C(=C1)C(=O)OC</t>
  </si>
  <si>
    <t>KTXLKUASBPHAEE-UHFFFAOYSA-N</t>
  </si>
  <si>
    <t>C27H26N2O8</t>
  </si>
  <si>
    <t>9.89_355.2128m/z</t>
  </si>
  <si>
    <t>Auxin b</t>
  </si>
  <si>
    <t>HMDB0038484</t>
  </si>
  <si>
    <t>CCC(C)C1CC(C(C)CC)C(=C1)C(O)CC(=O)CC(O)=O</t>
  </si>
  <si>
    <t>MQETZQLZTJUQHR-UHFFFAOYSA-N</t>
  </si>
  <si>
    <t>4.38_255.0873m/z</t>
  </si>
  <si>
    <t>5-(3',5')-Dihydroxyphenyl-gamma-valerolactone</t>
  </si>
  <si>
    <t>HMDB0029187</t>
  </si>
  <si>
    <t>OC1CCC(CC2=CC(O)=CC(O)=C2)O1</t>
  </si>
  <si>
    <t>NYNURYJSLOFNTQ-UHFFFAOYSA-N</t>
  </si>
  <si>
    <t>11.95_430.1453m/z</t>
  </si>
  <si>
    <t>4-(Methylnitrosamino)-1-(3-pyridyl)-1-butanol glucuronide</t>
  </si>
  <si>
    <t>HMDB0060383</t>
  </si>
  <si>
    <t>C19605</t>
  </si>
  <si>
    <t>131119-04-5</t>
  </si>
  <si>
    <t>CN(CCCC(O[C@@H]1O[C@@H]([C@@H](O)[C@H](O)[C@H]1O)C(O)=O)C1=CN=CC=C1)N=O</t>
  </si>
  <si>
    <t>KNPUXTWHFSLCDT-BBYIEOQPSA-N</t>
  </si>
  <si>
    <t>C16H23N3O8</t>
  </si>
  <si>
    <t>14.04_175.0159m/z</t>
  </si>
  <si>
    <t>Phenyl dihydrogen phosphate</t>
  </si>
  <si>
    <t>HMDB0256445</t>
  </si>
  <si>
    <t>C02734</t>
  </si>
  <si>
    <t>701-64-4</t>
  </si>
  <si>
    <t>OP(O)(=O)OC1=CC=CC=C1</t>
  </si>
  <si>
    <t>CMPQUABWPXYYSH-UHFFFAOYSA-N</t>
  </si>
  <si>
    <t>C6H7O4P</t>
  </si>
  <si>
    <t>9.87_454.1725m/z</t>
  </si>
  <si>
    <t>Methotrexate</t>
  </si>
  <si>
    <t>HMDB0014703</t>
  </si>
  <si>
    <t>C01937</t>
  </si>
  <si>
    <t>59-05-2</t>
  </si>
  <si>
    <t>CN(CC1=CN=C2N=C(N)N=C(N)C2=N1)C1=CC=C(C=C1)C(=O)N[C@@H](CCC(O)=O)C(O)=O</t>
  </si>
  <si>
    <t>FBOZXECLQNJBKD-ZDUSSCGKSA-N</t>
  </si>
  <si>
    <t>C20H22N8O5</t>
  </si>
  <si>
    <t>412</t>
  </si>
  <si>
    <t>10-Heptadecenoic Acid</t>
  </si>
  <si>
    <t>LMFA01030282</t>
  </si>
  <si>
    <t>C(CCCCCCCC/C=C/CCCCCC)(=O)O</t>
  </si>
  <si>
    <t>GDTXICBNEOEPAZ-BQYQJAHWSA-N</t>
  </si>
  <si>
    <t>4.53_372.1966m/z</t>
  </si>
  <si>
    <t>(4R,6S)-6-[(E)-2-[2-(4-Fluoro-3-methylphenyl)-4,6-dimethylphenyl]ethenyl]-4-hydroxyoxan-2-one</t>
  </si>
  <si>
    <t>HMDB0250011</t>
  </si>
  <si>
    <t>CC1=CC(C)=C(C=CC2CC(O)CC(=O)O2)C(=C1)C1=CC(C)=C(F)C=C1</t>
  </si>
  <si>
    <t>BNIBDNOALUGLCI-UHFFFAOYSA-N</t>
  </si>
  <si>
    <t>C22H23FO3</t>
  </si>
  <si>
    <t>9.05_354.1304m/z</t>
  </si>
  <si>
    <t>Pugnac</t>
  </si>
  <si>
    <t>HMDB0256921</t>
  </si>
  <si>
    <t>CC(=O)NC1C(O)C(O)C(CO)OC1=NOC(=O)NC1=CC=CC=C1</t>
  </si>
  <si>
    <t>PBLNJFVQMUMOJY-UHFFFAOYSA-N</t>
  </si>
  <si>
    <t>C15H19N3O7</t>
  </si>
  <si>
    <t>9.99_269.2122m/z</t>
  </si>
  <si>
    <t>3,16-dihydroxypalmitic acid</t>
  </si>
  <si>
    <t>LMFA01050487</t>
  </si>
  <si>
    <t>C(CCC(O)CC(=O)O)CCCCCCCCCCO</t>
  </si>
  <si>
    <t>ZGYXOTYZKRXDBF-UHFFFAOYSA-N</t>
  </si>
  <si>
    <t>5.18_243.0889m/z</t>
  </si>
  <si>
    <t>Lumichrome</t>
  </si>
  <si>
    <t>HMDB0254199</t>
  </si>
  <si>
    <t>C01727</t>
  </si>
  <si>
    <t>1086-80-2</t>
  </si>
  <si>
    <t>CC1=CC2=NC3=C(N=C2C=C1C)C(=O)NC(=O)N3</t>
  </si>
  <si>
    <t>ZJTJUVIJVLLGSP-UHFFFAOYSA-N</t>
  </si>
  <si>
    <t>C12H10N4O2</t>
  </si>
  <si>
    <t>4.26_450.2151n</t>
  </si>
  <si>
    <t>Ppack</t>
  </si>
  <si>
    <t>HMDB0250787</t>
  </si>
  <si>
    <t>NC(CC1=CC=CC=C1)C(=O)N1CCCC1C(=O)NC(CCCN=C(N)N)C(=O)CCl</t>
  </si>
  <si>
    <t>KWPACVJPAFGBEQ-UHFFFAOYSA-N</t>
  </si>
  <si>
    <t>C21H31ClN6O3</t>
  </si>
  <si>
    <t>0.99_184.0190m/z</t>
  </si>
  <si>
    <t>Hexafluoropropylene oxide</t>
  </si>
  <si>
    <t>HMDB0253135</t>
  </si>
  <si>
    <t>FC(F)(F)C1(F)OC1(F)F</t>
  </si>
  <si>
    <t>PGFXOWRDDHCDTE-UHFFFAOYSA-N</t>
  </si>
  <si>
    <t>C3F6O</t>
  </si>
  <si>
    <t>1.88_187.0972m/z</t>
  </si>
  <si>
    <t>pyrimidoindole</t>
  </si>
  <si>
    <t>HMDB0256980</t>
  </si>
  <si>
    <t>N1C=NC=C2C3=NC=CC3=CC=C12</t>
  </si>
  <si>
    <t>BMNRCWWUQFWIBN-UHFFFAOYSA-N</t>
  </si>
  <si>
    <t>C10H7N3</t>
  </si>
  <si>
    <t>4.67_341.0395m/z</t>
  </si>
  <si>
    <t>(-)-Haematoxylin</t>
  </si>
  <si>
    <t>HMDB0242211</t>
  </si>
  <si>
    <t>OC1=CC=C2C3C4=C(CC3(O)COC2=C1O)C=C(O)C(O)=C4</t>
  </si>
  <si>
    <t>WZUVPPKBWHMQCE-UHFFFAOYSA-N</t>
  </si>
  <si>
    <t>C16H14O6</t>
  </si>
  <si>
    <t>14.10_407.3898m/z</t>
  </si>
  <si>
    <t>2,4,6-trimethyl-2,15-tetracosadienoic acid</t>
  </si>
  <si>
    <t>LMFA01030750</t>
  </si>
  <si>
    <t>C(/C(/C)=C/C(C)CC(C)CCCCCCCC/C=C/CCCCCCCC)(=O)O</t>
  </si>
  <si>
    <t>KPNSOKYZIINHDY-GVKIQVMWSA-N</t>
  </si>
  <si>
    <t>4.02_274.1199m/z</t>
  </si>
  <si>
    <t>Gly Phe Ala</t>
  </si>
  <si>
    <t>CC(C(=O)O)NC(=O)C(CC1=CC=CC=C1)NC(=O)CN</t>
  </si>
  <si>
    <t>WMGHDYWNHNLGBV-UHFFFAOYSA-N</t>
  </si>
  <si>
    <t>0.58_301.1733m/z</t>
  </si>
  <si>
    <t>Metaphit</t>
  </si>
  <si>
    <t>HMDB0254504</t>
  </si>
  <si>
    <t>S=C=NC1=CC=CC(=C1)C1(CCCCC1)N1CCCCC1</t>
  </si>
  <si>
    <t>FGSGBQAQSPSRJK-UHFFFAOYSA-N</t>
  </si>
  <si>
    <t>C18H24N2S</t>
  </si>
  <si>
    <t>7.68_325.2022m/z</t>
  </si>
  <si>
    <t>9-epi-9-D1t-PhytoP</t>
  </si>
  <si>
    <t>LMFA02030007</t>
  </si>
  <si>
    <t>C(CCCCCCC[C@@H](O)/C=C/[C@@H]1[C@@H](O)CC(=O)[C@@H]1CC)(=O)O</t>
  </si>
  <si>
    <t>GEVZHBGQVSRMPD-DOWCJKKCSA-N</t>
  </si>
  <si>
    <t>5.55_138.0553m/z</t>
  </si>
  <si>
    <t>Trigonelline</t>
  </si>
  <si>
    <t>HMDB0000875</t>
  </si>
  <si>
    <t>C01004</t>
  </si>
  <si>
    <t>535-83-1</t>
  </si>
  <si>
    <t>C[N+]1=CC=CC(=C1)C([O-])=O</t>
  </si>
  <si>
    <t>WWNNZCOKKKDOPX-UHFFFAOYSA-N</t>
  </si>
  <si>
    <t>11.25_193.1593m/z</t>
  </si>
  <si>
    <t>7-tridecynoic acid</t>
  </si>
  <si>
    <t>LMFA01030600</t>
  </si>
  <si>
    <t>C(CCCCCC#CCCCCC)(=O)O</t>
  </si>
  <si>
    <t>UKKKJMVUWWRRTL-UHFFFAOYSA-N</t>
  </si>
  <si>
    <t>5.13_287.0344m/z</t>
  </si>
  <si>
    <t>Calycin</t>
  </si>
  <si>
    <t>HMDB0249565</t>
  </si>
  <si>
    <t>OC1=C(C(=O)OC1=C1C(=O)OC2=CC=CC=C12)C1=CC=CC=C1</t>
  </si>
  <si>
    <t>CGRCGRBHNKRILW-UHFFFAOYSA-N</t>
  </si>
  <si>
    <t>C18H10O5</t>
  </si>
  <si>
    <t>9.16_228.2693m/z</t>
  </si>
  <si>
    <t>6-Pentadecene</t>
  </si>
  <si>
    <t>LMFA11000479</t>
  </si>
  <si>
    <t>CCCCC/C=C/CCCCCCCC</t>
  </si>
  <si>
    <t>BEPREHKVBQHGMZ-ACCUITESSA-N</t>
  </si>
  <si>
    <t>C15H30</t>
  </si>
  <si>
    <t>13.37_489.3581m/z</t>
  </si>
  <si>
    <t>Schleicherastatin 5</t>
  </si>
  <si>
    <t>HMDB0035804</t>
  </si>
  <si>
    <t>256445-58-6</t>
  </si>
  <si>
    <t>CCC(CC(O)C(C)C1CCC2C3C(CCC12C)C1(C)CCC(O)CC1=CC3=O)C(C)C</t>
  </si>
  <si>
    <t>XWLHFTUCQDCSTJ-UHFFFAOYSA-N</t>
  </si>
  <si>
    <t>1.29_355.1433m/z</t>
  </si>
  <si>
    <t>2(1H)-Pyrimidinone,5-[3-[(1S,2S,4R)-bicyclo[2.2.1]hept-2-yloxy]-4-methoxyphenyl]tetrahydro-</t>
  </si>
  <si>
    <t>HMDB0244563</t>
  </si>
  <si>
    <t>COC1=C(OC2CC3CCC2C3)C=C(C=C1)C1CNC(=O)NC1</t>
  </si>
  <si>
    <t>LITNEAPWQHVPOK-UHFFFAOYSA-N</t>
  </si>
  <si>
    <t>C18H24N2O3</t>
  </si>
  <si>
    <t>1.27_138.0432m/z</t>
  </si>
  <si>
    <t>4-Hydroxynicotinamide</t>
  </si>
  <si>
    <t>HMDB0246459</t>
  </si>
  <si>
    <t>NC(=O)C1=CN=CC=C1O</t>
  </si>
  <si>
    <t>UDTVJEZIOILIRG-UHFFFAOYSA-N</t>
  </si>
  <si>
    <t>4.67_300.0127m/z</t>
  </si>
  <si>
    <t>(4S)-4-Amino-1,3-dioxohexane-1,2,6-tricarboxylic acid</t>
  </si>
  <si>
    <t>HMDB0260161</t>
  </si>
  <si>
    <t>NC(CCC(O)=O)C(=O)C(C(O)=O)C(=O)C(O)=O</t>
  </si>
  <si>
    <t>RNZCHNWWKFDVGE-UHFFFAOYSA-N</t>
  </si>
  <si>
    <t>C9H11NO8</t>
  </si>
  <si>
    <t>1.05_169.1227m/z</t>
  </si>
  <si>
    <t>10-hydroxy-2E-decenoic acid</t>
  </si>
  <si>
    <t>LMFA01050157</t>
  </si>
  <si>
    <t>C(/C=C/CCCCCCCO)(=O)O</t>
  </si>
  <si>
    <t>QHBZHVUGQROELI-SOFGYWHQSA-N</t>
  </si>
  <si>
    <t>0.74_242.1144m/z</t>
  </si>
  <si>
    <t>L-Histidine trimethylbetaine</t>
  </si>
  <si>
    <t>HMDB0029422</t>
  </si>
  <si>
    <t>C05575</t>
  </si>
  <si>
    <t>534-30-5</t>
  </si>
  <si>
    <t>C[N+](C)(C)C(CC1=CN=CN1)C([O-])=O</t>
  </si>
  <si>
    <t>GPPYTCRVKHULJH-UHFFFAOYSA-N</t>
  </si>
  <si>
    <t>C9H15N3O2</t>
  </si>
  <si>
    <t>11.55_310.1545m/z</t>
  </si>
  <si>
    <t>Delgocitinib</t>
  </si>
  <si>
    <t>HMDB0250969</t>
  </si>
  <si>
    <t>CC1CN(C(=O)CC#N)C11CCN(C1)C1=NC=NC2=C1C=CN2</t>
  </si>
  <si>
    <t>LOWWYYZBZNSPDT-UHFFFAOYSA-N</t>
  </si>
  <si>
    <t>C16H18N6O</t>
  </si>
  <si>
    <t>4.93_443.2742m/z</t>
  </si>
  <si>
    <t>Gly-pro-arg-pro</t>
  </si>
  <si>
    <t>HMDB0252829</t>
  </si>
  <si>
    <t>NCC(=O)N1CCCC1C(=O)NC(CCCN=C(N)N)C(=O)N1CCCC1C(O)=O</t>
  </si>
  <si>
    <t>WXPZDDCNKXMOMC-UHFFFAOYSA-N</t>
  </si>
  <si>
    <t>C18H31N7O5</t>
  </si>
  <si>
    <t>9.60_283.1321m/z</t>
  </si>
  <si>
    <t>Dazmegrel</t>
  </si>
  <si>
    <t>HMDB0250884</t>
  </si>
  <si>
    <t>CC1=C(CN2C=CN=C2)C2=CC=CC=C2N1CCC(O)=O</t>
  </si>
  <si>
    <t>DEQLGSOHGTZKFB-UHFFFAOYSA-N</t>
  </si>
  <si>
    <t>C16H17N3O2</t>
  </si>
  <si>
    <t>Table S4. Differentially expressed metabolites in POCD patients compared with controls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</si>
</sst>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u/>
      <sz val="11"/>
      <color rgb="FF0000FF"/>
      <name val="Calibri"/>
      <family val="2"/>
    </font>
    <font>
      <sz val="9"/>
      <name val="宋体"/>
      <family val="3"/>
      <charset val="134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727FB5"/>
      </patternFill>
    </fill>
    <fill>
      <patternFill patternType="solid">
        <fgColor rgb="FFF47D8C"/>
      </patternFill>
    </fill>
    <fill>
      <patternFill patternType="solid">
        <fgColor theme="6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/>
    <xf numFmtId="0" fontId="2" fillId="2" borderId="0" xfId="0" applyFont="1" applyFill="1"/>
    <xf numFmtId="0" fontId="2" fillId="3" borderId="0" xfId="0" applyFont="1" applyFill="1"/>
    <xf numFmtId="0" fontId="5" fillId="4" borderId="0" xfId="0" applyFont="1" applyFill="1" applyAlignment="1">
      <alignment horizontal="left"/>
    </xf>
    <xf numFmtId="0" fontId="6" fillId="4" borderId="0" xfId="0" applyFont="1" applyFill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X5939"/>
  <sheetViews>
    <sheetView tabSelected="1" workbookViewId="0">
      <selection sqref="A1:XFD1"/>
    </sheetView>
  </sheetViews>
  <sheetFormatPr defaultColWidth="11.5703125" defaultRowHeight="15" x14ac:dyDescent="0.25"/>
  <cols>
    <col min="7" max="7" width="45.7109375" customWidth="1"/>
  </cols>
  <sheetData>
    <row r="1" spans="1:50" s="7" customFormat="1" ht="15.75" x14ac:dyDescent="0.25">
      <c r="A1" s="6" t="s">
        <v>38686</v>
      </c>
    </row>
    <row r="2" spans="1:50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  <c r="AE2" s="1" t="s">
        <v>30</v>
      </c>
      <c r="AF2" s="1" t="s">
        <v>31</v>
      </c>
      <c r="AG2" s="1" t="s">
        <v>32</v>
      </c>
      <c r="AH2" s="1" t="s">
        <v>33</v>
      </c>
      <c r="AI2" s="1" t="s">
        <v>34</v>
      </c>
      <c r="AJ2" s="1" t="s">
        <v>35</v>
      </c>
      <c r="AK2" s="1" t="s">
        <v>36</v>
      </c>
      <c r="AL2" s="1" t="s">
        <v>37</v>
      </c>
      <c r="AM2" s="1" t="s">
        <v>38</v>
      </c>
      <c r="AN2" s="1" t="s">
        <v>39</v>
      </c>
      <c r="AO2" s="1" t="s">
        <v>40</v>
      </c>
      <c r="AP2" s="1" t="s">
        <v>41</v>
      </c>
      <c r="AQ2" s="1" t="s">
        <v>42</v>
      </c>
      <c r="AR2" s="1" t="s">
        <v>43</v>
      </c>
      <c r="AS2" s="1" t="s">
        <v>44</v>
      </c>
      <c r="AT2" s="1" t="s">
        <v>45</v>
      </c>
      <c r="AU2" s="1" t="s">
        <v>46</v>
      </c>
      <c r="AV2" s="1" t="s">
        <v>47</v>
      </c>
      <c r="AW2" s="1" t="s">
        <v>48</v>
      </c>
      <c r="AX2" s="1" t="s">
        <v>49</v>
      </c>
    </row>
    <row r="3" spans="1:50" x14ac:dyDescent="0.25">
      <c r="A3" s="2" t="s">
        <v>50</v>
      </c>
      <c r="B3" s="2">
        <v>780.55362457029105</v>
      </c>
      <c r="C3" s="2">
        <v>13.3237166666667</v>
      </c>
      <c r="D3" s="2" t="s">
        <v>51</v>
      </c>
      <c r="E3" s="2" t="s">
        <v>52</v>
      </c>
      <c r="F3" s="2">
        <v>242590</v>
      </c>
      <c r="G3" s="3" t="str">
        <f>HYPERLINK("https://cloud.oebiotech.com/#/lm/network/242590", "https://cloud.oebiotech.com/#/lm/network/242590")</f>
        <v>https://cloud.oebiotech.com/#/lm/network/242590</v>
      </c>
      <c r="H3" s="2" t="s">
        <v>53</v>
      </c>
      <c r="I3" s="2"/>
      <c r="J3" s="2"/>
      <c r="K3" s="2"/>
      <c r="L3" s="2"/>
      <c r="M3" s="2"/>
      <c r="N3" s="2"/>
      <c r="O3" s="2"/>
      <c r="P3" s="2"/>
      <c r="Q3" s="2"/>
      <c r="R3" s="2"/>
      <c r="S3" s="2" t="s">
        <v>54</v>
      </c>
      <c r="T3" s="2" t="s">
        <v>55</v>
      </c>
      <c r="U3" s="2" t="s">
        <v>56</v>
      </c>
      <c r="V3" s="2" t="s">
        <v>57</v>
      </c>
      <c r="W3" s="2" t="s">
        <v>58</v>
      </c>
      <c r="X3" s="2" t="s">
        <v>59</v>
      </c>
      <c r="Y3" s="2">
        <v>54.8</v>
      </c>
      <c r="Z3" s="2">
        <v>85.9</v>
      </c>
      <c r="AA3" s="2" t="s">
        <v>60</v>
      </c>
      <c r="AB3" s="2" t="s">
        <v>61</v>
      </c>
      <c r="AC3" s="2">
        <v>-0.201340712563849</v>
      </c>
      <c r="AD3" s="2"/>
      <c r="AE3" s="2">
        <v>18.905516950310702</v>
      </c>
      <c r="AF3" s="2">
        <v>4912346.8252979703</v>
      </c>
      <c r="AG3" s="2">
        <v>13159876.0979665</v>
      </c>
      <c r="AH3" s="4">
        <v>0.37328214861058301</v>
      </c>
      <c r="AI3" s="4">
        <v>-1.4216615782817199</v>
      </c>
      <c r="AJ3" s="4" t="s">
        <v>62</v>
      </c>
      <c r="AK3" s="2">
        <v>1.8479639786177102E-2</v>
      </c>
      <c r="AL3" s="2">
        <v>0.2138667084026</v>
      </c>
      <c r="AM3" s="2">
        <v>346910.32585874602</v>
      </c>
      <c r="AN3" s="2">
        <v>374730.60299521399</v>
      </c>
      <c r="AO3" s="2">
        <v>798747.45112722099</v>
      </c>
      <c r="AP3" s="2">
        <v>10984775.4802226</v>
      </c>
      <c r="AQ3" s="2">
        <v>8948980.6993344501</v>
      </c>
      <c r="AR3" s="2">
        <v>8019936.3922496</v>
      </c>
      <c r="AS3" s="2">
        <v>11771526.9104353</v>
      </c>
      <c r="AT3" s="2">
        <v>8994516.1129024308</v>
      </c>
      <c r="AU3" s="2">
        <v>23428616.9659057</v>
      </c>
      <c r="AV3" s="2">
        <v>10355759.351915101</v>
      </c>
      <c r="AW3" s="2">
        <v>13402566.2483226</v>
      </c>
      <c r="AX3" s="2">
        <v>11006270.998317599</v>
      </c>
    </row>
    <row r="4" spans="1:50" x14ac:dyDescent="0.25">
      <c r="A4" s="2" t="s">
        <v>1538</v>
      </c>
      <c r="B4" s="2">
        <v>282.27958819403602</v>
      </c>
      <c r="C4" s="2">
        <v>12.6645</v>
      </c>
      <c r="D4" s="2" t="s">
        <v>51</v>
      </c>
      <c r="E4" s="2" t="s">
        <v>1539</v>
      </c>
      <c r="F4" s="2">
        <v>6694</v>
      </c>
      <c r="G4" s="3" t="str">
        <f>HYPERLINK("https://cloud.oebiotech.com/#/lm/network/6694", "https://cloud.oebiotech.com/#/lm/network/6694")</f>
        <v>https://cloud.oebiotech.com/#/lm/network/6694</v>
      </c>
      <c r="H4" s="2"/>
      <c r="I4" s="2">
        <v>46520</v>
      </c>
      <c r="J4" s="2" t="s">
        <v>1540</v>
      </c>
      <c r="K4" s="2">
        <v>9903401</v>
      </c>
      <c r="L4" s="2"/>
      <c r="M4" s="2"/>
      <c r="N4" s="2"/>
      <c r="O4" s="2"/>
      <c r="P4" s="2"/>
      <c r="Q4" s="2"/>
      <c r="R4" s="2"/>
      <c r="S4" s="2" t="s">
        <v>1541</v>
      </c>
      <c r="T4" s="2" t="s">
        <v>1542</v>
      </c>
      <c r="U4" s="2" t="s">
        <v>56</v>
      </c>
      <c r="V4" s="2" t="s">
        <v>145</v>
      </c>
      <c r="W4" s="2" t="s">
        <v>1543</v>
      </c>
      <c r="X4" s="2" t="s">
        <v>69</v>
      </c>
      <c r="Y4" s="2">
        <v>73.8</v>
      </c>
      <c r="Z4" s="2">
        <v>96.2</v>
      </c>
      <c r="AA4" s="2" t="s">
        <v>1544</v>
      </c>
      <c r="AB4" s="2" t="s">
        <v>1545</v>
      </c>
      <c r="AC4" s="2">
        <v>1.69167894200835</v>
      </c>
      <c r="AD4" s="2"/>
      <c r="AE4" s="2">
        <v>18.830616808010301</v>
      </c>
      <c r="AF4" s="2">
        <v>66031578.222122699</v>
      </c>
      <c r="AG4" s="2">
        <v>101003029.957243</v>
      </c>
      <c r="AH4" s="4">
        <v>0.653758389724304</v>
      </c>
      <c r="AI4" s="4">
        <v>-0.61317053920887998</v>
      </c>
      <c r="AJ4" s="4" t="s">
        <v>62</v>
      </c>
      <c r="AK4" s="2">
        <v>0.663204101531641</v>
      </c>
      <c r="AL4" s="2">
        <v>0.83663677386975799</v>
      </c>
      <c r="AM4" s="2">
        <v>2007461.7022077399</v>
      </c>
      <c r="AN4" s="2">
        <v>1254857.4016674401</v>
      </c>
      <c r="AO4" s="2">
        <v>169544181.437235</v>
      </c>
      <c r="AP4" s="2">
        <v>2981602.9823644198</v>
      </c>
      <c r="AQ4" s="2">
        <v>214672364.69584599</v>
      </c>
      <c r="AR4" s="2">
        <v>5729001.1134156696</v>
      </c>
      <c r="AS4" s="2">
        <v>392111208.25717098</v>
      </c>
      <c r="AT4" s="2">
        <v>1093007.3677517399</v>
      </c>
      <c r="AU4" s="2">
        <v>202282789.554405</v>
      </c>
      <c r="AV4" s="2">
        <v>6106757.2484009396</v>
      </c>
      <c r="AW4" s="2">
        <v>2917537.8569660201</v>
      </c>
      <c r="AX4" s="2">
        <v>1506879.45876237</v>
      </c>
    </row>
    <row r="5" spans="1:50" x14ac:dyDescent="0.25">
      <c r="A5" s="2" t="s">
        <v>63</v>
      </c>
      <c r="B5" s="2">
        <v>520.34097792182502</v>
      </c>
      <c r="C5" s="2">
        <v>10.4101833333333</v>
      </c>
      <c r="D5" s="2" t="s">
        <v>51</v>
      </c>
      <c r="E5" s="2" t="s">
        <v>64</v>
      </c>
      <c r="F5" s="2">
        <v>83281</v>
      </c>
      <c r="G5" s="3" t="str">
        <f>HYPERLINK("https://cloud.oebiotech.com/#/lm/network/83281", "https://cloud.oebiotech.com/#/lm/network/83281")</f>
        <v>https://cloud.oebiotech.com/#/lm/network/83281</v>
      </c>
      <c r="H5" s="2" t="s">
        <v>65</v>
      </c>
      <c r="I5" s="2"/>
      <c r="J5" s="2"/>
      <c r="K5" s="2">
        <v>71768169</v>
      </c>
      <c r="L5" s="2"/>
      <c r="M5" s="2"/>
      <c r="N5" s="2"/>
      <c r="O5" s="2">
        <v>76084</v>
      </c>
      <c r="P5" s="2"/>
      <c r="Q5" s="2"/>
      <c r="R5" s="2" t="s">
        <v>66</v>
      </c>
      <c r="S5" s="2" t="s">
        <v>67</v>
      </c>
      <c r="T5" s="2" t="s">
        <v>68</v>
      </c>
      <c r="U5" s="2" t="s">
        <v>56</v>
      </c>
      <c r="V5" s="2" t="s">
        <v>57</v>
      </c>
      <c r="W5" s="2" t="s">
        <v>58</v>
      </c>
      <c r="X5" s="2" t="s">
        <v>69</v>
      </c>
      <c r="Y5" s="2">
        <v>67</v>
      </c>
      <c r="Z5" s="2">
        <v>87.5</v>
      </c>
      <c r="AA5" s="2" t="s">
        <v>70</v>
      </c>
      <c r="AB5" s="2" t="s">
        <v>71</v>
      </c>
      <c r="AC5" s="2">
        <v>2.3336005918715901</v>
      </c>
      <c r="AD5" s="2"/>
      <c r="AE5" s="2">
        <v>16.7742944907435</v>
      </c>
      <c r="AF5" s="2">
        <v>27527431.469594099</v>
      </c>
      <c r="AG5" s="2">
        <v>35176869.166193701</v>
      </c>
      <c r="AH5" s="4">
        <v>0.78254353278400901</v>
      </c>
      <c r="AI5" s="4">
        <v>-0.35375708369236902</v>
      </c>
      <c r="AJ5" s="4" t="s">
        <v>62</v>
      </c>
      <c r="AK5" s="2">
        <v>4.06013824615334E-2</v>
      </c>
      <c r="AL5" s="2">
        <v>0.29155452793099101</v>
      </c>
      <c r="AM5" s="2">
        <v>27492245.571362399</v>
      </c>
      <c r="AN5" s="2">
        <v>30981606.009547599</v>
      </c>
      <c r="AO5" s="2">
        <v>30413582.5914247</v>
      </c>
      <c r="AP5" s="2">
        <v>25261305.050388601</v>
      </c>
      <c r="AQ5" s="2">
        <v>25168230.060056999</v>
      </c>
      <c r="AR5" s="2">
        <v>25847619.534784</v>
      </c>
      <c r="AS5" s="2">
        <v>28743369.9007647</v>
      </c>
      <c r="AT5" s="2">
        <v>23465236.493920401</v>
      </c>
      <c r="AU5" s="2">
        <v>35677110.573908202</v>
      </c>
      <c r="AV5" s="2">
        <v>40227178.776015401</v>
      </c>
      <c r="AW5" s="2">
        <v>41866533.220679902</v>
      </c>
      <c r="AX5" s="2">
        <v>41081786.031873398</v>
      </c>
    </row>
    <row r="6" spans="1:50" x14ac:dyDescent="0.25">
      <c r="A6" s="2" t="s">
        <v>1546</v>
      </c>
      <c r="B6" s="2">
        <v>522.35659035556796</v>
      </c>
      <c r="C6" s="2">
        <v>11.087300000000001</v>
      </c>
      <c r="D6" s="2" t="s">
        <v>51</v>
      </c>
      <c r="E6" s="2" t="s">
        <v>1547</v>
      </c>
      <c r="F6" s="2">
        <v>210039</v>
      </c>
      <c r="G6" s="3" t="str">
        <f>HYPERLINK("https://cloud.oebiotech.com/#/lm/network/210039", "https://cloud.oebiotech.com/#/lm/network/210039")</f>
        <v>https://cloud.oebiotech.com/#/lm/network/210039</v>
      </c>
      <c r="H6" s="2" t="s">
        <v>1548</v>
      </c>
      <c r="I6" s="2"/>
      <c r="J6" s="2"/>
      <c r="K6" s="2"/>
      <c r="L6" s="2"/>
      <c r="M6" s="2"/>
      <c r="N6" s="2"/>
      <c r="O6" s="2"/>
      <c r="P6" s="2"/>
      <c r="Q6" s="2"/>
      <c r="R6" s="2"/>
      <c r="S6" s="2" t="s">
        <v>1549</v>
      </c>
      <c r="T6" s="2" t="s">
        <v>1550</v>
      </c>
      <c r="U6" s="2" t="s">
        <v>56</v>
      </c>
      <c r="V6" s="2" t="s">
        <v>57</v>
      </c>
      <c r="W6" s="2" t="s">
        <v>58</v>
      </c>
      <c r="X6" s="2" t="s">
        <v>69</v>
      </c>
      <c r="Y6" s="2">
        <v>67.5</v>
      </c>
      <c r="Z6" s="2">
        <v>96.6</v>
      </c>
      <c r="AA6" s="2" t="s">
        <v>70</v>
      </c>
      <c r="AB6" s="2" t="s">
        <v>1551</v>
      </c>
      <c r="AC6" s="2">
        <v>2.2523993451756001</v>
      </c>
      <c r="AD6" s="2"/>
      <c r="AE6" s="2">
        <v>15.681221146702701</v>
      </c>
      <c r="AF6" s="2">
        <v>33097170.1443193</v>
      </c>
      <c r="AG6" s="2">
        <v>45073083.890779696</v>
      </c>
      <c r="AH6" s="4">
        <v>0.73430010301757398</v>
      </c>
      <c r="AI6" s="4">
        <v>-0.44555829251374401</v>
      </c>
      <c r="AJ6" s="4" t="s">
        <v>62</v>
      </c>
      <c r="AK6" s="2">
        <v>0.19274739149625</v>
      </c>
      <c r="AL6" s="2">
        <v>0.51702050946451295</v>
      </c>
      <c r="AM6" s="2">
        <v>41649111.791090503</v>
      </c>
      <c r="AN6" s="2">
        <v>35948221.477858603</v>
      </c>
      <c r="AO6" s="2">
        <v>32815404.928890798</v>
      </c>
      <c r="AP6" s="2">
        <v>29219109.310479499</v>
      </c>
      <c r="AQ6" s="2">
        <v>29654401.178407501</v>
      </c>
      <c r="AR6" s="2">
        <v>29296772.179189</v>
      </c>
      <c r="AS6" s="2">
        <v>28363676.9441013</v>
      </c>
      <c r="AT6" s="2">
        <v>17804761.451140799</v>
      </c>
      <c r="AU6" s="2">
        <v>69125920.377294406</v>
      </c>
      <c r="AV6" s="2">
        <v>57394809.183847599</v>
      </c>
      <c r="AW6" s="2">
        <v>61145293.381701499</v>
      </c>
      <c r="AX6" s="2">
        <v>36604042.0065929</v>
      </c>
    </row>
    <row r="7" spans="1:50" x14ac:dyDescent="0.25">
      <c r="A7" s="2" t="s">
        <v>72</v>
      </c>
      <c r="B7" s="2">
        <v>780.55351612016102</v>
      </c>
      <c r="C7" s="2">
        <v>13.5068</v>
      </c>
      <c r="D7" s="2" t="s">
        <v>51</v>
      </c>
      <c r="E7" s="2" t="s">
        <v>73</v>
      </c>
      <c r="F7" s="2">
        <v>242592</v>
      </c>
      <c r="G7" s="3" t="str">
        <f>HYPERLINK("https://cloud.oebiotech.com/#/lm/network/242592", "https://cloud.oebiotech.com/#/lm/network/242592")</f>
        <v>https://cloud.oebiotech.com/#/lm/network/242592</v>
      </c>
      <c r="H7" s="2" t="s">
        <v>74</v>
      </c>
      <c r="I7" s="2"/>
      <c r="J7" s="2"/>
      <c r="K7" s="2"/>
      <c r="L7" s="2"/>
      <c r="M7" s="2"/>
      <c r="N7" s="2"/>
      <c r="O7" s="2"/>
      <c r="P7" s="2"/>
      <c r="Q7" s="2"/>
      <c r="R7" s="2"/>
      <c r="S7" s="2" t="s">
        <v>75</v>
      </c>
      <c r="T7" s="2" t="s">
        <v>76</v>
      </c>
      <c r="U7" s="2" t="s">
        <v>56</v>
      </c>
      <c r="V7" s="2" t="s">
        <v>57</v>
      </c>
      <c r="W7" s="2" t="s">
        <v>58</v>
      </c>
      <c r="X7" s="2" t="s">
        <v>59</v>
      </c>
      <c r="Y7" s="2">
        <v>54.4</v>
      </c>
      <c r="Z7" s="2">
        <v>86.9</v>
      </c>
      <c r="AA7" s="2" t="s">
        <v>60</v>
      </c>
      <c r="AB7" s="2" t="s">
        <v>61</v>
      </c>
      <c r="AC7" s="2">
        <v>-0.34046022526280001</v>
      </c>
      <c r="AD7" s="2"/>
      <c r="AE7" s="2">
        <v>15.328458159362601</v>
      </c>
      <c r="AF7" s="2">
        <v>3178911.4548508101</v>
      </c>
      <c r="AG7" s="2">
        <v>9685206.5080291294</v>
      </c>
      <c r="AH7" s="4">
        <v>0.32822340465486799</v>
      </c>
      <c r="AI7" s="4">
        <v>-1.60724997798694</v>
      </c>
      <c r="AJ7" s="4" t="s">
        <v>62</v>
      </c>
      <c r="AK7" s="2">
        <v>3.8336601025898399E-2</v>
      </c>
      <c r="AL7" s="2">
        <v>0.28737929329641199</v>
      </c>
      <c r="AM7" s="2">
        <v>132079.43673743799</v>
      </c>
      <c r="AN7" s="2">
        <v>186610.85875351599</v>
      </c>
      <c r="AO7" s="2">
        <v>661503.38540599297</v>
      </c>
      <c r="AP7" s="2">
        <v>5886327.46417512</v>
      </c>
      <c r="AQ7" s="2">
        <v>7024238.1720858002</v>
      </c>
      <c r="AR7" s="2">
        <v>5182709.41194697</v>
      </c>
      <c r="AS7" s="2">
        <v>8658804.7130074091</v>
      </c>
      <c r="AT7" s="2">
        <v>5199710.2960411198</v>
      </c>
      <c r="AU7" s="2">
        <v>21231152.336975899</v>
      </c>
      <c r="AV7" s="2">
        <v>7347565.5907818303</v>
      </c>
      <c r="AW7" s="2">
        <v>9558368.2616398092</v>
      </c>
      <c r="AX7" s="2">
        <v>6115637.8497286998</v>
      </c>
    </row>
    <row r="8" spans="1:50" x14ac:dyDescent="0.25">
      <c r="A8" s="2" t="s">
        <v>1552</v>
      </c>
      <c r="B8" s="2">
        <v>353.16059481326101</v>
      </c>
      <c r="C8" s="2">
        <v>6.9037166666666696</v>
      </c>
      <c r="D8" s="2" t="s">
        <v>51</v>
      </c>
      <c r="E8" s="2" t="s">
        <v>1553</v>
      </c>
      <c r="F8" s="2">
        <v>82782</v>
      </c>
      <c r="G8" s="3" t="str">
        <f>HYPERLINK("https://cloud.oebiotech.com/#/lm/network/82782", "https://cloud.oebiotech.com/#/lm/network/82782")</f>
        <v>https://cloud.oebiotech.com/#/lm/network/82782</v>
      </c>
      <c r="H8" s="2" t="s">
        <v>1554</v>
      </c>
      <c r="I8" s="2">
        <v>2159</v>
      </c>
      <c r="J8" s="2"/>
      <c r="K8" s="2">
        <v>71751823</v>
      </c>
      <c r="L8" s="2"/>
      <c r="M8" s="2"/>
      <c r="N8" s="2"/>
      <c r="O8" s="2"/>
      <c r="P8" s="2"/>
      <c r="Q8" s="2"/>
      <c r="R8" s="2" t="s">
        <v>1555</v>
      </c>
      <c r="S8" s="2" t="s">
        <v>1556</v>
      </c>
      <c r="T8" s="2" t="s">
        <v>1557</v>
      </c>
      <c r="U8" s="2" t="s">
        <v>331</v>
      </c>
      <c r="V8" s="2" t="s">
        <v>332</v>
      </c>
      <c r="W8" s="2" t="s">
        <v>333</v>
      </c>
      <c r="X8" s="2" t="s">
        <v>69</v>
      </c>
      <c r="Y8" s="2">
        <v>63.7</v>
      </c>
      <c r="Z8" s="2">
        <v>97.5</v>
      </c>
      <c r="AA8" s="2" t="s">
        <v>667</v>
      </c>
      <c r="AB8" s="2" t="s">
        <v>1558</v>
      </c>
      <c r="AC8" s="2">
        <v>5.1033770180480199E-2</v>
      </c>
      <c r="AD8" s="2"/>
      <c r="AE8" s="2">
        <v>13.2611602416516</v>
      </c>
      <c r="AF8" s="2">
        <v>5808326.88870895</v>
      </c>
      <c r="AG8" s="2">
        <v>12275432.5719762</v>
      </c>
      <c r="AH8" s="4">
        <v>0.47316677882039698</v>
      </c>
      <c r="AI8" s="4">
        <v>-1.0795793096998301</v>
      </c>
      <c r="AJ8" s="4" t="s">
        <v>62</v>
      </c>
      <c r="AK8" s="2">
        <v>0.197603160872379</v>
      </c>
      <c r="AL8" s="2">
        <v>0.52099301167963796</v>
      </c>
      <c r="AM8" s="2">
        <v>5605096.2107075304</v>
      </c>
      <c r="AN8" s="2">
        <v>2806040.25384385</v>
      </c>
      <c r="AO8" s="2">
        <v>7621449.0625520004</v>
      </c>
      <c r="AP8" s="2">
        <v>286268.44967792899</v>
      </c>
      <c r="AQ8" s="2">
        <v>3800798.6129668201</v>
      </c>
      <c r="AR8" s="2">
        <v>14730308.742505601</v>
      </c>
      <c r="AS8" s="2">
        <v>6317885.2006234704</v>
      </c>
      <c r="AT8" s="2">
        <v>5217531.7951306002</v>
      </c>
      <c r="AU8" s="2">
        <v>10840212.547667099</v>
      </c>
      <c r="AV8" s="2">
        <v>28583056.497357801</v>
      </c>
      <c r="AW8" s="2">
        <v>20759119.427360501</v>
      </c>
      <c r="AX8" s="2">
        <v>1934789.9637176699</v>
      </c>
    </row>
    <row r="9" spans="1:50" x14ac:dyDescent="0.25">
      <c r="A9" s="2" t="s">
        <v>77</v>
      </c>
      <c r="B9" s="2">
        <v>780.55347603899997</v>
      </c>
      <c r="C9" s="2">
        <v>12.698066666666699</v>
      </c>
      <c r="D9" s="2" t="s">
        <v>51</v>
      </c>
      <c r="E9" s="2" t="s">
        <v>78</v>
      </c>
      <c r="F9" s="2">
        <v>22302</v>
      </c>
      <c r="G9" s="3" t="str">
        <f>HYPERLINK("https://cloud.oebiotech.com/#/lm/network/22302", "https://cloud.oebiotech.com/#/lm/network/22302")</f>
        <v>https://cloud.oebiotech.com/#/lm/network/22302</v>
      </c>
      <c r="H9" s="2"/>
      <c r="I9" s="2">
        <v>78703</v>
      </c>
      <c r="J9" s="2" t="s">
        <v>79</v>
      </c>
      <c r="K9" s="2">
        <v>52926145</v>
      </c>
      <c r="L9" s="2"/>
      <c r="M9" s="2"/>
      <c r="N9" s="2"/>
      <c r="O9" s="2"/>
      <c r="P9" s="2"/>
      <c r="Q9" s="2"/>
      <c r="R9" s="2"/>
      <c r="S9" s="2" t="s">
        <v>80</v>
      </c>
      <c r="T9" s="2" t="s">
        <v>81</v>
      </c>
      <c r="U9" s="2" t="s">
        <v>56</v>
      </c>
      <c r="V9" s="2" t="s">
        <v>57</v>
      </c>
      <c r="W9" s="2" t="s">
        <v>82</v>
      </c>
      <c r="X9" s="2" t="s">
        <v>83</v>
      </c>
      <c r="Y9" s="2">
        <v>46.7</v>
      </c>
      <c r="Z9" s="2">
        <v>0</v>
      </c>
      <c r="AA9" s="2" t="s">
        <v>84</v>
      </c>
      <c r="AB9" s="2" t="s">
        <v>85</v>
      </c>
      <c r="AC9" s="2">
        <v>-0.38302894102794399</v>
      </c>
      <c r="AD9" s="2"/>
      <c r="AE9" s="2">
        <v>13.061758725155199</v>
      </c>
      <c r="AF9" s="2">
        <v>1653024.0566126599</v>
      </c>
      <c r="AG9" s="2">
        <v>5033614.5428544199</v>
      </c>
      <c r="AH9" s="4">
        <v>0.32839702812748001</v>
      </c>
      <c r="AI9" s="4">
        <v>-1.60648702357294</v>
      </c>
      <c r="AJ9" s="4" t="s">
        <v>62</v>
      </c>
      <c r="AK9" s="2">
        <v>2.5800678377628202E-3</v>
      </c>
      <c r="AL9" s="2">
        <v>0.10427243461803801</v>
      </c>
      <c r="AM9" s="2">
        <v>264030.68405559001</v>
      </c>
      <c r="AN9" s="2">
        <v>369814.68183729501</v>
      </c>
      <c r="AO9" s="2">
        <v>382099.063175202</v>
      </c>
      <c r="AP9" s="2">
        <v>3086344.9995011301</v>
      </c>
      <c r="AQ9" s="2">
        <v>3016542.4453104399</v>
      </c>
      <c r="AR9" s="2">
        <v>2799312.4657962802</v>
      </c>
      <c r="AS9" s="2">
        <v>3170932.2996206698</v>
      </c>
      <c r="AT9" s="2">
        <v>3742076.6528041302</v>
      </c>
      <c r="AU9" s="2">
        <v>6984193.5268145902</v>
      </c>
      <c r="AV9" s="2">
        <v>4881862.9834725196</v>
      </c>
      <c r="AW9" s="2">
        <v>6513552.5471994597</v>
      </c>
      <c r="AX9" s="2">
        <v>4909069.2472151602</v>
      </c>
    </row>
    <row r="10" spans="1:50" x14ac:dyDescent="0.25">
      <c r="A10" s="2" t="s">
        <v>86</v>
      </c>
      <c r="B10" s="2">
        <v>806.57035985030802</v>
      </c>
      <c r="C10" s="2">
        <v>12.717266666666699</v>
      </c>
      <c r="D10" s="2" t="s">
        <v>51</v>
      </c>
      <c r="E10" s="2" t="s">
        <v>87</v>
      </c>
      <c r="F10" s="2">
        <v>18665</v>
      </c>
      <c r="G10" s="3" t="str">
        <f>HYPERLINK("https://cloud.oebiotech.com/#/lm/network/18665", "https://cloud.oebiotech.com/#/lm/network/18665")</f>
        <v>https://cloud.oebiotech.com/#/lm/network/18665</v>
      </c>
      <c r="H10" s="2" t="s">
        <v>88</v>
      </c>
      <c r="I10" s="2">
        <v>59371</v>
      </c>
      <c r="J10" s="2" t="s">
        <v>89</v>
      </c>
      <c r="K10" s="2">
        <v>52922294</v>
      </c>
      <c r="L10" s="2" t="s">
        <v>90</v>
      </c>
      <c r="M10" s="2" t="s">
        <v>91</v>
      </c>
      <c r="N10" s="2" t="s">
        <v>92</v>
      </c>
      <c r="O10" s="2"/>
      <c r="P10" s="2"/>
      <c r="Q10" s="2"/>
      <c r="R10" s="2"/>
      <c r="S10" s="2" t="s">
        <v>93</v>
      </c>
      <c r="T10" s="2" t="s">
        <v>94</v>
      </c>
      <c r="U10" s="2" t="s">
        <v>56</v>
      </c>
      <c r="V10" s="2" t="s">
        <v>57</v>
      </c>
      <c r="W10" s="2" t="s">
        <v>58</v>
      </c>
      <c r="X10" s="2" t="s">
        <v>69</v>
      </c>
      <c r="Y10" s="2">
        <v>57.5</v>
      </c>
      <c r="Z10" s="2">
        <v>87.8</v>
      </c>
      <c r="AA10" s="2" t="s">
        <v>95</v>
      </c>
      <c r="AB10" s="2" t="s">
        <v>96</v>
      </c>
      <c r="AC10" s="2">
        <v>4.25477759331842</v>
      </c>
      <c r="AD10" s="2"/>
      <c r="AE10" s="2">
        <v>11.8557451319016</v>
      </c>
      <c r="AF10" s="2">
        <v>3854107.8064797502</v>
      </c>
      <c r="AG10" s="2">
        <v>6743934.2282729596</v>
      </c>
      <c r="AH10" s="4">
        <v>0.57149249622304499</v>
      </c>
      <c r="AI10" s="4">
        <v>-0.80719353911230296</v>
      </c>
      <c r="AJ10" s="4" t="s">
        <v>62</v>
      </c>
      <c r="AK10" s="2">
        <v>4.90067411661083E-2</v>
      </c>
      <c r="AL10" s="2">
        <v>0.30691247078395001</v>
      </c>
      <c r="AM10" s="2">
        <v>413182.473332325</v>
      </c>
      <c r="AN10" s="2">
        <v>3631012.2197694601</v>
      </c>
      <c r="AO10" s="2">
        <v>3490135.0751425601</v>
      </c>
      <c r="AP10" s="2">
        <v>4432996.9197879601</v>
      </c>
      <c r="AQ10" s="2">
        <v>6649265.8981954399</v>
      </c>
      <c r="AR10" s="2">
        <v>4508054.2526507303</v>
      </c>
      <c r="AS10" s="2">
        <v>7876366.3346252404</v>
      </c>
      <c r="AT10" s="2">
        <v>4778376.3709944803</v>
      </c>
      <c r="AU10" s="2">
        <v>3658044.1001756801</v>
      </c>
      <c r="AV10" s="2">
        <v>6471019.4000324598</v>
      </c>
      <c r="AW10" s="2">
        <v>7136209.3477931097</v>
      </c>
      <c r="AX10" s="2">
        <v>10543589.816016801</v>
      </c>
    </row>
    <row r="11" spans="1:50" x14ac:dyDescent="0.25">
      <c r="A11" s="2" t="s">
        <v>1559</v>
      </c>
      <c r="B11" s="2">
        <v>215.032237122179</v>
      </c>
      <c r="C11" s="2">
        <v>0.68074999999999997</v>
      </c>
      <c r="D11" s="2" t="s">
        <v>51</v>
      </c>
      <c r="E11" s="2" t="s">
        <v>1560</v>
      </c>
      <c r="F11" s="2">
        <v>256887</v>
      </c>
      <c r="G11" s="3" t="str">
        <f>HYPERLINK("https://cloud.oebiotech.com/#/lm/network/256887", "https://cloud.oebiotech.com/#/lm/network/256887")</f>
        <v>https://cloud.oebiotech.com/#/lm/network/256887</v>
      </c>
      <c r="H11" s="2" t="s">
        <v>1561</v>
      </c>
      <c r="I11" s="2">
        <v>64013</v>
      </c>
      <c r="J11" s="2"/>
      <c r="K11" s="2">
        <v>443198</v>
      </c>
      <c r="L11" s="2" t="s">
        <v>1562</v>
      </c>
      <c r="M11" s="2" t="s">
        <v>1563</v>
      </c>
      <c r="N11" s="2" t="s">
        <v>1564</v>
      </c>
      <c r="O11" s="2">
        <v>17764</v>
      </c>
      <c r="P11" s="2"/>
      <c r="Q11" s="2"/>
      <c r="R11" s="2"/>
      <c r="S11" s="2" t="s">
        <v>1565</v>
      </c>
      <c r="T11" s="2" t="s">
        <v>1566</v>
      </c>
      <c r="U11" s="2" t="s">
        <v>103</v>
      </c>
      <c r="V11" s="2" t="s">
        <v>1567</v>
      </c>
      <c r="W11" s="2" t="s">
        <v>1568</v>
      </c>
      <c r="X11" s="2" t="s">
        <v>147</v>
      </c>
      <c r="Y11" s="2">
        <v>39.1</v>
      </c>
      <c r="Z11" s="2">
        <v>0</v>
      </c>
      <c r="AA11" s="2" t="s">
        <v>163</v>
      </c>
      <c r="AB11" s="2" t="s">
        <v>1569</v>
      </c>
      <c r="AC11" s="2">
        <v>-1.73963082528157</v>
      </c>
      <c r="AD11" s="2"/>
      <c r="AE11" s="2">
        <v>10.1851705826668</v>
      </c>
      <c r="AF11" s="2">
        <v>5125017.0377673497</v>
      </c>
      <c r="AG11" s="2">
        <v>7860022.6038587596</v>
      </c>
      <c r="AH11" s="4">
        <v>0.65203591593379195</v>
      </c>
      <c r="AI11" s="4">
        <v>-0.61697666062661205</v>
      </c>
      <c r="AJ11" s="4" t="s">
        <v>62</v>
      </c>
      <c r="AK11" s="2">
        <v>0.14253114307758399</v>
      </c>
      <c r="AL11" s="2">
        <v>0.464949118929459</v>
      </c>
      <c r="AM11" s="2">
        <v>169413.591911091</v>
      </c>
      <c r="AN11" s="2">
        <v>8109462.9115798501</v>
      </c>
      <c r="AO11" s="2">
        <v>4274191.7798958402</v>
      </c>
      <c r="AP11" s="2">
        <v>3799529.9795020898</v>
      </c>
      <c r="AQ11" s="2">
        <v>6004746.2955802297</v>
      </c>
      <c r="AR11" s="2">
        <v>8392757.6681350209</v>
      </c>
      <c r="AS11" s="2">
        <v>11893337.730167899</v>
      </c>
      <c r="AT11" s="2">
        <v>7745940.8270251602</v>
      </c>
      <c r="AU11" s="2">
        <v>3134472.0870195399</v>
      </c>
      <c r="AV11" s="2">
        <v>8837710.9888423495</v>
      </c>
      <c r="AW11" s="2">
        <v>6881755.6847787099</v>
      </c>
      <c r="AX11" s="2">
        <v>8666918.3053188995</v>
      </c>
    </row>
    <row r="12" spans="1:50" x14ac:dyDescent="0.25">
      <c r="A12" s="2" t="s">
        <v>1570</v>
      </c>
      <c r="B12" s="2">
        <v>540.33059250994802</v>
      </c>
      <c r="C12" s="2">
        <v>10.82375</v>
      </c>
      <c r="D12" s="2" t="s">
        <v>51</v>
      </c>
      <c r="E12" s="2" t="s">
        <v>1571</v>
      </c>
      <c r="F12" s="2">
        <v>19830</v>
      </c>
      <c r="G12" s="3" t="str">
        <f>HYPERLINK("https://cloud.oebiotech.com/#/lm/network/19830", "https://cloud.oebiotech.com/#/lm/network/19830")</f>
        <v>https://cloud.oebiotech.com/#/lm/network/19830</v>
      </c>
      <c r="H12" s="2" t="s">
        <v>1572</v>
      </c>
      <c r="I12" s="2">
        <v>40284</v>
      </c>
      <c r="J12" s="2" t="s">
        <v>1573</v>
      </c>
      <c r="K12" s="2">
        <v>460602</v>
      </c>
      <c r="L12" s="2" t="s">
        <v>691</v>
      </c>
      <c r="M12" s="2" t="s">
        <v>692</v>
      </c>
      <c r="N12" s="2" t="s">
        <v>693</v>
      </c>
      <c r="O12" s="2">
        <v>72998</v>
      </c>
      <c r="P12" s="2"/>
      <c r="Q12" s="2"/>
      <c r="R12" s="2" t="s">
        <v>1574</v>
      </c>
      <c r="S12" s="2" t="s">
        <v>1575</v>
      </c>
      <c r="T12" s="2" t="s">
        <v>1576</v>
      </c>
      <c r="U12" s="2" t="s">
        <v>56</v>
      </c>
      <c r="V12" s="2" t="s">
        <v>57</v>
      </c>
      <c r="W12" s="2" t="s">
        <v>58</v>
      </c>
      <c r="X12" s="2" t="s">
        <v>69</v>
      </c>
      <c r="Y12" s="2">
        <v>64.3</v>
      </c>
      <c r="Z12" s="2">
        <v>99.8</v>
      </c>
      <c r="AA12" s="2" t="s">
        <v>218</v>
      </c>
      <c r="AB12" s="2" t="s">
        <v>1577</v>
      </c>
      <c r="AC12" s="2">
        <v>-0.201753921240509</v>
      </c>
      <c r="AD12" s="2"/>
      <c r="AE12" s="2">
        <v>10.121590484973501</v>
      </c>
      <c r="AF12" s="2">
        <v>26013486.260909799</v>
      </c>
      <c r="AG12" s="2">
        <v>31675311.104328301</v>
      </c>
      <c r="AH12" s="4">
        <v>0.82125432565538903</v>
      </c>
      <c r="AI12" s="4">
        <v>-0.28409903056637598</v>
      </c>
      <c r="AJ12" s="4" t="s">
        <v>62</v>
      </c>
      <c r="AK12" s="2">
        <v>0.35075981157095898</v>
      </c>
      <c r="AL12" s="2">
        <v>0.64273559662805702</v>
      </c>
      <c r="AM12" s="2">
        <v>34449651.131066397</v>
      </c>
      <c r="AN12" s="2">
        <v>26725202.709114499</v>
      </c>
      <c r="AO12" s="2">
        <v>22093903.645353701</v>
      </c>
      <c r="AP12" s="2">
        <v>23233689.406586599</v>
      </c>
      <c r="AQ12" s="2">
        <v>18023475.145313501</v>
      </c>
      <c r="AR12" s="2">
        <v>31554995.528024301</v>
      </c>
      <c r="AS12" s="2">
        <v>18474565.577562299</v>
      </c>
      <c r="AT12" s="2">
        <v>16465384.438227599</v>
      </c>
      <c r="AU12" s="2">
        <v>32738749.261810601</v>
      </c>
      <c r="AV12" s="2">
        <v>51023934.269087598</v>
      </c>
      <c r="AW12" s="2">
        <v>36503424.619722597</v>
      </c>
      <c r="AX12" s="2">
        <v>34845808.459559403</v>
      </c>
    </row>
    <row r="13" spans="1:50" x14ac:dyDescent="0.25">
      <c r="A13" s="2" t="s">
        <v>97</v>
      </c>
      <c r="B13" s="2">
        <v>281.00544641409198</v>
      </c>
      <c r="C13" s="2">
        <v>5.4257166666666699</v>
      </c>
      <c r="D13" s="2" t="s">
        <v>51</v>
      </c>
      <c r="E13" s="2" t="s">
        <v>98</v>
      </c>
      <c r="F13" s="2">
        <v>274952</v>
      </c>
      <c r="G13" s="3" t="str">
        <f>HYPERLINK("https://cloud.oebiotech.com/#/lm/network/274952", "https://cloud.oebiotech.com/#/lm/network/274952")</f>
        <v>https://cloud.oebiotech.com/#/lm/network/274952</v>
      </c>
      <c r="H13" s="2"/>
      <c r="I13" s="2">
        <v>65823</v>
      </c>
      <c r="J13" s="2"/>
      <c r="K13" s="2">
        <v>92934</v>
      </c>
      <c r="L13" s="2" t="s">
        <v>99</v>
      </c>
      <c r="M13" s="2"/>
      <c r="N13" s="2"/>
      <c r="O13" s="2"/>
      <c r="P13" s="2"/>
      <c r="Q13" s="2"/>
      <c r="R13" s="2" t="s">
        <v>100</v>
      </c>
      <c r="S13" s="2" t="s">
        <v>101</v>
      </c>
      <c r="T13" s="2" t="s">
        <v>102</v>
      </c>
      <c r="U13" s="2" t="s">
        <v>103</v>
      </c>
      <c r="V13" s="2" t="s">
        <v>104</v>
      </c>
      <c r="W13" s="2" t="s">
        <v>105</v>
      </c>
      <c r="X13" s="2" t="s">
        <v>59</v>
      </c>
      <c r="Y13" s="2">
        <v>58.4</v>
      </c>
      <c r="Z13" s="2">
        <v>96.6</v>
      </c>
      <c r="AA13" s="2" t="s">
        <v>106</v>
      </c>
      <c r="AB13" s="2" t="s">
        <v>107</v>
      </c>
      <c r="AC13" s="2">
        <v>1.9137920712107499</v>
      </c>
      <c r="AD13" s="2"/>
      <c r="AE13" s="2">
        <v>9.5889835916806199</v>
      </c>
      <c r="AF13" s="2">
        <v>8952381.4065468591</v>
      </c>
      <c r="AG13" s="2">
        <v>11303210.3693939</v>
      </c>
      <c r="AH13" s="4">
        <v>0.79202112620919896</v>
      </c>
      <c r="AI13" s="4">
        <v>-0.33638918191738998</v>
      </c>
      <c r="AJ13" s="4" t="s">
        <v>62</v>
      </c>
      <c r="AK13" s="2">
        <v>1.42037082527697E-2</v>
      </c>
      <c r="AL13" s="2">
        <v>0.18992661237994099</v>
      </c>
      <c r="AM13" s="2">
        <v>8999994.3075767104</v>
      </c>
      <c r="AN13" s="2">
        <v>9656858.1804122608</v>
      </c>
      <c r="AO13" s="2">
        <v>8823753.9371880293</v>
      </c>
      <c r="AP13" s="2">
        <v>8816480.9497752897</v>
      </c>
      <c r="AQ13" s="2">
        <v>8941035.5943449605</v>
      </c>
      <c r="AR13" s="2">
        <v>8476165.4699839205</v>
      </c>
      <c r="AS13" s="2">
        <v>13430547.7997669</v>
      </c>
      <c r="AT13" s="2">
        <v>11175969.643495999</v>
      </c>
      <c r="AU13" s="2">
        <v>9847554.8685731404</v>
      </c>
      <c r="AV13" s="2">
        <v>8451676.4144237209</v>
      </c>
      <c r="AW13" s="2">
        <v>11880303.235658601</v>
      </c>
      <c r="AX13" s="2">
        <v>13033210.2544451</v>
      </c>
    </row>
    <row r="14" spans="1:50" x14ac:dyDescent="0.25">
      <c r="A14" s="2" t="s">
        <v>1578</v>
      </c>
      <c r="B14" s="2">
        <v>172.072038664427</v>
      </c>
      <c r="C14" s="2">
        <v>3.1093000000000002</v>
      </c>
      <c r="D14" s="2" t="s">
        <v>51</v>
      </c>
      <c r="E14" s="2" t="s">
        <v>1579</v>
      </c>
      <c r="F14" s="2">
        <v>53178</v>
      </c>
      <c r="G14" s="3" t="str">
        <f>HYPERLINK("https://cloud.oebiotech.com/#/lm/network/53178", "https://cloud.oebiotech.com/#/lm/network/53178")</f>
        <v>https://cloud.oebiotech.com/#/lm/network/53178</v>
      </c>
      <c r="H14" s="2" t="s">
        <v>1580</v>
      </c>
      <c r="I14" s="2">
        <v>573</v>
      </c>
      <c r="J14" s="2"/>
      <c r="K14" s="2">
        <v>4173</v>
      </c>
      <c r="L14" s="2" t="s">
        <v>1581</v>
      </c>
      <c r="M14" s="2"/>
      <c r="N14" s="2"/>
      <c r="O14" s="2">
        <v>6909</v>
      </c>
      <c r="P14" s="2"/>
      <c r="Q14" s="2"/>
      <c r="R14" s="2" t="s">
        <v>1582</v>
      </c>
      <c r="S14" s="2" t="s">
        <v>1583</v>
      </c>
      <c r="T14" s="2" t="s">
        <v>1584</v>
      </c>
      <c r="U14" s="2" t="s">
        <v>266</v>
      </c>
      <c r="V14" s="2" t="s">
        <v>1585</v>
      </c>
      <c r="W14" s="2" t="s">
        <v>1586</v>
      </c>
      <c r="X14" s="2" t="s">
        <v>59</v>
      </c>
      <c r="Y14" s="2">
        <v>55.1</v>
      </c>
      <c r="Z14" s="2">
        <v>84.8</v>
      </c>
      <c r="AA14" s="2" t="s">
        <v>259</v>
      </c>
      <c r="AB14" s="2" t="s">
        <v>1587</v>
      </c>
      <c r="AC14" s="2">
        <v>2.1691873701795199</v>
      </c>
      <c r="AD14" s="2"/>
      <c r="AE14" s="2">
        <v>9.4774899661020093</v>
      </c>
      <c r="AF14" s="2">
        <v>20292.739822498599</v>
      </c>
      <c r="AG14" s="2">
        <v>3390190.8886595899</v>
      </c>
      <c r="AH14" s="4">
        <v>5.98572189264596E-3</v>
      </c>
      <c r="AI14" s="4">
        <v>-7.3842590344630903</v>
      </c>
      <c r="AJ14" s="4" t="s">
        <v>62</v>
      </c>
      <c r="AK14" s="2">
        <v>6.6026829050433E-2</v>
      </c>
      <c r="AL14" s="2">
        <v>0.34192828169447498</v>
      </c>
      <c r="AM14" s="2">
        <v>11550.8142111052</v>
      </c>
      <c r="AN14" s="2">
        <v>9870.1086836294999</v>
      </c>
      <c r="AO14" s="2">
        <v>7414.6406364570203</v>
      </c>
      <c r="AP14" s="2">
        <v>6648.0796326192803</v>
      </c>
      <c r="AQ14" s="2">
        <v>57116.270398814202</v>
      </c>
      <c r="AR14" s="2">
        <v>29156.525372366101</v>
      </c>
      <c r="AS14" s="2">
        <v>5243874.78217592</v>
      </c>
      <c r="AT14" s="2">
        <v>9665663.9626637101</v>
      </c>
      <c r="AU14" s="2">
        <v>46084.7556262828</v>
      </c>
      <c r="AV14" s="2">
        <v>5297062.8937029997</v>
      </c>
      <c r="AW14" s="2">
        <v>46311.291343220902</v>
      </c>
      <c r="AX14" s="2">
        <v>42147.646445404403</v>
      </c>
    </row>
    <row r="15" spans="1:50" x14ac:dyDescent="0.25">
      <c r="A15" s="2" t="s">
        <v>1588</v>
      </c>
      <c r="B15" s="2">
        <v>310.31120104835401</v>
      </c>
      <c r="C15" s="2">
        <v>13.8104333333333</v>
      </c>
      <c r="D15" s="2" t="s">
        <v>51</v>
      </c>
      <c r="E15" s="2" t="s">
        <v>1589</v>
      </c>
      <c r="F15" s="2">
        <v>10096</v>
      </c>
      <c r="G15" s="3" t="str">
        <f>HYPERLINK("https://cloud.oebiotech.com/#/lm/network/10096", "https://cloud.oebiotech.com/#/lm/network/10096")</f>
        <v>https://cloud.oebiotech.com/#/lm/network/10096</v>
      </c>
      <c r="H15" s="2"/>
      <c r="I15" s="2">
        <v>98301</v>
      </c>
      <c r="J15" s="2" t="s">
        <v>1590</v>
      </c>
      <c r="K15" s="2">
        <v>56936261</v>
      </c>
      <c r="L15" s="2"/>
      <c r="M15" s="2"/>
      <c r="N15" s="2"/>
      <c r="O15" s="2"/>
      <c r="P15" s="2"/>
      <c r="Q15" s="2"/>
      <c r="R15" s="2"/>
      <c r="S15" s="2" t="s">
        <v>1591</v>
      </c>
      <c r="T15" s="2" t="s">
        <v>1592</v>
      </c>
      <c r="U15" s="2" t="s">
        <v>266</v>
      </c>
      <c r="V15" s="2" t="s">
        <v>1593</v>
      </c>
      <c r="W15" s="2" t="s">
        <v>240</v>
      </c>
      <c r="X15" s="2" t="s">
        <v>69</v>
      </c>
      <c r="Y15" s="2">
        <v>65.099999999999994</v>
      </c>
      <c r="Z15" s="2">
        <v>85</v>
      </c>
      <c r="AA15" s="2" t="s">
        <v>1544</v>
      </c>
      <c r="AB15" s="2" t="s">
        <v>1594</v>
      </c>
      <c r="AC15" s="2">
        <v>2.59940150061185</v>
      </c>
      <c r="AD15" s="2"/>
      <c r="AE15" s="2">
        <v>9.0931863263525905</v>
      </c>
      <c r="AF15" s="2">
        <v>493205.48341246502</v>
      </c>
      <c r="AG15" s="2">
        <v>4430197.4974446902</v>
      </c>
      <c r="AH15" s="4">
        <v>0.111328103024062</v>
      </c>
      <c r="AI15" s="4">
        <v>-3.1671102706202499</v>
      </c>
      <c r="AJ15" s="4" t="s">
        <v>62</v>
      </c>
      <c r="AK15" s="2">
        <v>0.368611774864118</v>
      </c>
      <c r="AL15" s="2">
        <v>0.65222958973558298</v>
      </c>
      <c r="AM15" s="2">
        <v>87515.103766958506</v>
      </c>
      <c r="AN15" s="2">
        <v>82442.989354927602</v>
      </c>
      <c r="AO15" s="2">
        <v>1838051.7609274599</v>
      </c>
      <c r="AP15" s="2">
        <v>61265.984679850502</v>
      </c>
      <c r="AQ15" s="2">
        <v>811356.12648093398</v>
      </c>
      <c r="AR15" s="2">
        <v>78600.935264657601</v>
      </c>
      <c r="AS15" s="2">
        <v>25277852.684621502</v>
      </c>
      <c r="AT15" s="2">
        <v>90223.336857929593</v>
      </c>
      <c r="AU15" s="2">
        <v>801612.61192424805</v>
      </c>
      <c r="AV15" s="2">
        <v>156473.09604835999</v>
      </c>
      <c r="AW15" s="2">
        <v>162632.97409303699</v>
      </c>
      <c r="AX15" s="2">
        <v>92390.281123054898</v>
      </c>
    </row>
    <row r="16" spans="1:50" x14ac:dyDescent="0.25">
      <c r="A16" s="2" t="s">
        <v>1595</v>
      </c>
      <c r="B16" s="2">
        <v>703.57667497068996</v>
      </c>
      <c r="C16" s="2">
        <v>10.6304833333333</v>
      </c>
      <c r="D16" s="2" t="s">
        <v>51</v>
      </c>
      <c r="E16" s="2" t="s">
        <v>1596</v>
      </c>
      <c r="F16" s="2">
        <v>52279</v>
      </c>
      <c r="G16" s="3" t="str">
        <f>HYPERLINK("https://cloud.oebiotech.com/#/lm/network/52279", "https://cloud.oebiotech.com/#/lm/network/52279")</f>
        <v>https://cloud.oebiotech.com/#/lm/network/52279</v>
      </c>
      <c r="H16" s="2" t="s">
        <v>1597</v>
      </c>
      <c r="I16" s="2"/>
      <c r="J16" s="2"/>
      <c r="K16" s="2">
        <v>53481781</v>
      </c>
      <c r="L16" s="2" t="s">
        <v>1598</v>
      </c>
      <c r="M16" s="2" t="s">
        <v>1599</v>
      </c>
      <c r="N16" s="2" t="s">
        <v>1600</v>
      </c>
      <c r="O16" s="2">
        <v>90008</v>
      </c>
      <c r="P16" s="2"/>
      <c r="Q16" s="2"/>
      <c r="R16" s="2"/>
      <c r="S16" s="2" t="s">
        <v>1601</v>
      </c>
      <c r="T16" s="2" t="s">
        <v>1602</v>
      </c>
      <c r="U16" s="2" t="s">
        <v>56</v>
      </c>
      <c r="V16" s="2" t="s">
        <v>344</v>
      </c>
      <c r="W16" s="2" t="s">
        <v>1239</v>
      </c>
      <c r="X16" s="2" t="s">
        <v>59</v>
      </c>
      <c r="Y16" s="2">
        <v>56.8</v>
      </c>
      <c r="Z16" s="2">
        <v>91.2</v>
      </c>
      <c r="AA16" s="2" t="s">
        <v>259</v>
      </c>
      <c r="AB16" s="2" t="s">
        <v>1603</v>
      </c>
      <c r="AC16" s="2">
        <v>2.5956908130085798</v>
      </c>
      <c r="AD16" s="2"/>
      <c r="AE16" s="2">
        <v>8.9624467328154793</v>
      </c>
      <c r="AF16" s="2">
        <v>7091830.66967161</v>
      </c>
      <c r="AG16" s="2">
        <v>9608411.2698578909</v>
      </c>
      <c r="AH16" s="4">
        <v>0.73808566999198599</v>
      </c>
      <c r="AI16" s="4">
        <v>-0.438139814510355</v>
      </c>
      <c r="AJ16" s="4" t="s">
        <v>62</v>
      </c>
      <c r="AK16" s="2">
        <v>0.17084053254780099</v>
      </c>
      <c r="AL16" s="2">
        <v>0.49169783309187098</v>
      </c>
      <c r="AM16" s="2">
        <v>2406082.1966332402</v>
      </c>
      <c r="AN16" s="2">
        <v>5367659.5008247001</v>
      </c>
      <c r="AO16" s="2">
        <v>9423934.4820335694</v>
      </c>
      <c r="AP16" s="2">
        <v>8804878.6656983104</v>
      </c>
      <c r="AQ16" s="2">
        <v>9629719.5638560094</v>
      </c>
      <c r="AR16" s="2">
        <v>6918709.6089838101</v>
      </c>
      <c r="AS16" s="2">
        <v>7424276.3524682699</v>
      </c>
      <c r="AT16" s="2">
        <v>12922730.179368399</v>
      </c>
      <c r="AU16" s="2">
        <v>6199664.2748804605</v>
      </c>
      <c r="AV16" s="2">
        <v>8157822.6966511104</v>
      </c>
      <c r="AW16" s="2">
        <v>9121637.7112962995</v>
      </c>
      <c r="AX16" s="2">
        <v>13824336.404482801</v>
      </c>
    </row>
    <row r="17" spans="1:50" x14ac:dyDescent="0.25">
      <c r="A17" s="2" t="s">
        <v>108</v>
      </c>
      <c r="B17" s="2">
        <v>104.10755756973001</v>
      </c>
      <c r="C17" s="2">
        <v>0.67084999999999995</v>
      </c>
      <c r="D17" s="2" t="s">
        <v>51</v>
      </c>
      <c r="E17" s="2" t="s">
        <v>109</v>
      </c>
      <c r="F17" s="2">
        <v>46869</v>
      </c>
      <c r="G17" s="3" t="str">
        <f>HYPERLINK("https://cloud.oebiotech.com/#/lm/network/46869", "https://cloud.oebiotech.com/#/lm/network/46869")</f>
        <v>https://cloud.oebiotech.com/#/lm/network/46869</v>
      </c>
      <c r="H17" s="2" t="s">
        <v>110</v>
      </c>
      <c r="I17" s="2">
        <v>56</v>
      </c>
      <c r="J17" s="2"/>
      <c r="K17" s="2">
        <v>305</v>
      </c>
      <c r="L17" s="2" t="s">
        <v>111</v>
      </c>
      <c r="M17" s="2" t="s">
        <v>112</v>
      </c>
      <c r="N17" s="2" t="s">
        <v>113</v>
      </c>
      <c r="O17" s="2">
        <v>15354</v>
      </c>
      <c r="P17" s="2" t="s">
        <v>114</v>
      </c>
      <c r="Q17" s="2" t="s">
        <v>115</v>
      </c>
      <c r="R17" s="2" t="s">
        <v>116</v>
      </c>
      <c r="S17" s="2" t="s">
        <v>117</v>
      </c>
      <c r="T17" s="2" t="s">
        <v>118</v>
      </c>
      <c r="U17" s="2" t="s">
        <v>119</v>
      </c>
      <c r="V17" s="2" t="s">
        <v>120</v>
      </c>
      <c r="W17" s="2" t="s">
        <v>121</v>
      </c>
      <c r="X17" s="2" t="s">
        <v>83</v>
      </c>
      <c r="Y17" s="2">
        <v>47.1</v>
      </c>
      <c r="Z17" s="2">
        <v>34.200000000000003</v>
      </c>
      <c r="AA17" s="2" t="s">
        <v>122</v>
      </c>
      <c r="AB17" s="2" t="s">
        <v>123</v>
      </c>
      <c r="AC17" s="2">
        <v>0.17670564328878299</v>
      </c>
      <c r="AD17" s="2"/>
      <c r="AE17" s="2">
        <v>8.6298500010915706</v>
      </c>
      <c r="AF17" s="2">
        <v>2002403.8499512</v>
      </c>
      <c r="AG17" s="2">
        <v>4072194.6863169698</v>
      </c>
      <c r="AH17" s="4">
        <v>0.49172596209102998</v>
      </c>
      <c r="AI17" s="4">
        <v>-1.0240735664703799</v>
      </c>
      <c r="AJ17" s="4" t="s">
        <v>62</v>
      </c>
      <c r="AK17" s="2">
        <v>2.31700103010689E-2</v>
      </c>
      <c r="AL17" s="2">
        <v>0.235803353043047</v>
      </c>
      <c r="AM17" s="2">
        <v>2280896.8859789702</v>
      </c>
      <c r="AN17" s="2">
        <v>2020204.36926394</v>
      </c>
      <c r="AO17" s="2">
        <v>1603741.53732448</v>
      </c>
      <c r="AP17" s="2">
        <v>2113061.96296843</v>
      </c>
      <c r="AQ17" s="2">
        <v>1886111.4955563501</v>
      </c>
      <c r="AR17" s="2">
        <v>2110406.848615</v>
      </c>
      <c r="AS17" s="2">
        <v>1797241.6627199601</v>
      </c>
      <c r="AT17" s="2">
        <v>2060768.76034928</v>
      </c>
      <c r="AU17" s="2">
        <v>5865662.2339026798</v>
      </c>
      <c r="AV17" s="2">
        <v>4887532.7443494303</v>
      </c>
      <c r="AW17" s="2">
        <v>3658785.4675072199</v>
      </c>
      <c r="AX17" s="2">
        <v>6163177.24907328</v>
      </c>
    </row>
    <row r="18" spans="1:50" x14ac:dyDescent="0.25">
      <c r="A18" s="2" t="s">
        <v>124</v>
      </c>
      <c r="B18" s="2">
        <v>147.05760000000001</v>
      </c>
      <c r="C18" s="2">
        <v>9.9860000000000007</v>
      </c>
      <c r="D18" s="2" t="s">
        <v>125</v>
      </c>
      <c r="E18" s="2" t="s">
        <v>126</v>
      </c>
      <c r="F18" s="2">
        <v>46980</v>
      </c>
      <c r="G18" s="3" t="str">
        <f>HYPERLINK("https://cloud.oebiotech.com/#/lm/network/46980", "https://cloud.oebiotech.com/#/lm/network/46980")</f>
        <v>https://cloud.oebiotech.com/#/lm/network/46980</v>
      </c>
      <c r="H18" s="2" t="s">
        <v>127</v>
      </c>
      <c r="I18" s="2">
        <v>6</v>
      </c>
      <c r="J18" s="2"/>
      <c r="K18" s="2">
        <v>1176</v>
      </c>
      <c r="L18" s="2" t="s">
        <v>128</v>
      </c>
      <c r="M18" s="2" t="s">
        <v>129</v>
      </c>
      <c r="N18" s="2" t="s">
        <v>130</v>
      </c>
      <c r="O18" s="2">
        <v>16199</v>
      </c>
      <c r="P18" s="2" t="s">
        <v>131</v>
      </c>
      <c r="Q18" s="2" t="s">
        <v>132</v>
      </c>
      <c r="R18" s="2" t="s">
        <v>133</v>
      </c>
      <c r="S18" s="2" t="s">
        <v>134</v>
      </c>
      <c r="T18" s="2" t="s">
        <v>135</v>
      </c>
      <c r="U18" s="2" t="s">
        <v>103</v>
      </c>
      <c r="V18" s="2" t="s">
        <v>136</v>
      </c>
      <c r="W18" s="2" t="s">
        <v>137</v>
      </c>
      <c r="X18" s="2" t="s">
        <v>69</v>
      </c>
      <c r="Y18" s="2">
        <v>99</v>
      </c>
      <c r="Z18" s="2">
        <v>98.3</v>
      </c>
      <c r="AA18" s="2"/>
      <c r="AB18" s="2" t="s">
        <v>138</v>
      </c>
      <c r="AC18" s="2"/>
      <c r="AD18" s="2">
        <v>337483.32344213699</v>
      </c>
      <c r="AE18" s="2">
        <v>8.3467163331020409</v>
      </c>
      <c r="AF18" s="2">
        <v>42348818.360187098</v>
      </c>
      <c r="AG18" s="2">
        <v>28700359.9610309</v>
      </c>
      <c r="AH18" s="5">
        <v>1.47555007734007</v>
      </c>
      <c r="AI18" s="5">
        <v>0.56125288390392303</v>
      </c>
      <c r="AJ18" s="5" t="s">
        <v>139</v>
      </c>
      <c r="AK18" s="2">
        <v>5.5283682526228199E-3</v>
      </c>
      <c r="AL18" s="2">
        <v>0.12710665806260699</v>
      </c>
      <c r="AM18" s="2">
        <v>51168380.732664302</v>
      </c>
      <c r="AN18" s="2">
        <v>50019763.992288403</v>
      </c>
      <c r="AO18" s="2">
        <v>42190369.756938197</v>
      </c>
      <c r="AP18" s="2">
        <v>39293285.753112197</v>
      </c>
      <c r="AQ18" s="2">
        <v>25767992.487362299</v>
      </c>
      <c r="AR18" s="2">
        <v>45653117.438757204</v>
      </c>
      <c r="AS18" s="2">
        <v>25335025.354322702</v>
      </c>
      <c r="AT18" s="2">
        <v>30674010.530249901</v>
      </c>
      <c r="AU18" s="2">
        <v>29352337.9247384</v>
      </c>
      <c r="AV18" s="2">
        <v>28995557.358863201</v>
      </c>
      <c r="AW18" s="2">
        <v>30164576.9565599</v>
      </c>
      <c r="AX18" s="2">
        <v>27680651.641451199</v>
      </c>
    </row>
    <row r="19" spans="1:50" x14ac:dyDescent="0.25">
      <c r="A19" s="2" t="s">
        <v>140</v>
      </c>
      <c r="B19" s="2">
        <v>350.32736341358401</v>
      </c>
      <c r="C19" s="2">
        <v>12.1557</v>
      </c>
      <c r="D19" s="2" t="s">
        <v>51</v>
      </c>
      <c r="E19" s="2" t="s">
        <v>141</v>
      </c>
      <c r="F19" s="2">
        <v>10491</v>
      </c>
      <c r="G19" s="3" t="str">
        <f>HYPERLINK("https://cloud.oebiotech.com/#/lm/network/10491", "https://cloud.oebiotech.com/#/lm/network/10491")</f>
        <v>https://cloud.oebiotech.com/#/lm/network/10491</v>
      </c>
      <c r="H19" s="2"/>
      <c r="I19" s="2"/>
      <c r="J19" s="2" t="s">
        <v>142</v>
      </c>
      <c r="K19" s="2">
        <v>137323864</v>
      </c>
      <c r="L19" s="2"/>
      <c r="M19" s="2"/>
      <c r="N19" s="2"/>
      <c r="O19" s="2"/>
      <c r="P19" s="2"/>
      <c r="Q19" s="2"/>
      <c r="R19" s="2"/>
      <c r="S19" s="2" t="s">
        <v>143</v>
      </c>
      <c r="T19" s="2" t="s">
        <v>144</v>
      </c>
      <c r="U19" s="2" t="s">
        <v>56</v>
      </c>
      <c r="V19" s="2" t="s">
        <v>145</v>
      </c>
      <c r="W19" s="2" t="s">
        <v>146</v>
      </c>
      <c r="X19" s="2" t="s">
        <v>147</v>
      </c>
      <c r="Y19" s="2">
        <v>43.9</v>
      </c>
      <c r="Z19" s="2">
        <v>25.9</v>
      </c>
      <c r="AA19" s="2" t="s">
        <v>148</v>
      </c>
      <c r="AB19" s="2" t="s">
        <v>149</v>
      </c>
      <c r="AC19" s="2">
        <v>2.6426179411795001</v>
      </c>
      <c r="AD19" s="2"/>
      <c r="AE19" s="2">
        <v>8.3310420491213808</v>
      </c>
      <c r="AF19" s="2">
        <v>1591668.63722425</v>
      </c>
      <c r="AG19" s="2">
        <v>3263542.4861694998</v>
      </c>
      <c r="AH19" s="4">
        <v>0.48771194000677298</v>
      </c>
      <c r="AI19" s="4">
        <v>-1.03589880248549</v>
      </c>
      <c r="AJ19" s="4" t="s">
        <v>62</v>
      </c>
      <c r="AK19" s="2">
        <v>4.4334945835701398E-2</v>
      </c>
      <c r="AL19" s="2">
        <v>0.297793096711781</v>
      </c>
      <c r="AM19" s="2">
        <v>234300.28254871399</v>
      </c>
      <c r="AN19" s="2">
        <v>670934.100276232</v>
      </c>
      <c r="AO19" s="2">
        <v>1872450.63306306</v>
      </c>
      <c r="AP19" s="2">
        <v>1035978.38780378</v>
      </c>
      <c r="AQ19" s="2">
        <v>3231332.86350834</v>
      </c>
      <c r="AR19" s="2">
        <v>2505015.55614539</v>
      </c>
      <c r="AS19" s="2">
        <v>1558572.8720291699</v>
      </c>
      <c r="AT19" s="2">
        <v>2295225.3097754102</v>
      </c>
      <c r="AU19" s="2">
        <v>2952205.3718501502</v>
      </c>
      <c r="AV19" s="2">
        <v>4187561.8100201702</v>
      </c>
      <c r="AW19" s="2">
        <v>3210457.4256836502</v>
      </c>
      <c r="AX19" s="2">
        <v>5377232.12765845</v>
      </c>
    </row>
    <row r="20" spans="1:50" x14ac:dyDescent="0.25">
      <c r="A20" s="2" t="s">
        <v>150</v>
      </c>
      <c r="B20" s="2">
        <v>766.57530514411496</v>
      </c>
      <c r="C20" s="2">
        <v>12.717266666666699</v>
      </c>
      <c r="D20" s="2" t="s">
        <v>51</v>
      </c>
      <c r="E20" s="2" t="s">
        <v>151</v>
      </c>
      <c r="F20" s="2">
        <v>20691</v>
      </c>
      <c r="G20" s="3" t="str">
        <f>HYPERLINK("https://cloud.oebiotech.com/#/lm/network/20691", "https://cloud.oebiotech.com/#/lm/network/20691")</f>
        <v>https://cloud.oebiotech.com/#/lm/network/20691</v>
      </c>
      <c r="H20" s="2"/>
      <c r="I20" s="2">
        <v>77237</v>
      </c>
      <c r="J20" s="2" t="s">
        <v>152</v>
      </c>
      <c r="K20" s="2">
        <v>52924703</v>
      </c>
      <c r="L20" s="2"/>
      <c r="M20" s="2"/>
      <c r="N20" s="2"/>
      <c r="O20" s="2"/>
      <c r="P20" s="2"/>
      <c r="Q20" s="2"/>
      <c r="R20" s="2"/>
      <c r="S20" s="2" t="s">
        <v>153</v>
      </c>
      <c r="T20" s="2" t="s">
        <v>154</v>
      </c>
      <c r="U20" s="2" t="s">
        <v>56</v>
      </c>
      <c r="V20" s="2" t="s">
        <v>57</v>
      </c>
      <c r="W20" s="2" t="s">
        <v>155</v>
      </c>
      <c r="X20" s="2" t="s">
        <v>69</v>
      </c>
      <c r="Y20" s="2">
        <v>58.6</v>
      </c>
      <c r="Z20" s="2">
        <v>82.8</v>
      </c>
      <c r="AA20" s="2" t="s">
        <v>156</v>
      </c>
      <c r="AB20" s="2" t="s">
        <v>96</v>
      </c>
      <c r="AC20" s="2">
        <v>1.0058644965036301</v>
      </c>
      <c r="AD20" s="2"/>
      <c r="AE20" s="2">
        <v>7.4921093589917502</v>
      </c>
      <c r="AF20" s="2">
        <v>501611.85603047401</v>
      </c>
      <c r="AG20" s="2">
        <v>1623720.64718074</v>
      </c>
      <c r="AH20" s="4">
        <v>0.30892743582550303</v>
      </c>
      <c r="AI20" s="4">
        <v>-1.6946600925792199</v>
      </c>
      <c r="AJ20" s="4" t="s">
        <v>62</v>
      </c>
      <c r="AK20" s="2">
        <v>2.3860203269392001E-3</v>
      </c>
      <c r="AL20" s="2">
        <v>0.101912249503871</v>
      </c>
      <c r="AM20" s="2">
        <v>12652.9726311632</v>
      </c>
      <c r="AN20" s="2">
        <v>16002.111724733501</v>
      </c>
      <c r="AO20" s="2">
        <v>22587.081220265401</v>
      </c>
      <c r="AP20" s="2">
        <v>1245992.82748398</v>
      </c>
      <c r="AQ20" s="2">
        <v>707597.54958255996</v>
      </c>
      <c r="AR20" s="2">
        <v>1004838.59354014</v>
      </c>
      <c r="AS20" s="2">
        <v>1434347.6589786799</v>
      </c>
      <c r="AT20" s="2">
        <v>1476216.12265755</v>
      </c>
      <c r="AU20" s="2">
        <v>2377742.87326279</v>
      </c>
      <c r="AV20" s="2">
        <v>1628656.98612577</v>
      </c>
      <c r="AW20" s="2">
        <v>1250808.57891625</v>
      </c>
      <c r="AX20" s="2">
        <v>1574551.6631434199</v>
      </c>
    </row>
    <row r="21" spans="1:50" x14ac:dyDescent="0.25">
      <c r="A21" s="2" t="s">
        <v>1604</v>
      </c>
      <c r="B21" s="2">
        <v>147.04</v>
      </c>
      <c r="C21" s="2">
        <v>9.9450000000000003</v>
      </c>
      <c r="D21" s="2" t="s">
        <v>125</v>
      </c>
      <c r="E21" s="2" t="s">
        <v>1605</v>
      </c>
      <c r="F21" s="2">
        <v>1874</v>
      </c>
      <c r="G21" s="3" t="str">
        <f>HYPERLINK("https://cloud.oebiotech.com/#/lm/network/1874", "https://cloud.oebiotech.com/#/lm/network/1874")</f>
        <v>https://cloud.oebiotech.com/#/lm/network/1874</v>
      </c>
      <c r="H21" s="2" t="s">
        <v>1606</v>
      </c>
      <c r="I21" s="2">
        <v>74699</v>
      </c>
      <c r="J21" s="2" t="s">
        <v>1607</v>
      </c>
      <c r="K21" s="2">
        <v>188979</v>
      </c>
      <c r="L21" s="2"/>
      <c r="M21" s="2"/>
      <c r="N21" s="2"/>
      <c r="O21" s="2">
        <v>82956</v>
      </c>
      <c r="P21" s="2"/>
      <c r="Q21" s="2"/>
      <c r="R21" s="2" t="s">
        <v>1608</v>
      </c>
      <c r="S21" s="2" t="s">
        <v>1609</v>
      </c>
      <c r="T21" s="2" t="s">
        <v>1610</v>
      </c>
      <c r="U21" s="2" t="s">
        <v>56</v>
      </c>
      <c r="V21" s="2" t="s">
        <v>145</v>
      </c>
      <c r="W21" s="2" t="s">
        <v>231</v>
      </c>
      <c r="X21" s="2" t="s">
        <v>59</v>
      </c>
      <c r="Y21" s="2">
        <v>79.3</v>
      </c>
      <c r="Z21" s="2">
        <v>65.5</v>
      </c>
      <c r="AA21" s="2"/>
      <c r="AB21" s="2" t="s">
        <v>1611</v>
      </c>
      <c r="AC21" s="2"/>
      <c r="AD21" s="2">
        <v>336074.480712166</v>
      </c>
      <c r="AE21" s="2">
        <v>7.4745826550914902</v>
      </c>
      <c r="AF21" s="2">
        <v>16971697.9417364</v>
      </c>
      <c r="AG21" s="2">
        <v>31086567.1071271</v>
      </c>
      <c r="AH21" s="4">
        <v>0.54594956989783905</v>
      </c>
      <c r="AI21" s="4">
        <v>-0.87316040128517602</v>
      </c>
      <c r="AJ21" s="4" t="s">
        <v>62</v>
      </c>
      <c r="AK21" s="2">
        <v>7.2840379413456793E-2</v>
      </c>
      <c r="AL21" s="2">
        <v>0.35417963356076398</v>
      </c>
      <c r="AM21" s="2">
        <v>903704.69952340506</v>
      </c>
      <c r="AN21" s="2">
        <v>1487734.73768312</v>
      </c>
      <c r="AO21" s="2">
        <v>4070407.2317057801</v>
      </c>
      <c r="AP21" s="2">
        <v>40764815.206876203</v>
      </c>
      <c r="AQ21" s="2">
        <v>28325533.578534499</v>
      </c>
      <c r="AR21" s="2">
        <v>26277992.196095102</v>
      </c>
      <c r="AS21" s="2">
        <v>26583989.997119602</v>
      </c>
      <c r="AT21" s="2">
        <v>35367237.950963199</v>
      </c>
      <c r="AU21" s="2">
        <v>30540884.245969601</v>
      </c>
      <c r="AV21" s="2">
        <v>31794738.2232848</v>
      </c>
      <c r="AW21" s="2">
        <v>32146935.096486401</v>
      </c>
      <c r="AX21" s="2">
        <v>30085617.128938898</v>
      </c>
    </row>
    <row r="22" spans="1:50" x14ac:dyDescent="0.25">
      <c r="A22" s="2" t="s">
        <v>1612</v>
      </c>
      <c r="B22" s="2">
        <v>256.263898708733</v>
      </c>
      <c r="C22" s="2">
        <v>12.411716666666701</v>
      </c>
      <c r="D22" s="2" t="s">
        <v>51</v>
      </c>
      <c r="E22" s="2" t="s">
        <v>1613</v>
      </c>
      <c r="F22" s="2">
        <v>8592</v>
      </c>
      <c r="G22" s="3" t="str">
        <f>HYPERLINK("https://cloud.oebiotech.com/#/lm/network/8592", "https://cloud.oebiotech.com/#/lm/network/8592")</f>
        <v>https://cloud.oebiotech.com/#/lm/network/8592</v>
      </c>
      <c r="H22" s="2"/>
      <c r="I22" s="2"/>
      <c r="J22" s="2" t="s">
        <v>1614</v>
      </c>
      <c r="K22" s="2">
        <v>20150941</v>
      </c>
      <c r="L22" s="2"/>
      <c r="M22" s="2"/>
      <c r="N22" s="2"/>
      <c r="O22" s="2"/>
      <c r="P22" s="2"/>
      <c r="Q22" s="2"/>
      <c r="R22" s="2"/>
      <c r="S22" s="2" t="s">
        <v>1615</v>
      </c>
      <c r="T22" s="2" t="s">
        <v>1616</v>
      </c>
      <c r="U22" s="2" t="s">
        <v>56</v>
      </c>
      <c r="V22" s="2" t="s">
        <v>145</v>
      </c>
      <c r="W22" s="2" t="s">
        <v>1617</v>
      </c>
      <c r="X22" s="2" t="s">
        <v>83</v>
      </c>
      <c r="Y22" s="2">
        <v>50.7</v>
      </c>
      <c r="Z22" s="2">
        <v>26.3</v>
      </c>
      <c r="AA22" s="2" t="s">
        <v>259</v>
      </c>
      <c r="AB22" s="2" t="s">
        <v>1618</v>
      </c>
      <c r="AC22" s="2">
        <v>1.5968036802263901</v>
      </c>
      <c r="AD22" s="2"/>
      <c r="AE22" s="2">
        <v>7.29160189509492</v>
      </c>
      <c r="AF22" s="2">
        <v>12046795.1792449</v>
      </c>
      <c r="AG22" s="2">
        <v>6845059.95709976</v>
      </c>
      <c r="AH22" s="5">
        <v>1.75992544327532</v>
      </c>
      <c r="AI22" s="5">
        <v>0.815514312444787</v>
      </c>
      <c r="AJ22" s="5" t="s">
        <v>139</v>
      </c>
      <c r="AK22" s="2">
        <v>0.55205313798720201</v>
      </c>
      <c r="AL22" s="2">
        <v>0.77264014149694005</v>
      </c>
      <c r="AM22" s="2">
        <v>311281.86173599801</v>
      </c>
      <c r="AN22" s="2">
        <v>171358.82455514299</v>
      </c>
      <c r="AO22" s="2">
        <v>32808538.032167301</v>
      </c>
      <c r="AP22" s="2">
        <v>834850.12446054001</v>
      </c>
      <c r="AQ22" s="2">
        <v>37596597.783620298</v>
      </c>
      <c r="AR22" s="2">
        <v>558144.44893018703</v>
      </c>
      <c r="AS22" s="2">
        <v>18501584.482153099</v>
      </c>
      <c r="AT22" s="2">
        <v>168030.65254589901</v>
      </c>
      <c r="AU22" s="2">
        <v>21487728.085598402</v>
      </c>
      <c r="AV22" s="2">
        <v>521547.46092168201</v>
      </c>
      <c r="AW22" s="2">
        <v>204060.15301149199</v>
      </c>
      <c r="AX22" s="2">
        <v>187408.908367984</v>
      </c>
    </row>
    <row r="23" spans="1:50" x14ac:dyDescent="0.25">
      <c r="A23" s="2" t="s">
        <v>1619</v>
      </c>
      <c r="B23" s="2">
        <v>544.34105155965403</v>
      </c>
      <c r="C23" s="2">
        <v>10.3920333333333</v>
      </c>
      <c r="D23" s="2" t="s">
        <v>51</v>
      </c>
      <c r="E23" s="2" t="s">
        <v>1620</v>
      </c>
      <c r="F23" s="2">
        <v>19889</v>
      </c>
      <c r="G23" s="3" t="str">
        <f>HYPERLINK("https://cloud.oebiotech.com/#/lm/network/19889", "https://cloud.oebiotech.com/#/lm/network/19889")</f>
        <v>https://cloud.oebiotech.com/#/lm/network/19889</v>
      </c>
      <c r="H23" s="2" t="s">
        <v>1621</v>
      </c>
      <c r="I23" s="2">
        <v>61706</v>
      </c>
      <c r="J23" s="2" t="s">
        <v>1622</v>
      </c>
      <c r="K23" s="2">
        <v>53480469</v>
      </c>
      <c r="L23" s="2" t="s">
        <v>691</v>
      </c>
      <c r="M23" s="2" t="s">
        <v>692</v>
      </c>
      <c r="N23" s="2" t="s">
        <v>693</v>
      </c>
      <c r="O23" s="2">
        <v>86259</v>
      </c>
      <c r="P23" s="2"/>
      <c r="Q23" s="2"/>
      <c r="R23" s="2"/>
      <c r="S23" s="2" t="s">
        <v>1623</v>
      </c>
      <c r="T23" s="2" t="s">
        <v>1624</v>
      </c>
      <c r="U23" s="2" t="s">
        <v>56</v>
      </c>
      <c r="V23" s="2" t="s">
        <v>57</v>
      </c>
      <c r="W23" s="2" t="s">
        <v>58</v>
      </c>
      <c r="X23" s="2" t="s">
        <v>69</v>
      </c>
      <c r="Y23" s="2">
        <v>61.8</v>
      </c>
      <c r="Z23" s="2">
        <v>78</v>
      </c>
      <c r="AA23" s="2" t="s">
        <v>106</v>
      </c>
      <c r="AB23" s="2" t="s">
        <v>1625</v>
      </c>
      <c r="AC23" s="2">
        <v>2.36605109834928</v>
      </c>
      <c r="AD23" s="2"/>
      <c r="AE23" s="2">
        <v>7.2365381622643197</v>
      </c>
      <c r="AF23" s="2">
        <v>10116704.369212899</v>
      </c>
      <c r="AG23" s="2">
        <v>12279170.571185499</v>
      </c>
      <c r="AH23" s="4">
        <v>0.82389150884122897</v>
      </c>
      <c r="AI23" s="4">
        <v>-0.27947372102455897</v>
      </c>
      <c r="AJ23" s="4" t="s">
        <v>62</v>
      </c>
      <c r="AK23" s="2">
        <v>0.29382940224557402</v>
      </c>
      <c r="AL23" s="2">
        <v>0.60634549190129605</v>
      </c>
      <c r="AM23" s="2">
        <v>12944380.307403799</v>
      </c>
      <c r="AN23" s="2">
        <v>10429134.9479353</v>
      </c>
      <c r="AO23" s="2">
        <v>8142179.40842456</v>
      </c>
      <c r="AP23" s="2">
        <v>11885479.0696675</v>
      </c>
      <c r="AQ23" s="2">
        <v>8174564.0072012497</v>
      </c>
      <c r="AR23" s="2">
        <v>9124488.4746448006</v>
      </c>
      <c r="AS23" s="2">
        <v>8364743.72310369</v>
      </c>
      <c r="AT23" s="2">
        <v>6441870.3197419802</v>
      </c>
      <c r="AU23" s="2">
        <v>10842907.385055101</v>
      </c>
      <c r="AV23" s="2">
        <v>15249242.8157789</v>
      </c>
      <c r="AW23" s="2">
        <v>16813567.951671299</v>
      </c>
      <c r="AX23" s="2">
        <v>15962691.231762299</v>
      </c>
    </row>
    <row r="24" spans="1:50" x14ac:dyDescent="0.25">
      <c r="A24" s="2" t="s">
        <v>1626</v>
      </c>
      <c r="B24" s="2">
        <v>546.35435800395896</v>
      </c>
      <c r="C24" s="2">
        <v>12.698066666666699</v>
      </c>
      <c r="D24" s="2" t="s">
        <v>51</v>
      </c>
      <c r="E24" s="2" t="s">
        <v>1627</v>
      </c>
      <c r="F24" s="2">
        <v>19534</v>
      </c>
      <c r="G24" s="3" t="str">
        <f>HYPERLINK("https://cloud.oebiotech.com/#/lm/network/19534", "https://cloud.oebiotech.com/#/lm/network/19534")</f>
        <v>https://cloud.oebiotech.com/#/lm/network/19534</v>
      </c>
      <c r="H24" s="2" t="s">
        <v>1628</v>
      </c>
      <c r="I24" s="2">
        <v>34488</v>
      </c>
      <c r="J24" s="2" t="s">
        <v>1629</v>
      </c>
      <c r="K24" s="2">
        <v>108156</v>
      </c>
      <c r="L24" s="2"/>
      <c r="M24" s="2"/>
      <c r="N24" s="2"/>
      <c r="O24" s="2">
        <v>44811</v>
      </c>
      <c r="P24" s="2"/>
      <c r="Q24" s="2"/>
      <c r="R24" s="2" t="s">
        <v>1630</v>
      </c>
      <c r="S24" s="2" t="s">
        <v>1631</v>
      </c>
      <c r="T24" s="2" t="s">
        <v>1632</v>
      </c>
      <c r="U24" s="2" t="s">
        <v>56</v>
      </c>
      <c r="V24" s="2" t="s">
        <v>57</v>
      </c>
      <c r="W24" s="2" t="s">
        <v>58</v>
      </c>
      <c r="X24" s="2" t="s">
        <v>59</v>
      </c>
      <c r="Y24" s="2">
        <v>58.3</v>
      </c>
      <c r="Z24" s="2">
        <v>96.3</v>
      </c>
      <c r="AA24" s="2" t="s">
        <v>95</v>
      </c>
      <c r="AB24" s="2" t="s">
        <v>1633</v>
      </c>
      <c r="AC24" s="2">
        <v>2.5749210872911901</v>
      </c>
      <c r="AD24" s="2"/>
      <c r="AE24" s="2">
        <v>6.7406748722131598</v>
      </c>
      <c r="AF24" s="2">
        <v>7039170.2558650896</v>
      </c>
      <c r="AG24" s="2">
        <v>10292435.4401653</v>
      </c>
      <c r="AH24" s="4">
        <v>0.68391687242412402</v>
      </c>
      <c r="AI24" s="4">
        <v>-0.54810711338667095</v>
      </c>
      <c r="AJ24" s="4" t="s">
        <v>62</v>
      </c>
      <c r="AK24" s="2">
        <v>0.31089608503016702</v>
      </c>
      <c r="AL24" s="2">
        <v>0.62015055657616003</v>
      </c>
      <c r="AM24" s="2">
        <v>13517414.3616965</v>
      </c>
      <c r="AN24" s="2">
        <v>10061697.2280048</v>
      </c>
      <c r="AO24" s="2">
        <v>5584820.1991065396</v>
      </c>
      <c r="AP24" s="2">
        <v>5197691.7419832097</v>
      </c>
      <c r="AQ24" s="2">
        <v>3538335.43468796</v>
      </c>
      <c r="AR24" s="2">
        <v>4335062.5697115501</v>
      </c>
      <c r="AS24" s="2">
        <v>2768241.3265785002</v>
      </c>
      <c r="AT24" s="2">
        <v>2508196.2692941702</v>
      </c>
      <c r="AU24" s="2">
        <v>12408788.408900499</v>
      </c>
      <c r="AV24" s="2">
        <v>14024561.160061</v>
      </c>
      <c r="AW24" s="2">
        <v>18350990.106644399</v>
      </c>
      <c r="AX24" s="2">
        <v>11693835.3695135</v>
      </c>
    </row>
    <row r="25" spans="1:50" x14ac:dyDescent="0.25">
      <c r="A25" s="2" t="s">
        <v>157</v>
      </c>
      <c r="B25" s="2">
        <v>747.51924287092299</v>
      </c>
      <c r="C25" s="2">
        <v>13.3257833333333</v>
      </c>
      <c r="D25" s="2" t="s">
        <v>51</v>
      </c>
      <c r="E25" s="2" t="s">
        <v>158</v>
      </c>
      <c r="F25" s="2">
        <v>23708</v>
      </c>
      <c r="G25" s="3" t="str">
        <f>HYPERLINK("https://cloud.oebiotech.com/#/lm/network/23708", "https://cloud.oebiotech.com/#/lm/network/23708")</f>
        <v>https://cloud.oebiotech.com/#/lm/network/23708</v>
      </c>
      <c r="H25" s="2"/>
      <c r="I25" s="2">
        <v>102833</v>
      </c>
      <c r="J25" s="2" t="s">
        <v>159</v>
      </c>
      <c r="K25" s="2">
        <v>56940667</v>
      </c>
      <c r="L25" s="2"/>
      <c r="M25" s="2"/>
      <c r="N25" s="2"/>
      <c r="O25" s="2"/>
      <c r="P25" s="2"/>
      <c r="Q25" s="2"/>
      <c r="R25" s="2"/>
      <c r="S25" s="2" t="s">
        <v>160</v>
      </c>
      <c r="T25" s="2" t="s">
        <v>161</v>
      </c>
      <c r="U25" s="2" t="s">
        <v>56</v>
      </c>
      <c r="V25" s="2" t="s">
        <v>57</v>
      </c>
      <c r="W25" s="2" t="s">
        <v>162</v>
      </c>
      <c r="X25" s="2" t="s">
        <v>83</v>
      </c>
      <c r="Y25" s="2">
        <v>44.3</v>
      </c>
      <c r="Z25" s="2">
        <v>12.6</v>
      </c>
      <c r="AA25" s="2" t="s">
        <v>163</v>
      </c>
      <c r="AB25" s="2" t="s">
        <v>164</v>
      </c>
      <c r="AC25" s="2">
        <v>1.44819117939298</v>
      </c>
      <c r="AD25" s="2"/>
      <c r="AE25" s="2">
        <v>6.4849366950826504</v>
      </c>
      <c r="AF25" s="2">
        <v>856609.61850815103</v>
      </c>
      <c r="AG25" s="2">
        <v>95562.453541669296</v>
      </c>
      <c r="AH25" s="5">
        <v>8.9638721774198906</v>
      </c>
      <c r="AI25" s="5">
        <v>3.1641220765237601</v>
      </c>
      <c r="AJ25" s="5" t="s">
        <v>139</v>
      </c>
      <c r="AK25" s="2">
        <v>1.8163260277763201E-5</v>
      </c>
      <c r="AL25" s="2">
        <v>1.5488881376670999E-2</v>
      </c>
      <c r="AM25" s="2">
        <v>1019312.0046603</v>
      </c>
      <c r="AN25" s="2">
        <v>985062.13414062699</v>
      </c>
      <c r="AO25" s="2">
        <v>1050592.4846456901</v>
      </c>
      <c r="AP25" s="2">
        <v>841411.75866804598</v>
      </c>
      <c r="AQ25" s="2">
        <v>729181.15699064499</v>
      </c>
      <c r="AR25" s="2">
        <v>514098.17194359598</v>
      </c>
      <c r="AS25" s="2">
        <v>346510.60943100299</v>
      </c>
      <c r="AT25" s="2">
        <v>118268.413667121</v>
      </c>
      <c r="AU25" s="2">
        <v>70868.4831124271</v>
      </c>
      <c r="AV25" s="2">
        <v>35379.370632143597</v>
      </c>
      <c r="AW25" s="2">
        <v>2182.6492889887299</v>
      </c>
      <c r="AX25" s="2">
        <v>165.19511833239599</v>
      </c>
    </row>
    <row r="26" spans="1:50" x14ac:dyDescent="0.25">
      <c r="A26" s="2" t="s">
        <v>165</v>
      </c>
      <c r="B26" s="2">
        <v>806.56856146260998</v>
      </c>
      <c r="C26" s="2">
        <v>13.5068</v>
      </c>
      <c r="D26" s="2" t="s">
        <v>51</v>
      </c>
      <c r="E26" s="2" t="s">
        <v>166</v>
      </c>
      <c r="F26" s="2">
        <v>242794</v>
      </c>
      <c r="G26" s="3" t="str">
        <f>HYPERLINK("https://cloud.oebiotech.com/#/lm/network/242794", "https://cloud.oebiotech.com/#/lm/network/242794")</f>
        <v>https://cloud.oebiotech.com/#/lm/network/242794</v>
      </c>
      <c r="H26" s="2" t="s">
        <v>167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 t="s">
        <v>168</v>
      </c>
      <c r="T26" s="2" t="s">
        <v>169</v>
      </c>
      <c r="U26" s="2" t="s">
        <v>56</v>
      </c>
      <c r="V26" s="2" t="s">
        <v>57</v>
      </c>
      <c r="W26" s="2" t="s">
        <v>58</v>
      </c>
      <c r="X26" s="2" t="s">
        <v>59</v>
      </c>
      <c r="Y26" s="2">
        <v>49.5</v>
      </c>
      <c r="Z26" s="2">
        <v>69.099999999999994</v>
      </c>
      <c r="AA26" s="2" t="s">
        <v>70</v>
      </c>
      <c r="AB26" s="2" t="s">
        <v>170</v>
      </c>
      <c r="AC26" s="2">
        <v>-1.0801478988916999</v>
      </c>
      <c r="AD26" s="2"/>
      <c r="AE26" s="2">
        <v>6.4288479274096204</v>
      </c>
      <c r="AF26" s="2">
        <v>1445690.7304279599</v>
      </c>
      <c r="AG26" s="2">
        <v>2363854.48776863</v>
      </c>
      <c r="AH26" s="4">
        <v>0.61158194715810299</v>
      </c>
      <c r="AI26" s="4">
        <v>-0.70938227342388505</v>
      </c>
      <c r="AJ26" s="4" t="s">
        <v>62</v>
      </c>
      <c r="AK26" s="2">
        <v>3.7269434421194098E-2</v>
      </c>
      <c r="AL26" s="2">
        <v>0.28190403059546099</v>
      </c>
      <c r="AM26" s="2">
        <v>278579.96900875401</v>
      </c>
      <c r="AN26" s="2">
        <v>909143.26303366898</v>
      </c>
      <c r="AO26" s="2">
        <v>1673164.40736269</v>
      </c>
      <c r="AP26" s="2">
        <v>1712717.78153531</v>
      </c>
      <c r="AQ26" s="2">
        <v>2354759.60362045</v>
      </c>
      <c r="AR26" s="2">
        <v>1745779.3580068799</v>
      </c>
      <c r="AS26" s="2">
        <v>1649283.05275792</v>
      </c>
      <c r="AT26" s="2">
        <v>1659420.64680222</v>
      </c>
      <c r="AU26" s="2">
        <v>2977300.5917167198</v>
      </c>
      <c r="AV26" s="2">
        <v>2538499.2430131999</v>
      </c>
      <c r="AW26" s="2">
        <v>2472091.3121794499</v>
      </c>
      <c r="AX26" s="2">
        <v>2886532.0801422698</v>
      </c>
    </row>
    <row r="27" spans="1:50" x14ac:dyDescent="0.25">
      <c r="A27" s="2" t="s">
        <v>171</v>
      </c>
      <c r="B27" s="2">
        <v>301.21708146432701</v>
      </c>
      <c r="C27" s="2">
        <v>9.6451499999999992</v>
      </c>
      <c r="D27" s="2" t="s">
        <v>51</v>
      </c>
      <c r="E27" s="2" t="s">
        <v>172</v>
      </c>
      <c r="F27" s="2">
        <v>62973</v>
      </c>
      <c r="G27" s="3" t="str">
        <f>HYPERLINK("https://cloud.oebiotech.com/#/lm/network/62973", "https://cloud.oebiotech.com/#/lm/network/62973")</f>
        <v>https://cloud.oebiotech.com/#/lm/network/62973</v>
      </c>
      <c r="H27" s="2" t="s">
        <v>173</v>
      </c>
      <c r="I27" s="2">
        <v>94271</v>
      </c>
      <c r="J27" s="2"/>
      <c r="K27" s="2">
        <v>288368</v>
      </c>
      <c r="L27" s="2"/>
      <c r="M27" s="2"/>
      <c r="N27" s="2"/>
      <c r="O27" s="2"/>
      <c r="P27" s="2"/>
      <c r="Q27" s="2"/>
      <c r="R27" s="2" t="s">
        <v>174</v>
      </c>
      <c r="S27" s="2" t="s">
        <v>175</v>
      </c>
      <c r="T27" s="2" t="s">
        <v>176</v>
      </c>
      <c r="U27" s="2" t="s">
        <v>56</v>
      </c>
      <c r="V27" s="2" t="s">
        <v>177</v>
      </c>
      <c r="W27" s="2" t="s">
        <v>178</v>
      </c>
      <c r="X27" s="2" t="s">
        <v>83</v>
      </c>
      <c r="Y27" s="2">
        <v>52.8</v>
      </c>
      <c r="Z27" s="2">
        <v>40.299999999999997</v>
      </c>
      <c r="AA27" s="2" t="s">
        <v>179</v>
      </c>
      <c r="AB27" s="2" t="s">
        <v>180</v>
      </c>
      <c r="AC27" s="2">
        <v>2.7493398783437701</v>
      </c>
      <c r="AD27" s="2"/>
      <c r="AE27" s="2">
        <v>6.4283777776367499</v>
      </c>
      <c r="AF27" s="2">
        <v>2317959.1628187401</v>
      </c>
      <c r="AG27" s="2">
        <v>1432367.3216510899</v>
      </c>
      <c r="AH27" s="5">
        <v>1.6182714641568601</v>
      </c>
      <c r="AI27" s="5">
        <v>0.69445363937625904</v>
      </c>
      <c r="AJ27" s="5" t="s">
        <v>139</v>
      </c>
      <c r="AK27" s="2">
        <v>1.2148525020227599E-2</v>
      </c>
      <c r="AL27" s="2">
        <v>0.17463872408012501</v>
      </c>
      <c r="AM27" s="2">
        <v>2802349.57752715</v>
      </c>
      <c r="AN27" s="2">
        <v>2555178.16004878</v>
      </c>
      <c r="AO27" s="2">
        <v>2051268.70872041</v>
      </c>
      <c r="AP27" s="2">
        <v>2458601.0673486101</v>
      </c>
      <c r="AQ27" s="2">
        <v>1791821.3440984101</v>
      </c>
      <c r="AR27" s="2">
        <v>2248536.1191690601</v>
      </c>
      <c r="AS27" s="2">
        <v>1979448.89494593</v>
      </c>
      <c r="AT27" s="2">
        <v>1353073.03930154</v>
      </c>
      <c r="AU27" s="2">
        <v>2266447.86176414</v>
      </c>
      <c r="AV27" s="2">
        <v>646972.39926564205</v>
      </c>
      <c r="AW27" s="2">
        <v>943820.69749197306</v>
      </c>
      <c r="AX27" s="2">
        <v>1404441.03713729</v>
      </c>
    </row>
    <row r="28" spans="1:50" x14ac:dyDescent="0.25">
      <c r="A28" s="2" t="s">
        <v>181</v>
      </c>
      <c r="B28" s="2">
        <v>335.22299108831299</v>
      </c>
      <c r="C28" s="2">
        <v>9.2548166666666702</v>
      </c>
      <c r="D28" s="2" t="s">
        <v>51</v>
      </c>
      <c r="E28" s="2" t="s">
        <v>182</v>
      </c>
      <c r="F28" s="2">
        <v>4019</v>
      </c>
      <c r="G28" s="3" t="str">
        <f>HYPERLINK("https://cloud.oebiotech.com/#/lm/network/4019", "https://cloud.oebiotech.com/#/lm/network/4019")</f>
        <v>https://cloud.oebiotech.com/#/lm/network/4019</v>
      </c>
      <c r="H28" s="2" t="s">
        <v>183</v>
      </c>
      <c r="I28" s="2">
        <v>61548</v>
      </c>
      <c r="J28" s="2" t="s">
        <v>184</v>
      </c>
      <c r="K28" s="2">
        <v>16061120</v>
      </c>
      <c r="L28" s="2"/>
      <c r="M28" s="2"/>
      <c r="N28" s="2"/>
      <c r="O28" s="2">
        <v>88349</v>
      </c>
      <c r="P28" s="2"/>
      <c r="Q28" s="2"/>
      <c r="R28" s="2"/>
      <c r="S28" s="2" t="s">
        <v>185</v>
      </c>
      <c r="T28" s="2" t="s">
        <v>186</v>
      </c>
      <c r="U28" s="2" t="s">
        <v>56</v>
      </c>
      <c r="V28" s="2" t="s">
        <v>145</v>
      </c>
      <c r="W28" s="2" t="s">
        <v>187</v>
      </c>
      <c r="X28" s="2" t="s">
        <v>69</v>
      </c>
      <c r="Y28" s="2">
        <v>62.2</v>
      </c>
      <c r="Z28" s="2">
        <v>49.5</v>
      </c>
      <c r="AA28" s="2" t="s">
        <v>163</v>
      </c>
      <c r="AB28" s="2" t="s">
        <v>188</v>
      </c>
      <c r="AC28" s="2">
        <v>0.61867113616052305</v>
      </c>
      <c r="AD28" s="2"/>
      <c r="AE28" s="2">
        <v>6.3021366213198604</v>
      </c>
      <c r="AF28" s="2">
        <v>1901739.6467221</v>
      </c>
      <c r="AG28" s="2">
        <v>1086215.8391819899</v>
      </c>
      <c r="AH28" s="5">
        <v>1.75079351462438</v>
      </c>
      <c r="AI28" s="5">
        <v>0.80800894499742504</v>
      </c>
      <c r="AJ28" s="5" t="s">
        <v>139</v>
      </c>
      <c r="AK28" s="2">
        <v>2.9141865017708302E-3</v>
      </c>
      <c r="AL28" s="2">
        <v>0.110133297462436</v>
      </c>
      <c r="AM28" s="2">
        <v>2159500.4222364998</v>
      </c>
      <c r="AN28" s="2">
        <v>2070249.7280488899</v>
      </c>
      <c r="AO28" s="2">
        <v>1793933.14729755</v>
      </c>
      <c r="AP28" s="2">
        <v>1708650.07180915</v>
      </c>
      <c r="AQ28" s="2">
        <v>1587107.72364993</v>
      </c>
      <c r="AR28" s="2">
        <v>2090996.7872905701</v>
      </c>
      <c r="AS28" s="2">
        <v>1723425.9625776201</v>
      </c>
      <c r="AT28" s="2">
        <v>952052.06728838896</v>
      </c>
      <c r="AU28" s="2">
        <v>1547059.09004924</v>
      </c>
      <c r="AV28" s="2">
        <v>546449.30233009404</v>
      </c>
      <c r="AW28" s="2">
        <v>807204.79315855203</v>
      </c>
      <c r="AX28" s="2">
        <v>941103.81968801795</v>
      </c>
    </row>
    <row r="29" spans="1:50" x14ac:dyDescent="0.25">
      <c r="A29" s="2" t="s">
        <v>1634</v>
      </c>
      <c r="B29" s="2">
        <v>332.14135949738699</v>
      </c>
      <c r="C29" s="2">
        <v>4.3002500000000001</v>
      </c>
      <c r="D29" s="2" t="s">
        <v>51</v>
      </c>
      <c r="E29" s="2" t="s">
        <v>1635</v>
      </c>
      <c r="F29" s="2">
        <v>52874</v>
      </c>
      <c r="G29" s="3" t="str">
        <f>HYPERLINK("https://cloud.oebiotech.com/#/lm/network/52874", "https://cloud.oebiotech.com/#/lm/network/52874")</f>
        <v>https://cloud.oebiotech.com/#/lm/network/52874</v>
      </c>
      <c r="H29" s="2" t="s">
        <v>1636</v>
      </c>
      <c r="I29" s="2">
        <v>1772</v>
      </c>
      <c r="J29" s="2"/>
      <c r="K29" s="2">
        <v>2764</v>
      </c>
      <c r="L29" s="2" t="s">
        <v>1637</v>
      </c>
      <c r="M29" s="2" t="s">
        <v>1638</v>
      </c>
      <c r="N29" s="2" t="s">
        <v>1639</v>
      </c>
      <c r="O29" s="2">
        <v>100241</v>
      </c>
      <c r="P29" s="2"/>
      <c r="Q29" s="2"/>
      <c r="R29" s="2" t="s">
        <v>1640</v>
      </c>
      <c r="S29" s="2" t="s">
        <v>1641</v>
      </c>
      <c r="T29" s="2" t="s">
        <v>1642</v>
      </c>
      <c r="U29" s="2" t="s">
        <v>266</v>
      </c>
      <c r="V29" s="2" t="s">
        <v>1393</v>
      </c>
      <c r="W29" s="2" t="s">
        <v>1643</v>
      </c>
      <c r="X29" s="2" t="s">
        <v>59</v>
      </c>
      <c r="Y29" s="2">
        <v>51.2</v>
      </c>
      <c r="Z29" s="2">
        <v>62.7</v>
      </c>
      <c r="AA29" s="2" t="s">
        <v>106</v>
      </c>
      <c r="AB29" s="2" t="s">
        <v>1644</v>
      </c>
      <c r="AC29" s="2">
        <v>2.60739483607043</v>
      </c>
      <c r="AD29" s="2"/>
      <c r="AE29" s="2">
        <v>5.9383727428822599</v>
      </c>
      <c r="AF29" s="2">
        <v>2826.9732050376201</v>
      </c>
      <c r="AG29" s="2">
        <v>1576134.8529578201</v>
      </c>
      <c r="AH29" s="4">
        <v>1.7936112507965E-3</v>
      </c>
      <c r="AI29" s="4">
        <v>-9.1229170517755307</v>
      </c>
      <c r="AJ29" s="4" t="s">
        <v>62</v>
      </c>
      <c r="AK29" s="2">
        <v>0.339480527285492</v>
      </c>
      <c r="AL29" s="2">
        <v>0.63815037094278604</v>
      </c>
      <c r="AM29" s="2">
        <v>495.40830409093002</v>
      </c>
      <c r="AN29" s="2">
        <v>640.84978454616396</v>
      </c>
      <c r="AO29" s="2">
        <v>843.22886803490701</v>
      </c>
      <c r="AP29" s="2">
        <v>962.51694889938403</v>
      </c>
      <c r="AQ29" s="2">
        <v>12645.2047176285</v>
      </c>
      <c r="AR29" s="2">
        <v>1374.6306070258299</v>
      </c>
      <c r="AS29" s="2">
        <v>970.39487551073898</v>
      </c>
      <c r="AT29" s="2">
        <v>2039.0449800291301</v>
      </c>
      <c r="AU29" s="2">
        <v>10010.1647947196</v>
      </c>
      <c r="AV29" s="2">
        <v>9418567.2126317695</v>
      </c>
      <c r="AW29" s="2">
        <v>23033.208979794101</v>
      </c>
      <c r="AX29" s="2">
        <v>2189.0914850731201</v>
      </c>
    </row>
    <row r="30" spans="1:50" x14ac:dyDescent="0.25">
      <c r="A30" s="2" t="s">
        <v>189</v>
      </c>
      <c r="B30" s="2">
        <v>482.325759760636</v>
      </c>
      <c r="C30" s="2">
        <v>11.5544166666667</v>
      </c>
      <c r="D30" s="2" t="s">
        <v>51</v>
      </c>
      <c r="E30" s="2" t="s">
        <v>190</v>
      </c>
      <c r="F30" s="2">
        <v>21163</v>
      </c>
      <c r="G30" s="3" t="str">
        <f>HYPERLINK("https://cloud.oebiotech.com/#/lm/network/21163", "https://cloud.oebiotech.com/#/lm/network/21163")</f>
        <v>https://cloud.oebiotech.com/#/lm/network/21163</v>
      </c>
      <c r="H30" s="2" t="s">
        <v>191</v>
      </c>
      <c r="I30" s="2">
        <v>40775</v>
      </c>
      <c r="J30" s="2" t="s">
        <v>192</v>
      </c>
      <c r="K30" s="2">
        <v>9547068</v>
      </c>
      <c r="L30" s="2"/>
      <c r="M30" s="2"/>
      <c r="N30" s="2"/>
      <c r="O30" s="2">
        <v>75036</v>
      </c>
      <c r="P30" s="2"/>
      <c r="Q30" s="2"/>
      <c r="R30" s="2" t="s">
        <v>193</v>
      </c>
      <c r="S30" s="2" t="s">
        <v>194</v>
      </c>
      <c r="T30" s="2" t="s">
        <v>195</v>
      </c>
      <c r="U30" s="2" t="s">
        <v>56</v>
      </c>
      <c r="V30" s="2" t="s">
        <v>57</v>
      </c>
      <c r="W30" s="2" t="s">
        <v>155</v>
      </c>
      <c r="X30" s="2" t="s">
        <v>69</v>
      </c>
      <c r="Y30" s="2">
        <v>65.8</v>
      </c>
      <c r="Z30" s="2">
        <v>95.4</v>
      </c>
      <c r="AA30" s="2" t="s">
        <v>196</v>
      </c>
      <c r="AB30" s="2" t="s">
        <v>197</v>
      </c>
      <c r="AC30" s="2">
        <v>3.4152504574695799</v>
      </c>
      <c r="AD30" s="2"/>
      <c r="AE30" s="2">
        <v>5.8623430755286803</v>
      </c>
      <c r="AF30" s="2">
        <v>1595884.69371817</v>
      </c>
      <c r="AG30" s="2">
        <v>2989041.3147024498</v>
      </c>
      <c r="AH30" s="4">
        <v>0.53391188869432904</v>
      </c>
      <c r="AI30" s="4">
        <v>-0.90532642082520998</v>
      </c>
      <c r="AJ30" s="4" t="s">
        <v>62</v>
      </c>
      <c r="AK30" s="2">
        <v>4.8209824410658499E-2</v>
      </c>
      <c r="AL30" s="2">
        <v>0.30691247078395001</v>
      </c>
      <c r="AM30" s="2">
        <v>2977684.0000169999</v>
      </c>
      <c r="AN30" s="2">
        <v>1875614.2126795901</v>
      </c>
      <c r="AO30" s="2">
        <v>1413478.3530256101</v>
      </c>
      <c r="AP30" s="2">
        <v>1211255.8888240501</v>
      </c>
      <c r="AQ30" s="2">
        <v>1151414.0827357899</v>
      </c>
      <c r="AR30" s="2">
        <v>945861.62502695597</v>
      </c>
      <c r="AS30" s="2">
        <v>1000314.1061904799</v>
      </c>
      <c r="AT30" s="2">
        <v>1830950.20597021</v>
      </c>
      <c r="AU30" s="2">
        <v>4561273.87421453</v>
      </c>
      <c r="AV30" s="2">
        <v>3693566.8145667198</v>
      </c>
      <c r="AW30" s="2">
        <v>3615665.4670969401</v>
      </c>
      <c r="AX30" s="2">
        <v>3232477.4201758401</v>
      </c>
    </row>
    <row r="31" spans="1:50" x14ac:dyDescent="0.25">
      <c r="A31" s="2" t="s">
        <v>198</v>
      </c>
      <c r="B31" s="2">
        <v>319.22776852510799</v>
      </c>
      <c r="C31" s="2">
        <v>10.9866666666667</v>
      </c>
      <c r="D31" s="2" t="s">
        <v>51</v>
      </c>
      <c r="E31" s="2" t="s">
        <v>199</v>
      </c>
      <c r="F31" s="2">
        <v>206442</v>
      </c>
      <c r="G31" s="3" t="str">
        <f>HYPERLINK("https://cloud.oebiotech.com/#/lm/network/206442", "https://cloud.oebiotech.com/#/lm/network/206442")</f>
        <v>https://cloud.oebiotech.com/#/lm/network/206442</v>
      </c>
      <c r="H31" s="2" t="s">
        <v>200</v>
      </c>
      <c r="I31" s="2"/>
      <c r="J31" s="2"/>
      <c r="K31" s="2">
        <v>129627825</v>
      </c>
      <c r="L31" s="2"/>
      <c r="M31" s="2"/>
      <c r="N31" s="2"/>
      <c r="O31" s="2"/>
      <c r="P31" s="2"/>
      <c r="Q31" s="2"/>
      <c r="R31" s="2"/>
      <c r="S31" s="2" t="s">
        <v>201</v>
      </c>
      <c r="T31" s="2" t="s">
        <v>202</v>
      </c>
      <c r="U31" s="2" t="s">
        <v>56</v>
      </c>
      <c r="V31" s="2" t="s">
        <v>145</v>
      </c>
      <c r="W31" s="2" t="s">
        <v>203</v>
      </c>
      <c r="X31" s="2" t="s">
        <v>69</v>
      </c>
      <c r="Y31" s="2">
        <v>62.2</v>
      </c>
      <c r="Z31" s="2">
        <v>71.7</v>
      </c>
      <c r="AA31" s="2" t="s">
        <v>204</v>
      </c>
      <c r="AB31" s="2" t="s">
        <v>205</v>
      </c>
      <c r="AC31" s="2">
        <v>-0.31204511171732602</v>
      </c>
      <c r="AD31" s="2"/>
      <c r="AE31" s="2">
        <v>5.6765228780426797</v>
      </c>
      <c r="AF31" s="2">
        <v>4398797.06276563</v>
      </c>
      <c r="AG31" s="2">
        <v>3419673.0701591298</v>
      </c>
      <c r="AH31" s="5">
        <v>1.2863209355159</v>
      </c>
      <c r="AI31" s="5">
        <v>0.36325063824281001</v>
      </c>
      <c r="AJ31" s="5" t="s">
        <v>139</v>
      </c>
      <c r="AK31" s="2">
        <v>4.5116158621914197E-2</v>
      </c>
      <c r="AL31" s="2">
        <v>0.30146105023562703</v>
      </c>
      <c r="AM31" s="2">
        <v>4478327.1607238296</v>
      </c>
      <c r="AN31" s="2">
        <v>4464431.5273203701</v>
      </c>
      <c r="AO31" s="2">
        <v>4105866.1517807702</v>
      </c>
      <c r="AP31" s="2">
        <v>3789978.1752995299</v>
      </c>
      <c r="AQ31" s="2">
        <v>4477117.6951309303</v>
      </c>
      <c r="AR31" s="2">
        <v>5077061.6663383497</v>
      </c>
      <c r="AS31" s="2">
        <v>3338168.15114361</v>
      </c>
      <c r="AT31" s="2">
        <v>2281166.06364134</v>
      </c>
      <c r="AU31" s="2">
        <v>4749769.9114457797</v>
      </c>
      <c r="AV31" s="2">
        <v>3671950.6316677402</v>
      </c>
      <c r="AW31" s="2">
        <v>4061957.18131981</v>
      </c>
      <c r="AX31" s="2">
        <v>2415026.4817364998</v>
      </c>
    </row>
    <row r="32" spans="1:50" x14ac:dyDescent="0.25">
      <c r="A32" s="2" t="s">
        <v>206</v>
      </c>
      <c r="B32" s="2">
        <v>357.20570971803102</v>
      </c>
      <c r="C32" s="2">
        <v>9.5639333333333294</v>
      </c>
      <c r="D32" s="2" t="s">
        <v>51</v>
      </c>
      <c r="E32" s="2" t="s">
        <v>207</v>
      </c>
      <c r="F32" s="2">
        <v>4407</v>
      </c>
      <c r="G32" s="3" t="str">
        <f>HYPERLINK("https://cloud.oebiotech.com/#/lm/network/4407", "https://cloud.oebiotech.com/#/lm/network/4407")</f>
        <v>https://cloud.oebiotech.com/#/lm/network/4407</v>
      </c>
      <c r="H32" s="2"/>
      <c r="I32" s="2"/>
      <c r="J32" s="2" t="s">
        <v>208</v>
      </c>
      <c r="K32" s="2">
        <v>131840043</v>
      </c>
      <c r="L32" s="2"/>
      <c r="M32" s="2"/>
      <c r="N32" s="2"/>
      <c r="O32" s="2"/>
      <c r="P32" s="2"/>
      <c r="Q32" s="2"/>
      <c r="R32" s="2"/>
      <c r="S32" s="2" t="s">
        <v>209</v>
      </c>
      <c r="T32" s="2" t="s">
        <v>210</v>
      </c>
      <c r="U32" s="2" t="s">
        <v>56</v>
      </c>
      <c r="V32" s="2" t="s">
        <v>145</v>
      </c>
      <c r="W32" s="2" t="s">
        <v>146</v>
      </c>
      <c r="X32" s="2" t="s">
        <v>69</v>
      </c>
      <c r="Y32" s="2">
        <v>57.4</v>
      </c>
      <c r="Z32" s="2">
        <v>60.7</v>
      </c>
      <c r="AA32" s="2" t="s">
        <v>211</v>
      </c>
      <c r="AB32" s="2" t="s">
        <v>212</v>
      </c>
      <c r="AC32" s="2">
        <v>6.2223459912371704</v>
      </c>
      <c r="AD32" s="2"/>
      <c r="AE32" s="2">
        <v>5.6265185224042202</v>
      </c>
      <c r="AF32" s="2">
        <v>1228802.8433200701</v>
      </c>
      <c r="AG32" s="2">
        <v>598190.99197277799</v>
      </c>
      <c r="AH32" s="5">
        <v>2.0541981738434298</v>
      </c>
      <c r="AI32" s="5">
        <v>1.0385753689149899</v>
      </c>
      <c r="AJ32" s="5" t="s">
        <v>139</v>
      </c>
      <c r="AK32" s="2">
        <v>6.5113182324029904E-3</v>
      </c>
      <c r="AL32" s="2">
        <v>0.13578099011431899</v>
      </c>
      <c r="AM32" s="2">
        <v>1631888.7731852201</v>
      </c>
      <c r="AN32" s="2">
        <v>1745476.54586819</v>
      </c>
      <c r="AO32" s="2">
        <v>1070391.6471854399</v>
      </c>
      <c r="AP32" s="2">
        <v>932457.38066905702</v>
      </c>
      <c r="AQ32" s="2">
        <v>926896.28615418705</v>
      </c>
      <c r="AR32" s="2">
        <v>1065706.4268583299</v>
      </c>
      <c r="AS32" s="2">
        <v>1024799.95417564</v>
      </c>
      <c r="AT32" s="2">
        <v>483852.33709045098</v>
      </c>
      <c r="AU32" s="2">
        <v>754962.05258367001</v>
      </c>
      <c r="AV32" s="2">
        <v>262441.51058226399</v>
      </c>
      <c r="AW32" s="2">
        <v>440244.96234079002</v>
      </c>
      <c r="AX32" s="2">
        <v>622845.13506385195</v>
      </c>
    </row>
    <row r="33" spans="1:50" x14ac:dyDescent="0.25">
      <c r="A33" s="2" t="s">
        <v>1645</v>
      </c>
      <c r="B33" s="2">
        <v>564.33077455737202</v>
      </c>
      <c r="C33" s="2">
        <v>10.429866666666699</v>
      </c>
      <c r="D33" s="2" t="s">
        <v>51</v>
      </c>
      <c r="E33" s="2" t="s">
        <v>1646</v>
      </c>
      <c r="F33" s="2">
        <v>19839</v>
      </c>
      <c r="G33" s="3" t="str">
        <f>HYPERLINK("https://cloud.oebiotech.com/#/lm/network/19839", "https://cloud.oebiotech.com/#/lm/network/19839")</f>
        <v>https://cloud.oebiotech.com/#/lm/network/19839</v>
      </c>
      <c r="H33" s="2" t="s">
        <v>1647</v>
      </c>
      <c r="I33" s="2">
        <v>40301</v>
      </c>
      <c r="J33" s="2" t="s">
        <v>1648</v>
      </c>
      <c r="K33" s="2">
        <v>11005824</v>
      </c>
      <c r="L33" s="2"/>
      <c r="M33" s="2"/>
      <c r="N33" s="2"/>
      <c r="O33" s="2">
        <v>28733</v>
      </c>
      <c r="P33" s="2"/>
      <c r="Q33" s="2"/>
      <c r="R33" s="2" t="s">
        <v>1649</v>
      </c>
      <c r="S33" s="2" t="s">
        <v>1650</v>
      </c>
      <c r="T33" s="2" t="s">
        <v>1651</v>
      </c>
      <c r="U33" s="2" t="s">
        <v>56</v>
      </c>
      <c r="V33" s="2" t="s">
        <v>57</v>
      </c>
      <c r="W33" s="2" t="s">
        <v>58</v>
      </c>
      <c r="X33" s="2" t="s">
        <v>69</v>
      </c>
      <c r="Y33" s="2">
        <v>68</v>
      </c>
      <c r="Z33" s="2">
        <v>99.8</v>
      </c>
      <c r="AA33" s="2" t="s">
        <v>218</v>
      </c>
      <c r="AB33" s="2" t="s">
        <v>71</v>
      </c>
      <c r="AC33" s="2">
        <v>0.158110948332886</v>
      </c>
      <c r="AD33" s="2"/>
      <c r="AE33" s="2">
        <v>5.4753743837027002</v>
      </c>
      <c r="AF33" s="2">
        <v>4233563.7898853403</v>
      </c>
      <c r="AG33" s="2">
        <v>5034857.1544078104</v>
      </c>
      <c r="AH33" s="4">
        <v>0.840850824571862</v>
      </c>
      <c r="AI33" s="4">
        <v>-0.25007822037590199</v>
      </c>
      <c r="AJ33" s="4" t="s">
        <v>62</v>
      </c>
      <c r="AK33" s="2">
        <v>6.6704898052075606E-2</v>
      </c>
      <c r="AL33" s="2">
        <v>0.34192828169447498</v>
      </c>
      <c r="AM33" s="2">
        <v>4020042.9526748601</v>
      </c>
      <c r="AN33" s="2">
        <v>4437300.15541445</v>
      </c>
      <c r="AO33" s="2">
        <v>4594537.0841632802</v>
      </c>
      <c r="AP33" s="2">
        <v>3991044.9551197202</v>
      </c>
      <c r="AQ33" s="2">
        <v>4074578.2549359198</v>
      </c>
      <c r="AR33" s="2">
        <v>4283879.3370038299</v>
      </c>
      <c r="AS33" s="2">
        <v>4475742.9922908098</v>
      </c>
      <c r="AT33" s="2">
        <v>3545976.2627591901</v>
      </c>
      <c r="AU33" s="2">
        <v>5173139.6374572804</v>
      </c>
      <c r="AV33" s="2">
        <v>6199486.9571370296</v>
      </c>
      <c r="AW33" s="2">
        <v>5587993.4850609498</v>
      </c>
      <c r="AX33" s="2">
        <v>5226803.5917415898</v>
      </c>
    </row>
    <row r="34" spans="1:50" x14ac:dyDescent="0.25">
      <c r="A34" s="2" t="s">
        <v>213</v>
      </c>
      <c r="B34" s="2">
        <v>858.55074047941605</v>
      </c>
      <c r="C34" s="2">
        <v>12.030433333333299</v>
      </c>
      <c r="D34" s="2" t="s">
        <v>51</v>
      </c>
      <c r="E34" s="2" t="s">
        <v>214</v>
      </c>
      <c r="F34" s="2">
        <v>239880</v>
      </c>
      <c r="G34" s="3" t="str">
        <f>HYPERLINK("https://cloud.oebiotech.com/#/lm/network/239880", "https://cloud.oebiotech.com/#/lm/network/239880")</f>
        <v>https://cloud.oebiotech.com/#/lm/network/239880</v>
      </c>
      <c r="H34" s="2" t="s">
        <v>215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 t="s">
        <v>216</v>
      </c>
      <c r="T34" s="2" t="s">
        <v>217</v>
      </c>
      <c r="U34" s="2" t="s">
        <v>56</v>
      </c>
      <c r="V34" s="2" t="s">
        <v>57</v>
      </c>
      <c r="W34" s="2" t="s">
        <v>58</v>
      </c>
      <c r="X34" s="2" t="s">
        <v>69</v>
      </c>
      <c r="Y34" s="2">
        <v>53.7</v>
      </c>
      <c r="Z34" s="2">
        <v>78.099999999999994</v>
      </c>
      <c r="AA34" s="2" t="s">
        <v>218</v>
      </c>
      <c r="AB34" s="2" t="s">
        <v>219</v>
      </c>
      <c r="AC34" s="2">
        <v>0.67999762334351499</v>
      </c>
      <c r="AD34" s="2"/>
      <c r="AE34" s="2">
        <v>5.3753143812827204</v>
      </c>
      <c r="AF34" s="2">
        <v>1440279.0700787101</v>
      </c>
      <c r="AG34" s="2">
        <v>765790.35112468305</v>
      </c>
      <c r="AH34" s="5">
        <v>1.8807746375537799</v>
      </c>
      <c r="AI34" s="5">
        <v>0.91132698933852596</v>
      </c>
      <c r="AJ34" s="5" t="s">
        <v>139</v>
      </c>
      <c r="AK34" s="2">
        <v>2.78320705404706E-3</v>
      </c>
      <c r="AL34" s="2">
        <v>0.107999348234493</v>
      </c>
      <c r="AM34" s="2">
        <v>1288960.12494854</v>
      </c>
      <c r="AN34" s="2">
        <v>1646739.2397092499</v>
      </c>
      <c r="AO34" s="2">
        <v>1442758.06367315</v>
      </c>
      <c r="AP34" s="2">
        <v>1961621.3032191</v>
      </c>
      <c r="AQ34" s="2">
        <v>966569.29822220595</v>
      </c>
      <c r="AR34" s="2">
        <v>1335026.3906999901</v>
      </c>
      <c r="AS34" s="2">
        <v>985845.28904226504</v>
      </c>
      <c r="AT34" s="2">
        <v>1117089.45710997</v>
      </c>
      <c r="AU34" s="2">
        <v>683472.34438512195</v>
      </c>
      <c r="AV34" s="2">
        <v>646310.624535357</v>
      </c>
      <c r="AW34" s="2">
        <v>429308.64605658199</v>
      </c>
      <c r="AX34" s="2">
        <v>732715.74561880005</v>
      </c>
    </row>
    <row r="35" spans="1:50" x14ac:dyDescent="0.25">
      <c r="A35" s="2" t="s">
        <v>1652</v>
      </c>
      <c r="B35" s="2">
        <v>273.08027614386799</v>
      </c>
      <c r="C35" s="2">
        <v>5.7232000000000003</v>
      </c>
      <c r="D35" s="2" t="s">
        <v>51</v>
      </c>
      <c r="E35" s="2" t="s">
        <v>1653</v>
      </c>
      <c r="F35" s="2">
        <v>202911</v>
      </c>
      <c r="G35" s="3" t="str">
        <f>HYPERLINK("https://cloud.oebiotech.com/#/lm/network/202911", "https://cloud.oebiotech.com/#/lm/network/202911")</f>
        <v>https://cloud.oebiotech.com/#/lm/network/202911</v>
      </c>
      <c r="H35" s="2" t="s">
        <v>1654</v>
      </c>
      <c r="I35" s="2"/>
      <c r="J35" s="2"/>
      <c r="K35" s="2">
        <v>32733</v>
      </c>
      <c r="L35" s="2"/>
      <c r="M35" s="2"/>
      <c r="N35" s="2"/>
      <c r="O35" s="2"/>
      <c r="P35" s="2"/>
      <c r="Q35" s="2"/>
      <c r="R35" s="2"/>
      <c r="S35" s="2" t="s">
        <v>1655</v>
      </c>
      <c r="T35" s="2" t="s">
        <v>1656</v>
      </c>
      <c r="U35" s="2" t="s">
        <v>266</v>
      </c>
      <c r="V35" s="2" t="s">
        <v>1074</v>
      </c>
      <c r="W35" s="2" t="s">
        <v>240</v>
      </c>
      <c r="X35" s="2" t="s">
        <v>147</v>
      </c>
      <c r="Y35" s="2">
        <v>38.4</v>
      </c>
      <c r="Z35" s="2">
        <v>2.14</v>
      </c>
      <c r="AA35" s="2" t="s">
        <v>163</v>
      </c>
      <c r="AB35" s="2" t="s">
        <v>1657</v>
      </c>
      <c r="AC35" s="2">
        <v>-4.6682378931524804</v>
      </c>
      <c r="AD35" s="2"/>
      <c r="AE35" s="2">
        <v>5.3723496331423597</v>
      </c>
      <c r="AF35" s="2">
        <v>446972.42639701499</v>
      </c>
      <c r="AG35" s="2">
        <v>1356369.88489782</v>
      </c>
      <c r="AH35" s="4">
        <v>0.32953579357203699</v>
      </c>
      <c r="AI35" s="4">
        <v>-1.6014929182601201</v>
      </c>
      <c r="AJ35" s="4" t="s">
        <v>62</v>
      </c>
      <c r="AK35" s="2">
        <v>5.6274981085843098E-2</v>
      </c>
      <c r="AL35" s="2">
        <v>0.32510032444738302</v>
      </c>
      <c r="AM35" s="2">
        <v>688210.41984726896</v>
      </c>
      <c r="AN35" s="2">
        <v>170635.862204926</v>
      </c>
      <c r="AO35" s="2">
        <v>589576.58731656196</v>
      </c>
      <c r="AP35" s="2">
        <v>32564.488153590999</v>
      </c>
      <c r="AQ35" s="2">
        <v>446634.09257618297</v>
      </c>
      <c r="AR35" s="2">
        <v>754213.10828356002</v>
      </c>
      <c r="AS35" s="2">
        <v>450521.11554015102</v>
      </c>
      <c r="AT35" s="2">
        <v>597845.22847597406</v>
      </c>
      <c r="AU35" s="2">
        <v>1737094.78776495</v>
      </c>
      <c r="AV35" s="2">
        <v>1394525.68717198</v>
      </c>
      <c r="AW35" s="2">
        <v>3116500.71146067</v>
      </c>
      <c r="AX35" s="2">
        <v>841731.77897317603</v>
      </c>
    </row>
    <row r="36" spans="1:50" x14ac:dyDescent="0.25">
      <c r="A36" s="2" t="s">
        <v>1658</v>
      </c>
      <c r="B36" s="2">
        <v>529.40175445469595</v>
      </c>
      <c r="C36" s="2">
        <v>4.42221666666667</v>
      </c>
      <c r="D36" s="2" t="s">
        <v>51</v>
      </c>
      <c r="E36" s="2" t="s">
        <v>1659</v>
      </c>
      <c r="F36" s="2">
        <v>44147</v>
      </c>
      <c r="G36" s="3" t="str">
        <f>HYPERLINK("https://cloud.oebiotech.com/#/lm/network/44147", "https://cloud.oebiotech.com/#/lm/network/44147")</f>
        <v>https://cloud.oebiotech.com/#/lm/network/44147</v>
      </c>
      <c r="H36" s="2"/>
      <c r="I36" s="2"/>
      <c r="J36" s="2" t="s">
        <v>1660</v>
      </c>
      <c r="K36" s="2"/>
      <c r="L36" s="2"/>
      <c r="M36" s="2"/>
      <c r="N36" s="2"/>
      <c r="O36" s="2"/>
      <c r="P36" s="2"/>
      <c r="Q36" s="2"/>
      <c r="R36" s="2"/>
      <c r="S36" s="2" t="s">
        <v>1661</v>
      </c>
      <c r="T36" s="2" t="s">
        <v>1662</v>
      </c>
      <c r="U36" s="2" t="s">
        <v>56</v>
      </c>
      <c r="V36" s="2" t="s">
        <v>283</v>
      </c>
      <c r="W36" s="2" t="s">
        <v>1663</v>
      </c>
      <c r="X36" s="2" t="s">
        <v>59</v>
      </c>
      <c r="Y36" s="2">
        <v>51.2</v>
      </c>
      <c r="Z36" s="2">
        <v>61.1</v>
      </c>
      <c r="AA36" s="2" t="s">
        <v>512</v>
      </c>
      <c r="AB36" s="2" t="s">
        <v>1664</v>
      </c>
      <c r="AC36" s="2">
        <v>3.4610624791536302</v>
      </c>
      <c r="AD36" s="2"/>
      <c r="AE36" s="2">
        <v>4.9965314406603003</v>
      </c>
      <c r="AF36" s="2">
        <v>14926.713974395099</v>
      </c>
      <c r="AG36" s="2">
        <v>1033959.81404618</v>
      </c>
      <c r="AH36" s="4">
        <v>1.4436454658699501E-2</v>
      </c>
      <c r="AI36" s="4">
        <v>-6.11413970477399</v>
      </c>
      <c r="AJ36" s="4" t="s">
        <v>62</v>
      </c>
      <c r="AK36" s="2">
        <v>9.6747101564110094E-2</v>
      </c>
      <c r="AL36" s="2">
        <v>0.39679744436488601</v>
      </c>
      <c r="AM36" s="2">
        <v>8625.9237495095695</v>
      </c>
      <c r="AN36" s="2">
        <v>5600.0099759904297</v>
      </c>
      <c r="AO36" s="2">
        <v>23637.072794563301</v>
      </c>
      <c r="AP36" s="2">
        <v>7434.4915436728998</v>
      </c>
      <c r="AQ36" s="2">
        <v>19187.813800201799</v>
      </c>
      <c r="AR36" s="2">
        <v>25074.9719824323</v>
      </c>
      <c r="AS36" s="2">
        <v>6683.8110964636098</v>
      </c>
      <c r="AT36" s="2">
        <v>31455.204456864802</v>
      </c>
      <c r="AU36" s="2">
        <v>3356481.21444614</v>
      </c>
      <c r="AV36" s="2">
        <v>896341.71805518004</v>
      </c>
      <c r="AW36" s="2">
        <v>1902238.30815146</v>
      </c>
      <c r="AX36" s="2">
        <v>10558.628070980099</v>
      </c>
    </row>
    <row r="37" spans="1:50" x14ac:dyDescent="0.25">
      <c r="A37" s="2" t="s">
        <v>1665</v>
      </c>
      <c r="B37" s="2">
        <v>280.26422955878002</v>
      </c>
      <c r="C37" s="2">
        <v>10.37285</v>
      </c>
      <c r="D37" s="2" t="s">
        <v>51</v>
      </c>
      <c r="E37" s="2" t="s">
        <v>1666</v>
      </c>
      <c r="F37" s="2">
        <v>551140</v>
      </c>
      <c r="G37" s="3" t="str">
        <f>HYPERLINK("https://cloud.oebiotech.com/#/lm/network/551140", "https://cloud.oebiotech.com/#/lm/network/551140")</f>
        <v>https://cloud.oebiotech.com/#/lm/network/551140</v>
      </c>
      <c r="H37" s="2"/>
      <c r="I37" s="2">
        <v>265036</v>
      </c>
      <c r="J37" s="2"/>
      <c r="K37" s="2"/>
      <c r="L37" s="2"/>
      <c r="M37" s="2"/>
      <c r="N37" s="2"/>
      <c r="O37" s="2"/>
      <c r="P37" s="2"/>
      <c r="Q37" s="2"/>
      <c r="R37" s="2"/>
      <c r="S37" s="2" t="s">
        <v>1667</v>
      </c>
      <c r="T37" s="2" t="s">
        <v>1668</v>
      </c>
      <c r="U37" s="2" t="s">
        <v>56</v>
      </c>
      <c r="V37" s="2" t="s">
        <v>177</v>
      </c>
      <c r="W37" s="2" t="s">
        <v>178</v>
      </c>
      <c r="X37" s="2" t="s">
        <v>59</v>
      </c>
      <c r="Y37" s="2">
        <v>54.8</v>
      </c>
      <c r="Z37" s="2">
        <v>79.5</v>
      </c>
      <c r="AA37" s="2" t="s">
        <v>1544</v>
      </c>
      <c r="AB37" s="2" t="s">
        <v>1669</v>
      </c>
      <c r="AC37" s="2">
        <v>2.81603196263594</v>
      </c>
      <c r="AD37" s="2"/>
      <c r="AE37" s="2">
        <v>4.8297444304095398</v>
      </c>
      <c r="AF37" s="2">
        <v>1601177.9101456101</v>
      </c>
      <c r="AG37" s="2">
        <v>285845.085201248</v>
      </c>
      <c r="AH37" s="5">
        <v>5.60155830217722</v>
      </c>
      <c r="AI37" s="5">
        <v>2.4858282275427901</v>
      </c>
      <c r="AJ37" s="5" t="s">
        <v>139</v>
      </c>
      <c r="AK37" s="2">
        <v>0.24023936370056401</v>
      </c>
      <c r="AL37" s="2">
        <v>0.56463581304765598</v>
      </c>
      <c r="AM37" s="2">
        <v>62651.333192014601</v>
      </c>
      <c r="AN37" s="2">
        <v>11450.4268157058</v>
      </c>
      <c r="AO37" s="2">
        <v>3313878.1406444702</v>
      </c>
      <c r="AP37" s="2">
        <v>20058.603204123901</v>
      </c>
      <c r="AQ37" s="2">
        <v>6066597.4190224903</v>
      </c>
      <c r="AR37" s="2">
        <v>132431.537994838</v>
      </c>
      <c r="AS37" s="2">
        <v>930450.09639608301</v>
      </c>
      <c r="AT37" s="2">
        <v>18065.9855870145</v>
      </c>
      <c r="AU37" s="2">
        <v>698441.62583776203</v>
      </c>
      <c r="AV37" s="2">
        <v>43809.660146506598</v>
      </c>
      <c r="AW37" s="2">
        <v>8426.3315392859895</v>
      </c>
      <c r="AX37" s="2">
        <v>15876.8117008383</v>
      </c>
    </row>
    <row r="38" spans="1:50" x14ac:dyDescent="0.25">
      <c r="A38" s="2" t="s">
        <v>220</v>
      </c>
      <c r="B38" s="2">
        <v>638.40408940269901</v>
      </c>
      <c r="C38" s="2">
        <v>12.352033333333299</v>
      </c>
      <c r="D38" s="2" t="s">
        <v>51</v>
      </c>
      <c r="E38" s="2" t="s">
        <v>221</v>
      </c>
      <c r="F38" s="2">
        <v>21280</v>
      </c>
      <c r="G38" s="3" t="str">
        <f>HYPERLINK("https://cloud.oebiotech.com/#/lm/network/21280", "https://cloud.oebiotech.com/#/lm/network/21280")</f>
        <v>https://cloud.oebiotech.com/#/lm/network/21280</v>
      </c>
      <c r="H38" s="2"/>
      <c r="I38" s="2">
        <v>3870</v>
      </c>
      <c r="J38" s="2" t="s">
        <v>222</v>
      </c>
      <c r="K38" s="2">
        <v>3246981</v>
      </c>
      <c r="L38" s="2"/>
      <c r="M38" s="2"/>
      <c r="N38" s="2"/>
      <c r="O38" s="2"/>
      <c r="P38" s="2"/>
      <c r="Q38" s="2"/>
      <c r="R38" s="2"/>
      <c r="S38" s="2" t="s">
        <v>223</v>
      </c>
      <c r="T38" s="2" t="s">
        <v>224</v>
      </c>
      <c r="U38" s="2" t="s">
        <v>56</v>
      </c>
      <c r="V38" s="2" t="s">
        <v>57</v>
      </c>
      <c r="W38" s="2" t="s">
        <v>82</v>
      </c>
      <c r="X38" s="2" t="s">
        <v>59</v>
      </c>
      <c r="Y38" s="2">
        <v>50.9</v>
      </c>
      <c r="Z38" s="2">
        <v>61.4</v>
      </c>
      <c r="AA38" s="2" t="s">
        <v>60</v>
      </c>
      <c r="AB38" s="2" t="s">
        <v>225</v>
      </c>
      <c r="AC38" s="2">
        <v>2.0853867535762101</v>
      </c>
      <c r="AD38" s="2"/>
      <c r="AE38" s="2">
        <v>4.7117107381960697</v>
      </c>
      <c r="AF38" s="2">
        <v>822236.59603454603</v>
      </c>
      <c r="AG38" s="2">
        <v>290340.14971755003</v>
      </c>
      <c r="AH38" s="5">
        <v>2.8319768961834502</v>
      </c>
      <c r="AI38" s="5">
        <v>1.5018094956830801</v>
      </c>
      <c r="AJ38" s="5" t="s">
        <v>139</v>
      </c>
      <c r="AK38" s="2">
        <v>2.6544807146901599E-2</v>
      </c>
      <c r="AL38" s="2">
        <v>0.25135011169243199</v>
      </c>
      <c r="AM38" s="2">
        <v>912072.75639619399</v>
      </c>
      <c r="AN38" s="2">
        <v>1715183.2588136999</v>
      </c>
      <c r="AO38" s="2">
        <v>499225.02224806201</v>
      </c>
      <c r="AP38" s="2">
        <v>608863.401189239</v>
      </c>
      <c r="AQ38" s="2">
        <v>341516.708925994</v>
      </c>
      <c r="AR38" s="2">
        <v>856558.42863408499</v>
      </c>
      <c r="AS38" s="2">
        <v>315014.44187423302</v>
      </c>
      <c r="AT38" s="2">
        <v>216170.99286197199</v>
      </c>
      <c r="AU38" s="2">
        <v>378742.466500804</v>
      </c>
      <c r="AV38" s="2">
        <v>142156.02747301999</v>
      </c>
      <c r="AW38" s="2">
        <v>228242.71892638001</v>
      </c>
      <c r="AX38" s="2">
        <v>461714.25066889002</v>
      </c>
    </row>
    <row r="39" spans="1:50" x14ac:dyDescent="0.25">
      <c r="A39" s="2" t="s">
        <v>1670</v>
      </c>
      <c r="B39" s="2">
        <v>319.24130000000002</v>
      </c>
      <c r="C39" s="2">
        <v>19.510999999999999</v>
      </c>
      <c r="D39" s="2" t="s">
        <v>125</v>
      </c>
      <c r="E39" s="2" t="s">
        <v>1671</v>
      </c>
      <c r="F39" s="2">
        <v>257422</v>
      </c>
      <c r="G39" s="3" t="str">
        <f>HYPERLINK("https://cloud.oebiotech.com/#/lm/network/257422", "https://cloud.oebiotech.com/#/lm/network/257422")</f>
        <v>https://cloud.oebiotech.com/#/lm/network/257422</v>
      </c>
      <c r="H39" s="2" t="s">
        <v>1672</v>
      </c>
      <c r="I39" s="2"/>
      <c r="J39" s="2"/>
      <c r="K39" s="2">
        <v>5793</v>
      </c>
      <c r="L39" s="2" t="s">
        <v>1673</v>
      </c>
      <c r="M39" s="2" t="s">
        <v>1674</v>
      </c>
      <c r="N39" s="2" t="s">
        <v>1675</v>
      </c>
      <c r="O39" s="2">
        <v>4167</v>
      </c>
      <c r="P39" s="2"/>
      <c r="Q39" s="2"/>
      <c r="R39" s="2"/>
      <c r="S39" s="2" t="s">
        <v>1676</v>
      </c>
      <c r="T39" s="2" t="s">
        <v>1677</v>
      </c>
      <c r="U39" s="2" t="s">
        <v>331</v>
      </c>
      <c r="V39" s="2" t="s">
        <v>332</v>
      </c>
      <c r="W39" s="2" t="s">
        <v>333</v>
      </c>
      <c r="X39" s="2" t="s">
        <v>69</v>
      </c>
      <c r="Y39" s="2">
        <v>93.8</v>
      </c>
      <c r="Z39" s="2">
        <v>92</v>
      </c>
      <c r="AA39" s="2"/>
      <c r="AB39" s="2" t="s">
        <v>1085</v>
      </c>
      <c r="AC39" s="2"/>
      <c r="AD39" s="2">
        <v>654541.55804087897</v>
      </c>
      <c r="AE39" s="2">
        <v>4.6668880854302701</v>
      </c>
      <c r="AF39" s="2">
        <v>26371500.888557199</v>
      </c>
      <c r="AG39" s="2">
        <v>33945300.562179402</v>
      </c>
      <c r="AH39" s="4">
        <v>0.77688223264516698</v>
      </c>
      <c r="AI39" s="4">
        <v>-0.36423217740736502</v>
      </c>
      <c r="AJ39" s="4" t="s">
        <v>62</v>
      </c>
      <c r="AK39" s="2">
        <v>0.109716059069409</v>
      </c>
      <c r="AL39" s="2">
        <v>0.42215440226512202</v>
      </c>
      <c r="AM39" s="2">
        <v>29374039.452514399</v>
      </c>
      <c r="AN39" s="2">
        <v>29150519.772198498</v>
      </c>
      <c r="AO39" s="2">
        <v>25876832.442814998</v>
      </c>
      <c r="AP39" s="2">
        <v>18009901.296843901</v>
      </c>
      <c r="AQ39" s="2">
        <v>15198834.1188848</v>
      </c>
      <c r="AR39" s="2">
        <v>40618878.2480864</v>
      </c>
      <c r="AS39" s="2">
        <v>42814963.812251203</v>
      </c>
      <c r="AT39" s="2">
        <v>34318288.415290996</v>
      </c>
      <c r="AU39" s="2">
        <v>34739913.7839747</v>
      </c>
      <c r="AV39" s="2">
        <v>33947528.5276381</v>
      </c>
      <c r="AW39" s="2">
        <v>26288651.0392632</v>
      </c>
      <c r="AX39" s="2">
        <v>31562457.794658098</v>
      </c>
    </row>
    <row r="40" spans="1:50" x14ac:dyDescent="0.25">
      <c r="A40" s="2" t="s">
        <v>1678</v>
      </c>
      <c r="B40" s="2">
        <v>510.35704272307601</v>
      </c>
      <c r="C40" s="2">
        <v>11.493266666666701</v>
      </c>
      <c r="D40" s="2" t="s">
        <v>51</v>
      </c>
      <c r="E40" s="2" t="s">
        <v>1679</v>
      </c>
      <c r="F40" s="2">
        <v>19912</v>
      </c>
      <c r="G40" s="3" t="str">
        <f>HYPERLINK("https://cloud.oebiotech.com/#/lm/network/19912", "https://cloud.oebiotech.com/#/lm/network/19912")</f>
        <v>https://cloud.oebiotech.com/#/lm/network/19912</v>
      </c>
      <c r="H40" s="2"/>
      <c r="I40" s="2"/>
      <c r="J40" s="2" t="s">
        <v>1680</v>
      </c>
      <c r="K40" s="2">
        <v>10553718</v>
      </c>
      <c r="L40" s="2"/>
      <c r="M40" s="2"/>
      <c r="N40" s="2"/>
      <c r="O40" s="2"/>
      <c r="P40" s="2"/>
      <c r="Q40" s="2"/>
      <c r="R40" s="2"/>
      <c r="S40" s="2" t="s">
        <v>1681</v>
      </c>
      <c r="T40" s="2" t="s">
        <v>1682</v>
      </c>
      <c r="U40" s="2" t="s">
        <v>56</v>
      </c>
      <c r="V40" s="2" t="s">
        <v>57</v>
      </c>
      <c r="W40" s="2" t="s">
        <v>58</v>
      </c>
      <c r="X40" s="2" t="s">
        <v>59</v>
      </c>
      <c r="Y40" s="2">
        <v>57.8</v>
      </c>
      <c r="Z40" s="2">
        <v>94.5</v>
      </c>
      <c r="AA40" s="2" t="s">
        <v>60</v>
      </c>
      <c r="AB40" s="2" t="s">
        <v>1683</v>
      </c>
      <c r="AC40" s="2">
        <v>3.1935950867706202</v>
      </c>
      <c r="AD40" s="2"/>
      <c r="AE40" s="2">
        <v>4.6526943571725496</v>
      </c>
      <c r="AF40" s="2">
        <v>3210506.0424941601</v>
      </c>
      <c r="AG40" s="2">
        <v>4506258.3194432398</v>
      </c>
      <c r="AH40" s="4">
        <v>0.71245494929612196</v>
      </c>
      <c r="AI40" s="4">
        <v>-0.48912930385515102</v>
      </c>
      <c r="AJ40" s="4" t="s">
        <v>62</v>
      </c>
      <c r="AK40" s="2">
        <v>0.24650212449669501</v>
      </c>
      <c r="AL40" s="2">
        <v>0.57119796911972998</v>
      </c>
      <c r="AM40" s="2">
        <v>5004352.6248244103</v>
      </c>
      <c r="AN40" s="2">
        <v>3357970.6469754698</v>
      </c>
      <c r="AO40" s="2">
        <v>3025831.7697242401</v>
      </c>
      <c r="AP40" s="2">
        <v>2272428.4470884399</v>
      </c>
      <c r="AQ40" s="2">
        <v>3136033.4453583099</v>
      </c>
      <c r="AR40" s="2">
        <v>2466419.3209941001</v>
      </c>
      <c r="AS40" s="2">
        <v>1777784.8434675999</v>
      </c>
      <c r="AT40" s="2">
        <v>1476121.06045438</v>
      </c>
      <c r="AU40" s="2">
        <v>6570320.1458512703</v>
      </c>
      <c r="AV40" s="2">
        <v>6150015.0653969496</v>
      </c>
      <c r="AW40" s="2">
        <v>6722565.78116435</v>
      </c>
      <c r="AX40" s="2">
        <v>4340743.0203248896</v>
      </c>
    </row>
    <row r="41" spans="1:50" x14ac:dyDescent="0.25">
      <c r="A41" s="2" t="s">
        <v>1684</v>
      </c>
      <c r="B41" s="2">
        <v>480.34622318164202</v>
      </c>
      <c r="C41" s="2">
        <v>11.187900000000001</v>
      </c>
      <c r="D41" s="2" t="s">
        <v>51</v>
      </c>
      <c r="E41" s="2" t="s">
        <v>1685</v>
      </c>
      <c r="F41" s="2">
        <v>19905</v>
      </c>
      <c r="G41" s="3" t="str">
        <f>HYPERLINK("https://cloud.oebiotech.com/#/lm/network/19905", "https://cloud.oebiotech.com/#/lm/network/19905")</f>
        <v>https://cloud.oebiotech.com/#/lm/network/19905</v>
      </c>
      <c r="H41" s="2"/>
      <c r="I41" s="2">
        <v>76579</v>
      </c>
      <c r="J41" s="2" t="s">
        <v>1686</v>
      </c>
      <c r="K41" s="2">
        <v>24779503</v>
      </c>
      <c r="L41" s="2"/>
      <c r="M41" s="2"/>
      <c r="N41" s="2"/>
      <c r="O41" s="2"/>
      <c r="P41" s="2"/>
      <c r="Q41" s="2"/>
      <c r="R41" s="2"/>
      <c r="S41" s="2" t="s">
        <v>1687</v>
      </c>
      <c r="T41" s="2" t="s">
        <v>1688</v>
      </c>
      <c r="U41" s="2" t="s">
        <v>56</v>
      </c>
      <c r="V41" s="2" t="s">
        <v>57</v>
      </c>
      <c r="W41" s="2" t="s">
        <v>58</v>
      </c>
      <c r="X41" s="2" t="s">
        <v>59</v>
      </c>
      <c r="Y41" s="2">
        <v>51.7</v>
      </c>
      <c r="Z41" s="2">
        <v>63.4</v>
      </c>
      <c r="AA41" s="2" t="s">
        <v>60</v>
      </c>
      <c r="AB41" s="2" t="s">
        <v>1689</v>
      </c>
      <c r="AC41" s="2">
        <v>2.8618536363911198</v>
      </c>
      <c r="AD41" s="2"/>
      <c r="AE41" s="2">
        <v>4.6520494350660799</v>
      </c>
      <c r="AF41" s="2">
        <v>4747036.5662842495</v>
      </c>
      <c r="AG41" s="2">
        <v>5743492.9744849801</v>
      </c>
      <c r="AH41" s="4">
        <v>0.82650689874133898</v>
      </c>
      <c r="AI41" s="4">
        <v>-0.27490123333906502</v>
      </c>
      <c r="AJ41" s="4" t="s">
        <v>62</v>
      </c>
      <c r="AK41" s="2">
        <v>0.211713249944809</v>
      </c>
      <c r="AL41" s="2">
        <v>0.53706865589344099</v>
      </c>
      <c r="AM41" s="2">
        <v>5980830.4524851497</v>
      </c>
      <c r="AN41" s="2">
        <v>5826588.9688976696</v>
      </c>
      <c r="AO41" s="2">
        <v>3460847.4941480998</v>
      </c>
      <c r="AP41" s="2">
        <v>4282870.2814931097</v>
      </c>
      <c r="AQ41" s="2">
        <v>4190232.7139087501</v>
      </c>
      <c r="AR41" s="2">
        <v>4740849.48677273</v>
      </c>
      <c r="AS41" s="2">
        <v>5422511.9043702101</v>
      </c>
      <c r="AT41" s="2">
        <v>3106169.3434485099</v>
      </c>
      <c r="AU41" s="2">
        <v>6708142.3003182895</v>
      </c>
      <c r="AV41" s="2">
        <v>7060075.1470002905</v>
      </c>
      <c r="AW41" s="2">
        <v>7060257.3126276704</v>
      </c>
      <c r="AX41" s="2">
        <v>5103801.8391449396</v>
      </c>
    </row>
    <row r="42" spans="1:50" x14ac:dyDescent="0.25">
      <c r="A42" s="2" t="s">
        <v>1690</v>
      </c>
      <c r="B42" s="2">
        <v>540.33070979366596</v>
      </c>
      <c r="C42" s="2">
        <v>10.6243</v>
      </c>
      <c r="D42" s="2" t="s">
        <v>51</v>
      </c>
      <c r="E42" s="2" t="s">
        <v>1691</v>
      </c>
      <c r="F42" s="2">
        <v>19859</v>
      </c>
      <c r="G42" s="3" t="str">
        <f>HYPERLINK("https://cloud.oebiotech.com/#/lm/network/19859", "https://cloud.oebiotech.com/#/lm/network/19859")</f>
        <v>https://cloud.oebiotech.com/#/lm/network/19859</v>
      </c>
      <c r="H42" s="2" t="s">
        <v>1692</v>
      </c>
      <c r="I42" s="2">
        <v>40340</v>
      </c>
      <c r="J42" s="2" t="s">
        <v>1693</v>
      </c>
      <c r="K42" s="2">
        <v>15061532</v>
      </c>
      <c r="L42" s="2"/>
      <c r="M42" s="2"/>
      <c r="N42" s="2"/>
      <c r="O42" s="2">
        <v>76078</v>
      </c>
      <c r="P42" s="2"/>
      <c r="Q42" s="2"/>
      <c r="R42" s="2" t="s">
        <v>1694</v>
      </c>
      <c r="S42" s="2" t="s">
        <v>1695</v>
      </c>
      <c r="T42" s="2" t="s">
        <v>1696</v>
      </c>
      <c r="U42" s="2" t="s">
        <v>56</v>
      </c>
      <c r="V42" s="2" t="s">
        <v>57</v>
      </c>
      <c r="W42" s="2" t="s">
        <v>58</v>
      </c>
      <c r="X42" s="2" t="s">
        <v>69</v>
      </c>
      <c r="Y42" s="2">
        <v>77.400000000000006</v>
      </c>
      <c r="Z42" s="2">
        <v>99.6</v>
      </c>
      <c r="AA42" s="2" t="s">
        <v>218</v>
      </c>
      <c r="AB42" s="2" t="s">
        <v>1577</v>
      </c>
      <c r="AC42" s="2">
        <v>3.5023840208833701E-2</v>
      </c>
      <c r="AD42" s="2"/>
      <c r="AE42" s="2">
        <v>4.5579633264475197</v>
      </c>
      <c r="AF42" s="2">
        <v>6936786.6669975398</v>
      </c>
      <c r="AG42" s="2">
        <v>8252127.5251074098</v>
      </c>
      <c r="AH42" s="4">
        <v>0.84060584932698901</v>
      </c>
      <c r="AI42" s="4">
        <v>-0.25049859941855701</v>
      </c>
      <c r="AJ42" s="4" t="s">
        <v>62</v>
      </c>
      <c r="AK42" s="2">
        <v>0.36681296027990501</v>
      </c>
      <c r="AL42" s="2">
        <v>0.65124657451608803</v>
      </c>
      <c r="AM42" s="2">
        <v>10080532.343248</v>
      </c>
      <c r="AN42" s="2">
        <v>5940097.46718066</v>
      </c>
      <c r="AO42" s="2">
        <v>6396460.8492024997</v>
      </c>
      <c r="AP42" s="2">
        <v>6517247.4980431702</v>
      </c>
      <c r="AQ42" s="2">
        <v>5815930.8519692104</v>
      </c>
      <c r="AR42" s="2">
        <v>6870450.9923417</v>
      </c>
      <c r="AS42" s="2">
        <v>5255404.0066716699</v>
      </c>
      <c r="AT42" s="2">
        <v>4012330.18556009</v>
      </c>
      <c r="AU42" s="2">
        <v>9252588.3293620292</v>
      </c>
      <c r="AV42" s="2">
        <v>11933150.248140899</v>
      </c>
      <c r="AW42" s="2">
        <v>10127435.4553246</v>
      </c>
      <c r="AX42" s="2">
        <v>8931856.9255851805</v>
      </c>
    </row>
    <row r="43" spans="1:50" x14ac:dyDescent="0.25">
      <c r="A43" s="2" t="s">
        <v>1697</v>
      </c>
      <c r="B43" s="2">
        <v>279.23281008835301</v>
      </c>
      <c r="C43" s="2">
        <v>12.708216666666701</v>
      </c>
      <c r="D43" s="2" t="s">
        <v>51</v>
      </c>
      <c r="E43" s="2" t="s">
        <v>1698</v>
      </c>
      <c r="F43" s="2">
        <v>797</v>
      </c>
      <c r="G43" s="3" t="str">
        <f>HYPERLINK("https://cloud.oebiotech.com/#/lm/network/797", "https://cloud.oebiotech.com/#/lm/network/797")</f>
        <v>https://cloud.oebiotech.com/#/lm/network/797</v>
      </c>
      <c r="H43" s="2"/>
      <c r="I43" s="2">
        <v>34968</v>
      </c>
      <c r="J43" s="2" t="s">
        <v>1699</v>
      </c>
      <c r="K43" s="2">
        <v>5312455</v>
      </c>
      <c r="L43" s="2"/>
      <c r="M43" s="2"/>
      <c r="N43" s="2"/>
      <c r="O43" s="2"/>
      <c r="P43" s="2"/>
      <c r="Q43" s="2"/>
      <c r="R43" s="2"/>
      <c r="S43" s="2" t="s">
        <v>1700</v>
      </c>
      <c r="T43" s="2" t="s">
        <v>1701</v>
      </c>
      <c r="U43" s="2" t="s">
        <v>56</v>
      </c>
      <c r="V43" s="2" t="s">
        <v>145</v>
      </c>
      <c r="W43" s="2" t="s">
        <v>203</v>
      </c>
      <c r="X43" s="2" t="s">
        <v>83</v>
      </c>
      <c r="Y43" s="2">
        <v>51.1</v>
      </c>
      <c r="Z43" s="2">
        <v>0</v>
      </c>
      <c r="AA43" s="2" t="s">
        <v>623</v>
      </c>
      <c r="AB43" s="2" t="s">
        <v>598</v>
      </c>
      <c r="AC43" s="2">
        <v>-0.51293494503589598</v>
      </c>
      <c r="AD43" s="2"/>
      <c r="AE43" s="2">
        <v>4.5048528259723399</v>
      </c>
      <c r="AF43" s="2">
        <v>663909.84610492899</v>
      </c>
      <c r="AG43" s="2">
        <v>1608203.29395612</v>
      </c>
      <c r="AH43" s="4">
        <v>0.41282706520998103</v>
      </c>
      <c r="AI43" s="4">
        <v>-1.27639053700356</v>
      </c>
      <c r="AJ43" s="4" t="s">
        <v>62</v>
      </c>
      <c r="AK43" s="2">
        <v>0.138888448064444</v>
      </c>
      <c r="AL43" s="2">
        <v>0.45923352345858398</v>
      </c>
      <c r="AM43" s="2">
        <v>473983.575370943</v>
      </c>
      <c r="AN43" s="2">
        <v>440436.82871427998</v>
      </c>
      <c r="AO43" s="2">
        <v>1184387.5995958501</v>
      </c>
      <c r="AP43" s="2">
        <v>340698.38025667798</v>
      </c>
      <c r="AQ43" s="2">
        <v>1033694.67042778</v>
      </c>
      <c r="AR43" s="2">
        <v>510258.022264042</v>
      </c>
      <c r="AS43" s="2">
        <v>504855.67464640498</v>
      </c>
      <c r="AT43" s="2">
        <v>486182.59251100098</v>
      </c>
      <c r="AU43" s="2">
        <v>4145149.4169730898</v>
      </c>
      <c r="AV43" s="2">
        <v>1919823.4762404901</v>
      </c>
      <c r="AW43" s="2">
        <v>1805933.5901619301</v>
      </c>
      <c r="AX43" s="2">
        <v>787275.01320380694</v>
      </c>
    </row>
    <row r="44" spans="1:50" x14ac:dyDescent="0.25">
      <c r="A44" s="2" t="s">
        <v>226</v>
      </c>
      <c r="B44" s="2">
        <v>359.22112545116102</v>
      </c>
      <c r="C44" s="2">
        <v>9.2380666666666702</v>
      </c>
      <c r="D44" s="2" t="s">
        <v>51</v>
      </c>
      <c r="E44" s="2" t="s">
        <v>227</v>
      </c>
      <c r="F44" s="2">
        <v>5353</v>
      </c>
      <c r="G44" s="3" t="str">
        <f>HYPERLINK("https://cloud.oebiotech.com/#/lm/network/5353", "https://cloud.oebiotech.com/#/lm/network/5353")</f>
        <v>https://cloud.oebiotech.com/#/lm/network/5353</v>
      </c>
      <c r="H44" s="2"/>
      <c r="I44" s="2"/>
      <c r="J44" s="2" t="s">
        <v>228</v>
      </c>
      <c r="K44" s="2">
        <v>131840768</v>
      </c>
      <c r="L44" s="2"/>
      <c r="M44" s="2"/>
      <c r="N44" s="2"/>
      <c r="O44" s="2"/>
      <c r="P44" s="2"/>
      <c r="Q44" s="2"/>
      <c r="R44" s="2"/>
      <c r="S44" s="2" t="s">
        <v>229</v>
      </c>
      <c r="T44" s="2" t="s">
        <v>230</v>
      </c>
      <c r="U44" s="2" t="s">
        <v>56</v>
      </c>
      <c r="V44" s="2" t="s">
        <v>145</v>
      </c>
      <c r="W44" s="2" t="s">
        <v>231</v>
      </c>
      <c r="X44" s="2" t="s">
        <v>69</v>
      </c>
      <c r="Y44" s="2">
        <v>59.7</v>
      </c>
      <c r="Z44" s="2">
        <v>72.099999999999994</v>
      </c>
      <c r="AA44" s="2" t="s">
        <v>106</v>
      </c>
      <c r="AB44" s="2" t="s">
        <v>232</v>
      </c>
      <c r="AC44" s="2">
        <v>-1.5644853031105801</v>
      </c>
      <c r="AD44" s="2"/>
      <c r="AE44" s="2">
        <v>4.4307681896197</v>
      </c>
      <c r="AF44" s="2">
        <v>970124.46253525803</v>
      </c>
      <c r="AG44" s="2">
        <v>575833.06607804005</v>
      </c>
      <c r="AH44" s="5">
        <v>1.68473212061737</v>
      </c>
      <c r="AI44" s="5">
        <v>0.75251921515771103</v>
      </c>
      <c r="AJ44" s="5" t="s">
        <v>139</v>
      </c>
      <c r="AK44" s="2">
        <v>1.14270140267784E-2</v>
      </c>
      <c r="AL44" s="2">
        <v>0.17165665021883</v>
      </c>
      <c r="AM44" s="2">
        <v>1382210.7194415201</v>
      </c>
      <c r="AN44" s="2">
        <v>1100493.4843520301</v>
      </c>
      <c r="AO44" s="2">
        <v>807940.98089502403</v>
      </c>
      <c r="AP44" s="2">
        <v>824304.10698181402</v>
      </c>
      <c r="AQ44" s="2">
        <v>751467.066465004</v>
      </c>
      <c r="AR44" s="2">
        <v>954330.41707615706</v>
      </c>
      <c r="AS44" s="2">
        <v>838938.48432700697</v>
      </c>
      <c r="AT44" s="2">
        <v>522815.21641912899</v>
      </c>
      <c r="AU44" s="2">
        <v>763845.21649597306</v>
      </c>
      <c r="AV44" s="2">
        <v>280242.75841110601</v>
      </c>
      <c r="AW44" s="2">
        <v>470979.018483294</v>
      </c>
      <c r="AX44" s="2">
        <v>578177.70233173296</v>
      </c>
    </row>
    <row r="45" spans="1:50" x14ac:dyDescent="0.25">
      <c r="A45" s="2" t="s">
        <v>1702</v>
      </c>
      <c r="B45" s="2">
        <v>275.21252767987102</v>
      </c>
      <c r="C45" s="2">
        <v>4.8935333333333304</v>
      </c>
      <c r="D45" s="2" t="s">
        <v>51</v>
      </c>
      <c r="E45" s="2" t="s">
        <v>1703</v>
      </c>
      <c r="F45" s="2">
        <v>52684</v>
      </c>
      <c r="G45" s="3" t="str">
        <f>HYPERLINK("https://cloud.oebiotech.com/#/lm/network/52684", "https://cloud.oebiotech.com/#/lm/network/52684")</f>
        <v>https://cloud.oebiotech.com/#/lm/network/52684</v>
      </c>
      <c r="H45" s="2" t="s">
        <v>1704</v>
      </c>
      <c r="I45" s="2">
        <v>2374</v>
      </c>
      <c r="J45" s="2"/>
      <c r="K45" s="2">
        <v>175805</v>
      </c>
      <c r="L45" s="2" t="s">
        <v>1705</v>
      </c>
      <c r="M45" s="2"/>
      <c r="N45" s="2"/>
      <c r="O45" s="2">
        <v>8890</v>
      </c>
      <c r="P45" s="2"/>
      <c r="Q45" s="2"/>
      <c r="R45" s="2" t="s">
        <v>1706</v>
      </c>
      <c r="S45" s="2" t="s">
        <v>1707</v>
      </c>
      <c r="T45" s="2" t="s">
        <v>1708</v>
      </c>
      <c r="U45" s="2" t="s">
        <v>103</v>
      </c>
      <c r="V45" s="2" t="s">
        <v>104</v>
      </c>
      <c r="W45" s="2" t="s">
        <v>105</v>
      </c>
      <c r="X45" s="2" t="s">
        <v>59</v>
      </c>
      <c r="Y45" s="2">
        <v>51.9</v>
      </c>
      <c r="Z45" s="2">
        <v>65.3</v>
      </c>
      <c r="AA45" s="2" t="s">
        <v>60</v>
      </c>
      <c r="AB45" s="2" t="s">
        <v>1709</v>
      </c>
      <c r="AC45" s="2">
        <v>2.6906372967955501</v>
      </c>
      <c r="AD45" s="2"/>
      <c r="AE45" s="2">
        <v>4.3154034094403499</v>
      </c>
      <c r="AF45" s="2">
        <v>957689.93170668802</v>
      </c>
      <c r="AG45" s="2">
        <v>2046216.31311636</v>
      </c>
      <c r="AH45" s="4">
        <v>0.46802966312400202</v>
      </c>
      <c r="AI45" s="4">
        <v>-1.0953281260066201</v>
      </c>
      <c r="AJ45" s="4" t="s">
        <v>62</v>
      </c>
      <c r="AK45" s="2">
        <v>0.48911319267522502</v>
      </c>
      <c r="AL45" s="2">
        <v>0.73154848154225005</v>
      </c>
      <c r="AM45" s="2">
        <v>2605304.12997188</v>
      </c>
      <c r="AN45" s="2">
        <v>887.209839851026</v>
      </c>
      <c r="AO45" s="2">
        <v>66.859932549618804</v>
      </c>
      <c r="AP45" s="2">
        <v>3139728.0990766599</v>
      </c>
      <c r="AQ45" s="2">
        <v>142.53951379915</v>
      </c>
      <c r="AR45" s="2">
        <v>10.751905391536599</v>
      </c>
      <c r="AS45" s="2">
        <v>1741307.31642653</v>
      </c>
      <c r="AT45" s="2">
        <v>314.83116544987303</v>
      </c>
      <c r="AU45" s="2">
        <v>429.69553876536901</v>
      </c>
      <c r="AV45" s="2">
        <v>131.97438931169</v>
      </c>
      <c r="AW45" s="2">
        <v>1776132.5570743401</v>
      </c>
      <c r="AX45" s="2">
        <v>8758981.5041037798</v>
      </c>
    </row>
    <row r="46" spans="1:50" x14ac:dyDescent="0.25">
      <c r="A46" s="2" t="s">
        <v>1710</v>
      </c>
      <c r="B46" s="2">
        <v>229.155380888541</v>
      </c>
      <c r="C46" s="2">
        <v>0.74455000000000005</v>
      </c>
      <c r="D46" s="2" t="s">
        <v>51</v>
      </c>
      <c r="E46" s="2" t="s">
        <v>1711</v>
      </c>
      <c r="F46" s="2">
        <v>257560</v>
      </c>
      <c r="G46" s="3" t="str">
        <f>HYPERLINK("https://cloud.oebiotech.com/#/lm/network/257560", "https://cloud.oebiotech.com/#/lm/network/257560")</f>
        <v>https://cloud.oebiotech.com/#/lm/network/257560</v>
      </c>
      <c r="H46" s="2" t="s">
        <v>1712</v>
      </c>
      <c r="I46" s="2"/>
      <c r="J46" s="2"/>
      <c r="K46" s="2"/>
      <c r="L46" s="2"/>
      <c r="M46" s="2"/>
      <c r="N46" s="2"/>
      <c r="O46" s="2">
        <v>74790</v>
      </c>
      <c r="P46" s="2"/>
      <c r="Q46" s="2"/>
      <c r="R46" s="2"/>
      <c r="S46" s="2" t="s">
        <v>1713</v>
      </c>
      <c r="T46" s="2" t="s">
        <v>1714</v>
      </c>
      <c r="U46" s="2" t="s">
        <v>103</v>
      </c>
      <c r="V46" s="2" t="s">
        <v>104</v>
      </c>
      <c r="W46" s="2" t="s">
        <v>105</v>
      </c>
      <c r="X46" s="2" t="s">
        <v>147</v>
      </c>
      <c r="Y46" s="2">
        <v>46.7</v>
      </c>
      <c r="Z46" s="2">
        <v>39.6</v>
      </c>
      <c r="AA46" s="2" t="s">
        <v>259</v>
      </c>
      <c r="AB46" s="2" t="s">
        <v>1715</v>
      </c>
      <c r="AC46" s="2">
        <v>3.1205566426606799</v>
      </c>
      <c r="AD46" s="2"/>
      <c r="AE46" s="2">
        <v>4.3019593837149497</v>
      </c>
      <c r="AF46" s="2">
        <v>2428552.9566966398</v>
      </c>
      <c r="AG46" s="2">
        <v>1615127.59131411</v>
      </c>
      <c r="AH46" s="5">
        <v>1.5036291682198999</v>
      </c>
      <c r="AI46" s="5">
        <v>0.58844880695142798</v>
      </c>
      <c r="AJ46" s="5" t="s">
        <v>139</v>
      </c>
      <c r="AK46" s="2">
        <v>0.27004380877157103</v>
      </c>
      <c r="AL46" s="2">
        <v>0.59023387803609295</v>
      </c>
      <c r="AM46" s="2">
        <v>2707867.7314490699</v>
      </c>
      <c r="AN46" s="2">
        <v>3526275.4840012402</v>
      </c>
      <c r="AO46" s="2">
        <v>1369977.9525253901</v>
      </c>
      <c r="AP46" s="2">
        <v>2202755.3078089701</v>
      </c>
      <c r="AQ46" s="2">
        <v>1395512.3122489301</v>
      </c>
      <c r="AR46" s="2">
        <v>3368928.9521462601</v>
      </c>
      <c r="AS46" s="2">
        <v>3285810.8202038798</v>
      </c>
      <c r="AT46" s="2">
        <v>2984154.6661609001</v>
      </c>
      <c r="AU46" s="2">
        <v>365022.127607117</v>
      </c>
      <c r="AV46" s="2">
        <v>146934.259292623</v>
      </c>
      <c r="AW46" s="2">
        <v>527563.991168187</v>
      </c>
      <c r="AX46" s="2">
        <v>2381279.6834519701</v>
      </c>
    </row>
    <row r="47" spans="1:50" x14ac:dyDescent="0.25">
      <c r="A47" s="2" t="s">
        <v>1716</v>
      </c>
      <c r="B47" s="2">
        <v>293.21219668122097</v>
      </c>
      <c r="C47" s="2">
        <v>10.905533333333301</v>
      </c>
      <c r="D47" s="2" t="s">
        <v>51</v>
      </c>
      <c r="E47" s="2" t="s">
        <v>1717</v>
      </c>
      <c r="F47" s="2">
        <v>2999</v>
      </c>
      <c r="G47" s="3" t="str">
        <f>HYPERLINK("https://cloud.oebiotech.com/#/lm/network/2999", "https://cloud.oebiotech.com/#/lm/network/2999")</f>
        <v>https://cloud.oebiotech.com/#/lm/network/2999</v>
      </c>
      <c r="H47" s="2" t="s">
        <v>1718</v>
      </c>
      <c r="I47" s="2"/>
      <c r="J47" s="2" t="s">
        <v>1719</v>
      </c>
      <c r="K47" s="2">
        <v>16061065</v>
      </c>
      <c r="L47" s="2"/>
      <c r="M47" s="2"/>
      <c r="N47" s="2"/>
      <c r="O47" s="2"/>
      <c r="P47" s="2"/>
      <c r="Q47" s="2"/>
      <c r="R47" s="2"/>
      <c r="S47" s="2" t="s">
        <v>1720</v>
      </c>
      <c r="T47" s="2" t="s">
        <v>1721</v>
      </c>
      <c r="U47" s="2" t="s">
        <v>56</v>
      </c>
      <c r="V47" s="2" t="s">
        <v>145</v>
      </c>
      <c r="W47" s="2" t="s">
        <v>231</v>
      </c>
      <c r="X47" s="2" t="s">
        <v>69</v>
      </c>
      <c r="Y47" s="2">
        <v>58.5</v>
      </c>
      <c r="Z47" s="2">
        <v>47.6</v>
      </c>
      <c r="AA47" s="2" t="s">
        <v>163</v>
      </c>
      <c r="AB47" s="2" t="s">
        <v>1722</v>
      </c>
      <c r="AC47" s="2">
        <v>-7.3780151929600996E-2</v>
      </c>
      <c r="AD47" s="2"/>
      <c r="AE47" s="2">
        <v>4.1775771366291297</v>
      </c>
      <c r="AF47" s="2">
        <v>1078082.90907058</v>
      </c>
      <c r="AG47" s="2">
        <v>595053.45508959703</v>
      </c>
      <c r="AH47" s="5">
        <v>1.8117412811396201</v>
      </c>
      <c r="AI47" s="5">
        <v>0.85737695148457005</v>
      </c>
      <c r="AJ47" s="5" t="s">
        <v>139</v>
      </c>
      <c r="AK47" s="2">
        <v>7.2564638086334898E-2</v>
      </c>
      <c r="AL47" s="2">
        <v>0.353750068837479</v>
      </c>
      <c r="AM47" s="2">
        <v>950536.71845431102</v>
      </c>
      <c r="AN47" s="2">
        <v>1978430.6111171599</v>
      </c>
      <c r="AO47" s="2">
        <v>1103917.4143059601</v>
      </c>
      <c r="AP47" s="2">
        <v>423124.17807036598</v>
      </c>
      <c r="AQ47" s="2">
        <v>640616.24470300996</v>
      </c>
      <c r="AR47" s="2">
        <v>1371872.2877727</v>
      </c>
      <c r="AS47" s="2">
        <v>660795.35556670395</v>
      </c>
      <c r="AT47" s="2">
        <v>338838.36494826298</v>
      </c>
      <c r="AU47" s="2">
        <v>837273.84968618001</v>
      </c>
      <c r="AV47" s="2">
        <v>495363.752438995</v>
      </c>
      <c r="AW47" s="2">
        <v>439932.44518007099</v>
      </c>
      <c r="AX47" s="2">
        <v>798116.96271736897</v>
      </c>
    </row>
    <row r="48" spans="1:50" x14ac:dyDescent="0.25">
      <c r="A48" s="2" t="s">
        <v>1723</v>
      </c>
      <c r="B48" s="2">
        <v>870.54920611208195</v>
      </c>
      <c r="C48" s="2">
        <v>10.4937</v>
      </c>
      <c r="D48" s="2" t="s">
        <v>51</v>
      </c>
      <c r="E48" s="2" t="s">
        <v>1724</v>
      </c>
      <c r="F48" s="2">
        <v>239648</v>
      </c>
      <c r="G48" s="3" t="str">
        <f>HYPERLINK("https://cloud.oebiotech.com/#/lm/network/239648", "https://cloud.oebiotech.com/#/lm/network/239648")</f>
        <v>https://cloud.oebiotech.com/#/lm/network/239648</v>
      </c>
      <c r="H48" s="2" t="s">
        <v>1725</v>
      </c>
      <c r="I48" s="2"/>
      <c r="J48" s="2"/>
      <c r="K48" s="2"/>
      <c r="L48" s="2"/>
      <c r="M48" s="2"/>
      <c r="N48" s="2"/>
      <c r="O48" s="2"/>
      <c r="P48" s="2"/>
      <c r="Q48" s="2"/>
      <c r="R48" s="2"/>
      <c r="S48" s="2" t="s">
        <v>1726</v>
      </c>
      <c r="T48" s="2" t="s">
        <v>1727</v>
      </c>
      <c r="U48" s="2" t="s">
        <v>56</v>
      </c>
      <c r="V48" s="2" t="s">
        <v>145</v>
      </c>
      <c r="W48" s="2" t="s">
        <v>187</v>
      </c>
      <c r="X48" s="2" t="s">
        <v>83</v>
      </c>
      <c r="Y48" s="2">
        <v>38.799999999999997</v>
      </c>
      <c r="Z48" s="2">
        <v>0</v>
      </c>
      <c r="AA48" s="2" t="s">
        <v>163</v>
      </c>
      <c r="AB48" s="2" t="s">
        <v>352</v>
      </c>
      <c r="AC48" s="2">
        <v>-1.1257492688906101</v>
      </c>
      <c r="AD48" s="2"/>
      <c r="AE48" s="2">
        <v>4.1042092786357101</v>
      </c>
      <c r="AF48" s="2">
        <v>541265.55214090203</v>
      </c>
      <c r="AG48" s="2">
        <v>953400.88080579694</v>
      </c>
      <c r="AH48" s="4">
        <v>0.56772084339111895</v>
      </c>
      <c r="AI48" s="4">
        <v>-0.81674638497267704</v>
      </c>
      <c r="AJ48" s="4" t="s">
        <v>62</v>
      </c>
      <c r="AK48" s="2">
        <v>5.02698870741837E-2</v>
      </c>
      <c r="AL48" s="2">
        <v>0.31056432836569098</v>
      </c>
      <c r="AM48" s="2">
        <v>217460.70649087601</v>
      </c>
      <c r="AN48" s="2">
        <v>273633.94481071603</v>
      </c>
      <c r="AO48" s="2">
        <v>318593.60199542198</v>
      </c>
      <c r="AP48" s="2">
        <v>833805.00185980601</v>
      </c>
      <c r="AQ48" s="2">
        <v>723422.12079295004</v>
      </c>
      <c r="AR48" s="2">
        <v>880677.93689564499</v>
      </c>
      <c r="AS48" s="2">
        <v>1509329.2713190301</v>
      </c>
      <c r="AT48" s="2">
        <v>899370.32795354805</v>
      </c>
      <c r="AU48" s="2">
        <v>1203308.1688572499</v>
      </c>
      <c r="AV48" s="2">
        <v>642013.96488468105</v>
      </c>
      <c r="AW48" s="2">
        <v>754824.84319888498</v>
      </c>
      <c r="AX48" s="2">
        <v>711558.708621389</v>
      </c>
    </row>
    <row r="49" spans="1:50" x14ac:dyDescent="0.25">
      <c r="A49" s="2" t="s">
        <v>1728</v>
      </c>
      <c r="B49" s="2">
        <v>235.18114689708801</v>
      </c>
      <c r="C49" s="2">
        <v>4.3824333333333296</v>
      </c>
      <c r="D49" s="2" t="s">
        <v>51</v>
      </c>
      <c r="E49" s="2" t="s">
        <v>1729</v>
      </c>
      <c r="F49" s="2">
        <v>52671</v>
      </c>
      <c r="G49" s="3" t="str">
        <f>HYPERLINK("https://cloud.oebiotech.com/#/lm/network/52671", "https://cloud.oebiotech.com/#/lm/network/52671")</f>
        <v>https://cloud.oebiotech.com/#/lm/network/52671</v>
      </c>
      <c r="H49" s="2" t="s">
        <v>1730</v>
      </c>
      <c r="I49" s="2">
        <v>995</v>
      </c>
      <c r="J49" s="2"/>
      <c r="K49" s="2">
        <v>3676</v>
      </c>
      <c r="L49" s="2" t="s">
        <v>1731</v>
      </c>
      <c r="M49" s="2"/>
      <c r="N49" s="2"/>
      <c r="O49" s="2">
        <v>6456</v>
      </c>
      <c r="P49" s="2"/>
      <c r="Q49" s="2"/>
      <c r="R49" s="2" t="s">
        <v>1732</v>
      </c>
      <c r="S49" s="2" t="s">
        <v>1733</v>
      </c>
      <c r="T49" s="2" t="s">
        <v>1734</v>
      </c>
      <c r="U49" s="2" t="s">
        <v>610</v>
      </c>
      <c r="V49" s="2" t="s">
        <v>611</v>
      </c>
      <c r="W49" s="2" t="s">
        <v>1735</v>
      </c>
      <c r="X49" s="2" t="s">
        <v>69</v>
      </c>
      <c r="Y49" s="2">
        <v>49.8</v>
      </c>
      <c r="Z49" s="2">
        <v>45.7</v>
      </c>
      <c r="AA49" s="2" t="s">
        <v>60</v>
      </c>
      <c r="AB49" s="2" t="s">
        <v>1736</v>
      </c>
      <c r="AC49" s="2">
        <v>2.80617231495054</v>
      </c>
      <c r="AD49" s="2"/>
      <c r="AE49" s="2">
        <v>4.0683455027474302</v>
      </c>
      <c r="AF49" s="2">
        <v>62164.018419755303</v>
      </c>
      <c r="AG49" s="2">
        <v>589715.06361338601</v>
      </c>
      <c r="AH49" s="4">
        <v>0.10541365187257599</v>
      </c>
      <c r="AI49" s="4">
        <v>-3.2458663757922102</v>
      </c>
      <c r="AJ49" s="4" t="s">
        <v>62</v>
      </c>
      <c r="AK49" s="2">
        <v>0.15912212884330099</v>
      </c>
      <c r="AL49" s="2">
        <v>0.48227444314382201</v>
      </c>
      <c r="AM49" s="2">
        <v>98645.953830128405</v>
      </c>
      <c r="AN49" s="2">
        <v>26225.873325609198</v>
      </c>
      <c r="AO49" s="2">
        <v>139992.814409199</v>
      </c>
      <c r="AP49" s="2">
        <v>85233.568330177601</v>
      </c>
      <c r="AQ49" s="2">
        <v>13075.6268377385</v>
      </c>
      <c r="AR49" s="2">
        <v>9810.27378567917</v>
      </c>
      <c r="AS49" s="2">
        <v>534241.81868030701</v>
      </c>
      <c r="AT49" s="2">
        <v>20050.076368768299</v>
      </c>
      <c r="AU49" s="2">
        <v>13625.680168058499</v>
      </c>
      <c r="AV49" s="2">
        <v>406310.70680065802</v>
      </c>
      <c r="AW49" s="2">
        <v>2267145.4089541999</v>
      </c>
      <c r="AX49" s="2">
        <v>296916.690708326</v>
      </c>
    </row>
    <row r="50" spans="1:50" x14ac:dyDescent="0.25">
      <c r="A50" s="2" t="s">
        <v>233</v>
      </c>
      <c r="B50" s="2">
        <v>479.292860498582</v>
      </c>
      <c r="C50" s="2">
        <v>8.5905500000000004</v>
      </c>
      <c r="D50" s="2" t="s">
        <v>51</v>
      </c>
      <c r="E50" s="2" t="s">
        <v>234</v>
      </c>
      <c r="F50" s="2">
        <v>206361</v>
      </c>
      <c r="G50" s="3" t="str">
        <f>HYPERLINK("https://cloud.oebiotech.com/#/lm/network/206361", "https://cloud.oebiotech.com/#/lm/network/206361")</f>
        <v>https://cloud.oebiotech.com/#/lm/network/206361</v>
      </c>
      <c r="H50" s="2" t="s">
        <v>235</v>
      </c>
      <c r="I50" s="2"/>
      <c r="J50" s="2"/>
      <c r="K50" s="2">
        <v>9426</v>
      </c>
      <c r="L50" s="2"/>
      <c r="M50" s="2"/>
      <c r="N50" s="2"/>
      <c r="O50" s="2"/>
      <c r="P50" s="2"/>
      <c r="Q50" s="2"/>
      <c r="R50" s="2"/>
      <c r="S50" s="2" t="s">
        <v>236</v>
      </c>
      <c r="T50" s="2" t="s">
        <v>237</v>
      </c>
      <c r="U50" s="2" t="s">
        <v>238</v>
      </c>
      <c r="V50" s="2" t="s">
        <v>239</v>
      </c>
      <c r="W50" s="2" t="s">
        <v>240</v>
      </c>
      <c r="X50" s="2" t="s">
        <v>147</v>
      </c>
      <c r="Y50" s="2">
        <v>38.299999999999997</v>
      </c>
      <c r="Z50" s="2">
        <v>0</v>
      </c>
      <c r="AA50" s="2" t="s">
        <v>241</v>
      </c>
      <c r="AB50" s="2" t="s">
        <v>242</v>
      </c>
      <c r="AC50" s="2">
        <v>2.7673604857440899</v>
      </c>
      <c r="AD50" s="2"/>
      <c r="AE50" s="2">
        <v>4.0673308646503497</v>
      </c>
      <c r="AF50" s="2">
        <v>1353129.12890608</v>
      </c>
      <c r="AG50" s="2">
        <v>1676027.48758206</v>
      </c>
      <c r="AH50" s="4">
        <v>0.80734304116825295</v>
      </c>
      <c r="AI50" s="4">
        <v>-0.308746288007959</v>
      </c>
      <c r="AJ50" s="4" t="s">
        <v>62</v>
      </c>
      <c r="AK50" s="2">
        <v>1.07217305050675E-4</v>
      </c>
      <c r="AL50" s="2">
        <v>3.9225470277496198E-2</v>
      </c>
      <c r="AM50" s="2">
        <v>1290904.47373656</v>
      </c>
      <c r="AN50" s="2">
        <v>1288107.0563455899</v>
      </c>
      <c r="AO50" s="2">
        <v>1563039.7176969999</v>
      </c>
      <c r="AP50" s="2">
        <v>1347023.5295724301</v>
      </c>
      <c r="AQ50" s="2">
        <v>1343616.5377820299</v>
      </c>
      <c r="AR50" s="2">
        <v>1286083.45830289</v>
      </c>
      <c r="AS50" s="2">
        <v>1796627.43860978</v>
      </c>
      <c r="AT50" s="2">
        <v>1673249.41085071</v>
      </c>
      <c r="AU50" s="2">
        <v>1588219.89598831</v>
      </c>
      <c r="AV50" s="2">
        <v>1623491.43573672</v>
      </c>
      <c r="AW50" s="2">
        <v>1672644.9778270901</v>
      </c>
      <c r="AX50" s="2">
        <v>1701931.7664797299</v>
      </c>
    </row>
    <row r="51" spans="1:50" x14ac:dyDescent="0.25">
      <c r="A51" s="2" t="s">
        <v>243</v>
      </c>
      <c r="B51" s="2">
        <v>610.37299227060703</v>
      </c>
      <c r="C51" s="2">
        <v>10.9667166666667</v>
      </c>
      <c r="D51" s="2" t="s">
        <v>51</v>
      </c>
      <c r="E51" s="2" t="s">
        <v>244</v>
      </c>
      <c r="F51" s="2">
        <v>27825</v>
      </c>
      <c r="G51" s="3" t="str">
        <f>HYPERLINK("https://cloud.oebiotech.com/#/lm/network/27825", "https://cloud.oebiotech.com/#/lm/network/27825")</f>
        <v>https://cloud.oebiotech.com/#/lm/network/27825</v>
      </c>
      <c r="H51" s="2"/>
      <c r="I51" s="2">
        <v>45374</v>
      </c>
      <c r="J51" s="2" t="s">
        <v>245</v>
      </c>
      <c r="K51" s="2">
        <v>46907872</v>
      </c>
      <c r="L51" s="2"/>
      <c r="M51" s="2"/>
      <c r="N51" s="2"/>
      <c r="O51" s="2">
        <v>61822</v>
      </c>
      <c r="P51" s="2"/>
      <c r="Q51" s="2"/>
      <c r="R51" s="2" t="s">
        <v>246</v>
      </c>
      <c r="S51" s="2" t="s">
        <v>247</v>
      </c>
      <c r="T51" s="2" t="s">
        <v>248</v>
      </c>
      <c r="U51" s="2" t="s">
        <v>56</v>
      </c>
      <c r="V51" s="2" t="s">
        <v>57</v>
      </c>
      <c r="W51" s="2" t="s">
        <v>58</v>
      </c>
      <c r="X51" s="2" t="s">
        <v>147</v>
      </c>
      <c r="Y51" s="2">
        <v>47.7</v>
      </c>
      <c r="Z51" s="2">
        <v>44.8</v>
      </c>
      <c r="AA51" s="2" t="s">
        <v>60</v>
      </c>
      <c r="AB51" s="2" t="s">
        <v>249</v>
      </c>
      <c r="AC51" s="2">
        <v>2.51444428111202</v>
      </c>
      <c r="AD51" s="2"/>
      <c r="AE51" s="2">
        <v>4.0346944184980504</v>
      </c>
      <c r="AF51" s="2">
        <v>551501.29670234397</v>
      </c>
      <c r="AG51" s="2">
        <v>193893.42700823801</v>
      </c>
      <c r="AH51" s="5">
        <v>2.8443527210384101</v>
      </c>
      <c r="AI51" s="5">
        <v>1.50810038104026</v>
      </c>
      <c r="AJ51" s="5" t="s">
        <v>139</v>
      </c>
      <c r="AK51" s="2">
        <v>2.3717663028457799E-2</v>
      </c>
      <c r="AL51" s="2">
        <v>0.23922264176586699</v>
      </c>
      <c r="AM51" s="2">
        <v>836729.077751223</v>
      </c>
      <c r="AN51" s="2">
        <v>976630.24728260597</v>
      </c>
      <c r="AO51" s="2">
        <v>277200.70561238402</v>
      </c>
      <c r="AP51" s="2">
        <v>502867.11902794801</v>
      </c>
      <c r="AQ51" s="2">
        <v>140452.40254265501</v>
      </c>
      <c r="AR51" s="2">
        <v>575128.22799724899</v>
      </c>
      <c r="AS51" s="2">
        <v>150869.94517849301</v>
      </c>
      <c r="AT51" s="2">
        <v>192834.03428592801</v>
      </c>
      <c r="AU51" s="2">
        <v>306680.22131318098</v>
      </c>
      <c r="AV51" s="2">
        <v>141921.08695117501</v>
      </c>
      <c r="AW51" s="2">
        <v>102523.665768968</v>
      </c>
      <c r="AX51" s="2">
        <v>268531.60855168401</v>
      </c>
    </row>
    <row r="52" spans="1:50" x14ac:dyDescent="0.25">
      <c r="A52" s="2" t="s">
        <v>250</v>
      </c>
      <c r="B52" s="2">
        <v>772.586987344156</v>
      </c>
      <c r="C52" s="2">
        <v>12.737633333333299</v>
      </c>
      <c r="D52" s="2" t="s">
        <v>51</v>
      </c>
      <c r="E52" s="2" t="s">
        <v>251</v>
      </c>
      <c r="F52" s="2">
        <v>20542</v>
      </c>
      <c r="G52" s="3" t="str">
        <f>HYPERLINK("https://cloud.oebiotech.com/#/lm/network/20542", "https://cloud.oebiotech.com/#/lm/network/20542")</f>
        <v>https://cloud.oebiotech.com/#/lm/network/20542</v>
      </c>
      <c r="H52" s="2" t="s">
        <v>252</v>
      </c>
      <c r="I52" s="2">
        <v>60653</v>
      </c>
      <c r="J52" s="2" t="s">
        <v>253</v>
      </c>
      <c r="K52" s="2">
        <v>52924554</v>
      </c>
      <c r="L52" s="2" t="s">
        <v>254</v>
      </c>
      <c r="M52" s="2" t="s">
        <v>255</v>
      </c>
      <c r="N52" s="2" t="s">
        <v>256</v>
      </c>
      <c r="O52" s="2"/>
      <c r="P52" s="2"/>
      <c r="Q52" s="2"/>
      <c r="R52" s="2"/>
      <c r="S52" s="2" t="s">
        <v>257</v>
      </c>
      <c r="T52" s="2" t="s">
        <v>258</v>
      </c>
      <c r="U52" s="2" t="s">
        <v>56</v>
      </c>
      <c r="V52" s="2" t="s">
        <v>57</v>
      </c>
      <c r="W52" s="2" t="s">
        <v>155</v>
      </c>
      <c r="X52" s="2" t="s">
        <v>83</v>
      </c>
      <c r="Y52" s="2">
        <v>54.3</v>
      </c>
      <c r="Z52" s="2">
        <v>0</v>
      </c>
      <c r="AA52" s="2" t="s">
        <v>259</v>
      </c>
      <c r="AB52" s="2" t="s">
        <v>260</v>
      </c>
      <c r="AC52" s="2">
        <v>2.4698625633009499</v>
      </c>
      <c r="AD52" s="2"/>
      <c r="AE52" s="2">
        <v>4.0193122359641897</v>
      </c>
      <c r="AF52" s="2">
        <v>61580.767545091803</v>
      </c>
      <c r="AG52" s="2">
        <v>418995.48150125198</v>
      </c>
      <c r="AH52" s="4">
        <v>0.14697239054810099</v>
      </c>
      <c r="AI52" s="4">
        <v>-2.7663829313931898</v>
      </c>
      <c r="AJ52" s="4" t="s">
        <v>62</v>
      </c>
      <c r="AK52" s="2">
        <v>4.9392035966022603E-3</v>
      </c>
      <c r="AL52" s="2">
        <v>0.123740271492219</v>
      </c>
      <c r="AM52" s="2">
        <v>4909.92460984636</v>
      </c>
      <c r="AN52" s="2">
        <v>10218.4575143892</v>
      </c>
      <c r="AO52" s="2">
        <v>6277.8948126633404</v>
      </c>
      <c r="AP52" s="2">
        <v>6240.5798743887099</v>
      </c>
      <c r="AQ52" s="2">
        <v>176694.94488289201</v>
      </c>
      <c r="AR52" s="2">
        <v>165142.80357637099</v>
      </c>
      <c r="AS52" s="2">
        <v>644186.07519749005</v>
      </c>
      <c r="AT52" s="2">
        <v>462616.52443046798</v>
      </c>
      <c r="AU52" s="2">
        <v>217028.56184951999</v>
      </c>
      <c r="AV52" s="2">
        <v>66351.026804135399</v>
      </c>
      <c r="AW52" s="2">
        <v>523097.331997815</v>
      </c>
      <c r="AX52" s="2">
        <v>600693.368728081</v>
      </c>
    </row>
    <row r="53" spans="1:50" x14ac:dyDescent="0.25">
      <c r="A53" s="2" t="s">
        <v>1737</v>
      </c>
      <c r="B53" s="2">
        <v>265.20453056569499</v>
      </c>
      <c r="C53" s="2">
        <v>4.42221666666667</v>
      </c>
      <c r="D53" s="2" t="s">
        <v>51</v>
      </c>
      <c r="E53" s="2" t="s">
        <v>1738</v>
      </c>
      <c r="F53" s="2">
        <v>38992</v>
      </c>
      <c r="G53" s="3" t="str">
        <f>HYPERLINK("https://cloud.oebiotech.com/#/lm/network/38992", "https://cloud.oebiotech.com/#/lm/network/38992")</f>
        <v>https://cloud.oebiotech.com/#/lm/network/38992</v>
      </c>
      <c r="H53" s="2"/>
      <c r="I53" s="2">
        <v>53950</v>
      </c>
      <c r="J53" s="2" t="s">
        <v>1739</v>
      </c>
      <c r="K53" s="2">
        <v>42608372</v>
      </c>
      <c r="L53" s="2"/>
      <c r="M53" s="2"/>
      <c r="N53" s="2"/>
      <c r="O53" s="2"/>
      <c r="P53" s="2"/>
      <c r="Q53" s="2"/>
      <c r="R53" s="2"/>
      <c r="S53" s="2" t="s">
        <v>1740</v>
      </c>
      <c r="T53" s="2" t="s">
        <v>1741</v>
      </c>
      <c r="U53" s="2" t="s">
        <v>266</v>
      </c>
      <c r="V53" s="2" t="s">
        <v>1742</v>
      </c>
      <c r="W53" s="2" t="s">
        <v>240</v>
      </c>
      <c r="X53" s="2" t="s">
        <v>147</v>
      </c>
      <c r="Y53" s="2">
        <v>38.9</v>
      </c>
      <c r="Z53" s="2">
        <v>7.57</v>
      </c>
      <c r="AA53" s="2" t="s">
        <v>122</v>
      </c>
      <c r="AB53" s="2" t="s">
        <v>1743</v>
      </c>
      <c r="AC53" s="2">
        <v>1.32485048471949</v>
      </c>
      <c r="AD53" s="2"/>
      <c r="AE53" s="2">
        <v>3.9858314279454801</v>
      </c>
      <c r="AF53" s="2">
        <v>9930.0310975875509</v>
      </c>
      <c r="AG53" s="2">
        <v>616376.00714768795</v>
      </c>
      <c r="AH53" s="4">
        <v>1.6110346578120899E-2</v>
      </c>
      <c r="AI53" s="4">
        <v>-5.9558686590351497</v>
      </c>
      <c r="AJ53" s="4" t="s">
        <v>62</v>
      </c>
      <c r="AK53" s="2">
        <v>8.3278360911792998E-2</v>
      </c>
      <c r="AL53" s="2">
        <v>0.37314990847797302</v>
      </c>
      <c r="AM53" s="2">
        <v>5482.0689311139704</v>
      </c>
      <c r="AN53" s="2">
        <v>3828.1784886712298</v>
      </c>
      <c r="AO53" s="2">
        <v>15001.754584493399</v>
      </c>
      <c r="AP53" s="2">
        <v>5772.8178201240999</v>
      </c>
      <c r="AQ53" s="2">
        <v>12229.999751102199</v>
      </c>
      <c r="AR53" s="2">
        <v>17265.3670100204</v>
      </c>
      <c r="AS53" s="2">
        <v>3387.07805252651</v>
      </c>
      <c r="AT53" s="2">
        <v>18497.949391932401</v>
      </c>
      <c r="AU53" s="2">
        <v>1861443.8888876601</v>
      </c>
      <c r="AV53" s="2">
        <v>621400.96492397704</v>
      </c>
      <c r="AW53" s="2">
        <v>1186962.87434094</v>
      </c>
      <c r="AX53" s="2">
        <v>6563.2872890912204</v>
      </c>
    </row>
    <row r="54" spans="1:50" x14ac:dyDescent="0.25">
      <c r="A54" s="2" t="s">
        <v>1744</v>
      </c>
      <c r="B54" s="2">
        <v>436.34370761149898</v>
      </c>
      <c r="C54" s="2">
        <v>3.13185</v>
      </c>
      <c r="D54" s="2" t="s">
        <v>51</v>
      </c>
      <c r="E54" s="2" t="s">
        <v>1745</v>
      </c>
      <c r="F54" s="2">
        <v>255920</v>
      </c>
      <c r="G54" s="3" t="str">
        <f>HYPERLINK("https://cloud.oebiotech.com/#/lm/network/255920", "https://cloud.oebiotech.com/#/lm/network/255920")</f>
        <v>https://cloud.oebiotech.com/#/lm/network/255920</v>
      </c>
      <c r="H54" s="2" t="s">
        <v>1746</v>
      </c>
      <c r="I54" s="2"/>
      <c r="J54" s="2"/>
      <c r="K54" s="2"/>
      <c r="L54" s="2"/>
      <c r="M54" s="2"/>
      <c r="N54" s="2"/>
      <c r="O54" s="2"/>
      <c r="P54" s="2"/>
      <c r="Q54" s="2"/>
      <c r="R54" s="2"/>
      <c r="S54" s="2" t="s">
        <v>1747</v>
      </c>
      <c r="T54" s="2" t="s">
        <v>1748</v>
      </c>
      <c r="U54" s="2" t="s">
        <v>56</v>
      </c>
      <c r="V54" s="2" t="s">
        <v>283</v>
      </c>
      <c r="W54" s="2" t="s">
        <v>1749</v>
      </c>
      <c r="X54" s="2" t="s">
        <v>59</v>
      </c>
      <c r="Y54" s="2">
        <v>51.6</v>
      </c>
      <c r="Z54" s="2">
        <v>66.5</v>
      </c>
      <c r="AA54" s="2" t="s">
        <v>512</v>
      </c>
      <c r="AB54" s="2" t="s">
        <v>1750</v>
      </c>
      <c r="AC54" s="2">
        <v>3.7586064685335399</v>
      </c>
      <c r="AD54" s="2"/>
      <c r="AE54" s="2">
        <v>3.9482331695631898</v>
      </c>
      <c r="AF54" s="2">
        <v>1779824.7944379901</v>
      </c>
      <c r="AG54" s="2">
        <v>2285194.4784441302</v>
      </c>
      <c r="AH54" s="4">
        <v>0.77885047037649702</v>
      </c>
      <c r="AI54" s="4">
        <v>-0.36058171955714702</v>
      </c>
      <c r="AJ54" s="4" t="s">
        <v>62</v>
      </c>
      <c r="AK54" s="2">
        <v>5.7627562030167799E-2</v>
      </c>
      <c r="AL54" s="2">
        <v>0.326776347443272</v>
      </c>
      <c r="AM54" s="2">
        <v>1421732.0999933199</v>
      </c>
      <c r="AN54" s="2">
        <v>1893618.8009391299</v>
      </c>
      <c r="AO54" s="2">
        <v>1929042.46302124</v>
      </c>
      <c r="AP54" s="2">
        <v>2018599.0733034001</v>
      </c>
      <c r="AQ54" s="2">
        <v>1860717.2288740301</v>
      </c>
      <c r="AR54" s="2">
        <v>1555239.1004968099</v>
      </c>
      <c r="AS54" s="2">
        <v>2538361.1493501598</v>
      </c>
      <c r="AT54" s="2">
        <v>3011550.9741933299</v>
      </c>
      <c r="AU54" s="2">
        <v>1887530.17033665</v>
      </c>
      <c r="AV54" s="2">
        <v>1534188.2897971601</v>
      </c>
      <c r="AW54" s="2">
        <v>2195172.1149138599</v>
      </c>
      <c r="AX54" s="2">
        <v>2544364.1720736502</v>
      </c>
    </row>
    <row r="55" spans="1:50" x14ac:dyDescent="0.25">
      <c r="A55" s="2" t="s">
        <v>1751</v>
      </c>
      <c r="B55" s="2">
        <v>295.22748075974602</v>
      </c>
      <c r="C55" s="2">
        <v>10.906883333333299</v>
      </c>
      <c r="D55" s="2" t="s">
        <v>51</v>
      </c>
      <c r="E55" s="2" t="s">
        <v>1752</v>
      </c>
      <c r="F55" s="2">
        <v>3228</v>
      </c>
      <c r="G55" s="3" t="str">
        <f>HYPERLINK("https://cloud.oebiotech.com/#/lm/network/3228", "https://cloud.oebiotech.com/#/lm/network/3228")</f>
        <v>https://cloud.oebiotech.com/#/lm/network/3228</v>
      </c>
      <c r="H55" s="2" t="s">
        <v>1753</v>
      </c>
      <c r="I55" s="2">
        <v>35860</v>
      </c>
      <c r="J55" s="2" t="s">
        <v>1754</v>
      </c>
      <c r="K55" s="2">
        <v>9839084</v>
      </c>
      <c r="L55" s="2" t="s">
        <v>1755</v>
      </c>
      <c r="M55" s="2" t="s">
        <v>1756</v>
      </c>
      <c r="N55" s="2" t="s">
        <v>1757</v>
      </c>
      <c r="O55" s="2">
        <v>72842</v>
      </c>
      <c r="P55" s="2"/>
      <c r="Q55" s="2"/>
      <c r="R55" s="2" t="s">
        <v>1758</v>
      </c>
      <c r="S55" s="2" t="s">
        <v>1759</v>
      </c>
      <c r="T55" s="2" t="s">
        <v>1760</v>
      </c>
      <c r="U55" s="2" t="s">
        <v>56</v>
      </c>
      <c r="V55" s="2" t="s">
        <v>145</v>
      </c>
      <c r="W55" s="2" t="s">
        <v>203</v>
      </c>
      <c r="X55" s="2" t="s">
        <v>69</v>
      </c>
      <c r="Y55" s="2">
        <v>62.9</v>
      </c>
      <c r="Z55" s="2">
        <v>47.2</v>
      </c>
      <c r="AA55" s="2" t="s">
        <v>196</v>
      </c>
      <c r="AB55" s="2" t="s">
        <v>1722</v>
      </c>
      <c r="AC55" s="2">
        <v>2.4114886282211501</v>
      </c>
      <c r="AD55" s="2"/>
      <c r="AE55" s="2">
        <v>3.8988946464933099</v>
      </c>
      <c r="AF55" s="2">
        <v>1226798.3398492299</v>
      </c>
      <c r="AG55" s="2">
        <v>784488.66733163502</v>
      </c>
      <c r="AH55" s="5">
        <v>1.56381907213786</v>
      </c>
      <c r="AI55" s="5">
        <v>0.64507360802339697</v>
      </c>
      <c r="AJ55" s="5" t="s">
        <v>139</v>
      </c>
      <c r="AK55" s="2">
        <v>0.11039039341132401</v>
      </c>
      <c r="AL55" s="2">
        <v>0.42261842103963698</v>
      </c>
      <c r="AM55" s="2">
        <v>990805.86925100803</v>
      </c>
      <c r="AN55" s="2">
        <v>2194269.1888355599</v>
      </c>
      <c r="AO55" s="2">
        <v>1457223.3562906799</v>
      </c>
      <c r="AP55" s="2">
        <v>627028.71189041005</v>
      </c>
      <c r="AQ55" s="2">
        <v>973697.53492301097</v>
      </c>
      <c r="AR55" s="2">
        <v>1117765.3779046901</v>
      </c>
      <c r="AS55" s="2">
        <v>902258.08809753298</v>
      </c>
      <c r="AT55" s="2">
        <v>630615.14524549805</v>
      </c>
      <c r="AU55" s="2">
        <v>983134.99932517903</v>
      </c>
      <c r="AV55" s="2">
        <v>438880.11413775798</v>
      </c>
      <c r="AW55" s="2">
        <v>544940.27902993001</v>
      </c>
      <c r="AX55" s="2">
        <v>1207103.3781539099</v>
      </c>
    </row>
    <row r="56" spans="1:50" x14ac:dyDescent="0.25">
      <c r="A56" s="2" t="s">
        <v>1761</v>
      </c>
      <c r="B56" s="2">
        <v>295.22769161137001</v>
      </c>
      <c r="C56" s="2">
        <v>10.644133333333301</v>
      </c>
      <c r="D56" s="2" t="s">
        <v>51</v>
      </c>
      <c r="E56" s="2" t="s">
        <v>1762</v>
      </c>
      <c r="F56" s="2">
        <v>3182</v>
      </c>
      <c r="G56" s="3" t="str">
        <f>HYPERLINK("https://cloud.oebiotech.com/#/lm/network/3182", "https://cloud.oebiotech.com/#/lm/network/3182")</f>
        <v>https://cloud.oebiotech.com/#/lm/network/3182</v>
      </c>
      <c r="H56" s="2" t="s">
        <v>1763</v>
      </c>
      <c r="I56" s="2"/>
      <c r="J56" s="2" t="s">
        <v>1764</v>
      </c>
      <c r="K56" s="2">
        <v>6443013</v>
      </c>
      <c r="L56" s="2" t="s">
        <v>1765</v>
      </c>
      <c r="M56" s="2" t="s">
        <v>1756</v>
      </c>
      <c r="N56" s="2" t="s">
        <v>1757</v>
      </c>
      <c r="O56" s="2">
        <v>34154</v>
      </c>
      <c r="P56" s="2" t="s">
        <v>1766</v>
      </c>
      <c r="Q56" s="2" t="s">
        <v>1767</v>
      </c>
      <c r="R56" s="2" t="s">
        <v>1768</v>
      </c>
      <c r="S56" s="2" t="s">
        <v>1769</v>
      </c>
      <c r="T56" s="2" t="s">
        <v>1770</v>
      </c>
      <c r="U56" s="2" t="s">
        <v>56</v>
      </c>
      <c r="V56" s="2" t="s">
        <v>145</v>
      </c>
      <c r="W56" s="2" t="s">
        <v>203</v>
      </c>
      <c r="X56" s="2" t="s">
        <v>83</v>
      </c>
      <c r="Y56" s="2">
        <v>65.900000000000006</v>
      </c>
      <c r="Z56" s="2">
        <v>37.1</v>
      </c>
      <c r="AA56" s="2" t="s">
        <v>1771</v>
      </c>
      <c r="AB56" s="2" t="s">
        <v>1772</v>
      </c>
      <c r="AC56" s="2">
        <v>-0.59696343750021597</v>
      </c>
      <c r="AD56" s="2"/>
      <c r="AE56" s="2">
        <v>3.8078468436700299</v>
      </c>
      <c r="AF56" s="2">
        <v>3591959.4948130301</v>
      </c>
      <c r="AG56" s="2">
        <v>3002251.2809577701</v>
      </c>
      <c r="AH56" s="5">
        <v>1.19642200424581</v>
      </c>
      <c r="AI56" s="5">
        <v>0.25872634944183098</v>
      </c>
      <c r="AJ56" s="5" t="s">
        <v>139</v>
      </c>
      <c r="AK56" s="2">
        <v>0.44763888228397403</v>
      </c>
      <c r="AL56" s="2">
        <v>0.70214849250196898</v>
      </c>
      <c r="AM56" s="2">
        <v>3569643.6809300799</v>
      </c>
      <c r="AN56" s="2">
        <v>4188977.6182442899</v>
      </c>
      <c r="AO56" s="2">
        <v>4217336.1497272402</v>
      </c>
      <c r="AP56" s="2">
        <v>1777842.6499046199</v>
      </c>
      <c r="AQ56" s="2">
        <v>3556884.00694435</v>
      </c>
      <c r="AR56" s="2">
        <v>4241072.8631276004</v>
      </c>
      <c r="AS56" s="2">
        <v>2226996.24004194</v>
      </c>
      <c r="AT56" s="2">
        <v>1762081.63480904</v>
      </c>
      <c r="AU56" s="2">
        <v>6106240.9371640403</v>
      </c>
      <c r="AV56" s="2">
        <v>2801708.5061185001</v>
      </c>
      <c r="AW56" s="2">
        <v>2435810.3134156298</v>
      </c>
      <c r="AX56" s="2">
        <v>2680670.0541974502</v>
      </c>
    </row>
    <row r="57" spans="1:50" x14ac:dyDescent="0.25">
      <c r="A57" s="2" t="s">
        <v>1773</v>
      </c>
      <c r="B57" s="2">
        <v>870.55038538842905</v>
      </c>
      <c r="C57" s="2">
        <v>11.233700000000001</v>
      </c>
      <c r="D57" s="2" t="s">
        <v>51</v>
      </c>
      <c r="E57" s="2" t="s">
        <v>1774</v>
      </c>
      <c r="F57" s="2">
        <v>214953</v>
      </c>
      <c r="G57" s="3" t="str">
        <f>HYPERLINK("https://cloud.oebiotech.com/#/lm/network/214953", "https://cloud.oebiotech.com/#/lm/network/214953")</f>
        <v>https://cloud.oebiotech.com/#/lm/network/214953</v>
      </c>
      <c r="H57" s="2" t="s">
        <v>1775</v>
      </c>
      <c r="I57" s="2"/>
      <c r="J57" s="2"/>
      <c r="K57" s="2"/>
      <c r="L57" s="2"/>
      <c r="M57" s="2"/>
      <c r="N57" s="2"/>
      <c r="O57" s="2"/>
      <c r="P57" s="2"/>
      <c r="Q57" s="2"/>
      <c r="R57" s="2"/>
      <c r="S57" s="2" t="s">
        <v>1776</v>
      </c>
      <c r="T57" s="2" t="s">
        <v>1777</v>
      </c>
      <c r="U57" s="2" t="s">
        <v>56</v>
      </c>
      <c r="V57" s="2" t="s">
        <v>145</v>
      </c>
      <c r="W57" s="2" t="s">
        <v>187</v>
      </c>
      <c r="X57" s="2" t="s">
        <v>83</v>
      </c>
      <c r="Y57" s="2">
        <v>43.3</v>
      </c>
      <c r="Z57" s="2">
        <v>0</v>
      </c>
      <c r="AA57" s="2" t="s">
        <v>218</v>
      </c>
      <c r="AB57" s="2" t="s">
        <v>1778</v>
      </c>
      <c r="AC57" s="2">
        <v>0.23998782961472701</v>
      </c>
      <c r="AD57" s="2"/>
      <c r="AE57" s="2">
        <v>3.8075680128930198</v>
      </c>
      <c r="AF57" s="2">
        <v>948940.59231284703</v>
      </c>
      <c r="AG57" s="2">
        <v>1298961.10302611</v>
      </c>
      <c r="AH57" s="4">
        <v>0.73053811242088695</v>
      </c>
      <c r="AI57" s="4">
        <v>-0.45296855400601899</v>
      </c>
      <c r="AJ57" s="4" t="s">
        <v>62</v>
      </c>
      <c r="AK57" s="2">
        <v>7.2281517563428405E-2</v>
      </c>
      <c r="AL57" s="2">
        <v>0.35370651166856698</v>
      </c>
      <c r="AM57" s="2">
        <v>513483.45030395302</v>
      </c>
      <c r="AN57" s="2">
        <v>698787.16636311298</v>
      </c>
      <c r="AO57" s="2">
        <v>871985.12991173798</v>
      </c>
      <c r="AP57" s="2">
        <v>1101267.8374111899</v>
      </c>
      <c r="AQ57" s="2">
        <v>1296760.97327246</v>
      </c>
      <c r="AR57" s="2">
        <v>1211358.9966146301</v>
      </c>
      <c r="AS57" s="2">
        <v>1799112.3120647599</v>
      </c>
      <c r="AT57" s="2">
        <v>1477978.4896384601</v>
      </c>
      <c r="AU57" s="2">
        <v>1079342.1755908199</v>
      </c>
      <c r="AV57" s="2">
        <v>1057506.1747955601</v>
      </c>
      <c r="AW57" s="2">
        <v>1074028.09670405</v>
      </c>
      <c r="AX57" s="2">
        <v>1305799.3693630099</v>
      </c>
    </row>
    <row r="58" spans="1:50" x14ac:dyDescent="0.25">
      <c r="A58" s="2" t="s">
        <v>261</v>
      </c>
      <c r="B58" s="2">
        <v>565.01184461580795</v>
      </c>
      <c r="C58" s="2">
        <v>13.8001166666667</v>
      </c>
      <c r="D58" s="2" t="s">
        <v>51</v>
      </c>
      <c r="E58" s="2" t="s">
        <v>262</v>
      </c>
      <c r="F58" s="2">
        <v>204658</v>
      </c>
      <c r="G58" s="3" t="str">
        <f>HYPERLINK("https://cloud.oebiotech.com/#/lm/network/204658", "https://cloud.oebiotech.com/#/lm/network/204658")</f>
        <v>https://cloud.oebiotech.com/#/lm/network/204658</v>
      </c>
      <c r="H58" s="2" t="s">
        <v>263</v>
      </c>
      <c r="I58" s="2"/>
      <c r="J58" s="2"/>
      <c r="K58" s="2">
        <v>2628</v>
      </c>
      <c r="L58" s="2"/>
      <c r="M58" s="2"/>
      <c r="N58" s="2"/>
      <c r="O58" s="2"/>
      <c r="P58" s="2"/>
      <c r="Q58" s="2"/>
      <c r="R58" s="2"/>
      <c r="S58" s="2" t="s">
        <v>264</v>
      </c>
      <c r="T58" s="2" t="s">
        <v>265</v>
      </c>
      <c r="U58" s="2" t="s">
        <v>266</v>
      </c>
      <c r="V58" s="2" t="s">
        <v>267</v>
      </c>
      <c r="W58" s="2" t="s">
        <v>268</v>
      </c>
      <c r="X58" s="2" t="s">
        <v>59</v>
      </c>
      <c r="Y58" s="2">
        <v>42.1</v>
      </c>
      <c r="Z58" s="2">
        <v>47.1</v>
      </c>
      <c r="AA58" s="2" t="s">
        <v>269</v>
      </c>
      <c r="AB58" s="2" t="s">
        <v>270</v>
      </c>
      <c r="AC58" s="2">
        <v>3.51820458317194</v>
      </c>
      <c r="AD58" s="2"/>
      <c r="AE58" s="2">
        <v>3.80375024665521</v>
      </c>
      <c r="AF58" s="2">
        <v>704599.95949964901</v>
      </c>
      <c r="AG58" s="2">
        <v>967243.50583386398</v>
      </c>
      <c r="AH58" s="4">
        <v>0.728461814682551</v>
      </c>
      <c r="AI58" s="4">
        <v>-0.45707474540055498</v>
      </c>
      <c r="AJ58" s="4" t="s">
        <v>62</v>
      </c>
      <c r="AK58" s="2">
        <v>4.3382308748976701E-4</v>
      </c>
      <c r="AL58" s="2">
        <v>5.7808428828157503E-2</v>
      </c>
      <c r="AM58" s="2">
        <v>554131.30271511502</v>
      </c>
      <c r="AN58" s="2">
        <v>665553.67793945398</v>
      </c>
      <c r="AO58" s="2">
        <v>720143.88267594494</v>
      </c>
      <c r="AP58" s="2">
        <v>735200.42046741198</v>
      </c>
      <c r="AQ58" s="2">
        <v>834181.53458165401</v>
      </c>
      <c r="AR58" s="2">
        <v>718388.93861831399</v>
      </c>
      <c r="AS58" s="2">
        <v>936528.99369047198</v>
      </c>
      <c r="AT58" s="2">
        <v>1031621.45346358</v>
      </c>
      <c r="AU58" s="2">
        <v>812690.24090805894</v>
      </c>
      <c r="AV58" s="2">
        <v>1027563.16881856</v>
      </c>
      <c r="AW58" s="2">
        <v>971370.40251563198</v>
      </c>
      <c r="AX58" s="2">
        <v>1023686.77560688</v>
      </c>
    </row>
    <row r="59" spans="1:50" x14ac:dyDescent="0.25">
      <c r="A59" s="2" t="s">
        <v>1779</v>
      </c>
      <c r="B59" s="2">
        <v>536.18174779912499</v>
      </c>
      <c r="C59" s="2">
        <v>5.1213666666666704</v>
      </c>
      <c r="D59" s="2" t="s">
        <v>51</v>
      </c>
      <c r="E59" s="2" t="s">
        <v>1780</v>
      </c>
      <c r="F59" s="2">
        <v>54966</v>
      </c>
      <c r="G59" s="3" t="str">
        <f>HYPERLINK("https://cloud.oebiotech.com/#/lm/network/54966", "https://cloud.oebiotech.com/#/lm/network/54966")</f>
        <v>https://cloud.oebiotech.com/#/lm/network/54966</v>
      </c>
      <c r="H59" s="2" t="s">
        <v>1781</v>
      </c>
      <c r="I59" s="2"/>
      <c r="J59" s="2"/>
      <c r="K59" s="2">
        <v>131750964</v>
      </c>
      <c r="L59" s="2"/>
      <c r="M59" s="2"/>
      <c r="N59" s="2"/>
      <c r="O59" s="2"/>
      <c r="P59" s="2"/>
      <c r="Q59" s="2"/>
      <c r="R59" s="2" t="s">
        <v>1782</v>
      </c>
      <c r="S59" s="2" t="s">
        <v>1783</v>
      </c>
      <c r="T59" s="2" t="s">
        <v>1784</v>
      </c>
      <c r="U59" s="2" t="s">
        <v>266</v>
      </c>
      <c r="V59" s="2" t="s">
        <v>1785</v>
      </c>
      <c r="W59" s="2" t="s">
        <v>1786</v>
      </c>
      <c r="X59" s="2" t="s">
        <v>147</v>
      </c>
      <c r="Y59" s="2">
        <v>39.200000000000003</v>
      </c>
      <c r="Z59" s="2">
        <v>6.91</v>
      </c>
      <c r="AA59" s="2" t="s">
        <v>122</v>
      </c>
      <c r="AB59" s="2" t="s">
        <v>1787</v>
      </c>
      <c r="AC59" s="2">
        <v>-3.2741323526712698</v>
      </c>
      <c r="AD59" s="2"/>
      <c r="AE59" s="2">
        <v>3.79541724026685</v>
      </c>
      <c r="AF59" s="2">
        <v>48440.717456171296</v>
      </c>
      <c r="AG59" s="2">
        <v>719701.00773110997</v>
      </c>
      <c r="AH59" s="4">
        <v>6.7306724508949603E-2</v>
      </c>
      <c r="AI59" s="4">
        <v>-3.8931055403466899</v>
      </c>
      <c r="AJ59" s="4" t="s">
        <v>62</v>
      </c>
      <c r="AK59" s="2">
        <v>0.35711808919727001</v>
      </c>
      <c r="AL59" s="2">
        <v>0.64449606579735297</v>
      </c>
      <c r="AM59" s="2">
        <v>11851.2318425064</v>
      </c>
      <c r="AN59" s="2">
        <v>19375.057468162599</v>
      </c>
      <c r="AO59" s="2">
        <v>18529.553408841701</v>
      </c>
      <c r="AP59" s="2">
        <v>19361.4218172541</v>
      </c>
      <c r="AQ59" s="2">
        <v>154583.39082284801</v>
      </c>
      <c r="AR59" s="2">
        <v>66943.649377414695</v>
      </c>
      <c r="AS59" s="2">
        <v>31262.424892409799</v>
      </c>
      <c r="AT59" s="2">
        <v>28451.357922595002</v>
      </c>
      <c r="AU59" s="2">
        <v>24847.179224802701</v>
      </c>
      <c r="AV59" s="2">
        <v>17108.657443078799</v>
      </c>
      <c r="AW59" s="2">
        <v>4194473.3351256503</v>
      </c>
      <c r="AX59" s="2">
        <v>22063.091778124901</v>
      </c>
    </row>
    <row r="60" spans="1:50" x14ac:dyDescent="0.25">
      <c r="A60" s="2" t="s">
        <v>1788</v>
      </c>
      <c r="B60" s="2">
        <v>303.23285976413001</v>
      </c>
      <c r="C60" s="2">
        <v>12.55655</v>
      </c>
      <c r="D60" s="2" t="s">
        <v>51</v>
      </c>
      <c r="E60" s="2" t="s">
        <v>1789</v>
      </c>
      <c r="F60" s="2">
        <v>1116</v>
      </c>
      <c r="G60" s="3" t="str">
        <f>HYPERLINK("https://cloud.oebiotech.com/#/lm/network/1116", "https://cloud.oebiotech.com/#/lm/network/1116")</f>
        <v>https://cloud.oebiotech.com/#/lm/network/1116</v>
      </c>
      <c r="H60" s="2"/>
      <c r="I60" s="2">
        <v>24087</v>
      </c>
      <c r="J60" s="2" t="s">
        <v>1790</v>
      </c>
      <c r="K60" s="2">
        <v>1899</v>
      </c>
      <c r="L60" s="2"/>
      <c r="M60" s="2"/>
      <c r="N60" s="2"/>
      <c r="O60" s="2"/>
      <c r="P60" s="2"/>
      <c r="Q60" s="2"/>
      <c r="R60" s="2" t="s">
        <v>1791</v>
      </c>
      <c r="S60" s="2" t="s">
        <v>1792</v>
      </c>
      <c r="T60" s="2" t="s">
        <v>1793</v>
      </c>
      <c r="U60" s="2" t="s">
        <v>56</v>
      </c>
      <c r="V60" s="2" t="s">
        <v>145</v>
      </c>
      <c r="W60" s="2" t="s">
        <v>231</v>
      </c>
      <c r="X60" s="2" t="s">
        <v>83</v>
      </c>
      <c r="Y60" s="2">
        <v>55.5</v>
      </c>
      <c r="Z60" s="2">
        <v>30.2</v>
      </c>
      <c r="AA60" s="2" t="s">
        <v>623</v>
      </c>
      <c r="AB60" s="2" t="s">
        <v>1794</v>
      </c>
      <c r="AC60" s="2">
        <v>-0.30919392131409801</v>
      </c>
      <c r="AD60" s="2"/>
      <c r="AE60" s="2">
        <v>3.7736580368430999</v>
      </c>
      <c r="AF60" s="2">
        <v>959552.00366956298</v>
      </c>
      <c r="AG60" s="2">
        <v>1405386.53621792</v>
      </c>
      <c r="AH60" s="4">
        <v>0.68276732339548396</v>
      </c>
      <c r="AI60" s="4">
        <v>-0.55053408090273803</v>
      </c>
      <c r="AJ60" s="4" t="s">
        <v>62</v>
      </c>
      <c r="AK60" s="2">
        <v>0.12518015051555201</v>
      </c>
      <c r="AL60" s="2">
        <v>0.442641187379888</v>
      </c>
      <c r="AM60" s="2">
        <v>783619.11613358499</v>
      </c>
      <c r="AN60" s="2">
        <v>911446.44193198497</v>
      </c>
      <c r="AO60" s="2">
        <v>894569.94930249802</v>
      </c>
      <c r="AP60" s="2">
        <v>705994.46054348699</v>
      </c>
      <c r="AQ60" s="2">
        <v>1192906.3720164699</v>
      </c>
      <c r="AR60" s="2">
        <v>1268775.68208935</v>
      </c>
      <c r="AS60" s="2">
        <v>690577.06474943005</v>
      </c>
      <c r="AT60" s="2">
        <v>567482.88049491495</v>
      </c>
      <c r="AU60" s="2">
        <v>1792502.3751397501</v>
      </c>
      <c r="AV60" s="2">
        <v>1816454.12733771</v>
      </c>
      <c r="AW60" s="2">
        <v>1957169.32321292</v>
      </c>
      <c r="AX60" s="2">
        <v>1608133.4463728201</v>
      </c>
    </row>
    <row r="61" spans="1:50" x14ac:dyDescent="0.25">
      <c r="A61" s="2" t="s">
        <v>1795</v>
      </c>
      <c r="B61" s="2">
        <v>568.36221234915695</v>
      </c>
      <c r="C61" s="2">
        <v>12.051083333333301</v>
      </c>
      <c r="D61" s="2" t="s">
        <v>51</v>
      </c>
      <c r="E61" s="2" t="s">
        <v>1796</v>
      </c>
      <c r="F61" s="2">
        <v>19834</v>
      </c>
      <c r="G61" s="3" t="str">
        <f>HYPERLINK("https://cloud.oebiotech.com/#/lm/network/19834", "https://cloud.oebiotech.com/#/lm/network/19834")</f>
        <v>https://cloud.oebiotech.com/#/lm/network/19834</v>
      </c>
      <c r="H61" s="2" t="s">
        <v>1797</v>
      </c>
      <c r="I61" s="2">
        <v>40292</v>
      </c>
      <c r="J61" s="2" t="s">
        <v>1798</v>
      </c>
      <c r="K61" s="2">
        <v>497299</v>
      </c>
      <c r="L61" s="2" t="s">
        <v>691</v>
      </c>
      <c r="M61" s="2" t="s">
        <v>692</v>
      </c>
      <c r="N61" s="2" t="s">
        <v>693</v>
      </c>
      <c r="O61" s="2">
        <v>73858</v>
      </c>
      <c r="P61" s="2"/>
      <c r="Q61" s="2"/>
      <c r="R61" s="2" t="s">
        <v>1799</v>
      </c>
      <c r="S61" s="2" t="s">
        <v>1800</v>
      </c>
      <c r="T61" s="2" t="s">
        <v>1801</v>
      </c>
      <c r="U61" s="2" t="s">
        <v>56</v>
      </c>
      <c r="V61" s="2" t="s">
        <v>57</v>
      </c>
      <c r="W61" s="2" t="s">
        <v>58</v>
      </c>
      <c r="X61" s="2" t="s">
        <v>59</v>
      </c>
      <c r="Y61" s="2">
        <v>58.9</v>
      </c>
      <c r="Z61" s="2">
        <v>95.8</v>
      </c>
      <c r="AA61" s="2" t="s">
        <v>218</v>
      </c>
      <c r="AB61" s="2" t="s">
        <v>1633</v>
      </c>
      <c r="AC61" s="2">
        <v>0.41992904571865702</v>
      </c>
      <c r="AD61" s="2"/>
      <c r="AE61" s="2">
        <v>3.7512955672097998</v>
      </c>
      <c r="AF61" s="2">
        <v>2592650.5272737201</v>
      </c>
      <c r="AG61" s="2">
        <v>3445185.9321447299</v>
      </c>
      <c r="AH61" s="4">
        <v>0.75254299139080705</v>
      </c>
      <c r="AI61" s="4">
        <v>-0.41015409215835702</v>
      </c>
      <c r="AJ61" s="4" t="s">
        <v>62</v>
      </c>
      <c r="AK61" s="2">
        <v>0.28007252891685702</v>
      </c>
      <c r="AL61" s="2">
        <v>0.59978920543246905</v>
      </c>
      <c r="AM61" s="2">
        <v>3992364.56815106</v>
      </c>
      <c r="AN61" s="2">
        <v>3089004.0882752999</v>
      </c>
      <c r="AO61" s="2">
        <v>1969926.3754997</v>
      </c>
      <c r="AP61" s="2">
        <v>1976311.81542642</v>
      </c>
      <c r="AQ61" s="2">
        <v>2043818.5427413899</v>
      </c>
      <c r="AR61" s="2">
        <v>2484477.7735484499</v>
      </c>
      <c r="AS61" s="2">
        <v>1739974.39693035</v>
      </c>
      <c r="AT61" s="2">
        <v>1069915.9723874701</v>
      </c>
      <c r="AU61" s="2">
        <v>4519228.8022652799</v>
      </c>
      <c r="AV61" s="2">
        <v>4399268.9883559197</v>
      </c>
      <c r="AW61" s="2">
        <v>5068967.9409542596</v>
      </c>
      <c r="AX61" s="2">
        <v>3873759.4919750998</v>
      </c>
    </row>
    <row r="62" spans="1:50" x14ac:dyDescent="0.25">
      <c r="A62" s="2" t="s">
        <v>271</v>
      </c>
      <c r="B62" s="2">
        <v>768.59068118051698</v>
      </c>
      <c r="C62" s="2">
        <v>12.717266666666699</v>
      </c>
      <c r="D62" s="2" t="s">
        <v>51</v>
      </c>
      <c r="E62" s="2" t="s">
        <v>272</v>
      </c>
      <c r="F62" s="2">
        <v>20577</v>
      </c>
      <c r="G62" s="3" t="str">
        <f>HYPERLINK("https://cloud.oebiotech.com/#/lm/network/20577", "https://cloud.oebiotech.com/#/lm/network/20577")</f>
        <v>https://cloud.oebiotech.com/#/lm/network/20577</v>
      </c>
      <c r="H62" s="2"/>
      <c r="I62" s="2">
        <v>77123</v>
      </c>
      <c r="J62" s="2" t="s">
        <v>273</v>
      </c>
      <c r="K62" s="2">
        <v>52924589</v>
      </c>
      <c r="L62" s="2"/>
      <c r="M62" s="2"/>
      <c r="N62" s="2"/>
      <c r="O62" s="2"/>
      <c r="P62" s="2"/>
      <c r="Q62" s="2"/>
      <c r="R62" s="2"/>
      <c r="S62" s="2" t="s">
        <v>274</v>
      </c>
      <c r="T62" s="2" t="s">
        <v>275</v>
      </c>
      <c r="U62" s="2" t="s">
        <v>56</v>
      </c>
      <c r="V62" s="2" t="s">
        <v>57</v>
      </c>
      <c r="W62" s="2" t="s">
        <v>155</v>
      </c>
      <c r="X62" s="2" t="s">
        <v>69</v>
      </c>
      <c r="Y62" s="2">
        <v>61</v>
      </c>
      <c r="Z62" s="2">
        <v>79.400000000000006</v>
      </c>
      <c r="AA62" s="2" t="s">
        <v>156</v>
      </c>
      <c r="AB62" s="2" t="s">
        <v>276</v>
      </c>
      <c r="AC62" s="2">
        <v>0.65446746458366101</v>
      </c>
      <c r="AD62" s="2"/>
      <c r="AE62" s="2">
        <v>3.6922647300337998</v>
      </c>
      <c r="AF62" s="2">
        <v>67458.577710124999</v>
      </c>
      <c r="AG62" s="2">
        <v>345278.29537273198</v>
      </c>
      <c r="AH62" s="4">
        <v>0.19537450982055701</v>
      </c>
      <c r="AI62" s="4">
        <v>-2.3556858412674799</v>
      </c>
      <c r="AJ62" s="4" t="s">
        <v>62</v>
      </c>
      <c r="AK62" s="2">
        <v>2.2148223605760798E-3</v>
      </c>
      <c r="AL62" s="2">
        <v>0.101912249503871</v>
      </c>
      <c r="AM62" s="2">
        <v>6735.5050494140096</v>
      </c>
      <c r="AN62" s="2">
        <v>4707.9188783706004</v>
      </c>
      <c r="AO62" s="2">
        <v>1890.93396303995</v>
      </c>
      <c r="AP62" s="2">
        <v>17529.1185685782</v>
      </c>
      <c r="AQ62" s="2">
        <v>284419.464920939</v>
      </c>
      <c r="AR62" s="2">
        <v>89468.524880408193</v>
      </c>
      <c r="AS62" s="2">
        <v>319174.81325338001</v>
      </c>
      <c r="AT62" s="2">
        <v>310253.43708434002</v>
      </c>
      <c r="AU62" s="2">
        <v>264998.290559071</v>
      </c>
      <c r="AV62" s="2">
        <v>237489.82350399101</v>
      </c>
      <c r="AW62" s="2">
        <v>584144.44586592598</v>
      </c>
      <c r="AX62" s="2">
        <v>355608.96196968498</v>
      </c>
    </row>
    <row r="63" spans="1:50" x14ac:dyDescent="0.25">
      <c r="A63" s="2" t="s">
        <v>1802</v>
      </c>
      <c r="B63" s="2">
        <v>854.55551771647299</v>
      </c>
      <c r="C63" s="2">
        <v>12.332233333333299</v>
      </c>
      <c r="D63" s="2" t="s">
        <v>51</v>
      </c>
      <c r="E63" s="2" t="s">
        <v>1803</v>
      </c>
      <c r="F63" s="2">
        <v>239482</v>
      </c>
      <c r="G63" s="3" t="str">
        <f>HYPERLINK("https://cloud.oebiotech.com/#/lm/network/239482", "https://cloud.oebiotech.com/#/lm/network/239482")</f>
        <v>https://cloud.oebiotech.com/#/lm/network/239482</v>
      </c>
      <c r="H63" s="2" t="s">
        <v>1804</v>
      </c>
      <c r="I63" s="2"/>
      <c r="J63" s="2"/>
      <c r="K63" s="2"/>
      <c r="L63" s="2"/>
      <c r="M63" s="2"/>
      <c r="N63" s="2"/>
      <c r="O63" s="2"/>
      <c r="P63" s="2"/>
      <c r="Q63" s="2"/>
      <c r="R63" s="2"/>
      <c r="S63" s="2" t="s">
        <v>1805</v>
      </c>
      <c r="T63" s="2" t="s">
        <v>1806</v>
      </c>
      <c r="U63" s="2" t="s">
        <v>56</v>
      </c>
      <c r="V63" s="2" t="s">
        <v>57</v>
      </c>
      <c r="W63" s="2" t="s">
        <v>58</v>
      </c>
      <c r="X63" s="2" t="s">
        <v>59</v>
      </c>
      <c r="Y63" s="2">
        <v>52.7</v>
      </c>
      <c r="Z63" s="2">
        <v>78.900000000000006</v>
      </c>
      <c r="AA63" s="2" t="s">
        <v>60</v>
      </c>
      <c r="AB63" s="2" t="s">
        <v>1091</v>
      </c>
      <c r="AC63" s="2">
        <v>1.5725778103724499</v>
      </c>
      <c r="AD63" s="2"/>
      <c r="AE63" s="2">
        <v>3.6210575900973998</v>
      </c>
      <c r="AF63" s="2">
        <v>691196.92582494905</v>
      </c>
      <c r="AG63" s="2">
        <v>321962.66798638599</v>
      </c>
      <c r="AH63" s="5">
        <v>2.1468232020433402</v>
      </c>
      <c r="AI63" s="5">
        <v>1.10220338540359</v>
      </c>
      <c r="AJ63" s="5" t="s">
        <v>139</v>
      </c>
      <c r="AK63" s="2">
        <v>6.3225351849360595E-2</v>
      </c>
      <c r="AL63" s="2">
        <v>0.33601027492909402</v>
      </c>
      <c r="AM63" s="2">
        <v>1125360.62530464</v>
      </c>
      <c r="AN63" s="2">
        <v>560121.49471914</v>
      </c>
      <c r="AO63" s="2">
        <v>490097.76749534498</v>
      </c>
      <c r="AP63" s="2">
        <v>1139047.5371757301</v>
      </c>
      <c r="AQ63" s="2">
        <v>227295.853183687</v>
      </c>
      <c r="AR63" s="2">
        <v>605258.277071152</v>
      </c>
      <c r="AS63" s="2">
        <v>472031.46980495902</v>
      </c>
      <c r="AT63" s="2">
        <v>684067.576143577</v>
      </c>
      <c r="AU63" s="2">
        <v>147162.10026658201</v>
      </c>
      <c r="AV63" s="2">
        <v>135268.32319216899</v>
      </c>
      <c r="AW63" s="2">
        <v>109748.099593294</v>
      </c>
      <c r="AX63" s="2">
        <v>383498.438917736</v>
      </c>
    </row>
    <row r="64" spans="1:50" x14ac:dyDescent="0.25">
      <c r="A64" s="2" t="s">
        <v>277</v>
      </c>
      <c r="B64" s="2">
        <v>351.217932073253</v>
      </c>
      <c r="C64" s="2">
        <v>8.1461000000000006</v>
      </c>
      <c r="D64" s="2" t="s">
        <v>51</v>
      </c>
      <c r="E64" s="2" t="s">
        <v>278</v>
      </c>
      <c r="F64" s="2">
        <v>52194</v>
      </c>
      <c r="G64" s="3" t="str">
        <f>HYPERLINK("https://cloud.oebiotech.com/#/lm/network/52194", "https://cloud.oebiotech.com/#/lm/network/52194")</f>
        <v>https://cloud.oebiotech.com/#/lm/network/52194</v>
      </c>
      <c r="H64" s="2" t="s">
        <v>279</v>
      </c>
      <c r="I64" s="2"/>
      <c r="J64" s="2"/>
      <c r="K64" s="2">
        <v>53481631</v>
      </c>
      <c r="L64" s="2" t="s">
        <v>280</v>
      </c>
      <c r="M64" s="2"/>
      <c r="N64" s="2"/>
      <c r="O64" s="2"/>
      <c r="P64" s="2"/>
      <c r="Q64" s="2"/>
      <c r="R64" s="2"/>
      <c r="S64" s="2" t="s">
        <v>281</v>
      </c>
      <c r="T64" s="2" t="s">
        <v>282</v>
      </c>
      <c r="U64" s="2" t="s">
        <v>56</v>
      </c>
      <c r="V64" s="2" t="s">
        <v>283</v>
      </c>
      <c r="W64" s="2" t="s">
        <v>284</v>
      </c>
      <c r="X64" s="2" t="s">
        <v>69</v>
      </c>
      <c r="Y64" s="2">
        <v>56.3</v>
      </c>
      <c r="Z64" s="2">
        <v>60.4</v>
      </c>
      <c r="AA64" s="2" t="s">
        <v>218</v>
      </c>
      <c r="AB64" s="2" t="s">
        <v>285</v>
      </c>
      <c r="AC64" s="2">
        <v>0.76540676592899104</v>
      </c>
      <c r="AD64" s="2"/>
      <c r="AE64" s="2">
        <v>3.5899329028382301</v>
      </c>
      <c r="AF64" s="2">
        <v>495441.60882796801</v>
      </c>
      <c r="AG64" s="2">
        <v>233916.11620851699</v>
      </c>
      <c r="AH64" s="5">
        <v>2.1180310996029101</v>
      </c>
      <c r="AI64" s="5">
        <v>1.08272377295324</v>
      </c>
      <c r="AJ64" s="5" t="s">
        <v>139</v>
      </c>
      <c r="AK64" s="2">
        <v>1.2890185962312101E-3</v>
      </c>
      <c r="AL64" s="2">
        <v>9.4480288960798894E-2</v>
      </c>
      <c r="AM64" s="2">
        <v>490036.49311696697</v>
      </c>
      <c r="AN64" s="2">
        <v>666632.48633349699</v>
      </c>
      <c r="AO64" s="2">
        <v>522382.288346808</v>
      </c>
      <c r="AP64" s="2">
        <v>373024.42937862402</v>
      </c>
      <c r="AQ64" s="2">
        <v>418667.97838799999</v>
      </c>
      <c r="AR64" s="2">
        <v>501905.97740391002</v>
      </c>
      <c r="AS64" s="2">
        <v>409761.05120303802</v>
      </c>
      <c r="AT64" s="2">
        <v>195485.666544793</v>
      </c>
      <c r="AU64" s="2">
        <v>265300.24472413299</v>
      </c>
      <c r="AV64" s="2">
        <v>100377.661396151</v>
      </c>
      <c r="AW64" s="2">
        <v>183983.762305849</v>
      </c>
      <c r="AX64" s="2">
        <v>248588.31107713599</v>
      </c>
    </row>
    <row r="65" spans="1:50" x14ac:dyDescent="0.25">
      <c r="A65" s="2" t="s">
        <v>1807</v>
      </c>
      <c r="B65" s="2">
        <v>316.94773642366999</v>
      </c>
      <c r="C65" s="2">
        <v>0.63154999999999994</v>
      </c>
      <c r="D65" s="2" t="s">
        <v>51</v>
      </c>
      <c r="E65" s="2" t="s">
        <v>1808</v>
      </c>
      <c r="F65" s="2">
        <v>257348</v>
      </c>
      <c r="G65" s="3" t="str">
        <f>HYPERLINK("https://cloud.oebiotech.com/#/lm/network/257348", "https://cloud.oebiotech.com/#/lm/network/257348")</f>
        <v>https://cloud.oebiotech.com/#/lm/network/257348</v>
      </c>
      <c r="H65" s="2" t="s">
        <v>1809</v>
      </c>
      <c r="I65" s="2"/>
      <c r="J65" s="2"/>
      <c r="K65" s="2">
        <v>73743762</v>
      </c>
      <c r="L65" s="2"/>
      <c r="M65" s="2"/>
      <c r="N65" s="2"/>
      <c r="O65" s="2"/>
      <c r="P65" s="2"/>
      <c r="Q65" s="2"/>
      <c r="R65" s="2"/>
      <c r="S65" s="2" t="s">
        <v>1810</v>
      </c>
      <c r="T65" s="2" t="s">
        <v>1811</v>
      </c>
      <c r="U65" s="2" t="s">
        <v>331</v>
      </c>
      <c r="V65" s="2" t="s">
        <v>332</v>
      </c>
      <c r="W65" s="2" t="s">
        <v>333</v>
      </c>
      <c r="X65" s="2" t="s">
        <v>147</v>
      </c>
      <c r="Y65" s="2">
        <v>39</v>
      </c>
      <c r="Z65" s="2">
        <v>0.432</v>
      </c>
      <c r="AA65" s="2" t="s">
        <v>379</v>
      </c>
      <c r="AB65" s="2" t="s">
        <v>1812</v>
      </c>
      <c r="AC65" s="2">
        <v>2.4661166160085299</v>
      </c>
      <c r="AD65" s="2"/>
      <c r="AE65" s="2">
        <v>3.4564164113884299</v>
      </c>
      <c r="AF65" s="2">
        <v>1053093.8741687301</v>
      </c>
      <c r="AG65" s="2">
        <v>1389018.10363736</v>
      </c>
      <c r="AH65" s="4">
        <v>0.75815705454885096</v>
      </c>
      <c r="AI65" s="4">
        <v>-0.39943135684904602</v>
      </c>
      <c r="AJ65" s="4" t="s">
        <v>62</v>
      </c>
      <c r="AK65" s="2">
        <v>5.61962626728E-2</v>
      </c>
      <c r="AL65" s="2">
        <v>0.32510032444738302</v>
      </c>
      <c r="AM65" s="2">
        <v>854484.37174305704</v>
      </c>
      <c r="AN65" s="2">
        <v>1429448.7659543001</v>
      </c>
      <c r="AO65" s="2">
        <v>1129306.5641871099</v>
      </c>
      <c r="AP65" s="2">
        <v>1172248.27228488</v>
      </c>
      <c r="AQ65" s="2">
        <v>926144.23693519598</v>
      </c>
      <c r="AR65" s="2">
        <v>806931.03390782897</v>
      </c>
      <c r="AS65" s="2">
        <v>1437634.0571317</v>
      </c>
      <c r="AT65" s="2">
        <v>1099719.7457880699</v>
      </c>
      <c r="AU65" s="2">
        <v>1332641.2092641499</v>
      </c>
      <c r="AV65" s="2">
        <v>1591386.0489000599</v>
      </c>
      <c r="AW65" s="2">
        <v>1040298.77230643</v>
      </c>
      <c r="AX65" s="2">
        <v>1832428.7884337299</v>
      </c>
    </row>
    <row r="66" spans="1:50" x14ac:dyDescent="0.25">
      <c r="A66" s="2" t="s">
        <v>1813</v>
      </c>
      <c r="B66" s="2">
        <v>574.159122583932</v>
      </c>
      <c r="C66" s="2">
        <v>4.3825500000000002</v>
      </c>
      <c r="D66" s="2" t="s">
        <v>51</v>
      </c>
      <c r="E66" s="2" t="s">
        <v>1814</v>
      </c>
      <c r="F66" s="2">
        <v>210685</v>
      </c>
      <c r="G66" s="3" t="str">
        <f>HYPERLINK("https://cloud.oebiotech.com/#/lm/network/210685", "https://cloud.oebiotech.com/#/lm/network/210685")</f>
        <v>https://cloud.oebiotech.com/#/lm/network/210685</v>
      </c>
      <c r="H66" s="2" t="s">
        <v>1815</v>
      </c>
      <c r="I66" s="2"/>
      <c r="J66" s="2"/>
      <c r="K66" s="2">
        <v>91302628</v>
      </c>
      <c r="L66" s="2"/>
      <c r="M66" s="2"/>
      <c r="N66" s="2"/>
      <c r="O66" s="2"/>
      <c r="P66" s="2"/>
      <c r="Q66" s="2"/>
      <c r="R66" s="2"/>
      <c r="S66" s="2" t="s">
        <v>1816</v>
      </c>
      <c r="T66" s="2" t="s">
        <v>1817</v>
      </c>
      <c r="U66" s="2" t="s">
        <v>295</v>
      </c>
      <c r="V66" s="2" t="s">
        <v>1818</v>
      </c>
      <c r="W66" s="2" t="s">
        <v>1819</v>
      </c>
      <c r="X66" s="2" t="s">
        <v>59</v>
      </c>
      <c r="Y66" s="2">
        <v>48.8</v>
      </c>
      <c r="Z66" s="2">
        <v>50.2</v>
      </c>
      <c r="AA66" s="2" t="s">
        <v>218</v>
      </c>
      <c r="AB66" s="2" t="s">
        <v>1820</v>
      </c>
      <c r="AC66" s="2">
        <v>-3.07024099793371</v>
      </c>
      <c r="AD66" s="2"/>
      <c r="AE66" s="2">
        <v>3.44831323470309</v>
      </c>
      <c r="AF66" s="2">
        <v>9169.4054016469599</v>
      </c>
      <c r="AG66" s="2">
        <v>549478.37974961603</v>
      </c>
      <c r="AH66" s="4">
        <v>1.66874725914152E-2</v>
      </c>
      <c r="AI66" s="4">
        <v>-5.9050907225482803</v>
      </c>
      <c r="AJ66" s="4" t="s">
        <v>62</v>
      </c>
      <c r="AK66" s="2">
        <v>0.33796938702134099</v>
      </c>
      <c r="AL66" s="2">
        <v>0.63815037094278604</v>
      </c>
      <c r="AM66" s="2">
        <v>8.559877937157E-6</v>
      </c>
      <c r="AN66" s="2">
        <v>8.559877937157E-6</v>
      </c>
      <c r="AO66" s="2">
        <v>4305.2160408811096</v>
      </c>
      <c r="AP66" s="2">
        <v>791.83177067423799</v>
      </c>
      <c r="AQ66" s="2">
        <v>2236.6820259864498</v>
      </c>
      <c r="AR66" s="2">
        <v>47682.702555220203</v>
      </c>
      <c r="AS66" s="2">
        <v>31981.409777715198</v>
      </c>
      <c r="AT66" s="2">
        <v>8.559877937157E-6</v>
      </c>
      <c r="AU66" s="2">
        <v>8.559877937157E-6</v>
      </c>
      <c r="AV66" s="2">
        <v>8.559877937157E-6</v>
      </c>
      <c r="AW66" s="2">
        <v>3233467.7753178198</v>
      </c>
      <c r="AX66" s="2">
        <v>31421.093376483699</v>
      </c>
    </row>
    <row r="67" spans="1:50" x14ac:dyDescent="0.25">
      <c r="A67" s="2" t="s">
        <v>1821</v>
      </c>
      <c r="B67" s="2">
        <v>415.21260870101702</v>
      </c>
      <c r="C67" s="2">
        <v>9.6638500000000001</v>
      </c>
      <c r="D67" s="2" t="s">
        <v>51</v>
      </c>
      <c r="E67" s="2" t="s">
        <v>1822</v>
      </c>
      <c r="F67" s="2">
        <v>64496</v>
      </c>
      <c r="G67" s="3" t="str">
        <f>HYPERLINK("https://cloud.oebiotech.com/#/lm/network/64496", "https://cloud.oebiotech.com/#/lm/network/64496")</f>
        <v>https://cloud.oebiotech.com/#/lm/network/64496</v>
      </c>
      <c r="H67" s="2" t="s">
        <v>1823</v>
      </c>
      <c r="I67" s="2">
        <v>95806</v>
      </c>
      <c r="J67" s="2"/>
      <c r="K67" s="2">
        <v>15293564</v>
      </c>
      <c r="L67" s="2"/>
      <c r="M67" s="2"/>
      <c r="N67" s="2"/>
      <c r="O67" s="2">
        <v>168278</v>
      </c>
      <c r="P67" s="2"/>
      <c r="Q67" s="2"/>
      <c r="R67" s="2"/>
      <c r="S67" s="2" t="s">
        <v>1824</v>
      </c>
      <c r="T67" s="2" t="s">
        <v>1825</v>
      </c>
      <c r="U67" s="2" t="s">
        <v>540</v>
      </c>
      <c r="V67" s="2" t="s">
        <v>1826</v>
      </c>
      <c r="W67" s="2" t="s">
        <v>1827</v>
      </c>
      <c r="X67" s="2" t="s">
        <v>69</v>
      </c>
      <c r="Y67" s="2">
        <v>58.5</v>
      </c>
      <c r="Z67" s="2">
        <v>79.400000000000006</v>
      </c>
      <c r="AA67" s="2" t="s">
        <v>1828</v>
      </c>
      <c r="AB67" s="2" t="s">
        <v>1340</v>
      </c>
      <c r="AC67" s="2">
        <v>2.6402181685043402</v>
      </c>
      <c r="AD67" s="2"/>
      <c r="AE67" s="2">
        <v>3.4470525632593501</v>
      </c>
      <c r="AF67" s="2">
        <v>416605.70509804902</v>
      </c>
      <c r="AG67" s="2">
        <v>878722.84297199198</v>
      </c>
      <c r="AH67" s="4">
        <v>0.47410364761773699</v>
      </c>
      <c r="AI67" s="4">
        <v>-1.0767256020977301</v>
      </c>
      <c r="AJ67" s="4" t="s">
        <v>62</v>
      </c>
      <c r="AK67" s="2">
        <v>0.13974356598103099</v>
      </c>
      <c r="AL67" s="2">
        <v>0.45949604540634398</v>
      </c>
      <c r="AM67" s="2">
        <v>47613.796179670702</v>
      </c>
      <c r="AN67" s="2">
        <v>49965.3539800324</v>
      </c>
      <c r="AO67" s="2">
        <v>752502.76786808099</v>
      </c>
      <c r="AP67" s="2">
        <v>421697.67435371701</v>
      </c>
      <c r="AQ67" s="2">
        <v>1163343.8885673999</v>
      </c>
      <c r="AR67" s="2">
        <v>64510.749639395901</v>
      </c>
      <c r="AS67" s="2">
        <v>1333082.31219342</v>
      </c>
      <c r="AT67" s="2">
        <v>866890.191821335</v>
      </c>
      <c r="AU67" s="2">
        <v>1321572.7947607101</v>
      </c>
      <c r="AV67" s="2">
        <v>220546.455533801</v>
      </c>
      <c r="AW67" s="2">
        <v>234725.967929993</v>
      </c>
      <c r="AX67" s="2">
        <v>1295519.3355926899</v>
      </c>
    </row>
    <row r="68" spans="1:50" x14ac:dyDescent="0.25">
      <c r="A68" s="2" t="s">
        <v>286</v>
      </c>
      <c r="B68" s="2">
        <v>579.02784428741597</v>
      </c>
      <c r="C68" s="2">
        <v>14.4452</v>
      </c>
      <c r="D68" s="2" t="s">
        <v>51</v>
      </c>
      <c r="E68" s="2" t="s">
        <v>287</v>
      </c>
      <c r="F68" s="2">
        <v>51978</v>
      </c>
      <c r="G68" s="3" t="str">
        <f>HYPERLINK("https://cloud.oebiotech.com/#/lm/network/51978", "https://cloud.oebiotech.com/#/lm/network/51978")</f>
        <v>https://cloud.oebiotech.com/#/lm/network/51978</v>
      </c>
      <c r="H68" s="2" t="s">
        <v>288</v>
      </c>
      <c r="I68" s="2">
        <v>62921</v>
      </c>
      <c r="J68" s="2"/>
      <c r="K68" s="2">
        <v>15592253</v>
      </c>
      <c r="L68" s="2" t="s">
        <v>289</v>
      </c>
      <c r="M68" s="2" t="s">
        <v>290</v>
      </c>
      <c r="N68" s="2" t="s">
        <v>291</v>
      </c>
      <c r="O68" s="2">
        <v>16085</v>
      </c>
      <c r="P68" s="2"/>
      <c r="Q68" s="2"/>
      <c r="R68" s="2" t="s">
        <v>292</v>
      </c>
      <c r="S68" s="2" t="s">
        <v>293</v>
      </c>
      <c r="T68" s="2" t="s">
        <v>294</v>
      </c>
      <c r="U68" s="2" t="s">
        <v>295</v>
      </c>
      <c r="V68" s="2" t="s">
        <v>296</v>
      </c>
      <c r="W68" s="2" t="s">
        <v>297</v>
      </c>
      <c r="X68" s="2" t="s">
        <v>147</v>
      </c>
      <c r="Y68" s="2">
        <v>45.2</v>
      </c>
      <c r="Z68" s="2">
        <v>38.1</v>
      </c>
      <c r="AA68" s="2" t="s">
        <v>298</v>
      </c>
      <c r="AB68" s="2" t="s">
        <v>299</v>
      </c>
      <c r="AC68" s="2">
        <v>1.44059104265208</v>
      </c>
      <c r="AD68" s="2"/>
      <c r="AE68" s="2">
        <v>3.40926752052372</v>
      </c>
      <c r="AF68" s="2">
        <v>687756.92388326698</v>
      </c>
      <c r="AG68" s="2">
        <v>901710.77878301602</v>
      </c>
      <c r="AH68" s="4">
        <v>0.76272452327950502</v>
      </c>
      <c r="AI68" s="4">
        <v>-0.39076600854906302</v>
      </c>
      <c r="AJ68" s="4" t="s">
        <v>62</v>
      </c>
      <c r="AK68" s="2">
        <v>4.9767978909537195E-4</v>
      </c>
      <c r="AL68" s="2">
        <v>6.2396646922794598E-2</v>
      </c>
      <c r="AM68" s="2">
        <v>561580.40705241798</v>
      </c>
      <c r="AN68" s="2">
        <v>653898.71759240504</v>
      </c>
      <c r="AO68" s="2">
        <v>715927.53338365105</v>
      </c>
      <c r="AP68" s="2">
        <v>716379.57504192996</v>
      </c>
      <c r="AQ68" s="2">
        <v>790654.18715345196</v>
      </c>
      <c r="AR68" s="2">
        <v>688101.12307574798</v>
      </c>
      <c r="AS68" s="2">
        <v>890864.58162400394</v>
      </c>
      <c r="AT68" s="2">
        <v>969415.23242202401</v>
      </c>
      <c r="AU68" s="2">
        <v>773188.17174171202</v>
      </c>
      <c r="AV68" s="2">
        <v>935355.97225205705</v>
      </c>
      <c r="AW68" s="2">
        <v>893688.67856019596</v>
      </c>
      <c r="AX68" s="2">
        <v>947752.03609810199</v>
      </c>
    </row>
    <row r="69" spans="1:50" x14ac:dyDescent="0.25">
      <c r="A69" s="2" t="s">
        <v>1829</v>
      </c>
      <c r="B69" s="2">
        <v>174.1113</v>
      </c>
      <c r="C69" s="2">
        <v>10.871</v>
      </c>
      <c r="D69" s="2" t="s">
        <v>125</v>
      </c>
      <c r="E69" s="2" t="s">
        <v>1830</v>
      </c>
      <c r="F69" s="2">
        <v>46881</v>
      </c>
      <c r="G69" s="3" t="str">
        <f>HYPERLINK("https://cloud.oebiotech.com/#/lm/network/46881", "https://cloud.oebiotech.com/#/lm/network/46881")</f>
        <v>https://cloud.oebiotech.com/#/lm/network/46881</v>
      </c>
      <c r="H69" s="2" t="s">
        <v>1831</v>
      </c>
      <c r="I69" s="2">
        <v>20</v>
      </c>
      <c r="J69" s="2"/>
      <c r="K69" s="2">
        <v>750</v>
      </c>
      <c r="L69" s="2" t="s">
        <v>1832</v>
      </c>
      <c r="M69" s="2" t="s">
        <v>1833</v>
      </c>
      <c r="N69" s="2" t="s">
        <v>1834</v>
      </c>
      <c r="O69" s="2">
        <v>15428</v>
      </c>
      <c r="P69" s="2"/>
      <c r="Q69" s="2"/>
      <c r="R69" s="2" t="s">
        <v>1835</v>
      </c>
      <c r="S69" s="2" t="s">
        <v>1836</v>
      </c>
      <c r="T69" s="2" t="s">
        <v>1837</v>
      </c>
      <c r="U69" s="2" t="s">
        <v>103</v>
      </c>
      <c r="V69" s="2" t="s">
        <v>104</v>
      </c>
      <c r="W69" s="2" t="s">
        <v>105</v>
      </c>
      <c r="X69" s="2" t="s">
        <v>69</v>
      </c>
      <c r="Y69" s="2">
        <v>97.6</v>
      </c>
      <c r="Z69" s="2">
        <v>99.4</v>
      </c>
      <c r="AA69" s="2"/>
      <c r="AB69" s="2" t="s">
        <v>1838</v>
      </c>
      <c r="AC69" s="2"/>
      <c r="AD69" s="2">
        <v>367893.70919881301</v>
      </c>
      <c r="AE69" s="2">
        <v>3.4010499859208401</v>
      </c>
      <c r="AF69" s="2">
        <v>5366626.4925589403</v>
      </c>
      <c r="AG69" s="2">
        <v>8829947.1150630191</v>
      </c>
      <c r="AH69" s="4">
        <v>0.60777560982262402</v>
      </c>
      <c r="AI69" s="4">
        <v>-0.71838931455492905</v>
      </c>
      <c r="AJ69" s="4" t="s">
        <v>62</v>
      </c>
      <c r="AK69" s="2">
        <v>0.169528584407238</v>
      </c>
      <c r="AL69" s="2">
        <v>0.49116257804962998</v>
      </c>
      <c r="AM69" s="2">
        <v>6639208.9968800498</v>
      </c>
      <c r="AN69" s="2">
        <v>5716976.2839472704</v>
      </c>
      <c r="AO69" s="2">
        <v>5704972.0670532798</v>
      </c>
      <c r="AP69" s="2">
        <v>7053526.39808047</v>
      </c>
      <c r="AQ69" s="2">
        <v>2032710.4355025</v>
      </c>
      <c r="AR69" s="2">
        <v>5052364.7738900902</v>
      </c>
      <c r="AS69" s="2">
        <v>3283388.68324917</v>
      </c>
      <c r="AT69" s="2">
        <v>4662374.8771934696</v>
      </c>
      <c r="AU69" s="2">
        <v>15761394.5224836</v>
      </c>
      <c r="AV69" s="2">
        <v>15381966.6261966</v>
      </c>
      <c r="AW69" s="2">
        <v>5938035.9701775499</v>
      </c>
      <c r="AX69" s="2">
        <v>7952522.01107773</v>
      </c>
    </row>
    <row r="70" spans="1:50" x14ac:dyDescent="0.25">
      <c r="A70" s="2" t="s">
        <v>1839</v>
      </c>
      <c r="B70" s="2">
        <v>617.51542480703097</v>
      </c>
      <c r="C70" s="2">
        <v>14.667066666666701</v>
      </c>
      <c r="D70" s="2" t="s">
        <v>51</v>
      </c>
      <c r="E70" s="2" t="s">
        <v>1840</v>
      </c>
      <c r="F70" s="2">
        <v>249090</v>
      </c>
      <c r="G70" s="3" t="str">
        <f>HYPERLINK("https://cloud.oebiotech.com/#/lm/network/249090", "https://cloud.oebiotech.com/#/lm/network/249090")</f>
        <v>https://cloud.oebiotech.com/#/lm/network/249090</v>
      </c>
      <c r="H70" s="2" t="s">
        <v>1841</v>
      </c>
      <c r="I70" s="2"/>
      <c r="J70" s="2"/>
      <c r="K70" s="2"/>
      <c r="L70" s="2"/>
      <c r="M70" s="2"/>
      <c r="N70" s="2"/>
      <c r="O70" s="2"/>
      <c r="P70" s="2"/>
      <c r="Q70" s="2"/>
      <c r="R70" s="2"/>
      <c r="S70" s="2" t="s">
        <v>1842</v>
      </c>
      <c r="T70" s="2" t="s">
        <v>1843</v>
      </c>
      <c r="U70" s="2" t="s">
        <v>56</v>
      </c>
      <c r="V70" s="2" t="s">
        <v>145</v>
      </c>
      <c r="W70" s="2" t="s">
        <v>203</v>
      </c>
      <c r="X70" s="2" t="s">
        <v>59</v>
      </c>
      <c r="Y70" s="2">
        <v>49.8</v>
      </c>
      <c r="Z70" s="2">
        <v>53.2</v>
      </c>
      <c r="AA70" s="2" t="s">
        <v>1844</v>
      </c>
      <c r="AB70" s="2" t="s">
        <v>1845</v>
      </c>
      <c r="AC70" s="2">
        <v>2.3215992846646998</v>
      </c>
      <c r="AD70" s="2"/>
      <c r="AE70" s="2">
        <v>3.3999046099058701</v>
      </c>
      <c r="AF70" s="2">
        <v>1313162.59466162</v>
      </c>
      <c r="AG70" s="2">
        <v>1864078.5201439599</v>
      </c>
      <c r="AH70" s="4">
        <v>0.70445669561183799</v>
      </c>
      <c r="AI70" s="4">
        <v>-0.50541707102987399</v>
      </c>
      <c r="AJ70" s="4" t="s">
        <v>62</v>
      </c>
      <c r="AK70" s="2">
        <v>0.16914930631632799</v>
      </c>
      <c r="AL70" s="2">
        <v>0.49098458663462602</v>
      </c>
      <c r="AM70" s="2">
        <v>959040.17251927801</v>
      </c>
      <c r="AN70" s="2">
        <v>2236634.9779338399</v>
      </c>
      <c r="AO70" s="2">
        <v>1387185.9869822999</v>
      </c>
      <c r="AP70" s="2">
        <v>1025258.45619396</v>
      </c>
      <c r="AQ70" s="2">
        <v>1488390.08452888</v>
      </c>
      <c r="AR70" s="2">
        <v>782465.88981145096</v>
      </c>
      <c r="AS70" s="2">
        <v>965454.950822677</v>
      </c>
      <c r="AT70" s="2">
        <v>2002546.21582672</v>
      </c>
      <c r="AU70" s="2">
        <v>1813696.2158404</v>
      </c>
      <c r="AV70" s="2">
        <v>3159443.75083532</v>
      </c>
      <c r="AW70" s="2">
        <v>1355221.9133413499</v>
      </c>
      <c r="AX70" s="2">
        <v>1888108.07419729</v>
      </c>
    </row>
    <row r="71" spans="1:50" x14ac:dyDescent="0.25">
      <c r="A71" s="2" t="s">
        <v>1846</v>
      </c>
      <c r="B71" s="2">
        <v>200.04777594715199</v>
      </c>
      <c r="C71" s="2">
        <v>3.64313333333333</v>
      </c>
      <c r="D71" s="2" t="s">
        <v>51</v>
      </c>
      <c r="E71" s="2" t="s">
        <v>1847</v>
      </c>
      <c r="F71" s="2">
        <v>199214</v>
      </c>
      <c r="G71" s="3" t="str">
        <f>HYPERLINK("https://cloud.oebiotech.com/#/lm/network/199214", "https://cloud.oebiotech.com/#/lm/network/199214")</f>
        <v>https://cloud.oebiotech.com/#/lm/network/199214</v>
      </c>
      <c r="H71" s="2" t="s">
        <v>1848</v>
      </c>
      <c r="I71" s="2"/>
      <c r="J71" s="2"/>
      <c r="K71" s="2">
        <v>2757760</v>
      </c>
      <c r="L71" s="2"/>
      <c r="M71" s="2"/>
      <c r="N71" s="2"/>
      <c r="O71" s="2"/>
      <c r="P71" s="2"/>
      <c r="Q71" s="2"/>
      <c r="R71" s="2"/>
      <c r="S71" s="2" t="s">
        <v>1849</v>
      </c>
      <c r="T71" s="2" t="s">
        <v>1850</v>
      </c>
      <c r="U71" s="2" t="s">
        <v>103</v>
      </c>
      <c r="V71" s="2" t="s">
        <v>104</v>
      </c>
      <c r="W71" s="2" t="s">
        <v>105</v>
      </c>
      <c r="X71" s="2" t="s">
        <v>69</v>
      </c>
      <c r="Y71" s="2">
        <v>56.4</v>
      </c>
      <c r="Z71" s="2">
        <v>98.7</v>
      </c>
      <c r="AA71" s="2" t="s">
        <v>259</v>
      </c>
      <c r="AB71" s="2" t="s">
        <v>1851</v>
      </c>
      <c r="AC71" s="2">
        <v>2.47814769130889</v>
      </c>
      <c r="AD71" s="2"/>
      <c r="AE71" s="2">
        <v>3.3615645999902601</v>
      </c>
      <c r="AF71" s="2">
        <v>5868936.9931938099</v>
      </c>
      <c r="AG71" s="2">
        <v>6390028.18198469</v>
      </c>
      <c r="AH71" s="4">
        <v>0.91845244278264904</v>
      </c>
      <c r="AI71" s="4">
        <v>-0.122723073973077</v>
      </c>
      <c r="AJ71" s="4" t="s">
        <v>62</v>
      </c>
      <c r="AK71" s="2">
        <v>0.59278925160373996</v>
      </c>
      <c r="AL71" s="2">
        <v>0.79408952648050901</v>
      </c>
      <c r="AM71" s="2">
        <v>3365493.7560937302</v>
      </c>
      <c r="AN71" s="2">
        <v>6363989.9651886905</v>
      </c>
      <c r="AO71" s="2">
        <v>5034082.43691028</v>
      </c>
      <c r="AP71" s="2">
        <v>7122707.5797225405</v>
      </c>
      <c r="AQ71" s="2">
        <v>8209562.5204855502</v>
      </c>
      <c r="AR71" s="2">
        <v>5117785.7007620698</v>
      </c>
      <c r="AS71" s="2">
        <v>6383133.86472503</v>
      </c>
      <c r="AT71" s="2">
        <v>7681386.1799865896</v>
      </c>
      <c r="AU71" s="2">
        <v>4894470.3914292604</v>
      </c>
      <c r="AV71" s="2">
        <v>4167059.1494941399</v>
      </c>
      <c r="AW71" s="2">
        <v>7781781.8849722696</v>
      </c>
      <c r="AX71" s="2">
        <v>7432337.6213008696</v>
      </c>
    </row>
    <row r="72" spans="1:50" x14ac:dyDescent="0.25">
      <c r="A72" s="2" t="s">
        <v>1852</v>
      </c>
      <c r="B72" s="2">
        <v>1035.6632381127099</v>
      </c>
      <c r="C72" s="2">
        <v>10.82375</v>
      </c>
      <c r="D72" s="2" t="s">
        <v>51</v>
      </c>
      <c r="E72" s="2" t="s">
        <v>1853</v>
      </c>
      <c r="F72" s="2">
        <v>42034</v>
      </c>
      <c r="G72" s="3" t="str">
        <f>HYPERLINK("https://cloud.oebiotech.com/#/lm/network/42034", "https://cloud.oebiotech.com/#/lm/network/42034")</f>
        <v>https://cloud.oebiotech.com/#/lm/network/42034</v>
      </c>
      <c r="H72" s="2"/>
      <c r="I72" s="2"/>
      <c r="J72" s="2" t="s">
        <v>1854</v>
      </c>
      <c r="K72" s="2">
        <v>44261964</v>
      </c>
      <c r="L72" s="2"/>
      <c r="M72" s="2"/>
      <c r="N72" s="2"/>
      <c r="O72" s="2"/>
      <c r="P72" s="2"/>
      <c r="Q72" s="2"/>
      <c r="R72" s="2"/>
      <c r="S72" s="2" t="s">
        <v>1855</v>
      </c>
      <c r="T72" s="2" t="s">
        <v>1856</v>
      </c>
      <c r="U72" s="2" t="s">
        <v>56</v>
      </c>
      <c r="V72" s="2" t="s">
        <v>344</v>
      </c>
      <c r="W72" s="2" t="s">
        <v>345</v>
      </c>
      <c r="X72" s="2" t="s">
        <v>147</v>
      </c>
      <c r="Y72" s="2">
        <v>43.5</v>
      </c>
      <c r="Z72" s="2">
        <v>27.3</v>
      </c>
      <c r="AA72" s="2" t="s">
        <v>218</v>
      </c>
      <c r="AB72" s="2" t="s">
        <v>1857</v>
      </c>
      <c r="AC72" s="2">
        <v>4.7446187199772396</v>
      </c>
      <c r="AD72" s="2"/>
      <c r="AE72" s="2">
        <v>3.3501311558930502</v>
      </c>
      <c r="AF72" s="2">
        <v>3226273.3732013698</v>
      </c>
      <c r="AG72" s="2">
        <v>3920703.70017946</v>
      </c>
      <c r="AH72" s="4">
        <v>0.82288120192650605</v>
      </c>
      <c r="AI72" s="4">
        <v>-0.28124392883646498</v>
      </c>
      <c r="AJ72" s="4" t="s">
        <v>62</v>
      </c>
      <c r="AK72" s="2">
        <v>0.434862975295286</v>
      </c>
      <c r="AL72" s="2">
        <v>0.69235223500351695</v>
      </c>
      <c r="AM72" s="2">
        <v>4364437.2562644295</v>
      </c>
      <c r="AN72" s="2">
        <v>3290636.2027219501</v>
      </c>
      <c r="AO72" s="2">
        <v>2731874.0596167701</v>
      </c>
      <c r="AP72" s="2">
        <v>2922994.7249397798</v>
      </c>
      <c r="AQ72" s="2">
        <v>1960134.2386956599</v>
      </c>
      <c r="AR72" s="2">
        <v>4087563.75696964</v>
      </c>
      <c r="AS72" s="2">
        <v>1956532.56924232</v>
      </c>
      <c r="AT72" s="2">
        <v>1652494.1037900499</v>
      </c>
      <c r="AU72" s="2">
        <v>4077875.78019593</v>
      </c>
      <c r="AV72" s="2">
        <v>6760921.4758782797</v>
      </c>
      <c r="AW72" s="2">
        <v>4642785.3540385803</v>
      </c>
      <c r="AX72" s="2">
        <v>4433612.91793158</v>
      </c>
    </row>
    <row r="73" spans="1:50" x14ac:dyDescent="0.25">
      <c r="A73" s="2" t="s">
        <v>1858</v>
      </c>
      <c r="B73" s="2">
        <v>359.22301562500098</v>
      </c>
      <c r="C73" s="2">
        <v>9.4598666666666702</v>
      </c>
      <c r="D73" s="2" t="s">
        <v>51</v>
      </c>
      <c r="E73" s="2" t="s">
        <v>1859</v>
      </c>
      <c r="F73" s="2">
        <v>5978</v>
      </c>
      <c r="G73" s="3" t="str">
        <f>HYPERLINK("https://cloud.oebiotech.com/#/lm/network/5978", "https://cloud.oebiotech.com/#/lm/network/5978")</f>
        <v>https://cloud.oebiotech.com/#/lm/network/5978</v>
      </c>
      <c r="H73" s="2"/>
      <c r="I73" s="2"/>
      <c r="J73" s="2" t="s">
        <v>1860</v>
      </c>
      <c r="K73" s="2">
        <v>101894912</v>
      </c>
      <c r="L73" s="2"/>
      <c r="M73" s="2"/>
      <c r="N73" s="2"/>
      <c r="O73" s="2">
        <v>138248</v>
      </c>
      <c r="P73" s="2" t="s">
        <v>1861</v>
      </c>
      <c r="Q73" s="2" t="s">
        <v>1862</v>
      </c>
      <c r="R73" s="2"/>
      <c r="S73" s="2" t="s">
        <v>1863</v>
      </c>
      <c r="T73" s="2" t="s">
        <v>1864</v>
      </c>
      <c r="U73" s="2" t="s">
        <v>56</v>
      </c>
      <c r="V73" s="2" t="s">
        <v>145</v>
      </c>
      <c r="W73" s="2" t="s">
        <v>231</v>
      </c>
      <c r="X73" s="2" t="s">
        <v>69</v>
      </c>
      <c r="Y73" s="2">
        <v>60.2</v>
      </c>
      <c r="Z73" s="2">
        <v>48.3</v>
      </c>
      <c r="AA73" s="2" t="s">
        <v>163</v>
      </c>
      <c r="AB73" s="2" t="s">
        <v>1865</v>
      </c>
      <c r="AC73" s="2">
        <v>0.64556667362513698</v>
      </c>
      <c r="AD73" s="2"/>
      <c r="AE73" s="2">
        <v>3.3338909766161202</v>
      </c>
      <c r="AF73" s="2">
        <v>897681.246960597</v>
      </c>
      <c r="AG73" s="2">
        <v>598899.20974796906</v>
      </c>
      <c r="AH73" s="5">
        <v>1.4988853422237101</v>
      </c>
      <c r="AI73" s="5">
        <v>0.58389002802768597</v>
      </c>
      <c r="AJ73" s="5" t="s">
        <v>139</v>
      </c>
      <c r="AK73" s="2">
        <v>0.18289868397942199</v>
      </c>
      <c r="AL73" s="2">
        <v>0.50559844948186605</v>
      </c>
      <c r="AM73" s="2">
        <v>1897068.120935</v>
      </c>
      <c r="AN73" s="2">
        <v>610352.09534661903</v>
      </c>
      <c r="AO73" s="2">
        <v>646181.07073959801</v>
      </c>
      <c r="AP73" s="2">
        <v>701699.65846061404</v>
      </c>
      <c r="AQ73" s="2">
        <v>645287.04166180897</v>
      </c>
      <c r="AR73" s="2">
        <v>885499.49461994297</v>
      </c>
      <c r="AS73" s="2">
        <v>729138.29510095203</v>
      </c>
      <c r="AT73" s="2">
        <v>572427.50524800702</v>
      </c>
      <c r="AU73" s="2">
        <v>689493.523673138</v>
      </c>
      <c r="AV73" s="2">
        <v>465852.40902881202</v>
      </c>
      <c r="AW73" s="2">
        <v>655799.71425752505</v>
      </c>
      <c r="AX73" s="2">
        <v>480683.81117938203</v>
      </c>
    </row>
    <row r="74" spans="1:50" x14ac:dyDescent="0.25">
      <c r="A74" s="2" t="s">
        <v>1866</v>
      </c>
      <c r="B74" s="2">
        <v>725.55875847166806</v>
      </c>
      <c r="C74" s="2">
        <v>10.6304833333333</v>
      </c>
      <c r="D74" s="2" t="s">
        <v>51</v>
      </c>
      <c r="E74" s="2" t="s">
        <v>1867</v>
      </c>
      <c r="F74" s="2">
        <v>243596</v>
      </c>
      <c r="G74" s="3" t="str">
        <f>HYPERLINK("https://cloud.oebiotech.com/#/lm/network/243596", "https://cloud.oebiotech.com/#/lm/network/243596")</f>
        <v>https://cloud.oebiotech.com/#/lm/network/243596</v>
      </c>
      <c r="H74" s="2" t="s">
        <v>1868</v>
      </c>
      <c r="I74" s="2"/>
      <c r="J74" s="2"/>
      <c r="K74" s="2"/>
      <c r="L74" s="2"/>
      <c r="M74" s="2"/>
      <c r="N74" s="2"/>
      <c r="O74" s="2"/>
      <c r="P74" s="2"/>
      <c r="Q74" s="2"/>
      <c r="R74" s="2"/>
      <c r="S74" s="2" t="s">
        <v>1869</v>
      </c>
      <c r="T74" s="2" t="s">
        <v>1870</v>
      </c>
      <c r="U74" s="2" t="s">
        <v>56</v>
      </c>
      <c r="V74" s="2" t="s">
        <v>344</v>
      </c>
      <c r="W74" s="2" t="s">
        <v>1239</v>
      </c>
      <c r="X74" s="2" t="s">
        <v>69</v>
      </c>
      <c r="Y74" s="2">
        <v>63.1</v>
      </c>
      <c r="Z74" s="2">
        <v>98.2</v>
      </c>
      <c r="AA74" s="2" t="s">
        <v>156</v>
      </c>
      <c r="AB74" s="2" t="s">
        <v>1871</v>
      </c>
      <c r="AC74" s="2">
        <v>-0.59629780465700699</v>
      </c>
      <c r="AD74" s="2"/>
      <c r="AE74" s="2">
        <v>3.32422449899367</v>
      </c>
      <c r="AF74" s="2">
        <v>912063.21892081399</v>
      </c>
      <c r="AG74" s="2">
        <v>1270075.56908252</v>
      </c>
      <c r="AH74" s="4">
        <v>0.71811728461139401</v>
      </c>
      <c r="AI74" s="4">
        <v>-0.477708607233294</v>
      </c>
      <c r="AJ74" s="4" t="s">
        <v>62</v>
      </c>
      <c r="AK74" s="2">
        <v>0.16984296752779099</v>
      </c>
      <c r="AL74" s="2">
        <v>0.491402387043126</v>
      </c>
      <c r="AM74" s="2">
        <v>312061.36163009499</v>
      </c>
      <c r="AN74" s="2">
        <v>687128.286330831</v>
      </c>
      <c r="AO74" s="2">
        <v>1251098.6539656799</v>
      </c>
      <c r="AP74" s="2">
        <v>1095257.9129321801</v>
      </c>
      <c r="AQ74" s="2">
        <v>1230916.8748898001</v>
      </c>
      <c r="AR74" s="2">
        <v>895916.22377629601</v>
      </c>
      <c r="AS74" s="2">
        <v>979327.12341737002</v>
      </c>
      <c r="AT74" s="2">
        <v>1716535.3182085501</v>
      </c>
      <c r="AU74" s="2">
        <v>762057.81436086504</v>
      </c>
      <c r="AV74" s="2">
        <v>991432.22111855401</v>
      </c>
      <c r="AW74" s="2">
        <v>1213169.2293148299</v>
      </c>
      <c r="AX74" s="2">
        <v>1957931.7080749799</v>
      </c>
    </row>
    <row r="75" spans="1:50" x14ac:dyDescent="0.25">
      <c r="A75" s="2" t="s">
        <v>1872</v>
      </c>
      <c r="B75" s="2">
        <v>546.35666166842702</v>
      </c>
      <c r="C75" s="2">
        <v>10.753966666666701</v>
      </c>
      <c r="D75" s="2" t="s">
        <v>51</v>
      </c>
      <c r="E75" s="2" t="s">
        <v>1873</v>
      </c>
      <c r="F75" s="2">
        <v>19883</v>
      </c>
      <c r="G75" s="3" t="str">
        <f>HYPERLINK("https://cloud.oebiotech.com/#/lm/network/19883", "https://cloud.oebiotech.com/#/lm/network/19883")</f>
        <v>https://cloud.oebiotech.com/#/lm/network/19883</v>
      </c>
      <c r="H75" s="2" t="s">
        <v>1874</v>
      </c>
      <c r="I75" s="2">
        <v>76575</v>
      </c>
      <c r="J75" s="2" t="s">
        <v>1875</v>
      </c>
      <c r="K75" s="2">
        <v>52924055</v>
      </c>
      <c r="L75" s="2"/>
      <c r="M75" s="2"/>
      <c r="N75" s="2"/>
      <c r="O75" s="2">
        <v>86256</v>
      </c>
      <c r="P75" s="2"/>
      <c r="Q75" s="2"/>
      <c r="R75" s="2" t="s">
        <v>1876</v>
      </c>
      <c r="S75" s="2" t="s">
        <v>1877</v>
      </c>
      <c r="T75" s="2" t="s">
        <v>1878</v>
      </c>
      <c r="U75" s="2" t="s">
        <v>56</v>
      </c>
      <c r="V75" s="2" t="s">
        <v>57</v>
      </c>
      <c r="W75" s="2" t="s">
        <v>58</v>
      </c>
      <c r="X75" s="2" t="s">
        <v>69</v>
      </c>
      <c r="Y75" s="2">
        <v>69</v>
      </c>
      <c r="Z75" s="2">
        <v>90.3</v>
      </c>
      <c r="AA75" s="2" t="s">
        <v>60</v>
      </c>
      <c r="AB75" s="2" t="s">
        <v>1879</v>
      </c>
      <c r="AC75" s="2">
        <v>2.2840401880149099</v>
      </c>
      <c r="AD75" s="2"/>
      <c r="AE75" s="2">
        <v>3.3126733249876401</v>
      </c>
      <c r="AF75" s="2">
        <v>2779816.19162982</v>
      </c>
      <c r="AG75" s="2">
        <v>3644083.1216209498</v>
      </c>
      <c r="AH75" s="4">
        <v>0.76283007243625001</v>
      </c>
      <c r="AI75" s="4">
        <v>-0.39056637590965898</v>
      </c>
      <c r="AJ75" s="4" t="s">
        <v>62</v>
      </c>
      <c r="AK75" s="2">
        <v>0.36797251001725401</v>
      </c>
      <c r="AL75" s="2">
        <v>0.65217362926491296</v>
      </c>
      <c r="AM75" s="2">
        <v>5201173.1000987003</v>
      </c>
      <c r="AN75" s="2">
        <v>2461487.7741978602</v>
      </c>
      <c r="AO75" s="2">
        <v>1570108.0466446199</v>
      </c>
      <c r="AP75" s="2">
        <v>2852473.4624950401</v>
      </c>
      <c r="AQ75" s="2">
        <v>2617149.3526268499</v>
      </c>
      <c r="AR75" s="2">
        <v>1976505.4137158699</v>
      </c>
      <c r="AS75" s="2">
        <v>1425113.4766530099</v>
      </c>
      <c r="AT75" s="2">
        <v>1182214.8671645699</v>
      </c>
      <c r="AU75" s="2">
        <v>4907385.07472446</v>
      </c>
      <c r="AV75" s="2">
        <v>4928196.1219097804</v>
      </c>
      <c r="AW75" s="2">
        <v>4164435.8184611299</v>
      </c>
      <c r="AX75" s="2">
        <v>5257153.3708127197</v>
      </c>
    </row>
    <row r="76" spans="1:50" x14ac:dyDescent="0.25">
      <c r="A76" s="2" t="s">
        <v>1880</v>
      </c>
      <c r="B76" s="2">
        <v>298.27482838560201</v>
      </c>
      <c r="C76" s="2">
        <v>11.0279666666667</v>
      </c>
      <c r="D76" s="2" t="s">
        <v>51</v>
      </c>
      <c r="E76" s="2" t="s">
        <v>1881</v>
      </c>
      <c r="F76" s="2">
        <v>9052</v>
      </c>
      <c r="G76" s="3" t="str">
        <f>HYPERLINK("https://cloud.oebiotech.com/#/lm/network/9052", "https://cloud.oebiotech.com/#/lm/network/9052")</f>
        <v>https://cloud.oebiotech.com/#/lm/network/9052</v>
      </c>
      <c r="H76" s="2" t="s">
        <v>1882</v>
      </c>
      <c r="I76" s="2">
        <v>46564</v>
      </c>
      <c r="J76" s="2" t="s">
        <v>1883</v>
      </c>
      <c r="K76" s="2">
        <v>9835868</v>
      </c>
      <c r="L76" s="2"/>
      <c r="M76" s="2"/>
      <c r="N76" s="2"/>
      <c r="O76" s="2">
        <v>71465</v>
      </c>
      <c r="P76" s="2"/>
      <c r="Q76" s="2"/>
      <c r="R76" s="2" t="s">
        <v>1884</v>
      </c>
      <c r="S76" s="2" t="s">
        <v>1885</v>
      </c>
      <c r="T76" s="2" t="s">
        <v>1886</v>
      </c>
      <c r="U76" s="2" t="s">
        <v>119</v>
      </c>
      <c r="V76" s="2" t="s">
        <v>120</v>
      </c>
      <c r="W76" s="2" t="s">
        <v>1887</v>
      </c>
      <c r="X76" s="2" t="s">
        <v>69</v>
      </c>
      <c r="Y76" s="2">
        <v>60.3</v>
      </c>
      <c r="Z76" s="2">
        <v>87</v>
      </c>
      <c r="AA76" s="2" t="s">
        <v>1888</v>
      </c>
      <c r="AB76" s="2" t="s">
        <v>1889</v>
      </c>
      <c r="AC76" s="2">
        <v>2.5989692961804098</v>
      </c>
      <c r="AD76" s="2"/>
      <c r="AE76" s="2">
        <v>3.21382956130849</v>
      </c>
      <c r="AF76" s="2">
        <v>654669.89710508799</v>
      </c>
      <c r="AG76" s="2">
        <v>129763.738674804</v>
      </c>
      <c r="AH76" s="5">
        <v>5.0450912079971104</v>
      </c>
      <c r="AI76" s="5">
        <v>2.3348803514199701</v>
      </c>
      <c r="AJ76" s="5" t="s">
        <v>139</v>
      </c>
      <c r="AK76" s="2">
        <v>0.227793274967067</v>
      </c>
      <c r="AL76" s="2">
        <v>0.55318612061801498</v>
      </c>
      <c r="AM76" s="2">
        <v>25254.901739814901</v>
      </c>
      <c r="AN76" s="2">
        <v>6147.9890032331396</v>
      </c>
      <c r="AO76" s="2">
        <v>1776759.7352980401</v>
      </c>
      <c r="AP76" s="2">
        <v>17692.648901830398</v>
      </c>
      <c r="AQ76" s="2">
        <v>2059709.3563919901</v>
      </c>
      <c r="AR76" s="2">
        <v>42454.751295616603</v>
      </c>
      <c r="AS76" s="2">
        <v>321219.50472371897</v>
      </c>
      <c r="AT76" s="2">
        <v>5459.4399351146203</v>
      </c>
      <c r="AU76" s="2">
        <v>416578.23834691301</v>
      </c>
      <c r="AV76" s="2">
        <v>17213.4173570885</v>
      </c>
      <c r="AW76" s="2">
        <v>6800.0199953494102</v>
      </c>
      <c r="AX76" s="2">
        <v>11311.811690639001</v>
      </c>
    </row>
    <row r="77" spans="1:50" x14ac:dyDescent="0.25">
      <c r="A77" s="2" t="s">
        <v>1890</v>
      </c>
      <c r="B77" s="2">
        <v>128.034183568891</v>
      </c>
      <c r="C77" s="2">
        <v>0.77381666666666704</v>
      </c>
      <c r="D77" s="2" t="s">
        <v>51</v>
      </c>
      <c r="E77" s="2" t="s">
        <v>1891</v>
      </c>
      <c r="F77" s="2">
        <v>47935</v>
      </c>
      <c r="G77" s="3" t="str">
        <f>HYPERLINK("https://cloud.oebiotech.com/#/lm/network/47935", "https://cloud.oebiotech.com/#/lm/network/47935")</f>
        <v>https://cloud.oebiotech.com/#/lm/network/47935</v>
      </c>
      <c r="H77" s="2" t="s">
        <v>1892</v>
      </c>
      <c r="I77" s="2">
        <v>6662</v>
      </c>
      <c r="J77" s="2"/>
      <c r="K77" s="2">
        <v>22880</v>
      </c>
      <c r="L77" s="2" t="s">
        <v>1893</v>
      </c>
      <c r="M77" s="2"/>
      <c r="N77" s="2"/>
      <c r="O77" s="2">
        <v>31882</v>
      </c>
      <c r="P77" s="2" t="s">
        <v>1894</v>
      </c>
      <c r="Q77" s="2" t="s">
        <v>1895</v>
      </c>
      <c r="R77" s="2" t="s">
        <v>1896</v>
      </c>
      <c r="S77" s="2" t="s">
        <v>1897</v>
      </c>
      <c r="T77" s="2" t="s">
        <v>1898</v>
      </c>
      <c r="U77" s="2" t="s">
        <v>103</v>
      </c>
      <c r="V77" s="2" t="s">
        <v>104</v>
      </c>
      <c r="W77" s="2" t="s">
        <v>105</v>
      </c>
      <c r="X77" s="2" t="s">
        <v>83</v>
      </c>
      <c r="Y77" s="2">
        <v>38.700000000000003</v>
      </c>
      <c r="Z77" s="2">
        <v>0</v>
      </c>
      <c r="AA77" s="2" t="s">
        <v>379</v>
      </c>
      <c r="AB77" s="2" t="s">
        <v>1899</v>
      </c>
      <c r="AC77" s="2">
        <v>-7.7052597556749998</v>
      </c>
      <c r="AD77" s="2"/>
      <c r="AE77" s="2">
        <v>3.2046782776612601</v>
      </c>
      <c r="AF77" s="2">
        <v>1229788.66309922</v>
      </c>
      <c r="AG77" s="2">
        <v>904561.72593757894</v>
      </c>
      <c r="AH77" s="5">
        <v>1.3595409001243599</v>
      </c>
      <c r="AI77" s="5">
        <v>0.44311955373046402</v>
      </c>
      <c r="AJ77" s="5" t="s">
        <v>139</v>
      </c>
      <c r="AK77" s="2">
        <v>0.23674157743486299</v>
      </c>
      <c r="AL77" s="2">
        <v>0.561026130323797</v>
      </c>
      <c r="AM77" s="2">
        <v>2290274.0402292698</v>
      </c>
      <c r="AN77" s="2">
        <v>605199.96347837395</v>
      </c>
      <c r="AO77" s="2">
        <v>1216427.26799966</v>
      </c>
      <c r="AP77" s="2">
        <v>1542199.9196643699</v>
      </c>
      <c r="AQ77" s="2">
        <v>910116.87823963899</v>
      </c>
      <c r="AR77" s="2">
        <v>814513.90898402606</v>
      </c>
      <c r="AS77" s="2">
        <v>823724.15803627297</v>
      </c>
      <c r="AT77" s="2">
        <v>877123.42206708796</v>
      </c>
      <c r="AU77" s="2">
        <v>1184353.4641979199</v>
      </c>
      <c r="AV77" s="2">
        <v>737977.411826369</v>
      </c>
      <c r="AW77" s="2">
        <v>937239.016069429</v>
      </c>
      <c r="AX77" s="2">
        <v>866952.88342839596</v>
      </c>
    </row>
    <row r="78" spans="1:50" x14ac:dyDescent="0.25">
      <c r="A78" s="2" t="s">
        <v>1900</v>
      </c>
      <c r="B78" s="2">
        <v>319.21640000000002</v>
      </c>
      <c r="C78" s="2">
        <v>19.728999999999999</v>
      </c>
      <c r="D78" s="2" t="s">
        <v>125</v>
      </c>
      <c r="E78" s="2" t="s">
        <v>1901</v>
      </c>
      <c r="F78" s="2">
        <v>46880</v>
      </c>
      <c r="G78" s="3" t="str">
        <f>HYPERLINK("https://cloud.oebiotech.com/#/lm/network/46880", "https://cloud.oebiotech.com/#/lm/network/46880")</f>
        <v>https://cloud.oebiotech.com/#/lm/network/46880</v>
      </c>
      <c r="H78" s="2" t="s">
        <v>1902</v>
      </c>
      <c r="I78" s="2"/>
      <c r="J78" s="2"/>
      <c r="K78" s="2">
        <v>64689</v>
      </c>
      <c r="L78" s="2" t="s">
        <v>1903</v>
      </c>
      <c r="M78" s="2" t="s">
        <v>1904</v>
      </c>
      <c r="N78" s="2" t="s">
        <v>1905</v>
      </c>
      <c r="O78" s="2">
        <v>15903</v>
      </c>
      <c r="P78" s="2" t="s">
        <v>1906</v>
      </c>
      <c r="Q78" s="2" t="s">
        <v>1907</v>
      </c>
      <c r="R78" s="2" t="s">
        <v>1908</v>
      </c>
      <c r="S78" s="2" t="s">
        <v>1909</v>
      </c>
      <c r="T78" s="2" t="s">
        <v>1910</v>
      </c>
      <c r="U78" s="2" t="s">
        <v>331</v>
      </c>
      <c r="V78" s="2" t="s">
        <v>332</v>
      </c>
      <c r="W78" s="2" t="s">
        <v>333</v>
      </c>
      <c r="X78" s="2" t="s">
        <v>69</v>
      </c>
      <c r="Y78" s="2">
        <v>98.4</v>
      </c>
      <c r="Z78" s="2">
        <v>97.4</v>
      </c>
      <c r="AA78" s="2"/>
      <c r="AB78" s="2" t="s">
        <v>1085</v>
      </c>
      <c r="AC78" s="2"/>
      <c r="AD78" s="2">
        <v>661780.20053991501</v>
      </c>
      <c r="AE78" s="2">
        <v>3.18948844130585</v>
      </c>
      <c r="AF78" s="2">
        <v>8419944.7925144006</v>
      </c>
      <c r="AG78" s="2">
        <v>12116646.706080601</v>
      </c>
      <c r="AH78" s="4">
        <v>0.694907179912155</v>
      </c>
      <c r="AI78" s="4">
        <v>-0.52510780773238297</v>
      </c>
      <c r="AJ78" s="4" t="s">
        <v>62</v>
      </c>
      <c r="AK78" s="2">
        <v>0.13138204042308099</v>
      </c>
      <c r="AL78" s="2">
        <v>0.45113659571534598</v>
      </c>
      <c r="AM78" s="2">
        <v>9751426.5960723702</v>
      </c>
      <c r="AN78" s="2">
        <v>9670059.3412835691</v>
      </c>
      <c r="AO78" s="2">
        <v>8004971.6125448896</v>
      </c>
      <c r="AP78" s="2">
        <v>3909965.2955698501</v>
      </c>
      <c r="AQ78" s="2">
        <v>3287529.7587688402</v>
      </c>
      <c r="AR78" s="2">
        <v>15895716.1508469</v>
      </c>
      <c r="AS78" s="2">
        <v>16994148.165768702</v>
      </c>
      <c r="AT78" s="2">
        <v>12079100.170032401</v>
      </c>
      <c r="AU78" s="2">
        <v>12495887.072850101</v>
      </c>
      <c r="AV78" s="2">
        <v>12963991.248133801</v>
      </c>
      <c r="AW78" s="2">
        <v>7918745.7095876103</v>
      </c>
      <c r="AX78" s="2">
        <v>10248007.870111199</v>
      </c>
    </row>
    <row r="79" spans="1:50" x14ac:dyDescent="0.25">
      <c r="A79" s="2" t="s">
        <v>1911</v>
      </c>
      <c r="B79" s="2">
        <v>282.17088656872397</v>
      </c>
      <c r="C79" s="2">
        <v>4.2174666666666702</v>
      </c>
      <c r="D79" s="2" t="s">
        <v>51</v>
      </c>
      <c r="E79" s="2" t="s">
        <v>1912</v>
      </c>
      <c r="F79" s="2">
        <v>204895</v>
      </c>
      <c r="G79" s="3" t="str">
        <f>HYPERLINK("https://cloud.oebiotech.com/#/lm/network/204895", "https://cloud.oebiotech.com/#/lm/network/204895")</f>
        <v>https://cloud.oebiotech.com/#/lm/network/204895</v>
      </c>
      <c r="H79" s="2" t="s">
        <v>1913</v>
      </c>
      <c r="I79" s="2"/>
      <c r="J79" s="2"/>
      <c r="K79" s="2">
        <v>133620</v>
      </c>
      <c r="L79" s="2"/>
      <c r="M79" s="2"/>
      <c r="N79" s="2"/>
      <c r="O79" s="2">
        <v>143310</v>
      </c>
      <c r="P79" s="2"/>
      <c r="Q79" s="2"/>
      <c r="R79" s="2"/>
      <c r="S79" s="2" t="s">
        <v>1914</v>
      </c>
      <c r="T79" s="2" t="s">
        <v>1915</v>
      </c>
      <c r="U79" s="2" t="s">
        <v>540</v>
      </c>
      <c r="V79" s="2" t="s">
        <v>1916</v>
      </c>
      <c r="W79" s="2" t="s">
        <v>240</v>
      </c>
      <c r="X79" s="2" t="s">
        <v>69</v>
      </c>
      <c r="Y79" s="2">
        <v>60.5</v>
      </c>
      <c r="Z79" s="2">
        <v>81.900000000000006</v>
      </c>
      <c r="AA79" s="2" t="s">
        <v>60</v>
      </c>
      <c r="AB79" s="2" t="s">
        <v>1917</v>
      </c>
      <c r="AC79" s="2">
        <v>3.2078083164334701</v>
      </c>
      <c r="AD79" s="2"/>
      <c r="AE79" s="2">
        <v>3.1860625265537998</v>
      </c>
      <c r="AF79" s="2">
        <v>246707.19643104699</v>
      </c>
      <c r="AG79" s="2">
        <v>775125.37984641199</v>
      </c>
      <c r="AH79" s="4">
        <v>0.31828037482133698</v>
      </c>
      <c r="AI79" s="4">
        <v>-1.6516298917960599</v>
      </c>
      <c r="AJ79" s="4" t="s">
        <v>62</v>
      </c>
      <c r="AK79" s="2">
        <v>0.36619899255143701</v>
      </c>
      <c r="AL79" s="2">
        <v>0.65122678586673299</v>
      </c>
      <c r="AM79" s="2">
        <v>327979.583649042</v>
      </c>
      <c r="AN79" s="2">
        <v>476599.93099465303</v>
      </c>
      <c r="AO79" s="2">
        <v>2208.1306486762501</v>
      </c>
      <c r="AP79" s="2">
        <v>107059.61560817</v>
      </c>
      <c r="AQ79" s="2">
        <v>557380.15742232499</v>
      </c>
      <c r="AR79" s="2">
        <v>9015.7602634157192</v>
      </c>
      <c r="AS79" s="2">
        <v>384044.72940046497</v>
      </c>
      <c r="AT79" s="2">
        <v>664510.57584073604</v>
      </c>
      <c r="AU79" s="2">
        <v>4401.5043869996998</v>
      </c>
      <c r="AV79" s="2">
        <v>3472917.92214642</v>
      </c>
      <c r="AW79" s="2">
        <v>10123.046001648199</v>
      </c>
      <c r="AX79" s="2">
        <v>114754.501302201</v>
      </c>
    </row>
    <row r="80" spans="1:50" x14ac:dyDescent="0.25">
      <c r="A80" s="2" t="s">
        <v>300</v>
      </c>
      <c r="B80" s="2">
        <v>369.228420327077</v>
      </c>
      <c r="C80" s="2">
        <v>6.7040499999999996</v>
      </c>
      <c r="D80" s="2" t="s">
        <v>51</v>
      </c>
      <c r="E80" s="2" t="s">
        <v>301</v>
      </c>
      <c r="F80" s="2">
        <v>3633</v>
      </c>
      <c r="G80" s="3" t="str">
        <f>HYPERLINK("https://cloud.oebiotech.com/#/lm/network/3633", "https://cloud.oebiotech.com/#/lm/network/3633")</f>
        <v>https://cloud.oebiotech.com/#/lm/network/3633</v>
      </c>
      <c r="H80" s="2" t="s">
        <v>302</v>
      </c>
      <c r="I80" s="2">
        <v>6782</v>
      </c>
      <c r="J80" s="2" t="s">
        <v>303</v>
      </c>
      <c r="K80" s="2">
        <v>5280888</v>
      </c>
      <c r="L80" s="2" t="s">
        <v>304</v>
      </c>
      <c r="M80" s="2" t="s">
        <v>305</v>
      </c>
      <c r="N80" s="2" t="s">
        <v>306</v>
      </c>
      <c r="O80" s="2">
        <v>28158</v>
      </c>
      <c r="P80" s="2" t="s">
        <v>307</v>
      </c>
      <c r="Q80" s="2" t="s">
        <v>308</v>
      </c>
      <c r="R80" s="2" t="s">
        <v>309</v>
      </c>
      <c r="S80" s="2" t="s">
        <v>310</v>
      </c>
      <c r="T80" s="2" t="s">
        <v>311</v>
      </c>
      <c r="U80" s="2" t="s">
        <v>56</v>
      </c>
      <c r="V80" s="2" t="s">
        <v>145</v>
      </c>
      <c r="W80" s="2" t="s">
        <v>187</v>
      </c>
      <c r="X80" s="2" t="s">
        <v>69</v>
      </c>
      <c r="Y80" s="2">
        <v>54.6</v>
      </c>
      <c r="Z80" s="2">
        <v>66.5</v>
      </c>
      <c r="AA80" s="2" t="s">
        <v>163</v>
      </c>
      <c r="AB80" s="2" t="s">
        <v>312</v>
      </c>
      <c r="AC80" s="2">
        <v>0.426623920073114</v>
      </c>
      <c r="AD80" s="2"/>
      <c r="AE80" s="2">
        <v>3.1837444746114598</v>
      </c>
      <c r="AF80" s="2">
        <v>520181.55009589001</v>
      </c>
      <c r="AG80" s="2">
        <v>295096.792750186</v>
      </c>
      <c r="AH80" s="5">
        <v>1.7627489111216801</v>
      </c>
      <c r="AI80" s="5">
        <v>0.81782698941832299</v>
      </c>
      <c r="AJ80" s="5" t="s">
        <v>139</v>
      </c>
      <c r="AK80" s="2">
        <v>3.6985891357886199E-3</v>
      </c>
      <c r="AL80" s="2">
        <v>0.1120315017845</v>
      </c>
      <c r="AM80" s="2">
        <v>539241.88220030302</v>
      </c>
      <c r="AN80" s="2">
        <v>603247.17347625701</v>
      </c>
      <c r="AO80" s="2">
        <v>488485.91923892102</v>
      </c>
      <c r="AP80" s="2">
        <v>501781.94390652201</v>
      </c>
      <c r="AQ80" s="2">
        <v>408669.22684111499</v>
      </c>
      <c r="AR80" s="2">
        <v>579663.15491222194</v>
      </c>
      <c r="AS80" s="2">
        <v>470044.42946991097</v>
      </c>
      <c r="AT80" s="2">
        <v>221240.94767936101</v>
      </c>
      <c r="AU80" s="2">
        <v>409086.85378038802</v>
      </c>
      <c r="AV80" s="2">
        <v>142787.89383625201</v>
      </c>
      <c r="AW80" s="2">
        <v>198580.88421912701</v>
      </c>
      <c r="AX80" s="2">
        <v>328839.74751607602</v>
      </c>
    </row>
    <row r="81" spans="1:50" x14ac:dyDescent="0.25">
      <c r="A81" s="2" t="s">
        <v>313</v>
      </c>
      <c r="B81" s="2">
        <v>478.29454462052502</v>
      </c>
      <c r="C81" s="2">
        <v>10.233700000000001</v>
      </c>
      <c r="D81" s="2" t="s">
        <v>51</v>
      </c>
      <c r="E81" s="2" t="s">
        <v>314</v>
      </c>
      <c r="F81" s="2">
        <v>21172</v>
      </c>
      <c r="G81" s="3" t="str">
        <f>HYPERLINK("https://cloud.oebiotech.com/#/lm/network/21172", "https://cloud.oebiotech.com/#/lm/network/21172")</f>
        <v>https://cloud.oebiotech.com/#/lm/network/21172</v>
      </c>
      <c r="H81" s="2" t="s">
        <v>315</v>
      </c>
      <c r="I81" s="2">
        <v>62292</v>
      </c>
      <c r="J81" s="2" t="s">
        <v>316</v>
      </c>
      <c r="K81" s="2">
        <v>52925130</v>
      </c>
      <c r="L81" s="2"/>
      <c r="M81" s="2"/>
      <c r="N81" s="2"/>
      <c r="O81" s="2">
        <v>83058</v>
      </c>
      <c r="P81" s="2"/>
      <c r="Q81" s="2"/>
      <c r="R81" s="2" t="s">
        <v>317</v>
      </c>
      <c r="S81" s="2" t="s">
        <v>318</v>
      </c>
      <c r="T81" s="2" t="s">
        <v>319</v>
      </c>
      <c r="U81" s="2" t="s">
        <v>56</v>
      </c>
      <c r="V81" s="2" t="s">
        <v>57</v>
      </c>
      <c r="W81" s="2" t="s">
        <v>155</v>
      </c>
      <c r="X81" s="2" t="s">
        <v>69</v>
      </c>
      <c r="Y81" s="2">
        <v>59.4</v>
      </c>
      <c r="Z81" s="2">
        <v>88.1</v>
      </c>
      <c r="AA81" s="2" t="s">
        <v>60</v>
      </c>
      <c r="AB81" s="2" t="s">
        <v>320</v>
      </c>
      <c r="AC81" s="2">
        <v>3.6221623786174999</v>
      </c>
      <c r="AD81" s="2"/>
      <c r="AE81" s="2">
        <v>3.15230581070692</v>
      </c>
      <c r="AF81" s="2">
        <v>578653.36078488606</v>
      </c>
      <c r="AG81" s="2">
        <v>846998.61484758602</v>
      </c>
      <c r="AH81" s="4">
        <v>0.68318100011180405</v>
      </c>
      <c r="AI81" s="4">
        <v>-0.54966024203908503</v>
      </c>
      <c r="AJ81" s="4" t="s">
        <v>62</v>
      </c>
      <c r="AK81" s="2">
        <v>2.8979634255056601E-2</v>
      </c>
      <c r="AL81" s="2">
        <v>0.25815218356915498</v>
      </c>
      <c r="AM81" s="2">
        <v>525949.10404112702</v>
      </c>
      <c r="AN81" s="2">
        <v>655440.67460297397</v>
      </c>
      <c r="AO81" s="2">
        <v>729182.53453375399</v>
      </c>
      <c r="AP81" s="2">
        <v>594426.86761968897</v>
      </c>
      <c r="AQ81" s="2">
        <v>456451.66352726799</v>
      </c>
      <c r="AR81" s="2">
        <v>510469.32038450602</v>
      </c>
      <c r="AS81" s="2">
        <v>574445.990047639</v>
      </c>
      <c r="AT81" s="2">
        <v>636008.43225058098</v>
      </c>
      <c r="AU81" s="2">
        <v>918467.75124590099</v>
      </c>
      <c r="AV81" s="2">
        <v>1069291.8734426401</v>
      </c>
      <c r="AW81" s="2">
        <v>1154414.64367109</v>
      </c>
      <c r="AX81" s="2">
        <v>729362.99842766498</v>
      </c>
    </row>
    <row r="82" spans="1:50" x14ac:dyDescent="0.25">
      <c r="A82" s="2" t="s">
        <v>321</v>
      </c>
      <c r="B82" s="2">
        <v>403.21041720946403</v>
      </c>
      <c r="C82" s="2">
        <v>9.6639666666666706</v>
      </c>
      <c r="D82" s="2" t="s">
        <v>51</v>
      </c>
      <c r="E82" s="2" t="s">
        <v>322</v>
      </c>
      <c r="F82" s="2">
        <v>5377</v>
      </c>
      <c r="G82" s="3" t="str">
        <f>HYPERLINK("https://cloud.oebiotech.com/#/lm/network/5377", "https://cloud.oebiotech.com/#/lm/network/5377")</f>
        <v>https://cloud.oebiotech.com/#/lm/network/5377</v>
      </c>
      <c r="H82" s="2"/>
      <c r="I82" s="2"/>
      <c r="J82" s="2" t="s">
        <v>323</v>
      </c>
      <c r="K82" s="2">
        <v>131840792</v>
      </c>
      <c r="L82" s="2"/>
      <c r="M82" s="2"/>
      <c r="N82" s="2"/>
      <c r="O82" s="2"/>
      <c r="P82" s="2"/>
      <c r="Q82" s="2"/>
      <c r="R82" s="2"/>
      <c r="S82" s="2" t="s">
        <v>324</v>
      </c>
      <c r="T82" s="2" t="s">
        <v>325</v>
      </c>
      <c r="U82" s="2" t="s">
        <v>56</v>
      </c>
      <c r="V82" s="2" t="s">
        <v>145</v>
      </c>
      <c r="W82" s="2" t="s">
        <v>231</v>
      </c>
      <c r="X82" s="2" t="s">
        <v>83</v>
      </c>
      <c r="Y82" s="2">
        <v>48.7</v>
      </c>
      <c r="Z82" s="2">
        <v>0</v>
      </c>
      <c r="AA82" s="2" t="s">
        <v>218</v>
      </c>
      <c r="AB82" s="2" t="s">
        <v>232</v>
      </c>
      <c r="AC82" s="2">
        <v>-6.1278966399981503</v>
      </c>
      <c r="AD82" s="2"/>
      <c r="AE82" s="2">
        <v>3.0583788148448598</v>
      </c>
      <c r="AF82" s="2">
        <v>676349.81997031299</v>
      </c>
      <c r="AG82" s="2">
        <v>461883.99411304097</v>
      </c>
      <c r="AH82" s="5">
        <v>1.46432833479998</v>
      </c>
      <c r="AI82" s="5">
        <v>0.55023907403053796</v>
      </c>
      <c r="AJ82" s="5" t="s">
        <v>139</v>
      </c>
      <c r="AK82" s="2">
        <v>1.8893805894548199E-2</v>
      </c>
      <c r="AL82" s="2">
        <v>0.216132033903531</v>
      </c>
      <c r="AM82" s="2">
        <v>755308.67313391704</v>
      </c>
      <c r="AN82" s="2">
        <v>742487.08661983698</v>
      </c>
      <c r="AO82" s="2">
        <v>597531.46002990298</v>
      </c>
      <c r="AP82" s="2">
        <v>691326.95526636695</v>
      </c>
      <c r="AQ82" s="2">
        <v>538954.77846163395</v>
      </c>
      <c r="AR82" s="2">
        <v>732489.96631021996</v>
      </c>
      <c r="AS82" s="2">
        <v>631616.95082294196</v>
      </c>
      <c r="AT82" s="2">
        <v>461599.06539323</v>
      </c>
      <c r="AU82" s="2">
        <v>660077.45470035495</v>
      </c>
      <c r="AV82" s="2">
        <v>246203.13379511601</v>
      </c>
      <c r="AW82" s="2">
        <v>311199.24509804498</v>
      </c>
      <c r="AX82" s="2">
        <v>460608.11486855597</v>
      </c>
    </row>
    <row r="83" spans="1:50" x14ac:dyDescent="0.25">
      <c r="A83" s="2" t="s">
        <v>1918</v>
      </c>
      <c r="B83" s="2">
        <v>358.20233201574899</v>
      </c>
      <c r="C83" s="2">
        <v>4.8329666666666702</v>
      </c>
      <c r="D83" s="2" t="s">
        <v>51</v>
      </c>
      <c r="E83" s="2" t="s">
        <v>1919</v>
      </c>
      <c r="F83" s="2">
        <v>55038</v>
      </c>
      <c r="G83" s="3" t="str">
        <f>HYPERLINK("https://cloud.oebiotech.com/#/lm/network/55038", "https://cloud.oebiotech.com/#/lm/network/55038")</f>
        <v>https://cloud.oebiotech.com/#/lm/network/55038</v>
      </c>
      <c r="H83" s="2" t="s">
        <v>1920</v>
      </c>
      <c r="I83" s="2">
        <v>1154</v>
      </c>
      <c r="J83" s="2"/>
      <c r="K83" s="2">
        <v>15548</v>
      </c>
      <c r="L83" s="2" t="s">
        <v>1921</v>
      </c>
      <c r="M83" s="2"/>
      <c r="N83" s="2"/>
      <c r="O83" s="2">
        <v>444892</v>
      </c>
      <c r="P83" s="2"/>
      <c r="Q83" s="2"/>
      <c r="R83" s="2" t="s">
        <v>1922</v>
      </c>
      <c r="S83" s="2" t="s">
        <v>1923</v>
      </c>
      <c r="T83" s="2" t="s">
        <v>1924</v>
      </c>
      <c r="U83" s="2" t="s">
        <v>266</v>
      </c>
      <c r="V83" s="2" t="s">
        <v>1074</v>
      </c>
      <c r="W83" s="2" t="s">
        <v>1075</v>
      </c>
      <c r="X83" s="2" t="s">
        <v>69</v>
      </c>
      <c r="Y83" s="2">
        <v>59.7</v>
      </c>
      <c r="Z83" s="2">
        <v>95.8</v>
      </c>
      <c r="AA83" s="2" t="s">
        <v>60</v>
      </c>
      <c r="AB83" s="2" t="s">
        <v>1925</v>
      </c>
      <c r="AC83" s="2">
        <v>2.9318375856732199</v>
      </c>
      <c r="AD83" s="2"/>
      <c r="AE83" s="2">
        <v>3.03827200932629</v>
      </c>
      <c r="AF83" s="2">
        <v>23127.497771565701</v>
      </c>
      <c r="AG83" s="2">
        <v>342120.06428075</v>
      </c>
      <c r="AH83" s="4">
        <v>6.76005302997571E-2</v>
      </c>
      <c r="AI83" s="4">
        <v>-3.8868216258437598</v>
      </c>
      <c r="AJ83" s="4" t="s">
        <v>62</v>
      </c>
      <c r="AK83" s="2">
        <v>0.222283972481995</v>
      </c>
      <c r="AL83" s="2">
        <v>0.54873825251944697</v>
      </c>
      <c r="AM83" s="2">
        <v>2505.1655616060798</v>
      </c>
      <c r="AN83" s="2">
        <v>11058.0929066684</v>
      </c>
      <c r="AO83" s="2">
        <v>23869.754286848201</v>
      </c>
      <c r="AP83" s="2">
        <v>71953.909282842404</v>
      </c>
      <c r="AQ83" s="2">
        <v>3193.8884385874098</v>
      </c>
      <c r="AR83" s="2">
        <v>26184.176152841599</v>
      </c>
      <c r="AS83" s="2">
        <v>43871.297895975003</v>
      </c>
      <c r="AT83" s="2">
        <v>18071.411712454101</v>
      </c>
      <c r="AU83" s="2">
        <v>3251.1890268125599</v>
      </c>
      <c r="AV83" s="2">
        <v>1517100.1119091499</v>
      </c>
      <c r="AW83" s="2">
        <v>443390.42322412698</v>
      </c>
      <c r="AX83" s="2">
        <v>27035.951915979898</v>
      </c>
    </row>
    <row r="84" spans="1:50" x14ac:dyDescent="0.25">
      <c r="A84" s="2" t="s">
        <v>326</v>
      </c>
      <c r="B84" s="2">
        <v>369.22838068392701</v>
      </c>
      <c r="C84" s="2">
        <v>7.3937166666666698</v>
      </c>
      <c r="D84" s="2" t="s">
        <v>51</v>
      </c>
      <c r="E84" s="2" t="s">
        <v>327</v>
      </c>
      <c r="F84" s="2">
        <v>4562</v>
      </c>
      <c r="G84" s="3" t="str">
        <f>HYPERLINK("https://cloud.oebiotech.com/#/lm/network/4562", "https://cloud.oebiotech.com/#/lm/network/4562")</f>
        <v>https://cloud.oebiotech.com/#/lm/network/4562</v>
      </c>
      <c r="H84" s="2"/>
      <c r="I84" s="2"/>
      <c r="J84" s="2" t="s">
        <v>328</v>
      </c>
      <c r="K84" s="2">
        <v>126457323</v>
      </c>
      <c r="L84" s="2"/>
      <c r="M84" s="2"/>
      <c r="N84" s="2"/>
      <c r="O84" s="2"/>
      <c r="P84" s="2"/>
      <c r="Q84" s="2"/>
      <c r="R84" s="2"/>
      <c r="S84" s="2" t="s">
        <v>329</v>
      </c>
      <c r="T84" s="2" t="s">
        <v>330</v>
      </c>
      <c r="U84" s="2" t="s">
        <v>331</v>
      </c>
      <c r="V84" s="2" t="s">
        <v>332</v>
      </c>
      <c r="W84" s="2" t="s">
        <v>333</v>
      </c>
      <c r="X84" s="2" t="s">
        <v>83</v>
      </c>
      <c r="Y84" s="2">
        <v>44.3</v>
      </c>
      <c r="Z84" s="2">
        <v>12.2</v>
      </c>
      <c r="AA84" s="2" t="s">
        <v>163</v>
      </c>
      <c r="AB84" s="2" t="s">
        <v>312</v>
      </c>
      <c r="AC84" s="2">
        <v>0.31954843555092999</v>
      </c>
      <c r="AD84" s="2"/>
      <c r="AE84" s="2">
        <v>3.0360871211548401</v>
      </c>
      <c r="AF84" s="2">
        <v>412966.50261812902</v>
      </c>
      <c r="AG84" s="2">
        <v>204446.39644728301</v>
      </c>
      <c r="AH84" s="5">
        <v>2.0199255638365501</v>
      </c>
      <c r="AI84" s="5">
        <v>1.0143021292827501</v>
      </c>
      <c r="AJ84" s="5" t="s">
        <v>139</v>
      </c>
      <c r="AK84" s="2">
        <v>2.0903418481508498E-3</v>
      </c>
      <c r="AL84" s="2">
        <v>0.10089723213391601</v>
      </c>
      <c r="AM84" s="2">
        <v>332484.93906192202</v>
      </c>
      <c r="AN84" s="2">
        <v>530803.61053082196</v>
      </c>
      <c r="AO84" s="2">
        <v>434967.687175203</v>
      </c>
      <c r="AP84" s="2">
        <v>345464.420438278</v>
      </c>
      <c r="AQ84" s="2">
        <v>369845.47116927698</v>
      </c>
      <c r="AR84" s="2">
        <v>464232.88733327202</v>
      </c>
      <c r="AS84" s="2">
        <v>361190.52925901202</v>
      </c>
      <c r="AT84" s="2">
        <v>152612.96201976601</v>
      </c>
      <c r="AU84" s="2">
        <v>264574.15632946702</v>
      </c>
      <c r="AV84" s="2">
        <v>115985.896729749</v>
      </c>
      <c r="AW84" s="2">
        <v>113832.952443648</v>
      </c>
      <c r="AX84" s="2">
        <v>218481.88190205401</v>
      </c>
    </row>
    <row r="85" spans="1:50" x14ac:dyDescent="0.25">
      <c r="A85" s="2" t="s">
        <v>334</v>
      </c>
      <c r="B85" s="2">
        <v>369.228414452793</v>
      </c>
      <c r="C85" s="2">
        <v>6.4887499999999996</v>
      </c>
      <c r="D85" s="2" t="s">
        <v>51</v>
      </c>
      <c r="E85" s="2" t="s">
        <v>335</v>
      </c>
      <c r="F85" s="2">
        <v>3833</v>
      </c>
      <c r="G85" s="3" t="str">
        <f>HYPERLINK("https://cloud.oebiotech.com/#/lm/network/3833", "https://cloud.oebiotech.com/#/lm/network/3833")</f>
        <v>https://cloud.oebiotech.com/#/lm/network/3833</v>
      </c>
      <c r="H85" s="2"/>
      <c r="I85" s="2"/>
      <c r="J85" s="2" t="s">
        <v>336</v>
      </c>
      <c r="K85" s="2">
        <v>6443810</v>
      </c>
      <c r="L85" s="2"/>
      <c r="M85" s="2"/>
      <c r="N85" s="2"/>
      <c r="O85" s="2"/>
      <c r="P85" s="2"/>
      <c r="Q85" s="2"/>
      <c r="R85" s="2"/>
      <c r="S85" s="2" t="s">
        <v>337</v>
      </c>
      <c r="T85" s="2" t="s">
        <v>338</v>
      </c>
      <c r="U85" s="2" t="s">
        <v>56</v>
      </c>
      <c r="V85" s="2" t="s">
        <v>145</v>
      </c>
      <c r="W85" s="2" t="s">
        <v>187</v>
      </c>
      <c r="X85" s="2" t="s">
        <v>69</v>
      </c>
      <c r="Y85" s="2">
        <v>53.8</v>
      </c>
      <c r="Z85" s="2">
        <v>45.5</v>
      </c>
      <c r="AA85" s="2" t="s">
        <v>163</v>
      </c>
      <c r="AB85" s="2" t="s">
        <v>312</v>
      </c>
      <c r="AC85" s="2">
        <v>0.41075757674713098</v>
      </c>
      <c r="AD85" s="2"/>
      <c r="AE85" s="2">
        <v>3.01741219250688</v>
      </c>
      <c r="AF85" s="2">
        <v>469376.40847472398</v>
      </c>
      <c r="AG85" s="2">
        <v>255898.367101087</v>
      </c>
      <c r="AH85" s="5">
        <v>1.8342297912722001</v>
      </c>
      <c r="AI85" s="5">
        <v>0.87517439027524702</v>
      </c>
      <c r="AJ85" s="5" t="s">
        <v>139</v>
      </c>
      <c r="AK85" s="2">
        <v>1.0547241358989099E-2</v>
      </c>
      <c r="AL85" s="2">
        <v>0.165526976781455</v>
      </c>
      <c r="AM85" s="2">
        <v>462158.73961294797</v>
      </c>
      <c r="AN85" s="2">
        <v>682298.60294859495</v>
      </c>
      <c r="AO85" s="2">
        <v>418105.53388961899</v>
      </c>
      <c r="AP85" s="2">
        <v>470667.97401737701</v>
      </c>
      <c r="AQ85" s="2">
        <v>314179.93854110001</v>
      </c>
      <c r="AR85" s="2">
        <v>468847.661838706</v>
      </c>
      <c r="AS85" s="2">
        <v>391641.292748512</v>
      </c>
      <c r="AT85" s="2">
        <v>171444.33460070999</v>
      </c>
      <c r="AU85" s="2">
        <v>399275.996738391</v>
      </c>
      <c r="AV85" s="2">
        <v>118238.169906696</v>
      </c>
      <c r="AW85" s="2">
        <v>232542.13636802699</v>
      </c>
      <c r="AX85" s="2">
        <v>222248.27224418501</v>
      </c>
    </row>
    <row r="86" spans="1:50" x14ac:dyDescent="0.25">
      <c r="A86" s="2" t="s">
        <v>1926</v>
      </c>
      <c r="B86" s="2">
        <v>502.294338544411</v>
      </c>
      <c r="C86" s="2">
        <v>10.252599999999999</v>
      </c>
      <c r="D86" s="2" t="s">
        <v>51</v>
      </c>
      <c r="E86" s="2" t="s">
        <v>1927</v>
      </c>
      <c r="F86" s="2">
        <v>21213</v>
      </c>
      <c r="G86" s="3" t="str">
        <f>HYPERLINK("https://cloud.oebiotech.com/#/lm/network/21213", "https://cloud.oebiotech.com/#/lm/network/21213")</f>
        <v>https://cloud.oebiotech.com/#/lm/network/21213</v>
      </c>
      <c r="H86" s="2" t="s">
        <v>1928</v>
      </c>
      <c r="I86" s="2">
        <v>62276</v>
      </c>
      <c r="J86" s="2" t="s">
        <v>1929</v>
      </c>
      <c r="K86" s="2">
        <v>53480937</v>
      </c>
      <c r="L86" s="2"/>
      <c r="M86" s="2"/>
      <c r="N86" s="2"/>
      <c r="O86" s="2">
        <v>72746</v>
      </c>
      <c r="P86" s="2"/>
      <c r="Q86" s="2"/>
      <c r="R86" s="2"/>
      <c r="S86" s="2" t="s">
        <v>1930</v>
      </c>
      <c r="T86" s="2" t="s">
        <v>1931</v>
      </c>
      <c r="U86" s="2" t="s">
        <v>56</v>
      </c>
      <c r="V86" s="2" t="s">
        <v>57</v>
      </c>
      <c r="W86" s="2" t="s">
        <v>155</v>
      </c>
      <c r="X86" s="2" t="s">
        <v>69</v>
      </c>
      <c r="Y86" s="2">
        <v>62.4</v>
      </c>
      <c r="Z86" s="2">
        <v>52.8</v>
      </c>
      <c r="AA86" s="2" t="s">
        <v>60</v>
      </c>
      <c r="AB86" s="2" t="s">
        <v>1932</v>
      </c>
      <c r="AC86" s="2">
        <v>3.0376491859923802</v>
      </c>
      <c r="AD86" s="2"/>
      <c r="AE86" s="2">
        <v>3.0138650503856499</v>
      </c>
      <c r="AF86" s="2">
        <v>578951.24079138099</v>
      </c>
      <c r="AG86" s="2">
        <v>812675.21484833804</v>
      </c>
      <c r="AH86" s="4">
        <v>0.71240174452647098</v>
      </c>
      <c r="AI86" s="4">
        <v>-0.48923704557780301</v>
      </c>
      <c r="AJ86" s="4" t="s">
        <v>62</v>
      </c>
      <c r="AK86" s="2">
        <v>5.8456678198584702E-2</v>
      </c>
      <c r="AL86" s="2">
        <v>0.32837652512840398</v>
      </c>
      <c r="AM86" s="2">
        <v>515813.65684506</v>
      </c>
      <c r="AN86" s="2">
        <v>643172.99833577103</v>
      </c>
      <c r="AO86" s="2">
        <v>640589.31277822005</v>
      </c>
      <c r="AP86" s="2">
        <v>683492.26320104604</v>
      </c>
      <c r="AQ86" s="2">
        <v>465528.43809390097</v>
      </c>
      <c r="AR86" s="2">
        <v>525110.77549428795</v>
      </c>
      <c r="AS86" s="2">
        <v>614499.56428296503</v>
      </c>
      <c r="AT86" s="2">
        <v>568131.564916673</v>
      </c>
      <c r="AU86" s="2">
        <v>747765.23557062505</v>
      </c>
      <c r="AV86" s="2">
        <v>1123378.8486520301</v>
      </c>
      <c r="AW86" s="2">
        <v>1136385.40867472</v>
      </c>
      <c r="AX86" s="2">
        <v>685890.66699301498</v>
      </c>
    </row>
    <row r="87" spans="1:50" x14ac:dyDescent="0.25">
      <c r="A87" s="2" t="s">
        <v>1933</v>
      </c>
      <c r="B87" s="2">
        <v>508.37768814577601</v>
      </c>
      <c r="C87" s="2">
        <v>11.6971333333333</v>
      </c>
      <c r="D87" s="2" t="s">
        <v>51</v>
      </c>
      <c r="E87" s="2" t="s">
        <v>1934</v>
      </c>
      <c r="F87" s="2">
        <v>19909</v>
      </c>
      <c r="G87" s="3" t="str">
        <f>HYPERLINK("https://cloud.oebiotech.com/#/lm/network/19909", "https://cloud.oebiotech.com/#/lm/network/19909")</f>
        <v>https://cloud.oebiotech.com/#/lm/network/19909</v>
      </c>
      <c r="H87" s="2"/>
      <c r="I87" s="2">
        <v>76583</v>
      </c>
      <c r="J87" s="2" t="s">
        <v>1935</v>
      </c>
      <c r="K87" s="2">
        <v>24779510</v>
      </c>
      <c r="L87" s="2"/>
      <c r="M87" s="2"/>
      <c r="N87" s="2"/>
      <c r="O87" s="2">
        <v>64396</v>
      </c>
      <c r="P87" s="2"/>
      <c r="Q87" s="2"/>
      <c r="R87" s="2"/>
      <c r="S87" s="2" t="s">
        <v>1936</v>
      </c>
      <c r="T87" s="2" t="s">
        <v>1937</v>
      </c>
      <c r="U87" s="2" t="s">
        <v>56</v>
      </c>
      <c r="V87" s="2" t="s">
        <v>57</v>
      </c>
      <c r="W87" s="2" t="s">
        <v>58</v>
      </c>
      <c r="X87" s="2" t="s">
        <v>69</v>
      </c>
      <c r="Y87" s="2">
        <v>62.3</v>
      </c>
      <c r="Z87" s="2">
        <v>89.2</v>
      </c>
      <c r="AA87" s="2" t="s">
        <v>60</v>
      </c>
      <c r="AB87" s="2" t="s">
        <v>1938</v>
      </c>
      <c r="AC87" s="2">
        <v>3.0286245600731898</v>
      </c>
      <c r="AD87" s="2"/>
      <c r="AE87" s="2">
        <v>2.9898113670696702</v>
      </c>
      <c r="AF87" s="2">
        <v>5934218.1483580898</v>
      </c>
      <c r="AG87" s="2">
        <v>7201620.7053532302</v>
      </c>
      <c r="AH87" s="4">
        <v>0.824011481741459</v>
      </c>
      <c r="AI87" s="4">
        <v>-0.27926365488656502</v>
      </c>
      <c r="AJ87" s="4" t="s">
        <v>62</v>
      </c>
      <c r="AK87" s="2">
        <v>0.38584938236821698</v>
      </c>
      <c r="AL87" s="2">
        <v>0.66207739396534704</v>
      </c>
      <c r="AM87" s="2">
        <v>8995679.5941782501</v>
      </c>
      <c r="AN87" s="2">
        <v>6272253.7304566698</v>
      </c>
      <c r="AO87" s="2">
        <v>5293406.7619391698</v>
      </c>
      <c r="AP87" s="2">
        <v>4766162.77366962</v>
      </c>
      <c r="AQ87" s="2">
        <v>4854493.4485921301</v>
      </c>
      <c r="AR87" s="2">
        <v>5423312.5813127002</v>
      </c>
      <c r="AS87" s="2">
        <v>5392311.6921705799</v>
      </c>
      <c r="AT87" s="2">
        <v>3871871.0916479402</v>
      </c>
      <c r="AU87" s="2">
        <v>12398991.8288239</v>
      </c>
      <c r="AV87" s="2">
        <v>6140268.3460008996</v>
      </c>
      <c r="AW87" s="2">
        <v>8910258.0929383002</v>
      </c>
      <c r="AX87" s="2">
        <v>6496023.1805377603</v>
      </c>
    </row>
    <row r="88" spans="1:50" x14ac:dyDescent="0.25">
      <c r="A88" s="2" t="s">
        <v>1939</v>
      </c>
      <c r="B88" s="2">
        <v>320.256812350367</v>
      </c>
      <c r="C88" s="2">
        <v>10.311249999999999</v>
      </c>
      <c r="D88" s="2" t="s">
        <v>51</v>
      </c>
      <c r="E88" s="2" t="s">
        <v>1940</v>
      </c>
      <c r="F88" s="2">
        <v>209881</v>
      </c>
      <c r="G88" s="3" t="str">
        <f>HYPERLINK("https://cloud.oebiotech.com/#/lm/network/209881", "https://cloud.oebiotech.com/#/lm/network/209881")</f>
        <v>https://cloud.oebiotech.com/#/lm/network/209881</v>
      </c>
      <c r="H88" s="2" t="s">
        <v>1941</v>
      </c>
      <c r="I88" s="2"/>
      <c r="J88" s="2"/>
      <c r="K88" s="2">
        <v>4620</v>
      </c>
      <c r="L88" s="2"/>
      <c r="M88" s="2"/>
      <c r="N88" s="2"/>
      <c r="O88" s="2"/>
      <c r="P88" s="2"/>
      <c r="Q88" s="2"/>
      <c r="R88" s="2"/>
      <c r="S88" s="2" t="s">
        <v>1942</v>
      </c>
      <c r="T88" s="2" t="s">
        <v>1943</v>
      </c>
      <c r="U88" s="2" t="s">
        <v>56</v>
      </c>
      <c r="V88" s="2" t="s">
        <v>283</v>
      </c>
      <c r="W88" s="2" t="s">
        <v>1944</v>
      </c>
      <c r="X88" s="2" t="s">
        <v>83</v>
      </c>
      <c r="Y88" s="2">
        <v>42.5</v>
      </c>
      <c r="Z88" s="2">
        <v>0.254</v>
      </c>
      <c r="AA88" s="2" t="s">
        <v>512</v>
      </c>
      <c r="AB88" s="2" t="s">
        <v>835</v>
      </c>
      <c r="AC88" s="2">
        <v>-5.2721749233824999</v>
      </c>
      <c r="AD88" s="2"/>
      <c r="AE88" s="2">
        <v>2.9860669821702399</v>
      </c>
      <c r="AF88" s="2">
        <v>537155.99357692106</v>
      </c>
      <c r="AG88" s="2">
        <v>72602.811529936502</v>
      </c>
      <c r="AH88" s="5">
        <v>7.3985563679642601</v>
      </c>
      <c r="AI88" s="5">
        <v>2.8872437945308498</v>
      </c>
      <c r="AJ88" s="5" t="s">
        <v>139</v>
      </c>
      <c r="AK88" s="2">
        <v>0.208973512080007</v>
      </c>
      <c r="AL88" s="2">
        <v>0.53408340129961396</v>
      </c>
      <c r="AM88" s="2">
        <v>17425.884563116499</v>
      </c>
      <c r="AN88" s="2">
        <v>2117.5932380167901</v>
      </c>
      <c r="AO88" s="2">
        <v>1252216.1229435401</v>
      </c>
      <c r="AP88" s="2">
        <v>1273.4760651589199</v>
      </c>
      <c r="AQ88" s="2">
        <v>1919021.9790848</v>
      </c>
      <c r="AR88" s="2">
        <v>30880.905566893602</v>
      </c>
      <c r="AS88" s="2">
        <v>282712.21282268601</v>
      </c>
      <c r="AT88" s="2">
        <v>914.47237521771899</v>
      </c>
      <c r="AU88" s="2">
        <v>144057.63544851899</v>
      </c>
      <c r="AV88" s="2">
        <v>4998.1007416653802</v>
      </c>
      <c r="AW88" s="2">
        <v>450.964782248387</v>
      </c>
      <c r="AX88" s="2">
        <v>2483.4830092826801</v>
      </c>
    </row>
    <row r="89" spans="1:50" x14ac:dyDescent="0.25">
      <c r="A89" s="2" t="s">
        <v>1945</v>
      </c>
      <c r="B89" s="2">
        <v>143.081881590591</v>
      </c>
      <c r="C89" s="2">
        <v>1.4048499999999999</v>
      </c>
      <c r="D89" s="2" t="s">
        <v>51</v>
      </c>
      <c r="E89" s="2" t="s">
        <v>1946</v>
      </c>
      <c r="F89" s="2">
        <v>210415</v>
      </c>
      <c r="G89" s="3" t="str">
        <f>HYPERLINK("https://cloud.oebiotech.com/#/lm/network/210415", "https://cloud.oebiotech.com/#/lm/network/210415")</f>
        <v>https://cloud.oebiotech.com/#/lm/network/210415</v>
      </c>
      <c r="H89" s="2" t="s">
        <v>1947</v>
      </c>
      <c r="I89" s="2">
        <v>44173</v>
      </c>
      <c r="J89" s="2"/>
      <c r="K89" s="2">
        <v>4843</v>
      </c>
      <c r="L89" s="2"/>
      <c r="M89" s="2"/>
      <c r="N89" s="2"/>
      <c r="O89" s="2"/>
      <c r="P89" s="2"/>
      <c r="Q89" s="2"/>
      <c r="R89" s="2" t="s">
        <v>1948</v>
      </c>
      <c r="S89" s="2" t="s">
        <v>1949</v>
      </c>
      <c r="T89" s="2" t="s">
        <v>1950</v>
      </c>
      <c r="U89" s="2" t="s">
        <v>103</v>
      </c>
      <c r="V89" s="2" t="s">
        <v>104</v>
      </c>
      <c r="W89" s="2" t="s">
        <v>105</v>
      </c>
      <c r="X89" s="2" t="s">
        <v>83</v>
      </c>
      <c r="Y89" s="2">
        <v>43</v>
      </c>
      <c r="Z89" s="2">
        <v>6.61</v>
      </c>
      <c r="AA89" s="2" t="s">
        <v>106</v>
      </c>
      <c r="AB89" s="2" t="s">
        <v>1951</v>
      </c>
      <c r="AC89" s="2">
        <v>2.6576894138843801</v>
      </c>
      <c r="AD89" s="2"/>
      <c r="AE89" s="2">
        <v>2.9649585681488801</v>
      </c>
      <c r="AF89" s="2">
        <v>36931.022829279696</v>
      </c>
      <c r="AG89" s="2">
        <v>433850.58126798802</v>
      </c>
      <c r="AH89" s="4">
        <v>8.5123829317788904E-2</v>
      </c>
      <c r="AI89" s="4">
        <v>-3.5542931374609901</v>
      </c>
      <c r="AJ89" s="4" t="s">
        <v>62</v>
      </c>
      <c r="AK89" s="2">
        <v>0.353506540577812</v>
      </c>
      <c r="AL89" s="2">
        <v>0.644232435870006</v>
      </c>
      <c r="AM89" s="2">
        <v>2502.4898707637499</v>
      </c>
      <c r="AN89" s="2">
        <v>3271.9848737279999</v>
      </c>
      <c r="AO89" s="2">
        <v>2698.2666649069702</v>
      </c>
      <c r="AP89" s="2">
        <v>3213.49985622432</v>
      </c>
      <c r="AQ89" s="2">
        <v>4038.54559522921</v>
      </c>
      <c r="AR89" s="2">
        <v>205861.350114826</v>
      </c>
      <c r="AS89" s="2">
        <v>73814.550344341798</v>
      </c>
      <c r="AT89" s="2">
        <v>3768.3040187920401</v>
      </c>
      <c r="AU89" s="2">
        <v>2271.94320149753</v>
      </c>
      <c r="AV89" s="2">
        <v>2607.9518319177701</v>
      </c>
      <c r="AW89" s="2">
        <v>2465568.0200821902</v>
      </c>
      <c r="AX89" s="2">
        <v>55072.718129189903</v>
      </c>
    </row>
    <row r="90" spans="1:50" x14ac:dyDescent="0.25">
      <c r="A90" s="2" t="s">
        <v>1952</v>
      </c>
      <c r="B90" s="2">
        <v>204.1183</v>
      </c>
      <c r="C90" s="2">
        <v>20.411000000000001</v>
      </c>
      <c r="D90" s="2" t="s">
        <v>125</v>
      </c>
      <c r="E90" s="2" t="s">
        <v>1953</v>
      </c>
      <c r="F90" s="2">
        <v>205483</v>
      </c>
      <c r="G90" s="3" t="str">
        <f>HYPERLINK("https://cloud.oebiotech.com/#/lm/network/205483", "https://cloud.oebiotech.com/#/lm/network/205483")</f>
        <v>https://cloud.oebiotech.com/#/lm/network/205483</v>
      </c>
      <c r="H90" s="2" t="s">
        <v>1954</v>
      </c>
      <c r="I90" s="2"/>
      <c r="J90" s="2"/>
      <c r="K90" s="2">
        <v>206</v>
      </c>
      <c r="L90" s="2" t="s">
        <v>1955</v>
      </c>
      <c r="M90" s="2"/>
      <c r="N90" s="2"/>
      <c r="O90" s="2"/>
      <c r="P90" s="2"/>
      <c r="Q90" s="2"/>
      <c r="R90" s="2"/>
      <c r="S90" s="2" t="s">
        <v>1956</v>
      </c>
      <c r="T90" s="2" t="s">
        <v>1957</v>
      </c>
      <c r="U90" s="2" t="s">
        <v>331</v>
      </c>
      <c r="V90" s="2" t="s">
        <v>332</v>
      </c>
      <c r="W90" s="2" t="s">
        <v>333</v>
      </c>
      <c r="X90" s="2" t="s">
        <v>69</v>
      </c>
      <c r="Y90" s="2">
        <v>97.4</v>
      </c>
      <c r="Z90" s="2">
        <v>96.2</v>
      </c>
      <c r="AA90" s="2"/>
      <c r="AB90" s="2" t="s">
        <v>1085</v>
      </c>
      <c r="AC90" s="2"/>
      <c r="AD90" s="2">
        <v>688148.54906054295</v>
      </c>
      <c r="AE90" s="2">
        <v>2.95597071748931</v>
      </c>
      <c r="AF90" s="2">
        <v>3893466.9820016501</v>
      </c>
      <c r="AG90" s="2">
        <v>7207140.0091592297</v>
      </c>
      <c r="AH90" s="4">
        <v>0.54022358065107901</v>
      </c>
      <c r="AI90" s="4">
        <v>-0.88837148031651803</v>
      </c>
      <c r="AJ90" s="4" t="s">
        <v>62</v>
      </c>
      <c r="AK90" s="2">
        <v>0.107370983982447</v>
      </c>
      <c r="AL90" s="2">
        <v>0.41800756190412303</v>
      </c>
      <c r="AM90" s="2">
        <v>2380519.6254700902</v>
      </c>
      <c r="AN90" s="2">
        <v>2256394.5436178702</v>
      </c>
      <c r="AO90" s="2">
        <v>1738934.56570405</v>
      </c>
      <c r="AP90" s="2">
        <v>1741815.33797117</v>
      </c>
      <c r="AQ90" s="2">
        <v>9779061.3120838907</v>
      </c>
      <c r="AR90" s="2">
        <v>5464076.5071628103</v>
      </c>
      <c r="AS90" s="2">
        <v>12012162.858188501</v>
      </c>
      <c r="AT90" s="2">
        <v>8192739.1379377795</v>
      </c>
      <c r="AU90" s="2">
        <v>7712975.3640315104</v>
      </c>
      <c r="AV90" s="2">
        <v>7399861.3405182501</v>
      </c>
      <c r="AW90" s="2">
        <v>1896074.96217898</v>
      </c>
      <c r="AX90" s="2">
        <v>6029026.3921003398</v>
      </c>
    </row>
    <row r="91" spans="1:50" x14ac:dyDescent="0.25">
      <c r="A91" s="2" t="s">
        <v>1958</v>
      </c>
      <c r="B91" s="2">
        <v>280.26413256222202</v>
      </c>
      <c r="C91" s="2">
        <v>11.880366666666699</v>
      </c>
      <c r="D91" s="2" t="s">
        <v>51</v>
      </c>
      <c r="E91" s="2" t="s">
        <v>1959</v>
      </c>
      <c r="F91" s="2">
        <v>6567</v>
      </c>
      <c r="G91" s="3" t="str">
        <f>HYPERLINK("https://cloud.oebiotech.com/#/lm/network/6567", "https://cloud.oebiotech.com/#/lm/network/6567")</f>
        <v>https://cloud.oebiotech.com/#/lm/network/6567</v>
      </c>
      <c r="H91" s="2"/>
      <c r="I91" s="2">
        <v>75376</v>
      </c>
      <c r="J91" s="2" t="s">
        <v>1960</v>
      </c>
      <c r="K91" s="2">
        <v>5283384</v>
      </c>
      <c r="L91" s="2"/>
      <c r="M91" s="2"/>
      <c r="N91" s="2"/>
      <c r="O91" s="2"/>
      <c r="P91" s="2"/>
      <c r="Q91" s="2"/>
      <c r="R91" s="2"/>
      <c r="S91" s="2" t="s">
        <v>1961</v>
      </c>
      <c r="T91" s="2" t="s">
        <v>1962</v>
      </c>
      <c r="U91" s="2" t="s">
        <v>56</v>
      </c>
      <c r="V91" s="2" t="s">
        <v>145</v>
      </c>
      <c r="W91" s="2" t="s">
        <v>1543</v>
      </c>
      <c r="X91" s="2" t="s">
        <v>69</v>
      </c>
      <c r="Y91" s="2">
        <v>71.400000000000006</v>
      </c>
      <c r="Z91" s="2">
        <v>91.7</v>
      </c>
      <c r="AA91" s="2" t="s">
        <v>1544</v>
      </c>
      <c r="AB91" s="2" t="s">
        <v>1669</v>
      </c>
      <c r="AC91" s="2">
        <v>2.44614033603498</v>
      </c>
      <c r="AD91" s="2"/>
      <c r="AE91" s="2">
        <v>2.9428514051453898</v>
      </c>
      <c r="AF91" s="2">
        <v>7435988.4711694596</v>
      </c>
      <c r="AG91" s="2">
        <v>9198796.4236039501</v>
      </c>
      <c r="AH91" s="4">
        <v>0.808365369635623</v>
      </c>
      <c r="AI91" s="4">
        <v>-0.30692057688705798</v>
      </c>
      <c r="AJ91" s="4" t="s">
        <v>62</v>
      </c>
      <c r="AK91" s="2">
        <v>0.81469148155183602</v>
      </c>
      <c r="AL91" s="2">
        <v>0.91838413387428997</v>
      </c>
      <c r="AM91" s="2">
        <v>191014.42139823901</v>
      </c>
      <c r="AN91" s="2">
        <v>152502.46761078999</v>
      </c>
      <c r="AO91" s="2">
        <v>23345976.090622298</v>
      </c>
      <c r="AP91" s="2">
        <v>263611.79953982797</v>
      </c>
      <c r="AQ91" s="2">
        <v>20050909.205005001</v>
      </c>
      <c r="AR91" s="2">
        <v>611916.84284058202</v>
      </c>
      <c r="AS91" s="2">
        <v>32030523.130261399</v>
      </c>
      <c r="AT91" s="2">
        <v>130033.22055093299</v>
      </c>
      <c r="AU91" s="2">
        <v>21797407.939811401</v>
      </c>
      <c r="AV91" s="2">
        <v>649159.93646039697</v>
      </c>
      <c r="AW91" s="2">
        <v>373099.393161388</v>
      </c>
      <c r="AX91" s="2">
        <v>212554.92137818699</v>
      </c>
    </row>
    <row r="92" spans="1:50" x14ac:dyDescent="0.25">
      <c r="A92" s="2" t="s">
        <v>339</v>
      </c>
      <c r="B92" s="2">
        <v>772.58740687314605</v>
      </c>
      <c r="C92" s="2">
        <v>12.2929666666667</v>
      </c>
      <c r="D92" s="2" t="s">
        <v>51</v>
      </c>
      <c r="E92" s="2" t="s">
        <v>340</v>
      </c>
      <c r="F92" s="2">
        <v>40012</v>
      </c>
      <c r="G92" s="3" t="str">
        <f>HYPERLINK("https://cloud.oebiotech.com/#/lm/network/40012", "https://cloud.oebiotech.com/#/lm/network/40012")</f>
        <v>https://cloud.oebiotech.com/#/lm/network/40012</v>
      </c>
      <c r="H92" s="2"/>
      <c r="I92" s="2"/>
      <c r="J92" s="2" t="s">
        <v>341</v>
      </c>
      <c r="K92" s="2">
        <v>10395414</v>
      </c>
      <c r="L92" s="2"/>
      <c r="M92" s="2"/>
      <c r="N92" s="2"/>
      <c r="O92" s="2"/>
      <c r="P92" s="2"/>
      <c r="Q92" s="2"/>
      <c r="R92" s="2"/>
      <c r="S92" s="2" t="s">
        <v>342</v>
      </c>
      <c r="T92" s="2" t="s">
        <v>343</v>
      </c>
      <c r="U92" s="2" t="s">
        <v>56</v>
      </c>
      <c r="V92" s="2" t="s">
        <v>344</v>
      </c>
      <c r="W92" s="2" t="s">
        <v>345</v>
      </c>
      <c r="X92" s="2" t="s">
        <v>83</v>
      </c>
      <c r="Y92" s="2">
        <v>47.4</v>
      </c>
      <c r="Z92" s="2">
        <v>0</v>
      </c>
      <c r="AA92" s="2" t="s">
        <v>259</v>
      </c>
      <c r="AB92" s="2" t="s">
        <v>346</v>
      </c>
      <c r="AC92" s="2">
        <v>-7.6690823283731104</v>
      </c>
      <c r="AD92" s="2"/>
      <c r="AE92" s="2">
        <v>2.9182578734137401</v>
      </c>
      <c r="AF92" s="2">
        <v>61710.5844815729</v>
      </c>
      <c r="AG92" s="2">
        <v>278344.73266890901</v>
      </c>
      <c r="AH92" s="4">
        <v>0.22170559467700601</v>
      </c>
      <c r="AI92" s="4">
        <v>-2.17328291822778</v>
      </c>
      <c r="AJ92" s="4" t="s">
        <v>62</v>
      </c>
      <c r="AK92" s="2">
        <v>1.6930244100644101E-2</v>
      </c>
      <c r="AL92" s="2">
        <v>0.205950846806881</v>
      </c>
      <c r="AM92" s="2">
        <v>12995.9308719971</v>
      </c>
      <c r="AN92" s="2">
        <v>26839.126684961098</v>
      </c>
      <c r="AO92" s="2">
        <v>17918.271238511901</v>
      </c>
      <c r="AP92" s="2">
        <v>17745.411364251198</v>
      </c>
      <c r="AQ92" s="2">
        <v>170037.435438382</v>
      </c>
      <c r="AR92" s="2">
        <v>124727.33129133401</v>
      </c>
      <c r="AS92" s="2">
        <v>456501.64330576902</v>
      </c>
      <c r="AT92" s="2">
        <v>305819.16285916802</v>
      </c>
      <c r="AU92" s="2">
        <v>214247.77932803499</v>
      </c>
      <c r="AV92" s="2">
        <v>29935.607683358001</v>
      </c>
      <c r="AW92" s="2">
        <v>182036.96962666299</v>
      </c>
      <c r="AX92" s="2">
        <v>481527.23321046203</v>
      </c>
    </row>
    <row r="93" spans="1:50" x14ac:dyDescent="0.25">
      <c r="A93" s="2" t="s">
        <v>347</v>
      </c>
      <c r="B93" s="2">
        <v>872.56608434482905</v>
      </c>
      <c r="C93" s="2">
        <v>12.332233333333299</v>
      </c>
      <c r="D93" s="2" t="s">
        <v>51</v>
      </c>
      <c r="E93" s="2" t="s">
        <v>348</v>
      </c>
      <c r="F93" s="2">
        <v>235294</v>
      </c>
      <c r="G93" s="3" t="str">
        <f>HYPERLINK("https://cloud.oebiotech.com/#/lm/network/235294", "https://cloud.oebiotech.com/#/lm/network/235294")</f>
        <v>https://cloud.oebiotech.com/#/lm/network/235294</v>
      </c>
      <c r="H93" s="2" t="s">
        <v>349</v>
      </c>
      <c r="I93" s="2"/>
      <c r="J93" s="2"/>
      <c r="K93" s="2"/>
      <c r="L93" s="2"/>
      <c r="M93" s="2"/>
      <c r="N93" s="2"/>
      <c r="O93" s="2"/>
      <c r="P93" s="2"/>
      <c r="Q93" s="2"/>
      <c r="R93" s="2"/>
      <c r="S93" s="2" t="s">
        <v>350</v>
      </c>
      <c r="T93" s="2" t="s">
        <v>351</v>
      </c>
      <c r="U93" s="2" t="s">
        <v>56</v>
      </c>
      <c r="V93" s="2" t="s">
        <v>57</v>
      </c>
      <c r="W93" s="2" t="s">
        <v>82</v>
      </c>
      <c r="X93" s="2" t="s">
        <v>83</v>
      </c>
      <c r="Y93" s="2">
        <v>52.2</v>
      </c>
      <c r="Z93" s="2">
        <v>0</v>
      </c>
      <c r="AA93" s="2" t="s">
        <v>259</v>
      </c>
      <c r="AB93" s="2" t="s">
        <v>352</v>
      </c>
      <c r="AC93" s="2">
        <v>1.5423120391118199</v>
      </c>
      <c r="AD93" s="2"/>
      <c r="AE93" s="2">
        <v>2.9047673777392999</v>
      </c>
      <c r="AF93" s="2">
        <v>353381.06891727698</v>
      </c>
      <c r="AG93" s="2">
        <v>154174.40886023699</v>
      </c>
      <c r="AH93" s="5">
        <v>2.2920864203710001</v>
      </c>
      <c r="AI93" s="5">
        <v>1.19666144020748</v>
      </c>
      <c r="AJ93" s="5" t="s">
        <v>139</v>
      </c>
      <c r="AK93" s="2">
        <v>8.4698999601056993E-3</v>
      </c>
      <c r="AL93" s="2">
        <v>0.15035952907186401</v>
      </c>
      <c r="AM93" s="2">
        <v>399765.83152992302</v>
      </c>
      <c r="AN93" s="2">
        <v>421890.53433624702</v>
      </c>
      <c r="AO93" s="2">
        <v>314840.86845115601</v>
      </c>
      <c r="AP93" s="2">
        <v>562076.90873649204</v>
      </c>
      <c r="AQ93" s="2">
        <v>173029.39240704599</v>
      </c>
      <c r="AR93" s="2">
        <v>248682.8780428</v>
      </c>
      <c r="AS93" s="2">
        <v>99685.039342089702</v>
      </c>
      <c r="AT93" s="2">
        <v>240272.13240805501</v>
      </c>
      <c r="AU93" s="2">
        <v>164577.95414961799</v>
      </c>
      <c r="AV93" s="2">
        <v>182758.29182617299</v>
      </c>
      <c r="AW93" s="2">
        <v>84580.408804630802</v>
      </c>
      <c r="AX93" s="2">
        <v>153172.62663085799</v>
      </c>
    </row>
    <row r="94" spans="1:50" x14ac:dyDescent="0.25">
      <c r="A94" s="2" t="s">
        <v>1963</v>
      </c>
      <c r="B94" s="2">
        <v>327.23296657438698</v>
      </c>
      <c r="C94" s="2">
        <v>12.363666666666701</v>
      </c>
      <c r="D94" s="2" t="s">
        <v>51</v>
      </c>
      <c r="E94" s="2" t="s">
        <v>1964</v>
      </c>
      <c r="F94" s="2">
        <v>274668</v>
      </c>
      <c r="G94" s="3" t="str">
        <f>HYPERLINK("https://cloud.oebiotech.com/#/lm/network/274668", "https://cloud.oebiotech.com/#/lm/network/274668")</f>
        <v>https://cloud.oebiotech.com/#/lm/network/274668</v>
      </c>
      <c r="H94" s="2"/>
      <c r="I94" s="2">
        <v>64830</v>
      </c>
      <c r="J94" s="2"/>
      <c r="K94" s="2">
        <v>6433873</v>
      </c>
      <c r="L94" s="2"/>
      <c r="M94" s="2"/>
      <c r="N94" s="2"/>
      <c r="O94" s="2"/>
      <c r="P94" s="2"/>
      <c r="Q94" s="2"/>
      <c r="R94" s="2" t="s">
        <v>1965</v>
      </c>
      <c r="S94" s="2" t="s">
        <v>1966</v>
      </c>
      <c r="T94" s="2" t="s">
        <v>1967</v>
      </c>
      <c r="U94" s="2" t="s">
        <v>56</v>
      </c>
      <c r="V94" s="2" t="s">
        <v>145</v>
      </c>
      <c r="W94" s="2" t="s">
        <v>231</v>
      </c>
      <c r="X94" s="2" t="s">
        <v>69</v>
      </c>
      <c r="Y94" s="2">
        <v>64.900000000000006</v>
      </c>
      <c r="Z94" s="2">
        <v>91.5</v>
      </c>
      <c r="AA94" s="2" t="s">
        <v>623</v>
      </c>
      <c r="AB94" s="2" t="s">
        <v>1968</v>
      </c>
      <c r="AC94" s="2">
        <v>3.8816164085024002E-2</v>
      </c>
      <c r="AD94" s="2"/>
      <c r="AE94" s="2">
        <v>2.8987615079112801</v>
      </c>
      <c r="AF94" s="2">
        <v>531333.17177282798</v>
      </c>
      <c r="AG94" s="2">
        <v>871034.37851380603</v>
      </c>
      <c r="AH94" s="4">
        <v>0.61000252674229705</v>
      </c>
      <c r="AI94" s="4">
        <v>-0.71311287629211495</v>
      </c>
      <c r="AJ94" s="4" t="s">
        <v>62</v>
      </c>
      <c r="AK94" s="2">
        <v>0.16147052508717699</v>
      </c>
      <c r="AL94" s="2">
        <v>0.48399353100485398</v>
      </c>
      <c r="AM94" s="2">
        <v>970381.81185323605</v>
      </c>
      <c r="AN94" s="2">
        <v>376386.98667965399</v>
      </c>
      <c r="AO94" s="2">
        <v>451245.04603925103</v>
      </c>
      <c r="AP94" s="2">
        <v>478056.98006747599</v>
      </c>
      <c r="AQ94" s="2">
        <v>420247.82377922197</v>
      </c>
      <c r="AR94" s="2">
        <v>491680.38221812597</v>
      </c>
      <c r="AS94" s="2">
        <v>386164.45637781097</v>
      </c>
      <c r="AT94" s="2">
        <v>474052.44518235</v>
      </c>
      <c r="AU94" s="2">
        <v>667143.85366855899</v>
      </c>
      <c r="AV94" s="2">
        <v>937270.86494254298</v>
      </c>
      <c r="AW94" s="2">
        <v>1778274.88688185</v>
      </c>
      <c r="AX94" s="2">
        <v>983299.76402972196</v>
      </c>
    </row>
    <row r="95" spans="1:50" x14ac:dyDescent="0.25">
      <c r="A95" s="2" t="s">
        <v>1969</v>
      </c>
      <c r="B95" s="2">
        <v>1043.7052959912901</v>
      </c>
      <c r="C95" s="2">
        <v>11.087300000000001</v>
      </c>
      <c r="D95" s="2" t="s">
        <v>51</v>
      </c>
      <c r="E95" s="2" t="s">
        <v>1970</v>
      </c>
      <c r="F95" s="2">
        <v>208508</v>
      </c>
      <c r="G95" s="3" t="str">
        <f>HYPERLINK("https://cloud.oebiotech.com/#/lm/network/208508", "https://cloud.oebiotech.com/#/lm/network/208508")</f>
        <v>https://cloud.oebiotech.com/#/lm/network/208508</v>
      </c>
      <c r="H95" s="2" t="s">
        <v>1971</v>
      </c>
      <c r="I95" s="2"/>
      <c r="J95" s="2"/>
      <c r="K95" s="2"/>
      <c r="L95" s="2"/>
      <c r="M95" s="2"/>
      <c r="N95" s="2"/>
      <c r="O95" s="2"/>
      <c r="P95" s="2"/>
      <c r="Q95" s="2"/>
      <c r="R95" s="2"/>
      <c r="S95" s="2" t="s">
        <v>1972</v>
      </c>
      <c r="T95" s="2" t="s">
        <v>1973</v>
      </c>
      <c r="U95" s="2" t="s">
        <v>103</v>
      </c>
      <c r="V95" s="2" t="s">
        <v>104</v>
      </c>
      <c r="W95" s="2" t="s">
        <v>105</v>
      </c>
      <c r="X95" s="2" t="s">
        <v>147</v>
      </c>
      <c r="Y95" s="2">
        <v>38.1</v>
      </c>
      <c r="Z95" s="2">
        <v>6.78</v>
      </c>
      <c r="AA95" s="2" t="s">
        <v>259</v>
      </c>
      <c r="AB95" s="2" t="s">
        <v>1974</v>
      </c>
      <c r="AC95" s="2">
        <v>-4.65031440954579</v>
      </c>
      <c r="AD95" s="2"/>
      <c r="AE95" s="2">
        <v>2.8898982876765098</v>
      </c>
      <c r="AF95" s="2">
        <v>775345.41319032002</v>
      </c>
      <c r="AG95" s="2">
        <v>1247598.11989118</v>
      </c>
      <c r="AH95" s="4">
        <v>0.62147048863615295</v>
      </c>
      <c r="AI95" s="4">
        <v>-0.68624221030170796</v>
      </c>
      <c r="AJ95" s="4" t="s">
        <v>62</v>
      </c>
      <c r="AK95" s="2">
        <v>0.22944236968187701</v>
      </c>
      <c r="AL95" s="2">
        <v>0.55441568937782004</v>
      </c>
      <c r="AM95" s="2">
        <v>1241481.4652118201</v>
      </c>
      <c r="AN95" s="2">
        <v>846754.38093870704</v>
      </c>
      <c r="AO95" s="2">
        <v>821802.63665634603</v>
      </c>
      <c r="AP95" s="2">
        <v>577583.59002061398</v>
      </c>
      <c r="AQ95" s="2">
        <v>534923.83757123596</v>
      </c>
      <c r="AR95" s="2">
        <v>629526.56874319399</v>
      </c>
      <c r="AS95" s="2">
        <v>478423.64433945902</v>
      </c>
      <c r="AT95" s="2">
        <v>174762.83582236501</v>
      </c>
      <c r="AU95" s="2">
        <v>2257473.11349764</v>
      </c>
      <c r="AV95" s="2">
        <v>1881381.1625325801</v>
      </c>
      <c r="AW95" s="2">
        <v>1874587.2322922</v>
      </c>
      <c r="AX95" s="2">
        <v>818960.73086286196</v>
      </c>
    </row>
    <row r="96" spans="1:50" x14ac:dyDescent="0.25">
      <c r="A96" s="2" t="s">
        <v>1975</v>
      </c>
      <c r="B96" s="2">
        <v>478.29405886557299</v>
      </c>
      <c r="C96" s="2">
        <v>10.8035333333333</v>
      </c>
      <c r="D96" s="2" t="s">
        <v>51</v>
      </c>
      <c r="E96" s="2" t="s">
        <v>1976</v>
      </c>
      <c r="F96" s="2">
        <v>21200</v>
      </c>
      <c r="G96" s="3" t="str">
        <f>HYPERLINK("https://cloud.oebiotech.com/#/lm/network/21200", "https://cloud.oebiotech.com/#/lm/network/21200")</f>
        <v>https://cloud.oebiotech.com/#/lm/network/21200</v>
      </c>
      <c r="H96" s="2" t="s">
        <v>1977</v>
      </c>
      <c r="I96" s="2">
        <v>62263</v>
      </c>
      <c r="J96" s="2" t="s">
        <v>1978</v>
      </c>
      <c r="K96" s="2">
        <v>53480924</v>
      </c>
      <c r="L96" s="2"/>
      <c r="M96" s="2"/>
      <c r="N96" s="2"/>
      <c r="O96" s="2"/>
      <c r="P96" s="2"/>
      <c r="Q96" s="2"/>
      <c r="R96" s="2"/>
      <c r="S96" s="2" t="s">
        <v>1979</v>
      </c>
      <c r="T96" s="2" t="s">
        <v>1980</v>
      </c>
      <c r="U96" s="2" t="s">
        <v>56</v>
      </c>
      <c r="V96" s="2" t="s">
        <v>57</v>
      </c>
      <c r="W96" s="2" t="s">
        <v>155</v>
      </c>
      <c r="X96" s="2" t="s">
        <v>69</v>
      </c>
      <c r="Y96" s="2">
        <v>68.7</v>
      </c>
      <c r="Z96" s="2">
        <v>86.7</v>
      </c>
      <c r="AA96" s="2" t="s">
        <v>163</v>
      </c>
      <c r="AB96" s="2" t="s">
        <v>1981</v>
      </c>
      <c r="AC96" s="2">
        <v>0.30429849900644002</v>
      </c>
      <c r="AD96" s="2"/>
      <c r="AE96" s="2">
        <v>2.8288232091668801</v>
      </c>
      <c r="AF96" s="2">
        <v>363169.65177490597</v>
      </c>
      <c r="AG96" s="2">
        <v>672368.93635197799</v>
      </c>
      <c r="AH96" s="4">
        <v>0.54013448887946602</v>
      </c>
      <c r="AI96" s="4">
        <v>-0.88860942412608701</v>
      </c>
      <c r="AJ96" s="4" t="s">
        <v>62</v>
      </c>
      <c r="AK96" s="2">
        <v>0.119888053463462</v>
      </c>
      <c r="AL96" s="2">
        <v>0.43766036031086097</v>
      </c>
      <c r="AM96" s="2">
        <v>549411.34761381603</v>
      </c>
      <c r="AN96" s="2">
        <v>340212.13759307202</v>
      </c>
      <c r="AO96" s="2">
        <v>428089.64826338302</v>
      </c>
      <c r="AP96" s="2">
        <v>266708.58442909602</v>
      </c>
      <c r="AQ96" s="2">
        <v>277250.82311113999</v>
      </c>
      <c r="AR96" s="2">
        <v>317345.36963892903</v>
      </c>
      <c r="AS96" s="2">
        <v>277171.40840404801</v>
      </c>
      <c r="AT96" s="2">
        <v>260892.33804472</v>
      </c>
      <c r="AU96" s="2">
        <v>890253.44652873604</v>
      </c>
      <c r="AV96" s="2">
        <v>1326173.71309078</v>
      </c>
      <c r="AW96" s="2">
        <v>895968.97592679597</v>
      </c>
      <c r="AX96" s="2">
        <v>383753.73611679103</v>
      </c>
    </row>
    <row r="97" spans="1:50" x14ac:dyDescent="0.25">
      <c r="A97" s="2" t="s">
        <v>1982</v>
      </c>
      <c r="B97" s="2">
        <v>570.35668396223002</v>
      </c>
      <c r="C97" s="2">
        <v>10.6119166666667</v>
      </c>
      <c r="D97" s="2" t="s">
        <v>51</v>
      </c>
      <c r="E97" s="2" t="s">
        <v>1983</v>
      </c>
      <c r="F97" s="2">
        <v>63824</v>
      </c>
      <c r="G97" s="3" t="str">
        <f>HYPERLINK("https://cloud.oebiotech.com/#/lm/network/63824", "https://cloud.oebiotech.com/#/lm/network/63824")</f>
        <v>https://cloud.oebiotech.com/#/lm/network/63824</v>
      </c>
      <c r="H97" s="2" t="s">
        <v>1984</v>
      </c>
      <c r="I97" s="2">
        <v>95159</v>
      </c>
      <c r="J97" s="2"/>
      <c r="K97" s="2">
        <v>177097</v>
      </c>
      <c r="L97" s="2"/>
      <c r="M97" s="2"/>
      <c r="N97" s="2"/>
      <c r="O97" s="2"/>
      <c r="P97" s="2"/>
      <c r="Q97" s="2"/>
      <c r="R97" s="2" t="s">
        <v>1985</v>
      </c>
      <c r="S97" s="2" t="s">
        <v>1986</v>
      </c>
      <c r="T97" s="2" t="s">
        <v>1987</v>
      </c>
      <c r="U97" s="2" t="s">
        <v>266</v>
      </c>
      <c r="V97" s="2" t="s">
        <v>1988</v>
      </c>
      <c r="W97" s="2" t="s">
        <v>240</v>
      </c>
      <c r="X97" s="2" t="s">
        <v>69</v>
      </c>
      <c r="Y97" s="2">
        <v>62.2</v>
      </c>
      <c r="Z97" s="2">
        <v>91.1</v>
      </c>
      <c r="AA97" s="2" t="s">
        <v>60</v>
      </c>
      <c r="AB97" s="2" t="s">
        <v>1989</v>
      </c>
      <c r="AC97" s="2">
        <v>-1.93459052486015</v>
      </c>
      <c r="AD97" s="2"/>
      <c r="AE97" s="2">
        <v>2.8096765225392599</v>
      </c>
      <c r="AF97" s="2">
        <v>511140.178898827</v>
      </c>
      <c r="AG97" s="2">
        <v>778418.27998332097</v>
      </c>
      <c r="AH97" s="4">
        <v>0.65663948553440898</v>
      </c>
      <c r="AI97" s="4">
        <v>-0.60682658915573195</v>
      </c>
      <c r="AJ97" s="4" t="s">
        <v>62</v>
      </c>
      <c r="AK97" s="2">
        <v>0.12840205659588599</v>
      </c>
      <c r="AL97" s="2">
        <v>0.44698559560283302</v>
      </c>
      <c r="AM97" s="2">
        <v>746193.61381888099</v>
      </c>
      <c r="AN97" s="2">
        <v>602397.47272240603</v>
      </c>
      <c r="AO97" s="2">
        <v>338565.36695784901</v>
      </c>
      <c r="AP97" s="2">
        <v>512730.22477144899</v>
      </c>
      <c r="AQ97" s="2">
        <v>430061.04468103102</v>
      </c>
      <c r="AR97" s="2">
        <v>436893.35044134699</v>
      </c>
      <c r="AS97" s="2">
        <v>449223.64747598098</v>
      </c>
      <c r="AT97" s="2">
        <v>270189.85944149003</v>
      </c>
      <c r="AU97" s="2">
        <v>677767.373291253</v>
      </c>
      <c r="AV97" s="2">
        <v>1038492.63616637</v>
      </c>
      <c r="AW97" s="2">
        <v>1104947.39678018</v>
      </c>
      <c r="AX97" s="2">
        <v>1129888.76674465</v>
      </c>
    </row>
    <row r="98" spans="1:50" x14ac:dyDescent="0.25">
      <c r="A98" s="2" t="s">
        <v>1990</v>
      </c>
      <c r="B98" s="2">
        <v>437.19487648747099</v>
      </c>
      <c r="C98" s="2">
        <v>9.6638500000000001</v>
      </c>
      <c r="D98" s="2" t="s">
        <v>51</v>
      </c>
      <c r="E98" s="2" t="s">
        <v>1991</v>
      </c>
      <c r="F98" s="2">
        <v>60688</v>
      </c>
      <c r="G98" s="3" t="str">
        <f>HYPERLINK("https://cloud.oebiotech.com/#/lm/network/60688", "https://cloud.oebiotech.com/#/lm/network/60688")</f>
        <v>https://cloud.oebiotech.com/#/lm/network/60688</v>
      </c>
      <c r="H98" s="2" t="s">
        <v>1992</v>
      </c>
      <c r="I98" s="2"/>
      <c r="J98" s="2"/>
      <c r="K98" s="2">
        <v>78173000</v>
      </c>
      <c r="L98" s="2"/>
      <c r="M98" s="2"/>
      <c r="N98" s="2"/>
      <c r="O98" s="2"/>
      <c r="P98" s="2"/>
      <c r="Q98" s="2"/>
      <c r="R98" s="2" t="s">
        <v>1993</v>
      </c>
      <c r="S98" s="2" t="s">
        <v>1994</v>
      </c>
      <c r="T98" s="2" t="s">
        <v>1995</v>
      </c>
      <c r="U98" s="2" t="s">
        <v>56</v>
      </c>
      <c r="V98" s="2" t="s">
        <v>177</v>
      </c>
      <c r="W98" s="2" t="s">
        <v>1996</v>
      </c>
      <c r="X98" s="2" t="s">
        <v>83</v>
      </c>
      <c r="Y98" s="2">
        <v>47</v>
      </c>
      <c r="Z98" s="2">
        <v>24.5</v>
      </c>
      <c r="AA98" s="2" t="s">
        <v>95</v>
      </c>
      <c r="AB98" s="2" t="s">
        <v>1340</v>
      </c>
      <c r="AC98" s="2">
        <v>3.42132667447183</v>
      </c>
      <c r="AD98" s="2"/>
      <c r="AE98" s="2">
        <v>2.8071183408225999</v>
      </c>
      <c r="AF98" s="2">
        <v>318003.40616126201</v>
      </c>
      <c r="AG98" s="2">
        <v>633016.48279685504</v>
      </c>
      <c r="AH98" s="4">
        <v>0.50236196813743095</v>
      </c>
      <c r="AI98" s="4">
        <v>-0.99320084733060798</v>
      </c>
      <c r="AJ98" s="4" t="s">
        <v>62</v>
      </c>
      <c r="AK98" s="2">
        <v>0.15541957623261601</v>
      </c>
      <c r="AL98" s="2">
        <v>0.47636862369284499</v>
      </c>
      <c r="AM98" s="2">
        <v>20085.1398805106</v>
      </c>
      <c r="AN98" s="2">
        <v>32541.3777757506</v>
      </c>
      <c r="AO98" s="2">
        <v>595207.38422692695</v>
      </c>
      <c r="AP98" s="2">
        <v>341951.595246604</v>
      </c>
      <c r="AQ98" s="2">
        <v>873547.800001189</v>
      </c>
      <c r="AR98" s="2">
        <v>44687.1398365926</v>
      </c>
      <c r="AS98" s="2">
        <v>910301.84925832495</v>
      </c>
      <c r="AT98" s="2">
        <v>706738.55951275094</v>
      </c>
      <c r="AU98" s="2">
        <v>898516.35211049498</v>
      </c>
      <c r="AV98" s="2">
        <v>188427.11841290101</v>
      </c>
      <c r="AW98" s="2">
        <v>183269.261972181</v>
      </c>
      <c r="AX98" s="2">
        <v>910845.75551447901</v>
      </c>
    </row>
    <row r="99" spans="1:50" x14ac:dyDescent="0.25">
      <c r="A99" s="2" t="s">
        <v>1997</v>
      </c>
      <c r="B99" s="2">
        <v>303.23253306315303</v>
      </c>
      <c r="C99" s="2">
        <v>10.9667166666667</v>
      </c>
      <c r="D99" s="2" t="s">
        <v>51</v>
      </c>
      <c r="E99" s="2" t="s">
        <v>1998</v>
      </c>
      <c r="F99" s="2">
        <v>255847</v>
      </c>
      <c r="G99" s="3" t="str">
        <f>HYPERLINK("https://cloud.oebiotech.com/#/lm/network/255847", "https://cloud.oebiotech.com/#/lm/network/255847")</f>
        <v>https://cloud.oebiotech.com/#/lm/network/255847</v>
      </c>
      <c r="H99" s="2" t="s">
        <v>1999</v>
      </c>
      <c r="I99" s="2"/>
      <c r="J99" s="2"/>
      <c r="K99" s="2">
        <v>5321088</v>
      </c>
      <c r="L99" s="2"/>
      <c r="M99" s="2"/>
      <c r="N99" s="2"/>
      <c r="O99" s="2"/>
      <c r="P99" s="2"/>
      <c r="Q99" s="2"/>
      <c r="R99" s="2"/>
      <c r="S99" s="2" t="s">
        <v>2000</v>
      </c>
      <c r="T99" s="2" t="s">
        <v>2001</v>
      </c>
      <c r="U99" s="2" t="s">
        <v>56</v>
      </c>
      <c r="V99" s="2" t="s">
        <v>177</v>
      </c>
      <c r="W99" s="2" t="s">
        <v>178</v>
      </c>
      <c r="X99" s="2" t="s">
        <v>69</v>
      </c>
      <c r="Y99" s="2">
        <v>54.5</v>
      </c>
      <c r="Z99" s="2">
        <v>63.5</v>
      </c>
      <c r="AA99" s="2" t="s">
        <v>179</v>
      </c>
      <c r="AB99" s="2" t="s">
        <v>835</v>
      </c>
      <c r="AC99" s="2">
        <v>2.2381698163014798</v>
      </c>
      <c r="AD99" s="2"/>
      <c r="AE99" s="2">
        <v>2.7347214736828702</v>
      </c>
      <c r="AF99" s="2">
        <v>1407094.26388994</v>
      </c>
      <c r="AG99" s="2">
        <v>1155660.6401144201</v>
      </c>
      <c r="AH99" s="5">
        <v>1.21756700457551</v>
      </c>
      <c r="AI99" s="5">
        <v>0.28400116820814197</v>
      </c>
      <c r="AJ99" s="5" t="s">
        <v>139</v>
      </c>
      <c r="AK99" s="2">
        <v>8.1393765513745997E-2</v>
      </c>
      <c r="AL99" s="2">
        <v>0.36927845566532902</v>
      </c>
      <c r="AM99" s="2">
        <v>1330897.83730114</v>
      </c>
      <c r="AN99" s="2">
        <v>1496808.6593737099</v>
      </c>
      <c r="AO99" s="2">
        <v>1503627.2711344601</v>
      </c>
      <c r="AP99" s="2">
        <v>1276074.4865960099</v>
      </c>
      <c r="AQ99" s="2">
        <v>1447821.1624739401</v>
      </c>
      <c r="AR99" s="2">
        <v>1387336.1664603599</v>
      </c>
      <c r="AS99" s="2">
        <v>1116632.86298417</v>
      </c>
      <c r="AT99" s="2">
        <v>813609.850035968</v>
      </c>
      <c r="AU99" s="2">
        <v>1580248.6329479101</v>
      </c>
      <c r="AV99" s="2">
        <v>1161975.67698657</v>
      </c>
      <c r="AW99" s="2">
        <v>1415938.7035012301</v>
      </c>
      <c r="AX99" s="2">
        <v>845558.11423068703</v>
      </c>
    </row>
    <row r="100" spans="1:50" x14ac:dyDescent="0.25">
      <c r="A100" s="2" t="s">
        <v>2002</v>
      </c>
      <c r="B100" s="2">
        <v>325.217174048255</v>
      </c>
      <c r="C100" s="2">
        <v>9.4429666666666705</v>
      </c>
      <c r="D100" s="2" t="s">
        <v>51</v>
      </c>
      <c r="E100" s="2" t="s">
        <v>2003</v>
      </c>
      <c r="F100" s="2">
        <v>82574</v>
      </c>
      <c r="G100" s="3" t="str">
        <f>HYPERLINK("https://cloud.oebiotech.com/#/lm/network/82574", "https://cloud.oebiotech.com/#/lm/network/82574")</f>
        <v>https://cloud.oebiotech.com/#/lm/network/82574</v>
      </c>
      <c r="H100" s="2" t="s">
        <v>2004</v>
      </c>
      <c r="I100" s="2"/>
      <c r="J100" s="2"/>
      <c r="K100" s="2">
        <v>160654</v>
      </c>
      <c r="L100" s="2"/>
      <c r="M100" s="2"/>
      <c r="N100" s="2"/>
      <c r="O100" s="2"/>
      <c r="P100" s="2"/>
      <c r="Q100" s="2"/>
      <c r="R100" s="2"/>
      <c r="S100" s="2" t="s">
        <v>2005</v>
      </c>
      <c r="T100" s="2" t="s">
        <v>2006</v>
      </c>
      <c r="U100" s="2" t="s">
        <v>56</v>
      </c>
      <c r="V100" s="2" t="s">
        <v>283</v>
      </c>
      <c r="W100" s="2" t="s">
        <v>284</v>
      </c>
      <c r="X100" s="2" t="s">
        <v>69</v>
      </c>
      <c r="Y100" s="2">
        <v>60.4</v>
      </c>
      <c r="Z100" s="2">
        <v>91.4</v>
      </c>
      <c r="AA100" s="2" t="s">
        <v>156</v>
      </c>
      <c r="AB100" s="2" t="s">
        <v>2007</v>
      </c>
      <c r="AC100" s="2">
        <v>2.8270671009592401</v>
      </c>
      <c r="AD100" s="2"/>
      <c r="AE100" s="2">
        <v>2.6963522199254899</v>
      </c>
      <c r="AF100" s="2">
        <v>659071.68326406402</v>
      </c>
      <c r="AG100" s="2">
        <v>459420.718974752</v>
      </c>
      <c r="AH100" s="5">
        <v>1.43457109364779</v>
      </c>
      <c r="AI100" s="5">
        <v>0.52061946612790599</v>
      </c>
      <c r="AJ100" s="5" t="s">
        <v>139</v>
      </c>
      <c r="AK100" s="2">
        <v>0.23073889302150999</v>
      </c>
      <c r="AL100" s="2">
        <v>0.55506353641357498</v>
      </c>
      <c r="AM100" s="2">
        <v>1412501.14914709</v>
      </c>
      <c r="AN100" s="2">
        <v>465114.29923965101</v>
      </c>
      <c r="AO100" s="2">
        <v>469702.37812013697</v>
      </c>
      <c r="AP100" s="2">
        <v>533907.90741985396</v>
      </c>
      <c r="AQ100" s="2">
        <v>480982.75624788698</v>
      </c>
      <c r="AR100" s="2">
        <v>592221.60940976301</v>
      </c>
      <c r="AS100" s="2">
        <v>552448.14868363505</v>
      </c>
      <c r="AT100" s="2">
        <v>429343.42134593899</v>
      </c>
      <c r="AU100" s="2">
        <v>568438.69572665205</v>
      </c>
      <c r="AV100" s="2">
        <v>334774.75273814902</v>
      </c>
      <c r="AW100" s="2">
        <v>475586.95246134797</v>
      </c>
      <c r="AX100" s="2">
        <v>395932.34289279103</v>
      </c>
    </row>
    <row r="101" spans="1:50" x14ac:dyDescent="0.25">
      <c r="A101" s="2" t="s">
        <v>2008</v>
      </c>
      <c r="B101" s="2">
        <v>369.35274366897897</v>
      </c>
      <c r="C101" s="2">
        <v>13.30415</v>
      </c>
      <c r="D101" s="2" t="s">
        <v>51</v>
      </c>
      <c r="E101" s="2" t="s">
        <v>2009</v>
      </c>
      <c r="F101" s="2">
        <v>43659</v>
      </c>
      <c r="G101" s="3" t="str">
        <f>HYPERLINK("https://cloud.oebiotech.com/#/lm/network/43659", "https://cloud.oebiotech.com/#/lm/network/43659")</f>
        <v>https://cloud.oebiotech.com/#/lm/network/43659</v>
      </c>
      <c r="H101" s="2"/>
      <c r="I101" s="2">
        <v>83934</v>
      </c>
      <c r="J101" s="2" t="s">
        <v>2010</v>
      </c>
      <c r="K101" s="2">
        <v>52931342</v>
      </c>
      <c r="L101" s="2"/>
      <c r="M101" s="2"/>
      <c r="N101" s="2"/>
      <c r="O101" s="2"/>
      <c r="P101" s="2"/>
      <c r="Q101" s="2"/>
      <c r="R101" s="2"/>
      <c r="S101" s="2" t="s">
        <v>2011</v>
      </c>
      <c r="T101" s="2" t="s">
        <v>2012</v>
      </c>
      <c r="U101" s="2" t="s">
        <v>56</v>
      </c>
      <c r="V101" s="2" t="s">
        <v>283</v>
      </c>
      <c r="W101" s="2" t="s">
        <v>1108</v>
      </c>
      <c r="X101" s="2" t="s">
        <v>59</v>
      </c>
      <c r="Y101" s="2">
        <v>49</v>
      </c>
      <c r="Z101" s="2">
        <v>53.2</v>
      </c>
      <c r="AA101" s="2" t="s">
        <v>156</v>
      </c>
      <c r="AB101" s="2" t="s">
        <v>1423</v>
      </c>
      <c r="AC101" s="2">
        <v>3.0174958331325699</v>
      </c>
      <c r="AD101" s="2"/>
      <c r="AE101" s="2">
        <v>2.6953102376543199</v>
      </c>
      <c r="AF101" s="2">
        <v>4798297.3963116296</v>
      </c>
      <c r="AG101" s="2">
        <v>5121587.7816748703</v>
      </c>
      <c r="AH101" s="4">
        <v>0.93687692193425398</v>
      </c>
      <c r="AI101" s="4">
        <v>-9.4068562240823606E-2</v>
      </c>
      <c r="AJ101" s="4" t="s">
        <v>62</v>
      </c>
      <c r="AK101" s="2">
        <v>0.51984318623114001</v>
      </c>
      <c r="AL101" s="2">
        <v>0.75147528528226903</v>
      </c>
      <c r="AM101" s="2">
        <v>3284040.8529531499</v>
      </c>
      <c r="AN101" s="2">
        <v>5207444.1423460403</v>
      </c>
      <c r="AO101" s="2">
        <v>5512296.9166769097</v>
      </c>
      <c r="AP101" s="2">
        <v>5287830.6510908604</v>
      </c>
      <c r="AQ101" s="2">
        <v>5484862.5131728798</v>
      </c>
      <c r="AR101" s="2">
        <v>4013309.3016299601</v>
      </c>
      <c r="AS101" s="2">
        <v>4209532.2926698597</v>
      </c>
      <c r="AT101" s="2">
        <v>5046957.1476312904</v>
      </c>
      <c r="AU101" s="2">
        <v>4683071.1956671001</v>
      </c>
      <c r="AV101" s="2">
        <v>5006882.9303465998</v>
      </c>
      <c r="AW101" s="2">
        <v>5381076.4442189001</v>
      </c>
      <c r="AX101" s="2">
        <v>6402006.6795154596</v>
      </c>
    </row>
    <row r="102" spans="1:50" x14ac:dyDescent="0.25">
      <c r="A102" s="2" t="s">
        <v>353</v>
      </c>
      <c r="B102" s="2">
        <v>333.20739291659203</v>
      </c>
      <c r="C102" s="2">
        <v>9.5834499999999991</v>
      </c>
      <c r="D102" s="2" t="s">
        <v>51</v>
      </c>
      <c r="E102" s="2" t="s">
        <v>354</v>
      </c>
      <c r="F102" s="2">
        <v>3661</v>
      </c>
      <c r="G102" s="3" t="str">
        <f>HYPERLINK("https://cloud.oebiotech.com/#/lm/network/3661", "https://cloud.oebiotech.com/#/lm/network/3661")</f>
        <v>https://cloud.oebiotech.com/#/lm/network/3661</v>
      </c>
      <c r="H102" s="2" t="s">
        <v>355</v>
      </c>
      <c r="I102" s="2">
        <v>3823</v>
      </c>
      <c r="J102" s="2" t="s">
        <v>356</v>
      </c>
      <c r="K102" s="2">
        <v>5283042</v>
      </c>
      <c r="L102" s="2"/>
      <c r="M102" s="2"/>
      <c r="N102" s="2"/>
      <c r="O102" s="2">
        <v>89315</v>
      </c>
      <c r="P102" s="2"/>
      <c r="Q102" s="2"/>
      <c r="R102" s="2" t="s">
        <v>357</v>
      </c>
      <c r="S102" s="2" t="s">
        <v>358</v>
      </c>
      <c r="T102" s="2" t="s">
        <v>359</v>
      </c>
      <c r="U102" s="2" t="s">
        <v>56</v>
      </c>
      <c r="V102" s="2" t="s">
        <v>145</v>
      </c>
      <c r="W102" s="2" t="s">
        <v>187</v>
      </c>
      <c r="X102" s="2" t="s">
        <v>69</v>
      </c>
      <c r="Y102" s="2">
        <v>62.7</v>
      </c>
      <c r="Z102" s="2">
        <v>69.7</v>
      </c>
      <c r="AA102" s="2" t="s">
        <v>163</v>
      </c>
      <c r="AB102" s="2" t="s">
        <v>212</v>
      </c>
      <c r="AC102" s="2">
        <v>0.77766919897688602</v>
      </c>
      <c r="AD102" s="2"/>
      <c r="AE102" s="2">
        <v>2.6872099519379899</v>
      </c>
      <c r="AF102" s="2">
        <v>259719.54772482399</v>
      </c>
      <c r="AG102" s="2">
        <v>105046.702033961</v>
      </c>
      <c r="AH102" s="5">
        <v>2.4724198161010098</v>
      </c>
      <c r="AI102" s="5">
        <v>1.30592373320309</v>
      </c>
      <c r="AJ102" s="5" t="s">
        <v>139</v>
      </c>
      <c r="AK102" s="2">
        <v>5.6065510787177602E-3</v>
      </c>
      <c r="AL102" s="2">
        <v>0.12753292626186699</v>
      </c>
      <c r="AM102" s="2">
        <v>263743.97636451299</v>
      </c>
      <c r="AN102" s="2">
        <v>418531.70304239698</v>
      </c>
      <c r="AO102" s="2">
        <v>248546.15997988399</v>
      </c>
      <c r="AP102" s="2">
        <v>143653.283839285</v>
      </c>
      <c r="AQ102" s="2">
        <v>216431.57881833499</v>
      </c>
      <c r="AR102" s="2">
        <v>267410.58430452901</v>
      </c>
      <c r="AS102" s="2">
        <v>210369.21224181299</v>
      </c>
      <c r="AT102" s="2">
        <v>69271.042422587299</v>
      </c>
      <c r="AU102" s="2">
        <v>125369.889620245</v>
      </c>
      <c r="AV102" s="2">
        <v>47306.857587387298</v>
      </c>
      <c r="AW102" s="2">
        <v>69436.884323456805</v>
      </c>
      <c r="AX102" s="2">
        <v>108526.326008278</v>
      </c>
    </row>
    <row r="103" spans="1:50" x14ac:dyDescent="0.25">
      <c r="A103" s="2" t="s">
        <v>2013</v>
      </c>
      <c r="B103" s="2">
        <v>732.55217106106204</v>
      </c>
      <c r="C103" s="2">
        <v>10.906883333333299</v>
      </c>
      <c r="D103" s="2" t="s">
        <v>51</v>
      </c>
      <c r="E103" s="2" t="s">
        <v>2014</v>
      </c>
      <c r="F103" s="2">
        <v>18759</v>
      </c>
      <c r="G103" s="3" t="str">
        <f>HYPERLINK("https://cloud.oebiotech.com/#/lm/network/18759", "https://cloud.oebiotech.com/#/lm/network/18759")</f>
        <v>https://cloud.oebiotech.com/#/lm/network/18759</v>
      </c>
      <c r="H103" s="2"/>
      <c r="I103" s="2">
        <v>75780</v>
      </c>
      <c r="J103" s="2" t="s">
        <v>2015</v>
      </c>
      <c r="K103" s="2">
        <v>52922481</v>
      </c>
      <c r="L103" s="2"/>
      <c r="M103" s="2"/>
      <c r="N103" s="2"/>
      <c r="O103" s="2"/>
      <c r="P103" s="2"/>
      <c r="Q103" s="2"/>
      <c r="R103" s="2"/>
      <c r="S103" s="2" t="s">
        <v>2016</v>
      </c>
      <c r="T103" s="2" t="s">
        <v>2017</v>
      </c>
      <c r="U103" s="2" t="s">
        <v>56</v>
      </c>
      <c r="V103" s="2" t="s">
        <v>57</v>
      </c>
      <c r="W103" s="2" t="s">
        <v>58</v>
      </c>
      <c r="X103" s="2" t="s">
        <v>147</v>
      </c>
      <c r="Y103" s="2">
        <v>43.4</v>
      </c>
      <c r="Z103" s="2">
        <v>42.1</v>
      </c>
      <c r="AA103" s="2" t="s">
        <v>259</v>
      </c>
      <c r="AB103" s="2" t="s">
        <v>2018</v>
      </c>
      <c r="AC103" s="2">
        <v>-2.2014508526180498</v>
      </c>
      <c r="AD103" s="2"/>
      <c r="AE103" s="2">
        <v>2.6726762275728801</v>
      </c>
      <c r="AF103" s="2">
        <v>360515.41898358503</v>
      </c>
      <c r="AG103" s="2">
        <v>537624.59514341899</v>
      </c>
      <c r="AH103" s="4">
        <v>0.67057091926274903</v>
      </c>
      <c r="AI103" s="4">
        <v>-0.57653817594464596</v>
      </c>
      <c r="AJ103" s="4" t="s">
        <v>62</v>
      </c>
      <c r="AK103" s="2">
        <v>9.4772882725965693E-2</v>
      </c>
      <c r="AL103" s="2">
        <v>0.39518270427574997</v>
      </c>
      <c r="AM103" s="2">
        <v>143082.01466541999</v>
      </c>
      <c r="AN103" s="2">
        <v>138428.83522913701</v>
      </c>
      <c r="AO103" s="2">
        <v>329987.384843726</v>
      </c>
      <c r="AP103" s="2">
        <v>439235.45798924199</v>
      </c>
      <c r="AQ103" s="2">
        <v>567444.18789701303</v>
      </c>
      <c r="AR103" s="2">
        <v>544914.63327697502</v>
      </c>
      <c r="AS103" s="2">
        <v>597384.19245521596</v>
      </c>
      <c r="AT103" s="2">
        <v>679446.95854243205</v>
      </c>
      <c r="AU103" s="2">
        <v>375587.74892437202</v>
      </c>
      <c r="AV103" s="2">
        <v>396082.62809585099</v>
      </c>
      <c r="AW103" s="2">
        <v>690185.14163937105</v>
      </c>
      <c r="AX103" s="2">
        <v>487060.901203271</v>
      </c>
    </row>
    <row r="104" spans="1:50" x14ac:dyDescent="0.25">
      <c r="A104" s="2" t="s">
        <v>360</v>
      </c>
      <c r="B104" s="2">
        <v>359.220744180201</v>
      </c>
      <c r="C104" s="2">
        <v>9.8490833333333292</v>
      </c>
      <c r="D104" s="2" t="s">
        <v>51</v>
      </c>
      <c r="E104" s="2" t="s">
        <v>361</v>
      </c>
      <c r="F104" s="2">
        <v>3974</v>
      </c>
      <c r="G104" s="3" t="str">
        <f>HYPERLINK("https://cloud.oebiotech.com/#/lm/network/3974", "https://cloud.oebiotech.com/#/lm/network/3974")</f>
        <v>https://cloud.oebiotech.com/#/lm/network/3974</v>
      </c>
      <c r="H104" s="2"/>
      <c r="I104" s="2">
        <v>3847</v>
      </c>
      <c r="J104" s="2" t="s">
        <v>362</v>
      </c>
      <c r="K104" s="2">
        <v>5283160</v>
      </c>
      <c r="L104" s="2"/>
      <c r="M104" s="2"/>
      <c r="N104" s="2"/>
      <c r="O104" s="2">
        <v>138295</v>
      </c>
      <c r="P104" s="2"/>
      <c r="Q104" s="2"/>
      <c r="R104" s="2" t="s">
        <v>363</v>
      </c>
      <c r="S104" s="2" t="s">
        <v>364</v>
      </c>
      <c r="T104" s="2" t="s">
        <v>365</v>
      </c>
      <c r="U104" s="2" t="s">
        <v>56</v>
      </c>
      <c r="V104" s="2" t="s">
        <v>145</v>
      </c>
      <c r="W104" s="2" t="s">
        <v>187</v>
      </c>
      <c r="X104" s="2" t="s">
        <v>69</v>
      </c>
      <c r="Y104" s="2">
        <v>65.599999999999994</v>
      </c>
      <c r="Z104" s="2">
        <v>97.1</v>
      </c>
      <c r="AA104" s="2" t="s">
        <v>95</v>
      </c>
      <c r="AB104" s="2" t="s">
        <v>188</v>
      </c>
      <c r="AC104" s="2">
        <v>4.3541488311788603</v>
      </c>
      <c r="AD104" s="2"/>
      <c r="AE104" s="2">
        <v>2.6310467974377598</v>
      </c>
      <c r="AF104" s="2">
        <v>291077.15959830501</v>
      </c>
      <c r="AG104" s="2">
        <v>156436.90185623601</v>
      </c>
      <c r="AH104" s="5">
        <v>1.86066814251923</v>
      </c>
      <c r="AI104" s="5">
        <v>0.89582076800618604</v>
      </c>
      <c r="AJ104" s="5" t="s">
        <v>139</v>
      </c>
      <c r="AK104" s="2">
        <v>6.9008905601519802E-3</v>
      </c>
      <c r="AL104" s="2">
        <v>0.13983135582123701</v>
      </c>
      <c r="AM104" s="2">
        <v>425913.40069184097</v>
      </c>
      <c r="AN104" s="2">
        <v>355960.26142981002</v>
      </c>
      <c r="AO104" s="2">
        <v>243410.23693099001</v>
      </c>
      <c r="AP104" s="2">
        <v>237444.76914203199</v>
      </c>
      <c r="AQ104" s="2">
        <v>222799.40115367601</v>
      </c>
      <c r="AR104" s="2">
        <v>260934.888241484</v>
      </c>
      <c r="AS104" s="2">
        <v>201924.16810109801</v>
      </c>
      <c r="AT104" s="2">
        <v>112361.684601938</v>
      </c>
      <c r="AU104" s="2">
        <v>217577.518078986</v>
      </c>
      <c r="AV104" s="2">
        <v>77159.593186818296</v>
      </c>
      <c r="AW104" s="2">
        <v>158676.22000194201</v>
      </c>
      <c r="AX104" s="2">
        <v>170922.227166631</v>
      </c>
    </row>
    <row r="105" spans="1:50" x14ac:dyDescent="0.25">
      <c r="A105" s="2" t="s">
        <v>2019</v>
      </c>
      <c r="B105" s="2">
        <v>254.24847763215999</v>
      </c>
      <c r="C105" s="2">
        <v>11.573966666666699</v>
      </c>
      <c r="D105" s="2" t="s">
        <v>51</v>
      </c>
      <c r="E105" s="2" t="s">
        <v>2020</v>
      </c>
      <c r="F105" s="2">
        <v>6558</v>
      </c>
      <c r="G105" s="3" t="str">
        <f>HYPERLINK("https://cloud.oebiotech.com/#/lm/network/6558", "https://cloud.oebiotech.com/#/lm/network/6558")</f>
        <v>https://cloud.oebiotech.com/#/lm/network/6558</v>
      </c>
      <c r="H105" s="2"/>
      <c r="I105" s="2">
        <v>75368</v>
      </c>
      <c r="J105" s="2" t="s">
        <v>2021</v>
      </c>
      <c r="K105" s="2">
        <v>5283377</v>
      </c>
      <c r="L105" s="2"/>
      <c r="M105" s="2"/>
      <c r="N105" s="2"/>
      <c r="O105" s="2"/>
      <c r="P105" s="2"/>
      <c r="Q105" s="2"/>
      <c r="R105" s="2"/>
      <c r="S105" s="2" t="s">
        <v>2022</v>
      </c>
      <c r="T105" s="2" t="s">
        <v>2023</v>
      </c>
      <c r="U105" s="2" t="s">
        <v>56</v>
      </c>
      <c r="V105" s="2" t="s">
        <v>145</v>
      </c>
      <c r="W105" s="2" t="s">
        <v>1543</v>
      </c>
      <c r="X105" s="2" t="s">
        <v>69</v>
      </c>
      <c r="Y105" s="2">
        <v>72.8</v>
      </c>
      <c r="Z105" s="2">
        <v>92.6</v>
      </c>
      <c r="AA105" s="2" t="s">
        <v>1544</v>
      </c>
      <c r="AB105" s="2" t="s">
        <v>2024</v>
      </c>
      <c r="AC105" s="2">
        <v>2.6949486391401098</v>
      </c>
      <c r="AD105" s="2"/>
      <c r="AE105" s="2">
        <v>2.6294932381110199</v>
      </c>
      <c r="AF105" s="2">
        <v>123738.832203556</v>
      </c>
      <c r="AG105" s="2">
        <v>466646.667599515</v>
      </c>
      <c r="AH105" s="4">
        <v>0.26516600416345598</v>
      </c>
      <c r="AI105" s="4">
        <v>-1.9150322695448101</v>
      </c>
      <c r="AJ105" s="4" t="s">
        <v>62</v>
      </c>
      <c r="AK105" s="2">
        <v>0.38864389441962299</v>
      </c>
      <c r="AL105" s="2">
        <v>0.663978071089806</v>
      </c>
      <c r="AM105" s="2">
        <v>5911.1991355725504</v>
      </c>
      <c r="AN105" s="2">
        <v>4374.0526245988003</v>
      </c>
      <c r="AO105" s="2">
        <v>525396.73135705502</v>
      </c>
      <c r="AP105" s="2">
        <v>6367.4378859244698</v>
      </c>
      <c r="AQ105" s="2">
        <v>189530.33474449499</v>
      </c>
      <c r="AR105" s="2">
        <v>10853.237473689</v>
      </c>
      <c r="AS105" s="2">
        <v>2312192.2730536498</v>
      </c>
      <c r="AT105" s="2">
        <v>11241.367715501799</v>
      </c>
      <c r="AU105" s="2">
        <v>231636.18956273401</v>
      </c>
      <c r="AV105" s="2">
        <v>137527.324193265</v>
      </c>
      <c r="AW105" s="2">
        <v>100990.271492564</v>
      </c>
      <c r="AX105" s="2">
        <v>6292.5795793724301</v>
      </c>
    </row>
    <row r="106" spans="1:50" x14ac:dyDescent="0.25">
      <c r="A106" s="2" t="s">
        <v>366</v>
      </c>
      <c r="B106" s="2">
        <v>882.55104597824902</v>
      </c>
      <c r="C106" s="2">
        <v>11.74925</v>
      </c>
      <c r="D106" s="2" t="s">
        <v>51</v>
      </c>
      <c r="E106" s="2" t="s">
        <v>367</v>
      </c>
      <c r="F106" s="2">
        <v>239443</v>
      </c>
      <c r="G106" s="3" t="str">
        <f>HYPERLINK("https://cloud.oebiotech.com/#/lm/network/239443", "https://cloud.oebiotech.com/#/lm/network/239443")</f>
        <v>https://cloud.oebiotech.com/#/lm/network/239443</v>
      </c>
      <c r="H106" s="2" t="s">
        <v>368</v>
      </c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 t="s">
        <v>369</v>
      </c>
      <c r="T106" s="2" t="s">
        <v>370</v>
      </c>
      <c r="U106" s="2" t="s">
        <v>56</v>
      </c>
      <c r="V106" s="2" t="s">
        <v>145</v>
      </c>
      <c r="W106" s="2" t="s">
        <v>187</v>
      </c>
      <c r="X106" s="2" t="s">
        <v>59</v>
      </c>
      <c r="Y106" s="2">
        <v>54.8</v>
      </c>
      <c r="Z106" s="2">
        <v>95.7</v>
      </c>
      <c r="AA106" s="2" t="s">
        <v>218</v>
      </c>
      <c r="AB106" s="2" t="s">
        <v>371</v>
      </c>
      <c r="AC106" s="2">
        <v>1.0252644204173</v>
      </c>
      <c r="AD106" s="2"/>
      <c r="AE106" s="2">
        <v>2.6203212049921101</v>
      </c>
      <c r="AF106" s="2">
        <v>541753.72493750602</v>
      </c>
      <c r="AG106" s="2">
        <v>335858.03311040101</v>
      </c>
      <c r="AH106" s="5">
        <v>1.6130438206890301</v>
      </c>
      <c r="AI106" s="5">
        <v>0.68978563194180098</v>
      </c>
      <c r="AJ106" s="5" t="s">
        <v>139</v>
      </c>
      <c r="AK106" s="2">
        <v>3.5844867742331102E-2</v>
      </c>
      <c r="AL106" s="2">
        <v>0.27566189091479198</v>
      </c>
      <c r="AM106" s="2">
        <v>632076.03371869202</v>
      </c>
      <c r="AN106" s="2">
        <v>468272.99846241501</v>
      </c>
      <c r="AO106" s="2">
        <v>500293.40654711699</v>
      </c>
      <c r="AP106" s="2">
        <v>786983.04926695197</v>
      </c>
      <c r="AQ106" s="2">
        <v>318908.10781057802</v>
      </c>
      <c r="AR106" s="2">
        <v>543988.75381927995</v>
      </c>
      <c r="AS106" s="2">
        <v>502411.79692220601</v>
      </c>
      <c r="AT106" s="2">
        <v>501460.28190203698</v>
      </c>
      <c r="AU106" s="2">
        <v>213712.015070069</v>
      </c>
      <c r="AV106" s="2">
        <v>291152.81484609097</v>
      </c>
      <c r="AW106" s="2">
        <v>199788.26122452799</v>
      </c>
      <c r="AX106" s="2">
        <v>306623.02869747602</v>
      </c>
    </row>
    <row r="107" spans="1:50" x14ac:dyDescent="0.25">
      <c r="A107" s="2" t="s">
        <v>2025</v>
      </c>
      <c r="B107" s="2">
        <v>383.22041770486999</v>
      </c>
      <c r="C107" s="2">
        <v>9.4429666666666705</v>
      </c>
      <c r="D107" s="2" t="s">
        <v>51</v>
      </c>
      <c r="E107" s="2" t="s">
        <v>2026</v>
      </c>
      <c r="F107" s="2">
        <v>26075</v>
      </c>
      <c r="G107" s="3" t="str">
        <f>HYPERLINK("https://cloud.oebiotech.com/#/lm/network/26075", "https://cloud.oebiotech.com/#/lm/network/26075")</f>
        <v>https://cloud.oebiotech.com/#/lm/network/26075</v>
      </c>
      <c r="H107" s="2" t="s">
        <v>2027</v>
      </c>
      <c r="I107" s="2">
        <v>40945</v>
      </c>
      <c r="J107" s="2" t="s">
        <v>2028</v>
      </c>
      <c r="K107" s="2">
        <v>9547180</v>
      </c>
      <c r="L107" s="2"/>
      <c r="M107" s="2"/>
      <c r="N107" s="2"/>
      <c r="O107" s="2">
        <v>62833</v>
      </c>
      <c r="P107" s="2" t="s">
        <v>2029</v>
      </c>
      <c r="Q107" s="2" t="s">
        <v>2030</v>
      </c>
      <c r="R107" s="2"/>
      <c r="S107" s="2" t="s">
        <v>2031</v>
      </c>
      <c r="T107" s="2" t="s">
        <v>2032</v>
      </c>
      <c r="U107" s="2" t="s">
        <v>56</v>
      </c>
      <c r="V107" s="2" t="s">
        <v>57</v>
      </c>
      <c r="W107" s="2" t="s">
        <v>702</v>
      </c>
      <c r="X107" s="2" t="s">
        <v>59</v>
      </c>
      <c r="Y107" s="2">
        <v>54</v>
      </c>
      <c r="Z107" s="2">
        <v>79.5</v>
      </c>
      <c r="AA107" s="2" t="s">
        <v>60</v>
      </c>
      <c r="AB107" s="2" t="s">
        <v>2033</v>
      </c>
      <c r="AC107" s="2">
        <v>2.8810800922335198</v>
      </c>
      <c r="AD107" s="2"/>
      <c r="AE107" s="2">
        <v>2.6127463768259802</v>
      </c>
      <c r="AF107" s="2">
        <v>521045.002200027</v>
      </c>
      <c r="AG107" s="2">
        <v>345396.72182430699</v>
      </c>
      <c r="AH107" s="5">
        <v>1.5085406701256101</v>
      </c>
      <c r="AI107" s="5">
        <v>0.59315359194208095</v>
      </c>
      <c r="AJ107" s="5" t="s">
        <v>139</v>
      </c>
      <c r="AK107" s="2">
        <v>0.16410876713727501</v>
      </c>
      <c r="AL107" s="2">
        <v>0.48497449004181198</v>
      </c>
      <c r="AM107" s="2">
        <v>1085794.3833079301</v>
      </c>
      <c r="AN107" s="2">
        <v>407473.36641963897</v>
      </c>
      <c r="AO107" s="2">
        <v>374377.058775343</v>
      </c>
      <c r="AP107" s="2">
        <v>396641.77065583301</v>
      </c>
      <c r="AQ107" s="2">
        <v>384587.21489157499</v>
      </c>
      <c r="AR107" s="2">
        <v>477396.21914984199</v>
      </c>
      <c r="AS107" s="2">
        <v>420921.19887890102</v>
      </c>
      <c r="AT107" s="2">
        <v>313051.51697283803</v>
      </c>
      <c r="AU107" s="2">
        <v>406542.868133977</v>
      </c>
      <c r="AV107" s="2">
        <v>260620.677842695</v>
      </c>
      <c r="AW107" s="2">
        <v>376155.91051853</v>
      </c>
      <c r="AX107" s="2">
        <v>295088.15859889798</v>
      </c>
    </row>
    <row r="108" spans="1:50" x14ac:dyDescent="0.25">
      <c r="A108" s="2" t="s">
        <v>372</v>
      </c>
      <c r="B108" s="2">
        <v>333.207330128482</v>
      </c>
      <c r="C108" s="2">
        <v>10.0372166666667</v>
      </c>
      <c r="D108" s="2" t="s">
        <v>51</v>
      </c>
      <c r="E108" s="2" t="s">
        <v>373</v>
      </c>
      <c r="F108" s="2">
        <v>4834</v>
      </c>
      <c r="G108" s="3" t="str">
        <f>HYPERLINK("https://cloud.oebiotech.com/#/lm/network/4834", "https://cloud.oebiotech.com/#/lm/network/4834")</f>
        <v>https://cloud.oebiotech.com/#/lm/network/4834</v>
      </c>
      <c r="H108" s="2"/>
      <c r="I108" s="2"/>
      <c r="J108" s="2" t="s">
        <v>374</v>
      </c>
      <c r="K108" s="2">
        <v>131840328</v>
      </c>
      <c r="L108" s="2"/>
      <c r="M108" s="2"/>
      <c r="N108" s="2"/>
      <c r="O108" s="2"/>
      <c r="P108" s="2"/>
      <c r="Q108" s="2"/>
      <c r="R108" s="2"/>
      <c r="S108" s="2" t="s">
        <v>375</v>
      </c>
      <c r="T108" s="2" t="s">
        <v>376</v>
      </c>
      <c r="U108" s="2" t="s">
        <v>103</v>
      </c>
      <c r="V108" s="2" t="s">
        <v>377</v>
      </c>
      <c r="W108" s="2" t="s">
        <v>378</v>
      </c>
      <c r="X108" s="2" t="s">
        <v>69</v>
      </c>
      <c r="Y108" s="2">
        <v>64.3</v>
      </c>
      <c r="Z108" s="2">
        <v>78.5</v>
      </c>
      <c r="AA108" s="2" t="s">
        <v>379</v>
      </c>
      <c r="AB108" s="2" t="s">
        <v>380</v>
      </c>
      <c r="AC108" s="2">
        <v>0.55965492526523897</v>
      </c>
      <c r="AD108" s="2"/>
      <c r="AE108" s="2">
        <v>2.60848907760254</v>
      </c>
      <c r="AF108" s="2">
        <v>222188.50109512001</v>
      </c>
      <c r="AG108" s="2">
        <v>90442.730459994302</v>
      </c>
      <c r="AH108" s="5">
        <v>2.4566761746915802</v>
      </c>
      <c r="AI108" s="5">
        <v>1.2967077022439</v>
      </c>
      <c r="AJ108" s="5" t="s">
        <v>139</v>
      </c>
      <c r="AK108" s="2">
        <v>2.5817833735643498E-3</v>
      </c>
      <c r="AL108" s="2">
        <v>0.10427243461803801</v>
      </c>
      <c r="AM108" s="2">
        <v>278862.05817625998</v>
      </c>
      <c r="AN108" s="2">
        <v>316903.40652806999</v>
      </c>
      <c r="AO108" s="2">
        <v>197538.54798630401</v>
      </c>
      <c r="AP108" s="2">
        <v>138899.866498624</v>
      </c>
      <c r="AQ108" s="2">
        <v>171650.459751202</v>
      </c>
      <c r="AR108" s="2">
        <v>229276.66763026</v>
      </c>
      <c r="AS108" s="2">
        <v>161381.14164660999</v>
      </c>
      <c r="AT108" s="2">
        <v>68780.130997644505</v>
      </c>
      <c r="AU108" s="2">
        <v>117003.641649267</v>
      </c>
      <c r="AV108" s="2">
        <v>46302.937907418098</v>
      </c>
      <c r="AW108" s="2">
        <v>44534.544309670098</v>
      </c>
      <c r="AX108" s="2">
        <v>104653.98624935601</v>
      </c>
    </row>
    <row r="109" spans="1:50" x14ac:dyDescent="0.25">
      <c r="A109" s="2" t="s">
        <v>2034</v>
      </c>
      <c r="B109" s="2">
        <v>407.28045865219798</v>
      </c>
      <c r="C109" s="2">
        <v>6.8612500000000001</v>
      </c>
      <c r="D109" s="2" t="s">
        <v>51</v>
      </c>
      <c r="E109" s="2" t="s">
        <v>2035</v>
      </c>
      <c r="F109" s="2">
        <v>45950</v>
      </c>
      <c r="G109" s="3" t="str">
        <f>HYPERLINK("https://cloud.oebiotech.com/#/lm/network/45950", "https://cloud.oebiotech.com/#/lm/network/45950")</f>
        <v>https://cloud.oebiotech.com/#/lm/network/45950</v>
      </c>
      <c r="H109" s="2" t="s">
        <v>2036</v>
      </c>
      <c r="I109" s="2">
        <v>84408</v>
      </c>
      <c r="J109" s="2" t="s">
        <v>2037</v>
      </c>
      <c r="K109" s="2">
        <v>122340</v>
      </c>
      <c r="L109" s="2" t="s">
        <v>2038</v>
      </c>
      <c r="M109" s="2"/>
      <c r="N109" s="2"/>
      <c r="O109" s="2">
        <v>81240</v>
      </c>
      <c r="P109" s="2"/>
      <c r="Q109" s="2"/>
      <c r="R109" s="2" t="s">
        <v>2039</v>
      </c>
      <c r="S109" s="2" t="s">
        <v>2040</v>
      </c>
      <c r="T109" s="2" t="s">
        <v>2041</v>
      </c>
      <c r="U109" s="2" t="s">
        <v>56</v>
      </c>
      <c r="V109" s="2" t="s">
        <v>283</v>
      </c>
      <c r="W109" s="2" t="s">
        <v>2042</v>
      </c>
      <c r="X109" s="2" t="s">
        <v>69</v>
      </c>
      <c r="Y109" s="2">
        <v>51.4</v>
      </c>
      <c r="Z109" s="2">
        <v>49.5</v>
      </c>
      <c r="AA109" s="2" t="s">
        <v>2043</v>
      </c>
      <c r="AB109" s="2" t="s">
        <v>2044</v>
      </c>
      <c r="AC109" s="2">
        <v>0.39360394044853197</v>
      </c>
      <c r="AD109" s="2"/>
      <c r="AE109" s="2">
        <v>2.6031949785487001</v>
      </c>
      <c r="AF109" s="2">
        <v>484449.40659920702</v>
      </c>
      <c r="AG109" s="2">
        <v>13027.505349490901</v>
      </c>
      <c r="AH109" s="5">
        <v>37.186659579313698</v>
      </c>
      <c r="AI109" s="5">
        <v>5.2167132535712497</v>
      </c>
      <c r="AJ109" s="5" t="s">
        <v>139</v>
      </c>
      <c r="AK109" s="2">
        <v>0.26029928428321503</v>
      </c>
      <c r="AL109" s="2">
        <v>0.58239046601091005</v>
      </c>
      <c r="AM109" s="2">
        <v>8.559877937157E-6</v>
      </c>
      <c r="AN109" s="2">
        <v>8.559877937157E-6</v>
      </c>
      <c r="AO109" s="2">
        <v>8.559877937157E-6</v>
      </c>
      <c r="AP109" s="2">
        <v>336.250393484146</v>
      </c>
      <c r="AQ109" s="2">
        <v>2418752.8729459699</v>
      </c>
      <c r="AR109" s="2">
        <v>487607.31623010698</v>
      </c>
      <c r="AS109" s="2">
        <v>8.559877937157E-6</v>
      </c>
      <c r="AT109" s="2">
        <v>3486.4998972399899</v>
      </c>
      <c r="AU109" s="2">
        <v>22145.656704515099</v>
      </c>
      <c r="AV109" s="2">
        <v>52532.8754695108</v>
      </c>
      <c r="AW109" s="2">
        <v>8.559877937157E-6</v>
      </c>
      <c r="AX109" s="2">
        <v>8.559877937157E-6</v>
      </c>
    </row>
    <row r="110" spans="1:50" x14ac:dyDescent="0.25">
      <c r="A110" s="2" t="s">
        <v>2045</v>
      </c>
      <c r="B110" s="2">
        <v>147.04249999999999</v>
      </c>
      <c r="C110" s="2">
        <v>10.319000000000001</v>
      </c>
      <c r="D110" s="2" t="s">
        <v>125</v>
      </c>
      <c r="E110" s="2" t="s">
        <v>2046</v>
      </c>
      <c r="F110" s="2">
        <v>46888</v>
      </c>
      <c r="G110" s="3" t="str">
        <f>HYPERLINK("https://cloud.oebiotech.com/#/lm/network/46888", "https://cloud.oebiotech.com/#/lm/network/46888")</f>
        <v>https://cloud.oebiotech.com/#/lm/network/46888</v>
      </c>
      <c r="H110" s="2" t="s">
        <v>2047</v>
      </c>
      <c r="I110" s="2">
        <v>105</v>
      </c>
      <c r="J110" s="2"/>
      <c r="K110" s="2">
        <v>753</v>
      </c>
      <c r="L110" s="2" t="s">
        <v>2048</v>
      </c>
      <c r="M110" s="2" t="s">
        <v>2049</v>
      </c>
      <c r="N110" s="2" t="s">
        <v>2050</v>
      </c>
      <c r="O110" s="2">
        <v>17754</v>
      </c>
      <c r="P110" s="2" t="s">
        <v>2051</v>
      </c>
      <c r="Q110" s="2" t="s">
        <v>2052</v>
      </c>
      <c r="R110" s="2" t="s">
        <v>2053</v>
      </c>
      <c r="S110" s="2" t="s">
        <v>2054</v>
      </c>
      <c r="T110" s="2" t="s">
        <v>2055</v>
      </c>
      <c r="U110" s="2" t="s">
        <v>331</v>
      </c>
      <c r="V110" s="2" t="s">
        <v>332</v>
      </c>
      <c r="W110" s="2" t="s">
        <v>333</v>
      </c>
      <c r="X110" s="2" t="s">
        <v>69</v>
      </c>
      <c r="Y110" s="2">
        <v>97.7</v>
      </c>
      <c r="Z110" s="2">
        <v>99</v>
      </c>
      <c r="AA110" s="2"/>
      <c r="AB110" s="2" t="s">
        <v>2056</v>
      </c>
      <c r="AC110" s="2"/>
      <c r="AD110" s="2">
        <v>348925.87537092</v>
      </c>
      <c r="AE110" s="2">
        <v>2.5637088928102201</v>
      </c>
      <c r="AF110" s="2">
        <v>1984127.1649965299</v>
      </c>
      <c r="AG110" s="2">
        <v>3461856.3826063601</v>
      </c>
      <c r="AH110" s="4">
        <v>0.57313965274975598</v>
      </c>
      <c r="AI110" s="4">
        <v>-0.803041382115664</v>
      </c>
      <c r="AJ110" s="4" t="s">
        <v>62</v>
      </c>
      <c r="AK110" s="2">
        <v>5.6177225322731797E-2</v>
      </c>
      <c r="AL110" s="2">
        <v>0.32510032444738302</v>
      </c>
      <c r="AM110" s="2">
        <v>2075207.9068146199</v>
      </c>
      <c r="AN110" s="2">
        <v>2060343.7275918301</v>
      </c>
      <c r="AO110" s="2">
        <v>2062998.36329535</v>
      </c>
      <c r="AP110" s="2">
        <v>2176979.9871060899</v>
      </c>
      <c r="AQ110" s="2">
        <v>1688705.0582331601</v>
      </c>
      <c r="AR110" s="2">
        <v>1840527.9469381501</v>
      </c>
      <c r="AS110" s="2">
        <v>1366936.6443091601</v>
      </c>
      <c r="AT110" s="2">
        <v>1868533.3259392199</v>
      </c>
      <c r="AU110" s="2">
        <v>4541616.9291257598</v>
      </c>
      <c r="AV110" s="2">
        <v>4778848.1355953999</v>
      </c>
      <c r="AW110" s="2">
        <v>5377121.6378489304</v>
      </c>
      <c r="AX110" s="2">
        <v>2838081.6228196602</v>
      </c>
    </row>
    <row r="111" spans="1:50" x14ac:dyDescent="0.25">
      <c r="A111" s="2" t="s">
        <v>381</v>
      </c>
      <c r="B111" s="2">
        <v>788.54525986040505</v>
      </c>
      <c r="C111" s="2">
        <v>10.840299999999999</v>
      </c>
      <c r="D111" s="2" t="s">
        <v>51</v>
      </c>
      <c r="E111" s="2" t="s">
        <v>382</v>
      </c>
      <c r="F111" s="2">
        <v>20882</v>
      </c>
      <c r="G111" s="3" t="str">
        <f>HYPERLINK("https://cloud.oebiotech.com/#/lm/network/20882", "https://cloud.oebiotech.com/#/lm/network/20882")</f>
        <v>https://cloud.oebiotech.com/#/lm/network/20882</v>
      </c>
      <c r="H111" s="2" t="s">
        <v>383</v>
      </c>
      <c r="I111" s="2">
        <v>60498</v>
      </c>
      <c r="J111" s="2" t="s">
        <v>384</v>
      </c>
      <c r="K111" s="2">
        <v>52924894</v>
      </c>
      <c r="L111" s="2" t="s">
        <v>254</v>
      </c>
      <c r="M111" s="2" t="s">
        <v>255</v>
      </c>
      <c r="N111" s="2" t="s">
        <v>256</v>
      </c>
      <c r="O111" s="2"/>
      <c r="P111" s="2"/>
      <c r="Q111" s="2"/>
      <c r="R111" s="2"/>
      <c r="S111" s="2" t="s">
        <v>385</v>
      </c>
      <c r="T111" s="2" t="s">
        <v>386</v>
      </c>
      <c r="U111" s="2" t="s">
        <v>56</v>
      </c>
      <c r="V111" s="2" t="s">
        <v>57</v>
      </c>
      <c r="W111" s="2" t="s">
        <v>155</v>
      </c>
      <c r="X111" s="2" t="s">
        <v>59</v>
      </c>
      <c r="Y111" s="2">
        <v>52.6</v>
      </c>
      <c r="Z111" s="2">
        <v>80.8</v>
      </c>
      <c r="AA111" s="2" t="s">
        <v>218</v>
      </c>
      <c r="AB111" s="2" t="s">
        <v>387</v>
      </c>
      <c r="AC111" s="2">
        <v>0.74225036495163799</v>
      </c>
      <c r="AD111" s="2"/>
      <c r="AE111" s="2">
        <v>2.5453230948854899</v>
      </c>
      <c r="AF111" s="2">
        <v>203459.98961144299</v>
      </c>
      <c r="AG111" s="2">
        <v>70952.379665601606</v>
      </c>
      <c r="AH111" s="5">
        <v>2.86755695256945</v>
      </c>
      <c r="AI111" s="5">
        <v>1.5198221399023299</v>
      </c>
      <c r="AJ111" s="5" t="s">
        <v>139</v>
      </c>
      <c r="AK111" s="2">
        <v>6.8134752041762296E-4</v>
      </c>
      <c r="AL111" s="2">
        <v>6.4208892519356006E-2</v>
      </c>
      <c r="AM111" s="2">
        <v>154424.19834868901</v>
      </c>
      <c r="AN111" s="2">
        <v>315765.17262715701</v>
      </c>
      <c r="AO111" s="2">
        <v>240828.15770922799</v>
      </c>
      <c r="AP111" s="2">
        <v>170973.379561674</v>
      </c>
      <c r="AQ111" s="2">
        <v>165875.96605558001</v>
      </c>
      <c r="AR111" s="2">
        <v>172893.063366332</v>
      </c>
      <c r="AS111" s="2">
        <v>85744.345475563794</v>
      </c>
      <c r="AT111" s="2">
        <v>67120.2890314213</v>
      </c>
      <c r="AU111" s="2">
        <v>75573.859890529406</v>
      </c>
      <c r="AV111" s="2">
        <v>49551.151067691499</v>
      </c>
      <c r="AW111" s="2">
        <v>42723.619502116497</v>
      </c>
      <c r="AX111" s="2">
        <v>105001.01302628699</v>
      </c>
    </row>
    <row r="112" spans="1:50" x14ac:dyDescent="0.25">
      <c r="A112" s="2" t="s">
        <v>388</v>
      </c>
      <c r="B112" s="2">
        <v>471.20053164168701</v>
      </c>
      <c r="C112" s="2">
        <v>2.6807833333333302</v>
      </c>
      <c r="D112" s="2" t="s">
        <v>51</v>
      </c>
      <c r="E112" s="2" t="s">
        <v>389</v>
      </c>
      <c r="F112" s="2">
        <v>61312</v>
      </c>
      <c r="G112" s="3" t="str">
        <f>HYPERLINK("https://cloud.oebiotech.com/#/lm/network/61312", "https://cloud.oebiotech.com/#/lm/network/61312")</f>
        <v>https://cloud.oebiotech.com/#/lm/network/61312</v>
      </c>
      <c r="H112" s="2" t="s">
        <v>390</v>
      </c>
      <c r="I112" s="2">
        <v>92633</v>
      </c>
      <c r="J112" s="2"/>
      <c r="K112" s="2">
        <v>131752240</v>
      </c>
      <c r="L112" s="2"/>
      <c r="M112" s="2"/>
      <c r="N112" s="2"/>
      <c r="O112" s="2">
        <v>167995</v>
      </c>
      <c r="P112" s="2"/>
      <c r="Q112" s="2"/>
      <c r="R112" s="2" t="s">
        <v>391</v>
      </c>
      <c r="S112" s="2" t="s">
        <v>392</v>
      </c>
      <c r="T112" s="2" t="s">
        <v>393</v>
      </c>
      <c r="U112" s="2" t="s">
        <v>56</v>
      </c>
      <c r="V112" s="2" t="s">
        <v>177</v>
      </c>
      <c r="W112" s="2" t="s">
        <v>394</v>
      </c>
      <c r="X112" s="2" t="s">
        <v>59</v>
      </c>
      <c r="Y112" s="2">
        <v>50.6</v>
      </c>
      <c r="Z112" s="2">
        <v>59.1</v>
      </c>
      <c r="AA112" s="2" t="s">
        <v>395</v>
      </c>
      <c r="AB112" s="2" t="s">
        <v>396</v>
      </c>
      <c r="AC112" s="2">
        <v>3.33343671300167</v>
      </c>
      <c r="AD112" s="2"/>
      <c r="AE112" s="2">
        <v>2.5361930897993199</v>
      </c>
      <c r="AF112" s="2">
        <v>193019.098755716</v>
      </c>
      <c r="AG112" s="2">
        <v>47293.577427570999</v>
      </c>
      <c r="AH112" s="5">
        <v>4.08129621937187</v>
      </c>
      <c r="AI112" s="5">
        <v>2.0290274248106202</v>
      </c>
      <c r="AJ112" s="5" t="s">
        <v>139</v>
      </c>
      <c r="AK112" s="2">
        <v>3.1417558090241901E-3</v>
      </c>
      <c r="AL112" s="2">
        <v>0.1120315017845</v>
      </c>
      <c r="AM112" s="2">
        <v>160010.990290835</v>
      </c>
      <c r="AN112" s="2">
        <v>131798.69865858101</v>
      </c>
      <c r="AO112" s="2">
        <v>307199.36819486</v>
      </c>
      <c r="AP112" s="2">
        <v>107956.96146386401</v>
      </c>
      <c r="AQ112" s="2">
        <v>224364.77159540201</v>
      </c>
      <c r="AR112" s="2">
        <v>226783.802330757</v>
      </c>
      <c r="AS112" s="2">
        <v>147218.00775632801</v>
      </c>
      <c r="AT112" s="2">
        <v>66095.493957204497</v>
      </c>
      <c r="AU112" s="2">
        <v>51776.250863150803</v>
      </c>
      <c r="AV112" s="2">
        <v>3373.1834134529399</v>
      </c>
      <c r="AW112" s="2">
        <v>4931.8683229155704</v>
      </c>
      <c r="AX112" s="2">
        <v>10366.6602523741</v>
      </c>
    </row>
    <row r="113" spans="1:50" x14ac:dyDescent="0.25">
      <c r="A113" s="2" t="s">
        <v>2057</v>
      </c>
      <c r="B113" s="2">
        <v>636.34983517658804</v>
      </c>
      <c r="C113" s="2">
        <v>12.4858833333333</v>
      </c>
      <c r="D113" s="2" t="s">
        <v>51</v>
      </c>
      <c r="E113" s="2" t="s">
        <v>2058</v>
      </c>
      <c r="F113" s="2">
        <v>241999</v>
      </c>
      <c r="G113" s="3" t="str">
        <f>HYPERLINK("https://cloud.oebiotech.com/#/lm/network/241999", "https://cloud.oebiotech.com/#/lm/network/241999")</f>
        <v>https://cloud.oebiotech.com/#/lm/network/241999</v>
      </c>
      <c r="H113" s="2" t="s">
        <v>2059</v>
      </c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 t="s">
        <v>2060</v>
      </c>
      <c r="T113" s="2" t="s">
        <v>2061</v>
      </c>
      <c r="U113" s="2" t="s">
        <v>56</v>
      </c>
      <c r="V113" s="2" t="s">
        <v>145</v>
      </c>
      <c r="W113" s="2" t="s">
        <v>187</v>
      </c>
      <c r="X113" s="2" t="s">
        <v>147</v>
      </c>
      <c r="Y113" s="2">
        <v>44.4</v>
      </c>
      <c r="Z113" s="2">
        <v>30.4</v>
      </c>
      <c r="AA113" s="2" t="s">
        <v>163</v>
      </c>
      <c r="AB113" s="2" t="s">
        <v>2062</v>
      </c>
      <c r="AC113" s="2">
        <v>-3.11698271445686</v>
      </c>
      <c r="AD113" s="2"/>
      <c r="AE113" s="2">
        <v>2.5358542662193</v>
      </c>
      <c r="AF113" s="2">
        <v>614699.65039432305</v>
      </c>
      <c r="AG113" s="2">
        <v>802758.98456244403</v>
      </c>
      <c r="AH113" s="4">
        <v>0.76573375348688799</v>
      </c>
      <c r="AI113" s="4">
        <v>-0.38508524228617402</v>
      </c>
      <c r="AJ113" s="4" t="s">
        <v>62</v>
      </c>
      <c r="AK113" s="2">
        <v>8.5934743462957403E-2</v>
      </c>
      <c r="AL113" s="2">
        <v>0.37823325739800401</v>
      </c>
      <c r="AM113" s="2">
        <v>633571.47009010101</v>
      </c>
      <c r="AN113" s="2">
        <v>714192.401696068</v>
      </c>
      <c r="AO113" s="2">
        <v>512657.13822182501</v>
      </c>
      <c r="AP113" s="2">
        <v>539500.34027596901</v>
      </c>
      <c r="AQ113" s="2">
        <v>612847.22725244297</v>
      </c>
      <c r="AR113" s="2">
        <v>675429.32482953195</v>
      </c>
      <c r="AS113" s="2">
        <v>581328.29107442603</v>
      </c>
      <c r="AT113" s="2">
        <v>471143.26568002201</v>
      </c>
      <c r="AU113" s="2">
        <v>801592.552299976</v>
      </c>
      <c r="AV113" s="2">
        <v>1011858.60494511</v>
      </c>
      <c r="AW113" s="2">
        <v>967459.51148177497</v>
      </c>
      <c r="AX113" s="2">
        <v>983171.68189335696</v>
      </c>
    </row>
    <row r="114" spans="1:50" x14ac:dyDescent="0.25">
      <c r="A114" s="2" t="s">
        <v>397</v>
      </c>
      <c r="B114" s="2">
        <v>385.22340691331999</v>
      </c>
      <c r="C114" s="2">
        <v>5.7914500000000002</v>
      </c>
      <c r="D114" s="2" t="s">
        <v>51</v>
      </c>
      <c r="E114" s="2" t="s">
        <v>398</v>
      </c>
      <c r="F114" s="2">
        <v>200015</v>
      </c>
      <c r="G114" s="3" t="str">
        <f>HYPERLINK("https://cloud.oebiotech.com/#/lm/network/200015", "https://cloud.oebiotech.com/#/lm/network/200015")</f>
        <v>https://cloud.oebiotech.com/#/lm/network/200015</v>
      </c>
      <c r="H114" s="2" t="s">
        <v>399</v>
      </c>
      <c r="I114" s="2"/>
      <c r="J114" s="2"/>
      <c r="K114" s="2">
        <v>78409907</v>
      </c>
      <c r="L114" s="2"/>
      <c r="M114" s="2"/>
      <c r="N114" s="2"/>
      <c r="O114" s="2"/>
      <c r="P114" s="2"/>
      <c r="Q114" s="2"/>
      <c r="R114" s="2"/>
      <c r="S114" s="2" t="s">
        <v>400</v>
      </c>
      <c r="T114" s="2" t="s">
        <v>401</v>
      </c>
      <c r="U114" s="2" t="s">
        <v>56</v>
      </c>
      <c r="V114" s="2" t="s">
        <v>145</v>
      </c>
      <c r="W114" s="2" t="s">
        <v>187</v>
      </c>
      <c r="X114" s="2" t="s">
        <v>83</v>
      </c>
      <c r="Y114" s="2">
        <v>46.2</v>
      </c>
      <c r="Z114" s="2">
        <v>27.1</v>
      </c>
      <c r="AA114" s="2" t="s">
        <v>163</v>
      </c>
      <c r="AB114" s="2" t="s">
        <v>402</v>
      </c>
      <c r="AC114" s="2">
        <v>0.59528713352180396</v>
      </c>
      <c r="AD114" s="2"/>
      <c r="AE114" s="2">
        <v>2.5357802892939798</v>
      </c>
      <c r="AF114" s="2">
        <v>317366.31866368902</v>
      </c>
      <c r="AG114" s="2">
        <v>159336.927358897</v>
      </c>
      <c r="AH114" s="5">
        <v>1.9917938918756799</v>
      </c>
      <c r="AI114" s="5">
        <v>0.99406836700786805</v>
      </c>
      <c r="AJ114" s="5" t="s">
        <v>139</v>
      </c>
      <c r="AK114" s="2">
        <v>1.34080994540276E-2</v>
      </c>
      <c r="AL114" s="2">
        <v>0.183419093222492</v>
      </c>
      <c r="AM114" s="2">
        <v>229837.29870325499</v>
      </c>
      <c r="AN114" s="2">
        <v>508455.55035694101</v>
      </c>
      <c r="AO114" s="2">
        <v>333291.36037008499</v>
      </c>
      <c r="AP114" s="2">
        <v>279168.36543581099</v>
      </c>
      <c r="AQ114" s="2">
        <v>210701.99124652299</v>
      </c>
      <c r="AR114" s="2">
        <v>342743.34586951899</v>
      </c>
      <c r="AS114" s="2">
        <v>245736.06402694801</v>
      </c>
      <c r="AT114" s="2">
        <v>132423.09882114499</v>
      </c>
      <c r="AU114" s="2">
        <v>242482.329588097</v>
      </c>
      <c r="AV114" s="2">
        <v>62796.215445432499</v>
      </c>
      <c r="AW114" s="2">
        <v>134556.61696251601</v>
      </c>
      <c r="AX114" s="2">
        <v>138027.23930924301</v>
      </c>
    </row>
    <row r="115" spans="1:50" x14ac:dyDescent="0.25">
      <c r="A115" s="2" t="s">
        <v>403</v>
      </c>
      <c r="B115" s="2">
        <v>608.31837959768404</v>
      </c>
      <c r="C115" s="2">
        <v>10.877549999999999</v>
      </c>
      <c r="D115" s="2" t="s">
        <v>51</v>
      </c>
      <c r="E115" s="2" t="s">
        <v>404</v>
      </c>
      <c r="F115" s="2">
        <v>27907</v>
      </c>
      <c r="G115" s="3" t="str">
        <f>HYPERLINK("https://cloud.oebiotech.com/#/lm/network/27907", "https://cloud.oebiotech.com/#/lm/network/27907")</f>
        <v>https://cloud.oebiotech.com/#/lm/network/27907</v>
      </c>
      <c r="H115" s="2"/>
      <c r="I115" s="2"/>
      <c r="J115" s="2" t="s">
        <v>405</v>
      </c>
      <c r="K115" s="2">
        <v>134812364</v>
      </c>
      <c r="L115" s="2"/>
      <c r="M115" s="2"/>
      <c r="N115" s="2"/>
      <c r="O115" s="2"/>
      <c r="P115" s="2"/>
      <c r="Q115" s="2"/>
      <c r="R115" s="2"/>
      <c r="S115" s="2" t="s">
        <v>406</v>
      </c>
      <c r="T115" s="2" t="s">
        <v>407</v>
      </c>
      <c r="U115" s="2" t="s">
        <v>56</v>
      </c>
      <c r="V115" s="2" t="s">
        <v>57</v>
      </c>
      <c r="W115" s="2" t="s">
        <v>155</v>
      </c>
      <c r="X115" s="2" t="s">
        <v>147</v>
      </c>
      <c r="Y115" s="2">
        <v>43</v>
      </c>
      <c r="Z115" s="2">
        <v>22.9</v>
      </c>
      <c r="AA115" s="2" t="s">
        <v>218</v>
      </c>
      <c r="AB115" s="2" t="s">
        <v>408</v>
      </c>
      <c r="AC115" s="2">
        <v>-3.80259504041936</v>
      </c>
      <c r="AD115" s="2"/>
      <c r="AE115" s="2">
        <v>2.50894903662922</v>
      </c>
      <c r="AF115" s="2">
        <v>743239.728897947</v>
      </c>
      <c r="AG115" s="2">
        <v>912519.60522268701</v>
      </c>
      <c r="AH115" s="4">
        <v>0.81449179244381298</v>
      </c>
      <c r="AI115" s="4">
        <v>-0.29602793396378702</v>
      </c>
      <c r="AJ115" s="4" t="s">
        <v>62</v>
      </c>
      <c r="AK115" s="2">
        <v>4.4012034238813398E-2</v>
      </c>
      <c r="AL115" s="2">
        <v>0.297793096711781</v>
      </c>
      <c r="AM115" s="2">
        <v>763510.21139551501</v>
      </c>
      <c r="AN115" s="2">
        <v>823607.30082163995</v>
      </c>
      <c r="AO115" s="2">
        <v>693597.23906527401</v>
      </c>
      <c r="AP115" s="2">
        <v>740966.82355822704</v>
      </c>
      <c r="AQ115" s="2">
        <v>681623.19263814797</v>
      </c>
      <c r="AR115" s="2">
        <v>756133.60590887698</v>
      </c>
      <c r="AS115" s="2">
        <v>779635.49646000599</v>
      </c>
      <c r="AT115" s="2">
        <v>868769.15902304905</v>
      </c>
      <c r="AU115" s="2">
        <v>689651.72985554999</v>
      </c>
      <c r="AV115" s="2">
        <v>1108809.4406633</v>
      </c>
      <c r="AW115" s="2">
        <v>913300.03467144503</v>
      </c>
      <c r="AX115" s="2">
        <v>1114951.7706627699</v>
      </c>
    </row>
    <row r="116" spans="1:50" x14ac:dyDescent="0.25">
      <c r="A116" s="2" t="s">
        <v>2063</v>
      </c>
      <c r="B116" s="2">
        <v>158.11797325225299</v>
      </c>
      <c r="C116" s="2">
        <v>0.74455000000000005</v>
      </c>
      <c r="D116" s="2" t="s">
        <v>51</v>
      </c>
      <c r="E116" s="2" t="s">
        <v>2064</v>
      </c>
      <c r="F116" s="2">
        <v>926</v>
      </c>
      <c r="G116" s="3" t="str">
        <f>HYPERLINK("https://cloud.oebiotech.com/#/lm/network/926", "https://cloud.oebiotech.com/#/lm/network/926")</f>
        <v>https://cloud.oebiotech.com/#/lm/network/926</v>
      </c>
      <c r="H116" s="2"/>
      <c r="I116" s="2">
        <v>35096</v>
      </c>
      <c r="J116" s="2" t="s">
        <v>2065</v>
      </c>
      <c r="K116" s="2">
        <v>5312584</v>
      </c>
      <c r="L116" s="2"/>
      <c r="M116" s="2"/>
      <c r="N116" s="2"/>
      <c r="O116" s="2"/>
      <c r="P116" s="2"/>
      <c r="Q116" s="2"/>
      <c r="R116" s="2"/>
      <c r="S116" s="2" t="s">
        <v>2066</v>
      </c>
      <c r="T116" s="2" t="s">
        <v>2067</v>
      </c>
      <c r="U116" s="2" t="s">
        <v>56</v>
      </c>
      <c r="V116" s="2" t="s">
        <v>145</v>
      </c>
      <c r="W116" s="2" t="s">
        <v>231</v>
      </c>
      <c r="X116" s="2" t="s">
        <v>147</v>
      </c>
      <c r="Y116" s="2">
        <v>46</v>
      </c>
      <c r="Z116" s="2">
        <v>35.9</v>
      </c>
      <c r="AA116" s="2" t="s">
        <v>512</v>
      </c>
      <c r="AB116" s="2" t="s">
        <v>2068</v>
      </c>
      <c r="AC116" s="2">
        <v>2.9846313665598001</v>
      </c>
      <c r="AD116" s="2"/>
      <c r="AE116" s="2">
        <v>2.5057030294755802</v>
      </c>
      <c r="AF116" s="2">
        <v>162996.89660257299</v>
      </c>
      <c r="AG116" s="2">
        <v>8105.86924791601</v>
      </c>
      <c r="AH116" s="5">
        <v>20.108503063317801</v>
      </c>
      <c r="AI116" s="5">
        <v>4.3297337820249</v>
      </c>
      <c r="AJ116" s="5" t="s">
        <v>139</v>
      </c>
      <c r="AK116" s="2">
        <v>0.14842197582854399</v>
      </c>
      <c r="AL116" s="2">
        <v>0.47021412513023703</v>
      </c>
      <c r="AM116" s="2">
        <v>537564.85692412895</v>
      </c>
      <c r="AN116" s="2">
        <v>18130.4940009723</v>
      </c>
      <c r="AO116" s="2">
        <v>404255.53985182999</v>
      </c>
      <c r="AP116" s="2">
        <v>7852.6980792497598</v>
      </c>
      <c r="AQ116" s="2">
        <v>4501.1662293086201</v>
      </c>
      <c r="AR116" s="2">
        <v>5676.6245299483599</v>
      </c>
      <c r="AS116" s="2">
        <v>5935.6853982144803</v>
      </c>
      <c r="AT116" s="2">
        <v>6299.27253995513</v>
      </c>
      <c r="AU116" s="2">
        <v>11489.918525835201</v>
      </c>
      <c r="AV116" s="2">
        <v>4949.01498641744</v>
      </c>
      <c r="AW116" s="2">
        <v>13581.587952993101</v>
      </c>
      <c r="AX116" s="2">
        <v>6379.7360840807096</v>
      </c>
    </row>
    <row r="117" spans="1:50" x14ac:dyDescent="0.25">
      <c r="A117" s="2" t="s">
        <v>2069</v>
      </c>
      <c r="B117" s="2">
        <v>494.32567368523002</v>
      </c>
      <c r="C117" s="2">
        <v>10.0932166666667</v>
      </c>
      <c r="D117" s="2" t="s">
        <v>51</v>
      </c>
      <c r="E117" s="2" t="s">
        <v>2070</v>
      </c>
      <c r="F117" s="2">
        <v>200724</v>
      </c>
      <c r="G117" s="3" t="str">
        <f>HYPERLINK("https://cloud.oebiotech.com/#/lm/network/200724", "https://cloud.oebiotech.com/#/lm/network/200724")</f>
        <v>https://cloud.oebiotech.com/#/lm/network/200724</v>
      </c>
      <c r="H117" s="2" t="s">
        <v>2071</v>
      </c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 t="s">
        <v>2072</v>
      </c>
      <c r="T117" s="2" t="s">
        <v>2073</v>
      </c>
      <c r="U117" s="2" t="s">
        <v>56</v>
      </c>
      <c r="V117" s="2" t="s">
        <v>57</v>
      </c>
      <c r="W117" s="2" t="s">
        <v>58</v>
      </c>
      <c r="X117" s="2" t="s">
        <v>69</v>
      </c>
      <c r="Y117" s="2">
        <v>77.599999999999994</v>
      </c>
      <c r="Z117" s="2">
        <v>99.4</v>
      </c>
      <c r="AA117" s="2" t="s">
        <v>60</v>
      </c>
      <c r="AB117" s="2" t="s">
        <v>2074</v>
      </c>
      <c r="AC117" s="2">
        <v>3.15769101160673</v>
      </c>
      <c r="AD117" s="2"/>
      <c r="AE117" s="2">
        <v>2.50000763535866</v>
      </c>
      <c r="AF117" s="2">
        <v>3862923.8100980301</v>
      </c>
      <c r="AG117" s="2">
        <v>4396774.1641837005</v>
      </c>
      <c r="AH117" s="4">
        <v>0.87858135666042803</v>
      </c>
      <c r="AI117" s="4">
        <v>-0.186752208863147</v>
      </c>
      <c r="AJ117" s="4" t="s">
        <v>62</v>
      </c>
      <c r="AK117" s="2">
        <v>0.61691782991968103</v>
      </c>
      <c r="AL117" s="2">
        <v>0.80992842385250696</v>
      </c>
      <c r="AM117" s="2">
        <v>4199801.36820646</v>
      </c>
      <c r="AN117" s="2">
        <v>3958950.6162665398</v>
      </c>
      <c r="AO117" s="2">
        <v>3138829.0535068498</v>
      </c>
      <c r="AP117" s="2">
        <v>4474529.0537869297</v>
      </c>
      <c r="AQ117" s="2">
        <v>3199550.6047587902</v>
      </c>
      <c r="AR117" s="2">
        <v>4205882.1640626397</v>
      </c>
      <c r="AS117" s="2">
        <v>1902149.4635647801</v>
      </c>
      <c r="AT117" s="2">
        <v>1321378.77920097</v>
      </c>
      <c r="AU117" s="2">
        <v>7129273.6998447897</v>
      </c>
      <c r="AV117" s="2">
        <v>6795636.3677042099</v>
      </c>
      <c r="AW117" s="2">
        <v>5483880.24318064</v>
      </c>
      <c r="AX117" s="2">
        <v>3748326.4316068101</v>
      </c>
    </row>
    <row r="118" spans="1:50" x14ac:dyDescent="0.25">
      <c r="A118" s="2" t="s">
        <v>409</v>
      </c>
      <c r="B118" s="2">
        <v>393.22863008717502</v>
      </c>
      <c r="C118" s="2">
        <v>7.4423666666666701</v>
      </c>
      <c r="D118" s="2" t="s">
        <v>51</v>
      </c>
      <c r="E118" s="2" t="s">
        <v>410</v>
      </c>
      <c r="F118" s="2">
        <v>5438</v>
      </c>
      <c r="G118" s="3" t="str">
        <f>HYPERLINK("https://cloud.oebiotech.com/#/lm/network/5438", "https://cloud.oebiotech.com/#/lm/network/5438")</f>
        <v>https://cloud.oebiotech.com/#/lm/network/5438</v>
      </c>
      <c r="H118" s="2"/>
      <c r="I118" s="2"/>
      <c r="J118" s="2" t="s">
        <v>411</v>
      </c>
      <c r="K118" s="2">
        <v>44188667</v>
      </c>
      <c r="L118" s="2"/>
      <c r="M118" s="2"/>
      <c r="N118" s="2"/>
      <c r="O118" s="2"/>
      <c r="P118" s="2"/>
      <c r="Q118" s="2"/>
      <c r="R118" s="2"/>
      <c r="S118" s="2" t="s">
        <v>412</v>
      </c>
      <c r="T118" s="2" t="s">
        <v>413</v>
      </c>
      <c r="U118" s="2" t="s">
        <v>331</v>
      </c>
      <c r="V118" s="2" t="s">
        <v>332</v>
      </c>
      <c r="W118" s="2" t="s">
        <v>333</v>
      </c>
      <c r="X118" s="2" t="s">
        <v>83</v>
      </c>
      <c r="Y118" s="2">
        <v>49.4</v>
      </c>
      <c r="Z118" s="2">
        <v>33</v>
      </c>
      <c r="AA118" s="2" t="s">
        <v>298</v>
      </c>
      <c r="AB118" s="2" t="s">
        <v>414</v>
      </c>
      <c r="AC118" s="2">
        <v>0.93272016068248598</v>
      </c>
      <c r="AD118" s="2"/>
      <c r="AE118" s="2">
        <v>2.4846840100629701</v>
      </c>
      <c r="AF118" s="2">
        <v>395220.15145692899</v>
      </c>
      <c r="AG118" s="2">
        <v>250657.76327696201</v>
      </c>
      <c r="AH118" s="5">
        <v>1.5767321398309699</v>
      </c>
      <c r="AI118" s="5">
        <v>0.65693759141535502</v>
      </c>
      <c r="AJ118" s="5" t="s">
        <v>139</v>
      </c>
      <c r="AK118" s="2">
        <v>4.88082927516552E-2</v>
      </c>
      <c r="AL118" s="2">
        <v>0.30691247078395001</v>
      </c>
      <c r="AM118" s="2">
        <v>682432.76383629395</v>
      </c>
      <c r="AN118" s="2">
        <v>332490.48632770003</v>
      </c>
      <c r="AO118" s="2">
        <v>312754.20401572197</v>
      </c>
      <c r="AP118" s="2">
        <v>398338.096284653</v>
      </c>
      <c r="AQ118" s="2">
        <v>276424.83675243601</v>
      </c>
      <c r="AR118" s="2">
        <v>368880.52152477001</v>
      </c>
      <c r="AS118" s="2">
        <v>325425.985907041</v>
      </c>
      <c r="AT118" s="2">
        <v>214084.19077458899</v>
      </c>
      <c r="AU118" s="2">
        <v>305817.65203729202</v>
      </c>
      <c r="AV118" s="2">
        <v>169580.10292745399</v>
      </c>
      <c r="AW118" s="2">
        <v>240996.658998634</v>
      </c>
      <c r="AX118" s="2">
        <v>248041.98901675901</v>
      </c>
    </row>
    <row r="119" spans="1:50" x14ac:dyDescent="0.25">
      <c r="A119" s="2" t="s">
        <v>2075</v>
      </c>
      <c r="B119" s="2">
        <v>866.55532258655398</v>
      </c>
      <c r="C119" s="2">
        <v>11.2763333333333</v>
      </c>
      <c r="D119" s="2" t="s">
        <v>51</v>
      </c>
      <c r="E119" s="2" t="s">
        <v>2076</v>
      </c>
      <c r="F119" s="2">
        <v>242609</v>
      </c>
      <c r="G119" s="3" t="str">
        <f>HYPERLINK("https://cloud.oebiotech.com/#/lm/network/242609", "https://cloud.oebiotech.com/#/lm/network/242609")</f>
        <v>https://cloud.oebiotech.com/#/lm/network/242609</v>
      </c>
      <c r="H119" s="2" t="s">
        <v>2077</v>
      </c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 t="s">
        <v>2078</v>
      </c>
      <c r="T119" s="2" t="s">
        <v>2079</v>
      </c>
      <c r="U119" s="2" t="s">
        <v>56</v>
      </c>
      <c r="V119" s="2" t="s">
        <v>57</v>
      </c>
      <c r="W119" s="2" t="s">
        <v>58</v>
      </c>
      <c r="X119" s="2" t="s">
        <v>59</v>
      </c>
      <c r="Y119" s="2">
        <v>52.7</v>
      </c>
      <c r="Z119" s="2">
        <v>95.7</v>
      </c>
      <c r="AA119" s="2" t="s">
        <v>218</v>
      </c>
      <c r="AB119" s="2" t="s">
        <v>2080</v>
      </c>
      <c r="AC119" s="2">
        <v>6.0787152071826202E-2</v>
      </c>
      <c r="AD119" s="2"/>
      <c r="AE119" s="2">
        <v>2.4824597425006298</v>
      </c>
      <c r="AF119" s="2">
        <v>384817.25979727501</v>
      </c>
      <c r="AG119" s="2">
        <v>587916.84718194499</v>
      </c>
      <c r="AH119" s="4">
        <v>0.65454368528783502</v>
      </c>
      <c r="AI119" s="4">
        <v>-0.61143861173916303</v>
      </c>
      <c r="AJ119" s="4" t="s">
        <v>62</v>
      </c>
      <c r="AK119" s="2">
        <v>0.25696751768352899</v>
      </c>
      <c r="AL119" s="2">
        <v>0.57898146204444401</v>
      </c>
      <c r="AM119" s="2">
        <v>230103.09288782399</v>
      </c>
      <c r="AN119" s="2">
        <v>368983.905919254</v>
      </c>
      <c r="AO119" s="2">
        <v>381889.49435415101</v>
      </c>
      <c r="AP119" s="2">
        <v>533920.57433074305</v>
      </c>
      <c r="AQ119" s="2">
        <v>468728.87071696197</v>
      </c>
      <c r="AR119" s="2">
        <v>325277.62057471799</v>
      </c>
      <c r="AS119" s="2">
        <v>1310512.1674508499</v>
      </c>
      <c r="AT119" s="2">
        <v>588143.23960918898</v>
      </c>
      <c r="AU119" s="2">
        <v>131699.691614543</v>
      </c>
      <c r="AV119" s="2">
        <v>326539.32743941399</v>
      </c>
      <c r="AW119" s="2">
        <v>568754.16952713905</v>
      </c>
      <c r="AX119" s="2">
        <v>601852.48745053401</v>
      </c>
    </row>
    <row r="120" spans="1:50" x14ac:dyDescent="0.25">
      <c r="A120" s="2" t="s">
        <v>415</v>
      </c>
      <c r="B120" s="2">
        <v>501.223947644568</v>
      </c>
      <c r="C120" s="2">
        <v>8.53006666666667</v>
      </c>
      <c r="D120" s="2" t="s">
        <v>51</v>
      </c>
      <c r="E120" s="2" t="s">
        <v>416</v>
      </c>
      <c r="F120" s="2">
        <v>45249</v>
      </c>
      <c r="G120" s="3" t="str">
        <f>HYPERLINK("https://cloud.oebiotech.com/#/lm/network/45249", "https://cloud.oebiotech.com/#/lm/network/45249")</f>
        <v>https://cloud.oebiotech.com/#/lm/network/45249</v>
      </c>
      <c r="H120" s="2"/>
      <c r="I120" s="2">
        <v>42017</v>
      </c>
      <c r="J120" s="2" t="s">
        <v>417</v>
      </c>
      <c r="K120" s="2">
        <v>9547329</v>
      </c>
      <c r="L120" s="2"/>
      <c r="M120" s="2"/>
      <c r="N120" s="2"/>
      <c r="O120" s="2"/>
      <c r="P120" s="2"/>
      <c r="Q120" s="2"/>
      <c r="R120" s="2"/>
      <c r="S120" s="2" t="s">
        <v>418</v>
      </c>
      <c r="T120" s="2" t="s">
        <v>419</v>
      </c>
      <c r="U120" s="2" t="s">
        <v>56</v>
      </c>
      <c r="V120" s="2" t="s">
        <v>283</v>
      </c>
      <c r="W120" s="2" t="s">
        <v>420</v>
      </c>
      <c r="X120" s="2" t="s">
        <v>59</v>
      </c>
      <c r="Y120" s="2">
        <v>48.8</v>
      </c>
      <c r="Z120" s="2">
        <v>55.7</v>
      </c>
      <c r="AA120" s="2" t="s">
        <v>163</v>
      </c>
      <c r="AB120" s="2" t="s">
        <v>421</v>
      </c>
      <c r="AC120" s="2">
        <v>1.1438792289970501</v>
      </c>
      <c r="AD120" s="2"/>
      <c r="AE120" s="2">
        <v>2.4789583194045002</v>
      </c>
      <c r="AF120" s="2">
        <v>2881.4178976897902</v>
      </c>
      <c r="AG120" s="2">
        <v>167319.41859779001</v>
      </c>
      <c r="AH120" s="4">
        <v>1.7221060901581701E-2</v>
      </c>
      <c r="AI120" s="4">
        <v>-5.8596821672313197</v>
      </c>
      <c r="AJ120" s="4" t="s">
        <v>62</v>
      </c>
      <c r="AK120" s="2">
        <v>2.2376610019923401E-2</v>
      </c>
      <c r="AL120" s="2">
        <v>0.23286030614035899</v>
      </c>
      <c r="AM120" s="2">
        <v>13209.106959753701</v>
      </c>
      <c r="AN120" s="2">
        <v>681.217540957864</v>
      </c>
      <c r="AO120" s="2">
        <v>231.38271298485799</v>
      </c>
      <c r="AP120" s="2">
        <v>1803.39712167783</v>
      </c>
      <c r="AQ120" s="2">
        <v>1363.4030422046201</v>
      </c>
      <c r="AR120" s="2">
        <v>8.559877937157E-6</v>
      </c>
      <c r="AS120" s="2">
        <v>207.34191985483699</v>
      </c>
      <c r="AT120" s="2">
        <v>3448.3075336801098</v>
      </c>
      <c r="AU120" s="2">
        <v>303122.31862388499</v>
      </c>
      <c r="AV120" s="2">
        <v>359063.602842002</v>
      </c>
      <c r="AW120" s="2">
        <v>194400.00771316799</v>
      </c>
      <c r="AX120" s="2">
        <v>143674.93295415101</v>
      </c>
    </row>
    <row r="121" spans="1:50" x14ac:dyDescent="0.25">
      <c r="A121" s="2" t="s">
        <v>2081</v>
      </c>
      <c r="B121" s="2">
        <v>772.58777228159499</v>
      </c>
      <c r="C121" s="2">
        <v>11.231</v>
      </c>
      <c r="D121" s="2" t="s">
        <v>51</v>
      </c>
      <c r="E121" s="2" t="s">
        <v>2082</v>
      </c>
      <c r="F121" s="2">
        <v>19974</v>
      </c>
      <c r="G121" s="3" t="str">
        <f>HYPERLINK("https://cloud.oebiotech.com/#/lm/network/19974", "https://cloud.oebiotech.com/#/lm/network/19974")</f>
        <v>https://cloud.oebiotech.com/#/lm/network/19974</v>
      </c>
      <c r="H121" s="2" t="s">
        <v>2083</v>
      </c>
      <c r="I121" s="2">
        <v>40523</v>
      </c>
      <c r="J121" s="2" t="s">
        <v>2084</v>
      </c>
      <c r="K121" s="2">
        <v>9546825</v>
      </c>
      <c r="L121" s="2"/>
      <c r="M121" s="2"/>
      <c r="N121" s="2"/>
      <c r="O121" s="2"/>
      <c r="P121" s="2"/>
      <c r="Q121" s="2"/>
      <c r="R121" s="2"/>
      <c r="S121" s="2" t="s">
        <v>2085</v>
      </c>
      <c r="T121" s="2" t="s">
        <v>2086</v>
      </c>
      <c r="U121" s="2" t="s">
        <v>56</v>
      </c>
      <c r="V121" s="2" t="s">
        <v>57</v>
      </c>
      <c r="W121" s="2" t="s">
        <v>155</v>
      </c>
      <c r="X121" s="2" t="s">
        <v>59</v>
      </c>
      <c r="Y121" s="2">
        <v>49.5</v>
      </c>
      <c r="Z121" s="2">
        <v>72.3</v>
      </c>
      <c r="AA121" s="2" t="s">
        <v>2087</v>
      </c>
      <c r="AB121" s="2" t="s">
        <v>260</v>
      </c>
      <c r="AC121" s="2">
        <v>3.4871772579734501</v>
      </c>
      <c r="AD121" s="2"/>
      <c r="AE121" s="2">
        <v>2.4634170380595202</v>
      </c>
      <c r="AF121" s="2">
        <v>30756.919159931898</v>
      </c>
      <c r="AG121" s="2">
        <v>213551.10685522799</v>
      </c>
      <c r="AH121" s="4">
        <v>0.14402603485817</v>
      </c>
      <c r="AI121" s="4">
        <v>-2.7955984709574802</v>
      </c>
      <c r="AJ121" s="4" t="s">
        <v>62</v>
      </c>
      <c r="AK121" s="2">
        <v>5.1757868930413502E-2</v>
      </c>
      <c r="AL121" s="2">
        <v>0.315165608040887</v>
      </c>
      <c r="AM121" s="2">
        <v>8.559877937157E-6</v>
      </c>
      <c r="AN121" s="2">
        <v>39842.15593334</v>
      </c>
      <c r="AO121" s="2">
        <v>11312.2231389795</v>
      </c>
      <c r="AP121" s="2">
        <v>2433.6810116057</v>
      </c>
      <c r="AQ121" s="2">
        <v>67422.554011464395</v>
      </c>
      <c r="AR121" s="2">
        <v>63530.900855641798</v>
      </c>
      <c r="AS121" s="2">
        <v>277305.40629363601</v>
      </c>
      <c r="AT121" s="2">
        <v>124611.041891506</v>
      </c>
      <c r="AU121" s="2">
        <v>224394.757825774</v>
      </c>
      <c r="AV121" s="2">
        <v>5143.4295415450197</v>
      </c>
      <c r="AW121" s="2">
        <v>79267.0003110424</v>
      </c>
      <c r="AX121" s="2">
        <v>570585.005267862</v>
      </c>
    </row>
    <row r="122" spans="1:50" x14ac:dyDescent="0.25">
      <c r="A122" s="2" t="s">
        <v>422</v>
      </c>
      <c r="B122" s="2">
        <v>814.56050480620695</v>
      </c>
      <c r="C122" s="2">
        <v>10.885066666666701</v>
      </c>
      <c r="D122" s="2" t="s">
        <v>51</v>
      </c>
      <c r="E122" s="2" t="s">
        <v>423</v>
      </c>
      <c r="F122" s="2">
        <v>238475</v>
      </c>
      <c r="G122" s="3" t="str">
        <f>HYPERLINK("https://cloud.oebiotech.com/#/lm/network/238475", "https://cloud.oebiotech.com/#/lm/network/238475")</f>
        <v>https://cloud.oebiotech.com/#/lm/network/238475</v>
      </c>
      <c r="H122" s="2" t="s">
        <v>424</v>
      </c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 t="s">
        <v>425</v>
      </c>
      <c r="T122" s="2" t="s">
        <v>426</v>
      </c>
      <c r="U122" s="2" t="s">
        <v>56</v>
      </c>
      <c r="V122" s="2" t="s">
        <v>57</v>
      </c>
      <c r="W122" s="2" t="s">
        <v>155</v>
      </c>
      <c r="X122" s="2" t="s">
        <v>59</v>
      </c>
      <c r="Y122" s="2">
        <v>46.6</v>
      </c>
      <c r="Z122" s="2">
        <v>46.9</v>
      </c>
      <c r="AA122" s="2" t="s">
        <v>218</v>
      </c>
      <c r="AB122" s="2" t="s">
        <v>427</v>
      </c>
      <c r="AC122" s="2">
        <v>0.19073095757859601</v>
      </c>
      <c r="AD122" s="2"/>
      <c r="AE122" s="2">
        <v>2.46196706489751</v>
      </c>
      <c r="AF122" s="2">
        <v>550799.97433298395</v>
      </c>
      <c r="AG122" s="2">
        <v>398836.90353830101</v>
      </c>
      <c r="AH122" s="5">
        <v>1.3810155716447901</v>
      </c>
      <c r="AI122" s="5">
        <v>0.46572958679948201</v>
      </c>
      <c r="AJ122" s="5" t="s">
        <v>139</v>
      </c>
      <c r="AK122" s="2">
        <v>4.6217894166315797E-2</v>
      </c>
      <c r="AL122" s="2">
        <v>0.303077969035141</v>
      </c>
      <c r="AM122" s="2">
        <v>687586.85862702795</v>
      </c>
      <c r="AN122" s="2">
        <v>644666.486896071</v>
      </c>
      <c r="AO122" s="2">
        <v>533336.44083973498</v>
      </c>
      <c r="AP122" s="2">
        <v>405049.74662256503</v>
      </c>
      <c r="AQ122" s="2">
        <v>473921.56035432202</v>
      </c>
      <c r="AR122" s="2">
        <v>560238.75265818101</v>
      </c>
      <c r="AS122" s="2">
        <v>299342.93512892799</v>
      </c>
      <c r="AT122" s="2">
        <v>231576.44746959099</v>
      </c>
      <c r="AU122" s="2">
        <v>525317.07443776203</v>
      </c>
      <c r="AV122" s="2">
        <v>480150.15225563297</v>
      </c>
      <c r="AW122" s="2">
        <v>519491.83861417399</v>
      </c>
      <c r="AX122" s="2">
        <v>337142.97332371899</v>
      </c>
    </row>
    <row r="123" spans="1:50" x14ac:dyDescent="0.25">
      <c r="A123" s="2" t="s">
        <v>428</v>
      </c>
      <c r="B123" s="2">
        <v>102.091972554836</v>
      </c>
      <c r="C123" s="2">
        <v>13.547333333333301</v>
      </c>
      <c r="D123" s="2" t="s">
        <v>51</v>
      </c>
      <c r="E123" s="2" t="s">
        <v>429</v>
      </c>
      <c r="F123" s="2">
        <v>47472</v>
      </c>
      <c r="G123" s="3" t="str">
        <f>HYPERLINK("https://cloud.oebiotech.com/#/lm/network/47472", "https://cloud.oebiotech.com/#/lm/network/47472")</f>
        <v>https://cloud.oebiotech.com/#/lm/network/47472</v>
      </c>
      <c r="H123" s="2" t="s">
        <v>430</v>
      </c>
      <c r="I123" s="2">
        <v>278</v>
      </c>
      <c r="J123" s="2"/>
      <c r="K123" s="2">
        <v>249</v>
      </c>
      <c r="L123" s="2" t="s">
        <v>431</v>
      </c>
      <c r="M123" s="2" t="s">
        <v>432</v>
      </c>
      <c r="N123" s="2" t="s">
        <v>433</v>
      </c>
      <c r="O123" s="2">
        <v>15710</v>
      </c>
      <c r="P123" s="2" t="s">
        <v>434</v>
      </c>
      <c r="Q123" s="2" t="s">
        <v>435</v>
      </c>
      <c r="R123" s="2" t="s">
        <v>436</v>
      </c>
      <c r="S123" s="2" t="s">
        <v>437</v>
      </c>
      <c r="T123" s="2" t="s">
        <v>438</v>
      </c>
      <c r="U123" s="2" t="s">
        <v>119</v>
      </c>
      <c r="V123" s="2" t="s">
        <v>120</v>
      </c>
      <c r="W123" s="2" t="s">
        <v>121</v>
      </c>
      <c r="X123" s="2" t="s">
        <v>147</v>
      </c>
      <c r="Y123" s="2">
        <v>39.4</v>
      </c>
      <c r="Z123" s="2">
        <v>0</v>
      </c>
      <c r="AA123" s="2" t="s">
        <v>122</v>
      </c>
      <c r="AB123" s="2" t="s">
        <v>439</v>
      </c>
      <c r="AC123" s="2">
        <v>0.81735813258225898</v>
      </c>
      <c r="AD123" s="2"/>
      <c r="AE123" s="2">
        <v>2.4090407962304901</v>
      </c>
      <c r="AF123" s="2">
        <v>241082.990335184</v>
      </c>
      <c r="AG123" s="2">
        <v>342150.50821371598</v>
      </c>
      <c r="AH123" s="4">
        <v>0.70461093743165704</v>
      </c>
      <c r="AI123" s="4">
        <v>-0.50510122542499103</v>
      </c>
      <c r="AJ123" s="4" t="s">
        <v>62</v>
      </c>
      <c r="AK123" s="2">
        <v>8.6441014175769297E-6</v>
      </c>
      <c r="AL123" s="2">
        <v>1.5488881376670999E-2</v>
      </c>
      <c r="AM123" s="2">
        <v>214174.79357768901</v>
      </c>
      <c r="AN123" s="2">
        <v>244028.412080159</v>
      </c>
      <c r="AO123" s="2">
        <v>234182.21973755499</v>
      </c>
      <c r="AP123" s="2">
        <v>258418.50104040801</v>
      </c>
      <c r="AQ123" s="2">
        <v>271482.233658657</v>
      </c>
      <c r="AR123" s="2">
        <v>224211.78191663601</v>
      </c>
      <c r="AS123" s="2">
        <v>361873.30789825099</v>
      </c>
      <c r="AT123" s="2">
        <v>340123.29789518297</v>
      </c>
      <c r="AU123" s="2">
        <v>305944.87231872999</v>
      </c>
      <c r="AV123" s="2">
        <v>344680.20735743002</v>
      </c>
      <c r="AW123" s="2">
        <v>337188.66478635202</v>
      </c>
      <c r="AX123" s="2">
        <v>363092.69902634801</v>
      </c>
    </row>
    <row r="124" spans="1:50" x14ac:dyDescent="0.25">
      <c r="A124" s="2" t="s">
        <v>2088</v>
      </c>
      <c r="B124" s="2">
        <v>526.29446568091998</v>
      </c>
      <c r="C124" s="2">
        <v>10.233700000000001</v>
      </c>
      <c r="D124" s="2" t="s">
        <v>51</v>
      </c>
      <c r="E124" s="2" t="s">
        <v>2089</v>
      </c>
      <c r="F124" s="2">
        <v>21174</v>
      </c>
      <c r="G124" s="3" t="str">
        <f>HYPERLINK("https://cloud.oebiotech.com/#/lm/network/21174", "https://cloud.oebiotech.com/#/lm/network/21174")</f>
        <v>https://cloud.oebiotech.com/#/lm/network/21174</v>
      </c>
      <c r="H124" s="2" t="s">
        <v>2090</v>
      </c>
      <c r="I124" s="2">
        <v>62310</v>
      </c>
      <c r="J124" s="2" t="s">
        <v>2091</v>
      </c>
      <c r="K124" s="2">
        <v>52925132</v>
      </c>
      <c r="L124" s="2"/>
      <c r="M124" s="2"/>
      <c r="N124" s="2"/>
      <c r="O124" s="2">
        <v>72747</v>
      </c>
      <c r="P124" s="2"/>
      <c r="Q124" s="2"/>
      <c r="R124" s="2"/>
      <c r="S124" s="2" t="s">
        <v>2092</v>
      </c>
      <c r="T124" s="2" t="s">
        <v>2093</v>
      </c>
      <c r="U124" s="2" t="s">
        <v>56</v>
      </c>
      <c r="V124" s="2" t="s">
        <v>57</v>
      </c>
      <c r="W124" s="2" t="s">
        <v>155</v>
      </c>
      <c r="X124" s="2" t="s">
        <v>69</v>
      </c>
      <c r="Y124" s="2">
        <v>60.5</v>
      </c>
      <c r="Z124" s="2">
        <v>91.6</v>
      </c>
      <c r="AA124" s="2" t="s">
        <v>259</v>
      </c>
      <c r="AB124" s="2" t="s">
        <v>2094</v>
      </c>
      <c r="AC124" s="2">
        <v>3.1408938500102002</v>
      </c>
      <c r="AD124" s="2"/>
      <c r="AE124" s="2">
        <v>2.4032716457596601</v>
      </c>
      <c r="AF124" s="2">
        <v>419310.85210441402</v>
      </c>
      <c r="AG124" s="2">
        <v>616356.98104146996</v>
      </c>
      <c r="AH124" s="4">
        <v>0.68030518839244203</v>
      </c>
      <c r="AI124" s="4">
        <v>-0.55574600292656395</v>
      </c>
      <c r="AJ124" s="4" t="s">
        <v>62</v>
      </c>
      <c r="AK124" s="2">
        <v>8.8367369364516807E-2</v>
      </c>
      <c r="AL124" s="2">
        <v>0.38072356452622402</v>
      </c>
      <c r="AM124" s="2">
        <v>662922.42898352398</v>
      </c>
      <c r="AN124" s="2">
        <v>401376.11766988499</v>
      </c>
      <c r="AO124" s="2">
        <v>371548.26703769999</v>
      </c>
      <c r="AP124" s="2">
        <v>518358.46673635999</v>
      </c>
      <c r="AQ124" s="2">
        <v>216893.86714167599</v>
      </c>
      <c r="AR124" s="2">
        <v>344765.96505733998</v>
      </c>
      <c r="AS124" s="2">
        <v>484495.36172635102</v>
      </c>
      <c r="AT124" s="2">
        <v>562936.84608086594</v>
      </c>
      <c r="AU124" s="2">
        <v>308539.501314111</v>
      </c>
      <c r="AV124" s="2">
        <v>694861.37844606803</v>
      </c>
      <c r="AW124" s="2">
        <v>796972.97952817904</v>
      </c>
      <c r="AX124" s="2">
        <v>850335.81915324705</v>
      </c>
    </row>
    <row r="125" spans="1:50" x14ac:dyDescent="0.25">
      <c r="A125" s="2" t="s">
        <v>440</v>
      </c>
      <c r="B125" s="2">
        <v>547.28045712474398</v>
      </c>
      <c r="C125" s="2">
        <v>8.5905500000000004</v>
      </c>
      <c r="D125" s="2" t="s">
        <v>51</v>
      </c>
      <c r="E125" s="2" t="s">
        <v>441</v>
      </c>
      <c r="F125" s="2">
        <v>28376</v>
      </c>
      <c r="G125" s="3" t="str">
        <f>HYPERLINK("https://cloud.oebiotech.com/#/lm/network/28376", "https://cloud.oebiotech.com/#/lm/network/28376")</f>
        <v>https://cloud.oebiotech.com/#/lm/network/28376</v>
      </c>
      <c r="H125" s="2"/>
      <c r="I125" s="2"/>
      <c r="J125" s="2" t="s">
        <v>442</v>
      </c>
      <c r="K125" s="2">
        <v>139590412</v>
      </c>
      <c r="L125" s="2"/>
      <c r="M125" s="2"/>
      <c r="N125" s="2"/>
      <c r="O125" s="2"/>
      <c r="P125" s="2"/>
      <c r="Q125" s="2"/>
      <c r="R125" s="2"/>
      <c r="S125" s="2" t="s">
        <v>443</v>
      </c>
      <c r="T125" s="2" t="s">
        <v>444</v>
      </c>
      <c r="U125" s="2" t="s">
        <v>266</v>
      </c>
      <c r="V125" s="2" t="s">
        <v>445</v>
      </c>
      <c r="W125" s="2" t="s">
        <v>446</v>
      </c>
      <c r="X125" s="2" t="s">
        <v>147</v>
      </c>
      <c r="Y125" s="2">
        <v>39.700000000000003</v>
      </c>
      <c r="Z125" s="2">
        <v>4.71</v>
      </c>
      <c r="AA125" s="2" t="s">
        <v>163</v>
      </c>
      <c r="AB125" s="2" t="s">
        <v>447</v>
      </c>
      <c r="AC125" s="2">
        <v>-1.64776899515899</v>
      </c>
      <c r="AD125" s="2"/>
      <c r="AE125" s="2">
        <v>2.3915715303576599</v>
      </c>
      <c r="AF125" s="2">
        <v>407084.26492562599</v>
      </c>
      <c r="AG125" s="2">
        <v>523193.05572411802</v>
      </c>
      <c r="AH125" s="4">
        <v>0.77807658276772595</v>
      </c>
      <c r="AI125" s="4">
        <v>-0.36201593435234197</v>
      </c>
      <c r="AJ125" s="4" t="s">
        <v>62</v>
      </c>
      <c r="AK125" s="2">
        <v>3.1390091835637699E-4</v>
      </c>
      <c r="AL125" s="2">
        <v>5.3199942447790097E-2</v>
      </c>
      <c r="AM125" s="2">
        <v>394564.23970431602</v>
      </c>
      <c r="AN125" s="2">
        <v>387243.13980380102</v>
      </c>
      <c r="AO125" s="2">
        <v>481553.14501991897</v>
      </c>
      <c r="AP125" s="2">
        <v>411750.896454214</v>
      </c>
      <c r="AQ125" s="2">
        <v>396263.79721467302</v>
      </c>
      <c r="AR125" s="2">
        <v>371130.37135683099</v>
      </c>
      <c r="AS125" s="2">
        <v>578814.49013707298</v>
      </c>
      <c r="AT125" s="2">
        <v>534694.94891153602</v>
      </c>
      <c r="AU125" s="2">
        <v>472686.14887953899</v>
      </c>
      <c r="AV125" s="2">
        <v>501762.23605332099</v>
      </c>
      <c r="AW125" s="2">
        <v>536605.81075935799</v>
      </c>
      <c r="AX125" s="2">
        <v>514594.69960387901</v>
      </c>
    </row>
    <row r="126" spans="1:50" x14ac:dyDescent="0.25">
      <c r="A126" s="2" t="s">
        <v>448</v>
      </c>
      <c r="B126" s="2">
        <v>357.20482705399598</v>
      </c>
      <c r="C126" s="2">
        <v>10.112916666666701</v>
      </c>
      <c r="D126" s="2" t="s">
        <v>51</v>
      </c>
      <c r="E126" s="2" t="s">
        <v>449</v>
      </c>
      <c r="F126" s="2">
        <v>4056</v>
      </c>
      <c r="G126" s="3" t="str">
        <f>HYPERLINK("https://cloud.oebiotech.com/#/lm/network/4056", "https://cloud.oebiotech.com/#/lm/network/4056")</f>
        <v>https://cloud.oebiotech.com/#/lm/network/4056</v>
      </c>
      <c r="H126" s="2"/>
      <c r="I126" s="2"/>
      <c r="J126" s="2" t="s">
        <v>450</v>
      </c>
      <c r="K126" s="2"/>
      <c r="L126" s="2"/>
      <c r="M126" s="2"/>
      <c r="N126" s="2"/>
      <c r="O126" s="2"/>
      <c r="P126" s="2"/>
      <c r="Q126" s="2"/>
      <c r="R126" s="2"/>
      <c r="S126" s="2" t="s">
        <v>451</v>
      </c>
      <c r="T126" s="2" t="s">
        <v>452</v>
      </c>
      <c r="U126" s="2" t="s">
        <v>56</v>
      </c>
      <c r="V126" s="2" t="s">
        <v>145</v>
      </c>
      <c r="W126" s="2" t="s">
        <v>231</v>
      </c>
      <c r="X126" s="2" t="s">
        <v>69</v>
      </c>
      <c r="Y126" s="2">
        <v>69.7</v>
      </c>
      <c r="Z126" s="2">
        <v>73.599999999999994</v>
      </c>
      <c r="AA126" s="2" t="s">
        <v>453</v>
      </c>
      <c r="AB126" s="2" t="s">
        <v>212</v>
      </c>
      <c r="AC126" s="2">
        <v>3.5813346825396799</v>
      </c>
      <c r="AD126" s="2"/>
      <c r="AE126" s="2">
        <v>2.38970328477658</v>
      </c>
      <c r="AF126" s="2">
        <v>157948.70587508299</v>
      </c>
      <c r="AG126" s="2">
        <v>49270.747976851002</v>
      </c>
      <c r="AH126" s="5">
        <v>3.2057298165900101</v>
      </c>
      <c r="AI126" s="5">
        <v>1.6806528382524799</v>
      </c>
      <c r="AJ126" s="5" t="s">
        <v>139</v>
      </c>
      <c r="AK126" s="2">
        <v>6.1085252802658202E-3</v>
      </c>
      <c r="AL126" s="2">
        <v>0.13235881236838801</v>
      </c>
      <c r="AM126" s="2">
        <v>264740.88159829</v>
      </c>
      <c r="AN126" s="2">
        <v>227446.67870657</v>
      </c>
      <c r="AO126" s="2">
        <v>117484.472196488</v>
      </c>
      <c r="AP126" s="2">
        <v>77716.582178124896</v>
      </c>
      <c r="AQ126" s="2">
        <v>135245.75451388001</v>
      </c>
      <c r="AR126" s="2">
        <v>125057.866057145</v>
      </c>
      <c r="AS126" s="2">
        <v>84226.336774580603</v>
      </c>
      <c r="AT126" s="2">
        <v>32128.171476980398</v>
      </c>
      <c r="AU126" s="2">
        <v>56937.838199666498</v>
      </c>
      <c r="AV126" s="2">
        <v>20097.976621249501</v>
      </c>
      <c r="AW126" s="2">
        <v>26269.470279388901</v>
      </c>
      <c r="AX126" s="2">
        <v>75964.694509240202</v>
      </c>
    </row>
    <row r="127" spans="1:50" x14ac:dyDescent="0.25">
      <c r="A127" s="2" t="s">
        <v>2095</v>
      </c>
      <c r="B127" s="2">
        <v>375.21785642412999</v>
      </c>
      <c r="C127" s="2">
        <v>7.0694833333333298</v>
      </c>
      <c r="D127" s="2" t="s">
        <v>51</v>
      </c>
      <c r="E127" s="2" t="s">
        <v>2096</v>
      </c>
      <c r="F127" s="2">
        <v>51439</v>
      </c>
      <c r="G127" s="3" t="str">
        <f>HYPERLINK("https://cloud.oebiotech.com/#/lm/network/51439", "https://cloud.oebiotech.com/#/lm/network/51439")</f>
        <v>https://cloud.oebiotech.com/#/lm/network/51439</v>
      </c>
      <c r="H127" s="2" t="s">
        <v>2097</v>
      </c>
      <c r="I127" s="2">
        <v>62400</v>
      </c>
      <c r="J127" s="2"/>
      <c r="K127" s="2">
        <v>53481012</v>
      </c>
      <c r="L127" s="2"/>
      <c r="M127" s="2"/>
      <c r="N127" s="2"/>
      <c r="O127" s="2"/>
      <c r="P127" s="2"/>
      <c r="Q127" s="2"/>
      <c r="R127" s="2"/>
      <c r="S127" s="2" t="s">
        <v>2098</v>
      </c>
      <c r="T127" s="2" t="s">
        <v>2099</v>
      </c>
      <c r="U127" s="2" t="s">
        <v>56</v>
      </c>
      <c r="V127" s="2" t="s">
        <v>283</v>
      </c>
      <c r="W127" s="2" t="s">
        <v>284</v>
      </c>
      <c r="X127" s="2" t="s">
        <v>69</v>
      </c>
      <c r="Y127" s="2">
        <v>53.9</v>
      </c>
      <c r="Z127" s="2">
        <v>60.8</v>
      </c>
      <c r="AA127" s="2" t="s">
        <v>163</v>
      </c>
      <c r="AB127" s="2" t="s">
        <v>1366</v>
      </c>
      <c r="AC127" s="2">
        <v>0.42190737041437099</v>
      </c>
      <c r="AD127" s="2"/>
      <c r="AE127" s="2">
        <v>2.3886578870738502</v>
      </c>
      <c r="AF127" s="2">
        <v>322745.47635132598</v>
      </c>
      <c r="AG127" s="2">
        <v>179162.05108526899</v>
      </c>
      <c r="AH127" s="5">
        <v>1.8014165075489199</v>
      </c>
      <c r="AI127" s="5">
        <v>0.84913178696508895</v>
      </c>
      <c r="AJ127" s="5" t="s">
        <v>139</v>
      </c>
      <c r="AK127" s="2">
        <v>0.11069171303787</v>
      </c>
      <c r="AL127" s="2">
        <v>0.42261842103963698</v>
      </c>
      <c r="AM127" s="2">
        <v>682042.69868527597</v>
      </c>
      <c r="AN127" s="2">
        <v>235421.07450296899</v>
      </c>
      <c r="AO127" s="2">
        <v>254658.40735619899</v>
      </c>
      <c r="AP127" s="2">
        <v>269897.85728909302</v>
      </c>
      <c r="AQ127" s="2">
        <v>208657.82699182699</v>
      </c>
      <c r="AR127" s="2">
        <v>285794.99328259</v>
      </c>
      <c r="AS127" s="2">
        <v>327295.60889744601</v>
      </c>
      <c r="AT127" s="2">
        <v>191652.722393317</v>
      </c>
      <c r="AU127" s="2">
        <v>179913.66850576899</v>
      </c>
      <c r="AV127" s="2">
        <v>65266.652588955003</v>
      </c>
      <c r="AW127" s="2">
        <v>95259.925976158498</v>
      </c>
      <c r="AX127" s="2">
        <v>215583.728149968</v>
      </c>
    </row>
    <row r="128" spans="1:50" x14ac:dyDescent="0.25">
      <c r="A128" s="2" t="s">
        <v>2100</v>
      </c>
      <c r="B128" s="2">
        <v>367.105186634326</v>
      </c>
      <c r="C128" s="2">
        <v>0.68473333333333297</v>
      </c>
      <c r="D128" s="2" t="s">
        <v>51</v>
      </c>
      <c r="E128" s="2" t="s">
        <v>2101</v>
      </c>
      <c r="F128" s="2">
        <v>256617</v>
      </c>
      <c r="G128" s="3" t="str">
        <f>HYPERLINK("https://cloud.oebiotech.com/#/lm/network/256617", "https://cloud.oebiotech.com/#/lm/network/256617")</f>
        <v>https://cloud.oebiotech.com/#/lm/network/256617</v>
      </c>
      <c r="H128" s="2" t="s">
        <v>2102</v>
      </c>
      <c r="I128" s="2"/>
      <c r="J128" s="2"/>
      <c r="K128" s="2">
        <v>6121909</v>
      </c>
      <c r="L128" s="2"/>
      <c r="M128" s="2"/>
      <c r="N128" s="2"/>
      <c r="O128" s="2"/>
      <c r="P128" s="2"/>
      <c r="Q128" s="2"/>
      <c r="R128" s="2"/>
      <c r="S128" s="2" t="s">
        <v>2103</v>
      </c>
      <c r="T128" s="2" t="s">
        <v>2104</v>
      </c>
      <c r="U128" s="2" t="s">
        <v>331</v>
      </c>
      <c r="V128" s="2" t="s">
        <v>332</v>
      </c>
      <c r="W128" s="2" t="s">
        <v>333</v>
      </c>
      <c r="X128" s="2" t="s">
        <v>59</v>
      </c>
      <c r="Y128" s="2">
        <v>49.9</v>
      </c>
      <c r="Z128" s="2">
        <v>62.8</v>
      </c>
      <c r="AA128" s="2" t="s">
        <v>379</v>
      </c>
      <c r="AB128" s="2" t="s">
        <v>2105</v>
      </c>
      <c r="AC128" s="2">
        <v>4.4826669752900603</v>
      </c>
      <c r="AD128" s="2"/>
      <c r="AE128" s="2">
        <v>2.3754656000076202</v>
      </c>
      <c r="AF128" s="2">
        <v>273320.89657826099</v>
      </c>
      <c r="AG128" s="2">
        <v>419434.93179685198</v>
      </c>
      <c r="AH128" s="4">
        <v>0.65164075726206006</v>
      </c>
      <c r="AI128" s="4">
        <v>-0.61785125397518104</v>
      </c>
      <c r="AJ128" s="4" t="s">
        <v>62</v>
      </c>
      <c r="AK128" s="2">
        <v>0.152406612121743</v>
      </c>
      <c r="AL128" s="2">
        <v>0.47381118742890099</v>
      </c>
      <c r="AM128" s="2">
        <v>8.559877937157E-6</v>
      </c>
      <c r="AN128" s="2">
        <v>405376.30925928801</v>
      </c>
      <c r="AO128" s="2">
        <v>304470.841738021</v>
      </c>
      <c r="AP128" s="2">
        <v>211426.155463414</v>
      </c>
      <c r="AQ128" s="2">
        <v>273007.64971684001</v>
      </c>
      <c r="AR128" s="2">
        <v>445644.42328344501</v>
      </c>
      <c r="AS128" s="2">
        <v>632488.10539141798</v>
      </c>
      <c r="AT128" s="2">
        <v>260656.558048012</v>
      </c>
      <c r="AU128" s="2">
        <v>255267.27764173099</v>
      </c>
      <c r="AV128" s="2">
        <v>383541.53905068</v>
      </c>
      <c r="AW128" s="2">
        <v>368230.75851397897</v>
      </c>
      <c r="AX128" s="2">
        <v>616425.352135294</v>
      </c>
    </row>
    <row r="129" spans="1:50" x14ac:dyDescent="0.25">
      <c r="A129" s="2" t="s">
        <v>454</v>
      </c>
      <c r="B129" s="2">
        <v>351.21791727665902</v>
      </c>
      <c r="C129" s="2">
        <v>8.8124500000000001</v>
      </c>
      <c r="D129" s="2" t="s">
        <v>51</v>
      </c>
      <c r="E129" s="2" t="s">
        <v>455</v>
      </c>
      <c r="F129" s="2">
        <v>4151</v>
      </c>
      <c r="G129" s="3" t="str">
        <f>HYPERLINK("https://cloud.oebiotech.com/#/lm/network/4151", "https://cloud.oebiotech.com/#/lm/network/4151")</f>
        <v>https://cloud.oebiotech.com/#/lm/network/4151</v>
      </c>
      <c r="H129" s="2"/>
      <c r="I129" s="2">
        <v>75071</v>
      </c>
      <c r="J129" s="2" t="s">
        <v>456</v>
      </c>
      <c r="K129" s="2">
        <v>52921917</v>
      </c>
      <c r="L129" s="2"/>
      <c r="M129" s="2"/>
      <c r="N129" s="2"/>
      <c r="O129" s="2"/>
      <c r="P129" s="2"/>
      <c r="Q129" s="2"/>
      <c r="R129" s="2"/>
      <c r="S129" s="2" t="s">
        <v>457</v>
      </c>
      <c r="T129" s="2" t="s">
        <v>458</v>
      </c>
      <c r="U129" s="2" t="s">
        <v>56</v>
      </c>
      <c r="V129" s="2" t="s">
        <v>145</v>
      </c>
      <c r="W129" s="2" t="s">
        <v>231</v>
      </c>
      <c r="X129" s="2" t="s">
        <v>69</v>
      </c>
      <c r="Y129" s="2">
        <v>54.4</v>
      </c>
      <c r="Z129" s="2">
        <v>60.6</v>
      </c>
      <c r="AA129" s="2" t="s">
        <v>163</v>
      </c>
      <c r="AB129" s="2" t="s">
        <v>380</v>
      </c>
      <c r="AC129" s="2">
        <v>0.62342149297296401</v>
      </c>
      <c r="AD129" s="2"/>
      <c r="AE129" s="2">
        <v>2.3645329841638101</v>
      </c>
      <c r="AF129" s="2">
        <v>234656.35930359899</v>
      </c>
      <c r="AG129" s="2">
        <v>119994.659225946</v>
      </c>
      <c r="AH129" s="5">
        <v>1.9555566957505</v>
      </c>
      <c r="AI129" s="5">
        <v>0.96757936347683005</v>
      </c>
      <c r="AJ129" s="5" t="s">
        <v>139</v>
      </c>
      <c r="AK129" s="2">
        <v>2.32635797224929E-3</v>
      </c>
      <c r="AL129" s="2">
        <v>0.101912249503871</v>
      </c>
      <c r="AM129" s="2">
        <v>248653.39892606501</v>
      </c>
      <c r="AN129" s="2">
        <v>306144.57392266497</v>
      </c>
      <c r="AO129" s="2">
        <v>245344.02806362201</v>
      </c>
      <c r="AP129" s="2">
        <v>186967.72891236501</v>
      </c>
      <c r="AQ129" s="2">
        <v>169241.306440254</v>
      </c>
      <c r="AR129" s="2">
        <v>251587.119556625</v>
      </c>
      <c r="AS129" s="2">
        <v>201002.06934709899</v>
      </c>
      <c r="AT129" s="2">
        <v>103353.48975267699</v>
      </c>
      <c r="AU129" s="2">
        <v>136994.80601787099</v>
      </c>
      <c r="AV129" s="2">
        <v>59202.859011406501</v>
      </c>
      <c r="AW129" s="2">
        <v>90226.609826618995</v>
      </c>
      <c r="AX129" s="2">
        <v>129188.121400006</v>
      </c>
    </row>
    <row r="130" spans="1:50" x14ac:dyDescent="0.25">
      <c r="A130" s="2" t="s">
        <v>2106</v>
      </c>
      <c r="B130" s="2">
        <v>434.22001384127498</v>
      </c>
      <c r="C130" s="2">
        <v>8.9220833333333296</v>
      </c>
      <c r="D130" s="2" t="s">
        <v>51</v>
      </c>
      <c r="E130" s="2" t="s">
        <v>2107</v>
      </c>
      <c r="F130" s="2">
        <v>52583</v>
      </c>
      <c r="G130" s="3" t="str">
        <f>HYPERLINK("https://cloud.oebiotech.com/#/lm/network/52583", "https://cloud.oebiotech.com/#/lm/network/52583")</f>
        <v>https://cloud.oebiotech.com/#/lm/network/52583</v>
      </c>
      <c r="H130" s="2" t="s">
        <v>2108</v>
      </c>
      <c r="I130" s="2">
        <v>44193</v>
      </c>
      <c r="J130" s="2"/>
      <c r="K130" s="2">
        <v>60846</v>
      </c>
      <c r="L130" s="2"/>
      <c r="M130" s="2"/>
      <c r="N130" s="2"/>
      <c r="O130" s="2">
        <v>9927</v>
      </c>
      <c r="P130" s="2" t="s">
        <v>2109</v>
      </c>
      <c r="Q130" s="2" t="s">
        <v>2110</v>
      </c>
      <c r="R130" s="2" t="s">
        <v>2111</v>
      </c>
      <c r="S130" s="2" t="s">
        <v>2112</v>
      </c>
      <c r="T130" s="2" t="s">
        <v>2113</v>
      </c>
      <c r="U130" s="2" t="s">
        <v>103</v>
      </c>
      <c r="V130" s="2" t="s">
        <v>104</v>
      </c>
      <c r="W130" s="2" t="s">
        <v>105</v>
      </c>
      <c r="X130" s="2" t="s">
        <v>69</v>
      </c>
      <c r="Y130" s="2">
        <v>71.099999999999994</v>
      </c>
      <c r="Z130" s="2">
        <v>96.7</v>
      </c>
      <c r="AA130" s="2" t="s">
        <v>667</v>
      </c>
      <c r="AB130" s="2" t="s">
        <v>2114</v>
      </c>
      <c r="AC130" s="2">
        <v>0.57547105701749901</v>
      </c>
      <c r="AD130" s="2"/>
      <c r="AE130" s="2">
        <v>2.3610998763667799</v>
      </c>
      <c r="AF130" s="2">
        <v>323487.70878560498</v>
      </c>
      <c r="AG130" s="2">
        <v>2294.64644724958</v>
      </c>
      <c r="AH130" s="5">
        <v>140.97496770073101</v>
      </c>
      <c r="AI130" s="5">
        <v>7.1392952021851199</v>
      </c>
      <c r="AJ130" s="5" t="s">
        <v>139</v>
      </c>
      <c r="AK130" s="2">
        <v>0.15886567779900501</v>
      </c>
      <c r="AL130" s="2">
        <v>0.48227444314382201</v>
      </c>
      <c r="AM130" s="2">
        <v>6.2965288124710002</v>
      </c>
      <c r="AN130" s="2">
        <v>0.76727129811749095</v>
      </c>
      <c r="AO130" s="2">
        <v>0.25196243907516602</v>
      </c>
      <c r="AP130" s="2">
        <v>9.3095798257339601E-2</v>
      </c>
      <c r="AQ130" s="2">
        <v>1169654.2351822101</v>
      </c>
      <c r="AR130" s="2">
        <v>771264.608673073</v>
      </c>
      <c r="AS130" s="2">
        <v>0.52861832749756099</v>
      </c>
      <c r="AT130" s="2">
        <v>8.559877937157E-6</v>
      </c>
      <c r="AU130" s="2">
        <v>171.856430208842</v>
      </c>
      <c r="AV130" s="2">
        <v>13591.7907938686</v>
      </c>
      <c r="AW130" s="2">
        <v>3.56471661938471</v>
      </c>
      <c r="AX130" s="2">
        <v>0.13811591325360101</v>
      </c>
    </row>
    <row r="131" spans="1:50" x14ac:dyDescent="0.25">
      <c r="A131" s="2" t="s">
        <v>459</v>
      </c>
      <c r="B131" s="2">
        <v>565.41232236080998</v>
      </c>
      <c r="C131" s="2">
        <v>11.00775</v>
      </c>
      <c r="D131" s="2" t="s">
        <v>51</v>
      </c>
      <c r="E131" s="2" t="s">
        <v>460</v>
      </c>
      <c r="F131" s="2">
        <v>21222</v>
      </c>
      <c r="G131" s="3" t="str">
        <f>HYPERLINK("https://cloud.oebiotech.com/#/lm/network/21222", "https://cloud.oebiotech.com/#/lm/network/21222")</f>
        <v>https://cloud.oebiotech.com/#/lm/network/21222</v>
      </c>
      <c r="H131" s="2" t="s">
        <v>461</v>
      </c>
      <c r="I131" s="2">
        <v>62285</v>
      </c>
      <c r="J131" s="2" t="s">
        <v>462</v>
      </c>
      <c r="K131" s="2">
        <v>53480946</v>
      </c>
      <c r="L131" s="2"/>
      <c r="M131" s="2"/>
      <c r="N131" s="2"/>
      <c r="O131" s="2"/>
      <c r="P131" s="2"/>
      <c r="Q131" s="2"/>
      <c r="R131" s="2"/>
      <c r="S131" s="2" t="s">
        <v>463</v>
      </c>
      <c r="T131" s="2" t="s">
        <v>464</v>
      </c>
      <c r="U131" s="2" t="s">
        <v>56</v>
      </c>
      <c r="V131" s="2" t="s">
        <v>57</v>
      </c>
      <c r="W131" s="2" t="s">
        <v>155</v>
      </c>
      <c r="X131" s="2" t="s">
        <v>147</v>
      </c>
      <c r="Y131" s="2">
        <v>36.4</v>
      </c>
      <c r="Z131" s="2">
        <v>4.9200000000000001E-2</v>
      </c>
      <c r="AA131" s="2" t="s">
        <v>122</v>
      </c>
      <c r="AB131" s="2" t="s">
        <v>465</v>
      </c>
      <c r="AC131" s="2">
        <v>2.7986113077017198</v>
      </c>
      <c r="AD131" s="2"/>
      <c r="AE131" s="2">
        <v>2.3523690484531499</v>
      </c>
      <c r="AF131" s="2">
        <v>323156.93604241201</v>
      </c>
      <c r="AG131" s="2">
        <v>431883.03021216003</v>
      </c>
      <c r="AH131" s="4">
        <v>0.74825106206109304</v>
      </c>
      <c r="AI131" s="4">
        <v>-0.41840567341365498</v>
      </c>
      <c r="AJ131" s="4" t="s">
        <v>62</v>
      </c>
      <c r="AK131" s="2">
        <v>8.2223688496258097E-3</v>
      </c>
      <c r="AL131" s="2">
        <v>0.14928502709550001</v>
      </c>
      <c r="AM131" s="2">
        <v>220590.04647093301</v>
      </c>
      <c r="AN131" s="2">
        <v>279139.96426102798</v>
      </c>
      <c r="AO131" s="2">
        <v>295698.95239280199</v>
      </c>
      <c r="AP131" s="2">
        <v>357782.85626170802</v>
      </c>
      <c r="AQ131" s="2">
        <v>420864.048598603</v>
      </c>
      <c r="AR131" s="2">
        <v>364865.74826939998</v>
      </c>
      <c r="AS131" s="2">
        <v>484179.71580209502</v>
      </c>
      <c r="AT131" s="2">
        <v>462459.42518316599</v>
      </c>
      <c r="AU131" s="2">
        <v>396350.57444466802</v>
      </c>
      <c r="AV131" s="2">
        <v>386366.05600197101</v>
      </c>
      <c r="AW131" s="2">
        <v>421864.13758034498</v>
      </c>
      <c r="AX131" s="2">
        <v>440078.27226071799</v>
      </c>
    </row>
    <row r="132" spans="1:50" x14ac:dyDescent="0.25">
      <c r="A132" s="2" t="s">
        <v>466</v>
      </c>
      <c r="B132" s="2">
        <v>688.41908727411601</v>
      </c>
      <c r="C132" s="2">
        <v>11.8395166666667</v>
      </c>
      <c r="D132" s="2" t="s">
        <v>51</v>
      </c>
      <c r="E132" s="2" t="s">
        <v>467</v>
      </c>
      <c r="F132" s="2">
        <v>27826</v>
      </c>
      <c r="G132" s="3" t="str">
        <f>HYPERLINK("https://cloud.oebiotech.com/#/lm/network/27826", "https://cloud.oebiotech.com/#/lm/network/27826")</f>
        <v>https://cloud.oebiotech.com/#/lm/network/27826</v>
      </c>
      <c r="H132" s="2"/>
      <c r="I132" s="2">
        <v>63020</v>
      </c>
      <c r="J132" s="2" t="s">
        <v>468</v>
      </c>
      <c r="K132" s="2">
        <v>46907870</v>
      </c>
      <c r="L132" s="2"/>
      <c r="M132" s="2"/>
      <c r="N132" s="2"/>
      <c r="O132" s="2">
        <v>61817</v>
      </c>
      <c r="P132" s="2"/>
      <c r="Q132" s="2"/>
      <c r="R132" s="2" t="s">
        <v>469</v>
      </c>
      <c r="S132" s="2" t="s">
        <v>470</v>
      </c>
      <c r="T132" s="2" t="s">
        <v>471</v>
      </c>
      <c r="U132" s="2" t="s">
        <v>56</v>
      </c>
      <c r="V132" s="2" t="s">
        <v>57</v>
      </c>
      <c r="W132" s="2" t="s">
        <v>58</v>
      </c>
      <c r="X132" s="2" t="s">
        <v>69</v>
      </c>
      <c r="Y132" s="2">
        <v>61.6</v>
      </c>
      <c r="Z132" s="2">
        <v>98.1</v>
      </c>
      <c r="AA132" s="2" t="s">
        <v>95</v>
      </c>
      <c r="AB132" s="2" t="s">
        <v>472</v>
      </c>
      <c r="AC132" s="2">
        <v>4.6326828299582496</v>
      </c>
      <c r="AD132" s="2"/>
      <c r="AE132" s="2">
        <v>2.3357580712157699</v>
      </c>
      <c r="AF132" s="2">
        <v>209744.28336884201</v>
      </c>
      <c r="AG132" s="2">
        <v>68856.215495328594</v>
      </c>
      <c r="AH132" s="5">
        <v>3.04611982898003</v>
      </c>
      <c r="AI132" s="5">
        <v>1.6069726960191799</v>
      </c>
      <c r="AJ132" s="5" t="s">
        <v>139</v>
      </c>
      <c r="AK132" s="2">
        <v>9.9446151643370392E-3</v>
      </c>
      <c r="AL132" s="2">
        <v>0.16151302423615199</v>
      </c>
      <c r="AM132" s="2">
        <v>181219.15487254999</v>
      </c>
      <c r="AN132" s="2">
        <v>335798.08290381602</v>
      </c>
      <c r="AO132" s="2">
        <v>147553.45439043801</v>
      </c>
      <c r="AP132" s="2">
        <v>266085.17973219597</v>
      </c>
      <c r="AQ132" s="2">
        <v>70147.0972653551</v>
      </c>
      <c r="AR132" s="2">
        <v>257662.73104869699</v>
      </c>
      <c r="AS132" s="2">
        <v>126415.716732316</v>
      </c>
      <c r="AT132" s="2">
        <v>108052.126579976</v>
      </c>
      <c r="AU132" s="2">
        <v>24918.412583419198</v>
      </c>
      <c r="AV132" s="2">
        <v>31003.485004747301</v>
      </c>
      <c r="AW132" s="2">
        <v>9846.5971000248592</v>
      </c>
      <c r="AX132" s="2">
        <v>112900.954971488</v>
      </c>
    </row>
    <row r="133" spans="1:50" x14ac:dyDescent="0.25">
      <c r="A133" s="2" t="s">
        <v>2115</v>
      </c>
      <c r="B133" s="2">
        <v>482.36182308374902</v>
      </c>
      <c r="C133" s="2">
        <v>11.349600000000001</v>
      </c>
      <c r="D133" s="2" t="s">
        <v>51</v>
      </c>
      <c r="E133" s="2" t="s">
        <v>2116</v>
      </c>
      <c r="F133" s="2">
        <v>19898</v>
      </c>
      <c r="G133" s="3" t="str">
        <f>HYPERLINK("https://cloud.oebiotech.com/#/lm/network/19898", "https://cloud.oebiotech.com/#/lm/network/19898")</f>
        <v>https://cloud.oebiotech.com/#/lm/network/19898</v>
      </c>
      <c r="H133" s="2"/>
      <c r="I133" s="2">
        <v>40384</v>
      </c>
      <c r="J133" s="2" t="s">
        <v>2117</v>
      </c>
      <c r="K133" s="2">
        <v>162126</v>
      </c>
      <c r="L133" s="2"/>
      <c r="M133" s="2"/>
      <c r="N133" s="2"/>
      <c r="O133" s="2">
        <v>64496</v>
      </c>
      <c r="P133" s="2"/>
      <c r="Q133" s="2"/>
      <c r="R133" s="2"/>
      <c r="S133" s="2" t="s">
        <v>2118</v>
      </c>
      <c r="T133" s="2" t="s">
        <v>2119</v>
      </c>
      <c r="U133" s="2" t="s">
        <v>56</v>
      </c>
      <c r="V133" s="2" t="s">
        <v>57</v>
      </c>
      <c r="W133" s="2" t="s">
        <v>58</v>
      </c>
      <c r="X133" s="2" t="s">
        <v>69</v>
      </c>
      <c r="Y133" s="2">
        <v>57.7</v>
      </c>
      <c r="Z133" s="2">
        <v>79.8</v>
      </c>
      <c r="AA133" s="2" t="s">
        <v>2120</v>
      </c>
      <c r="AB133" s="2" t="s">
        <v>2121</v>
      </c>
      <c r="AC133" s="2">
        <v>2.7456592796267598</v>
      </c>
      <c r="AD133" s="2"/>
      <c r="AE133" s="2">
        <v>2.3134719033029598</v>
      </c>
      <c r="AF133" s="2">
        <v>7094302.61385315</v>
      </c>
      <c r="AG133" s="2">
        <v>8466304.2972675692</v>
      </c>
      <c r="AH133" s="4">
        <v>0.83794562122492799</v>
      </c>
      <c r="AI133" s="4">
        <v>-0.255071472125809</v>
      </c>
      <c r="AJ133" s="4" t="s">
        <v>62</v>
      </c>
      <c r="AK133" s="2">
        <v>0.48239422578302699</v>
      </c>
      <c r="AL133" s="2">
        <v>0.72659746364627098</v>
      </c>
      <c r="AM133" s="2">
        <v>12184468.4992148</v>
      </c>
      <c r="AN133" s="2">
        <v>8264090.0551841604</v>
      </c>
      <c r="AO133" s="2">
        <v>5449255.9841724401</v>
      </c>
      <c r="AP133" s="2">
        <v>5471033.3703030599</v>
      </c>
      <c r="AQ133" s="2">
        <v>5151031.4479557304</v>
      </c>
      <c r="AR133" s="2">
        <v>6045936.3262887103</v>
      </c>
      <c r="AS133" s="2">
        <v>5651437.33244057</v>
      </c>
      <c r="AT133" s="2">
        <v>3989508.2745388201</v>
      </c>
      <c r="AU133" s="2">
        <v>14631436.467496101</v>
      </c>
      <c r="AV133" s="2">
        <v>8036074.2015158897</v>
      </c>
      <c r="AW133" s="2">
        <v>10029150.5367836</v>
      </c>
      <c r="AX133" s="2">
        <v>8460218.9708304405</v>
      </c>
    </row>
    <row r="134" spans="1:50" x14ac:dyDescent="0.25">
      <c r="A134" s="2" t="s">
        <v>473</v>
      </c>
      <c r="B134" s="2">
        <v>459.25215606728898</v>
      </c>
      <c r="C134" s="2">
        <v>10.3496666666667</v>
      </c>
      <c r="D134" s="2" t="s">
        <v>51</v>
      </c>
      <c r="E134" s="2" t="s">
        <v>474</v>
      </c>
      <c r="F134" s="2">
        <v>1044</v>
      </c>
      <c r="G134" s="3" t="str">
        <f>HYPERLINK("https://cloud.oebiotech.com/#/lm/network/1044", "https://cloud.oebiotech.com/#/lm/network/1044")</f>
        <v>https://cloud.oebiotech.com/#/lm/network/1044</v>
      </c>
      <c r="H134" s="2"/>
      <c r="I134" s="2"/>
      <c r="J134" s="2" t="s">
        <v>475</v>
      </c>
      <c r="K134" s="2">
        <v>5312687</v>
      </c>
      <c r="L134" s="2"/>
      <c r="M134" s="2"/>
      <c r="N134" s="2"/>
      <c r="O134" s="2"/>
      <c r="P134" s="2"/>
      <c r="Q134" s="2"/>
      <c r="R134" s="2"/>
      <c r="S134" s="2" t="s">
        <v>476</v>
      </c>
      <c r="T134" s="2" t="s">
        <v>477</v>
      </c>
      <c r="U134" s="2" t="s">
        <v>56</v>
      </c>
      <c r="V134" s="2" t="s">
        <v>145</v>
      </c>
      <c r="W134" s="2" t="s">
        <v>231</v>
      </c>
      <c r="X134" s="2" t="s">
        <v>147</v>
      </c>
      <c r="Y134" s="2">
        <v>39.4</v>
      </c>
      <c r="Z134" s="2">
        <v>4.49</v>
      </c>
      <c r="AA134" s="2" t="s">
        <v>478</v>
      </c>
      <c r="AB134" s="2" t="s">
        <v>479</v>
      </c>
      <c r="AC134" s="2">
        <v>-4.1870416251119398</v>
      </c>
      <c r="AD134" s="2"/>
      <c r="AE134" s="2">
        <v>2.2985959627460399</v>
      </c>
      <c r="AF134" s="2">
        <v>14993.870074831701</v>
      </c>
      <c r="AG134" s="2">
        <v>181237.44152701399</v>
      </c>
      <c r="AH134" s="4">
        <v>8.2730532656503306E-2</v>
      </c>
      <c r="AI134" s="4">
        <v>-3.5954363188706902</v>
      </c>
      <c r="AJ134" s="4" t="s">
        <v>62</v>
      </c>
      <c r="AK134" s="2">
        <v>3.7569143183263598E-2</v>
      </c>
      <c r="AL134" s="2">
        <v>0.28341550581834302</v>
      </c>
      <c r="AM134" s="2">
        <v>61471.8769185891</v>
      </c>
      <c r="AN134" s="2">
        <v>4839.3174569638004</v>
      </c>
      <c r="AO134" s="2">
        <v>4976.3462865641404</v>
      </c>
      <c r="AP134" s="2">
        <v>5367.6393031989201</v>
      </c>
      <c r="AQ134" s="2">
        <v>11051.063433989601</v>
      </c>
      <c r="AR134" s="2">
        <v>2256.9770496849201</v>
      </c>
      <c r="AS134" s="2">
        <v>2030.14314710075</v>
      </c>
      <c r="AT134" s="2">
        <v>5315.4190179290499</v>
      </c>
      <c r="AU134" s="2">
        <v>398982.65107570903</v>
      </c>
      <c r="AV134" s="2">
        <v>355878.89275266801</v>
      </c>
      <c r="AW134" s="2">
        <v>170166.516401147</v>
      </c>
      <c r="AX134" s="2">
        <v>155051.026767531</v>
      </c>
    </row>
    <row r="135" spans="1:50" x14ac:dyDescent="0.25">
      <c r="A135" s="2" t="s">
        <v>480</v>
      </c>
      <c r="B135" s="2">
        <v>874.54339366443901</v>
      </c>
      <c r="C135" s="2">
        <v>12.071633333333301</v>
      </c>
      <c r="D135" s="2" t="s">
        <v>51</v>
      </c>
      <c r="E135" s="2" t="s">
        <v>481</v>
      </c>
      <c r="F135" s="2">
        <v>235236</v>
      </c>
      <c r="G135" s="3" t="str">
        <f>HYPERLINK("https://cloud.oebiotech.com/#/lm/network/235236", "https://cloud.oebiotech.com/#/lm/network/235236")</f>
        <v>https://cloud.oebiotech.com/#/lm/network/235236</v>
      </c>
      <c r="H135" s="2" t="s">
        <v>482</v>
      </c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 t="s">
        <v>483</v>
      </c>
      <c r="T135" s="2" t="s">
        <v>484</v>
      </c>
      <c r="U135" s="2" t="s">
        <v>56</v>
      </c>
      <c r="V135" s="2" t="s">
        <v>57</v>
      </c>
      <c r="W135" s="2" t="s">
        <v>82</v>
      </c>
      <c r="X135" s="2" t="s">
        <v>59</v>
      </c>
      <c r="Y135" s="2">
        <v>50.8</v>
      </c>
      <c r="Z135" s="2">
        <v>97</v>
      </c>
      <c r="AA135" s="2" t="s">
        <v>218</v>
      </c>
      <c r="AB135" s="2" t="s">
        <v>485</v>
      </c>
      <c r="AC135" s="2">
        <v>-2.0592218754138401</v>
      </c>
      <c r="AD135" s="2"/>
      <c r="AE135" s="2">
        <v>2.2909639843946099</v>
      </c>
      <c r="AF135" s="2">
        <v>182201.35084973901</v>
      </c>
      <c r="AG135" s="2">
        <v>57749.635441865801</v>
      </c>
      <c r="AH135" s="5">
        <v>3.1550216630052001</v>
      </c>
      <c r="AI135" s="5">
        <v>1.6576499110724401</v>
      </c>
      <c r="AJ135" s="5" t="s">
        <v>139</v>
      </c>
      <c r="AK135" s="2">
        <v>2.0110520142797099E-3</v>
      </c>
      <c r="AL135" s="2">
        <v>0.100332905956123</v>
      </c>
      <c r="AM135" s="2">
        <v>180477.634590703</v>
      </c>
      <c r="AN135" s="2">
        <v>185636.59914976501</v>
      </c>
      <c r="AO135" s="2">
        <v>191077.211242424</v>
      </c>
      <c r="AP135" s="2">
        <v>284958.41267199902</v>
      </c>
      <c r="AQ135" s="2">
        <v>77021.227043795196</v>
      </c>
      <c r="AR135" s="2">
        <v>174037.02039975001</v>
      </c>
      <c r="AS135" s="2">
        <v>113091.79502718399</v>
      </c>
      <c r="AT135" s="2">
        <v>59635.846811995099</v>
      </c>
      <c r="AU135" s="2">
        <v>70130.891007512502</v>
      </c>
      <c r="AV135" s="2">
        <v>42821.690602797898</v>
      </c>
      <c r="AW135" s="2">
        <v>16502.376627760801</v>
      </c>
      <c r="AX135" s="2">
        <v>44315.212573944496</v>
      </c>
    </row>
    <row r="136" spans="1:50" x14ac:dyDescent="0.25">
      <c r="A136" s="2" t="s">
        <v>2122</v>
      </c>
      <c r="B136" s="2">
        <v>201.037451587985</v>
      </c>
      <c r="C136" s="2">
        <v>0.84924999999999995</v>
      </c>
      <c r="D136" s="2" t="s">
        <v>51</v>
      </c>
      <c r="E136" s="2" t="s">
        <v>2123</v>
      </c>
      <c r="F136" s="2">
        <v>59051</v>
      </c>
      <c r="G136" s="3" t="str">
        <f>HYPERLINK("https://cloud.oebiotech.com/#/lm/network/59051", "https://cloud.oebiotech.com/#/lm/network/59051")</f>
        <v>https://cloud.oebiotech.com/#/lm/network/59051</v>
      </c>
      <c r="H136" s="2" t="s">
        <v>2124</v>
      </c>
      <c r="I136" s="2">
        <v>90485</v>
      </c>
      <c r="J136" s="2"/>
      <c r="K136" s="2">
        <v>11435957</v>
      </c>
      <c r="L136" s="2"/>
      <c r="M136" s="2"/>
      <c r="N136" s="2"/>
      <c r="O136" s="2">
        <v>174112</v>
      </c>
      <c r="P136" s="2"/>
      <c r="Q136" s="2"/>
      <c r="R136" s="2" t="s">
        <v>2125</v>
      </c>
      <c r="S136" s="2" t="s">
        <v>2126</v>
      </c>
      <c r="T136" s="2" t="s">
        <v>2127</v>
      </c>
      <c r="U136" s="2" t="s">
        <v>266</v>
      </c>
      <c r="V136" s="2" t="s">
        <v>2128</v>
      </c>
      <c r="W136" s="2" t="s">
        <v>240</v>
      </c>
      <c r="X136" s="2" t="s">
        <v>147</v>
      </c>
      <c r="Y136" s="2">
        <v>37.200000000000003</v>
      </c>
      <c r="Z136" s="2">
        <v>0.36799999999999999</v>
      </c>
      <c r="AA136" s="2" t="s">
        <v>379</v>
      </c>
      <c r="AB136" s="2" t="s">
        <v>2129</v>
      </c>
      <c r="AC136" s="2">
        <v>-2.3081235445629402</v>
      </c>
      <c r="AD136" s="2"/>
      <c r="AE136" s="2">
        <v>2.2726927845751601</v>
      </c>
      <c r="AF136" s="2">
        <v>774628.921367259</v>
      </c>
      <c r="AG136" s="2">
        <v>612129.89768468204</v>
      </c>
      <c r="AH136" s="5">
        <v>1.26546493529758</v>
      </c>
      <c r="AI136" s="5">
        <v>0.339667532440178</v>
      </c>
      <c r="AJ136" s="5" t="s">
        <v>139</v>
      </c>
      <c r="AK136" s="2">
        <v>0.33279465916970002</v>
      </c>
      <c r="AL136" s="2">
        <v>0.63449001011255801</v>
      </c>
      <c r="AM136" s="2">
        <v>1315072.69357266</v>
      </c>
      <c r="AN136" s="2">
        <v>693390.51464304596</v>
      </c>
      <c r="AO136" s="2">
        <v>635281.69711929501</v>
      </c>
      <c r="AP136" s="2">
        <v>1019561.76917176</v>
      </c>
      <c r="AQ136" s="2">
        <v>573677.58715260995</v>
      </c>
      <c r="AR136" s="2">
        <v>410789.26654417999</v>
      </c>
      <c r="AS136" s="2">
        <v>476276.90165203798</v>
      </c>
      <c r="AT136" s="2">
        <v>797704.63756341697</v>
      </c>
      <c r="AU136" s="2">
        <v>810679.60982512799</v>
      </c>
      <c r="AV136" s="2">
        <v>487846.81937673799</v>
      </c>
      <c r="AW136" s="2">
        <v>772072.01895030902</v>
      </c>
      <c r="AX136" s="2">
        <v>328199.39874045999</v>
      </c>
    </row>
    <row r="137" spans="1:50" x14ac:dyDescent="0.25">
      <c r="A137" s="2" t="s">
        <v>2130</v>
      </c>
      <c r="B137" s="2">
        <v>480.30941635574197</v>
      </c>
      <c r="C137" s="2">
        <v>10.7736</v>
      </c>
      <c r="D137" s="2" t="s">
        <v>51</v>
      </c>
      <c r="E137" s="2" t="s">
        <v>2131</v>
      </c>
      <c r="F137" s="2">
        <v>21166</v>
      </c>
      <c r="G137" s="3" t="str">
        <f>HYPERLINK("https://cloud.oebiotech.com/#/lm/network/21166", "https://cloud.oebiotech.com/#/lm/network/21166")</f>
        <v>https://cloud.oebiotech.com/#/lm/network/21166</v>
      </c>
      <c r="H137" s="2" t="s">
        <v>2132</v>
      </c>
      <c r="I137" s="2">
        <v>40778</v>
      </c>
      <c r="J137" s="2" t="s">
        <v>2133</v>
      </c>
      <c r="K137" s="2">
        <v>9547071</v>
      </c>
      <c r="L137" s="2"/>
      <c r="M137" s="2"/>
      <c r="N137" s="2"/>
      <c r="O137" s="2">
        <v>74971</v>
      </c>
      <c r="P137" s="2"/>
      <c r="Q137" s="2"/>
      <c r="R137" s="2" t="s">
        <v>2134</v>
      </c>
      <c r="S137" s="2" t="s">
        <v>2135</v>
      </c>
      <c r="T137" s="2" t="s">
        <v>2136</v>
      </c>
      <c r="U137" s="2" t="s">
        <v>56</v>
      </c>
      <c r="V137" s="2" t="s">
        <v>57</v>
      </c>
      <c r="W137" s="2" t="s">
        <v>155</v>
      </c>
      <c r="X137" s="2" t="s">
        <v>69</v>
      </c>
      <c r="Y137" s="2">
        <v>63.7</v>
      </c>
      <c r="Z137" s="2">
        <v>98</v>
      </c>
      <c r="AA137" s="2" t="s">
        <v>259</v>
      </c>
      <c r="AB137" s="2" t="s">
        <v>1981</v>
      </c>
      <c r="AC137" s="2">
        <v>1.9830470337756101</v>
      </c>
      <c r="AD137" s="2"/>
      <c r="AE137" s="2">
        <v>2.2707493732333499</v>
      </c>
      <c r="AF137" s="2">
        <v>348603.18394963001</v>
      </c>
      <c r="AG137" s="2">
        <v>522773.430635339</v>
      </c>
      <c r="AH137" s="4">
        <v>0.66683416470872303</v>
      </c>
      <c r="AI137" s="4">
        <v>-0.58460007335670605</v>
      </c>
      <c r="AJ137" s="4" t="s">
        <v>62</v>
      </c>
      <c r="AK137" s="2">
        <v>5.18242145826786E-2</v>
      </c>
      <c r="AL137" s="2">
        <v>0.31524627251779003</v>
      </c>
      <c r="AM137" s="2">
        <v>363319.34451702703</v>
      </c>
      <c r="AN137" s="2">
        <v>319855.31129381002</v>
      </c>
      <c r="AO137" s="2">
        <v>476342.43627474701</v>
      </c>
      <c r="AP137" s="2">
        <v>359619.84145798697</v>
      </c>
      <c r="AQ137" s="2">
        <v>355639.56786217802</v>
      </c>
      <c r="AR137" s="2">
        <v>216842.60229203</v>
      </c>
      <c r="AS137" s="2">
        <v>317373.361008243</v>
      </c>
      <c r="AT137" s="2">
        <v>396972.54956858698</v>
      </c>
      <c r="AU137" s="2">
        <v>704551.97167366405</v>
      </c>
      <c r="AV137" s="2">
        <v>625719.73628053302</v>
      </c>
      <c r="AW137" s="2">
        <v>702872.88530174096</v>
      </c>
      <c r="AX137" s="2">
        <v>389150.07997926697</v>
      </c>
    </row>
    <row r="138" spans="1:50" x14ac:dyDescent="0.25">
      <c r="A138" s="2" t="s">
        <v>2137</v>
      </c>
      <c r="B138" s="2">
        <v>347.08846626790699</v>
      </c>
      <c r="C138" s="2">
        <v>5.0586333333333302</v>
      </c>
      <c r="D138" s="2" t="s">
        <v>51</v>
      </c>
      <c r="E138" s="2" t="s">
        <v>2138</v>
      </c>
      <c r="F138" s="2">
        <v>201546</v>
      </c>
      <c r="G138" s="3" t="str">
        <f>HYPERLINK("https://cloud.oebiotech.com/#/lm/network/201546", "https://cloud.oebiotech.com/#/lm/network/201546")</f>
        <v>https://cloud.oebiotech.com/#/lm/network/201546</v>
      </c>
      <c r="H138" s="2" t="s">
        <v>2139</v>
      </c>
      <c r="I138" s="2">
        <v>1538</v>
      </c>
      <c r="J138" s="2"/>
      <c r="K138" s="2">
        <v>13599653</v>
      </c>
      <c r="L138" s="2"/>
      <c r="M138" s="2"/>
      <c r="N138" s="2"/>
      <c r="O138" s="2"/>
      <c r="P138" s="2"/>
      <c r="Q138" s="2"/>
      <c r="R138" s="2" t="s">
        <v>2140</v>
      </c>
      <c r="S138" s="2" t="s">
        <v>2141</v>
      </c>
      <c r="T138" s="2" t="s">
        <v>2142</v>
      </c>
      <c r="U138" s="2" t="s">
        <v>266</v>
      </c>
      <c r="V138" s="2" t="s">
        <v>2143</v>
      </c>
      <c r="W138" s="2" t="s">
        <v>2144</v>
      </c>
      <c r="X138" s="2" t="s">
        <v>69</v>
      </c>
      <c r="Y138" s="2">
        <v>59.6</v>
      </c>
      <c r="Z138" s="2">
        <v>94.8</v>
      </c>
      <c r="AA138" s="2" t="s">
        <v>60</v>
      </c>
      <c r="AB138" s="2" t="s">
        <v>2145</v>
      </c>
      <c r="AC138" s="2">
        <v>3.1467871303023101</v>
      </c>
      <c r="AD138" s="2"/>
      <c r="AE138" s="2">
        <v>2.2603280076855898</v>
      </c>
      <c r="AF138" s="2">
        <v>490210.92358566902</v>
      </c>
      <c r="AG138" s="2">
        <v>149766.94707948301</v>
      </c>
      <c r="AH138" s="5">
        <v>3.2731582845546701</v>
      </c>
      <c r="AI138" s="5">
        <v>1.71068337043049</v>
      </c>
      <c r="AJ138" s="5" t="s">
        <v>139</v>
      </c>
      <c r="AK138" s="2">
        <v>0.50772574271489102</v>
      </c>
      <c r="AL138" s="2">
        <v>0.74263802278844804</v>
      </c>
      <c r="AM138" s="2">
        <v>641.50440548732797</v>
      </c>
      <c r="AN138" s="2">
        <v>2853067.2180637401</v>
      </c>
      <c r="AO138" s="2">
        <v>740.41459064344394</v>
      </c>
      <c r="AP138" s="2">
        <v>802.217578227795</v>
      </c>
      <c r="AQ138" s="2">
        <v>7552.2638916005299</v>
      </c>
      <c r="AR138" s="2">
        <v>78461.922984316305</v>
      </c>
      <c r="AS138" s="2">
        <v>659.12000207234905</v>
      </c>
      <c r="AT138" s="2">
        <v>411.88976536057999</v>
      </c>
      <c r="AU138" s="2">
        <v>3041.8190661875001</v>
      </c>
      <c r="AV138" s="2">
        <v>401.04598257985703</v>
      </c>
      <c r="AW138" s="2">
        <v>893434.74665413005</v>
      </c>
      <c r="AX138" s="2">
        <v>653.06100656634601</v>
      </c>
    </row>
    <row r="139" spans="1:50" x14ac:dyDescent="0.25">
      <c r="A139" s="2" t="s">
        <v>486</v>
      </c>
      <c r="B139" s="2">
        <v>391.21293816515799</v>
      </c>
      <c r="C139" s="2">
        <v>6.9602500000000003</v>
      </c>
      <c r="D139" s="2" t="s">
        <v>51</v>
      </c>
      <c r="E139" s="2" t="s">
        <v>487</v>
      </c>
      <c r="F139" s="2">
        <v>52059</v>
      </c>
      <c r="G139" s="3" t="str">
        <f>HYPERLINK("https://cloud.oebiotech.com/#/lm/network/52059", "https://cloud.oebiotech.com/#/lm/network/52059")</f>
        <v>https://cloud.oebiotech.com/#/lm/network/52059</v>
      </c>
      <c r="H139" s="2" t="s">
        <v>488</v>
      </c>
      <c r="I139" s="2"/>
      <c r="J139" s="2"/>
      <c r="K139" s="2">
        <v>53481497</v>
      </c>
      <c r="L139" s="2"/>
      <c r="M139" s="2"/>
      <c r="N139" s="2"/>
      <c r="O139" s="2"/>
      <c r="P139" s="2"/>
      <c r="Q139" s="2"/>
      <c r="R139" s="2" t="s">
        <v>489</v>
      </c>
      <c r="S139" s="2" t="s">
        <v>490</v>
      </c>
      <c r="T139" s="2" t="s">
        <v>491</v>
      </c>
      <c r="U139" s="2" t="s">
        <v>56</v>
      </c>
      <c r="V139" s="2" t="s">
        <v>283</v>
      </c>
      <c r="W139" s="2" t="s">
        <v>492</v>
      </c>
      <c r="X139" s="2" t="s">
        <v>83</v>
      </c>
      <c r="Y139" s="2">
        <v>49</v>
      </c>
      <c r="Z139" s="2">
        <v>41.7</v>
      </c>
      <c r="AA139" s="2" t="s">
        <v>218</v>
      </c>
      <c r="AB139" s="2" t="s">
        <v>493</v>
      </c>
      <c r="AC139" s="2">
        <v>0.941193691502343</v>
      </c>
      <c r="AD139" s="2"/>
      <c r="AE139" s="2">
        <v>2.2574019506649599</v>
      </c>
      <c r="AF139" s="2">
        <v>295861.46338855801</v>
      </c>
      <c r="AG139" s="2">
        <v>175286.066352305</v>
      </c>
      <c r="AH139" s="5">
        <v>1.68787781907269</v>
      </c>
      <c r="AI139" s="5">
        <v>0.75521047501807204</v>
      </c>
      <c r="AJ139" s="5" t="s">
        <v>139</v>
      </c>
      <c r="AK139" s="2">
        <v>4.8745485762188297E-2</v>
      </c>
      <c r="AL139" s="2">
        <v>0.30691247078395001</v>
      </c>
      <c r="AM139" s="2">
        <v>531097.259649585</v>
      </c>
      <c r="AN139" s="2">
        <v>223846.92290670599</v>
      </c>
      <c r="AO139" s="2">
        <v>276272.35776800802</v>
      </c>
      <c r="AP139" s="2">
        <v>304263.780302495</v>
      </c>
      <c r="AQ139" s="2">
        <v>184117.34921005199</v>
      </c>
      <c r="AR139" s="2">
        <v>255571.11049450401</v>
      </c>
      <c r="AS139" s="2">
        <v>246800.70499546599</v>
      </c>
      <c r="AT139" s="2">
        <v>151272.05365439199</v>
      </c>
      <c r="AU139" s="2">
        <v>194665.656532783</v>
      </c>
      <c r="AV139" s="2">
        <v>101525.082672334</v>
      </c>
      <c r="AW139" s="2">
        <v>172998.87865639801</v>
      </c>
      <c r="AX139" s="2">
        <v>184454.021602455</v>
      </c>
    </row>
    <row r="140" spans="1:50" x14ac:dyDescent="0.25">
      <c r="A140" s="2" t="s">
        <v>494</v>
      </c>
      <c r="B140" s="2">
        <v>437.143092005315</v>
      </c>
      <c r="C140" s="2">
        <v>4.9007166666666704</v>
      </c>
      <c r="D140" s="2" t="s">
        <v>51</v>
      </c>
      <c r="E140" s="2" t="s">
        <v>495</v>
      </c>
      <c r="F140" s="2">
        <v>58687</v>
      </c>
      <c r="G140" s="3" t="str">
        <f>HYPERLINK("https://cloud.oebiotech.com/#/lm/network/58687", "https://cloud.oebiotech.com/#/lm/network/58687")</f>
        <v>https://cloud.oebiotech.com/#/lm/network/58687</v>
      </c>
      <c r="H140" s="2" t="s">
        <v>496</v>
      </c>
      <c r="I140" s="2">
        <v>90146</v>
      </c>
      <c r="J140" s="2"/>
      <c r="K140" s="2">
        <v>14524534</v>
      </c>
      <c r="L140" s="2"/>
      <c r="M140" s="2"/>
      <c r="N140" s="2"/>
      <c r="O140" s="2">
        <v>168903</v>
      </c>
      <c r="P140" s="2"/>
      <c r="Q140" s="2"/>
      <c r="R140" s="2" t="s">
        <v>497</v>
      </c>
      <c r="S140" s="2" t="s">
        <v>498</v>
      </c>
      <c r="T140" s="2" t="s">
        <v>499</v>
      </c>
      <c r="U140" s="2" t="s">
        <v>331</v>
      </c>
      <c r="V140" s="2" t="s">
        <v>332</v>
      </c>
      <c r="W140" s="2" t="s">
        <v>333</v>
      </c>
      <c r="X140" s="2" t="s">
        <v>69</v>
      </c>
      <c r="Y140" s="2">
        <v>63.7</v>
      </c>
      <c r="Z140" s="2">
        <v>99</v>
      </c>
      <c r="AA140" s="2" t="s">
        <v>241</v>
      </c>
      <c r="AB140" s="2" t="s">
        <v>500</v>
      </c>
      <c r="AC140" s="2">
        <v>-5.0863377730785704</v>
      </c>
      <c r="AD140" s="2"/>
      <c r="AE140" s="2">
        <v>2.25532751292319</v>
      </c>
      <c r="AF140" s="2">
        <v>74333.407619093094</v>
      </c>
      <c r="AG140" s="2">
        <v>217154.11274216999</v>
      </c>
      <c r="AH140" s="4">
        <v>0.34230716001842498</v>
      </c>
      <c r="AI140" s="4">
        <v>-1.54663662545799</v>
      </c>
      <c r="AJ140" s="4" t="s">
        <v>62</v>
      </c>
      <c r="AK140" s="2">
        <v>2.7939924074158701E-2</v>
      </c>
      <c r="AL140" s="2">
        <v>0.25598661917944499</v>
      </c>
      <c r="AM140" s="2">
        <v>72839.043394848093</v>
      </c>
      <c r="AN140" s="2">
        <v>43024.4367685123</v>
      </c>
      <c r="AO140" s="2">
        <v>85965.820636724005</v>
      </c>
      <c r="AP140" s="2">
        <v>2429.8311430127301</v>
      </c>
      <c r="AQ140" s="2">
        <v>38527.572766560297</v>
      </c>
      <c r="AR140" s="2">
        <v>203213.74100490101</v>
      </c>
      <c r="AS140" s="2">
        <v>83943.133134197502</v>
      </c>
      <c r="AT140" s="2">
        <v>201599.49952931699</v>
      </c>
      <c r="AU140" s="2">
        <v>225627.080728906</v>
      </c>
      <c r="AV140" s="2">
        <v>332145.782573184</v>
      </c>
      <c r="AW140" s="2">
        <v>365709.55116840202</v>
      </c>
      <c r="AX140" s="2">
        <v>93899.629319014304</v>
      </c>
    </row>
    <row r="141" spans="1:50" x14ac:dyDescent="0.25">
      <c r="A141" s="2" t="s">
        <v>2146</v>
      </c>
      <c r="B141" s="2">
        <v>304.28561130013202</v>
      </c>
      <c r="C141" s="2">
        <v>8.6778666666666702</v>
      </c>
      <c r="D141" s="2" t="s">
        <v>51</v>
      </c>
      <c r="E141" s="2" t="s">
        <v>2147</v>
      </c>
      <c r="F141" s="2">
        <v>38927</v>
      </c>
      <c r="G141" s="3" t="str">
        <f>HYPERLINK("https://cloud.oebiotech.com/#/lm/network/38927", "https://cloud.oebiotech.com/#/lm/network/38927")</f>
        <v>https://cloud.oebiotech.com/#/lm/network/38927</v>
      </c>
      <c r="H141" s="2"/>
      <c r="I141" s="2"/>
      <c r="J141" s="2" t="s">
        <v>2148</v>
      </c>
      <c r="K141" s="2">
        <v>10924710</v>
      </c>
      <c r="L141" s="2"/>
      <c r="M141" s="2"/>
      <c r="N141" s="2"/>
      <c r="O141" s="2"/>
      <c r="P141" s="2"/>
      <c r="Q141" s="2"/>
      <c r="R141" s="2"/>
      <c r="S141" s="2" t="s">
        <v>2149</v>
      </c>
      <c r="T141" s="2" t="s">
        <v>2150</v>
      </c>
      <c r="U141" s="2" t="s">
        <v>119</v>
      </c>
      <c r="V141" s="2" t="s">
        <v>120</v>
      </c>
      <c r="W141" s="2" t="s">
        <v>1887</v>
      </c>
      <c r="X141" s="2" t="s">
        <v>59</v>
      </c>
      <c r="Y141" s="2">
        <v>52.5</v>
      </c>
      <c r="Z141" s="2">
        <v>70.3</v>
      </c>
      <c r="AA141" s="2" t="s">
        <v>259</v>
      </c>
      <c r="AB141" s="2" t="s">
        <v>2151</v>
      </c>
      <c r="AC141" s="2">
        <v>3.2670362011733798</v>
      </c>
      <c r="AD141" s="2"/>
      <c r="AE141" s="2">
        <v>2.24492389670035</v>
      </c>
      <c r="AF141" s="2">
        <v>10962.1818289486</v>
      </c>
      <c r="AG141" s="2">
        <v>165916.430680669</v>
      </c>
      <c r="AH141" s="4">
        <v>6.6070501781990504E-2</v>
      </c>
      <c r="AI141" s="4">
        <v>-3.9198498882615902</v>
      </c>
      <c r="AJ141" s="4" t="s">
        <v>62</v>
      </c>
      <c r="AK141" s="2">
        <v>0.146848537095468</v>
      </c>
      <c r="AL141" s="2">
        <v>0.46813495501649</v>
      </c>
      <c r="AM141" s="2">
        <v>13444.8870477048</v>
      </c>
      <c r="AN141" s="2">
        <v>12321.6770563849</v>
      </c>
      <c r="AO141" s="2">
        <v>8963.3900143144401</v>
      </c>
      <c r="AP141" s="2">
        <v>8726.6580119735208</v>
      </c>
      <c r="AQ141" s="2">
        <v>15331.812981430399</v>
      </c>
      <c r="AR141" s="2">
        <v>6984.6658618838001</v>
      </c>
      <c r="AS141" s="2">
        <v>8932.9895991163594</v>
      </c>
      <c r="AT141" s="2">
        <v>9543.8520280131106</v>
      </c>
      <c r="AU141" s="2">
        <v>7569.4005326226797</v>
      </c>
      <c r="AV141" s="2">
        <v>485309.81840755203</v>
      </c>
      <c r="AW141" s="2">
        <v>469417.647147935</v>
      </c>
      <c r="AX141" s="2">
        <v>14724.876368774099</v>
      </c>
    </row>
    <row r="142" spans="1:50" x14ac:dyDescent="0.25">
      <c r="A142" s="2" t="s">
        <v>2152</v>
      </c>
      <c r="B142" s="2">
        <v>538.38820322736603</v>
      </c>
      <c r="C142" s="2">
        <v>10.112916666666701</v>
      </c>
      <c r="D142" s="2" t="s">
        <v>51</v>
      </c>
      <c r="E142" s="2" t="s">
        <v>2153</v>
      </c>
      <c r="F142" s="2">
        <v>19842</v>
      </c>
      <c r="G142" s="3" t="str">
        <f>HYPERLINK("https://cloud.oebiotech.com/#/lm/network/19842", "https://cloud.oebiotech.com/#/lm/network/19842")</f>
        <v>https://cloud.oebiotech.com/#/lm/network/19842</v>
      </c>
      <c r="H142" s="2"/>
      <c r="I142" s="2">
        <v>40307</v>
      </c>
      <c r="J142" s="2" t="s">
        <v>2154</v>
      </c>
      <c r="K142" s="2">
        <v>24779472</v>
      </c>
      <c r="L142" s="2"/>
      <c r="M142" s="2"/>
      <c r="N142" s="2"/>
      <c r="O142" s="2">
        <v>131989</v>
      </c>
      <c r="P142" s="2"/>
      <c r="Q142" s="2"/>
      <c r="R142" s="2"/>
      <c r="S142" s="2" t="s">
        <v>2155</v>
      </c>
      <c r="T142" s="2" t="s">
        <v>2156</v>
      </c>
      <c r="U142" s="2" t="s">
        <v>56</v>
      </c>
      <c r="V142" s="2" t="s">
        <v>57</v>
      </c>
      <c r="W142" s="2" t="s">
        <v>58</v>
      </c>
      <c r="X142" s="2" t="s">
        <v>59</v>
      </c>
      <c r="Y142" s="2">
        <v>48.5</v>
      </c>
      <c r="Z142" s="2">
        <v>51.2</v>
      </c>
      <c r="AA142" s="2" t="s">
        <v>60</v>
      </c>
      <c r="AB142" s="2" t="s">
        <v>2157</v>
      </c>
      <c r="AC142" s="2">
        <v>2.7671838857984201</v>
      </c>
      <c r="AD142" s="2"/>
      <c r="AE142" s="2">
        <v>2.2291445006947099</v>
      </c>
      <c r="AF142" s="2">
        <v>194736.47860760099</v>
      </c>
      <c r="AG142" s="2">
        <v>345604.46215694997</v>
      </c>
      <c r="AH142" s="4">
        <v>0.56346633198030105</v>
      </c>
      <c r="AI142" s="4">
        <v>-0.827598685263913</v>
      </c>
      <c r="AJ142" s="4" t="s">
        <v>62</v>
      </c>
      <c r="AK142" s="2">
        <v>0.134393210720298</v>
      </c>
      <c r="AL142" s="2">
        <v>0.45509148539334099</v>
      </c>
      <c r="AM142" s="2">
        <v>110016.75611534499</v>
      </c>
      <c r="AN142" s="2">
        <v>305941.69002199703</v>
      </c>
      <c r="AO142" s="2">
        <v>207871.119051485</v>
      </c>
      <c r="AP142" s="2">
        <v>208776.595496561</v>
      </c>
      <c r="AQ142" s="2">
        <v>205938.33212039701</v>
      </c>
      <c r="AR142" s="2">
        <v>129874.37883982201</v>
      </c>
      <c r="AS142" s="2">
        <v>109182.043336423</v>
      </c>
      <c r="AT142" s="2">
        <v>265478.02765773999</v>
      </c>
      <c r="AU142" s="2">
        <v>116545.151176303</v>
      </c>
      <c r="AV142" s="2">
        <v>620751.79569703096</v>
      </c>
      <c r="AW142" s="2">
        <v>425857.01978727302</v>
      </c>
      <c r="AX142" s="2">
        <v>535812.73528692801</v>
      </c>
    </row>
    <row r="143" spans="1:50" x14ac:dyDescent="0.25">
      <c r="A143" s="2" t="s">
        <v>2158</v>
      </c>
      <c r="B143" s="2">
        <v>381.17401811687802</v>
      </c>
      <c r="C143" s="2">
        <v>13.510733333333301</v>
      </c>
      <c r="D143" s="2" t="s">
        <v>51</v>
      </c>
      <c r="E143" s="2" t="s">
        <v>2159</v>
      </c>
      <c r="F143" s="2">
        <v>59637</v>
      </c>
      <c r="G143" s="3" t="str">
        <f>HYPERLINK("https://cloud.oebiotech.com/#/lm/network/59637", "https://cloud.oebiotech.com/#/lm/network/59637")</f>
        <v>https://cloud.oebiotech.com/#/lm/network/59637</v>
      </c>
      <c r="H143" s="2" t="s">
        <v>2160</v>
      </c>
      <c r="I143" s="2"/>
      <c r="J143" s="2"/>
      <c r="K143" s="2">
        <v>131751866</v>
      </c>
      <c r="L143" s="2"/>
      <c r="M143" s="2"/>
      <c r="N143" s="2"/>
      <c r="O143" s="2"/>
      <c r="P143" s="2"/>
      <c r="Q143" s="2"/>
      <c r="R143" s="2" t="s">
        <v>2161</v>
      </c>
      <c r="S143" s="2" t="s">
        <v>2162</v>
      </c>
      <c r="T143" s="2" t="s">
        <v>2163</v>
      </c>
      <c r="U143" s="2" t="s">
        <v>56</v>
      </c>
      <c r="V143" s="2" t="s">
        <v>177</v>
      </c>
      <c r="W143" s="2" t="s">
        <v>1996</v>
      </c>
      <c r="X143" s="2" t="s">
        <v>147</v>
      </c>
      <c r="Y143" s="2">
        <v>44.8</v>
      </c>
      <c r="Z143" s="2">
        <v>31.5</v>
      </c>
      <c r="AA143" s="2" t="s">
        <v>218</v>
      </c>
      <c r="AB143" s="2" t="s">
        <v>2164</v>
      </c>
      <c r="AC143" s="2">
        <v>-0.29897966309929402</v>
      </c>
      <c r="AD143" s="2"/>
      <c r="AE143" s="2">
        <v>2.2264241207268398</v>
      </c>
      <c r="AF143" s="2">
        <v>391157.41102055</v>
      </c>
      <c r="AG143" s="2">
        <v>588707.09918327897</v>
      </c>
      <c r="AH143" s="4">
        <v>0.66443467653644395</v>
      </c>
      <c r="AI143" s="4">
        <v>-0.58980072603969202</v>
      </c>
      <c r="AJ143" s="4" t="s">
        <v>62</v>
      </c>
      <c r="AK143" s="2">
        <v>0.126238733029754</v>
      </c>
      <c r="AL143" s="2">
        <v>0.44453105456562703</v>
      </c>
      <c r="AM143" s="2">
        <v>400582.410915607</v>
      </c>
      <c r="AN143" s="2">
        <v>238552.846434148</v>
      </c>
      <c r="AO143" s="2">
        <v>504154.96157878498</v>
      </c>
      <c r="AP143" s="2">
        <v>256814.03756441901</v>
      </c>
      <c r="AQ143" s="2">
        <v>553151.09236091003</v>
      </c>
      <c r="AR143" s="2">
        <v>393689.117269432</v>
      </c>
      <c r="AS143" s="2">
        <v>324970.66130075499</v>
      </c>
      <c r="AT143" s="2">
        <v>314207.975693741</v>
      </c>
      <c r="AU143" s="2">
        <v>932620.85261761304</v>
      </c>
      <c r="AV143" s="2">
        <v>682967.61512634298</v>
      </c>
      <c r="AW143" s="2">
        <v>816488.99678287795</v>
      </c>
      <c r="AX143" s="2">
        <v>460986.493578344</v>
      </c>
    </row>
    <row r="144" spans="1:50" x14ac:dyDescent="0.25">
      <c r="A144" s="2" t="s">
        <v>2165</v>
      </c>
      <c r="B144" s="2">
        <v>634.33404356121605</v>
      </c>
      <c r="C144" s="2">
        <v>11.109966666666701</v>
      </c>
      <c r="D144" s="2" t="s">
        <v>51</v>
      </c>
      <c r="E144" s="2" t="s">
        <v>2166</v>
      </c>
      <c r="F144" s="2">
        <v>241994</v>
      </c>
      <c r="G144" s="3" t="str">
        <f>HYPERLINK("https://cloud.oebiotech.com/#/lm/network/241994", "https://cloud.oebiotech.com/#/lm/network/241994")</f>
        <v>https://cloud.oebiotech.com/#/lm/network/241994</v>
      </c>
      <c r="H144" s="2" t="s">
        <v>2167</v>
      </c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 t="s">
        <v>2168</v>
      </c>
      <c r="T144" s="2" t="s">
        <v>2169</v>
      </c>
      <c r="U144" s="2" t="s">
        <v>56</v>
      </c>
      <c r="V144" s="2" t="s">
        <v>145</v>
      </c>
      <c r="W144" s="2" t="s">
        <v>187</v>
      </c>
      <c r="X144" s="2" t="s">
        <v>147</v>
      </c>
      <c r="Y144" s="2">
        <v>42.9</v>
      </c>
      <c r="Z144" s="2">
        <v>23.2</v>
      </c>
      <c r="AA144" s="2" t="s">
        <v>163</v>
      </c>
      <c r="AB144" s="2" t="s">
        <v>2170</v>
      </c>
      <c r="AC144" s="2">
        <v>-3.3496662785473399</v>
      </c>
      <c r="AD144" s="2"/>
      <c r="AE144" s="2">
        <v>2.2196884756963802</v>
      </c>
      <c r="AF144" s="2">
        <v>511178.48794560198</v>
      </c>
      <c r="AG144" s="2">
        <v>657989.82821483305</v>
      </c>
      <c r="AH144" s="4">
        <v>0.77687901244987401</v>
      </c>
      <c r="AI144" s="4">
        <v>-0.36423815742494398</v>
      </c>
      <c r="AJ144" s="4" t="s">
        <v>62</v>
      </c>
      <c r="AK144" s="2">
        <v>7.2464567465284901E-2</v>
      </c>
      <c r="AL144" s="2">
        <v>0.353750068837479</v>
      </c>
      <c r="AM144" s="2">
        <v>540862.22188404005</v>
      </c>
      <c r="AN144" s="2">
        <v>528941.993084318</v>
      </c>
      <c r="AO144" s="2">
        <v>522874.830442562</v>
      </c>
      <c r="AP144" s="2">
        <v>465738.92377424502</v>
      </c>
      <c r="AQ144" s="2">
        <v>509233.35979938001</v>
      </c>
      <c r="AR144" s="2">
        <v>499419.59868906502</v>
      </c>
      <c r="AS144" s="2">
        <v>541871.81726975297</v>
      </c>
      <c r="AT144" s="2">
        <v>375511.39840468898</v>
      </c>
      <c r="AU144" s="2">
        <v>756690.85970556305</v>
      </c>
      <c r="AV144" s="2">
        <v>860038.75073245901</v>
      </c>
      <c r="AW144" s="2">
        <v>771179.60556249798</v>
      </c>
      <c r="AX144" s="2">
        <v>642646.53761403402</v>
      </c>
    </row>
    <row r="145" spans="1:50" x14ac:dyDescent="0.25">
      <c r="A145" s="2" t="s">
        <v>2171</v>
      </c>
      <c r="B145" s="2">
        <v>321.24331996728398</v>
      </c>
      <c r="C145" s="2">
        <v>11.0072833333333</v>
      </c>
      <c r="D145" s="2" t="s">
        <v>51</v>
      </c>
      <c r="E145" s="2" t="s">
        <v>2172</v>
      </c>
      <c r="F145" s="2">
        <v>200989</v>
      </c>
      <c r="G145" s="3" t="str">
        <f>HYPERLINK("https://cloud.oebiotech.com/#/lm/network/200989", "https://cloud.oebiotech.com/#/lm/network/200989")</f>
        <v>https://cloud.oebiotech.com/#/lm/network/200989</v>
      </c>
      <c r="H145" s="2" t="s">
        <v>2173</v>
      </c>
      <c r="I145" s="2"/>
      <c r="J145" s="2"/>
      <c r="K145" s="2">
        <v>53763823</v>
      </c>
      <c r="L145" s="2"/>
      <c r="M145" s="2"/>
      <c r="N145" s="2"/>
      <c r="O145" s="2"/>
      <c r="P145" s="2"/>
      <c r="Q145" s="2"/>
      <c r="R145" s="2"/>
      <c r="S145" s="2" t="s">
        <v>2174</v>
      </c>
      <c r="T145" s="2" t="s">
        <v>2175</v>
      </c>
      <c r="U145" s="2" t="s">
        <v>56</v>
      </c>
      <c r="V145" s="2" t="s">
        <v>145</v>
      </c>
      <c r="W145" s="2" t="s">
        <v>231</v>
      </c>
      <c r="X145" s="2" t="s">
        <v>69</v>
      </c>
      <c r="Y145" s="2">
        <v>63.8</v>
      </c>
      <c r="Z145" s="2">
        <v>71.900000000000006</v>
      </c>
      <c r="AA145" s="2" t="s">
        <v>241</v>
      </c>
      <c r="AB145" s="2" t="s">
        <v>2176</v>
      </c>
      <c r="AC145" s="2">
        <v>-0.61613432554012204</v>
      </c>
      <c r="AD145" s="2"/>
      <c r="AE145" s="2">
        <v>2.2185320845963301</v>
      </c>
      <c r="AF145" s="2">
        <v>539779.20481538202</v>
      </c>
      <c r="AG145" s="2">
        <v>388564.25749702798</v>
      </c>
      <c r="AH145" s="5">
        <v>1.38916329641954</v>
      </c>
      <c r="AI145" s="5">
        <v>0.47421619837436502</v>
      </c>
      <c r="AJ145" s="5" t="s">
        <v>139</v>
      </c>
      <c r="AK145" s="2">
        <v>0.26217707615178398</v>
      </c>
      <c r="AL145" s="2">
        <v>0.58450818667410498</v>
      </c>
      <c r="AM145" s="2">
        <v>977408.86452089495</v>
      </c>
      <c r="AN145" s="2">
        <v>457240.84483661997</v>
      </c>
      <c r="AO145" s="2">
        <v>354273.50246830197</v>
      </c>
      <c r="AP145" s="2">
        <v>361418.93540209503</v>
      </c>
      <c r="AQ145" s="2">
        <v>578082.79391792801</v>
      </c>
      <c r="AR145" s="2">
        <v>510250.28774644999</v>
      </c>
      <c r="AS145" s="2">
        <v>265276.80500775599</v>
      </c>
      <c r="AT145" s="2">
        <v>150375.31821797899</v>
      </c>
      <c r="AU145" s="2">
        <v>771165.37961250299</v>
      </c>
      <c r="AV145" s="2">
        <v>376612.73286868102</v>
      </c>
      <c r="AW145" s="2">
        <v>398426.41548365197</v>
      </c>
      <c r="AX145" s="2">
        <v>369528.89379159402</v>
      </c>
    </row>
    <row r="146" spans="1:50" x14ac:dyDescent="0.25">
      <c r="A146" s="2" t="s">
        <v>501</v>
      </c>
      <c r="B146" s="2">
        <v>369.22833736497199</v>
      </c>
      <c r="C146" s="2">
        <v>7.5258333333333303</v>
      </c>
      <c r="D146" s="2" t="s">
        <v>51</v>
      </c>
      <c r="E146" s="2" t="s">
        <v>502</v>
      </c>
      <c r="F146" s="2">
        <v>4692</v>
      </c>
      <c r="G146" s="3" t="str">
        <f>HYPERLINK("https://cloud.oebiotech.com/#/lm/network/4692", "https://cloud.oebiotech.com/#/lm/network/4692")</f>
        <v>https://cloud.oebiotech.com/#/lm/network/4692</v>
      </c>
      <c r="H146" s="2"/>
      <c r="I146" s="2"/>
      <c r="J146" s="2" t="s">
        <v>503</v>
      </c>
      <c r="K146" s="2">
        <v>131840201</v>
      </c>
      <c r="L146" s="2"/>
      <c r="M146" s="2"/>
      <c r="N146" s="2"/>
      <c r="O146" s="2"/>
      <c r="P146" s="2"/>
      <c r="Q146" s="2"/>
      <c r="R146" s="2"/>
      <c r="S146" s="2" t="s">
        <v>504</v>
      </c>
      <c r="T146" s="2" t="s">
        <v>505</v>
      </c>
      <c r="U146" s="2" t="s">
        <v>331</v>
      </c>
      <c r="V146" s="2" t="s">
        <v>332</v>
      </c>
      <c r="W146" s="2" t="s">
        <v>333</v>
      </c>
      <c r="X146" s="2" t="s">
        <v>147</v>
      </c>
      <c r="Y146" s="2">
        <v>42.3</v>
      </c>
      <c r="Z146" s="2">
        <v>15.8</v>
      </c>
      <c r="AA146" s="2" t="s">
        <v>163</v>
      </c>
      <c r="AB146" s="2" t="s">
        <v>312</v>
      </c>
      <c r="AC146" s="2">
        <v>0.20254466232676599</v>
      </c>
      <c r="AD146" s="2"/>
      <c r="AE146" s="2">
        <v>2.2174697721994301</v>
      </c>
      <c r="AF146" s="2">
        <v>196201.58668796101</v>
      </c>
      <c r="AG146" s="2">
        <v>96295.626231410104</v>
      </c>
      <c r="AH146" s="5">
        <v>2.0374921932224099</v>
      </c>
      <c r="AI146" s="5">
        <v>1.02679453157886</v>
      </c>
      <c r="AJ146" s="5" t="s">
        <v>139</v>
      </c>
      <c r="AK146" s="2">
        <v>5.8851422232115904E-4</v>
      </c>
      <c r="AL146" s="2">
        <v>6.2440111341753798E-2</v>
      </c>
      <c r="AM146" s="2">
        <v>179603.78281751901</v>
      </c>
      <c r="AN146" s="2">
        <v>260245.10595851601</v>
      </c>
      <c r="AO146" s="2">
        <v>193613.55167012301</v>
      </c>
      <c r="AP146" s="2">
        <v>155565.887706037</v>
      </c>
      <c r="AQ146" s="2">
        <v>185987.443628571</v>
      </c>
      <c r="AR146" s="2">
        <v>202193.748346999</v>
      </c>
      <c r="AS146" s="2">
        <v>146299.25980406001</v>
      </c>
      <c r="AT146" s="2">
        <v>77606.876231290706</v>
      </c>
      <c r="AU146" s="2">
        <v>115135.119050675</v>
      </c>
      <c r="AV146" s="2">
        <v>51627.7155350135</v>
      </c>
      <c r="AW146" s="2">
        <v>72484.196376388194</v>
      </c>
      <c r="AX146" s="2">
        <v>114620.59039103299</v>
      </c>
    </row>
    <row r="147" spans="1:50" x14ac:dyDescent="0.25">
      <c r="A147" s="2" t="s">
        <v>2177</v>
      </c>
      <c r="B147" s="2">
        <v>337.23863028299701</v>
      </c>
      <c r="C147" s="2">
        <v>9.5210666666666697</v>
      </c>
      <c r="D147" s="2" t="s">
        <v>51</v>
      </c>
      <c r="E147" s="2" t="s">
        <v>2178</v>
      </c>
      <c r="F147" s="2">
        <v>3701</v>
      </c>
      <c r="G147" s="3" t="str">
        <f>HYPERLINK("https://cloud.oebiotech.com/#/lm/network/3701", "https://cloud.oebiotech.com/#/lm/network/3701")</f>
        <v>https://cloud.oebiotech.com/#/lm/network/3701</v>
      </c>
      <c r="H147" s="2"/>
      <c r="I147" s="2"/>
      <c r="J147" s="2" t="s">
        <v>2179</v>
      </c>
      <c r="K147" s="2">
        <v>5283079</v>
      </c>
      <c r="L147" s="2"/>
      <c r="M147" s="2"/>
      <c r="N147" s="2"/>
      <c r="O147" s="2"/>
      <c r="P147" s="2"/>
      <c r="Q147" s="2"/>
      <c r="R147" s="2"/>
      <c r="S147" s="2" t="s">
        <v>2180</v>
      </c>
      <c r="T147" s="2" t="s">
        <v>2181</v>
      </c>
      <c r="U147" s="2" t="s">
        <v>56</v>
      </c>
      <c r="V147" s="2" t="s">
        <v>145</v>
      </c>
      <c r="W147" s="2" t="s">
        <v>187</v>
      </c>
      <c r="X147" s="2" t="s">
        <v>83</v>
      </c>
      <c r="Y147" s="2">
        <v>56</v>
      </c>
      <c r="Z147" s="2">
        <v>6.28</v>
      </c>
      <c r="AA147" s="2" t="s">
        <v>298</v>
      </c>
      <c r="AB147" s="2" t="s">
        <v>2182</v>
      </c>
      <c r="AC147" s="2">
        <v>0.58284960255627405</v>
      </c>
      <c r="AD147" s="2"/>
      <c r="AE147" s="2">
        <v>2.21532520570902</v>
      </c>
      <c r="AF147" s="2">
        <v>245059.87483281101</v>
      </c>
      <c r="AG147" s="2">
        <v>128736.433457345</v>
      </c>
      <c r="AH147" s="5">
        <v>1.9035782509386401</v>
      </c>
      <c r="AI147" s="5">
        <v>0.92871387639911696</v>
      </c>
      <c r="AJ147" s="5" t="s">
        <v>139</v>
      </c>
      <c r="AK147" s="2">
        <v>0.12694529963242701</v>
      </c>
      <c r="AL147" s="2">
        <v>0.446225129613805</v>
      </c>
      <c r="AM147" s="2">
        <v>531342.00351290405</v>
      </c>
      <c r="AN147" s="2">
        <v>227905.99608716901</v>
      </c>
      <c r="AO147" s="2">
        <v>159608.67990118399</v>
      </c>
      <c r="AP147" s="2">
        <v>165148.12206445099</v>
      </c>
      <c r="AQ147" s="2">
        <v>196432.75256648901</v>
      </c>
      <c r="AR147" s="2">
        <v>189921.69486467101</v>
      </c>
      <c r="AS147" s="2">
        <v>99275.563660136206</v>
      </c>
      <c r="AT147" s="2">
        <v>48725.084078615699</v>
      </c>
      <c r="AU147" s="2">
        <v>313336.40776373103</v>
      </c>
      <c r="AV147" s="2">
        <v>69331.366887425407</v>
      </c>
      <c r="AW147" s="2">
        <v>112569.344980407</v>
      </c>
      <c r="AX147" s="2">
        <v>129180.833373756</v>
      </c>
    </row>
    <row r="148" spans="1:50" x14ac:dyDescent="0.25">
      <c r="A148" s="2" t="s">
        <v>506</v>
      </c>
      <c r="B148" s="2">
        <v>330.33761231119098</v>
      </c>
      <c r="C148" s="2">
        <v>9.8077500000000004</v>
      </c>
      <c r="D148" s="2" t="s">
        <v>51</v>
      </c>
      <c r="E148" s="2" t="s">
        <v>507</v>
      </c>
      <c r="F148" s="2">
        <v>206368</v>
      </c>
      <c r="G148" s="3" t="str">
        <f>HYPERLINK("https://cloud.oebiotech.com/#/lm/network/206368", "https://cloud.oebiotech.com/#/lm/network/206368")</f>
        <v>https://cloud.oebiotech.com/#/lm/network/206368</v>
      </c>
      <c r="H148" s="2" t="s">
        <v>508</v>
      </c>
      <c r="I148" s="2"/>
      <c r="J148" s="2"/>
      <c r="K148" s="2">
        <v>21452</v>
      </c>
      <c r="L148" s="2"/>
      <c r="M148" s="2"/>
      <c r="N148" s="2"/>
      <c r="O148" s="2"/>
      <c r="P148" s="2"/>
      <c r="Q148" s="2"/>
      <c r="R148" s="2"/>
      <c r="S148" s="2" t="s">
        <v>509</v>
      </c>
      <c r="T148" s="2" t="s">
        <v>510</v>
      </c>
      <c r="U148" s="2" t="s">
        <v>331</v>
      </c>
      <c r="V148" s="2" t="s">
        <v>332</v>
      </c>
      <c r="W148" s="2" t="s">
        <v>511</v>
      </c>
      <c r="X148" s="2" t="s">
        <v>147</v>
      </c>
      <c r="Y148" s="2">
        <v>45.9</v>
      </c>
      <c r="Z148" s="2">
        <v>36.6</v>
      </c>
      <c r="AA148" s="2" t="s">
        <v>512</v>
      </c>
      <c r="AB148" s="2" t="s">
        <v>513</v>
      </c>
      <c r="AC148" s="2">
        <v>3.0619615870808099</v>
      </c>
      <c r="AD148" s="2"/>
      <c r="AE148" s="2">
        <v>2.1958065826718198</v>
      </c>
      <c r="AF148" s="2">
        <v>187794.32974122799</v>
      </c>
      <c r="AG148" s="2">
        <v>287002.95369933703</v>
      </c>
      <c r="AH148" s="4">
        <v>0.65432890958314205</v>
      </c>
      <c r="AI148" s="4">
        <v>-0.611912081575813</v>
      </c>
      <c r="AJ148" s="4" t="s">
        <v>62</v>
      </c>
      <c r="AK148" s="2">
        <v>8.9305721126882996E-4</v>
      </c>
      <c r="AL148" s="2">
        <v>7.8543540171408605E-2</v>
      </c>
      <c r="AM148" s="2">
        <v>153982.90436228699</v>
      </c>
      <c r="AN148" s="2">
        <v>189635.42084621501</v>
      </c>
      <c r="AO148" s="2">
        <v>182039.30114196599</v>
      </c>
      <c r="AP148" s="2">
        <v>193782.84706923499</v>
      </c>
      <c r="AQ148" s="2">
        <v>228097.33693220999</v>
      </c>
      <c r="AR148" s="2">
        <v>179228.16809545501</v>
      </c>
      <c r="AS148" s="2">
        <v>289737.66609319398</v>
      </c>
      <c r="AT148" s="2">
        <v>326448.10774877702</v>
      </c>
      <c r="AU148" s="2">
        <v>236989.057956957</v>
      </c>
      <c r="AV148" s="2">
        <v>258812.24904640301</v>
      </c>
      <c r="AW148" s="2">
        <v>254172.03732184399</v>
      </c>
      <c r="AX148" s="2">
        <v>355858.60402884398</v>
      </c>
    </row>
    <row r="149" spans="1:50" x14ac:dyDescent="0.25">
      <c r="A149" s="2" t="s">
        <v>2183</v>
      </c>
      <c r="B149" s="2">
        <v>116.07114120369199</v>
      </c>
      <c r="C149" s="2">
        <v>0.71519999999999995</v>
      </c>
      <c r="D149" s="2" t="s">
        <v>51</v>
      </c>
      <c r="E149" s="2" t="s">
        <v>2184</v>
      </c>
      <c r="F149" s="2">
        <v>46904</v>
      </c>
      <c r="G149" s="3" t="str">
        <f>HYPERLINK("https://cloud.oebiotech.com/#/lm/network/46904", "https://cloud.oebiotech.com/#/lm/network/46904")</f>
        <v>https://cloud.oebiotech.com/#/lm/network/46904</v>
      </c>
      <c r="H149" s="2" t="s">
        <v>2185</v>
      </c>
      <c r="I149" s="2">
        <v>29</v>
      </c>
      <c r="J149" s="2"/>
      <c r="K149" s="2">
        <v>145742</v>
      </c>
      <c r="L149" s="2" t="s">
        <v>2186</v>
      </c>
      <c r="M149" s="2" t="s">
        <v>2187</v>
      </c>
      <c r="N149" s="2" t="s">
        <v>2188</v>
      </c>
      <c r="O149" s="2">
        <v>17203</v>
      </c>
      <c r="P149" s="2"/>
      <c r="Q149" s="2"/>
      <c r="R149" s="2" t="s">
        <v>2189</v>
      </c>
      <c r="S149" s="2" t="s">
        <v>2190</v>
      </c>
      <c r="T149" s="2" t="s">
        <v>2191</v>
      </c>
      <c r="U149" s="2" t="s">
        <v>103</v>
      </c>
      <c r="V149" s="2" t="s">
        <v>104</v>
      </c>
      <c r="W149" s="2" t="s">
        <v>105</v>
      </c>
      <c r="X149" s="2" t="s">
        <v>69</v>
      </c>
      <c r="Y149" s="2">
        <v>56.7</v>
      </c>
      <c r="Z149" s="2">
        <v>90.7</v>
      </c>
      <c r="AA149" s="2" t="s">
        <v>259</v>
      </c>
      <c r="AB149" s="2" t="s">
        <v>2192</v>
      </c>
      <c r="AC149" s="2">
        <v>4.6603826658339997</v>
      </c>
      <c r="AD149" s="2"/>
      <c r="AE149" s="2">
        <v>2.1901086699205599</v>
      </c>
      <c r="AF149" s="2">
        <v>824534.959981867</v>
      </c>
      <c r="AG149" s="2">
        <v>1149307.99914361</v>
      </c>
      <c r="AH149" s="4">
        <v>0.717418621114841</v>
      </c>
      <c r="AI149" s="4">
        <v>-0.47911290292146302</v>
      </c>
      <c r="AJ149" s="4" t="s">
        <v>62</v>
      </c>
      <c r="AK149" s="2">
        <v>0.23385140445161801</v>
      </c>
      <c r="AL149" s="2">
        <v>0.55915255264971997</v>
      </c>
      <c r="AM149" s="2">
        <v>1115396.76948614</v>
      </c>
      <c r="AN149" s="2">
        <v>984748.69834793301</v>
      </c>
      <c r="AO149" s="2">
        <v>673052.99538275006</v>
      </c>
      <c r="AP149" s="2">
        <v>908255.62272836501</v>
      </c>
      <c r="AQ149" s="2">
        <v>774177.06563575903</v>
      </c>
      <c r="AR149" s="2">
        <v>491578.60831025499</v>
      </c>
      <c r="AS149" s="2">
        <v>436022.40537293401</v>
      </c>
      <c r="AT149" s="2">
        <v>1060170.82862059</v>
      </c>
      <c r="AU149" s="2">
        <v>1609503.1945504399</v>
      </c>
      <c r="AV149" s="2">
        <v>1996973.86311477</v>
      </c>
      <c r="AW149" s="2">
        <v>629520.506543895</v>
      </c>
      <c r="AX149" s="2">
        <v>1163657.1966590399</v>
      </c>
    </row>
    <row r="150" spans="1:50" x14ac:dyDescent="0.25">
      <c r="A150" s="2" t="s">
        <v>514</v>
      </c>
      <c r="B150" s="2">
        <v>367.21263870273702</v>
      </c>
      <c r="C150" s="2">
        <v>7.3533833333333298</v>
      </c>
      <c r="D150" s="2" t="s">
        <v>51</v>
      </c>
      <c r="E150" s="2" t="s">
        <v>515</v>
      </c>
      <c r="F150" s="2">
        <v>44969</v>
      </c>
      <c r="G150" s="3" t="str">
        <f>HYPERLINK("https://cloud.oebiotech.com/#/lm/network/44969", "https://cloud.oebiotech.com/#/lm/network/44969")</f>
        <v>https://cloud.oebiotech.com/#/lm/network/44969</v>
      </c>
      <c r="H150" s="2"/>
      <c r="I150" s="2"/>
      <c r="J150" s="2" t="s">
        <v>516</v>
      </c>
      <c r="K150" s="2">
        <v>73242220</v>
      </c>
      <c r="L150" s="2"/>
      <c r="M150" s="2"/>
      <c r="N150" s="2"/>
      <c r="O150" s="2"/>
      <c r="P150" s="2"/>
      <c r="Q150" s="2"/>
      <c r="R150" s="2"/>
      <c r="S150" s="2" t="s">
        <v>517</v>
      </c>
      <c r="T150" s="2" t="s">
        <v>518</v>
      </c>
      <c r="U150" s="2" t="s">
        <v>331</v>
      </c>
      <c r="V150" s="2" t="s">
        <v>332</v>
      </c>
      <c r="W150" s="2" t="s">
        <v>519</v>
      </c>
      <c r="X150" s="2" t="s">
        <v>83</v>
      </c>
      <c r="Y150" s="2">
        <v>45.4</v>
      </c>
      <c r="Z150" s="2">
        <v>17.399999999999999</v>
      </c>
      <c r="AA150" s="2" t="s">
        <v>218</v>
      </c>
      <c r="AB150" s="2" t="s">
        <v>520</v>
      </c>
      <c r="AC150" s="2">
        <v>8.1909426366866503E-2</v>
      </c>
      <c r="AD150" s="2"/>
      <c r="AE150" s="2">
        <v>2.1743122710457299</v>
      </c>
      <c r="AF150" s="2">
        <v>280523.11696151498</v>
      </c>
      <c r="AG150" s="2">
        <v>159033.601282688</v>
      </c>
      <c r="AH150" s="5">
        <v>1.76392356520227</v>
      </c>
      <c r="AI150" s="5">
        <v>0.81878804701064001</v>
      </c>
      <c r="AJ150" s="5" t="s">
        <v>139</v>
      </c>
      <c r="AK150" s="2">
        <v>7.6082965983375796E-3</v>
      </c>
      <c r="AL150" s="2">
        <v>0.14524262670202601</v>
      </c>
      <c r="AM150" s="2">
        <v>237248.869665776</v>
      </c>
      <c r="AN150" s="2">
        <v>313443.50347385299</v>
      </c>
      <c r="AO150" s="2">
        <v>302672.58887636103</v>
      </c>
      <c r="AP150" s="2">
        <v>360835.97349050699</v>
      </c>
      <c r="AQ150" s="2">
        <v>187779.947435123</v>
      </c>
      <c r="AR150" s="2">
        <v>281157.818827471</v>
      </c>
      <c r="AS150" s="2">
        <v>238068.77217881399</v>
      </c>
      <c r="AT150" s="2">
        <v>146258.425621726</v>
      </c>
      <c r="AU150" s="2">
        <v>214081.71313777799</v>
      </c>
      <c r="AV150" s="2">
        <v>61984.168116813802</v>
      </c>
      <c r="AW150" s="2">
        <v>113278.44268567199</v>
      </c>
      <c r="AX150" s="2">
        <v>180530.08595532499</v>
      </c>
    </row>
    <row r="151" spans="1:50" x14ac:dyDescent="0.25">
      <c r="A151" s="2" t="s">
        <v>521</v>
      </c>
      <c r="B151" s="2">
        <v>616.44662959314996</v>
      </c>
      <c r="C151" s="2">
        <v>11.231</v>
      </c>
      <c r="D151" s="2" t="s">
        <v>51</v>
      </c>
      <c r="E151" s="2" t="s">
        <v>522</v>
      </c>
      <c r="F151" s="2">
        <v>247582</v>
      </c>
      <c r="G151" s="3" t="str">
        <f>HYPERLINK("https://cloud.oebiotech.com/#/lm/network/247582", "https://cloud.oebiotech.com/#/lm/network/247582")</f>
        <v>https://cloud.oebiotech.com/#/lm/network/247582</v>
      </c>
      <c r="H151" s="2" t="s">
        <v>523</v>
      </c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 t="s">
        <v>524</v>
      </c>
      <c r="T151" s="2" t="s">
        <v>525</v>
      </c>
      <c r="U151" s="2" t="s">
        <v>56</v>
      </c>
      <c r="V151" s="2" t="s">
        <v>145</v>
      </c>
      <c r="W151" s="2" t="s">
        <v>187</v>
      </c>
      <c r="X151" s="2" t="s">
        <v>83</v>
      </c>
      <c r="Y151" s="2">
        <v>54</v>
      </c>
      <c r="Z151" s="2">
        <v>0</v>
      </c>
      <c r="AA151" s="2" t="s">
        <v>526</v>
      </c>
      <c r="AB151" s="2" t="s">
        <v>527</v>
      </c>
      <c r="AC151" s="2">
        <v>7.8886418493870796</v>
      </c>
      <c r="AD151" s="2"/>
      <c r="AE151" s="2">
        <v>2.1705274823212801</v>
      </c>
      <c r="AF151" s="2">
        <v>290215.95678306598</v>
      </c>
      <c r="AG151" s="2">
        <v>387345.015285904</v>
      </c>
      <c r="AH151" s="4">
        <v>0.74924407267472803</v>
      </c>
      <c r="AI151" s="4">
        <v>-0.41649232937053599</v>
      </c>
      <c r="AJ151" s="4" t="s">
        <v>62</v>
      </c>
      <c r="AK151" s="2">
        <v>9.2472748602072906E-3</v>
      </c>
      <c r="AL151" s="2">
        <v>0.15776169783060501</v>
      </c>
      <c r="AM151" s="2">
        <v>214184.921566028</v>
      </c>
      <c r="AN151" s="2">
        <v>246666.09847822401</v>
      </c>
      <c r="AO151" s="2">
        <v>263425.98206993</v>
      </c>
      <c r="AP151" s="2">
        <v>293865.56198805</v>
      </c>
      <c r="AQ151" s="2">
        <v>396229.17764361599</v>
      </c>
      <c r="AR151" s="2">
        <v>326923.99895254598</v>
      </c>
      <c r="AS151" s="2">
        <v>440240.89337960997</v>
      </c>
      <c r="AT151" s="2">
        <v>402866.349454713</v>
      </c>
      <c r="AU151" s="2">
        <v>367416.49895280099</v>
      </c>
      <c r="AV151" s="2">
        <v>333228.90521354502</v>
      </c>
      <c r="AW151" s="2">
        <v>390181.27104502497</v>
      </c>
      <c r="AX151" s="2">
        <v>390136.173669732</v>
      </c>
    </row>
    <row r="152" spans="1:50" x14ac:dyDescent="0.25">
      <c r="A152" s="2" t="s">
        <v>2193</v>
      </c>
      <c r="B152" s="2">
        <v>341.06779272850702</v>
      </c>
      <c r="C152" s="2">
        <v>5.7232000000000003</v>
      </c>
      <c r="D152" s="2" t="s">
        <v>51</v>
      </c>
      <c r="E152" s="2" t="s">
        <v>2194</v>
      </c>
      <c r="F152" s="2">
        <v>28890</v>
      </c>
      <c r="G152" s="3" t="str">
        <f>HYPERLINK("https://cloud.oebiotech.com/#/lm/network/28890", "https://cloud.oebiotech.com/#/lm/network/28890")</f>
        <v>https://cloud.oebiotech.com/#/lm/network/28890</v>
      </c>
      <c r="H152" s="2"/>
      <c r="I152" s="2">
        <v>47286</v>
      </c>
      <c r="J152" s="2" t="s">
        <v>2195</v>
      </c>
      <c r="K152" s="2">
        <v>44257095</v>
      </c>
      <c r="L152" s="2"/>
      <c r="M152" s="2"/>
      <c r="N152" s="2"/>
      <c r="O152" s="2"/>
      <c r="P152" s="2"/>
      <c r="Q152" s="2"/>
      <c r="R152" s="2"/>
      <c r="S152" s="2" t="s">
        <v>2196</v>
      </c>
      <c r="T152" s="2" t="s">
        <v>2197</v>
      </c>
      <c r="U152" s="2" t="s">
        <v>540</v>
      </c>
      <c r="V152" s="2" t="s">
        <v>541</v>
      </c>
      <c r="W152" s="2" t="s">
        <v>757</v>
      </c>
      <c r="X152" s="2" t="s">
        <v>69</v>
      </c>
      <c r="Y152" s="2">
        <v>59.8</v>
      </c>
      <c r="Z152" s="2">
        <v>97.5</v>
      </c>
      <c r="AA152" s="2" t="s">
        <v>163</v>
      </c>
      <c r="AB152" s="2" t="s">
        <v>2198</v>
      </c>
      <c r="AC152" s="2">
        <v>3.2635475387395898</v>
      </c>
      <c r="AD152" s="2"/>
      <c r="AE152" s="2">
        <v>2.1635819577581401</v>
      </c>
      <c r="AF152" s="2">
        <v>64308.811421689701</v>
      </c>
      <c r="AG152" s="2">
        <v>208309.116403055</v>
      </c>
      <c r="AH152" s="4">
        <v>0.30871818061605799</v>
      </c>
      <c r="AI152" s="4">
        <v>-1.6956376481757001</v>
      </c>
      <c r="AJ152" s="4" t="s">
        <v>62</v>
      </c>
      <c r="AK152" s="2">
        <v>5.0087403880741899E-2</v>
      </c>
      <c r="AL152" s="2">
        <v>0.31056432836569098</v>
      </c>
      <c r="AM152" s="2">
        <v>98410.7597658413</v>
      </c>
      <c r="AN152" s="2">
        <v>22277.372334654901</v>
      </c>
      <c r="AO152" s="2">
        <v>86389.693251043107</v>
      </c>
      <c r="AP152" s="2">
        <v>3448.5027719049599</v>
      </c>
      <c r="AQ152" s="2">
        <v>65077.872991846998</v>
      </c>
      <c r="AR152" s="2">
        <v>110248.667414847</v>
      </c>
      <c r="AS152" s="2">
        <v>65616.153526486494</v>
      </c>
      <c r="AT152" s="2">
        <v>88447.425554809495</v>
      </c>
      <c r="AU152" s="2">
        <v>271917.42726233997</v>
      </c>
      <c r="AV152" s="2">
        <v>215032.960847699</v>
      </c>
      <c r="AW152" s="2">
        <v>476020.61542395799</v>
      </c>
      <c r="AX152" s="2">
        <v>132820.11580303501</v>
      </c>
    </row>
    <row r="153" spans="1:50" x14ac:dyDescent="0.25">
      <c r="A153" s="2" t="s">
        <v>528</v>
      </c>
      <c r="B153" s="2">
        <v>367.21264128738301</v>
      </c>
      <c r="C153" s="2">
        <v>9.5210666666666697</v>
      </c>
      <c r="D153" s="2" t="s">
        <v>51</v>
      </c>
      <c r="E153" s="2" t="s">
        <v>529</v>
      </c>
      <c r="F153" s="2">
        <v>3990</v>
      </c>
      <c r="G153" s="3" t="str">
        <f>HYPERLINK("https://cloud.oebiotech.com/#/lm/network/3990", "https://cloud.oebiotech.com/#/lm/network/3990")</f>
        <v>https://cloud.oebiotech.com/#/lm/network/3990</v>
      </c>
      <c r="H153" s="2"/>
      <c r="I153" s="2">
        <v>36299</v>
      </c>
      <c r="J153" s="2" t="s">
        <v>530</v>
      </c>
      <c r="K153" s="2">
        <v>5283180</v>
      </c>
      <c r="L153" s="2"/>
      <c r="M153" s="2"/>
      <c r="N153" s="2"/>
      <c r="O153" s="2"/>
      <c r="P153" s="2"/>
      <c r="Q153" s="2"/>
      <c r="R153" s="2"/>
      <c r="S153" s="2" t="s">
        <v>531</v>
      </c>
      <c r="T153" s="2" t="s">
        <v>532</v>
      </c>
      <c r="U153" s="2" t="s">
        <v>56</v>
      </c>
      <c r="V153" s="2" t="s">
        <v>145</v>
      </c>
      <c r="W153" s="2" t="s">
        <v>187</v>
      </c>
      <c r="X153" s="2" t="s">
        <v>83</v>
      </c>
      <c r="Y153" s="2">
        <v>55.5</v>
      </c>
      <c r="Z153" s="2">
        <v>0</v>
      </c>
      <c r="AA153" s="2" t="s">
        <v>298</v>
      </c>
      <c r="AB153" s="2" t="s">
        <v>533</v>
      </c>
      <c r="AC153" s="2">
        <v>7.8691521275860196E-2</v>
      </c>
      <c r="AD153" s="2"/>
      <c r="AE153" s="2">
        <v>2.1593491976627699</v>
      </c>
      <c r="AF153" s="2">
        <v>196714.27276607699</v>
      </c>
      <c r="AG153" s="2">
        <v>99430.463796694094</v>
      </c>
      <c r="AH153" s="5">
        <v>1.9784104916607801</v>
      </c>
      <c r="AI153" s="5">
        <v>0.98434179558191603</v>
      </c>
      <c r="AJ153" s="5" t="s">
        <v>139</v>
      </c>
      <c r="AK153" s="2">
        <v>4.5207211147344703E-3</v>
      </c>
      <c r="AL153" s="2">
        <v>0.12174388396289799</v>
      </c>
      <c r="AM153" s="2">
        <v>203362.61184281501</v>
      </c>
      <c r="AN153" s="2">
        <v>284711.23112111702</v>
      </c>
      <c r="AO153" s="2">
        <v>175303.26966765901</v>
      </c>
      <c r="AP153" s="2">
        <v>186072.30620134901</v>
      </c>
      <c r="AQ153" s="2">
        <v>129192.96123198001</v>
      </c>
      <c r="AR153" s="2">
        <v>201643.256531541</v>
      </c>
      <c r="AS153" s="2">
        <v>135969.91948250201</v>
      </c>
      <c r="AT153" s="2">
        <v>83309.947656836099</v>
      </c>
      <c r="AU153" s="2">
        <v>160414.98111578499</v>
      </c>
      <c r="AV153" s="2">
        <v>50127.622981336302</v>
      </c>
      <c r="AW153" s="2">
        <v>73360.057932263706</v>
      </c>
      <c r="AX153" s="2">
        <v>93400.253611441702</v>
      </c>
    </row>
    <row r="154" spans="1:50" x14ac:dyDescent="0.25">
      <c r="A154" s="2" t="s">
        <v>2199</v>
      </c>
      <c r="B154" s="2">
        <v>318.30132436474003</v>
      </c>
      <c r="C154" s="2">
        <v>9.21756666666667</v>
      </c>
      <c r="D154" s="2" t="s">
        <v>51</v>
      </c>
      <c r="E154" s="2" t="s">
        <v>2200</v>
      </c>
      <c r="F154" s="2">
        <v>38925</v>
      </c>
      <c r="G154" s="3" t="str">
        <f>HYPERLINK("https://cloud.oebiotech.com/#/lm/network/38925", "https://cloud.oebiotech.com/#/lm/network/38925")</f>
        <v>https://cloud.oebiotech.com/#/lm/network/38925</v>
      </c>
      <c r="H154" s="2" t="s">
        <v>2201</v>
      </c>
      <c r="I154" s="2">
        <v>7066</v>
      </c>
      <c r="J154" s="2" t="s">
        <v>2202</v>
      </c>
      <c r="K154" s="2">
        <v>122121</v>
      </c>
      <c r="L154" s="2" t="s">
        <v>2203</v>
      </c>
      <c r="M154" s="2" t="s">
        <v>2204</v>
      </c>
      <c r="N154" s="2" t="s">
        <v>2205</v>
      </c>
      <c r="O154" s="2">
        <v>46961</v>
      </c>
      <c r="P154" s="2" t="s">
        <v>2206</v>
      </c>
      <c r="Q154" s="2" t="s">
        <v>2207</v>
      </c>
      <c r="R154" s="2" t="s">
        <v>2208</v>
      </c>
      <c r="S154" s="2" t="s">
        <v>2209</v>
      </c>
      <c r="T154" s="2" t="s">
        <v>2210</v>
      </c>
      <c r="U154" s="2" t="s">
        <v>119</v>
      </c>
      <c r="V154" s="2" t="s">
        <v>120</v>
      </c>
      <c r="W154" s="2" t="s">
        <v>1887</v>
      </c>
      <c r="X154" s="2" t="s">
        <v>59</v>
      </c>
      <c r="Y154" s="2">
        <v>48.2</v>
      </c>
      <c r="Z154" s="2">
        <v>48.6</v>
      </c>
      <c r="AA154" s="2" t="s">
        <v>259</v>
      </c>
      <c r="AB154" s="2" t="s">
        <v>2211</v>
      </c>
      <c r="AC154" s="2">
        <v>3.3212789100860101</v>
      </c>
      <c r="AD154" s="2"/>
      <c r="AE154" s="2">
        <v>2.1473676928783298</v>
      </c>
      <c r="AF154" s="2">
        <v>42100.628777198603</v>
      </c>
      <c r="AG154" s="2">
        <v>268188.86349137302</v>
      </c>
      <c r="AH154" s="4">
        <v>0.156981271441023</v>
      </c>
      <c r="AI154" s="4">
        <v>-2.6713356453938601</v>
      </c>
      <c r="AJ154" s="4" t="s">
        <v>62</v>
      </c>
      <c r="AK154" s="2">
        <v>0.33742822874376699</v>
      </c>
      <c r="AL154" s="2">
        <v>0.63815037094278604</v>
      </c>
      <c r="AM154" s="2">
        <v>8.559877937157E-6</v>
      </c>
      <c r="AN154" s="2">
        <v>8.559877937157E-6</v>
      </c>
      <c r="AO154" s="2">
        <v>32796.301793432402</v>
      </c>
      <c r="AP154" s="2">
        <v>100382.395798068</v>
      </c>
      <c r="AQ154" s="2">
        <v>118354.68804168599</v>
      </c>
      <c r="AR154" s="2">
        <v>1070.3870128855999</v>
      </c>
      <c r="AS154" s="2">
        <v>91998.998104164304</v>
      </c>
      <c r="AT154" s="2">
        <v>86250.202235095698</v>
      </c>
      <c r="AU154" s="2">
        <v>48800.261809991403</v>
      </c>
      <c r="AV154" s="2">
        <v>300.66984321518498</v>
      </c>
      <c r="AW154" s="2">
        <v>8.559877937157E-6</v>
      </c>
      <c r="AX154" s="2">
        <v>1381783.04894721</v>
      </c>
    </row>
    <row r="155" spans="1:50" x14ac:dyDescent="0.25">
      <c r="A155" s="2" t="s">
        <v>534</v>
      </c>
      <c r="B155" s="2">
        <v>619.02195026417996</v>
      </c>
      <c r="C155" s="2">
        <v>14.1947333333333</v>
      </c>
      <c r="D155" s="2" t="s">
        <v>51</v>
      </c>
      <c r="E155" s="2" t="s">
        <v>535</v>
      </c>
      <c r="F155" s="2">
        <v>61254</v>
      </c>
      <c r="G155" s="3" t="str">
        <f>HYPERLINK("https://cloud.oebiotech.com/#/lm/network/61254", "https://cloud.oebiotech.com/#/lm/network/61254")</f>
        <v>https://cloud.oebiotech.com/#/lm/network/61254</v>
      </c>
      <c r="H155" s="2" t="s">
        <v>536</v>
      </c>
      <c r="I155" s="2">
        <v>92574</v>
      </c>
      <c r="J155" s="2"/>
      <c r="K155" s="2">
        <v>73829986</v>
      </c>
      <c r="L155" s="2"/>
      <c r="M155" s="2"/>
      <c r="N155" s="2"/>
      <c r="O155" s="2"/>
      <c r="P155" s="2"/>
      <c r="Q155" s="2"/>
      <c r="R155" s="2" t="s">
        <v>537</v>
      </c>
      <c r="S155" s="2" t="s">
        <v>538</v>
      </c>
      <c r="T155" s="2" t="s">
        <v>539</v>
      </c>
      <c r="U155" s="2" t="s">
        <v>540</v>
      </c>
      <c r="V155" s="2" t="s">
        <v>541</v>
      </c>
      <c r="W155" s="2" t="s">
        <v>542</v>
      </c>
      <c r="X155" s="2" t="s">
        <v>147</v>
      </c>
      <c r="Y155" s="2">
        <v>40.299999999999997</v>
      </c>
      <c r="Z155" s="2">
        <v>28.3</v>
      </c>
      <c r="AA155" s="2" t="s">
        <v>218</v>
      </c>
      <c r="AB155" s="2" t="s">
        <v>543</v>
      </c>
      <c r="AC155" s="2">
        <v>-4.7431882351728296</v>
      </c>
      <c r="AD155" s="2"/>
      <c r="AE155" s="2">
        <v>2.1365910924429201</v>
      </c>
      <c r="AF155" s="2">
        <v>116427.502950942</v>
      </c>
      <c r="AG155" s="2">
        <v>196152.82601802799</v>
      </c>
      <c r="AH155" s="4">
        <v>0.59355506272563896</v>
      </c>
      <c r="AI155" s="4">
        <v>-0.75254622334127397</v>
      </c>
      <c r="AJ155" s="4" t="s">
        <v>62</v>
      </c>
      <c r="AK155" s="2">
        <v>3.5653739439234397E-5</v>
      </c>
      <c r="AL155" s="2">
        <v>1.9243295550066802E-2</v>
      </c>
      <c r="AM155" s="2">
        <v>83732.081489987395</v>
      </c>
      <c r="AN155" s="2">
        <v>97300.771708278102</v>
      </c>
      <c r="AO155" s="2">
        <v>116406.781472634</v>
      </c>
      <c r="AP155" s="2">
        <v>118895.92008194501</v>
      </c>
      <c r="AQ155" s="2">
        <v>147573.209662779</v>
      </c>
      <c r="AR155" s="2">
        <v>134656.25329003</v>
      </c>
      <c r="AS155" s="2">
        <v>188078.97661007199</v>
      </c>
      <c r="AT155" s="2">
        <v>203105.82840239501</v>
      </c>
      <c r="AU155" s="2">
        <v>170470.99206117599</v>
      </c>
      <c r="AV155" s="2">
        <v>207806.76266403499</v>
      </c>
      <c r="AW155" s="2">
        <v>197140.35366509401</v>
      </c>
      <c r="AX155" s="2">
        <v>210314.04270539799</v>
      </c>
    </row>
    <row r="156" spans="1:50" x14ac:dyDescent="0.25">
      <c r="A156" s="2" t="s">
        <v>2212</v>
      </c>
      <c r="B156" s="2">
        <v>870.54997332328298</v>
      </c>
      <c r="C156" s="2">
        <v>12.352033333333299</v>
      </c>
      <c r="D156" s="2" t="s">
        <v>51</v>
      </c>
      <c r="E156" s="2" t="s">
        <v>2213</v>
      </c>
      <c r="F156" s="2">
        <v>242347</v>
      </c>
      <c r="G156" s="3" t="str">
        <f>HYPERLINK("https://cloud.oebiotech.com/#/lm/network/242347", "https://cloud.oebiotech.com/#/lm/network/242347")</f>
        <v>https://cloud.oebiotech.com/#/lm/network/242347</v>
      </c>
      <c r="H156" s="2" t="s">
        <v>2214</v>
      </c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 t="s">
        <v>2215</v>
      </c>
      <c r="T156" s="2" t="s">
        <v>2216</v>
      </c>
      <c r="U156" s="2" t="s">
        <v>56</v>
      </c>
      <c r="V156" s="2" t="s">
        <v>145</v>
      </c>
      <c r="W156" s="2" t="s">
        <v>187</v>
      </c>
      <c r="X156" s="2" t="s">
        <v>147</v>
      </c>
      <c r="Y156" s="2">
        <v>36.700000000000003</v>
      </c>
      <c r="Z156" s="2">
        <v>0</v>
      </c>
      <c r="AA156" s="2" t="s">
        <v>259</v>
      </c>
      <c r="AB156" s="2" t="s">
        <v>2217</v>
      </c>
      <c r="AC156" s="2">
        <v>1.0157719263666301</v>
      </c>
      <c r="AD156" s="2"/>
      <c r="AE156" s="2">
        <v>2.1184378012796001</v>
      </c>
      <c r="AF156" s="2">
        <v>247760.19275918501</v>
      </c>
      <c r="AG156" s="2">
        <v>97721.452805941604</v>
      </c>
      <c r="AH156" s="5">
        <v>2.5353715652508302</v>
      </c>
      <c r="AI156" s="5">
        <v>1.3421971934071799</v>
      </c>
      <c r="AJ156" s="5" t="s">
        <v>139</v>
      </c>
      <c r="AK156" s="2">
        <v>6.6930405820760999E-2</v>
      </c>
      <c r="AL156" s="2">
        <v>0.34192828169447498</v>
      </c>
      <c r="AM156" s="2">
        <v>321793.05691270297</v>
      </c>
      <c r="AN156" s="2">
        <v>240763.015550107</v>
      </c>
      <c r="AO156" s="2">
        <v>142210.022611441</v>
      </c>
      <c r="AP156" s="2">
        <v>523090.76832600398</v>
      </c>
      <c r="AQ156" s="2">
        <v>32142.478783970098</v>
      </c>
      <c r="AR156" s="2">
        <v>226561.81437088401</v>
      </c>
      <c r="AS156" s="2">
        <v>89573.595789270694</v>
      </c>
      <c r="AT156" s="2">
        <v>215333.834371226</v>
      </c>
      <c r="AU156" s="2">
        <v>52907.041335969298</v>
      </c>
      <c r="AV156" s="2">
        <v>68103.521252657898</v>
      </c>
      <c r="AW156" s="2">
        <v>40940.721580645702</v>
      </c>
      <c r="AX156" s="2">
        <v>119470.00250587999</v>
      </c>
    </row>
    <row r="157" spans="1:50" x14ac:dyDescent="0.25">
      <c r="A157" s="2" t="s">
        <v>2218</v>
      </c>
      <c r="B157" s="2">
        <v>588.33091185154001</v>
      </c>
      <c r="C157" s="2">
        <v>10.40935</v>
      </c>
      <c r="D157" s="2" t="s">
        <v>51</v>
      </c>
      <c r="E157" s="2" t="s">
        <v>2219</v>
      </c>
      <c r="F157" s="2">
        <v>19846</v>
      </c>
      <c r="G157" s="3" t="str">
        <f>HYPERLINK("https://cloud.oebiotech.com/#/lm/network/19846", "https://cloud.oebiotech.com/#/lm/network/19846")</f>
        <v>https://cloud.oebiotech.com/#/lm/network/19846</v>
      </c>
      <c r="H157" s="2" t="s">
        <v>2220</v>
      </c>
      <c r="I157" s="2">
        <v>40314</v>
      </c>
      <c r="J157" s="2" t="s">
        <v>2221</v>
      </c>
      <c r="K157" s="2">
        <v>24779476</v>
      </c>
      <c r="L157" s="2" t="s">
        <v>691</v>
      </c>
      <c r="M157" s="2" t="s">
        <v>692</v>
      </c>
      <c r="N157" s="2" t="s">
        <v>693</v>
      </c>
      <c r="O157" s="2">
        <v>74344</v>
      </c>
      <c r="P157" s="2"/>
      <c r="Q157" s="2"/>
      <c r="R157" s="2" t="s">
        <v>2222</v>
      </c>
      <c r="S157" s="2" t="s">
        <v>2223</v>
      </c>
      <c r="T157" s="2" t="s">
        <v>2224</v>
      </c>
      <c r="U157" s="2" t="s">
        <v>56</v>
      </c>
      <c r="V157" s="2" t="s">
        <v>57</v>
      </c>
      <c r="W157" s="2" t="s">
        <v>58</v>
      </c>
      <c r="X157" s="2" t="s">
        <v>69</v>
      </c>
      <c r="Y157" s="2">
        <v>73.400000000000006</v>
      </c>
      <c r="Z157" s="2">
        <v>86.4</v>
      </c>
      <c r="AA157" s="2" t="s">
        <v>218</v>
      </c>
      <c r="AB157" s="2" t="s">
        <v>1625</v>
      </c>
      <c r="AC157" s="2">
        <v>0.40381594094755502</v>
      </c>
      <c r="AD157" s="2"/>
      <c r="AE157" s="2">
        <v>2.11285696427707</v>
      </c>
      <c r="AF157" s="2">
        <v>1906974.9354791499</v>
      </c>
      <c r="AG157" s="2">
        <v>2122565.57778088</v>
      </c>
      <c r="AH157" s="4">
        <v>0.89842921954518395</v>
      </c>
      <c r="AI157" s="4">
        <v>-0.154523245724732</v>
      </c>
      <c r="AJ157" s="4" t="s">
        <v>62</v>
      </c>
      <c r="AK157" s="2">
        <v>0.49788426664219398</v>
      </c>
      <c r="AL157" s="2">
        <v>0.73659080265504795</v>
      </c>
      <c r="AM157" s="2">
        <v>2309570.1542575001</v>
      </c>
      <c r="AN157" s="2">
        <v>1850408.7256113901</v>
      </c>
      <c r="AO157" s="2">
        <v>1578376.6990215399</v>
      </c>
      <c r="AP157" s="2">
        <v>2236484.1339389202</v>
      </c>
      <c r="AQ157" s="2">
        <v>1623171.1097722701</v>
      </c>
      <c r="AR157" s="2">
        <v>1843838.7902732701</v>
      </c>
      <c r="AS157" s="2">
        <v>1555993.01597812</v>
      </c>
      <c r="AT157" s="2">
        <v>1159199.3631867899</v>
      </c>
      <c r="AU157" s="2">
        <v>1926059.6933658901</v>
      </c>
      <c r="AV157" s="2">
        <v>2849593.92782134</v>
      </c>
      <c r="AW157" s="2">
        <v>2757474.5202662302</v>
      </c>
      <c r="AX157" s="2">
        <v>2487072.9460669099</v>
      </c>
    </row>
    <row r="158" spans="1:50" x14ac:dyDescent="0.25">
      <c r="A158" s="2" t="s">
        <v>2225</v>
      </c>
      <c r="B158" s="2">
        <v>615.46149386836998</v>
      </c>
      <c r="C158" s="2">
        <v>13.6885833333333</v>
      </c>
      <c r="D158" s="2" t="s">
        <v>51</v>
      </c>
      <c r="E158" s="2" t="s">
        <v>2226</v>
      </c>
      <c r="F158" s="2">
        <v>250755</v>
      </c>
      <c r="G158" s="3" t="str">
        <f>HYPERLINK("https://cloud.oebiotech.com/#/lm/network/250755", "https://cloud.oebiotech.com/#/lm/network/250755")</f>
        <v>https://cloud.oebiotech.com/#/lm/network/250755</v>
      </c>
      <c r="H158" s="2" t="s">
        <v>2227</v>
      </c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 t="s">
        <v>2228</v>
      </c>
      <c r="T158" s="2" t="s">
        <v>2229</v>
      </c>
      <c r="U158" s="2" t="s">
        <v>56</v>
      </c>
      <c r="V158" s="2" t="s">
        <v>145</v>
      </c>
      <c r="W158" s="2" t="s">
        <v>203</v>
      </c>
      <c r="X158" s="2" t="s">
        <v>69</v>
      </c>
      <c r="Y158" s="2">
        <v>53.2</v>
      </c>
      <c r="Z158" s="2">
        <v>59.9</v>
      </c>
      <c r="AA158" s="2" t="s">
        <v>2230</v>
      </c>
      <c r="AB158" s="2" t="s">
        <v>2231</v>
      </c>
      <c r="AC158" s="2">
        <v>3.3477096906280099</v>
      </c>
      <c r="AD158" s="2"/>
      <c r="AE158" s="2">
        <v>2.0898750228074898</v>
      </c>
      <c r="AF158" s="2">
        <v>423993.483645664</v>
      </c>
      <c r="AG158" s="2">
        <v>230989.726350696</v>
      </c>
      <c r="AH158" s="5">
        <v>1.83555126171258</v>
      </c>
      <c r="AI158" s="5">
        <v>0.876213405358651</v>
      </c>
      <c r="AJ158" s="5" t="s">
        <v>139</v>
      </c>
      <c r="AK158" s="2">
        <v>0.146983459154539</v>
      </c>
      <c r="AL158" s="2">
        <v>0.46813495501649</v>
      </c>
      <c r="AM158" s="2">
        <v>118415.055252973</v>
      </c>
      <c r="AN158" s="2">
        <v>668090.54974436294</v>
      </c>
      <c r="AO158" s="2">
        <v>837975.03380458197</v>
      </c>
      <c r="AP158" s="2">
        <v>468340.32786383299</v>
      </c>
      <c r="AQ158" s="2">
        <v>208322.668065331</v>
      </c>
      <c r="AR158" s="2">
        <v>242817.26714290501</v>
      </c>
      <c r="AS158" s="2">
        <v>129313.568026993</v>
      </c>
      <c r="AT158" s="2">
        <v>259976.25043742001</v>
      </c>
      <c r="AU158" s="2">
        <v>104164.477519715</v>
      </c>
      <c r="AV158" s="2">
        <v>269396.65117517998</v>
      </c>
      <c r="AW158" s="2">
        <v>262809.43229934102</v>
      </c>
      <c r="AX158" s="2">
        <v>360277.97864552698</v>
      </c>
    </row>
    <row r="159" spans="1:50" x14ac:dyDescent="0.25">
      <c r="A159" s="2" t="s">
        <v>2232</v>
      </c>
      <c r="B159" s="2">
        <v>612.33081865914301</v>
      </c>
      <c r="C159" s="2">
        <v>10.3696</v>
      </c>
      <c r="D159" s="2" t="s">
        <v>51</v>
      </c>
      <c r="E159" s="2" t="s">
        <v>2233</v>
      </c>
      <c r="F159" s="2">
        <v>19850</v>
      </c>
      <c r="G159" s="3" t="str">
        <f>HYPERLINK("https://cloud.oebiotech.com/#/lm/network/19850", "https://cloud.oebiotech.com/#/lm/network/19850")</f>
        <v>https://cloud.oebiotech.com/#/lm/network/19850</v>
      </c>
      <c r="H159" s="2" t="s">
        <v>2234</v>
      </c>
      <c r="I159" s="2">
        <v>40322</v>
      </c>
      <c r="J159" s="2" t="s">
        <v>2235</v>
      </c>
      <c r="K159" s="2">
        <v>10415542</v>
      </c>
      <c r="L159" s="2" t="s">
        <v>691</v>
      </c>
      <c r="M159" s="2" t="s">
        <v>692</v>
      </c>
      <c r="N159" s="2" t="s">
        <v>693</v>
      </c>
      <c r="O159" s="2">
        <v>73873</v>
      </c>
      <c r="P159" s="2"/>
      <c r="Q159" s="2"/>
      <c r="R159" s="2" t="s">
        <v>2236</v>
      </c>
      <c r="S159" s="2" t="s">
        <v>2237</v>
      </c>
      <c r="T159" s="2" t="s">
        <v>2238</v>
      </c>
      <c r="U159" s="2" t="s">
        <v>56</v>
      </c>
      <c r="V159" s="2" t="s">
        <v>57</v>
      </c>
      <c r="W159" s="2" t="s">
        <v>58</v>
      </c>
      <c r="X159" s="2" t="s">
        <v>69</v>
      </c>
      <c r="Y159" s="2">
        <v>75.099999999999994</v>
      </c>
      <c r="Z159" s="2">
        <v>97.3</v>
      </c>
      <c r="AA159" s="2" t="s">
        <v>218</v>
      </c>
      <c r="AB159" s="2" t="s">
        <v>2239</v>
      </c>
      <c r="AC159" s="2">
        <v>0.22246905562510699</v>
      </c>
      <c r="AD159" s="2"/>
      <c r="AE159" s="2">
        <v>2.08677170734456</v>
      </c>
      <c r="AF159" s="2">
        <v>486750.55799498502</v>
      </c>
      <c r="AG159" s="2">
        <v>700335.38109093602</v>
      </c>
      <c r="AH159" s="4">
        <v>0.69502494253075897</v>
      </c>
      <c r="AI159" s="4">
        <v>-0.524863341771025</v>
      </c>
      <c r="AJ159" s="4" t="s">
        <v>62</v>
      </c>
      <c r="AK159" s="2">
        <v>0.25840171852545801</v>
      </c>
      <c r="AL159" s="2">
        <v>0.58060626803014403</v>
      </c>
      <c r="AM159" s="2">
        <v>1007758.27102299</v>
      </c>
      <c r="AN159" s="2">
        <v>306568.12844904501</v>
      </c>
      <c r="AO159" s="2">
        <v>327937.99029153498</v>
      </c>
      <c r="AP159" s="2">
        <v>535347.01064782403</v>
      </c>
      <c r="AQ159" s="2">
        <v>310790.883225695</v>
      </c>
      <c r="AR159" s="2">
        <v>432101.06433281902</v>
      </c>
      <c r="AS159" s="2">
        <v>369273.94198408799</v>
      </c>
      <c r="AT159" s="2">
        <v>396430.22532890999</v>
      </c>
      <c r="AU159" s="2">
        <v>422847.608855506</v>
      </c>
      <c r="AV159" s="2">
        <v>1084522.79826944</v>
      </c>
      <c r="AW159" s="2">
        <v>1067986.2339608001</v>
      </c>
      <c r="AX159" s="2">
        <v>860951.47814687097</v>
      </c>
    </row>
    <row r="160" spans="1:50" x14ac:dyDescent="0.25">
      <c r="A160" s="2" t="s">
        <v>2240</v>
      </c>
      <c r="B160" s="2">
        <v>438.13827814519999</v>
      </c>
      <c r="C160" s="2">
        <v>6.9037166666666696</v>
      </c>
      <c r="D160" s="2" t="s">
        <v>51</v>
      </c>
      <c r="E160" s="2" t="s">
        <v>2241</v>
      </c>
      <c r="F160" s="2">
        <v>211579</v>
      </c>
      <c r="G160" s="3" t="str">
        <f>HYPERLINK("https://cloud.oebiotech.com/#/lm/network/211579", "https://cloud.oebiotech.com/#/lm/network/211579")</f>
        <v>https://cloud.oebiotech.com/#/lm/network/211579</v>
      </c>
      <c r="H160" s="2" t="s">
        <v>2242</v>
      </c>
      <c r="I160" s="2"/>
      <c r="J160" s="2"/>
      <c r="K160" s="2">
        <v>20065480</v>
      </c>
      <c r="L160" s="2"/>
      <c r="M160" s="2"/>
      <c r="N160" s="2"/>
      <c r="O160" s="2"/>
      <c r="P160" s="2"/>
      <c r="Q160" s="2"/>
      <c r="R160" s="2"/>
      <c r="S160" s="2" t="s">
        <v>2243</v>
      </c>
      <c r="T160" s="2" t="s">
        <v>2244</v>
      </c>
      <c r="U160" s="2" t="s">
        <v>103</v>
      </c>
      <c r="V160" s="2" t="s">
        <v>104</v>
      </c>
      <c r="W160" s="2" t="s">
        <v>2245</v>
      </c>
      <c r="X160" s="2" t="s">
        <v>147</v>
      </c>
      <c r="Y160" s="2">
        <v>38.6</v>
      </c>
      <c r="Z160" s="2">
        <v>0.55700000000000005</v>
      </c>
      <c r="AA160" s="2" t="s">
        <v>218</v>
      </c>
      <c r="AB160" s="2" t="s">
        <v>2246</v>
      </c>
      <c r="AC160" s="2">
        <v>4.4038634646964203</v>
      </c>
      <c r="AD160" s="2"/>
      <c r="AE160" s="2">
        <v>2.0863890680475201</v>
      </c>
      <c r="AF160" s="2">
        <v>259220.38445319701</v>
      </c>
      <c r="AG160" s="2">
        <v>438643.01526190899</v>
      </c>
      <c r="AH160" s="4">
        <v>0.590959790613374</v>
      </c>
      <c r="AI160" s="4">
        <v>-0.75886812329361997</v>
      </c>
      <c r="AJ160" s="4" t="s">
        <v>62</v>
      </c>
      <c r="AK160" s="2">
        <v>0.20275067117245599</v>
      </c>
      <c r="AL160" s="2">
        <v>0.52725831570340498</v>
      </c>
      <c r="AM160" s="2">
        <v>274712.76985096198</v>
      </c>
      <c r="AN160" s="2">
        <v>138666.85515523399</v>
      </c>
      <c r="AO160" s="2">
        <v>362551.474210013</v>
      </c>
      <c r="AP160" s="2">
        <v>14523.2006147671</v>
      </c>
      <c r="AQ160" s="2">
        <v>212572.86332079899</v>
      </c>
      <c r="AR160" s="2">
        <v>552295.14356740704</v>
      </c>
      <c r="AS160" s="2">
        <v>316945.30437868403</v>
      </c>
      <c r="AT160" s="2">
        <v>271969.48466906499</v>
      </c>
      <c r="AU160" s="2">
        <v>446311.30642323801</v>
      </c>
      <c r="AV160" s="2">
        <v>747238.36811611999</v>
      </c>
      <c r="AW160" s="2">
        <v>747272.32346562203</v>
      </c>
      <c r="AX160" s="2">
        <v>102121.304518727</v>
      </c>
    </row>
    <row r="161" spans="1:50" x14ac:dyDescent="0.25">
      <c r="A161" s="2" t="s">
        <v>2247</v>
      </c>
      <c r="B161" s="2">
        <v>320.25684150317102</v>
      </c>
      <c r="C161" s="2">
        <v>10.1716</v>
      </c>
      <c r="D161" s="2" t="s">
        <v>51</v>
      </c>
      <c r="E161" s="2" t="s">
        <v>2248</v>
      </c>
      <c r="F161" s="2">
        <v>60450</v>
      </c>
      <c r="G161" s="3" t="str">
        <f>HYPERLINK("https://cloud.oebiotech.com/#/lm/network/60450", "https://cloud.oebiotech.com/#/lm/network/60450")</f>
        <v>https://cloud.oebiotech.com/#/lm/network/60450</v>
      </c>
      <c r="H161" s="2" t="s">
        <v>2249</v>
      </c>
      <c r="I161" s="2">
        <v>91795</v>
      </c>
      <c r="J161" s="2"/>
      <c r="K161" s="2">
        <v>14191210</v>
      </c>
      <c r="L161" s="2"/>
      <c r="M161" s="2"/>
      <c r="N161" s="2"/>
      <c r="O161" s="2"/>
      <c r="P161" s="2"/>
      <c r="Q161" s="2"/>
      <c r="R161" s="2" t="s">
        <v>2250</v>
      </c>
      <c r="S161" s="2" t="s">
        <v>2251</v>
      </c>
      <c r="T161" s="2" t="s">
        <v>2252</v>
      </c>
      <c r="U161" s="2" t="s">
        <v>56</v>
      </c>
      <c r="V161" s="2" t="s">
        <v>177</v>
      </c>
      <c r="W161" s="2" t="s">
        <v>178</v>
      </c>
      <c r="X161" s="2" t="s">
        <v>69</v>
      </c>
      <c r="Y161" s="2">
        <v>59.3</v>
      </c>
      <c r="Z161" s="2">
        <v>57.8</v>
      </c>
      <c r="AA161" s="2" t="s">
        <v>512</v>
      </c>
      <c r="AB161" s="2" t="s">
        <v>835</v>
      </c>
      <c r="AC161" s="2">
        <v>-5.1757141924755601</v>
      </c>
      <c r="AD161" s="2"/>
      <c r="AE161" s="2">
        <v>2.0809384550812702</v>
      </c>
      <c r="AF161" s="2">
        <v>447631.08670502203</v>
      </c>
      <c r="AG161" s="2">
        <v>141853.22669383499</v>
      </c>
      <c r="AH161" s="5">
        <v>3.15559326451667</v>
      </c>
      <c r="AI161" s="5">
        <v>1.65791126331076</v>
      </c>
      <c r="AJ161" s="5" t="s">
        <v>139</v>
      </c>
      <c r="AK161" s="2">
        <v>0.32889647741261002</v>
      </c>
      <c r="AL161" s="2">
        <v>0.63135842857913305</v>
      </c>
      <c r="AM161" s="2">
        <v>21714.2253210864</v>
      </c>
      <c r="AN161" s="2">
        <v>2576.4925018768899</v>
      </c>
      <c r="AO161" s="2">
        <v>1102313.4158487101</v>
      </c>
      <c r="AP161" s="2">
        <v>2289.2177513369002</v>
      </c>
      <c r="AQ161" s="2">
        <v>1523119.30995004</v>
      </c>
      <c r="AR161" s="2">
        <v>33773.858857078703</v>
      </c>
      <c r="AS161" s="2">
        <v>641237.41068954498</v>
      </c>
      <c r="AT161" s="2">
        <v>1191.5003067535099</v>
      </c>
      <c r="AU161" s="2">
        <v>194137.15419308201</v>
      </c>
      <c r="AV161" s="2">
        <v>10685.1740918543</v>
      </c>
      <c r="AW161" s="2">
        <v>967.219184785621</v>
      </c>
      <c r="AX161" s="2">
        <v>2900.9016969887398</v>
      </c>
    </row>
    <row r="162" spans="1:50" x14ac:dyDescent="0.25">
      <c r="A162" s="2" t="s">
        <v>2253</v>
      </c>
      <c r="B162" s="2">
        <v>296.25918799442098</v>
      </c>
      <c r="C162" s="2">
        <v>10.6505166666667</v>
      </c>
      <c r="D162" s="2" t="s">
        <v>51</v>
      </c>
      <c r="E162" s="2" t="s">
        <v>2254</v>
      </c>
      <c r="F162" s="2">
        <v>1190</v>
      </c>
      <c r="G162" s="3" t="str">
        <f>HYPERLINK("https://cloud.oebiotech.com/#/lm/network/1190", "https://cloud.oebiotech.com/#/lm/network/1190")</f>
        <v>https://cloud.oebiotech.com/#/lm/network/1190</v>
      </c>
      <c r="H162" s="2"/>
      <c r="I162" s="2">
        <v>45783</v>
      </c>
      <c r="J162" s="2" t="s">
        <v>2255</v>
      </c>
      <c r="K162" s="2">
        <v>5494436</v>
      </c>
      <c r="L162" s="2"/>
      <c r="M162" s="2"/>
      <c r="N162" s="2"/>
      <c r="O162" s="2">
        <v>44602</v>
      </c>
      <c r="P162" s="2"/>
      <c r="Q162" s="2"/>
      <c r="R162" s="2"/>
      <c r="S162" s="2" t="s">
        <v>2256</v>
      </c>
      <c r="T162" s="2" t="s">
        <v>2257</v>
      </c>
      <c r="U162" s="2" t="s">
        <v>56</v>
      </c>
      <c r="V162" s="2" t="s">
        <v>145</v>
      </c>
      <c r="W162" s="2" t="s">
        <v>203</v>
      </c>
      <c r="X162" s="2" t="s">
        <v>69</v>
      </c>
      <c r="Y162" s="2">
        <v>65.8</v>
      </c>
      <c r="Z162" s="2">
        <v>92.5</v>
      </c>
      <c r="AA162" s="2" t="s">
        <v>512</v>
      </c>
      <c r="AB162" s="2" t="s">
        <v>2258</v>
      </c>
      <c r="AC162" s="2">
        <v>2.8116250568710299</v>
      </c>
      <c r="AD162" s="2"/>
      <c r="AE162" s="2">
        <v>2.07170123794767</v>
      </c>
      <c r="AF162" s="2">
        <v>368818.34056524001</v>
      </c>
      <c r="AG162" s="2">
        <v>84538.999785597101</v>
      </c>
      <c r="AH162" s="5">
        <v>4.3627005465006201</v>
      </c>
      <c r="AI162" s="5">
        <v>2.12522145127457</v>
      </c>
      <c r="AJ162" s="5" t="s">
        <v>139</v>
      </c>
      <c r="AK162" s="2">
        <v>0.28419833993333199</v>
      </c>
      <c r="AL162" s="2">
        <v>0.60000138164408201</v>
      </c>
      <c r="AM162" s="2">
        <v>12441.800445867601</v>
      </c>
      <c r="AN162" s="2">
        <v>3552.2427001872902</v>
      </c>
      <c r="AO162" s="2">
        <v>684311.50104060303</v>
      </c>
      <c r="AP162" s="2">
        <v>9894.0224625990395</v>
      </c>
      <c r="AQ162" s="2">
        <v>1462740.9579408099</v>
      </c>
      <c r="AR162" s="2">
        <v>39969.518801372498</v>
      </c>
      <c r="AS162" s="2">
        <v>360542.65170972899</v>
      </c>
      <c r="AT162" s="2">
        <v>13122.5726115458</v>
      </c>
      <c r="AU162" s="2">
        <v>110183.104710596</v>
      </c>
      <c r="AV162" s="2">
        <v>12973.6354366011</v>
      </c>
      <c r="AW162" s="2">
        <v>5520.3678691618998</v>
      </c>
      <c r="AX162" s="2">
        <v>4891.6663759486401</v>
      </c>
    </row>
    <row r="163" spans="1:50" x14ac:dyDescent="0.25">
      <c r="A163" s="2" t="s">
        <v>2259</v>
      </c>
      <c r="B163" s="2">
        <v>279.232511949394</v>
      </c>
      <c r="C163" s="2">
        <v>10.6304833333333</v>
      </c>
      <c r="D163" s="2" t="s">
        <v>51</v>
      </c>
      <c r="E163" s="2" t="s">
        <v>2260</v>
      </c>
      <c r="F163" s="2">
        <v>651</v>
      </c>
      <c r="G163" s="3" t="str">
        <f>HYPERLINK("https://cloud.oebiotech.com/#/lm/network/651", "https://cloud.oebiotech.com/#/lm/network/651")</f>
        <v>https://cloud.oebiotech.com/#/lm/network/651</v>
      </c>
      <c r="H163" s="2" t="s">
        <v>2261</v>
      </c>
      <c r="I163" s="2"/>
      <c r="J163" s="2" t="s">
        <v>2262</v>
      </c>
      <c r="K163" s="2">
        <v>5282818</v>
      </c>
      <c r="L163" s="2"/>
      <c r="M163" s="2"/>
      <c r="N163" s="2"/>
      <c r="O163" s="2">
        <v>86148</v>
      </c>
      <c r="P163" s="2"/>
      <c r="Q163" s="2"/>
      <c r="R163" s="2" t="s">
        <v>2263</v>
      </c>
      <c r="S163" s="2" t="s">
        <v>2264</v>
      </c>
      <c r="T163" s="2" t="s">
        <v>2265</v>
      </c>
      <c r="U163" s="2" t="s">
        <v>56</v>
      </c>
      <c r="V163" s="2" t="s">
        <v>145</v>
      </c>
      <c r="W163" s="2" t="s">
        <v>203</v>
      </c>
      <c r="X163" s="2" t="s">
        <v>83</v>
      </c>
      <c r="Y163" s="2">
        <v>57.5</v>
      </c>
      <c r="Z163" s="2">
        <v>0</v>
      </c>
      <c r="AA163" s="2" t="s">
        <v>179</v>
      </c>
      <c r="AB163" s="2" t="s">
        <v>2258</v>
      </c>
      <c r="AC163" s="2">
        <v>2.3553496713902602</v>
      </c>
      <c r="AD163" s="2"/>
      <c r="AE163" s="2">
        <v>2.0661455973390099</v>
      </c>
      <c r="AF163" s="2">
        <v>639373.98547192302</v>
      </c>
      <c r="AG163" s="2">
        <v>503130.08154550998</v>
      </c>
      <c r="AH163" s="5">
        <v>1.2707926020004601</v>
      </c>
      <c r="AI163" s="5">
        <v>0.345728596448029</v>
      </c>
      <c r="AJ163" s="5" t="s">
        <v>139</v>
      </c>
      <c r="AK163" s="2">
        <v>0.18571006224534201</v>
      </c>
      <c r="AL163" s="2">
        <v>0.51040020334889302</v>
      </c>
      <c r="AM163" s="2">
        <v>528891.47997324902</v>
      </c>
      <c r="AN163" s="2">
        <v>868544.37065454503</v>
      </c>
      <c r="AO163" s="2">
        <v>689905.70455804595</v>
      </c>
      <c r="AP163" s="2">
        <v>357720.60492637102</v>
      </c>
      <c r="AQ163" s="2">
        <v>730059.95604765497</v>
      </c>
      <c r="AR163" s="2">
        <v>661121.79667167296</v>
      </c>
      <c r="AS163" s="2">
        <v>502756.59960249899</v>
      </c>
      <c r="AT163" s="2">
        <v>408986.62067498098</v>
      </c>
      <c r="AU163" s="2">
        <v>803849.05674973805</v>
      </c>
      <c r="AV163" s="2">
        <v>376772.787215574</v>
      </c>
      <c r="AW163" s="2">
        <v>431684.88378176902</v>
      </c>
      <c r="AX163" s="2">
        <v>494730.54124849598</v>
      </c>
    </row>
    <row r="164" spans="1:50" x14ac:dyDescent="0.25">
      <c r="A164" s="2" t="s">
        <v>544</v>
      </c>
      <c r="B164" s="2">
        <v>353.23364412313799</v>
      </c>
      <c r="C164" s="2">
        <v>9.3782999999999994</v>
      </c>
      <c r="D164" s="2" t="s">
        <v>51</v>
      </c>
      <c r="E164" s="2" t="s">
        <v>545</v>
      </c>
      <c r="F164" s="2">
        <v>3953</v>
      </c>
      <c r="G164" s="3" t="str">
        <f>HYPERLINK("https://cloud.oebiotech.com/#/lm/network/3953", "https://cloud.oebiotech.com/#/lm/network/3953")</f>
        <v>https://cloud.oebiotech.com/#/lm/network/3953</v>
      </c>
      <c r="H164" s="2" t="s">
        <v>546</v>
      </c>
      <c r="I164" s="2">
        <v>61544</v>
      </c>
      <c r="J164" s="2" t="s">
        <v>547</v>
      </c>
      <c r="K164" s="2">
        <v>53480356</v>
      </c>
      <c r="L164" s="2"/>
      <c r="M164" s="2"/>
      <c r="N164" s="2"/>
      <c r="O164" s="2"/>
      <c r="P164" s="2"/>
      <c r="Q164" s="2"/>
      <c r="R164" s="2"/>
      <c r="S164" s="2" t="s">
        <v>548</v>
      </c>
      <c r="T164" s="2" t="s">
        <v>549</v>
      </c>
      <c r="U164" s="2" t="s">
        <v>56</v>
      </c>
      <c r="V164" s="2" t="s">
        <v>145</v>
      </c>
      <c r="W164" s="2" t="s">
        <v>187</v>
      </c>
      <c r="X164" s="2" t="s">
        <v>69</v>
      </c>
      <c r="Y164" s="2">
        <v>54</v>
      </c>
      <c r="Z164" s="2">
        <v>50.2</v>
      </c>
      <c r="AA164" s="2" t="s">
        <v>163</v>
      </c>
      <c r="AB164" s="2" t="s">
        <v>550</v>
      </c>
      <c r="AC164" s="2">
        <v>0.83662611639617201</v>
      </c>
      <c r="AD164" s="2"/>
      <c r="AE164" s="2">
        <v>2.0647088740949102</v>
      </c>
      <c r="AF164" s="2">
        <v>202139.89053236201</v>
      </c>
      <c r="AG164" s="2">
        <v>116228.13333669701</v>
      </c>
      <c r="AH164" s="5">
        <v>1.7391649055120699</v>
      </c>
      <c r="AI164" s="5">
        <v>0.79839473372847702</v>
      </c>
      <c r="AJ164" s="5" t="s">
        <v>139</v>
      </c>
      <c r="AK164" s="2">
        <v>2.2141880822399698E-3</v>
      </c>
      <c r="AL164" s="2">
        <v>0.101912249503871</v>
      </c>
      <c r="AM164" s="2">
        <v>241706.188181943</v>
      </c>
      <c r="AN164" s="2">
        <v>225923.573178886</v>
      </c>
      <c r="AO164" s="2">
        <v>188831.362294625</v>
      </c>
      <c r="AP164" s="2">
        <v>165450.42783830801</v>
      </c>
      <c r="AQ164" s="2">
        <v>173503.35187064201</v>
      </c>
      <c r="AR164" s="2">
        <v>217424.43982976599</v>
      </c>
      <c r="AS164" s="2">
        <v>129838.71203640501</v>
      </c>
      <c r="AT164" s="2">
        <v>61490.110559525499</v>
      </c>
      <c r="AU164" s="2">
        <v>180058.59777801501</v>
      </c>
      <c r="AV164" s="2">
        <v>83926.822762947704</v>
      </c>
      <c r="AW164" s="2">
        <v>132162.90319899001</v>
      </c>
      <c r="AX164" s="2">
        <v>109891.65368430001</v>
      </c>
    </row>
    <row r="165" spans="1:50" x14ac:dyDescent="0.25">
      <c r="A165" s="2" t="s">
        <v>2266</v>
      </c>
      <c r="B165" s="2">
        <v>611.21425842926203</v>
      </c>
      <c r="C165" s="2">
        <v>4.4844999999999997</v>
      </c>
      <c r="D165" s="2" t="s">
        <v>51</v>
      </c>
      <c r="E165" s="2" t="s">
        <v>2267</v>
      </c>
      <c r="F165" s="2">
        <v>257155</v>
      </c>
      <c r="G165" s="3" t="str">
        <f>HYPERLINK("https://cloud.oebiotech.com/#/lm/network/257155", "https://cloud.oebiotech.com/#/lm/network/257155")</f>
        <v>https://cloud.oebiotech.com/#/lm/network/257155</v>
      </c>
      <c r="H165" s="2" t="s">
        <v>2268</v>
      </c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 t="s">
        <v>2269</v>
      </c>
      <c r="T165" s="2" t="s">
        <v>2270</v>
      </c>
      <c r="U165" s="2" t="s">
        <v>266</v>
      </c>
      <c r="V165" s="2" t="s">
        <v>2271</v>
      </c>
      <c r="W165" s="2" t="s">
        <v>2272</v>
      </c>
      <c r="X165" s="2" t="s">
        <v>147</v>
      </c>
      <c r="Y165" s="2">
        <v>40.200000000000003</v>
      </c>
      <c r="Z165" s="2">
        <v>30</v>
      </c>
      <c r="AA165" s="2" t="s">
        <v>60</v>
      </c>
      <c r="AB165" s="2" t="s">
        <v>2273</v>
      </c>
      <c r="AC165" s="2">
        <v>0.52477001957439096</v>
      </c>
      <c r="AD165" s="2"/>
      <c r="AE165" s="2">
        <v>2.0602361744438902</v>
      </c>
      <c r="AF165" s="2">
        <v>646.827064521284</v>
      </c>
      <c r="AG165" s="2">
        <v>195234.791076394</v>
      </c>
      <c r="AH165" s="4">
        <v>3.3130727415698301E-3</v>
      </c>
      <c r="AI165" s="4">
        <v>-8.2376144051942592</v>
      </c>
      <c r="AJ165" s="4" t="s">
        <v>62</v>
      </c>
      <c r="AK165" s="2">
        <v>0.33935113646135001</v>
      </c>
      <c r="AL165" s="2">
        <v>0.63815037094278604</v>
      </c>
      <c r="AM165" s="2">
        <v>20.8897702292569</v>
      </c>
      <c r="AN165" s="2">
        <v>58.339956948980301</v>
      </c>
      <c r="AO165" s="2">
        <v>56.748372147091402</v>
      </c>
      <c r="AP165" s="2">
        <v>66.520924243519005</v>
      </c>
      <c r="AQ165" s="2">
        <v>40.905618406396201</v>
      </c>
      <c r="AR165" s="2">
        <v>3637.55774515246</v>
      </c>
      <c r="AS165" s="2">
        <v>383.657333490138</v>
      </c>
      <c r="AT165" s="2">
        <v>134.03170500029501</v>
      </c>
      <c r="AU165" s="2">
        <v>40.572254694342902</v>
      </c>
      <c r="AV165" s="2">
        <v>5821.2505075003901</v>
      </c>
      <c r="AW165" s="2">
        <v>1164908.0936680101</v>
      </c>
      <c r="AX165" s="2">
        <v>121.14098967168</v>
      </c>
    </row>
    <row r="166" spans="1:50" x14ac:dyDescent="0.25">
      <c r="A166" s="2" t="s">
        <v>551</v>
      </c>
      <c r="B166" s="2">
        <v>766.57493918674197</v>
      </c>
      <c r="C166" s="2">
        <v>10.252599999999999</v>
      </c>
      <c r="D166" s="2" t="s">
        <v>51</v>
      </c>
      <c r="E166" s="2" t="s">
        <v>552</v>
      </c>
      <c r="F166" s="2">
        <v>49711</v>
      </c>
      <c r="G166" s="3" t="str">
        <f>HYPERLINK("https://cloud.oebiotech.com/#/lm/network/49711", "https://cloud.oebiotech.com/#/lm/network/49711")</f>
        <v>https://cloud.oebiotech.com/#/lm/network/49711</v>
      </c>
      <c r="H166" s="2" t="s">
        <v>553</v>
      </c>
      <c r="I166" s="2">
        <v>59901</v>
      </c>
      <c r="J166" s="2"/>
      <c r="K166" s="2">
        <v>53479049</v>
      </c>
      <c r="L166" s="2" t="s">
        <v>90</v>
      </c>
      <c r="M166" s="2" t="s">
        <v>91</v>
      </c>
      <c r="N166" s="2" t="s">
        <v>92</v>
      </c>
      <c r="O166" s="2">
        <v>88895</v>
      </c>
      <c r="P166" s="2"/>
      <c r="Q166" s="2"/>
      <c r="R166" s="2"/>
      <c r="S166" s="2" t="s">
        <v>554</v>
      </c>
      <c r="T166" s="2" t="s">
        <v>555</v>
      </c>
      <c r="U166" s="2" t="s">
        <v>56</v>
      </c>
      <c r="V166" s="2" t="s">
        <v>57</v>
      </c>
      <c r="W166" s="2" t="s">
        <v>58</v>
      </c>
      <c r="X166" s="2" t="s">
        <v>147</v>
      </c>
      <c r="Y166" s="2">
        <v>36.9</v>
      </c>
      <c r="Z166" s="2">
        <v>0</v>
      </c>
      <c r="AA166" s="2" t="s">
        <v>259</v>
      </c>
      <c r="AB166" s="2" t="s">
        <v>556</v>
      </c>
      <c r="AC166" s="2">
        <v>0.55150925966934095</v>
      </c>
      <c r="AD166" s="2"/>
      <c r="AE166" s="2">
        <v>2.0506948573372399</v>
      </c>
      <c r="AF166" s="2">
        <v>22801.1348207958</v>
      </c>
      <c r="AG166" s="2">
        <v>97466.461344463401</v>
      </c>
      <c r="AH166" s="4">
        <v>0.23393826457095401</v>
      </c>
      <c r="AI166" s="4">
        <v>-2.09580023665265</v>
      </c>
      <c r="AJ166" s="4" t="s">
        <v>62</v>
      </c>
      <c r="AK166" s="2">
        <v>1.0778565615432701E-5</v>
      </c>
      <c r="AL166" s="2">
        <v>1.5488881376670999E-2</v>
      </c>
      <c r="AM166" s="2">
        <v>8718.9463960057001</v>
      </c>
      <c r="AN166" s="2">
        <v>9488.9738755684502</v>
      </c>
      <c r="AO166" s="2">
        <v>3473.2981667200002</v>
      </c>
      <c r="AP166" s="2">
        <v>42879.651270543502</v>
      </c>
      <c r="AQ166" s="2">
        <v>36837.607978941</v>
      </c>
      <c r="AR166" s="2">
        <v>35408.331236996099</v>
      </c>
      <c r="AS166" s="2">
        <v>111802.803020044</v>
      </c>
      <c r="AT166" s="2">
        <v>99398.978233163594</v>
      </c>
      <c r="AU166" s="2">
        <v>99899.193014050703</v>
      </c>
      <c r="AV166" s="2">
        <v>112956.11487062799</v>
      </c>
      <c r="AW166" s="2">
        <v>77797.455434164498</v>
      </c>
      <c r="AX166" s="2">
        <v>82944.223494729798</v>
      </c>
    </row>
    <row r="167" spans="1:50" x14ac:dyDescent="0.25">
      <c r="A167" s="2" t="s">
        <v>557</v>
      </c>
      <c r="B167" s="2">
        <v>353.23371701226603</v>
      </c>
      <c r="C167" s="2">
        <v>8.3100500000000004</v>
      </c>
      <c r="D167" s="2" t="s">
        <v>51</v>
      </c>
      <c r="E167" s="2" t="s">
        <v>558</v>
      </c>
      <c r="F167" s="2">
        <v>28263</v>
      </c>
      <c r="G167" s="3" t="str">
        <f>HYPERLINK("https://cloud.oebiotech.com/#/lm/network/28263", "https://cloud.oebiotech.com/#/lm/network/28263")</f>
        <v>https://cloud.oebiotech.com/#/lm/network/28263</v>
      </c>
      <c r="H167" s="2"/>
      <c r="I167" s="2">
        <v>40994</v>
      </c>
      <c r="J167" s="2" t="s">
        <v>559</v>
      </c>
      <c r="K167" s="2">
        <v>193898</v>
      </c>
      <c r="L167" s="2" t="s">
        <v>560</v>
      </c>
      <c r="M167" s="2"/>
      <c r="N167" s="2"/>
      <c r="O167" s="2">
        <v>29504</v>
      </c>
      <c r="P167" s="2"/>
      <c r="Q167" s="2"/>
      <c r="R167" s="2"/>
      <c r="S167" s="2" t="s">
        <v>561</v>
      </c>
      <c r="T167" s="2" t="s">
        <v>562</v>
      </c>
      <c r="U167" s="2" t="s">
        <v>540</v>
      </c>
      <c r="V167" s="2" t="s">
        <v>563</v>
      </c>
      <c r="W167" s="2" t="s">
        <v>240</v>
      </c>
      <c r="X167" s="2" t="s">
        <v>83</v>
      </c>
      <c r="Y167" s="2">
        <v>64.3</v>
      </c>
      <c r="Z167" s="2">
        <v>40.799999999999997</v>
      </c>
      <c r="AA167" s="2" t="s">
        <v>379</v>
      </c>
      <c r="AB167" s="2" t="s">
        <v>564</v>
      </c>
      <c r="AC167" s="2">
        <v>0.99196563148231298</v>
      </c>
      <c r="AD167" s="2"/>
      <c r="AE167" s="2">
        <v>2.0502588748200901</v>
      </c>
      <c r="AF167" s="2">
        <v>161268.002806551</v>
      </c>
      <c r="AG167" s="2">
        <v>72810.936054488004</v>
      </c>
      <c r="AH167" s="5">
        <v>2.2148870972605899</v>
      </c>
      <c r="AI167" s="5">
        <v>1.1472331600111501</v>
      </c>
      <c r="AJ167" s="5" t="s">
        <v>139</v>
      </c>
      <c r="AK167" s="2">
        <v>4.6513603662006499E-2</v>
      </c>
      <c r="AL167" s="2">
        <v>0.303077969035141</v>
      </c>
      <c r="AM167" s="2">
        <v>318541.31348509103</v>
      </c>
      <c r="AN167" s="2">
        <v>187000.199832802</v>
      </c>
      <c r="AO167" s="2">
        <v>114179.299823942</v>
      </c>
      <c r="AP167" s="2">
        <v>83287.236541353894</v>
      </c>
      <c r="AQ167" s="2">
        <v>128151.01128973599</v>
      </c>
      <c r="AR167" s="2">
        <v>136448.95586638301</v>
      </c>
      <c r="AS167" s="2">
        <v>72277.741866564902</v>
      </c>
      <c r="AT167" s="2">
        <v>24143.0164265444</v>
      </c>
      <c r="AU167" s="2">
        <v>147339.98324567699</v>
      </c>
      <c r="AV167" s="2">
        <v>34392.841511681698</v>
      </c>
      <c r="AW167" s="2">
        <v>61568.623487752302</v>
      </c>
      <c r="AX167" s="2">
        <v>97143.409788707606</v>
      </c>
    </row>
    <row r="168" spans="1:50" x14ac:dyDescent="0.25">
      <c r="A168" s="2" t="s">
        <v>2274</v>
      </c>
      <c r="B168" s="2">
        <v>191.0967</v>
      </c>
      <c r="C168" s="2">
        <v>6.7549999999999999</v>
      </c>
      <c r="D168" s="2" t="s">
        <v>125</v>
      </c>
      <c r="E168" s="2" t="s">
        <v>2275</v>
      </c>
      <c r="F168" s="2">
        <v>46919</v>
      </c>
      <c r="G168" s="3" t="str">
        <f>HYPERLINK("https://cloud.oebiotech.com/#/lm/network/46919", "https://cloud.oebiotech.com/#/lm/network/46919")</f>
        <v>https://cloud.oebiotech.com/#/lm/network/46919</v>
      </c>
      <c r="H168" s="2" t="s">
        <v>2276</v>
      </c>
      <c r="I168" s="2">
        <v>45858</v>
      </c>
      <c r="J168" s="2"/>
      <c r="K168" s="2">
        <v>107689</v>
      </c>
      <c r="L168" s="2" t="s">
        <v>2277</v>
      </c>
      <c r="M168" s="2" t="s">
        <v>2278</v>
      </c>
      <c r="N168" s="2" t="s">
        <v>2279</v>
      </c>
      <c r="O168" s="2">
        <v>422</v>
      </c>
      <c r="P168" s="2" t="s">
        <v>2280</v>
      </c>
      <c r="Q168" s="2" t="s">
        <v>2281</v>
      </c>
      <c r="R168" s="2" t="s">
        <v>2282</v>
      </c>
      <c r="S168" s="2" t="s">
        <v>2283</v>
      </c>
      <c r="T168" s="2" t="s">
        <v>2284</v>
      </c>
      <c r="U168" s="2" t="s">
        <v>103</v>
      </c>
      <c r="V168" s="2" t="s">
        <v>377</v>
      </c>
      <c r="W168" s="2" t="s">
        <v>2285</v>
      </c>
      <c r="X168" s="2" t="s">
        <v>69</v>
      </c>
      <c r="Y168" s="2">
        <v>88.8</v>
      </c>
      <c r="Z168" s="2">
        <v>82.3</v>
      </c>
      <c r="AA168" s="2"/>
      <c r="AB168" s="2" t="s">
        <v>2286</v>
      </c>
      <c r="AC168" s="2"/>
      <c r="AD168" s="2">
        <v>221738.61292234701</v>
      </c>
      <c r="AE168" s="2">
        <v>2.04689271609183</v>
      </c>
      <c r="AF168" s="2">
        <v>11872572.9031951</v>
      </c>
      <c r="AG168" s="2">
        <v>10002408.9889016</v>
      </c>
      <c r="AH168" s="5">
        <v>1.1869713502385799</v>
      </c>
      <c r="AI168" s="5">
        <v>0.247285113271702</v>
      </c>
      <c r="AJ168" s="5" t="s">
        <v>139</v>
      </c>
      <c r="AK168" s="2">
        <v>0.25841620797975501</v>
      </c>
      <c r="AL168" s="2">
        <v>0.58060626803014403</v>
      </c>
      <c r="AM168" s="2">
        <v>10398600.896012399</v>
      </c>
      <c r="AN168" s="2">
        <v>10440443.7321449</v>
      </c>
      <c r="AO168" s="2">
        <v>12378378.2594871</v>
      </c>
      <c r="AP168" s="2">
        <v>17653025.476713799</v>
      </c>
      <c r="AQ168" s="2">
        <v>11160962.984693799</v>
      </c>
      <c r="AR168" s="2">
        <v>9204026.0701187607</v>
      </c>
      <c r="AS168" s="2">
        <v>7961903.83061508</v>
      </c>
      <c r="AT168" s="2">
        <v>12687982.443388101</v>
      </c>
      <c r="AU168" s="2">
        <v>9922493.3896102794</v>
      </c>
      <c r="AV168" s="2">
        <v>9868334.93196561</v>
      </c>
      <c r="AW168" s="2">
        <v>12620064.8558995</v>
      </c>
      <c r="AX168" s="2">
        <v>6953674.4819312403</v>
      </c>
    </row>
    <row r="169" spans="1:50" x14ac:dyDescent="0.25">
      <c r="A169" s="2" t="s">
        <v>565</v>
      </c>
      <c r="B169" s="2">
        <v>773.53477429166003</v>
      </c>
      <c r="C169" s="2">
        <v>13.3257833333333</v>
      </c>
      <c r="D169" s="2" t="s">
        <v>51</v>
      </c>
      <c r="E169" s="2" t="s">
        <v>566</v>
      </c>
      <c r="F169" s="2">
        <v>51101</v>
      </c>
      <c r="G169" s="3" t="str">
        <f>HYPERLINK("https://cloud.oebiotech.com/#/lm/network/51101", "https://cloud.oebiotech.com/#/lm/network/51101")</f>
        <v>https://cloud.oebiotech.com/#/lm/network/51101</v>
      </c>
      <c r="H169" s="2" t="s">
        <v>567</v>
      </c>
      <c r="I169" s="2">
        <v>61889</v>
      </c>
      <c r="J169" s="2"/>
      <c r="K169" s="2">
        <v>53480617</v>
      </c>
      <c r="L169" s="2"/>
      <c r="M169" s="2"/>
      <c r="N169" s="2"/>
      <c r="O169" s="2">
        <v>89273</v>
      </c>
      <c r="P169" s="2"/>
      <c r="Q169" s="2"/>
      <c r="R169" s="2"/>
      <c r="S169" s="2" t="s">
        <v>568</v>
      </c>
      <c r="T169" s="2" t="s">
        <v>569</v>
      </c>
      <c r="U169" s="2" t="s">
        <v>56</v>
      </c>
      <c r="V169" s="2" t="s">
        <v>57</v>
      </c>
      <c r="W169" s="2" t="s">
        <v>570</v>
      </c>
      <c r="X169" s="2" t="s">
        <v>83</v>
      </c>
      <c r="Y169" s="2">
        <v>43.3</v>
      </c>
      <c r="Z169" s="2">
        <v>0</v>
      </c>
      <c r="AA169" s="2" t="s">
        <v>163</v>
      </c>
      <c r="AB169" s="2" t="s">
        <v>571</v>
      </c>
      <c r="AC169" s="2">
        <v>1.2463696869495999</v>
      </c>
      <c r="AD169" s="2"/>
      <c r="AE169" s="2">
        <v>2.0326445817787802</v>
      </c>
      <c r="AF169" s="2">
        <v>91651.604561066997</v>
      </c>
      <c r="AG169" s="2">
        <v>12133.445885212301</v>
      </c>
      <c r="AH169" s="5">
        <v>7.5536336031933002</v>
      </c>
      <c r="AI169" s="5">
        <v>2.9171708060608599</v>
      </c>
      <c r="AJ169" s="5" t="s">
        <v>139</v>
      </c>
      <c r="AK169" s="2">
        <v>1.3235914279941801E-4</v>
      </c>
      <c r="AL169" s="2">
        <v>3.9225470277496198E-2</v>
      </c>
      <c r="AM169" s="2">
        <v>99814.618220956196</v>
      </c>
      <c r="AN169" s="2">
        <v>103030.423787212</v>
      </c>
      <c r="AO169" s="2">
        <v>126112.488325217</v>
      </c>
      <c r="AP169" s="2">
        <v>102899.13295330299</v>
      </c>
      <c r="AQ169" s="2">
        <v>76319.569215449897</v>
      </c>
      <c r="AR169" s="2">
        <v>41733.394864263799</v>
      </c>
      <c r="AS169" s="2">
        <v>39449.208874251002</v>
      </c>
      <c r="AT169" s="2">
        <v>15014.1437532454</v>
      </c>
      <c r="AU169" s="2">
        <v>9846.5443172923497</v>
      </c>
      <c r="AV169" s="2">
        <v>5881.4863222976801</v>
      </c>
      <c r="AW169" s="2">
        <v>2144.9511524218301</v>
      </c>
      <c r="AX169" s="2">
        <v>464.34089176546502</v>
      </c>
    </row>
    <row r="170" spans="1:50" x14ac:dyDescent="0.25">
      <c r="A170" s="2" t="s">
        <v>572</v>
      </c>
      <c r="B170" s="2">
        <v>794.56921283328495</v>
      </c>
      <c r="C170" s="2">
        <v>13.5068</v>
      </c>
      <c r="D170" s="2" t="s">
        <v>51</v>
      </c>
      <c r="E170" s="2" t="s">
        <v>573</v>
      </c>
      <c r="F170" s="2">
        <v>20774</v>
      </c>
      <c r="G170" s="3" t="str">
        <f>HYPERLINK("https://cloud.oebiotech.com/#/lm/network/20774", "https://cloud.oebiotech.com/#/lm/network/20774")</f>
        <v>https://cloud.oebiotech.com/#/lm/network/20774</v>
      </c>
      <c r="H170" s="2" t="s">
        <v>574</v>
      </c>
      <c r="I170" s="2">
        <v>60945</v>
      </c>
      <c r="J170" s="2" t="s">
        <v>575</v>
      </c>
      <c r="K170" s="2">
        <v>52924786</v>
      </c>
      <c r="L170" s="2" t="s">
        <v>254</v>
      </c>
      <c r="M170" s="2" t="s">
        <v>255</v>
      </c>
      <c r="N170" s="2" t="s">
        <v>256</v>
      </c>
      <c r="O170" s="2"/>
      <c r="P170" s="2"/>
      <c r="Q170" s="2"/>
      <c r="R170" s="2"/>
      <c r="S170" s="2" t="s">
        <v>576</v>
      </c>
      <c r="T170" s="2" t="s">
        <v>577</v>
      </c>
      <c r="U170" s="2" t="s">
        <v>56</v>
      </c>
      <c r="V170" s="2" t="s">
        <v>57</v>
      </c>
      <c r="W170" s="2" t="s">
        <v>155</v>
      </c>
      <c r="X170" s="2" t="s">
        <v>147</v>
      </c>
      <c r="Y170" s="2">
        <v>36.799999999999997</v>
      </c>
      <c r="Z170" s="2">
        <v>0</v>
      </c>
      <c r="AA170" s="2" t="s">
        <v>259</v>
      </c>
      <c r="AB170" s="2" t="s">
        <v>578</v>
      </c>
      <c r="AC170" s="2">
        <v>-0.27566283700279398</v>
      </c>
      <c r="AD170" s="2"/>
      <c r="AE170" s="2">
        <v>2.03096698785845</v>
      </c>
      <c r="AF170" s="2">
        <v>9743.5302603544005</v>
      </c>
      <c r="AG170" s="2">
        <v>97751.669954114695</v>
      </c>
      <c r="AH170" s="4">
        <v>9.9676356065610705E-2</v>
      </c>
      <c r="AI170" s="4">
        <v>-3.3266048620043498</v>
      </c>
      <c r="AJ170" s="4" t="s">
        <v>62</v>
      </c>
      <c r="AK170" s="2">
        <v>1.5406857762133501E-3</v>
      </c>
      <c r="AL170" s="2">
        <v>9.8160839002130199E-2</v>
      </c>
      <c r="AM170" s="2">
        <v>988.19318711885796</v>
      </c>
      <c r="AN170" s="2">
        <v>855.55718423620499</v>
      </c>
      <c r="AO170" s="2">
        <v>993.864798005799</v>
      </c>
      <c r="AP170" s="2">
        <v>754.10337987854405</v>
      </c>
      <c r="AQ170" s="2">
        <v>24001.546104420901</v>
      </c>
      <c r="AR170" s="2">
        <v>30867.916908466101</v>
      </c>
      <c r="AS170" s="2">
        <v>100719.10624540701</v>
      </c>
      <c r="AT170" s="2">
        <v>62921.326745042701</v>
      </c>
      <c r="AU170" s="2">
        <v>123209.267596647</v>
      </c>
      <c r="AV170" s="2">
        <v>31346.958553435899</v>
      </c>
      <c r="AW170" s="2">
        <v>170381.899542575</v>
      </c>
      <c r="AX170" s="2">
        <v>97931.461041580798</v>
      </c>
    </row>
    <row r="171" spans="1:50" x14ac:dyDescent="0.25">
      <c r="A171" s="2" t="s">
        <v>579</v>
      </c>
      <c r="B171" s="2">
        <v>415.21005928877997</v>
      </c>
      <c r="C171" s="2">
        <v>6.8908500000000004</v>
      </c>
      <c r="D171" s="2" t="s">
        <v>51</v>
      </c>
      <c r="E171" s="2" t="s">
        <v>580</v>
      </c>
      <c r="F171" s="2">
        <v>45102</v>
      </c>
      <c r="G171" s="3" t="str">
        <f>HYPERLINK("https://cloud.oebiotech.com/#/lm/network/45102", "https://cloud.oebiotech.com/#/lm/network/45102")</f>
        <v>https://cloud.oebiotech.com/#/lm/network/45102</v>
      </c>
      <c r="H171" s="2"/>
      <c r="I171" s="2"/>
      <c r="J171" s="2" t="s">
        <v>581</v>
      </c>
      <c r="K171" s="2"/>
      <c r="L171" s="2"/>
      <c r="M171" s="2"/>
      <c r="N171" s="2"/>
      <c r="O171" s="2"/>
      <c r="P171" s="2"/>
      <c r="Q171" s="2"/>
      <c r="R171" s="2"/>
      <c r="S171" s="2" t="s">
        <v>582</v>
      </c>
      <c r="T171" s="2" t="s">
        <v>583</v>
      </c>
      <c r="U171" s="2" t="s">
        <v>56</v>
      </c>
      <c r="V171" s="2" t="s">
        <v>177</v>
      </c>
      <c r="W171" s="2" t="s">
        <v>584</v>
      </c>
      <c r="X171" s="2" t="s">
        <v>83</v>
      </c>
      <c r="Y171" s="2">
        <v>51.2</v>
      </c>
      <c r="Z171" s="2">
        <v>0</v>
      </c>
      <c r="AA171" s="2" t="s">
        <v>156</v>
      </c>
      <c r="AB171" s="2" t="s">
        <v>585</v>
      </c>
      <c r="AC171" s="2">
        <v>-3.3682890294038099</v>
      </c>
      <c r="AD171" s="2"/>
      <c r="AE171" s="2">
        <v>2.0300723658700899</v>
      </c>
      <c r="AF171" s="2">
        <v>193387.95582187199</v>
      </c>
      <c r="AG171" s="2">
        <v>104242.455763928</v>
      </c>
      <c r="AH171" s="5">
        <v>1.8551745966137501</v>
      </c>
      <c r="AI171" s="5">
        <v>0.89155497003495199</v>
      </c>
      <c r="AJ171" s="5" t="s">
        <v>139</v>
      </c>
      <c r="AK171" s="2">
        <v>4.0616608496362901E-2</v>
      </c>
      <c r="AL171" s="2">
        <v>0.29155452793099101</v>
      </c>
      <c r="AM171" s="2">
        <v>363592.004861522</v>
      </c>
      <c r="AN171" s="2">
        <v>176032.411913722</v>
      </c>
      <c r="AO171" s="2">
        <v>169364.83888335101</v>
      </c>
      <c r="AP171" s="2">
        <v>165164.10731092299</v>
      </c>
      <c r="AQ171" s="2">
        <v>103595.270642969</v>
      </c>
      <c r="AR171" s="2">
        <v>182579.10131874299</v>
      </c>
      <c r="AS171" s="2">
        <v>137242.370508372</v>
      </c>
      <c r="AT171" s="2">
        <v>85507.139933242303</v>
      </c>
      <c r="AU171" s="2">
        <v>138878.09525387399</v>
      </c>
      <c r="AV171" s="2">
        <v>64429.103144877503</v>
      </c>
      <c r="AW171" s="2">
        <v>105512.15396412701</v>
      </c>
      <c r="AX171" s="2">
        <v>93885.871779073903</v>
      </c>
    </row>
    <row r="172" spans="1:50" x14ac:dyDescent="0.25">
      <c r="A172" s="2" t="s">
        <v>2287</v>
      </c>
      <c r="B172" s="2">
        <v>563.55234483983702</v>
      </c>
      <c r="C172" s="2">
        <v>12.6645</v>
      </c>
      <c r="D172" s="2" t="s">
        <v>51</v>
      </c>
      <c r="E172" s="2" t="s">
        <v>2288</v>
      </c>
      <c r="F172" s="2">
        <v>258318</v>
      </c>
      <c r="G172" s="3" t="str">
        <f>HYPERLINK("https://cloud.oebiotech.com/#/lm/network/258318", "https://cloud.oebiotech.com/#/lm/network/258318")</f>
        <v>https://cloud.oebiotech.com/#/lm/network/258318</v>
      </c>
      <c r="H172" s="2"/>
      <c r="I172" s="2">
        <v>3988</v>
      </c>
      <c r="J172" s="2"/>
      <c r="K172" s="2">
        <v>6473883</v>
      </c>
      <c r="L172" s="2"/>
      <c r="M172" s="2"/>
      <c r="N172" s="2"/>
      <c r="O172" s="2"/>
      <c r="P172" s="2"/>
      <c r="Q172" s="2"/>
      <c r="R172" s="2" t="s">
        <v>2289</v>
      </c>
      <c r="S172" s="2" t="s">
        <v>2290</v>
      </c>
      <c r="T172" s="2" t="s">
        <v>2291</v>
      </c>
      <c r="U172" s="2" t="s">
        <v>331</v>
      </c>
      <c r="V172" s="2" t="s">
        <v>332</v>
      </c>
      <c r="W172" s="2" t="s">
        <v>333</v>
      </c>
      <c r="X172" s="2" t="s">
        <v>147</v>
      </c>
      <c r="Y172" s="2">
        <v>38.799999999999997</v>
      </c>
      <c r="Z172" s="2">
        <v>0</v>
      </c>
      <c r="AA172" s="2" t="s">
        <v>95</v>
      </c>
      <c r="AB172" s="2" t="s">
        <v>2292</v>
      </c>
      <c r="AC172" s="2">
        <v>-0.514554263348312</v>
      </c>
      <c r="AD172" s="2"/>
      <c r="AE172" s="2">
        <v>2.0265485149244298</v>
      </c>
      <c r="AF172" s="2">
        <v>512898.82493537001</v>
      </c>
      <c r="AG172" s="2">
        <v>883790.29763527599</v>
      </c>
      <c r="AH172" s="4">
        <v>0.58033995882022504</v>
      </c>
      <c r="AI172" s="4">
        <v>-0.78502982702131097</v>
      </c>
      <c r="AJ172" s="4" t="s">
        <v>62</v>
      </c>
      <c r="AK172" s="2">
        <v>0.591580608655361</v>
      </c>
      <c r="AL172" s="2">
        <v>0.79384060507313303</v>
      </c>
      <c r="AM172" s="2">
        <v>8.559877937157E-6</v>
      </c>
      <c r="AN172" s="2">
        <v>8.559877937157E-6</v>
      </c>
      <c r="AO172" s="2">
        <v>1268305.2619383901</v>
      </c>
      <c r="AP172" s="2">
        <v>8.559877937157E-6</v>
      </c>
      <c r="AQ172" s="2">
        <v>1806005.27358847</v>
      </c>
      <c r="AR172" s="2">
        <v>3082.4140596828302</v>
      </c>
      <c r="AS172" s="2">
        <v>3279621.44971905</v>
      </c>
      <c r="AT172" s="2">
        <v>8.559877937157E-6</v>
      </c>
      <c r="AU172" s="2">
        <v>2017981.48036917</v>
      </c>
      <c r="AV172" s="2">
        <v>5138.8556977562703</v>
      </c>
      <c r="AW172" s="2">
        <v>8.559877937157E-6</v>
      </c>
      <c r="AX172" s="2">
        <v>8.559877937157E-6</v>
      </c>
    </row>
    <row r="173" spans="1:50" x14ac:dyDescent="0.25">
      <c r="A173" s="2" t="s">
        <v>2293</v>
      </c>
      <c r="B173" s="2">
        <v>608.31838183495199</v>
      </c>
      <c r="C173" s="2">
        <v>10.61675</v>
      </c>
      <c r="D173" s="2" t="s">
        <v>51</v>
      </c>
      <c r="E173" s="2" t="s">
        <v>2294</v>
      </c>
      <c r="F173" s="2">
        <v>204301</v>
      </c>
      <c r="G173" s="3" t="str">
        <f>HYPERLINK("https://cloud.oebiotech.com/#/lm/network/204301", "https://cloud.oebiotech.com/#/lm/network/204301")</f>
        <v>https://cloud.oebiotech.com/#/lm/network/204301</v>
      </c>
      <c r="H173" s="2" t="s">
        <v>2295</v>
      </c>
      <c r="I173" s="2"/>
      <c r="J173" s="2"/>
      <c r="K173" s="2">
        <v>3519505</v>
      </c>
      <c r="L173" s="2"/>
      <c r="M173" s="2"/>
      <c r="N173" s="2"/>
      <c r="O173" s="2"/>
      <c r="P173" s="2"/>
      <c r="Q173" s="2"/>
      <c r="R173" s="2"/>
      <c r="S173" s="2" t="s">
        <v>2296</v>
      </c>
      <c r="T173" s="2" t="s">
        <v>2297</v>
      </c>
      <c r="U173" s="2" t="s">
        <v>103</v>
      </c>
      <c r="V173" s="2" t="s">
        <v>104</v>
      </c>
      <c r="W173" s="2" t="s">
        <v>105</v>
      </c>
      <c r="X173" s="2" t="s">
        <v>147</v>
      </c>
      <c r="Y173" s="2">
        <v>44.7</v>
      </c>
      <c r="Z173" s="2">
        <v>35.6</v>
      </c>
      <c r="AA173" s="2" t="s">
        <v>379</v>
      </c>
      <c r="AB173" s="2" t="s">
        <v>2298</v>
      </c>
      <c r="AC173" s="2">
        <v>-2.90729810901788</v>
      </c>
      <c r="AD173" s="2"/>
      <c r="AE173" s="2">
        <v>2.0247828972572601</v>
      </c>
      <c r="AF173" s="2">
        <v>427430.84546381899</v>
      </c>
      <c r="AG173" s="2">
        <v>533673.12969827</v>
      </c>
      <c r="AH173" s="4">
        <v>0.80092255292201298</v>
      </c>
      <c r="AI173" s="4">
        <v>-0.32026535027745701</v>
      </c>
      <c r="AJ173" s="4" t="s">
        <v>62</v>
      </c>
      <c r="AK173" s="2">
        <v>8.1629600622634205E-2</v>
      </c>
      <c r="AL173" s="2">
        <v>0.36976334458143501</v>
      </c>
      <c r="AM173" s="2">
        <v>460958.21671411197</v>
      </c>
      <c r="AN173" s="2">
        <v>377765.67227801599</v>
      </c>
      <c r="AO173" s="2">
        <v>421099.70341666898</v>
      </c>
      <c r="AP173" s="2">
        <v>443621.56710872398</v>
      </c>
      <c r="AQ173" s="2">
        <v>444104.22248692001</v>
      </c>
      <c r="AR173" s="2">
        <v>417035.690778472</v>
      </c>
      <c r="AS173" s="2">
        <v>448182.20171461499</v>
      </c>
      <c r="AT173" s="2">
        <v>390338.54655655299</v>
      </c>
      <c r="AU173" s="2">
        <v>427282.624012438</v>
      </c>
      <c r="AV173" s="2">
        <v>724437.93948597996</v>
      </c>
      <c r="AW173" s="2">
        <v>599722.72651964403</v>
      </c>
      <c r="AX173" s="2">
        <v>612074.73990039004</v>
      </c>
    </row>
    <row r="174" spans="1:50" x14ac:dyDescent="0.25">
      <c r="A174" s="2" t="s">
        <v>2299</v>
      </c>
      <c r="B174" s="2">
        <v>397.205608399472</v>
      </c>
      <c r="C174" s="2">
        <v>7.6020666666666701</v>
      </c>
      <c r="D174" s="2" t="s">
        <v>51</v>
      </c>
      <c r="E174" s="2" t="s">
        <v>2300</v>
      </c>
      <c r="F174" s="2">
        <v>197239</v>
      </c>
      <c r="G174" s="3" t="str">
        <f>HYPERLINK("https://cloud.oebiotech.com/#/lm/network/197239", "https://cloud.oebiotech.com/#/lm/network/197239")</f>
        <v>https://cloud.oebiotech.com/#/lm/network/197239</v>
      </c>
      <c r="H174" s="2" t="s">
        <v>2301</v>
      </c>
      <c r="I174" s="2"/>
      <c r="J174" s="2"/>
      <c r="K174" s="2">
        <v>21155376</v>
      </c>
      <c r="L174" s="2"/>
      <c r="M174" s="2"/>
      <c r="N174" s="2"/>
      <c r="O174" s="2"/>
      <c r="P174" s="2"/>
      <c r="Q174" s="2"/>
      <c r="R174" s="2" t="s">
        <v>2302</v>
      </c>
      <c r="S174" s="2" t="s">
        <v>2303</v>
      </c>
      <c r="T174" s="2" t="s">
        <v>2304</v>
      </c>
      <c r="U174" s="2" t="s">
        <v>56</v>
      </c>
      <c r="V174" s="2" t="s">
        <v>283</v>
      </c>
      <c r="W174" s="2" t="s">
        <v>2305</v>
      </c>
      <c r="X174" s="2" t="s">
        <v>147</v>
      </c>
      <c r="Y174" s="2">
        <v>39.6</v>
      </c>
      <c r="Z174" s="2">
        <v>3.26</v>
      </c>
      <c r="AA174" s="2" t="s">
        <v>163</v>
      </c>
      <c r="AB174" s="2" t="s">
        <v>2306</v>
      </c>
      <c r="AC174" s="2">
        <v>0.47623617675531299</v>
      </c>
      <c r="AD174" s="2"/>
      <c r="AE174" s="2">
        <v>2.0241826066668902</v>
      </c>
      <c r="AF174" s="2">
        <v>113859.362145691</v>
      </c>
      <c r="AG174" s="2">
        <v>235505.171425154</v>
      </c>
      <c r="AH174" s="4">
        <v>0.48346862812682001</v>
      </c>
      <c r="AI174" s="4">
        <v>-1.04850581741745</v>
      </c>
      <c r="AJ174" s="4" t="s">
        <v>62</v>
      </c>
      <c r="AK174" s="2">
        <v>5.2220783751931898E-2</v>
      </c>
      <c r="AL174" s="2">
        <v>0.31636203381144801</v>
      </c>
      <c r="AM174" s="2">
        <v>77211.929690662102</v>
      </c>
      <c r="AN174" s="2">
        <v>184004.94478170699</v>
      </c>
      <c r="AO174" s="2">
        <v>120925.34054702301</v>
      </c>
      <c r="AP174" s="2">
        <v>138793.75267021099</v>
      </c>
      <c r="AQ174" s="2">
        <v>97909.019003598107</v>
      </c>
      <c r="AR174" s="2">
        <v>64311.1861809439</v>
      </c>
      <c r="AS174" s="2">
        <v>295564.90749637998</v>
      </c>
      <c r="AT174" s="2">
        <v>301948.03938599699</v>
      </c>
      <c r="AU174" s="2">
        <v>138916.51142286599</v>
      </c>
      <c r="AV174" s="2">
        <v>427932.73009322002</v>
      </c>
      <c r="AW174" s="2">
        <v>161565.66634076601</v>
      </c>
      <c r="AX174" s="2">
        <v>87103.173811694796</v>
      </c>
    </row>
    <row r="175" spans="1:50" x14ac:dyDescent="0.25">
      <c r="A175" s="2" t="s">
        <v>586</v>
      </c>
      <c r="B175" s="2">
        <v>75.010000000000005</v>
      </c>
      <c r="C175" s="2">
        <v>22.49</v>
      </c>
      <c r="D175" s="2" t="s">
        <v>125</v>
      </c>
      <c r="E175" s="2" t="s">
        <v>587</v>
      </c>
      <c r="F175" s="2">
        <v>628</v>
      </c>
      <c r="G175" s="3" t="str">
        <f>HYPERLINK("https://cloud.oebiotech.com/#/lm/network/628", "https://cloud.oebiotech.com/#/lm/network/628")</f>
        <v>https://cloud.oebiotech.com/#/lm/network/628</v>
      </c>
      <c r="H175" s="2" t="s">
        <v>588</v>
      </c>
      <c r="I175" s="2">
        <v>191</v>
      </c>
      <c r="J175" s="2" t="s">
        <v>589</v>
      </c>
      <c r="K175" s="2">
        <v>5280450</v>
      </c>
      <c r="L175" s="2" t="s">
        <v>590</v>
      </c>
      <c r="M175" s="2" t="s">
        <v>591</v>
      </c>
      <c r="N175" s="2" t="s">
        <v>592</v>
      </c>
      <c r="O175" s="2">
        <v>17351</v>
      </c>
      <c r="P175" s="2" t="s">
        <v>593</v>
      </c>
      <c r="Q175" s="2" t="s">
        <v>594</v>
      </c>
      <c r="R175" s="2" t="s">
        <v>595</v>
      </c>
      <c r="S175" s="2" t="s">
        <v>596</v>
      </c>
      <c r="T175" s="2" t="s">
        <v>597</v>
      </c>
      <c r="U175" s="2" t="s">
        <v>56</v>
      </c>
      <c r="V175" s="2" t="s">
        <v>145</v>
      </c>
      <c r="W175" s="2" t="s">
        <v>203</v>
      </c>
      <c r="X175" s="2" t="s">
        <v>69</v>
      </c>
      <c r="Y175" s="2">
        <v>96.8</v>
      </c>
      <c r="Z175" s="2">
        <v>97.2</v>
      </c>
      <c r="AA175" s="2"/>
      <c r="AB175" s="2" t="s">
        <v>598</v>
      </c>
      <c r="AC175" s="2"/>
      <c r="AD175" s="2">
        <v>778615.10869565199</v>
      </c>
      <c r="AE175" s="2">
        <v>2.0144732421608502</v>
      </c>
      <c r="AF175" s="2">
        <v>887833.97038175899</v>
      </c>
      <c r="AG175" s="2">
        <v>1655156.4805562501</v>
      </c>
      <c r="AH175" s="4">
        <v>0.53640485404944005</v>
      </c>
      <c r="AI175" s="4">
        <v>-0.89860580231057896</v>
      </c>
      <c r="AJ175" s="4" t="s">
        <v>62</v>
      </c>
      <c r="AK175" s="2">
        <v>1.2529485714974401E-2</v>
      </c>
      <c r="AL175" s="2">
        <v>0.17776984428335699</v>
      </c>
      <c r="AM175" s="2">
        <v>936823.79772618797</v>
      </c>
      <c r="AN175" s="2">
        <v>950122.36766185996</v>
      </c>
      <c r="AO175" s="2">
        <v>1230221.4052108401</v>
      </c>
      <c r="AP175" s="2">
        <v>676532.47310882597</v>
      </c>
      <c r="AQ175" s="2">
        <v>773854.98989166599</v>
      </c>
      <c r="AR175" s="2">
        <v>759448.78869117505</v>
      </c>
      <c r="AS175" s="2">
        <v>1357125.35351911</v>
      </c>
      <c r="AT175" s="2">
        <v>801453.46380626201</v>
      </c>
      <c r="AU175" s="2">
        <v>2119525.9794742302</v>
      </c>
      <c r="AV175" s="2">
        <v>2089281.7002679</v>
      </c>
      <c r="AW175" s="2">
        <v>2263348.6501440299</v>
      </c>
      <c r="AX175" s="2">
        <v>1300203.73612595</v>
      </c>
    </row>
    <row r="176" spans="1:50" x14ac:dyDescent="0.25">
      <c r="A176" s="2" t="s">
        <v>599</v>
      </c>
      <c r="B176" s="2">
        <v>652.41996179867294</v>
      </c>
      <c r="C176" s="2">
        <v>11.513666666666699</v>
      </c>
      <c r="D176" s="2" t="s">
        <v>51</v>
      </c>
      <c r="E176" s="2" t="s">
        <v>600</v>
      </c>
      <c r="F176" s="2">
        <v>22233</v>
      </c>
      <c r="G176" s="3" t="str">
        <f>HYPERLINK("https://cloud.oebiotech.com/#/lm/network/22233", "https://cloud.oebiotech.com/#/lm/network/22233")</f>
        <v>https://cloud.oebiotech.com/#/lm/network/22233</v>
      </c>
      <c r="H176" s="2"/>
      <c r="I176" s="2">
        <v>78636</v>
      </c>
      <c r="J176" s="2" t="s">
        <v>601</v>
      </c>
      <c r="K176" s="2">
        <v>52926079</v>
      </c>
      <c r="L176" s="2"/>
      <c r="M176" s="2"/>
      <c r="N176" s="2"/>
      <c r="O176" s="2"/>
      <c r="P176" s="2"/>
      <c r="Q176" s="2"/>
      <c r="R176" s="2"/>
      <c r="S176" s="2" t="s">
        <v>602</v>
      </c>
      <c r="T176" s="2" t="s">
        <v>603</v>
      </c>
      <c r="U176" s="2" t="s">
        <v>56</v>
      </c>
      <c r="V176" s="2" t="s">
        <v>57</v>
      </c>
      <c r="W176" s="2" t="s">
        <v>82</v>
      </c>
      <c r="X176" s="2" t="s">
        <v>147</v>
      </c>
      <c r="Y176" s="2">
        <v>46.9</v>
      </c>
      <c r="Z176" s="2">
        <v>43.6</v>
      </c>
      <c r="AA176" s="2" t="s">
        <v>60</v>
      </c>
      <c r="AB176" s="2" t="s">
        <v>604</v>
      </c>
      <c r="AC176" s="2">
        <v>2.3818259353485902</v>
      </c>
      <c r="AD176" s="2"/>
      <c r="AE176" s="2">
        <v>2.0141358167971601</v>
      </c>
      <c r="AF176" s="2">
        <v>126402.53365241</v>
      </c>
      <c r="AG176" s="2">
        <v>32148.372521658901</v>
      </c>
      <c r="AH176" s="5">
        <v>3.9318486050032502</v>
      </c>
      <c r="AI176" s="5">
        <v>1.9752077720813399</v>
      </c>
      <c r="AJ176" s="5" t="s">
        <v>139</v>
      </c>
      <c r="AK176" s="2">
        <v>1.8166317050616498E-2</v>
      </c>
      <c r="AL176" s="2">
        <v>0.212973194719246</v>
      </c>
      <c r="AM176" s="2">
        <v>228675.878161717</v>
      </c>
      <c r="AN176" s="2">
        <v>149869.318957246</v>
      </c>
      <c r="AO176" s="2">
        <v>41493.059157741001</v>
      </c>
      <c r="AP176" s="2">
        <v>173831.62441772301</v>
      </c>
      <c r="AQ176" s="2">
        <v>24221.721314648399</v>
      </c>
      <c r="AR176" s="2">
        <v>140323.599905382</v>
      </c>
      <c r="AS176" s="2">
        <v>30002.124794767798</v>
      </c>
      <c r="AT176" s="2">
        <v>52166.012676971397</v>
      </c>
      <c r="AU176" s="2">
        <v>28621.6476165081</v>
      </c>
      <c r="AV176" s="2">
        <v>11150.2130240804</v>
      </c>
      <c r="AW176" s="2">
        <v>7790.0370702989803</v>
      </c>
      <c r="AX176" s="2">
        <v>63160.199947326902</v>
      </c>
    </row>
    <row r="177" spans="1:50" x14ac:dyDescent="0.25">
      <c r="A177" s="2" t="s">
        <v>2307</v>
      </c>
      <c r="B177" s="2">
        <v>117.0179</v>
      </c>
      <c r="C177" s="2">
        <v>21.132000000000001</v>
      </c>
      <c r="D177" s="2" t="s">
        <v>125</v>
      </c>
      <c r="E177" s="2" t="s">
        <v>2308</v>
      </c>
      <c r="F177" s="2">
        <v>48</v>
      </c>
      <c r="G177" s="3" t="str">
        <f>HYPERLINK("https://cloud.oebiotech.com/#/lm/network/48", "https://cloud.oebiotech.com/#/lm/network/48")</f>
        <v>https://cloud.oebiotech.com/#/lm/network/48</v>
      </c>
      <c r="H177" s="2" t="s">
        <v>2309</v>
      </c>
      <c r="I177" s="2">
        <v>187</v>
      </c>
      <c r="J177" s="2" t="s">
        <v>2310</v>
      </c>
      <c r="K177" s="2">
        <v>985</v>
      </c>
      <c r="L177" s="2" t="s">
        <v>2311</v>
      </c>
      <c r="M177" s="2" t="s">
        <v>2312</v>
      </c>
      <c r="N177" s="2" t="s">
        <v>2313</v>
      </c>
      <c r="O177" s="2">
        <v>15756</v>
      </c>
      <c r="P177" s="2" t="s">
        <v>2314</v>
      </c>
      <c r="Q177" s="2" t="s">
        <v>2315</v>
      </c>
      <c r="R177" s="2" t="s">
        <v>2316</v>
      </c>
      <c r="S177" s="2" t="s">
        <v>2317</v>
      </c>
      <c r="T177" s="2" t="s">
        <v>2318</v>
      </c>
      <c r="U177" s="2" t="s">
        <v>56</v>
      </c>
      <c r="V177" s="2" t="s">
        <v>145</v>
      </c>
      <c r="W177" s="2" t="s">
        <v>231</v>
      </c>
      <c r="X177" s="2" t="s">
        <v>69</v>
      </c>
      <c r="Y177" s="2">
        <v>97.9</v>
      </c>
      <c r="Z177" s="2">
        <v>99.6</v>
      </c>
      <c r="AA177" s="2"/>
      <c r="AB177" s="2" t="s">
        <v>2319</v>
      </c>
      <c r="AC177" s="2"/>
      <c r="AD177" s="2">
        <v>717763.73695198295</v>
      </c>
      <c r="AE177" s="2">
        <v>2.0096874189876801</v>
      </c>
      <c r="AF177" s="2">
        <v>2428415.0073562101</v>
      </c>
      <c r="AG177" s="2">
        <v>3339536.1108092</v>
      </c>
      <c r="AH177" s="4">
        <v>0.72717135757150997</v>
      </c>
      <c r="AI177" s="4">
        <v>-0.45963272030494201</v>
      </c>
      <c r="AJ177" s="4" t="s">
        <v>62</v>
      </c>
      <c r="AK177" s="2">
        <v>9.5174265800423596E-2</v>
      </c>
      <c r="AL177" s="2">
        <v>0.39518270427574997</v>
      </c>
      <c r="AM177" s="2">
        <v>2127483.7452190798</v>
      </c>
      <c r="AN177" s="2">
        <v>2236816.5272085899</v>
      </c>
      <c r="AO177" s="2">
        <v>2663418.18338037</v>
      </c>
      <c r="AP177" s="2">
        <v>2403141.19168129</v>
      </c>
      <c r="AQ177" s="2">
        <v>2617882.5247456599</v>
      </c>
      <c r="AR177" s="2">
        <v>2521747.87190224</v>
      </c>
      <c r="AS177" s="2">
        <v>1698681.72501023</v>
      </c>
      <c r="AT177" s="2">
        <v>2286182.4100968498</v>
      </c>
      <c r="AU177" s="2">
        <v>4037706.7926576301</v>
      </c>
      <c r="AV177" s="2">
        <v>4156168.3851135098</v>
      </c>
      <c r="AW177" s="2">
        <v>4782096.1178946299</v>
      </c>
      <c r="AX177" s="2">
        <v>3076381.2340823398</v>
      </c>
    </row>
    <row r="178" spans="1:50" x14ac:dyDescent="0.25">
      <c r="A178" s="2" t="s">
        <v>2320</v>
      </c>
      <c r="B178" s="2">
        <v>355.15834589079498</v>
      </c>
      <c r="C178" s="2">
        <v>13.3257833333333</v>
      </c>
      <c r="D178" s="2" t="s">
        <v>51</v>
      </c>
      <c r="E178" s="2" t="s">
        <v>2321</v>
      </c>
      <c r="F178" s="2">
        <v>52892</v>
      </c>
      <c r="G178" s="3" t="str">
        <f>HYPERLINK("https://cloud.oebiotech.com/#/lm/network/52892", "https://cloud.oebiotech.com/#/lm/network/52892")</f>
        <v>https://cloud.oebiotech.com/#/lm/network/52892</v>
      </c>
      <c r="H178" s="2" t="s">
        <v>2322</v>
      </c>
      <c r="I178" s="2">
        <v>4069</v>
      </c>
      <c r="J178" s="2"/>
      <c r="K178" s="2">
        <v>3658</v>
      </c>
      <c r="L178" s="2" t="s">
        <v>2323</v>
      </c>
      <c r="M178" s="2"/>
      <c r="N178" s="2"/>
      <c r="O178" s="2">
        <v>5818</v>
      </c>
      <c r="P178" s="2"/>
      <c r="Q178" s="2"/>
      <c r="R178" s="2" t="s">
        <v>2324</v>
      </c>
      <c r="S178" s="2" t="s">
        <v>2325</v>
      </c>
      <c r="T178" s="2" t="s">
        <v>2326</v>
      </c>
      <c r="U178" s="2" t="s">
        <v>610</v>
      </c>
      <c r="V178" s="2" t="s">
        <v>611</v>
      </c>
      <c r="W178" s="2" t="s">
        <v>2327</v>
      </c>
      <c r="X178" s="2" t="s">
        <v>147</v>
      </c>
      <c r="Y178" s="2">
        <v>39.299999999999997</v>
      </c>
      <c r="Z178" s="2">
        <v>21.1</v>
      </c>
      <c r="AA178" s="2" t="s">
        <v>379</v>
      </c>
      <c r="AB178" s="2" t="s">
        <v>2328</v>
      </c>
      <c r="AC178" s="2">
        <v>0.21699991922464901</v>
      </c>
      <c r="AD178" s="2"/>
      <c r="AE178" s="2">
        <v>2.0085301803029898</v>
      </c>
      <c r="AF178" s="2">
        <v>255859.293976913</v>
      </c>
      <c r="AG178" s="2">
        <v>406407.42555414699</v>
      </c>
      <c r="AH178" s="4">
        <v>0.62956353129631504</v>
      </c>
      <c r="AI178" s="4">
        <v>-0.66757612256449494</v>
      </c>
      <c r="AJ178" s="4" t="s">
        <v>62</v>
      </c>
      <c r="AK178" s="2">
        <v>7.2243596780457206E-2</v>
      </c>
      <c r="AL178" s="2">
        <v>0.35370651166856698</v>
      </c>
      <c r="AM178" s="2">
        <v>328962.81834613503</v>
      </c>
      <c r="AN178" s="2">
        <v>218625.90357358099</v>
      </c>
      <c r="AO178" s="2">
        <v>266087.08222481702</v>
      </c>
      <c r="AP178" s="2">
        <v>209946.274901878</v>
      </c>
      <c r="AQ178" s="2">
        <v>264662.79848653602</v>
      </c>
      <c r="AR178" s="2">
        <v>246870.88632853201</v>
      </c>
      <c r="AS178" s="2">
        <v>172422.87635582901</v>
      </c>
      <c r="AT178" s="2">
        <v>222985.225775584</v>
      </c>
      <c r="AU178" s="2">
        <v>626788.08353939804</v>
      </c>
      <c r="AV178" s="2">
        <v>498621.93274483498</v>
      </c>
      <c r="AW178" s="2">
        <v>523375.220699083</v>
      </c>
      <c r="AX178" s="2">
        <v>394251.21421015402</v>
      </c>
    </row>
    <row r="179" spans="1:50" x14ac:dyDescent="0.25">
      <c r="A179" s="2" t="s">
        <v>605</v>
      </c>
      <c r="B179" s="2">
        <v>351.21791406943402</v>
      </c>
      <c r="C179" s="2">
        <v>9.6033833333333298</v>
      </c>
      <c r="D179" s="2" t="s">
        <v>51</v>
      </c>
      <c r="E179" s="2" t="s">
        <v>606</v>
      </c>
      <c r="F179" s="2">
        <v>255985</v>
      </c>
      <c r="G179" s="3" t="str">
        <f>HYPERLINK("https://cloud.oebiotech.com/#/lm/network/255985", "https://cloud.oebiotech.com/#/lm/network/255985")</f>
        <v>https://cloud.oebiotech.com/#/lm/network/255985</v>
      </c>
      <c r="H179" s="2" t="s">
        <v>607</v>
      </c>
      <c r="I179" s="2"/>
      <c r="J179" s="2"/>
      <c r="K179" s="2">
        <v>11416878</v>
      </c>
      <c r="L179" s="2"/>
      <c r="M179" s="2"/>
      <c r="N179" s="2"/>
      <c r="O179" s="2"/>
      <c r="P179" s="2"/>
      <c r="Q179" s="2"/>
      <c r="R179" s="2"/>
      <c r="S179" s="2" t="s">
        <v>608</v>
      </c>
      <c r="T179" s="2" t="s">
        <v>609</v>
      </c>
      <c r="U179" s="2" t="s">
        <v>610</v>
      </c>
      <c r="V179" s="2" t="s">
        <v>611</v>
      </c>
      <c r="W179" s="2" t="s">
        <v>612</v>
      </c>
      <c r="X179" s="2" t="s">
        <v>83</v>
      </c>
      <c r="Y179" s="2">
        <v>46</v>
      </c>
      <c r="Z179" s="2">
        <v>15</v>
      </c>
      <c r="AA179" s="2" t="s">
        <v>163</v>
      </c>
      <c r="AB179" s="2" t="s">
        <v>380</v>
      </c>
      <c r="AC179" s="2">
        <v>0.61431587846079305</v>
      </c>
      <c r="AD179" s="2"/>
      <c r="AE179" s="2">
        <v>2.0039457484505099</v>
      </c>
      <c r="AF179" s="2">
        <v>167546.31909013601</v>
      </c>
      <c r="AG179" s="2">
        <v>76903.704565158099</v>
      </c>
      <c r="AH179" s="5">
        <v>2.1786508210170701</v>
      </c>
      <c r="AI179" s="5">
        <v>1.1234349898662199</v>
      </c>
      <c r="AJ179" s="5" t="s">
        <v>139</v>
      </c>
      <c r="AK179" s="2">
        <v>1.47881479143875E-3</v>
      </c>
      <c r="AL179" s="2">
        <v>9.8160839002130199E-2</v>
      </c>
      <c r="AM179" s="2">
        <v>143423.19355786199</v>
      </c>
      <c r="AN179" s="2">
        <v>208834.90840121001</v>
      </c>
      <c r="AO179" s="2">
        <v>208342.030588655</v>
      </c>
      <c r="AP179" s="2">
        <v>151537.362234303</v>
      </c>
      <c r="AQ179" s="2">
        <v>118549.74789332</v>
      </c>
      <c r="AR179" s="2">
        <v>174590.67186546599</v>
      </c>
      <c r="AS179" s="2">
        <v>145384.499432465</v>
      </c>
      <c r="AT179" s="2">
        <v>53209.662317662202</v>
      </c>
      <c r="AU179" s="2">
        <v>73154.782431856802</v>
      </c>
      <c r="AV179" s="2">
        <v>42736.766582136799</v>
      </c>
      <c r="AW179" s="2">
        <v>71896.497187586298</v>
      </c>
      <c r="AX179" s="2">
        <v>75040.019439241194</v>
      </c>
    </row>
    <row r="180" spans="1:50" x14ac:dyDescent="0.25">
      <c r="A180" s="2" t="s">
        <v>2329</v>
      </c>
      <c r="B180" s="2">
        <v>576.33151905703301</v>
      </c>
      <c r="C180" s="2">
        <v>6.9943499999999998</v>
      </c>
      <c r="D180" s="2" t="s">
        <v>51</v>
      </c>
      <c r="E180" s="2" t="s">
        <v>2330</v>
      </c>
      <c r="F180" s="2">
        <v>241992</v>
      </c>
      <c r="G180" s="3" t="str">
        <f>HYPERLINK("https://cloud.oebiotech.com/#/lm/network/241992", "https://cloud.oebiotech.com/#/lm/network/241992")</f>
        <v>https://cloud.oebiotech.com/#/lm/network/241992</v>
      </c>
      <c r="H180" s="2" t="s">
        <v>2331</v>
      </c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 t="s">
        <v>2332</v>
      </c>
      <c r="T180" s="2" t="s">
        <v>2333</v>
      </c>
      <c r="U180" s="2" t="s">
        <v>56</v>
      </c>
      <c r="V180" s="2" t="s">
        <v>57</v>
      </c>
      <c r="W180" s="2" t="s">
        <v>58</v>
      </c>
      <c r="X180" s="2" t="s">
        <v>59</v>
      </c>
      <c r="Y180" s="2">
        <v>55.5</v>
      </c>
      <c r="Z180" s="2">
        <v>84.9</v>
      </c>
      <c r="AA180" s="2" t="s">
        <v>60</v>
      </c>
      <c r="AB180" s="2" t="s">
        <v>2334</v>
      </c>
      <c r="AC180" s="2">
        <v>3.3438832983109998</v>
      </c>
      <c r="AD180" s="2"/>
      <c r="AE180" s="2">
        <v>2.0024262692831298</v>
      </c>
      <c r="AF180" s="2">
        <v>287387.38209442003</v>
      </c>
      <c r="AG180" s="2">
        <v>165366.67016852301</v>
      </c>
      <c r="AH180" s="5">
        <v>1.73787971785093</v>
      </c>
      <c r="AI180" s="5">
        <v>0.79732823378348205</v>
      </c>
      <c r="AJ180" s="5" t="s">
        <v>139</v>
      </c>
      <c r="AK180" s="2">
        <v>6.3243676865422205E-2</v>
      </c>
      <c r="AL180" s="2">
        <v>0.33601027492909402</v>
      </c>
      <c r="AM180" s="2">
        <v>282591.75689495698</v>
      </c>
      <c r="AN180" s="2">
        <v>450483.29277657601</v>
      </c>
      <c r="AO180" s="2">
        <v>180702.288335341</v>
      </c>
      <c r="AP180" s="2">
        <v>227220.64809392201</v>
      </c>
      <c r="AQ180" s="2">
        <v>227703.35473836301</v>
      </c>
      <c r="AR180" s="2">
        <v>355622.95172736002</v>
      </c>
      <c r="AS180" s="2">
        <v>316475.65425983397</v>
      </c>
      <c r="AT180" s="2">
        <v>170828.61971815201</v>
      </c>
      <c r="AU180" s="2">
        <v>138632.730889042</v>
      </c>
      <c r="AV180" s="2">
        <v>46099.019160615098</v>
      </c>
      <c r="AW180" s="2">
        <v>74463.502671700597</v>
      </c>
      <c r="AX180" s="2">
        <v>245700.49431179199</v>
      </c>
    </row>
    <row r="181" spans="1:50" x14ac:dyDescent="0.25">
      <c r="A181" s="2" t="s">
        <v>2335</v>
      </c>
      <c r="B181" s="2">
        <v>399.14036619669099</v>
      </c>
      <c r="C181" s="2">
        <v>6.8908500000000004</v>
      </c>
      <c r="D181" s="2" t="s">
        <v>51</v>
      </c>
      <c r="E181" s="2" t="s">
        <v>2336</v>
      </c>
      <c r="F181" s="2">
        <v>63699</v>
      </c>
      <c r="G181" s="3" t="str">
        <f>HYPERLINK("https://cloud.oebiotech.com/#/lm/network/63699", "https://cloud.oebiotech.com/#/lm/network/63699")</f>
        <v>https://cloud.oebiotech.com/#/lm/network/63699</v>
      </c>
      <c r="H181" s="2" t="s">
        <v>2337</v>
      </c>
      <c r="I181" s="2">
        <v>95036</v>
      </c>
      <c r="J181" s="2"/>
      <c r="K181" s="2">
        <v>131752850</v>
      </c>
      <c r="L181" s="2"/>
      <c r="M181" s="2"/>
      <c r="N181" s="2"/>
      <c r="O181" s="2">
        <v>173155</v>
      </c>
      <c r="P181" s="2"/>
      <c r="Q181" s="2"/>
      <c r="R181" s="2" t="s">
        <v>2338</v>
      </c>
      <c r="S181" s="2" t="s">
        <v>2339</v>
      </c>
      <c r="T181" s="2" t="s">
        <v>2340</v>
      </c>
      <c r="U181" s="2" t="s">
        <v>540</v>
      </c>
      <c r="V181" s="2" t="s">
        <v>541</v>
      </c>
      <c r="W181" s="2" t="s">
        <v>542</v>
      </c>
      <c r="X181" s="2" t="s">
        <v>83</v>
      </c>
      <c r="Y181" s="2">
        <v>40.6</v>
      </c>
      <c r="Z181" s="2">
        <v>0</v>
      </c>
      <c r="AA181" s="2" t="s">
        <v>156</v>
      </c>
      <c r="AB181" s="2" t="s">
        <v>2341</v>
      </c>
      <c r="AC181" s="2">
        <v>-8.3222478825245698</v>
      </c>
      <c r="AD181" s="2"/>
      <c r="AE181" s="2">
        <v>1.99652132194913</v>
      </c>
      <c r="AF181" s="2">
        <v>146822.38923775699</v>
      </c>
      <c r="AG181" s="2">
        <v>275211.56363614602</v>
      </c>
      <c r="AH181" s="4">
        <v>0.53348917210422397</v>
      </c>
      <c r="AI181" s="4">
        <v>-0.90646910501866695</v>
      </c>
      <c r="AJ181" s="4" t="s">
        <v>62</v>
      </c>
      <c r="AK181" s="2">
        <v>6.9057325599898106E-2</v>
      </c>
      <c r="AL181" s="2">
        <v>0.34774668539999598</v>
      </c>
      <c r="AM181" s="2">
        <v>135186.33569293399</v>
      </c>
      <c r="AN181" s="2">
        <v>120988.381657181</v>
      </c>
      <c r="AO181" s="2">
        <v>214297.549792292</v>
      </c>
      <c r="AP181" s="2">
        <v>16605.6534074511</v>
      </c>
      <c r="AQ181" s="2">
        <v>137797.19170918499</v>
      </c>
      <c r="AR181" s="2">
        <v>256059.22316749601</v>
      </c>
      <c r="AS181" s="2">
        <v>248134.21101899099</v>
      </c>
      <c r="AT181" s="2">
        <v>212259.60919130401</v>
      </c>
      <c r="AU181" s="2">
        <v>287085.86372040899</v>
      </c>
      <c r="AV181" s="2">
        <v>436371.88109418598</v>
      </c>
      <c r="AW181" s="2">
        <v>392867.12266486802</v>
      </c>
      <c r="AX181" s="2">
        <v>74550.694127117094</v>
      </c>
    </row>
    <row r="182" spans="1:50" x14ac:dyDescent="0.25">
      <c r="A182" s="2" t="s">
        <v>2342</v>
      </c>
      <c r="B182" s="2">
        <v>391.21293930558397</v>
      </c>
      <c r="C182" s="2">
        <v>6.1474833333333301</v>
      </c>
      <c r="D182" s="2" t="s">
        <v>51</v>
      </c>
      <c r="E182" s="2" t="s">
        <v>2343</v>
      </c>
      <c r="F182" s="2">
        <v>52083</v>
      </c>
      <c r="G182" s="3" t="str">
        <f>HYPERLINK("https://cloud.oebiotech.com/#/lm/network/52083", "https://cloud.oebiotech.com/#/lm/network/52083")</f>
        <v>https://cloud.oebiotech.com/#/lm/network/52083</v>
      </c>
      <c r="H182" s="2" t="s">
        <v>2344</v>
      </c>
      <c r="I182" s="2"/>
      <c r="J182" s="2"/>
      <c r="K182" s="2">
        <v>53481530</v>
      </c>
      <c r="L182" s="2"/>
      <c r="M182" s="2"/>
      <c r="N182" s="2"/>
      <c r="O182" s="2">
        <v>174684</v>
      </c>
      <c r="P182" s="2"/>
      <c r="Q182" s="2"/>
      <c r="R182" s="2"/>
      <c r="S182" s="2" t="s">
        <v>2345</v>
      </c>
      <c r="T182" s="2" t="s">
        <v>2346</v>
      </c>
      <c r="U182" s="2" t="s">
        <v>266</v>
      </c>
      <c r="V182" s="2" t="s">
        <v>1785</v>
      </c>
      <c r="W182" s="2" t="s">
        <v>1786</v>
      </c>
      <c r="X182" s="2" t="s">
        <v>147</v>
      </c>
      <c r="Y182" s="2">
        <v>45</v>
      </c>
      <c r="Z182" s="2">
        <v>29.8</v>
      </c>
      <c r="AA182" s="2" t="s">
        <v>218</v>
      </c>
      <c r="AB182" s="2" t="s">
        <v>493</v>
      </c>
      <c r="AC182" s="2">
        <v>0.94448767879647599</v>
      </c>
      <c r="AD182" s="2"/>
      <c r="AE182" s="2">
        <v>1.9901699260977599</v>
      </c>
      <c r="AF182" s="2">
        <v>188550.381587852</v>
      </c>
      <c r="AG182" s="2">
        <v>94188.377732084104</v>
      </c>
      <c r="AH182" s="5">
        <v>2.0018433922301702</v>
      </c>
      <c r="AI182" s="5">
        <v>1.00132911398889</v>
      </c>
      <c r="AJ182" s="5" t="s">
        <v>139</v>
      </c>
      <c r="AK182" s="2">
        <v>6.4139310872088406E-2</v>
      </c>
      <c r="AL182" s="2">
        <v>0.33728528666748298</v>
      </c>
      <c r="AM182" s="2">
        <v>382026.88301020802</v>
      </c>
      <c r="AN182" s="2">
        <v>174224.673251756</v>
      </c>
      <c r="AO182" s="2">
        <v>132015.24207659101</v>
      </c>
      <c r="AP182" s="2">
        <v>190415.782094202</v>
      </c>
      <c r="AQ182" s="2">
        <v>89223.567377008905</v>
      </c>
      <c r="AR182" s="2">
        <v>163396.141717347</v>
      </c>
      <c r="AS182" s="2">
        <v>157647.735298949</v>
      </c>
      <c r="AT182" s="2">
        <v>103232.59461145299</v>
      </c>
      <c r="AU182" s="2">
        <v>87752.660531486094</v>
      </c>
      <c r="AV182" s="2">
        <v>32492.5345569975</v>
      </c>
      <c r="AW182" s="2">
        <v>57303.279989296097</v>
      </c>
      <c r="AX182" s="2">
        <v>126701.461404323</v>
      </c>
    </row>
    <row r="183" spans="1:50" x14ac:dyDescent="0.25">
      <c r="A183" s="2" t="s">
        <v>613</v>
      </c>
      <c r="B183" s="2">
        <v>351.21792037084998</v>
      </c>
      <c r="C183" s="2">
        <v>9.3362833333333306</v>
      </c>
      <c r="D183" s="2" t="s">
        <v>51</v>
      </c>
      <c r="E183" s="2" t="s">
        <v>614</v>
      </c>
      <c r="F183" s="2">
        <v>83793</v>
      </c>
      <c r="G183" s="3" t="str">
        <f>HYPERLINK("https://cloud.oebiotech.com/#/lm/network/83793", "https://cloud.oebiotech.com/#/lm/network/83793")</f>
        <v>https://cloud.oebiotech.com/#/lm/network/83793</v>
      </c>
      <c r="H183" s="2" t="s">
        <v>615</v>
      </c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 t="s">
        <v>616</v>
      </c>
      <c r="T183" s="2" t="s">
        <v>617</v>
      </c>
      <c r="U183" s="2" t="s">
        <v>56</v>
      </c>
      <c r="V183" s="2" t="s">
        <v>145</v>
      </c>
      <c r="W183" s="2" t="s">
        <v>187</v>
      </c>
      <c r="X183" s="2" t="s">
        <v>83</v>
      </c>
      <c r="Y183" s="2">
        <v>51.9</v>
      </c>
      <c r="Z183" s="2">
        <v>24.1</v>
      </c>
      <c r="AA183" s="2" t="s">
        <v>163</v>
      </c>
      <c r="AB183" s="2" t="s">
        <v>380</v>
      </c>
      <c r="AC183" s="2">
        <v>0.63220619281442603</v>
      </c>
      <c r="AD183" s="2"/>
      <c r="AE183" s="2">
        <v>1.98905294916162</v>
      </c>
      <c r="AF183" s="2">
        <v>194373.17331856801</v>
      </c>
      <c r="AG183" s="2">
        <v>100957.886381226</v>
      </c>
      <c r="AH183" s="5">
        <v>1.9252896458687401</v>
      </c>
      <c r="AI183" s="5">
        <v>0.94507550514471605</v>
      </c>
      <c r="AJ183" s="5" t="s">
        <v>139</v>
      </c>
      <c r="AK183" s="2">
        <v>3.6036207278974499E-3</v>
      </c>
      <c r="AL183" s="2">
        <v>0.1120315017845</v>
      </c>
      <c r="AM183" s="2">
        <v>142758.06911768101</v>
      </c>
      <c r="AN183" s="2">
        <v>263445.96090107801</v>
      </c>
      <c r="AO183" s="2">
        <v>242250.48211863299</v>
      </c>
      <c r="AP183" s="2">
        <v>157171.00601249599</v>
      </c>
      <c r="AQ183" s="2">
        <v>159001.56415265001</v>
      </c>
      <c r="AR183" s="2">
        <v>201611.95760886799</v>
      </c>
      <c r="AS183" s="2">
        <v>150976.83960706901</v>
      </c>
      <c r="AT183" s="2">
        <v>65720.997904184303</v>
      </c>
      <c r="AU183" s="2">
        <v>123073.92097322601</v>
      </c>
      <c r="AV183" s="2">
        <v>67387.413385052307</v>
      </c>
      <c r="AW183" s="2">
        <v>115796.08505312999</v>
      </c>
      <c r="AX183" s="2">
        <v>82792.061364695604</v>
      </c>
    </row>
    <row r="184" spans="1:50" x14ac:dyDescent="0.25">
      <c r="A184" s="2" t="s">
        <v>2347</v>
      </c>
      <c r="B184" s="2">
        <v>566.346274222327</v>
      </c>
      <c r="C184" s="2">
        <v>10.905533333333301</v>
      </c>
      <c r="D184" s="2" t="s">
        <v>51</v>
      </c>
      <c r="E184" s="2" t="s">
        <v>2348</v>
      </c>
      <c r="F184" s="2">
        <v>19861</v>
      </c>
      <c r="G184" s="3" t="str">
        <f>HYPERLINK("https://cloud.oebiotech.com/#/lm/network/19861", "https://cloud.oebiotech.com/#/lm/network/19861")</f>
        <v>https://cloud.oebiotech.com/#/lm/network/19861</v>
      </c>
      <c r="H184" s="2"/>
      <c r="I184" s="2">
        <v>40345</v>
      </c>
      <c r="J184" s="2" t="s">
        <v>2349</v>
      </c>
      <c r="K184" s="2">
        <v>24779492</v>
      </c>
      <c r="L184" s="2"/>
      <c r="M184" s="2"/>
      <c r="N184" s="2"/>
      <c r="O184" s="2"/>
      <c r="P184" s="2"/>
      <c r="Q184" s="2"/>
      <c r="R184" s="2"/>
      <c r="S184" s="2" t="s">
        <v>2350</v>
      </c>
      <c r="T184" s="2" t="s">
        <v>2351</v>
      </c>
      <c r="U184" s="2" t="s">
        <v>56</v>
      </c>
      <c r="V184" s="2" t="s">
        <v>57</v>
      </c>
      <c r="W184" s="2" t="s">
        <v>58</v>
      </c>
      <c r="X184" s="2" t="s">
        <v>69</v>
      </c>
      <c r="Y184" s="2">
        <v>75.3</v>
      </c>
      <c r="Z184" s="2">
        <v>99.5</v>
      </c>
      <c r="AA184" s="2" t="s">
        <v>218</v>
      </c>
      <c r="AB184" s="2" t="s">
        <v>1551</v>
      </c>
      <c r="AC184" s="2">
        <v>-0.13098163754169101</v>
      </c>
      <c r="AD184" s="2"/>
      <c r="AE184" s="2">
        <v>1.9888140307157101</v>
      </c>
      <c r="AF184" s="2">
        <v>844885.78844283905</v>
      </c>
      <c r="AG184" s="2">
        <v>1067814.8161627301</v>
      </c>
      <c r="AH184" s="4">
        <v>0.79122875582397301</v>
      </c>
      <c r="AI184" s="4">
        <v>-0.33783323561191603</v>
      </c>
      <c r="AJ184" s="4" t="s">
        <v>62</v>
      </c>
      <c r="AK184" s="2">
        <v>0.261105618269315</v>
      </c>
      <c r="AL184" s="2">
        <v>0.58321446789500497</v>
      </c>
      <c r="AM184" s="2">
        <v>1112697.33998089</v>
      </c>
      <c r="AN184" s="2">
        <v>999105.54684244504</v>
      </c>
      <c r="AO184" s="2">
        <v>781279.14037120901</v>
      </c>
      <c r="AP184" s="2">
        <v>715753.07687890995</v>
      </c>
      <c r="AQ184" s="2">
        <v>673636.73239313602</v>
      </c>
      <c r="AR184" s="2">
        <v>786842.89419044205</v>
      </c>
      <c r="AS184" s="2">
        <v>659876.09712719999</v>
      </c>
      <c r="AT184" s="2">
        <v>487968.70033831999</v>
      </c>
      <c r="AU184" s="2">
        <v>1372119.08785261</v>
      </c>
      <c r="AV184" s="2">
        <v>1474765.1304500799</v>
      </c>
      <c r="AW184" s="2">
        <v>1432829.19039547</v>
      </c>
      <c r="AX184" s="2">
        <v>979330.69081267796</v>
      </c>
    </row>
    <row r="185" spans="1:50" x14ac:dyDescent="0.25">
      <c r="A185" s="2" t="s">
        <v>2352</v>
      </c>
      <c r="B185" s="2">
        <v>341.21235370028</v>
      </c>
      <c r="C185" s="2">
        <v>7.0755166666666698</v>
      </c>
      <c r="D185" s="2" t="s">
        <v>51</v>
      </c>
      <c r="E185" s="2" t="s">
        <v>2353</v>
      </c>
      <c r="F185" s="2">
        <v>48015</v>
      </c>
      <c r="G185" s="3" t="str">
        <f>HYPERLINK("https://cloud.oebiotech.com/#/lm/network/48015", "https://cloud.oebiotech.com/#/lm/network/48015")</f>
        <v>https://cloud.oebiotech.com/#/lm/network/48015</v>
      </c>
      <c r="H185" s="2" t="s">
        <v>2354</v>
      </c>
      <c r="I185" s="2">
        <v>2486</v>
      </c>
      <c r="J185" s="2"/>
      <c r="K185" s="2">
        <v>13789</v>
      </c>
      <c r="L185" s="2"/>
      <c r="M185" s="2"/>
      <c r="N185" s="2"/>
      <c r="O185" s="2">
        <v>987229</v>
      </c>
      <c r="P185" s="2"/>
      <c r="Q185" s="2"/>
      <c r="R185" s="2" t="s">
        <v>2355</v>
      </c>
      <c r="S185" s="2" t="s">
        <v>2356</v>
      </c>
      <c r="T185" s="2" t="s">
        <v>2357</v>
      </c>
      <c r="U185" s="2" t="s">
        <v>56</v>
      </c>
      <c r="V185" s="2" t="s">
        <v>283</v>
      </c>
      <c r="W185" s="2" t="s">
        <v>1338</v>
      </c>
      <c r="X185" s="2" t="s">
        <v>147</v>
      </c>
      <c r="Y185" s="2">
        <v>45.4</v>
      </c>
      <c r="Z185" s="2">
        <v>34.5</v>
      </c>
      <c r="AA185" s="2" t="s">
        <v>179</v>
      </c>
      <c r="AB185" s="2" t="s">
        <v>2358</v>
      </c>
      <c r="AC185" s="2">
        <v>3.6228621712157101</v>
      </c>
      <c r="AD185" s="2"/>
      <c r="AE185" s="2">
        <v>1.9794823231676699</v>
      </c>
      <c r="AF185" s="2">
        <v>221575.22481206199</v>
      </c>
      <c r="AG185" s="2">
        <v>123763.731346416</v>
      </c>
      <c r="AH185" s="5">
        <v>1.7903082138972599</v>
      </c>
      <c r="AI185" s="5">
        <v>0.84020797876516995</v>
      </c>
      <c r="AJ185" s="5" t="s">
        <v>139</v>
      </c>
      <c r="AK185" s="2">
        <v>0.129496851897756</v>
      </c>
      <c r="AL185" s="2">
        <v>0.44843954713391498</v>
      </c>
      <c r="AM185" s="2">
        <v>486004.121192761</v>
      </c>
      <c r="AN185" s="2">
        <v>183658.81648473401</v>
      </c>
      <c r="AO185" s="2">
        <v>155311.15791465499</v>
      </c>
      <c r="AP185" s="2">
        <v>182961.891858221</v>
      </c>
      <c r="AQ185" s="2">
        <v>129702.790285918</v>
      </c>
      <c r="AR185" s="2">
        <v>191812.57113608599</v>
      </c>
      <c r="AS185" s="2">
        <v>215445.18305109299</v>
      </c>
      <c r="AT185" s="2">
        <v>130336.866499115</v>
      </c>
      <c r="AU185" s="2">
        <v>141761.11659090599</v>
      </c>
      <c r="AV185" s="2">
        <v>39363.482347835001</v>
      </c>
      <c r="AW185" s="2">
        <v>74921.049812402896</v>
      </c>
      <c r="AX185" s="2">
        <v>140754.68977714301</v>
      </c>
    </row>
    <row r="186" spans="1:50" x14ac:dyDescent="0.25">
      <c r="A186" s="2" t="s">
        <v>2359</v>
      </c>
      <c r="B186" s="2">
        <v>367.15862465112502</v>
      </c>
      <c r="C186" s="2">
        <v>7.1716333333333298</v>
      </c>
      <c r="D186" s="2" t="s">
        <v>51</v>
      </c>
      <c r="E186" s="2" t="s">
        <v>2360</v>
      </c>
      <c r="F186" s="2">
        <v>55546</v>
      </c>
      <c r="G186" s="3" t="str">
        <f>HYPERLINK("https://cloud.oebiotech.com/#/lm/network/55546", "https://cloud.oebiotech.com/#/lm/network/55546")</f>
        <v>https://cloud.oebiotech.com/#/lm/network/55546</v>
      </c>
      <c r="H186" s="2" t="s">
        <v>2361</v>
      </c>
      <c r="I186" s="2"/>
      <c r="J186" s="2"/>
      <c r="K186" s="2">
        <v>131751083</v>
      </c>
      <c r="L186" s="2"/>
      <c r="M186" s="2"/>
      <c r="N186" s="2"/>
      <c r="O186" s="2"/>
      <c r="P186" s="2"/>
      <c r="Q186" s="2"/>
      <c r="R186" s="2" t="s">
        <v>2362</v>
      </c>
      <c r="S186" s="2" t="s">
        <v>2363</v>
      </c>
      <c r="T186" s="2" t="s">
        <v>2364</v>
      </c>
      <c r="U186" s="2" t="s">
        <v>540</v>
      </c>
      <c r="V186" s="2" t="s">
        <v>2365</v>
      </c>
      <c r="W186" s="2" t="s">
        <v>2366</v>
      </c>
      <c r="X186" s="2" t="s">
        <v>83</v>
      </c>
      <c r="Y186" s="2">
        <v>39.299999999999997</v>
      </c>
      <c r="Z186" s="2">
        <v>0</v>
      </c>
      <c r="AA186" s="2" t="s">
        <v>379</v>
      </c>
      <c r="AB186" s="2" t="s">
        <v>2367</v>
      </c>
      <c r="AC186" s="2">
        <v>9.1337833213186403</v>
      </c>
      <c r="AD186" s="2"/>
      <c r="AE186" s="2">
        <v>1.97372147746453</v>
      </c>
      <c r="AF186" s="2">
        <v>768768.17022747698</v>
      </c>
      <c r="AG186" s="2">
        <v>1045422.68848939</v>
      </c>
      <c r="AH186" s="4">
        <v>0.73536587515460405</v>
      </c>
      <c r="AI186" s="4">
        <v>-0.44346586543278899</v>
      </c>
      <c r="AJ186" s="4" t="s">
        <v>62</v>
      </c>
      <c r="AK186" s="2">
        <v>0.59735719844953195</v>
      </c>
      <c r="AL186" s="2">
        <v>0.79804448406725204</v>
      </c>
      <c r="AM186" s="2">
        <v>175383.97986125</v>
      </c>
      <c r="AN186" s="2">
        <v>503330.796669434</v>
      </c>
      <c r="AO186" s="2">
        <v>2192403.48701654</v>
      </c>
      <c r="AP186" s="2">
        <v>1212745.0925781899</v>
      </c>
      <c r="AQ186" s="2">
        <v>441928.69886579103</v>
      </c>
      <c r="AR186" s="2">
        <v>86816.966373655407</v>
      </c>
      <c r="AS186" s="2">
        <v>573394.24576496205</v>
      </c>
      <c r="AT186" s="2">
        <v>930653.73719444405</v>
      </c>
      <c r="AU186" s="2">
        <v>818750.91808066994</v>
      </c>
      <c r="AV186" s="2">
        <v>2945680.3004113501</v>
      </c>
      <c r="AW186" s="2">
        <v>436126.98894379899</v>
      </c>
      <c r="AX186" s="2">
        <v>567929.940541093</v>
      </c>
    </row>
    <row r="187" spans="1:50" x14ac:dyDescent="0.25">
      <c r="A187" s="2" t="s">
        <v>2368</v>
      </c>
      <c r="B187" s="2">
        <v>204.10380000000001</v>
      </c>
      <c r="C187" s="2">
        <v>19.443999999999999</v>
      </c>
      <c r="D187" s="2" t="s">
        <v>125</v>
      </c>
      <c r="E187" s="2" t="s">
        <v>2369</v>
      </c>
      <c r="F187" s="2">
        <v>257702</v>
      </c>
      <c r="G187" s="3" t="str">
        <f>HYPERLINK("https://cloud.oebiotech.com/#/lm/network/257702", "https://cloud.oebiotech.com/#/lm/network/257702")</f>
        <v>https://cloud.oebiotech.com/#/lm/network/257702</v>
      </c>
      <c r="H187" s="2" t="s">
        <v>2370</v>
      </c>
      <c r="I187" s="2">
        <v>134</v>
      </c>
      <c r="J187" s="2"/>
      <c r="K187" s="2">
        <v>6036</v>
      </c>
      <c r="L187" s="2" t="s">
        <v>2371</v>
      </c>
      <c r="M187" s="2" t="s">
        <v>2372</v>
      </c>
      <c r="N187" s="2" t="s">
        <v>2373</v>
      </c>
      <c r="O187" s="2"/>
      <c r="P187" s="2"/>
      <c r="Q187" s="2"/>
      <c r="R187" s="2" t="s">
        <v>2374</v>
      </c>
      <c r="S187" s="2" t="s">
        <v>2375</v>
      </c>
      <c r="T187" s="2" t="s">
        <v>2376</v>
      </c>
      <c r="U187" s="2" t="s">
        <v>331</v>
      </c>
      <c r="V187" s="2" t="s">
        <v>332</v>
      </c>
      <c r="W187" s="2" t="s">
        <v>333</v>
      </c>
      <c r="X187" s="2" t="s">
        <v>69</v>
      </c>
      <c r="Y187" s="2">
        <v>96.9</v>
      </c>
      <c r="Z187" s="2">
        <v>96.5</v>
      </c>
      <c r="AA187" s="2"/>
      <c r="AB187" s="2" t="s">
        <v>1085</v>
      </c>
      <c r="AC187" s="2"/>
      <c r="AD187" s="2">
        <v>652316.83763979899</v>
      </c>
      <c r="AE187" s="2">
        <v>1.96892787050526</v>
      </c>
      <c r="AF187" s="2">
        <v>1861221.87821302</v>
      </c>
      <c r="AG187" s="2">
        <v>3637835.8292453699</v>
      </c>
      <c r="AH187" s="4">
        <v>0.51162888199908496</v>
      </c>
      <c r="AI187" s="4">
        <v>-0.96683038668671495</v>
      </c>
      <c r="AJ187" s="4" t="s">
        <v>62</v>
      </c>
      <c r="AK187" s="2">
        <v>0.169195260775405</v>
      </c>
      <c r="AL187" s="2">
        <v>0.49098458663462602</v>
      </c>
      <c r="AM187" s="2">
        <v>873524.34658397303</v>
      </c>
      <c r="AN187" s="2">
        <v>822732.07178204495</v>
      </c>
      <c r="AO187" s="2">
        <v>712279.17317269999</v>
      </c>
      <c r="AP187" s="2">
        <v>743035.10071325197</v>
      </c>
      <c r="AQ187" s="2">
        <v>5865960.4368087901</v>
      </c>
      <c r="AR187" s="2">
        <v>2149800.1402173699</v>
      </c>
      <c r="AS187" s="2">
        <v>7152501.9895429499</v>
      </c>
      <c r="AT187" s="2">
        <v>4212652.1353321699</v>
      </c>
      <c r="AU187" s="2">
        <v>3668993.5143126901</v>
      </c>
      <c r="AV187" s="2">
        <v>3475230.2743360498</v>
      </c>
      <c r="AW187" s="2">
        <v>701288.79391672101</v>
      </c>
      <c r="AX187" s="2">
        <v>2616348.2680316302</v>
      </c>
    </row>
    <row r="188" spans="1:50" x14ac:dyDescent="0.25">
      <c r="A188" s="2" t="s">
        <v>2377</v>
      </c>
      <c r="B188" s="2">
        <v>329.24863768081502</v>
      </c>
      <c r="C188" s="2">
        <v>12.708216666666701</v>
      </c>
      <c r="D188" s="2" t="s">
        <v>51</v>
      </c>
      <c r="E188" s="2" t="s">
        <v>2378</v>
      </c>
      <c r="F188" s="2">
        <v>2535</v>
      </c>
      <c r="G188" s="3" t="str">
        <f>HYPERLINK("https://cloud.oebiotech.com/#/lm/network/2535", "https://cloud.oebiotech.com/#/lm/network/2535")</f>
        <v>https://cloud.oebiotech.com/#/lm/network/2535</v>
      </c>
      <c r="H188" s="2"/>
      <c r="I188" s="2">
        <v>45895</v>
      </c>
      <c r="J188" s="2" t="s">
        <v>2379</v>
      </c>
      <c r="K188" s="2">
        <v>42607294</v>
      </c>
      <c r="L188" s="2"/>
      <c r="M188" s="2"/>
      <c r="N188" s="2"/>
      <c r="O188" s="2"/>
      <c r="P188" s="2"/>
      <c r="Q188" s="2"/>
      <c r="R188" s="2"/>
      <c r="S188" s="2" t="s">
        <v>2380</v>
      </c>
      <c r="T188" s="2" t="s">
        <v>2381</v>
      </c>
      <c r="U188" s="2" t="s">
        <v>56</v>
      </c>
      <c r="V188" s="2" t="s">
        <v>145</v>
      </c>
      <c r="W188" s="2" t="s">
        <v>231</v>
      </c>
      <c r="X188" s="2" t="s">
        <v>69</v>
      </c>
      <c r="Y188" s="2">
        <v>64.099999999999994</v>
      </c>
      <c r="Z188" s="2">
        <v>75.599999999999994</v>
      </c>
      <c r="AA188" s="2" t="s">
        <v>241</v>
      </c>
      <c r="AB188" s="2" t="s">
        <v>2382</v>
      </c>
      <c r="AC188" s="2">
        <v>0.10229436179321701</v>
      </c>
      <c r="AD188" s="2"/>
      <c r="AE188" s="2">
        <v>1.96435102827816</v>
      </c>
      <c r="AF188" s="2">
        <v>110350.696371502</v>
      </c>
      <c r="AG188" s="2">
        <v>318480.92404296901</v>
      </c>
      <c r="AH188" s="4">
        <v>0.34649075671676099</v>
      </c>
      <c r="AI188" s="4">
        <v>-1.5291112285761299</v>
      </c>
      <c r="AJ188" s="4" t="s">
        <v>62</v>
      </c>
      <c r="AK188" s="2">
        <v>0.15949496813448599</v>
      </c>
      <c r="AL188" s="2">
        <v>0.482327607117922</v>
      </c>
      <c r="AM188" s="2">
        <v>145541.11279959601</v>
      </c>
      <c r="AN188" s="2">
        <v>77598.836515042101</v>
      </c>
      <c r="AO188" s="2">
        <v>152180.57566751499</v>
      </c>
      <c r="AP188" s="2">
        <v>59263.061118312697</v>
      </c>
      <c r="AQ188" s="2">
        <v>136384.211135611</v>
      </c>
      <c r="AR188" s="2">
        <v>91136.380992932798</v>
      </c>
      <c r="AS188" s="2">
        <v>82912.530692080603</v>
      </c>
      <c r="AT188" s="2">
        <v>61560.448248942499</v>
      </c>
      <c r="AU188" s="2">
        <v>959641.28064458701</v>
      </c>
      <c r="AV188" s="2">
        <v>297885.55431267899</v>
      </c>
      <c r="AW188" s="2">
        <v>336895.96251762199</v>
      </c>
      <c r="AX188" s="2">
        <v>171989.76784190099</v>
      </c>
    </row>
    <row r="189" spans="1:50" x14ac:dyDescent="0.25">
      <c r="A189" s="2" t="s">
        <v>2383</v>
      </c>
      <c r="B189" s="2">
        <v>235.000151614858</v>
      </c>
      <c r="C189" s="2">
        <v>5.4175500000000003</v>
      </c>
      <c r="D189" s="2" t="s">
        <v>51</v>
      </c>
      <c r="E189" s="2" t="s">
        <v>2384</v>
      </c>
      <c r="F189" s="2">
        <v>211078</v>
      </c>
      <c r="G189" s="3" t="str">
        <f>HYPERLINK("https://cloud.oebiotech.com/#/lm/network/211078", "https://cloud.oebiotech.com/#/lm/network/211078")</f>
        <v>https://cloud.oebiotech.com/#/lm/network/211078</v>
      </c>
      <c r="H189" s="2" t="s">
        <v>2385</v>
      </c>
      <c r="I189" s="2"/>
      <c r="J189" s="2"/>
      <c r="K189" s="2">
        <v>597477</v>
      </c>
      <c r="L189" s="2"/>
      <c r="M189" s="2"/>
      <c r="N189" s="2"/>
      <c r="O189" s="2"/>
      <c r="P189" s="2"/>
      <c r="Q189" s="2"/>
      <c r="R189" s="2"/>
      <c r="S189" s="2" t="s">
        <v>2386</v>
      </c>
      <c r="T189" s="2" t="s">
        <v>2387</v>
      </c>
      <c r="U189" s="2" t="s">
        <v>103</v>
      </c>
      <c r="V189" s="2" t="s">
        <v>104</v>
      </c>
      <c r="W189" s="2" t="s">
        <v>105</v>
      </c>
      <c r="X189" s="2" t="s">
        <v>147</v>
      </c>
      <c r="Y189" s="2">
        <v>39.6</v>
      </c>
      <c r="Z189" s="2">
        <v>3.97</v>
      </c>
      <c r="AA189" s="2" t="s">
        <v>379</v>
      </c>
      <c r="AB189" s="2" t="s">
        <v>2388</v>
      </c>
      <c r="AC189" s="2">
        <v>-1.4834933500515799</v>
      </c>
      <c r="AD189" s="2"/>
      <c r="AE189" s="2">
        <v>1.94268439283297</v>
      </c>
      <c r="AF189" s="2">
        <v>1327914.5825596901</v>
      </c>
      <c r="AG189" s="2">
        <v>1534693.8352330399</v>
      </c>
      <c r="AH189" s="4">
        <v>0.86526351515450195</v>
      </c>
      <c r="AI189" s="4">
        <v>-0.20878852386029501</v>
      </c>
      <c r="AJ189" s="4" t="s">
        <v>62</v>
      </c>
      <c r="AK189" s="2">
        <v>0.22750481461653599</v>
      </c>
      <c r="AL189" s="2">
        <v>0.55318612061801498</v>
      </c>
      <c r="AM189" s="2">
        <v>1356913.56899293</v>
      </c>
      <c r="AN189" s="2">
        <v>1063606.0462177601</v>
      </c>
      <c r="AO189" s="2">
        <v>1276011.95983671</v>
      </c>
      <c r="AP189" s="2">
        <v>1761808.5025522199</v>
      </c>
      <c r="AQ189" s="2">
        <v>1300122.5434025601</v>
      </c>
      <c r="AR189" s="2">
        <v>1209024.8743559399</v>
      </c>
      <c r="AS189" s="2">
        <v>1521810.5672174999</v>
      </c>
      <c r="AT189" s="2">
        <v>2136084.89524912</v>
      </c>
      <c r="AU189" s="2">
        <v>1479920.30990042</v>
      </c>
      <c r="AV189" s="2">
        <v>1469756.92750064</v>
      </c>
      <c r="AW189" s="2">
        <v>1199241.8952500401</v>
      </c>
      <c r="AX189" s="2">
        <v>1401348.4162805399</v>
      </c>
    </row>
    <row r="190" spans="1:50" x14ac:dyDescent="0.25">
      <c r="A190" s="2" t="s">
        <v>2389</v>
      </c>
      <c r="B190" s="2">
        <v>335.221243882642</v>
      </c>
      <c r="C190" s="2">
        <v>9.7874166666666707</v>
      </c>
      <c r="D190" s="2" t="s">
        <v>51</v>
      </c>
      <c r="E190" s="2" t="s">
        <v>2390</v>
      </c>
      <c r="F190" s="2">
        <v>48265</v>
      </c>
      <c r="G190" s="3" t="str">
        <f>HYPERLINK("https://cloud.oebiotech.com/#/lm/network/48265", "https://cloud.oebiotech.com/#/lm/network/48265")</f>
        <v>https://cloud.oebiotech.com/#/lm/network/48265</v>
      </c>
      <c r="H190" s="2" t="s">
        <v>2391</v>
      </c>
      <c r="I190" s="2"/>
      <c r="J190" s="2"/>
      <c r="K190" s="2">
        <v>5288144</v>
      </c>
      <c r="L190" s="2" t="s">
        <v>2392</v>
      </c>
      <c r="M190" s="2" t="s">
        <v>305</v>
      </c>
      <c r="N190" s="2" t="s">
        <v>306</v>
      </c>
      <c r="O190" s="2">
        <v>28099</v>
      </c>
      <c r="P190" s="2" t="s">
        <v>307</v>
      </c>
      <c r="Q190" s="2" t="s">
        <v>308</v>
      </c>
      <c r="R190" s="2" t="s">
        <v>2393</v>
      </c>
      <c r="S190" s="2" t="s">
        <v>2394</v>
      </c>
      <c r="T190" s="2" t="s">
        <v>2395</v>
      </c>
      <c r="U190" s="2" t="s">
        <v>56</v>
      </c>
      <c r="V190" s="2" t="s">
        <v>145</v>
      </c>
      <c r="W190" s="2" t="s">
        <v>187</v>
      </c>
      <c r="X190" s="2" t="s">
        <v>69</v>
      </c>
      <c r="Y190" s="2">
        <v>64.099999999999994</v>
      </c>
      <c r="Z190" s="2">
        <v>81.400000000000006</v>
      </c>
      <c r="AA190" s="2" t="s">
        <v>259</v>
      </c>
      <c r="AB190" s="2" t="s">
        <v>212</v>
      </c>
      <c r="AC190" s="2">
        <v>-1.3224734959776001</v>
      </c>
      <c r="AD190" s="2"/>
      <c r="AE190" s="2">
        <v>1.93743079626438</v>
      </c>
      <c r="AF190" s="2">
        <v>332578.01456641901</v>
      </c>
      <c r="AG190" s="2">
        <v>223568.27380303101</v>
      </c>
      <c r="AH190" s="5">
        <v>1.48759038529514</v>
      </c>
      <c r="AI190" s="5">
        <v>0.57297732855873695</v>
      </c>
      <c r="AJ190" s="5" t="s">
        <v>139</v>
      </c>
      <c r="AK190" s="2">
        <v>0.100579133007305</v>
      </c>
      <c r="AL190" s="2">
        <v>0.40292733648068202</v>
      </c>
      <c r="AM190" s="2">
        <v>306522.38818074501</v>
      </c>
      <c r="AN190" s="2">
        <v>519012.66414514103</v>
      </c>
      <c r="AO190" s="2">
        <v>389598.88824768801</v>
      </c>
      <c r="AP190" s="2">
        <v>205126.31881620901</v>
      </c>
      <c r="AQ190" s="2">
        <v>267512.88502891402</v>
      </c>
      <c r="AR190" s="2">
        <v>307694.94297981798</v>
      </c>
      <c r="AS190" s="2">
        <v>227011.99781850999</v>
      </c>
      <c r="AT190" s="2">
        <v>110080.872650205</v>
      </c>
      <c r="AU190" s="2">
        <v>359619.43774381001</v>
      </c>
      <c r="AV190" s="2">
        <v>129553.30644755901</v>
      </c>
      <c r="AW190" s="2">
        <v>315057.33317808702</v>
      </c>
      <c r="AX190" s="2">
        <v>200086.69498001499</v>
      </c>
    </row>
    <row r="191" spans="1:50" x14ac:dyDescent="0.25">
      <c r="A191" s="2" t="s">
        <v>2396</v>
      </c>
      <c r="B191" s="2">
        <v>239.092218542837</v>
      </c>
      <c r="C191" s="2">
        <v>7.2455166666666697</v>
      </c>
      <c r="D191" s="2" t="s">
        <v>51</v>
      </c>
      <c r="E191" s="2" t="s">
        <v>2397</v>
      </c>
      <c r="F191" s="2">
        <v>60871</v>
      </c>
      <c r="G191" s="3" t="str">
        <f>HYPERLINK("https://cloud.oebiotech.com/#/lm/network/60871", "https://cloud.oebiotech.com/#/lm/network/60871")</f>
        <v>https://cloud.oebiotech.com/#/lm/network/60871</v>
      </c>
      <c r="H191" s="2" t="s">
        <v>2398</v>
      </c>
      <c r="I191" s="2">
        <v>92223</v>
      </c>
      <c r="J191" s="2"/>
      <c r="K191" s="2">
        <v>5352905</v>
      </c>
      <c r="L191" s="2"/>
      <c r="M191" s="2"/>
      <c r="N191" s="2"/>
      <c r="O191" s="2"/>
      <c r="P191" s="2"/>
      <c r="Q191" s="2"/>
      <c r="R191" s="2" t="s">
        <v>2399</v>
      </c>
      <c r="S191" s="2" t="s">
        <v>2400</v>
      </c>
      <c r="T191" s="2" t="s">
        <v>2401</v>
      </c>
      <c r="U191" s="2" t="s">
        <v>610</v>
      </c>
      <c r="V191" s="2" t="s">
        <v>895</v>
      </c>
      <c r="W191" s="2" t="s">
        <v>896</v>
      </c>
      <c r="X191" s="2" t="s">
        <v>69</v>
      </c>
      <c r="Y191" s="2">
        <v>75.5</v>
      </c>
      <c r="Z191" s="2">
        <v>97.6</v>
      </c>
      <c r="AA191" s="2" t="s">
        <v>218</v>
      </c>
      <c r="AB191" s="2" t="s">
        <v>2402</v>
      </c>
      <c r="AC191" s="2">
        <v>-1.43556421223035</v>
      </c>
      <c r="AD191" s="2"/>
      <c r="AE191" s="2">
        <v>1.9328280797388</v>
      </c>
      <c r="AF191" s="2">
        <v>183864.73169865101</v>
      </c>
      <c r="AG191" s="2">
        <v>338816.82627195102</v>
      </c>
      <c r="AH191" s="4">
        <v>0.54266706208702897</v>
      </c>
      <c r="AI191" s="4">
        <v>-0.88186074988090002</v>
      </c>
      <c r="AJ191" s="4" t="s">
        <v>62</v>
      </c>
      <c r="AK191" s="2">
        <v>0.212668961491318</v>
      </c>
      <c r="AL191" s="2">
        <v>0.53706865589344099</v>
      </c>
      <c r="AM191" s="2">
        <v>332908.59791772399</v>
      </c>
      <c r="AN191" s="2">
        <v>147796.644911924</v>
      </c>
      <c r="AO191" s="2">
        <v>91038.524756128594</v>
      </c>
      <c r="AP191" s="2">
        <v>341253.666128413</v>
      </c>
      <c r="AQ191" s="2">
        <v>34354.5138148509</v>
      </c>
      <c r="AR191" s="2">
        <v>155836.442662866</v>
      </c>
      <c r="AS191" s="2">
        <v>773591.35896509397</v>
      </c>
      <c r="AT191" s="2">
        <v>184794.76900636</v>
      </c>
      <c r="AU191" s="2">
        <v>367760.23804582399</v>
      </c>
      <c r="AV191" s="2">
        <v>228073.04944954201</v>
      </c>
      <c r="AW191" s="2">
        <v>440306.91713052802</v>
      </c>
      <c r="AX191" s="2">
        <v>38374.625034359502</v>
      </c>
    </row>
    <row r="192" spans="1:50" x14ac:dyDescent="0.25">
      <c r="A192" s="2" t="s">
        <v>618</v>
      </c>
      <c r="B192" s="2">
        <v>283.264282574893</v>
      </c>
      <c r="C192" s="2">
        <v>14.465633333333299</v>
      </c>
      <c r="D192" s="2" t="s">
        <v>51</v>
      </c>
      <c r="E192" s="2" t="s">
        <v>619</v>
      </c>
      <c r="F192" s="2">
        <v>138</v>
      </c>
      <c r="G192" s="3" t="str">
        <f>HYPERLINK("https://cloud.oebiotech.com/#/lm/network/138", "https://cloud.oebiotech.com/#/lm/network/138")</f>
        <v>https://cloud.oebiotech.com/#/lm/network/138</v>
      </c>
      <c r="H192" s="2"/>
      <c r="I192" s="2">
        <v>4324</v>
      </c>
      <c r="J192" s="2" t="s">
        <v>620</v>
      </c>
      <c r="K192" s="2">
        <v>5282623</v>
      </c>
      <c r="L192" s="2"/>
      <c r="M192" s="2"/>
      <c r="N192" s="2"/>
      <c r="O192" s="2"/>
      <c r="P192" s="2"/>
      <c r="Q192" s="2"/>
      <c r="R192" s="2"/>
      <c r="S192" s="2" t="s">
        <v>621</v>
      </c>
      <c r="T192" s="2" t="s">
        <v>622</v>
      </c>
      <c r="U192" s="2" t="s">
        <v>56</v>
      </c>
      <c r="V192" s="2" t="s">
        <v>145</v>
      </c>
      <c r="W192" s="2" t="s">
        <v>231</v>
      </c>
      <c r="X192" s="2" t="s">
        <v>147</v>
      </c>
      <c r="Y192" s="2">
        <v>39.4</v>
      </c>
      <c r="Z192" s="2">
        <v>8.8900000000000007E-2</v>
      </c>
      <c r="AA192" s="2" t="s">
        <v>623</v>
      </c>
      <c r="AB192" s="2" t="s">
        <v>624</v>
      </c>
      <c r="AC192" s="2">
        <v>0.100654656817288</v>
      </c>
      <c r="AD192" s="2"/>
      <c r="AE192" s="2">
        <v>1.92757325154435</v>
      </c>
      <c r="AF192" s="2">
        <v>206343.07641393199</v>
      </c>
      <c r="AG192" s="2">
        <v>314095.37371535797</v>
      </c>
      <c r="AH192" s="4">
        <v>0.65694401663147695</v>
      </c>
      <c r="AI192" s="4">
        <v>-0.60615766249719305</v>
      </c>
      <c r="AJ192" s="4" t="s">
        <v>62</v>
      </c>
      <c r="AK192" s="2">
        <v>2.5501551891546102E-2</v>
      </c>
      <c r="AL192" s="2">
        <v>0.245411442075921</v>
      </c>
      <c r="AM192" s="2">
        <v>208695.93435248101</v>
      </c>
      <c r="AN192" s="2">
        <v>145034.205703974</v>
      </c>
      <c r="AO192" s="2">
        <v>260716.03440796299</v>
      </c>
      <c r="AP192" s="2">
        <v>140158.54518355301</v>
      </c>
      <c r="AQ192" s="2">
        <v>260513.55047592099</v>
      </c>
      <c r="AR192" s="2">
        <v>222940.188359703</v>
      </c>
      <c r="AS192" s="2">
        <v>213279.50181875899</v>
      </c>
      <c r="AT192" s="2">
        <v>242952.42244524899</v>
      </c>
      <c r="AU192" s="2">
        <v>401311.423802907</v>
      </c>
      <c r="AV192" s="2">
        <v>356086.68091213802</v>
      </c>
      <c r="AW192" s="2">
        <v>409083.94159503799</v>
      </c>
      <c r="AX192" s="2">
        <v>261858.27171805999</v>
      </c>
    </row>
    <row r="193" spans="1:50" x14ac:dyDescent="0.25">
      <c r="A193" s="2" t="s">
        <v>2403</v>
      </c>
      <c r="B193" s="2">
        <v>361.23890255579198</v>
      </c>
      <c r="C193" s="2">
        <v>9.5834499999999991</v>
      </c>
      <c r="D193" s="2" t="s">
        <v>51</v>
      </c>
      <c r="E193" s="2" t="s">
        <v>2404</v>
      </c>
      <c r="F193" s="2">
        <v>4901</v>
      </c>
      <c r="G193" s="3" t="str">
        <f>HYPERLINK("https://cloud.oebiotech.com/#/lm/network/4901", "https://cloud.oebiotech.com/#/lm/network/4901")</f>
        <v>https://cloud.oebiotech.com/#/lm/network/4901</v>
      </c>
      <c r="H193" s="2"/>
      <c r="I193" s="2"/>
      <c r="J193" s="2" t="s">
        <v>2405</v>
      </c>
      <c r="K193" s="2">
        <v>132472313</v>
      </c>
      <c r="L193" s="2"/>
      <c r="M193" s="2"/>
      <c r="N193" s="2"/>
      <c r="O193" s="2">
        <v>140256</v>
      </c>
      <c r="P193" s="2" t="s">
        <v>2406</v>
      </c>
      <c r="Q193" s="2" t="s">
        <v>2407</v>
      </c>
      <c r="R193" s="2"/>
      <c r="S193" s="2" t="s">
        <v>2408</v>
      </c>
      <c r="T193" s="2" t="s">
        <v>2409</v>
      </c>
      <c r="U193" s="2" t="s">
        <v>56</v>
      </c>
      <c r="V193" s="2" t="s">
        <v>145</v>
      </c>
      <c r="W193" s="2" t="s">
        <v>231</v>
      </c>
      <c r="X193" s="2" t="s">
        <v>83</v>
      </c>
      <c r="Y193" s="2">
        <v>61.3</v>
      </c>
      <c r="Z193" s="2">
        <v>33.700000000000003</v>
      </c>
      <c r="AA193" s="2" t="s">
        <v>163</v>
      </c>
      <c r="AB193" s="2" t="s">
        <v>2410</v>
      </c>
      <c r="AC193" s="2">
        <v>1.29585847401034</v>
      </c>
      <c r="AD193" s="2"/>
      <c r="AE193" s="2">
        <v>1.9239971178799899</v>
      </c>
      <c r="AF193" s="2">
        <v>222355.032148261</v>
      </c>
      <c r="AG193" s="2">
        <v>136978.83388238301</v>
      </c>
      <c r="AH193" s="5">
        <v>1.62328022400297</v>
      </c>
      <c r="AI193" s="5">
        <v>0.69891207128609101</v>
      </c>
      <c r="AJ193" s="5" t="s">
        <v>139</v>
      </c>
      <c r="AK193" s="2">
        <v>7.2293390270076502E-2</v>
      </c>
      <c r="AL193" s="2">
        <v>0.35370651166856698</v>
      </c>
      <c r="AM193" s="2">
        <v>379852.88762028498</v>
      </c>
      <c r="AN193" s="2">
        <v>256591.66434747301</v>
      </c>
      <c r="AO193" s="2">
        <v>159826.86495999899</v>
      </c>
      <c r="AP193" s="2">
        <v>144707.63918330401</v>
      </c>
      <c r="AQ193" s="2">
        <v>177493.66433281801</v>
      </c>
      <c r="AR193" s="2">
        <v>215657.47244568699</v>
      </c>
      <c r="AS193" s="2">
        <v>188086.692519954</v>
      </c>
      <c r="AT193" s="2">
        <v>75119.252841447407</v>
      </c>
      <c r="AU193" s="2">
        <v>221946.36133459301</v>
      </c>
      <c r="AV193" s="2">
        <v>90566.459397729195</v>
      </c>
      <c r="AW193" s="2">
        <v>124805.248241618</v>
      </c>
      <c r="AX193" s="2">
        <v>121348.988958959</v>
      </c>
    </row>
    <row r="194" spans="1:50" x14ac:dyDescent="0.25">
      <c r="A194" s="2" t="s">
        <v>2411</v>
      </c>
      <c r="B194" s="2">
        <v>328.140132912387</v>
      </c>
      <c r="C194" s="2">
        <v>2.04328333333333</v>
      </c>
      <c r="D194" s="2" t="s">
        <v>51</v>
      </c>
      <c r="E194" s="2" t="s">
        <v>2412</v>
      </c>
      <c r="F194" s="2">
        <v>61331</v>
      </c>
      <c r="G194" s="3" t="str">
        <f>HYPERLINK("https://cloud.oebiotech.com/#/lm/network/61331", "https://cloud.oebiotech.com/#/lm/network/61331")</f>
        <v>https://cloud.oebiotech.com/#/lm/network/61331</v>
      </c>
      <c r="H194" s="2" t="s">
        <v>2413</v>
      </c>
      <c r="I194" s="2"/>
      <c r="J194" s="2"/>
      <c r="K194" s="2">
        <v>101039148</v>
      </c>
      <c r="L194" s="2"/>
      <c r="M194" s="2"/>
      <c r="N194" s="2"/>
      <c r="O194" s="2">
        <v>136561</v>
      </c>
      <c r="P194" s="2"/>
      <c r="Q194" s="2"/>
      <c r="R194" s="2" t="s">
        <v>2414</v>
      </c>
      <c r="S194" s="2" t="s">
        <v>2415</v>
      </c>
      <c r="T194" s="2" t="s">
        <v>2416</v>
      </c>
      <c r="U194" s="2" t="s">
        <v>103</v>
      </c>
      <c r="V194" s="2" t="s">
        <v>104</v>
      </c>
      <c r="W194" s="2" t="s">
        <v>105</v>
      </c>
      <c r="X194" s="2" t="s">
        <v>59</v>
      </c>
      <c r="Y194" s="2">
        <v>51.8</v>
      </c>
      <c r="Z194" s="2">
        <v>67.8</v>
      </c>
      <c r="AA194" s="2" t="s">
        <v>196</v>
      </c>
      <c r="AB194" s="2" t="s">
        <v>2417</v>
      </c>
      <c r="AC194" s="2">
        <v>3.2233649868979399</v>
      </c>
      <c r="AD194" s="2"/>
      <c r="AE194" s="2">
        <v>1.9222039330420899</v>
      </c>
      <c r="AF194" s="2">
        <v>125337.33728984201</v>
      </c>
      <c r="AG194" s="2">
        <v>221247.28026148301</v>
      </c>
      <c r="AH194" s="4">
        <v>0.566503403529799</v>
      </c>
      <c r="AI194" s="4">
        <v>-0.81984347116140799</v>
      </c>
      <c r="AJ194" s="4" t="s">
        <v>62</v>
      </c>
      <c r="AK194" s="2">
        <v>0.100451995465827</v>
      </c>
      <c r="AL194" s="2">
        <v>0.40292733648068202</v>
      </c>
      <c r="AM194" s="2">
        <v>8.559877937157E-6</v>
      </c>
      <c r="AN194" s="2">
        <v>198894.77837389801</v>
      </c>
      <c r="AO194" s="2">
        <v>102737.52900526499</v>
      </c>
      <c r="AP194" s="2">
        <v>79431.613260800397</v>
      </c>
      <c r="AQ194" s="2">
        <v>131398.019914907</v>
      </c>
      <c r="AR194" s="2">
        <v>239562.08317562001</v>
      </c>
      <c r="AS194" s="2">
        <v>318149.086631326</v>
      </c>
      <c r="AT194" s="2">
        <v>232358.26050964399</v>
      </c>
      <c r="AU194" s="2">
        <v>53110.313111293101</v>
      </c>
      <c r="AV194" s="2">
        <v>258879.93677504201</v>
      </c>
      <c r="AW194" s="2">
        <v>169294.336387566</v>
      </c>
      <c r="AX194" s="2">
        <v>295691.74815402902</v>
      </c>
    </row>
    <row r="195" spans="1:50" x14ac:dyDescent="0.25">
      <c r="A195" s="2" t="s">
        <v>625</v>
      </c>
      <c r="B195" s="2">
        <v>636.38841205681797</v>
      </c>
      <c r="C195" s="2">
        <v>11.210366666666699</v>
      </c>
      <c r="D195" s="2" t="s">
        <v>51</v>
      </c>
      <c r="E195" s="2" t="s">
        <v>626</v>
      </c>
      <c r="F195" s="2">
        <v>27844</v>
      </c>
      <c r="G195" s="3" t="str">
        <f>HYPERLINK("https://cloud.oebiotech.com/#/lm/network/27844", "https://cloud.oebiotech.com/#/lm/network/27844")</f>
        <v>https://cloud.oebiotech.com/#/lm/network/27844</v>
      </c>
      <c r="H195" s="2"/>
      <c r="I195" s="2"/>
      <c r="J195" s="2" t="s">
        <v>627</v>
      </c>
      <c r="K195" s="2">
        <v>134812299</v>
      </c>
      <c r="L195" s="2"/>
      <c r="M195" s="2"/>
      <c r="N195" s="2"/>
      <c r="O195" s="2"/>
      <c r="P195" s="2"/>
      <c r="Q195" s="2"/>
      <c r="R195" s="2"/>
      <c r="S195" s="2" t="s">
        <v>628</v>
      </c>
      <c r="T195" s="2" t="s">
        <v>629</v>
      </c>
      <c r="U195" s="2" t="s">
        <v>56</v>
      </c>
      <c r="V195" s="2" t="s">
        <v>57</v>
      </c>
      <c r="W195" s="2" t="s">
        <v>58</v>
      </c>
      <c r="X195" s="2" t="s">
        <v>69</v>
      </c>
      <c r="Y195" s="2">
        <v>52.3</v>
      </c>
      <c r="Z195" s="2">
        <v>54.8</v>
      </c>
      <c r="AA195" s="2" t="s">
        <v>60</v>
      </c>
      <c r="AB195" s="2" t="s">
        <v>630</v>
      </c>
      <c r="AC195" s="2">
        <v>2.0490646518041702</v>
      </c>
      <c r="AD195" s="2"/>
      <c r="AE195" s="2">
        <v>1.91704802312504</v>
      </c>
      <c r="AF195" s="2">
        <v>124717.677835051</v>
      </c>
      <c r="AG195" s="2">
        <v>48131.331469288001</v>
      </c>
      <c r="AH195" s="5">
        <v>2.59119525738928</v>
      </c>
      <c r="AI195" s="5">
        <v>1.37361773271346</v>
      </c>
      <c r="AJ195" s="5" t="s">
        <v>139</v>
      </c>
      <c r="AK195" s="2">
        <v>1.0788091863312499E-2</v>
      </c>
      <c r="AL195" s="2">
        <v>0.16592979635359201</v>
      </c>
      <c r="AM195" s="2">
        <v>155888.56083279499</v>
      </c>
      <c r="AN195" s="2">
        <v>213068.06755027999</v>
      </c>
      <c r="AO195" s="2">
        <v>93178.984904913494</v>
      </c>
      <c r="AP195" s="2">
        <v>120051.871514258</v>
      </c>
      <c r="AQ195" s="2">
        <v>50023.117650646302</v>
      </c>
      <c r="AR195" s="2">
        <v>116095.464557411</v>
      </c>
      <c r="AS195" s="2">
        <v>34574.699254614599</v>
      </c>
      <c r="AT195" s="2">
        <v>42913.7801341214</v>
      </c>
      <c r="AU195" s="2">
        <v>91198.258511237203</v>
      </c>
      <c r="AV195" s="2">
        <v>44474.350287122099</v>
      </c>
      <c r="AW195" s="2">
        <v>25915.963616584901</v>
      </c>
      <c r="AX195" s="2">
        <v>49710.9370120479</v>
      </c>
    </row>
    <row r="196" spans="1:50" x14ac:dyDescent="0.25">
      <c r="A196" s="2" t="s">
        <v>631</v>
      </c>
      <c r="B196" s="2">
        <v>437.21639646219302</v>
      </c>
      <c r="C196" s="2">
        <v>6.7040499999999996</v>
      </c>
      <c r="D196" s="2" t="s">
        <v>51</v>
      </c>
      <c r="E196" s="2" t="s">
        <v>632</v>
      </c>
      <c r="F196" s="2">
        <v>45107</v>
      </c>
      <c r="G196" s="3" t="str">
        <f>HYPERLINK("https://cloud.oebiotech.com/#/lm/network/45107", "https://cloud.oebiotech.com/#/lm/network/45107")</f>
        <v>https://cloud.oebiotech.com/#/lm/network/45107</v>
      </c>
      <c r="H196" s="2"/>
      <c r="I196" s="2"/>
      <c r="J196" s="2" t="s">
        <v>633</v>
      </c>
      <c r="K196" s="2"/>
      <c r="L196" s="2"/>
      <c r="M196" s="2"/>
      <c r="N196" s="2"/>
      <c r="O196" s="2"/>
      <c r="P196" s="2"/>
      <c r="Q196" s="2"/>
      <c r="R196" s="2"/>
      <c r="S196" s="2" t="s">
        <v>634</v>
      </c>
      <c r="T196" s="2" t="s">
        <v>635</v>
      </c>
      <c r="U196" s="2" t="s">
        <v>56</v>
      </c>
      <c r="V196" s="2" t="s">
        <v>283</v>
      </c>
      <c r="W196" s="2" t="s">
        <v>492</v>
      </c>
      <c r="X196" s="2" t="s">
        <v>147</v>
      </c>
      <c r="Y196" s="2">
        <v>44.9</v>
      </c>
      <c r="Z196" s="2">
        <v>34.1</v>
      </c>
      <c r="AA196" s="2" t="s">
        <v>218</v>
      </c>
      <c r="AB196" s="2" t="s">
        <v>636</v>
      </c>
      <c r="AC196" s="2">
        <v>-4.3219414806405503</v>
      </c>
      <c r="AD196" s="2"/>
      <c r="AE196" s="2">
        <v>1.9153331041652</v>
      </c>
      <c r="AF196" s="2">
        <v>174030.27903458101</v>
      </c>
      <c r="AG196" s="2">
        <v>97186.8845970845</v>
      </c>
      <c r="AH196" s="5">
        <v>1.79067658929569</v>
      </c>
      <c r="AI196" s="5">
        <v>0.84050479843437897</v>
      </c>
      <c r="AJ196" s="5" t="s">
        <v>139</v>
      </c>
      <c r="AK196" s="2">
        <v>7.9853594538583008E-3</v>
      </c>
      <c r="AL196" s="2">
        <v>0.147905063558916</v>
      </c>
      <c r="AM196" s="2">
        <v>241518.24793661101</v>
      </c>
      <c r="AN196" s="2">
        <v>183144.98672261799</v>
      </c>
      <c r="AO196" s="2">
        <v>159213.48302734</v>
      </c>
      <c r="AP196" s="2">
        <v>172075.53957525</v>
      </c>
      <c r="AQ196" s="2">
        <v>121888.52531384199</v>
      </c>
      <c r="AR196" s="2">
        <v>166340.891631823</v>
      </c>
      <c r="AS196" s="2">
        <v>150065.036727286</v>
      </c>
      <c r="AT196" s="2">
        <v>76249.110485101599</v>
      </c>
      <c r="AU196" s="2">
        <v>128549.497769707</v>
      </c>
      <c r="AV196" s="2">
        <v>47017.480903360803</v>
      </c>
      <c r="AW196" s="2">
        <v>60735.490235142403</v>
      </c>
      <c r="AX196" s="2">
        <v>120504.69146190899</v>
      </c>
    </row>
    <row r="197" spans="1:50" x14ac:dyDescent="0.25">
      <c r="A197" s="2" t="s">
        <v>2418</v>
      </c>
      <c r="B197" s="2">
        <v>499.34882895850001</v>
      </c>
      <c r="C197" s="2">
        <v>10.8089833333333</v>
      </c>
      <c r="D197" s="2" t="s">
        <v>51</v>
      </c>
      <c r="E197" s="2" t="s">
        <v>2419</v>
      </c>
      <c r="F197" s="2">
        <v>55094</v>
      </c>
      <c r="G197" s="3" t="str">
        <f>HYPERLINK("https://cloud.oebiotech.com/#/lm/network/55094", "https://cloud.oebiotech.com/#/lm/network/55094")</f>
        <v>https://cloud.oebiotech.com/#/lm/network/55094</v>
      </c>
      <c r="H197" s="2" t="s">
        <v>2420</v>
      </c>
      <c r="I197" s="2">
        <v>86850</v>
      </c>
      <c r="J197" s="2"/>
      <c r="K197" s="2">
        <v>131750991</v>
      </c>
      <c r="L197" s="2"/>
      <c r="M197" s="2"/>
      <c r="N197" s="2"/>
      <c r="O197" s="2"/>
      <c r="P197" s="2"/>
      <c r="Q197" s="2"/>
      <c r="R197" s="2" t="s">
        <v>2421</v>
      </c>
      <c r="S197" s="2" t="s">
        <v>2422</v>
      </c>
      <c r="T197" s="2" t="s">
        <v>2423</v>
      </c>
      <c r="U197" s="2" t="s">
        <v>540</v>
      </c>
      <c r="V197" s="2" t="s">
        <v>563</v>
      </c>
      <c r="W197" s="2" t="s">
        <v>240</v>
      </c>
      <c r="X197" s="2" t="s">
        <v>147</v>
      </c>
      <c r="Y197" s="2">
        <v>36.5</v>
      </c>
      <c r="Z197" s="2">
        <v>7.85</v>
      </c>
      <c r="AA197" s="2" t="s">
        <v>1123</v>
      </c>
      <c r="AB197" s="2" t="s">
        <v>2424</v>
      </c>
      <c r="AC197" s="2">
        <v>-3.7781160899676101</v>
      </c>
      <c r="AD197" s="2"/>
      <c r="AE197" s="2">
        <v>1.91022164349291</v>
      </c>
      <c r="AF197" s="2">
        <v>927087.37509693997</v>
      </c>
      <c r="AG197" s="2">
        <v>1187389.56717303</v>
      </c>
      <c r="AH197" s="4">
        <v>0.78077776723622305</v>
      </c>
      <c r="AI197" s="4">
        <v>-0.35701612235889102</v>
      </c>
      <c r="AJ197" s="4" t="s">
        <v>62</v>
      </c>
      <c r="AK197" s="2">
        <v>0.31647370355190302</v>
      </c>
      <c r="AL197" s="2">
        <v>0.62484349118312199</v>
      </c>
      <c r="AM197" s="2">
        <v>1571348.5098981101</v>
      </c>
      <c r="AN197" s="2">
        <v>821816.29069450498</v>
      </c>
      <c r="AO197" s="2">
        <v>815426.229185362</v>
      </c>
      <c r="AP197" s="2">
        <v>1148726.42778099</v>
      </c>
      <c r="AQ197" s="2">
        <v>601877.87517866504</v>
      </c>
      <c r="AR197" s="2">
        <v>603328.91784400702</v>
      </c>
      <c r="AS197" s="2">
        <v>637613.47128792806</v>
      </c>
      <c r="AT197" s="2">
        <v>529481.97558621306</v>
      </c>
      <c r="AU197" s="2">
        <v>1591068.2077163099</v>
      </c>
      <c r="AV197" s="2">
        <v>1392922.1753907299</v>
      </c>
      <c r="AW197" s="2">
        <v>1414548.48121066</v>
      </c>
      <c r="AX197" s="2">
        <v>1558703.0918463101</v>
      </c>
    </row>
    <row r="198" spans="1:50" x14ac:dyDescent="0.25">
      <c r="A198" s="2" t="s">
        <v>2425</v>
      </c>
      <c r="B198" s="2">
        <v>207.149917871871</v>
      </c>
      <c r="C198" s="2">
        <v>4.0481166666666697</v>
      </c>
      <c r="D198" s="2" t="s">
        <v>51</v>
      </c>
      <c r="E198" s="2" t="s">
        <v>2426</v>
      </c>
      <c r="F198" s="2">
        <v>209907</v>
      </c>
      <c r="G198" s="3" t="str">
        <f>HYPERLINK("https://cloud.oebiotech.com/#/lm/network/209907", "https://cloud.oebiotech.com/#/lm/network/209907")</f>
        <v>https://cloud.oebiotech.com/#/lm/network/209907</v>
      </c>
      <c r="H198" s="2" t="s">
        <v>2427</v>
      </c>
      <c r="I198" s="2">
        <v>44356</v>
      </c>
      <c r="J198" s="2"/>
      <c r="K198" s="2">
        <v>4630</v>
      </c>
      <c r="L198" s="2" t="s">
        <v>2428</v>
      </c>
      <c r="M198" s="2"/>
      <c r="N198" s="2"/>
      <c r="O198" s="2"/>
      <c r="P198" s="2"/>
      <c r="Q198" s="2"/>
      <c r="R198" s="2" t="s">
        <v>2429</v>
      </c>
      <c r="S198" s="2" t="s">
        <v>2430</v>
      </c>
      <c r="T198" s="2" t="s">
        <v>2431</v>
      </c>
      <c r="U198" s="2" t="s">
        <v>266</v>
      </c>
      <c r="V198" s="2" t="s">
        <v>2432</v>
      </c>
      <c r="W198" s="2" t="s">
        <v>2433</v>
      </c>
      <c r="X198" s="2" t="s">
        <v>147</v>
      </c>
      <c r="Y198" s="2">
        <v>41.4</v>
      </c>
      <c r="Z198" s="2">
        <v>13.5</v>
      </c>
      <c r="AA198" s="2" t="s">
        <v>60</v>
      </c>
      <c r="AB198" s="2" t="s">
        <v>2434</v>
      </c>
      <c r="AC198" s="2">
        <v>3.5326801777479999</v>
      </c>
      <c r="AD198" s="2"/>
      <c r="AE198" s="2">
        <v>1.90923956032044</v>
      </c>
      <c r="AF198" s="2">
        <v>24499.746443700598</v>
      </c>
      <c r="AG198" s="2">
        <v>142608.618598762</v>
      </c>
      <c r="AH198" s="4">
        <v>0.17179709532585899</v>
      </c>
      <c r="AI198" s="4">
        <v>-2.5412224506950598</v>
      </c>
      <c r="AJ198" s="4" t="s">
        <v>62</v>
      </c>
      <c r="AK198" s="2">
        <v>0.176318075538761</v>
      </c>
      <c r="AL198" s="2">
        <v>0.49776529456663099</v>
      </c>
      <c r="AM198" s="2">
        <v>37361.2990815995</v>
      </c>
      <c r="AN198" s="2">
        <v>3447.4710744067302</v>
      </c>
      <c r="AO198" s="2">
        <v>64942.711539303302</v>
      </c>
      <c r="AP198" s="2">
        <v>37916.189668838597</v>
      </c>
      <c r="AQ198" s="2">
        <v>1877.3283637260799</v>
      </c>
      <c r="AR198" s="2">
        <v>1453.47893432919</v>
      </c>
      <c r="AS198" s="2">
        <v>295198.19498821697</v>
      </c>
      <c r="AT198" s="2">
        <v>2902.4457676145398</v>
      </c>
      <c r="AU198" s="2">
        <v>1888.351234687</v>
      </c>
      <c r="AV198" s="2">
        <v>17160.154576066099</v>
      </c>
      <c r="AW198" s="2">
        <v>473924.63440031401</v>
      </c>
      <c r="AX198" s="2">
        <v>64577.930625671303</v>
      </c>
    </row>
    <row r="199" spans="1:50" x14ac:dyDescent="0.25">
      <c r="A199" s="2" t="s">
        <v>2435</v>
      </c>
      <c r="B199" s="2">
        <v>489.13564268123599</v>
      </c>
      <c r="C199" s="2">
        <v>6.9037166666666696</v>
      </c>
      <c r="D199" s="2" t="s">
        <v>51</v>
      </c>
      <c r="E199" s="2" t="s">
        <v>2436</v>
      </c>
      <c r="F199" s="2">
        <v>204500</v>
      </c>
      <c r="G199" s="3" t="str">
        <f>HYPERLINK("https://cloud.oebiotech.com/#/lm/network/204500", "https://cloud.oebiotech.com/#/lm/network/204500")</f>
        <v>https://cloud.oebiotech.com/#/lm/network/204500</v>
      </c>
      <c r="H199" s="2" t="s">
        <v>2437</v>
      </c>
      <c r="I199" s="2"/>
      <c r="J199" s="2"/>
      <c r="K199" s="2">
        <v>74323022</v>
      </c>
      <c r="L199" s="2"/>
      <c r="M199" s="2"/>
      <c r="N199" s="2"/>
      <c r="O199" s="2"/>
      <c r="P199" s="2"/>
      <c r="Q199" s="2"/>
      <c r="R199" s="2"/>
      <c r="S199" s="2" t="s">
        <v>2438</v>
      </c>
      <c r="T199" s="2" t="s">
        <v>2439</v>
      </c>
      <c r="U199" s="2" t="s">
        <v>331</v>
      </c>
      <c r="V199" s="2" t="s">
        <v>332</v>
      </c>
      <c r="W199" s="2" t="s">
        <v>333</v>
      </c>
      <c r="X199" s="2" t="s">
        <v>83</v>
      </c>
      <c r="Y199" s="2">
        <v>42.3</v>
      </c>
      <c r="Z199" s="2">
        <v>0</v>
      </c>
      <c r="AA199" s="2" t="s">
        <v>241</v>
      </c>
      <c r="AB199" s="2" t="s">
        <v>2440</v>
      </c>
      <c r="AC199" s="2">
        <v>-7.2799194266461598</v>
      </c>
      <c r="AD199" s="2"/>
      <c r="AE199" s="2">
        <v>1.9061728424756299</v>
      </c>
      <c r="AF199" s="2">
        <v>294273.26869125501</v>
      </c>
      <c r="AG199" s="2">
        <v>444792.96672448301</v>
      </c>
      <c r="AH199" s="4">
        <v>0.66159604738879896</v>
      </c>
      <c r="AI199" s="4">
        <v>-0.59597747952813296</v>
      </c>
      <c r="AJ199" s="4" t="s">
        <v>62</v>
      </c>
      <c r="AK199" s="2">
        <v>0.13626658483078999</v>
      </c>
      <c r="AL199" s="2">
        <v>0.457070459966327</v>
      </c>
      <c r="AM199" s="2">
        <v>318468.37051540799</v>
      </c>
      <c r="AN199" s="2">
        <v>211877.874276583</v>
      </c>
      <c r="AO199" s="2">
        <v>431541.89374324097</v>
      </c>
      <c r="AP199" s="2">
        <v>28609.940061759899</v>
      </c>
      <c r="AQ199" s="2">
        <v>291967.06963293802</v>
      </c>
      <c r="AR199" s="2">
        <v>483174.46391760302</v>
      </c>
      <c r="AS199" s="2">
        <v>438436.92506700801</v>
      </c>
      <c r="AT199" s="2">
        <v>404502.22023298597</v>
      </c>
      <c r="AU199" s="2">
        <v>406014.78166015103</v>
      </c>
      <c r="AV199" s="2">
        <v>582567.15731624095</v>
      </c>
      <c r="AW199" s="2">
        <v>645482.07762820204</v>
      </c>
      <c r="AX199" s="2">
        <v>191754.63844230899</v>
      </c>
    </row>
    <row r="200" spans="1:50" x14ac:dyDescent="0.25">
      <c r="A200" s="2" t="s">
        <v>637</v>
      </c>
      <c r="B200" s="2">
        <v>351.21794703077302</v>
      </c>
      <c r="C200" s="2">
        <v>7.7465999999999999</v>
      </c>
      <c r="D200" s="2" t="s">
        <v>51</v>
      </c>
      <c r="E200" s="2" t="s">
        <v>638</v>
      </c>
      <c r="F200" s="2">
        <v>267410</v>
      </c>
      <c r="G200" s="3" t="str">
        <f>HYPERLINK("https://cloud.oebiotech.com/#/lm/network/267410", "https://cloud.oebiotech.com/#/lm/network/267410")</f>
        <v>https://cloud.oebiotech.com/#/lm/network/267410</v>
      </c>
      <c r="H200" s="2"/>
      <c r="I200" s="2">
        <v>45419</v>
      </c>
      <c r="J200" s="2"/>
      <c r="K200" s="2">
        <v>6519333</v>
      </c>
      <c r="L200" s="2"/>
      <c r="M200" s="2"/>
      <c r="N200" s="2"/>
      <c r="O200" s="2"/>
      <c r="P200" s="2"/>
      <c r="Q200" s="2"/>
      <c r="R200" s="2"/>
      <c r="S200" s="2" t="s">
        <v>639</v>
      </c>
      <c r="T200" s="2" t="s">
        <v>640</v>
      </c>
      <c r="U200" s="2" t="s">
        <v>56</v>
      </c>
      <c r="V200" s="2" t="s">
        <v>145</v>
      </c>
      <c r="W200" s="2" t="s">
        <v>187</v>
      </c>
      <c r="X200" s="2" t="s">
        <v>69</v>
      </c>
      <c r="Y200" s="2">
        <v>58.7</v>
      </c>
      <c r="Z200" s="2">
        <v>75.3</v>
      </c>
      <c r="AA200" s="2" t="s">
        <v>163</v>
      </c>
      <c r="AB200" s="2" t="s">
        <v>380</v>
      </c>
      <c r="AC200" s="2">
        <v>0.70789623613142505</v>
      </c>
      <c r="AD200" s="2"/>
      <c r="AE200" s="2">
        <v>1.90451262527494</v>
      </c>
      <c r="AF200" s="2">
        <v>163942.392205446</v>
      </c>
      <c r="AG200" s="2">
        <v>88293.461559967895</v>
      </c>
      <c r="AH200" s="5">
        <v>1.8567897249571299</v>
      </c>
      <c r="AI200" s="5">
        <v>0.89281044427801004</v>
      </c>
      <c r="AJ200" s="5" t="s">
        <v>139</v>
      </c>
      <c r="AK200" s="2">
        <v>1.57301288185926E-3</v>
      </c>
      <c r="AL200" s="2">
        <v>9.8160839002130199E-2</v>
      </c>
      <c r="AM200" s="2">
        <v>179093.124278034</v>
      </c>
      <c r="AN200" s="2">
        <v>156169.264088394</v>
      </c>
      <c r="AO200" s="2">
        <v>173040.042137476</v>
      </c>
      <c r="AP200" s="2">
        <v>185870.622605932</v>
      </c>
      <c r="AQ200" s="2">
        <v>123138.97545642599</v>
      </c>
      <c r="AR200" s="2">
        <v>166342.32466641301</v>
      </c>
      <c r="AS200" s="2">
        <v>138860.159748409</v>
      </c>
      <c r="AT200" s="2">
        <v>98651.077088932798</v>
      </c>
      <c r="AU200" s="2">
        <v>111099.135045549</v>
      </c>
      <c r="AV200" s="2">
        <v>34637.466443379402</v>
      </c>
      <c r="AW200" s="2">
        <v>61731.384444899297</v>
      </c>
      <c r="AX200" s="2">
        <v>84781.546588637997</v>
      </c>
    </row>
    <row r="201" spans="1:50" x14ac:dyDescent="0.25">
      <c r="A201" s="2" t="s">
        <v>2441</v>
      </c>
      <c r="B201" s="2">
        <v>591.31940628041696</v>
      </c>
      <c r="C201" s="2">
        <v>5.5057499999999999</v>
      </c>
      <c r="D201" s="2" t="s">
        <v>51</v>
      </c>
      <c r="E201" s="2" t="s">
        <v>2442</v>
      </c>
      <c r="F201" s="2">
        <v>48250</v>
      </c>
      <c r="G201" s="3" t="str">
        <f>HYPERLINK("https://cloud.oebiotech.com/#/lm/network/48250", "https://cloud.oebiotech.com/#/lm/network/48250")</f>
        <v>https://cloud.oebiotech.com/#/lm/network/48250</v>
      </c>
      <c r="H201" s="2" t="s">
        <v>2443</v>
      </c>
      <c r="I201" s="2">
        <v>7021</v>
      </c>
      <c r="J201" s="2"/>
      <c r="K201" s="2">
        <v>440784</v>
      </c>
      <c r="L201" s="2" t="s">
        <v>2444</v>
      </c>
      <c r="M201" s="2" t="s">
        <v>2445</v>
      </c>
      <c r="N201" s="2" t="s">
        <v>2446</v>
      </c>
      <c r="O201" s="2">
        <v>4260</v>
      </c>
      <c r="P201" s="2" t="s">
        <v>2447</v>
      </c>
      <c r="Q201" s="2" t="s">
        <v>2448</v>
      </c>
      <c r="R201" s="2" t="s">
        <v>2449</v>
      </c>
      <c r="S201" s="2" t="s">
        <v>2450</v>
      </c>
      <c r="T201" s="2" t="s">
        <v>2451</v>
      </c>
      <c r="U201" s="2" t="s">
        <v>266</v>
      </c>
      <c r="V201" s="2" t="s">
        <v>2271</v>
      </c>
      <c r="W201" s="2" t="s">
        <v>2452</v>
      </c>
      <c r="X201" s="2" t="s">
        <v>59</v>
      </c>
      <c r="Y201" s="2">
        <v>47.1</v>
      </c>
      <c r="Z201" s="2">
        <v>48.7</v>
      </c>
      <c r="AA201" s="2" t="s">
        <v>60</v>
      </c>
      <c r="AB201" s="2" t="s">
        <v>2453</v>
      </c>
      <c r="AC201" s="2">
        <v>2.8709723153358802</v>
      </c>
      <c r="AD201" s="2"/>
      <c r="AE201" s="2">
        <v>1.9037200510666601</v>
      </c>
      <c r="AF201" s="2">
        <v>281617.72431157099</v>
      </c>
      <c r="AG201" s="2">
        <v>23900.5264166784</v>
      </c>
      <c r="AH201" s="5">
        <v>11.7829088532147</v>
      </c>
      <c r="AI201" s="5">
        <v>3.5586238369469001</v>
      </c>
      <c r="AJ201" s="5" t="s">
        <v>139</v>
      </c>
      <c r="AK201" s="2">
        <v>0.26948338004897399</v>
      </c>
      <c r="AL201" s="2">
        <v>0.59023387803609295</v>
      </c>
      <c r="AM201" s="2">
        <v>9436.7493106518905</v>
      </c>
      <c r="AN201" s="2">
        <v>16691.641035450699</v>
      </c>
      <c r="AO201" s="2">
        <v>9705.4012197355005</v>
      </c>
      <c r="AP201" s="2">
        <v>9292.0415316419603</v>
      </c>
      <c r="AQ201" s="2">
        <v>1359949.65787855</v>
      </c>
      <c r="AR201" s="2">
        <v>284630.85489339603</v>
      </c>
      <c r="AS201" s="2">
        <v>8285.4586879271192</v>
      </c>
      <c r="AT201" s="2">
        <v>4550.2834071071902</v>
      </c>
      <c r="AU201" s="2">
        <v>50680.751069348502</v>
      </c>
      <c r="AV201" s="2">
        <v>56419.714727094797</v>
      </c>
      <c r="AW201" s="2">
        <v>13612.638993127201</v>
      </c>
      <c r="AX201" s="2">
        <v>9854.3116154654199</v>
      </c>
    </row>
    <row r="202" spans="1:50" x14ac:dyDescent="0.25">
      <c r="A202" s="2" t="s">
        <v>641</v>
      </c>
      <c r="B202" s="2">
        <v>317.212100135546</v>
      </c>
      <c r="C202" s="2">
        <v>9.8706166666666704</v>
      </c>
      <c r="D202" s="2" t="s">
        <v>51</v>
      </c>
      <c r="E202" s="2" t="s">
        <v>642</v>
      </c>
      <c r="F202" s="2">
        <v>3861</v>
      </c>
      <c r="G202" s="3" t="str">
        <f>HYPERLINK("https://cloud.oebiotech.com/#/lm/network/3861", "https://cloud.oebiotech.com/#/lm/network/3861")</f>
        <v>https://cloud.oebiotech.com/#/lm/network/3861</v>
      </c>
      <c r="H202" s="2" t="s">
        <v>643</v>
      </c>
      <c r="I202" s="2">
        <v>36254</v>
      </c>
      <c r="J202" s="2" t="s">
        <v>644</v>
      </c>
      <c r="K202" s="2">
        <v>5280876</v>
      </c>
      <c r="L202" s="2" t="s">
        <v>645</v>
      </c>
      <c r="M202" s="2" t="s">
        <v>305</v>
      </c>
      <c r="N202" s="2" t="s">
        <v>306</v>
      </c>
      <c r="O202" s="2">
        <v>27814</v>
      </c>
      <c r="P202" s="2" t="s">
        <v>646</v>
      </c>
      <c r="Q202" s="2" t="s">
        <v>647</v>
      </c>
      <c r="R202" s="2" t="s">
        <v>648</v>
      </c>
      <c r="S202" s="2" t="s">
        <v>649</v>
      </c>
      <c r="T202" s="2" t="s">
        <v>650</v>
      </c>
      <c r="U202" s="2" t="s">
        <v>56</v>
      </c>
      <c r="V202" s="2" t="s">
        <v>145</v>
      </c>
      <c r="W202" s="2" t="s">
        <v>187</v>
      </c>
      <c r="X202" s="2" t="s">
        <v>69</v>
      </c>
      <c r="Y202" s="2">
        <v>65.5</v>
      </c>
      <c r="Z202" s="2">
        <v>53.4</v>
      </c>
      <c r="AA202" s="2" t="s">
        <v>156</v>
      </c>
      <c r="AB202" s="2" t="s">
        <v>212</v>
      </c>
      <c r="AC202" s="2">
        <v>2.92909335578701</v>
      </c>
      <c r="AD202" s="2"/>
      <c r="AE202" s="2">
        <v>1.89973980061516</v>
      </c>
      <c r="AF202" s="2">
        <v>141602.77818855899</v>
      </c>
      <c r="AG202" s="2">
        <v>68125.209144112596</v>
      </c>
      <c r="AH202" s="5">
        <v>2.0785665096309902</v>
      </c>
      <c r="AI202" s="5">
        <v>1.0555889118206601</v>
      </c>
      <c r="AJ202" s="5" t="s">
        <v>139</v>
      </c>
      <c r="AK202" s="2">
        <v>6.4154401075408195E-4</v>
      </c>
      <c r="AL202" s="2">
        <v>6.2440111341753798E-2</v>
      </c>
      <c r="AM202" s="2">
        <v>136146.66881129</v>
      </c>
      <c r="AN202" s="2">
        <v>170906.53873938599</v>
      </c>
      <c r="AO202" s="2">
        <v>148206.50611981199</v>
      </c>
      <c r="AP202" s="2">
        <v>131726.264866179</v>
      </c>
      <c r="AQ202" s="2">
        <v>99617.687207511801</v>
      </c>
      <c r="AR202" s="2">
        <v>163013.00338717701</v>
      </c>
      <c r="AS202" s="2">
        <v>109301.91976676699</v>
      </c>
      <c r="AT202" s="2">
        <v>66994.449089368107</v>
      </c>
      <c r="AU202" s="2">
        <v>81415.445984387596</v>
      </c>
      <c r="AV202" s="2">
        <v>38029.295132115301</v>
      </c>
      <c r="AW202" s="2">
        <v>40692.985455088703</v>
      </c>
      <c r="AX202" s="2">
        <v>72317.159436949005</v>
      </c>
    </row>
    <row r="203" spans="1:50" x14ac:dyDescent="0.25">
      <c r="A203" s="2" t="s">
        <v>2454</v>
      </c>
      <c r="B203" s="2">
        <v>512.269028903091</v>
      </c>
      <c r="C203" s="2">
        <v>8.7919833333333308</v>
      </c>
      <c r="D203" s="2" t="s">
        <v>51</v>
      </c>
      <c r="E203" s="2" t="s">
        <v>2455</v>
      </c>
      <c r="F203" s="2">
        <v>83795</v>
      </c>
      <c r="G203" s="3" t="str">
        <f>HYPERLINK("https://cloud.oebiotech.com/#/lm/network/83795", "https://cloud.oebiotech.com/#/lm/network/83795")</f>
        <v>https://cloud.oebiotech.com/#/lm/network/83795</v>
      </c>
      <c r="H203" s="2" t="s">
        <v>2456</v>
      </c>
      <c r="I203" s="2"/>
      <c r="J203" s="2"/>
      <c r="K203" s="2">
        <v>3623888</v>
      </c>
      <c r="L203" s="2"/>
      <c r="M203" s="2"/>
      <c r="N203" s="2"/>
      <c r="O203" s="2"/>
      <c r="P203" s="2"/>
      <c r="Q203" s="2"/>
      <c r="R203" s="2"/>
      <c r="S203" s="2" t="s">
        <v>2457</v>
      </c>
      <c r="T203" s="2" t="s">
        <v>2458</v>
      </c>
      <c r="U203" s="2" t="s">
        <v>56</v>
      </c>
      <c r="V203" s="2" t="s">
        <v>283</v>
      </c>
      <c r="W203" s="2" t="s">
        <v>2042</v>
      </c>
      <c r="X203" s="2" t="s">
        <v>69</v>
      </c>
      <c r="Y203" s="2">
        <v>61.8</v>
      </c>
      <c r="Z203" s="2">
        <v>97.6</v>
      </c>
      <c r="AA203" s="2" t="s">
        <v>163</v>
      </c>
      <c r="AB203" s="2" t="s">
        <v>2459</v>
      </c>
      <c r="AC203" s="2">
        <v>0.54866065889568905</v>
      </c>
      <c r="AD203" s="2"/>
      <c r="AE203" s="2">
        <v>1.8853567821166399</v>
      </c>
      <c r="AF203" s="2">
        <v>7087.8845491111397</v>
      </c>
      <c r="AG203" s="2">
        <v>114127.15976803401</v>
      </c>
      <c r="AH203" s="4">
        <v>6.2105151512728697E-2</v>
      </c>
      <c r="AI203" s="4">
        <v>-4.0091432473576303</v>
      </c>
      <c r="AJ203" s="4" t="s">
        <v>62</v>
      </c>
      <c r="AK203" s="2">
        <v>0.124156905396875</v>
      </c>
      <c r="AL203" s="2">
        <v>0.44128813217080598</v>
      </c>
      <c r="AM203" s="2">
        <v>8.559877937157E-6</v>
      </c>
      <c r="AN203" s="2">
        <v>7180.9805641318799</v>
      </c>
      <c r="AO203" s="2">
        <v>6015.6061962101703</v>
      </c>
      <c r="AP203" s="2">
        <v>293.09098329971499</v>
      </c>
      <c r="AQ203" s="2">
        <v>18713.244292540199</v>
      </c>
      <c r="AR203" s="2">
        <v>10324.385249925001</v>
      </c>
      <c r="AS203" s="2">
        <v>1820.0115679952801</v>
      </c>
      <c r="AT203" s="2">
        <v>43163.288210712402</v>
      </c>
      <c r="AU203" s="2">
        <v>2991.7724051395799</v>
      </c>
      <c r="AV203" s="2">
        <v>347107.58531629498</v>
      </c>
      <c r="AW203" s="2">
        <v>278215.68341520499</v>
      </c>
      <c r="AX203" s="2">
        <v>11464.6176928562</v>
      </c>
    </row>
    <row r="204" spans="1:50" x14ac:dyDescent="0.25">
      <c r="A204" s="2" t="s">
        <v>651</v>
      </c>
      <c r="B204" s="2">
        <v>351.21793387203701</v>
      </c>
      <c r="C204" s="2">
        <v>7.5258333333333303</v>
      </c>
      <c r="D204" s="2" t="s">
        <v>51</v>
      </c>
      <c r="E204" s="2" t="s">
        <v>652</v>
      </c>
      <c r="F204" s="2">
        <v>3635</v>
      </c>
      <c r="G204" s="3" t="str">
        <f>HYPERLINK("https://cloud.oebiotech.com/#/lm/network/3635", "https://cloud.oebiotech.com/#/lm/network/3635")</f>
        <v>https://cloud.oebiotech.com/#/lm/network/3635</v>
      </c>
      <c r="H204" s="2" t="s">
        <v>653</v>
      </c>
      <c r="I204" s="2">
        <v>421</v>
      </c>
      <c r="J204" s="2" t="s">
        <v>654</v>
      </c>
      <c r="K204" s="2">
        <v>5280360</v>
      </c>
      <c r="L204" s="2" t="s">
        <v>655</v>
      </c>
      <c r="M204" s="2" t="s">
        <v>656</v>
      </c>
      <c r="N204" s="2" t="s">
        <v>657</v>
      </c>
      <c r="O204" s="2">
        <v>15551</v>
      </c>
      <c r="P204" s="2" t="s">
        <v>658</v>
      </c>
      <c r="Q204" s="2" t="s">
        <v>659</v>
      </c>
      <c r="R204" s="2" t="s">
        <v>660</v>
      </c>
      <c r="S204" s="2" t="s">
        <v>661</v>
      </c>
      <c r="T204" s="2" t="s">
        <v>662</v>
      </c>
      <c r="U204" s="2" t="s">
        <v>56</v>
      </c>
      <c r="V204" s="2" t="s">
        <v>145</v>
      </c>
      <c r="W204" s="2" t="s">
        <v>187</v>
      </c>
      <c r="X204" s="2" t="s">
        <v>69</v>
      </c>
      <c r="Y204" s="2">
        <v>60.7</v>
      </c>
      <c r="Z204" s="2">
        <v>61.6</v>
      </c>
      <c r="AA204" s="2" t="s">
        <v>163</v>
      </c>
      <c r="AB204" s="2" t="s">
        <v>380</v>
      </c>
      <c r="AC204" s="2">
        <v>0.67053733802269699</v>
      </c>
      <c r="AD204" s="2"/>
      <c r="AE204" s="2">
        <v>1.88166300027963</v>
      </c>
      <c r="AF204" s="2">
        <v>196870.33248909301</v>
      </c>
      <c r="AG204" s="2">
        <v>110207.692833377</v>
      </c>
      <c r="AH204" s="5">
        <v>1.7863574440918599</v>
      </c>
      <c r="AI204" s="5">
        <v>0.83702078775033595</v>
      </c>
      <c r="AJ204" s="5" t="s">
        <v>139</v>
      </c>
      <c r="AK204" s="2">
        <v>1.2137816278802199E-2</v>
      </c>
      <c r="AL204" s="2">
        <v>0.17463872408012501</v>
      </c>
      <c r="AM204" s="2">
        <v>222554.771663736</v>
      </c>
      <c r="AN204" s="2">
        <v>197931.301786878</v>
      </c>
      <c r="AO204" s="2">
        <v>169972.588121243</v>
      </c>
      <c r="AP204" s="2">
        <v>239459.17761277201</v>
      </c>
      <c r="AQ204" s="2">
        <v>150017.95867509599</v>
      </c>
      <c r="AR204" s="2">
        <v>201286.19707483199</v>
      </c>
      <c r="AS204" s="2">
        <v>198328.04384719001</v>
      </c>
      <c r="AT204" s="2">
        <v>133496.637470683</v>
      </c>
      <c r="AU204" s="2">
        <v>121775.615846225</v>
      </c>
      <c r="AV204" s="2">
        <v>27707.564755453601</v>
      </c>
      <c r="AW204" s="2">
        <v>53539.097953632998</v>
      </c>
      <c r="AX204" s="2">
        <v>126399.19712708</v>
      </c>
    </row>
    <row r="205" spans="1:50" x14ac:dyDescent="0.25">
      <c r="A205" s="2" t="s">
        <v>2460</v>
      </c>
      <c r="B205" s="2">
        <v>746.56769525410402</v>
      </c>
      <c r="C205" s="2">
        <v>11.391833333333301</v>
      </c>
      <c r="D205" s="2" t="s">
        <v>51</v>
      </c>
      <c r="E205" s="2" t="s">
        <v>2461</v>
      </c>
      <c r="F205" s="2">
        <v>134893</v>
      </c>
      <c r="G205" s="3" t="str">
        <f>HYPERLINK("https://cloud.oebiotech.com/#/lm/network/134893", "https://cloud.oebiotech.com/#/lm/network/134893")</f>
        <v>https://cloud.oebiotech.com/#/lm/network/134893</v>
      </c>
      <c r="H205" s="2" t="s">
        <v>2462</v>
      </c>
      <c r="I205" s="2"/>
      <c r="J205" s="2"/>
      <c r="K205" s="2">
        <v>131821876</v>
      </c>
      <c r="L205" s="2"/>
      <c r="M205" s="2"/>
      <c r="N205" s="2"/>
      <c r="O205" s="2"/>
      <c r="P205" s="2"/>
      <c r="Q205" s="2"/>
      <c r="R205" s="2"/>
      <c r="S205" s="2" t="s">
        <v>2463</v>
      </c>
      <c r="T205" s="2" t="s">
        <v>2464</v>
      </c>
      <c r="U205" s="2" t="s">
        <v>56</v>
      </c>
      <c r="V205" s="2" t="s">
        <v>57</v>
      </c>
      <c r="W205" s="2" t="s">
        <v>702</v>
      </c>
      <c r="X205" s="2" t="s">
        <v>59</v>
      </c>
      <c r="Y205" s="2">
        <v>46.7</v>
      </c>
      <c r="Z205" s="2">
        <v>51.4</v>
      </c>
      <c r="AA205" s="2" t="s">
        <v>526</v>
      </c>
      <c r="AB205" s="2" t="s">
        <v>2465</v>
      </c>
      <c r="AC205" s="2">
        <v>-2.38331764660985</v>
      </c>
      <c r="AD205" s="2"/>
      <c r="AE205" s="2">
        <v>1.8741157736715499</v>
      </c>
      <c r="AF205" s="2">
        <v>159129.99918784999</v>
      </c>
      <c r="AG205" s="2">
        <v>252960.142090187</v>
      </c>
      <c r="AH205" s="4">
        <v>0.62907143343995897</v>
      </c>
      <c r="AI205" s="4">
        <v>-0.66870424500358805</v>
      </c>
      <c r="AJ205" s="4" t="s">
        <v>62</v>
      </c>
      <c r="AK205" s="2">
        <v>6.5749670041717806E-2</v>
      </c>
      <c r="AL205" s="2">
        <v>0.34192828169447498</v>
      </c>
      <c r="AM205" s="2">
        <v>97871.736051599597</v>
      </c>
      <c r="AN205" s="2">
        <v>86854.881782937198</v>
      </c>
      <c r="AO205" s="2">
        <v>114099.008760735</v>
      </c>
      <c r="AP205" s="2">
        <v>115119.816378082</v>
      </c>
      <c r="AQ205" s="2">
        <v>271192.00691096298</v>
      </c>
      <c r="AR205" s="2">
        <v>269642.54524278099</v>
      </c>
      <c r="AS205" s="2">
        <v>373973.46898437501</v>
      </c>
      <c r="AT205" s="2">
        <v>298601.82151992398</v>
      </c>
      <c r="AU205" s="2">
        <v>194666.67346594101</v>
      </c>
      <c r="AV205" s="2">
        <v>209348.754332229</v>
      </c>
      <c r="AW205" s="2">
        <v>215192.87847189899</v>
      </c>
      <c r="AX205" s="2">
        <v>225977.255766755</v>
      </c>
    </row>
    <row r="206" spans="1:50" x14ac:dyDescent="0.25">
      <c r="A206" s="2" t="s">
        <v>663</v>
      </c>
      <c r="B206" s="2">
        <v>317.21217539785698</v>
      </c>
      <c r="C206" s="2">
        <v>10.905533333333301</v>
      </c>
      <c r="D206" s="2" t="s">
        <v>51</v>
      </c>
      <c r="E206" s="2" t="s">
        <v>664</v>
      </c>
      <c r="F206" s="2">
        <v>267530</v>
      </c>
      <c r="G206" s="3" t="str">
        <f>HYPERLINK("https://cloud.oebiotech.com/#/lm/network/267530", "https://cloud.oebiotech.com/#/lm/network/267530")</f>
        <v>https://cloud.oebiotech.com/#/lm/network/267530</v>
      </c>
      <c r="H206" s="2"/>
      <c r="I206" s="2">
        <v>45631</v>
      </c>
      <c r="J206" s="2"/>
      <c r="K206" s="2">
        <v>58713917</v>
      </c>
      <c r="L206" s="2"/>
      <c r="M206" s="2"/>
      <c r="N206" s="2"/>
      <c r="O206" s="2"/>
      <c r="P206" s="2"/>
      <c r="Q206" s="2"/>
      <c r="R206" s="2"/>
      <c r="S206" s="2" t="s">
        <v>665</v>
      </c>
      <c r="T206" s="2" t="s">
        <v>666</v>
      </c>
      <c r="U206" s="2" t="s">
        <v>56</v>
      </c>
      <c r="V206" s="2" t="s">
        <v>145</v>
      </c>
      <c r="W206" s="2" t="s">
        <v>187</v>
      </c>
      <c r="X206" s="2" t="s">
        <v>69</v>
      </c>
      <c r="Y206" s="2">
        <v>69.8</v>
      </c>
      <c r="Z206" s="2">
        <v>62.8</v>
      </c>
      <c r="AA206" s="2" t="s">
        <v>667</v>
      </c>
      <c r="AB206" s="2" t="s">
        <v>180</v>
      </c>
      <c r="AC206" s="2">
        <v>-0.13509833093957099</v>
      </c>
      <c r="AD206" s="2"/>
      <c r="AE206" s="2">
        <v>1.8673280054119701</v>
      </c>
      <c r="AF206" s="2">
        <v>168483.830126015</v>
      </c>
      <c r="AG206" s="2">
        <v>86255.155009199705</v>
      </c>
      <c r="AH206" s="5">
        <v>1.9533189652032401</v>
      </c>
      <c r="AI206" s="5">
        <v>0.96592755185830703</v>
      </c>
      <c r="AJ206" s="5" t="s">
        <v>139</v>
      </c>
      <c r="AK206" s="2">
        <v>6.5866473223722003E-3</v>
      </c>
      <c r="AL206" s="2">
        <v>0.13578099011431899</v>
      </c>
      <c r="AM206" s="2">
        <v>137963.10621269199</v>
      </c>
      <c r="AN206" s="2">
        <v>248333.562896441</v>
      </c>
      <c r="AO206" s="2">
        <v>195462.67617615199</v>
      </c>
      <c r="AP206" s="2">
        <v>102757.91177734001</v>
      </c>
      <c r="AQ206" s="2">
        <v>149442.677899526</v>
      </c>
      <c r="AR206" s="2">
        <v>176943.045793937</v>
      </c>
      <c r="AS206" s="2">
        <v>135347.61603995299</v>
      </c>
      <c r="AT206" s="2">
        <v>48593.582108266703</v>
      </c>
      <c r="AU206" s="2">
        <v>92854.6433206082</v>
      </c>
      <c r="AV206" s="2">
        <v>74286.342963409203</v>
      </c>
      <c r="AW206" s="2">
        <v>66554.335903206302</v>
      </c>
      <c r="AX206" s="2">
        <v>99894.409719755</v>
      </c>
    </row>
    <row r="207" spans="1:50" x14ac:dyDescent="0.25">
      <c r="A207" s="2" t="s">
        <v>2466</v>
      </c>
      <c r="B207" s="2">
        <v>399.21550903070801</v>
      </c>
      <c r="C207" s="2">
        <v>7.05525</v>
      </c>
      <c r="D207" s="2" t="s">
        <v>51</v>
      </c>
      <c r="E207" s="2" t="s">
        <v>2467</v>
      </c>
      <c r="F207" s="2">
        <v>273776</v>
      </c>
      <c r="G207" s="3" t="str">
        <f>HYPERLINK("https://cloud.oebiotech.com/#/lm/network/273776", "https://cloud.oebiotech.com/#/lm/network/273776")</f>
        <v>https://cloud.oebiotech.com/#/lm/network/273776</v>
      </c>
      <c r="H207" s="2"/>
      <c r="I207" s="2">
        <v>63113</v>
      </c>
      <c r="J207" s="2"/>
      <c r="K207" s="2">
        <v>5311243</v>
      </c>
      <c r="L207" s="2"/>
      <c r="M207" s="2"/>
      <c r="N207" s="2"/>
      <c r="O207" s="2"/>
      <c r="P207" s="2"/>
      <c r="Q207" s="2"/>
      <c r="R207" s="2" t="s">
        <v>2468</v>
      </c>
      <c r="S207" s="2" t="s">
        <v>2469</v>
      </c>
      <c r="T207" s="2" t="s">
        <v>2470</v>
      </c>
      <c r="U207" s="2" t="s">
        <v>610</v>
      </c>
      <c r="V207" s="2" t="s">
        <v>611</v>
      </c>
      <c r="W207" s="2" t="s">
        <v>1122</v>
      </c>
      <c r="X207" s="2" t="s">
        <v>59</v>
      </c>
      <c r="Y207" s="2">
        <v>52.9</v>
      </c>
      <c r="Z207" s="2">
        <v>71.3</v>
      </c>
      <c r="AA207" s="2" t="s">
        <v>60</v>
      </c>
      <c r="AB207" s="2" t="s">
        <v>2471</v>
      </c>
      <c r="AC207" s="2">
        <v>-2.7409232437025199</v>
      </c>
      <c r="AD207" s="2"/>
      <c r="AE207" s="2">
        <v>1.86302968590329</v>
      </c>
      <c r="AF207" s="2">
        <v>175685.97431386501</v>
      </c>
      <c r="AG207" s="2">
        <v>92000.511589048503</v>
      </c>
      <c r="AH207" s="5">
        <v>1.9096195366676401</v>
      </c>
      <c r="AI207" s="5">
        <v>0.93328523132984598</v>
      </c>
      <c r="AJ207" s="5" t="s">
        <v>139</v>
      </c>
      <c r="AK207" s="2">
        <v>0.109209746112158</v>
      </c>
      <c r="AL207" s="2">
        <v>0.42102484588823402</v>
      </c>
      <c r="AM207" s="2">
        <v>392259.90561069199</v>
      </c>
      <c r="AN207" s="2">
        <v>145864.69894796301</v>
      </c>
      <c r="AO207" s="2">
        <v>121643.311035619</v>
      </c>
      <c r="AP207" s="2">
        <v>134622.09225335601</v>
      </c>
      <c r="AQ207" s="2">
        <v>97079.715580911201</v>
      </c>
      <c r="AR207" s="2">
        <v>162646.122454647</v>
      </c>
      <c r="AS207" s="2">
        <v>157173.31120642499</v>
      </c>
      <c r="AT207" s="2">
        <v>91589.9932869326</v>
      </c>
      <c r="AU207" s="2">
        <v>112997.968229295</v>
      </c>
      <c r="AV207" s="2">
        <v>32393.278824023899</v>
      </c>
      <c r="AW207" s="2">
        <v>61221.884907402098</v>
      </c>
      <c r="AX207" s="2">
        <v>96626.633080212603</v>
      </c>
    </row>
    <row r="208" spans="1:50" x14ac:dyDescent="0.25">
      <c r="A208" s="2" t="s">
        <v>2472</v>
      </c>
      <c r="B208" s="2">
        <v>251.176353560915</v>
      </c>
      <c r="C208" s="2">
        <v>4.72983333333333</v>
      </c>
      <c r="D208" s="2" t="s">
        <v>51</v>
      </c>
      <c r="E208" s="2" t="s">
        <v>2473</v>
      </c>
      <c r="F208" s="2">
        <v>209412</v>
      </c>
      <c r="G208" s="3" t="str">
        <f>HYPERLINK("https://cloud.oebiotech.com/#/lm/network/209412", "https://cloud.oebiotech.com/#/lm/network/209412")</f>
        <v>https://cloud.oebiotech.com/#/lm/network/209412</v>
      </c>
      <c r="H208" s="2" t="s">
        <v>2474</v>
      </c>
      <c r="I208" s="2">
        <v>453941</v>
      </c>
      <c r="J208" s="2"/>
      <c r="K208" s="2">
        <v>11964</v>
      </c>
      <c r="L208" s="2"/>
      <c r="M208" s="2"/>
      <c r="N208" s="2"/>
      <c r="O208" s="2"/>
      <c r="P208" s="2"/>
      <c r="Q208" s="2"/>
      <c r="R208" s="2"/>
      <c r="S208" s="2" t="s">
        <v>2475</v>
      </c>
      <c r="T208" s="2" t="s">
        <v>2476</v>
      </c>
      <c r="U208" s="2" t="s">
        <v>610</v>
      </c>
      <c r="V208" s="2" t="s">
        <v>611</v>
      </c>
      <c r="W208" s="2" t="s">
        <v>1122</v>
      </c>
      <c r="X208" s="2" t="s">
        <v>83</v>
      </c>
      <c r="Y208" s="2">
        <v>43.5</v>
      </c>
      <c r="Z208" s="2">
        <v>0.92500000000000004</v>
      </c>
      <c r="AA208" s="2" t="s">
        <v>60</v>
      </c>
      <c r="AB208" s="2" t="s">
        <v>2477</v>
      </c>
      <c r="AC208" s="2">
        <v>3.7941470113210398</v>
      </c>
      <c r="AD208" s="2"/>
      <c r="AE208" s="2">
        <v>1.8562769888381401</v>
      </c>
      <c r="AF208" s="2">
        <v>27313.1225940517</v>
      </c>
      <c r="AG208" s="2">
        <v>125910.98377445299</v>
      </c>
      <c r="AH208" s="4">
        <v>0.21692406631480399</v>
      </c>
      <c r="AI208" s="4">
        <v>-2.20473797536288</v>
      </c>
      <c r="AJ208" s="4" t="s">
        <v>62</v>
      </c>
      <c r="AK208" s="2">
        <v>9.90935683805442E-2</v>
      </c>
      <c r="AL208" s="2">
        <v>0.40103511620674198</v>
      </c>
      <c r="AM208" s="2">
        <v>66334.366220512806</v>
      </c>
      <c r="AN208" s="2">
        <v>11047.150872747001</v>
      </c>
      <c r="AO208" s="2">
        <v>45994.411991495697</v>
      </c>
      <c r="AP208" s="2">
        <v>29214.183036294999</v>
      </c>
      <c r="AQ208" s="2">
        <v>6539.94024266008</v>
      </c>
      <c r="AR208" s="2">
        <v>4748.6832005995202</v>
      </c>
      <c r="AS208" s="2">
        <v>166253.510553759</v>
      </c>
      <c r="AT208" s="2">
        <v>9193.0460102655306</v>
      </c>
      <c r="AU208" s="2">
        <v>5851.03319128566</v>
      </c>
      <c r="AV208" s="2">
        <v>97155.935398705304</v>
      </c>
      <c r="AW208" s="2">
        <v>359561.968609548</v>
      </c>
      <c r="AX208" s="2">
        <v>117450.40888315599</v>
      </c>
    </row>
    <row r="209" spans="1:50" x14ac:dyDescent="0.25">
      <c r="A209" s="2" t="s">
        <v>2478</v>
      </c>
      <c r="B209" s="2">
        <v>188.06723998643699</v>
      </c>
      <c r="C209" s="2">
        <v>2.2141000000000002</v>
      </c>
      <c r="D209" s="2" t="s">
        <v>51</v>
      </c>
      <c r="E209" s="2" t="s">
        <v>2479</v>
      </c>
      <c r="F209" s="2">
        <v>202019</v>
      </c>
      <c r="G209" s="3" t="str">
        <f>HYPERLINK("https://cloud.oebiotech.com/#/lm/network/202019", "https://cloud.oebiotech.com/#/lm/network/202019")</f>
        <v>https://cloud.oebiotech.com/#/lm/network/202019</v>
      </c>
      <c r="H209" s="2" t="s">
        <v>2480</v>
      </c>
      <c r="I209" s="2">
        <v>693</v>
      </c>
      <c r="J209" s="2"/>
      <c r="K209" s="2">
        <v>121858</v>
      </c>
      <c r="L209" s="2"/>
      <c r="M209" s="2"/>
      <c r="N209" s="2"/>
      <c r="O209" s="2"/>
      <c r="P209" s="2"/>
      <c r="Q209" s="2"/>
      <c r="R209" s="2"/>
      <c r="S209" s="2" t="s">
        <v>2481</v>
      </c>
      <c r="T209" s="2" t="s">
        <v>2482</v>
      </c>
      <c r="U209" s="2" t="s">
        <v>266</v>
      </c>
      <c r="V209" s="2" t="s">
        <v>1585</v>
      </c>
      <c r="W209" s="2" t="s">
        <v>1586</v>
      </c>
      <c r="X209" s="2" t="s">
        <v>69</v>
      </c>
      <c r="Y209" s="2">
        <v>71.099999999999994</v>
      </c>
      <c r="Z209" s="2">
        <v>91.3</v>
      </c>
      <c r="AA209" s="2" t="s">
        <v>259</v>
      </c>
      <c r="AB209" s="2" t="s">
        <v>2483</v>
      </c>
      <c r="AC209" s="2">
        <v>3.51638836907689</v>
      </c>
      <c r="AD209" s="2"/>
      <c r="AE209" s="2">
        <v>1.8442768024555001</v>
      </c>
      <c r="AF209" s="2">
        <v>12980.5128467497</v>
      </c>
      <c r="AG209" s="2">
        <v>194521.316936602</v>
      </c>
      <c r="AH209" s="4">
        <v>6.6730541676212896E-2</v>
      </c>
      <c r="AI209" s="4">
        <v>-3.9055089749929599</v>
      </c>
      <c r="AJ209" s="4" t="s">
        <v>62</v>
      </c>
      <c r="AK209" s="2">
        <v>0.14275605339650799</v>
      </c>
      <c r="AL209" s="2">
        <v>0.46517161855931399</v>
      </c>
      <c r="AM209" s="2">
        <v>14798.605932614</v>
      </c>
      <c r="AN209" s="2">
        <v>12728.530254126001</v>
      </c>
      <c r="AO209" s="2">
        <v>9127.2877198577899</v>
      </c>
      <c r="AP209" s="2">
        <v>16180.2519857731</v>
      </c>
      <c r="AQ209" s="2">
        <v>15786.8816279394</v>
      </c>
      <c r="AR209" s="2">
        <v>9261.5195601879695</v>
      </c>
      <c r="AS209" s="2">
        <v>346478.16927752201</v>
      </c>
      <c r="AT209" s="2">
        <v>701022.48073970003</v>
      </c>
      <c r="AU209" s="2">
        <v>14024.689213834499</v>
      </c>
      <c r="AV209" s="2">
        <v>74232.354962042999</v>
      </c>
      <c r="AW209" s="2">
        <v>11466.4405207338</v>
      </c>
      <c r="AX209" s="2">
        <v>19903.766905776101</v>
      </c>
    </row>
    <row r="210" spans="1:50" x14ac:dyDescent="0.25">
      <c r="A210" s="2" t="s">
        <v>668</v>
      </c>
      <c r="B210" s="2">
        <v>869.59790929782901</v>
      </c>
      <c r="C210" s="2">
        <v>8.5796666666666699</v>
      </c>
      <c r="D210" s="2" t="s">
        <v>51</v>
      </c>
      <c r="E210" s="2" t="s">
        <v>669</v>
      </c>
      <c r="F210" s="2">
        <v>238051</v>
      </c>
      <c r="G210" s="3" t="str">
        <f>HYPERLINK("https://cloud.oebiotech.com/#/lm/network/238051", "https://cloud.oebiotech.com/#/lm/network/238051")</f>
        <v>https://cloud.oebiotech.com/#/lm/network/238051</v>
      </c>
      <c r="H210" s="2" t="s">
        <v>670</v>
      </c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 t="s">
        <v>671</v>
      </c>
      <c r="T210" s="2" t="s">
        <v>672</v>
      </c>
      <c r="U210" s="2" t="s">
        <v>56</v>
      </c>
      <c r="V210" s="2" t="s">
        <v>57</v>
      </c>
      <c r="W210" s="2" t="s">
        <v>155</v>
      </c>
      <c r="X210" s="2" t="s">
        <v>147</v>
      </c>
      <c r="Y210" s="2">
        <v>37.700000000000003</v>
      </c>
      <c r="Z210" s="2">
        <v>8.4700000000000006</v>
      </c>
      <c r="AA210" s="2" t="s">
        <v>512</v>
      </c>
      <c r="AB210" s="2" t="s">
        <v>673</v>
      </c>
      <c r="AC210" s="2">
        <v>-4.1695951880095201</v>
      </c>
      <c r="AD210" s="2"/>
      <c r="AE210" s="2">
        <v>1.82146788098333</v>
      </c>
      <c r="AF210" s="2">
        <v>160205.964525975</v>
      </c>
      <c r="AG210" s="2">
        <v>218830.84494402801</v>
      </c>
      <c r="AH210" s="4">
        <v>0.73209955647227098</v>
      </c>
      <c r="AI210" s="4">
        <v>-0.44988824438014002</v>
      </c>
      <c r="AJ210" s="4" t="s">
        <v>62</v>
      </c>
      <c r="AK210" s="2">
        <v>2.3479860601320401E-5</v>
      </c>
      <c r="AL210" s="2">
        <v>1.5488881376670999E-2</v>
      </c>
      <c r="AM210" s="2">
        <v>134238.47252405601</v>
      </c>
      <c r="AN210" s="2">
        <v>175205.770363597</v>
      </c>
      <c r="AO210" s="2">
        <v>160023.975248859</v>
      </c>
      <c r="AP210" s="2">
        <v>181715.83667764999</v>
      </c>
      <c r="AQ210" s="2">
        <v>163797.07322256899</v>
      </c>
      <c r="AR210" s="2">
        <v>146254.65911911899</v>
      </c>
      <c r="AS210" s="2">
        <v>224748.863255181</v>
      </c>
      <c r="AT210" s="2">
        <v>218120.202763193</v>
      </c>
      <c r="AU210" s="2">
        <v>208373.89331571301</v>
      </c>
      <c r="AV210" s="2">
        <v>213639.32999689999</v>
      </c>
      <c r="AW210" s="2">
        <v>230877.32924712999</v>
      </c>
      <c r="AX210" s="2">
        <v>217225.451086049</v>
      </c>
    </row>
    <row r="211" spans="1:50" x14ac:dyDescent="0.25">
      <c r="A211" s="2" t="s">
        <v>2484</v>
      </c>
      <c r="B211" s="2">
        <v>431.20519284906902</v>
      </c>
      <c r="C211" s="2">
        <v>5.4257166666666699</v>
      </c>
      <c r="D211" s="2" t="s">
        <v>51</v>
      </c>
      <c r="E211" s="2" t="s">
        <v>2485</v>
      </c>
      <c r="F211" s="2">
        <v>60509</v>
      </c>
      <c r="G211" s="3" t="str">
        <f>HYPERLINK("https://cloud.oebiotech.com/#/lm/network/60509", "https://cloud.oebiotech.com/#/lm/network/60509")</f>
        <v>https://cloud.oebiotech.com/#/lm/network/60509</v>
      </c>
      <c r="H211" s="2" t="s">
        <v>2486</v>
      </c>
      <c r="I211" s="2"/>
      <c r="J211" s="2"/>
      <c r="K211" s="2">
        <v>5088211</v>
      </c>
      <c r="L211" s="2" t="s">
        <v>2487</v>
      </c>
      <c r="M211" s="2"/>
      <c r="N211" s="2"/>
      <c r="O211" s="2"/>
      <c r="P211" s="2"/>
      <c r="Q211" s="2"/>
      <c r="R211" s="2" t="s">
        <v>2488</v>
      </c>
      <c r="S211" s="2" t="s">
        <v>2489</v>
      </c>
      <c r="T211" s="2" t="s">
        <v>2490</v>
      </c>
      <c r="U211" s="2" t="s">
        <v>56</v>
      </c>
      <c r="V211" s="2" t="s">
        <v>177</v>
      </c>
      <c r="W211" s="2" t="s">
        <v>178</v>
      </c>
      <c r="X211" s="2" t="s">
        <v>147</v>
      </c>
      <c r="Y211" s="2">
        <v>44</v>
      </c>
      <c r="Z211" s="2">
        <v>29.6</v>
      </c>
      <c r="AA211" s="2" t="s">
        <v>95</v>
      </c>
      <c r="AB211" s="2" t="s">
        <v>1017</v>
      </c>
      <c r="AC211" s="2">
        <v>2.8632129432250402</v>
      </c>
      <c r="AD211" s="2"/>
      <c r="AE211" s="2">
        <v>1.8171810931500001</v>
      </c>
      <c r="AF211" s="2">
        <v>156660.59015448001</v>
      </c>
      <c r="AG211" s="2">
        <v>79774.224133073905</v>
      </c>
      <c r="AH211" s="5">
        <v>1.96379960892067</v>
      </c>
      <c r="AI211" s="5">
        <v>0.97364772091213003</v>
      </c>
      <c r="AJ211" s="5" t="s">
        <v>139</v>
      </c>
      <c r="AK211" s="2">
        <v>6.1674670922325002E-2</v>
      </c>
      <c r="AL211" s="2">
        <v>0.33469870837719101</v>
      </c>
      <c r="AM211" s="2">
        <v>315215.525297752</v>
      </c>
      <c r="AN211" s="2">
        <v>137182.99697850601</v>
      </c>
      <c r="AO211" s="2">
        <v>122605.98310779801</v>
      </c>
      <c r="AP211" s="2">
        <v>160482.24980396999</v>
      </c>
      <c r="AQ211" s="2">
        <v>66441.115999317801</v>
      </c>
      <c r="AR211" s="2">
        <v>138035.66973953901</v>
      </c>
      <c r="AS211" s="2">
        <v>117899.08090787999</v>
      </c>
      <c r="AT211" s="2">
        <v>80053.603219820594</v>
      </c>
      <c r="AU211" s="2">
        <v>94803.285193121599</v>
      </c>
      <c r="AV211" s="2">
        <v>26195.840158033199</v>
      </c>
      <c r="AW211" s="2">
        <v>66872.960369931607</v>
      </c>
      <c r="AX211" s="2">
        <v>92820.574949656206</v>
      </c>
    </row>
    <row r="212" spans="1:50" x14ac:dyDescent="0.25">
      <c r="A212" s="2" t="s">
        <v>2491</v>
      </c>
      <c r="B212" s="2">
        <v>188.14000977294199</v>
      </c>
      <c r="C212" s="2">
        <v>1.4048499999999999</v>
      </c>
      <c r="D212" s="2" t="s">
        <v>51</v>
      </c>
      <c r="E212" s="2" t="s">
        <v>2492</v>
      </c>
      <c r="F212" s="2">
        <v>207770</v>
      </c>
      <c r="G212" s="3" t="str">
        <f>HYPERLINK("https://cloud.oebiotech.com/#/lm/network/207770", "https://cloud.oebiotech.com/#/lm/network/207770")</f>
        <v>https://cloud.oebiotech.com/#/lm/network/207770</v>
      </c>
      <c r="H212" s="2" t="s">
        <v>2493</v>
      </c>
      <c r="I212" s="2"/>
      <c r="J212" s="2"/>
      <c r="K212" s="2">
        <v>17897121</v>
      </c>
      <c r="L212" s="2"/>
      <c r="M212" s="2"/>
      <c r="N212" s="2"/>
      <c r="O212" s="2"/>
      <c r="P212" s="2"/>
      <c r="Q212" s="2"/>
      <c r="R212" s="2"/>
      <c r="S212" s="2" t="s">
        <v>2494</v>
      </c>
      <c r="T212" s="2" t="s">
        <v>2495</v>
      </c>
      <c r="U212" s="2" t="s">
        <v>103</v>
      </c>
      <c r="V212" s="2" t="s">
        <v>104</v>
      </c>
      <c r="W212" s="2" t="s">
        <v>105</v>
      </c>
      <c r="X212" s="2" t="s">
        <v>69</v>
      </c>
      <c r="Y212" s="2">
        <v>52.4</v>
      </c>
      <c r="Z212" s="2">
        <v>71.099999999999994</v>
      </c>
      <c r="AA212" s="2" t="s">
        <v>259</v>
      </c>
      <c r="AB212" s="2" t="s">
        <v>2496</v>
      </c>
      <c r="AC212" s="2">
        <v>3.5084430369659998</v>
      </c>
      <c r="AD212" s="2"/>
      <c r="AE212" s="2">
        <v>1.81436019053113</v>
      </c>
      <c r="AF212" s="2">
        <v>12732.8123572393</v>
      </c>
      <c r="AG212" s="2">
        <v>161933.09634341899</v>
      </c>
      <c r="AH212" s="4">
        <v>7.8630080229160099E-2</v>
      </c>
      <c r="AI212" s="4">
        <v>-3.6687748633517301</v>
      </c>
      <c r="AJ212" s="4" t="s">
        <v>62</v>
      </c>
      <c r="AK212" s="2">
        <v>0.35515795226587998</v>
      </c>
      <c r="AL212" s="2">
        <v>0.644232435870006</v>
      </c>
      <c r="AM212" s="2">
        <v>211.223317211839</v>
      </c>
      <c r="AN212" s="2">
        <v>166.090701990328</v>
      </c>
      <c r="AO212" s="2">
        <v>109.43190996104499</v>
      </c>
      <c r="AP212" s="2">
        <v>214.82962940130099</v>
      </c>
      <c r="AQ212" s="2">
        <v>1572.28256497949</v>
      </c>
      <c r="AR212" s="2">
        <v>74123.016019891904</v>
      </c>
      <c r="AS212" s="2">
        <v>27354.0662578417</v>
      </c>
      <c r="AT212" s="2">
        <v>392.56763513988602</v>
      </c>
      <c r="AU212" s="2">
        <v>74.949425189808295</v>
      </c>
      <c r="AV212" s="2">
        <v>142.824688614281</v>
      </c>
      <c r="AW212" s="2">
        <v>928618.02576587396</v>
      </c>
      <c r="AX212" s="2">
        <v>15016.144287852099</v>
      </c>
    </row>
    <row r="213" spans="1:50" x14ac:dyDescent="0.25">
      <c r="A213" s="2" t="s">
        <v>2497</v>
      </c>
      <c r="B213" s="2">
        <v>280.26417934742801</v>
      </c>
      <c r="C213" s="2">
        <v>11.107799999999999</v>
      </c>
      <c r="D213" s="2" t="s">
        <v>51</v>
      </c>
      <c r="E213" s="2" t="s">
        <v>2498</v>
      </c>
      <c r="F213" s="2">
        <v>6045</v>
      </c>
      <c r="G213" s="3" t="str">
        <f>HYPERLINK("https://cloud.oebiotech.com/#/lm/network/6045", "https://cloud.oebiotech.com/#/lm/network/6045")</f>
        <v>https://cloud.oebiotech.com/#/lm/network/6045</v>
      </c>
      <c r="H213" s="2"/>
      <c r="I213" s="2">
        <v>75286</v>
      </c>
      <c r="J213" s="2" t="s">
        <v>2499</v>
      </c>
      <c r="K213" s="2">
        <v>10244470</v>
      </c>
      <c r="L213" s="2"/>
      <c r="M213" s="2"/>
      <c r="N213" s="2"/>
      <c r="O213" s="2">
        <v>137126</v>
      </c>
      <c r="P213" s="2"/>
      <c r="Q213" s="2"/>
      <c r="R213" s="2"/>
      <c r="S213" s="2" t="s">
        <v>2500</v>
      </c>
      <c r="T213" s="2" t="s">
        <v>2501</v>
      </c>
      <c r="U213" s="2" t="s">
        <v>56</v>
      </c>
      <c r="V213" s="2" t="s">
        <v>145</v>
      </c>
      <c r="W213" s="2" t="s">
        <v>146</v>
      </c>
      <c r="X213" s="2" t="s">
        <v>69</v>
      </c>
      <c r="Y213" s="2">
        <v>53</v>
      </c>
      <c r="Z213" s="2">
        <v>50.9</v>
      </c>
      <c r="AA213" s="2" t="s">
        <v>1544</v>
      </c>
      <c r="AB213" s="2" t="s">
        <v>1669</v>
      </c>
      <c r="AC213" s="2">
        <v>2.6245534283791501</v>
      </c>
      <c r="AD213" s="2"/>
      <c r="AE213" s="2">
        <v>1.8073690958975399</v>
      </c>
      <c r="AF213" s="2">
        <v>236386.11324364599</v>
      </c>
      <c r="AG213" s="2">
        <v>44648.681760297703</v>
      </c>
      <c r="AH213" s="5">
        <v>5.2943581741722001</v>
      </c>
      <c r="AI213" s="5">
        <v>2.4044557994087699</v>
      </c>
      <c r="AJ213" s="5" t="s">
        <v>139</v>
      </c>
      <c r="AK213" s="2">
        <v>0.24939669448014501</v>
      </c>
      <c r="AL213" s="2">
        <v>0.57257083338307202</v>
      </c>
      <c r="AM213" s="2">
        <v>9410.6404318437199</v>
      </c>
      <c r="AN213" s="2">
        <v>2448.7958817190602</v>
      </c>
      <c r="AO213" s="2">
        <v>461873.288035554</v>
      </c>
      <c r="AP213" s="2">
        <v>5771.9673586303397</v>
      </c>
      <c r="AQ213" s="2">
        <v>915554.30525547103</v>
      </c>
      <c r="AR213" s="2">
        <v>23257.682498655999</v>
      </c>
      <c r="AS213" s="2">
        <v>154690.63770700499</v>
      </c>
      <c r="AT213" s="2">
        <v>6606.1591234989701</v>
      </c>
      <c r="AU213" s="2">
        <v>91582.433017372401</v>
      </c>
      <c r="AV213" s="2">
        <v>7998.0891595535604</v>
      </c>
      <c r="AW213" s="2">
        <v>1887.66204735223</v>
      </c>
      <c r="AX213" s="2">
        <v>5127.1095070043202</v>
      </c>
    </row>
    <row r="214" spans="1:50" x14ac:dyDescent="0.25">
      <c r="A214" s="2" t="s">
        <v>674</v>
      </c>
      <c r="B214" s="2">
        <v>171.05</v>
      </c>
      <c r="C214" s="2">
        <v>9.9390000000000001</v>
      </c>
      <c r="D214" s="2" t="s">
        <v>125</v>
      </c>
      <c r="E214" s="2" t="s">
        <v>675</v>
      </c>
      <c r="F214" s="2">
        <v>46958</v>
      </c>
      <c r="G214" s="3" t="str">
        <f>HYPERLINK("https://cloud.oebiotech.com/#/lm/network/46958", "https://cloud.oebiotech.com/#/lm/network/46958")</f>
        <v>https://cloud.oebiotech.com/#/lm/network/46958</v>
      </c>
      <c r="H214" s="2" t="s">
        <v>676</v>
      </c>
      <c r="I214" s="2">
        <v>3306</v>
      </c>
      <c r="J214" s="2"/>
      <c r="K214" s="2">
        <v>1023</v>
      </c>
      <c r="L214" s="2" t="s">
        <v>677</v>
      </c>
      <c r="M214" s="2" t="s">
        <v>678</v>
      </c>
      <c r="N214" s="2" t="s">
        <v>679</v>
      </c>
      <c r="O214" s="2">
        <v>29888</v>
      </c>
      <c r="P214" s="2"/>
      <c r="Q214" s="2"/>
      <c r="R214" s="2" t="s">
        <v>680</v>
      </c>
      <c r="S214" s="2" t="s">
        <v>681</v>
      </c>
      <c r="T214" s="2" t="s">
        <v>682</v>
      </c>
      <c r="U214" s="2" t="s">
        <v>683</v>
      </c>
      <c r="V214" s="2" t="s">
        <v>684</v>
      </c>
      <c r="W214" s="2" t="s">
        <v>685</v>
      </c>
      <c r="X214" s="2" t="s">
        <v>83</v>
      </c>
      <c r="Y214" s="2">
        <v>80.3</v>
      </c>
      <c r="Z214" s="2">
        <v>67.400000000000006</v>
      </c>
      <c r="AA214" s="2"/>
      <c r="AB214" s="2" t="s">
        <v>686</v>
      </c>
      <c r="AC214" s="2"/>
      <c r="AD214" s="2">
        <v>335868.30860534101</v>
      </c>
      <c r="AE214" s="2">
        <v>1.8062433928999999</v>
      </c>
      <c r="AF214" s="2">
        <v>783665.51339233504</v>
      </c>
      <c r="AG214" s="2">
        <v>1612917.14508084</v>
      </c>
      <c r="AH214" s="4">
        <v>0.48586842528297303</v>
      </c>
      <c r="AI214" s="4">
        <v>-1.0413624145782601</v>
      </c>
      <c r="AJ214" s="4" t="s">
        <v>62</v>
      </c>
      <c r="AK214" s="2">
        <v>3.8228399271320802E-2</v>
      </c>
      <c r="AL214" s="2">
        <v>0.287293679080799</v>
      </c>
      <c r="AM214" s="2">
        <v>277831.78869165899</v>
      </c>
      <c r="AN214" s="2">
        <v>238205.68987183299</v>
      </c>
      <c r="AO214" s="2">
        <v>262554.44420814503</v>
      </c>
      <c r="AP214" s="2">
        <v>2190876.76869132</v>
      </c>
      <c r="AQ214" s="2">
        <v>1454847.6381987</v>
      </c>
      <c r="AR214" s="2">
        <v>277676.750692353</v>
      </c>
      <c r="AS214" s="2">
        <v>1372893.4879881199</v>
      </c>
      <c r="AT214" s="2">
        <v>1703536.80108465</v>
      </c>
      <c r="AU214" s="2">
        <v>1736597.44142471</v>
      </c>
      <c r="AV214" s="2">
        <v>1654136.4587929</v>
      </c>
      <c r="AW214" s="2">
        <v>1726637.5382977701</v>
      </c>
      <c r="AX214" s="2">
        <v>1483701.1428968799</v>
      </c>
    </row>
    <row r="215" spans="1:50" x14ac:dyDescent="0.25">
      <c r="A215" s="2" t="s">
        <v>687</v>
      </c>
      <c r="B215" s="2">
        <v>590.45631421926805</v>
      </c>
      <c r="C215" s="2">
        <v>12.717266666666699</v>
      </c>
      <c r="D215" s="2" t="s">
        <v>51</v>
      </c>
      <c r="E215" s="2" t="s">
        <v>688</v>
      </c>
      <c r="F215" s="2">
        <v>19851</v>
      </c>
      <c r="G215" s="3" t="str">
        <f>HYPERLINK("https://cloud.oebiotech.com/#/lm/network/19851", "https://cloud.oebiotech.com/#/lm/network/19851")</f>
        <v>https://cloud.oebiotech.com/#/lm/network/19851</v>
      </c>
      <c r="H215" s="2" t="s">
        <v>689</v>
      </c>
      <c r="I215" s="2">
        <v>40323</v>
      </c>
      <c r="J215" s="2" t="s">
        <v>690</v>
      </c>
      <c r="K215" s="2">
        <v>24779481</v>
      </c>
      <c r="L215" s="2" t="s">
        <v>691</v>
      </c>
      <c r="M215" s="2" t="s">
        <v>692</v>
      </c>
      <c r="N215" s="2" t="s">
        <v>693</v>
      </c>
      <c r="O215" s="2">
        <v>86260</v>
      </c>
      <c r="P215" s="2"/>
      <c r="Q215" s="2"/>
      <c r="R215" s="2"/>
      <c r="S215" s="2" t="s">
        <v>694</v>
      </c>
      <c r="T215" s="2" t="s">
        <v>695</v>
      </c>
      <c r="U215" s="2" t="s">
        <v>56</v>
      </c>
      <c r="V215" s="2" t="s">
        <v>57</v>
      </c>
      <c r="W215" s="2" t="s">
        <v>58</v>
      </c>
      <c r="X215" s="2" t="s">
        <v>83</v>
      </c>
      <c r="Y215" s="2">
        <v>41.8</v>
      </c>
      <c r="Z215" s="2">
        <v>0.46600000000000003</v>
      </c>
      <c r="AA215" s="2" t="s">
        <v>156</v>
      </c>
      <c r="AB215" s="2" t="s">
        <v>696</v>
      </c>
      <c r="AC215" s="2">
        <v>3.1481714026807501</v>
      </c>
      <c r="AD215" s="2"/>
      <c r="AE215" s="2">
        <v>1.80576557617529</v>
      </c>
      <c r="AF215" s="2">
        <v>117882.87536501</v>
      </c>
      <c r="AG215" s="2">
        <v>211056.658471203</v>
      </c>
      <c r="AH215" s="4">
        <v>0.558536632859152</v>
      </c>
      <c r="AI215" s="4">
        <v>-0.84027618873373999</v>
      </c>
      <c r="AJ215" s="4" t="s">
        <v>62</v>
      </c>
      <c r="AK215" s="2">
        <v>4.5797163456395402E-2</v>
      </c>
      <c r="AL215" s="2">
        <v>0.302781469310267</v>
      </c>
      <c r="AM215" s="2">
        <v>33882.492582066501</v>
      </c>
      <c r="AN215" s="2">
        <v>99274.219707491298</v>
      </c>
      <c r="AO215" s="2">
        <v>113669.286392667</v>
      </c>
      <c r="AP215" s="2">
        <v>213595.748798927</v>
      </c>
      <c r="AQ215" s="2">
        <v>146406.97958185701</v>
      </c>
      <c r="AR215" s="2">
        <v>100468.525127049</v>
      </c>
      <c r="AS215" s="2">
        <v>101426.590699081</v>
      </c>
      <c r="AT215" s="2">
        <v>253943.83260353701</v>
      </c>
      <c r="AU215" s="2">
        <v>285488.80901650898</v>
      </c>
      <c r="AV215" s="2">
        <v>218180.759878307</v>
      </c>
      <c r="AW215" s="2">
        <v>123493.89090680701</v>
      </c>
      <c r="AX215" s="2">
        <v>283806.06772297597</v>
      </c>
    </row>
    <row r="216" spans="1:50" x14ac:dyDescent="0.25">
      <c r="A216" s="2" t="s">
        <v>697</v>
      </c>
      <c r="B216" s="2">
        <v>602.43085174934595</v>
      </c>
      <c r="C216" s="2">
        <v>10.5512333333333</v>
      </c>
      <c r="D216" s="2" t="s">
        <v>51</v>
      </c>
      <c r="E216" s="2" t="s">
        <v>698</v>
      </c>
      <c r="F216" s="2">
        <v>25979</v>
      </c>
      <c r="G216" s="3" t="str">
        <f>HYPERLINK("https://cloud.oebiotech.com/#/lm/network/25979", "https://cloud.oebiotech.com/#/lm/network/25979")</f>
        <v>https://cloud.oebiotech.com/#/lm/network/25979</v>
      </c>
      <c r="H216" s="2"/>
      <c r="I216" s="2">
        <v>82244</v>
      </c>
      <c r="J216" s="2" t="s">
        <v>699</v>
      </c>
      <c r="K216" s="2">
        <v>52929659</v>
      </c>
      <c r="L216" s="2"/>
      <c r="M216" s="2"/>
      <c r="N216" s="2"/>
      <c r="O216" s="2"/>
      <c r="P216" s="2"/>
      <c r="Q216" s="2"/>
      <c r="R216" s="2"/>
      <c r="S216" s="2" t="s">
        <v>700</v>
      </c>
      <c r="T216" s="2" t="s">
        <v>701</v>
      </c>
      <c r="U216" s="2" t="s">
        <v>56</v>
      </c>
      <c r="V216" s="2" t="s">
        <v>57</v>
      </c>
      <c r="W216" s="2" t="s">
        <v>702</v>
      </c>
      <c r="X216" s="2" t="s">
        <v>147</v>
      </c>
      <c r="Y216" s="2">
        <v>39.4</v>
      </c>
      <c r="Z216" s="2">
        <v>13.6</v>
      </c>
      <c r="AA216" s="2" t="s">
        <v>122</v>
      </c>
      <c r="AB216" s="2" t="s">
        <v>703</v>
      </c>
      <c r="AC216" s="2">
        <v>-0.48028390995563403</v>
      </c>
      <c r="AD216" s="2"/>
      <c r="AE216" s="2">
        <v>1.8046037193695801</v>
      </c>
      <c r="AF216" s="2">
        <v>202159.29706352201</v>
      </c>
      <c r="AG216" s="2">
        <v>268513.87092706998</v>
      </c>
      <c r="AH216" s="4">
        <v>0.75288213739404497</v>
      </c>
      <c r="AI216" s="4">
        <v>-0.409504064128491</v>
      </c>
      <c r="AJ216" s="4" t="s">
        <v>62</v>
      </c>
      <c r="AK216" s="2">
        <v>1.0948583738539601E-2</v>
      </c>
      <c r="AL216" s="2">
        <v>0.167963156733099</v>
      </c>
      <c r="AM216" s="2">
        <v>133774.88068204201</v>
      </c>
      <c r="AN216" s="2">
        <v>173461.68481482501</v>
      </c>
      <c r="AO216" s="2">
        <v>202586.78606404999</v>
      </c>
      <c r="AP216" s="2">
        <v>199996.076652491</v>
      </c>
      <c r="AQ216" s="2">
        <v>260666.364499324</v>
      </c>
      <c r="AR216" s="2">
        <v>242469.989668397</v>
      </c>
      <c r="AS216" s="2">
        <v>297220.33316184598</v>
      </c>
      <c r="AT216" s="2">
        <v>288522.34667054901</v>
      </c>
      <c r="AU216" s="2">
        <v>239320.32981944201</v>
      </c>
      <c r="AV216" s="2">
        <v>238534.27164321099</v>
      </c>
      <c r="AW216" s="2">
        <v>270487.60341539298</v>
      </c>
      <c r="AX216" s="2">
        <v>276998.34085198102</v>
      </c>
    </row>
    <row r="217" spans="1:50" x14ac:dyDescent="0.25">
      <c r="A217" s="2" t="s">
        <v>2502</v>
      </c>
      <c r="B217" s="2">
        <v>124.087371426022</v>
      </c>
      <c r="C217" s="2">
        <v>14.54205</v>
      </c>
      <c r="D217" s="2" t="s">
        <v>51</v>
      </c>
      <c r="E217" s="2" t="s">
        <v>2503</v>
      </c>
      <c r="F217" s="2">
        <v>48102</v>
      </c>
      <c r="G217" s="3" t="str">
        <f>HYPERLINK("https://cloud.oebiotech.com/#/lm/network/48102", "https://cloud.oebiotech.com/#/lm/network/48102")</f>
        <v>https://cloud.oebiotech.com/#/lm/network/48102</v>
      </c>
      <c r="H217" s="2" t="s">
        <v>2504</v>
      </c>
      <c r="I217" s="2">
        <v>301</v>
      </c>
      <c r="J217" s="2"/>
      <c r="K217" s="2">
        <v>165271</v>
      </c>
      <c r="L217" s="2" t="s">
        <v>2505</v>
      </c>
      <c r="M217" s="2" t="s">
        <v>2506</v>
      </c>
      <c r="N217" s="2" t="s">
        <v>2507</v>
      </c>
      <c r="O217" s="2">
        <v>16255</v>
      </c>
      <c r="P217" s="2"/>
      <c r="Q217" s="2"/>
      <c r="R217" s="2" t="s">
        <v>2508</v>
      </c>
      <c r="S217" s="2" t="s">
        <v>2509</v>
      </c>
      <c r="T217" s="2" t="s">
        <v>2510</v>
      </c>
      <c r="U217" s="2" t="s">
        <v>119</v>
      </c>
      <c r="V217" s="2" t="s">
        <v>120</v>
      </c>
      <c r="W217" s="2" t="s">
        <v>1887</v>
      </c>
      <c r="X217" s="2" t="s">
        <v>147</v>
      </c>
      <c r="Y217" s="2">
        <v>39.4</v>
      </c>
      <c r="Z217" s="2">
        <v>7.66</v>
      </c>
      <c r="AA217" s="2" t="s">
        <v>156</v>
      </c>
      <c r="AB217" s="2" t="s">
        <v>2511</v>
      </c>
      <c r="AC217" s="2">
        <v>3.1730712299711299</v>
      </c>
      <c r="AD217" s="2"/>
      <c r="AE217" s="2">
        <v>1.8038899832270501</v>
      </c>
      <c r="AF217" s="2">
        <v>1648876.0969280901</v>
      </c>
      <c r="AG217" s="2">
        <v>1789139.61637921</v>
      </c>
      <c r="AH217" s="4">
        <v>0.92160280943586803</v>
      </c>
      <c r="AI217" s="4">
        <v>-0.117782980154645</v>
      </c>
      <c r="AJ217" s="4" t="s">
        <v>62</v>
      </c>
      <c r="AK217" s="2">
        <v>0.248343617785732</v>
      </c>
      <c r="AL217" s="2">
        <v>0.57170068196738699</v>
      </c>
      <c r="AM217" s="2">
        <v>1447126.39561181</v>
      </c>
      <c r="AN217" s="2">
        <v>1813032.3859510799</v>
      </c>
      <c r="AO217" s="2">
        <v>1693187.1045067499</v>
      </c>
      <c r="AP217" s="2">
        <v>1793128.9374277401</v>
      </c>
      <c r="AQ217" s="2">
        <v>1753180.5413442701</v>
      </c>
      <c r="AR217" s="2">
        <v>1393601.2167268801</v>
      </c>
      <c r="AS217" s="2">
        <v>1975859.7038915099</v>
      </c>
      <c r="AT217" s="2">
        <v>2048592.1620924601</v>
      </c>
      <c r="AU217" s="2">
        <v>1511905.5317856199</v>
      </c>
      <c r="AV217" s="2">
        <v>1671386.5819102</v>
      </c>
      <c r="AW217" s="2">
        <v>1636872.68577564</v>
      </c>
      <c r="AX217" s="2">
        <v>1890221.0328198101</v>
      </c>
    </row>
    <row r="218" spans="1:50" x14ac:dyDescent="0.25">
      <c r="A218" s="2" t="s">
        <v>704</v>
      </c>
      <c r="B218" s="2">
        <v>317.21203236604998</v>
      </c>
      <c r="C218" s="2">
        <v>10.011466666666699</v>
      </c>
      <c r="D218" s="2" t="s">
        <v>51</v>
      </c>
      <c r="E218" s="2" t="s">
        <v>705</v>
      </c>
      <c r="F218" s="2">
        <v>289857</v>
      </c>
      <c r="G218" s="3" t="str">
        <f>HYPERLINK("https://cloud.oebiotech.com/#/lm/network/289857", "https://cloud.oebiotech.com/#/lm/network/289857")</f>
        <v>https://cloud.oebiotech.com/#/lm/network/289857</v>
      </c>
      <c r="H218" s="2"/>
      <c r="I218" s="2">
        <v>984977</v>
      </c>
      <c r="J218" s="2"/>
      <c r="K218" s="2">
        <v>133556463</v>
      </c>
      <c r="L218" s="2"/>
      <c r="M218" s="2"/>
      <c r="N218" s="2"/>
      <c r="O218" s="2"/>
      <c r="P218" s="2"/>
      <c r="Q218" s="2"/>
      <c r="R218" s="2"/>
      <c r="S218" s="2" t="s">
        <v>706</v>
      </c>
      <c r="T218" s="2" t="s">
        <v>707</v>
      </c>
      <c r="U218" s="2" t="s">
        <v>56</v>
      </c>
      <c r="V218" s="2" t="s">
        <v>177</v>
      </c>
      <c r="W218" s="2" t="s">
        <v>178</v>
      </c>
      <c r="X218" s="2" t="s">
        <v>69</v>
      </c>
      <c r="Y218" s="2">
        <v>64.5</v>
      </c>
      <c r="Z218" s="2">
        <v>59.3</v>
      </c>
      <c r="AA218" s="2" t="s">
        <v>259</v>
      </c>
      <c r="AB218" s="2" t="s">
        <v>708</v>
      </c>
      <c r="AC218" s="2">
        <v>2.8816139487687198</v>
      </c>
      <c r="AD218" s="2"/>
      <c r="AE218" s="2">
        <v>1.79712708227372</v>
      </c>
      <c r="AF218" s="2">
        <v>114420.008109741</v>
      </c>
      <c r="AG218" s="2">
        <v>49986.883827408099</v>
      </c>
      <c r="AH218" s="5">
        <v>2.28900062073892</v>
      </c>
      <c r="AI218" s="5">
        <v>1.1947178541285699</v>
      </c>
      <c r="AJ218" s="5" t="s">
        <v>139</v>
      </c>
      <c r="AK218" s="2">
        <v>3.8976252961175398E-3</v>
      </c>
      <c r="AL218" s="2">
        <v>0.11375949301226</v>
      </c>
      <c r="AM218" s="2">
        <v>133849.43158478499</v>
      </c>
      <c r="AN218" s="2">
        <v>175497.60768187401</v>
      </c>
      <c r="AO218" s="2">
        <v>100680.82446433</v>
      </c>
      <c r="AP218" s="2">
        <v>78655.346063077697</v>
      </c>
      <c r="AQ218" s="2">
        <v>91644.783553939895</v>
      </c>
      <c r="AR218" s="2">
        <v>106192.055310442</v>
      </c>
      <c r="AS218" s="2">
        <v>83255.673665623297</v>
      </c>
      <c r="AT218" s="2">
        <v>43016.895773060001</v>
      </c>
      <c r="AU218" s="2">
        <v>59398.481650647998</v>
      </c>
      <c r="AV218" s="2">
        <v>23267.676507615601</v>
      </c>
      <c r="AW218" s="2">
        <v>25717.9937147255</v>
      </c>
      <c r="AX218" s="2">
        <v>65264.581652776098</v>
      </c>
    </row>
    <row r="219" spans="1:50" x14ac:dyDescent="0.25">
      <c r="A219" s="2" t="s">
        <v>2512</v>
      </c>
      <c r="B219" s="2">
        <v>333.20732282777499</v>
      </c>
      <c r="C219" s="2">
        <v>8.7692833333333304</v>
      </c>
      <c r="D219" s="2" t="s">
        <v>51</v>
      </c>
      <c r="E219" s="2" t="s">
        <v>2513</v>
      </c>
      <c r="F219" s="2">
        <v>4301</v>
      </c>
      <c r="G219" s="3" t="str">
        <f>HYPERLINK("https://cloud.oebiotech.com/#/lm/network/4301", "https://cloud.oebiotech.com/#/lm/network/4301")</f>
        <v>https://cloud.oebiotech.com/#/lm/network/4301</v>
      </c>
      <c r="H219" s="2"/>
      <c r="I219" s="2">
        <v>45403</v>
      </c>
      <c r="J219" s="2" t="s">
        <v>2514</v>
      </c>
      <c r="K219" s="2">
        <v>35020890</v>
      </c>
      <c r="L219" s="2"/>
      <c r="M219" s="2"/>
      <c r="N219" s="2"/>
      <c r="O219" s="2"/>
      <c r="P219" s="2"/>
      <c r="Q219" s="2"/>
      <c r="R219" s="2"/>
      <c r="S219" s="2" t="s">
        <v>2515</v>
      </c>
      <c r="T219" s="2" t="s">
        <v>2516</v>
      </c>
      <c r="U219" s="2" t="s">
        <v>56</v>
      </c>
      <c r="V219" s="2" t="s">
        <v>145</v>
      </c>
      <c r="W219" s="2" t="s">
        <v>187</v>
      </c>
      <c r="X219" s="2" t="s">
        <v>69</v>
      </c>
      <c r="Y219" s="2">
        <v>63.9</v>
      </c>
      <c r="Z219" s="2">
        <v>62.5</v>
      </c>
      <c r="AA219" s="2" t="s">
        <v>163</v>
      </c>
      <c r="AB219" s="2" t="s">
        <v>212</v>
      </c>
      <c r="AC219" s="2">
        <v>0.56795706354839204</v>
      </c>
      <c r="AD219" s="2"/>
      <c r="AE219" s="2">
        <v>1.79706179000988</v>
      </c>
      <c r="AF219" s="2">
        <v>203666.167279057</v>
      </c>
      <c r="AG219" s="2">
        <v>121621.358520547</v>
      </c>
      <c r="AH219" s="5">
        <v>1.67459210912078</v>
      </c>
      <c r="AI219" s="5">
        <v>0.74380973210141699</v>
      </c>
      <c r="AJ219" s="5" t="s">
        <v>139</v>
      </c>
      <c r="AK219" s="2">
        <v>0.21888637450588999</v>
      </c>
      <c r="AL219" s="2">
        <v>0.54464727805593904</v>
      </c>
      <c r="AM219" s="2">
        <v>455820.86740675598</v>
      </c>
      <c r="AN219" s="2">
        <v>253354.39479707801</v>
      </c>
      <c r="AO219" s="2">
        <v>151689.193585286</v>
      </c>
      <c r="AP219" s="2">
        <v>142035.20589175599</v>
      </c>
      <c r="AQ219" s="2">
        <v>97605.283844694495</v>
      </c>
      <c r="AR219" s="2">
        <v>121492.05814877</v>
      </c>
      <c r="AS219" s="2">
        <v>206385.12279203199</v>
      </c>
      <c r="AT219" s="2">
        <v>74368.712585877394</v>
      </c>
      <c r="AU219" s="2">
        <v>221991.147199928</v>
      </c>
      <c r="AV219" s="2">
        <v>62956.6876421083</v>
      </c>
      <c r="AW219" s="2">
        <v>63056.719985137002</v>
      </c>
      <c r="AX219" s="2">
        <v>100969.76091819799</v>
      </c>
    </row>
    <row r="220" spans="1:50" x14ac:dyDescent="0.25">
      <c r="A220" s="2" t="s">
        <v>2517</v>
      </c>
      <c r="B220" s="2">
        <v>421.31851428382402</v>
      </c>
      <c r="C220" s="2">
        <v>9.4429666666666705</v>
      </c>
      <c r="D220" s="2" t="s">
        <v>51</v>
      </c>
      <c r="E220" s="2" t="s">
        <v>2518</v>
      </c>
      <c r="F220" s="2">
        <v>63944</v>
      </c>
      <c r="G220" s="3" t="str">
        <f>HYPERLINK("https://cloud.oebiotech.com/#/lm/network/63944", "https://cloud.oebiotech.com/#/lm/network/63944")</f>
        <v>https://cloud.oebiotech.com/#/lm/network/63944</v>
      </c>
      <c r="H220" s="2" t="s">
        <v>2519</v>
      </c>
      <c r="I220" s="2">
        <v>95277</v>
      </c>
      <c r="J220" s="2"/>
      <c r="K220" s="2">
        <v>3726592</v>
      </c>
      <c r="L220" s="2"/>
      <c r="M220" s="2"/>
      <c r="N220" s="2"/>
      <c r="O220" s="2"/>
      <c r="P220" s="2"/>
      <c r="Q220" s="2"/>
      <c r="R220" s="2" t="s">
        <v>2520</v>
      </c>
      <c r="S220" s="2" t="s">
        <v>2521</v>
      </c>
      <c r="T220" s="2" t="s">
        <v>2522</v>
      </c>
      <c r="U220" s="2" t="s">
        <v>266</v>
      </c>
      <c r="V220" s="2" t="s">
        <v>445</v>
      </c>
      <c r="W220" s="2" t="s">
        <v>446</v>
      </c>
      <c r="X220" s="2" t="s">
        <v>147</v>
      </c>
      <c r="Y220" s="2">
        <v>38.799999999999997</v>
      </c>
      <c r="Z220" s="2">
        <v>1.2500000000000001E-2</v>
      </c>
      <c r="AA220" s="2" t="s">
        <v>95</v>
      </c>
      <c r="AB220" s="2" t="s">
        <v>2523</v>
      </c>
      <c r="AC220" s="2">
        <v>-1.0553374797004</v>
      </c>
      <c r="AD220" s="2"/>
      <c r="AE220" s="2">
        <v>1.7912158556365201</v>
      </c>
      <c r="AF220" s="2">
        <v>346487.10434208403</v>
      </c>
      <c r="AG220" s="2">
        <v>427629.49218992097</v>
      </c>
      <c r="AH220" s="4">
        <v>0.81025072093998696</v>
      </c>
      <c r="AI220" s="4">
        <v>-0.303559695671206</v>
      </c>
      <c r="AJ220" s="4" t="s">
        <v>62</v>
      </c>
      <c r="AK220" s="2">
        <v>9.0595582740886499E-2</v>
      </c>
      <c r="AL220" s="2">
        <v>0.38639797035390999</v>
      </c>
      <c r="AM220" s="2">
        <v>227787.56296613201</v>
      </c>
      <c r="AN220" s="2">
        <v>405334.73108113999</v>
      </c>
      <c r="AO220" s="2">
        <v>344353.11441523099</v>
      </c>
      <c r="AP220" s="2">
        <v>295728.68750880798</v>
      </c>
      <c r="AQ220" s="2">
        <v>434761.434246658</v>
      </c>
      <c r="AR220" s="2">
        <v>370957.095834537</v>
      </c>
      <c r="AS220" s="2">
        <v>434985.892443405</v>
      </c>
      <c r="AT220" s="2">
        <v>359229.52427121397</v>
      </c>
      <c r="AU220" s="2">
        <v>359563.61741574301</v>
      </c>
      <c r="AV220" s="2">
        <v>385703.16131565801</v>
      </c>
      <c r="AW220" s="2">
        <v>481180.94983992202</v>
      </c>
      <c r="AX220" s="2">
        <v>545113.80785358604</v>
      </c>
    </row>
    <row r="221" spans="1:50" x14ac:dyDescent="0.25">
      <c r="A221" s="2" t="s">
        <v>709</v>
      </c>
      <c r="B221" s="2">
        <v>311.22291539521802</v>
      </c>
      <c r="C221" s="2">
        <v>10.72105</v>
      </c>
      <c r="D221" s="2" t="s">
        <v>51</v>
      </c>
      <c r="E221" s="2" t="s">
        <v>710</v>
      </c>
      <c r="F221" s="2">
        <v>257255</v>
      </c>
      <c r="G221" s="3" t="str">
        <f>HYPERLINK("https://cloud.oebiotech.com/#/lm/network/257255", "https://cloud.oebiotech.com/#/lm/network/257255")</f>
        <v>https://cloud.oebiotech.com/#/lm/network/257255</v>
      </c>
      <c r="H221" s="2" t="s">
        <v>711</v>
      </c>
      <c r="I221" s="2"/>
      <c r="J221" s="2"/>
      <c r="K221" s="2">
        <v>6440435</v>
      </c>
      <c r="L221" s="2"/>
      <c r="M221" s="2"/>
      <c r="N221" s="2"/>
      <c r="O221" s="2"/>
      <c r="P221" s="2"/>
      <c r="Q221" s="2"/>
      <c r="R221" s="2"/>
      <c r="S221" s="2" t="s">
        <v>712</v>
      </c>
      <c r="T221" s="2" t="s">
        <v>713</v>
      </c>
      <c r="U221" s="2" t="s">
        <v>56</v>
      </c>
      <c r="V221" s="2" t="s">
        <v>145</v>
      </c>
      <c r="W221" s="2" t="s">
        <v>231</v>
      </c>
      <c r="X221" s="2" t="s">
        <v>69</v>
      </c>
      <c r="Y221" s="2">
        <v>69.2</v>
      </c>
      <c r="Z221" s="2">
        <v>74.900000000000006</v>
      </c>
      <c r="AA221" s="2" t="s">
        <v>667</v>
      </c>
      <c r="AB221" s="2" t="s">
        <v>714</v>
      </c>
      <c r="AC221" s="2">
        <v>0.42379884386724398</v>
      </c>
      <c r="AD221" s="2"/>
      <c r="AE221" s="2">
        <v>1.78858587338471</v>
      </c>
      <c r="AF221" s="2">
        <v>149233.90150623399</v>
      </c>
      <c r="AG221" s="2">
        <v>65965.976036533204</v>
      </c>
      <c r="AH221" s="5">
        <v>2.2622859612292401</v>
      </c>
      <c r="AI221" s="5">
        <v>1.17778130279015</v>
      </c>
      <c r="AJ221" s="5" t="s">
        <v>139</v>
      </c>
      <c r="AK221" s="2">
        <v>2.6407567462952999E-2</v>
      </c>
      <c r="AL221" s="2">
        <v>0.25045004477244698</v>
      </c>
      <c r="AM221" s="2">
        <v>129117.35666142601</v>
      </c>
      <c r="AN221" s="2">
        <v>229827.41665323399</v>
      </c>
      <c r="AO221" s="2">
        <v>211895.49918858</v>
      </c>
      <c r="AP221" s="2">
        <v>65663.940567463098</v>
      </c>
      <c r="AQ221" s="2">
        <v>83782.174976108494</v>
      </c>
      <c r="AR221" s="2">
        <v>175117.02099059001</v>
      </c>
      <c r="AS221" s="2">
        <v>128504.03239352501</v>
      </c>
      <c r="AT221" s="2">
        <v>28289.9633012958</v>
      </c>
      <c r="AU221" s="2">
        <v>56741.309974527001</v>
      </c>
      <c r="AV221" s="2">
        <v>51111.412529529603</v>
      </c>
      <c r="AW221" s="2">
        <v>31474.440304375701</v>
      </c>
      <c r="AX221" s="2">
        <v>99674.697715946095</v>
      </c>
    </row>
    <row r="222" spans="1:50" x14ac:dyDescent="0.25">
      <c r="A222" s="2" t="s">
        <v>2524</v>
      </c>
      <c r="B222" s="2">
        <v>626.21453205908597</v>
      </c>
      <c r="C222" s="2">
        <v>4.9557333333333302</v>
      </c>
      <c r="D222" s="2" t="s">
        <v>51</v>
      </c>
      <c r="E222" s="2" t="s">
        <v>2525</v>
      </c>
      <c r="F222" s="2">
        <v>205542</v>
      </c>
      <c r="G222" s="3" t="str">
        <f>HYPERLINK("https://cloud.oebiotech.com/#/lm/network/205542", "https://cloud.oebiotech.com/#/lm/network/205542")</f>
        <v>https://cloud.oebiotech.com/#/lm/network/205542</v>
      </c>
      <c r="H222" s="2" t="s">
        <v>2526</v>
      </c>
      <c r="I222" s="2"/>
      <c r="J222" s="2"/>
      <c r="K222" s="2">
        <v>21947226</v>
      </c>
      <c r="L222" s="2"/>
      <c r="M222" s="2"/>
      <c r="N222" s="2"/>
      <c r="O222" s="2"/>
      <c r="P222" s="2"/>
      <c r="Q222" s="2"/>
      <c r="R222" s="2"/>
      <c r="S222" s="2" t="s">
        <v>2527</v>
      </c>
      <c r="T222" s="2" t="s">
        <v>2528</v>
      </c>
      <c r="U222" s="2" t="s">
        <v>103</v>
      </c>
      <c r="V222" s="2" t="s">
        <v>104</v>
      </c>
      <c r="W222" s="2" t="s">
        <v>105</v>
      </c>
      <c r="X222" s="2" t="s">
        <v>147</v>
      </c>
      <c r="Y222" s="2">
        <v>41.9</v>
      </c>
      <c r="Z222" s="2">
        <v>39.9</v>
      </c>
      <c r="AA222" s="2" t="s">
        <v>60</v>
      </c>
      <c r="AB222" s="2" t="s">
        <v>2529</v>
      </c>
      <c r="AC222" s="2">
        <v>-2.06266847046447</v>
      </c>
      <c r="AD222" s="2"/>
      <c r="AE222" s="2">
        <v>1.78176837729355</v>
      </c>
      <c r="AF222" s="2">
        <v>291.15562793055</v>
      </c>
      <c r="AG222" s="2">
        <v>146631.15978410601</v>
      </c>
      <c r="AH222" s="4">
        <v>1.9856327151693801E-3</v>
      </c>
      <c r="AI222" s="4">
        <v>-8.9761854941255894</v>
      </c>
      <c r="AJ222" s="4" t="s">
        <v>62</v>
      </c>
      <c r="AK222" s="2">
        <v>0.34169511393915297</v>
      </c>
      <c r="AL222" s="2">
        <v>0.63815037094278604</v>
      </c>
      <c r="AM222" s="2">
        <v>8.559877937157E-6</v>
      </c>
      <c r="AN222" s="2">
        <v>8.559877937157E-6</v>
      </c>
      <c r="AO222" s="2">
        <v>284.44599186187997</v>
      </c>
      <c r="AP222" s="2">
        <v>8.559877937157E-6</v>
      </c>
      <c r="AQ222" s="2">
        <v>8.559877937157E-6</v>
      </c>
      <c r="AR222" s="2">
        <v>1462.48774148191</v>
      </c>
      <c r="AS222" s="2">
        <v>177.99411917789701</v>
      </c>
      <c r="AT222" s="2">
        <v>0.45690345947920502</v>
      </c>
      <c r="AU222" s="2">
        <v>8.559877937157E-6</v>
      </c>
      <c r="AV222" s="2">
        <v>3.5344353415904601</v>
      </c>
      <c r="AW222" s="2">
        <v>879604.97322953795</v>
      </c>
      <c r="AX222" s="2">
        <v>8.559877937157E-6</v>
      </c>
    </row>
    <row r="223" spans="1:50" x14ac:dyDescent="0.25">
      <c r="A223" s="2" t="s">
        <v>715</v>
      </c>
      <c r="B223" s="2">
        <v>608.35693801386606</v>
      </c>
      <c r="C223" s="2">
        <v>10.9866666666667</v>
      </c>
      <c r="D223" s="2" t="s">
        <v>51</v>
      </c>
      <c r="E223" s="2" t="s">
        <v>716</v>
      </c>
      <c r="F223" s="2">
        <v>18452</v>
      </c>
      <c r="G223" s="3" t="str">
        <f>HYPERLINK("https://cloud.oebiotech.com/#/lm/network/18452", "https://cloud.oebiotech.com/#/lm/network/18452")</f>
        <v>https://cloud.oebiotech.com/#/lm/network/18452</v>
      </c>
      <c r="H223" s="2"/>
      <c r="I223" s="2">
        <v>39732</v>
      </c>
      <c r="J223" s="2" t="s">
        <v>717</v>
      </c>
      <c r="K223" s="2">
        <v>24779022</v>
      </c>
      <c r="L223" s="2"/>
      <c r="M223" s="2"/>
      <c r="N223" s="2"/>
      <c r="O223" s="2"/>
      <c r="P223" s="2"/>
      <c r="Q223" s="2"/>
      <c r="R223" s="2"/>
      <c r="S223" s="2" t="s">
        <v>718</v>
      </c>
      <c r="T223" s="2" t="s">
        <v>719</v>
      </c>
      <c r="U223" s="2" t="s">
        <v>56</v>
      </c>
      <c r="V223" s="2" t="s">
        <v>57</v>
      </c>
      <c r="W223" s="2" t="s">
        <v>58</v>
      </c>
      <c r="X223" s="2" t="s">
        <v>69</v>
      </c>
      <c r="Y223" s="2">
        <v>58.8</v>
      </c>
      <c r="Z223" s="2">
        <v>79</v>
      </c>
      <c r="AA223" s="2" t="s">
        <v>218</v>
      </c>
      <c r="AB223" s="2" t="s">
        <v>720</v>
      </c>
      <c r="AC223" s="2">
        <v>5.4709026481454801E-2</v>
      </c>
      <c r="AD223" s="2"/>
      <c r="AE223" s="2">
        <v>1.7812783360101001</v>
      </c>
      <c r="AF223" s="2">
        <v>99769.757492569799</v>
      </c>
      <c r="AG223" s="2">
        <v>32455.982068604499</v>
      </c>
      <c r="AH223" s="5">
        <v>3.07400211405341</v>
      </c>
      <c r="AI223" s="5">
        <v>1.62011815719958</v>
      </c>
      <c r="AJ223" s="5" t="s">
        <v>139</v>
      </c>
      <c r="AK223" s="2">
        <v>1.14857168470229E-2</v>
      </c>
      <c r="AL223" s="2">
        <v>0.17165665021883</v>
      </c>
      <c r="AM223" s="2">
        <v>151690.04364070101</v>
      </c>
      <c r="AN223" s="2">
        <v>148907.96245277199</v>
      </c>
      <c r="AO223" s="2">
        <v>52987.432081174898</v>
      </c>
      <c r="AP223" s="2">
        <v>97932.924763104398</v>
      </c>
      <c r="AQ223" s="2">
        <v>25559.241476092298</v>
      </c>
      <c r="AR223" s="2">
        <v>121540.940541574</v>
      </c>
      <c r="AS223" s="2">
        <v>26344.680117266998</v>
      </c>
      <c r="AT223" s="2">
        <v>38141.2984878192</v>
      </c>
      <c r="AU223" s="2">
        <v>47691.420268481903</v>
      </c>
      <c r="AV223" s="2">
        <v>21694.2554692829</v>
      </c>
      <c r="AW223" s="2">
        <v>13889.9585104444</v>
      </c>
      <c r="AX223" s="2">
        <v>46974.279558331502</v>
      </c>
    </row>
    <row r="224" spans="1:50" x14ac:dyDescent="0.25">
      <c r="A224" s="2" t="s">
        <v>2530</v>
      </c>
      <c r="B224" s="2">
        <v>128.045928848393</v>
      </c>
      <c r="C224" s="2">
        <v>3.1093000000000002</v>
      </c>
      <c r="D224" s="2" t="s">
        <v>51</v>
      </c>
      <c r="E224" s="2" t="s">
        <v>2531</v>
      </c>
      <c r="F224" s="2">
        <v>200662</v>
      </c>
      <c r="G224" s="3" t="str">
        <f>HYPERLINK("https://cloud.oebiotech.com/#/lm/network/200662", "https://cloud.oebiotech.com/#/lm/network/200662")</f>
        <v>https://cloud.oebiotech.com/#/lm/network/200662</v>
      </c>
      <c r="H224" s="2" t="s">
        <v>2532</v>
      </c>
      <c r="I224" s="2">
        <v>340911</v>
      </c>
      <c r="J224" s="2"/>
      <c r="K224" s="2">
        <v>12760</v>
      </c>
      <c r="L224" s="2"/>
      <c r="M224" s="2"/>
      <c r="N224" s="2"/>
      <c r="O224" s="2"/>
      <c r="P224" s="2"/>
      <c r="Q224" s="2"/>
      <c r="R224" s="2"/>
      <c r="S224" s="2" t="s">
        <v>2533</v>
      </c>
      <c r="T224" s="2" t="s">
        <v>2534</v>
      </c>
      <c r="U224" s="2" t="s">
        <v>266</v>
      </c>
      <c r="V224" s="2" t="s">
        <v>1585</v>
      </c>
      <c r="W224" s="2" t="s">
        <v>1586</v>
      </c>
      <c r="X224" s="2" t="s">
        <v>147</v>
      </c>
      <c r="Y224" s="2">
        <v>41.1</v>
      </c>
      <c r="Z224" s="2">
        <v>15.2</v>
      </c>
      <c r="AA224" s="2" t="s">
        <v>259</v>
      </c>
      <c r="AB224" s="2" t="s">
        <v>2535</v>
      </c>
      <c r="AC224" s="2">
        <v>3.7469250319188099</v>
      </c>
      <c r="AD224" s="2"/>
      <c r="AE224" s="2">
        <v>1.76303906023459</v>
      </c>
      <c r="AF224" s="2">
        <v>1708.9680453211799</v>
      </c>
      <c r="AG224" s="2">
        <v>119956.81151821899</v>
      </c>
      <c r="AH224" s="4">
        <v>1.4246527760215E-2</v>
      </c>
      <c r="AI224" s="4">
        <v>-6.1332458489903896</v>
      </c>
      <c r="AJ224" s="4" t="s">
        <v>62</v>
      </c>
      <c r="AK224" s="2">
        <v>6.8412688439711503E-2</v>
      </c>
      <c r="AL224" s="2">
        <v>0.34637197846783502</v>
      </c>
      <c r="AM224" s="2">
        <v>1205.60573444751</v>
      </c>
      <c r="AN224" s="2">
        <v>1417.1914110672601</v>
      </c>
      <c r="AO224" s="2">
        <v>1209.8377584233101</v>
      </c>
      <c r="AP224" s="2">
        <v>1225.20878591526</v>
      </c>
      <c r="AQ224" s="2">
        <v>3075.45121938073</v>
      </c>
      <c r="AR224" s="2">
        <v>2120.5133626930001</v>
      </c>
      <c r="AS224" s="2">
        <v>181460.523108391</v>
      </c>
      <c r="AT224" s="2">
        <v>345663.84882431797</v>
      </c>
      <c r="AU224" s="2">
        <v>2190.2676544057999</v>
      </c>
      <c r="AV224" s="2">
        <v>185748.97677113299</v>
      </c>
      <c r="AW224" s="2">
        <v>2156.4701965619402</v>
      </c>
      <c r="AX224" s="2">
        <v>2520.782554503</v>
      </c>
    </row>
    <row r="225" spans="1:50" x14ac:dyDescent="0.25">
      <c r="A225" s="2" t="s">
        <v>2536</v>
      </c>
      <c r="B225" s="2">
        <v>355.16603584739403</v>
      </c>
      <c r="C225" s="2">
        <v>6.9037166666666696</v>
      </c>
      <c r="D225" s="2" t="s">
        <v>51</v>
      </c>
      <c r="E225" s="2" t="s">
        <v>2537</v>
      </c>
      <c r="F225" s="2">
        <v>202352</v>
      </c>
      <c r="G225" s="3" t="str">
        <f>HYPERLINK("https://cloud.oebiotech.com/#/lm/network/202352", "https://cloud.oebiotech.com/#/lm/network/202352")</f>
        <v>https://cloud.oebiotech.com/#/lm/network/202352</v>
      </c>
      <c r="H225" s="2" t="s">
        <v>2538</v>
      </c>
      <c r="I225" s="2"/>
      <c r="J225" s="2"/>
      <c r="K225" s="2">
        <v>51579</v>
      </c>
      <c r="L225" s="2"/>
      <c r="M225" s="2"/>
      <c r="N225" s="2"/>
      <c r="O225" s="2"/>
      <c r="P225" s="2"/>
      <c r="Q225" s="2"/>
      <c r="R225" s="2"/>
      <c r="S225" s="2" t="s">
        <v>2539</v>
      </c>
      <c r="T225" s="2" t="s">
        <v>2540</v>
      </c>
      <c r="U225" s="2" t="s">
        <v>238</v>
      </c>
      <c r="V225" s="2" t="s">
        <v>2541</v>
      </c>
      <c r="W225" s="2" t="s">
        <v>240</v>
      </c>
      <c r="X225" s="2" t="s">
        <v>147</v>
      </c>
      <c r="Y225" s="2">
        <v>37.9</v>
      </c>
      <c r="Z225" s="2">
        <v>1.3</v>
      </c>
      <c r="AA225" s="2" t="s">
        <v>218</v>
      </c>
      <c r="AB225" s="2" t="s">
        <v>2542</v>
      </c>
      <c r="AC225" s="2">
        <v>-0.951022490492615</v>
      </c>
      <c r="AD225" s="2"/>
      <c r="AE225" s="2">
        <v>1.7601478721841</v>
      </c>
      <c r="AF225" s="2">
        <v>133527.07355400699</v>
      </c>
      <c r="AG225" s="2">
        <v>252031.49821940999</v>
      </c>
      <c r="AH225" s="4">
        <v>0.52980311785379697</v>
      </c>
      <c r="AI225" s="4">
        <v>-0.91647176099678496</v>
      </c>
      <c r="AJ225" s="4" t="s">
        <v>62</v>
      </c>
      <c r="AK225" s="2">
        <v>0.19474488850715799</v>
      </c>
      <c r="AL225" s="2">
        <v>0.51850022179270805</v>
      </c>
      <c r="AM225" s="2">
        <v>137161.99026257699</v>
      </c>
      <c r="AN225" s="2">
        <v>69902.261351113499</v>
      </c>
      <c r="AO225" s="2">
        <v>183297.91554511801</v>
      </c>
      <c r="AP225" s="2">
        <v>7123.0873534784996</v>
      </c>
      <c r="AQ225" s="2">
        <v>95038.545026942302</v>
      </c>
      <c r="AR225" s="2">
        <v>308638.64178481401</v>
      </c>
      <c r="AS225" s="2">
        <v>157115.301023298</v>
      </c>
      <c r="AT225" s="2">
        <v>134862.248862546</v>
      </c>
      <c r="AU225" s="2">
        <v>232225.78141464101</v>
      </c>
      <c r="AV225" s="2">
        <v>519415.12040177401</v>
      </c>
      <c r="AW225" s="2">
        <v>418937.603920508</v>
      </c>
      <c r="AX225" s="2">
        <v>49632.933693693798</v>
      </c>
    </row>
    <row r="226" spans="1:50" x14ac:dyDescent="0.25">
      <c r="A226" s="2" t="s">
        <v>2543</v>
      </c>
      <c r="B226" s="2">
        <v>465.120175763784</v>
      </c>
      <c r="C226" s="2">
        <v>5.5550833333333296</v>
      </c>
      <c r="D226" s="2" t="s">
        <v>51</v>
      </c>
      <c r="E226" s="2" t="s">
        <v>2544</v>
      </c>
      <c r="F226" s="2">
        <v>82768</v>
      </c>
      <c r="G226" s="3" t="str">
        <f>HYPERLINK("https://cloud.oebiotech.com/#/lm/network/82768", "https://cloud.oebiotech.com/#/lm/network/82768")</f>
        <v>https://cloud.oebiotech.com/#/lm/network/82768</v>
      </c>
      <c r="H226" s="2" t="s">
        <v>2545</v>
      </c>
      <c r="I226" s="2"/>
      <c r="J226" s="2"/>
      <c r="K226" s="2">
        <v>131769992</v>
      </c>
      <c r="L226" s="2"/>
      <c r="M226" s="2"/>
      <c r="N226" s="2"/>
      <c r="O226" s="2"/>
      <c r="P226" s="2"/>
      <c r="Q226" s="2"/>
      <c r="R226" s="2"/>
      <c r="S226" s="2" t="s">
        <v>2546</v>
      </c>
      <c r="T226" s="2" t="s">
        <v>2547</v>
      </c>
      <c r="U226" s="2" t="s">
        <v>331</v>
      </c>
      <c r="V226" s="2" t="s">
        <v>332</v>
      </c>
      <c r="W226" s="2" t="s">
        <v>333</v>
      </c>
      <c r="X226" s="2" t="s">
        <v>59</v>
      </c>
      <c r="Y226" s="2">
        <v>56</v>
      </c>
      <c r="Z226" s="2">
        <v>83</v>
      </c>
      <c r="AA226" s="2" t="s">
        <v>218</v>
      </c>
      <c r="AB226" s="2" t="s">
        <v>2548</v>
      </c>
      <c r="AC226" s="2">
        <v>-0.17365469544721199</v>
      </c>
      <c r="AD226" s="2"/>
      <c r="AE226" s="2">
        <v>1.7513043939173401</v>
      </c>
      <c r="AF226" s="2">
        <v>76882.085488513796</v>
      </c>
      <c r="AG226" s="2">
        <v>282.54345000715699</v>
      </c>
      <c r="AH226" s="5">
        <v>272.10712365325202</v>
      </c>
      <c r="AI226" s="5">
        <v>8.0880309160230706</v>
      </c>
      <c r="AJ226" s="5" t="s">
        <v>139</v>
      </c>
      <c r="AK226" s="2">
        <v>0.129643819914949</v>
      </c>
      <c r="AL226" s="2">
        <v>0.44843954713391498</v>
      </c>
      <c r="AM226" s="2">
        <v>288291.80096274603</v>
      </c>
      <c r="AN226" s="2">
        <v>8.559877937157E-6</v>
      </c>
      <c r="AO226" s="2">
        <v>55479.645730204102</v>
      </c>
      <c r="AP226" s="2">
        <v>8.559877937157E-6</v>
      </c>
      <c r="AQ226" s="2">
        <v>117521.06621245301</v>
      </c>
      <c r="AR226" s="2">
        <v>8.559877937157E-6</v>
      </c>
      <c r="AS226" s="2">
        <v>0.28835504547150898</v>
      </c>
      <c r="AT226" s="2">
        <v>8.559877937157E-6</v>
      </c>
      <c r="AU226" s="2">
        <v>1096.5744663969699</v>
      </c>
      <c r="AV226" s="2">
        <v>510.70839634792497</v>
      </c>
      <c r="AW226" s="2">
        <v>87.689465132820501</v>
      </c>
      <c r="AX226" s="2">
        <v>8.559877937157E-6</v>
      </c>
    </row>
    <row r="227" spans="1:50" x14ac:dyDescent="0.25">
      <c r="A227" s="2" t="s">
        <v>2549</v>
      </c>
      <c r="B227" s="2">
        <v>373.27474603181702</v>
      </c>
      <c r="C227" s="2">
        <v>8.59643333333333</v>
      </c>
      <c r="D227" s="2" t="s">
        <v>51</v>
      </c>
      <c r="E227" s="2" t="s">
        <v>2550</v>
      </c>
      <c r="F227" s="2">
        <v>46187</v>
      </c>
      <c r="G227" s="3" t="str">
        <f>HYPERLINK("https://cloud.oebiotech.com/#/lm/network/46187", "https://cloud.oebiotech.com/#/lm/network/46187")</f>
        <v>https://cloud.oebiotech.com/#/lm/network/46187</v>
      </c>
      <c r="H227" s="2"/>
      <c r="I227" s="2">
        <v>84639</v>
      </c>
      <c r="J227" s="2" t="s">
        <v>2551</v>
      </c>
      <c r="K227" s="2">
        <v>5284077</v>
      </c>
      <c r="L227" s="2"/>
      <c r="M227" s="2"/>
      <c r="N227" s="2"/>
      <c r="O227" s="2"/>
      <c r="P227" s="2"/>
      <c r="Q227" s="2"/>
      <c r="R227" s="2"/>
      <c r="S227" s="2" t="s">
        <v>2552</v>
      </c>
      <c r="T227" s="2" t="s">
        <v>2553</v>
      </c>
      <c r="U227" s="2" t="s">
        <v>56</v>
      </c>
      <c r="V227" s="2" t="s">
        <v>283</v>
      </c>
      <c r="W227" s="2" t="s">
        <v>2042</v>
      </c>
      <c r="X227" s="2" t="s">
        <v>59</v>
      </c>
      <c r="Y227" s="2">
        <v>50.3</v>
      </c>
      <c r="Z227" s="2">
        <v>58.2</v>
      </c>
      <c r="AA227" s="2" t="s">
        <v>179</v>
      </c>
      <c r="AB227" s="2" t="s">
        <v>2554</v>
      </c>
      <c r="AC227" s="2">
        <v>2.7522937679017199</v>
      </c>
      <c r="AD227" s="2"/>
      <c r="AE227" s="2">
        <v>1.74488106801494</v>
      </c>
      <c r="AF227" s="2">
        <v>287410.77565193502</v>
      </c>
      <c r="AG227" s="2">
        <v>61266.179115556297</v>
      </c>
      <c r="AH227" s="5">
        <v>4.6911816568459299</v>
      </c>
      <c r="AI227" s="5">
        <v>2.2299513674628701</v>
      </c>
      <c r="AJ227" s="5" t="s">
        <v>139</v>
      </c>
      <c r="AK227" s="2">
        <v>0.305340731489956</v>
      </c>
      <c r="AL227" s="2">
        <v>0.61510943172853205</v>
      </c>
      <c r="AM227" s="2">
        <v>25950.630177769901</v>
      </c>
      <c r="AN227" s="2">
        <v>44059.6656577045</v>
      </c>
      <c r="AO227" s="2">
        <v>30220.4924860096</v>
      </c>
      <c r="AP227" s="2">
        <v>33520.233425282298</v>
      </c>
      <c r="AQ227" s="2">
        <v>1310327.9141452501</v>
      </c>
      <c r="AR227" s="2">
        <v>280385.71801959397</v>
      </c>
      <c r="AS227" s="2">
        <v>33015.375548174801</v>
      </c>
      <c r="AT227" s="2">
        <v>147833.625050642</v>
      </c>
      <c r="AU227" s="2">
        <v>47878.795138525202</v>
      </c>
      <c r="AV227" s="2">
        <v>67862.581634623406</v>
      </c>
      <c r="AW227" s="2">
        <v>33806.514735963799</v>
      </c>
      <c r="AX227" s="2">
        <v>37200.1825854087</v>
      </c>
    </row>
    <row r="228" spans="1:50" x14ac:dyDescent="0.25">
      <c r="A228" s="2" t="s">
        <v>2555</v>
      </c>
      <c r="B228" s="2">
        <v>273.20192166946998</v>
      </c>
      <c r="C228" s="2">
        <v>4.4844999999999997</v>
      </c>
      <c r="D228" s="2" t="s">
        <v>51</v>
      </c>
      <c r="E228" s="2" t="s">
        <v>2556</v>
      </c>
      <c r="F228" s="2">
        <v>206814</v>
      </c>
      <c r="G228" s="3" t="str">
        <f>HYPERLINK("https://cloud.oebiotech.com/#/lm/network/206814", "https://cloud.oebiotech.com/#/lm/network/206814")</f>
        <v>https://cloud.oebiotech.com/#/lm/network/206814</v>
      </c>
      <c r="H228" s="2" t="s">
        <v>2557</v>
      </c>
      <c r="I228" s="2"/>
      <c r="J228" s="2"/>
      <c r="K228" s="2">
        <v>21906940</v>
      </c>
      <c r="L228" s="2"/>
      <c r="M228" s="2"/>
      <c r="N228" s="2"/>
      <c r="O228" s="2"/>
      <c r="P228" s="2"/>
      <c r="Q228" s="2"/>
      <c r="R228" s="2"/>
      <c r="S228" s="2" t="s">
        <v>2558</v>
      </c>
      <c r="T228" s="2" t="s">
        <v>2559</v>
      </c>
      <c r="U228" s="2" t="s">
        <v>56</v>
      </c>
      <c r="V228" s="2" t="s">
        <v>283</v>
      </c>
      <c r="W228" s="2" t="s">
        <v>284</v>
      </c>
      <c r="X228" s="2" t="s">
        <v>147</v>
      </c>
      <c r="Y228" s="2">
        <v>37.799999999999997</v>
      </c>
      <c r="Z228" s="2">
        <v>5.32</v>
      </c>
      <c r="AA228" s="2" t="s">
        <v>156</v>
      </c>
      <c r="AB228" s="2" t="s">
        <v>2560</v>
      </c>
      <c r="AC228" s="2">
        <v>2.1233778968155002</v>
      </c>
      <c r="AD228" s="2"/>
      <c r="AE228" s="2">
        <v>1.7441149659145301</v>
      </c>
      <c r="AF228" s="2">
        <v>5296.6017651280299</v>
      </c>
      <c r="AG228" s="2">
        <v>175290.64857060401</v>
      </c>
      <c r="AH228" s="4">
        <v>3.0216111403082901E-2</v>
      </c>
      <c r="AI228" s="4">
        <v>-5.0485381818351902</v>
      </c>
      <c r="AJ228" s="4" t="s">
        <v>62</v>
      </c>
      <c r="AK228" s="2">
        <v>0.17423695154687799</v>
      </c>
      <c r="AL228" s="2">
        <v>0.49542374584952698</v>
      </c>
      <c r="AM228" s="2">
        <v>5024.9199748003803</v>
      </c>
      <c r="AN228" s="2">
        <v>3659.4240858163498</v>
      </c>
      <c r="AO228" s="2">
        <v>5392.9978117935098</v>
      </c>
      <c r="AP228" s="2">
        <v>2320.07522976677</v>
      </c>
      <c r="AQ228" s="2">
        <v>5354.7829848517804</v>
      </c>
      <c r="AR228" s="2">
        <v>10027.4105037394</v>
      </c>
      <c r="AS228" s="2">
        <v>3064.64140951642</v>
      </c>
      <c r="AT228" s="2">
        <v>5293.3815350415898</v>
      </c>
      <c r="AU228" s="2">
        <v>736531.42458446696</v>
      </c>
      <c r="AV228" s="2">
        <v>170389.130562743</v>
      </c>
      <c r="AW228" s="2">
        <v>133941.241856651</v>
      </c>
      <c r="AX228" s="2">
        <v>2524.0714752060599</v>
      </c>
    </row>
    <row r="229" spans="1:50" x14ac:dyDescent="0.25">
      <c r="A229" s="2" t="s">
        <v>2561</v>
      </c>
      <c r="B229" s="2">
        <v>415.21027106031602</v>
      </c>
      <c r="C229" s="2">
        <v>6.1269833333333299</v>
      </c>
      <c r="D229" s="2" t="s">
        <v>51</v>
      </c>
      <c r="E229" s="2" t="s">
        <v>2562</v>
      </c>
      <c r="F229" s="2">
        <v>83515</v>
      </c>
      <c r="G229" s="3" t="str">
        <f>HYPERLINK("https://cloud.oebiotech.com/#/lm/network/83515", "https://cloud.oebiotech.com/#/lm/network/83515")</f>
        <v>https://cloud.oebiotech.com/#/lm/network/83515</v>
      </c>
      <c r="H229" s="2" t="s">
        <v>2563</v>
      </c>
      <c r="I229" s="2"/>
      <c r="J229" s="2"/>
      <c r="K229" s="2">
        <v>134819272</v>
      </c>
      <c r="L229" s="2"/>
      <c r="M229" s="2"/>
      <c r="N229" s="2"/>
      <c r="O229" s="2"/>
      <c r="P229" s="2"/>
      <c r="Q229" s="2"/>
      <c r="R229" s="2"/>
      <c r="S229" s="2" t="s">
        <v>2564</v>
      </c>
      <c r="T229" s="2" t="s">
        <v>2565</v>
      </c>
      <c r="U229" s="2" t="s">
        <v>56</v>
      </c>
      <c r="V229" s="2" t="s">
        <v>145</v>
      </c>
      <c r="W229" s="2" t="s">
        <v>187</v>
      </c>
      <c r="X229" s="2" t="s">
        <v>59</v>
      </c>
      <c r="Y229" s="2">
        <v>48.3</v>
      </c>
      <c r="Z229" s="2">
        <v>49.7</v>
      </c>
      <c r="AA229" s="2" t="s">
        <v>95</v>
      </c>
      <c r="AB229" s="2" t="s">
        <v>636</v>
      </c>
      <c r="AC229" s="2">
        <v>2.96169763143673</v>
      </c>
      <c r="AD229" s="2"/>
      <c r="AE229" s="2">
        <v>1.7411429034044299</v>
      </c>
      <c r="AF229" s="2">
        <v>122307.22235544201</v>
      </c>
      <c r="AG229" s="2">
        <v>53890.334088402902</v>
      </c>
      <c r="AH229" s="5">
        <v>2.2695576938678101</v>
      </c>
      <c r="AI229" s="5">
        <v>1.1824111631376799</v>
      </c>
      <c r="AJ229" s="5" t="s">
        <v>139</v>
      </c>
      <c r="AK229" s="2">
        <v>5.68722898885623E-2</v>
      </c>
      <c r="AL229" s="2">
        <v>0.325203556477003</v>
      </c>
      <c r="AM229" s="2">
        <v>268918.97871507099</v>
      </c>
      <c r="AN229" s="2">
        <v>107228.70145715</v>
      </c>
      <c r="AO229" s="2">
        <v>84003.197560092303</v>
      </c>
      <c r="AP229" s="2">
        <v>110018.72996820899</v>
      </c>
      <c r="AQ229" s="2">
        <v>53789.138942553502</v>
      </c>
      <c r="AR229" s="2">
        <v>109884.587489575</v>
      </c>
      <c r="AS229" s="2">
        <v>79858.038220847302</v>
      </c>
      <c r="AT229" s="2">
        <v>57656.546482742997</v>
      </c>
      <c r="AU229" s="2">
        <v>59393.410492892603</v>
      </c>
      <c r="AV229" s="2">
        <v>22930.745421585601</v>
      </c>
      <c r="AW229" s="2">
        <v>36812.742913975002</v>
      </c>
      <c r="AX229" s="2">
        <v>66690.520998374093</v>
      </c>
    </row>
    <row r="230" spans="1:50" x14ac:dyDescent="0.25">
      <c r="A230" s="2" t="s">
        <v>721</v>
      </c>
      <c r="B230" s="2">
        <v>423.23664948656602</v>
      </c>
      <c r="C230" s="2">
        <v>6.8496833333333296</v>
      </c>
      <c r="D230" s="2" t="s">
        <v>51</v>
      </c>
      <c r="E230" s="2" t="s">
        <v>722</v>
      </c>
      <c r="F230" s="2">
        <v>209556</v>
      </c>
      <c r="G230" s="3" t="str">
        <f>HYPERLINK("https://cloud.oebiotech.com/#/lm/network/209556", "https://cloud.oebiotech.com/#/lm/network/209556")</f>
        <v>https://cloud.oebiotech.com/#/lm/network/209556</v>
      </c>
      <c r="H230" s="2" t="s">
        <v>723</v>
      </c>
      <c r="I230" s="2"/>
      <c r="J230" s="2"/>
      <c r="K230" s="2">
        <v>101625661</v>
      </c>
      <c r="L230" s="2"/>
      <c r="M230" s="2"/>
      <c r="N230" s="2"/>
      <c r="O230" s="2"/>
      <c r="P230" s="2"/>
      <c r="Q230" s="2"/>
      <c r="R230" s="2"/>
      <c r="S230" s="2" t="s">
        <v>724</v>
      </c>
      <c r="T230" s="2" t="s">
        <v>725</v>
      </c>
      <c r="U230" s="2" t="s">
        <v>610</v>
      </c>
      <c r="V230" s="2" t="s">
        <v>611</v>
      </c>
      <c r="W230" s="2" t="s">
        <v>726</v>
      </c>
      <c r="X230" s="2" t="s">
        <v>147</v>
      </c>
      <c r="Y230" s="2">
        <v>44.2</v>
      </c>
      <c r="Z230" s="2">
        <v>29.6</v>
      </c>
      <c r="AA230" s="2" t="s">
        <v>512</v>
      </c>
      <c r="AB230" s="2" t="s">
        <v>727</v>
      </c>
      <c r="AC230" s="2">
        <v>3.9609181825536401</v>
      </c>
      <c r="AD230" s="2"/>
      <c r="AE230" s="2">
        <v>1.7346318313428799</v>
      </c>
      <c r="AF230" s="2">
        <v>99624.514005267905</v>
      </c>
      <c r="AG230" s="2">
        <v>36232.031207870503</v>
      </c>
      <c r="AH230" s="5">
        <v>2.7496254193893299</v>
      </c>
      <c r="AI230" s="5">
        <v>1.4592350941291501</v>
      </c>
      <c r="AJ230" s="5" t="s">
        <v>139</v>
      </c>
      <c r="AK230" s="2">
        <v>1.17018064933836E-4</v>
      </c>
      <c r="AL230" s="2">
        <v>3.9225470277496198E-2</v>
      </c>
      <c r="AM230" s="2">
        <v>78129.001470655203</v>
      </c>
      <c r="AN230" s="2">
        <v>109690.256551364</v>
      </c>
      <c r="AO230" s="2">
        <v>123429.080263201</v>
      </c>
      <c r="AP230" s="2">
        <v>101732.98456679699</v>
      </c>
      <c r="AQ230" s="2">
        <v>77353.142939871497</v>
      </c>
      <c r="AR230" s="2">
        <v>107412.618239719</v>
      </c>
      <c r="AS230" s="2">
        <v>64888.464774038599</v>
      </c>
      <c r="AT230" s="2">
        <v>28905.724024155399</v>
      </c>
      <c r="AU230" s="2">
        <v>39977.495214739902</v>
      </c>
      <c r="AV230" s="2">
        <v>11705.599782866901</v>
      </c>
      <c r="AW230" s="2">
        <v>30153.3015621587</v>
      </c>
      <c r="AX230" s="2">
        <v>41761.6018892633</v>
      </c>
    </row>
    <row r="231" spans="1:50" x14ac:dyDescent="0.25">
      <c r="A231" s="2" t="s">
        <v>728</v>
      </c>
      <c r="B231" s="2">
        <v>579.427585784965</v>
      </c>
      <c r="C231" s="2">
        <v>11.920066666666701</v>
      </c>
      <c r="D231" s="2" t="s">
        <v>51</v>
      </c>
      <c r="E231" s="2" t="s">
        <v>729</v>
      </c>
      <c r="F231" s="2">
        <v>19849</v>
      </c>
      <c r="G231" s="3" t="str">
        <f>HYPERLINK("https://cloud.oebiotech.com/#/lm/network/19849", "https://cloud.oebiotech.com/#/lm/network/19849")</f>
        <v>https://cloud.oebiotech.com/#/lm/network/19849</v>
      </c>
      <c r="H231" s="2" t="s">
        <v>730</v>
      </c>
      <c r="I231" s="2">
        <v>40319</v>
      </c>
      <c r="J231" s="2" t="s">
        <v>731</v>
      </c>
      <c r="K231" s="2">
        <v>24779479</v>
      </c>
      <c r="L231" s="2" t="s">
        <v>691</v>
      </c>
      <c r="M231" s="2" t="s">
        <v>692</v>
      </c>
      <c r="N231" s="2" t="s">
        <v>693</v>
      </c>
      <c r="O231" s="2"/>
      <c r="P231" s="2"/>
      <c r="Q231" s="2"/>
      <c r="R231" s="2"/>
      <c r="S231" s="2" t="s">
        <v>732</v>
      </c>
      <c r="T231" s="2" t="s">
        <v>733</v>
      </c>
      <c r="U231" s="2" t="s">
        <v>56</v>
      </c>
      <c r="V231" s="2" t="s">
        <v>57</v>
      </c>
      <c r="W231" s="2" t="s">
        <v>58</v>
      </c>
      <c r="X231" s="2" t="s">
        <v>83</v>
      </c>
      <c r="Y231" s="2">
        <v>43.6</v>
      </c>
      <c r="Z231" s="2">
        <v>0.42</v>
      </c>
      <c r="AA231" s="2" t="s">
        <v>122</v>
      </c>
      <c r="AB231" s="2" t="s">
        <v>734</v>
      </c>
      <c r="AC231" s="2">
        <v>2.0636355648402098</v>
      </c>
      <c r="AD231" s="2"/>
      <c r="AE231" s="2">
        <v>1.7337623831895399</v>
      </c>
      <c r="AF231" s="2">
        <v>140563.55958057099</v>
      </c>
      <c r="AG231" s="2">
        <v>196812.95861386499</v>
      </c>
      <c r="AH231" s="4">
        <v>0.71419870200899005</v>
      </c>
      <c r="AI231" s="4">
        <v>-0.485602582927673</v>
      </c>
      <c r="AJ231" s="4" t="s">
        <v>62</v>
      </c>
      <c r="AK231" s="2">
        <v>7.3618068802515204E-3</v>
      </c>
      <c r="AL231" s="2">
        <v>0.14489874833036501</v>
      </c>
      <c r="AM231" s="2">
        <v>96223.792302736503</v>
      </c>
      <c r="AN231" s="2">
        <v>124991.50242942901</v>
      </c>
      <c r="AO231" s="2">
        <v>123692.81466432499</v>
      </c>
      <c r="AP231" s="2">
        <v>154868.63810192299</v>
      </c>
      <c r="AQ231" s="2">
        <v>193291.91703091</v>
      </c>
      <c r="AR231" s="2">
        <v>150312.692954105</v>
      </c>
      <c r="AS231" s="2">
        <v>216875.419120932</v>
      </c>
      <c r="AT231" s="2">
        <v>195892.25942145701</v>
      </c>
      <c r="AU231" s="2">
        <v>155400.51359108899</v>
      </c>
      <c r="AV231" s="2">
        <v>184247.10863738201</v>
      </c>
      <c r="AW231" s="2">
        <v>214699.55285174801</v>
      </c>
      <c r="AX231" s="2">
        <v>213762.898060582</v>
      </c>
    </row>
    <row r="232" spans="1:50" x14ac:dyDescent="0.25">
      <c r="A232" s="2" t="s">
        <v>2566</v>
      </c>
      <c r="B232" s="2">
        <v>305.24818619969</v>
      </c>
      <c r="C232" s="2">
        <v>10.98715</v>
      </c>
      <c r="D232" s="2" t="s">
        <v>51</v>
      </c>
      <c r="E232" s="2" t="s">
        <v>2567</v>
      </c>
      <c r="F232" s="2">
        <v>3939</v>
      </c>
      <c r="G232" s="3" t="str">
        <f>HYPERLINK("https://cloud.oebiotech.com/#/lm/network/3939", "https://cloud.oebiotech.com/#/lm/network/3939")</f>
        <v>https://cloud.oebiotech.com/#/lm/network/3939</v>
      </c>
      <c r="H232" s="2" t="s">
        <v>2568</v>
      </c>
      <c r="I232" s="2">
        <v>36268</v>
      </c>
      <c r="J232" s="2" t="s">
        <v>2569</v>
      </c>
      <c r="K232" s="2">
        <v>5283145</v>
      </c>
      <c r="L232" s="2"/>
      <c r="M232" s="2"/>
      <c r="N232" s="2"/>
      <c r="O232" s="2">
        <v>88348</v>
      </c>
      <c r="P232" s="2"/>
      <c r="Q232" s="2"/>
      <c r="R232" s="2" t="s">
        <v>2570</v>
      </c>
      <c r="S232" s="2" t="s">
        <v>2571</v>
      </c>
      <c r="T232" s="2" t="s">
        <v>2572</v>
      </c>
      <c r="U232" s="2" t="s">
        <v>56</v>
      </c>
      <c r="V232" s="2" t="s">
        <v>145</v>
      </c>
      <c r="W232" s="2" t="s">
        <v>187</v>
      </c>
      <c r="X232" s="2" t="s">
        <v>69</v>
      </c>
      <c r="Y232" s="2">
        <v>60.6</v>
      </c>
      <c r="Z232" s="2">
        <v>86.3</v>
      </c>
      <c r="AA232" s="2" t="s">
        <v>156</v>
      </c>
      <c r="AB232" s="2" t="s">
        <v>2176</v>
      </c>
      <c r="AC232" s="2">
        <v>2.1086080795520399</v>
      </c>
      <c r="AD232" s="2"/>
      <c r="AE232" s="2">
        <v>1.73330462637258</v>
      </c>
      <c r="AF232" s="2">
        <v>277232.66617719998</v>
      </c>
      <c r="AG232" s="2">
        <v>193699.34191723799</v>
      </c>
      <c r="AH232" s="5">
        <v>1.4312524938554201</v>
      </c>
      <c r="AI232" s="5">
        <v>0.51727820700501603</v>
      </c>
      <c r="AJ232" s="5" t="s">
        <v>139</v>
      </c>
      <c r="AK232" s="2">
        <v>0.22300565819253501</v>
      </c>
      <c r="AL232" s="2">
        <v>0.54894302685029694</v>
      </c>
      <c r="AM232" s="2">
        <v>509692.638407855</v>
      </c>
      <c r="AN232" s="2">
        <v>282426.33659890899</v>
      </c>
      <c r="AO232" s="2">
        <v>188025.643900533</v>
      </c>
      <c r="AP232" s="2">
        <v>167459.433669519</v>
      </c>
      <c r="AQ232" s="2">
        <v>287319.68773332902</v>
      </c>
      <c r="AR232" s="2">
        <v>228472.25675305701</v>
      </c>
      <c r="AS232" s="2">
        <v>136093.626906094</v>
      </c>
      <c r="AT232" s="2">
        <v>74943.073357775298</v>
      </c>
      <c r="AU232" s="2">
        <v>366130.609052021</v>
      </c>
      <c r="AV232" s="2">
        <v>181191.51557141601</v>
      </c>
      <c r="AW232" s="2">
        <v>203877.839548633</v>
      </c>
      <c r="AX232" s="2">
        <v>199959.38706748601</v>
      </c>
    </row>
    <row r="233" spans="1:50" x14ac:dyDescent="0.25">
      <c r="A233" s="2" t="s">
        <v>2573</v>
      </c>
      <c r="B233" s="2">
        <v>399.21551068569698</v>
      </c>
      <c r="C233" s="2">
        <v>7.6753666666666698</v>
      </c>
      <c r="D233" s="2" t="s">
        <v>51</v>
      </c>
      <c r="E233" s="2" t="s">
        <v>2574</v>
      </c>
      <c r="F233" s="2">
        <v>5957</v>
      </c>
      <c r="G233" s="3" t="str">
        <f>HYPERLINK("https://cloud.oebiotech.com/#/lm/network/5957", "https://cloud.oebiotech.com/#/lm/network/5957")</f>
        <v>https://cloud.oebiotech.com/#/lm/network/5957</v>
      </c>
      <c r="H233" s="2"/>
      <c r="I233" s="2">
        <v>45447</v>
      </c>
      <c r="J233" s="2" t="s">
        <v>2575</v>
      </c>
      <c r="K233" s="2">
        <v>16126783</v>
      </c>
      <c r="L233" s="2" t="s">
        <v>2576</v>
      </c>
      <c r="M233" s="2" t="s">
        <v>2577</v>
      </c>
      <c r="N233" s="2" t="s">
        <v>2578</v>
      </c>
      <c r="O233" s="2">
        <v>138179</v>
      </c>
      <c r="P233" s="2" t="s">
        <v>2579</v>
      </c>
      <c r="Q233" s="2" t="s">
        <v>2580</v>
      </c>
      <c r="R233" s="2" t="s">
        <v>2581</v>
      </c>
      <c r="S233" s="2" t="s">
        <v>2582</v>
      </c>
      <c r="T233" s="2" t="s">
        <v>2583</v>
      </c>
      <c r="U233" s="2" t="s">
        <v>56</v>
      </c>
      <c r="V233" s="2" t="s">
        <v>145</v>
      </c>
      <c r="W233" s="2" t="s">
        <v>231</v>
      </c>
      <c r="X233" s="2" t="s">
        <v>69</v>
      </c>
      <c r="Y233" s="2">
        <v>73.8</v>
      </c>
      <c r="Z233" s="2">
        <v>93.6</v>
      </c>
      <c r="AA233" s="2" t="s">
        <v>95</v>
      </c>
      <c r="AB233" s="2" t="s">
        <v>1366</v>
      </c>
      <c r="AC233" s="2">
        <v>3.4975925254301501</v>
      </c>
      <c r="AD233" s="2"/>
      <c r="AE233" s="2">
        <v>1.7314346370148399</v>
      </c>
      <c r="AF233" s="2">
        <v>171077.50715485</v>
      </c>
      <c r="AG233" s="2">
        <v>93057.709398018997</v>
      </c>
      <c r="AH233" s="5">
        <v>1.8384023017709401</v>
      </c>
      <c r="AI233" s="5">
        <v>0.87845250942360298</v>
      </c>
      <c r="AJ233" s="5" t="s">
        <v>139</v>
      </c>
      <c r="AK233" s="2">
        <v>0.162146477220177</v>
      </c>
      <c r="AL233" s="2">
        <v>0.48399353100485398</v>
      </c>
      <c r="AM233" s="2">
        <v>410315.54340183199</v>
      </c>
      <c r="AN233" s="2">
        <v>120182.27176811401</v>
      </c>
      <c r="AO233" s="2">
        <v>110666.712287738</v>
      </c>
      <c r="AP233" s="2">
        <v>173707.66866065</v>
      </c>
      <c r="AQ233" s="2">
        <v>76867.317015834997</v>
      </c>
      <c r="AR233" s="2">
        <v>134725.529794929</v>
      </c>
      <c r="AS233" s="2">
        <v>136313.48920430499</v>
      </c>
      <c r="AT233" s="2">
        <v>105544.023949268</v>
      </c>
      <c r="AU233" s="2">
        <v>119586.777554662</v>
      </c>
      <c r="AV233" s="2">
        <v>37168.909872200202</v>
      </c>
      <c r="AW233" s="2">
        <v>68013.745109170093</v>
      </c>
      <c r="AX233" s="2">
        <v>91719.310698508998</v>
      </c>
    </row>
    <row r="234" spans="1:50" x14ac:dyDescent="0.25">
      <c r="A234" s="2" t="s">
        <v>735</v>
      </c>
      <c r="B234" s="2">
        <v>529.02901802251404</v>
      </c>
      <c r="C234" s="2">
        <v>14.4452</v>
      </c>
      <c r="D234" s="2" t="s">
        <v>51</v>
      </c>
      <c r="E234" s="2" t="s">
        <v>736</v>
      </c>
      <c r="F234" s="2">
        <v>51976</v>
      </c>
      <c r="G234" s="3" t="str">
        <f>HYPERLINK("https://cloud.oebiotech.com/#/lm/network/51976", "https://cloud.oebiotech.com/#/lm/network/51976")</f>
        <v>https://cloud.oebiotech.com/#/lm/network/51976</v>
      </c>
      <c r="H234" s="2" t="s">
        <v>737</v>
      </c>
      <c r="I234" s="2">
        <v>62919</v>
      </c>
      <c r="J234" s="2"/>
      <c r="K234" s="2">
        <v>23724475</v>
      </c>
      <c r="L234" s="2" t="s">
        <v>738</v>
      </c>
      <c r="M234" s="2" t="s">
        <v>739</v>
      </c>
      <c r="N234" s="2" t="s">
        <v>740</v>
      </c>
      <c r="O234" s="2">
        <v>85804</v>
      </c>
      <c r="P234" s="2"/>
      <c r="Q234" s="2"/>
      <c r="R234" s="2" t="s">
        <v>741</v>
      </c>
      <c r="S234" s="2" t="s">
        <v>742</v>
      </c>
      <c r="T234" s="2" t="s">
        <v>743</v>
      </c>
      <c r="U234" s="2" t="s">
        <v>295</v>
      </c>
      <c r="V234" s="2" t="s">
        <v>296</v>
      </c>
      <c r="W234" s="2" t="s">
        <v>297</v>
      </c>
      <c r="X234" s="2" t="s">
        <v>147</v>
      </c>
      <c r="Y234" s="2">
        <v>41.3</v>
      </c>
      <c r="Z234" s="2">
        <v>25.6</v>
      </c>
      <c r="AA234" s="2" t="s">
        <v>379</v>
      </c>
      <c r="AB234" s="2" t="s">
        <v>744</v>
      </c>
      <c r="AC234" s="2">
        <v>4.3851450161918297</v>
      </c>
      <c r="AD234" s="2"/>
      <c r="AE234" s="2">
        <v>1.7217630993505599</v>
      </c>
      <c r="AF234" s="2">
        <v>241434.90806453099</v>
      </c>
      <c r="AG234" s="2">
        <v>298581.25631944003</v>
      </c>
      <c r="AH234" s="4">
        <v>0.80860704734335398</v>
      </c>
      <c r="AI234" s="4">
        <v>-0.30648931754166497</v>
      </c>
      <c r="AJ234" s="4" t="s">
        <v>62</v>
      </c>
      <c r="AK234" s="2">
        <v>6.1336392182285103E-4</v>
      </c>
      <c r="AL234" s="2">
        <v>6.2440111341753798E-2</v>
      </c>
      <c r="AM234" s="2">
        <v>207519.190790341</v>
      </c>
      <c r="AN234" s="2">
        <v>240388.37540034001</v>
      </c>
      <c r="AO234" s="2">
        <v>249790.96587080701</v>
      </c>
      <c r="AP234" s="2">
        <v>244906.135649059</v>
      </c>
      <c r="AQ234" s="2">
        <v>271779.44840230001</v>
      </c>
      <c r="AR234" s="2">
        <v>234225.33227433899</v>
      </c>
      <c r="AS234" s="2">
        <v>306953.55139337003</v>
      </c>
      <c r="AT234" s="2">
        <v>323506.05895553902</v>
      </c>
      <c r="AU234" s="2">
        <v>267336.58767694997</v>
      </c>
      <c r="AV234" s="2">
        <v>305449.69670445099</v>
      </c>
      <c r="AW234" s="2">
        <v>286969.68708270497</v>
      </c>
      <c r="AX234" s="2">
        <v>301271.95610362198</v>
      </c>
    </row>
    <row r="235" spans="1:50" x14ac:dyDescent="0.25">
      <c r="A235" s="2" t="s">
        <v>745</v>
      </c>
      <c r="B235" s="2">
        <v>317.21216968163901</v>
      </c>
      <c r="C235" s="2">
        <v>8.1293166666666696</v>
      </c>
      <c r="D235" s="2" t="s">
        <v>51</v>
      </c>
      <c r="E235" s="2" t="s">
        <v>746</v>
      </c>
      <c r="F235" s="2">
        <v>278012</v>
      </c>
      <c r="G235" s="3" t="str">
        <f>HYPERLINK("https://cloud.oebiotech.com/#/lm/network/278012", "https://cloud.oebiotech.com/#/lm/network/278012")</f>
        <v>https://cloud.oebiotech.com/#/lm/network/278012</v>
      </c>
      <c r="H235" s="2"/>
      <c r="I235" s="2">
        <v>70205</v>
      </c>
      <c r="J235" s="2"/>
      <c r="K235" s="2">
        <v>21530</v>
      </c>
      <c r="L235" s="2" t="s">
        <v>747</v>
      </c>
      <c r="M235" s="2"/>
      <c r="N235" s="2"/>
      <c r="O235" s="2"/>
      <c r="P235" s="2"/>
      <c r="Q235" s="2"/>
      <c r="R235" s="2" t="s">
        <v>748</v>
      </c>
      <c r="S235" s="2" t="s">
        <v>749</v>
      </c>
      <c r="T235" s="2" t="s">
        <v>750</v>
      </c>
      <c r="U235" s="2" t="s">
        <v>56</v>
      </c>
      <c r="V235" s="2" t="s">
        <v>283</v>
      </c>
      <c r="W235" s="2" t="s">
        <v>284</v>
      </c>
      <c r="X235" s="2" t="s">
        <v>69</v>
      </c>
      <c r="Y235" s="2">
        <v>59.3</v>
      </c>
      <c r="Z235" s="2">
        <v>75.099999999999994</v>
      </c>
      <c r="AA235" s="2" t="s">
        <v>259</v>
      </c>
      <c r="AB235" s="2" t="s">
        <v>708</v>
      </c>
      <c r="AC235" s="2">
        <v>3.3158768197112698</v>
      </c>
      <c r="AD235" s="2"/>
      <c r="AE235" s="2">
        <v>1.7196751630367599</v>
      </c>
      <c r="AF235" s="2">
        <v>129557.74920167599</v>
      </c>
      <c r="AG235" s="2">
        <v>67164.760065046503</v>
      </c>
      <c r="AH235" s="5">
        <v>1.9289542473791901</v>
      </c>
      <c r="AI235" s="5">
        <v>0.94781892469238305</v>
      </c>
      <c r="AJ235" s="5" t="s">
        <v>139</v>
      </c>
      <c r="AK235" s="2">
        <v>3.8639149897450602E-3</v>
      </c>
      <c r="AL235" s="2">
        <v>0.113564669772853</v>
      </c>
      <c r="AM235" s="2">
        <v>130431.795475905</v>
      </c>
      <c r="AN235" s="2">
        <v>183078.67756406299</v>
      </c>
      <c r="AO235" s="2">
        <v>125080.23673944399</v>
      </c>
      <c r="AP235" s="2">
        <v>114134.23280426599</v>
      </c>
      <c r="AQ235" s="2">
        <v>99814.0439055772</v>
      </c>
      <c r="AR235" s="2">
        <v>124807.508720799</v>
      </c>
      <c r="AS235" s="2">
        <v>109452.540085186</v>
      </c>
      <c r="AT235" s="2">
        <v>56252.883915709601</v>
      </c>
      <c r="AU235" s="2">
        <v>90606.912028266102</v>
      </c>
      <c r="AV235" s="2">
        <v>26834.094499092302</v>
      </c>
      <c r="AW235" s="2">
        <v>51473.233707634499</v>
      </c>
      <c r="AX235" s="2">
        <v>68368.896154390299</v>
      </c>
    </row>
    <row r="236" spans="1:50" x14ac:dyDescent="0.25">
      <c r="A236" s="2" t="s">
        <v>751</v>
      </c>
      <c r="B236" s="2">
        <v>597.01893324193804</v>
      </c>
      <c r="C236" s="2">
        <v>10.246033333333299</v>
      </c>
      <c r="D236" s="2" t="s">
        <v>51</v>
      </c>
      <c r="E236" s="2" t="s">
        <v>752</v>
      </c>
      <c r="F236" s="2">
        <v>54457</v>
      </c>
      <c r="G236" s="3" t="str">
        <f>HYPERLINK("https://cloud.oebiotech.com/#/lm/network/54457", "https://cloud.oebiotech.com/#/lm/network/54457")</f>
        <v>https://cloud.oebiotech.com/#/lm/network/54457</v>
      </c>
      <c r="H236" s="2" t="s">
        <v>753</v>
      </c>
      <c r="I236" s="2">
        <v>86317</v>
      </c>
      <c r="J236" s="2"/>
      <c r="K236" s="2">
        <v>73829914</v>
      </c>
      <c r="L236" s="2"/>
      <c r="M236" s="2"/>
      <c r="N236" s="2"/>
      <c r="O236" s="2">
        <v>168251</v>
      </c>
      <c r="P236" s="2"/>
      <c r="Q236" s="2"/>
      <c r="R236" s="2" t="s">
        <v>754</v>
      </c>
      <c r="S236" s="2" t="s">
        <v>755</v>
      </c>
      <c r="T236" s="2" t="s">
        <v>756</v>
      </c>
      <c r="U236" s="2" t="s">
        <v>540</v>
      </c>
      <c r="V236" s="2" t="s">
        <v>541</v>
      </c>
      <c r="W236" s="2" t="s">
        <v>757</v>
      </c>
      <c r="X236" s="2" t="s">
        <v>147</v>
      </c>
      <c r="Y236" s="2">
        <v>39</v>
      </c>
      <c r="Z236" s="2">
        <v>14.4</v>
      </c>
      <c r="AA236" s="2" t="s">
        <v>241</v>
      </c>
      <c r="AB236" s="2" t="s">
        <v>758</v>
      </c>
      <c r="AC236" s="2">
        <v>-0.47178383782977601</v>
      </c>
      <c r="AD236" s="2"/>
      <c r="AE236" s="2">
        <v>1.71607892343275</v>
      </c>
      <c r="AF236" s="2">
        <v>163841.83551782701</v>
      </c>
      <c r="AG236" s="2">
        <v>215957.21479386199</v>
      </c>
      <c r="AH236" s="4">
        <v>0.75867729482536295</v>
      </c>
      <c r="AI236" s="4">
        <v>-0.39844173250841403</v>
      </c>
      <c r="AJ236" s="4" t="s">
        <v>62</v>
      </c>
      <c r="AK236" s="2">
        <v>1.9795499905245499E-4</v>
      </c>
      <c r="AL236" s="2">
        <v>4.19735296205151E-2</v>
      </c>
      <c r="AM236" s="2">
        <v>133386.38625688801</v>
      </c>
      <c r="AN236" s="2">
        <v>156156.682672667</v>
      </c>
      <c r="AO236" s="2">
        <v>163421.640827244</v>
      </c>
      <c r="AP236" s="2">
        <v>168173.26556180601</v>
      </c>
      <c r="AQ236" s="2">
        <v>186630.202869389</v>
      </c>
      <c r="AR236" s="2">
        <v>175282.83491897001</v>
      </c>
      <c r="AS236" s="2">
        <v>213748.83598838499</v>
      </c>
      <c r="AT236" s="2">
        <v>222949.280934123</v>
      </c>
      <c r="AU236" s="2">
        <v>195676.61473501599</v>
      </c>
      <c r="AV236" s="2">
        <v>230568.92868401401</v>
      </c>
      <c r="AW236" s="2">
        <v>207125.693113674</v>
      </c>
      <c r="AX236" s="2">
        <v>225673.93530796299</v>
      </c>
    </row>
    <row r="237" spans="1:50" x14ac:dyDescent="0.25">
      <c r="A237" s="2" t="s">
        <v>759</v>
      </c>
      <c r="B237" s="2">
        <v>601.44120891501495</v>
      </c>
      <c r="C237" s="2">
        <v>11.7381666666667</v>
      </c>
      <c r="D237" s="2" t="s">
        <v>51</v>
      </c>
      <c r="E237" s="2" t="s">
        <v>760</v>
      </c>
      <c r="F237" s="2">
        <v>54824</v>
      </c>
      <c r="G237" s="3" t="str">
        <f>HYPERLINK("https://cloud.oebiotech.com/#/lm/network/54824", "https://cloud.oebiotech.com/#/lm/network/54824")</f>
        <v>https://cloud.oebiotech.com/#/lm/network/54824</v>
      </c>
      <c r="H237" s="2" t="s">
        <v>761</v>
      </c>
      <c r="I237" s="2"/>
      <c r="J237" s="2"/>
      <c r="K237" s="2">
        <v>131750931</v>
      </c>
      <c r="L237" s="2"/>
      <c r="M237" s="2"/>
      <c r="N237" s="2"/>
      <c r="O237" s="2"/>
      <c r="P237" s="2"/>
      <c r="Q237" s="2"/>
      <c r="R237" s="2" t="s">
        <v>762</v>
      </c>
      <c r="S237" s="2" t="s">
        <v>763</v>
      </c>
      <c r="T237" s="2" t="s">
        <v>764</v>
      </c>
      <c r="U237" s="2" t="s">
        <v>56</v>
      </c>
      <c r="V237" s="2" t="s">
        <v>145</v>
      </c>
      <c r="W237" s="2" t="s">
        <v>146</v>
      </c>
      <c r="X237" s="2" t="s">
        <v>147</v>
      </c>
      <c r="Y237" s="2">
        <v>37.6</v>
      </c>
      <c r="Z237" s="2">
        <v>11.2</v>
      </c>
      <c r="AA237" s="2" t="s">
        <v>95</v>
      </c>
      <c r="AB237" s="2" t="s">
        <v>765</v>
      </c>
      <c r="AC237" s="2">
        <v>-4.5837140944333301</v>
      </c>
      <c r="AD237" s="2"/>
      <c r="AE237" s="2">
        <v>1.7158081170686399</v>
      </c>
      <c r="AF237" s="2">
        <v>161427.783799636</v>
      </c>
      <c r="AG237" s="2">
        <v>219208.75511849101</v>
      </c>
      <c r="AH237" s="4">
        <v>0.73641120635157897</v>
      </c>
      <c r="AI237" s="4">
        <v>-0.44141651379319402</v>
      </c>
      <c r="AJ237" s="4" t="s">
        <v>62</v>
      </c>
      <c r="AK237" s="2">
        <v>7.5658770393149796E-3</v>
      </c>
      <c r="AL237" s="2">
        <v>0.14489874833036501</v>
      </c>
      <c r="AM237" s="2">
        <v>116396.006745686</v>
      </c>
      <c r="AN237" s="2">
        <v>141958.26066183401</v>
      </c>
      <c r="AO237" s="2">
        <v>144030.35943216199</v>
      </c>
      <c r="AP237" s="2">
        <v>173553.948373358</v>
      </c>
      <c r="AQ237" s="2">
        <v>215079.06358600099</v>
      </c>
      <c r="AR237" s="2">
        <v>177549.063998775</v>
      </c>
      <c r="AS237" s="2">
        <v>260497.59885948099</v>
      </c>
      <c r="AT237" s="2">
        <v>211625.00032331099</v>
      </c>
      <c r="AU237" s="2">
        <v>212272.707508969</v>
      </c>
      <c r="AV237" s="2">
        <v>185489.32682189799</v>
      </c>
      <c r="AW237" s="2">
        <v>227366.76183487999</v>
      </c>
      <c r="AX237" s="2">
        <v>218001.135362409</v>
      </c>
    </row>
    <row r="238" spans="1:50" x14ac:dyDescent="0.25">
      <c r="A238" s="2" t="s">
        <v>2584</v>
      </c>
      <c r="B238" s="2">
        <v>578.15122501039195</v>
      </c>
      <c r="C238" s="2">
        <v>4.3824333333333296</v>
      </c>
      <c r="D238" s="2" t="s">
        <v>51</v>
      </c>
      <c r="E238" s="2" t="s">
        <v>2585</v>
      </c>
      <c r="F238" s="2">
        <v>33223</v>
      </c>
      <c r="G238" s="3" t="str">
        <f>HYPERLINK("https://cloud.oebiotech.com/#/lm/network/33223", "https://cloud.oebiotech.com/#/lm/network/33223")</f>
        <v>https://cloud.oebiotech.com/#/lm/network/33223</v>
      </c>
      <c r="H238" s="2"/>
      <c r="I238" s="2">
        <v>51550</v>
      </c>
      <c r="J238" s="2" t="s">
        <v>2586</v>
      </c>
      <c r="K238" s="2">
        <v>44259954</v>
      </c>
      <c r="L238" s="2"/>
      <c r="M238" s="2"/>
      <c r="N238" s="2"/>
      <c r="O238" s="2"/>
      <c r="P238" s="2"/>
      <c r="Q238" s="2"/>
      <c r="R238" s="2"/>
      <c r="S238" s="2" t="s">
        <v>2587</v>
      </c>
      <c r="T238" s="2" t="s">
        <v>2588</v>
      </c>
      <c r="U238" s="2" t="s">
        <v>540</v>
      </c>
      <c r="V238" s="2" t="s">
        <v>541</v>
      </c>
      <c r="W238" s="2" t="s">
        <v>542</v>
      </c>
      <c r="X238" s="2" t="s">
        <v>147</v>
      </c>
      <c r="Y238" s="2">
        <v>38.700000000000003</v>
      </c>
      <c r="Z238" s="2">
        <v>0</v>
      </c>
      <c r="AA238" s="2" t="s">
        <v>2589</v>
      </c>
      <c r="AB238" s="2" t="s">
        <v>2590</v>
      </c>
      <c r="AC238" s="2">
        <v>1.41762780092958</v>
      </c>
      <c r="AD238" s="2"/>
      <c r="AE238" s="2">
        <v>1.71542779634242</v>
      </c>
      <c r="AF238" s="2">
        <v>1277.0383862021199</v>
      </c>
      <c r="AG238" s="2">
        <v>135767.888404486</v>
      </c>
      <c r="AH238" s="4">
        <v>9.4060414521399995E-3</v>
      </c>
      <c r="AI238" s="4">
        <v>-6.7321965945387996</v>
      </c>
      <c r="AJ238" s="4" t="s">
        <v>62</v>
      </c>
      <c r="AK238" s="2">
        <v>0.33725291056517098</v>
      </c>
      <c r="AL238" s="2">
        <v>0.63815037094278604</v>
      </c>
      <c r="AM238" s="2">
        <v>511.868602916947</v>
      </c>
      <c r="AN238" s="2">
        <v>195.064240969964</v>
      </c>
      <c r="AO238" s="2">
        <v>8.559877937157E-6</v>
      </c>
      <c r="AP238" s="2">
        <v>188.548174844767</v>
      </c>
      <c r="AQ238" s="2">
        <v>8.559877937157E-6</v>
      </c>
      <c r="AR238" s="2">
        <v>6766.7492813612598</v>
      </c>
      <c r="AS238" s="2">
        <v>2379.53913799662</v>
      </c>
      <c r="AT238" s="2">
        <v>8.559877937157E-6</v>
      </c>
      <c r="AU238" s="2">
        <v>4075.3915504851202</v>
      </c>
      <c r="AV238" s="2">
        <v>956.260638253205</v>
      </c>
      <c r="AW238" s="2">
        <v>802898.26382408303</v>
      </c>
      <c r="AX238" s="2">
        <v>4297.8752675393098</v>
      </c>
    </row>
    <row r="239" spans="1:50" x14ac:dyDescent="0.25">
      <c r="A239" s="2" t="s">
        <v>2591</v>
      </c>
      <c r="B239" s="2">
        <v>487.39099513787801</v>
      </c>
      <c r="C239" s="2">
        <v>4.3824333333333296</v>
      </c>
      <c r="D239" s="2" t="s">
        <v>51</v>
      </c>
      <c r="E239" s="2" t="s">
        <v>2592</v>
      </c>
      <c r="F239" s="2">
        <v>444</v>
      </c>
      <c r="G239" s="3" t="str">
        <f>HYPERLINK("https://cloud.oebiotech.com/#/lm/network/444", "https://cloud.oebiotech.com/#/lm/network/444")</f>
        <v>https://cloud.oebiotech.com/#/lm/network/444</v>
      </c>
      <c r="H239" s="2"/>
      <c r="I239" s="2">
        <v>73786</v>
      </c>
      <c r="J239" s="2" t="s">
        <v>2593</v>
      </c>
      <c r="K239" s="2">
        <v>52921790</v>
      </c>
      <c r="L239" s="2"/>
      <c r="M239" s="2"/>
      <c r="N239" s="2"/>
      <c r="O239" s="2"/>
      <c r="P239" s="2"/>
      <c r="Q239" s="2"/>
      <c r="R239" s="2"/>
      <c r="S239" s="2" t="s">
        <v>2594</v>
      </c>
      <c r="T239" s="2" t="s">
        <v>2595</v>
      </c>
      <c r="U239" s="2" t="s">
        <v>56</v>
      </c>
      <c r="V239" s="2" t="s">
        <v>145</v>
      </c>
      <c r="W239" s="2" t="s">
        <v>231</v>
      </c>
      <c r="X239" s="2" t="s">
        <v>59</v>
      </c>
      <c r="Y239" s="2">
        <v>50.6</v>
      </c>
      <c r="Z239" s="2">
        <v>55.1</v>
      </c>
      <c r="AA239" s="2" t="s">
        <v>395</v>
      </c>
      <c r="AB239" s="2" t="s">
        <v>2596</v>
      </c>
      <c r="AC239" s="2">
        <v>-0.43257144727265101</v>
      </c>
      <c r="AD239" s="2"/>
      <c r="AE239" s="2">
        <v>1.71169180176478</v>
      </c>
      <c r="AF239" s="2">
        <v>1004.9527184487</v>
      </c>
      <c r="AG239" s="2">
        <v>124482.33133361999</v>
      </c>
      <c r="AH239" s="4">
        <v>8.0730550888813892E-3</v>
      </c>
      <c r="AI239" s="4">
        <v>-6.9526695482722998</v>
      </c>
      <c r="AJ239" s="4" t="s">
        <v>62</v>
      </c>
      <c r="AK239" s="2">
        <v>0.102788933030085</v>
      </c>
      <c r="AL239" s="2">
        <v>0.40738177262991798</v>
      </c>
      <c r="AM239" s="2">
        <v>472.83338378743099</v>
      </c>
      <c r="AN239" s="2">
        <v>221.81536074175901</v>
      </c>
      <c r="AO239" s="2">
        <v>1195.5422878217</v>
      </c>
      <c r="AP239" s="2">
        <v>824.97227436001197</v>
      </c>
      <c r="AQ239" s="2">
        <v>1550.8715087083899</v>
      </c>
      <c r="AR239" s="2">
        <v>1763.6814952729201</v>
      </c>
      <c r="AS239" s="2">
        <v>269.25735169755598</v>
      </c>
      <c r="AT239" s="2">
        <v>2370.4995631587599</v>
      </c>
      <c r="AU239" s="2">
        <v>422077.35332773603</v>
      </c>
      <c r="AV239" s="2">
        <v>107289.707964446</v>
      </c>
      <c r="AW239" s="2">
        <v>212532.05172686899</v>
      </c>
      <c r="AX239" s="2">
        <v>2355.1180678134801</v>
      </c>
    </row>
    <row r="240" spans="1:50" x14ac:dyDescent="0.25">
      <c r="A240" s="2" t="s">
        <v>766</v>
      </c>
      <c r="B240" s="2">
        <v>391.21063273580501</v>
      </c>
      <c r="C240" s="2">
        <v>7.3445666666666698</v>
      </c>
      <c r="D240" s="2" t="s">
        <v>51</v>
      </c>
      <c r="E240" s="2" t="s">
        <v>767</v>
      </c>
      <c r="F240" s="2">
        <v>3914</v>
      </c>
      <c r="G240" s="3" t="str">
        <f>HYPERLINK("https://cloud.oebiotech.com/#/lm/network/3914", "https://cloud.oebiotech.com/#/lm/network/3914")</f>
        <v>https://cloud.oebiotech.com/#/lm/network/3914</v>
      </c>
      <c r="H240" s="2"/>
      <c r="I240" s="2">
        <v>36261</v>
      </c>
      <c r="J240" s="2" t="s">
        <v>768</v>
      </c>
      <c r="K240" s="2">
        <v>5283140</v>
      </c>
      <c r="L240" s="2"/>
      <c r="M240" s="2"/>
      <c r="N240" s="2"/>
      <c r="O240" s="2">
        <v>84444</v>
      </c>
      <c r="P240" s="2"/>
      <c r="Q240" s="2"/>
      <c r="R240" s="2" t="s">
        <v>769</v>
      </c>
      <c r="S240" s="2" t="s">
        <v>770</v>
      </c>
      <c r="T240" s="2" t="s">
        <v>771</v>
      </c>
      <c r="U240" s="2" t="s">
        <v>56</v>
      </c>
      <c r="V240" s="2" t="s">
        <v>145</v>
      </c>
      <c r="W240" s="2" t="s">
        <v>187</v>
      </c>
      <c r="X240" s="2" t="s">
        <v>83</v>
      </c>
      <c r="Y240" s="2">
        <v>42.8</v>
      </c>
      <c r="Z240" s="2">
        <v>0</v>
      </c>
      <c r="AA240" s="2" t="s">
        <v>95</v>
      </c>
      <c r="AB240" s="2" t="s">
        <v>533</v>
      </c>
      <c r="AC240" s="2">
        <v>4.1369634051143098</v>
      </c>
      <c r="AD240" s="2"/>
      <c r="AE240" s="2">
        <v>1.7105294025566</v>
      </c>
      <c r="AF240" s="2">
        <v>152851.65142770999</v>
      </c>
      <c r="AG240" s="2">
        <v>83298.364273600004</v>
      </c>
      <c r="AH240" s="5">
        <v>1.8349898315608699</v>
      </c>
      <c r="AI240" s="5">
        <v>0.87577206851952405</v>
      </c>
      <c r="AJ240" s="5" t="s">
        <v>139</v>
      </c>
      <c r="AK240" s="2">
        <v>7.7064404380473E-3</v>
      </c>
      <c r="AL240" s="2">
        <v>0.145710627008557</v>
      </c>
      <c r="AM240" s="2">
        <v>144977.61489384601</v>
      </c>
      <c r="AN240" s="2">
        <v>203310.030059218</v>
      </c>
      <c r="AO240" s="2">
        <v>145935.374523562</v>
      </c>
      <c r="AP240" s="2">
        <v>185467.70160140001</v>
      </c>
      <c r="AQ240" s="2">
        <v>87209.162453898505</v>
      </c>
      <c r="AR240" s="2">
        <v>150210.025034333</v>
      </c>
      <c r="AS240" s="2">
        <v>122440.796161677</v>
      </c>
      <c r="AT240" s="2">
        <v>80305.312037569907</v>
      </c>
      <c r="AU240" s="2">
        <v>109673.248098667</v>
      </c>
      <c r="AV240" s="2">
        <v>31252.625630340299</v>
      </c>
      <c r="AW240" s="2">
        <v>70782.5169145736</v>
      </c>
      <c r="AX240" s="2">
        <v>85335.686798772498</v>
      </c>
    </row>
    <row r="241" spans="1:50" x14ac:dyDescent="0.25">
      <c r="A241" s="2" t="s">
        <v>2597</v>
      </c>
      <c r="B241" s="2">
        <v>207.10209515769799</v>
      </c>
      <c r="C241" s="2">
        <v>7.8818000000000001</v>
      </c>
      <c r="D241" s="2" t="s">
        <v>51</v>
      </c>
      <c r="E241" s="2" t="s">
        <v>2598</v>
      </c>
      <c r="F241" s="2">
        <v>2223</v>
      </c>
      <c r="G241" s="3" t="str">
        <f>HYPERLINK("https://cloud.oebiotech.com/#/lm/network/2223", "https://cloud.oebiotech.com/#/lm/network/2223")</f>
        <v>https://cloud.oebiotech.com/#/lm/network/2223</v>
      </c>
      <c r="H241" s="2"/>
      <c r="I241" s="2"/>
      <c r="J241" s="2" t="s">
        <v>2599</v>
      </c>
      <c r="K241" s="2"/>
      <c r="L241" s="2"/>
      <c r="M241" s="2"/>
      <c r="N241" s="2"/>
      <c r="O241" s="2"/>
      <c r="P241" s="2"/>
      <c r="Q241" s="2"/>
      <c r="R241" s="2"/>
      <c r="S241" s="2" t="s">
        <v>2600</v>
      </c>
      <c r="T241" s="2" t="s">
        <v>2601</v>
      </c>
      <c r="U241" s="2" t="s">
        <v>103</v>
      </c>
      <c r="V241" s="2" t="s">
        <v>2602</v>
      </c>
      <c r="W241" s="2" t="s">
        <v>2603</v>
      </c>
      <c r="X241" s="2" t="s">
        <v>69</v>
      </c>
      <c r="Y241" s="2">
        <v>61.9</v>
      </c>
      <c r="Z241" s="2">
        <v>94.6</v>
      </c>
      <c r="AA241" s="2" t="s">
        <v>163</v>
      </c>
      <c r="AB241" s="2" t="s">
        <v>2604</v>
      </c>
      <c r="AC241" s="2">
        <v>-2.75230529515783</v>
      </c>
      <c r="AD241" s="2"/>
      <c r="AE241" s="2">
        <v>1.7050309665218599</v>
      </c>
      <c r="AF241" s="2">
        <v>279826.15165635297</v>
      </c>
      <c r="AG241" s="2">
        <v>453037.33576083602</v>
      </c>
      <c r="AH241" s="4">
        <v>0.61766686665329695</v>
      </c>
      <c r="AI241" s="4">
        <v>-0.69509915224371599</v>
      </c>
      <c r="AJ241" s="4" t="s">
        <v>62</v>
      </c>
      <c r="AK241" s="2">
        <v>0.13026027441733101</v>
      </c>
      <c r="AL241" s="2">
        <v>0.449625144892846</v>
      </c>
      <c r="AM241" s="2">
        <v>554057.43476471805</v>
      </c>
      <c r="AN241" s="2">
        <v>95851.6866350489</v>
      </c>
      <c r="AO241" s="2">
        <v>425395.744427984</v>
      </c>
      <c r="AP241" s="2">
        <v>30205.876073514301</v>
      </c>
      <c r="AQ241" s="2">
        <v>221556.70651314399</v>
      </c>
      <c r="AR241" s="2">
        <v>351889.46152371098</v>
      </c>
      <c r="AS241" s="2">
        <v>577010.71428587602</v>
      </c>
      <c r="AT241" s="2">
        <v>312053.52600928501</v>
      </c>
      <c r="AU241" s="2">
        <v>672805.02604066499</v>
      </c>
      <c r="AV241" s="2">
        <v>329889.11424824601</v>
      </c>
      <c r="AW241" s="2">
        <v>531920.74487378704</v>
      </c>
      <c r="AX241" s="2">
        <v>294544.889107158</v>
      </c>
    </row>
    <row r="242" spans="1:50" x14ac:dyDescent="0.25">
      <c r="A242" s="2" t="s">
        <v>2605</v>
      </c>
      <c r="B242" s="2">
        <v>672.42309398189002</v>
      </c>
      <c r="C242" s="2">
        <v>13.5068</v>
      </c>
      <c r="D242" s="2" t="s">
        <v>51</v>
      </c>
      <c r="E242" s="2" t="s">
        <v>2606</v>
      </c>
      <c r="F242" s="2">
        <v>27827</v>
      </c>
      <c r="G242" s="3" t="str">
        <f>HYPERLINK("https://cloud.oebiotech.com/#/lm/network/27827", "https://cloud.oebiotech.com/#/lm/network/27827")</f>
        <v>https://cloud.oebiotech.com/#/lm/network/27827</v>
      </c>
      <c r="H242" s="2"/>
      <c r="I242" s="2">
        <v>82381</v>
      </c>
      <c r="J242" s="2" t="s">
        <v>2607</v>
      </c>
      <c r="K242" s="2">
        <v>46907874</v>
      </c>
      <c r="L242" s="2"/>
      <c r="M242" s="2"/>
      <c r="N242" s="2"/>
      <c r="O242" s="2">
        <v>61042</v>
      </c>
      <c r="P242" s="2"/>
      <c r="Q242" s="2"/>
      <c r="R242" s="2"/>
      <c r="S242" s="2" t="s">
        <v>2608</v>
      </c>
      <c r="T242" s="2" t="s">
        <v>2609</v>
      </c>
      <c r="U242" s="2" t="s">
        <v>56</v>
      </c>
      <c r="V242" s="2" t="s">
        <v>57</v>
      </c>
      <c r="W242" s="2" t="s">
        <v>58</v>
      </c>
      <c r="X242" s="2" t="s">
        <v>59</v>
      </c>
      <c r="Y242" s="2">
        <v>57.4</v>
      </c>
      <c r="Z242" s="2">
        <v>94.9</v>
      </c>
      <c r="AA242" s="2" t="s">
        <v>95</v>
      </c>
      <c r="AB242" s="2" t="s">
        <v>2610</v>
      </c>
      <c r="AC242" s="2">
        <v>3.0858334262559999</v>
      </c>
      <c r="AD242" s="2"/>
      <c r="AE242" s="2">
        <v>1.6940230758106001</v>
      </c>
      <c r="AF242" s="2">
        <v>270798.53103559802</v>
      </c>
      <c r="AG242" s="2">
        <v>163586.51624241599</v>
      </c>
      <c r="AH242" s="5">
        <v>1.65538417991802</v>
      </c>
      <c r="AI242" s="5">
        <v>0.72716607512442899</v>
      </c>
      <c r="AJ242" s="5" t="s">
        <v>139</v>
      </c>
      <c r="AK242" s="2">
        <v>7.7542920307868607E-2</v>
      </c>
      <c r="AL242" s="2">
        <v>0.361870085436303</v>
      </c>
      <c r="AM242" s="2">
        <v>185801.46055943801</v>
      </c>
      <c r="AN242" s="2">
        <v>225457.246185923</v>
      </c>
      <c r="AO242" s="2">
        <v>271175.32553335401</v>
      </c>
      <c r="AP242" s="2">
        <v>166641.60570770601</v>
      </c>
      <c r="AQ242" s="2">
        <v>272990.14001880598</v>
      </c>
      <c r="AR242" s="2">
        <v>502725.40820835897</v>
      </c>
      <c r="AS242" s="2">
        <v>233624.71113578699</v>
      </c>
      <c r="AT242" s="2">
        <v>173307.34256202599</v>
      </c>
      <c r="AU242" s="2">
        <v>207983.427929814</v>
      </c>
      <c r="AV242" s="2">
        <v>137742.83546298801</v>
      </c>
      <c r="AW242" s="2">
        <v>77425.850504226401</v>
      </c>
      <c r="AX242" s="2">
        <v>151434.92985965201</v>
      </c>
    </row>
    <row r="243" spans="1:50" x14ac:dyDescent="0.25">
      <c r="A243" s="2" t="s">
        <v>2611</v>
      </c>
      <c r="B243" s="2">
        <v>689.56068241437094</v>
      </c>
      <c r="C243" s="2">
        <v>11.493266666666701</v>
      </c>
      <c r="D243" s="2" t="s">
        <v>51</v>
      </c>
      <c r="E243" s="2" t="s">
        <v>2612</v>
      </c>
      <c r="F243" s="2">
        <v>39618</v>
      </c>
      <c r="G243" s="3" t="str">
        <f>HYPERLINK("https://cloud.oebiotech.com/#/lm/network/39618", "https://cloud.oebiotech.com/#/lm/network/39618")</f>
        <v>https://cloud.oebiotech.com/#/lm/network/39618</v>
      </c>
      <c r="H243" s="2" t="s">
        <v>2613</v>
      </c>
      <c r="I243" s="2">
        <v>83740</v>
      </c>
      <c r="J243" s="2" t="s">
        <v>2614</v>
      </c>
      <c r="K243" s="2">
        <v>52931139</v>
      </c>
      <c r="L243" s="2"/>
      <c r="M243" s="2"/>
      <c r="N243" s="2"/>
      <c r="O243" s="2">
        <v>64485</v>
      </c>
      <c r="P243" s="2"/>
      <c r="Q243" s="2"/>
      <c r="R243" s="2" t="s">
        <v>2615</v>
      </c>
      <c r="S243" s="2" t="s">
        <v>2616</v>
      </c>
      <c r="T243" s="2" t="s">
        <v>2617</v>
      </c>
      <c r="U243" s="2" t="s">
        <v>56</v>
      </c>
      <c r="V243" s="2" t="s">
        <v>344</v>
      </c>
      <c r="W243" s="2" t="s">
        <v>1239</v>
      </c>
      <c r="X243" s="2" t="s">
        <v>69</v>
      </c>
      <c r="Y243" s="2">
        <v>53</v>
      </c>
      <c r="Z243" s="2">
        <v>50.5</v>
      </c>
      <c r="AA243" s="2" t="s">
        <v>259</v>
      </c>
      <c r="AB243" s="2" t="s">
        <v>2618</v>
      </c>
      <c r="AC243" s="2">
        <v>2.1511173926168801</v>
      </c>
      <c r="AD243" s="2"/>
      <c r="AE243" s="2">
        <v>1.6938011261474399</v>
      </c>
      <c r="AF243" s="2">
        <v>1190095.76610926</v>
      </c>
      <c r="AG243" s="2">
        <v>1310152.9007866599</v>
      </c>
      <c r="AH243" s="4">
        <v>0.90836402788917303</v>
      </c>
      <c r="AI243" s="4">
        <v>-0.13865751985694799</v>
      </c>
      <c r="AJ243" s="4" t="s">
        <v>62</v>
      </c>
      <c r="AK243" s="2">
        <v>0.55916641331095496</v>
      </c>
      <c r="AL243" s="2">
        <v>0.778439037851683</v>
      </c>
      <c r="AM243" s="2">
        <v>964914.06180107896</v>
      </c>
      <c r="AN243" s="2">
        <v>1310769.14670325</v>
      </c>
      <c r="AO243" s="2">
        <v>1000137.63208238</v>
      </c>
      <c r="AP243" s="2">
        <v>1473985.68030886</v>
      </c>
      <c r="AQ243" s="2">
        <v>1013975.70552333</v>
      </c>
      <c r="AR243" s="2">
        <v>1376792.3702366401</v>
      </c>
      <c r="AS243" s="2">
        <v>1250910.2317804501</v>
      </c>
      <c r="AT243" s="2">
        <v>1127360.7927932199</v>
      </c>
      <c r="AU243" s="2">
        <v>928758.14052948297</v>
      </c>
      <c r="AV243" s="2">
        <v>1082169.48300816</v>
      </c>
      <c r="AW243" s="2">
        <v>1323634.6469582601</v>
      </c>
      <c r="AX243" s="2">
        <v>2148084.1096504</v>
      </c>
    </row>
    <row r="244" spans="1:50" x14ac:dyDescent="0.25">
      <c r="A244" s="2" t="s">
        <v>2619</v>
      </c>
      <c r="B244" s="2">
        <v>307.13869309369898</v>
      </c>
      <c r="C244" s="2">
        <v>5.2433500000000004</v>
      </c>
      <c r="D244" s="2" t="s">
        <v>51</v>
      </c>
      <c r="E244" s="2" t="s">
        <v>2620</v>
      </c>
      <c r="F244" s="2">
        <v>198732</v>
      </c>
      <c r="G244" s="3" t="str">
        <f>HYPERLINK("https://cloud.oebiotech.com/#/lm/network/198732", "https://cloud.oebiotech.com/#/lm/network/198732")</f>
        <v>https://cloud.oebiotech.com/#/lm/network/198732</v>
      </c>
      <c r="H244" s="2" t="s">
        <v>2621</v>
      </c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 t="s">
        <v>2622</v>
      </c>
      <c r="T244" s="2" t="s">
        <v>2623</v>
      </c>
      <c r="U244" s="2" t="s">
        <v>266</v>
      </c>
      <c r="V244" s="2" t="s">
        <v>2143</v>
      </c>
      <c r="W244" s="2" t="s">
        <v>2624</v>
      </c>
      <c r="X244" s="2" t="s">
        <v>147</v>
      </c>
      <c r="Y244" s="2">
        <v>37.700000000000003</v>
      </c>
      <c r="Z244" s="2">
        <v>0</v>
      </c>
      <c r="AA244" s="2" t="s">
        <v>259</v>
      </c>
      <c r="AB244" s="2" t="s">
        <v>2625</v>
      </c>
      <c r="AC244" s="2">
        <v>-4.5353290388427201</v>
      </c>
      <c r="AD244" s="2"/>
      <c r="AE244" s="2">
        <v>1.69367025701855</v>
      </c>
      <c r="AF244" s="2">
        <v>8522.2877352368505</v>
      </c>
      <c r="AG244" s="2">
        <v>144017.66804514299</v>
      </c>
      <c r="AH244" s="4">
        <v>5.9175293218645397E-2</v>
      </c>
      <c r="AI244" s="4">
        <v>-4.0788612401196502</v>
      </c>
      <c r="AJ244" s="4" t="s">
        <v>62</v>
      </c>
      <c r="AK244" s="2">
        <v>0.36774369129529599</v>
      </c>
      <c r="AL244" s="2">
        <v>0.65211896511952605</v>
      </c>
      <c r="AM244" s="2">
        <v>2179.2922460100299</v>
      </c>
      <c r="AN244" s="2">
        <v>1807.5269595690399</v>
      </c>
      <c r="AO244" s="2">
        <v>102.117274168786</v>
      </c>
      <c r="AP244" s="2">
        <v>1125.88282513986</v>
      </c>
      <c r="AQ244" s="2">
        <v>26247.096639284799</v>
      </c>
      <c r="AR244" s="2">
        <v>19671.810467248601</v>
      </c>
      <c r="AS244" s="2">
        <v>1806.05534757543</v>
      </c>
      <c r="AT244" s="2">
        <v>8.559877937157E-6</v>
      </c>
      <c r="AU244" s="2">
        <v>41.158820580459498</v>
      </c>
      <c r="AV244" s="2">
        <v>189.489038775414</v>
      </c>
      <c r="AW244" s="2">
        <v>861814.412134293</v>
      </c>
      <c r="AX244" s="2">
        <v>254.892921071638</v>
      </c>
    </row>
    <row r="245" spans="1:50" x14ac:dyDescent="0.25">
      <c r="A245" s="2" t="s">
        <v>772</v>
      </c>
      <c r="B245" s="2">
        <v>409.22107678558399</v>
      </c>
      <c r="C245" s="2">
        <v>5.7733833333333298</v>
      </c>
      <c r="D245" s="2" t="s">
        <v>51</v>
      </c>
      <c r="E245" s="2" t="s">
        <v>773</v>
      </c>
      <c r="F245" s="2">
        <v>3874</v>
      </c>
      <c r="G245" s="3" t="str">
        <f>HYPERLINK("https://cloud.oebiotech.com/#/lm/network/3874", "https://cloud.oebiotech.com/#/lm/network/3874")</f>
        <v>https://cloud.oebiotech.com/#/lm/network/3874</v>
      </c>
      <c r="H245" s="2" t="s">
        <v>774</v>
      </c>
      <c r="I245" s="2"/>
      <c r="J245" s="2" t="s">
        <v>775</v>
      </c>
      <c r="K245" s="2">
        <v>53481448</v>
      </c>
      <c r="L245" s="2"/>
      <c r="M245" s="2"/>
      <c r="N245" s="2"/>
      <c r="O245" s="2"/>
      <c r="P245" s="2"/>
      <c r="Q245" s="2"/>
      <c r="R245" s="2"/>
      <c r="S245" s="2" t="s">
        <v>776</v>
      </c>
      <c r="T245" s="2" t="s">
        <v>777</v>
      </c>
      <c r="U245" s="2" t="s">
        <v>56</v>
      </c>
      <c r="V245" s="2" t="s">
        <v>145</v>
      </c>
      <c r="W245" s="2" t="s">
        <v>187</v>
      </c>
      <c r="X245" s="2" t="s">
        <v>147</v>
      </c>
      <c r="Y245" s="2">
        <v>45.5</v>
      </c>
      <c r="Z245" s="2">
        <v>35.200000000000003</v>
      </c>
      <c r="AA245" s="2" t="s">
        <v>778</v>
      </c>
      <c r="AB245" s="2" t="s">
        <v>402</v>
      </c>
      <c r="AC245" s="2">
        <v>3.6317133253408298</v>
      </c>
      <c r="AD245" s="2"/>
      <c r="AE245" s="2">
        <v>1.6917282979319399</v>
      </c>
      <c r="AF245" s="2">
        <v>157549.92956753599</v>
      </c>
      <c r="AG245" s="2">
        <v>86473.140821569905</v>
      </c>
      <c r="AH245" s="5">
        <v>1.82195220470397</v>
      </c>
      <c r="AI245" s="5">
        <v>0.865485113398474</v>
      </c>
      <c r="AJ245" s="5" t="s">
        <v>139</v>
      </c>
      <c r="AK245" s="2">
        <v>1.72745020661766E-2</v>
      </c>
      <c r="AL245" s="2">
        <v>0.20718933084220301</v>
      </c>
      <c r="AM245" s="2">
        <v>128344.83101172101</v>
      </c>
      <c r="AN245" s="2">
        <v>239436.16364875899</v>
      </c>
      <c r="AO245" s="2">
        <v>171223.251092822</v>
      </c>
      <c r="AP245" s="2">
        <v>152323.660145248</v>
      </c>
      <c r="AQ245" s="2">
        <v>104331.899003335</v>
      </c>
      <c r="AR245" s="2">
        <v>149639.77250332999</v>
      </c>
      <c r="AS245" s="2">
        <v>132204.610733187</v>
      </c>
      <c r="AT245" s="2">
        <v>64202.166301208497</v>
      </c>
      <c r="AU245" s="2">
        <v>134008.386932225</v>
      </c>
      <c r="AV245" s="2">
        <v>31454.321929788501</v>
      </c>
      <c r="AW245" s="2">
        <v>79113.9758291045</v>
      </c>
      <c r="AX245" s="2">
        <v>77855.383203905803</v>
      </c>
    </row>
    <row r="246" spans="1:50" x14ac:dyDescent="0.25">
      <c r="A246" s="2" t="s">
        <v>779</v>
      </c>
      <c r="B246" s="2">
        <v>457.23586537574403</v>
      </c>
      <c r="C246" s="2">
        <v>9.9910499999999995</v>
      </c>
      <c r="D246" s="2" t="s">
        <v>51</v>
      </c>
      <c r="E246" s="2" t="s">
        <v>780</v>
      </c>
      <c r="F246" s="2">
        <v>29331</v>
      </c>
      <c r="G246" s="3" t="str">
        <f>HYPERLINK("https://cloud.oebiotech.com/#/lm/network/29331", "https://cloud.oebiotech.com/#/lm/network/29331")</f>
        <v>https://cloud.oebiotech.com/#/lm/network/29331</v>
      </c>
      <c r="H246" s="2"/>
      <c r="I246" s="2">
        <v>47705</v>
      </c>
      <c r="J246" s="2" t="s">
        <v>781</v>
      </c>
      <c r="K246" s="2">
        <v>44257286</v>
      </c>
      <c r="L246" s="2"/>
      <c r="M246" s="2"/>
      <c r="N246" s="2"/>
      <c r="O246" s="2"/>
      <c r="P246" s="2"/>
      <c r="Q246" s="2"/>
      <c r="R246" s="2"/>
      <c r="S246" s="2" t="s">
        <v>782</v>
      </c>
      <c r="T246" s="2" t="s">
        <v>783</v>
      </c>
      <c r="U246" s="2" t="s">
        <v>540</v>
      </c>
      <c r="V246" s="2" t="s">
        <v>784</v>
      </c>
      <c r="W246" s="2" t="s">
        <v>785</v>
      </c>
      <c r="X246" s="2" t="s">
        <v>147</v>
      </c>
      <c r="Y246" s="2">
        <v>42</v>
      </c>
      <c r="Z246" s="2">
        <v>25.8</v>
      </c>
      <c r="AA246" s="2" t="s">
        <v>786</v>
      </c>
      <c r="AB246" s="2" t="s">
        <v>787</v>
      </c>
      <c r="AC246" s="2">
        <v>-3.1008782492426401</v>
      </c>
      <c r="AD246" s="2"/>
      <c r="AE246" s="2">
        <v>1.6869212667483799</v>
      </c>
      <c r="AF246" s="2">
        <v>83471.970123444902</v>
      </c>
      <c r="AG246" s="2">
        <v>171370.97647309399</v>
      </c>
      <c r="AH246" s="4">
        <v>0.48708347143339298</v>
      </c>
      <c r="AI246" s="4">
        <v>-1.03775906692489</v>
      </c>
      <c r="AJ246" s="4" t="s">
        <v>62</v>
      </c>
      <c r="AK246" s="2">
        <v>3.9371265638335602E-2</v>
      </c>
      <c r="AL246" s="2">
        <v>0.29135565991996598</v>
      </c>
      <c r="AM246" s="2">
        <v>81170.905676323702</v>
      </c>
      <c r="AN246" s="2">
        <v>77680.184437356002</v>
      </c>
      <c r="AO246" s="2">
        <v>136933.96626681101</v>
      </c>
      <c r="AP246" s="2">
        <v>79177.327946815203</v>
      </c>
      <c r="AQ246" s="2">
        <v>68469.708833185694</v>
      </c>
      <c r="AR246" s="2">
        <v>57399.727580177503</v>
      </c>
      <c r="AS246" s="2">
        <v>91179.505519422702</v>
      </c>
      <c r="AT246" s="2">
        <v>70539.685359867406</v>
      </c>
      <c r="AU246" s="2">
        <v>286503.35139982699</v>
      </c>
      <c r="AV246" s="2">
        <v>209442.28487168401</v>
      </c>
      <c r="AW246" s="2">
        <v>239155.755257062</v>
      </c>
      <c r="AX246" s="2">
        <v>131405.27643069901</v>
      </c>
    </row>
    <row r="247" spans="1:50" x14ac:dyDescent="0.25">
      <c r="A247" s="2" t="s">
        <v>2626</v>
      </c>
      <c r="B247" s="2">
        <v>324.218094416572</v>
      </c>
      <c r="C247" s="2">
        <v>3.1093000000000002</v>
      </c>
      <c r="D247" s="2" t="s">
        <v>51</v>
      </c>
      <c r="E247" s="2" t="s">
        <v>2627</v>
      </c>
      <c r="F247" s="2">
        <v>205232</v>
      </c>
      <c r="G247" s="3" t="str">
        <f>HYPERLINK("https://cloud.oebiotech.com/#/lm/network/205232", "https://cloud.oebiotech.com/#/lm/network/205232")</f>
        <v>https://cloud.oebiotech.com/#/lm/network/205232</v>
      </c>
      <c r="H247" s="2" t="s">
        <v>2628</v>
      </c>
      <c r="I247" s="2"/>
      <c r="J247" s="2"/>
      <c r="K247" s="2">
        <v>123824</v>
      </c>
      <c r="L247" s="2"/>
      <c r="M247" s="2"/>
      <c r="N247" s="2"/>
      <c r="O247" s="2"/>
      <c r="P247" s="2"/>
      <c r="Q247" s="2"/>
      <c r="R247" s="2"/>
      <c r="S247" s="2" t="s">
        <v>2629</v>
      </c>
      <c r="T247" s="2" t="s">
        <v>2630</v>
      </c>
      <c r="U247" s="2" t="s">
        <v>266</v>
      </c>
      <c r="V247" s="2" t="s">
        <v>2271</v>
      </c>
      <c r="W247" s="2" t="s">
        <v>240</v>
      </c>
      <c r="X247" s="2" t="s">
        <v>147</v>
      </c>
      <c r="Y247" s="2">
        <v>41</v>
      </c>
      <c r="Z247" s="2">
        <v>10.5</v>
      </c>
      <c r="AA247" s="2" t="s">
        <v>512</v>
      </c>
      <c r="AB247" s="2" t="s">
        <v>2631</v>
      </c>
      <c r="AC247" s="2">
        <v>-0.58082038420923499</v>
      </c>
      <c r="AD247" s="2"/>
      <c r="AE247" s="2">
        <v>1.6867682502383801</v>
      </c>
      <c r="AF247" s="2">
        <v>935479.01216122496</v>
      </c>
      <c r="AG247" s="2">
        <v>1077839.8652063999</v>
      </c>
      <c r="AH247" s="4">
        <v>0.86792021928237795</v>
      </c>
      <c r="AI247" s="4">
        <v>-0.20436566112955501</v>
      </c>
      <c r="AJ247" s="4" t="s">
        <v>62</v>
      </c>
      <c r="AK247" s="2">
        <v>0.20864623390627601</v>
      </c>
      <c r="AL247" s="2">
        <v>0.53408340129961396</v>
      </c>
      <c r="AM247" s="2">
        <v>810704.27325670596</v>
      </c>
      <c r="AN247" s="2">
        <v>1045585.72744287</v>
      </c>
      <c r="AO247" s="2">
        <v>966812.36911865498</v>
      </c>
      <c r="AP247" s="2">
        <v>1035180.0601734</v>
      </c>
      <c r="AQ247" s="2">
        <v>972340.19361910794</v>
      </c>
      <c r="AR247" s="2">
        <v>782251.44935660996</v>
      </c>
      <c r="AS247" s="2">
        <v>1208156.7777369099</v>
      </c>
      <c r="AT247" s="2">
        <v>1416681.6073117701</v>
      </c>
      <c r="AU247" s="2">
        <v>877087.32344487705</v>
      </c>
      <c r="AV247" s="2">
        <v>786983.61637838103</v>
      </c>
      <c r="AW247" s="2">
        <v>999080.35088499403</v>
      </c>
      <c r="AX247" s="2">
        <v>1179049.5154814499</v>
      </c>
    </row>
    <row r="248" spans="1:50" x14ac:dyDescent="0.25">
      <c r="A248" s="2" t="s">
        <v>788</v>
      </c>
      <c r="B248" s="2">
        <v>496.28333580741099</v>
      </c>
      <c r="C248" s="2">
        <v>8.5905500000000004</v>
      </c>
      <c r="D248" s="2" t="s">
        <v>51</v>
      </c>
      <c r="E248" s="2" t="s">
        <v>789</v>
      </c>
      <c r="F248" s="2">
        <v>19879</v>
      </c>
      <c r="G248" s="3" t="str">
        <f>HYPERLINK("https://cloud.oebiotech.com/#/lm/network/19879", "https://cloud.oebiotech.com/#/lm/network/19879")</f>
        <v>https://cloud.oebiotech.com/#/lm/network/19879</v>
      </c>
      <c r="H248" s="2" t="s">
        <v>790</v>
      </c>
      <c r="I248" s="2">
        <v>61699</v>
      </c>
      <c r="J248" s="2" t="s">
        <v>791</v>
      </c>
      <c r="K248" s="2">
        <v>52924047</v>
      </c>
      <c r="L248" s="2" t="s">
        <v>691</v>
      </c>
      <c r="M248" s="2" t="s">
        <v>692</v>
      </c>
      <c r="N248" s="2" t="s">
        <v>693</v>
      </c>
      <c r="O248" s="2">
        <v>88696</v>
      </c>
      <c r="P248" s="2"/>
      <c r="Q248" s="2"/>
      <c r="R248" s="2"/>
      <c r="S248" s="2" t="s">
        <v>792</v>
      </c>
      <c r="T248" s="2" t="s">
        <v>793</v>
      </c>
      <c r="U248" s="2" t="s">
        <v>56</v>
      </c>
      <c r="V248" s="2" t="s">
        <v>57</v>
      </c>
      <c r="W248" s="2" t="s">
        <v>58</v>
      </c>
      <c r="X248" s="2" t="s">
        <v>147</v>
      </c>
      <c r="Y248" s="2">
        <v>38.799999999999997</v>
      </c>
      <c r="Z248" s="2">
        <v>8.7599999999999997E-2</v>
      </c>
      <c r="AA248" s="2" t="s">
        <v>379</v>
      </c>
      <c r="AB248" s="2" t="s">
        <v>794</v>
      </c>
      <c r="AC248" s="2">
        <v>-2.4295556255202602E-2</v>
      </c>
      <c r="AD248" s="2"/>
      <c r="AE248" s="2">
        <v>1.68489414396005</v>
      </c>
      <c r="AF248" s="2">
        <v>262308.97714231798</v>
      </c>
      <c r="AG248" s="2">
        <v>318587.53523824998</v>
      </c>
      <c r="AH248" s="4">
        <v>0.823349780292426</v>
      </c>
      <c r="AI248" s="4">
        <v>-0.28042263983104798</v>
      </c>
      <c r="AJ248" s="4" t="s">
        <v>62</v>
      </c>
      <c r="AK248" s="2">
        <v>7.4745676183413302E-5</v>
      </c>
      <c r="AL248" s="2">
        <v>3.4135775346225E-2</v>
      </c>
      <c r="AM248" s="2">
        <v>245090.91610662101</v>
      </c>
      <c r="AN248" s="2">
        <v>250257.62683925801</v>
      </c>
      <c r="AO248" s="2">
        <v>292643.45247715298</v>
      </c>
      <c r="AP248" s="2">
        <v>249711.38975634001</v>
      </c>
      <c r="AQ248" s="2">
        <v>269683.24452000699</v>
      </c>
      <c r="AR248" s="2">
        <v>266467.23315453</v>
      </c>
      <c r="AS248" s="2">
        <v>321383.451611856</v>
      </c>
      <c r="AT248" s="2">
        <v>307071.22319775098</v>
      </c>
      <c r="AU248" s="2">
        <v>334769.34195589402</v>
      </c>
      <c r="AV248" s="2">
        <v>306461.68743318203</v>
      </c>
      <c r="AW248" s="2">
        <v>312522.52627586201</v>
      </c>
      <c r="AX248" s="2">
        <v>329316.98095495201</v>
      </c>
    </row>
    <row r="249" spans="1:50" x14ac:dyDescent="0.25">
      <c r="A249" s="2" t="s">
        <v>795</v>
      </c>
      <c r="B249" s="2">
        <v>711.507226904096</v>
      </c>
      <c r="C249" s="2">
        <v>11.3101</v>
      </c>
      <c r="D249" s="2" t="s">
        <v>51</v>
      </c>
      <c r="E249" s="2" t="s">
        <v>796</v>
      </c>
      <c r="F249" s="2">
        <v>243439</v>
      </c>
      <c r="G249" s="3" t="str">
        <f>HYPERLINK("https://cloud.oebiotech.com/#/lm/network/243439", "https://cloud.oebiotech.com/#/lm/network/243439")</f>
        <v>https://cloud.oebiotech.com/#/lm/network/243439</v>
      </c>
      <c r="H249" s="2" t="s">
        <v>797</v>
      </c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 t="s">
        <v>798</v>
      </c>
      <c r="T249" s="2" t="s">
        <v>799</v>
      </c>
      <c r="U249" s="2" t="s">
        <v>119</v>
      </c>
      <c r="V249" s="2" t="s">
        <v>120</v>
      </c>
      <c r="W249" s="2" t="s">
        <v>121</v>
      </c>
      <c r="X249" s="2" t="s">
        <v>147</v>
      </c>
      <c r="Y249" s="2">
        <v>40.5</v>
      </c>
      <c r="Z249" s="2">
        <v>21.6</v>
      </c>
      <c r="AA249" s="2" t="s">
        <v>259</v>
      </c>
      <c r="AB249" s="2" t="s">
        <v>800</v>
      </c>
      <c r="AC249" s="2">
        <v>8.6162724666839594E-2</v>
      </c>
      <c r="AD249" s="2"/>
      <c r="AE249" s="2">
        <v>1.6841207096678801</v>
      </c>
      <c r="AF249" s="2">
        <v>139808.843206027</v>
      </c>
      <c r="AG249" s="2">
        <v>195399.478006349</v>
      </c>
      <c r="AH249" s="4">
        <v>0.71550264428794297</v>
      </c>
      <c r="AI249" s="4">
        <v>-0.48297099614778499</v>
      </c>
      <c r="AJ249" s="4" t="s">
        <v>62</v>
      </c>
      <c r="AK249" s="2">
        <v>7.4170481864109404E-3</v>
      </c>
      <c r="AL249" s="2">
        <v>0.14489874833036501</v>
      </c>
      <c r="AM249" s="2">
        <v>98818.131564698095</v>
      </c>
      <c r="AN249" s="2">
        <v>109534.926979956</v>
      </c>
      <c r="AO249" s="2">
        <v>128396.11762224299</v>
      </c>
      <c r="AP249" s="2">
        <v>140083.712310309</v>
      </c>
      <c r="AQ249" s="2">
        <v>192667.178145613</v>
      </c>
      <c r="AR249" s="2">
        <v>169352.99261334099</v>
      </c>
      <c r="AS249" s="2">
        <v>223816.50106956699</v>
      </c>
      <c r="AT249" s="2">
        <v>179435.97529018199</v>
      </c>
      <c r="AU249" s="2">
        <v>193100.12362591599</v>
      </c>
      <c r="AV249" s="2">
        <v>178561.57695316899</v>
      </c>
      <c r="AW249" s="2">
        <v>182708.12965378701</v>
      </c>
      <c r="AX249" s="2">
        <v>214774.561445475</v>
      </c>
    </row>
    <row r="250" spans="1:50" x14ac:dyDescent="0.25">
      <c r="A250" s="2" t="s">
        <v>2632</v>
      </c>
      <c r="B250" s="2">
        <v>391.28515434225199</v>
      </c>
      <c r="C250" s="2">
        <v>14.7086166666667</v>
      </c>
      <c r="D250" s="2" t="s">
        <v>51</v>
      </c>
      <c r="E250" s="2" t="s">
        <v>2633</v>
      </c>
      <c r="F250" s="2">
        <v>204222</v>
      </c>
      <c r="G250" s="3" t="str">
        <f>HYPERLINK("https://cloud.oebiotech.com/#/lm/network/204222", "https://cloud.oebiotech.com/#/lm/network/204222")</f>
        <v>https://cloud.oebiotech.com/#/lm/network/204222</v>
      </c>
      <c r="H250" s="2" t="s">
        <v>2634</v>
      </c>
      <c r="I250" s="2">
        <v>44750</v>
      </c>
      <c r="J250" s="2"/>
      <c r="K250" s="2">
        <v>8343</v>
      </c>
      <c r="L250" s="2" t="s">
        <v>2635</v>
      </c>
      <c r="M250" s="2" t="s">
        <v>2636</v>
      </c>
      <c r="N250" s="2" t="s">
        <v>2637</v>
      </c>
      <c r="O250" s="2">
        <v>17747</v>
      </c>
      <c r="P250" s="2"/>
      <c r="Q250" s="2"/>
      <c r="R250" s="2" t="s">
        <v>2638</v>
      </c>
      <c r="S250" s="2" t="s">
        <v>2639</v>
      </c>
      <c r="T250" s="2" t="s">
        <v>2640</v>
      </c>
      <c r="U250" s="2" t="s">
        <v>610</v>
      </c>
      <c r="V250" s="2" t="s">
        <v>611</v>
      </c>
      <c r="W250" s="2" t="s">
        <v>1122</v>
      </c>
      <c r="X250" s="2" t="s">
        <v>83</v>
      </c>
      <c r="Y250" s="2">
        <v>46.5</v>
      </c>
      <c r="Z250" s="2">
        <v>10.9</v>
      </c>
      <c r="AA250" s="2" t="s">
        <v>106</v>
      </c>
      <c r="AB250" s="2" t="s">
        <v>1124</v>
      </c>
      <c r="AC250" s="2">
        <v>2.2246079838375499</v>
      </c>
      <c r="AD250" s="2"/>
      <c r="AE250" s="2">
        <v>1.6783675852259701</v>
      </c>
      <c r="AF250" s="2">
        <v>3051354.3734509698</v>
      </c>
      <c r="AG250" s="2">
        <v>3230360.2757633901</v>
      </c>
      <c r="AH250" s="4">
        <v>0.94458639686246504</v>
      </c>
      <c r="AI250" s="4">
        <v>-8.2245335727885699E-2</v>
      </c>
      <c r="AJ250" s="4" t="s">
        <v>62</v>
      </c>
      <c r="AK250" s="2">
        <v>0.46260914214881699</v>
      </c>
      <c r="AL250" s="2">
        <v>0.71230743534755303</v>
      </c>
      <c r="AM250" s="2">
        <v>2906168.50385779</v>
      </c>
      <c r="AN250" s="2">
        <v>3214592.2605252499</v>
      </c>
      <c r="AO250" s="2">
        <v>3184975.5503529501</v>
      </c>
      <c r="AP250" s="2">
        <v>3221620.9607149502</v>
      </c>
      <c r="AQ250" s="2">
        <v>3376921.3839861401</v>
      </c>
      <c r="AR250" s="2">
        <v>2403847.5812687702</v>
      </c>
      <c r="AS250" s="2">
        <v>3633449.1239743801</v>
      </c>
      <c r="AT250" s="2">
        <v>3527857.45339863</v>
      </c>
      <c r="AU250" s="2">
        <v>2567802.5279510599</v>
      </c>
      <c r="AV250" s="2">
        <v>2938082.9642826701</v>
      </c>
      <c r="AW250" s="2">
        <v>3025753.5245831902</v>
      </c>
      <c r="AX250" s="2">
        <v>3689216.06039039</v>
      </c>
    </row>
    <row r="251" spans="1:50" x14ac:dyDescent="0.25">
      <c r="A251" s="2" t="s">
        <v>801</v>
      </c>
      <c r="B251" s="2">
        <v>375.21548654735398</v>
      </c>
      <c r="C251" s="2">
        <v>9.6638500000000001</v>
      </c>
      <c r="D251" s="2" t="s">
        <v>51</v>
      </c>
      <c r="E251" s="2" t="s">
        <v>802</v>
      </c>
      <c r="F251" s="2">
        <v>63683</v>
      </c>
      <c r="G251" s="3" t="str">
        <f>HYPERLINK("https://cloud.oebiotech.com/#/lm/network/63683", "https://cloud.oebiotech.com/#/lm/network/63683")</f>
        <v>https://cloud.oebiotech.com/#/lm/network/63683</v>
      </c>
      <c r="H251" s="2" t="s">
        <v>803</v>
      </c>
      <c r="I251" s="2">
        <v>95016</v>
      </c>
      <c r="J251" s="2"/>
      <c r="K251" s="2">
        <v>14379072</v>
      </c>
      <c r="L251" s="2"/>
      <c r="M251" s="2"/>
      <c r="N251" s="2"/>
      <c r="O251" s="2"/>
      <c r="P251" s="2"/>
      <c r="Q251" s="2"/>
      <c r="R251" s="2"/>
      <c r="S251" s="2" t="s">
        <v>804</v>
      </c>
      <c r="T251" s="2" t="s">
        <v>805</v>
      </c>
      <c r="U251" s="2" t="s">
        <v>56</v>
      </c>
      <c r="V251" s="2" t="s">
        <v>177</v>
      </c>
      <c r="W251" s="2" t="s">
        <v>806</v>
      </c>
      <c r="X251" s="2" t="s">
        <v>83</v>
      </c>
      <c r="Y251" s="2">
        <v>42.8</v>
      </c>
      <c r="Z251" s="2">
        <v>0</v>
      </c>
      <c r="AA251" s="2" t="s">
        <v>259</v>
      </c>
      <c r="AB251" s="2" t="s">
        <v>807</v>
      </c>
      <c r="AC251" s="2">
        <v>-2.97679527003335</v>
      </c>
      <c r="AD251" s="2"/>
      <c r="AE251" s="2">
        <v>1.6772217481787399</v>
      </c>
      <c r="AF251" s="2">
        <v>104803.67116744599</v>
      </c>
      <c r="AG251" s="2">
        <v>47491.907270237898</v>
      </c>
      <c r="AH251" s="5">
        <v>2.2067690516426999</v>
      </c>
      <c r="AI251" s="5">
        <v>1.1419356529596301</v>
      </c>
      <c r="AJ251" s="5" t="s">
        <v>139</v>
      </c>
      <c r="AK251" s="2">
        <v>2.2359004393631898E-3</v>
      </c>
      <c r="AL251" s="2">
        <v>0.101912249503871</v>
      </c>
      <c r="AM251" s="2">
        <v>113300.907696191</v>
      </c>
      <c r="AN251" s="2">
        <v>158334.14262251201</v>
      </c>
      <c r="AO251" s="2">
        <v>107142.258590125</v>
      </c>
      <c r="AP251" s="2">
        <v>87639.414151518795</v>
      </c>
      <c r="AQ251" s="2">
        <v>75122.0562573895</v>
      </c>
      <c r="AR251" s="2">
        <v>87283.247686939896</v>
      </c>
      <c r="AS251" s="2">
        <v>73014.061559037102</v>
      </c>
      <c r="AT251" s="2">
        <v>29796.407938149099</v>
      </c>
      <c r="AU251" s="2">
        <v>56800.217860340497</v>
      </c>
      <c r="AV251" s="2">
        <v>26241.9635698208</v>
      </c>
      <c r="AW251" s="2">
        <v>49829.630384328397</v>
      </c>
      <c r="AX251" s="2">
        <v>49269.162309751599</v>
      </c>
    </row>
    <row r="252" spans="1:50" x14ac:dyDescent="0.25">
      <c r="A252" s="2" t="s">
        <v>2641</v>
      </c>
      <c r="B252" s="2">
        <v>407.280227478516</v>
      </c>
      <c r="C252" s="2">
        <v>8.6046999999999993</v>
      </c>
      <c r="D252" s="2" t="s">
        <v>51</v>
      </c>
      <c r="E252" s="2" t="s">
        <v>2642</v>
      </c>
      <c r="F252" s="2">
        <v>45921</v>
      </c>
      <c r="G252" s="3" t="str">
        <f>HYPERLINK("https://cloud.oebiotech.com/#/lm/network/45921", "https://cloud.oebiotech.com/#/lm/network/45921")</f>
        <v>https://cloud.oebiotech.com/#/lm/network/45921</v>
      </c>
      <c r="H252" s="2" t="s">
        <v>2643</v>
      </c>
      <c r="I252" s="2">
        <v>5403</v>
      </c>
      <c r="J252" s="2" t="s">
        <v>2644</v>
      </c>
      <c r="K252" s="2">
        <v>5283846</v>
      </c>
      <c r="L252" s="2"/>
      <c r="M252" s="2"/>
      <c r="N252" s="2"/>
      <c r="O252" s="2"/>
      <c r="P252" s="2"/>
      <c r="Q252" s="2"/>
      <c r="R252" s="2" t="s">
        <v>2645</v>
      </c>
      <c r="S252" s="2" t="s">
        <v>2646</v>
      </c>
      <c r="T252" s="2" t="s">
        <v>2647</v>
      </c>
      <c r="U252" s="2" t="s">
        <v>56</v>
      </c>
      <c r="V252" s="2" t="s">
        <v>283</v>
      </c>
      <c r="W252" s="2" t="s">
        <v>2042</v>
      </c>
      <c r="X252" s="2" t="s">
        <v>83</v>
      </c>
      <c r="Y252" s="2">
        <v>48.6</v>
      </c>
      <c r="Z252" s="2">
        <v>1.06</v>
      </c>
      <c r="AA252" s="2" t="s">
        <v>2043</v>
      </c>
      <c r="AB252" s="2" t="s">
        <v>2044</v>
      </c>
      <c r="AC252" s="2">
        <v>-0.172599138885977</v>
      </c>
      <c r="AD252" s="2"/>
      <c r="AE252" s="2">
        <v>1.6694088142660899</v>
      </c>
      <c r="AF252" s="2">
        <v>263516.87083530001</v>
      </c>
      <c r="AG252" s="2">
        <v>53080.091672804003</v>
      </c>
      <c r="AH252" s="5">
        <v>4.9645142374596603</v>
      </c>
      <c r="AI252" s="5">
        <v>2.31165256136034</v>
      </c>
      <c r="AJ252" s="5" t="s">
        <v>139</v>
      </c>
      <c r="AK252" s="2">
        <v>0.30929256099650498</v>
      </c>
      <c r="AL252" s="2">
        <v>0.61930646855745797</v>
      </c>
      <c r="AM252" s="2">
        <v>18470.193570232401</v>
      </c>
      <c r="AN252" s="2">
        <v>28292.703865179301</v>
      </c>
      <c r="AO252" s="2">
        <v>22494.461250658798</v>
      </c>
      <c r="AP252" s="2">
        <v>26534.3189153602</v>
      </c>
      <c r="AQ252" s="2">
        <v>1222884.1324122299</v>
      </c>
      <c r="AR252" s="2">
        <v>262425.41499813698</v>
      </c>
      <c r="AS252" s="2">
        <v>26617.3008019279</v>
      </c>
      <c r="AT252" s="2">
        <v>130441.602529269</v>
      </c>
      <c r="AU252" s="2">
        <v>41377.737263573101</v>
      </c>
      <c r="AV252" s="2">
        <v>60041.717964043302</v>
      </c>
      <c r="AW252" s="2">
        <v>26301.286350481001</v>
      </c>
      <c r="AX252" s="2">
        <v>33700.905127529702</v>
      </c>
    </row>
    <row r="253" spans="1:50" x14ac:dyDescent="0.25">
      <c r="A253" s="2" t="s">
        <v>2648</v>
      </c>
      <c r="B253" s="2">
        <v>343.227935705628</v>
      </c>
      <c r="C253" s="2">
        <v>9.2584999999999997</v>
      </c>
      <c r="D253" s="2" t="s">
        <v>51</v>
      </c>
      <c r="E253" s="2" t="s">
        <v>2649</v>
      </c>
      <c r="F253" s="2">
        <v>267263</v>
      </c>
      <c r="G253" s="3" t="str">
        <f>HYPERLINK("https://cloud.oebiotech.com/#/lm/network/267263", "https://cloud.oebiotech.com/#/lm/network/267263")</f>
        <v>https://cloud.oebiotech.com/#/lm/network/267263</v>
      </c>
      <c r="H253" s="2"/>
      <c r="I253" s="2">
        <v>45130</v>
      </c>
      <c r="J253" s="2"/>
      <c r="K253" s="2">
        <v>13066907</v>
      </c>
      <c r="L253" s="2"/>
      <c r="M253" s="2"/>
      <c r="N253" s="2"/>
      <c r="O253" s="2"/>
      <c r="P253" s="2"/>
      <c r="Q253" s="2"/>
      <c r="R253" s="2"/>
      <c r="S253" s="2" t="s">
        <v>2650</v>
      </c>
      <c r="T253" s="2" t="s">
        <v>2651</v>
      </c>
      <c r="U253" s="2" t="s">
        <v>56</v>
      </c>
      <c r="V253" s="2" t="s">
        <v>145</v>
      </c>
      <c r="W253" s="2" t="s">
        <v>187</v>
      </c>
      <c r="X253" s="2" t="s">
        <v>69</v>
      </c>
      <c r="Y253" s="2">
        <v>55.6</v>
      </c>
      <c r="Z253" s="2">
        <v>56.3</v>
      </c>
      <c r="AA253" s="2" t="s">
        <v>156</v>
      </c>
      <c r="AB253" s="2" t="s">
        <v>1865</v>
      </c>
      <c r="AC253" s="2">
        <v>3.23252076627803</v>
      </c>
      <c r="AD253" s="2"/>
      <c r="AE253" s="2">
        <v>1.66107289226776</v>
      </c>
      <c r="AF253" s="2">
        <v>229892.27271755901</v>
      </c>
      <c r="AG253" s="2">
        <v>163250.36646434199</v>
      </c>
      <c r="AH253" s="5">
        <v>1.4082190300490001</v>
      </c>
      <c r="AI253" s="5">
        <v>0.49387174376916898</v>
      </c>
      <c r="AJ253" s="5" t="s">
        <v>139</v>
      </c>
      <c r="AK253" s="2">
        <v>8.4583928439272496E-2</v>
      </c>
      <c r="AL253" s="2">
        <v>0.37683388396156398</v>
      </c>
      <c r="AM253" s="2">
        <v>388238.93860447098</v>
      </c>
      <c r="AN253" s="2">
        <v>205688.826668742</v>
      </c>
      <c r="AO253" s="2">
        <v>175436.58845185101</v>
      </c>
      <c r="AP253" s="2">
        <v>189221.832213049</v>
      </c>
      <c r="AQ253" s="2">
        <v>191443.17996329299</v>
      </c>
      <c r="AR253" s="2">
        <v>229324.27040395001</v>
      </c>
      <c r="AS253" s="2">
        <v>204753.01401393901</v>
      </c>
      <c r="AT253" s="2">
        <v>145596.72328760201</v>
      </c>
      <c r="AU253" s="2">
        <v>182621.48818463701</v>
      </c>
      <c r="AV253" s="2">
        <v>116721.392809585</v>
      </c>
      <c r="AW253" s="2">
        <v>167674.91510435601</v>
      </c>
      <c r="AX253" s="2">
        <v>162134.665385931</v>
      </c>
    </row>
    <row r="254" spans="1:50" x14ac:dyDescent="0.25">
      <c r="A254" s="2" t="s">
        <v>2652</v>
      </c>
      <c r="B254" s="2">
        <v>528.26384610141304</v>
      </c>
      <c r="C254" s="2">
        <v>7.3748833333333303</v>
      </c>
      <c r="D254" s="2" t="s">
        <v>51</v>
      </c>
      <c r="E254" s="2" t="s">
        <v>2653</v>
      </c>
      <c r="F254" s="2">
        <v>46729</v>
      </c>
      <c r="G254" s="3" t="str">
        <f>HYPERLINK("https://cloud.oebiotech.com/#/lm/network/46729", "https://cloud.oebiotech.com/#/lm/network/46729")</f>
        <v>https://cloud.oebiotech.com/#/lm/network/46729</v>
      </c>
      <c r="H254" s="2" t="s">
        <v>2654</v>
      </c>
      <c r="I254" s="2">
        <v>57984</v>
      </c>
      <c r="J254" s="2" t="s">
        <v>2655</v>
      </c>
      <c r="K254" s="2">
        <v>11954205</v>
      </c>
      <c r="L254" s="2" t="s">
        <v>2656</v>
      </c>
      <c r="M254" s="2"/>
      <c r="N254" s="2"/>
      <c r="O254" s="2">
        <v>15858</v>
      </c>
      <c r="P254" s="2" t="s">
        <v>2657</v>
      </c>
      <c r="Q254" s="2" t="s">
        <v>2658</v>
      </c>
      <c r="R254" s="2" t="s">
        <v>2659</v>
      </c>
      <c r="S254" s="2" t="s">
        <v>2660</v>
      </c>
      <c r="T254" s="2" t="s">
        <v>2661</v>
      </c>
      <c r="U254" s="2" t="s">
        <v>56</v>
      </c>
      <c r="V254" s="2" t="s">
        <v>283</v>
      </c>
      <c r="W254" s="2" t="s">
        <v>2042</v>
      </c>
      <c r="X254" s="2" t="s">
        <v>69</v>
      </c>
      <c r="Y254" s="2">
        <v>61.1</v>
      </c>
      <c r="Z254" s="2">
        <v>70</v>
      </c>
      <c r="AA254" s="2" t="s">
        <v>163</v>
      </c>
      <c r="AB254" s="2" t="s">
        <v>2662</v>
      </c>
      <c r="AC254" s="2">
        <v>0.34801291696828901</v>
      </c>
      <c r="AD254" s="2"/>
      <c r="AE254" s="2">
        <v>1.6534431750410401</v>
      </c>
      <c r="AF254" s="2">
        <v>31358.871027753699</v>
      </c>
      <c r="AG254" s="2">
        <v>111485.736893004</v>
      </c>
      <c r="AH254" s="4">
        <v>0.28128146166221801</v>
      </c>
      <c r="AI254" s="4">
        <v>-1.8299136223958199</v>
      </c>
      <c r="AJ254" s="4" t="s">
        <v>62</v>
      </c>
      <c r="AK254" s="2">
        <v>0.107813331769074</v>
      </c>
      <c r="AL254" s="2">
        <v>0.41864763420363699</v>
      </c>
      <c r="AM254" s="2">
        <v>2594.89764504507</v>
      </c>
      <c r="AN254" s="2">
        <v>53215.841138338103</v>
      </c>
      <c r="AO254" s="2">
        <v>23262.6282318663</v>
      </c>
      <c r="AP254" s="2">
        <v>90101.400073700905</v>
      </c>
      <c r="AQ254" s="2">
        <v>3979.9008600856901</v>
      </c>
      <c r="AR254" s="2">
        <v>14998.558217486199</v>
      </c>
      <c r="AS254" s="2">
        <v>17872.1482537714</v>
      </c>
      <c r="AT254" s="2">
        <v>87756.952467091804</v>
      </c>
      <c r="AU254" s="2">
        <v>63211.377921945401</v>
      </c>
      <c r="AV254" s="2">
        <v>284434.08654397901</v>
      </c>
      <c r="AW254" s="2">
        <v>192407.885465639</v>
      </c>
      <c r="AX254" s="2">
        <v>23231.9707055996</v>
      </c>
    </row>
    <row r="255" spans="1:50" x14ac:dyDescent="0.25">
      <c r="A255" s="2" t="s">
        <v>2663</v>
      </c>
      <c r="B255" s="2">
        <v>452.27844581696399</v>
      </c>
      <c r="C255" s="2">
        <v>10.5758666666667</v>
      </c>
      <c r="D255" s="2" t="s">
        <v>51</v>
      </c>
      <c r="E255" s="2" t="s">
        <v>2664</v>
      </c>
      <c r="F255" s="2">
        <v>21197</v>
      </c>
      <c r="G255" s="3" t="str">
        <f>HYPERLINK("https://cloud.oebiotech.com/#/lm/network/21197", "https://cloud.oebiotech.com/#/lm/network/21197")</f>
        <v>https://cloud.oebiotech.com/#/lm/network/21197</v>
      </c>
      <c r="H255" s="2" t="s">
        <v>2665</v>
      </c>
      <c r="I255" s="2">
        <v>62261</v>
      </c>
      <c r="J255" s="2" t="s">
        <v>2666</v>
      </c>
      <c r="K255" s="2">
        <v>53480922</v>
      </c>
      <c r="L255" s="2"/>
      <c r="M255" s="2"/>
      <c r="N255" s="2"/>
      <c r="O255" s="2">
        <v>131743</v>
      </c>
      <c r="P255" s="2"/>
      <c r="Q255" s="2"/>
      <c r="R255" s="2"/>
      <c r="S255" s="2" t="s">
        <v>2667</v>
      </c>
      <c r="T255" s="2" t="s">
        <v>2668</v>
      </c>
      <c r="U255" s="2" t="s">
        <v>56</v>
      </c>
      <c r="V255" s="2" t="s">
        <v>57</v>
      </c>
      <c r="W255" s="2" t="s">
        <v>155</v>
      </c>
      <c r="X255" s="2" t="s">
        <v>69</v>
      </c>
      <c r="Y255" s="2">
        <v>70.900000000000006</v>
      </c>
      <c r="Z255" s="2">
        <v>64.7</v>
      </c>
      <c r="AA255" s="2" t="s">
        <v>667</v>
      </c>
      <c r="AB255" s="2" t="s">
        <v>2669</v>
      </c>
      <c r="AC255" s="2">
        <v>0.40342377654827</v>
      </c>
      <c r="AD255" s="2"/>
      <c r="AE255" s="2">
        <v>1.6519693985970301</v>
      </c>
      <c r="AF255" s="2">
        <v>769731.80195938703</v>
      </c>
      <c r="AG255" s="2">
        <v>1031144.71457847</v>
      </c>
      <c r="AH255" s="4">
        <v>0.74648280796750699</v>
      </c>
      <c r="AI255" s="4">
        <v>-0.42181906044265999</v>
      </c>
      <c r="AJ255" s="4" t="s">
        <v>62</v>
      </c>
      <c r="AK255" s="2">
        <v>0.206148151110011</v>
      </c>
      <c r="AL255" s="2">
        <v>0.531216017089299</v>
      </c>
      <c r="AM255" s="2">
        <v>1602349.8659967701</v>
      </c>
      <c r="AN255" s="2">
        <v>677340.08716421004</v>
      </c>
      <c r="AO255" s="2">
        <v>633623.62396609399</v>
      </c>
      <c r="AP255" s="2">
        <v>568605.41616640205</v>
      </c>
      <c r="AQ255" s="2">
        <v>530624.39312875795</v>
      </c>
      <c r="AR255" s="2">
        <v>605847.42533409095</v>
      </c>
      <c r="AS255" s="2">
        <v>598618.13418406504</v>
      </c>
      <c r="AT255" s="2">
        <v>921867.82657342905</v>
      </c>
      <c r="AU255" s="2">
        <v>1177977.1118184801</v>
      </c>
      <c r="AV255" s="2">
        <v>1208257.2493270501</v>
      </c>
      <c r="AW255" s="2">
        <v>1162624.50817119</v>
      </c>
      <c r="AX255" s="2">
        <v>1117523.4573965899</v>
      </c>
    </row>
    <row r="256" spans="1:50" x14ac:dyDescent="0.25">
      <c r="A256" s="2" t="s">
        <v>808</v>
      </c>
      <c r="B256" s="2">
        <v>496.97261058165202</v>
      </c>
      <c r="C256" s="2">
        <v>12.9738333333333</v>
      </c>
      <c r="D256" s="2" t="s">
        <v>51</v>
      </c>
      <c r="E256" s="2" t="s">
        <v>809</v>
      </c>
      <c r="F256" s="2">
        <v>210256</v>
      </c>
      <c r="G256" s="3" t="str">
        <f>HYPERLINK("https://cloud.oebiotech.com/#/lm/network/210256", "https://cloud.oebiotech.com/#/lm/network/210256")</f>
        <v>https://cloud.oebiotech.com/#/lm/network/210256</v>
      </c>
      <c r="H256" s="2" t="s">
        <v>810</v>
      </c>
      <c r="I256" s="2"/>
      <c r="J256" s="2"/>
      <c r="K256" s="2">
        <v>79466</v>
      </c>
      <c r="L256" s="2"/>
      <c r="M256" s="2"/>
      <c r="N256" s="2"/>
      <c r="O256" s="2"/>
      <c r="P256" s="2"/>
      <c r="Q256" s="2"/>
      <c r="R256" s="2"/>
      <c r="S256" s="2" t="s">
        <v>811</v>
      </c>
      <c r="T256" s="2" t="s">
        <v>812</v>
      </c>
      <c r="U256" s="2" t="s">
        <v>610</v>
      </c>
      <c r="V256" s="2" t="s">
        <v>813</v>
      </c>
      <c r="W256" s="2" t="s">
        <v>814</v>
      </c>
      <c r="X256" s="2" t="s">
        <v>147</v>
      </c>
      <c r="Y256" s="2">
        <v>37.700000000000003</v>
      </c>
      <c r="Z256" s="2">
        <v>10.7</v>
      </c>
      <c r="AA256" s="2" t="s">
        <v>163</v>
      </c>
      <c r="AB256" s="2" t="s">
        <v>815</v>
      </c>
      <c r="AC256" s="2">
        <v>2.28495411547551</v>
      </c>
      <c r="AD256" s="2"/>
      <c r="AE256" s="2">
        <v>1.65016924028874</v>
      </c>
      <c r="AF256" s="2">
        <v>142029.25466618899</v>
      </c>
      <c r="AG256" s="2">
        <v>193882.466899772</v>
      </c>
      <c r="AH256" s="4">
        <v>0.732553370798665</v>
      </c>
      <c r="AI256" s="4">
        <v>-0.44899422274957601</v>
      </c>
      <c r="AJ256" s="4" t="s">
        <v>62</v>
      </c>
      <c r="AK256" s="2">
        <v>1.63470028881496E-4</v>
      </c>
      <c r="AL256" s="2">
        <v>3.9225470277496198E-2</v>
      </c>
      <c r="AM256" s="2">
        <v>135591.11341543301</v>
      </c>
      <c r="AN256" s="2">
        <v>133484.03748623401</v>
      </c>
      <c r="AO256" s="2">
        <v>132421.65975676</v>
      </c>
      <c r="AP256" s="2">
        <v>139990.881117868</v>
      </c>
      <c r="AQ256" s="2">
        <v>151780.270441809</v>
      </c>
      <c r="AR256" s="2">
        <v>158907.56577902901</v>
      </c>
      <c r="AS256" s="2">
        <v>192617.61197290799</v>
      </c>
      <c r="AT256" s="2">
        <v>213545.154742143</v>
      </c>
      <c r="AU256" s="2">
        <v>161771.47539152499</v>
      </c>
      <c r="AV256" s="2">
        <v>212168.950623449</v>
      </c>
      <c r="AW256" s="2">
        <v>189503.995887497</v>
      </c>
      <c r="AX256" s="2">
        <v>193687.61278111199</v>
      </c>
    </row>
    <row r="257" spans="1:50" x14ac:dyDescent="0.25">
      <c r="A257" s="2" t="s">
        <v>816</v>
      </c>
      <c r="B257" s="2">
        <v>291.00747953468903</v>
      </c>
      <c r="C257" s="2">
        <v>5.8082500000000001</v>
      </c>
      <c r="D257" s="2" t="s">
        <v>51</v>
      </c>
      <c r="E257" s="2" t="s">
        <v>817</v>
      </c>
      <c r="F257" s="2">
        <v>56252</v>
      </c>
      <c r="G257" s="3" t="str">
        <f>HYPERLINK("https://cloud.oebiotech.com/#/lm/network/56252", "https://cloud.oebiotech.com/#/lm/network/56252")</f>
        <v>https://cloud.oebiotech.com/#/lm/network/56252</v>
      </c>
      <c r="H257" s="2" t="s">
        <v>818</v>
      </c>
      <c r="I257" s="2">
        <v>70059</v>
      </c>
      <c r="J257" s="2"/>
      <c r="K257" s="2">
        <v>28292</v>
      </c>
      <c r="L257" s="2" t="s">
        <v>819</v>
      </c>
      <c r="M257" s="2"/>
      <c r="N257" s="2"/>
      <c r="O257" s="2">
        <v>34735</v>
      </c>
      <c r="P257" s="2"/>
      <c r="Q257" s="2"/>
      <c r="R257" s="2" t="s">
        <v>820</v>
      </c>
      <c r="S257" s="2" t="s">
        <v>821</v>
      </c>
      <c r="T257" s="2" t="s">
        <v>822</v>
      </c>
      <c r="U257" s="2" t="s">
        <v>610</v>
      </c>
      <c r="V257" s="2" t="s">
        <v>611</v>
      </c>
      <c r="W257" s="2" t="s">
        <v>240</v>
      </c>
      <c r="X257" s="2" t="s">
        <v>147</v>
      </c>
      <c r="Y257" s="2">
        <v>37.200000000000003</v>
      </c>
      <c r="Z257" s="2">
        <v>4.25</v>
      </c>
      <c r="AA257" s="2" t="s">
        <v>379</v>
      </c>
      <c r="AB257" s="2" t="s">
        <v>823</v>
      </c>
      <c r="AC257" s="2">
        <v>0.68479782334280404</v>
      </c>
      <c r="AD257" s="2"/>
      <c r="AE257" s="2">
        <v>1.6500221854608399</v>
      </c>
      <c r="AF257" s="2">
        <v>310946.23133827699</v>
      </c>
      <c r="AG257" s="2">
        <v>365572.25432445202</v>
      </c>
      <c r="AH257" s="4">
        <v>0.85057393623288102</v>
      </c>
      <c r="AI257" s="4">
        <v>-0.23349144712292799</v>
      </c>
      <c r="AJ257" s="4" t="s">
        <v>62</v>
      </c>
      <c r="AK257" s="2">
        <v>9.9568413121832108E-3</v>
      </c>
      <c r="AL257" s="2">
        <v>0.16151302423615199</v>
      </c>
      <c r="AM257" s="2">
        <v>265842.015758558</v>
      </c>
      <c r="AN257" s="2">
        <v>309872.31370583602</v>
      </c>
      <c r="AO257" s="2">
        <v>308861.720451559</v>
      </c>
      <c r="AP257" s="2">
        <v>329327.31970072398</v>
      </c>
      <c r="AQ257" s="2">
        <v>339966.59740909497</v>
      </c>
      <c r="AR257" s="2">
        <v>311807.42100389098</v>
      </c>
      <c r="AS257" s="2">
        <v>351364.28885857901</v>
      </c>
      <c r="AT257" s="2">
        <v>384673.882143519</v>
      </c>
      <c r="AU257" s="2">
        <v>309866.26235375198</v>
      </c>
      <c r="AV257" s="2">
        <v>401671.48256047699</v>
      </c>
      <c r="AW257" s="2">
        <v>355662.26489068102</v>
      </c>
      <c r="AX257" s="2">
        <v>390195.34513970499</v>
      </c>
    </row>
    <row r="258" spans="1:50" x14ac:dyDescent="0.25">
      <c r="A258" s="2" t="s">
        <v>2670</v>
      </c>
      <c r="B258" s="2">
        <v>346.33271670487699</v>
      </c>
      <c r="C258" s="2">
        <v>9.8490833333333292</v>
      </c>
      <c r="D258" s="2" t="s">
        <v>51</v>
      </c>
      <c r="E258" s="2" t="s">
        <v>2671</v>
      </c>
      <c r="F258" s="2">
        <v>1702</v>
      </c>
      <c r="G258" s="3" t="str">
        <f>HYPERLINK("https://cloud.oebiotech.com/#/lm/network/1702", "https://cloud.oebiotech.com/#/lm/network/1702")</f>
        <v>https://cloud.oebiotech.com/#/lm/network/1702</v>
      </c>
      <c r="H258" s="2"/>
      <c r="I258" s="2">
        <v>74505</v>
      </c>
      <c r="J258" s="2" t="s">
        <v>2672</v>
      </c>
      <c r="K258" s="2">
        <v>5282919</v>
      </c>
      <c r="L258" s="2"/>
      <c r="M258" s="2"/>
      <c r="N258" s="2"/>
      <c r="O258" s="2">
        <v>79190</v>
      </c>
      <c r="P258" s="2"/>
      <c r="Q258" s="2"/>
      <c r="R258" s="2"/>
      <c r="S258" s="2" t="s">
        <v>2673</v>
      </c>
      <c r="T258" s="2" t="s">
        <v>2674</v>
      </c>
      <c r="U258" s="2" t="s">
        <v>56</v>
      </c>
      <c r="V258" s="2" t="s">
        <v>145</v>
      </c>
      <c r="W258" s="2" t="s">
        <v>231</v>
      </c>
      <c r="X258" s="2" t="s">
        <v>59</v>
      </c>
      <c r="Y258" s="2">
        <v>53.8</v>
      </c>
      <c r="Z258" s="2">
        <v>76.900000000000006</v>
      </c>
      <c r="AA258" s="2" t="s">
        <v>512</v>
      </c>
      <c r="AB258" s="2" t="s">
        <v>2675</v>
      </c>
      <c r="AC258" s="2">
        <v>3.49083541827763</v>
      </c>
      <c r="AD258" s="2"/>
      <c r="AE258" s="2">
        <v>1.64635487471533</v>
      </c>
      <c r="AF258" s="2">
        <v>33923.635111202697</v>
      </c>
      <c r="AG258" s="2">
        <v>155179.1001906</v>
      </c>
      <c r="AH258" s="4">
        <v>0.218609561916107</v>
      </c>
      <c r="AI258" s="4">
        <v>-2.1935715894527901</v>
      </c>
      <c r="AJ258" s="4" t="s">
        <v>62</v>
      </c>
      <c r="AK258" s="2">
        <v>0.29153969793368201</v>
      </c>
      <c r="AL258" s="2">
        <v>0.60524704024064702</v>
      </c>
      <c r="AM258" s="2">
        <v>6944.9454624627397</v>
      </c>
      <c r="AN258" s="2">
        <v>5310.29521269821</v>
      </c>
      <c r="AO258" s="2">
        <v>32154.972929841799</v>
      </c>
      <c r="AP258" s="2">
        <v>78115.817838345203</v>
      </c>
      <c r="AQ258" s="2">
        <v>74316.929453958597</v>
      </c>
      <c r="AR258" s="2">
        <v>6698.8497699093596</v>
      </c>
      <c r="AS258" s="2">
        <v>106683.58002552</v>
      </c>
      <c r="AT258" s="2">
        <v>73025.676167720696</v>
      </c>
      <c r="AU258" s="2">
        <v>44924.271928985101</v>
      </c>
      <c r="AV258" s="2">
        <v>8532.2743770983107</v>
      </c>
      <c r="AW258" s="2">
        <v>8359.8902002293398</v>
      </c>
      <c r="AX258" s="2">
        <v>689548.90844404395</v>
      </c>
    </row>
    <row r="259" spans="1:50" x14ac:dyDescent="0.25">
      <c r="A259" s="2" t="s">
        <v>824</v>
      </c>
      <c r="B259" s="2">
        <v>622.40907815534797</v>
      </c>
      <c r="C259" s="2">
        <v>12.078716666666701</v>
      </c>
      <c r="D259" s="2" t="s">
        <v>51</v>
      </c>
      <c r="E259" s="2" t="s">
        <v>825</v>
      </c>
      <c r="F259" s="2">
        <v>202772</v>
      </c>
      <c r="G259" s="3" t="str">
        <f>HYPERLINK("https://cloud.oebiotech.com/#/lm/network/202772", "https://cloud.oebiotech.com/#/lm/network/202772")</f>
        <v>https://cloud.oebiotech.com/#/lm/network/202772</v>
      </c>
      <c r="H259" s="2" t="s">
        <v>826</v>
      </c>
      <c r="I259" s="2"/>
      <c r="J259" s="2"/>
      <c r="K259" s="2">
        <v>2287</v>
      </c>
      <c r="L259" s="2"/>
      <c r="M259" s="2"/>
      <c r="N259" s="2"/>
      <c r="O259" s="2"/>
      <c r="P259" s="2"/>
      <c r="Q259" s="2"/>
      <c r="R259" s="2"/>
      <c r="S259" s="2" t="s">
        <v>827</v>
      </c>
      <c r="T259" s="2" t="s">
        <v>828</v>
      </c>
      <c r="U259" s="2" t="s">
        <v>540</v>
      </c>
      <c r="V259" s="2" t="s">
        <v>563</v>
      </c>
      <c r="W259" s="2" t="s">
        <v>240</v>
      </c>
      <c r="X259" s="2" t="s">
        <v>59</v>
      </c>
      <c r="Y259" s="2">
        <v>48.4</v>
      </c>
      <c r="Z259" s="2">
        <v>55.1</v>
      </c>
      <c r="AA259" s="2" t="s">
        <v>122</v>
      </c>
      <c r="AB259" s="2" t="s">
        <v>829</v>
      </c>
      <c r="AC259" s="2">
        <v>1.5980178843136601</v>
      </c>
      <c r="AD259" s="2"/>
      <c r="AE259" s="2">
        <v>1.6431737333162999</v>
      </c>
      <c r="AF259" s="2">
        <v>144693.14784867299</v>
      </c>
      <c r="AG259" s="2">
        <v>80570.151562176106</v>
      </c>
      <c r="AH259" s="5">
        <v>1.7958654047834699</v>
      </c>
      <c r="AI259" s="5">
        <v>0.844679228070227</v>
      </c>
      <c r="AJ259" s="5" t="s">
        <v>139</v>
      </c>
      <c r="AK259" s="2">
        <v>1.0332604715411401E-2</v>
      </c>
      <c r="AL259" s="2">
        <v>0.16446293349972499</v>
      </c>
      <c r="AM259" s="2">
        <v>156358.19146806799</v>
      </c>
      <c r="AN259" s="2">
        <v>188852.68883184801</v>
      </c>
      <c r="AO259" s="2">
        <v>84782.678886939204</v>
      </c>
      <c r="AP259" s="2">
        <v>180939.099328582</v>
      </c>
      <c r="AQ259" s="2">
        <v>97587.376510296002</v>
      </c>
      <c r="AR259" s="2">
        <v>159638.852066302</v>
      </c>
      <c r="AS259" s="2">
        <v>76371.364143637402</v>
      </c>
      <c r="AT259" s="2">
        <v>83344.685772005498</v>
      </c>
      <c r="AU259" s="2">
        <v>125802.37948983299</v>
      </c>
      <c r="AV259" s="2">
        <v>79798.389159908693</v>
      </c>
      <c r="AW259" s="2">
        <v>58045.564995561799</v>
      </c>
      <c r="AX259" s="2">
        <v>60058.525812109998</v>
      </c>
    </row>
    <row r="260" spans="1:50" x14ac:dyDescent="0.25">
      <c r="A260" s="2" t="s">
        <v>830</v>
      </c>
      <c r="B260" s="2">
        <v>347.22038631781498</v>
      </c>
      <c r="C260" s="2">
        <v>12.708216666666701</v>
      </c>
      <c r="D260" s="2" t="s">
        <v>51</v>
      </c>
      <c r="E260" s="2" t="s">
        <v>831</v>
      </c>
      <c r="F260" s="2">
        <v>1121</v>
      </c>
      <c r="G260" s="3" t="str">
        <f>HYPERLINK("https://cloud.oebiotech.com/#/lm/network/1121", "https://cloud.oebiotech.com/#/lm/network/1121")</f>
        <v>https://cloud.oebiotech.com/#/lm/network/1121</v>
      </c>
      <c r="H260" s="2"/>
      <c r="I260" s="2">
        <v>35291</v>
      </c>
      <c r="J260" s="2" t="s">
        <v>832</v>
      </c>
      <c r="K260" s="2">
        <v>9543605</v>
      </c>
      <c r="L260" s="2"/>
      <c r="M260" s="2"/>
      <c r="N260" s="2"/>
      <c r="O260" s="2"/>
      <c r="P260" s="2"/>
      <c r="Q260" s="2"/>
      <c r="R260" s="2"/>
      <c r="S260" s="2" t="s">
        <v>833</v>
      </c>
      <c r="T260" s="2" t="s">
        <v>834</v>
      </c>
      <c r="U260" s="2" t="s">
        <v>56</v>
      </c>
      <c r="V260" s="2" t="s">
        <v>145</v>
      </c>
      <c r="W260" s="2" t="s">
        <v>231</v>
      </c>
      <c r="X260" s="2" t="s">
        <v>83</v>
      </c>
      <c r="Y260" s="2">
        <v>53.2</v>
      </c>
      <c r="Z260" s="2">
        <v>0</v>
      </c>
      <c r="AA260" s="2" t="s">
        <v>218</v>
      </c>
      <c r="AB260" s="2" t="s">
        <v>835</v>
      </c>
      <c r="AC260" s="2">
        <v>-7.9303721873152302</v>
      </c>
      <c r="AD260" s="2"/>
      <c r="AE260" s="2">
        <v>1.63944105348678</v>
      </c>
      <c r="AF260" s="2">
        <v>93491.1016223474</v>
      </c>
      <c r="AG260" s="2">
        <v>162339.610143286</v>
      </c>
      <c r="AH260" s="4">
        <v>0.575898276088192</v>
      </c>
      <c r="AI260" s="4">
        <v>-0.79611409145507295</v>
      </c>
      <c r="AJ260" s="4" t="s">
        <v>62</v>
      </c>
      <c r="AK260" s="2">
        <v>1.27887051457314E-2</v>
      </c>
      <c r="AL260" s="2">
        <v>0.17918067258312301</v>
      </c>
      <c r="AM260" s="2">
        <v>75101.873230487894</v>
      </c>
      <c r="AN260" s="2">
        <v>72331.838115911101</v>
      </c>
      <c r="AO260" s="2">
        <v>117710.01837158301</v>
      </c>
      <c r="AP260" s="2">
        <v>67310.482156934202</v>
      </c>
      <c r="AQ260" s="2">
        <v>129684.074596904</v>
      </c>
      <c r="AR260" s="2">
        <v>98808.323262264297</v>
      </c>
      <c r="AS260" s="2">
        <v>121150.820550024</v>
      </c>
      <c r="AT260" s="2">
        <v>113257.242478024</v>
      </c>
      <c r="AU260" s="2">
        <v>231347.17655120799</v>
      </c>
      <c r="AV260" s="2">
        <v>201515.39023567701</v>
      </c>
      <c r="AW260" s="2">
        <v>181515.28392524799</v>
      </c>
      <c r="AX260" s="2">
        <v>125251.747119533</v>
      </c>
    </row>
    <row r="261" spans="1:50" x14ac:dyDescent="0.25">
      <c r="A261" s="2" t="s">
        <v>2676</v>
      </c>
      <c r="B261" s="2">
        <v>465.30458414279298</v>
      </c>
      <c r="C261" s="2">
        <v>14.278983333333301</v>
      </c>
      <c r="D261" s="2" t="s">
        <v>51</v>
      </c>
      <c r="E261" s="2" t="s">
        <v>2677</v>
      </c>
      <c r="F261" s="2">
        <v>46680</v>
      </c>
      <c r="G261" s="3" t="str">
        <f>HYPERLINK("https://cloud.oebiotech.com/#/lm/network/46680", "https://cloud.oebiotech.com/#/lm/network/46680")</f>
        <v>https://cloud.oebiotech.com/#/lm/network/46680</v>
      </c>
      <c r="H261" s="2" t="s">
        <v>2678</v>
      </c>
      <c r="I261" s="2">
        <v>5625</v>
      </c>
      <c r="J261" s="2" t="s">
        <v>2679</v>
      </c>
      <c r="K261" s="2">
        <v>65076</v>
      </c>
      <c r="L261" s="2" t="s">
        <v>2680</v>
      </c>
      <c r="M261" s="2" t="s">
        <v>2681</v>
      </c>
      <c r="N261" s="2" t="s">
        <v>2682</v>
      </c>
      <c r="O261" s="2">
        <v>41321</v>
      </c>
      <c r="P261" s="2"/>
      <c r="Q261" s="2"/>
      <c r="R261" s="2" t="s">
        <v>2683</v>
      </c>
      <c r="S261" s="2" t="s">
        <v>2684</v>
      </c>
      <c r="T261" s="2" t="s">
        <v>2685</v>
      </c>
      <c r="U261" s="2" t="s">
        <v>56</v>
      </c>
      <c r="V261" s="2" t="s">
        <v>283</v>
      </c>
      <c r="W261" s="2" t="s">
        <v>1108</v>
      </c>
      <c r="X261" s="2" t="s">
        <v>147</v>
      </c>
      <c r="Y261" s="2">
        <v>38.799999999999997</v>
      </c>
      <c r="Z261" s="2">
        <v>1.81</v>
      </c>
      <c r="AA261" s="2" t="s">
        <v>163</v>
      </c>
      <c r="AB261" s="2" t="s">
        <v>2686</v>
      </c>
      <c r="AC261" s="2">
        <v>0.38519586818720403</v>
      </c>
      <c r="AD261" s="2"/>
      <c r="AE261" s="2">
        <v>1.6332047149737901</v>
      </c>
      <c r="AF261" s="2">
        <v>519482.36351622402</v>
      </c>
      <c r="AG261" s="2">
        <v>668854.36810852506</v>
      </c>
      <c r="AH261" s="4">
        <v>0.77667484625283201</v>
      </c>
      <c r="AI261" s="4">
        <v>-0.36461735195371497</v>
      </c>
      <c r="AJ261" s="4" t="s">
        <v>62</v>
      </c>
      <c r="AK261" s="2">
        <v>0.171231727673783</v>
      </c>
      <c r="AL261" s="2">
        <v>0.49206329486894901</v>
      </c>
      <c r="AM261" s="2">
        <v>594609.48944937799</v>
      </c>
      <c r="AN261" s="2">
        <v>410372.24608007702</v>
      </c>
      <c r="AO261" s="2">
        <v>665195.84207597002</v>
      </c>
      <c r="AP261" s="2">
        <v>509355.45519671001</v>
      </c>
      <c r="AQ261" s="2">
        <v>721871.25248735002</v>
      </c>
      <c r="AR261" s="2">
        <v>215489.89580785899</v>
      </c>
      <c r="AS261" s="2">
        <v>488875.95480020199</v>
      </c>
      <c r="AT261" s="2">
        <v>649982.76317908696</v>
      </c>
      <c r="AU261" s="2">
        <v>856579.41956990201</v>
      </c>
      <c r="AV261" s="2">
        <v>625494.60993259004</v>
      </c>
      <c r="AW261" s="2">
        <v>875595.29762068496</v>
      </c>
      <c r="AX261" s="2">
        <v>516598.16354868602</v>
      </c>
    </row>
    <row r="262" spans="1:50" x14ac:dyDescent="0.25">
      <c r="A262" s="2" t="s">
        <v>2687</v>
      </c>
      <c r="B262" s="2">
        <v>375.16109999999998</v>
      </c>
      <c r="C262" s="2">
        <v>24.183</v>
      </c>
      <c r="D262" s="2" t="s">
        <v>125</v>
      </c>
      <c r="E262" s="2" t="s">
        <v>2688</v>
      </c>
      <c r="F262" s="2">
        <v>51468</v>
      </c>
      <c r="G262" s="3" t="str">
        <f>HYPERLINK("https://cloud.oebiotech.com/#/lm/network/51468", "https://cloud.oebiotech.com/#/lm/network/51468")</f>
        <v>https://cloud.oebiotech.com/#/lm/network/51468</v>
      </c>
      <c r="H262" s="2" t="s">
        <v>2689</v>
      </c>
      <c r="I262" s="2">
        <v>62424</v>
      </c>
      <c r="J262" s="2"/>
      <c r="K262" s="2">
        <v>154035</v>
      </c>
      <c r="L262" s="2"/>
      <c r="M262" s="2"/>
      <c r="N262" s="2"/>
      <c r="O262" s="2">
        <v>87986</v>
      </c>
      <c r="P262" s="2"/>
      <c r="Q262" s="2"/>
      <c r="R262" s="2"/>
      <c r="S262" s="2" t="s">
        <v>2690</v>
      </c>
      <c r="T262" s="2" t="s">
        <v>2691</v>
      </c>
      <c r="U262" s="2" t="s">
        <v>331</v>
      </c>
      <c r="V262" s="2" t="s">
        <v>332</v>
      </c>
      <c r="W262" s="2" t="s">
        <v>333</v>
      </c>
      <c r="X262" s="2" t="s">
        <v>83</v>
      </c>
      <c r="Y262" s="2">
        <v>83.1</v>
      </c>
      <c r="Z262" s="2">
        <v>78.7</v>
      </c>
      <c r="AA262" s="2"/>
      <c r="AB262" s="2" t="s">
        <v>2692</v>
      </c>
      <c r="AC262" s="2"/>
      <c r="AD262" s="2">
        <v>868780.10273972596</v>
      </c>
      <c r="AE262" s="2">
        <v>1.6288026433215901</v>
      </c>
      <c r="AF262" s="2">
        <v>445835.64020792098</v>
      </c>
      <c r="AG262" s="2">
        <v>1152597.7540907201</v>
      </c>
      <c r="AH262" s="4">
        <v>0.38680939523402202</v>
      </c>
      <c r="AI262" s="4">
        <v>-1.3703052579502799</v>
      </c>
      <c r="AJ262" s="4" t="s">
        <v>62</v>
      </c>
      <c r="AK262" s="2">
        <v>0.16388662731178499</v>
      </c>
      <c r="AL262" s="2">
        <v>0.484889968085291</v>
      </c>
      <c r="AM262" s="2">
        <v>261288.65940157001</v>
      </c>
      <c r="AN262" s="2">
        <v>238152.55852149701</v>
      </c>
      <c r="AO262" s="2">
        <v>599628.60753499495</v>
      </c>
      <c r="AP262" s="2">
        <v>24487.557464992002</v>
      </c>
      <c r="AQ262" s="2">
        <v>257568.59674065301</v>
      </c>
      <c r="AR262" s="2">
        <v>1293887.8615838201</v>
      </c>
      <c r="AS262" s="2">
        <v>404088.488613825</v>
      </c>
      <c r="AT262" s="2">
        <v>313689.584815473</v>
      </c>
      <c r="AU262" s="2">
        <v>2579296.4416308398</v>
      </c>
      <c r="AV262" s="2">
        <v>2232461.6916979202</v>
      </c>
      <c r="AW262" s="2">
        <v>1291993.36705418</v>
      </c>
      <c r="AX262" s="2">
        <v>94056.950732053199</v>
      </c>
    </row>
    <row r="263" spans="1:50" x14ac:dyDescent="0.25">
      <c r="A263" s="2" t="s">
        <v>2693</v>
      </c>
      <c r="B263" s="2">
        <v>562.42453167968097</v>
      </c>
      <c r="C263" s="2">
        <v>11.3101</v>
      </c>
      <c r="D263" s="2" t="s">
        <v>51</v>
      </c>
      <c r="E263" s="2" t="s">
        <v>2694</v>
      </c>
      <c r="F263" s="2">
        <v>19576</v>
      </c>
      <c r="G263" s="3" t="str">
        <f>HYPERLINK("https://cloud.oebiotech.com/#/lm/network/19576", "https://cloud.oebiotech.com/#/lm/network/19576")</f>
        <v>https://cloud.oebiotech.com/#/lm/network/19576</v>
      </c>
      <c r="H263" s="2"/>
      <c r="I263" s="2">
        <v>40149</v>
      </c>
      <c r="J263" s="2" t="s">
        <v>2695</v>
      </c>
      <c r="K263" s="2">
        <v>24779352</v>
      </c>
      <c r="L263" s="2"/>
      <c r="M263" s="2"/>
      <c r="N263" s="2"/>
      <c r="O263" s="2"/>
      <c r="P263" s="2"/>
      <c r="Q263" s="2"/>
      <c r="R263" s="2"/>
      <c r="S263" s="2" t="s">
        <v>2696</v>
      </c>
      <c r="T263" s="2" t="s">
        <v>2697</v>
      </c>
      <c r="U263" s="2" t="s">
        <v>56</v>
      </c>
      <c r="V263" s="2" t="s">
        <v>57</v>
      </c>
      <c r="W263" s="2" t="s">
        <v>58</v>
      </c>
      <c r="X263" s="2" t="s">
        <v>147</v>
      </c>
      <c r="Y263" s="2">
        <v>38.5</v>
      </c>
      <c r="Z263" s="2">
        <v>3.04</v>
      </c>
      <c r="AA263" s="2" t="s">
        <v>156</v>
      </c>
      <c r="AB263" s="2" t="s">
        <v>734</v>
      </c>
      <c r="AC263" s="2">
        <v>2.4679055797868301</v>
      </c>
      <c r="AD263" s="2"/>
      <c r="AE263" s="2">
        <v>1.6279298699044999</v>
      </c>
      <c r="AF263" s="2">
        <v>147795.21350867601</v>
      </c>
      <c r="AG263" s="2">
        <v>228279.21178844001</v>
      </c>
      <c r="AH263" s="4">
        <v>0.64743176722393203</v>
      </c>
      <c r="AI263" s="4">
        <v>-0.62719993957808695</v>
      </c>
      <c r="AJ263" s="4" t="s">
        <v>62</v>
      </c>
      <c r="AK263" s="2">
        <v>5.3506616270084802E-2</v>
      </c>
      <c r="AL263" s="2">
        <v>0.31830539157865101</v>
      </c>
      <c r="AM263" s="2">
        <v>71963.664675338805</v>
      </c>
      <c r="AN263" s="2">
        <v>187286.424259085</v>
      </c>
      <c r="AO263" s="2">
        <v>161297.59323634399</v>
      </c>
      <c r="AP263" s="2">
        <v>212302.075106959</v>
      </c>
      <c r="AQ263" s="2">
        <v>170641.61002396699</v>
      </c>
      <c r="AR263" s="2">
        <v>83279.913750360502</v>
      </c>
      <c r="AS263" s="2">
        <v>155482.89030015201</v>
      </c>
      <c r="AT263" s="2">
        <v>212394.40680867099</v>
      </c>
      <c r="AU263" s="2">
        <v>316747.38588792301</v>
      </c>
      <c r="AV263" s="2">
        <v>245894.63838418</v>
      </c>
      <c r="AW263" s="2">
        <v>147429.565173576</v>
      </c>
      <c r="AX263" s="2">
        <v>291726.38417613599</v>
      </c>
    </row>
    <row r="264" spans="1:50" x14ac:dyDescent="0.25">
      <c r="A264" s="2" t="s">
        <v>836</v>
      </c>
      <c r="B264" s="2">
        <v>636.38817224593697</v>
      </c>
      <c r="C264" s="2">
        <v>12.363666666666701</v>
      </c>
      <c r="D264" s="2" t="s">
        <v>51</v>
      </c>
      <c r="E264" s="2" t="s">
        <v>837</v>
      </c>
      <c r="F264" s="2">
        <v>18546</v>
      </c>
      <c r="G264" s="3" t="str">
        <f>HYPERLINK("https://cloud.oebiotech.com/#/lm/network/18546", "https://cloud.oebiotech.com/#/lm/network/18546")</f>
        <v>https://cloud.oebiotech.com/#/lm/network/18546</v>
      </c>
      <c r="H264" s="2"/>
      <c r="I264" s="2">
        <v>39955</v>
      </c>
      <c r="J264" s="2" t="s">
        <v>838</v>
      </c>
      <c r="K264" s="2">
        <v>24779222</v>
      </c>
      <c r="L264" s="2"/>
      <c r="M264" s="2"/>
      <c r="N264" s="2"/>
      <c r="O264" s="2"/>
      <c r="P264" s="2"/>
      <c r="Q264" s="2"/>
      <c r="R264" s="2"/>
      <c r="S264" s="2" t="s">
        <v>839</v>
      </c>
      <c r="T264" s="2" t="s">
        <v>840</v>
      </c>
      <c r="U264" s="2" t="s">
        <v>56</v>
      </c>
      <c r="V264" s="2" t="s">
        <v>57</v>
      </c>
      <c r="W264" s="2" t="s">
        <v>58</v>
      </c>
      <c r="X264" s="2" t="s">
        <v>59</v>
      </c>
      <c r="Y264" s="2">
        <v>51.3</v>
      </c>
      <c r="Z264" s="2">
        <v>59.7</v>
      </c>
      <c r="AA264" s="2" t="s">
        <v>218</v>
      </c>
      <c r="AB264" s="2" t="s">
        <v>841</v>
      </c>
      <c r="AC264" s="2">
        <v>-5.9310104064564703E-2</v>
      </c>
      <c r="AD264" s="2"/>
      <c r="AE264" s="2">
        <v>1.6273399351448199</v>
      </c>
      <c r="AF264" s="2">
        <v>95560.686653421901</v>
      </c>
      <c r="AG264" s="2">
        <v>30206.862505123401</v>
      </c>
      <c r="AH264" s="5">
        <v>3.1635422790835599</v>
      </c>
      <c r="AI264" s="5">
        <v>1.6615408768442601</v>
      </c>
      <c r="AJ264" s="5" t="s">
        <v>139</v>
      </c>
      <c r="AK264" s="2">
        <v>2.8352709014623501E-2</v>
      </c>
      <c r="AL264" s="2">
        <v>0.25660066070094401</v>
      </c>
      <c r="AM264" s="2">
        <v>102537.394682656</v>
      </c>
      <c r="AN264" s="2">
        <v>205257.36284904499</v>
      </c>
      <c r="AO264" s="2">
        <v>54376.461419408697</v>
      </c>
      <c r="AP264" s="2">
        <v>64956.780194138802</v>
      </c>
      <c r="AQ264" s="2">
        <v>35413.820173056803</v>
      </c>
      <c r="AR264" s="2">
        <v>110822.30060222599</v>
      </c>
      <c r="AS264" s="2">
        <v>38136.082450332702</v>
      </c>
      <c r="AT264" s="2">
        <v>23120.032680616299</v>
      </c>
      <c r="AU264" s="2">
        <v>32615.8613361676</v>
      </c>
      <c r="AV264" s="2">
        <v>12939.0746216322</v>
      </c>
      <c r="AW264" s="2">
        <v>21973.9958664556</v>
      </c>
      <c r="AX264" s="2">
        <v>52456.128075535897</v>
      </c>
    </row>
    <row r="265" spans="1:50" x14ac:dyDescent="0.25">
      <c r="A265" s="2" t="s">
        <v>2698</v>
      </c>
      <c r="B265" s="2">
        <v>311.07010086799102</v>
      </c>
      <c r="C265" s="2">
        <v>9.4395166666666697</v>
      </c>
      <c r="D265" s="2" t="s">
        <v>51</v>
      </c>
      <c r="E265" s="2" t="s">
        <v>2699</v>
      </c>
      <c r="F265" s="2">
        <v>198639</v>
      </c>
      <c r="G265" s="3" t="str">
        <f>HYPERLINK("https://cloud.oebiotech.com/#/lm/network/198639", "https://cloud.oebiotech.com/#/lm/network/198639")</f>
        <v>https://cloud.oebiotech.com/#/lm/network/198639</v>
      </c>
      <c r="H265" s="2" t="s">
        <v>2700</v>
      </c>
      <c r="I265" s="2"/>
      <c r="J265" s="2"/>
      <c r="K265" s="2">
        <v>83967</v>
      </c>
      <c r="L265" s="2"/>
      <c r="M265" s="2"/>
      <c r="N265" s="2"/>
      <c r="O265" s="2">
        <v>133435</v>
      </c>
      <c r="P265" s="2" t="s">
        <v>2701</v>
      </c>
      <c r="Q265" s="2" t="s">
        <v>2702</v>
      </c>
      <c r="R265" s="2"/>
      <c r="S265" s="2" t="s">
        <v>2703</v>
      </c>
      <c r="T265" s="2" t="s">
        <v>2704</v>
      </c>
      <c r="U265" s="2" t="s">
        <v>103</v>
      </c>
      <c r="V265" s="2" t="s">
        <v>104</v>
      </c>
      <c r="W265" s="2" t="s">
        <v>105</v>
      </c>
      <c r="X265" s="2" t="s">
        <v>147</v>
      </c>
      <c r="Y265" s="2">
        <v>38.200000000000003</v>
      </c>
      <c r="Z265" s="2">
        <v>0</v>
      </c>
      <c r="AA265" s="2" t="s">
        <v>163</v>
      </c>
      <c r="AB265" s="2" t="s">
        <v>2705</v>
      </c>
      <c r="AC265" s="2">
        <v>-1.9716883077754399</v>
      </c>
      <c r="AD265" s="2"/>
      <c r="AE265" s="2">
        <v>1.6265401240298301</v>
      </c>
      <c r="AF265" s="2">
        <v>61855.701862850103</v>
      </c>
      <c r="AG265" s="2">
        <v>8.559877937157E-6</v>
      </c>
      <c r="AH265" s="5">
        <v>7226236438.9969702</v>
      </c>
      <c r="AI265" s="5">
        <v>32.750597313820002</v>
      </c>
      <c r="AJ265" s="5" t="s">
        <v>139</v>
      </c>
      <c r="AK265" s="2">
        <v>0.102253023414838</v>
      </c>
      <c r="AL265" s="2">
        <v>0.40647423480565198</v>
      </c>
      <c r="AM265" s="2">
        <v>210044.89239498699</v>
      </c>
      <c r="AN265" s="2">
        <v>8.559877937157E-6</v>
      </c>
      <c r="AO265" s="2">
        <v>106917.34605660199</v>
      </c>
      <c r="AP265" s="2">
        <v>8.559877937157E-6</v>
      </c>
      <c r="AQ265" s="2">
        <v>53674.978153053002</v>
      </c>
      <c r="AR265" s="2">
        <v>496.994555338937</v>
      </c>
      <c r="AS265" s="2">
        <v>8.559877937157E-6</v>
      </c>
      <c r="AT265" s="2">
        <v>8.559877937157E-6</v>
      </c>
      <c r="AU265" s="2">
        <v>8.559877937157E-6</v>
      </c>
      <c r="AV265" s="2">
        <v>8.559877937157E-6</v>
      </c>
      <c r="AW265" s="2">
        <v>8.559877937157E-6</v>
      </c>
      <c r="AX265" s="2">
        <v>8.559877937157E-6</v>
      </c>
    </row>
    <row r="266" spans="1:50" x14ac:dyDescent="0.25">
      <c r="A266" s="2" t="s">
        <v>2706</v>
      </c>
      <c r="B266" s="2">
        <v>332.31693794037102</v>
      </c>
      <c r="C266" s="2">
        <v>9.5840166666666704</v>
      </c>
      <c r="D266" s="2" t="s">
        <v>51</v>
      </c>
      <c r="E266" s="2" t="s">
        <v>2707</v>
      </c>
      <c r="F266" s="2">
        <v>2287</v>
      </c>
      <c r="G266" s="3" t="str">
        <f>HYPERLINK("https://cloud.oebiotech.com/#/lm/network/2287", "https://cloud.oebiotech.com/#/lm/network/2287")</f>
        <v>https://cloud.oebiotech.com/#/lm/network/2287</v>
      </c>
      <c r="H266" s="2"/>
      <c r="I266" s="2"/>
      <c r="J266" s="2" t="s">
        <v>2708</v>
      </c>
      <c r="K266" s="2">
        <v>15157102</v>
      </c>
      <c r="L266" s="2"/>
      <c r="M266" s="2"/>
      <c r="N266" s="2"/>
      <c r="O266" s="2"/>
      <c r="P266" s="2"/>
      <c r="Q266" s="2"/>
      <c r="R266" s="2"/>
      <c r="S266" s="2" t="s">
        <v>2709</v>
      </c>
      <c r="T266" s="2" t="s">
        <v>2710</v>
      </c>
      <c r="U266" s="2" t="s">
        <v>56</v>
      </c>
      <c r="V266" s="2" t="s">
        <v>145</v>
      </c>
      <c r="W266" s="2" t="s">
        <v>231</v>
      </c>
      <c r="X266" s="2" t="s">
        <v>147</v>
      </c>
      <c r="Y266" s="2">
        <v>46.1</v>
      </c>
      <c r="Z266" s="2">
        <v>38.1</v>
      </c>
      <c r="AA266" s="2" t="s">
        <v>512</v>
      </c>
      <c r="AB266" s="2" t="s">
        <v>2711</v>
      </c>
      <c r="AC266" s="2">
        <v>3.2370060113641399</v>
      </c>
      <c r="AD266" s="2"/>
      <c r="AE266" s="2">
        <v>1.62625303381981</v>
      </c>
      <c r="AF266" s="2">
        <v>7217.6541625288801</v>
      </c>
      <c r="AG266" s="2">
        <v>89120.706981382202</v>
      </c>
      <c r="AH266" s="4">
        <v>8.0987397957207496E-2</v>
      </c>
      <c r="AI266" s="4">
        <v>-3.6261587548526202</v>
      </c>
      <c r="AJ266" s="4" t="s">
        <v>62</v>
      </c>
      <c r="AK266" s="2">
        <v>0.149411078522519</v>
      </c>
      <c r="AL266" s="2">
        <v>0.47031936617444198</v>
      </c>
      <c r="AM266" s="2">
        <v>9523.4144999645305</v>
      </c>
      <c r="AN266" s="2">
        <v>8360.0098661500106</v>
      </c>
      <c r="AO266" s="2">
        <v>5648.4894063373404</v>
      </c>
      <c r="AP266" s="2">
        <v>5403.0940557539698</v>
      </c>
      <c r="AQ266" s="2">
        <v>10161.1887412293</v>
      </c>
      <c r="AR266" s="2">
        <v>4209.7284057381403</v>
      </c>
      <c r="AS266" s="2">
        <v>6179.4433807107998</v>
      </c>
      <c r="AT266" s="2">
        <v>5917.7732060713597</v>
      </c>
      <c r="AU266" s="2">
        <v>4900.8130222971404</v>
      </c>
      <c r="AV266" s="2">
        <v>246911.26449093301</v>
      </c>
      <c r="AW266" s="2">
        <v>262688.87630819302</v>
      </c>
      <c r="AX266" s="2">
        <v>8126.0714800880696</v>
      </c>
    </row>
    <row r="267" spans="1:50" x14ac:dyDescent="0.25">
      <c r="A267" s="2" t="s">
        <v>2712</v>
      </c>
      <c r="B267" s="2">
        <v>339.03461554418499</v>
      </c>
      <c r="C267" s="2">
        <v>5.9063833333333298</v>
      </c>
      <c r="D267" s="2" t="s">
        <v>51</v>
      </c>
      <c r="E267" s="2" t="s">
        <v>2713</v>
      </c>
      <c r="F267" s="2">
        <v>60821</v>
      </c>
      <c r="G267" s="3" t="str">
        <f>HYPERLINK("https://cloud.oebiotech.com/#/lm/network/60821", "https://cloud.oebiotech.com/#/lm/network/60821")</f>
        <v>https://cloud.oebiotech.com/#/lm/network/60821</v>
      </c>
      <c r="H267" s="2" t="s">
        <v>2714</v>
      </c>
      <c r="I267" s="2">
        <v>92167</v>
      </c>
      <c r="J267" s="2"/>
      <c r="K267" s="2">
        <v>85207469</v>
      </c>
      <c r="L267" s="2"/>
      <c r="M267" s="2"/>
      <c r="N267" s="2"/>
      <c r="O267" s="2">
        <v>174789</v>
      </c>
      <c r="P267" s="2"/>
      <c r="Q267" s="2"/>
      <c r="R267" s="2"/>
      <c r="S267" s="2" t="s">
        <v>2715</v>
      </c>
      <c r="T267" s="2" t="s">
        <v>2716</v>
      </c>
      <c r="U267" s="2" t="s">
        <v>610</v>
      </c>
      <c r="V267" s="2" t="s">
        <v>611</v>
      </c>
      <c r="W267" s="2" t="s">
        <v>1122</v>
      </c>
      <c r="X267" s="2" t="s">
        <v>147</v>
      </c>
      <c r="Y267" s="2">
        <v>39.4</v>
      </c>
      <c r="Z267" s="2">
        <v>2.0699999999999998</v>
      </c>
      <c r="AA267" s="2" t="s">
        <v>379</v>
      </c>
      <c r="AB267" s="2" t="s">
        <v>2717</v>
      </c>
      <c r="AC267" s="2">
        <v>-3.2246566390604001</v>
      </c>
      <c r="AD267" s="2"/>
      <c r="AE267" s="2">
        <v>1.6259545092332399</v>
      </c>
      <c r="AF267" s="2">
        <v>67202.070119280193</v>
      </c>
      <c r="AG267" s="2">
        <v>119.131552842088</v>
      </c>
      <c r="AH267" s="5">
        <v>564.09967398274398</v>
      </c>
      <c r="AI267" s="5">
        <v>9.1398062929227599</v>
      </c>
      <c r="AJ267" s="5" t="s">
        <v>139</v>
      </c>
      <c r="AK267" s="2">
        <v>0.169202368916026</v>
      </c>
      <c r="AL267" s="2">
        <v>0.49098458663462602</v>
      </c>
      <c r="AM267" s="2">
        <v>285375.38431638503</v>
      </c>
      <c r="AN267" s="2">
        <v>113.636237421328</v>
      </c>
      <c r="AO267" s="2">
        <v>47417.326500985597</v>
      </c>
      <c r="AP267" s="2">
        <v>265.96352964840599</v>
      </c>
      <c r="AQ267" s="2">
        <v>69951.313429768299</v>
      </c>
      <c r="AR267" s="2">
        <v>88.796701472430101</v>
      </c>
      <c r="AS267" s="2">
        <v>8.559877937157E-6</v>
      </c>
      <c r="AT267" s="2">
        <v>8.559877937157E-6</v>
      </c>
      <c r="AU267" s="2">
        <v>8.559877937157E-6</v>
      </c>
      <c r="AV267" s="2">
        <v>435.174795792292</v>
      </c>
      <c r="AW267" s="2">
        <v>133.50235440198699</v>
      </c>
      <c r="AX267" s="2">
        <v>146.112141178618</v>
      </c>
    </row>
    <row r="268" spans="1:50" x14ac:dyDescent="0.25">
      <c r="A268" s="2" t="s">
        <v>842</v>
      </c>
      <c r="B268" s="2">
        <v>393.226237568324</v>
      </c>
      <c r="C268" s="2">
        <v>6.7050666666666698</v>
      </c>
      <c r="D268" s="2" t="s">
        <v>51</v>
      </c>
      <c r="E268" s="2" t="s">
        <v>843</v>
      </c>
      <c r="F268" s="2">
        <v>202430</v>
      </c>
      <c r="G268" s="3" t="str">
        <f>HYPERLINK("https://cloud.oebiotech.com/#/lm/network/202430", "https://cloud.oebiotech.com/#/lm/network/202430")</f>
        <v>https://cloud.oebiotech.com/#/lm/network/202430</v>
      </c>
      <c r="H268" s="2" t="s">
        <v>844</v>
      </c>
      <c r="I268" s="2"/>
      <c r="J268" s="2"/>
      <c r="K268" s="2">
        <v>4596253</v>
      </c>
      <c r="L268" s="2"/>
      <c r="M268" s="2"/>
      <c r="N268" s="2"/>
      <c r="O268" s="2"/>
      <c r="P268" s="2"/>
      <c r="Q268" s="2"/>
      <c r="R268" s="2"/>
      <c r="S268" s="2" t="s">
        <v>845</v>
      </c>
      <c r="T268" s="2" t="s">
        <v>846</v>
      </c>
      <c r="U268" s="2" t="s">
        <v>56</v>
      </c>
      <c r="V268" s="2" t="s">
        <v>145</v>
      </c>
      <c r="W268" s="2" t="s">
        <v>187</v>
      </c>
      <c r="X268" s="2" t="s">
        <v>69</v>
      </c>
      <c r="Y268" s="2">
        <v>54.9</v>
      </c>
      <c r="Z268" s="2">
        <v>59.7</v>
      </c>
      <c r="AA268" s="2" t="s">
        <v>786</v>
      </c>
      <c r="AB268" s="2" t="s">
        <v>312</v>
      </c>
      <c r="AC268" s="2">
        <v>3.9922709432800199</v>
      </c>
      <c r="AD268" s="2"/>
      <c r="AE268" s="2">
        <v>1.6240447396864</v>
      </c>
      <c r="AF268" s="2">
        <v>149490.403772297</v>
      </c>
      <c r="AG268" s="2">
        <v>86922.3387403464</v>
      </c>
      <c r="AH268" s="5">
        <v>1.7198157106523999</v>
      </c>
      <c r="AI268" s="5">
        <v>0.78225397912947203</v>
      </c>
      <c r="AJ268" s="5" t="s">
        <v>139</v>
      </c>
      <c r="AK268" s="2">
        <v>1.7161138099991001E-2</v>
      </c>
      <c r="AL268" s="2">
        <v>0.20708470914562299</v>
      </c>
      <c r="AM268" s="2">
        <v>151402.27302291099</v>
      </c>
      <c r="AN268" s="2">
        <v>217347.79951091099</v>
      </c>
      <c r="AO268" s="2">
        <v>132968.59552236399</v>
      </c>
      <c r="AP268" s="2">
        <v>130017.793498845</v>
      </c>
      <c r="AQ268" s="2">
        <v>106661.61347600901</v>
      </c>
      <c r="AR268" s="2">
        <v>158544.347602742</v>
      </c>
      <c r="AS268" s="2">
        <v>133435.94568457099</v>
      </c>
      <c r="AT268" s="2">
        <v>58331.131693542899</v>
      </c>
      <c r="AU268" s="2">
        <v>133143.952958059</v>
      </c>
      <c r="AV268" s="2">
        <v>45320.647335824302</v>
      </c>
      <c r="AW268" s="2">
        <v>67005.238521567997</v>
      </c>
      <c r="AX268" s="2">
        <v>84297.116248513004</v>
      </c>
    </row>
    <row r="269" spans="1:50" x14ac:dyDescent="0.25">
      <c r="A269" s="2" t="s">
        <v>847</v>
      </c>
      <c r="B269" s="2">
        <v>303.23254109088401</v>
      </c>
      <c r="C269" s="2">
        <v>10.7136833333333</v>
      </c>
      <c r="D269" s="2" t="s">
        <v>51</v>
      </c>
      <c r="E269" s="2" t="s">
        <v>848</v>
      </c>
      <c r="F269" s="2">
        <v>4015</v>
      </c>
      <c r="G269" s="3" t="str">
        <f>HYPERLINK("https://cloud.oebiotech.com/#/lm/network/4015", "https://cloud.oebiotech.com/#/lm/network/4015")</f>
        <v>https://cloud.oebiotech.com/#/lm/network/4015</v>
      </c>
      <c r="H269" s="2" t="s">
        <v>849</v>
      </c>
      <c r="I269" s="2">
        <v>36326</v>
      </c>
      <c r="J269" s="2" t="s">
        <v>850</v>
      </c>
      <c r="K269" s="2">
        <v>9548883</v>
      </c>
      <c r="L269" s="2" t="s">
        <v>851</v>
      </c>
      <c r="M269" s="2" t="s">
        <v>305</v>
      </c>
      <c r="N269" s="2" t="s">
        <v>306</v>
      </c>
      <c r="O269" s="2">
        <v>34185</v>
      </c>
      <c r="P269" s="2"/>
      <c r="Q269" s="2"/>
      <c r="R269" s="2" t="s">
        <v>852</v>
      </c>
      <c r="S269" s="2" t="s">
        <v>853</v>
      </c>
      <c r="T269" s="2" t="s">
        <v>854</v>
      </c>
      <c r="U269" s="2" t="s">
        <v>56</v>
      </c>
      <c r="V269" s="2" t="s">
        <v>145</v>
      </c>
      <c r="W269" s="2" t="s">
        <v>187</v>
      </c>
      <c r="X269" s="2" t="s">
        <v>69</v>
      </c>
      <c r="Y269" s="2">
        <v>71</v>
      </c>
      <c r="Z269" s="2">
        <v>77.099999999999994</v>
      </c>
      <c r="AA269" s="2" t="s">
        <v>196</v>
      </c>
      <c r="AB269" s="2" t="s">
        <v>205</v>
      </c>
      <c r="AC269" s="2">
        <v>2.1373542997013302</v>
      </c>
      <c r="AD269" s="2"/>
      <c r="AE269" s="2">
        <v>1.62233762710364</v>
      </c>
      <c r="AF269" s="2">
        <v>359787.32619015698</v>
      </c>
      <c r="AG269" s="2">
        <v>276104.56225082499</v>
      </c>
      <c r="AH269" s="5">
        <v>1.30308359723267</v>
      </c>
      <c r="AI269" s="5">
        <v>0.38192964065532198</v>
      </c>
      <c r="AJ269" s="5" t="s">
        <v>139</v>
      </c>
      <c r="AK269" s="2">
        <v>3.6422726075868203E-2</v>
      </c>
      <c r="AL269" s="2">
        <v>0.27847173649657597</v>
      </c>
      <c r="AM269" s="2">
        <v>299476.13015616999</v>
      </c>
      <c r="AN269" s="2">
        <v>420850.66689400998</v>
      </c>
      <c r="AO269" s="2">
        <v>338193.44233138999</v>
      </c>
      <c r="AP269" s="2">
        <v>287039.02885953698</v>
      </c>
      <c r="AQ269" s="2">
        <v>453474.32047084201</v>
      </c>
      <c r="AR269" s="2">
        <v>359690.36842899298</v>
      </c>
      <c r="AS269" s="2">
        <v>332066.98106279603</v>
      </c>
      <c r="AT269" s="2">
        <v>218992.32037448001</v>
      </c>
      <c r="AU269" s="2">
        <v>325176.37175748299</v>
      </c>
      <c r="AV269" s="2">
        <v>249009.510803435</v>
      </c>
      <c r="AW269" s="2">
        <v>312548.776722159</v>
      </c>
      <c r="AX269" s="2">
        <v>218833.412784596</v>
      </c>
    </row>
    <row r="270" spans="1:50" x14ac:dyDescent="0.25">
      <c r="A270" s="2" t="s">
        <v>2718</v>
      </c>
      <c r="B270" s="2">
        <v>365.10654456233999</v>
      </c>
      <c r="C270" s="2">
        <v>0.68110000000000004</v>
      </c>
      <c r="D270" s="2" t="s">
        <v>51</v>
      </c>
      <c r="E270" s="2" t="s">
        <v>2719</v>
      </c>
      <c r="F270" s="2">
        <v>197160</v>
      </c>
      <c r="G270" s="3" t="str">
        <f>HYPERLINK("https://cloud.oebiotech.com/#/lm/network/197160", "https://cloud.oebiotech.com/#/lm/network/197160")</f>
        <v>https://cloud.oebiotech.com/#/lm/network/197160</v>
      </c>
      <c r="H270" s="2" t="s">
        <v>2720</v>
      </c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 t="s">
        <v>2721</v>
      </c>
      <c r="T270" s="2" t="s">
        <v>2722</v>
      </c>
      <c r="U270" s="2" t="s">
        <v>2723</v>
      </c>
      <c r="V270" s="2" t="s">
        <v>2724</v>
      </c>
      <c r="W270" s="2" t="s">
        <v>2725</v>
      </c>
      <c r="X270" s="2" t="s">
        <v>147</v>
      </c>
      <c r="Y270" s="2">
        <v>38.5</v>
      </c>
      <c r="Z270" s="2">
        <v>9.4700000000000006</v>
      </c>
      <c r="AA270" s="2" t="s">
        <v>179</v>
      </c>
      <c r="AB270" s="2" t="s">
        <v>2726</v>
      </c>
      <c r="AC270" s="2">
        <v>3.1634195200243802</v>
      </c>
      <c r="AD270" s="2"/>
      <c r="AE270" s="2">
        <v>1.6189033114285201</v>
      </c>
      <c r="AF270" s="2">
        <v>77647.077112896994</v>
      </c>
      <c r="AG270" s="2">
        <v>159994.58382174099</v>
      </c>
      <c r="AH270" s="4">
        <v>0.48531066026214997</v>
      </c>
      <c r="AI270" s="4">
        <v>-1.0430195444114101</v>
      </c>
      <c r="AJ270" s="4" t="s">
        <v>62</v>
      </c>
      <c r="AK270" s="2">
        <v>0.13445013733871</v>
      </c>
      <c r="AL270" s="2">
        <v>0.45509148539334099</v>
      </c>
      <c r="AM270" s="2">
        <v>7308.3343282779097</v>
      </c>
      <c r="AN270" s="2">
        <v>70321.783163764194</v>
      </c>
      <c r="AO270" s="2">
        <v>61750.519386063897</v>
      </c>
      <c r="AP270" s="2">
        <v>30412.165385476201</v>
      </c>
      <c r="AQ270" s="2">
        <v>95833.822246676005</v>
      </c>
      <c r="AR270" s="2">
        <v>200255.83816712399</v>
      </c>
      <c r="AS270" s="2">
        <v>283140.08782204299</v>
      </c>
      <c r="AT270" s="2">
        <v>234466.52958681199</v>
      </c>
      <c r="AU270" s="2">
        <v>16604.281872767398</v>
      </c>
      <c r="AV270" s="2">
        <v>160641.901407119</v>
      </c>
      <c r="AW270" s="2">
        <v>58154.838859491203</v>
      </c>
      <c r="AX270" s="2">
        <v>206959.86338221299</v>
      </c>
    </row>
    <row r="271" spans="1:50" x14ac:dyDescent="0.25">
      <c r="A271" s="2" t="s">
        <v>2727</v>
      </c>
      <c r="B271" s="2">
        <v>75.006110000000007</v>
      </c>
      <c r="C271" s="2">
        <v>22.489000000000001</v>
      </c>
      <c r="D271" s="2" t="s">
        <v>125</v>
      </c>
      <c r="E271" s="2" t="s">
        <v>2728</v>
      </c>
      <c r="F271" s="2">
        <v>631</v>
      </c>
      <c r="G271" s="3" t="str">
        <f>HYPERLINK("https://cloud.oebiotech.com/#/lm/network/631", "https://cloud.oebiotech.com/#/lm/network/631")</f>
        <v>https://cloud.oebiotech.com/#/lm/network/631</v>
      </c>
      <c r="H271" s="2" t="s">
        <v>2729</v>
      </c>
      <c r="I271" s="2">
        <v>62957</v>
      </c>
      <c r="J271" s="2" t="s">
        <v>2730</v>
      </c>
      <c r="K271" s="2">
        <v>5282457</v>
      </c>
      <c r="L271" s="2"/>
      <c r="M271" s="2"/>
      <c r="N271" s="2"/>
      <c r="O271" s="2">
        <v>75108</v>
      </c>
      <c r="P271" s="2"/>
      <c r="Q271" s="2"/>
      <c r="R271" s="2" t="s">
        <v>2731</v>
      </c>
      <c r="S271" s="2" t="s">
        <v>2732</v>
      </c>
      <c r="T271" s="2" t="s">
        <v>2733</v>
      </c>
      <c r="U271" s="2" t="s">
        <v>56</v>
      </c>
      <c r="V271" s="2" t="s">
        <v>145</v>
      </c>
      <c r="W271" s="2" t="s">
        <v>203</v>
      </c>
      <c r="X271" s="2" t="s">
        <v>69</v>
      </c>
      <c r="Y271" s="2">
        <v>98.4</v>
      </c>
      <c r="Z271" s="2">
        <v>98.8</v>
      </c>
      <c r="AA271" s="2"/>
      <c r="AB271" s="2" t="s">
        <v>598</v>
      </c>
      <c r="AC271" s="2"/>
      <c r="AD271" s="2">
        <v>778566.05978260899</v>
      </c>
      <c r="AE271" s="2">
        <v>1.6139328866247999</v>
      </c>
      <c r="AF271" s="2">
        <v>908821.06989259995</v>
      </c>
      <c r="AG271" s="2">
        <v>1526230.4112097099</v>
      </c>
      <c r="AH271" s="4">
        <v>0.59546780303784996</v>
      </c>
      <c r="AI271" s="4">
        <v>-0.74790459125370701</v>
      </c>
      <c r="AJ271" s="4" t="s">
        <v>62</v>
      </c>
      <c r="AK271" s="2">
        <v>9.4998002258926198E-2</v>
      </c>
      <c r="AL271" s="2">
        <v>0.39518270427574997</v>
      </c>
      <c r="AM271" s="2">
        <v>936823.79772618797</v>
      </c>
      <c r="AN271" s="2">
        <v>950122.36766185996</v>
      </c>
      <c r="AO271" s="2">
        <v>1230221.4052108401</v>
      </c>
      <c r="AP271" s="2">
        <v>676532.47310882597</v>
      </c>
      <c r="AQ271" s="2">
        <v>773854.98989166599</v>
      </c>
      <c r="AR271" s="2">
        <v>885371.38575621904</v>
      </c>
      <c r="AS271" s="2">
        <v>444440.23058678198</v>
      </c>
      <c r="AT271" s="2">
        <v>800924.70592146902</v>
      </c>
      <c r="AU271" s="2">
        <v>2119525.9794742302</v>
      </c>
      <c r="AV271" s="2">
        <v>2089281.7002679</v>
      </c>
      <c r="AW271" s="2">
        <v>2403006.1148819202</v>
      </c>
      <c r="AX271" s="2">
        <v>1300203.73612595</v>
      </c>
    </row>
    <row r="272" spans="1:50" x14ac:dyDescent="0.25">
      <c r="A272" s="2" t="s">
        <v>2734</v>
      </c>
      <c r="B272" s="2">
        <v>373.27501685610298</v>
      </c>
      <c r="C272" s="2">
        <v>6.8496833333333296</v>
      </c>
      <c r="D272" s="2" t="s">
        <v>51</v>
      </c>
      <c r="E272" s="2" t="s">
        <v>2735</v>
      </c>
      <c r="F272" s="2">
        <v>46147</v>
      </c>
      <c r="G272" s="3" t="str">
        <f>HYPERLINK("https://cloud.oebiotech.com/#/lm/network/46147", "https://cloud.oebiotech.com/#/lm/network/46147")</f>
        <v>https://cloud.oebiotech.com/#/lm/network/46147</v>
      </c>
      <c r="H272" s="2"/>
      <c r="I272" s="2">
        <v>84600</v>
      </c>
      <c r="J272" s="2" t="s">
        <v>2736</v>
      </c>
      <c r="K272" s="2">
        <v>5284040</v>
      </c>
      <c r="L272" s="2"/>
      <c r="M272" s="2"/>
      <c r="N272" s="2"/>
      <c r="O272" s="2">
        <v>137786</v>
      </c>
      <c r="P272" s="2"/>
      <c r="Q272" s="2"/>
      <c r="R272" s="2"/>
      <c r="S272" s="2" t="s">
        <v>2737</v>
      </c>
      <c r="T272" s="2" t="s">
        <v>2738</v>
      </c>
      <c r="U272" s="2" t="s">
        <v>56</v>
      </c>
      <c r="V272" s="2" t="s">
        <v>283</v>
      </c>
      <c r="W272" s="2" t="s">
        <v>492</v>
      </c>
      <c r="X272" s="2" t="s">
        <v>59</v>
      </c>
      <c r="Y272" s="2">
        <v>49.8</v>
      </c>
      <c r="Z272" s="2">
        <v>57.5</v>
      </c>
      <c r="AA272" s="2" t="s">
        <v>179</v>
      </c>
      <c r="AB272" s="2" t="s">
        <v>2554</v>
      </c>
      <c r="AC272" s="2">
        <v>3.479794970455</v>
      </c>
      <c r="AD272" s="2"/>
      <c r="AE272" s="2">
        <v>1.60420943881401</v>
      </c>
      <c r="AF272" s="2">
        <v>187075.92529213001</v>
      </c>
      <c r="AG272" s="2">
        <v>6092.3540292391899</v>
      </c>
      <c r="AH272" s="5">
        <v>30.706673380156801</v>
      </c>
      <c r="AI272" s="5">
        <v>4.9404803207176498</v>
      </c>
      <c r="AJ272" s="5" t="s">
        <v>139</v>
      </c>
      <c r="AK272" s="2">
        <v>0.26711056612032502</v>
      </c>
      <c r="AL272" s="2">
        <v>0.58823162872384205</v>
      </c>
      <c r="AM272" s="2">
        <v>8.559877937157E-6</v>
      </c>
      <c r="AN272" s="2">
        <v>183.28191862646401</v>
      </c>
      <c r="AO272" s="2">
        <v>3.3252610741895099</v>
      </c>
      <c r="AP272" s="2">
        <v>200.04844063033599</v>
      </c>
      <c r="AQ272" s="2">
        <v>942833.39832792804</v>
      </c>
      <c r="AR272" s="2">
        <v>179235.497795962</v>
      </c>
      <c r="AS272" s="2">
        <v>664.10541102678599</v>
      </c>
      <c r="AT272" s="2">
        <v>3316.35172220594</v>
      </c>
      <c r="AU272" s="2">
        <v>13024.351516042499</v>
      </c>
      <c r="AV272" s="2">
        <v>19545.4919869763</v>
      </c>
      <c r="AW272" s="2">
        <v>8.559877937157E-6</v>
      </c>
      <c r="AX272" s="2">
        <v>3.8235306237114899</v>
      </c>
    </row>
    <row r="273" spans="1:50" x14ac:dyDescent="0.25">
      <c r="A273" s="2" t="s">
        <v>2739</v>
      </c>
      <c r="B273" s="2">
        <v>413.20060165442902</v>
      </c>
      <c r="C273" s="2">
        <v>6.3253166666666703</v>
      </c>
      <c r="D273" s="2" t="s">
        <v>51</v>
      </c>
      <c r="E273" s="2" t="s">
        <v>2740</v>
      </c>
      <c r="F273" s="2">
        <v>198899</v>
      </c>
      <c r="G273" s="3" t="str">
        <f>HYPERLINK("https://cloud.oebiotech.com/#/lm/network/198899", "https://cloud.oebiotech.com/#/lm/network/198899")</f>
        <v>https://cloud.oebiotech.com/#/lm/network/198899</v>
      </c>
      <c r="H273" s="2" t="s">
        <v>2741</v>
      </c>
      <c r="I273" s="2"/>
      <c r="J273" s="2"/>
      <c r="K273" s="2">
        <v>14182684</v>
      </c>
      <c r="L273" s="2"/>
      <c r="M273" s="2"/>
      <c r="N273" s="2"/>
      <c r="O273" s="2"/>
      <c r="P273" s="2"/>
      <c r="Q273" s="2"/>
      <c r="R273" s="2"/>
      <c r="S273" s="2" t="s">
        <v>2742</v>
      </c>
      <c r="T273" s="2" t="s">
        <v>2743</v>
      </c>
      <c r="U273" s="2" t="s">
        <v>610</v>
      </c>
      <c r="V273" s="2" t="s">
        <v>611</v>
      </c>
      <c r="W273" s="2" t="s">
        <v>2744</v>
      </c>
      <c r="X273" s="2" t="s">
        <v>147</v>
      </c>
      <c r="Y273" s="2">
        <v>39.6</v>
      </c>
      <c r="Z273" s="2">
        <v>0.54</v>
      </c>
      <c r="AA273" s="2" t="s">
        <v>218</v>
      </c>
      <c r="AB273" s="2" t="s">
        <v>2745</v>
      </c>
      <c r="AC273" s="2">
        <v>0.72862139131624803</v>
      </c>
      <c r="AD273" s="2"/>
      <c r="AE273" s="2">
        <v>1.6018588757377701</v>
      </c>
      <c r="AF273" s="2">
        <v>84881.999862159704</v>
      </c>
      <c r="AG273" s="2">
        <v>180483.04744893301</v>
      </c>
      <c r="AH273" s="4">
        <v>0.47030455802879101</v>
      </c>
      <c r="AI273" s="4">
        <v>-1.08833278052335</v>
      </c>
      <c r="AJ273" s="4" t="s">
        <v>62</v>
      </c>
      <c r="AK273" s="2">
        <v>9.90469112484402E-2</v>
      </c>
      <c r="AL273" s="2">
        <v>0.40103511620674198</v>
      </c>
      <c r="AM273" s="2">
        <v>60473.292151950402</v>
      </c>
      <c r="AN273" s="2">
        <v>113805.121654752</v>
      </c>
      <c r="AO273" s="2">
        <v>92141.409844992202</v>
      </c>
      <c r="AP273" s="2">
        <v>84779.094863533304</v>
      </c>
      <c r="AQ273" s="2">
        <v>67412.090261053498</v>
      </c>
      <c r="AR273" s="2">
        <v>90680.990396676803</v>
      </c>
      <c r="AS273" s="2">
        <v>121040.879104187</v>
      </c>
      <c r="AT273" s="2">
        <v>305883.45381788601</v>
      </c>
      <c r="AU273" s="2">
        <v>90052.997746341498</v>
      </c>
      <c r="AV273" s="2">
        <v>376832.91228921898</v>
      </c>
      <c r="AW273" s="2">
        <v>107653.98080160101</v>
      </c>
      <c r="AX273" s="2">
        <v>81434.060934363995</v>
      </c>
    </row>
    <row r="274" spans="1:50" x14ac:dyDescent="0.25">
      <c r="A274" s="2" t="s">
        <v>2746</v>
      </c>
      <c r="B274" s="2">
        <v>510.35704138941202</v>
      </c>
      <c r="C274" s="2">
        <v>11.210366666666699</v>
      </c>
      <c r="D274" s="2" t="s">
        <v>51</v>
      </c>
      <c r="E274" s="2" t="s">
        <v>2747</v>
      </c>
      <c r="F274" s="2">
        <v>19833</v>
      </c>
      <c r="G274" s="3" t="str">
        <f>HYPERLINK("https://cloud.oebiotech.com/#/lm/network/19833", "https://cloud.oebiotech.com/#/lm/network/19833")</f>
        <v>https://cloud.oebiotech.com/#/lm/network/19833</v>
      </c>
      <c r="H274" s="2" t="s">
        <v>2748</v>
      </c>
      <c r="I274" s="2">
        <v>24068</v>
      </c>
      <c r="J274" s="2" t="s">
        <v>2749</v>
      </c>
      <c r="K274" s="2">
        <v>24779463</v>
      </c>
      <c r="L274" s="2" t="s">
        <v>691</v>
      </c>
      <c r="M274" s="2" t="s">
        <v>692</v>
      </c>
      <c r="N274" s="2" t="s">
        <v>693</v>
      </c>
      <c r="O274" s="2">
        <v>74340</v>
      </c>
      <c r="P274" s="2"/>
      <c r="Q274" s="2"/>
      <c r="R274" s="2" t="s">
        <v>2750</v>
      </c>
      <c r="S274" s="2" t="s">
        <v>2751</v>
      </c>
      <c r="T274" s="2" t="s">
        <v>2752</v>
      </c>
      <c r="U274" s="2" t="s">
        <v>56</v>
      </c>
      <c r="V274" s="2" t="s">
        <v>57</v>
      </c>
      <c r="W274" s="2" t="s">
        <v>58</v>
      </c>
      <c r="X274" s="2" t="s">
        <v>69</v>
      </c>
      <c r="Y274" s="2">
        <v>69.2</v>
      </c>
      <c r="Z274" s="2">
        <v>82.1</v>
      </c>
      <c r="AA274" s="2" t="s">
        <v>259</v>
      </c>
      <c r="AB274" s="2" t="s">
        <v>1683</v>
      </c>
      <c r="AC274" s="2">
        <v>3.1909767113090002</v>
      </c>
      <c r="AD274" s="2"/>
      <c r="AE274" s="2">
        <v>1.59994477710989</v>
      </c>
      <c r="AF274" s="2">
        <v>1553900.11883075</v>
      </c>
      <c r="AG274" s="2">
        <v>1959594.8702547699</v>
      </c>
      <c r="AH274" s="4">
        <v>0.79297008908210198</v>
      </c>
      <c r="AI274" s="4">
        <v>-0.33466164654545399</v>
      </c>
      <c r="AJ274" s="4" t="s">
        <v>62</v>
      </c>
      <c r="AK274" s="2">
        <v>0.50270905728819504</v>
      </c>
      <c r="AL274" s="2">
        <v>0.73972644314148805</v>
      </c>
      <c r="AM274" s="2">
        <v>2232417.1304316898</v>
      </c>
      <c r="AN274" s="2">
        <v>1468571.5605727499</v>
      </c>
      <c r="AO274" s="2">
        <v>1424689.79576109</v>
      </c>
      <c r="AP274" s="2">
        <v>824549.00876923394</v>
      </c>
      <c r="AQ274" s="2">
        <v>2222525.4097639299</v>
      </c>
      <c r="AR274" s="2">
        <v>1150647.8076858299</v>
      </c>
      <c r="AS274" s="2">
        <v>776630.74088157795</v>
      </c>
      <c r="AT274" s="2">
        <v>628991.16297981597</v>
      </c>
      <c r="AU274" s="2">
        <v>4026757.61997768</v>
      </c>
      <c r="AV274" s="2">
        <v>2348023.0161289298</v>
      </c>
      <c r="AW274" s="2">
        <v>2692912.8559605698</v>
      </c>
      <c r="AX274" s="2">
        <v>1284253.8256000399</v>
      </c>
    </row>
    <row r="275" spans="1:50" x14ac:dyDescent="0.25">
      <c r="A275" s="2" t="s">
        <v>2753</v>
      </c>
      <c r="B275" s="2">
        <v>195.050357697566</v>
      </c>
      <c r="C275" s="2">
        <v>0.68473333333333297</v>
      </c>
      <c r="D275" s="2" t="s">
        <v>51</v>
      </c>
      <c r="E275" s="2" t="s">
        <v>2754</v>
      </c>
      <c r="F275" s="2">
        <v>273775</v>
      </c>
      <c r="G275" s="3" t="str">
        <f>HYPERLINK("https://cloud.oebiotech.com/#/lm/network/273775", "https://cloud.oebiotech.com/#/lm/network/273775")</f>
        <v>https://cloud.oebiotech.com/#/lm/network/273775</v>
      </c>
      <c r="H275" s="2" t="s">
        <v>2755</v>
      </c>
      <c r="I275" s="2">
        <v>63111</v>
      </c>
      <c r="J275" s="2"/>
      <c r="K275" s="2">
        <v>439195</v>
      </c>
      <c r="L275" s="2" t="s">
        <v>2756</v>
      </c>
      <c r="M275" s="2" t="s">
        <v>2757</v>
      </c>
      <c r="N275" s="2" t="s">
        <v>2758</v>
      </c>
      <c r="O275" s="2"/>
      <c r="P275" s="2"/>
      <c r="Q275" s="2"/>
      <c r="R275" s="2" t="s">
        <v>2759</v>
      </c>
      <c r="S275" s="2" t="s">
        <v>2760</v>
      </c>
      <c r="T275" s="2" t="s">
        <v>2761</v>
      </c>
      <c r="U275" s="2" t="s">
        <v>331</v>
      </c>
      <c r="V275" s="2" t="s">
        <v>332</v>
      </c>
      <c r="W275" s="2" t="s">
        <v>333</v>
      </c>
      <c r="X275" s="2" t="s">
        <v>83</v>
      </c>
      <c r="Y275" s="2">
        <v>40</v>
      </c>
      <c r="Z275" s="2">
        <v>0</v>
      </c>
      <c r="AA275" s="2" t="s">
        <v>218</v>
      </c>
      <c r="AB275" s="2" t="s">
        <v>2762</v>
      </c>
      <c r="AC275" s="2">
        <v>-4.4557037927867702</v>
      </c>
      <c r="AD275" s="2"/>
      <c r="AE275" s="2">
        <v>1.5979206716919601</v>
      </c>
      <c r="AF275" s="2">
        <v>121529.55564125199</v>
      </c>
      <c r="AG275" s="2">
        <v>400969.33589303598</v>
      </c>
      <c r="AH275" s="4">
        <v>0.30308940051633199</v>
      </c>
      <c r="AI275" s="4">
        <v>-1.7221846950577999</v>
      </c>
      <c r="AJ275" s="4" t="s">
        <v>62</v>
      </c>
      <c r="AK275" s="2">
        <v>0.30062216289438698</v>
      </c>
      <c r="AL275" s="2">
        <v>0.61037838979491599</v>
      </c>
      <c r="AM275" s="2">
        <v>178392.102315214</v>
      </c>
      <c r="AN275" s="2">
        <v>145123.69211502501</v>
      </c>
      <c r="AO275" s="2">
        <v>47589.301624596497</v>
      </c>
      <c r="AP275" s="2">
        <v>91595.913271500001</v>
      </c>
      <c r="AQ275" s="2">
        <v>186661.104617973</v>
      </c>
      <c r="AR275" s="2">
        <v>79815.219903203397</v>
      </c>
      <c r="AS275" s="2">
        <v>307683.834151496</v>
      </c>
      <c r="AT275" s="2">
        <v>1663802.2474410799</v>
      </c>
      <c r="AU275" s="2">
        <v>166108.52229539299</v>
      </c>
      <c r="AV275" s="2">
        <v>86109.126222687803</v>
      </c>
      <c r="AW275" s="2">
        <v>96938.629508184604</v>
      </c>
      <c r="AX275" s="2">
        <v>85173.655739374997</v>
      </c>
    </row>
    <row r="276" spans="1:50" x14ac:dyDescent="0.25">
      <c r="A276" s="2" t="s">
        <v>855</v>
      </c>
      <c r="B276" s="2">
        <v>528.26398628048003</v>
      </c>
      <c r="C276" s="2">
        <v>6.2012166666666699</v>
      </c>
      <c r="D276" s="2" t="s">
        <v>51</v>
      </c>
      <c r="E276" s="2" t="s">
        <v>856</v>
      </c>
      <c r="F276" s="2">
        <v>206467</v>
      </c>
      <c r="G276" s="3" t="str">
        <f>HYPERLINK("https://cloud.oebiotech.com/#/lm/network/206467", "https://cloud.oebiotech.com/#/lm/network/206467")</f>
        <v>https://cloud.oebiotech.com/#/lm/network/206467</v>
      </c>
      <c r="H276" s="2" t="s">
        <v>857</v>
      </c>
      <c r="I276" s="2"/>
      <c r="J276" s="2"/>
      <c r="K276" s="2">
        <v>275306</v>
      </c>
      <c r="L276" s="2"/>
      <c r="M276" s="2"/>
      <c r="N276" s="2"/>
      <c r="O276" s="2"/>
      <c r="P276" s="2"/>
      <c r="Q276" s="2"/>
      <c r="R276" s="2"/>
      <c r="S276" s="2" t="s">
        <v>858</v>
      </c>
      <c r="T276" s="2" t="s">
        <v>859</v>
      </c>
      <c r="U276" s="2" t="s">
        <v>238</v>
      </c>
      <c r="V276" s="2" t="s">
        <v>860</v>
      </c>
      <c r="W276" s="2" t="s">
        <v>861</v>
      </c>
      <c r="X276" s="2" t="s">
        <v>83</v>
      </c>
      <c r="Y276" s="2">
        <v>41.1</v>
      </c>
      <c r="Z276" s="2">
        <v>3.0700000000000002E-2</v>
      </c>
      <c r="AA276" s="2" t="s">
        <v>379</v>
      </c>
      <c r="AB276" s="2" t="s">
        <v>862</v>
      </c>
      <c r="AC276" s="2">
        <v>4.3087530640532004</v>
      </c>
      <c r="AD276" s="2"/>
      <c r="AE276" s="2">
        <v>1.59032912139771</v>
      </c>
      <c r="AF276" s="2">
        <v>30132.7653617781</v>
      </c>
      <c r="AG276" s="2">
        <v>110391.472913998</v>
      </c>
      <c r="AH276" s="4">
        <v>0.27296279836082499</v>
      </c>
      <c r="AI276" s="4">
        <v>-1.87322375281741</v>
      </c>
      <c r="AJ276" s="4" t="s">
        <v>62</v>
      </c>
      <c r="AK276" s="2">
        <v>4.38842937010172E-2</v>
      </c>
      <c r="AL276" s="2">
        <v>0.297793096711781</v>
      </c>
      <c r="AM276" s="2">
        <v>33007.221868088003</v>
      </c>
      <c r="AN276" s="2">
        <v>19757.074546650401</v>
      </c>
      <c r="AO276" s="2">
        <v>2748.27939494057</v>
      </c>
      <c r="AP276" s="2">
        <v>75859.448018708703</v>
      </c>
      <c r="AQ276" s="2">
        <v>8896.2987299689703</v>
      </c>
      <c r="AR276" s="2">
        <v>40528.269612311997</v>
      </c>
      <c r="AS276" s="2">
        <v>208194.26156487799</v>
      </c>
      <c r="AT276" s="2">
        <v>195304.740526868</v>
      </c>
      <c r="AU276" s="2">
        <v>98235.444926509896</v>
      </c>
      <c r="AV276" s="2">
        <v>116926.732402425</v>
      </c>
      <c r="AW276" s="2">
        <v>32103.130129106001</v>
      </c>
      <c r="AX276" s="2">
        <v>11584.5279342018</v>
      </c>
    </row>
    <row r="277" spans="1:50" x14ac:dyDescent="0.25">
      <c r="A277" s="2" t="s">
        <v>2763</v>
      </c>
      <c r="B277" s="2">
        <v>181.07244333922799</v>
      </c>
      <c r="C277" s="2">
        <v>3.64313333333333</v>
      </c>
      <c r="D277" s="2" t="s">
        <v>51</v>
      </c>
      <c r="E277" s="2" t="s">
        <v>2764</v>
      </c>
      <c r="F277" s="2">
        <v>47696</v>
      </c>
      <c r="G277" s="3" t="str">
        <f>HYPERLINK("https://cloud.oebiotech.com/#/lm/network/47696", "https://cloud.oebiotech.com/#/lm/network/47696")</f>
        <v>https://cloud.oebiotech.com/#/lm/network/47696</v>
      </c>
      <c r="H277" s="2" t="s">
        <v>2765</v>
      </c>
      <c r="I277" s="2">
        <v>1458</v>
      </c>
      <c r="J277" s="2"/>
      <c r="K277" s="2">
        <v>2153</v>
      </c>
      <c r="L277" s="2" t="s">
        <v>2766</v>
      </c>
      <c r="M277" s="2" t="s">
        <v>2767</v>
      </c>
      <c r="N277" s="2" t="s">
        <v>2768</v>
      </c>
      <c r="O277" s="2">
        <v>28177</v>
      </c>
      <c r="P277" s="2"/>
      <c r="Q277" s="2"/>
      <c r="R277" s="2" t="s">
        <v>2769</v>
      </c>
      <c r="S277" s="2" t="s">
        <v>2770</v>
      </c>
      <c r="T277" s="2" t="s">
        <v>2771</v>
      </c>
      <c r="U277" s="2" t="s">
        <v>266</v>
      </c>
      <c r="V277" s="2" t="s">
        <v>2772</v>
      </c>
      <c r="W277" s="2" t="s">
        <v>2773</v>
      </c>
      <c r="X277" s="2" t="s">
        <v>69</v>
      </c>
      <c r="Y277" s="2">
        <v>54.1</v>
      </c>
      <c r="Z277" s="2">
        <v>68.099999999999994</v>
      </c>
      <c r="AA277" s="2" t="s">
        <v>259</v>
      </c>
      <c r="AB277" s="2" t="s">
        <v>2774</v>
      </c>
      <c r="AC277" s="2">
        <v>2.45129825601791</v>
      </c>
      <c r="AD277" s="2"/>
      <c r="AE277" s="2">
        <v>1.58666218279753</v>
      </c>
      <c r="AF277" s="2">
        <v>87616.3404421265</v>
      </c>
      <c r="AG277" s="2">
        <v>575.20356773863205</v>
      </c>
      <c r="AH277" s="5">
        <v>152.32231744768799</v>
      </c>
      <c r="AI277" s="5">
        <v>7.2509835230136099</v>
      </c>
      <c r="AJ277" s="5" t="s">
        <v>139</v>
      </c>
      <c r="AK277" s="2">
        <v>0.162264485576676</v>
      </c>
      <c r="AL277" s="2">
        <v>0.48399353100485398</v>
      </c>
      <c r="AM277" s="2">
        <v>466.99129318103098</v>
      </c>
      <c r="AN277" s="2">
        <v>195462.823851767</v>
      </c>
      <c r="AO277" s="2">
        <v>328153.06626085402</v>
      </c>
      <c r="AP277" s="2">
        <v>718.05749056725097</v>
      </c>
      <c r="AQ277" s="2">
        <v>707.55101217938704</v>
      </c>
      <c r="AR277" s="2">
        <v>189.552744210584</v>
      </c>
      <c r="AS277" s="2">
        <v>308.756540501269</v>
      </c>
      <c r="AT277" s="2">
        <v>1028.0985780593101</v>
      </c>
      <c r="AU277" s="2">
        <v>375.90813573657499</v>
      </c>
      <c r="AV277" s="2">
        <v>8.559877937157E-6</v>
      </c>
      <c r="AW277" s="2">
        <v>1641.43610101073</v>
      </c>
      <c r="AX277" s="2">
        <v>97.022042564029704</v>
      </c>
    </row>
    <row r="278" spans="1:50" x14ac:dyDescent="0.25">
      <c r="A278" s="2" t="s">
        <v>2775</v>
      </c>
      <c r="B278" s="2">
        <v>388.23560365348499</v>
      </c>
      <c r="C278" s="2">
        <v>4.4640000000000004</v>
      </c>
      <c r="D278" s="2" t="s">
        <v>51</v>
      </c>
      <c r="E278" s="2" t="s">
        <v>2776</v>
      </c>
      <c r="F278" s="2">
        <v>212967</v>
      </c>
      <c r="G278" s="3" t="str">
        <f>HYPERLINK("https://cloud.oebiotech.com/#/lm/network/212967", "https://cloud.oebiotech.com/#/lm/network/212967")</f>
        <v>https://cloud.oebiotech.com/#/lm/network/212967</v>
      </c>
      <c r="H278" s="2" t="s">
        <v>2777</v>
      </c>
      <c r="I278" s="2">
        <v>44217</v>
      </c>
      <c r="J278" s="2"/>
      <c r="K278" s="2">
        <v>5639</v>
      </c>
      <c r="L278" s="2"/>
      <c r="M278" s="2"/>
      <c r="N278" s="2"/>
      <c r="O278" s="2"/>
      <c r="P278" s="2"/>
      <c r="Q278" s="2"/>
      <c r="R278" s="2" t="s">
        <v>2778</v>
      </c>
      <c r="S278" s="2" t="s">
        <v>2779</v>
      </c>
      <c r="T278" s="2" t="s">
        <v>2780</v>
      </c>
      <c r="U278" s="2" t="s">
        <v>266</v>
      </c>
      <c r="V278" s="2" t="s">
        <v>2781</v>
      </c>
      <c r="W278" s="2" t="s">
        <v>2782</v>
      </c>
      <c r="X278" s="2" t="s">
        <v>59</v>
      </c>
      <c r="Y278" s="2">
        <v>50.9</v>
      </c>
      <c r="Z278" s="2">
        <v>63.5</v>
      </c>
      <c r="AA278" s="2" t="s">
        <v>106</v>
      </c>
      <c r="AB278" s="2" t="s">
        <v>2783</v>
      </c>
      <c r="AC278" s="2">
        <v>3.3246871796665198</v>
      </c>
      <c r="AD278" s="2"/>
      <c r="AE278" s="2">
        <v>1.5786487616665801</v>
      </c>
      <c r="AF278" s="2">
        <v>62329.716592249199</v>
      </c>
      <c r="AG278" s="2">
        <v>7304.2885631777999</v>
      </c>
      <c r="AH278" s="5">
        <v>8.5333042435459507</v>
      </c>
      <c r="AI278" s="5">
        <v>3.0931044862941901</v>
      </c>
      <c r="AJ278" s="5" t="s">
        <v>139</v>
      </c>
      <c r="AK278" s="2">
        <v>9.4564235957311699E-2</v>
      </c>
      <c r="AL278" s="2">
        <v>0.39518270427574997</v>
      </c>
      <c r="AM278" s="2">
        <v>124154.922858212</v>
      </c>
      <c r="AN278" s="2">
        <v>87886.3944959777</v>
      </c>
      <c r="AO278" s="2">
        <v>159593.63604807301</v>
      </c>
      <c r="AP278" s="2">
        <v>621.56372752053801</v>
      </c>
      <c r="AQ278" s="2">
        <v>874.69903592367996</v>
      </c>
      <c r="AR278" s="2">
        <v>847.083387788511</v>
      </c>
      <c r="AS278" s="2">
        <v>770.91947775064205</v>
      </c>
      <c r="AT278" s="2">
        <v>40674.458807509502</v>
      </c>
      <c r="AU278" s="2">
        <v>583.80289628702496</v>
      </c>
      <c r="AV278" s="2">
        <v>581.42625174327202</v>
      </c>
      <c r="AW278" s="2">
        <v>454.06247370605797</v>
      </c>
      <c r="AX278" s="2">
        <v>761.06147207027902</v>
      </c>
    </row>
    <row r="279" spans="1:50" x14ac:dyDescent="0.25">
      <c r="A279" s="2" t="s">
        <v>2784</v>
      </c>
      <c r="B279" s="2">
        <v>167.02016238037601</v>
      </c>
      <c r="C279" s="2">
        <v>0.99641666666666695</v>
      </c>
      <c r="D279" s="2" t="s">
        <v>51</v>
      </c>
      <c r="E279" s="2" t="s">
        <v>2785</v>
      </c>
      <c r="F279" s="2">
        <v>46976</v>
      </c>
      <c r="G279" s="3" t="str">
        <f>HYPERLINK("https://cloud.oebiotech.com/#/lm/network/46976", "https://cloud.oebiotech.com/#/lm/network/46976")</f>
        <v>https://cloud.oebiotech.com/#/lm/network/46976</v>
      </c>
      <c r="H279" s="2" t="s">
        <v>2786</v>
      </c>
      <c r="I279" s="2">
        <v>88</v>
      </c>
      <c r="J279" s="2"/>
      <c r="K279" s="2">
        <v>1175</v>
      </c>
      <c r="L279" s="2" t="s">
        <v>2787</v>
      </c>
      <c r="M279" s="2" t="s">
        <v>2788</v>
      </c>
      <c r="N279" s="2" t="s">
        <v>2789</v>
      </c>
      <c r="O279" s="2">
        <v>17775</v>
      </c>
      <c r="P279" s="2" t="s">
        <v>2790</v>
      </c>
      <c r="Q279" s="2" t="s">
        <v>2791</v>
      </c>
      <c r="R279" s="2" t="s">
        <v>2792</v>
      </c>
      <c r="S279" s="2" t="s">
        <v>2793</v>
      </c>
      <c r="T279" s="2" t="s">
        <v>2794</v>
      </c>
      <c r="U279" s="2" t="s">
        <v>266</v>
      </c>
      <c r="V279" s="2" t="s">
        <v>2772</v>
      </c>
      <c r="W279" s="2" t="s">
        <v>2773</v>
      </c>
      <c r="X279" s="2" t="s">
        <v>69</v>
      </c>
      <c r="Y279" s="2">
        <v>52.2</v>
      </c>
      <c r="Z279" s="2">
        <v>67.7</v>
      </c>
      <c r="AA279" s="2" t="s">
        <v>667</v>
      </c>
      <c r="AB279" s="2" t="s">
        <v>2795</v>
      </c>
      <c r="AC279" s="2">
        <v>-5.36334397117247</v>
      </c>
      <c r="AD279" s="2"/>
      <c r="AE279" s="2">
        <v>1.5777659010673999</v>
      </c>
      <c r="AF279" s="2">
        <v>775481.94367321499</v>
      </c>
      <c r="AG279" s="2">
        <v>833108.62007475598</v>
      </c>
      <c r="AH279" s="4">
        <v>0.93082933603979501</v>
      </c>
      <c r="AI279" s="4">
        <v>-0.10341141541591101</v>
      </c>
      <c r="AJ279" s="4" t="s">
        <v>62</v>
      </c>
      <c r="AK279" s="2">
        <v>0.84520941560461604</v>
      </c>
      <c r="AL279" s="2">
        <v>0.93101869922285796</v>
      </c>
      <c r="AM279" s="2">
        <v>146588.326389372</v>
      </c>
      <c r="AN279" s="2">
        <v>770483.32191297202</v>
      </c>
      <c r="AO279" s="2">
        <v>900646.51997207699</v>
      </c>
      <c r="AP279" s="2">
        <v>1379397.875486</v>
      </c>
      <c r="AQ279" s="2">
        <v>671668.74525087897</v>
      </c>
      <c r="AR279" s="2">
        <v>784106.87302798696</v>
      </c>
      <c r="AS279" s="2">
        <v>430026.249701928</v>
      </c>
      <c r="AT279" s="2">
        <v>385338.00376646098</v>
      </c>
      <c r="AU279" s="2">
        <v>303993.071874969</v>
      </c>
      <c r="AV279" s="2">
        <v>1623855.4606383599</v>
      </c>
      <c r="AW279" s="2">
        <v>1483334.5475795099</v>
      </c>
      <c r="AX279" s="2">
        <v>772104.386887306</v>
      </c>
    </row>
    <row r="280" spans="1:50" x14ac:dyDescent="0.25">
      <c r="A280" s="2" t="s">
        <v>863</v>
      </c>
      <c r="B280" s="2">
        <v>696.50117938938797</v>
      </c>
      <c r="C280" s="2">
        <v>11.777900000000001</v>
      </c>
      <c r="D280" s="2" t="s">
        <v>51</v>
      </c>
      <c r="E280" s="2" t="s">
        <v>864</v>
      </c>
      <c r="F280" s="2">
        <v>238361</v>
      </c>
      <c r="G280" s="3" t="str">
        <f>HYPERLINK("https://cloud.oebiotech.com/#/lm/network/238361", "https://cloud.oebiotech.com/#/lm/network/238361")</f>
        <v>https://cloud.oebiotech.com/#/lm/network/238361</v>
      </c>
      <c r="H280" s="2" t="s">
        <v>865</v>
      </c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 t="s">
        <v>866</v>
      </c>
      <c r="T280" s="2" t="s">
        <v>867</v>
      </c>
      <c r="U280" s="2" t="s">
        <v>56</v>
      </c>
      <c r="V280" s="2" t="s">
        <v>57</v>
      </c>
      <c r="W280" s="2" t="s">
        <v>155</v>
      </c>
      <c r="X280" s="2" t="s">
        <v>83</v>
      </c>
      <c r="Y280" s="2">
        <v>38</v>
      </c>
      <c r="Z280" s="2">
        <v>9.2899999999999996E-2</v>
      </c>
      <c r="AA280" s="2" t="s">
        <v>156</v>
      </c>
      <c r="AB280" s="2" t="s">
        <v>868</v>
      </c>
      <c r="AC280" s="2">
        <v>6.8854129392162804</v>
      </c>
      <c r="AD280" s="2"/>
      <c r="AE280" s="2">
        <v>1.5761075389685</v>
      </c>
      <c r="AF280" s="2">
        <v>88632.110639821694</v>
      </c>
      <c r="AG280" s="2">
        <v>134345.75147206101</v>
      </c>
      <c r="AH280" s="4">
        <v>0.659731399531858</v>
      </c>
      <c r="AI280" s="4">
        <v>-0.60004932410873701</v>
      </c>
      <c r="AJ280" s="4" t="s">
        <v>62</v>
      </c>
      <c r="AK280" s="2">
        <v>2.6072156457461501E-3</v>
      </c>
      <c r="AL280" s="2">
        <v>0.104588103302668</v>
      </c>
      <c r="AM280" s="2">
        <v>58646.346516425401</v>
      </c>
      <c r="AN280" s="2">
        <v>68612.985183637094</v>
      </c>
      <c r="AO280" s="2">
        <v>85232.949893738594</v>
      </c>
      <c r="AP280" s="2">
        <v>96062.912358798203</v>
      </c>
      <c r="AQ280" s="2">
        <v>118769.975117197</v>
      </c>
      <c r="AR280" s="2">
        <v>104467.49476913401</v>
      </c>
      <c r="AS280" s="2">
        <v>164095.83489744001</v>
      </c>
      <c r="AT280" s="2">
        <v>118512.098920291</v>
      </c>
      <c r="AU280" s="2">
        <v>133644.09224179201</v>
      </c>
      <c r="AV280" s="2">
        <v>117597.079737152</v>
      </c>
      <c r="AW280" s="2">
        <v>138555.26124750401</v>
      </c>
      <c r="AX280" s="2">
        <v>133670.141788184</v>
      </c>
    </row>
    <row r="281" spans="1:50" x14ac:dyDescent="0.25">
      <c r="A281" s="2" t="s">
        <v>2796</v>
      </c>
      <c r="B281" s="2">
        <v>321.24325183565497</v>
      </c>
      <c r="C281" s="2">
        <v>9.5221499999999999</v>
      </c>
      <c r="D281" s="2" t="s">
        <v>51</v>
      </c>
      <c r="E281" s="2" t="s">
        <v>2797</v>
      </c>
      <c r="F281" s="2">
        <v>62052</v>
      </c>
      <c r="G281" s="3" t="str">
        <f>HYPERLINK("https://cloud.oebiotech.com/#/lm/network/62052", "https://cloud.oebiotech.com/#/lm/network/62052")</f>
        <v>https://cloud.oebiotech.com/#/lm/network/62052</v>
      </c>
      <c r="H281" s="2" t="s">
        <v>2798</v>
      </c>
      <c r="I281" s="2">
        <v>93344</v>
      </c>
      <c r="J281" s="2"/>
      <c r="K281" s="2">
        <v>131752429</v>
      </c>
      <c r="L281" s="2"/>
      <c r="M281" s="2"/>
      <c r="N281" s="2"/>
      <c r="O281" s="2"/>
      <c r="P281" s="2"/>
      <c r="Q281" s="2"/>
      <c r="R281" s="2" t="s">
        <v>2799</v>
      </c>
      <c r="S281" s="2" t="s">
        <v>2800</v>
      </c>
      <c r="T281" s="2" t="s">
        <v>2801</v>
      </c>
      <c r="U281" s="2" t="s">
        <v>56</v>
      </c>
      <c r="V281" s="2" t="s">
        <v>177</v>
      </c>
      <c r="W281" s="2" t="s">
        <v>178</v>
      </c>
      <c r="X281" s="2" t="s">
        <v>69</v>
      </c>
      <c r="Y281" s="2">
        <v>60.8</v>
      </c>
      <c r="Z281" s="2">
        <v>63.4</v>
      </c>
      <c r="AA281" s="2" t="s">
        <v>179</v>
      </c>
      <c r="AB281" s="2" t="s">
        <v>205</v>
      </c>
      <c r="AC281" s="2">
        <v>2.5934652959465101</v>
      </c>
      <c r="AD281" s="2"/>
      <c r="AE281" s="2">
        <v>1.5730510518943299</v>
      </c>
      <c r="AF281" s="2">
        <v>134509.66041454501</v>
      </c>
      <c r="AG281" s="2">
        <v>74752.800406802096</v>
      </c>
      <c r="AH281" s="5">
        <v>1.7993929281919701</v>
      </c>
      <c r="AI281" s="5">
        <v>0.84751025810467495</v>
      </c>
      <c r="AJ281" s="5" t="s">
        <v>139</v>
      </c>
      <c r="AK281" s="2">
        <v>0.14506030933608</v>
      </c>
      <c r="AL281" s="2">
        <v>0.46795150714190697</v>
      </c>
      <c r="AM281" s="2">
        <v>296726.836471027</v>
      </c>
      <c r="AN281" s="2">
        <v>120741.131879789</v>
      </c>
      <c r="AO281" s="2">
        <v>88556.101715233206</v>
      </c>
      <c r="AP281" s="2">
        <v>89240.306589511994</v>
      </c>
      <c r="AQ281" s="2">
        <v>113586.77433147001</v>
      </c>
      <c r="AR281" s="2">
        <v>98206.811500239797</v>
      </c>
      <c r="AS281" s="2">
        <v>67935.992054941802</v>
      </c>
      <c r="AT281" s="2">
        <v>34211.404638881999</v>
      </c>
      <c r="AU281" s="2">
        <v>159538.45289650699</v>
      </c>
      <c r="AV281" s="2">
        <v>37249.581403826298</v>
      </c>
      <c r="AW281" s="2">
        <v>65402.9014821249</v>
      </c>
      <c r="AX281" s="2">
        <v>84178.469964530304</v>
      </c>
    </row>
    <row r="282" spans="1:50" x14ac:dyDescent="0.25">
      <c r="A282" s="2" t="s">
        <v>2802</v>
      </c>
      <c r="B282" s="2">
        <v>399.21540278462902</v>
      </c>
      <c r="C282" s="2">
        <v>9.1758500000000005</v>
      </c>
      <c r="D282" s="2" t="s">
        <v>51</v>
      </c>
      <c r="E282" s="2" t="s">
        <v>2803</v>
      </c>
      <c r="F282" s="2">
        <v>4878</v>
      </c>
      <c r="G282" s="3" t="str">
        <f>HYPERLINK("https://cloud.oebiotech.com/#/lm/network/4878", "https://cloud.oebiotech.com/#/lm/network/4878")</f>
        <v>https://cloud.oebiotech.com/#/lm/network/4878</v>
      </c>
      <c r="H282" s="2"/>
      <c r="I282" s="2">
        <v>75227</v>
      </c>
      <c r="J282" s="2" t="s">
        <v>2804</v>
      </c>
      <c r="K282" s="2">
        <v>53477499</v>
      </c>
      <c r="L282" s="2"/>
      <c r="M282" s="2"/>
      <c r="N282" s="2"/>
      <c r="O282" s="2"/>
      <c r="P282" s="2"/>
      <c r="Q282" s="2"/>
      <c r="R282" s="2"/>
      <c r="S282" s="2" t="s">
        <v>2805</v>
      </c>
      <c r="T282" s="2" t="s">
        <v>2806</v>
      </c>
      <c r="U282" s="2" t="s">
        <v>56</v>
      </c>
      <c r="V282" s="2" t="s">
        <v>145</v>
      </c>
      <c r="W282" s="2" t="s">
        <v>231</v>
      </c>
      <c r="X282" s="2" t="s">
        <v>69</v>
      </c>
      <c r="Y282" s="2">
        <v>57.1</v>
      </c>
      <c r="Z282" s="2">
        <v>48.7</v>
      </c>
      <c r="AA282" s="2" t="s">
        <v>526</v>
      </c>
      <c r="AB282" s="2" t="s">
        <v>1366</v>
      </c>
      <c r="AC282" s="2">
        <v>3.2107932000790198</v>
      </c>
      <c r="AD282" s="2"/>
      <c r="AE282" s="2">
        <v>1.57062730335084</v>
      </c>
      <c r="AF282" s="2">
        <v>186701.50276904</v>
      </c>
      <c r="AG282" s="2">
        <v>125770.915439305</v>
      </c>
      <c r="AH282" s="5">
        <v>1.48445689623003</v>
      </c>
      <c r="AI282" s="5">
        <v>0.56993520279037602</v>
      </c>
      <c r="AJ282" s="5" t="s">
        <v>139</v>
      </c>
      <c r="AK282" s="2">
        <v>5.0509540082406199E-2</v>
      </c>
      <c r="AL282" s="2">
        <v>0.31107379612992297</v>
      </c>
      <c r="AM282" s="2">
        <v>302627.74019501399</v>
      </c>
      <c r="AN282" s="2">
        <v>163845.94212809799</v>
      </c>
      <c r="AO282" s="2">
        <v>176853.041503669</v>
      </c>
      <c r="AP282" s="2">
        <v>200896.12209871301</v>
      </c>
      <c r="AQ282" s="2">
        <v>112692.148763897</v>
      </c>
      <c r="AR282" s="2">
        <v>163294.021924851</v>
      </c>
      <c r="AS282" s="2">
        <v>130574.249496898</v>
      </c>
      <c r="AT282" s="2">
        <v>102443.75198697401</v>
      </c>
      <c r="AU282" s="2">
        <v>129268.30726086799</v>
      </c>
      <c r="AV282" s="2">
        <v>106852.135526326</v>
      </c>
      <c r="AW282" s="2">
        <v>162191.050971341</v>
      </c>
      <c r="AX282" s="2">
        <v>123295.997393425</v>
      </c>
    </row>
    <row r="283" spans="1:50" x14ac:dyDescent="0.25">
      <c r="A283" s="2" t="s">
        <v>869</v>
      </c>
      <c r="B283" s="2">
        <v>230.14</v>
      </c>
      <c r="C283" s="2">
        <v>14.385</v>
      </c>
      <c r="D283" s="2" t="s">
        <v>125</v>
      </c>
      <c r="E283" s="2" t="s">
        <v>870</v>
      </c>
      <c r="F283" s="2">
        <v>47180</v>
      </c>
      <c r="G283" s="3" t="str">
        <f>HYPERLINK("https://cloud.oebiotech.com/#/lm/network/47180", "https://cloud.oebiotech.com/#/lm/network/47180")</f>
        <v>https://cloud.oebiotech.com/#/lm/network/47180</v>
      </c>
      <c r="H283" s="2" t="s">
        <v>871</v>
      </c>
      <c r="I283" s="2">
        <v>257</v>
      </c>
      <c r="J283" s="2"/>
      <c r="K283" s="2">
        <v>5810</v>
      </c>
      <c r="L283" s="2" t="s">
        <v>872</v>
      </c>
      <c r="M283" s="2" t="s">
        <v>873</v>
      </c>
      <c r="N283" s="2" t="s">
        <v>874</v>
      </c>
      <c r="O283" s="2">
        <v>18095</v>
      </c>
      <c r="P283" s="2"/>
      <c r="Q283" s="2"/>
      <c r="R283" s="2" t="s">
        <v>875</v>
      </c>
      <c r="S283" s="2" t="s">
        <v>876</v>
      </c>
      <c r="T283" s="2" t="s">
        <v>877</v>
      </c>
      <c r="U283" s="2" t="s">
        <v>103</v>
      </c>
      <c r="V283" s="2" t="s">
        <v>104</v>
      </c>
      <c r="W283" s="2" t="s">
        <v>105</v>
      </c>
      <c r="X283" s="2" t="s">
        <v>69</v>
      </c>
      <c r="Y283" s="2">
        <v>93.1</v>
      </c>
      <c r="Z283" s="2">
        <v>93.5</v>
      </c>
      <c r="AA283" s="2"/>
      <c r="AB283" s="2" t="s">
        <v>878</v>
      </c>
      <c r="AC283" s="2"/>
      <c r="AD283" s="2">
        <v>484278.70850329503</v>
      </c>
      <c r="AE283" s="2">
        <v>1.5681910806342301</v>
      </c>
      <c r="AF283" s="2">
        <v>180969.70510773</v>
      </c>
      <c r="AG283" s="2">
        <v>778803.28035155195</v>
      </c>
      <c r="AH283" s="4">
        <v>0.23236895590121301</v>
      </c>
      <c r="AI283" s="4">
        <v>-2.1055107548840799</v>
      </c>
      <c r="AJ283" s="4" t="s">
        <v>62</v>
      </c>
      <c r="AK283" s="2">
        <v>1.3354301248547199E-2</v>
      </c>
      <c r="AL283" s="2">
        <v>0.183105049682736</v>
      </c>
      <c r="AM283" s="2">
        <v>191032.99969371301</v>
      </c>
      <c r="AN283" s="2">
        <v>176660.25758547999</v>
      </c>
      <c r="AO283" s="2">
        <v>174543.41339830999</v>
      </c>
      <c r="AP283" s="2">
        <v>153211.768219627</v>
      </c>
      <c r="AQ283" s="2">
        <v>175451.13299487601</v>
      </c>
      <c r="AR283" s="2">
        <v>214918.65875437099</v>
      </c>
      <c r="AS283" s="2">
        <v>600767.53932957805</v>
      </c>
      <c r="AT283" s="2">
        <v>876491.78823244595</v>
      </c>
      <c r="AU283" s="2">
        <v>1315766.4038410001</v>
      </c>
      <c r="AV283" s="2">
        <v>1347687.1006064501</v>
      </c>
      <c r="AW283" s="2">
        <v>193309.69455583501</v>
      </c>
      <c r="AX283" s="2">
        <v>338797.15554400301</v>
      </c>
    </row>
    <row r="284" spans="1:50" x14ac:dyDescent="0.25">
      <c r="A284" s="2" t="s">
        <v>879</v>
      </c>
      <c r="B284" s="2">
        <v>319.22745685264101</v>
      </c>
      <c r="C284" s="2">
        <v>10.887700000000001</v>
      </c>
      <c r="D284" s="2" t="s">
        <v>51</v>
      </c>
      <c r="E284" s="2" t="s">
        <v>880</v>
      </c>
      <c r="F284" s="2">
        <v>4061</v>
      </c>
      <c r="G284" s="3" t="str">
        <f>HYPERLINK("https://cloud.oebiotech.com/#/lm/network/4061", "https://cloud.oebiotech.com/#/lm/network/4061")</f>
        <v>https://cloud.oebiotech.com/#/lm/network/4061</v>
      </c>
      <c r="H284" s="2"/>
      <c r="I284" s="2">
        <v>45642</v>
      </c>
      <c r="J284" s="2" t="s">
        <v>881</v>
      </c>
      <c r="K284" s="2">
        <v>5283186</v>
      </c>
      <c r="L284" s="2"/>
      <c r="M284" s="2"/>
      <c r="N284" s="2"/>
      <c r="O284" s="2"/>
      <c r="P284" s="2"/>
      <c r="Q284" s="2"/>
      <c r="R284" s="2" t="s">
        <v>882</v>
      </c>
      <c r="S284" s="2" t="s">
        <v>883</v>
      </c>
      <c r="T284" s="2" t="s">
        <v>884</v>
      </c>
      <c r="U284" s="2" t="s">
        <v>56</v>
      </c>
      <c r="V284" s="2" t="s">
        <v>145</v>
      </c>
      <c r="W284" s="2" t="s">
        <v>187</v>
      </c>
      <c r="X284" s="2" t="s">
        <v>69</v>
      </c>
      <c r="Y284" s="2">
        <v>50.9</v>
      </c>
      <c r="Z284" s="2">
        <v>50.1</v>
      </c>
      <c r="AA284" s="2" t="s">
        <v>196</v>
      </c>
      <c r="AB284" s="2" t="s">
        <v>180</v>
      </c>
      <c r="AC284" s="2">
        <v>2.1544873037993399</v>
      </c>
      <c r="AD284" s="2"/>
      <c r="AE284" s="2">
        <v>1.56441624066606</v>
      </c>
      <c r="AF284" s="2">
        <v>139065.15260098301</v>
      </c>
      <c r="AG284" s="2">
        <v>74701.141116025203</v>
      </c>
      <c r="AH284" s="5">
        <v>1.8616201911157899</v>
      </c>
      <c r="AI284" s="5">
        <v>0.89655876339814999</v>
      </c>
      <c r="AJ284" s="5" t="s">
        <v>139</v>
      </c>
      <c r="AK284" s="2">
        <v>7.8796367600750296E-3</v>
      </c>
      <c r="AL284" s="2">
        <v>0.14757540518790399</v>
      </c>
      <c r="AM284" s="2">
        <v>80647.620048273704</v>
      </c>
      <c r="AN284" s="2">
        <v>191574.22746079799</v>
      </c>
      <c r="AO284" s="2">
        <v>174696.142551022</v>
      </c>
      <c r="AP284" s="2">
        <v>101133.30861703301</v>
      </c>
      <c r="AQ284" s="2">
        <v>148506.85184262099</v>
      </c>
      <c r="AR284" s="2">
        <v>137832.76508614799</v>
      </c>
      <c r="AS284" s="2">
        <v>112355.36369705699</v>
      </c>
      <c r="AT284" s="2">
        <v>59140.464141210003</v>
      </c>
      <c r="AU284" s="2">
        <v>72747.576147073807</v>
      </c>
      <c r="AV284" s="2">
        <v>54784.5701393872</v>
      </c>
      <c r="AW284" s="2">
        <v>62051.046487179003</v>
      </c>
      <c r="AX284" s="2">
        <v>87127.826084244094</v>
      </c>
    </row>
    <row r="285" spans="1:50" x14ac:dyDescent="0.25">
      <c r="A285" s="2" t="s">
        <v>2807</v>
      </c>
      <c r="B285" s="2">
        <v>196.02776310688401</v>
      </c>
      <c r="C285" s="2">
        <v>0.69093333333333296</v>
      </c>
      <c r="D285" s="2" t="s">
        <v>51</v>
      </c>
      <c r="E285" s="2" t="s">
        <v>2808</v>
      </c>
      <c r="F285" s="2">
        <v>54390</v>
      </c>
      <c r="G285" s="3" t="str">
        <f>HYPERLINK("https://cloud.oebiotech.com/#/lm/network/54390", "https://cloud.oebiotech.com/#/lm/network/54390")</f>
        <v>https://cloud.oebiotech.com/#/lm/network/54390</v>
      </c>
      <c r="H285" s="2" t="s">
        <v>2809</v>
      </c>
      <c r="I285" s="2">
        <v>86264</v>
      </c>
      <c r="J285" s="2"/>
      <c r="K285" s="2">
        <v>25202909</v>
      </c>
      <c r="L285" s="2"/>
      <c r="M285" s="2"/>
      <c r="N285" s="2"/>
      <c r="O285" s="2">
        <v>137271</v>
      </c>
      <c r="P285" s="2"/>
      <c r="Q285" s="2"/>
      <c r="R285" s="2" t="s">
        <v>2810</v>
      </c>
      <c r="S285" s="2" t="s">
        <v>2811</v>
      </c>
      <c r="T285" s="2" t="s">
        <v>2812</v>
      </c>
      <c r="U285" s="2" t="s">
        <v>103</v>
      </c>
      <c r="V285" s="2" t="s">
        <v>104</v>
      </c>
      <c r="W285" s="2" t="s">
        <v>105</v>
      </c>
      <c r="X285" s="2" t="s">
        <v>83</v>
      </c>
      <c r="Y285" s="2">
        <v>39.299999999999997</v>
      </c>
      <c r="Z285" s="2">
        <v>0</v>
      </c>
      <c r="AA285" s="2" t="s">
        <v>218</v>
      </c>
      <c r="AB285" s="2" t="s">
        <v>2813</v>
      </c>
      <c r="AC285" s="2">
        <v>-4.9918139327637103</v>
      </c>
      <c r="AD285" s="2"/>
      <c r="AE285" s="2">
        <v>1.5616216697021199</v>
      </c>
      <c r="AF285" s="2">
        <v>10013.4482432817</v>
      </c>
      <c r="AG285" s="2">
        <v>122582.94399684999</v>
      </c>
      <c r="AH285" s="4">
        <v>8.1687124789065202E-2</v>
      </c>
      <c r="AI285" s="4">
        <v>-3.61374748553779</v>
      </c>
      <c r="AJ285" s="4" t="s">
        <v>62</v>
      </c>
      <c r="AK285" s="2">
        <v>0.35969324566821997</v>
      </c>
      <c r="AL285" s="2">
        <v>0.644581587543682</v>
      </c>
      <c r="AM285" s="2">
        <v>2706.3506237515498</v>
      </c>
      <c r="AN285" s="2">
        <v>3653.8293069277202</v>
      </c>
      <c r="AO285" s="2">
        <v>3161.2075998247501</v>
      </c>
      <c r="AP285" s="2">
        <v>5997.2698283400696</v>
      </c>
      <c r="AQ285" s="2">
        <v>2506.3011953075802</v>
      </c>
      <c r="AR285" s="2">
        <v>42055.730905538301</v>
      </c>
      <c r="AS285" s="2">
        <v>8299.66524322236</v>
      </c>
      <c r="AT285" s="2">
        <v>3005.04068969743</v>
      </c>
      <c r="AU285" s="2">
        <v>1361.2758863726101</v>
      </c>
      <c r="AV285" s="2">
        <v>1046.51290302288</v>
      </c>
      <c r="AW285" s="2">
        <v>707916.61600676004</v>
      </c>
      <c r="AX285" s="2">
        <v>13868.553252023899</v>
      </c>
    </row>
    <row r="286" spans="1:50" x14ac:dyDescent="0.25">
      <c r="A286" s="2" t="s">
        <v>2814</v>
      </c>
      <c r="B286" s="2">
        <v>188.14001646883699</v>
      </c>
      <c r="C286" s="2">
        <v>1.0683</v>
      </c>
      <c r="D286" s="2" t="s">
        <v>51</v>
      </c>
      <c r="E286" s="2" t="s">
        <v>2815</v>
      </c>
      <c r="F286" s="2">
        <v>53416</v>
      </c>
      <c r="G286" s="3" t="str">
        <f>HYPERLINK("https://cloud.oebiotech.com/#/lm/network/53416", "https://cloud.oebiotech.com/#/lm/network/53416")</f>
        <v>https://cloud.oebiotech.com/#/lm/network/53416</v>
      </c>
      <c r="H286" s="2" t="s">
        <v>2816</v>
      </c>
      <c r="I286" s="2"/>
      <c r="J286" s="2"/>
      <c r="K286" s="2">
        <v>441341</v>
      </c>
      <c r="L286" s="2" t="s">
        <v>2817</v>
      </c>
      <c r="M286" s="2"/>
      <c r="N286" s="2"/>
      <c r="O286" s="2">
        <v>352567</v>
      </c>
      <c r="P286" s="2"/>
      <c r="Q286" s="2"/>
      <c r="R286" s="2" t="s">
        <v>2818</v>
      </c>
      <c r="S286" s="2" t="s">
        <v>2819</v>
      </c>
      <c r="T286" s="2" t="s">
        <v>2820</v>
      </c>
      <c r="U286" s="2" t="s">
        <v>103</v>
      </c>
      <c r="V286" s="2" t="s">
        <v>104</v>
      </c>
      <c r="W286" s="2" t="s">
        <v>105</v>
      </c>
      <c r="X286" s="2" t="s">
        <v>147</v>
      </c>
      <c r="Y286" s="2">
        <v>42.4</v>
      </c>
      <c r="Z286" s="2">
        <v>20.399999999999999</v>
      </c>
      <c r="AA286" s="2" t="s">
        <v>453</v>
      </c>
      <c r="AB286" s="2" t="s">
        <v>2821</v>
      </c>
      <c r="AC286" s="2">
        <v>3.8989981456710701</v>
      </c>
      <c r="AD286" s="2"/>
      <c r="AE286" s="2">
        <v>1.5533403290849701</v>
      </c>
      <c r="AF286" s="2">
        <v>16035.712908723401</v>
      </c>
      <c r="AG286" s="2">
        <v>121685.77394979099</v>
      </c>
      <c r="AH286" s="4">
        <v>0.131779684577919</v>
      </c>
      <c r="AI286" s="4">
        <v>-2.9238001161782501</v>
      </c>
      <c r="AJ286" s="4" t="s">
        <v>62</v>
      </c>
      <c r="AK286" s="2">
        <v>0.32302446381120697</v>
      </c>
      <c r="AL286" s="2">
        <v>0.62992073899545697</v>
      </c>
      <c r="AM286" s="2">
        <v>7618.6673446433497</v>
      </c>
      <c r="AN286" s="2">
        <v>19882.260512443601</v>
      </c>
      <c r="AO286" s="2">
        <v>11224.6888868064</v>
      </c>
      <c r="AP286" s="2">
        <v>13957.7413026752</v>
      </c>
      <c r="AQ286" s="2">
        <v>10246.022708447699</v>
      </c>
      <c r="AR286" s="2">
        <v>33284.8966973243</v>
      </c>
      <c r="AS286" s="2">
        <v>26083.7267829548</v>
      </c>
      <c r="AT286" s="2">
        <v>18669.145808498899</v>
      </c>
      <c r="AU286" s="2">
        <v>7724.9459333929499</v>
      </c>
      <c r="AV286" s="2">
        <v>10690.4954930841</v>
      </c>
      <c r="AW286" s="2">
        <v>628975.61444627796</v>
      </c>
      <c r="AX286" s="2">
        <v>37970.715234537303</v>
      </c>
    </row>
    <row r="287" spans="1:50" x14ac:dyDescent="0.25">
      <c r="A287" s="2" t="s">
        <v>885</v>
      </c>
      <c r="B287" s="2">
        <v>335.22235246172897</v>
      </c>
      <c r="C287" s="2">
        <v>9.3404333333333298</v>
      </c>
      <c r="D287" s="2" t="s">
        <v>51</v>
      </c>
      <c r="E287" s="2" t="s">
        <v>886</v>
      </c>
      <c r="F287" s="2">
        <v>210904</v>
      </c>
      <c r="G287" s="3" t="str">
        <f>HYPERLINK("https://cloud.oebiotech.com/#/lm/network/210904", "https://cloud.oebiotech.com/#/lm/network/210904")</f>
        <v>https://cloud.oebiotech.com/#/lm/network/210904</v>
      </c>
      <c r="H287" s="2" t="s">
        <v>887</v>
      </c>
      <c r="I287" s="2"/>
      <c r="J287" s="2"/>
      <c r="K287" s="2">
        <v>75229316</v>
      </c>
      <c r="L287" s="2"/>
      <c r="M287" s="2"/>
      <c r="N287" s="2"/>
      <c r="O287" s="2"/>
      <c r="P287" s="2"/>
      <c r="Q287" s="2"/>
      <c r="R287" s="2"/>
      <c r="S287" s="2" t="s">
        <v>888</v>
      </c>
      <c r="T287" s="2" t="s">
        <v>889</v>
      </c>
      <c r="U287" s="2" t="s">
        <v>56</v>
      </c>
      <c r="V287" s="2" t="s">
        <v>145</v>
      </c>
      <c r="W287" s="2" t="s">
        <v>187</v>
      </c>
      <c r="X287" s="2" t="s">
        <v>69</v>
      </c>
      <c r="Y287" s="2">
        <v>67.099999999999994</v>
      </c>
      <c r="Z287" s="2">
        <v>79.2</v>
      </c>
      <c r="AA287" s="2" t="s">
        <v>259</v>
      </c>
      <c r="AB287" s="2" t="s">
        <v>212</v>
      </c>
      <c r="AC287" s="2">
        <v>1.99449625706556</v>
      </c>
      <c r="AD287" s="2"/>
      <c r="AE287" s="2">
        <v>1.55154302525474</v>
      </c>
      <c r="AF287" s="2">
        <v>174495.10185043499</v>
      </c>
      <c r="AG287" s="2">
        <v>111886.645718823</v>
      </c>
      <c r="AH287" s="5">
        <v>1.5595704092242599</v>
      </c>
      <c r="AI287" s="5">
        <v>0.64114868688690996</v>
      </c>
      <c r="AJ287" s="5" t="s">
        <v>139</v>
      </c>
      <c r="AK287" s="2">
        <v>2.3139349069729399E-2</v>
      </c>
      <c r="AL287" s="2">
        <v>0.235803353043047</v>
      </c>
      <c r="AM287" s="2">
        <v>141941.92426553601</v>
      </c>
      <c r="AN287" s="2">
        <v>263706.17182867503</v>
      </c>
      <c r="AO287" s="2">
        <v>178862.72917927301</v>
      </c>
      <c r="AP287" s="2">
        <v>142720.97632583999</v>
      </c>
      <c r="AQ287" s="2">
        <v>149372.00307676499</v>
      </c>
      <c r="AR287" s="2">
        <v>170366.806426519</v>
      </c>
      <c r="AS287" s="2">
        <v>134359.01993529999</v>
      </c>
      <c r="AT287" s="2">
        <v>76249.128027040904</v>
      </c>
      <c r="AU287" s="2">
        <v>153864.657140127</v>
      </c>
      <c r="AV287" s="2">
        <v>72680.016958744294</v>
      </c>
      <c r="AW287" s="2">
        <v>133867.293178174</v>
      </c>
      <c r="AX287" s="2">
        <v>100299.759073551</v>
      </c>
    </row>
    <row r="288" spans="1:50" x14ac:dyDescent="0.25">
      <c r="A288" s="2" t="s">
        <v>2822</v>
      </c>
      <c r="B288" s="2">
        <v>471.24248543340798</v>
      </c>
      <c r="C288" s="2">
        <v>8.9855999999999998</v>
      </c>
      <c r="D288" s="2" t="s">
        <v>51</v>
      </c>
      <c r="E288" s="2" t="s">
        <v>2823</v>
      </c>
      <c r="F288" s="2">
        <v>46302</v>
      </c>
      <c r="G288" s="3" t="str">
        <f>HYPERLINK("https://cloud.oebiotech.com/#/lm/network/46302", "https://cloud.oebiotech.com/#/lm/network/46302")</f>
        <v>https://cloud.oebiotech.com/#/lm/network/46302</v>
      </c>
      <c r="H288" s="2"/>
      <c r="I288" s="2"/>
      <c r="J288" s="2" t="s">
        <v>2824</v>
      </c>
      <c r="K288" s="2">
        <v>76966282</v>
      </c>
      <c r="L288" s="2"/>
      <c r="M288" s="2"/>
      <c r="N288" s="2"/>
      <c r="O288" s="2"/>
      <c r="P288" s="2"/>
      <c r="Q288" s="2"/>
      <c r="R288" s="2"/>
      <c r="S288" s="2" t="s">
        <v>2825</v>
      </c>
      <c r="T288" s="2" t="s">
        <v>2826</v>
      </c>
      <c r="U288" s="2" t="s">
        <v>56</v>
      </c>
      <c r="V288" s="2" t="s">
        <v>283</v>
      </c>
      <c r="W288" s="2" t="s">
        <v>2042</v>
      </c>
      <c r="X288" s="2" t="s">
        <v>147</v>
      </c>
      <c r="Y288" s="2">
        <v>42.2</v>
      </c>
      <c r="Z288" s="2">
        <v>19.2</v>
      </c>
      <c r="AA288" s="2" t="s">
        <v>163</v>
      </c>
      <c r="AB288" s="2" t="s">
        <v>2827</v>
      </c>
      <c r="AC288" s="2">
        <v>0.60824988261510704</v>
      </c>
      <c r="AD288" s="2"/>
      <c r="AE288" s="2">
        <v>1.54352700727509</v>
      </c>
      <c r="AF288" s="2">
        <v>173086.24361516201</v>
      </c>
      <c r="AG288" s="2">
        <v>7172.37656993785</v>
      </c>
      <c r="AH288" s="5">
        <v>24.132341899145601</v>
      </c>
      <c r="AI288" s="5">
        <v>4.5928960221418</v>
      </c>
      <c r="AJ288" s="5" t="s">
        <v>139</v>
      </c>
      <c r="AK288" s="2">
        <v>0.26173747835838501</v>
      </c>
      <c r="AL288" s="2">
        <v>0.58400257526749599</v>
      </c>
      <c r="AM288" s="2">
        <v>21.597185412414301</v>
      </c>
      <c r="AN288" s="2">
        <v>3.1723111367722598</v>
      </c>
      <c r="AO288" s="2">
        <v>27.890415938313701</v>
      </c>
      <c r="AP288" s="2">
        <v>17.457781298177402</v>
      </c>
      <c r="AQ288" s="2">
        <v>853654.67003981106</v>
      </c>
      <c r="AR288" s="2">
        <v>184792.67395737299</v>
      </c>
      <c r="AS288" s="2">
        <v>184.88317325270901</v>
      </c>
      <c r="AT288" s="2">
        <v>19966.554942912699</v>
      </c>
      <c r="AU288" s="2">
        <v>653.96456067410202</v>
      </c>
      <c r="AV288" s="2">
        <v>22215.6641167575</v>
      </c>
      <c r="AW288" s="2">
        <v>7.0512349404488797</v>
      </c>
      <c r="AX288" s="2">
        <v>6.1413910896238901</v>
      </c>
    </row>
    <row r="289" spans="1:50" x14ac:dyDescent="0.25">
      <c r="A289" s="2" t="s">
        <v>2828</v>
      </c>
      <c r="B289" s="2">
        <v>135.02907145500501</v>
      </c>
      <c r="C289" s="2">
        <v>0.70238333333333303</v>
      </c>
      <c r="D289" s="2" t="s">
        <v>51</v>
      </c>
      <c r="E289" s="2" t="s">
        <v>2829</v>
      </c>
      <c r="F289" s="2">
        <v>47508</v>
      </c>
      <c r="G289" s="3" t="str">
        <f>HYPERLINK("https://cloud.oebiotech.com/#/lm/network/47508", "https://cloud.oebiotech.com/#/lm/network/47508")</f>
        <v>https://cloud.oebiotech.com/#/lm/network/47508</v>
      </c>
      <c r="H289" s="2" t="s">
        <v>2830</v>
      </c>
      <c r="I289" s="2">
        <v>63094</v>
      </c>
      <c r="J289" s="2"/>
      <c r="K289" s="2">
        <v>61503</v>
      </c>
      <c r="L289" s="2" t="s">
        <v>2831</v>
      </c>
      <c r="M289" s="2" t="s">
        <v>2832</v>
      </c>
      <c r="N289" s="2" t="s">
        <v>2833</v>
      </c>
      <c r="O289" s="2">
        <v>42111</v>
      </c>
      <c r="P289" s="2"/>
      <c r="Q289" s="2"/>
      <c r="R289" s="2" t="s">
        <v>2834</v>
      </c>
      <c r="S289" s="2" t="s">
        <v>2835</v>
      </c>
      <c r="T289" s="2" t="s">
        <v>2836</v>
      </c>
      <c r="U289" s="2" t="s">
        <v>103</v>
      </c>
      <c r="V289" s="2" t="s">
        <v>377</v>
      </c>
      <c r="W289" s="2" t="s">
        <v>2285</v>
      </c>
      <c r="X289" s="2" t="s">
        <v>69</v>
      </c>
      <c r="Y289" s="2">
        <v>50</v>
      </c>
      <c r="Z289" s="2">
        <v>50.8</v>
      </c>
      <c r="AA289" s="2" t="s">
        <v>2837</v>
      </c>
      <c r="AB289" s="2" t="s">
        <v>2286</v>
      </c>
      <c r="AC289" s="2">
        <v>-9.1686167169979704</v>
      </c>
      <c r="AD289" s="2"/>
      <c r="AE289" s="2">
        <v>1.5429000855419399</v>
      </c>
      <c r="AF289" s="2">
        <v>721280.45278042101</v>
      </c>
      <c r="AG289" s="2">
        <v>603858.925593641</v>
      </c>
      <c r="AH289" s="5">
        <v>1.1944519194965</v>
      </c>
      <c r="AI289" s="5">
        <v>0.25634878188128601</v>
      </c>
      <c r="AJ289" s="5" t="s">
        <v>139</v>
      </c>
      <c r="AK289" s="2">
        <v>0.57707948754160399</v>
      </c>
      <c r="AL289" s="2">
        <v>0.78657023126793102</v>
      </c>
      <c r="AM289" s="2">
        <v>1509152.9186054401</v>
      </c>
      <c r="AN289" s="2">
        <v>462766.77673944598</v>
      </c>
      <c r="AO289" s="2">
        <v>386293.01777323202</v>
      </c>
      <c r="AP289" s="2">
        <v>1165126.2031387901</v>
      </c>
      <c r="AQ289" s="2">
        <v>484026.17484765803</v>
      </c>
      <c r="AR289" s="2">
        <v>320317.62557795801</v>
      </c>
      <c r="AS289" s="2">
        <v>606205.52056150499</v>
      </c>
      <c r="AT289" s="2">
        <v>722494.45892941498</v>
      </c>
      <c r="AU289" s="2">
        <v>673061.44735707005</v>
      </c>
      <c r="AV289" s="2">
        <v>549445.72080227698</v>
      </c>
      <c r="AW289" s="2">
        <v>530950.65775849705</v>
      </c>
      <c r="AX289" s="2">
        <v>540995.74815307895</v>
      </c>
    </row>
    <row r="290" spans="1:50" x14ac:dyDescent="0.25">
      <c r="A290" s="2" t="s">
        <v>890</v>
      </c>
      <c r="B290" s="2">
        <v>499.01974576222398</v>
      </c>
      <c r="C290" s="2">
        <v>14.590483333333299</v>
      </c>
      <c r="D290" s="2" t="s">
        <v>51</v>
      </c>
      <c r="E290" s="2" t="s">
        <v>891</v>
      </c>
      <c r="F290" s="2">
        <v>82016</v>
      </c>
      <c r="G290" s="3" t="str">
        <f>HYPERLINK("https://cloud.oebiotech.com/#/lm/network/82016", "https://cloud.oebiotech.com/#/lm/network/82016")</f>
        <v>https://cloud.oebiotech.com/#/lm/network/82016</v>
      </c>
      <c r="H290" s="2" t="s">
        <v>892</v>
      </c>
      <c r="I290" s="2"/>
      <c r="J290" s="2"/>
      <c r="K290" s="2">
        <v>124202111</v>
      </c>
      <c r="L290" s="2"/>
      <c r="M290" s="2"/>
      <c r="N290" s="2"/>
      <c r="O290" s="2">
        <v>89623</v>
      </c>
      <c r="P290" s="2"/>
      <c r="Q290" s="2"/>
      <c r="R290" s="2"/>
      <c r="S290" s="2" t="s">
        <v>893</v>
      </c>
      <c r="T290" s="2" t="s">
        <v>894</v>
      </c>
      <c r="U290" s="2" t="s">
        <v>610</v>
      </c>
      <c r="V290" s="2" t="s">
        <v>895</v>
      </c>
      <c r="W290" s="2" t="s">
        <v>896</v>
      </c>
      <c r="X290" s="2" t="s">
        <v>147</v>
      </c>
      <c r="Y290" s="2">
        <v>37</v>
      </c>
      <c r="Z290" s="2">
        <v>4.3799999999999999E-2</v>
      </c>
      <c r="AA290" s="2" t="s">
        <v>478</v>
      </c>
      <c r="AB290" s="2" t="s">
        <v>897</v>
      </c>
      <c r="AC290" s="2">
        <v>-4.8499563953038498</v>
      </c>
      <c r="AD290" s="2"/>
      <c r="AE290" s="2">
        <v>1.5408448125979299</v>
      </c>
      <c r="AF290" s="2">
        <v>260596.569470274</v>
      </c>
      <c r="AG290" s="2">
        <v>310376.77008604002</v>
      </c>
      <c r="AH290" s="4">
        <v>0.83961363924894805</v>
      </c>
      <c r="AI290" s="4">
        <v>-0.25220249195787597</v>
      </c>
      <c r="AJ290" s="4" t="s">
        <v>62</v>
      </c>
      <c r="AK290" s="2">
        <v>5.2313976999405496E-3</v>
      </c>
      <c r="AL290" s="2">
        <v>0.123740271492219</v>
      </c>
      <c r="AM290" s="2">
        <v>220842.894209149</v>
      </c>
      <c r="AN290" s="2">
        <v>260127.706491933</v>
      </c>
      <c r="AO290" s="2">
        <v>274184.22234524402</v>
      </c>
      <c r="AP290" s="2">
        <v>272557.66886480898</v>
      </c>
      <c r="AQ290" s="2">
        <v>291222.20353803597</v>
      </c>
      <c r="AR290" s="2">
        <v>244644.72137247201</v>
      </c>
      <c r="AS290" s="2">
        <v>312415.95506637299</v>
      </c>
      <c r="AT290" s="2">
        <v>342297.49539049802</v>
      </c>
      <c r="AU290" s="2">
        <v>271482.09216164501</v>
      </c>
      <c r="AV290" s="2">
        <v>318601.985447618</v>
      </c>
      <c r="AW290" s="2">
        <v>299366.74702911603</v>
      </c>
      <c r="AX290" s="2">
        <v>318096.34542098799</v>
      </c>
    </row>
    <row r="291" spans="1:50" x14ac:dyDescent="0.25">
      <c r="A291" s="2" t="s">
        <v>2838</v>
      </c>
      <c r="B291" s="2">
        <v>299.259162017292</v>
      </c>
      <c r="C291" s="2">
        <v>11.4020666666667</v>
      </c>
      <c r="D291" s="2" t="s">
        <v>51</v>
      </c>
      <c r="E291" s="2" t="s">
        <v>2839</v>
      </c>
      <c r="F291" s="2">
        <v>3090</v>
      </c>
      <c r="G291" s="3" t="str">
        <f>HYPERLINK("https://cloud.oebiotech.com/#/lm/network/3090", "https://cloud.oebiotech.com/#/lm/network/3090")</f>
        <v>https://cloud.oebiotech.com/#/lm/network/3090</v>
      </c>
      <c r="H291" s="2"/>
      <c r="I291" s="2">
        <v>35448</v>
      </c>
      <c r="J291" s="2" t="s">
        <v>2840</v>
      </c>
      <c r="K291" s="2">
        <v>5282915</v>
      </c>
      <c r="L291" s="2"/>
      <c r="M291" s="2"/>
      <c r="N291" s="2"/>
      <c r="O291" s="2">
        <v>79182</v>
      </c>
      <c r="P291" s="2"/>
      <c r="Q291" s="2"/>
      <c r="R291" s="2"/>
      <c r="S291" s="2" t="s">
        <v>2841</v>
      </c>
      <c r="T291" s="2" t="s">
        <v>2842</v>
      </c>
      <c r="U291" s="2" t="s">
        <v>56</v>
      </c>
      <c r="V291" s="2" t="s">
        <v>145</v>
      </c>
      <c r="W291" s="2" t="s">
        <v>231</v>
      </c>
      <c r="X291" s="2" t="s">
        <v>69</v>
      </c>
      <c r="Y291" s="2">
        <v>53.1</v>
      </c>
      <c r="Z291" s="2">
        <v>46.8</v>
      </c>
      <c r="AA291" s="2" t="s">
        <v>163</v>
      </c>
      <c r="AB291" s="2" t="s">
        <v>2843</v>
      </c>
      <c r="AC291" s="2">
        <v>-2.18602770445551E-2</v>
      </c>
      <c r="AD291" s="2"/>
      <c r="AE291" s="2">
        <v>1.53701108462614</v>
      </c>
      <c r="AF291" s="2">
        <v>171712.73387756999</v>
      </c>
      <c r="AG291" s="2">
        <v>36995.267396417097</v>
      </c>
      <c r="AH291" s="5">
        <v>4.6414783825619903</v>
      </c>
      <c r="AI291" s="5">
        <v>2.21458439920651</v>
      </c>
      <c r="AJ291" s="5" t="s">
        <v>139</v>
      </c>
      <c r="AK291" s="2">
        <v>0.22878163621374401</v>
      </c>
      <c r="AL291" s="2">
        <v>0.55425453586297302</v>
      </c>
      <c r="AM291" s="2">
        <v>117433.778572247</v>
      </c>
      <c r="AN291" s="2">
        <v>20111.565885901098</v>
      </c>
      <c r="AO291" s="2">
        <v>25919.850659952801</v>
      </c>
      <c r="AP291" s="2">
        <v>22276.6571720641</v>
      </c>
      <c r="AQ291" s="2">
        <v>681730.70127811295</v>
      </c>
      <c r="AR291" s="2">
        <v>162803.84969714301</v>
      </c>
      <c r="AS291" s="2">
        <v>24073.424271213698</v>
      </c>
      <c r="AT291" s="2">
        <v>18295.750337988899</v>
      </c>
      <c r="AU291" s="2">
        <v>68120.237693719202</v>
      </c>
      <c r="AV291" s="2">
        <v>44496.572071516297</v>
      </c>
      <c r="AW291" s="2">
        <v>36847.123015836798</v>
      </c>
      <c r="AX291" s="2">
        <v>30138.496988227598</v>
      </c>
    </row>
    <row r="292" spans="1:50" x14ac:dyDescent="0.25">
      <c r="A292" s="2" t="s">
        <v>2844</v>
      </c>
      <c r="B292" s="2">
        <v>379.158264124646</v>
      </c>
      <c r="C292" s="2">
        <v>12.708216666666701</v>
      </c>
      <c r="D292" s="2" t="s">
        <v>51</v>
      </c>
      <c r="E292" s="2" t="s">
        <v>2845</v>
      </c>
      <c r="F292" s="2">
        <v>53647</v>
      </c>
      <c r="G292" s="3" t="str">
        <f>HYPERLINK("https://cloud.oebiotech.com/#/lm/network/53647", "https://cloud.oebiotech.com/#/lm/network/53647")</f>
        <v>https://cloud.oebiotech.com/#/lm/network/53647</v>
      </c>
      <c r="H292" s="2" t="s">
        <v>2846</v>
      </c>
      <c r="I292" s="2">
        <v>85551</v>
      </c>
      <c r="J292" s="2"/>
      <c r="K292" s="2">
        <v>65781</v>
      </c>
      <c r="L292" s="2"/>
      <c r="M292" s="2"/>
      <c r="N292" s="2"/>
      <c r="O292" s="2"/>
      <c r="P292" s="2"/>
      <c r="Q292" s="2"/>
      <c r="R292" s="2" t="s">
        <v>2847</v>
      </c>
      <c r="S292" s="2" t="s">
        <v>2848</v>
      </c>
      <c r="T292" s="2" t="s">
        <v>2849</v>
      </c>
      <c r="U292" s="2" t="s">
        <v>56</v>
      </c>
      <c r="V292" s="2" t="s">
        <v>177</v>
      </c>
      <c r="W292" s="2" t="s">
        <v>178</v>
      </c>
      <c r="X292" s="2" t="s">
        <v>147</v>
      </c>
      <c r="Y292" s="2">
        <v>44.4</v>
      </c>
      <c r="Z292" s="2">
        <v>29.2</v>
      </c>
      <c r="AA292" s="2" t="s">
        <v>163</v>
      </c>
      <c r="AB292" s="2" t="s">
        <v>2850</v>
      </c>
      <c r="AC292" s="2">
        <v>-0.53776311243574004</v>
      </c>
      <c r="AD292" s="2"/>
      <c r="AE292" s="2">
        <v>1.528663904764</v>
      </c>
      <c r="AF292" s="2">
        <v>301591.173615437</v>
      </c>
      <c r="AG292" s="2">
        <v>416172.25469653599</v>
      </c>
      <c r="AH292" s="4">
        <v>0.72467871226867497</v>
      </c>
      <c r="AI292" s="4">
        <v>-0.46458657969468498</v>
      </c>
      <c r="AJ292" s="4" t="s">
        <v>62</v>
      </c>
      <c r="AK292" s="2">
        <v>0.204253711839327</v>
      </c>
      <c r="AL292" s="2">
        <v>0.52937915708753103</v>
      </c>
      <c r="AM292" s="2">
        <v>217671.77330069899</v>
      </c>
      <c r="AN292" s="2">
        <v>237917.28964730701</v>
      </c>
      <c r="AO292" s="2">
        <v>514245.21331187303</v>
      </c>
      <c r="AP292" s="2">
        <v>186534.74563134799</v>
      </c>
      <c r="AQ292" s="2">
        <v>432506.837084556</v>
      </c>
      <c r="AR292" s="2">
        <v>220671.18271683899</v>
      </c>
      <c r="AS292" s="2">
        <v>325927.89016303403</v>
      </c>
      <c r="AT292" s="2">
        <v>257580.28758444701</v>
      </c>
      <c r="AU292" s="2">
        <v>666739.26147485804</v>
      </c>
      <c r="AV292" s="2">
        <v>502452.96585137502</v>
      </c>
      <c r="AW292" s="2">
        <v>452394.97414698201</v>
      </c>
      <c r="AX292" s="2">
        <v>291938.14895852102</v>
      </c>
    </row>
    <row r="293" spans="1:50" x14ac:dyDescent="0.25">
      <c r="A293" s="2" t="s">
        <v>898</v>
      </c>
      <c r="B293" s="2">
        <v>391.21113958636602</v>
      </c>
      <c r="C293" s="2">
        <v>6.3736499999999996</v>
      </c>
      <c r="D293" s="2" t="s">
        <v>51</v>
      </c>
      <c r="E293" s="2" t="s">
        <v>899</v>
      </c>
      <c r="F293" s="2">
        <v>202248</v>
      </c>
      <c r="G293" s="3" t="str">
        <f>HYPERLINK("https://cloud.oebiotech.com/#/lm/network/202248", "https://cloud.oebiotech.com/#/lm/network/202248")</f>
        <v>https://cloud.oebiotech.com/#/lm/network/202248</v>
      </c>
      <c r="H293" s="2" t="s">
        <v>900</v>
      </c>
      <c r="I293" s="2">
        <v>45611</v>
      </c>
      <c r="J293" s="2"/>
      <c r="K293" s="2">
        <v>1453</v>
      </c>
      <c r="L293" s="2"/>
      <c r="M293" s="2"/>
      <c r="N293" s="2"/>
      <c r="O293" s="2"/>
      <c r="P293" s="2"/>
      <c r="Q293" s="2"/>
      <c r="R293" s="2" t="s">
        <v>901</v>
      </c>
      <c r="S293" s="2" t="s">
        <v>902</v>
      </c>
      <c r="T293" s="2" t="s">
        <v>903</v>
      </c>
      <c r="U293" s="2" t="s">
        <v>56</v>
      </c>
      <c r="V293" s="2" t="s">
        <v>145</v>
      </c>
      <c r="W293" s="2" t="s">
        <v>187</v>
      </c>
      <c r="X293" s="2" t="s">
        <v>69</v>
      </c>
      <c r="Y293" s="2">
        <v>54.4</v>
      </c>
      <c r="Z293" s="2">
        <v>71.400000000000006</v>
      </c>
      <c r="AA293" s="2" t="s">
        <v>904</v>
      </c>
      <c r="AB293" s="2" t="s">
        <v>533</v>
      </c>
      <c r="AC293" s="2">
        <v>5.5134522282014604</v>
      </c>
      <c r="AD293" s="2"/>
      <c r="AE293" s="2">
        <v>1.5275572655771901</v>
      </c>
      <c r="AF293" s="2">
        <v>159355.13369660999</v>
      </c>
      <c r="AG293" s="2">
        <v>100523.015613236</v>
      </c>
      <c r="AH293" s="5">
        <v>1.5852601787209799</v>
      </c>
      <c r="AI293" s="5">
        <v>0.66471964020455598</v>
      </c>
      <c r="AJ293" s="5" t="s">
        <v>139</v>
      </c>
      <c r="AK293" s="2">
        <v>4.1685439753261298E-2</v>
      </c>
      <c r="AL293" s="2">
        <v>0.29289974369993999</v>
      </c>
      <c r="AM293" s="2">
        <v>167489.58093310599</v>
      </c>
      <c r="AN293" s="2">
        <v>203712.16637319501</v>
      </c>
      <c r="AO293" s="2">
        <v>151871.12102404199</v>
      </c>
      <c r="AP293" s="2">
        <v>170900.73398475099</v>
      </c>
      <c r="AQ293" s="2">
        <v>110517.374105246</v>
      </c>
      <c r="AR293" s="2">
        <v>151639.82575931799</v>
      </c>
      <c r="AS293" s="2">
        <v>124483.678440249</v>
      </c>
      <c r="AT293" s="2">
        <v>69539.355758715901</v>
      </c>
      <c r="AU293" s="2">
        <v>197243.39486588701</v>
      </c>
      <c r="AV293" s="2">
        <v>48186.271665042201</v>
      </c>
      <c r="AW293" s="2">
        <v>86808.418411621897</v>
      </c>
      <c r="AX293" s="2">
        <v>76876.974537899005</v>
      </c>
    </row>
    <row r="294" spans="1:50" x14ac:dyDescent="0.25">
      <c r="A294" s="2" t="s">
        <v>905</v>
      </c>
      <c r="B294" s="2">
        <v>393.158114286363</v>
      </c>
      <c r="C294" s="2">
        <v>9.6451499999999992</v>
      </c>
      <c r="D294" s="2" t="s">
        <v>51</v>
      </c>
      <c r="E294" s="2" t="s">
        <v>906</v>
      </c>
      <c r="F294" s="2">
        <v>63908</v>
      </c>
      <c r="G294" s="3" t="str">
        <f>HYPERLINK("https://cloud.oebiotech.com/#/lm/network/63908", "https://cloud.oebiotech.com/#/lm/network/63908")</f>
        <v>https://cloud.oebiotech.com/#/lm/network/63908</v>
      </c>
      <c r="H294" s="2" t="s">
        <v>907</v>
      </c>
      <c r="I294" s="2">
        <v>95241</v>
      </c>
      <c r="J294" s="2"/>
      <c r="K294" s="2">
        <v>10408200</v>
      </c>
      <c r="L294" s="2"/>
      <c r="M294" s="2"/>
      <c r="N294" s="2"/>
      <c r="O294" s="2">
        <v>175959</v>
      </c>
      <c r="P294" s="2"/>
      <c r="Q294" s="2"/>
      <c r="R294" s="2" t="s">
        <v>908</v>
      </c>
      <c r="S294" s="2" t="s">
        <v>909</v>
      </c>
      <c r="T294" s="2" t="s">
        <v>910</v>
      </c>
      <c r="U294" s="2" t="s">
        <v>266</v>
      </c>
      <c r="V294" s="2" t="s">
        <v>445</v>
      </c>
      <c r="W294" s="2" t="s">
        <v>911</v>
      </c>
      <c r="X294" s="2" t="s">
        <v>147</v>
      </c>
      <c r="Y294" s="2">
        <v>36.9</v>
      </c>
      <c r="Z294" s="2">
        <v>0</v>
      </c>
      <c r="AA294" s="2" t="s">
        <v>179</v>
      </c>
      <c r="AB294" s="2" t="s">
        <v>912</v>
      </c>
      <c r="AC294" s="2">
        <v>-4.1821379417519804</v>
      </c>
      <c r="AD294" s="2"/>
      <c r="AE294" s="2">
        <v>1.52311176172509</v>
      </c>
      <c r="AF294" s="2">
        <v>128132.944550905</v>
      </c>
      <c r="AG294" s="2">
        <v>77622.057539984497</v>
      </c>
      <c r="AH294" s="5">
        <v>1.65072852500594</v>
      </c>
      <c r="AI294" s="5">
        <v>0.72310287747025903</v>
      </c>
      <c r="AJ294" s="5" t="s">
        <v>139</v>
      </c>
      <c r="AK294" s="2">
        <v>9.9318320757908005E-3</v>
      </c>
      <c r="AL294" s="2">
        <v>0.16151302423615199</v>
      </c>
      <c r="AM294" s="2">
        <v>151589.35141756301</v>
      </c>
      <c r="AN294" s="2">
        <v>137632.522136855</v>
      </c>
      <c r="AO294" s="2">
        <v>114960.27312255</v>
      </c>
      <c r="AP294" s="2">
        <v>148715.74792247501</v>
      </c>
      <c r="AQ294" s="2">
        <v>98547.5806435345</v>
      </c>
      <c r="AR294" s="2">
        <v>117352.19206245001</v>
      </c>
      <c r="AS294" s="2">
        <v>111897.725236065</v>
      </c>
      <c r="AT294" s="2">
        <v>80085.989134242103</v>
      </c>
      <c r="AU294" s="2">
        <v>116741.059484928</v>
      </c>
      <c r="AV294" s="2">
        <v>34359.339683912498</v>
      </c>
      <c r="AW294" s="2">
        <v>49972.007264676002</v>
      </c>
      <c r="AX294" s="2">
        <v>72676.224436083605</v>
      </c>
    </row>
    <row r="295" spans="1:50" x14ac:dyDescent="0.25">
      <c r="A295" s="2" t="s">
        <v>2851</v>
      </c>
      <c r="B295" s="2">
        <v>294.15575030892899</v>
      </c>
      <c r="C295" s="2">
        <v>1.27196666666667</v>
      </c>
      <c r="D295" s="2" t="s">
        <v>51</v>
      </c>
      <c r="E295" s="2" t="s">
        <v>2852</v>
      </c>
      <c r="F295" s="2">
        <v>198183</v>
      </c>
      <c r="G295" s="3" t="str">
        <f>HYPERLINK("https://cloud.oebiotech.com/#/lm/network/198183", "https://cloud.oebiotech.com/#/lm/network/198183")</f>
        <v>https://cloud.oebiotech.com/#/lm/network/198183</v>
      </c>
      <c r="H295" s="2" t="s">
        <v>2853</v>
      </c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 t="s">
        <v>2854</v>
      </c>
      <c r="T295" s="2" t="s">
        <v>2855</v>
      </c>
      <c r="U295" s="2" t="s">
        <v>56</v>
      </c>
      <c r="V295" s="2" t="s">
        <v>145</v>
      </c>
      <c r="W295" s="2" t="s">
        <v>1188</v>
      </c>
      <c r="X295" s="2" t="s">
        <v>69</v>
      </c>
      <c r="Y295" s="2">
        <v>53</v>
      </c>
      <c r="Z295" s="2">
        <v>66.5</v>
      </c>
      <c r="AA295" s="2" t="s">
        <v>196</v>
      </c>
      <c r="AB295" s="2" t="s">
        <v>2856</v>
      </c>
      <c r="AC295" s="2">
        <v>3.4856096889699701</v>
      </c>
      <c r="AD295" s="2"/>
      <c r="AE295" s="2">
        <v>1.51900823737392</v>
      </c>
      <c r="AF295" s="2">
        <v>183892.439067464</v>
      </c>
      <c r="AG295" s="2">
        <v>257172.50176542599</v>
      </c>
      <c r="AH295" s="4">
        <v>0.71505482819931299</v>
      </c>
      <c r="AI295" s="4">
        <v>-0.48387422734796398</v>
      </c>
      <c r="AJ295" s="4" t="s">
        <v>62</v>
      </c>
      <c r="AK295" s="2">
        <v>0.283414223747189</v>
      </c>
      <c r="AL295" s="2">
        <v>0.60000138164408201</v>
      </c>
      <c r="AM295" s="2">
        <v>82408.966689447407</v>
      </c>
      <c r="AN295" s="2">
        <v>240074.475607389</v>
      </c>
      <c r="AO295" s="2">
        <v>200894.21194121201</v>
      </c>
      <c r="AP295" s="2">
        <v>78315.716871149503</v>
      </c>
      <c r="AQ295" s="2">
        <v>147757.17415180299</v>
      </c>
      <c r="AR295" s="2">
        <v>353904.08914378198</v>
      </c>
      <c r="AS295" s="2">
        <v>316024.64985062002</v>
      </c>
      <c r="AT295" s="2">
        <v>167672.27640433999</v>
      </c>
      <c r="AU295" s="2">
        <v>70209.969678903202</v>
      </c>
      <c r="AV295" s="2">
        <v>398097.63518207101</v>
      </c>
      <c r="AW295" s="2">
        <v>272732.016904413</v>
      </c>
      <c r="AX295" s="2">
        <v>318298.46257220599</v>
      </c>
    </row>
    <row r="296" spans="1:50" x14ac:dyDescent="0.25">
      <c r="A296" s="2" t="s">
        <v>913</v>
      </c>
      <c r="B296" s="2">
        <v>265.14790480207398</v>
      </c>
      <c r="C296" s="2">
        <v>11.672833333333299</v>
      </c>
      <c r="D296" s="2" t="s">
        <v>51</v>
      </c>
      <c r="E296" s="2" t="s">
        <v>914</v>
      </c>
      <c r="F296" s="2">
        <v>57707</v>
      </c>
      <c r="G296" s="3" t="str">
        <f>HYPERLINK("https://cloud.oebiotech.com/#/lm/network/57707", "https://cloud.oebiotech.com/#/lm/network/57707")</f>
        <v>https://cloud.oebiotech.com/#/lm/network/57707</v>
      </c>
      <c r="H296" s="2" t="s">
        <v>915</v>
      </c>
      <c r="I296" s="2">
        <v>89304</v>
      </c>
      <c r="J296" s="2"/>
      <c r="K296" s="2">
        <v>5315162</v>
      </c>
      <c r="L296" s="2"/>
      <c r="M296" s="2"/>
      <c r="N296" s="2"/>
      <c r="O296" s="2">
        <v>143035</v>
      </c>
      <c r="P296" s="2"/>
      <c r="Q296" s="2"/>
      <c r="R296" s="2" t="s">
        <v>916</v>
      </c>
      <c r="S296" s="2" t="s">
        <v>917</v>
      </c>
      <c r="T296" s="2" t="s">
        <v>918</v>
      </c>
      <c r="U296" s="2" t="s">
        <v>610</v>
      </c>
      <c r="V296" s="2" t="s">
        <v>895</v>
      </c>
      <c r="W296" s="2" t="s">
        <v>919</v>
      </c>
      <c r="X296" s="2" t="s">
        <v>147</v>
      </c>
      <c r="Y296" s="2">
        <v>37.9</v>
      </c>
      <c r="Z296" s="2">
        <v>0</v>
      </c>
      <c r="AA296" s="2" t="s">
        <v>379</v>
      </c>
      <c r="AB296" s="2" t="s">
        <v>920</v>
      </c>
      <c r="AC296" s="2">
        <v>2.4351080614391298</v>
      </c>
      <c r="AD296" s="2"/>
      <c r="AE296" s="2">
        <v>1.5164456858167401</v>
      </c>
      <c r="AF296" s="2">
        <v>99089.077485583897</v>
      </c>
      <c r="AG296" s="2">
        <v>144837.87468602901</v>
      </c>
      <c r="AH296" s="4">
        <v>0.68413788658790498</v>
      </c>
      <c r="AI296" s="4">
        <v>-0.54764096824339104</v>
      </c>
      <c r="AJ296" s="4" t="s">
        <v>62</v>
      </c>
      <c r="AK296" s="2">
        <v>2.7766291057210401E-3</v>
      </c>
      <c r="AL296" s="2">
        <v>0.107999348234493</v>
      </c>
      <c r="AM296" s="2">
        <v>67590.063041522095</v>
      </c>
      <c r="AN296" s="2">
        <v>96542.056347335107</v>
      </c>
      <c r="AO296" s="2">
        <v>86363.937794098194</v>
      </c>
      <c r="AP296" s="2">
        <v>86571.905556882703</v>
      </c>
      <c r="AQ296" s="2">
        <v>147084.83131757099</v>
      </c>
      <c r="AR296" s="2">
        <v>110381.670856094</v>
      </c>
      <c r="AS296" s="2">
        <v>157892.44589172801</v>
      </c>
      <c r="AT296" s="2">
        <v>143855.29034125499</v>
      </c>
      <c r="AU296" s="2">
        <v>140000.45513457901</v>
      </c>
      <c r="AV296" s="2">
        <v>149240.67003158299</v>
      </c>
      <c r="AW296" s="2">
        <v>136259.46587718601</v>
      </c>
      <c r="AX296" s="2">
        <v>141778.92083984401</v>
      </c>
    </row>
    <row r="297" spans="1:50" x14ac:dyDescent="0.25">
      <c r="A297" s="2" t="s">
        <v>921</v>
      </c>
      <c r="B297" s="2">
        <v>619.43731607285997</v>
      </c>
      <c r="C297" s="2">
        <v>9.6451499999999992</v>
      </c>
      <c r="D297" s="2" t="s">
        <v>51</v>
      </c>
      <c r="E297" s="2" t="s">
        <v>922</v>
      </c>
      <c r="F297" s="2">
        <v>37002</v>
      </c>
      <c r="G297" s="3" t="str">
        <f>HYPERLINK("https://cloud.oebiotech.com/#/lm/network/37002", "https://cloud.oebiotech.com/#/lm/network/37002")</f>
        <v>https://cloud.oebiotech.com/#/lm/network/37002</v>
      </c>
      <c r="H297" s="2" t="s">
        <v>923</v>
      </c>
      <c r="I297" s="2">
        <v>91918</v>
      </c>
      <c r="J297" s="2" t="s">
        <v>924</v>
      </c>
      <c r="K297" s="2">
        <v>102158275</v>
      </c>
      <c r="L297" s="2"/>
      <c r="M297" s="2"/>
      <c r="N297" s="2"/>
      <c r="O297" s="2">
        <v>172133</v>
      </c>
      <c r="P297" s="2"/>
      <c r="Q297" s="2"/>
      <c r="R297" s="2" t="s">
        <v>925</v>
      </c>
      <c r="S297" s="2" t="s">
        <v>926</v>
      </c>
      <c r="T297" s="2" t="s">
        <v>927</v>
      </c>
      <c r="U297" s="2" t="s">
        <v>56</v>
      </c>
      <c r="V297" s="2" t="s">
        <v>177</v>
      </c>
      <c r="W297" s="2" t="s">
        <v>928</v>
      </c>
      <c r="X297" s="2" t="s">
        <v>59</v>
      </c>
      <c r="Y297" s="2">
        <v>49.6</v>
      </c>
      <c r="Z297" s="2">
        <v>54.9</v>
      </c>
      <c r="AA297" s="2" t="s">
        <v>179</v>
      </c>
      <c r="AB297" s="2" t="s">
        <v>929</v>
      </c>
      <c r="AC297" s="2">
        <v>2.5370559103151602</v>
      </c>
      <c r="AD297" s="2"/>
      <c r="AE297" s="2">
        <v>1.51487878435332</v>
      </c>
      <c r="AF297" s="2">
        <v>103964.73561436401</v>
      </c>
      <c r="AG297" s="2">
        <v>48857.101711779302</v>
      </c>
      <c r="AH297" s="5">
        <v>2.1279349771437399</v>
      </c>
      <c r="AI297" s="5">
        <v>1.0894540673872699</v>
      </c>
      <c r="AJ297" s="5" t="s">
        <v>139</v>
      </c>
      <c r="AK297" s="2">
        <v>2.8296171924447101E-2</v>
      </c>
      <c r="AL297" s="2">
        <v>0.25647995834418702</v>
      </c>
      <c r="AM297" s="2">
        <v>150297.069779126</v>
      </c>
      <c r="AN297" s="2">
        <v>96612.087069089597</v>
      </c>
      <c r="AO297" s="2">
        <v>70078.618261995696</v>
      </c>
      <c r="AP297" s="2">
        <v>138306.56942595699</v>
      </c>
      <c r="AQ297" s="2">
        <v>55343.461045131698</v>
      </c>
      <c r="AR297" s="2">
        <v>113150.60810488601</v>
      </c>
      <c r="AS297" s="2">
        <v>71185.0536706079</v>
      </c>
      <c r="AT297" s="2">
        <v>45886.910940426598</v>
      </c>
      <c r="AU297" s="2">
        <v>110386.389116128</v>
      </c>
      <c r="AV297" s="2">
        <v>10264.592276036799</v>
      </c>
      <c r="AW297" s="2">
        <v>16971.6878832129</v>
      </c>
      <c r="AX297" s="2">
        <v>38447.976384263296</v>
      </c>
    </row>
    <row r="298" spans="1:50" x14ac:dyDescent="0.25">
      <c r="A298" s="2" t="s">
        <v>930</v>
      </c>
      <c r="B298" s="2">
        <v>450.99390045212903</v>
      </c>
      <c r="C298" s="2">
        <v>12.768649999999999</v>
      </c>
      <c r="D298" s="2" t="s">
        <v>51</v>
      </c>
      <c r="E298" s="2" t="s">
        <v>931</v>
      </c>
      <c r="F298" s="2">
        <v>255802</v>
      </c>
      <c r="G298" s="3" t="str">
        <f>HYPERLINK("https://cloud.oebiotech.com/#/lm/network/255802", "https://cloud.oebiotech.com/#/lm/network/255802")</f>
        <v>https://cloud.oebiotech.com/#/lm/network/255802</v>
      </c>
      <c r="H298" s="2" t="s">
        <v>932</v>
      </c>
      <c r="I298" s="2"/>
      <c r="J298" s="2"/>
      <c r="K298" s="2">
        <v>15559252</v>
      </c>
      <c r="L298" s="2"/>
      <c r="M298" s="2"/>
      <c r="N298" s="2"/>
      <c r="O298" s="2"/>
      <c r="P298" s="2"/>
      <c r="Q298" s="2"/>
      <c r="R298" s="2"/>
      <c r="S298" s="2" t="s">
        <v>933</v>
      </c>
      <c r="T298" s="2" t="s">
        <v>934</v>
      </c>
      <c r="U298" s="2" t="s">
        <v>540</v>
      </c>
      <c r="V298" s="2" t="s">
        <v>935</v>
      </c>
      <c r="W298" s="2" t="s">
        <v>936</v>
      </c>
      <c r="X298" s="2" t="s">
        <v>147</v>
      </c>
      <c r="Y298" s="2">
        <v>37.4</v>
      </c>
      <c r="Z298" s="2">
        <v>10.7</v>
      </c>
      <c r="AA298" s="2" t="s">
        <v>163</v>
      </c>
      <c r="AB298" s="2" t="s">
        <v>937</v>
      </c>
      <c r="AC298" s="2">
        <v>-0.88231363094572102</v>
      </c>
      <c r="AD298" s="2"/>
      <c r="AE298" s="2">
        <v>1.4887870570382</v>
      </c>
      <c r="AF298" s="2">
        <v>182241.14100196399</v>
      </c>
      <c r="AG298" s="2">
        <v>233243.48912705199</v>
      </c>
      <c r="AH298" s="4">
        <v>0.781334311555828</v>
      </c>
      <c r="AI298" s="4">
        <v>-0.35598812472056202</v>
      </c>
      <c r="AJ298" s="4" t="s">
        <v>62</v>
      </c>
      <c r="AK298" s="2">
        <v>6.0854304649220698E-3</v>
      </c>
      <c r="AL298" s="2">
        <v>0.13235881236838801</v>
      </c>
      <c r="AM298" s="2">
        <v>173038.99537858201</v>
      </c>
      <c r="AN298" s="2">
        <v>177233.308180919</v>
      </c>
      <c r="AO298" s="2">
        <v>169831.63633062999</v>
      </c>
      <c r="AP298" s="2">
        <v>191411.29369280301</v>
      </c>
      <c r="AQ298" s="2">
        <v>185686.781520424</v>
      </c>
      <c r="AR298" s="2">
        <v>196244.83090842699</v>
      </c>
      <c r="AS298" s="2">
        <v>183331.631221007</v>
      </c>
      <c r="AT298" s="2">
        <v>266736.43676859402</v>
      </c>
      <c r="AU298" s="2">
        <v>197439.03700337801</v>
      </c>
      <c r="AV298" s="2">
        <v>259791.15504367501</v>
      </c>
      <c r="AW298" s="2">
        <v>242947.79577616201</v>
      </c>
      <c r="AX298" s="2">
        <v>249214.87894949401</v>
      </c>
    </row>
    <row r="299" spans="1:50" x14ac:dyDescent="0.25">
      <c r="A299" s="2" t="s">
        <v>2857</v>
      </c>
      <c r="B299" s="2">
        <v>221.186607387805</v>
      </c>
      <c r="C299" s="2">
        <v>0.68110000000000004</v>
      </c>
      <c r="D299" s="2" t="s">
        <v>51</v>
      </c>
      <c r="E299" s="2" t="s">
        <v>2858</v>
      </c>
      <c r="F299" s="2">
        <v>6265</v>
      </c>
      <c r="G299" s="3" t="str">
        <f>HYPERLINK("https://cloud.oebiotech.com/#/lm/network/6265", "https://cloud.oebiotech.com/#/lm/network/6265")</f>
        <v>https://cloud.oebiotech.com/#/lm/network/6265</v>
      </c>
      <c r="H299" s="2"/>
      <c r="I299" s="2">
        <v>96998</v>
      </c>
      <c r="J299" s="2" t="s">
        <v>2859</v>
      </c>
      <c r="K299" s="2">
        <v>56935892</v>
      </c>
      <c r="L299" s="2"/>
      <c r="M299" s="2"/>
      <c r="N299" s="2"/>
      <c r="O299" s="2"/>
      <c r="P299" s="2"/>
      <c r="Q299" s="2"/>
      <c r="R299" s="2"/>
      <c r="S299" s="2" t="s">
        <v>2860</v>
      </c>
      <c r="T299" s="2" t="s">
        <v>2861</v>
      </c>
      <c r="U299" s="2" t="s">
        <v>56</v>
      </c>
      <c r="V299" s="2" t="s">
        <v>145</v>
      </c>
      <c r="W299" s="2" t="s">
        <v>146</v>
      </c>
      <c r="X299" s="2" t="s">
        <v>147</v>
      </c>
      <c r="Y299" s="2">
        <v>38</v>
      </c>
      <c r="Z299" s="2">
        <v>0.61899999999999999</v>
      </c>
      <c r="AA299" s="2" t="s">
        <v>95</v>
      </c>
      <c r="AB299" s="2" t="s">
        <v>2862</v>
      </c>
      <c r="AC299" s="2">
        <v>-4.9382121428192001</v>
      </c>
      <c r="AD299" s="2"/>
      <c r="AE299" s="2">
        <v>1.4872760777365299</v>
      </c>
      <c r="AF299" s="2">
        <v>230544.03305469401</v>
      </c>
      <c r="AG299" s="2">
        <v>340924.73147109</v>
      </c>
      <c r="AH299" s="4">
        <v>0.67623147214898804</v>
      </c>
      <c r="AI299" s="4">
        <v>-0.56441093334894998</v>
      </c>
      <c r="AJ299" s="4" t="s">
        <v>62</v>
      </c>
      <c r="AK299" s="2">
        <v>0.19609185364894499</v>
      </c>
      <c r="AL299" s="2">
        <v>0.520034656211255</v>
      </c>
      <c r="AM299" s="2">
        <v>309571.75837021199</v>
      </c>
      <c r="AN299" s="2">
        <v>252959.51490219001</v>
      </c>
      <c r="AO299" s="2">
        <v>234858.810413181</v>
      </c>
      <c r="AP299" s="2">
        <v>303955.89870256599</v>
      </c>
      <c r="AQ299" s="2">
        <v>150534.781164888</v>
      </c>
      <c r="AR299" s="2">
        <v>131383.43477512599</v>
      </c>
      <c r="AS299" s="2">
        <v>129246.901213288</v>
      </c>
      <c r="AT299" s="2">
        <v>141115.45846918799</v>
      </c>
      <c r="AU299" s="2">
        <v>553947.66866092803</v>
      </c>
      <c r="AV299" s="2">
        <v>513828.05346946901</v>
      </c>
      <c r="AW299" s="2">
        <v>324080.83440634899</v>
      </c>
      <c r="AX299" s="2">
        <v>383329.47260732</v>
      </c>
    </row>
    <row r="300" spans="1:50" x14ac:dyDescent="0.25">
      <c r="A300" s="2" t="s">
        <v>2863</v>
      </c>
      <c r="B300" s="2">
        <v>524.33598438638001</v>
      </c>
      <c r="C300" s="2">
        <v>11.1923833333333</v>
      </c>
      <c r="D300" s="2" t="s">
        <v>51</v>
      </c>
      <c r="E300" s="2" t="s">
        <v>2864</v>
      </c>
      <c r="F300" s="2">
        <v>19920</v>
      </c>
      <c r="G300" s="3" t="str">
        <f>HYPERLINK("https://cloud.oebiotech.com/#/lm/network/19920", "https://cloud.oebiotech.com/#/lm/network/19920")</f>
        <v>https://cloud.oebiotech.com/#/lm/network/19920</v>
      </c>
      <c r="H300" s="2" t="s">
        <v>2865</v>
      </c>
      <c r="I300" s="2">
        <v>40402</v>
      </c>
      <c r="J300" s="2" t="s">
        <v>2866</v>
      </c>
      <c r="K300" s="2">
        <v>10917802</v>
      </c>
      <c r="L300" s="2"/>
      <c r="M300" s="2"/>
      <c r="N300" s="2"/>
      <c r="O300" s="2">
        <v>73850</v>
      </c>
      <c r="P300" s="2"/>
      <c r="Q300" s="2"/>
      <c r="R300" s="2"/>
      <c r="S300" s="2" t="s">
        <v>2867</v>
      </c>
      <c r="T300" s="2" t="s">
        <v>2868</v>
      </c>
      <c r="U300" s="2" t="s">
        <v>56</v>
      </c>
      <c r="V300" s="2" t="s">
        <v>57</v>
      </c>
      <c r="W300" s="2" t="s">
        <v>58</v>
      </c>
      <c r="X300" s="2" t="s">
        <v>69</v>
      </c>
      <c r="Y300" s="2">
        <v>63.8</v>
      </c>
      <c r="Z300" s="2">
        <v>98.2</v>
      </c>
      <c r="AA300" s="2" t="s">
        <v>218</v>
      </c>
      <c r="AB300" s="2" t="s">
        <v>1689</v>
      </c>
      <c r="AC300" s="2">
        <v>0.43092953790367</v>
      </c>
      <c r="AD300" s="2"/>
      <c r="AE300" s="2">
        <v>1.48514515717094</v>
      </c>
      <c r="AF300" s="2">
        <v>751365.29531327297</v>
      </c>
      <c r="AG300" s="2">
        <v>863755.233965797</v>
      </c>
      <c r="AH300" s="4">
        <v>0.869882190888149</v>
      </c>
      <c r="AI300" s="4">
        <v>-0.201108066489252</v>
      </c>
      <c r="AJ300" s="4" t="s">
        <v>62</v>
      </c>
      <c r="AK300" s="2">
        <v>0.354974386662609</v>
      </c>
      <c r="AL300" s="2">
        <v>0.644232435870006</v>
      </c>
      <c r="AM300" s="2">
        <v>951922.81307325105</v>
      </c>
      <c r="AN300" s="2">
        <v>802835.323174914</v>
      </c>
      <c r="AO300" s="2">
        <v>565616.27107078698</v>
      </c>
      <c r="AP300" s="2">
        <v>660912.55384896498</v>
      </c>
      <c r="AQ300" s="2">
        <v>642634.528887394</v>
      </c>
      <c r="AR300" s="2">
        <v>884270.28182432905</v>
      </c>
      <c r="AS300" s="2">
        <v>838787.85327699</v>
      </c>
      <c r="AT300" s="2">
        <v>469522.02120642102</v>
      </c>
      <c r="AU300" s="2">
        <v>897989.160288429</v>
      </c>
      <c r="AV300" s="2">
        <v>1176402.56181468</v>
      </c>
      <c r="AW300" s="2">
        <v>1022830.57818193</v>
      </c>
      <c r="AX300" s="2">
        <v>776999.22902633005</v>
      </c>
    </row>
    <row r="301" spans="1:50" x14ac:dyDescent="0.25">
      <c r="A301" s="2" t="s">
        <v>938</v>
      </c>
      <c r="B301" s="2">
        <v>662.404503480936</v>
      </c>
      <c r="C301" s="2">
        <v>11.6352666666667</v>
      </c>
      <c r="D301" s="2" t="s">
        <v>51</v>
      </c>
      <c r="E301" s="2" t="s">
        <v>939</v>
      </c>
      <c r="F301" s="2">
        <v>27850</v>
      </c>
      <c r="G301" s="3" t="str">
        <f>HYPERLINK("https://cloud.oebiotech.com/#/lm/network/27850", "https://cloud.oebiotech.com/#/lm/network/27850")</f>
        <v>https://cloud.oebiotech.com/#/lm/network/27850</v>
      </c>
      <c r="H301" s="2"/>
      <c r="I301" s="2"/>
      <c r="J301" s="2" t="s">
        <v>940</v>
      </c>
      <c r="K301" s="2">
        <v>134812311</v>
      </c>
      <c r="L301" s="2"/>
      <c r="M301" s="2"/>
      <c r="N301" s="2"/>
      <c r="O301" s="2"/>
      <c r="P301" s="2"/>
      <c r="Q301" s="2"/>
      <c r="R301" s="2"/>
      <c r="S301" s="2" t="s">
        <v>941</v>
      </c>
      <c r="T301" s="2" t="s">
        <v>942</v>
      </c>
      <c r="U301" s="2" t="s">
        <v>56</v>
      </c>
      <c r="V301" s="2" t="s">
        <v>57</v>
      </c>
      <c r="W301" s="2" t="s">
        <v>58</v>
      </c>
      <c r="X301" s="2" t="s">
        <v>83</v>
      </c>
      <c r="Y301" s="2">
        <v>42.7</v>
      </c>
      <c r="Z301" s="2">
        <v>1.32</v>
      </c>
      <c r="AA301" s="2" t="s">
        <v>259</v>
      </c>
      <c r="AB301" s="2" t="s">
        <v>943</v>
      </c>
      <c r="AC301" s="2">
        <v>2.6357820386227102</v>
      </c>
      <c r="AD301" s="2"/>
      <c r="AE301" s="2">
        <v>1.48366633255603</v>
      </c>
      <c r="AF301" s="2">
        <v>86681.685118918307</v>
      </c>
      <c r="AG301" s="2">
        <v>22730.5827133979</v>
      </c>
      <c r="AH301" s="5">
        <v>3.81343875833972</v>
      </c>
      <c r="AI301" s="5">
        <v>1.9310925310809699</v>
      </c>
      <c r="AJ301" s="5" t="s">
        <v>139</v>
      </c>
      <c r="AK301" s="2">
        <v>2.5159197660064799E-2</v>
      </c>
      <c r="AL301" s="2">
        <v>0.24527119295206001</v>
      </c>
      <c r="AM301" s="2">
        <v>59644.500949962501</v>
      </c>
      <c r="AN301" s="2">
        <v>158416.12682649499</v>
      </c>
      <c r="AO301" s="2">
        <v>36882.621099506701</v>
      </c>
      <c r="AP301" s="2">
        <v>128584.20136735401</v>
      </c>
      <c r="AQ301" s="2">
        <v>20357.1692013664</v>
      </c>
      <c r="AR301" s="2">
        <v>116205.491268825</v>
      </c>
      <c r="AS301" s="2">
        <v>34757.534311459101</v>
      </c>
      <c r="AT301" s="2">
        <v>55771.978602561001</v>
      </c>
      <c r="AU301" s="2">
        <v>11472.730999752301</v>
      </c>
      <c r="AV301" s="2">
        <v>2568.79081740841</v>
      </c>
      <c r="AW301" s="2">
        <v>235.24772925536101</v>
      </c>
      <c r="AX301" s="2">
        <v>31577.213819951201</v>
      </c>
    </row>
    <row r="302" spans="1:50" x14ac:dyDescent="0.25">
      <c r="A302" s="2" t="s">
        <v>2869</v>
      </c>
      <c r="B302" s="2">
        <v>180.03279924955999</v>
      </c>
      <c r="C302" s="2">
        <v>0.74113333333333298</v>
      </c>
      <c r="D302" s="2" t="s">
        <v>51</v>
      </c>
      <c r="E302" s="2" t="s">
        <v>2870</v>
      </c>
      <c r="F302" s="2">
        <v>212443</v>
      </c>
      <c r="G302" s="3" t="str">
        <f>HYPERLINK("https://cloud.oebiotech.com/#/lm/network/212443", "https://cloud.oebiotech.com/#/lm/network/212443")</f>
        <v>https://cloud.oebiotech.com/#/lm/network/212443</v>
      </c>
      <c r="H302" s="2" t="s">
        <v>2871</v>
      </c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 t="s">
        <v>2872</v>
      </c>
      <c r="T302" s="2" t="s">
        <v>2873</v>
      </c>
      <c r="U302" s="2" t="s">
        <v>266</v>
      </c>
      <c r="V302" s="2" t="s">
        <v>2874</v>
      </c>
      <c r="W302" s="2" t="s">
        <v>2875</v>
      </c>
      <c r="X302" s="2" t="s">
        <v>69</v>
      </c>
      <c r="Y302" s="2">
        <v>55.8</v>
      </c>
      <c r="Z302" s="2">
        <v>85.6</v>
      </c>
      <c r="AA302" s="2" t="s">
        <v>218</v>
      </c>
      <c r="AB302" s="2" t="s">
        <v>2876</v>
      </c>
      <c r="AC302" s="2">
        <v>-5.9477218024541596</v>
      </c>
      <c r="AD302" s="2"/>
      <c r="AE302" s="2">
        <v>1.48070966038287</v>
      </c>
      <c r="AF302" s="2">
        <v>3133.6087158557202</v>
      </c>
      <c r="AG302" s="2">
        <v>103704.378885176</v>
      </c>
      <c r="AH302" s="4">
        <v>3.0216744457100798E-2</v>
      </c>
      <c r="AI302" s="4">
        <v>-5.0485079564262003</v>
      </c>
      <c r="AJ302" s="4" t="s">
        <v>62</v>
      </c>
      <c r="AK302" s="2">
        <v>0.34006855753222998</v>
      </c>
      <c r="AL302" s="2">
        <v>0.63815037094278604</v>
      </c>
      <c r="AM302" s="2">
        <v>2376.2286124698498</v>
      </c>
      <c r="AN302" s="2">
        <v>3881.8903508900098</v>
      </c>
      <c r="AO302" s="2">
        <v>1048.27944308817</v>
      </c>
      <c r="AP302" s="2">
        <v>3051.3140985407199</v>
      </c>
      <c r="AQ302" s="2">
        <v>3097.8438079983898</v>
      </c>
      <c r="AR302" s="2">
        <v>5346.0959821471797</v>
      </c>
      <c r="AS302" s="2">
        <v>4692.3306261846801</v>
      </c>
      <c r="AT302" s="2">
        <v>3841.3568049625801</v>
      </c>
      <c r="AU302" s="2">
        <v>1545.41685353356</v>
      </c>
      <c r="AV302" s="2">
        <v>1729.1373109521901</v>
      </c>
      <c r="AW302" s="2">
        <v>605642.17340893403</v>
      </c>
      <c r="AX302" s="2">
        <v>4775.8583064879103</v>
      </c>
    </row>
    <row r="303" spans="1:50" x14ac:dyDescent="0.25">
      <c r="A303" s="2" t="s">
        <v>2877</v>
      </c>
      <c r="B303" s="2">
        <v>500.27855443841099</v>
      </c>
      <c r="C303" s="2">
        <v>10.2658666666667</v>
      </c>
      <c r="D303" s="2" t="s">
        <v>51</v>
      </c>
      <c r="E303" s="2" t="s">
        <v>2878</v>
      </c>
      <c r="F303" s="2">
        <v>21212</v>
      </c>
      <c r="G303" s="3" t="str">
        <f>HYPERLINK("https://cloud.oebiotech.com/#/lm/network/21212", "https://cloud.oebiotech.com/#/lm/network/21212")</f>
        <v>https://cloud.oebiotech.com/#/lm/network/21212</v>
      </c>
      <c r="H303" s="2" t="s">
        <v>2879</v>
      </c>
      <c r="I303" s="2">
        <v>62275</v>
      </c>
      <c r="J303" s="2" t="s">
        <v>2880</v>
      </c>
      <c r="K303" s="2">
        <v>53480936</v>
      </c>
      <c r="L303" s="2"/>
      <c r="M303" s="2"/>
      <c r="N303" s="2"/>
      <c r="O303" s="2">
        <v>72741</v>
      </c>
      <c r="P303" s="2"/>
      <c r="Q303" s="2"/>
      <c r="R303" s="2"/>
      <c r="S303" s="2" t="s">
        <v>2881</v>
      </c>
      <c r="T303" s="2" t="s">
        <v>2882</v>
      </c>
      <c r="U303" s="2" t="s">
        <v>56</v>
      </c>
      <c r="V303" s="2" t="s">
        <v>57</v>
      </c>
      <c r="W303" s="2" t="s">
        <v>155</v>
      </c>
      <c r="X303" s="2" t="s">
        <v>69</v>
      </c>
      <c r="Y303" s="2">
        <v>63.9</v>
      </c>
      <c r="Z303" s="2">
        <v>91.4</v>
      </c>
      <c r="AA303" s="2" t="s">
        <v>163</v>
      </c>
      <c r="AB303" s="2" t="s">
        <v>1932</v>
      </c>
      <c r="AC303" s="2">
        <v>0.58148019036228304</v>
      </c>
      <c r="AD303" s="2"/>
      <c r="AE303" s="2">
        <v>1.4791121211207801</v>
      </c>
      <c r="AF303" s="2">
        <v>256592.10670759299</v>
      </c>
      <c r="AG303" s="2">
        <v>321663.03406814497</v>
      </c>
      <c r="AH303" s="4">
        <v>0.79770467704173198</v>
      </c>
      <c r="AI303" s="4">
        <v>-0.32607335824537598</v>
      </c>
      <c r="AJ303" s="4" t="s">
        <v>62</v>
      </c>
      <c r="AK303" s="2">
        <v>0.17697262753607501</v>
      </c>
      <c r="AL303" s="2">
        <v>0.49913847490816099</v>
      </c>
      <c r="AM303" s="2">
        <v>227628.61319629199</v>
      </c>
      <c r="AN303" s="2">
        <v>249986.85819533901</v>
      </c>
      <c r="AO303" s="2">
        <v>293248.02445294702</v>
      </c>
      <c r="AP303" s="2">
        <v>298679.42767268501</v>
      </c>
      <c r="AQ303" s="2">
        <v>217466.305601723</v>
      </c>
      <c r="AR303" s="2">
        <v>252543.41112657101</v>
      </c>
      <c r="AS303" s="2">
        <v>254025.22923776801</v>
      </c>
      <c r="AT303" s="2">
        <v>224431.45786076001</v>
      </c>
      <c r="AU303" s="2">
        <v>287171.962093257</v>
      </c>
      <c r="AV303" s="2">
        <v>455042.64321498602</v>
      </c>
      <c r="AW303" s="2">
        <v>453315.71204728499</v>
      </c>
      <c r="AX303" s="2">
        <v>255991.19995481099</v>
      </c>
    </row>
    <row r="304" spans="1:50" x14ac:dyDescent="0.25">
      <c r="A304" s="2" t="s">
        <v>944</v>
      </c>
      <c r="B304" s="2">
        <v>351.217719840992</v>
      </c>
      <c r="C304" s="2">
        <v>7.3238666666666701</v>
      </c>
      <c r="D304" s="2" t="s">
        <v>51</v>
      </c>
      <c r="E304" s="2" t="s">
        <v>945</v>
      </c>
      <c r="F304" s="2">
        <v>3882</v>
      </c>
      <c r="G304" s="3" t="str">
        <f>HYPERLINK("https://cloud.oebiotech.com/#/lm/network/3882", "https://cloud.oebiotech.com/#/lm/network/3882")</f>
        <v>https://cloud.oebiotech.com/#/lm/network/3882</v>
      </c>
      <c r="H304" s="2" t="s">
        <v>946</v>
      </c>
      <c r="I304" s="2"/>
      <c r="J304" s="2" t="s">
        <v>947</v>
      </c>
      <c r="K304" s="2">
        <v>53481476</v>
      </c>
      <c r="L304" s="2"/>
      <c r="M304" s="2"/>
      <c r="N304" s="2"/>
      <c r="O304" s="2"/>
      <c r="P304" s="2"/>
      <c r="Q304" s="2"/>
      <c r="R304" s="2"/>
      <c r="S304" s="2" t="s">
        <v>948</v>
      </c>
      <c r="T304" s="2" t="s">
        <v>949</v>
      </c>
      <c r="U304" s="2" t="s">
        <v>56</v>
      </c>
      <c r="V304" s="2" t="s">
        <v>145</v>
      </c>
      <c r="W304" s="2" t="s">
        <v>187</v>
      </c>
      <c r="X304" s="2" t="s">
        <v>69</v>
      </c>
      <c r="Y304" s="2">
        <v>56.8</v>
      </c>
      <c r="Z304" s="2">
        <v>71.3</v>
      </c>
      <c r="AA304" s="2" t="s">
        <v>179</v>
      </c>
      <c r="AB304" s="2" t="s">
        <v>950</v>
      </c>
      <c r="AC304" s="2">
        <v>3.1962286983603301</v>
      </c>
      <c r="AD304" s="2"/>
      <c r="AE304" s="2">
        <v>1.47721940244177</v>
      </c>
      <c r="AF304" s="2">
        <v>133937.13603581901</v>
      </c>
      <c r="AG304" s="2">
        <v>78743.754032311394</v>
      </c>
      <c r="AH304" s="5">
        <v>1.70092393589541</v>
      </c>
      <c r="AI304" s="5">
        <v>0.766318626151132</v>
      </c>
      <c r="AJ304" s="5" t="s">
        <v>139</v>
      </c>
      <c r="AK304" s="2">
        <v>1.9472791303355899E-2</v>
      </c>
      <c r="AL304" s="2">
        <v>0.21929767047425699</v>
      </c>
      <c r="AM304" s="2">
        <v>129670.17496633501</v>
      </c>
      <c r="AN304" s="2">
        <v>183971.007301862</v>
      </c>
      <c r="AO304" s="2">
        <v>120917.336464155</v>
      </c>
      <c r="AP304" s="2">
        <v>160924.15960427999</v>
      </c>
      <c r="AQ304" s="2">
        <v>77335.942940699402</v>
      </c>
      <c r="AR304" s="2">
        <v>130804.194937584</v>
      </c>
      <c r="AS304" s="2">
        <v>119192.24515363701</v>
      </c>
      <c r="AT304" s="2">
        <v>78238.694703836896</v>
      </c>
      <c r="AU304" s="2">
        <v>106138.401194725</v>
      </c>
      <c r="AV304" s="2">
        <v>28770.988938580002</v>
      </c>
      <c r="AW304" s="2">
        <v>61033.716811428902</v>
      </c>
      <c r="AX304" s="2">
        <v>79088.477391660796</v>
      </c>
    </row>
    <row r="305" spans="1:50" x14ac:dyDescent="0.25">
      <c r="A305" s="2" t="s">
        <v>2883</v>
      </c>
      <c r="B305" s="2">
        <v>536.33655224295501</v>
      </c>
      <c r="C305" s="2">
        <v>8.2118333333333293</v>
      </c>
      <c r="D305" s="2" t="s">
        <v>51</v>
      </c>
      <c r="E305" s="2" t="s">
        <v>2884</v>
      </c>
      <c r="F305" s="2">
        <v>22442</v>
      </c>
      <c r="G305" s="3" t="str">
        <f>HYPERLINK("https://cloud.oebiotech.com/#/lm/network/22442", "https://cloud.oebiotech.com/#/lm/network/22442")</f>
        <v>https://cloud.oebiotech.com/#/lm/network/22442</v>
      </c>
      <c r="H305" s="2"/>
      <c r="I305" s="2">
        <v>78839</v>
      </c>
      <c r="J305" s="2" t="s">
        <v>2885</v>
      </c>
      <c r="K305" s="2">
        <v>52926280</v>
      </c>
      <c r="L305" s="2"/>
      <c r="M305" s="2"/>
      <c r="N305" s="2"/>
      <c r="O305" s="2"/>
      <c r="P305" s="2"/>
      <c r="Q305" s="2"/>
      <c r="R305" s="2"/>
      <c r="S305" s="2" t="s">
        <v>2886</v>
      </c>
      <c r="T305" s="2" t="s">
        <v>2887</v>
      </c>
      <c r="U305" s="2" t="s">
        <v>56</v>
      </c>
      <c r="V305" s="2" t="s">
        <v>57</v>
      </c>
      <c r="W305" s="2" t="s">
        <v>82</v>
      </c>
      <c r="X305" s="2" t="s">
        <v>59</v>
      </c>
      <c r="Y305" s="2">
        <v>51</v>
      </c>
      <c r="Z305" s="2">
        <v>63.1</v>
      </c>
      <c r="AA305" s="2" t="s">
        <v>156</v>
      </c>
      <c r="AB305" s="2" t="s">
        <v>2888</v>
      </c>
      <c r="AC305" s="2">
        <v>3.3824074625536702</v>
      </c>
      <c r="AD305" s="2"/>
      <c r="AE305" s="2">
        <v>1.4742054041205701</v>
      </c>
      <c r="AF305" s="2">
        <v>278106.97882148501</v>
      </c>
      <c r="AG305" s="2">
        <v>191506.14868679101</v>
      </c>
      <c r="AH305" s="5">
        <v>1.4522091365135801</v>
      </c>
      <c r="AI305" s="5">
        <v>0.53824923465886598</v>
      </c>
      <c r="AJ305" s="5" t="s">
        <v>139</v>
      </c>
      <c r="AK305" s="2">
        <v>0.17912360233389699</v>
      </c>
      <c r="AL305" s="2">
        <v>0.50210426206626202</v>
      </c>
      <c r="AM305" s="2">
        <v>213230.92209058299</v>
      </c>
      <c r="AN305" s="2">
        <v>460568.727910685</v>
      </c>
      <c r="AO305" s="2">
        <v>227197.21086597801</v>
      </c>
      <c r="AP305" s="2">
        <v>183898.02433275199</v>
      </c>
      <c r="AQ305" s="2">
        <v>219962.47754595001</v>
      </c>
      <c r="AR305" s="2">
        <v>363784.51018296299</v>
      </c>
      <c r="AS305" s="2">
        <v>301428.53969261999</v>
      </c>
      <c r="AT305" s="2">
        <v>198707.00120176299</v>
      </c>
      <c r="AU305" s="2">
        <v>172788.67573398</v>
      </c>
      <c r="AV305" s="2">
        <v>76648.195375867203</v>
      </c>
      <c r="AW305" s="2">
        <v>94166.604539543201</v>
      </c>
      <c r="AX305" s="2">
        <v>305297.87557697302</v>
      </c>
    </row>
    <row r="306" spans="1:50" x14ac:dyDescent="0.25">
      <c r="A306" s="2" t="s">
        <v>951</v>
      </c>
      <c r="B306" s="2">
        <v>399.265038540658</v>
      </c>
      <c r="C306" s="2">
        <v>9.9291999999999998</v>
      </c>
      <c r="D306" s="2" t="s">
        <v>51</v>
      </c>
      <c r="E306" s="2" t="s">
        <v>952</v>
      </c>
      <c r="F306" s="2">
        <v>81711</v>
      </c>
      <c r="G306" s="3" t="str">
        <f>HYPERLINK("https://cloud.oebiotech.com/#/lm/network/81711", "https://cloud.oebiotech.com/#/lm/network/81711")</f>
        <v>https://cloud.oebiotech.com/#/lm/network/81711</v>
      </c>
      <c r="H306" s="2" t="s">
        <v>953</v>
      </c>
      <c r="I306" s="2">
        <v>96230</v>
      </c>
      <c r="J306" s="2"/>
      <c r="K306" s="2">
        <v>6450190</v>
      </c>
      <c r="L306" s="2"/>
      <c r="M306" s="2"/>
      <c r="N306" s="2"/>
      <c r="O306" s="2">
        <v>53153</v>
      </c>
      <c r="P306" s="2" t="s">
        <v>954</v>
      </c>
      <c r="Q306" s="2" t="s">
        <v>955</v>
      </c>
      <c r="R306" s="2" t="s">
        <v>956</v>
      </c>
      <c r="S306" s="2" t="s">
        <v>957</v>
      </c>
      <c r="T306" s="2" t="s">
        <v>958</v>
      </c>
      <c r="U306" s="2" t="s">
        <v>56</v>
      </c>
      <c r="V306" s="2" t="s">
        <v>177</v>
      </c>
      <c r="W306" s="2" t="s">
        <v>959</v>
      </c>
      <c r="X306" s="2" t="s">
        <v>147</v>
      </c>
      <c r="Y306" s="2">
        <v>37.1</v>
      </c>
      <c r="Z306" s="2">
        <v>0</v>
      </c>
      <c r="AA306" s="2" t="s">
        <v>95</v>
      </c>
      <c r="AB306" s="2" t="s">
        <v>960</v>
      </c>
      <c r="AC306" s="2">
        <v>-2.1205501187832598</v>
      </c>
      <c r="AD306" s="2"/>
      <c r="AE306" s="2">
        <v>1.4705083883650001</v>
      </c>
      <c r="AF306" s="2">
        <v>39318.410485856497</v>
      </c>
      <c r="AG306" s="2">
        <v>86364.341821795693</v>
      </c>
      <c r="AH306" s="4">
        <v>0.45526208683424202</v>
      </c>
      <c r="AI306" s="4">
        <v>-1.1352307748091499</v>
      </c>
      <c r="AJ306" s="4" t="s">
        <v>62</v>
      </c>
      <c r="AK306" s="2">
        <v>1.30798491820323E-2</v>
      </c>
      <c r="AL306" s="2">
        <v>0.18059317347378101</v>
      </c>
      <c r="AM306" s="2">
        <v>9589.5650610451394</v>
      </c>
      <c r="AN306" s="2">
        <v>8206.9186635610204</v>
      </c>
      <c r="AO306" s="2">
        <v>21727.316922797199</v>
      </c>
      <c r="AP306" s="2">
        <v>72270.094535350494</v>
      </c>
      <c r="AQ306" s="2">
        <v>65526.414416831001</v>
      </c>
      <c r="AR306" s="2">
        <v>58590.153315554402</v>
      </c>
      <c r="AS306" s="2">
        <v>122060.763222458</v>
      </c>
      <c r="AT306" s="2">
        <v>103316.933420068</v>
      </c>
      <c r="AU306" s="2">
        <v>94393.648598119195</v>
      </c>
      <c r="AV306" s="2">
        <v>66430.706401501695</v>
      </c>
      <c r="AW306" s="2">
        <v>56996.927577088398</v>
      </c>
      <c r="AX306" s="2">
        <v>74987.071711538796</v>
      </c>
    </row>
    <row r="307" spans="1:50" x14ac:dyDescent="0.25">
      <c r="A307" s="2" t="s">
        <v>961</v>
      </c>
      <c r="B307" s="2">
        <v>634.40957946962305</v>
      </c>
      <c r="C307" s="2">
        <v>12.2333833333333</v>
      </c>
      <c r="D307" s="2" t="s">
        <v>51</v>
      </c>
      <c r="E307" s="2" t="s">
        <v>962</v>
      </c>
      <c r="F307" s="2">
        <v>22232</v>
      </c>
      <c r="G307" s="3" t="str">
        <f>HYPERLINK("https://cloud.oebiotech.com/#/lm/network/22232", "https://cloud.oebiotech.com/#/lm/network/22232")</f>
        <v>https://cloud.oebiotech.com/#/lm/network/22232</v>
      </c>
      <c r="H307" s="2"/>
      <c r="I307" s="2">
        <v>78635</v>
      </c>
      <c r="J307" s="2" t="s">
        <v>963</v>
      </c>
      <c r="K307" s="2">
        <v>52926078</v>
      </c>
      <c r="L307" s="2"/>
      <c r="M307" s="2"/>
      <c r="N307" s="2"/>
      <c r="O307" s="2"/>
      <c r="P307" s="2"/>
      <c r="Q307" s="2"/>
      <c r="R307" s="2"/>
      <c r="S307" s="2" t="s">
        <v>964</v>
      </c>
      <c r="T307" s="2" t="s">
        <v>965</v>
      </c>
      <c r="U307" s="2" t="s">
        <v>56</v>
      </c>
      <c r="V307" s="2" t="s">
        <v>57</v>
      </c>
      <c r="W307" s="2" t="s">
        <v>82</v>
      </c>
      <c r="X307" s="2" t="s">
        <v>83</v>
      </c>
      <c r="Y307" s="2">
        <v>53.7</v>
      </c>
      <c r="Z307" s="2">
        <v>1.35</v>
      </c>
      <c r="AA307" s="2" t="s">
        <v>156</v>
      </c>
      <c r="AB307" s="2" t="s">
        <v>604</v>
      </c>
      <c r="AC307" s="2">
        <v>2.6617612026641702</v>
      </c>
      <c r="AD307" s="2"/>
      <c r="AE307" s="2">
        <v>1.4656777043476601</v>
      </c>
      <c r="AF307" s="2">
        <v>118517.95758606801</v>
      </c>
      <c r="AG307" s="2">
        <v>65986.673510829598</v>
      </c>
      <c r="AH307" s="5">
        <v>1.7960892901597301</v>
      </c>
      <c r="AI307" s="5">
        <v>0.84485907350253697</v>
      </c>
      <c r="AJ307" s="5" t="s">
        <v>139</v>
      </c>
      <c r="AK307" s="2">
        <v>1.8229486664263501E-2</v>
      </c>
      <c r="AL307" s="2">
        <v>0.212973194719246</v>
      </c>
      <c r="AM307" s="2">
        <v>90033.036105039399</v>
      </c>
      <c r="AN307" s="2">
        <v>159878.58211038701</v>
      </c>
      <c r="AO307" s="2">
        <v>122971.562628527</v>
      </c>
      <c r="AP307" s="2">
        <v>147942.201593765</v>
      </c>
      <c r="AQ307" s="2">
        <v>99547.066873507603</v>
      </c>
      <c r="AR307" s="2">
        <v>90735.296205179096</v>
      </c>
      <c r="AS307" s="2">
        <v>85558.291072290405</v>
      </c>
      <c r="AT307" s="2">
        <v>111960.426448874</v>
      </c>
      <c r="AU307" s="2">
        <v>87098.759971407198</v>
      </c>
      <c r="AV307" s="2">
        <v>53768.368853147702</v>
      </c>
      <c r="AW307" s="2">
        <v>25247.689615314201</v>
      </c>
      <c r="AX307" s="2">
        <v>32286.505103944299</v>
      </c>
    </row>
    <row r="308" spans="1:50" x14ac:dyDescent="0.25">
      <c r="A308" s="2" t="s">
        <v>966</v>
      </c>
      <c r="B308" s="2">
        <v>704.50028615926306</v>
      </c>
      <c r="C308" s="2">
        <v>10.946433333333299</v>
      </c>
      <c r="D308" s="2" t="s">
        <v>51</v>
      </c>
      <c r="E308" s="2" t="s">
        <v>967</v>
      </c>
      <c r="F308" s="2">
        <v>23575</v>
      </c>
      <c r="G308" s="3" t="str">
        <f>HYPERLINK("https://cloud.oebiotech.com/#/lm/network/23575", "https://cloud.oebiotech.com/#/lm/network/23575")</f>
        <v>https://cloud.oebiotech.com/#/lm/network/23575</v>
      </c>
      <c r="H308" s="2"/>
      <c r="I308" s="2">
        <v>79912</v>
      </c>
      <c r="J308" s="2" t="s">
        <v>968</v>
      </c>
      <c r="K308" s="2">
        <v>52927348</v>
      </c>
      <c r="L308" s="2"/>
      <c r="M308" s="2"/>
      <c r="N308" s="2"/>
      <c r="O308" s="2"/>
      <c r="P308" s="2"/>
      <c r="Q308" s="2"/>
      <c r="R308" s="2"/>
      <c r="S308" s="2" t="s">
        <v>969</v>
      </c>
      <c r="T308" s="2" t="s">
        <v>970</v>
      </c>
      <c r="U308" s="2" t="s">
        <v>56</v>
      </c>
      <c r="V308" s="2" t="s">
        <v>57</v>
      </c>
      <c r="W308" s="2" t="s">
        <v>570</v>
      </c>
      <c r="X308" s="2" t="s">
        <v>147</v>
      </c>
      <c r="Y308" s="2">
        <v>36.1</v>
      </c>
      <c r="Z308" s="2">
        <v>0</v>
      </c>
      <c r="AA308" s="2" t="s">
        <v>122</v>
      </c>
      <c r="AB308" s="2" t="s">
        <v>971</v>
      </c>
      <c r="AC308" s="2">
        <v>1.51243902288225</v>
      </c>
      <c r="AD308" s="2"/>
      <c r="AE308" s="2">
        <v>1.4645074809598899</v>
      </c>
      <c r="AF308" s="2">
        <v>129434.911814887</v>
      </c>
      <c r="AG308" s="2">
        <v>178412.93019911399</v>
      </c>
      <c r="AH308" s="4">
        <v>0.72547943509719004</v>
      </c>
      <c r="AI308" s="4">
        <v>-0.46299337556957199</v>
      </c>
      <c r="AJ308" s="4" t="s">
        <v>62</v>
      </c>
      <c r="AK308" s="2">
        <v>1.52453954077185E-2</v>
      </c>
      <c r="AL308" s="2">
        <v>0.196765027251359</v>
      </c>
      <c r="AM308" s="2">
        <v>94996.779445776498</v>
      </c>
      <c r="AN308" s="2">
        <v>99114.538995930503</v>
      </c>
      <c r="AO308" s="2">
        <v>107284.466562619</v>
      </c>
      <c r="AP308" s="2">
        <v>137036.24217369501</v>
      </c>
      <c r="AQ308" s="2">
        <v>175860.252195865</v>
      </c>
      <c r="AR308" s="2">
        <v>162317.191515438</v>
      </c>
      <c r="AS308" s="2">
        <v>200773.768892514</v>
      </c>
      <c r="AT308" s="2">
        <v>208908.66092683401</v>
      </c>
      <c r="AU308" s="2">
        <v>175350.87702444199</v>
      </c>
      <c r="AV308" s="2">
        <v>152086.31812346799</v>
      </c>
      <c r="AW308" s="2">
        <v>158616.265373453</v>
      </c>
      <c r="AX308" s="2">
        <v>174741.690853971</v>
      </c>
    </row>
    <row r="309" spans="1:50" x14ac:dyDescent="0.25">
      <c r="A309" s="2" t="s">
        <v>2889</v>
      </c>
      <c r="B309" s="2">
        <v>140.068695914822</v>
      </c>
      <c r="C309" s="2">
        <v>0.71519999999999995</v>
      </c>
      <c r="D309" s="2" t="s">
        <v>51</v>
      </c>
      <c r="E309" s="2" t="s">
        <v>2890</v>
      </c>
      <c r="F309" s="2">
        <v>2483</v>
      </c>
      <c r="G309" s="3" t="str">
        <f>HYPERLINK("https://cloud.oebiotech.com/#/lm/network/2483", "https://cloud.oebiotech.com/#/lm/network/2483")</f>
        <v>https://cloud.oebiotech.com/#/lm/network/2483</v>
      </c>
      <c r="H309" s="2" t="s">
        <v>2891</v>
      </c>
      <c r="I309" s="2">
        <v>6902</v>
      </c>
      <c r="J309" s="2" t="s">
        <v>2892</v>
      </c>
      <c r="K309" s="2">
        <v>138</v>
      </c>
      <c r="L309" s="2" t="s">
        <v>2893</v>
      </c>
      <c r="M309" s="2" t="s">
        <v>2894</v>
      </c>
      <c r="N309" s="2" t="s">
        <v>2895</v>
      </c>
      <c r="O309" s="2">
        <v>15887</v>
      </c>
      <c r="P309" s="2"/>
      <c r="Q309" s="2"/>
      <c r="R309" s="2" t="s">
        <v>2896</v>
      </c>
      <c r="S309" s="2" t="s">
        <v>2897</v>
      </c>
      <c r="T309" s="2" t="s">
        <v>2898</v>
      </c>
      <c r="U309" s="2" t="s">
        <v>103</v>
      </c>
      <c r="V309" s="2" t="s">
        <v>104</v>
      </c>
      <c r="W309" s="2" t="s">
        <v>105</v>
      </c>
      <c r="X309" s="2" t="s">
        <v>83</v>
      </c>
      <c r="Y309" s="2">
        <v>39.5</v>
      </c>
      <c r="Z309" s="2">
        <v>0.54900000000000004</v>
      </c>
      <c r="AA309" s="2" t="s">
        <v>1123</v>
      </c>
      <c r="AB309" s="2" t="s">
        <v>2899</v>
      </c>
      <c r="AC309" s="2">
        <v>4.24190694156096</v>
      </c>
      <c r="AD309" s="2"/>
      <c r="AE309" s="2">
        <v>1.4538732199703299</v>
      </c>
      <c r="AF309" s="2">
        <v>79716.589775737506</v>
      </c>
      <c r="AG309" s="2">
        <v>149750.069967844</v>
      </c>
      <c r="AH309" s="4">
        <v>0.53233090170078001</v>
      </c>
      <c r="AI309" s="4">
        <v>-0.909604778038833</v>
      </c>
      <c r="AJ309" s="4" t="s">
        <v>62</v>
      </c>
      <c r="AK309" s="2">
        <v>0.11993501518426</v>
      </c>
      <c r="AL309" s="2">
        <v>0.43766036031086097</v>
      </c>
      <c r="AM309" s="2">
        <v>23040.3298171569</v>
      </c>
      <c r="AN309" s="2">
        <v>86095.001778797494</v>
      </c>
      <c r="AO309" s="2">
        <v>124848.265266517</v>
      </c>
      <c r="AP309" s="2">
        <v>79981.363199855798</v>
      </c>
      <c r="AQ309" s="2">
        <v>78562.885379619707</v>
      </c>
      <c r="AR309" s="2">
        <v>85771.693212478</v>
      </c>
      <c r="AS309" s="2">
        <v>307877.23330895702</v>
      </c>
      <c r="AT309" s="2">
        <v>220943.41450318199</v>
      </c>
      <c r="AU309" s="2">
        <v>52771.001515459102</v>
      </c>
      <c r="AV309" s="2">
        <v>118256.825575656</v>
      </c>
      <c r="AW309" s="2">
        <v>102534.791547392</v>
      </c>
      <c r="AX309" s="2">
        <v>96117.153356420196</v>
      </c>
    </row>
    <row r="310" spans="1:50" x14ac:dyDescent="0.25">
      <c r="A310" s="2" t="s">
        <v>972</v>
      </c>
      <c r="B310" s="2">
        <v>156.02141737701999</v>
      </c>
      <c r="C310" s="2">
        <v>5.2228500000000002</v>
      </c>
      <c r="D310" s="2" t="s">
        <v>51</v>
      </c>
      <c r="E310" s="2" t="s">
        <v>973</v>
      </c>
      <c r="F310" s="2">
        <v>199226</v>
      </c>
      <c r="G310" s="3" t="str">
        <f>HYPERLINK("https://cloud.oebiotech.com/#/lm/network/199226", "https://cloud.oebiotech.com/#/lm/network/199226")</f>
        <v>https://cloud.oebiotech.com/#/lm/network/199226</v>
      </c>
      <c r="H310" s="2" t="s">
        <v>974</v>
      </c>
      <c r="I310" s="2"/>
      <c r="J310" s="2"/>
      <c r="K310" s="2">
        <v>53590</v>
      </c>
      <c r="L310" s="2"/>
      <c r="M310" s="2"/>
      <c r="N310" s="2"/>
      <c r="O310" s="2"/>
      <c r="P310" s="2"/>
      <c r="Q310" s="2"/>
      <c r="R310" s="2"/>
      <c r="S310" s="2" t="s">
        <v>975</v>
      </c>
      <c r="T310" s="2" t="s">
        <v>976</v>
      </c>
      <c r="U310" s="2" t="s">
        <v>610</v>
      </c>
      <c r="V310" s="2" t="s">
        <v>611</v>
      </c>
      <c r="W310" s="2" t="s">
        <v>977</v>
      </c>
      <c r="X310" s="2" t="s">
        <v>147</v>
      </c>
      <c r="Y310" s="2">
        <v>47.4</v>
      </c>
      <c r="Z310" s="2">
        <v>42.6</v>
      </c>
      <c r="AA310" s="2" t="s">
        <v>156</v>
      </c>
      <c r="AB310" s="2" t="s">
        <v>978</v>
      </c>
      <c r="AC310" s="2">
        <v>3.0393265336392199</v>
      </c>
      <c r="AD310" s="2"/>
      <c r="AE310" s="2">
        <v>1.4510608469164701</v>
      </c>
      <c r="AF310" s="2">
        <v>267257.82852949202</v>
      </c>
      <c r="AG310" s="2">
        <v>319359.74717509502</v>
      </c>
      <c r="AH310" s="4">
        <v>0.83685508550632304</v>
      </c>
      <c r="AI310" s="4">
        <v>-0.25695027560275402</v>
      </c>
      <c r="AJ310" s="4" t="s">
        <v>62</v>
      </c>
      <c r="AK310" s="2">
        <v>1.6335876647868001E-2</v>
      </c>
      <c r="AL310" s="2">
        <v>0.202476199704368</v>
      </c>
      <c r="AM310" s="2">
        <v>228431.30004815399</v>
      </c>
      <c r="AN310" s="2">
        <v>285939.15517484001</v>
      </c>
      <c r="AO310" s="2">
        <v>276742.84805896197</v>
      </c>
      <c r="AP310" s="2">
        <v>287304.53388343198</v>
      </c>
      <c r="AQ310" s="2">
        <v>299765.54824644799</v>
      </c>
      <c r="AR310" s="2">
        <v>225363.58576511501</v>
      </c>
      <c r="AS310" s="2">
        <v>321984.32197275799</v>
      </c>
      <c r="AT310" s="2">
        <v>360146.85687317199</v>
      </c>
      <c r="AU310" s="2">
        <v>278951.07942089101</v>
      </c>
      <c r="AV310" s="2">
        <v>302343.38273047103</v>
      </c>
      <c r="AW310" s="2">
        <v>304513.320071086</v>
      </c>
      <c r="AX310" s="2">
        <v>348219.521982192</v>
      </c>
    </row>
    <row r="311" spans="1:50" x14ac:dyDescent="0.25">
      <c r="A311" s="2" t="s">
        <v>2900</v>
      </c>
      <c r="B311" s="2">
        <v>173.09255234520299</v>
      </c>
      <c r="C311" s="2">
        <v>0.74455000000000005</v>
      </c>
      <c r="D311" s="2" t="s">
        <v>51</v>
      </c>
      <c r="E311" s="2" t="s">
        <v>2901</v>
      </c>
      <c r="F311" s="2">
        <v>207303</v>
      </c>
      <c r="G311" s="3" t="str">
        <f>HYPERLINK("https://cloud.oebiotech.com/#/lm/network/207303", "https://cloud.oebiotech.com/#/lm/network/207303")</f>
        <v>https://cloud.oebiotech.com/#/lm/network/207303</v>
      </c>
      <c r="H311" s="2" t="s">
        <v>2902</v>
      </c>
      <c r="I311" s="2">
        <v>4185</v>
      </c>
      <c r="J311" s="2"/>
      <c r="K311" s="2">
        <v>44369312</v>
      </c>
      <c r="L311" s="2"/>
      <c r="M311" s="2"/>
      <c r="N311" s="2"/>
      <c r="O311" s="2"/>
      <c r="P311" s="2"/>
      <c r="Q311" s="2"/>
      <c r="R311" s="2" t="s">
        <v>2903</v>
      </c>
      <c r="S311" s="2" t="s">
        <v>2904</v>
      </c>
      <c r="T311" s="2" t="s">
        <v>2905</v>
      </c>
      <c r="U311" s="2" t="s">
        <v>103</v>
      </c>
      <c r="V311" s="2" t="s">
        <v>104</v>
      </c>
      <c r="W311" s="2" t="s">
        <v>105</v>
      </c>
      <c r="X311" s="2" t="s">
        <v>69</v>
      </c>
      <c r="Y311" s="2">
        <v>56.8</v>
      </c>
      <c r="Z311" s="2">
        <v>82.3</v>
      </c>
      <c r="AA311" s="2" t="s">
        <v>60</v>
      </c>
      <c r="AB311" s="2" t="s">
        <v>2906</v>
      </c>
      <c r="AC311" s="2">
        <v>2.8105916661491199</v>
      </c>
      <c r="AD311" s="2"/>
      <c r="AE311" s="2">
        <v>1.4503147914644401</v>
      </c>
      <c r="AF311" s="2">
        <v>126622.489125301</v>
      </c>
      <c r="AG311" s="2">
        <v>248397.591721498</v>
      </c>
      <c r="AH311" s="4">
        <v>0.50975731386023004</v>
      </c>
      <c r="AI311" s="4">
        <v>-0.97211752509828697</v>
      </c>
      <c r="AJ311" s="4" t="s">
        <v>62</v>
      </c>
      <c r="AK311" s="2">
        <v>0.58167231981634404</v>
      </c>
      <c r="AL311" s="2">
        <v>0.78916557649671704</v>
      </c>
      <c r="AM311" s="2">
        <v>142617.98103648401</v>
      </c>
      <c r="AN311" s="2">
        <v>18781.491701987001</v>
      </c>
      <c r="AO311" s="2">
        <v>4174.7842835102401</v>
      </c>
      <c r="AP311" s="2">
        <v>6699.1936208225998</v>
      </c>
      <c r="AQ311" s="2">
        <v>293407.69801539503</v>
      </c>
      <c r="AR311" s="2">
        <v>294053.78609360801</v>
      </c>
      <c r="AS311" s="2">
        <v>2742.1146768499102</v>
      </c>
      <c r="AT311" s="2">
        <v>6031.0321717138904</v>
      </c>
      <c r="AU311" s="2">
        <v>10355.1516537717</v>
      </c>
      <c r="AV311" s="2">
        <v>1266879.23002902</v>
      </c>
      <c r="AW311" s="2">
        <v>3674.9487438288302</v>
      </c>
      <c r="AX311" s="2">
        <v>200703.073053806</v>
      </c>
    </row>
    <row r="312" spans="1:50" x14ac:dyDescent="0.25">
      <c r="A312" s="2" t="s">
        <v>2907</v>
      </c>
      <c r="B312" s="2">
        <v>476.278518605606</v>
      </c>
      <c r="C312" s="2">
        <v>10.246033333333299</v>
      </c>
      <c r="D312" s="2" t="s">
        <v>51</v>
      </c>
      <c r="E312" s="2" t="s">
        <v>2908</v>
      </c>
      <c r="F312" s="2">
        <v>21202</v>
      </c>
      <c r="G312" s="3" t="str">
        <f>HYPERLINK("https://cloud.oebiotech.com/#/lm/network/21202", "https://cloud.oebiotech.com/#/lm/network/21202")</f>
        <v>https://cloud.oebiotech.com/#/lm/network/21202</v>
      </c>
      <c r="H312" s="2" t="s">
        <v>2909</v>
      </c>
      <c r="I312" s="2">
        <v>62265</v>
      </c>
      <c r="J312" s="2" t="s">
        <v>2910</v>
      </c>
      <c r="K312" s="2">
        <v>53480926</v>
      </c>
      <c r="L312" s="2"/>
      <c r="M312" s="2"/>
      <c r="N312" s="2"/>
      <c r="O312" s="2">
        <v>76090</v>
      </c>
      <c r="P312" s="2"/>
      <c r="Q312" s="2"/>
      <c r="R312" s="2"/>
      <c r="S312" s="2" t="s">
        <v>2911</v>
      </c>
      <c r="T312" s="2" t="s">
        <v>2912</v>
      </c>
      <c r="U312" s="2" t="s">
        <v>56</v>
      </c>
      <c r="V312" s="2" t="s">
        <v>57</v>
      </c>
      <c r="W312" s="2" t="s">
        <v>155</v>
      </c>
      <c r="X312" s="2" t="s">
        <v>69</v>
      </c>
      <c r="Y312" s="2">
        <v>65.3</v>
      </c>
      <c r="Z312" s="2">
        <v>93.6</v>
      </c>
      <c r="AA312" s="2" t="s">
        <v>163</v>
      </c>
      <c r="AB312" s="2" t="s">
        <v>320</v>
      </c>
      <c r="AC312" s="2">
        <v>0.53564331016786804</v>
      </c>
      <c r="AD312" s="2"/>
      <c r="AE312" s="2">
        <v>1.45027378064455</v>
      </c>
      <c r="AF312" s="2">
        <v>240048.82540926599</v>
      </c>
      <c r="AG312" s="2">
        <v>310160.05901874701</v>
      </c>
      <c r="AH312" s="4">
        <v>0.77395144355049295</v>
      </c>
      <c r="AI312" s="4">
        <v>-0.36968503800907199</v>
      </c>
      <c r="AJ312" s="4" t="s">
        <v>62</v>
      </c>
      <c r="AK312" s="2">
        <v>0.1173979813362</v>
      </c>
      <c r="AL312" s="2">
        <v>0.436261987215596</v>
      </c>
      <c r="AM312" s="2">
        <v>212881.31885885101</v>
      </c>
      <c r="AN312" s="2">
        <v>250027.759242486</v>
      </c>
      <c r="AO312" s="2">
        <v>322513.53648867301</v>
      </c>
      <c r="AP312" s="2">
        <v>230873.55954804301</v>
      </c>
      <c r="AQ312" s="2">
        <v>197361.065959973</v>
      </c>
      <c r="AR312" s="2">
        <v>226635.712357568</v>
      </c>
      <c r="AS312" s="2">
        <v>231374.83382406199</v>
      </c>
      <c r="AT312" s="2">
        <v>230885.38542892999</v>
      </c>
      <c r="AU312" s="2">
        <v>323632.77372932399</v>
      </c>
      <c r="AV312" s="2">
        <v>421509.681886526</v>
      </c>
      <c r="AW312" s="2">
        <v>413029.88662543398</v>
      </c>
      <c r="AX312" s="2">
        <v>240527.792618209</v>
      </c>
    </row>
    <row r="313" spans="1:50" x14ac:dyDescent="0.25">
      <c r="A313" s="2" t="s">
        <v>2913</v>
      </c>
      <c r="B313" s="2">
        <v>343.22787053331302</v>
      </c>
      <c r="C313" s="2">
        <v>11.068</v>
      </c>
      <c r="D313" s="2" t="s">
        <v>51</v>
      </c>
      <c r="E313" s="2" t="s">
        <v>2914</v>
      </c>
      <c r="F313" s="2">
        <v>82058</v>
      </c>
      <c r="G313" s="3" t="str">
        <f>HYPERLINK("https://cloud.oebiotech.com/#/lm/network/82058", "https://cloud.oebiotech.com/#/lm/network/82058")</f>
        <v>https://cloud.oebiotech.com/#/lm/network/82058</v>
      </c>
      <c r="H313" s="2" t="s">
        <v>2915</v>
      </c>
      <c r="I313" s="2"/>
      <c r="J313" s="2"/>
      <c r="K313" s="2">
        <v>131769808</v>
      </c>
      <c r="L313" s="2"/>
      <c r="M313" s="2"/>
      <c r="N313" s="2"/>
      <c r="O313" s="2"/>
      <c r="P313" s="2"/>
      <c r="Q313" s="2"/>
      <c r="R313" s="2"/>
      <c r="S313" s="2" t="s">
        <v>2916</v>
      </c>
      <c r="T313" s="2" t="s">
        <v>2917</v>
      </c>
      <c r="U313" s="2" t="s">
        <v>56</v>
      </c>
      <c r="V313" s="2" t="s">
        <v>145</v>
      </c>
      <c r="W313" s="2" t="s">
        <v>231</v>
      </c>
      <c r="X313" s="2" t="s">
        <v>69</v>
      </c>
      <c r="Y313" s="2">
        <v>72.8</v>
      </c>
      <c r="Z313" s="2">
        <v>85.9</v>
      </c>
      <c r="AA313" s="2" t="s">
        <v>204</v>
      </c>
      <c r="AB313" s="2" t="s">
        <v>2918</v>
      </c>
      <c r="AC313" s="2">
        <v>6.0435234995934598E-3</v>
      </c>
      <c r="AD313" s="2"/>
      <c r="AE313" s="2">
        <v>1.4483120586888101</v>
      </c>
      <c r="AF313" s="2">
        <v>371235.13351778901</v>
      </c>
      <c r="AG313" s="2">
        <v>284460.46882556798</v>
      </c>
      <c r="AH313" s="5">
        <v>1.30504999534903</v>
      </c>
      <c r="AI313" s="5">
        <v>0.38410507626681201</v>
      </c>
      <c r="AJ313" s="5" t="s">
        <v>139</v>
      </c>
      <c r="AK313" s="2">
        <v>0.47639592343303699</v>
      </c>
      <c r="AL313" s="2">
        <v>0.72225087180455805</v>
      </c>
      <c r="AM313" s="2">
        <v>892362.52408661402</v>
      </c>
      <c r="AN313" s="2">
        <v>214829.184850613</v>
      </c>
      <c r="AO313" s="2">
        <v>180117.54387105399</v>
      </c>
      <c r="AP313" s="2">
        <v>310373.988447143</v>
      </c>
      <c r="AQ313" s="2">
        <v>246485.62651254801</v>
      </c>
      <c r="AR313" s="2">
        <v>383241.93333876203</v>
      </c>
      <c r="AS313" s="2">
        <v>188234.76436150799</v>
      </c>
      <c r="AT313" s="2">
        <v>162893.56501194401</v>
      </c>
      <c r="AU313" s="2">
        <v>371613.18871028</v>
      </c>
      <c r="AV313" s="2">
        <v>369000.83958029601</v>
      </c>
      <c r="AW313" s="2">
        <v>409637.41479104297</v>
      </c>
      <c r="AX313" s="2">
        <v>205383.04049833701</v>
      </c>
    </row>
    <row r="314" spans="1:50" x14ac:dyDescent="0.25">
      <c r="A314" s="2" t="s">
        <v>979</v>
      </c>
      <c r="B314" s="2">
        <v>505.13084650565702</v>
      </c>
      <c r="C314" s="2">
        <v>4.9007166666666704</v>
      </c>
      <c r="D314" s="2" t="s">
        <v>51</v>
      </c>
      <c r="E314" s="2" t="s">
        <v>980</v>
      </c>
      <c r="F314" s="2">
        <v>203611</v>
      </c>
      <c r="G314" s="3" t="str">
        <f>HYPERLINK("https://cloud.oebiotech.com/#/lm/network/203611", "https://cloud.oebiotech.com/#/lm/network/203611")</f>
        <v>https://cloud.oebiotech.com/#/lm/network/203611</v>
      </c>
      <c r="H314" s="2" t="s">
        <v>981</v>
      </c>
      <c r="I314" s="2"/>
      <c r="J314" s="2"/>
      <c r="K314" s="2">
        <v>10151715</v>
      </c>
      <c r="L314" s="2"/>
      <c r="M314" s="2"/>
      <c r="N314" s="2"/>
      <c r="O314" s="2"/>
      <c r="P314" s="2"/>
      <c r="Q314" s="2"/>
      <c r="R314" s="2"/>
      <c r="S314" s="2" t="s">
        <v>982</v>
      </c>
      <c r="T314" s="2" t="s">
        <v>983</v>
      </c>
      <c r="U314" s="2" t="s">
        <v>266</v>
      </c>
      <c r="V314" s="2" t="s">
        <v>984</v>
      </c>
      <c r="W314" s="2" t="s">
        <v>985</v>
      </c>
      <c r="X314" s="2" t="s">
        <v>147</v>
      </c>
      <c r="Y314" s="2">
        <v>36.9</v>
      </c>
      <c r="Z314" s="2">
        <v>0</v>
      </c>
      <c r="AA314" s="2" t="s">
        <v>241</v>
      </c>
      <c r="AB314" s="2" t="s">
        <v>986</v>
      </c>
      <c r="AC314" s="2">
        <v>4.8280212533581102</v>
      </c>
      <c r="AD314" s="2"/>
      <c r="AE314" s="2">
        <v>1.4478142001210501</v>
      </c>
      <c r="AF314" s="2">
        <v>30553.442516411102</v>
      </c>
      <c r="AG314" s="2">
        <v>89162.022212099197</v>
      </c>
      <c r="AH314" s="4">
        <v>0.34267327903050898</v>
      </c>
      <c r="AI314" s="4">
        <v>-1.5450943970867901</v>
      </c>
      <c r="AJ314" s="4" t="s">
        <v>62</v>
      </c>
      <c r="AK314" s="2">
        <v>2.5030094151942701E-2</v>
      </c>
      <c r="AL314" s="2">
        <v>0.24527119295206001</v>
      </c>
      <c r="AM314" s="2">
        <v>30190.826044731799</v>
      </c>
      <c r="AN314" s="2">
        <v>18808.820790030499</v>
      </c>
      <c r="AO314" s="2">
        <v>35090.128337892696</v>
      </c>
      <c r="AP314" s="2">
        <v>548.56376954958705</v>
      </c>
      <c r="AQ314" s="2">
        <v>14913.932459825201</v>
      </c>
      <c r="AR314" s="2">
        <v>83768.383696436897</v>
      </c>
      <c r="AS314" s="2">
        <v>36329.513199552799</v>
      </c>
      <c r="AT314" s="2">
        <v>84336.875294742698</v>
      </c>
      <c r="AU314" s="2">
        <v>94186.237189781605</v>
      </c>
      <c r="AV314" s="2">
        <v>131340.500719242</v>
      </c>
      <c r="AW314" s="2">
        <v>149410.52862238599</v>
      </c>
      <c r="AX314" s="2">
        <v>39368.478246890299</v>
      </c>
    </row>
    <row r="315" spans="1:50" x14ac:dyDescent="0.25">
      <c r="A315" s="2" t="s">
        <v>987</v>
      </c>
      <c r="B315" s="2">
        <v>622.40936055691498</v>
      </c>
      <c r="C315" s="2">
        <v>11.615016666666699</v>
      </c>
      <c r="D315" s="2" t="s">
        <v>51</v>
      </c>
      <c r="E315" s="2" t="s">
        <v>988</v>
      </c>
      <c r="F315" s="2">
        <v>215803</v>
      </c>
      <c r="G315" s="3" t="str">
        <f>HYPERLINK("https://cloud.oebiotech.com/#/lm/network/215803", "https://cloud.oebiotech.com/#/lm/network/215803")</f>
        <v>https://cloud.oebiotech.com/#/lm/network/215803</v>
      </c>
      <c r="H315" s="2" t="s">
        <v>989</v>
      </c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 t="s">
        <v>990</v>
      </c>
      <c r="T315" s="2" t="s">
        <v>991</v>
      </c>
      <c r="U315" s="2" t="s">
        <v>56</v>
      </c>
      <c r="V315" s="2" t="s">
        <v>57</v>
      </c>
      <c r="W315" s="2" t="s">
        <v>702</v>
      </c>
      <c r="X315" s="2" t="s">
        <v>147</v>
      </c>
      <c r="Y315" s="2">
        <v>36.4</v>
      </c>
      <c r="Z315" s="2">
        <v>0</v>
      </c>
      <c r="AA315" s="2" t="s">
        <v>512</v>
      </c>
      <c r="AB315" s="2" t="s">
        <v>992</v>
      </c>
      <c r="AC315" s="2">
        <v>2.5067141123830501</v>
      </c>
      <c r="AD315" s="2"/>
      <c r="AE315" s="2">
        <v>1.4477344510127099</v>
      </c>
      <c r="AF315" s="2">
        <v>118243.644689359</v>
      </c>
      <c r="AG315" s="2">
        <v>62907.701354308003</v>
      </c>
      <c r="AH315" s="5">
        <v>1.8796370260516799</v>
      </c>
      <c r="AI315" s="5">
        <v>0.91045409207650896</v>
      </c>
      <c r="AJ315" s="5" t="s">
        <v>139</v>
      </c>
      <c r="AK315" s="2">
        <v>3.1083051609706199E-2</v>
      </c>
      <c r="AL315" s="2">
        <v>0.26142937464104898</v>
      </c>
      <c r="AM315" s="2">
        <v>134555.630859108</v>
      </c>
      <c r="AN315" s="2">
        <v>113372.718274161</v>
      </c>
      <c r="AO315" s="2">
        <v>103720.43182937401</v>
      </c>
      <c r="AP315" s="2">
        <v>191967.96443435299</v>
      </c>
      <c r="AQ315" s="2">
        <v>78594.023949137103</v>
      </c>
      <c r="AR315" s="2">
        <v>87251.098790018907</v>
      </c>
      <c r="AS315" s="2">
        <v>27609.994193253398</v>
      </c>
      <c r="AT315" s="2">
        <v>71295.704207168994</v>
      </c>
      <c r="AU315" s="2">
        <v>124576.971281019</v>
      </c>
      <c r="AV315" s="2">
        <v>69333.217315464804</v>
      </c>
      <c r="AW315" s="2">
        <v>33919.405580056897</v>
      </c>
      <c r="AX315" s="2">
        <v>50710.915548885197</v>
      </c>
    </row>
    <row r="316" spans="1:50" x14ac:dyDescent="0.25">
      <c r="A316" s="2" t="s">
        <v>2919</v>
      </c>
      <c r="B316" s="2">
        <v>620.32097438346898</v>
      </c>
      <c r="C316" s="2">
        <v>7.0215666666666703</v>
      </c>
      <c r="D316" s="2" t="s">
        <v>51</v>
      </c>
      <c r="E316" s="2" t="s">
        <v>2920</v>
      </c>
      <c r="F316" s="2">
        <v>27873</v>
      </c>
      <c r="G316" s="3" t="str">
        <f>HYPERLINK("https://cloud.oebiotech.com/#/lm/network/27873", "https://cloud.oebiotech.com/#/lm/network/27873")</f>
        <v>https://cloud.oebiotech.com/#/lm/network/27873</v>
      </c>
      <c r="H316" s="2"/>
      <c r="I316" s="2"/>
      <c r="J316" s="2" t="s">
        <v>2921</v>
      </c>
      <c r="K316" s="2"/>
      <c r="L316" s="2"/>
      <c r="M316" s="2"/>
      <c r="N316" s="2"/>
      <c r="O316" s="2"/>
      <c r="P316" s="2"/>
      <c r="Q316" s="2"/>
      <c r="R316" s="2"/>
      <c r="S316" s="2" t="s">
        <v>2922</v>
      </c>
      <c r="T316" s="2" t="s">
        <v>2923</v>
      </c>
      <c r="U316" s="2" t="s">
        <v>56</v>
      </c>
      <c r="V316" s="2" t="s">
        <v>57</v>
      </c>
      <c r="W316" s="2" t="s">
        <v>58</v>
      </c>
      <c r="X316" s="2" t="s">
        <v>59</v>
      </c>
      <c r="Y316" s="2">
        <v>58.2</v>
      </c>
      <c r="Z316" s="2">
        <v>94.5</v>
      </c>
      <c r="AA316" s="2" t="s">
        <v>218</v>
      </c>
      <c r="AB316" s="2" t="s">
        <v>2334</v>
      </c>
      <c r="AC316" s="2">
        <v>0.78686175442370399</v>
      </c>
      <c r="AD316" s="2"/>
      <c r="AE316" s="2">
        <v>1.44618257116922</v>
      </c>
      <c r="AF316" s="2">
        <v>173753.172398658</v>
      </c>
      <c r="AG316" s="2">
        <v>103003.911995672</v>
      </c>
      <c r="AH316" s="5">
        <v>1.68685993601835</v>
      </c>
      <c r="AI316" s="5">
        <v>0.75434018820718196</v>
      </c>
      <c r="AJ316" s="5" t="s">
        <v>139</v>
      </c>
      <c r="AK316" s="2">
        <v>8.0735419957417107E-2</v>
      </c>
      <c r="AL316" s="2">
        <v>0.36814607395329102</v>
      </c>
      <c r="AM316" s="2">
        <v>159151.958384875</v>
      </c>
      <c r="AN316" s="2">
        <v>255175.311140379</v>
      </c>
      <c r="AO316" s="2">
        <v>118887.353231662</v>
      </c>
      <c r="AP316" s="2">
        <v>151275.17438824501</v>
      </c>
      <c r="AQ316" s="2">
        <v>140130.80821656401</v>
      </c>
      <c r="AR316" s="2">
        <v>217898.429030225</v>
      </c>
      <c r="AS316" s="2">
        <v>194548.51553851599</v>
      </c>
      <c r="AT316" s="2">
        <v>116954.78891631799</v>
      </c>
      <c r="AU316" s="2">
        <v>69892.140620324601</v>
      </c>
      <c r="AV316" s="2">
        <v>27378.523892529902</v>
      </c>
      <c r="AW316" s="2">
        <v>30598.729111367498</v>
      </c>
      <c r="AX316" s="2">
        <v>178650.77389497499</v>
      </c>
    </row>
    <row r="317" spans="1:50" x14ac:dyDescent="0.25">
      <c r="A317" s="2" t="s">
        <v>993</v>
      </c>
      <c r="B317" s="2">
        <v>646.40952483946</v>
      </c>
      <c r="C317" s="2">
        <v>12.3133</v>
      </c>
      <c r="D317" s="2" t="s">
        <v>51</v>
      </c>
      <c r="E317" s="2" t="s">
        <v>994</v>
      </c>
      <c r="F317" s="2">
        <v>21422</v>
      </c>
      <c r="G317" s="3" t="str">
        <f>HYPERLINK("https://cloud.oebiotech.com/#/lm/network/21422", "https://cloud.oebiotech.com/#/lm/network/21422")</f>
        <v>https://cloud.oebiotech.com/#/lm/network/21422</v>
      </c>
      <c r="H317" s="2"/>
      <c r="I317" s="2">
        <v>77825</v>
      </c>
      <c r="J317" s="2" t="s">
        <v>995</v>
      </c>
      <c r="K317" s="2">
        <v>52925271</v>
      </c>
      <c r="L317" s="2"/>
      <c r="M317" s="2"/>
      <c r="N317" s="2"/>
      <c r="O317" s="2"/>
      <c r="P317" s="2"/>
      <c r="Q317" s="2"/>
      <c r="R317" s="2"/>
      <c r="S317" s="2" t="s">
        <v>996</v>
      </c>
      <c r="T317" s="2" t="s">
        <v>997</v>
      </c>
      <c r="U317" s="2" t="s">
        <v>56</v>
      </c>
      <c r="V317" s="2" t="s">
        <v>57</v>
      </c>
      <c r="W317" s="2" t="s">
        <v>82</v>
      </c>
      <c r="X317" s="2" t="s">
        <v>83</v>
      </c>
      <c r="Y317" s="2">
        <v>47.2</v>
      </c>
      <c r="Z317" s="2">
        <v>9.23</v>
      </c>
      <c r="AA317" s="2" t="s">
        <v>156</v>
      </c>
      <c r="AB317" s="2" t="s">
        <v>998</v>
      </c>
      <c r="AC317" s="2">
        <v>2.5312670151239201</v>
      </c>
      <c r="AD317" s="2"/>
      <c r="AE317" s="2">
        <v>1.44538680524892</v>
      </c>
      <c r="AF317" s="2">
        <v>89993.137593317704</v>
      </c>
      <c r="AG317" s="2">
        <v>36888.025145566302</v>
      </c>
      <c r="AH317" s="5">
        <v>2.4396301303252201</v>
      </c>
      <c r="AI317" s="5">
        <v>1.2866624389383701</v>
      </c>
      <c r="AJ317" s="5" t="s">
        <v>139</v>
      </c>
      <c r="AK317" s="2">
        <v>1.49322105797131E-2</v>
      </c>
      <c r="AL317" s="2">
        <v>0.19484073453133299</v>
      </c>
      <c r="AM317" s="2">
        <v>85546.573308436695</v>
      </c>
      <c r="AN317" s="2">
        <v>77761.268746935195</v>
      </c>
      <c r="AO317" s="2">
        <v>101811.827578977</v>
      </c>
      <c r="AP317" s="2">
        <v>153815.45710208901</v>
      </c>
      <c r="AQ317" s="2">
        <v>73371.641115820501</v>
      </c>
      <c r="AR317" s="2">
        <v>47652.057707647997</v>
      </c>
      <c r="AS317" s="2">
        <v>21798.52117267</v>
      </c>
      <c r="AT317" s="2">
        <v>60538.662283592101</v>
      </c>
      <c r="AU317" s="2">
        <v>73125.612155257098</v>
      </c>
      <c r="AV317" s="2">
        <v>42055.377068882197</v>
      </c>
      <c r="AW317" s="2">
        <v>12018.8109046879</v>
      </c>
      <c r="AX317" s="2">
        <v>11791.167288308499</v>
      </c>
    </row>
    <row r="318" spans="1:50" x14ac:dyDescent="0.25">
      <c r="A318" s="2" t="s">
        <v>2924</v>
      </c>
      <c r="B318" s="2">
        <v>399.21532330696499</v>
      </c>
      <c r="C318" s="2">
        <v>8.5398833333333304</v>
      </c>
      <c r="D318" s="2" t="s">
        <v>51</v>
      </c>
      <c r="E318" s="2" t="s">
        <v>2925</v>
      </c>
      <c r="F318" s="2">
        <v>5042</v>
      </c>
      <c r="G318" s="3" t="str">
        <f>HYPERLINK("https://cloud.oebiotech.com/#/lm/network/5042", "https://cloud.oebiotech.com/#/lm/network/5042")</f>
        <v>https://cloud.oebiotech.com/#/lm/network/5042</v>
      </c>
      <c r="H318" s="2"/>
      <c r="I318" s="2"/>
      <c r="J318" s="2" t="s">
        <v>2926</v>
      </c>
      <c r="K318" s="2">
        <v>131840460</v>
      </c>
      <c r="L318" s="2"/>
      <c r="M318" s="2"/>
      <c r="N318" s="2"/>
      <c r="O318" s="2"/>
      <c r="P318" s="2"/>
      <c r="Q318" s="2"/>
      <c r="R318" s="2"/>
      <c r="S318" s="2" t="s">
        <v>2927</v>
      </c>
      <c r="T318" s="2" t="s">
        <v>2928</v>
      </c>
      <c r="U318" s="2" t="s">
        <v>56</v>
      </c>
      <c r="V318" s="2" t="s">
        <v>145</v>
      </c>
      <c r="W318" s="2" t="s">
        <v>187</v>
      </c>
      <c r="X318" s="2" t="s">
        <v>59</v>
      </c>
      <c r="Y318" s="2">
        <v>51.8</v>
      </c>
      <c r="Z318" s="2">
        <v>67.5</v>
      </c>
      <c r="AA318" s="2" t="s">
        <v>1123</v>
      </c>
      <c r="AB318" s="2" t="s">
        <v>1366</v>
      </c>
      <c r="AC318" s="2">
        <v>2.9995428342832402</v>
      </c>
      <c r="AD318" s="2"/>
      <c r="AE318" s="2">
        <v>1.44498116954546</v>
      </c>
      <c r="AF318" s="2">
        <v>129002.138520208</v>
      </c>
      <c r="AG318" s="2">
        <v>80839.490359256</v>
      </c>
      <c r="AH318" s="5">
        <v>1.5957811948951399</v>
      </c>
      <c r="AI318" s="5">
        <v>0.674262850382217</v>
      </c>
      <c r="AJ318" s="5" t="s">
        <v>139</v>
      </c>
      <c r="AK318" s="2">
        <v>7.1879780876104804E-2</v>
      </c>
      <c r="AL318" s="2">
        <v>0.35360520412149099</v>
      </c>
      <c r="AM318" s="2">
        <v>241194.18795493501</v>
      </c>
      <c r="AN318" s="2">
        <v>108590.011759446</v>
      </c>
      <c r="AO318" s="2">
        <v>106263.10513556399</v>
      </c>
      <c r="AP318" s="2">
        <v>129113.205637675</v>
      </c>
      <c r="AQ318" s="2">
        <v>74168.5898741235</v>
      </c>
      <c r="AR318" s="2">
        <v>114683.730759502</v>
      </c>
      <c r="AS318" s="2">
        <v>89120.195206590302</v>
      </c>
      <c r="AT318" s="2">
        <v>86568.195592418793</v>
      </c>
      <c r="AU318" s="2">
        <v>90395.296127707406</v>
      </c>
      <c r="AV318" s="2">
        <v>66077.671275060799</v>
      </c>
      <c r="AW318" s="2">
        <v>75823.829041394405</v>
      </c>
      <c r="AX318" s="2">
        <v>77051.7549123645</v>
      </c>
    </row>
    <row r="319" spans="1:50" x14ac:dyDescent="0.25">
      <c r="A319" s="2" t="s">
        <v>2929</v>
      </c>
      <c r="B319" s="2">
        <v>311.16873498711601</v>
      </c>
      <c r="C319" s="2">
        <v>13.159000000000001</v>
      </c>
      <c r="D319" s="2" t="s">
        <v>51</v>
      </c>
      <c r="E319" s="2" t="s">
        <v>2930</v>
      </c>
      <c r="F319" s="2">
        <v>56845</v>
      </c>
      <c r="G319" s="3" t="str">
        <f>HYPERLINK("https://cloud.oebiotech.com/#/lm/network/56845", "https://cloud.oebiotech.com/#/lm/network/56845")</f>
        <v>https://cloud.oebiotech.com/#/lm/network/56845</v>
      </c>
      <c r="H319" s="2" t="s">
        <v>2931</v>
      </c>
      <c r="I319" s="2">
        <v>88521</v>
      </c>
      <c r="J319" s="2"/>
      <c r="K319" s="2">
        <v>38222</v>
      </c>
      <c r="L319" s="2"/>
      <c r="M319" s="2"/>
      <c r="N319" s="2"/>
      <c r="O319" s="2">
        <v>141538</v>
      </c>
      <c r="P319" s="2"/>
      <c r="Q319" s="2"/>
      <c r="R319" s="2" t="s">
        <v>2932</v>
      </c>
      <c r="S319" s="2" t="s">
        <v>2933</v>
      </c>
      <c r="T319" s="2" t="s">
        <v>2934</v>
      </c>
      <c r="U319" s="2" t="s">
        <v>610</v>
      </c>
      <c r="V319" s="2" t="s">
        <v>611</v>
      </c>
      <c r="W319" s="2" t="s">
        <v>2935</v>
      </c>
      <c r="X319" s="2" t="s">
        <v>147</v>
      </c>
      <c r="Y319" s="2">
        <v>39.6</v>
      </c>
      <c r="Z319" s="2">
        <v>4.12</v>
      </c>
      <c r="AA319" s="2" t="s">
        <v>163</v>
      </c>
      <c r="AB319" s="2" t="s">
        <v>2936</v>
      </c>
      <c r="AC319" s="2">
        <v>0.30643772166465</v>
      </c>
      <c r="AD319" s="2"/>
      <c r="AE319" s="2">
        <v>1.4419862967984101</v>
      </c>
      <c r="AF319" s="2">
        <v>440948.76167754602</v>
      </c>
      <c r="AG319" s="2">
        <v>497105.14558050298</v>
      </c>
      <c r="AH319" s="4">
        <v>0.88703318723973501</v>
      </c>
      <c r="AI319" s="4">
        <v>-0.172940012716709</v>
      </c>
      <c r="AJ319" s="4" t="s">
        <v>62</v>
      </c>
      <c r="AK319" s="2">
        <v>9.9467166571888602E-2</v>
      </c>
      <c r="AL319" s="2">
        <v>0.40172900346892498</v>
      </c>
      <c r="AM319" s="2">
        <v>388843.25272610498</v>
      </c>
      <c r="AN319" s="2">
        <v>404259.72532041901</v>
      </c>
      <c r="AO319" s="2">
        <v>435712.27606818802</v>
      </c>
      <c r="AP319" s="2">
        <v>392185.65959645901</v>
      </c>
      <c r="AQ319" s="2">
        <v>548116.71767547203</v>
      </c>
      <c r="AR319" s="2">
        <v>476574.938678634</v>
      </c>
      <c r="AS319" s="2">
        <v>562938.48791062902</v>
      </c>
      <c r="AT319" s="2">
        <v>476784.70920489798</v>
      </c>
      <c r="AU319" s="2">
        <v>462315.86811462097</v>
      </c>
      <c r="AV319" s="2">
        <v>520582.52410887898</v>
      </c>
      <c r="AW319" s="2">
        <v>445495.61756204098</v>
      </c>
      <c r="AX319" s="2">
        <v>514513.66658195201</v>
      </c>
    </row>
    <row r="320" spans="1:50" x14ac:dyDescent="0.25">
      <c r="A320" s="2" t="s">
        <v>999</v>
      </c>
      <c r="B320" s="2">
        <v>540.30782178508298</v>
      </c>
      <c r="C320" s="2">
        <v>9.9106500000000004</v>
      </c>
      <c r="D320" s="2" t="s">
        <v>51</v>
      </c>
      <c r="E320" s="2" t="s">
        <v>1000</v>
      </c>
      <c r="F320" s="2">
        <v>210046</v>
      </c>
      <c r="G320" s="3" t="str">
        <f>HYPERLINK("https://cloud.oebiotech.com/#/lm/network/210046", "https://cloud.oebiotech.com/#/lm/network/210046")</f>
        <v>https://cloud.oebiotech.com/#/lm/network/210046</v>
      </c>
      <c r="H320" s="2" t="s">
        <v>1001</v>
      </c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 t="s">
        <v>1002</v>
      </c>
      <c r="T320" s="2" t="s">
        <v>1003</v>
      </c>
      <c r="U320" s="2" t="s">
        <v>56</v>
      </c>
      <c r="V320" s="2" t="s">
        <v>57</v>
      </c>
      <c r="W320" s="2" t="s">
        <v>58</v>
      </c>
      <c r="X320" s="2" t="s">
        <v>69</v>
      </c>
      <c r="Y320" s="2">
        <v>66.3</v>
      </c>
      <c r="Z320" s="2">
        <v>97.3</v>
      </c>
      <c r="AA320" s="2" t="s">
        <v>156</v>
      </c>
      <c r="AB320" s="2" t="s">
        <v>1004</v>
      </c>
      <c r="AC320" s="2">
        <v>-1.1557185948742299</v>
      </c>
      <c r="AD320" s="2"/>
      <c r="AE320" s="2">
        <v>1.43684302377561</v>
      </c>
      <c r="AF320" s="2">
        <v>61425.480450372903</v>
      </c>
      <c r="AG320" s="2">
        <v>112291.805146901</v>
      </c>
      <c r="AH320" s="4">
        <v>0.54701659101495104</v>
      </c>
      <c r="AI320" s="4">
        <v>-0.87034350426074802</v>
      </c>
      <c r="AJ320" s="4" t="s">
        <v>62</v>
      </c>
      <c r="AK320" s="2">
        <v>3.3741461066881799E-2</v>
      </c>
      <c r="AL320" s="2">
        <v>0.27023848021491997</v>
      </c>
      <c r="AM320" s="2">
        <v>65340.112217005102</v>
      </c>
      <c r="AN320" s="2">
        <v>87746.805530379104</v>
      </c>
      <c r="AO320" s="2">
        <v>48078.439505742601</v>
      </c>
      <c r="AP320" s="2">
        <v>69801.195117450305</v>
      </c>
      <c r="AQ320" s="2">
        <v>48584.195909985698</v>
      </c>
      <c r="AR320" s="2">
        <v>49002.134421674498</v>
      </c>
      <c r="AS320" s="2">
        <v>118945.306112444</v>
      </c>
      <c r="AT320" s="2">
        <v>29677.275047723699</v>
      </c>
      <c r="AU320" s="2">
        <v>125334.956160031</v>
      </c>
      <c r="AV320" s="2">
        <v>173220.081460238</v>
      </c>
      <c r="AW320" s="2">
        <v>133397.593040165</v>
      </c>
      <c r="AX320" s="2">
        <v>93175.619060803307</v>
      </c>
    </row>
    <row r="321" spans="1:50" x14ac:dyDescent="0.25">
      <c r="A321" s="2" t="s">
        <v>2937</v>
      </c>
      <c r="B321" s="2">
        <v>480.30988505718301</v>
      </c>
      <c r="C321" s="2">
        <v>11.337949999999999</v>
      </c>
      <c r="D321" s="2" t="s">
        <v>51</v>
      </c>
      <c r="E321" s="2" t="s">
        <v>2938</v>
      </c>
      <c r="F321" s="2">
        <v>21199</v>
      </c>
      <c r="G321" s="3" t="str">
        <f>HYPERLINK("https://cloud.oebiotech.com/#/lm/network/21199", "https://cloud.oebiotech.com/#/lm/network/21199")</f>
        <v>https://cloud.oebiotech.com/#/lm/network/21199</v>
      </c>
      <c r="H321" s="2" t="s">
        <v>2939</v>
      </c>
      <c r="I321" s="2">
        <v>61992</v>
      </c>
      <c r="J321" s="2" t="s">
        <v>2940</v>
      </c>
      <c r="K321" s="2">
        <v>53480667</v>
      </c>
      <c r="L321" s="2"/>
      <c r="M321" s="2"/>
      <c r="N321" s="2"/>
      <c r="O321" s="2"/>
      <c r="P321" s="2"/>
      <c r="Q321" s="2"/>
      <c r="R321" s="2" t="s">
        <v>2941</v>
      </c>
      <c r="S321" s="2" t="s">
        <v>2942</v>
      </c>
      <c r="T321" s="2" t="s">
        <v>2943</v>
      </c>
      <c r="U321" s="2" t="s">
        <v>56</v>
      </c>
      <c r="V321" s="2" t="s">
        <v>57</v>
      </c>
      <c r="W321" s="2" t="s">
        <v>155</v>
      </c>
      <c r="X321" s="2" t="s">
        <v>69</v>
      </c>
      <c r="Y321" s="2">
        <v>64.2</v>
      </c>
      <c r="Z321" s="2">
        <v>90.2</v>
      </c>
      <c r="AA321" s="2" t="s">
        <v>163</v>
      </c>
      <c r="AB321" s="2" t="s">
        <v>197</v>
      </c>
      <c r="AC321" s="2">
        <v>0.66895250015767305</v>
      </c>
      <c r="AD321" s="2"/>
      <c r="AE321" s="2">
        <v>1.4361508420875</v>
      </c>
      <c r="AF321" s="2">
        <v>108235.91090672401</v>
      </c>
      <c r="AG321" s="2">
        <v>194185.73929584501</v>
      </c>
      <c r="AH321" s="4">
        <v>0.55738341702746996</v>
      </c>
      <c r="AI321" s="4">
        <v>-0.84325801409637302</v>
      </c>
      <c r="AJ321" s="4" t="s">
        <v>62</v>
      </c>
      <c r="AK321" s="2">
        <v>6.0342103866862298E-2</v>
      </c>
      <c r="AL321" s="2">
        <v>0.33189438633172902</v>
      </c>
      <c r="AM321" s="2">
        <v>199411.80758907</v>
      </c>
      <c r="AN321" s="2">
        <v>123380.094031555</v>
      </c>
      <c r="AO321" s="2">
        <v>94748.472114094096</v>
      </c>
      <c r="AP321" s="2">
        <v>79646.922834780606</v>
      </c>
      <c r="AQ321" s="2">
        <v>80260.1474207664</v>
      </c>
      <c r="AR321" s="2">
        <v>71968.021450076194</v>
      </c>
      <c r="AS321" s="2">
        <v>70229.526173853897</v>
      </c>
      <c r="AT321" s="2">
        <v>111487.866384047</v>
      </c>
      <c r="AU321" s="2">
        <v>290496.25309907401</v>
      </c>
      <c r="AV321" s="2">
        <v>265343.07244187302</v>
      </c>
      <c r="AW321" s="2">
        <v>229693.28619762399</v>
      </c>
      <c r="AX321" s="2">
        <v>197864.43147859999</v>
      </c>
    </row>
    <row r="322" spans="1:50" x14ac:dyDescent="0.25">
      <c r="A322" s="2" t="s">
        <v>2944</v>
      </c>
      <c r="B322" s="2">
        <v>329.23348120521302</v>
      </c>
      <c r="C322" s="2">
        <v>7.0694833333333298</v>
      </c>
      <c r="D322" s="2" t="s">
        <v>51</v>
      </c>
      <c r="E322" s="2" t="s">
        <v>2945</v>
      </c>
      <c r="F322" s="2">
        <v>3176</v>
      </c>
      <c r="G322" s="3" t="str">
        <f>HYPERLINK("https://cloud.oebiotech.com/#/lm/network/3176", "https://cloud.oebiotech.com/#/lm/network/3176")</f>
        <v>https://cloud.oebiotech.com/#/lm/network/3176</v>
      </c>
      <c r="H322" s="2"/>
      <c r="I322" s="2">
        <v>35685</v>
      </c>
      <c r="J322" s="2" t="s">
        <v>2946</v>
      </c>
      <c r="K322" s="2">
        <v>5312878</v>
      </c>
      <c r="L322" s="2"/>
      <c r="M322" s="2"/>
      <c r="N322" s="2"/>
      <c r="O322" s="2"/>
      <c r="P322" s="2"/>
      <c r="Q322" s="2"/>
      <c r="R322" s="2"/>
      <c r="S322" s="2" t="s">
        <v>2947</v>
      </c>
      <c r="T322" s="2" t="s">
        <v>2948</v>
      </c>
      <c r="U322" s="2" t="s">
        <v>56</v>
      </c>
      <c r="V322" s="2" t="s">
        <v>145</v>
      </c>
      <c r="W322" s="2" t="s">
        <v>231</v>
      </c>
      <c r="X322" s="2" t="s">
        <v>69</v>
      </c>
      <c r="Y322" s="2">
        <v>57.1</v>
      </c>
      <c r="Z322" s="2">
        <v>75.2</v>
      </c>
      <c r="AA322" s="2" t="s">
        <v>163</v>
      </c>
      <c r="AB322" s="2" t="s">
        <v>2949</v>
      </c>
      <c r="AC322" s="2">
        <v>0.40409635546182698</v>
      </c>
      <c r="AD322" s="2"/>
      <c r="AE322" s="2">
        <v>1.43214657267217</v>
      </c>
      <c r="AF322" s="2">
        <v>306668.94452361198</v>
      </c>
      <c r="AG322" s="2">
        <v>229134.19025553201</v>
      </c>
      <c r="AH322" s="5">
        <v>1.33838142697784</v>
      </c>
      <c r="AI322" s="5">
        <v>0.42048933002201799</v>
      </c>
      <c r="AJ322" s="5" t="s">
        <v>139</v>
      </c>
      <c r="AK322" s="2">
        <v>0.26519311124081402</v>
      </c>
      <c r="AL322" s="2">
        <v>0.58682500985341501</v>
      </c>
      <c r="AM322" s="2">
        <v>253065.23049506999</v>
      </c>
      <c r="AN322" s="2">
        <v>508540.092973875</v>
      </c>
      <c r="AO322" s="2">
        <v>374118.88919154898</v>
      </c>
      <c r="AP322" s="2">
        <v>168736.59835638601</v>
      </c>
      <c r="AQ322" s="2">
        <v>282647.18253317598</v>
      </c>
      <c r="AR322" s="2">
        <v>252905.673591614</v>
      </c>
      <c r="AS322" s="2">
        <v>202062.66275712501</v>
      </c>
      <c r="AT322" s="2">
        <v>120251.75363730099</v>
      </c>
      <c r="AU322" s="2">
        <v>373255.952588877</v>
      </c>
      <c r="AV322" s="2">
        <v>117592.45144884101</v>
      </c>
      <c r="AW322" s="2">
        <v>342649.261147991</v>
      </c>
      <c r="AX322" s="2">
        <v>218993.059953057</v>
      </c>
    </row>
    <row r="323" spans="1:50" x14ac:dyDescent="0.25">
      <c r="A323" s="2" t="s">
        <v>1005</v>
      </c>
      <c r="B323" s="2">
        <v>696.334814014838</v>
      </c>
      <c r="C323" s="2">
        <v>4.8395999999999999</v>
      </c>
      <c r="D323" s="2" t="s">
        <v>51</v>
      </c>
      <c r="E323" s="2" t="s">
        <v>1006</v>
      </c>
      <c r="F323" s="2">
        <v>241931</v>
      </c>
      <c r="G323" s="3" t="str">
        <f>HYPERLINK("https://cloud.oebiotech.com/#/lm/network/241931", "https://cloud.oebiotech.com/#/lm/network/241931")</f>
        <v>https://cloud.oebiotech.com/#/lm/network/241931</v>
      </c>
      <c r="H323" s="2" t="s">
        <v>1007</v>
      </c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 t="s">
        <v>1008</v>
      </c>
      <c r="T323" s="2" t="s">
        <v>1009</v>
      </c>
      <c r="U323" s="2" t="s">
        <v>56</v>
      </c>
      <c r="V323" s="2" t="s">
        <v>145</v>
      </c>
      <c r="W323" s="2" t="s">
        <v>187</v>
      </c>
      <c r="X323" s="2" t="s">
        <v>147</v>
      </c>
      <c r="Y323" s="2">
        <v>38.1</v>
      </c>
      <c r="Z323" s="2">
        <v>1.5</v>
      </c>
      <c r="AA323" s="2" t="s">
        <v>218</v>
      </c>
      <c r="AB323" s="2" t="s">
        <v>1010</v>
      </c>
      <c r="AC323" s="2">
        <v>-2.6893187348473</v>
      </c>
      <c r="AD323" s="2"/>
      <c r="AE323" s="2">
        <v>1.4307922923884</v>
      </c>
      <c r="AF323" s="2">
        <v>84402.808665695193</v>
      </c>
      <c r="AG323" s="2">
        <v>26482.222879311299</v>
      </c>
      <c r="AH323" s="5">
        <v>3.1871496985108898</v>
      </c>
      <c r="AI323" s="5">
        <v>1.6722667832284901</v>
      </c>
      <c r="AJ323" s="5" t="s">
        <v>139</v>
      </c>
      <c r="AK323" s="2">
        <v>2.5066437565784701E-2</v>
      </c>
      <c r="AL323" s="2">
        <v>0.24527119295206001</v>
      </c>
      <c r="AM323" s="2">
        <v>104257.89661685401</v>
      </c>
      <c r="AN323" s="2">
        <v>66062.882382849595</v>
      </c>
      <c r="AO323" s="2">
        <v>21836.965070754799</v>
      </c>
      <c r="AP323" s="2">
        <v>158708.33607068</v>
      </c>
      <c r="AQ323" s="2">
        <v>96207.151106553007</v>
      </c>
      <c r="AR323" s="2">
        <v>59343.620746479697</v>
      </c>
      <c r="AS323" s="2">
        <v>926.63830898543597</v>
      </c>
      <c r="AT323" s="2">
        <v>37276.439376522401</v>
      </c>
      <c r="AU323" s="2">
        <v>72881.632125941804</v>
      </c>
      <c r="AV323" s="2">
        <v>10056.6904583755</v>
      </c>
      <c r="AW323" s="2">
        <v>30796.3044713862</v>
      </c>
      <c r="AX323" s="2">
        <v>6955.6325346562498</v>
      </c>
    </row>
    <row r="324" spans="1:50" x14ac:dyDescent="0.25">
      <c r="A324" s="2" t="s">
        <v>2950</v>
      </c>
      <c r="B324" s="2">
        <v>331.09340780665599</v>
      </c>
      <c r="C324" s="2">
        <v>4.8526333333333298</v>
      </c>
      <c r="D324" s="2" t="s">
        <v>51</v>
      </c>
      <c r="E324" s="2" t="s">
        <v>2951</v>
      </c>
      <c r="F324" s="2">
        <v>199498</v>
      </c>
      <c r="G324" s="3" t="str">
        <f>HYPERLINK("https://cloud.oebiotech.com/#/lm/network/199498", "https://cloud.oebiotech.com/#/lm/network/199498")</f>
        <v>https://cloud.oebiotech.com/#/lm/network/199498</v>
      </c>
      <c r="H324" s="2" t="s">
        <v>2952</v>
      </c>
      <c r="I324" s="2"/>
      <c r="J324" s="2"/>
      <c r="K324" s="2">
        <v>78178659</v>
      </c>
      <c r="L324" s="2"/>
      <c r="M324" s="2"/>
      <c r="N324" s="2"/>
      <c r="O324" s="2"/>
      <c r="P324" s="2"/>
      <c r="Q324" s="2"/>
      <c r="R324" s="2"/>
      <c r="S324" s="2" t="s">
        <v>2953</v>
      </c>
      <c r="T324" s="2" t="s">
        <v>2954</v>
      </c>
      <c r="U324" s="2" t="s">
        <v>103</v>
      </c>
      <c r="V324" s="2" t="s">
        <v>104</v>
      </c>
      <c r="W324" s="2" t="s">
        <v>105</v>
      </c>
      <c r="X324" s="2" t="s">
        <v>147</v>
      </c>
      <c r="Y324" s="2">
        <v>41.5</v>
      </c>
      <c r="Z324" s="2">
        <v>15</v>
      </c>
      <c r="AA324" s="2" t="s">
        <v>60</v>
      </c>
      <c r="AB324" s="2" t="s">
        <v>2955</v>
      </c>
      <c r="AC324" s="2">
        <v>2.86349934864633</v>
      </c>
      <c r="AD324" s="2"/>
      <c r="AE324" s="2">
        <v>1.4302338450007299</v>
      </c>
      <c r="AF324" s="2">
        <v>194574.51561233701</v>
      </c>
      <c r="AG324" s="2">
        <v>58772.9780138797</v>
      </c>
      <c r="AH324" s="5">
        <v>3.3106118183493698</v>
      </c>
      <c r="AI324" s="5">
        <v>1.7270978592478301</v>
      </c>
      <c r="AJ324" s="5" t="s">
        <v>139</v>
      </c>
      <c r="AK324" s="2">
        <v>0.50596038710578695</v>
      </c>
      <c r="AL324" s="2">
        <v>0.74196312845079004</v>
      </c>
      <c r="AM324" s="2">
        <v>8.559877937157E-6</v>
      </c>
      <c r="AN324" s="2">
        <v>1133687.63814185</v>
      </c>
      <c r="AO324" s="2">
        <v>81.968390753473798</v>
      </c>
      <c r="AP324" s="2">
        <v>8.559877937157E-6</v>
      </c>
      <c r="AQ324" s="2">
        <v>8.559877937157E-6</v>
      </c>
      <c r="AR324" s="2">
        <v>33677.4871157417</v>
      </c>
      <c r="AS324" s="2">
        <v>8.559877937157E-6</v>
      </c>
      <c r="AT324" s="2">
        <v>96.175478927402594</v>
      </c>
      <c r="AU324" s="2">
        <v>468.567859958898</v>
      </c>
      <c r="AV324" s="2">
        <v>8.559877937157E-6</v>
      </c>
      <c r="AW324" s="2">
        <v>352073.124718712</v>
      </c>
      <c r="AX324" s="2">
        <v>8.559877937157E-6</v>
      </c>
    </row>
    <row r="325" spans="1:50" x14ac:dyDescent="0.25">
      <c r="A325" s="2" t="s">
        <v>1011</v>
      </c>
      <c r="B325" s="2">
        <v>453.211155970135</v>
      </c>
      <c r="C325" s="2">
        <v>5.7914500000000002</v>
      </c>
      <c r="D325" s="2" t="s">
        <v>51</v>
      </c>
      <c r="E325" s="2" t="s">
        <v>1012</v>
      </c>
      <c r="F325" s="2">
        <v>60535</v>
      </c>
      <c r="G325" s="3" t="str">
        <f>HYPERLINK("https://cloud.oebiotech.com/#/lm/network/60535", "https://cloud.oebiotech.com/#/lm/network/60535")</f>
        <v>https://cloud.oebiotech.com/#/lm/network/60535</v>
      </c>
      <c r="H325" s="2" t="s">
        <v>1013</v>
      </c>
      <c r="I325" s="2">
        <v>91867</v>
      </c>
      <c r="J325" s="2"/>
      <c r="K325" s="2">
        <v>131752069</v>
      </c>
      <c r="L325" s="2"/>
      <c r="M325" s="2"/>
      <c r="N325" s="2"/>
      <c r="O325" s="2"/>
      <c r="P325" s="2"/>
      <c r="Q325" s="2"/>
      <c r="R325" s="2" t="s">
        <v>1014</v>
      </c>
      <c r="S325" s="2" t="s">
        <v>1015</v>
      </c>
      <c r="T325" s="2" t="s">
        <v>1016</v>
      </c>
      <c r="U325" s="2" t="s">
        <v>56</v>
      </c>
      <c r="V325" s="2" t="s">
        <v>177</v>
      </c>
      <c r="W325" s="2" t="s">
        <v>806</v>
      </c>
      <c r="X325" s="2" t="s">
        <v>147</v>
      </c>
      <c r="Y325" s="2">
        <v>37.799999999999997</v>
      </c>
      <c r="Z325" s="2">
        <v>0</v>
      </c>
      <c r="AA325" s="2" t="s">
        <v>218</v>
      </c>
      <c r="AB325" s="2" t="s">
        <v>1017</v>
      </c>
      <c r="AC325" s="2">
        <v>-4.5325720903891602</v>
      </c>
      <c r="AD325" s="2"/>
      <c r="AE325" s="2">
        <v>1.4294850447006799</v>
      </c>
      <c r="AF325" s="2">
        <v>88188.060095025503</v>
      </c>
      <c r="AG325" s="2">
        <v>42480.482811493297</v>
      </c>
      <c r="AH325" s="5">
        <v>2.07596652058686</v>
      </c>
      <c r="AI325" s="5">
        <v>1.05378317733125</v>
      </c>
      <c r="AJ325" s="5" t="s">
        <v>139</v>
      </c>
      <c r="AK325" s="2">
        <v>7.0974937111072398E-3</v>
      </c>
      <c r="AL325" s="2">
        <v>0.14235750055014801</v>
      </c>
      <c r="AM325" s="2">
        <v>80381.986628109196</v>
      </c>
      <c r="AN325" s="2">
        <v>131637.71549932499</v>
      </c>
      <c r="AO325" s="2">
        <v>89846.184067370006</v>
      </c>
      <c r="AP325" s="2">
        <v>79244.852578783306</v>
      </c>
      <c r="AQ325" s="2">
        <v>53174.214093533701</v>
      </c>
      <c r="AR325" s="2">
        <v>94843.407703032106</v>
      </c>
      <c r="AS325" s="2">
        <v>68312.389651844205</v>
      </c>
      <c r="AT325" s="2">
        <v>32650.5851712929</v>
      </c>
      <c r="AU325" s="2">
        <v>66961.570385044499</v>
      </c>
      <c r="AV325" s="2">
        <v>15433.9550429926</v>
      </c>
      <c r="AW325" s="2">
        <v>32202.4092915199</v>
      </c>
      <c r="AX325" s="2">
        <v>39321.9873262658</v>
      </c>
    </row>
    <row r="326" spans="1:50" x14ac:dyDescent="0.25">
      <c r="A326" s="2" t="s">
        <v>2956</v>
      </c>
      <c r="B326" s="2">
        <v>370.084368799694</v>
      </c>
      <c r="C326" s="2">
        <v>5.8374499999999996</v>
      </c>
      <c r="D326" s="2" t="s">
        <v>51</v>
      </c>
      <c r="E326" s="2" t="s">
        <v>2957</v>
      </c>
      <c r="F326" s="2">
        <v>48447</v>
      </c>
      <c r="G326" s="3" t="str">
        <f>HYPERLINK("https://cloud.oebiotech.com/#/lm/network/48447", "https://cloud.oebiotech.com/#/lm/network/48447")</f>
        <v>https://cloud.oebiotech.com/#/lm/network/48447</v>
      </c>
      <c r="H326" s="2" t="s">
        <v>2958</v>
      </c>
      <c r="I326" s="2">
        <v>919</v>
      </c>
      <c r="J326" s="2"/>
      <c r="K326" s="2">
        <v>3883</v>
      </c>
      <c r="L326" s="2" t="s">
        <v>2959</v>
      </c>
      <c r="M326" s="2"/>
      <c r="N326" s="2"/>
      <c r="O326" s="2">
        <v>6375</v>
      </c>
      <c r="P326" s="2"/>
      <c r="Q326" s="2"/>
      <c r="R326" s="2" t="s">
        <v>2960</v>
      </c>
      <c r="S326" s="2" t="s">
        <v>2961</v>
      </c>
      <c r="T326" s="2" t="s">
        <v>2962</v>
      </c>
      <c r="U326" s="2" t="s">
        <v>266</v>
      </c>
      <c r="V326" s="2" t="s">
        <v>2963</v>
      </c>
      <c r="W326" s="2" t="s">
        <v>2964</v>
      </c>
      <c r="X326" s="2" t="s">
        <v>59</v>
      </c>
      <c r="Y326" s="2">
        <v>57.3</v>
      </c>
      <c r="Z326" s="2">
        <v>94.8</v>
      </c>
      <c r="AA326" s="2" t="s">
        <v>2087</v>
      </c>
      <c r="AB326" s="2" t="s">
        <v>2965</v>
      </c>
      <c r="AC326" s="2">
        <v>3.2784726703946299</v>
      </c>
      <c r="AD326" s="2"/>
      <c r="AE326" s="2">
        <v>1.4264038136321899</v>
      </c>
      <c r="AF326" s="2">
        <v>167713.72374374399</v>
      </c>
      <c r="AG326" s="2">
        <v>51663.404873938402</v>
      </c>
      <c r="AH326" s="5">
        <v>3.2462770147065401</v>
      </c>
      <c r="AI326" s="5">
        <v>1.69878611470145</v>
      </c>
      <c r="AJ326" s="5" t="s">
        <v>139</v>
      </c>
      <c r="AK326" s="2">
        <v>0.52281744494193205</v>
      </c>
      <c r="AL326" s="2">
        <v>0.753042437774049</v>
      </c>
      <c r="AM326" s="2">
        <v>118.909016282717</v>
      </c>
      <c r="AN326" s="2">
        <v>162.80806522770601</v>
      </c>
      <c r="AO326" s="2">
        <v>1005347.9856419601</v>
      </c>
      <c r="AP326" s="2">
        <v>166.076818496356</v>
      </c>
      <c r="AQ326" s="2">
        <v>163.57611134392499</v>
      </c>
      <c r="AR326" s="2">
        <v>322.98680915493702</v>
      </c>
      <c r="AS326" s="2">
        <v>293.34464060052801</v>
      </c>
      <c r="AT326" s="2">
        <v>308969.99633229902</v>
      </c>
      <c r="AU326" s="2">
        <v>181.98436624256701</v>
      </c>
      <c r="AV326" s="2">
        <v>205.503616124361</v>
      </c>
      <c r="AW326" s="2">
        <v>171.47093870858299</v>
      </c>
      <c r="AX326" s="2">
        <v>158.12934965530599</v>
      </c>
    </row>
    <row r="327" spans="1:50" x14ac:dyDescent="0.25">
      <c r="A327" s="2" t="s">
        <v>1018</v>
      </c>
      <c r="B327" s="2">
        <v>661.03283013275404</v>
      </c>
      <c r="C327" s="2">
        <v>14.801299999999999</v>
      </c>
      <c r="D327" s="2" t="s">
        <v>51</v>
      </c>
      <c r="E327" s="2" t="s">
        <v>1019</v>
      </c>
      <c r="F327" s="2">
        <v>257179</v>
      </c>
      <c r="G327" s="3" t="str">
        <f>HYPERLINK("https://cloud.oebiotech.com/#/lm/network/257179", "https://cloud.oebiotech.com/#/lm/network/257179")</f>
        <v>https://cloud.oebiotech.com/#/lm/network/257179</v>
      </c>
      <c r="H327" s="2" t="s">
        <v>1020</v>
      </c>
      <c r="I327" s="2"/>
      <c r="J327" s="2"/>
      <c r="K327" s="2">
        <v>11966153</v>
      </c>
      <c r="L327" s="2"/>
      <c r="M327" s="2"/>
      <c r="N327" s="2"/>
      <c r="O327" s="2">
        <v>17466</v>
      </c>
      <c r="P327" s="2"/>
      <c r="Q327" s="2"/>
      <c r="R327" s="2"/>
      <c r="S327" s="2" t="s">
        <v>1021</v>
      </c>
      <c r="T327" s="2" t="s">
        <v>1022</v>
      </c>
      <c r="U327" s="2" t="s">
        <v>295</v>
      </c>
      <c r="V327" s="2" t="s">
        <v>1023</v>
      </c>
      <c r="W327" s="2" t="s">
        <v>1024</v>
      </c>
      <c r="X327" s="2" t="s">
        <v>147</v>
      </c>
      <c r="Y327" s="2">
        <v>38</v>
      </c>
      <c r="Z327" s="2">
        <v>6.33</v>
      </c>
      <c r="AA327" s="2" t="s">
        <v>218</v>
      </c>
      <c r="AB327" s="2" t="s">
        <v>1025</v>
      </c>
      <c r="AC327" s="2">
        <v>2.7349265243679901</v>
      </c>
      <c r="AD327" s="2"/>
      <c r="AE327" s="2">
        <v>1.4203030270127901</v>
      </c>
      <c r="AF327" s="2">
        <v>49886.768676002102</v>
      </c>
      <c r="AG327" s="2">
        <v>86940.695421879602</v>
      </c>
      <c r="AH327" s="4">
        <v>0.57380227330741596</v>
      </c>
      <c r="AI327" s="4">
        <v>-0.80137441105607499</v>
      </c>
      <c r="AJ327" s="4" t="s">
        <v>62</v>
      </c>
      <c r="AK327" s="2">
        <v>6.0673739550743701E-4</v>
      </c>
      <c r="AL327" s="2">
        <v>6.2440111341753798E-2</v>
      </c>
      <c r="AM327" s="2">
        <v>36590.047216612104</v>
      </c>
      <c r="AN327" s="2">
        <v>48286.437772507401</v>
      </c>
      <c r="AO327" s="2">
        <v>48457.064551835101</v>
      </c>
      <c r="AP327" s="2">
        <v>51556.115740711597</v>
      </c>
      <c r="AQ327" s="2">
        <v>60696.079656751797</v>
      </c>
      <c r="AR327" s="2">
        <v>53734.867117594898</v>
      </c>
      <c r="AS327" s="2">
        <v>70217.049425073099</v>
      </c>
      <c r="AT327" s="2">
        <v>82210.174979584204</v>
      </c>
      <c r="AU327" s="2">
        <v>65401.805324036402</v>
      </c>
      <c r="AV327" s="2">
        <v>100959.574857599</v>
      </c>
      <c r="AW327" s="2">
        <v>99855.074310005803</v>
      </c>
      <c r="AX327" s="2">
        <v>103000.49363497899</v>
      </c>
    </row>
    <row r="328" spans="1:50" x14ac:dyDescent="0.25">
      <c r="A328" s="2" t="s">
        <v>2966</v>
      </c>
      <c r="B328" s="2">
        <v>562.31538177911102</v>
      </c>
      <c r="C328" s="2">
        <v>9.9311833333333297</v>
      </c>
      <c r="D328" s="2" t="s">
        <v>51</v>
      </c>
      <c r="E328" s="2" t="s">
        <v>2967</v>
      </c>
      <c r="F328" s="2">
        <v>19840</v>
      </c>
      <c r="G328" s="3" t="str">
        <f>HYPERLINK("https://cloud.oebiotech.com/#/lm/network/19840", "https://cloud.oebiotech.com/#/lm/network/19840")</f>
        <v>https://cloud.oebiotech.com/#/lm/network/19840</v>
      </c>
      <c r="H328" s="2" t="s">
        <v>2968</v>
      </c>
      <c r="I328" s="2">
        <v>40304</v>
      </c>
      <c r="J328" s="2" t="s">
        <v>2969</v>
      </c>
      <c r="K328" s="2">
        <v>24779469</v>
      </c>
      <c r="L328" s="2"/>
      <c r="M328" s="2"/>
      <c r="N328" s="2"/>
      <c r="O328" s="2">
        <v>133456</v>
      </c>
      <c r="P328" s="2"/>
      <c r="Q328" s="2"/>
      <c r="R328" s="2"/>
      <c r="S328" s="2" t="s">
        <v>2970</v>
      </c>
      <c r="T328" s="2" t="s">
        <v>2971</v>
      </c>
      <c r="U328" s="2" t="s">
        <v>56</v>
      </c>
      <c r="V328" s="2" t="s">
        <v>57</v>
      </c>
      <c r="W328" s="2" t="s">
        <v>58</v>
      </c>
      <c r="X328" s="2" t="s">
        <v>69</v>
      </c>
      <c r="Y328" s="2">
        <v>66.5</v>
      </c>
      <c r="Z328" s="2">
        <v>98.1</v>
      </c>
      <c r="AA328" s="2" t="s">
        <v>218</v>
      </c>
      <c r="AB328" s="2" t="s">
        <v>2972</v>
      </c>
      <c r="AC328" s="2">
        <v>0.65607381234347595</v>
      </c>
      <c r="AD328" s="2"/>
      <c r="AE328" s="2">
        <v>1.41844079998432</v>
      </c>
      <c r="AF328" s="2">
        <v>94428.712723510398</v>
      </c>
      <c r="AG328" s="2">
        <v>152407.49807301699</v>
      </c>
      <c r="AH328" s="4">
        <v>0.61958049254420799</v>
      </c>
      <c r="AI328" s="4">
        <v>-0.69063637321432303</v>
      </c>
      <c r="AJ328" s="4" t="s">
        <v>62</v>
      </c>
      <c r="AK328" s="2">
        <v>7.7808204798754596E-2</v>
      </c>
      <c r="AL328" s="2">
        <v>0.361903935282124</v>
      </c>
      <c r="AM328" s="2">
        <v>100236.931543115</v>
      </c>
      <c r="AN328" s="2">
        <v>132991.981569503</v>
      </c>
      <c r="AO328" s="2">
        <v>87668.159467902398</v>
      </c>
      <c r="AP328" s="2">
        <v>95903.797902059305</v>
      </c>
      <c r="AQ328" s="2">
        <v>74536.194214746007</v>
      </c>
      <c r="AR328" s="2">
        <v>75235.211643736897</v>
      </c>
      <c r="AS328" s="2">
        <v>166117.886968162</v>
      </c>
      <c r="AT328" s="2">
        <v>38942.265185968397</v>
      </c>
      <c r="AU328" s="2">
        <v>178408.63231638301</v>
      </c>
      <c r="AV328" s="2">
        <v>240802.26085835</v>
      </c>
      <c r="AW328" s="2">
        <v>177719.84523723001</v>
      </c>
      <c r="AX328" s="2">
        <v>112454.09787201</v>
      </c>
    </row>
    <row r="329" spans="1:50" x14ac:dyDescent="0.25">
      <c r="A329" s="2" t="s">
        <v>2973</v>
      </c>
      <c r="B329" s="2">
        <v>545.396897378105</v>
      </c>
      <c r="C329" s="2">
        <v>4.4844999999999997</v>
      </c>
      <c r="D329" s="2" t="s">
        <v>51</v>
      </c>
      <c r="E329" s="2" t="s">
        <v>2974</v>
      </c>
      <c r="F329" s="2">
        <v>64306</v>
      </c>
      <c r="G329" s="3" t="str">
        <f>HYPERLINK("https://cloud.oebiotech.com/#/lm/network/64306", "https://cloud.oebiotech.com/#/lm/network/64306")</f>
        <v>https://cloud.oebiotech.com/#/lm/network/64306</v>
      </c>
      <c r="H329" s="2" t="s">
        <v>2975</v>
      </c>
      <c r="I329" s="2"/>
      <c r="J329" s="2"/>
      <c r="K329" s="2">
        <v>131753067</v>
      </c>
      <c r="L329" s="2"/>
      <c r="M329" s="2"/>
      <c r="N329" s="2"/>
      <c r="O329" s="2"/>
      <c r="P329" s="2"/>
      <c r="Q329" s="2"/>
      <c r="R329" s="2" t="s">
        <v>2976</v>
      </c>
      <c r="S329" s="2" t="s">
        <v>2977</v>
      </c>
      <c r="T329" s="2" t="s">
        <v>2978</v>
      </c>
      <c r="U329" s="2" t="s">
        <v>56</v>
      </c>
      <c r="V329" s="2" t="s">
        <v>145</v>
      </c>
      <c r="W329" s="2" t="s">
        <v>203</v>
      </c>
      <c r="X329" s="2" t="s">
        <v>147</v>
      </c>
      <c r="Y329" s="2">
        <v>38.9</v>
      </c>
      <c r="Z329" s="2">
        <v>0</v>
      </c>
      <c r="AA329" s="2" t="s">
        <v>95</v>
      </c>
      <c r="AB329" s="2" t="s">
        <v>2979</v>
      </c>
      <c r="AC329" s="2">
        <v>0.729522056399459</v>
      </c>
      <c r="AD329" s="2"/>
      <c r="AE329" s="2">
        <v>1.4148059241954301</v>
      </c>
      <c r="AF329" s="2">
        <v>2593.0856782291698</v>
      </c>
      <c r="AG329" s="2">
        <v>125980.125940332</v>
      </c>
      <c r="AH329" s="4">
        <v>2.0583291680922201E-2</v>
      </c>
      <c r="AI329" s="4">
        <v>-5.6023824732376504</v>
      </c>
      <c r="AJ329" s="4" t="s">
        <v>62</v>
      </c>
      <c r="AK329" s="2">
        <v>0.201297688374237</v>
      </c>
      <c r="AL329" s="2">
        <v>0.524812102806965</v>
      </c>
      <c r="AM329" s="2">
        <v>2096.4717998484298</v>
      </c>
      <c r="AN329" s="2">
        <v>1895.2105882140299</v>
      </c>
      <c r="AO329" s="2">
        <v>2481.7046494156498</v>
      </c>
      <c r="AP329" s="2">
        <v>799.12233135133397</v>
      </c>
      <c r="AQ329" s="2">
        <v>2465.19597552499</v>
      </c>
      <c r="AR329" s="2">
        <v>5820.8087250205899</v>
      </c>
      <c r="AS329" s="2">
        <v>1610.57495913514</v>
      </c>
      <c r="AT329" s="2">
        <v>3278.24848019092</v>
      </c>
      <c r="AU329" s="2">
        <v>568032.93501054496</v>
      </c>
      <c r="AV329" s="2">
        <v>90203.771328724702</v>
      </c>
      <c r="AW329" s="2">
        <v>92166.670887541695</v>
      </c>
      <c r="AX329" s="2">
        <v>588.55497585629098</v>
      </c>
    </row>
    <row r="330" spans="1:50" x14ac:dyDescent="0.25">
      <c r="A330" s="2" t="s">
        <v>2980</v>
      </c>
      <c r="B330" s="2">
        <v>369.15569718904698</v>
      </c>
      <c r="C330" s="2">
        <v>6.1954000000000002</v>
      </c>
      <c r="D330" s="2" t="s">
        <v>51</v>
      </c>
      <c r="E330" s="2" t="s">
        <v>2981</v>
      </c>
      <c r="F330" s="2">
        <v>59239</v>
      </c>
      <c r="G330" s="3" t="str">
        <f>HYPERLINK("https://cloud.oebiotech.com/#/lm/network/59239", "https://cloud.oebiotech.com/#/lm/network/59239")</f>
        <v>https://cloud.oebiotech.com/#/lm/network/59239</v>
      </c>
      <c r="H330" s="2" t="s">
        <v>2982</v>
      </c>
      <c r="I330" s="2">
        <v>90657</v>
      </c>
      <c r="J330" s="2"/>
      <c r="K330" s="2">
        <v>14021261</v>
      </c>
      <c r="L330" s="2"/>
      <c r="M330" s="2"/>
      <c r="N330" s="2"/>
      <c r="O330" s="2"/>
      <c r="P330" s="2"/>
      <c r="Q330" s="2"/>
      <c r="R330" s="2" t="s">
        <v>2983</v>
      </c>
      <c r="S330" s="2" t="s">
        <v>2984</v>
      </c>
      <c r="T330" s="2" t="s">
        <v>2985</v>
      </c>
      <c r="U330" s="2" t="s">
        <v>56</v>
      </c>
      <c r="V330" s="2" t="s">
        <v>177</v>
      </c>
      <c r="W330" s="2" t="s">
        <v>806</v>
      </c>
      <c r="X330" s="2" t="s">
        <v>147</v>
      </c>
      <c r="Y330" s="2">
        <v>43.6</v>
      </c>
      <c r="Z330" s="2">
        <v>20.5</v>
      </c>
      <c r="AA330" s="2" t="s">
        <v>218</v>
      </c>
      <c r="AB330" s="2" t="s">
        <v>2986</v>
      </c>
      <c r="AC330" s="2">
        <v>0.63497571640870598</v>
      </c>
      <c r="AD330" s="2"/>
      <c r="AE330" s="2">
        <v>1.4109004360255799</v>
      </c>
      <c r="AF330" s="2">
        <v>8141.9947468066002</v>
      </c>
      <c r="AG330" s="2">
        <v>83562.367235725294</v>
      </c>
      <c r="AH330" s="4">
        <v>9.7436142801441097E-2</v>
      </c>
      <c r="AI330" s="4">
        <v>-3.3593991672794199</v>
      </c>
      <c r="AJ330" s="4" t="s">
        <v>62</v>
      </c>
      <c r="AK330" s="2">
        <v>0.16868271730074599</v>
      </c>
      <c r="AL330" s="2">
        <v>0.49098458663462602</v>
      </c>
      <c r="AM330" s="2">
        <v>16159.4477522914</v>
      </c>
      <c r="AN330" s="2">
        <v>4551.7129546910901</v>
      </c>
      <c r="AO330" s="2">
        <v>10940.4631355904</v>
      </c>
      <c r="AP330" s="2">
        <v>8.559877937157E-6</v>
      </c>
      <c r="AQ330" s="2">
        <v>5533.0986817520297</v>
      </c>
      <c r="AR330" s="2">
        <v>11667.2459479548</v>
      </c>
      <c r="AS330" s="2">
        <v>10307.4965945449</v>
      </c>
      <c r="AT330" s="2">
        <v>18930.195008775099</v>
      </c>
      <c r="AU330" s="2">
        <v>81371.145069538004</v>
      </c>
      <c r="AV330" s="2">
        <v>55668.369761553899</v>
      </c>
      <c r="AW330" s="2">
        <v>330189.61177652102</v>
      </c>
      <c r="AX330" s="2">
        <v>4907.3852034190104</v>
      </c>
    </row>
    <row r="331" spans="1:50" x14ac:dyDescent="0.25">
      <c r="A331" s="2" t="s">
        <v>2987</v>
      </c>
      <c r="B331" s="2">
        <v>162.11283735245601</v>
      </c>
      <c r="C331" s="2">
        <v>0.68110000000000004</v>
      </c>
      <c r="D331" s="2" t="s">
        <v>51</v>
      </c>
      <c r="E331" s="2" t="s">
        <v>2988</v>
      </c>
      <c r="F331" s="2">
        <v>266280</v>
      </c>
      <c r="G331" s="3" t="str">
        <f>HYPERLINK("https://cloud.oebiotech.com/#/lm/network/266280", "https://cloud.oebiotech.com/#/lm/network/266280")</f>
        <v>https://cloud.oebiotech.com/#/lm/network/266280</v>
      </c>
      <c r="H331" s="2"/>
      <c r="I331" s="2">
        <v>34532</v>
      </c>
      <c r="J331" s="2"/>
      <c r="K331" s="2">
        <v>10917</v>
      </c>
      <c r="L331" s="2" t="s">
        <v>2989</v>
      </c>
      <c r="M331" s="2"/>
      <c r="N331" s="2"/>
      <c r="O331" s="2"/>
      <c r="P331" s="2"/>
      <c r="Q331" s="2"/>
      <c r="R331" s="2" t="s">
        <v>2990</v>
      </c>
      <c r="S331" s="2" t="s">
        <v>2991</v>
      </c>
      <c r="T331" s="2" t="s">
        <v>2992</v>
      </c>
      <c r="U331" s="2" t="s">
        <v>119</v>
      </c>
      <c r="V331" s="2" t="s">
        <v>120</v>
      </c>
      <c r="W331" s="2" t="s">
        <v>121</v>
      </c>
      <c r="X331" s="2" t="s">
        <v>69</v>
      </c>
      <c r="Y331" s="2">
        <v>54.8</v>
      </c>
      <c r="Z331" s="2">
        <v>80.7</v>
      </c>
      <c r="AA331" s="2" t="s">
        <v>259</v>
      </c>
      <c r="AB331" s="2" t="s">
        <v>2993</v>
      </c>
      <c r="AC331" s="2">
        <v>2.28158955199335</v>
      </c>
      <c r="AD331" s="2"/>
      <c r="AE331" s="2">
        <v>1.4106474186976501</v>
      </c>
      <c r="AF331" s="2">
        <v>2142486.2221869798</v>
      </c>
      <c r="AG331" s="2">
        <v>1817025.0263132099</v>
      </c>
      <c r="AH331" s="5">
        <v>1.1791176187232499</v>
      </c>
      <c r="AI331" s="5">
        <v>0.237707636456056</v>
      </c>
      <c r="AJ331" s="5" t="s">
        <v>139</v>
      </c>
      <c r="AK331" s="2">
        <v>0.57779087750343305</v>
      </c>
      <c r="AL331" s="2">
        <v>0.78659583575736802</v>
      </c>
      <c r="AM331" s="2">
        <v>1407985.0706579001</v>
      </c>
      <c r="AN331" s="2">
        <v>2286671.0935321702</v>
      </c>
      <c r="AO331" s="2">
        <v>1480106.4734451999</v>
      </c>
      <c r="AP331" s="2">
        <v>3291499.2386967498</v>
      </c>
      <c r="AQ331" s="2">
        <v>1664748.08746335</v>
      </c>
      <c r="AR331" s="2">
        <v>2723907.36932651</v>
      </c>
      <c r="AS331" s="2">
        <v>2898518.5525264302</v>
      </c>
      <c r="AT331" s="2">
        <v>3358584.7754983101</v>
      </c>
      <c r="AU331" s="2">
        <v>916050.07331821101</v>
      </c>
      <c r="AV331" s="2">
        <v>618812.77063082496</v>
      </c>
      <c r="AW331" s="2">
        <v>928816.17047053797</v>
      </c>
      <c r="AX331" s="2">
        <v>2181367.8154349602</v>
      </c>
    </row>
    <row r="332" spans="1:50" x14ac:dyDescent="0.25">
      <c r="A332" s="2" t="s">
        <v>2994</v>
      </c>
      <c r="B332" s="2">
        <v>408.25394312570501</v>
      </c>
      <c r="C332" s="2">
        <v>11.251533333333301</v>
      </c>
      <c r="D332" s="2" t="s">
        <v>51</v>
      </c>
      <c r="E332" s="2" t="s">
        <v>2995</v>
      </c>
      <c r="F332" s="2">
        <v>277685</v>
      </c>
      <c r="G332" s="3" t="str">
        <f>HYPERLINK("https://cloud.oebiotech.com/#/lm/network/277685", "https://cloud.oebiotech.com/#/lm/network/277685")</f>
        <v>https://cloud.oebiotech.com/#/lm/network/277685</v>
      </c>
      <c r="H332" s="2"/>
      <c r="I332" s="2">
        <v>69649</v>
      </c>
      <c r="J332" s="2"/>
      <c r="K332" s="2">
        <v>157920</v>
      </c>
      <c r="L332" s="2" t="s">
        <v>2996</v>
      </c>
      <c r="M332" s="2"/>
      <c r="N332" s="2"/>
      <c r="O332" s="2"/>
      <c r="P332" s="2"/>
      <c r="Q332" s="2"/>
      <c r="R332" s="2" t="s">
        <v>2997</v>
      </c>
      <c r="S332" s="2" t="s">
        <v>2998</v>
      </c>
      <c r="T332" s="2" t="s">
        <v>2999</v>
      </c>
      <c r="U332" s="2" t="s">
        <v>56</v>
      </c>
      <c r="V332" s="2" t="s">
        <v>145</v>
      </c>
      <c r="W332" s="2" t="s">
        <v>187</v>
      </c>
      <c r="X332" s="2" t="s">
        <v>147</v>
      </c>
      <c r="Y332" s="2">
        <v>37.700000000000003</v>
      </c>
      <c r="Z332" s="2">
        <v>0</v>
      </c>
      <c r="AA332" s="2" t="s">
        <v>512</v>
      </c>
      <c r="AB332" s="2" t="s">
        <v>3000</v>
      </c>
      <c r="AC332" s="2">
        <v>-4.2615979383520903</v>
      </c>
      <c r="AD332" s="2"/>
      <c r="AE332" s="2">
        <v>1.40462464499162</v>
      </c>
      <c r="AF332" s="2">
        <v>48072.6132181539</v>
      </c>
      <c r="AG332" s="2">
        <v>97903.386759432993</v>
      </c>
      <c r="AH332" s="4">
        <v>0.491020942271153</v>
      </c>
      <c r="AI332" s="4">
        <v>-1.0261435374218899</v>
      </c>
      <c r="AJ332" s="4" t="s">
        <v>62</v>
      </c>
      <c r="AK332" s="2">
        <v>5.5568763231973399E-2</v>
      </c>
      <c r="AL332" s="2">
        <v>0.32359872657055999</v>
      </c>
      <c r="AM332" s="2">
        <v>24109.2880613333</v>
      </c>
      <c r="AN332" s="2">
        <v>2786.2098996128402</v>
      </c>
      <c r="AO332" s="2">
        <v>778.83930893818604</v>
      </c>
      <c r="AP332" s="2">
        <v>104080.108245432</v>
      </c>
      <c r="AQ332" s="2">
        <v>66346.042750257198</v>
      </c>
      <c r="AR332" s="2">
        <v>90335.191043350002</v>
      </c>
      <c r="AS332" s="2">
        <v>143489.74855365901</v>
      </c>
      <c r="AT332" s="2">
        <v>125160.980291343</v>
      </c>
      <c r="AU332" s="2">
        <v>98840.527214484493</v>
      </c>
      <c r="AV332" s="2">
        <v>48972.001963701703</v>
      </c>
      <c r="AW332" s="2">
        <v>74562.323523655505</v>
      </c>
      <c r="AX332" s="2">
        <v>96394.739009754499</v>
      </c>
    </row>
    <row r="333" spans="1:50" x14ac:dyDescent="0.25">
      <c r="A333" s="2" t="s">
        <v>3001</v>
      </c>
      <c r="B333" s="2">
        <v>686.55894788446994</v>
      </c>
      <c r="C333" s="2">
        <v>14.33135</v>
      </c>
      <c r="D333" s="2" t="s">
        <v>51</v>
      </c>
      <c r="E333" s="2" t="s">
        <v>3002</v>
      </c>
      <c r="F333" s="2">
        <v>248690</v>
      </c>
      <c r="G333" s="3" t="str">
        <f>HYPERLINK("https://cloud.oebiotech.com/#/lm/network/248690", "https://cloud.oebiotech.com/#/lm/network/248690")</f>
        <v>https://cloud.oebiotech.com/#/lm/network/248690</v>
      </c>
      <c r="H333" s="2" t="s">
        <v>3003</v>
      </c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 t="s">
        <v>3004</v>
      </c>
      <c r="T333" s="2" t="s">
        <v>3005</v>
      </c>
      <c r="U333" s="2" t="s">
        <v>56</v>
      </c>
      <c r="V333" s="2" t="s">
        <v>145</v>
      </c>
      <c r="W333" s="2" t="s">
        <v>187</v>
      </c>
      <c r="X333" s="2" t="s">
        <v>147</v>
      </c>
      <c r="Y333" s="2">
        <v>46.9</v>
      </c>
      <c r="Z333" s="2">
        <v>45</v>
      </c>
      <c r="AA333" s="2" t="s">
        <v>526</v>
      </c>
      <c r="AB333" s="2" t="s">
        <v>3006</v>
      </c>
      <c r="AC333" s="2">
        <v>3.5946257039692102</v>
      </c>
      <c r="AD333" s="2"/>
      <c r="AE333" s="2">
        <v>1.40115299216814</v>
      </c>
      <c r="AF333" s="2">
        <v>125448.090744926</v>
      </c>
      <c r="AG333" s="2">
        <v>237878.06864933201</v>
      </c>
      <c r="AH333" s="4">
        <v>0.527362995072299</v>
      </c>
      <c r="AI333" s="4">
        <v>-0.92313175367864897</v>
      </c>
      <c r="AJ333" s="4" t="s">
        <v>62</v>
      </c>
      <c r="AK333" s="2">
        <v>0.150741625097643</v>
      </c>
      <c r="AL333" s="2">
        <v>0.47152425089815803</v>
      </c>
      <c r="AM333" s="2">
        <v>176154.22128869299</v>
      </c>
      <c r="AN333" s="2">
        <v>143445.29214814201</v>
      </c>
      <c r="AO333" s="2">
        <v>108702.55112724499</v>
      </c>
      <c r="AP333" s="2">
        <v>131914.250121177</v>
      </c>
      <c r="AQ333" s="2">
        <v>109133.488682318</v>
      </c>
      <c r="AR333" s="2">
        <v>83338.741101978303</v>
      </c>
      <c r="AS333" s="2">
        <v>58402.755961612602</v>
      </c>
      <c r="AT333" s="2">
        <v>129890.062537898</v>
      </c>
      <c r="AU333" s="2">
        <v>562692.93101181102</v>
      </c>
      <c r="AV333" s="2">
        <v>207736.569043111</v>
      </c>
      <c r="AW333" s="2">
        <v>257081.96363322801</v>
      </c>
      <c r="AX333" s="2">
        <v>211464.12970833</v>
      </c>
    </row>
    <row r="334" spans="1:50" x14ac:dyDescent="0.25">
      <c r="A334" s="2" t="s">
        <v>3007</v>
      </c>
      <c r="B334" s="2">
        <v>566.45582112253396</v>
      </c>
      <c r="C334" s="2">
        <v>11.411483333333299</v>
      </c>
      <c r="D334" s="2" t="s">
        <v>51</v>
      </c>
      <c r="E334" s="2" t="s">
        <v>3008</v>
      </c>
      <c r="F334" s="2">
        <v>39357</v>
      </c>
      <c r="G334" s="3" t="str">
        <f>HYPERLINK("https://cloud.oebiotech.com/#/lm/network/39357", "https://cloud.oebiotech.com/#/lm/network/39357")</f>
        <v>https://cloud.oebiotech.com/#/lm/network/39357</v>
      </c>
      <c r="H334" s="2"/>
      <c r="I334" s="2"/>
      <c r="J334" s="2" t="s">
        <v>3009</v>
      </c>
      <c r="K334" s="2">
        <v>70678880</v>
      </c>
      <c r="L334" s="2"/>
      <c r="M334" s="2"/>
      <c r="N334" s="2"/>
      <c r="O334" s="2">
        <v>67047</v>
      </c>
      <c r="P334" s="2"/>
      <c r="Q334" s="2"/>
      <c r="R334" s="2"/>
      <c r="S334" s="2" t="s">
        <v>3010</v>
      </c>
      <c r="T334" s="2" t="s">
        <v>3011</v>
      </c>
      <c r="U334" s="2" t="s">
        <v>56</v>
      </c>
      <c r="V334" s="2" t="s">
        <v>344</v>
      </c>
      <c r="W334" s="2" t="s">
        <v>3012</v>
      </c>
      <c r="X334" s="2" t="s">
        <v>147</v>
      </c>
      <c r="Y334" s="2">
        <v>36.6</v>
      </c>
      <c r="Z334" s="2">
        <v>0</v>
      </c>
      <c r="AA334" s="2" t="s">
        <v>395</v>
      </c>
      <c r="AB334" s="2" t="s">
        <v>3013</v>
      </c>
      <c r="AC334" s="2">
        <v>2.4710830231460599</v>
      </c>
      <c r="AD334" s="2"/>
      <c r="AE334" s="2">
        <v>1.40012253065593</v>
      </c>
      <c r="AF334" s="2">
        <v>77863.6451403705</v>
      </c>
      <c r="AG334" s="2">
        <v>124803.01379279701</v>
      </c>
      <c r="AH334" s="4">
        <v>0.62389234661947301</v>
      </c>
      <c r="AI334" s="4">
        <v>-0.68063098310272496</v>
      </c>
      <c r="AJ334" s="4" t="s">
        <v>62</v>
      </c>
      <c r="AK334" s="2">
        <v>7.4486297949713606E-2</v>
      </c>
      <c r="AL334" s="2">
        <v>0.35818559707798497</v>
      </c>
      <c r="AM334" s="2">
        <v>43195.2786164754</v>
      </c>
      <c r="AN334" s="2">
        <v>71663.327373181295</v>
      </c>
      <c r="AO334" s="2">
        <v>97808.762594722895</v>
      </c>
      <c r="AP334" s="2">
        <v>118578.961527309</v>
      </c>
      <c r="AQ334" s="2">
        <v>71339.923826867598</v>
      </c>
      <c r="AR334" s="2">
        <v>64595.6169036668</v>
      </c>
      <c r="AS334" s="2">
        <v>122202.474968058</v>
      </c>
      <c r="AT334" s="2">
        <v>123919.206589874</v>
      </c>
      <c r="AU334" s="2">
        <v>61294.680348508897</v>
      </c>
      <c r="AV334" s="2">
        <v>188911.525247624</v>
      </c>
      <c r="AW334" s="2">
        <v>176263.81798630001</v>
      </c>
      <c r="AX334" s="2">
        <v>76226.377616416299</v>
      </c>
    </row>
    <row r="335" spans="1:50" x14ac:dyDescent="0.25">
      <c r="A335" s="2" t="s">
        <v>3014</v>
      </c>
      <c r="B335" s="2">
        <v>492.19320738906299</v>
      </c>
      <c r="C335" s="2">
        <v>5.1816500000000003</v>
      </c>
      <c r="D335" s="2" t="s">
        <v>51</v>
      </c>
      <c r="E335" s="2" t="s">
        <v>3015</v>
      </c>
      <c r="F335" s="2">
        <v>62962</v>
      </c>
      <c r="G335" s="3" t="str">
        <f>HYPERLINK("https://cloud.oebiotech.com/#/lm/network/62962", "https://cloud.oebiotech.com/#/lm/network/62962")</f>
        <v>https://cloud.oebiotech.com/#/lm/network/62962</v>
      </c>
      <c r="H335" s="2" t="s">
        <v>3016</v>
      </c>
      <c r="I335" s="2">
        <v>94260</v>
      </c>
      <c r="J335" s="2"/>
      <c r="K335" s="2">
        <v>74428025</v>
      </c>
      <c r="L335" s="2"/>
      <c r="M335" s="2"/>
      <c r="N335" s="2"/>
      <c r="O335" s="2"/>
      <c r="P335" s="2"/>
      <c r="Q335" s="2"/>
      <c r="R335" s="2" t="s">
        <v>3017</v>
      </c>
      <c r="S335" s="2" t="s">
        <v>3018</v>
      </c>
      <c r="T335" s="2" t="s">
        <v>3019</v>
      </c>
      <c r="U335" s="2" t="s">
        <v>331</v>
      </c>
      <c r="V335" s="2" t="s">
        <v>332</v>
      </c>
      <c r="W335" s="2" t="s">
        <v>333</v>
      </c>
      <c r="X335" s="2" t="s">
        <v>59</v>
      </c>
      <c r="Y335" s="2">
        <v>51.6</v>
      </c>
      <c r="Z335" s="2">
        <v>65.2</v>
      </c>
      <c r="AA335" s="2" t="s">
        <v>512</v>
      </c>
      <c r="AB335" s="2" t="s">
        <v>3020</v>
      </c>
      <c r="AC335" s="2">
        <v>1.92257150289576</v>
      </c>
      <c r="AD335" s="2"/>
      <c r="AE335" s="2">
        <v>1.39933796906284</v>
      </c>
      <c r="AF335" s="2">
        <v>37015.537129488301</v>
      </c>
      <c r="AG335" s="2">
        <v>139233.690132216</v>
      </c>
      <c r="AH335" s="4">
        <v>0.26585187172974001</v>
      </c>
      <c r="AI335" s="4">
        <v>-1.9113054711383799</v>
      </c>
      <c r="AJ335" s="4" t="s">
        <v>62</v>
      </c>
      <c r="AK335" s="2">
        <v>0.47995489209175901</v>
      </c>
      <c r="AL335" s="2">
        <v>0.72466419619270905</v>
      </c>
      <c r="AM335" s="2">
        <v>8.559877937157E-6</v>
      </c>
      <c r="AN335" s="2">
        <v>175.91661573538201</v>
      </c>
      <c r="AO335" s="2">
        <v>8.559877937157E-6</v>
      </c>
      <c r="AP335" s="2">
        <v>8.559877937157E-6</v>
      </c>
      <c r="AQ335" s="2">
        <v>176392.38418728</v>
      </c>
      <c r="AR335" s="2">
        <v>45524.921948234602</v>
      </c>
      <c r="AS335" s="2">
        <v>2211.1112325241602</v>
      </c>
      <c r="AT335" s="2">
        <v>8.559877937157E-6</v>
      </c>
      <c r="AU335" s="2">
        <v>7446.5547747923902</v>
      </c>
      <c r="AV335" s="2">
        <v>5081.2507046460896</v>
      </c>
      <c r="AW335" s="2">
        <v>820663.22406421299</v>
      </c>
      <c r="AX335" s="2">
        <v>8.559877937157E-6</v>
      </c>
    </row>
    <row r="336" spans="1:50" x14ac:dyDescent="0.25">
      <c r="A336" s="2" t="s">
        <v>3021</v>
      </c>
      <c r="B336" s="2">
        <v>333.14529293629499</v>
      </c>
      <c r="C336" s="2">
        <v>5.4257166666666699</v>
      </c>
      <c r="D336" s="2" t="s">
        <v>51</v>
      </c>
      <c r="E336" s="2" t="s">
        <v>3022</v>
      </c>
      <c r="F336" s="2">
        <v>59575</v>
      </c>
      <c r="G336" s="3" t="str">
        <f>HYPERLINK("https://cloud.oebiotech.com/#/lm/network/59575", "https://cloud.oebiotech.com/#/lm/network/59575")</f>
        <v>https://cloud.oebiotech.com/#/lm/network/59575</v>
      </c>
      <c r="H336" s="2" t="s">
        <v>3023</v>
      </c>
      <c r="I336" s="2"/>
      <c r="J336" s="2"/>
      <c r="K336" s="2">
        <v>131751854</v>
      </c>
      <c r="L336" s="2"/>
      <c r="M336" s="2"/>
      <c r="N336" s="2"/>
      <c r="O336" s="2"/>
      <c r="P336" s="2"/>
      <c r="Q336" s="2"/>
      <c r="R336" s="2" t="s">
        <v>3024</v>
      </c>
      <c r="S336" s="2" t="s">
        <v>3025</v>
      </c>
      <c r="T336" s="2" t="s">
        <v>3026</v>
      </c>
      <c r="U336" s="2" t="s">
        <v>56</v>
      </c>
      <c r="V336" s="2" t="s">
        <v>177</v>
      </c>
      <c r="W336" s="2" t="s">
        <v>1996</v>
      </c>
      <c r="X336" s="2" t="s">
        <v>59</v>
      </c>
      <c r="Y336" s="2">
        <v>48.7</v>
      </c>
      <c r="Z336" s="2">
        <v>48.5</v>
      </c>
      <c r="AA336" s="2" t="s">
        <v>395</v>
      </c>
      <c r="AB336" s="2" t="s">
        <v>3027</v>
      </c>
      <c r="AC336" s="2">
        <v>-3.31241235054115</v>
      </c>
      <c r="AD336" s="2"/>
      <c r="AE336" s="2">
        <v>1.39898873125837</v>
      </c>
      <c r="AF336" s="2">
        <v>91804.459533384099</v>
      </c>
      <c r="AG336" s="2">
        <v>157262.369739588</v>
      </c>
      <c r="AH336" s="4">
        <v>0.583766222557907</v>
      </c>
      <c r="AI336" s="4">
        <v>-0.77653735776759802</v>
      </c>
      <c r="AJ336" s="4" t="s">
        <v>62</v>
      </c>
      <c r="AK336" s="2">
        <v>0.18199010564307899</v>
      </c>
      <c r="AL336" s="2">
        <v>0.50503247306174104</v>
      </c>
      <c r="AM336" s="2">
        <v>80318.946401917696</v>
      </c>
      <c r="AN336" s="2">
        <v>155399.91765476699</v>
      </c>
      <c r="AO336" s="2">
        <v>65872.698957812099</v>
      </c>
      <c r="AP336" s="2">
        <v>75254.1078452847</v>
      </c>
      <c r="AQ336" s="2">
        <v>80268.644307295195</v>
      </c>
      <c r="AR336" s="2">
        <v>93712.442033227897</v>
      </c>
      <c r="AS336" s="2">
        <v>317408.43784076098</v>
      </c>
      <c r="AT336" s="2">
        <v>74769.995745809501</v>
      </c>
      <c r="AU336" s="2">
        <v>91743.936580174806</v>
      </c>
      <c r="AV336" s="2">
        <v>99918.599056887397</v>
      </c>
      <c r="AW336" s="2">
        <v>269765.01480001898</v>
      </c>
      <c r="AX336" s="2">
        <v>89968.234413874903</v>
      </c>
    </row>
    <row r="337" spans="1:50" x14ac:dyDescent="0.25">
      <c r="A337" s="2" t="s">
        <v>1026</v>
      </c>
      <c r="B337" s="2">
        <v>349.20224015696698</v>
      </c>
      <c r="C337" s="2">
        <v>8.8328666666666695</v>
      </c>
      <c r="D337" s="2" t="s">
        <v>51</v>
      </c>
      <c r="E337" s="2" t="s">
        <v>1027</v>
      </c>
      <c r="F337" s="2">
        <v>83523</v>
      </c>
      <c r="G337" s="3" t="str">
        <f>HYPERLINK("https://cloud.oebiotech.com/#/lm/network/83523", "https://cloud.oebiotech.com/#/lm/network/83523")</f>
        <v>https://cloud.oebiotech.com/#/lm/network/83523</v>
      </c>
      <c r="H337" s="2" t="s">
        <v>1028</v>
      </c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 t="s">
        <v>1029</v>
      </c>
      <c r="T337" s="2" t="s">
        <v>1030</v>
      </c>
      <c r="U337" s="2" t="s">
        <v>56</v>
      </c>
      <c r="V337" s="2" t="s">
        <v>145</v>
      </c>
      <c r="W337" s="2" t="s">
        <v>187</v>
      </c>
      <c r="X337" s="2" t="s">
        <v>83</v>
      </c>
      <c r="Y337" s="2">
        <v>51.1</v>
      </c>
      <c r="Z337" s="2">
        <v>0</v>
      </c>
      <c r="AA337" s="2" t="s">
        <v>163</v>
      </c>
      <c r="AB337" s="2" t="s">
        <v>950</v>
      </c>
      <c r="AC337" s="2">
        <v>0.54975425763285102</v>
      </c>
      <c r="AD337" s="2"/>
      <c r="AE337" s="2">
        <v>1.39808305350188</v>
      </c>
      <c r="AF337" s="2">
        <v>67991.0341893648</v>
      </c>
      <c r="AG337" s="2">
        <v>28452.225202954702</v>
      </c>
      <c r="AH337" s="5">
        <v>2.3896561237081801</v>
      </c>
      <c r="AI337" s="5">
        <v>1.25680302644255</v>
      </c>
      <c r="AJ337" s="5" t="s">
        <v>139</v>
      </c>
      <c r="AK337" s="2">
        <v>1.6073447945869599E-3</v>
      </c>
      <c r="AL337" s="2">
        <v>9.8160839002130199E-2</v>
      </c>
      <c r="AM337" s="2">
        <v>76471.204030763707</v>
      </c>
      <c r="AN337" s="2">
        <v>91402.411660187296</v>
      </c>
      <c r="AO337" s="2">
        <v>67963.9668259014</v>
      </c>
      <c r="AP337" s="2">
        <v>55499.977609574802</v>
      </c>
      <c r="AQ337" s="2">
        <v>45871.296896958302</v>
      </c>
      <c r="AR337" s="2">
        <v>70737.348112802996</v>
      </c>
      <c r="AS337" s="2">
        <v>55348.335245344402</v>
      </c>
      <c r="AT337" s="2">
        <v>21863.7521833065</v>
      </c>
      <c r="AU337" s="2">
        <v>32079.114960597999</v>
      </c>
      <c r="AV337" s="2">
        <v>10940.6373376498</v>
      </c>
      <c r="AW337" s="2">
        <v>15800.7127281588</v>
      </c>
      <c r="AX337" s="2">
        <v>34680.7987626705</v>
      </c>
    </row>
    <row r="338" spans="1:50" x14ac:dyDescent="0.25">
      <c r="A338" s="2" t="s">
        <v>3028</v>
      </c>
      <c r="B338" s="2">
        <v>332.21907320286402</v>
      </c>
      <c r="C338" s="2">
        <v>4.4640000000000004</v>
      </c>
      <c r="D338" s="2" t="s">
        <v>51</v>
      </c>
      <c r="E338" s="2" t="s">
        <v>3029</v>
      </c>
      <c r="F338" s="2">
        <v>261631</v>
      </c>
      <c r="G338" s="3" t="str">
        <f>HYPERLINK("https://cloud.oebiotech.com/#/lm/network/261631", "https://cloud.oebiotech.com/#/lm/network/261631")</f>
        <v>https://cloud.oebiotech.com/#/lm/network/261631</v>
      </c>
      <c r="H338" s="2"/>
      <c r="I338" s="2">
        <v>18955</v>
      </c>
      <c r="J338" s="2"/>
      <c r="K338" s="2">
        <v>145457799</v>
      </c>
      <c r="L338" s="2"/>
      <c r="M338" s="2"/>
      <c r="N338" s="2"/>
      <c r="O338" s="2"/>
      <c r="P338" s="2"/>
      <c r="Q338" s="2"/>
      <c r="R338" s="2"/>
      <c r="S338" s="2" t="s">
        <v>3030</v>
      </c>
      <c r="T338" s="2" t="s">
        <v>3031</v>
      </c>
      <c r="U338" s="2" t="s">
        <v>103</v>
      </c>
      <c r="V338" s="2" t="s">
        <v>104</v>
      </c>
      <c r="W338" s="2" t="s">
        <v>105</v>
      </c>
      <c r="X338" s="2" t="s">
        <v>69</v>
      </c>
      <c r="Y338" s="2">
        <v>58.4</v>
      </c>
      <c r="Z338" s="2">
        <v>85.7</v>
      </c>
      <c r="AA338" s="2" t="s">
        <v>60</v>
      </c>
      <c r="AB338" s="2" t="s">
        <v>3032</v>
      </c>
      <c r="AC338" s="2">
        <v>3.2478677931617201</v>
      </c>
      <c r="AD338" s="2"/>
      <c r="AE338" s="2">
        <v>1.3973657581014101</v>
      </c>
      <c r="AF338" s="2">
        <v>114280.43600953001</v>
      </c>
      <c r="AG338" s="2">
        <v>43684.5771445317</v>
      </c>
      <c r="AH338" s="5">
        <v>2.6160362187192501</v>
      </c>
      <c r="AI338" s="5">
        <v>1.3873825149204499</v>
      </c>
      <c r="AJ338" s="5" t="s">
        <v>139</v>
      </c>
      <c r="AK338" s="2">
        <v>9.7508336687224195E-2</v>
      </c>
      <c r="AL338" s="2">
        <v>0.398113668043589</v>
      </c>
      <c r="AM338" s="2">
        <v>109973.008856777</v>
      </c>
      <c r="AN338" s="2">
        <v>18484.7559006712</v>
      </c>
      <c r="AO338" s="2">
        <v>151528.335349473</v>
      </c>
      <c r="AP338" s="2">
        <v>16049.4127609715</v>
      </c>
      <c r="AQ338" s="2">
        <v>147694.024341029</v>
      </c>
      <c r="AR338" s="2">
        <v>241953.07884825801</v>
      </c>
      <c r="AS338" s="2">
        <v>106692.34532770699</v>
      </c>
      <c r="AT338" s="2">
        <v>60097.805415690498</v>
      </c>
      <c r="AU338" s="2">
        <v>43860.740178335698</v>
      </c>
      <c r="AV338" s="2">
        <v>39458.740847700901</v>
      </c>
      <c r="AW338" s="2">
        <v>6723.8771399133202</v>
      </c>
      <c r="AX338" s="2">
        <v>5273.9539578426402</v>
      </c>
    </row>
    <row r="339" spans="1:50" x14ac:dyDescent="0.25">
      <c r="A339" s="2" t="s">
        <v>3033</v>
      </c>
      <c r="B339" s="2">
        <v>191.01901779257599</v>
      </c>
      <c r="C339" s="2">
        <v>0.74113333333333298</v>
      </c>
      <c r="D339" s="2" t="s">
        <v>51</v>
      </c>
      <c r="E339" s="2" t="s">
        <v>3034</v>
      </c>
      <c r="F339" s="2">
        <v>46929</v>
      </c>
      <c r="G339" s="3" t="str">
        <f>HYPERLINK("https://cloud.oebiotech.com/#/lm/network/46929", "https://cloud.oebiotech.com/#/lm/network/46929")</f>
        <v>https://cloud.oebiotech.com/#/lm/network/46929</v>
      </c>
      <c r="H339" s="2" t="s">
        <v>3035</v>
      </c>
      <c r="I339" s="2">
        <v>119</v>
      </c>
      <c r="J339" s="2"/>
      <c r="K339" s="2">
        <v>51</v>
      </c>
      <c r="L339" s="2" t="s">
        <v>3036</v>
      </c>
      <c r="M339" s="2" t="s">
        <v>3037</v>
      </c>
      <c r="N339" s="2" t="s">
        <v>3038</v>
      </c>
      <c r="O339" s="2">
        <v>30915</v>
      </c>
      <c r="P339" s="2"/>
      <c r="Q339" s="2"/>
      <c r="R339" s="2" t="s">
        <v>3039</v>
      </c>
      <c r="S339" s="2" t="s">
        <v>3040</v>
      </c>
      <c r="T339" s="2" t="s">
        <v>3041</v>
      </c>
      <c r="U339" s="2" t="s">
        <v>103</v>
      </c>
      <c r="V339" s="2" t="s">
        <v>2602</v>
      </c>
      <c r="W339" s="2" t="s">
        <v>3042</v>
      </c>
      <c r="X339" s="2" t="s">
        <v>69</v>
      </c>
      <c r="Y339" s="2">
        <v>55.9</v>
      </c>
      <c r="Z339" s="2">
        <v>83.2</v>
      </c>
      <c r="AA339" s="2" t="s">
        <v>218</v>
      </c>
      <c r="AB339" s="2" t="s">
        <v>3043</v>
      </c>
      <c r="AC339" s="2">
        <v>-4.8511180295517304</v>
      </c>
      <c r="AD339" s="2"/>
      <c r="AE339" s="2">
        <v>1.3949706150146299</v>
      </c>
      <c r="AF339" s="2">
        <v>504684.84441971203</v>
      </c>
      <c r="AG339" s="2">
        <v>658880.96022599097</v>
      </c>
      <c r="AH339" s="4">
        <v>0.76597272479479295</v>
      </c>
      <c r="AI339" s="4">
        <v>-0.38463507415211501</v>
      </c>
      <c r="AJ339" s="4" t="s">
        <v>62</v>
      </c>
      <c r="AK339" s="2">
        <v>0.341203780775367</v>
      </c>
      <c r="AL339" s="2">
        <v>0.63815037094278604</v>
      </c>
      <c r="AM339" s="2">
        <v>893736.34608361102</v>
      </c>
      <c r="AN339" s="2">
        <v>235792.857062172</v>
      </c>
      <c r="AO339" s="2">
        <v>356036.85396738799</v>
      </c>
      <c r="AP339" s="2">
        <v>665167.15295843896</v>
      </c>
      <c r="AQ339" s="2">
        <v>485483.34619072097</v>
      </c>
      <c r="AR339" s="2">
        <v>391892.51025593898</v>
      </c>
      <c r="AS339" s="2">
        <v>624169.15213096596</v>
      </c>
      <c r="AT339" s="2">
        <v>885304.19323592901</v>
      </c>
      <c r="AU339" s="2">
        <v>572637.39158764703</v>
      </c>
      <c r="AV339" s="2">
        <v>1070807.7045656701</v>
      </c>
      <c r="AW339" s="2">
        <v>582128.23481581104</v>
      </c>
      <c r="AX339" s="2">
        <v>218239.08501992101</v>
      </c>
    </row>
    <row r="340" spans="1:50" x14ac:dyDescent="0.25">
      <c r="A340" s="2" t="s">
        <v>3044</v>
      </c>
      <c r="B340" s="2">
        <v>709.34181798940699</v>
      </c>
      <c r="C340" s="2">
        <v>4.8329666666666702</v>
      </c>
      <c r="D340" s="2" t="s">
        <v>51</v>
      </c>
      <c r="E340" s="2" t="s">
        <v>3045</v>
      </c>
      <c r="F340" s="2">
        <v>60603</v>
      </c>
      <c r="G340" s="3" t="str">
        <f>HYPERLINK("https://cloud.oebiotech.com/#/lm/network/60603", "https://cloud.oebiotech.com/#/lm/network/60603")</f>
        <v>https://cloud.oebiotech.com/#/lm/network/60603</v>
      </c>
      <c r="H340" s="2" t="s">
        <v>3046</v>
      </c>
      <c r="I340" s="2">
        <v>91934</v>
      </c>
      <c r="J340" s="2"/>
      <c r="K340" s="2">
        <v>131752103</v>
      </c>
      <c r="L340" s="2"/>
      <c r="M340" s="2"/>
      <c r="N340" s="2"/>
      <c r="O340" s="2"/>
      <c r="P340" s="2"/>
      <c r="Q340" s="2"/>
      <c r="R340" s="2" t="s">
        <v>3047</v>
      </c>
      <c r="S340" s="2" t="s">
        <v>3048</v>
      </c>
      <c r="T340" s="2" t="s">
        <v>3049</v>
      </c>
      <c r="U340" s="2" t="s">
        <v>56</v>
      </c>
      <c r="V340" s="2" t="s">
        <v>283</v>
      </c>
      <c r="W340" s="2" t="s">
        <v>1338</v>
      </c>
      <c r="X340" s="2" t="s">
        <v>147</v>
      </c>
      <c r="Y340" s="2">
        <v>44.3</v>
      </c>
      <c r="Z340" s="2">
        <v>32.6</v>
      </c>
      <c r="AA340" s="2" t="s">
        <v>60</v>
      </c>
      <c r="AB340" s="2" t="s">
        <v>3050</v>
      </c>
      <c r="AC340" s="2">
        <v>-1.64439553515434</v>
      </c>
      <c r="AD340" s="2"/>
      <c r="AE340" s="2">
        <v>1.38830124003518</v>
      </c>
      <c r="AF340" s="2">
        <v>136957.35132514901</v>
      </c>
      <c r="AG340" s="2">
        <v>63999.029185743901</v>
      </c>
      <c r="AH340" s="5">
        <v>2.13999107592177</v>
      </c>
      <c r="AI340" s="5">
        <v>1.09760478038798</v>
      </c>
      <c r="AJ340" s="5" t="s">
        <v>139</v>
      </c>
      <c r="AK340" s="2">
        <v>0.108169631587892</v>
      </c>
      <c r="AL340" s="2">
        <v>0.41964663475061997</v>
      </c>
      <c r="AM340" s="2">
        <v>137732.90414182199</v>
      </c>
      <c r="AN340" s="2">
        <v>127854.39527676901</v>
      </c>
      <c r="AO340" s="2">
        <v>51688.326048446797</v>
      </c>
      <c r="AP340" s="2">
        <v>266123.12729980203</v>
      </c>
      <c r="AQ340" s="2">
        <v>149028.36011705699</v>
      </c>
      <c r="AR340" s="2">
        <v>89316.995066994597</v>
      </c>
      <c r="AS340" s="2">
        <v>2881.6617138649899</v>
      </c>
      <c r="AT340" s="2">
        <v>50132.610402496699</v>
      </c>
      <c r="AU340" s="2">
        <v>194822.42079249001</v>
      </c>
      <c r="AV340" s="2">
        <v>28088.174033723499</v>
      </c>
      <c r="AW340" s="2">
        <v>88126.159434223402</v>
      </c>
      <c r="AX340" s="2">
        <v>19943.1487376646</v>
      </c>
    </row>
    <row r="341" spans="1:50" x14ac:dyDescent="0.25">
      <c r="A341" s="2" t="s">
        <v>1031</v>
      </c>
      <c r="B341" s="2">
        <v>529.38344161461305</v>
      </c>
      <c r="C341" s="2">
        <v>10.37285</v>
      </c>
      <c r="D341" s="2" t="s">
        <v>51</v>
      </c>
      <c r="E341" s="2" t="s">
        <v>1032</v>
      </c>
      <c r="F341" s="2">
        <v>36955</v>
      </c>
      <c r="G341" s="3" t="str">
        <f>HYPERLINK("https://cloud.oebiotech.com/#/lm/network/36955", "https://cloud.oebiotech.com/#/lm/network/36955")</f>
        <v>https://cloud.oebiotech.com/#/lm/network/36955</v>
      </c>
      <c r="H341" s="2"/>
      <c r="I341" s="2"/>
      <c r="J341" s="2" t="s">
        <v>1033</v>
      </c>
      <c r="K341" s="2"/>
      <c r="L341" s="2"/>
      <c r="M341" s="2"/>
      <c r="N341" s="2"/>
      <c r="O341" s="2"/>
      <c r="P341" s="2"/>
      <c r="Q341" s="2"/>
      <c r="R341" s="2"/>
      <c r="S341" s="2" t="s">
        <v>1034</v>
      </c>
      <c r="T341" s="2" t="s">
        <v>1035</v>
      </c>
      <c r="U341" s="2" t="s">
        <v>56</v>
      </c>
      <c r="V341" s="2" t="s">
        <v>177</v>
      </c>
      <c r="W341" s="2" t="s">
        <v>178</v>
      </c>
      <c r="X341" s="2" t="s">
        <v>147</v>
      </c>
      <c r="Y341" s="2">
        <v>40.200000000000003</v>
      </c>
      <c r="Z341" s="2">
        <v>26.1</v>
      </c>
      <c r="AA341" s="2" t="s">
        <v>156</v>
      </c>
      <c r="AB341" s="2" t="s">
        <v>1036</v>
      </c>
      <c r="AC341" s="2">
        <v>1.03158093613624</v>
      </c>
      <c r="AD341" s="2"/>
      <c r="AE341" s="2">
        <v>1.38742645786027</v>
      </c>
      <c r="AF341" s="2">
        <v>211415.87646636899</v>
      </c>
      <c r="AG341" s="2">
        <v>258729.70783579201</v>
      </c>
      <c r="AH341" s="4">
        <v>0.81713027172182595</v>
      </c>
      <c r="AI341" s="4">
        <v>-0.29136199523756701</v>
      </c>
      <c r="AJ341" s="4" t="s">
        <v>62</v>
      </c>
      <c r="AK341" s="2">
        <v>3.9916088811574199E-2</v>
      </c>
      <c r="AL341" s="2">
        <v>0.29155452793099101</v>
      </c>
      <c r="AM341" s="2">
        <v>153546.18900237899</v>
      </c>
      <c r="AN341" s="2">
        <v>191858.85683582301</v>
      </c>
      <c r="AO341" s="2">
        <v>206581.426355626</v>
      </c>
      <c r="AP341" s="2">
        <v>206674.256774637</v>
      </c>
      <c r="AQ341" s="2">
        <v>281055.22092792601</v>
      </c>
      <c r="AR341" s="2">
        <v>228779.30890182199</v>
      </c>
      <c r="AS341" s="2">
        <v>259742.588941197</v>
      </c>
      <c r="AT341" s="2">
        <v>299229.43403359799</v>
      </c>
      <c r="AU341" s="2">
        <v>231000.71379539801</v>
      </c>
      <c r="AV341" s="2">
        <v>233310.456744636</v>
      </c>
      <c r="AW341" s="2">
        <v>264414.301294901</v>
      </c>
      <c r="AX341" s="2">
        <v>264680.752205019</v>
      </c>
    </row>
    <row r="342" spans="1:50" x14ac:dyDescent="0.25">
      <c r="A342" s="2" t="s">
        <v>3051</v>
      </c>
      <c r="B342" s="2">
        <v>415.20999810398598</v>
      </c>
      <c r="C342" s="2">
        <v>6.68445</v>
      </c>
      <c r="D342" s="2" t="s">
        <v>51</v>
      </c>
      <c r="E342" s="2" t="s">
        <v>3052</v>
      </c>
      <c r="F342" s="2">
        <v>10347</v>
      </c>
      <c r="G342" s="3" t="str">
        <f>HYPERLINK("https://cloud.oebiotech.com/#/lm/network/10347", "https://cloud.oebiotech.com/#/lm/network/10347")</f>
        <v>https://cloud.oebiotech.com/#/lm/network/10347</v>
      </c>
      <c r="H342" s="2"/>
      <c r="I342" s="2"/>
      <c r="J342" s="2" t="s">
        <v>3053</v>
      </c>
      <c r="K342" s="2">
        <v>86289849</v>
      </c>
      <c r="L342" s="2"/>
      <c r="M342" s="2"/>
      <c r="N342" s="2"/>
      <c r="O342" s="2">
        <v>79261</v>
      </c>
      <c r="P342" s="2"/>
      <c r="Q342" s="2"/>
      <c r="R342" s="2"/>
      <c r="S342" s="2" t="s">
        <v>3054</v>
      </c>
      <c r="T342" s="2" t="s">
        <v>3055</v>
      </c>
      <c r="U342" s="2" t="s">
        <v>56</v>
      </c>
      <c r="V342" s="2" t="s">
        <v>145</v>
      </c>
      <c r="W342" s="2" t="s">
        <v>231</v>
      </c>
      <c r="X342" s="2" t="s">
        <v>59</v>
      </c>
      <c r="Y342" s="2">
        <v>48.9</v>
      </c>
      <c r="Z342" s="2">
        <v>50.9</v>
      </c>
      <c r="AA342" s="2" t="s">
        <v>395</v>
      </c>
      <c r="AB342" s="2" t="s">
        <v>3056</v>
      </c>
      <c r="AC342" s="2">
        <v>1.9575818560440901</v>
      </c>
      <c r="AD342" s="2"/>
      <c r="AE342" s="2">
        <v>1.3766746299624999</v>
      </c>
      <c r="AF342" s="2">
        <v>84966.573262388702</v>
      </c>
      <c r="AG342" s="2">
        <v>41919.717268574102</v>
      </c>
      <c r="AH342" s="5">
        <v>2.0268880326176602</v>
      </c>
      <c r="AI342" s="5">
        <v>1.01926639504614</v>
      </c>
      <c r="AJ342" s="5" t="s">
        <v>139</v>
      </c>
      <c r="AK342" s="2">
        <v>6.6934473777421094E-2</v>
      </c>
      <c r="AL342" s="2">
        <v>0.34192828169447498</v>
      </c>
      <c r="AM342" s="2">
        <v>182618.876469952</v>
      </c>
      <c r="AN342" s="2">
        <v>70769.483926015499</v>
      </c>
      <c r="AO342" s="2">
        <v>66733.700487687398</v>
      </c>
      <c r="AP342" s="2">
        <v>77607.654735119897</v>
      </c>
      <c r="AQ342" s="2">
        <v>42764.879147004598</v>
      </c>
      <c r="AR342" s="2">
        <v>69304.844808552894</v>
      </c>
      <c r="AS342" s="2">
        <v>57762.090588531799</v>
      </c>
      <c r="AT342" s="2">
        <v>38762.118499719902</v>
      </c>
      <c r="AU342" s="2">
        <v>53864.736994857602</v>
      </c>
      <c r="AV342" s="2">
        <v>20661.617162067701</v>
      </c>
      <c r="AW342" s="2">
        <v>31547.8368058942</v>
      </c>
      <c r="AX342" s="2">
        <v>48919.903560373597</v>
      </c>
    </row>
    <row r="343" spans="1:50" x14ac:dyDescent="0.25">
      <c r="A343" s="2" t="s">
        <v>3057</v>
      </c>
      <c r="B343" s="2">
        <v>232.05791997413999</v>
      </c>
      <c r="C343" s="2">
        <v>2.07778333333333</v>
      </c>
      <c r="D343" s="2" t="s">
        <v>51</v>
      </c>
      <c r="E343" s="2" t="s">
        <v>3058</v>
      </c>
      <c r="F343" s="2">
        <v>200053</v>
      </c>
      <c r="G343" s="3" t="str">
        <f>HYPERLINK("https://cloud.oebiotech.com/#/lm/network/200053", "https://cloud.oebiotech.com/#/lm/network/200053")</f>
        <v>https://cloud.oebiotech.com/#/lm/network/200053</v>
      </c>
      <c r="H343" s="2" t="s">
        <v>3059</v>
      </c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 t="s">
        <v>3060</v>
      </c>
      <c r="T343" s="2" t="s">
        <v>3061</v>
      </c>
      <c r="U343" s="2" t="s">
        <v>3062</v>
      </c>
      <c r="V343" s="2" t="s">
        <v>3063</v>
      </c>
      <c r="W343" s="2" t="s">
        <v>3064</v>
      </c>
      <c r="X343" s="2" t="s">
        <v>147</v>
      </c>
      <c r="Y343" s="2">
        <v>43.5</v>
      </c>
      <c r="Z343" s="2">
        <v>21.1</v>
      </c>
      <c r="AA343" s="2" t="s">
        <v>218</v>
      </c>
      <c r="AB343" s="2" t="s">
        <v>2483</v>
      </c>
      <c r="AC343" s="2">
        <v>2.1988901765917901</v>
      </c>
      <c r="AD343" s="2"/>
      <c r="AE343" s="2">
        <v>1.3634878274548199</v>
      </c>
      <c r="AF343" s="2">
        <v>84837.010949235701</v>
      </c>
      <c r="AG343" s="2">
        <v>167842.11499806601</v>
      </c>
      <c r="AH343" s="4">
        <v>0.50545723253197505</v>
      </c>
      <c r="AI343" s="4">
        <v>-0.984339066110682</v>
      </c>
      <c r="AJ343" s="4" t="s">
        <v>62</v>
      </c>
      <c r="AK343" s="2">
        <v>0.105428565318313</v>
      </c>
      <c r="AL343" s="2">
        <v>0.41261001469665398</v>
      </c>
      <c r="AM343" s="2">
        <v>90598.120369889104</v>
      </c>
      <c r="AN343" s="2">
        <v>79946.265908100802</v>
      </c>
      <c r="AO343" s="2">
        <v>69604.117522375003</v>
      </c>
      <c r="AP343" s="2">
        <v>97043.816195865802</v>
      </c>
      <c r="AQ343" s="2">
        <v>104444.17127233</v>
      </c>
      <c r="AR343" s="2">
        <v>67385.574426853404</v>
      </c>
      <c r="AS343" s="2">
        <v>239312.56154712901</v>
      </c>
      <c r="AT343" s="2">
        <v>365858.63227590901</v>
      </c>
      <c r="AU343" s="2">
        <v>75533.237018131302</v>
      </c>
      <c r="AV343" s="2">
        <v>126723.500323013</v>
      </c>
      <c r="AW343" s="2">
        <v>87090.059382253501</v>
      </c>
      <c r="AX343" s="2">
        <v>112534.699441958</v>
      </c>
    </row>
    <row r="344" spans="1:50" x14ac:dyDescent="0.25">
      <c r="A344" s="2" t="s">
        <v>3065</v>
      </c>
      <c r="B344" s="2">
        <v>685.46601434243905</v>
      </c>
      <c r="C344" s="2">
        <v>13.3237166666667</v>
      </c>
      <c r="D344" s="2" t="s">
        <v>51</v>
      </c>
      <c r="E344" s="2" t="s">
        <v>3066</v>
      </c>
      <c r="F344" s="2">
        <v>252380</v>
      </c>
      <c r="G344" s="3" t="str">
        <f>HYPERLINK("https://cloud.oebiotech.com/#/lm/network/252380", "https://cloud.oebiotech.com/#/lm/network/252380")</f>
        <v>https://cloud.oebiotech.com/#/lm/network/252380</v>
      </c>
      <c r="H344" s="2" t="s">
        <v>3067</v>
      </c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 t="s">
        <v>3068</v>
      </c>
      <c r="T344" s="2" t="s">
        <v>3069</v>
      </c>
      <c r="U344" s="2" t="s">
        <v>56</v>
      </c>
      <c r="V344" s="2" t="s">
        <v>145</v>
      </c>
      <c r="W344" s="2" t="s">
        <v>187</v>
      </c>
      <c r="X344" s="2" t="s">
        <v>59</v>
      </c>
      <c r="Y344" s="2">
        <v>51.1</v>
      </c>
      <c r="Z344" s="2">
        <v>71.5</v>
      </c>
      <c r="AA344" s="2" t="s">
        <v>95</v>
      </c>
      <c r="AB344" s="2" t="s">
        <v>3070</v>
      </c>
      <c r="AC344" s="2">
        <v>1.54660651269906</v>
      </c>
      <c r="AD344" s="2"/>
      <c r="AE344" s="2">
        <v>1.3600185152565301</v>
      </c>
      <c r="AF344" s="2">
        <v>263454.69059772999</v>
      </c>
      <c r="AG344" s="2">
        <v>194971.36982196599</v>
      </c>
      <c r="AH344" s="5">
        <v>1.35124808754382</v>
      </c>
      <c r="AI344" s="5">
        <v>0.43429257607796601</v>
      </c>
      <c r="AJ344" s="5" t="s">
        <v>139</v>
      </c>
      <c r="AK344" s="2">
        <v>0.46042639694604498</v>
      </c>
      <c r="AL344" s="2">
        <v>0.71040092022659995</v>
      </c>
      <c r="AM344" s="2">
        <v>349432.492210839</v>
      </c>
      <c r="AN344" s="2">
        <v>565240.50855007302</v>
      </c>
      <c r="AO344" s="2">
        <v>282608.63475627499</v>
      </c>
      <c r="AP344" s="2">
        <v>155946.02525052999</v>
      </c>
      <c r="AQ344" s="2">
        <v>92284.706417076595</v>
      </c>
      <c r="AR344" s="2">
        <v>135215.77640158901</v>
      </c>
      <c r="AS344" s="2">
        <v>49823.663220847797</v>
      </c>
      <c r="AT344" s="2">
        <v>83899.4823151522</v>
      </c>
      <c r="AU344" s="2">
        <v>337776.63395505899</v>
      </c>
      <c r="AV344" s="2">
        <v>179627.36215624501</v>
      </c>
      <c r="AW344" s="2">
        <v>158625.609679552</v>
      </c>
      <c r="AX344" s="2">
        <v>360075.46760493901</v>
      </c>
    </row>
    <row r="345" spans="1:50" x14ac:dyDescent="0.25">
      <c r="A345" s="2" t="s">
        <v>3071</v>
      </c>
      <c r="B345" s="2">
        <v>338.267671731777</v>
      </c>
      <c r="C345" s="2">
        <v>9.4626166666666691</v>
      </c>
      <c r="D345" s="2" t="s">
        <v>51</v>
      </c>
      <c r="E345" s="2" t="s">
        <v>3072</v>
      </c>
      <c r="F345" s="2">
        <v>38926</v>
      </c>
      <c r="G345" s="3" t="str">
        <f>HYPERLINK("https://cloud.oebiotech.com/#/lm/network/38926", "https://cloud.oebiotech.com/#/lm/network/38926")</f>
        <v>https://cloud.oebiotech.com/#/lm/network/38926</v>
      </c>
      <c r="H345" s="2"/>
      <c r="I345" s="2">
        <v>53897</v>
      </c>
      <c r="J345" s="2" t="s">
        <v>3073</v>
      </c>
      <c r="K345" s="2">
        <v>14757418</v>
      </c>
      <c r="L345" s="2"/>
      <c r="M345" s="2"/>
      <c r="N345" s="2"/>
      <c r="O345" s="2">
        <v>20386</v>
      </c>
      <c r="P345" s="2"/>
      <c r="Q345" s="2"/>
      <c r="R345" s="2"/>
      <c r="S345" s="2" t="s">
        <v>3074</v>
      </c>
      <c r="T345" s="2" t="s">
        <v>3075</v>
      </c>
      <c r="U345" s="2" t="s">
        <v>119</v>
      </c>
      <c r="V345" s="2" t="s">
        <v>120</v>
      </c>
      <c r="W345" s="2" t="s">
        <v>1887</v>
      </c>
      <c r="X345" s="2" t="s">
        <v>83</v>
      </c>
      <c r="Y345" s="2">
        <v>56.5</v>
      </c>
      <c r="Z345" s="2">
        <v>41.7</v>
      </c>
      <c r="AA345" s="2" t="s">
        <v>1339</v>
      </c>
      <c r="AB345" s="2" t="s">
        <v>3076</v>
      </c>
      <c r="AC345" s="2">
        <v>3.51119967085685</v>
      </c>
      <c r="AD345" s="2"/>
      <c r="AE345" s="2">
        <v>1.35981574014472</v>
      </c>
      <c r="AF345" s="2">
        <v>127615.54539528101</v>
      </c>
      <c r="AG345" s="2">
        <v>24582.651099444</v>
      </c>
      <c r="AH345" s="5">
        <v>5.1912848975905197</v>
      </c>
      <c r="AI345" s="5">
        <v>2.3760916649715802</v>
      </c>
      <c r="AJ345" s="5" t="s">
        <v>139</v>
      </c>
      <c r="AK345" s="2">
        <v>0.24219816389979901</v>
      </c>
      <c r="AL345" s="2">
        <v>0.56566896108304698</v>
      </c>
      <c r="AM345" s="2">
        <v>8516.0882189466993</v>
      </c>
      <c r="AN345" s="2">
        <v>2157.2548237210399</v>
      </c>
      <c r="AO345" s="2">
        <v>251798.50366750101</v>
      </c>
      <c r="AP345" s="2">
        <v>1629.4375319203</v>
      </c>
      <c r="AQ345" s="2">
        <v>484510.33501368901</v>
      </c>
      <c r="AR345" s="2">
        <v>17081.653115906</v>
      </c>
      <c r="AS345" s="2">
        <v>58091.365955722002</v>
      </c>
      <c r="AT345" s="2">
        <v>2466.4023610024401</v>
      </c>
      <c r="AU345" s="2">
        <v>73815.443099632204</v>
      </c>
      <c r="AV345" s="2">
        <v>8955.7777660698703</v>
      </c>
      <c r="AW345" s="2">
        <v>2046.5720042323501</v>
      </c>
      <c r="AX345" s="2">
        <v>2120.3454100051799</v>
      </c>
    </row>
    <row r="346" spans="1:50" x14ac:dyDescent="0.25">
      <c r="A346" s="2" t="s">
        <v>3077</v>
      </c>
      <c r="B346" s="2">
        <v>407.207792333881</v>
      </c>
      <c r="C346" s="2">
        <v>6.1134166666666703</v>
      </c>
      <c r="D346" s="2" t="s">
        <v>51</v>
      </c>
      <c r="E346" s="2" t="s">
        <v>3078</v>
      </c>
      <c r="F346" s="2">
        <v>200314</v>
      </c>
      <c r="G346" s="3" t="str">
        <f>HYPERLINK("https://cloud.oebiotech.com/#/lm/network/200314", "https://cloud.oebiotech.com/#/lm/network/200314")</f>
        <v>https://cloud.oebiotech.com/#/lm/network/200314</v>
      </c>
      <c r="H346" s="2" t="s">
        <v>3079</v>
      </c>
      <c r="I346" s="2"/>
      <c r="J346" s="2"/>
      <c r="K346" s="2">
        <v>21850823</v>
      </c>
      <c r="L346" s="2"/>
      <c r="M346" s="2"/>
      <c r="N346" s="2"/>
      <c r="O346" s="2"/>
      <c r="P346" s="2"/>
      <c r="Q346" s="2"/>
      <c r="R346" s="2"/>
      <c r="S346" s="2" t="s">
        <v>3080</v>
      </c>
      <c r="T346" s="2" t="s">
        <v>3081</v>
      </c>
      <c r="U346" s="2" t="s">
        <v>56</v>
      </c>
      <c r="V346" s="2" t="s">
        <v>283</v>
      </c>
      <c r="W346" s="2" t="s">
        <v>492</v>
      </c>
      <c r="X346" s="2" t="s">
        <v>59</v>
      </c>
      <c r="Y346" s="2">
        <v>55.9</v>
      </c>
      <c r="Z346" s="2">
        <v>84.6</v>
      </c>
      <c r="AA346" s="2" t="s">
        <v>218</v>
      </c>
      <c r="AB346" s="2" t="s">
        <v>3082</v>
      </c>
      <c r="AC346" s="2">
        <v>0.732736469419211</v>
      </c>
      <c r="AD346" s="2"/>
      <c r="AE346" s="2">
        <v>1.35919635560021</v>
      </c>
      <c r="AF346" s="2">
        <v>66624.192548236999</v>
      </c>
      <c r="AG346" s="2">
        <v>137167.45812424901</v>
      </c>
      <c r="AH346" s="4">
        <v>0.48571427552362501</v>
      </c>
      <c r="AI346" s="4">
        <v>-1.04182020596348</v>
      </c>
      <c r="AJ346" s="4" t="s">
        <v>62</v>
      </c>
      <c r="AK346" s="2">
        <v>7.1986925842361493E-2</v>
      </c>
      <c r="AL346" s="2">
        <v>0.353616324641293</v>
      </c>
      <c r="AM346" s="2">
        <v>72830.055025355396</v>
      </c>
      <c r="AN346" s="2">
        <v>97045.914035002905</v>
      </c>
      <c r="AO346" s="2">
        <v>31030.176754097101</v>
      </c>
      <c r="AP346" s="2">
        <v>36621.0244529462</v>
      </c>
      <c r="AQ346" s="2">
        <v>129537.572286642</v>
      </c>
      <c r="AR346" s="2">
        <v>32680.412735378399</v>
      </c>
      <c r="AS346" s="2">
        <v>162728.79799818801</v>
      </c>
      <c r="AT346" s="2">
        <v>229626.14883300199</v>
      </c>
      <c r="AU346" s="2">
        <v>54274.481290129399</v>
      </c>
      <c r="AV346" s="2">
        <v>122591.299932935</v>
      </c>
      <c r="AW346" s="2">
        <v>48928.6109577475</v>
      </c>
      <c r="AX346" s="2">
        <v>204855.40973349501</v>
      </c>
    </row>
    <row r="347" spans="1:50" x14ac:dyDescent="0.25">
      <c r="A347" s="2" t="s">
        <v>3083</v>
      </c>
      <c r="B347" s="2">
        <v>277.21717342502097</v>
      </c>
      <c r="C347" s="2">
        <v>12.051083333333301</v>
      </c>
      <c r="D347" s="2" t="s">
        <v>51</v>
      </c>
      <c r="E347" s="2" t="s">
        <v>3084</v>
      </c>
      <c r="F347" s="2">
        <v>657</v>
      </c>
      <c r="G347" s="3" t="str">
        <f>HYPERLINK("https://cloud.oebiotech.com/#/lm/network/657", "https://cloud.oebiotech.com/#/lm/network/657")</f>
        <v>https://cloud.oebiotech.com/#/lm/network/657</v>
      </c>
      <c r="H347" s="2" t="s">
        <v>3085</v>
      </c>
      <c r="I347" s="2">
        <v>6208</v>
      </c>
      <c r="J347" s="2" t="s">
        <v>3086</v>
      </c>
      <c r="K347" s="2">
        <v>5280934</v>
      </c>
      <c r="L347" s="2" t="s">
        <v>3087</v>
      </c>
      <c r="M347" s="2" t="s">
        <v>3088</v>
      </c>
      <c r="N347" s="2" t="s">
        <v>3089</v>
      </c>
      <c r="O347" s="2">
        <v>27432</v>
      </c>
      <c r="P347" s="2" t="s">
        <v>3090</v>
      </c>
      <c r="Q347" s="2" t="s">
        <v>3091</v>
      </c>
      <c r="R347" s="2" t="s">
        <v>3092</v>
      </c>
      <c r="S347" s="2" t="s">
        <v>3093</v>
      </c>
      <c r="T347" s="2" t="s">
        <v>3094</v>
      </c>
      <c r="U347" s="2" t="s">
        <v>56</v>
      </c>
      <c r="V347" s="2" t="s">
        <v>145</v>
      </c>
      <c r="W347" s="2" t="s">
        <v>203</v>
      </c>
      <c r="X347" s="2" t="s">
        <v>69</v>
      </c>
      <c r="Y347" s="2">
        <v>54.7</v>
      </c>
      <c r="Z347" s="2">
        <v>50.7</v>
      </c>
      <c r="AA347" s="2" t="s">
        <v>623</v>
      </c>
      <c r="AB347" s="2" t="s">
        <v>2258</v>
      </c>
      <c r="AC347" s="2">
        <v>-0.46848556416304998</v>
      </c>
      <c r="AD347" s="2"/>
      <c r="AE347" s="2">
        <v>1.3498460720813701</v>
      </c>
      <c r="AF347" s="2">
        <v>24891.295741342699</v>
      </c>
      <c r="AG347" s="2">
        <v>102730.98940325</v>
      </c>
      <c r="AH347" s="4">
        <v>0.24229588253683601</v>
      </c>
      <c r="AI347" s="4">
        <v>-2.0451582063761098</v>
      </c>
      <c r="AJ347" s="4" t="s">
        <v>62</v>
      </c>
      <c r="AK347" s="2">
        <v>9.7154450058559799E-2</v>
      </c>
      <c r="AL347" s="2">
        <v>0.39786780237660802</v>
      </c>
      <c r="AM347" s="2">
        <v>29504.656024039101</v>
      </c>
      <c r="AN347" s="2">
        <v>30233.035623424399</v>
      </c>
      <c r="AO347" s="2">
        <v>42882.348136694702</v>
      </c>
      <c r="AP347" s="2">
        <v>13398.043226662799</v>
      </c>
      <c r="AQ347" s="2">
        <v>18543.6089462126</v>
      </c>
      <c r="AR347" s="2">
        <v>14786.0824910225</v>
      </c>
      <c r="AS347" s="2">
        <v>27317.803122438901</v>
      </c>
      <c r="AT347" s="2">
        <v>14413.404646859301</v>
      </c>
      <c r="AU347" s="2">
        <v>288520.046945579</v>
      </c>
      <c r="AV347" s="2">
        <v>102547.800285334</v>
      </c>
      <c r="AW347" s="2">
        <v>143647.62346429401</v>
      </c>
      <c r="AX347" s="2">
        <v>39939.257954992303</v>
      </c>
    </row>
    <row r="348" spans="1:50" x14ac:dyDescent="0.25">
      <c r="A348" s="2" t="s">
        <v>1037</v>
      </c>
      <c r="B348" s="2">
        <v>377.23154160740398</v>
      </c>
      <c r="C348" s="2">
        <v>9.3622666666666703</v>
      </c>
      <c r="D348" s="2" t="s">
        <v>51</v>
      </c>
      <c r="E348" s="2" t="s">
        <v>1038</v>
      </c>
      <c r="F348" s="2">
        <v>5533</v>
      </c>
      <c r="G348" s="3" t="str">
        <f>HYPERLINK("https://cloud.oebiotech.com/#/lm/network/5533", "https://cloud.oebiotech.com/#/lm/network/5533")</f>
        <v>https://cloud.oebiotech.com/#/lm/network/5533</v>
      </c>
      <c r="H348" s="2"/>
      <c r="I348" s="2"/>
      <c r="J348" s="2" t="s">
        <v>1039</v>
      </c>
      <c r="K348" s="2">
        <v>131840932</v>
      </c>
      <c r="L348" s="2"/>
      <c r="M348" s="2"/>
      <c r="N348" s="2"/>
      <c r="O348" s="2"/>
      <c r="P348" s="2"/>
      <c r="Q348" s="2"/>
      <c r="R348" s="2"/>
      <c r="S348" s="2" t="s">
        <v>1040</v>
      </c>
      <c r="T348" s="2" t="s">
        <v>1041</v>
      </c>
      <c r="U348" s="2" t="s">
        <v>331</v>
      </c>
      <c r="V348" s="2" t="s">
        <v>332</v>
      </c>
      <c r="W348" s="2" t="s">
        <v>333</v>
      </c>
      <c r="X348" s="2" t="s">
        <v>147</v>
      </c>
      <c r="Y348" s="2">
        <v>39.6</v>
      </c>
      <c r="Z348" s="2">
        <v>7.37</v>
      </c>
      <c r="AA348" s="2" t="s">
        <v>156</v>
      </c>
      <c r="AB348" s="2" t="s">
        <v>414</v>
      </c>
      <c r="AC348" s="2">
        <v>-1.7982912915942799</v>
      </c>
      <c r="AD348" s="2"/>
      <c r="AE348" s="2">
        <v>1.34492389573249</v>
      </c>
      <c r="AF348" s="2">
        <v>96497.827418340807</v>
      </c>
      <c r="AG348" s="2">
        <v>56584.882221631698</v>
      </c>
      <c r="AH348" s="5">
        <v>1.70536411192619</v>
      </c>
      <c r="AI348" s="5">
        <v>0.77007980164689005</v>
      </c>
      <c r="AJ348" s="5" t="s">
        <v>139</v>
      </c>
      <c r="AK348" s="2">
        <v>4.1687768810249097E-2</v>
      </c>
      <c r="AL348" s="2">
        <v>0.29289974369993999</v>
      </c>
      <c r="AM348" s="2">
        <v>153234.24671112499</v>
      </c>
      <c r="AN348" s="2">
        <v>109444.567847798</v>
      </c>
      <c r="AO348" s="2">
        <v>80511.7852842805</v>
      </c>
      <c r="AP348" s="2">
        <v>78936.161373709794</v>
      </c>
      <c r="AQ348" s="2">
        <v>77822.481167882201</v>
      </c>
      <c r="AR348" s="2">
        <v>79037.722125249304</v>
      </c>
      <c r="AS348" s="2">
        <v>50378.876297622402</v>
      </c>
      <c r="AT348" s="2">
        <v>23905.898522224001</v>
      </c>
      <c r="AU348" s="2">
        <v>106649.26728375501</v>
      </c>
      <c r="AV348" s="2">
        <v>35966.160733961602</v>
      </c>
      <c r="AW348" s="2">
        <v>67553.004645350506</v>
      </c>
      <c r="AX348" s="2">
        <v>55056.085846876398</v>
      </c>
    </row>
    <row r="349" spans="1:50" x14ac:dyDescent="0.25">
      <c r="A349" s="2" t="s">
        <v>3095</v>
      </c>
      <c r="B349" s="2">
        <v>562.35210789559198</v>
      </c>
      <c r="C349" s="2">
        <v>9.21756666666667</v>
      </c>
      <c r="D349" s="2" t="s">
        <v>51</v>
      </c>
      <c r="E349" s="2" t="s">
        <v>3096</v>
      </c>
      <c r="F349" s="2">
        <v>22453</v>
      </c>
      <c r="G349" s="3" t="str">
        <f>HYPERLINK("https://cloud.oebiotech.com/#/lm/network/22453", "https://cloud.oebiotech.com/#/lm/network/22453")</f>
        <v>https://cloud.oebiotech.com/#/lm/network/22453</v>
      </c>
      <c r="H349" s="2"/>
      <c r="I349" s="2">
        <v>78850</v>
      </c>
      <c r="J349" s="2" t="s">
        <v>3097</v>
      </c>
      <c r="K349" s="2">
        <v>52926291</v>
      </c>
      <c r="L349" s="2"/>
      <c r="M349" s="2"/>
      <c r="N349" s="2"/>
      <c r="O349" s="2"/>
      <c r="P349" s="2"/>
      <c r="Q349" s="2"/>
      <c r="R349" s="2"/>
      <c r="S349" s="2" t="s">
        <v>3098</v>
      </c>
      <c r="T349" s="2" t="s">
        <v>3099</v>
      </c>
      <c r="U349" s="2" t="s">
        <v>56</v>
      </c>
      <c r="V349" s="2" t="s">
        <v>57</v>
      </c>
      <c r="W349" s="2" t="s">
        <v>82</v>
      </c>
      <c r="X349" s="2" t="s">
        <v>59</v>
      </c>
      <c r="Y349" s="2">
        <v>57.4</v>
      </c>
      <c r="Z349" s="2">
        <v>94</v>
      </c>
      <c r="AA349" s="2" t="s">
        <v>156</v>
      </c>
      <c r="AB349" s="2" t="s">
        <v>3100</v>
      </c>
      <c r="AC349" s="2">
        <v>3.06756170038586</v>
      </c>
      <c r="AD349" s="2"/>
      <c r="AE349" s="2">
        <v>1.3431204083683199</v>
      </c>
      <c r="AF349" s="2">
        <v>301327.56458271702</v>
      </c>
      <c r="AG349" s="2">
        <v>239337.740234795</v>
      </c>
      <c r="AH349" s="5">
        <v>1.25900563900666</v>
      </c>
      <c r="AI349" s="5">
        <v>0.33228474481127301</v>
      </c>
      <c r="AJ349" s="5" t="s">
        <v>139</v>
      </c>
      <c r="AK349" s="2">
        <v>0.579305408523627</v>
      </c>
      <c r="AL349" s="2">
        <v>0.78811553858954497</v>
      </c>
      <c r="AM349" s="2">
        <v>697860.26860819501</v>
      </c>
      <c r="AN349" s="2">
        <v>298704.526264555</v>
      </c>
      <c r="AO349" s="2">
        <v>134005.274579886</v>
      </c>
      <c r="AP349" s="2">
        <v>195522.200339854</v>
      </c>
      <c r="AQ349" s="2">
        <v>211121.416210083</v>
      </c>
      <c r="AR349" s="2">
        <v>270751.70149373199</v>
      </c>
      <c r="AS349" s="2">
        <v>148204.230384127</v>
      </c>
      <c r="AT349" s="2">
        <v>84459.35632459</v>
      </c>
      <c r="AU349" s="2">
        <v>543574.70449220506</v>
      </c>
      <c r="AV349" s="2">
        <v>168169.274719073</v>
      </c>
      <c r="AW349" s="2">
        <v>157442.846724715</v>
      </c>
      <c r="AX349" s="2">
        <v>334176.02876406198</v>
      </c>
    </row>
    <row r="350" spans="1:50" x14ac:dyDescent="0.25">
      <c r="A350" s="2" t="s">
        <v>3101</v>
      </c>
      <c r="B350" s="2">
        <v>449.23125688776599</v>
      </c>
      <c r="C350" s="2">
        <v>9.4395166666666697</v>
      </c>
      <c r="D350" s="2" t="s">
        <v>51</v>
      </c>
      <c r="E350" s="2" t="s">
        <v>3102</v>
      </c>
      <c r="F350" s="2">
        <v>23680</v>
      </c>
      <c r="G350" s="3" t="str">
        <f>HYPERLINK("https://cloud.oebiotech.com/#/lm/network/23680", "https://cloud.oebiotech.com/#/lm/network/23680")</f>
        <v>https://cloud.oebiotech.com/#/lm/network/23680</v>
      </c>
      <c r="H350" s="2"/>
      <c r="I350" s="2">
        <v>80006</v>
      </c>
      <c r="J350" s="2" t="s">
        <v>3103</v>
      </c>
      <c r="K350" s="2">
        <v>52927441</v>
      </c>
      <c r="L350" s="2"/>
      <c r="M350" s="2"/>
      <c r="N350" s="2"/>
      <c r="O350" s="2"/>
      <c r="P350" s="2"/>
      <c r="Q350" s="2"/>
      <c r="R350" s="2"/>
      <c r="S350" s="2" t="s">
        <v>3104</v>
      </c>
      <c r="T350" s="2" t="s">
        <v>3105</v>
      </c>
      <c r="U350" s="2" t="s">
        <v>56</v>
      </c>
      <c r="V350" s="2" t="s">
        <v>57</v>
      </c>
      <c r="W350" s="2" t="s">
        <v>570</v>
      </c>
      <c r="X350" s="2" t="s">
        <v>147</v>
      </c>
      <c r="Y350" s="2">
        <v>39.700000000000003</v>
      </c>
      <c r="Z350" s="2">
        <v>5.62</v>
      </c>
      <c r="AA350" s="2" t="s">
        <v>379</v>
      </c>
      <c r="AB350" s="2" t="s">
        <v>3106</v>
      </c>
      <c r="AC350" s="2">
        <v>0.59474118180915203</v>
      </c>
      <c r="AD350" s="2"/>
      <c r="AE350" s="2">
        <v>1.3396402703086401</v>
      </c>
      <c r="AF350" s="2">
        <v>37332.910752750198</v>
      </c>
      <c r="AG350" s="2">
        <v>137984.382241238</v>
      </c>
      <c r="AH350" s="4">
        <v>0.27055895853112699</v>
      </c>
      <c r="AI350" s="4">
        <v>-1.88598508341562</v>
      </c>
      <c r="AJ350" s="4" t="s">
        <v>62</v>
      </c>
      <c r="AK350" s="2">
        <v>0.153795648887596</v>
      </c>
      <c r="AL350" s="2">
        <v>0.47517092828514201</v>
      </c>
      <c r="AM350" s="2">
        <v>66377.622993567697</v>
      </c>
      <c r="AN350" s="2">
        <v>57492.421810759202</v>
      </c>
      <c r="AO350" s="2">
        <v>14707.401098304899</v>
      </c>
      <c r="AP350" s="2">
        <v>11056.6853645962</v>
      </c>
      <c r="AQ350" s="2">
        <v>50776.5556765523</v>
      </c>
      <c r="AR350" s="2">
        <v>23586.777572720701</v>
      </c>
      <c r="AS350" s="2">
        <v>36513.926484518197</v>
      </c>
      <c r="AT350" s="2">
        <v>25161.354968329499</v>
      </c>
      <c r="AU350" s="2">
        <v>448107.74333072302</v>
      </c>
      <c r="AV350" s="2">
        <v>145854.55459129301</v>
      </c>
      <c r="AW350" s="2">
        <v>94664.294411546303</v>
      </c>
      <c r="AX350" s="2">
        <v>77604.419661015607</v>
      </c>
    </row>
    <row r="351" spans="1:50" x14ac:dyDescent="0.25">
      <c r="A351" s="2" t="s">
        <v>3107</v>
      </c>
      <c r="B351" s="2">
        <v>425.21842691294898</v>
      </c>
      <c r="C351" s="2">
        <v>4.7703666666666704</v>
      </c>
      <c r="D351" s="2" t="s">
        <v>51</v>
      </c>
      <c r="E351" s="2" t="s">
        <v>3108</v>
      </c>
      <c r="F351" s="2">
        <v>200985</v>
      </c>
      <c r="G351" s="3" t="str">
        <f>HYPERLINK("https://cloud.oebiotech.com/#/lm/network/200985", "https://cloud.oebiotech.com/#/lm/network/200985")</f>
        <v>https://cloud.oebiotech.com/#/lm/network/200985</v>
      </c>
      <c r="H351" s="2" t="s">
        <v>3109</v>
      </c>
      <c r="I351" s="2"/>
      <c r="J351" s="2"/>
      <c r="K351" s="2">
        <v>72726445</v>
      </c>
      <c r="L351" s="2"/>
      <c r="M351" s="2"/>
      <c r="N351" s="2"/>
      <c r="O351" s="2"/>
      <c r="P351" s="2"/>
      <c r="Q351" s="2"/>
      <c r="R351" s="2"/>
      <c r="S351" s="2" t="s">
        <v>3110</v>
      </c>
      <c r="T351" s="2" t="s">
        <v>3111</v>
      </c>
      <c r="U351" s="2" t="s">
        <v>56</v>
      </c>
      <c r="V351" s="2" t="s">
        <v>145</v>
      </c>
      <c r="W351" s="2" t="s">
        <v>231</v>
      </c>
      <c r="X351" s="2" t="s">
        <v>147</v>
      </c>
      <c r="Y351" s="2">
        <v>43.3</v>
      </c>
      <c r="Z351" s="2">
        <v>24.3</v>
      </c>
      <c r="AA351" s="2" t="s">
        <v>218</v>
      </c>
      <c r="AB351" s="2" t="s">
        <v>3112</v>
      </c>
      <c r="AC351" s="2">
        <v>0.88185641865200903</v>
      </c>
      <c r="AD351" s="2"/>
      <c r="AE351" s="2">
        <v>1.3395362599521501</v>
      </c>
      <c r="AF351" s="2">
        <v>82066.783262215293</v>
      </c>
      <c r="AG351" s="2">
        <v>39682.179275326504</v>
      </c>
      <c r="AH351" s="5">
        <v>2.0681017212490298</v>
      </c>
      <c r="AI351" s="5">
        <v>1.04830714751571</v>
      </c>
      <c r="AJ351" s="5" t="s">
        <v>139</v>
      </c>
      <c r="AK351" s="2">
        <v>5.92893587684757E-2</v>
      </c>
      <c r="AL351" s="2">
        <v>0.32837652512840398</v>
      </c>
      <c r="AM351" s="2">
        <v>161439.09051029201</v>
      </c>
      <c r="AN351" s="2">
        <v>82036.073310606604</v>
      </c>
      <c r="AO351" s="2">
        <v>53057.594429368801</v>
      </c>
      <c r="AP351" s="2">
        <v>85157.407749006699</v>
      </c>
      <c r="AQ351" s="2">
        <v>34693.3241999815</v>
      </c>
      <c r="AR351" s="2">
        <v>76017.209374036305</v>
      </c>
      <c r="AS351" s="2">
        <v>73251.888806483606</v>
      </c>
      <c r="AT351" s="2">
        <v>50148.3254115585</v>
      </c>
      <c r="AU351" s="2">
        <v>38851.434272141902</v>
      </c>
      <c r="AV351" s="2">
        <v>10255.1662133434</v>
      </c>
      <c r="AW351" s="2">
        <v>20979.795367242899</v>
      </c>
      <c r="AX351" s="2">
        <v>44606.4655811884</v>
      </c>
    </row>
    <row r="352" spans="1:50" x14ac:dyDescent="0.25">
      <c r="A352" s="2" t="s">
        <v>3113</v>
      </c>
      <c r="B352" s="2">
        <v>409.05526487268099</v>
      </c>
      <c r="C352" s="2">
        <v>5.7232000000000003</v>
      </c>
      <c r="D352" s="2" t="s">
        <v>51</v>
      </c>
      <c r="E352" s="2" t="s">
        <v>3114</v>
      </c>
      <c r="F352" s="2">
        <v>207056</v>
      </c>
      <c r="G352" s="3" t="str">
        <f>HYPERLINK("https://cloud.oebiotech.com/#/lm/network/207056", "https://cloud.oebiotech.com/#/lm/network/207056")</f>
        <v>https://cloud.oebiotech.com/#/lm/network/207056</v>
      </c>
      <c r="H352" s="2" t="s">
        <v>3115</v>
      </c>
      <c r="I352" s="2">
        <v>345086</v>
      </c>
      <c r="J352" s="2"/>
      <c r="K352" s="2">
        <v>73685</v>
      </c>
      <c r="L352" s="2"/>
      <c r="M352" s="2"/>
      <c r="N352" s="2"/>
      <c r="O352" s="2">
        <v>88294</v>
      </c>
      <c r="P352" s="2"/>
      <c r="Q352" s="2"/>
      <c r="R352" s="2"/>
      <c r="S352" s="2" t="s">
        <v>3116</v>
      </c>
      <c r="T352" s="2" t="s">
        <v>3117</v>
      </c>
      <c r="U352" s="2" t="s">
        <v>266</v>
      </c>
      <c r="V352" s="2" t="s">
        <v>1785</v>
      </c>
      <c r="W352" s="2" t="s">
        <v>1786</v>
      </c>
      <c r="X352" s="2" t="s">
        <v>147</v>
      </c>
      <c r="Y352" s="2">
        <v>37.6</v>
      </c>
      <c r="Z352" s="2">
        <v>1.83</v>
      </c>
      <c r="AA352" s="2" t="s">
        <v>241</v>
      </c>
      <c r="AB352" s="2" t="s">
        <v>3118</v>
      </c>
      <c r="AC352" s="2">
        <v>-3.4080230287299398</v>
      </c>
      <c r="AD352" s="2"/>
      <c r="AE352" s="2">
        <v>1.33894278922009</v>
      </c>
      <c r="AF352" s="2">
        <v>25489.2907772285</v>
      </c>
      <c r="AG352" s="2">
        <v>82551.008924218797</v>
      </c>
      <c r="AH352" s="4">
        <v>0.30877019081168899</v>
      </c>
      <c r="AI352" s="4">
        <v>-1.69539461573991</v>
      </c>
      <c r="AJ352" s="4" t="s">
        <v>62</v>
      </c>
      <c r="AK352" s="2">
        <v>5.81114451341153E-2</v>
      </c>
      <c r="AL352" s="2">
        <v>0.32795403969699799</v>
      </c>
      <c r="AM352" s="2">
        <v>41151.123962855498</v>
      </c>
      <c r="AN352" s="2">
        <v>7713.3833998452001</v>
      </c>
      <c r="AO352" s="2">
        <v>34683.356933460098</v>
      </c>
      <c r="AP352" s="2">
        <v>832.71451791422703</v>
      </c>
      <c r="AQ352" s="2">
        <v>24045.4297720143</v>
      </c>
      <c r="AR352" s="2">
        <v>44509.736077281399</v>
      </c>
      <c r="AS352" s="2">
        <v>24918.167824059099</v>
      </c>
      <c r="AT352" s="2">
        <v>32509.003361969499</v>
      </c>
      <c r="AU352" s="2">
        <v>111443.607006615</v>
      </c>
      <c r="AV352" s="2">
        <v>84911.918411018996</v>
      </c>
      <c r="AW352" s="2">
        <v>191970.475200844</v>
      </c>
      <c r="AX352" s="2">
        <v>49552.881740806399</v>
      </c>
    </row>
    <row r="353" spans="1:50" x14ac:dyDescent="0.25">
      <c r="A353" s="2" t="s">
        <v>3119</v>
      </c>
      <c r="B353" s="2">
        <v>284.29547723501298</v>
      </c>
      <c r="C353" s="2">
        <v>13.668850000000001</v>
      </c>
      <c r="D353" s="2" t="s">
        <v>51</v>
      </c>
      <c r="E353" s="2" t="s">
        <v>3120</v>
      </c>
      <c r="F353" s="2">
        <v>61057</v>
      </c>
      <c r="G353" s="3" t="str">
        <f>HYPERLINK("https://cloud.oebiotech.com/#/lm/network/61057", "https://cloud.oebiotech.com/#/lm/network/61057")</f>
        <v>https://cloud.oebiotech.com/#/lm/network/61057</v>
      </c>
      <c r="H353" s="2" t="s">
        <v>3121</v>
      </c>
      <c r="I353" s="2">
        <v>92388</v>
      </c>
      <c r="J353" s="2"/>
      <c r="K353" s="2">
        <v>566940</v>
      </c>
      <c r="L353" s="2"/>
      <c r="M353" s="2"/>
      <c r="N353" s="2"/>
      <c r="O353" s="2"/>
      <c r="P353" s="2"/>
      <c r="Q353" s="2"/>
      <c r="R353" s="2" t="s">
        <v>3122</v>
      </c>
      <c r="S353" s="2" t="s">
        <v>3123</v>
      </c>
      <c r="T353" s="2" t="s">
        <v>3124</v>
      </c>
      <c r="U353" s="2" t="s">
        <v>331</v>
      </c>
      <c r="V353" s="2" t="s">
        <v>332</v>
      </c>
      <c r="W353" s="2" t="s">
        <v>1207</v>
      </c>
      <c r="X353" s="2" t="s">
        <v>83</v>
      </c>
      <c r="Y353" s="2">
        <v>55.1</v>
      </c>
      <c r="Z353" s="2">
        <v>20</v>
      </c>
      <c r="AA353" s="2" t="s">
        <v>512</v>
      </c>
      <c r="AB353" s="2" t="s">
        <v>3125</v>
      </c>
      <c r="AC353" s="2">
        <v>2.5764012039322099</v>
      </c>
      <c r="AD353" s="2"/>
      <c r="AE353" s="2">
        <v>1.3380841981377201</v>
      </c>
      <c r="AF353" s="2">
        <v>2367840.29408025</v>
      </c>
      <c r="AG353" s="2">
        <v>1993178.8030954199</v>
      </c>
      <c r="AH353" s="5">
        <v>1.1879718419656999</v>
      </c>
      <c r="AI353" s="5">
        <v>0.24850064090476701</v>
      </c>
      <c r="AJ353" s="5" t="s">
        <v>139</v>
      </c>
      <c r="AK353" s="2">
        <v>0.84611269830239699</v>
      </c>
      <c r="AL353" s="2">
        <v>0.93180691705088703</v>
      </c>
      <c r="AM353" s="2">
        <v>113331.606874558</v>
      </c>
      <c r="AN353" s="2">
        <v>66187.570805294905</v>
      </c>
      <c r="AO353" s="2">
        <v>6078150.6210841304</v>
      </c>
      <c r="AP353" s="2">
        <v>371253.96611909597</v>
      </c>
      <c r="AQ353" s="2">
        <v>7404905.4114586096</v>
      </c>
      <c r="AR353" s="2">
        <v>173212.58813979101</v>
      </c>
      <c r="AS353" s="2">
        <v>4380721.59916812</v>
      </c>
      <c r="AT353" s="2">
        <v>57671.455639730702</v>
      </c>
      <c r="AU353" s="2">
        <v>7241087.6122250799</v>
      </c>
      <c r="AV353" s="2">
        <v>162424.83861624301</v>
      </c>
      <c r="AW353" s="2">
        <v>69148.660126265997</v>
      </c>
      <c r="AX353" s="2">
        <v>48018.652797062103</v>
      </c>
    </row>
    <row r="354" spans="1:50" x14ac:dyDescent="0.25">
      <c r="A354" s="2" t="s">
        <v>3126</v>
      </c>
      <c r="B354" s="2">
        <v>550.38829345601198</v>
      </c>
      <c r="C354" s="2">
        <v>12.979283333333299</v>
      </c>
      <c r="D354" s="2" t="s">
        <v>51</v>
      </c>
      <c r="E354" s="2" t="s">
        <v>3127</v>
      </c>
      <c r="F354" s="2">
        <v>19895</v>
      </c>
      <c r="G354" s="3" t="str">
        <f>HYPERLINK("https://cloud.oebiotech.com/#/lm/network/19895", "https://cloud.oebiotech.com/#/lm/network/19895")</f>
        <v>https://cloud.oebiotech.com/#/lm/network/19895</v>
      </c>
      <c r="H354" s="2"/>
      <c r="I354" s="2"/>
      <c r="J354" s="2" t="s">
        <v>3128</v>
      </c>
      <c r="K354" s="2">
        <v>10745243</v>
      </c>
      <c r="L354" s="2"/>
      <c r="M354" s="2"/>
      <c r="N354" s="2"/>
      <c r="O354" s="2"/>
      <c r="P354" s="2"/>
      <c r="Q354" s="2"/>
      <c r="R354" s="2"/>
      <c r="S354" s="2" t="s">
        <v>3129</v>
      </c>
      <c r="T354" s="2" t="s">
        <v>3130</v>
      </c>
      <c r="U354" s="2" t="s">
        <v>56</v>
      </c>
      <c r="V354" s="2" t="s">
        <v>57</v>
      </c>
      <c r="W354" s="2" t="s">
        <v>58</v>
      </c>
      <c r="X354" s="2" t="s">
        <v>59</v>
      </c>
      <c r="Y354" s="2">
        <v>57.5</v>
      </c>
      <c r="Z354" s="2">
        <v>94.4</v>
      </c>
      <c r="AA354" s="2" t="s">
        <v>60</v>
      </c>
      <c r="AB354" s="2" t="s">
        <v>3131</v>
      </c>
      <c r="AC354" s="2">
        <v>2.87097815857501</v>
      </c>
      <c r="AD354" s="2"/>
      <c r="AE354" s="2">
        <v>1.33597150223812</v>
      </c>
      <c r="AF354" s="2">
        <v>915547.48914398602</v>
      </c>
      <c r="AG354" s="2">
        <v>1104723.4011029301</v>
      </c>
      <c r="AH354" s="4">
        <v>0.82875721491001797</v>
      </c>
      <c r="AI354" s="4">
        <v>-0.27097856994015201</v>
      </c>
      <c r="AJ354" s="4" t="s">
        <v>62</v>
      </c>
      <c r="AK354" s="2">
        <v>0.46489109879357299</v>
      </c>
      <c r="AL354" s="2">
        <v>0.71329029553543499</v>
      </c>
      <c r="AM354" s="2">
        <v>1066997.9864381</v>
      </c>
      <c r="AN354" s="2">
        <v>1090485.48946688</v>
      </c>
      <c r="AO354" s="2">
        <v>1183270.70034243</v>
      </c>
      <c r="AP354" s="2">
        <v>760231.18949605105</v>
      </c>
      <c r="AQ354" s="2">
        <v>775567.32095691701</v>
      </c>
      <c r="AR354" s="2">
        <v>616732.24816354096</v>
      </c>
      <c r="AS354" s="2">
        <v>590878.25833924999</v>
      </c>
      <c r="AT354" s="2">
        <v>390106.994941674</v>
      </c>
      <c r="AU354" s="2">
        <v>1796696.88491757</v>
      </c>
      <c r="AV354" s="2">
        <v>1448535.1678561801</v>
      </c>
      <c r="AW354" s="2">
        <v>1525914.69626449</v>
      </c>
      <c r="AX354" s="2">
        <v>876208.40429841401</v>
      </c>
    </row>
    <row r="355" spans="1:50" x14ac:dyDescent="0.25">
      <c r="A355" s="2" t="s">
        <v>3132</v>
      </c>
      <c r="B355" s="2">
        <v>427.21030192002303</v>
      </c>
      <c r="C355" s="2">
        <v>9.4598666666666702</v>
      </c>
      <c r="D355" s="2" t="s">
        <v>51</v>
      </c>
      <c r="E355" s="2" t="s">
        <v>3133</v>
      </c>
      <c r="F355" s="2">
        <v>54989</v>
      </c>
      <c r="G355" s="3" t="str">
        <f>HYPERLINK("https://cloud.oebiotech.com/#/lm/network/54989", "https://cloud.oebiotech.com/#/lm/network/54989")</f>
        <v>https://cloud.oebiotech.com/#/lm/network/54989</v>
      </c>
      <c r="H355" s="2" t="s">
        <v>3134</v>
      </c>
      <c r="I355" s="2"/>
      <c r="J355" s="2"/>
      <c r="K355" s="2">
        <v>3084605</v>
      </c>
      <c r="L355" s="2"/>
      <c r="M355" s="2"/>
      <c r="N355" s="2"/>
      <c r="O355" s="2">
        <v>479532</v>
      </c>
      <c r="P355" s="2"/>
      <c r="Q355" s="2"/>
      <c r="R355" s="2" t="s">
        <v>3135</v>
      </c>
      <c r="S355" s="2" t="s">
        <v>3136</v>
      </c>
      <c r="T355" s="2" t="s">
        <v>3137</v>
      </c>
      <c r="U355" s="2" t="s">
        <v>540</v>
      </c>
      <c r="V355" s="2" t="s">
        <v>784</v>
      </c>
      <c r="W355" s="2" t="s">
        <v>3138</v>
      </c>
      <c r="X355" s="2" t="s">
        <v>83</v>
      </c>
      <c r="Y355" s="2">
        <v>40.299999999999997</v>
      </c>
      <c r="Z355" s="2">
        <v>0</v>
      </c>
      <c r="AA355" s="2" t="s">
        <v>163</v>
      </c>
      <c r="AB355" s="2" t="s">
        <v>3139</v>
      </c>
      <c r="AC355" s="2">
        <v>-5.3953392583418598</v>
      </c>
      <c r="AD355" s="2"/>
      <c r="AE355" s="2">
        <v>1.33207090165116</v>
      </c>
      <c r="AF355" s="2">
        <v>179535.728308449</v>
      </c>
      <c r="AG355" s="2">
        <v>129079.497854994</v>
      </c>
      <c r="AH355" s="5">
        <v>1.3908926769310599</v>
      </c>
      <c r="AI355" s="5">
        <v>0.47601110396872198</v>
      </c>
      <c r="AJ355" s="5" t="s">
        <v>139</v>
      </c>
      <c r="AK355" s="2">
        <v>0.212013778821978</v>
      </c>
      <c r="AL355" s="2">
        <v>0.53706865589344099</v>
      </c>
      <c r="AM355" s="2">
        <v>358108.77733599901</v>
      </c>
      <c r="AN355" s="2">
        <v>119752.17184790901</v>
      </c>
      <c r="AO355" s="2">
        <v>134217.25652343599</v>
      </c>
      <c r="AP355" s="2">
        <v>142780.071620234</v>
      </c>
      <c r="AQ355" s="2">
        <v>139700.97757340199</v>
      </c>
      <c r="AR355" s="2">
        <v>182655.11494971099</v>
      </c>
      <c r="AS355" s="2">
        <v>158886.34177005201</v>
      </c>
      <c r="AT355" s="2">
        <v>126450.840588566</v>
      </c>
      <c r="AU355" s="2">
        <v>138186.10606967201</v>
      </c>
      <c r="AV355" s="2">
        <v>103432.211608061</v>
      </c>
      <c r="AW355" s="2">
        <v>143857.397882266</v>
      </c>
      <c r="AX355" s="2">
        <v>103664.089211345</v>
      </c>
    </row>
    <row r="356" spans="1:50" x14ac:dyDescent="0.25">
      <c r="A356" s="2" t="s">
        <v>3140</v>
      </c>
      <c r="B356" s="2">
        <v>128.03418220571999</v>
      </c>
      <c r="C356" s="2">
        <v>1.02656666666667</v>
      </c>
      <c r="D356" s="2" t="s">
        <v>51</v>
      </c>
      <c r="E356" s="2" t="s">
        <v>3141</v>
      </c>
      <c r="F356" s="2">
        <v>47543</v>
      </c>
      <c r="G356" s="3" t="str">
        <f>HYPERLINK("https://cloud.oebiotech.com/#/lm/network/47543", "https://cloud.oebiotech.com/#/lm/network/47543")</f>
        <v>https://cloud.oebiotech.com/#/lm/network/47543</v>
      </c>
      <c r="H356" s="2" t="s">
        <v>3142</v>
      </c>
      <c r="I356" s="2">
        <v>284</v>
      </c>
      <c r="J356" s="2"/>
      <c r="K356" s="2">
        <v>1059</v>
      </c>
      <c r="L356" s="2" t="s">
        <v>3143</v>
      </c>
      <c r="M356" s="2" t="s">
        <v>1194</v>
      </c>
      <c r="N356" s="2" t="s">
        <v>1195</v>
      </c>
      <c r="O356" s="2">
        <v>27391</v>
      </c>
      <c r="P356" s="2"/>
      <c r="Q356" s="2"/>
      <c r="R356" s="2" t="s">
        <v>3144</v>
      </c>
      <c r="S356" s="2" t="s">
        <v>3145</v>
      </c>
      <c r="T356" s="2" t="s">
        <v>3146</v>
      </c>
      <c r="U356" s="2" t="s">
        <v>103</v>
      </c>
      <c r="V356" s="2" t="s">
        <v>104</v>
      </c>
      <c r="W356" s="2" t="s">
        <v>105</v>
      </c>
      <c r="X356" s="2" t="s">
        <v>69</v>
      </c>
      <c r="Y356" s="2">
        <v>46.8</v>
      </c>
      <c r="Z356" s="2">
        <v>47.5</v>
      </c>
      <c r="AA356" s="2" t="s">
        <v>667</v>
      </c>
      <c r="AB356" s="2" t="s">
        <v>3147</v>
      </c>
      <c r="AC356" s="2">
        <v>-8.7912852861979793</v>
      </c>
      <c r="AD356" s="2"/>
      <c r="AE356" s="2">
        <v>1.3304424431950701</v>
      </c>
      <c r="AF356" s="2">
        <v>587558.39864642697</v>
      </c>
      <c r="AG356" s="2">
        <v>518704.32805437403</v>
      </c>
      <c r="AH356" s="5">
        <v>1.13274242543979</v>
      </c>
      <c r="AI356" s="5">
        <v>0.179819843694388</v>
      </c>
      <c r="AJ356" s="5" t="s">
        <v>139</v>
      </c>
      <c r="AK356" s="2">
        <v>0.67271440034841301</v>
      </c>
      <c r="AL356" s="2">
        <v>0.84188562286435997</v>
      </c>
      <c r="AM356" s="2">
        <v>1229847.38144288</v>
      </c>
      <c r="AN356" s="2">
        <v>181257.32670513401</v>
      </c>
      <c r="AO356" s="2">
        <v>578654.36223157798</v>
      </c>
      <c r="AP356" s="2">
        <v>628690.35366738401</v>
      </c>
      <c r="AQ356" s="2">
        <v>481965.89266929397</v>
      </c>
      <c r="AR356" s="2">
        <v>424935.07516229001</v>
      </c>
      <c r="AS356" s="2">
        <v>372642.58937502297</v>
      </c>
      <c r="AT356" s="2">
        <v>505765.34618773201</v>
      </c>
      <c r="AU356" s="2">
        <v>821629.385496167</v>
      </c>
      <c r="AV356" s="2">
        <v>539559.38680722099</v>
      </c>
      <c r="AW356" s="2">
        <v>495238.67277620698</v>
      </c>
      <c r="AX356" s="2">
        <v>377390.587683897</v>
      </c>
    </row>
    <row r="357" spans="1:50" x14ac:dyDescent="0.25">
      <c r="A357" s="2" t="s">
        <v>3148</v>
      </c>
      <c r="B357" s="2">
        <v>819.59359555281799</v>
      </c>
      <c r="C357" s="2">
        <v>8.6046999999999993</v>
      </c>
      <c r="D357" s="2" t="s">
        <v>51</v>
      </c>
      <c r="E357" s="2" t="s">
        <v>3149</v>
      </c>
      <c r="F357" s="2">
        <v>220331</v>
      </c>
      <c r="G357" s="3" t="str">
        <f>HYPERLINK("https://cloud.oebiotech.com/#/lm/network/220331", "https://cloud.oebiotech.com/#/lm/network/220331")</f>
        <v>https://cloud.oebiotech.com/#/lm/network/220331</v>
      </c>
      <c r="H357" s="2" t="s">
        <v>3150</v>
      </c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 t="s">
        <v>3151</v>
      </c>
      <c r="T357" s="2" t="s">
        <v>3152</v>
      </c>
      <c r="U357" s="2" t="s">
        <v>56</v>
      </c>
      <c r="V357" s="2" t="s">
        <v>57</v>
      </c>
      <c r="W357" s="2" t="s">
        <v>702</v>
      </c>
      <c r="X357" s="2" t="s">
        <v>147</v>
      </c>
      <c r="Y357" s="2">
        <v>38.4</v>
      </c>
      <c r="Z357" s="2">
        <v>3.8</v>
      </c>
      <c r="AA357" s="2" t="s">
        <v>379</v>
      </c>
      <c r="AB357" s="2" t="s">
        <v>3153</v>
      </c>
      <c r="AC357" s="2">
        <v>3.17868925363106</v>
      </c>
      <c r="AD357" s="2"/>
      <c r="AE357" s="2">
        <v>1.32316020671049</v>
      </c>
      <c r="AF357" s="2">
        <v>164931.770245947</v>
      </c>
      <c r="AG357" s="2">
        <v>33816.385711367002</v>
      </c>
      <c r="AH357" s="5">
        <v>4.8772737469252201</v>
      </c>
      <c r="AI357" s="5">
        <v>2.2860749488445702</v>
      </c>
      <c r="AJ357" s="5" t="s">
        <v>139</v>
      </c>
      <c r="AK357" s="2">
        <v>0.30019333542127502</v>
      </c>
      <c r="AL357" s="2">
        <v>0.61037838979491599</v>
      </c>
      <c r="AM357" s="2">
        <v>10363.9122025909</v>
      </c>
      <c r="AN357" s="2">
        <v>18243.163437321698</v>
      </c>
      <c r="AO357" s="2">
        <v>8403.6927906178698</v>
      </c>
      <c r="AP357" s="2">
        <v>17232.837033708001</v>
      </c>
      <c r="AQ357" s="2">
        <v>745333.75849840802</v>
      </c>
      <c r="AR357" s="2">
        <v>190013.25751303701</v>
      </c>
      <c r="AS357" s="2">
        <v>16420.1222832885</v>
      </c>
      <c r="AT357" s="2">
        <v>78005.511952439207</v>
      </c>
      <c r="AU357" s="2">
        <v>32032.741469047502</v>
      </c>
      <c r="AV357" s="2">
        <v>39867.367161744602</v>
      </c>
      <c r="AW357" s="2">
        <v>14568.646445010199</v>
      </c>
      <c r="AX357" s="2">
        <v>22003.924956671701</v>
      </c>
    </row>
    <row r="358" spans="1:50" x14ac:dyDescent="0.25">
      <c r="A358" s="2" t="s">
        <v>1042</v>
      </c>
      <c r="B358" s="2">
        <v>383.20773049133601</v>
      </c>
      <c r="C358" s="2">
        <v>6.5865666666666698</v>
      </c>
      <c r="D358" s="2" t="s">
        <v>51</v>
      </c>
      <c r="E358" s="2" t="s">
        <v>1043</v>
      </c>
      <c r="F358" s="2">
        <v>44964</v>
      </c>
      <c r="G358" s="3" t="str">
        <f>HYPERLINK("https://cloud.oebiotech.com/#/lm/network/44964", "https://cloud.oebiotech.com/#/lm/network/44964")</f>
        <v>https://cloud.oebiotech.com/#/lm/network/44964</v>
      </c>
      <c r="H358" s="2"/>
      <c r="I358" s="2">
        <v>84294</v>
      </c>
      <c r="J358" s="2" t="s">
        <v>1044</v>
      </c>
      <c r="K358" s="2">
        <v>146134</v>
      </c>
      <c r="L358" s="2"/>
      <c r="M358" s="2"/>
      <c r="N358" s="2"/>
      <c r="O358" s="2"/>
      <c r="P358" s="2"/>
      <c r="Q358" s="2"/>
      <c r="R358" s="2"/>
      <c r="S358" s="2" t="s">
        <v>1045</v>
      </c>
      <c r="T358" s="2" t="s">
        <v>1046</v>
      </c>
      <c r="U358" s="2" t="s">
        <v>56</v>
      </c>
      <c r="V358" s="2" t="s">
        <v>283</v>
      </c>
      <c r="W358" s="2" t="s">
        <v>284</v>
      </c>
      <c r="X358" s="2" t="s">
        <v>59</v>
      </c>
      <c r="Y358" s="2">
        <v>52.6</v>
      </c>
      <c r="Z358" s="2">
        <v>68.099999999999994</v>
      </c>
      <c r="AA358" s="2" t="s">
        <v>218</v>
      </c>
      <c r="AB358" s="2" t="s">
        <v>1047</v>
      </c>
      <c r="AC358" s="2">
        <v>0.60188002265097296</v>
      </c>
      <c r="AD358" s="2"/>
      <c r="AE358" s="2">
        <v>1.3226012968916201</v>
      </c>
      <c r="AF358" s="2">
        <v>91583.325193296798</v>
      </c>
      <c r="AG358" s="2">
        <v>48492.205669747702</v>
      </c>
      <c r="AH358" s="5">
        <v>1.8886194993277401</v>
      </c>
      <c r="AI358" s="5">
        <v>0.91733207084888801</v>
      </c>
      <c r="AJ358" s="5" t="s">
        <v>139</v>
      </c>
      <c r="AK358" s="2">
        <v>8.0032162036187404E-3</v>
      </c>
      <c r="AL358" s="2">
        <v>0.147905063558916</v>
      </c>
      <c r="AM358" s="2">
        <v>70645.725434571999</v>
      </c>
      <c r="AN358" s="2">
        <v>121079.456648671</v>
      </c>
      <c r="AO358" s="2">
        <v>114883.162671061</v>
      </c>
      <c r="AP358" s="2">
        <v>87082.083357926502</v>
      </c>
      <c r="AQ358" s="2">
        <v>65428.086719041501</v>
      </c>
      <c r="AR358" s="2">
        <v>90381.436328508804</v>
      </c>
      <c r="AS358" s="2">
        <v>78497.719061744705</v>
      </c>
      <c r="AT358" s="2">
        <v>32332.562477767799</v>
      </c>
      <c r="AU358" s="2">
        <v>65495.603600788898</v>
      </c>
      <c r="AV358" s="2">
        <v>16331.734715538299</v>
      </c>
      <c r="AW358" s="2">
        <v>43227.7996753103</v>
      </c>
      <c r="AX358" s="2">
        <v>55067.814487336</v>
      </c>
    </row>
    <row r="359" spans="1:50" x14ac:dyDescent="0.25">
      <c r="A359" s="2" t="s">
        <v>3154</v>
      </c>
      <c r="B359" s="2">
        <v>475.26799534512099</v>
      </c>
      <c r="C359" s="2">
        <v>6.8612500000000001</v>
      </c>
      <c r="D359" s="2" t="s">
        <v>51</v>
      </c>
      <c r="E359" s="2" t="s">
        <v>3155</v>
      </c>
      <c r="F359" s="2">
        <v>35019</v>
      </c>
      <c r="G359" s="3" t="str">
        <f>HYPERLINK("https://cloud.oebiotech.com/#/lm/network/35019", "https://cloud.oebiotech.com/#/lm/network/35019")</f>
        <v>https://cloud.oebiotech.com/#/lm/network/35019</v>
      </c>
      <c r="H359" s="2"/>
      <c r="I359" s="2"/>
      <c r="J359" s="2" t="s">
        <v>3156</v>
      </c>
      <c r="K359" s="2"/>
      <c r="L359" s="2"/>
      <c r="M359" s="2"/>
      <c r="N359" s="2"/>
      <c r="O359" s="2"/>
      <c r="P359" s="2"/>
      <c r="Q359" s="2"/>
      <c r="R359" s="2"/>
      <c r="S359" s="2" t="s">
        <v>3157</v>
      </c>
      <c r="T359" s="2" t="s">
        <v>3158</v>
      </c>
      <c r="U359" s="2" t="s">
        <v>331</v>
      </c>
      <c r="V359" s="2" t="s">
        <v>332</v>
      </c>
      <c r="W359" s="2" t="s">
        <v>1207</v>
      </c>
      <c r="X359" s="2" t="s">
        <v>147</v>
      </c>
      <c r="Y359" s="2">
        <v>40.799999999999997</v>
      </c>
      <c r="Z359" s="2">
        <v>12.8</v>
      </c>
      <c r="AA359" s="2" t="s">
        <v>218</v>
      </c>
      <c r="AB359" s="2" t="s">
        <v>3159</v>
      </c>
      <c r="AC359" s="2">
        <v>-4.9546373317161496</v>
      </c>
      <c r="AD359" s="2"/>
      <c r="AE359" s="2">
        <v>1.31677027094968</v>
      </c>
      <c r="AF359" s="2">
        <v>123300.461088718</v>
      </c>
      <c r="AG359" s="2">
        <v>3539.4153774463798</v>
      </c>
      <c r="AH359" s="5">
        <v>34.8363918726251</v>
      </c>
      <c r="AI359" s="5">
        <v>5.1225233015728904</v>
      </c>
      <c r="AJ359" s="5" t="s">
        <v>139</v>
      </c>
      <c r="AK359" s="2">
        <v>0.25527899655771502</v>
      </c>
      <c r="AL359" s="2">
        <v>0.57802875765185102</v>
      </c>
      <c r="AM359" s="2">
        <v>8.559877937157E-6</v>
      </c>
      <c r="AN359" s="2">
        <v>8.559877937157E-6</v>
      </c>
      <c r="AO359" s="2">
        <v>8.559877937157E-6</v>
      </c>
      <c r="AP359" s="2">
        <v>8.559877937157E-6</v>
      </c>
      <c r="AQ359" s="2">
        <v>607419.21792245796</v>
      </c>
      <c r="AR359" s="2">
        <v>132383.548575608</v>
      </c>
      <c r="AS359" s="2">
        <v>8.559877937157E-6</v>
      </c>
      <c r="AT359" s="2">
        <v>607.16594885839902</v>
      </c>
      <c r="AU359" s="2">
        <v>5723.63017134446</v>
      </c>
      <c r="AV359" s="2">
        <v>14905.6961187958</v>
      </c>
      <c r="AW359" s="2">
        <v>8.559877937157E-6</v>
      </c>
      <c r="AX359" s="2">
        <v>8.559877937157E-6</v>
      </c>
    </row>
    <row r="360" spans="1:50" x14ac:dyDescent="0.25">
      <c r="A360" s="2" t="s">
        <v>1048</v>
      </c>
      <c r="B360" s="2">
        <v>615.26786686148796</v>
      </c>
      <c r="C360" s="2">
        <v>8.5905500000000004</v>
      </c>
      <c r="D360" s="2" t="s">
        <v>51</v>
      </c>
      <c r="E360" s="2" t="s">
        <v>1049</v>
      </c>
      <c r="F360" s="2">
        <v>59069</v>
      </c>
      <c r="G360" s="3" t="str">
        <f>HYPERLINK("https://cloud.oebiotech.com/#/lm/network/59069", "https://cloud.oebiotech.com/#/lm/network/59069")</f>
        <v>https://cloud.oebiotech.com/#/lm/network/59069</v>
      </c>
      <c r="H360" s="2" t="s">
        <v>1050</v>
      </c>
      <c r="I360" s="2">
        <v>90500</v>
      </c>
      <c r="J360" s="2"/>
      <c r="K360" s="2">
        <v>131751678</v>
      </c>
      <c r="L360" s="2"/>
      <c r="M360" s="2"/>
      <c r="N360" s="2"/>
      <c r="O360" s="2"/>
      <c r="P360" s="2"/>
      <c r="Q360" s="2"/>
      <c r="R360" s="2" t="s">
        <v>1051</v>
      </c>
      <c r="S360" s="2" t="s">
        <v>1052</v>
      </c>
      <c r="T360" s="2" t="s">
        <v>1053</v>
      </c>
      <c r="U360" s="2" t="s">
        <v>103</v>
      </c>
      <c r="V360" s="2" t="s">
        <v>104</v>
      </c>
      <c r="W360" s="2" t="s">
        <v>105</v>
      </c>
      <c r="X360" s="2" t="s">
        <v>147</v>
      </c>
      <c r="Y360" s="2">
        <v>36.799999999999997</v>
      </c>
      <c r="Z360" s="2">
        <v>4.6500000000000004</v>
      </c>
      <c r="AA360" s="2" t="s">
        <v>478</v>
      </c>
      <c r="AB360" s="2" t="s">
        <v>1054</v>
      </c>
      <c r="AC360" s="2">
        <v>1.13552638006884</v>
      </c>
      <c r="AD360" s="2"/>
      <c r="AE360" s="2">
        <v>1.3166473011676101</v>
      </c>
      <c r="AF360" s="2">
        <v>120546.132798851</v>
      </c>
      <c r="AG360" s="2">
        <v>157366.88057978201</v>
      </c>
      <c r="AH360" s="4">
        <v>0.76601971364448596</v>
      </c>
      <c r="AI360" s="4">
        <v>-0.38454657426301703</v>
      </c>
      <c r="AJ360" s="4" t="s">
        <v>62</v>
      </c>
      <c r="AK360" s="2">
        <v>1.2040994314161E-3</v>
      </c>
      <c r="AL360" s="2">
        <v>9.36276944338158E-2</v>
      </c>
      <c r="AM360" s="2">
        <v>116783.571312828</v>
      </c>
      <c r="AN360" s="2">
        <v>112391.068358138</v>
      </c>
      <c r="AO360" s="2">
        <v>147050.423166769</v>
      </c>
      <c r="AP360" s="2">
        <v>125771.608213229</v>
      </c>
      <c r="AQ360" s="2">
        <v>113631.24522293</v>
      </c>
      <c r="AR360" s="2">
        <v>107648.88051920899</v>
      </c>
      <c r="AS360" s="2">
        <v>175775.670249841</v>
      </c>
      <c r="AT360" s="2">
        <v>166344.04024263701</v>
      </c>
      <c r="AU360" s="2">
        <v>135045.96070815201</v>
      </c>
      <c r="AV360" s="2">
        <v>156951.292557026</v>
      </c>
      <c r="AW360" s="2">
        <v>161583.916312196</v>
      </c>
      <c r="AX360" s="2">
        <v>148500.40340883899</v>
      </c>
    </row>
    <row r="361" spans="1:50" x14ac:dyDescent="0.25">
      <c r="A361" s="2" t="s">
        <v>1055</v>
      </c>
      <c r="B361" s="2">
        <v>383.20774681546698</v>
      </c>
      <c r="C361" s="2">
        <v>6.3512500000000003</v>
      </c>
      <c r="D361" s="2" t="s">
        <v>51</v>
      </c>
      <c r="E361" s="2" t="s">
        <v>1056</v>
      </c>
      <c r="F361" s="2">
        <v>3892</v>
      </c>
      <c r="G361" s="3" t="str">
        <f>HYPERLINK("https://cloud.oebiotech.com/#/lm/network/3892", "https://cloud.oebiotech.com/#/lm/network/3892")</f>
        <v>https://cloud.oebiotech.com/#/lm/network/3892</v>
      </c>
      <c r="H361" s="2" t="s">
        <v>1057</v>
      </c>
      <c r="I361" s="2"/>
      <c r="J361" s="2" t="s">
        <v>1058</v>
      </c>
      <c r="K361" s="2">
        <v>53481513</v>
      </c>
      <c r="L361" s="2"/>
      <c r="M361" s="2"/>
      <c r="N361" s="2"/>
      <c r="O361" s="2"/>
      <c r="P361" s="2"/>
      <c r="Q361" s="2"/>
      <c r="R361" s="2"/>
      <c r="S361" s="2" t="s">
        <v>1059</v>
      </c>
      <c r="T361" s="2" t="s">
        <v>1060</v>
      </c>
      <c r="U361" s="2" t="s">
        <v>56</v>
      </c>
      <c r="V361" s="2" t="s">
        <v>145</v>
      </c>
      <c r="W361" s="2" t="s">
        <v>187</v>
      </c>
      <c r="X361" s="2" t="s">
        <v>83</v>
      </c>
      <c r="Y361" s="2">
        <v>42.2</v>
      </c>
      <c r="Z361" s="2">
        <v>0</v>
      </c>
      <c r="AA361" s="2" t="s">
        <v>163</v>
      </c>
      <c r="AB361" s="2" t="s">
        <v>1061</v>
      </c>
      <c r="AC361" s="2">
        <v>0.57229525029386397</v>
      </c>
      <c r="AD361" s="2"/>
      <c r="AE361" s="2">
        <v>1.3164882362955499</v>
      </c>
      <c r="AF361" s="2">
        <v>85284.296225914295</v>
      </c>
      <c r="AG361" s="2">
        <v>41218.037637377303</v>
      </c>
      <c r="AH361" s="5">
        <v>2.0691013234598299</v>
      </c>
      <c r="AI361" s="5">
        <v>1.0490042954027501</v>
      </c>
      <c r="AJ361" s="5" t="s">
        <v>139</v>
      </c>
      <c r="AK361" s="2">
        <v>3.54714866130495E-3</v>
      </c>
      <c r="AL361" s="2">
        <v>0.1120315017845</v>
      </c>
      <c r="AM361" s="2">
        <v>58084.085622363098</v>
      </c>
      <c r="AN361" s="2">
        <v>113388.715293569</v>
      </c>
      <c r="AO361" s="2">
        <v>90188.193598239901</v>
      </c>
      <c r="AP361" s="2">
        <v>102117.223769388</v>
      </c>
      <c r="AQ361" s="2">
        <v>56710.248132962603</v>
      </c>
      <c r="AR361" s="2">
        <v>91217.310938963201</v>
      </c>
      <c r="AS361" s="2">
        <v>64867.484596545102</v>
      </c>
      <c r="AT361" s="2">
        <v>37432.838140184802</v>
      </c>
      <c r="AU361" s="2">
        <v>45394.732220473299</v>
      </c>
      <c r="AV361" s="2">
        <v>14481.1842354087</v>
      </c>
      <c r="AW361" s="2">
        <v>37151.0773463019</v>
      </c>
      <c r="AX361" s="2">
        <v>47980.9092853498</v>
      </c>
    </row>
    <row r="362" spans="1:50" x14ac:dyDescent="0.25">
      <c r="A362" s="2" t="s">
        <v>3160</v>
      </c>
      <c r="B362" s="2">
        <v>385.236456087546</v>
      </c>
      <c r="C362" s="2">
        <v>9.6451499999999992</v>
      </c>
      <c r="D362" s="2" t="s">
        <v>51</v>
      </c>
      <c r="E362" s="2" t="s">
        <v>3161</v>
      </c>
      <c r="F362" s="2">
        <v>274624</v>
      </c>
      <c r="G362" s="3" t="str">
        <f>HYPERLINK("https://cloud.oebiotech.com/#/lm/network/274624", "https://cloud.oebiotech.com/#/lm/network/274624")</f>
        <v>https://cloud.oebiotech.com/#/lm/network/274624</v>
      </c>
      <c r="H362" s="2"/>
      <c r="I362" s="2">
        <v>64758</v>
      </c>
      <c r="J362" s="2"/>
      <c r="K362" s="2">
        <v>91886114</v>
      </c>
      <c r="L362" s="2"/>
      <c r="M362" s="2"/>
      <c r="N362" s="2"/>
      <c r="O362" s="2"/>
      <c r="P362" s="2"/>
      <c r="Q362" s="2"/>
      <c r="R362" s="2" t="s">
        <v>3162</v>
      </c>
      <c r="S362" s="2" t="s">
        <v>3163</v>
      </c>
      <c r="T362" s="2" t="s">
        <v>3164</v>
      </c>
      <c r="U362" s="2" t="s">
        <v>56</v>
      </c>
      <c r="V362" s="2" t="s">
        <v>145</v>
      </c>
      <c r="W362" s="2" t="s">
        <v>231</v>
      </c>
      <c r="X362" s="2" t="s">
        <v>83</v>
      </c>
      <c r="Y362" s="2">
        <v>54.6</v>
      </c>
      <c r="Z362" s="2">
        <v>0</v>
      </c>
      <c r="AA362" s="2" t="s">
        <v>95</v>
      </c>
      <c r="AB362" s="2" t="s">
        <v>2410</v>
      </c>
      <c r="AC362" s="2">
        <v>4.2121656259692397</v>
      </c>
      <c r="AD362" s="2"/>
      <c r="AE362" s="2">
        <v>1.31465165299485</v>
      </c>
      <c r="AF362" s="2">
        <v>88166.016618616995</v>
      </c>
      <c r="AG362" s="2">
        <v>49339.923157259203</v>
      </c>
      <c r="AH362" s="5">
        <v>1.7869102944811801</v>
      </c>
      <c r="AI362" s="5">
        <v>0.837467210789273</v>
      </c>
      <c r="AJ362" s="5" t="s">
        <v>139</v>
      </c>
      <c r="AK362" s="2">
        <v>8.5589230610683797E-2</v>
      </c>
      <c r="AL362" s="2">
        <v>0.378105092551277</v>
      </c>
      <c r="AM362" s="2">
        <v>162804.91206966501</v>
      </c>
      <c r="AN362" s="2">
        <v>116983.326670364</v>
      </c>
      <c r="AO362" s="2">
        <v>64701.9576763511</v>
      </c>
      <c r="AP362" s="2">
        <v>53843.36095663</v>
      </c>
      <c r="AQ362" s="2">
        <v>59848.047676615097</v>
      </c>
      <c r="AR362" s="2">
        <v>70814.494662076497</v>
      </c>
      <c r="AS362" s="2">
        <v>70685.966783506694</v>
      </c>
      <c r="AT362" s="2">
        <v>25878.8951120848</v>
      </c>
      <c r="AU362" s="2">
        <v>88296.271206867706</v>
      </c>
      <c r="AV362" s="2">
        <v>25021.3493909713</v>
      </c>
      <c r="AW362" s="2">
        <v>41407.559325307899</v>
      </c>
      <c r="AX362" s="2">
        <v>44749.497124816698</v>
      </c>
    </row>
    <row r="363" spans="1:50" x14ac:dyDescent="0.25">
      <c r="A363" s="2" t="s">
        <v>3165</v>
      </c>
      <c r="B363" s="2">
        <v>704.45133706422803</v>
      </c>
      <c r="C363" s="2">
        <v>13.24255</v>
      </c>
      <c r="D363" s="2" t="s">
        <v>51</v>
      </c>
      <c r="E363" s="2" t="s">
        <v>3166</v>
      </c>
      <c r="F363" s="2">
        <v>21540</v>
      </c>
      <c r="G363" s="3" t="str">
        <f>HYPERLINK("https://cloud.oebiotech.com/#/lm/network/21540", "https://cloud.oebiotech.com/#/lm/network/21540")</f>
        <v>https://cloud.oebiotech.com/#/lm/network/21540</v>
      </c>
      <c r="H363" s="2"/>
      <c r="I363" s="2">
        <v>77943</v>
      </c>
      <c r="J363" s="2" t="s">
        <v>3167</v>
      </c>
      <c r="K363" s="2">
        <v>52925389</v>
      </c>
      <c r="L363" s="2"/>
      <c r="M363" s="2"/>
      <c r="N363" s="2"/>
      <c r="O363" s="2"/>
      <c r="P363" s="2"/>
      <c r="Q363" s="2"/>
      <c r="R363" s="2"/>
      <c r="S363" s="2" t="s">
        <v>3168</v>
      </c>
      <c r="T363" s="2" t="s">
        <v>3169</v>
      </c>
      <c r="U363" s="2" t="s">
        <v>56</v>
      </c>
      <c r="V363" s="2" t="s">
        <v>57</v>
      </c>
      <c r="W363" s="2" t="s">
        <v>82</v>
      </c>
      <c r="X363" s="2" t="s">
        <v>147</v>
      </c>
      <c r="Y363" s="2">
        <v>36.5</v>
      </c>
      <c r="Z363" s="2">
        <v>0</v>
      </c>
      <c r="AA363" s="2" t="s">
        <v>259</v>
      </c>
      <c r="AB363" s="2" t="s">
        <v>3170</v>
      </c>
      <c r="AC363" s="2">
        <v>2.3124638621587001</v>
      </c>
      <c r="AD363" s="2"/>
      <c r="AE363" s="2">
        <v>1.31230418668309</v>
      </c>
      <c r="AF363" s="2">
        <v>45878.237313072299</v>
      </c>
      <c r="AG363" s="2">
        <v>7671.2919894660099</v>
      </c>
      <c r="AH363" s="5">
        <v>5.9805098510226102</v>
      </c>
      <c r="AI363" s="5">
        <v>2.5802684824479698</v>
      </c>
      <c r="AJ363" s="5" t="s">
        <v>139</v>
      </c>
      <c r="AK363" s="2">
        <v>7.2467928311869795E-2</v>
      </c>
      <c r="AL363" s="2">
        <v>0.353750068837479</v>
      </c>
      <c r="AM363" s="2">
        <v>134871.05352098899</v>
      </c>
      <c r="AN363" s="2">
        <v>55855.107745657799</v>
      </c>
      <c r="AO363" s="2">
        <v>20940.9019584245</v>
      </c>
      <c r="AP363" s="2">
        <v>26048.5302921859</v>
      </c>
      <c r="AQ363" s="2">
        <v>10513.645172554499</v>
      </c>
      <c r="AR363" s="2">
        <v>27040.185188622101</v>
      </c>
      <c r="AS363" s="2">
        <v>5494.8436919078304</v>
      </c>
      <c r="AT363" s="2">
        <v>5547.1653277009</v>
      </c>
      <c r="AU363" s="2">
        <v>8051.5786444534997</v>
      </c>
      <c r="AV363" s="2">
        <v>3422.32196806192</v>
      </c>
      <c r="AW363" s="2">
        <v>2667.6318411880302</v>
      </c>
      <c r="AX363" s="2">
        <v>20844.210463483902</v>
      </c>
    </row>
    <row r="364" spans="1:50" x14ac:dyDescent="0.25">
      <c r="A364" s="2" t="s">
        <v>1062</v>
      </c>
      <c r="B364" s="2">
        <v>397.19874062279303</v>
      </c>
      <c r="C364" s="2">
        <v>8.2118333333333293</v>
      </c>
      <c r="D364" s="2" t="s">
        <v>51</v>
      </c>
      <c r="E364" s="2" t="s">
        <v>1063</v>
      </c>
      <c r="F364" s="2">
        <v>10345</v>
      </c>
      <c r="G364" s="3" t="str">
        <f>HYPERLINK("https://cloud.oebiotech.com/#/lm/network/10345", "https://cloud.oebiotech.com/#/lm/network/10345")</f>
        <v>https://cloud.oebiotech.com/#/lm/network/10345</v>
      </c>
      <c r="H364" s="2"/>
      <c r="I364" s="2"/>
      <c r="J364" s="2" t="s">
        <v>1064</v>
      </c>
      <c r="K364" s="2">
        <v>86289781</v>
      </c>
      <c r="L364" s="2"/>
      <c r="M364" s="2"/>
      <c r="N364" s="2"/>
      <c r="O364" s="2">
        <v>79143</v>
      </c>
      <c r="P364" s="2"/>
      <c r="Q364" s="2"/>
      <c r="R364" s="2"/>
      <c r="S364" s="2" t="s">
        <v>1065</v>
      </c>
      <c r="T364" s="2" t="s">
        <v>1066</v>
      </c>
      <c r="U364" s="2" t="s">
        <v>56</v>
      </c>
      <c r="V364" s="2" t="s">
        <v>145</v>
      </c>
      <c r="W364" s="2" t="s">
        <v>231</v>
      </c>
      <c r="X364" s="2" t="s">
        <v>59</v>
      </c>
      <c r="Y364" s="2">
        <v>53.7</v>
      </c>
      <c r="Z364" s="2">
        <v>72</v>
      </c>
      <c r="AA364" s="2" t="s">
        <v>395</v>
      </c>
      <c r="AB364" s="2" t="s">
        <v>1067</v>
      </c>
      <c r="AC364" s="2">
        <v>0.1220846303648</v>
      </c>
      <c r="AD364" s="2"/>
      <c r="AE364" s="2">
        <v>1.3114440574610899</v>
      </c>
      <c r="AF364" s="2">
        <v>73542.789013694201</v>
      </c>
      <c r="AG364" s="2">
        <v>37341.880358728697</v>
      </c>
      <c r="AH364" s="5">
        <v>1.9694452530830699</v>
      </c>
      <c r="AI364" s="5">
        <v>0.97778931326912299</v>
      </c>
      <c r="AJ364" s="5" t="s">
        <v>139</v>
      </c>
      <c r="AK364" s="2">
        <v>2.7908561827332899E-2</v>
      </c>
      <c r="AL364" s="2">
        <v>0.25598661917944499</v>
      </c>
      <c r="AM364" s="2">
        <v>131779.54854216101</v>
      </c>
      <c r="AN364" s="2">
        <v>79572.346436185297</v>
      </c>
      <c r="AO364" s="2">
        <v>59934.985546554097</v>
      </c>
      <c r="AP364" s="2">
        <v>65540.359224821499</v>
      </c>
      <c r="AQ364" s="2">
        <v>40008.319214199299</v>
      </c>
      <c r="AR364" s="2">
        <v>64421.175118244202</v>
      </c>
      <c r="AS364" s="2">
        <v>58659.555487885998</v>
      </c>
      <c r="AT364" s="2">
        <v>36890.856455156099</v>
      </c>
      <c r="AU364" s="2">
        <v>42483.490515599697</v>
      </c>
      <c r="AV364" s="2">
        <v>14715.9183237495</v>
      </c>
      <c r="AW364" s="2">
        <v>29710.6377180907</v>
      </c>
      <c r="AX364" s="2">
        <v>41590.8236518903</v>
      </c>
    </row>
    <row r="365" spans="1:50" x14ac:dyDescent="0.25">
      <c r="A365" s="2" t="s">
        <v>1068</v>
      </c>
      <c r="B365" s="2">
        <v>309.174215171372</v>
      </c>
      <c r="C365" s="2">
        <v>12.932916666666699</v>
      </c>
      <c r="D365" s="2" t="s">
        <v>51</v>
      </c>
      <c r="E365" s="2" t="s">
        <v>1069</v>
      </c>
      <c r="F365" s="2">
        <v>58575</v>
      </c>
      <c r="G365" s="3" t="str">
        <f>HYPERLINK("https://cloud.oebiotech.com/#/lm/network/58575", "https://cloud.oebiotech.com/#/lm/network/58575")</f>
        <v>https://cloud.oebiotech.com/#/lm/network/58575</v>
      </c>
      <c r="H365" s="2" t="s">
        <v>1070</v>
      </c>
      <c r="I365" s="2">
        <v>90043</v>
      </c>
      <c r="J365" s="2"/>
      <c r="K365" s="2">
        <v>131751584</v>
      </c>
      <c r="L365" s="2"/>
      <c r="M365" s="2"/>
      <c r="N365" s="2"/>
      <c r="O365" s="2">
        <v>171909</v>
      </c>
      <c r="P365" s="2"/>
      <c r="Q365" s="2"/>
      <c r="R365" s="2" t="s">
        <v>1071</v>
      </c>
      <c r="S365" s="2" t="s">
        <v>1072</v>
      </c>
      <c r="T365" s="2" t="s">
        <v>1073</v>
      </c>
      <c r="U365" s="2" t="s">
        <v>266</v>
      </c>
      <c r="V365" s="2" t="s">
        <v>1074</v>
      </c>
      <c r="W365" s="2" t="s">
        <v>1075</v>
      </c>
      <c r="X365" s="2" t="s">
        <v>147</v>
      </c>
      <c r="Y365" s="2">
        <v>37.4</v>
      </c>
      <c r="Z365" s="2">
        <v>0</v>
      </c>
      <c r="AA365" s="2" t="s">
        <v>379</v>
      </c>
      <c r="AB365" s="2" t="s">
        <v>1076</v>
      </c>
      <c r="AC365" s="2">
        <v>2.3998020286105199</v>
      </c>
      <c r="AD365" s="2"/>
      <c r="AE365" s="2">
        <v>1.30865006090313</v>
      </c>
      <c r="AF365" s="2">
        <v>38313.286013282603</v>
      </c>
      <c r="AG365" s="2">
        <v>71144.102565223002</v>
      </c>
      <c r="AH365" s="4">
        <v>0.53853073736024804</v>
      </c>
      <c r="AI365" s="4">
        <v>-0.89289940402380197</v>
      </c>
      <c r="AJ365" s="4" t="s">
        <v>62</v>
      </c>
      <c r="AK365" s="2">
        <v>2.9879400749016399E-5</v>
      </c>
      <c r="AL365" s="2">
        <v>1.7739400224691101E-2</v>
      </c>
      <c r="AM365" s="2">
        <v>27196.571116826501</v>
      </c>
      <c r="AN365" s="2">
        <v>39643.444286049198</v>
      </c>
      <c r="AO365" s="2">
        <v>33817.369910666501</v>
      </c>
      <c r="AP365" s="2">
        <v>35262.021168472696</v>
      </c>
      <c r="AQ365" s="2">
        <v>50617.055372470801</v>
      </c>
      <c r="AR365" s="2">
        <v>43343.254225210003</v>
      </c>
      <c r="AS365" s="2">
        <v>69544.943442465097</v>
      </c>
      <c r="AT365" s="2">
        <v>68637.316085745304</v>
      </c>
      <c r="AU365" s="2">
        <v>84701.932598044907</v>
      </c>
      <c r="AV365" s="2">
        <v>74604.973326775405</v>
      </c>
      <c r="AW365" s="2">
        <v>62780.700402931798</v>
      </c>
      <c r="AX365" s="2">
        <v>66594.749535375202</v>
      </c>
    </row>
    <row r="366" spans="1:50" x14ac:dyDescent="0.25">
      <c r="A366" s="2" t="s">
        <v>3171</v>
      </c>
      <c r="B366" s="2">
        <v>75.007270000000005</v>
      </c>
      <c r="C366" s="2">
        <v>22.533000000000001</v>
      </c>
      <c r="D366" s="2" t="s">
        <v>125</v>
      </c>
      <c r="E366" s="2" t="s">
        <v>3172</v>
      </c>
      <c r="F366" s="2">
        <v>512</v>
      </c>
      <c r="G366" s="3" t="str">
        <f>HYPERLINK("https://cloud.oebiotech.com/#/lm/network/512", "https://cloud.oebiotech.com/#/lm/network/512")</f>
        <v>https://cloud.oebiotech.com/#/lm/network/512</v>
      </c>
      <c r="H366" s="2" t="s">
        <v>3173</v>
      </c>
      <c r="I366" s="2">
        <v>190</v>
      </c>
      <c r="J366" s="2" t="s">
        <v>3174</v>
      </c>
      <c r="K366" s="2">
        <v>445639</v>
      </c>
      <c r="L366" s="2" t="s">
        <v>3175</v>
      </c>
      <c r="M366" s="2" t="s">
        <v>3176</v>
      </c>
      <c r="N366" s="2" t="s">
        <v>3177</v>
      </c>
      <c r="O366" s="2">
        <v>16196</v>
      </c>
      <c r="P366" s="2" t="s">
        <v>3178</v>
      </c>
      <c r="Q366" s="2" t="s">
        <v>3179</v>
      </c>
      <c r="R366" s="2" t="s">
        <v>3180</v>
      </c>
      <c r="S366" s="2" t="s">
        <v>3181</v>
      </c>
      <c r="T366" s="2" t="s">
        <v>3182</v>
      </c>
      <c r="U366" s="2" t="s">
        <v>56</v>
      </c>
      <c r="V366" s="2" t="s">
        <v>145</v>
      </c>
      <c r="W366" s="2" t="s">
        <v>231</v>
      </c>
      <c r="X366" s="2" t="s">
        <v>69</v>
      </c>
      <c r="Y366" s="2">
        <v>98.4</v>
      </c>
      <c r="Z366" s="2">
        <v>99.7</v>
      </c>
      <c r="AA366" s="2"/>
      <c r="AB366" s="2" t="s">
        <v>3183</v>
      </c>
      <c r="AC366" s="2"/>
      <c r="AD366" s="2">
        <v>780724.21195652196</v>
      </c>
      <c r="AE366" s="2">
        <v>1.3043172021309399</v>
      </c>
      <c r="AF366" s="2">
        <v>1118878.53999381</v>
      </c>
      <c r="AG366" s="2">
        <v>1531490.70287545</v>
      </c>
      <c r="AH366" s="4">
        <v>0.73058134658803997</v>
      </c>
      <c r="AI366" s="4">
        <v>-0.45288317601973199</v>
      </c>
      <c r="AJ366" s="4" t="s">
        <v>62</v>
      </c>
      <c r="AK366" s="2">
        <v>0.14997088226907501</v>
      </c>
      <c r="AL366" s="2">
        <v>0.47064193659114301</v>
      </c>
      <c r="AM366" s="2">
        <v>908460.88296687498</v>
      </c>
      <c r="AN366" s="2">
        <v>942195.68675291596</v>
      </c>
      <c r="AO366" s="2">
        <v>1480317.9416902801</v>
      </c>
      <c r="AP366" s="2">
        <v>872275.56220906903</v>
      </c>
      <c r="AQ366" s="2">
        <v>1404270.5403730201</v>
      </c>
      <c r="AR366" s="2">
        <v>1105750.6259707101</v>
      </c>
      <c r="AS366" s="2">
        <v>856011.18598919897</v>
      </c>
      <c r="AT366" s="2">
        <v>1004661.40859227</v>
      </c>
      <c r="AU366" s="2">
        <v>1902394.44276636</v>
      </c>
      <c r="AV366" s="2">
        <v>2002026.95655936</v>
      </c>
      <c r="AW366" s="2">
        <v>2256892.0009643701</v>
      </c>
      <c r="AX366" s="2">
        <v>1166958.2223811499</v>
      </c>
    </row>
    <row r="367" spans="1:50" x14ac:dyDescent="0.25">
      <c r="A367" s="2" t="s">
        <v>1077</v>
      </c>
      <c r="B367" s="2">
        <v>217.1191</v>
      </c>
      <c r="C367" s="2">
        <v>21.469000000000001</v>
      </c>
      <c r="D367" s="2" t="s">
        <v>125</v>
      </c>
      <c r="E367" s="2" t="s">
        <v>1078</v>
      </c>
      <c r="F367" s="2">
        <v>257706</v>
      </c>
      <c r="G367" s="3" t="str">
        <f>HYPERLINK("https://cloud.oebiotech.com/#/lm/network/257706", "https://cloud.oebiotech.com/#/lm/network/257706")</f>
        <v>https://cloud.oebiotech.com/#/lm/network/257706</v>
      </c>
      <c r="H367" s="2"/>
      <c r="I367" s="2">
        <v>144</v>
      </c>
      <c r="J367" s="2"/>
      <c r="K367" s="2">
        <v>892</v>
      </c>
      <c r="L367" s="2" t="s">
        <v>1079</v>
      </c>
      <c r="M367" s="2" t="s">
        <v>1080</v>
      </c>
      <c r="N367" s="2" t="s">
        <v>1081</v>
      </c>
      <c r="O367" s="2"/>
      <c r="P367" s="2"/>
      <c r="Q367" s="2"/>
      <c r="R367" s="2" t="s">
        <v>1082</v>
      </c>
      <c r="S367" s="2" t="s">
        <v>1083</v>
      </c>
      <c r="T367" s="2" t="s">
        <v>1084</v>
      </c>
      <c r="U367" s="2" t="s">
        <v>331</v>
      </c>
      <c r="V367" s="2" t="s">
        <v>332</v>
      </c>
      <c r="W367" s="2" t="s">
        <v>519</v>
      </c>
      <c r="X367" s="2" t="s">
        <v>69</v>
      </c>
      <c r="Y367" s="2">
        <v>95.2</v>
      </c>
      <c r="Z367" s="2">
        <v>94.7</v>
      </c>
      <c r="AA367" s="2"/>
      <c r="AB367" s="2" t="s">
        <v>1085</v>
      </c>
      <c r="AC367" s="2"/>
      <c r="AD367" s="2">
        <v>731606.06471816299</v>
      </c>
      <c r="AE367" s="2">
        <v>1.3025832332954901</v>
      </c>
      <c r="AF367" s="2">
        <v>1315208.3580628899</v>
      </c>
      <c r="AG367" s="2">
        <v>974710.99133336102</v>
      </c>
      <c r="AH367" s="5">
        <v>1.3493316170198699</v>
      </c>
      <c r="AI367" s="5">
        <v>0.43224495424301201</v>
      </c>
      <c r="AJ367" s="5" t="s">
        <v>139</v>
      </c>
      <c r="AK367" s="2">
        <v>4.7320067987606899E-2</v>
      </c>
      <c r="AL367" s="2">
        <v>0.30528532168455502</v>
      </c>
      <c r="AM367" s="2">
        <v>1432930.69880184</v>
      </c>
      <c r="AN367" s="2">
        <v>1374428.6328710499</v>
      </c>
      <c r="AO367" s="2">
        <v>854545.064857063</v>
      </c>
      <c r="AP367" s="2">
        <v>1395715.30112841</v>
      </c>
      <c r="AQ367" s="2">
        <v>1235648.22755225</v>
      </c>
      <c r="AR367" s="2">
        <v>1597982.2231667</v>
      </c>
      <c r="AS367" s="2">
        <v>770934.17185526702</v>
      </c>
      <c r="AT367" s="2">
        <v>1486575.56997315</v>
      </c>
      <c r="AU367" s="2">
        <v>924785.74758397206</v>
      </c>
      <c r="AV367" s="2">
        <v>882707.36364912405</v>
      </c>
      <c r="AW367" s="2">
        <v>1014050.67796021</v>
      </c>
      <c r="AX367" s="2">
        <v>769212.41697844095</v>
      </c>
    </row>
    <row r="368" spans="1:50" x14ac:dyDescent="0.25">
      <c r="A368" s="2" t="s">
        <v>3184</v>
      </c>
      <c r="B368" s="2">
        <v>142.07390000000001</v>
      </c>
      <c r="C368" s="2">
        <v>18.491</v>
      </c>
      <c r="D368" s="2" t="s">
        <v>125</v>
      </c>
      <c r="E368" s="2" t="s">
        <v>3185</v>
      </c>
      <c r="F368" s="2">
        <v>46935</v>
      </c>
      <c r="G368" s="3" t="str">
        <f>HYPERLINK("https://cloud.oebiotech.com/#/lm/network/46935", "https://cloud.oebiotech.com/#/lm/network/46935")</f>
        <v>https://cloud.oebiotech.com/#/lm/network/46935</v>
      </c>
      <c r="H368" s="2" t="s">
        <v>3186</v>
      </c>
      <c r="I368" s="2">
        <v>45121</v>
      </c>
      <c r="J368" s="2"/>
      <c r="K368" s="2">
        <v>6262</v>
      </c>
      <c r="L368" s="2" t="s">
        <v>3187</v>
      </c>
      <c r="M368" s="2" t="s">
        <v>3188</v>
      </c>
      <c r="N368" s="2" t="s">
        <v>3189</v>
      </c>
      <c r="O368" s="2">
        <v>15729</v>
      </c>
      <c r="P368" s="2"/>
      <c r="Q368" s="2"/>
      <c r="R368" s="2" t="s">
        <v>3190</v>
      </c>
      <c r="S368" s="2" t="s">
        <v>3191</v>
      </c>
      <c r="T368" s="2" t="s">
        <v>3192</v>
      </c>
      <c r="U368" s="2" t="s">
        <v>103</v>
      </c>
      <c r="V368" s="2" t="s">
        <v>104</v>
      </c>
      <c r="W368" s="2" t="s">
        <v>105</v>
      </c>
      <c r="X368" s="2" t="s">
        <v>69</v>
      </c>
      <c r="Y368" s="2">
        <v>96.1</v>
      </c>
      <c r="Z368" s="2">
        <v>98</v>
      </c>
      <c r="AA368" s="2"/>
      <c r="AB368" s="2" t="s">
        <v>3193</v>
      </c>
      <c r="AC368" s="2"/>
      <c r="AD368" s="2">
        <v>620672.68029309704</v>
      </c>
      <c r="AE368" s="2">
        <v>1.30144644646303</v>
      </c>
      <c r="AF368" s="2">
        <v>442699.24336179497</v>
      </c>
      <c r="AG368" s="2">
        <v>984399.26180783706</v>
      </c>
      <c r="AH368" s="4">
        <v>0.44971513138762698</v>
      </c>
      <c r="AI368" s="4">
        <v>-1.15291666827284</v>
      </c>
      <c r="AJ368" s="4" t="s">
        <v>62</v>
      </c>
      <c r="AK368" s="2">
        <v>0.22043910094110999</v>
      </c>
      <c r="AL368" s="2">
        <v>0.54599371810069797</v>
      </c>
      <c r="AM368" s="2">
        <v>504876.10074005101</v>
      </c>
      <c r="AN368" s="2">
        <v>367655.53741993301</v>
      </c>
      <c r="AO368" s="2">
        <v>580365.18686717504</v>
      </c>
      <c r="AP368" s="2">
        <v>893380.58317499002</v>
      </c>
      <c r="AQ368" s="2">
        <v>112167.29929844799</v>
      </c>
      <c r="AR368" s="2">
        <v>197750.75267017001</v>
      </c>
      <c r="AS368" s="2">
        <v>103897.915814864</v>
      </c>
      <c r="AT368" s="2">
        <v>283846.61991609499</v>
      </c>
      <c r="AU368" s="2">
        <v>2409829.12152906</v>
      </c>
      <c r="AV368" s="2">
        <v>1957352.53900802</v>
      </c>
      <c r="AW368" s="2">
        <v>870067.492905622</v>
      </c>
      <c r="AX368" s="2">
        <v>281401.88167336001</v>
      </c>
    </row>
    <row r="369" spans="1:50" x14ac:dyDescent="0.25">
      <c r="A369" s="2" t="s">
        <v>3194</v>
      </c>
      <c r="B369" s="2">
        <v>300.29060290899002</v>
      </c>
      <c r="C369" s="2">
        <v>9.4228166666666695</v>
      </c>
      <c r="D369" s="2" t="s">
        <v>51</v>
      </c>
      <c r="E369" s="2" t="s">
        <v>3195</v>
      </c>
      <c r="F369" s="2">
        <v>257738</v>
      </c>
      <c r="G369" s="3" t="str">
        <f>HYPERLINK("https://cloud.oebiotech.com/#/lm/network/257738", "https://cloud.oebiotech.com/#/lm/network/257738")</f>
        <v>https://cloud.oebiotech.com/#/lm/network/257738</v>
      </c>
      <c r="H369" s="2" t="s">
        <v>3196</v>
      </c>
      <c r="I369" s="2">
        <v>392</v>
      </c>
      <c r="J369" s="2"/>
      <c r="K369" s="2">
        <v>31270</v>
      </c>
      <c r="L369" s="2" t="s">
        <v>3197</v>
      </c>
      <c r="M369" s="2" t="s">
        <v>3198</v>
      </c>
      <c r="N369" s="2" t="s">
        <v>3199</v>
      </c>
      <c r="O369" s="2"/>
      <c r="P369" s="2"/>
      <c r="Q369" s="2"/>
      <c r="R369" s="2" t="s">
        <v>3200</v>
      </c>
      <c r="S369" s="2" t="s">
        <v>3201</v>
      </c>
      <c r="T369" s="2" t="s">
        <v>3202</v>
      </c>
      <c r="U369" s="2" t="s">
        <v>119</v>
      </c>
      <c r="V369" s="2" t="s">
        <v>120</v>
      </c>
      <c r="W369" s="2" t="s">
        <v>1887</v>
      </c>
      <c r="X369" s="2" t="s">
        <v>59</v>
      </c>
      <c r="Y369" s="2">
        <v>52.1</v>
      </c>
      <c r="Z369" s="2">
        <v>67.900000000000006</v>
      </c>
      <c r="AA369" s="2" t="s">
        <v>179</v>
      </c>
      <c r="AB369" s="2" t="s">
        <v>3203</v>
      </c>
      <c r="AC369" s="2">
        <v>2.9973242387469399</v>
      </c>
      <c r="AD369" s="2"/>
      <c r="AE369" s="2">
        <v>1.2980817696748099</v>
      </c>
      <c r="AF369" s="2">
        <v>37551.193221445297</v>
      </c>
      <c r="AG369" s="2">
        <v>96703.667508690196</v>
      </c>
      <c r="AH369" s="4">
        <v>0.38831198638945902</v>
      </c>
      <c r="AI369" s="4">
        <v>-1.3647118539357601</v>
      </c>
      <c r="AJ369" s="4" t="s">
        <v>62</v>
      </c>
      <c r="AK369" s="2">
        <v>0.110325096540192</v>
      </c>
      <c r="AL369" s="2">
        <v>0.42261842103963698</v>
      </c>
      <c r="AM369" s="2">
        <v>15868.8841652264</v>
      </c>
      <c r="AN369" s="2">
        <v>30191.076103697698</v>
      </c>
      <c r="AO369" s="2">
        <v>12900.838534922999</v>
      </c>
      <c r="AP369" s="2">
        <v>54010.507145864402</v>
      </c>
      <c r="AQ369" s="2">
        <v>82155.312075241498</v>
      </c>
      <c r="AR369" s="2">
        <v>30180.541303718899</v>
      </c>
      <c r="AS369" s="2">
        <v>12004.594496358</v>
      </c>
      <c r="AT369" s="2">
        <v>43277.2905775771</v>
      </c>
      <c r="AU369" s="2">
        <v>195487.05272086599</v>
      </c>
      <c r="AV369" s="2">
        <v>81416.157672000598</v>
      </c>
      <c r="AW369" s="2">
        <v>191985.955330639</v>
      </c>
      <c r="AX369" s="2">
        <v>56050.954254700599</v>
      </c>
    </row>
    <row r="370" spans="1:50" x14ac:dyDescent="0.25">
      <c r="A370" s="2" t="s">
        <v>3204</v>
      </c>
      <c r="B370" s="2">
        <v>349.20226265107402</v>
      </c>
      <c r="C370" s="2">
        <v>6.3570166666666701</v>
      </c>
      <c r="D370" s="2" t="s">
        <v>51</v>
      </c>
      <c r="E370" s="2" t="s">
        <v>3205</v>
      </c>
      <c r="F370" s="2">
        <v>44965</v>
      </c>
      <c r="G370" s="3" t="str">
        <f>HYPERLINK("https://cloud.oebiotech.com/#/lm/network/44965", "https://cloud.oebiotech.com/#/lm/network/44965")</f>
        <v>https://cloud.oebiotech.com/#/lm/network/44965</v>
      </c>
      <c r="H370" s="2"/>
      <c r="I370" s="2">
        <v>84295</v>
      </c>
      <c r="J370" s="2" t="s">
        <v>3206</v>
      </c>
      <c r="K370" s="2">
        <v>52931506</v>
      </c>
      <c r="L370" s="2"/>
      <c r="M370" s="2"/>
      <c r="N370" s="2"/>
      <c r="O370" s="2"/>
      <c r="P370" s="2"/>
      <c r="Q370" s="2"/>
      <c r="R370" s="2"/>
      <c r="S370" s="2" t="s">
        <v>3207</v>
      </c>
      <c r="T370" s="2" t="s">
        <v>3208</v>
      </c>
      <c r="U370" s="2" t="s">
        <v>56</v>
      </c>
      <c r="V370" s="2" t="s">
        <v>283</v>
      </c>
      <c r="W370" s="2" t="s">
        <v>284</v>
      </c>
      <c r="X370" s="2" t="s">
        <v>83</v>
      </c>
      <c r="Y370" s="2">
        <v>49.8</v>
      </c>
      <c r="Z370" s="2">
        <v>39.9</v>
      </c>
      <c r="AA370" s="2" t="s">
        <v>218</v>
      </c>
      <c r="AB370" s="2" t="s">
        <v>3209</v>
      </c>
      <c r="AC370" s="2">
        <v>0.70684324960200995</v>
      </c>
      <c r="AD370" s="2"/>
      <c r="AE370" s="2">
        <v>1.29778046726187</v>
      </c>
      <c r="AF370" s="2">
        <v>95656.433548902394</v>
      </c>
      <c r="AG370" s="2">
        <v>52063.786560537403</v>
      </c>
      <c r="AH370" s="5">
        <v>1.8372930566177199</v>
      </c>
      <c r="AI370" s="5">
        <v>0.87758176123898501</v>
      </c>
      <c r="AJ370" s="5" t="s">
        <v>139</v>
      </c>
      <c r="AK370" s="2">
        <v>0.18551352706969099</v>
      </c>
      <c r="AL370" s="2">
        <v>0.51040020334889302</v>
      </c>
      <c r="AM370" s="2">
        <v>214368.15434130901</v>
      </c>
      <c r="AN370" s="2">
        <v>122724.883981051</v>
      </c>
      <c r="AO370" s="2">
        <v>62194.053585000998</v>
      </c>
      <c r="AP370" s="2">
        <v>88173.9162770728</v>
      </c>
      <c r="AQ370" s="2">
        <v>32702.323303886998</v>
      </c>
      <c r="AR370" s="2">
        <v>53775.269805093398</v>
      </c>
      <c r="AS370" s="2">
        <v>98081.946220058104</v>
      </c>
      <c r="AT370" s="2">
        <v>45012.414437897904</v>
      </c>
      <c r="AU370" s="2">
        <v>80183.749926823206</v>
      </c>
      <c r="AV370" s="2">
        <v>11111.871682939</v>
      </c>
      <c r="AW370" s="2">
        <v>11551.778445066</v>
      </c>
      <c r="AX370" s="2">
        <v>66440.958650440298</v>
      </c>
    </row>
    <row r="371" spans="1:50" x14ac:dyDescent="0.25">
      <c r="A371" s="2" t="s">
        <v>3210</v>
      </c>
      <c r="B371" s="2">
        <v>617.47686606856803</v>
      </c>
      <c r="C371" s="2">
        <v>14.4369666666667</v>
      </c>
      <c r="D371" s="2" t="s">
        <v>51</v>
      </c>
      <c r="E371" s="2" t="s">
        <v>3211</v>
      </c>
      <c r="F371" s="2">
        <v>252149</v>
      </c>
      <c r="G371" s="3" t="str">
        <f>HYPERLINK("https://cloud.oebiotech.com/#/lm/network/252149", "https://cloud.oebiotech.com/#/lm/network/252149")</f>
        <v>https://cloud.oebiotech.com/#/lm/network/252149</v>
      </c>
      <c r="H371" s="2" t="s">
        <v>3212</v>
      </c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 t="s">
        <v>3213</v>
      </c>
      <c r="T371" s="2" t="s">
        <v>3214</v>
      </c>
      <c r="U371" s="2" t="s">
        <v>56</v>
      </c>
      <c r="V371" s="2" t="s">
        <v>3215</v>
      </c>
      <c r="W371" s="2" t="s">
        <v>3216</v>
      </c>
      <c r="X371" s="2" t="s">
        <v>69</v>
      </c>
      <c r="Y371" s="2">
        <v>56.2</v>
      </c>
      <c r="Z371" s="2">
        <v>71.5</v>
      </c>
      <c r="AA371" s="2" t="s">
        <v>196</v>
      </c>
      <c r="AB371" s="2" t="s">
        <v>3217</v>
      </c>
      <c r="AC371" s="2">
        <v>2.8689569826439398</v>
      </c>
      <c r="AD371" s="2"/>
      <c r="AE371" s="2">
        <v>1.29143423567636</v>
      </c>
      <c r="AF371" s="2">
        <v>1172215.6836063</v>
      </c>
      <c r="AG371" s="2">
        <v>951486.66442546796</v>
      </c>
      <c r="AH371" s="5">
        <v>1.23198330300732</v>
      </c>
      <c r="AI371" s="5">
        <v>0.30098270340961802</v>
      </c>
      <c r="AJ371" s="5" t="s">
        <v>139</v>
      </c>
      <c r="AK371" s="2">
        <v>0.45823986447253201</v>
      </c>
      <c r="AL371" s="2">
        <v>0.70873397123624904</v>
      </c>
      <c r="AM371" s="2">
        <v>314655.99071318202</v>
      </c>
      <c r="AN371" s="2">
        <v>1430418.5077442599</v>
      </c>
      <c r="AO371" s="2">
        <v>1509505.5811017801</v>
      </c>
      <c r="AP371" s="2">
        <v>1396111.73723332</v>
      </c>
      <c r="AQ371" s="2">
        <v>1460444.8688837099</v>
      </c>
      <c r="AR371" s="2">
        <v>922157.41596156103</v>
      </c>
      <c r="AS371" s="2">
        <v>400451.89518995001</v>
      </c>
      <c r="AT371" s="2">
        <v>1486442.57123067</v>
      </c>
      <c r="AU371" s="2">
        <v>388525.68889989197</v>
      </c>
      <c r="AV371" s="2">
        <v>682558.38307231502</v>
      </c>
      <c r="AW371" s="2">
        <v>1323787.6999306099</v>
      </c>
      <c r="AX371" s="2">
        <v>1427153.74822937</v>
      </c>
    </row>
    <row r="372" spans="1:50" x14ac:dyDescent="0.25">
      <c r="A372" s="2" t="s">
        <v>1086</v>
      </c>
      <c r="B372" s="2">
        <v>898.54623248437201</v>
      </c>
      <c r="C372" s="2">
        <v>12.320349999999999</v>
      </c>
      <c r="D372" s="2" t="s">
        <v>51</v>
      </c>
      <c r="E372" s="2" t="s">
        <v>1087</v>
      </c>
      <c r="F372" s="2">
        <v>235210</v>
      </c>
      <c r="G372" s="3" t="str">
        <f>HYPERLINK("https://cloud.oebiotech.com/#/lm/network/235210", "https://cloud.oebiotech.com/#/lm/network/235210")</f>
        <v>https://cloud.oebiotech.com/#/lm/network/235210</v>
      </c>
      <c r="H372" s="2" t="s">
        <v>1088</v>
      </c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 t="s">
        <v>1089</v>
      </c>
      <c r="T372" s="2" t="s">
        <v>1090</v>
      </c>
      <c r="U372" s="2" t="s">
        <v>56</v>
      </c>
      <c r="V372" s="2" t="s">
        <v>57</v>
      </c>
      <c r="W372" s="2" t="s">
        <v>82</v>
      </c>
      <c r="X372" s="2" t="s">
        <v>59</v>
      </c>
      <c r="Y372" s="2">
        <v>54.8</v>
      </c>
      <c r="Z372" s="2">
        <v>97.5</v>
      </c>
      <c r="AA372" s="2" t="s">
        <v>218</v>
      </c>
      <c r="AB372" s="2" t="s">
        <v>1091</v>
      </c>
      <c r="AC372" s="2">
        <v>1.3245889747514199</v>
      </c>
      <c r="AD372" s="2"/>
      <c r="AE372" s="2">
        <v>1.29024757516722</v>
      </c>
      <c r="AF372" s="2">
        <v>89897.343877470703</v>
      </c>
      <c r="AG372" s="2">
        <v>41910.9950211014</v>
      </c>
      <c r="AH372" s="5">
        <v>2.14495847288305</v>
      </c>
      <c r="AI372" s="5">
        <v>1.1009497169343101</v>
      </c>
      <c r="AJ372" s="5" t="s">
        <v>139</v>
      </c>
      <c r="AK372" s="2">
        <v>3.6785282596531403E-2</v>
      </c>
      <c r="AL372" s="2">
        <v>0.27963408806095602</v>
      </c>
      <c r="AM372" s="2">
        <v>130996.19443222501</v>
      </c>
      <c r="AN372" s="2">
        <v>78950.657037850804</v>
      </c>
      <c r="AO372" s="2">
        <v>63920.193495567502</v>
      </c>
      <c r="AP372" s="2">
        <v>153353.12291718801</v>
      </c>
      <c r="AQ372" s="2">
        <v>28943.422116806902</v>
      </c>
      <c r="AR372" s="2">
        <v>83220.473265185996</v>
      </c>
      <c r="AS372" s="2">
        <v>59925.5768782827</v>
      </c>
      <c r="AT372" s="2">
        <v>67993.435717156695</v>
      </c>
      <c r="AU372" s="2">
        <v>21432.604751206902</v>
      </c>
      <c r="AV372" s="2">
        <v>30006.9154451984</v>
      </c>
      <c r="AW372" s="2">
        <v>37639.737342402201</v>
      </c>
      <c r="AX372" s="2">
        <v>34467.699992361697</v>
      </c>
    </row>
    <row r="373" spans="1:50" x14ac:dyDescent="0.25">
      <c r="A373" s="2" t="s">
        <v>3218</v>
      </c>
      <c r="B373" s="2">
        <v>343.14114087203399</v>
      </c>
      <c r="C373" s="2">
        <v>5.4531000000000001</v>
      </c>
      <c r="D373" s="2" t="s">
        <v>51</v>
      </c>
      <c r="E373" s="2" t="s">
        <v>3219</v>
      </c>
      <c r="F373" s="2">
        <v>209542</v>
      </c>
      <c r="G373" s="3" t="str">
        <f>HYPERLINK("https://cloud.oebiotech.com/#/lm/network/209542", "https://cloud.oebiotech.com/#/lm/network/209542")</f>
        <v>https://cloud.oebiotech.com/#/lm/network/209542</v>
      </c>
      <c r="H373" s="2" t="s">
        <v>3220</v>
      </c>
      <c r="I373" s="2"/>
      <c r="J373" s="2"/>
      <c r="K373" s="2">
        <v>4472</v>
      </c>
      <c r="L373" s="2"/>
      <c r="M373" s="2"/>
      <c r="N373" s="2"/>
      <c r="O373" s="2"/>
      <c r="P373" s="2"/>
      <c r="Q373" s="2"/>
      <c r="R373" s="2"/>
      <c r="S373" s="2" t="s">
        <v>3221</v>
      </c>
      <c r="T373" s="2" t="s">
        <v>3222</v>
      </c>
      <c r="U373" s="2" t="s">
        <v>266</v>
      </c>
      <c r="V373" s="2" t="s">
        <v>2143</v>
      </c>
      <c r="W373" s="2" t="s">
        <v>2624</v>
      </c>
      <c r="X373" s="2" t="s">
        <v>147</v>
      </c>
      <c r="Y373" s="2">
        <v>39.299999999999997</v>
      </c>
      <c r="Z373" s="2">
        <v>0</v>
      </c>
      <c r="AA373" s="2" t="s">
        <v>218</v>
      </c>
      <c r="AB373" s="2" t="s">
        <v>3223</v>
      </c>
      <c r="AC373" s="2">
        <v>-0.12689732409816801</v>
      </c>
      <c r="AD373" s="2"/>
      <c r="AE373" s="2">
        <v>1.2897576449288899</v>
      </c>
      <c r="AF373" s="2">
        <v>5702.2362162153804</v>
      </c>
      <c r="AG373" s="2">
        <v>69570.908831880603</v>
      </c>
      <c r="AH373" s="4">
        <v>8.1962939854572703E-2</v>
      </c>
      <c r="AI373" s="4">
        <v>-3.6088844577736801</v>
      </c>
      <c r="AJ373" s="4" t="s">
        <v>62</v>
      </c>
      <c r="AK373" s="2">
        <v>0.119938252690883</v>
      </c>
      <c r="AL373" s="2">
        <v>0.43766036031086097</v>
      </c>
      <c r="AM373" s="2">
        <v>17369.109157843501</v>
      </c>
      <c r="AN373" s="2">
        <v>1790.7896721792999</v>
      </c>
      <c r="AO373" s="2">
        <v>3483.2166481557401</v>
      </c>
      <c r="AP373" s="2">
        <v>8.559877937157E-6</v>
      </c>
      <c r="AQ373" s="2">
        <v>5669.9809256256203</v>
      </c>
      <c r="AR373" s="2">
        <v>5900.3208849282701</v>
      </c>
      <c r="AS373" s="2">
        <v>1005.95744834213</v>
      </c>
      <c r="AT373" s="2">
        <v>7156.2862125435304</v>
      </c>
      <c r="AU373" s="2">
        <v>145399.822770322</v>
      </c>
      <c r="AV373" s="2">
        <v>219721.373632395</v>
      </c>
      <c r="AW373" s="2">
        <v>41350.153876073702</v>
      </c>
      <c r="AX373" s="2">
        <v>2791.8590516070699</v>
      </c>
    </row>
    <row r="374" spans="1:50" x14ac:dyDescent="0.25">
      <c r="A374" s="2" t="s">
        <v>3224</v>
      </c>
      <c r="B374" s="2">
        <v>339.29</v>
      </c>
      <c r="C374" s="2">
        <v>22.536999999999999</v>
      </c>
      <c r="D374" s="2" t="s">
        <v>125</v>
      </c>
      <c r="E374" s="2" t="s">
        <v>3225</v>
      </c>
      <c r="F374" s="2">
        <v>585</v>
      </c>
      <c r="G374" s="3" t="str">
        <f>HYPERLINK("https://cloud.oebiotech.com/#/lm/network/585", "https://cloud.oebiotech.com/#/lm/network/585")</f>
        <v>https://cloud.oebiotech.com/#/lm/network/585</v>
      </c>
      <c r="H374" s="2" t="s">
        <v>3226</v>
      </c>
      <c r="I374" s="2">
        <v>3407</v>
      </c>
      <c r="J374" s="2" t="s">
        <v>3227</v>
      </c>
      <c r="K374" s="2">
        <v>5281127</v>
      </c>
      <c r="L374" s="2" t="s">
        <v>3228</v>
      </c>
      <c r="M374" s="2"/>
      <c r="N374" s="2"/>
      <c r="O374" s="2">
        <v>28727</v>
      </c>
      <c r="P374" s="2"/>
      <c r="Q374" s="2"/>
      <c r="R374" s="2" t="s">
        <v>3229</v>
      </c>
      <c r="S374" s="2" t="s">
        <v>3230</v>
      </c>
      <c r="T374" s="2" t="s">
        <v>3231</v>
      </c>
      <c r="U374" s="2" t="s">
        <v>56</v>
      </c>
      <c r="V374" s="2" t="s">
        <v>145</v>
      </c>
      <c r="W374" s="2" t="s">
        <v>231</v>
      </c>
      <c r="X374" s="2" t="s">
        <v>83</v>
      </c>
      <c r="Y374" s="2">
        <v>80.2</v>
      </c>
      <c r="Z374" s="2">
        <v>71.900000000000006</v>
      </c>
      <c r="AA374" s="2"/>
      <c r="AB374" s="2" t="s">
        <v>3183</v>
      </c>
      <c r="AC374" s="2"/>
      <c r="AD374" s="2">
        <v>780920.40760869603</v>
      </c>
      <c r="AE374" s="2">
        <v>1.2765483152086301</v>
      </c>
      <c r="AF374" s="2">
        <v>1144859.84272491</v>
      </c>
      <c r="AG374" s="2">
        <v>1571263.79354184</v>
      </c>
      <c r="AH374" s="4">
        <v>0.72862357513135401</v>
      </c>
      <c r="AI374" s="4">
        <v>-0.45675441963256602</v>
      </c>
      <c r="AJ374" s="4" t="s">
        <v>62</v>
      </c>
      <c r="AK374" s="2">
        <v>0.18783009231796099</v>
      </c>
      <c r="AL374" s="2">
        <v>0.51257428194174204</v>
      </c>
      <c r="AM374" s="2">
        <v>935288.73631104606</v>
      </c>
      <c r="AN374" s="2">
        <v>876347.30324635503</v>
      </c>
      <c r="AO374" s="2">
        <v>1497837.2416215499</v>
      </c>
      <c r="AP374" s="2">
        <v>856422.95223986299</v>
      </c>
      <c r="AQ374" s="2">
        <v>1549243.1444417399</v>
      </c>
      <c r="AR374" s="2">
        <v>1154019.6784889</v>
      </c>
      <c r="AS374" s="2">
        <v>858844.30422507005</v>
      </c>
      <c r="AT374" s="2">
        <v>1014457.50124335</v>
      </c>
      <c r="AU374" s="2">
        <v>2130447.1732822601</v>
      </c>
      <c r="AV374" s="2">
        <v>1968635.73410036</v>
      </c>
      <c r="AW374" s="2">
        <v>2400282.3117559901</v>
      </c>
      <c r="AX374" s="2">
        <v>1054915.7366440101</v>
      </c>
    </row>
    <row r="375" spans="1:50" x14ac:dyDescent="0.25">
      <c r="A375" s="2" t="s">
        <v>3232</v>
      </c>
      <c r="B375" s="2">
        <v>552.27912952349902</v>
      </c>
      <c r="C375" s="2">
        <v>3.7574999999999998</v>
      </c>
      <c r="D375" s="2" t="s">
        <v>51</v>
      </c>
      <c r="E375" s="2" t="s">
        <v>3233</v>
      </c>
      <c r="F375" s="2">
        <v>205661</v>
      </c>
      <c r="G375" s="3" t="str">
        <f>HYPERLINK("https://cloud.oebiotech.com/#/lm/network/205661", "https://cloud.oebiotech.com/#/lm/network/205661")</f>
        <v>https://cloud.oebiotech.com/#/lm/network/205661</v>
      </c>
      <c r="H375" s="2" t="s">
        <v>3234</v>
      </c>
      <c r="I375" s="2"/>
      <c r="J375" s="2"/>
      <c r="K375" s="2">
        <v>165537</v>
      </c>
      <c r="L375" s="2"/>
      <c r="M375" s="2"/>
      <c r="N375" s="2"/>
      <c r="O375" s="2"/>
      <c r="P375" s="2"/>
      <c r="Q375" s="2"/>
      <c r="R375" s="2"/>
      <c r="S375" s="2" t="s">
        <v>3235</v>
      </c>
      <c r="T375" s="2" t="s">
        <v>3236</v>
      </c>
      <c r="U375" s="2" t="s">
        <v>56</v>
      </c>
      <c r="V375" s="2" t="s">
        <v>177</v>
      </c>
      <c r="W375" s="2" t="s">
        <v>178</v>
      </c>
      <c r="X375" s="2" t="s">
        <v>59</v>
      </c>
      <c r="Y375" s="2">
        <v>52.9</v>
      </c>
      <c r="Z375" s="2">
        <v>73.5</v>
      </c>
      <c r="AA375" s="2" t="s">
        <v>218</v>
      </c>
      <c r="AB375" s="2" t="s">
        <v>3237</v>
      </c>
      <c r="AC375" s="2">
        <v>-4.5154709897029504</v>
      </c>
      <c r="AD375" s="2"/>
      <c r="AE375" s="2">
        <v>1.2761978649063299</v>
      </c>
      <c r="AF375" s="2">
        <v>316653.71386506403</v>
      </c>
      <c r="AG375" s="2">
        <v>199309.524963487</v>
      </c>
      <c r="AH375" s="5">
        <v>1.5887535426271</v>
      </c>
      <c r="AI375" s="5">
        <v>0.66789534217742297</v>
      </c>
      <c r="AJ375" s="5" t="s">
        <v>139</v>
      </c>
      <c r="AK375" s="2">
        <v>0.40587017544974302</v>
      </c>
      <c r="AL375" s="2">
        <v>0.67216736447411196</v>
      </c>
      <c r="AM375" s="2">
        <v>460313.18489338597</v>
      </c>
      <c r="AN375" s="2">
        <v>198081.850024496</v>
      </c>
      <c r="AO375" s="2">
        <v>345427.481770785</v>
      </c>
      <c r="AP375" s="2">
        <v>92967.308442408204</v>
      </c>
      <c r="AQ375" s="2">
        <v>105162.145947417</v>
      </c>
      <c r="AR375" s="2">
        <v>697970.31211189099</v>
      </c>
      <c r="AS375" s="2">
        <v>520.81471213735301</v>
      </c>
      <c r="AT375" s="2">
        <v>33205.702548137</v>
      </c>
      <c r="AU375" s="2">
        <v>136091.05756153399</v>
      </c>
      <c r="AV375" s="2">
        <v>631859.59762433404</v>
      </c>
      <c r="AW375" s="2">
        <v>282782.17277020297</v>
      </c>
      <c r="AX375" s="2">
        <v>111397.804564577</v>
      </c>
    </row>
    <row r="376" spans="1:50" x14ac:dyDescent="0.25">
      <c r="A376" s="2" t="s">
        <v>3238</v>
      </c>
      <c r="B376" s="2">
        <v>244.19901029259901</v>
      </c>
      <c r="C376" s="2">
        <v>4.3824333333333296</v>
      </c>
      <c r="D376" s="2" t="s">
        <v>51</v>
      </c>
      <c r="E376" s="2" t="s">
        <v>3239</v>
      </c>
      <c r="F376" s="2">
        <v>199921</v>
      </c>
      <c r="G376" s="3" t="str">
        <f>HYPERLINK("https://cloud.oebiotech.com/#/lm/network/199921", "https://cloud.oebiotech.com/#/lm/network/199921")</f>
        <v>https://cloud.oebiotech.com/#/lm/network/199921</v>
      </c>
      <c r="H376" s="2" t="s">
        <v>3240</v>
      </c>
      <c r="I376" s="2"/>
      <c r="J376" s="2"/>
      <c r="K376" s="2">
        <v>122633</v>
      </c>
      <c r="L376" s="2"/>
      <c r="M376" s="2"/>
      <c r="N376" s="2"/>
      <c r="O376" s="2"/>
      <c r="P376" s="2"/>
      <c r="Q376" s="2"/>
      <c r="R376" s="2"/>
      <c r="S376" s="2" t="s">
        <v>3241</v>
      </c>
      <c r="T376" s="2" t="s">
        <v>3242</v>
      </c>
      <c r="U376" s="2" t="s">
        <v>119</v>
      </c>
      <c r="V376" s="2" t="s">
        <v>120</v>
      </c>
      <c r="W376" s="2" t="s">
        <v>3243</v>
      </c>
      <c r="X376" s="2" t="s">
        <v>147</v>
      </c>
      <c r="Y376" s="2">
        <v>38.700000000000003</v>
      </c>
      <c r="Z376" s="2">
        <v>1.43</v>
      </c>
      <c r="AA376" s="2" t="s">
        <v>512</v>
      </c>
      <c r="AB376" s="2" t="s">
        <v>3244</v>
      </c>
      <c r="AC376" s="2">
        <v>-1.14010813602613</v>
      </c>
      <c r="AD376" s="2"/>
      <c r="AE376" s="2">
        <v>1.27148234839719</v>
      </c>
      <c r="AF376" s="2">
        <v>677.37701515045603</v>
      </c>
      <c r="AG376" s="2">
        <v>58711.424949175598</v>
      </c>
      <c r="AH376" s="4">
        <v>1.1537396950198999E-2</v>
      </c>
      <c r="AI376" s="4">
        <v>-6.4375384277195602</v>
      </c>
      <c r="AJ376" s="4" t="s">
        <v>62</v>
      </c>
      <c r="AK376" s="2">
        <v>7.1800355810544905E-2</v>
      </c>
      <c r="AL376" s="2">
        <v>0.35360520412149099</v>
      </c>
      <c r="AM376" s="2">
        <v>323.33296437662602</v>
      </c>
      <c r="AN376" s="2">
        <v>342.67296238606002</v>
      </c>
      <c r="AO376" s="2">
        <v>737.190883117255</v>
      </c>
      <c r="AP376" s="2">
        <v>501.817695792785</v>
      </c>
      <c r="AQ376" s="2">
        <v>1076.10729553549</v>
      </c>
      <c r="AR376" s="2">
        <v>1083.1402896945201</v>
      </c>
      <c r="AS376" s="2">
        <v>411.80716934025702</v>
      </c>
      <c r="AT376" s="2">
        <v>1264.8083646471</v>
      </c>
      <c r="AU376" s="2">
        <v>165340.97597218299</v>
      </c>
      <c r="AV376" s="2">
        <v>65726.722771835994</v>
      </c>
      <c r="AW376" s="2">
        <v>118117.45114701999</v>
      </c>
      <c r="AX376" s="2">
        <v>1406.7842700271201</v>
      </c>
    </row>
    <row r="377" spans="1:50" x14ac:dyDescent="0.25">
      <c r="A377" s="2" t="s">
        <v>3245</v>
      </c>
      <c r="B377" s="2">
        <v>132.077177325392</v>
      </c>
      <c r="C377" s="2">
        <v>0.69773333333333298</v>
      </c>
      <c r="D377" s="2" t="s">
        <v>51</v>
      </c>
      <c r="E377" s="2" t="s">
        <v>3246</v>
      </c>
      <c r="F377" s="2">
        <v>46852</v>
      </c>
      <c r="G377" s="3" t="str">
        <f>HYPERLINK("https://cloud.oebiotech.com/#/lm/network/46852", "https://cloud.oebiotech.com/#/lm/network/46852")</f>
        <v>https://cloud.oebiotech.com/#/lm/network/46852</v>
      </c>
      <c r="H377" s="2" t="s">
        <v>3247</v>
      </c>
      <c r="I377" s="2">
        <v>7</v>
      </c>
      <c r="J377" s="2"/>
      <c r="K377" s="2">
        <v>586</v>
      </c>
      <c r="L377" s="2" t="s">
        <v>3248</v>
      </c>
      <c r="M377" s="2" t="s">
        <v>3249</v>
      </c>
      <c r="N377" s="2" t="s">
        <v>3250</v>
      </c>
      <c r="O377" s="2">
        <v>16919</v>
      </c>
      <c r="P377" s="2"/>
      <c r="Q377" s="2"/>
      <c r="R377" s="2" t="s">
        <v>3251</v>
      </c>
      <c r="S377" s="2" t="s">
        <v>3252</v>
      </c>
      <c r="T377" s="2" t="s">
        <v>3253</v>
      </c>
      <c r="U377" s="2" t="s">
        <v>103</v>
      </c>
      <c r="V377" s="2" t="s">
        <v>104</v>
      </c>
      <c r="W377" s="2" t="s">
        <v>105</v>
      </c>
      <c r="X377" s="2" t="s">
        <v>69</v>
      </c>
      <c r="Y377" s="2">
        <v>51.9</v>
      </c>
      <c r="Z377" s="2">
        <v>63.5</v>
      </c>
      <c r="AA377" s="2" t="s">
        <v>196</v>
      </c>
      <c r="AB377" s="2" t="s">
        <v>3254</v>
      </c>
      <c r="AC377" s="2">
        <v>3.2376053751874201</v>
      </c>
      <c r="AD377" s="2"/>
      <c r="AE377" s="2">
        <v>1.2696756069195101</v>
      </c>
      <c r="AF377" s="2">
        <v>602108.72500803298</v>
      </c>
      <c r="AG377" s="2">
        <v>741037.99872182403</v>
      </c>
      <c r="AH377" s="4">
        <v>0.81252071559970995</v>
      </c>
      <c r="AI377" s="4">
        <v>-0.29952349919800397</v>
      </c>
      <c r="AJ377" s="4" t="s">
        <v>62</v>
      </c>
      <c r="AK377" s="2">
        <v>0.46252465157851702</v>
      </c>
      <c r="AL377" s="2">
        <v>0.71230743534755303</v>
      </c>
      <c r="AM377" s="2">
        <v>671069.39644350903</v>
      </c>
      <c r="AN377" s="2">
        <v>586124.26757035195</v>
      </c>
      <c r="AO377" s="2">
        <v>325274.00185626699</v>
      </c>
      <c r="AP377" s="2">
        <v>796528.82689577795</v>
      </c>
      <c r="AQ377" s="2">
        <v>488765.01404263102</v>
      </c>
      <c r="AR377" s="2">
        <v>744890.84323966398</v>
      </c>
      <c r="AS377" s="2">
        <v>343217.82553090499</v>
      </c>
      <c r="AT377" s="2">
        <v>748550.55696481199</v>
      </c>
      <c r="AU377" s="2">
        <v>933353.64286508004</v>
      </c>
      <c r="AV377" s="2">
        <v>739188.24439534801</v>
      </c>
      <c r="AW377" s="2">
        <v>282334.779834321</v>
      </c>
      <c r="AX377" s="2">
        <v>1399582.9427404799</v>
      </c>
    </row>
    <row r="378" spans="1:50" x14ac:dyDescent="0.25">
      <c r="A378" s="2" t="s">
        <v>3255</v>
      </c>
      <c r="B378" s="2">
        <v>463.29159423517899</v>
      </c>
      <c r="C378" s="2">
        <v>11.505183333333299</v>
      </c>
      <c r="D378" s="2" t="s">
        <v>51</v>
      </c>
      <c r="E378" s="2" t="s">
        <v>3256</v>
      </c>
      <c r="F378" s="2">
        <v>50899</v>
      </c>
      <c r="G378" s="3" t="str">
        <f>HYPERLINK("https://cloud.oebiotech.com/#/lm/network/50899", "https://cloud.oebiotech.com/#/lm/network/50899")</f>
        <v>https://cloud.oebiotech.com/#/lm/network/50899</v>
      </c>
      <c r="H378" s="2" t="s">
        <v>3257</v>
      </c>
      <c r="I378" s="2">
        <v>61652</v>
      </c>
      <c r="J378" s="2"/>
      <c r="K378" s="2">
        <v>161223</v>
      </c>
      <c r="L378" s="2" t="s">
        <v>3258</v>
      </c>
      <c r="M378" s="2" t="s">
        <v>3259</v>
      </c>
      <c r="N378" s="2" t="s">
        <v>3260</v>
      </c>
      <c r="O378" s="2"/>
      <c r="P378" s="2"/>
      <c r="Q378" s="2"/>
      <c r="R378" s="2"/>
      <c r="S378" s="2" t="s">
        <v>3261</v>
      </c>
      <c r="T378" s="2" t="s">
        <v>3262</v>
      </c>
      <c r="U378" s="2" t="s">
        <v>56</v>
      </c>
      <c r="V378" s="2" t="s">
        <v>145</v>
      </c>
      <c r="W378" s="2" t="s">
        <v>3263</v>
      </c>
      <c r="X378" s="2" t="s">
        <v>69</v>
      </c>
      <c r="Y378" s="2">
        <v>54.7</v>
      </c>
      <c r="Z378" s="2">
        <v>62.3</v>
      </c>
      <c r="AA378" s="2" t="s">
        <v>218</v>
      </c>
      <c r="AB378" s="2" t="s">
        <v>3264</v>
      </c>
      <c r="AC378" s="2">
        <v>0.80728406951183096</v>
      </c>
      <c r="AD378" s="2"/>
      <c r="AE378" s="2">
        <v>1.2564851800468</v>
      </c>
      <c r="AF378" s="2">
        <v>46832.274608609798</v>
      </c>
      <c r="AG378" s="2">
        <v>89024.185933926099</v>
      </c>
      <c r="AH378" s="4">
        <v>0.52606237414368295</v>
      </c>
      <c r="AI378" s="4">
        <v>-0.92669422781696997</v>
      </c>
      <c r="AJ378" s="4" t="s">
        <v>62</v>
      </c>
      <c r="AK378" s="2">
        <v>0.15634508714763201</v>
      </c>
      <c r="AL378" s="2">
        <v>0.47717103882190898</v>
      </c>
      <c r="AM378" s="2">
        <v>2444.9221875385001</v>
      </c>
      <c r="AN378" s="2">
        <v>70935.459057893095</v>
      </c>
      <c r="AO378" s="2">
        <v>30048.189369289201</v>
      </c>
      <c r="AP378" s="2">
        <v>15229.8428429129</v>
      </c>
      <c r="AQ378" s="2">
        <v>39300.087406853403</v>
      </c>
      <c r="AR378" s="2">
        <v>123035.14678717199</v>
      </c>
      <c r="AS378" s="2">
        <v>114835.638470883</v>
      </c>
      <c r="AT378" s="2">
        <v>50693.063320509602</v>
      </c>
      <c r="AU378" s="2">
        <v>13575.7760143654</v>
      </c>
      <c r="AV378" s="2">
        <v>144957.998537495</v>
      </c>
      <c r="AW378" s="2">
        <v>77046.140717942704</v>
      </c>
      <c r="AX378" s="2">
        <v>133036.49854236099</v>
      </c>
    </row>
    <row r="379" spans="1:50" x14ac:dyDescent="0.25">
      <c r="A379" s="2" t="s">
        <v>3265</v>
      </c>
      <c r="B379" s="2">
        <v>471.24249777549301</v>
      </c>
      <c r="C379" s="2">
        <v>7.3533833333333298</v>
      </c>
      <c r="D379" s="2" t="s">
        <v>51</v>
      </c>
      <c r="E379" s="2" t="s">
        <v>3266</v>
      </c>
      <c r="F379" s="2">
        <v>59711</v>
      </c>
      <c r="G379" s="3" t="str">
        <f>HYPERLINK("https://cloud.oebiotech.com/#/lm/network/59711", "https://cloud.oebiotech.com/#/lm/network/59711")</f>
        <v>https://cloud.oebiotech.com/#/lm/network/59711</v>
      </c>
      <c r="H379" s="2" t="s">
        <v>3267</v>
      </c>
      <c r="I379" s="2">
        <v>91094</v>
      </c>
      <c r="J379" s="2"/>
      <c r="K379" s="2">
        <v>131751879</v>
      </c>
      <c r="L379" s="2"/>
      <c r="M379" s="2"/>
      <c r="N379" s="2"/>
      <c r="O379" s="2"/>
      <c r="P379" s="2"/>
      <c r="Q379" s="2"/>
      <c r="R379" s="2"/>
      <c r="S379" s="2" t="s">
        <v>3268</v>
      </c>
      <c r="T379" s="2" t="s">
        <v>3269</v>
      </c>
      <c r="U379" s="2" t="s">
        <v>56</v>
      </c>
      <c r="V379" s="2" t="s">
        <v>177</v>
      </c>
      <c r="W379" s="2" t="s">
        <v>3270</v>
      </c>
      <c r="X379" s="2" t="s">
        <v>83</v>
      </c>
      <c r="Y379" s="2">
        <v>41.4</v>
      </c>
      <c r="Z379" s="2">
        <v>8.8100000000000001E-3</v>
      </c>
      <c r="AA379" s="2" t="s">
        <v>163</v>
      </c>
      <c r="AB379" s="2" t="s">
        <v>3271</v>
      </c>
      <c r="AC379" s="2">
        <v>7.7728879617148099</v>
      </c>
      <c r="AD379" s="2"/>
      <c r="AE379" s="2">
        <v>1.25576925742204</v>
      </c>
      <c r="AF379" s="2">
        <v>117040.050581633</v>
      </c>
      <c r="AG379" s="2">
        <v>7187.1132766848004</v>
      </c>
      <c r="AH379" s="5">
        <v>16.284709322909201</v>
      </c>
      <c r="AI379" s="5">
        <v>4.0254460631848801</v>
      </c>
      <c r="AJ379" s="5" t="s">
        <v>139</v>
      </c>
      <c r="AK379" s="2">
        <v>0.26096049535381399</v>
      </c>
      <c r="AL379" s="2">
        <v>0.58317157805582098</v>
      </c>
      <c r="AM379" s="2">
        <v>21.707606581777998</v>
      </c>
      <c r="AN379" s="2">
        <v>15.2176190340776</v>
      </c>
      <c r="AO379" s="2">
        <v>8.559877937157E-6</v>
      </c>
      <c r="AP379" s="2">
        <v>213.01792038705401</v>
      </c>
      <c r="AQ379" s="2">
        <v>563584.63585079298</v>
      </c>
      <c r="AR379" s="2">
        <v>138405.724484443</v>
      </c>
      <c r="AS379" s="2">
        <v>4546.0485944332204</v>
      </c>
      <c r="AT379" s="2">
        <v>22038.8341038625</v>
      </c>
      <c r="AU379" s="2">
        <v>1399.12323380213</v>
      </c>
      <c r="AV379" s="2">
        <v>14438.471432656501</v>
      </c>
      <c r="AW379" s="2">
        <v>672.14365864354295</v>
      </c>
      <c r="AX379" s="2">
        <v>28.058636710921199</v>
      </c>
    </row>
    <row r="380" spans="1:50" x14ac:dyDescent="0.25">
      <c r="A380" s="2" t="s">
        <v>1092</v>
      </c>
      <c r="B380" s="2">
        <v>612.32681812430997</v>
      </c>
      <c r="C380" s="2">
        <v>11.107799999999999</v>
      </c>
      <c r="D380" s="2" t="s">
        <v>51</v>
      </c>
      <c r="E380" s="2" t="s">
        <v>1093</v>
      </c>
      <c r="F380" s="2">
        <v>24885</v>
      </c>
      <c r="G380" s="3" t="str">
        <f>HYPERLINK("https://cloud.oebiotech.com/#/lm/network/24885", "https://cloud.oebiotech.com/#/lm/network/24885")</f>
        <v>https://cloud.oebiotech.com/#/lm/network/24885</v>
      </c>
      <c r="H380" s="2"/>
      <c r="I380" s="2"/>
      <c r="J380" s="2" t="s">
        <v>1094</v>
      </c>
      <c r="K380" s="2">
        <v>52928613</v>
      </c>
      <c r="L380" s="2"/>
      <c r="M380" s="2"/>
      <c r="N380" s="2"/>
      <c r="O380" s="2"/>
      <c r="P380" s="2"/>
      <c r="Q380" s="2"/>
      <c r="R380" s="2"/>
      <c r="S380" s="2" t="s">
        <v>1095</v>
      </c>
      <c r="T380" s="2" t="s">
        <v>1096</v>
      </c>
      <c r="U380" s="2" t="s">
        <v>56</v>
      </c>
      <c r="V380" s="2" t="s">
        <v>57</v>
      </c>
      <c r="W380" s="2" t="s">
        <v>1097</v>
      </c>
      <c r="X380" s="2" t="s">
        <v>147</v>
      </c>
      <c r="Y380" s="2">
        <v>38</v>
      </c>
      <c r="Z380" s="2">
        <v>2.14</v>
      </c>
      <c r="AA380" s="2" t="s">
        <v>122</v>
      </c>
      <c r="AB380" s="2" t="s">
        <v>1098</v>
      </c>
      <c r="AC380" s="2">
        <v>-1.05456664559314</v>
      </c>
      <c r="AD380" s="2"/>
      <c r="AE380" s="2">
        <v>1.2544672804163499</v>
      </c>
      <c r="AF380" s="2">
        <v>78994.0953213092</v>
      </c>
      <c r="AG380" s="2">
        <v>113671.829885642</v>
      </c>
      <c r="AH380" s="4">
        <v>0.694931148735624</v>
      </c>
      <c r="AI380" s="4">
        <v>-0.525058046976698</v>
      </c>
      <c r="AJ380" s="4" t="s">
        <v>62</v>
      </c>
      <c r="AK380" s="2">
        <v>5.4860690869304E-3</v>
      </c>
      <c r="AL380" s="2">
        <v>0.12710665806260699</v>
      </c>
      <c r="AM380" s="2">
        <v>79499.741785004298</v>
      </c>
      <c r="AN380" s="2">
        <v>85636.632516818296</v>
      </c>
      <c r="AO380" s="2">
        <v>83118.439611759095</v>
      </c>
      <c r="AP380" s="2">
        <v>75412.790604602997</v>
      </c>
      <c r="AQ380" s="2">
        <v>79366.460989019804</v>
      </c>
      <c r="AR380" s="2">
        <v>70930.506420651</v>
      </c>
      <c r="AS380" s="2">
        <v>110077.663186155</v>
      </c>
      <c r="AT380" s="2">
        <v>67717.996850633004</v>
      </c>
      <c r="AU380" s="2">
        <v>128371.285734761</v>
      </c>
      <c r="AV380" s="2">
        <v>124432.266577057</v>
      </c>
      <c r="AW380" s="2">
        <v>128563.135097715</v>
      </c>
      <c r="AX380" s="2">
        <v>122868.63186752801</v>
      </c>
    </row>
    <row r="381" spans="1:50" x14ac:dyDescent="0.25">
      <c r="A381" s="2" t="s">
        <v>1099</v>
      </c>
      <c r="B381" s="2">
        <v>405.36832289069798</v>
      </c>
      <c r="C381" s="2">
        <v>10.0932166666667</v>
      </c>
      <c r="D381" s="2" t="s">
        <v>51</v>
      </c>
      <c r="E381" s="2" t="s">
        <v>1100</v>
      </c>
      <c r="F381" s="2">
        <v>43412</v>
      </c>
      <c r="G381" s="3" t="str">
        <f>HYPERLINK("https://cloud.oebiotech.com/#/lm/network/43412", "https://cloud.oebiotech.com/#/lm/network/43412")</f>
        <v>https://cloud.oebiotech.com/#/lm/network/43412</v>
      </c>
      <c r="H381" s="2" t="s">
        <v>1101</v>
      </c>
      <c r="I381" s="2">
        <v>41636</v>
      </c>
      <c r="J381" s="2" t="s">
        <v>1102</v>
      </c>
      <c r="K381" s="2">
        <v>3247051</v>
      </c>
      <c r="L381" s="2" t="s">
        <v>1103</v>
      </c>
      <c r="M381" s="2" t="s">
        <v>1104</v>
      </c>
      <c r="N381" s="2" t="s">
        <v>1105</v>
      </c>
      <c r="O381" s="2">
        <v>37616</v>
      </c>
      <c r="P381" s="2"/>
      <c r="Q381" s="2"/>
      <c r="R381" s="2"/>
      <c r="S381" s="2" t="s">
        <v>1106</v>
      </c>
      <c r="T381" s="2" t="s">
        <v>1107</v>
      </c>
      <c r="U381" s="2" t="s">
        <v>56</v>
      </c>
      <c r="V381" s="2" t="s">
        <v>283</v>
      </c>
      <c r="W381" s="2" t="s">
        <v>1108</v>
      </c>
      <c r="X381" s="2" t="s">
        <v>147</v>
      </c>
      <c r="Y381" s="2">
        <v>36.1</v>
      </c>
      <c r="Z381" s="2">
        <v>0</v>
      </c>
      <c r="AA381" s="2" t="s">
        <v>122</v>
      </c>
      <c r="AB381" s="2" t="s">
        <v>1109</v>
      </c>
      <c r="AC381" s="2">
        <v>-0.71086123753808395</v>
      </c>
      <c r="AD381" s="2"/>
      <c r="AE381" s="2">
        <v>1.25377086783404</v>
      </c>
      <c r="AF381" s="2">
        <v>109255.907832988</v>
      </c>
      <c r="AG381" s="2">
        <v>138231.70867472101</v>
      </c>
      <c r="AH381" s="4">
        <v>0.79038238679435202</v>
      </c>
      <c r="AI381" s="4">
        <v>-0.33937729721523902</v>
      </c>
      <c r="AJ381" s="4" t="s">
        <v>62</v>
      </c>
      <c r="AK381" s="2">
        <v>1.28614266245226E-3</v>
      </c>
      <c r="AL381" s="2">
        <v>9.4480288960798894E-2</v>
      </c>
      <c r="AM381" s="2">
        <v>92255.209698820297</v>
      </c>
      <c r="AN381" s="2">
        <v>108465.968488471</v>
      </c>
      <c r="AO381" s="2">
        <v>105234.58869574001</v>
      </c>
      <c r="AP381" s="2">
        <v>115871.546509259</v>
      </c>
      <c r="AQ381" s="2">
        <v>119124.091616437</v>
      </c>
      <c r="AR381" s="2">
        <v>114584.041989198</v>
      </c>
      <c r="AS381" s="2">
        <v>135869.16738819701</v>
      </c>
      <c r="AT381" s="2">
        <v>142644.222177043</v>
      </c>
      <c r="AU381" s="2">
        <v>117738.95328467101</v>
      </c>
      <c r="AV381" s="2">
        <v>133577.169753016</v>
      </c>
      <c r="AW381" s="2">
        <v>143527.35401442001</v>
      </c>
      <c r="AX381" s="2">
        <v>156033.38543097899</v>
      </c>
    </row>
    <row r="382" spans="1:50" x14ac:dyDescent="0.25">
      <c r="A382" s="2" t="s">
        <v>1110</v>
      </c>
      <c r="B382" s="2">
        <v>243.17121314807801</v>
      </c>
      <c r="C382" s="2">
        <v>4.2455333333333298</v>
      </c>
      <c r="D382" s="2" t="s">
        <v>51</v>
      </c>
      <c r="E382" s="2" t="s">
        <v>1111</v>
      </c>
      <c r="F382" s="2">
        <v>53955</v>
      </c>
      <c r="G382" s="3" t="str">
        <f>HYPERLINK("https://cloud.oebiotech.com/#/lm/network/53955", "https://cloud.oebiotech.com/#/lm/network/53955")</f>
        <v>https://cloud.oebiotech.com/#/lm/network/53955</v>
      </c>
      <c r="H382" s="2" t="s">
        <v>1112</v>
      </c>
      <c r="I382" s="2"/>
      <c r="J382" s="2"/>
      <c r="K382" s="2">
        <v>435718</v>
      </c>
      <c r="L382" s="2"/>
      <c r="M382" s="2"/>
      <c r="N382" s="2"/>
      <c r="O382" s="2"/>
      <c r="P382" s="2"/>
      <c r="Q382" s="2"/>
      <c r="R382" s="2"/>
      <c r="S382" s="2" t="s">
        <v>1113</v>
      </c>
      <c r="T382" s="2" t="s">
        <v>1114</v>
      </c>
      <c r="U382" s="2" t="s">
        <v>103</v>
      </c>
      <c r="V382" s="2" t="s">
        <v>104</v>
      </c>
      <c r="W382" s="2" t="s">
        <v>105</v>
      </c>
      <c r="X382" s="2" t="s">
        <v>69</v>
      </c>
      <c r="Y382" s="2">
        <v>63.3</v>
      </c>
      <c r="Z382" s="2">
        <v>87.2</v>
      </c>
      <c r="AA382" s="2" t="s">
        <v>163</v>
      </c>
      <c r="AB382" s="2" t="s">
        <v>1115</v>
      </c>
      <c r="AC382" s="2">
        <v>-0.83159541673868398</v>
      </c>
      <c r="AD382" s="2"/>
      <c r="AE382" s="2">
        <v>1.252751458948</v>
      </c>
      <c r="AF382" s="2">
        <v>61378.284559140498</v>
      </c>
      <c r="AG382" s="2">
        <v>24703.721761507</v>
      </c>
      <c r="AH382" s="5">
        <v>2.4845764193628201</v>
      </c>
      <c r="AI382" s="5">
        <v>1.3129999162652599</v>
      </c>
      <c r="AJ382" s="5" t="s">
        <v>139</v>
      </c>
      <c r="AK382" s="2">
        <v>1.34717305834261E-2</v>
      </c>
      <c r="AL382" s="2">
        <v>0.18386589534207001</v>
      </c>
      <c r="AM382" s="2">
        <v>68757.194570568201</v>
      </c>
      <c r="AN382" s="2">
        <v>38286.304932729501</v>
      </c>
      <c r="AO382" s="2">
        <v>99231.640888424095</v>
      </c>
      <c r="AP382" s="2">
        <v>49880.650883100199</v>
      </c>
      <c r="AQ382" s="2">
        <v>42193.726673869103</v>
      </c>
      <c r="AR382" s="2">
        <v>69920.189406151796</v>
      </c>
      <c r="AS382" s="2">
        <v>55918.563508840904</v>
      </c>
      <c r="AT382" s="2">
        <v>39362.350926610197</v>
      </c>
      <c r="AU382" s="2">
        <v>23383.057838832501</v>
      </c>
      <c r="AV382" s="2">
        <v>9606.9992810199292</v>
      </c>
      <c r="AW382" s="2">
        <v>4795.5432217382004</v>
      </c>
      <c r="AX382" s="2">
        <v>15155.815792000099</v>
      </c>
    </row>
    <row r="383" spans="1:50" x14ac:dyDescent="0.25">
      <c r="A383" s="2" t="s">
        <v>3272</v>
      </c>
      <c r="B383" s="2">
        <v>407.20774864667698</v>
      </c>
      <c r="C383" s="2">
        <v>6.3968333333333298</v>
      </c>
      <c r="D383" s="2" t="s">
        <v>51</v>
      </c>
      <c r="E383" s="2" t="s">
        <v>3273</v>
      </c>
      <c r="F383" s="2">
        <v>59818</v>
      </c>
      <c r="G383" s="3" t="str">
        <f>HYPERLINK("https://cloud.oebiotech.com/#/lm/network/59818", "https://cloud.oebiotech.com/#/lm/network/59818")</f>
        <v>https://cloud.oebiotech.com/#/lm/network/59818</v>
      </c>
      <c r="H383" s="2" t="s">
        <v>3274</v>
      </c>
      <c r="I383" s="2">
        <v>91190</v>
      </c>
      <c r="J383" s="2"/>
      <c r="K383" s="2">
        <v>85379763</v>
      </c>
      <c r="L383" s="2"/>
      <c r="M383" s="2"/>
      <c r="N383" s="2"/>
      <c r="O383" s="2"/>
      <c r="P383" s="2"/>
      <c r="Q383" s="2"/>
      <c r="R383" s="2" t="s">
        <v>3275</v>
      </c>
      <c r="S383" s="2" t="s">
        <v>3276</v>
      </c>
      <c r="T383" s="2" t="s">
        <v>3277</v>
      </c>
      <c r="U383" s="2" t="s">
        <v>56</v>
      </c>
      <c r="V383" s="2" t="s">
        <v>177</v>
      </c>
      <c r="W383" s="2" t="s">
        <v>178</v>
      </c>
      <c r="X383" s="2" t="s">
        <v>83</v>
      </c>
      <c r="Y383" s="2">
        <v>47.7</v>
      </c>
      <c r="Z383" s="2">
        <v>0</v>
      </c>
      <c r="AA383" s="2" t="s">
        <v>379</v>
      </c>
      <c r="AB383" s="2" t="s">
        <v>3278</v>
      </c>
      <c r="AC383" s="2">
        <v>0.52019385530275297</v>
      </c>
      <c r="AD383" s="2"/>
      <c r="AE383" s="2">
        <v>1.25201937153121</v>
      </c>
      <c r="AF383" s="2">
        <v>115861.23613977501</v>
      </c>
      <c r="AG383" s="2">
        <v>77364.055522223498</v>
      </c>
      <c r="AH383" s="5">
        <v>1.4976106844152299</v>
      </c>
      <c r="AI383" s="5">
        <v>0.58266263270081298</v>
      </c>
      <c r="AJ383" s="5" t="s">
        <v>139</v>
      </c>
      <c r="AK383" s="2">
        <v>6.1454310214314502E-2</v>
      </c>
      <c r="AL383" s="2">
        <v>0.33442185127624702</v>
      </c>
      <c r="AM383" s="2">
        <v>188489.80459508899</v>
      </c>
      <c r="AN383" s="2">
        <v>93702.104178507405</v>
      </c>
      <c r="AO383" s="2">
        <v>116891.454472635</v>
      </c>
      <c r="AP383" s="2">
        <v>118776.866593142</v>
      </c>
      <c r="AQ383" s="2">
        <v>72058.246394763395</v>
      </c>
      <c r="AR383" s="2">
        <v>105248.940604515</v>
      </c>
      <c r="AS383" s="2">
        <v>95080.201541290095</v>
      </c>
      <c r="AT383" s="2">
        <v>55834.176568491399</v>
      </c>
      <c r="AU383" s="2">
        <v>100911.649938869</v>
      </c>
      <c r="AV383" s="2">
        <v>48370.2072095045</v>
      </c>
      <c r="AW383" s="2">
        <v>83060.937717677807</v>
      </c>
      <c r="AX383" s="2">
        <v>80927.160157508406</v>
      </c>
    </row>
    <row r="384" spans="1:50" x14ac:dyDescent="0.25">
      <c r="A384" s="2" t="s">
        <v>3279</v>
      </c>
      <c r="B384" s="2">
        <v>508.34083500502999</v>
      </c>
      <c r="C384" s="2">
        <v>12.5058666666667</v>
      </c>
      <c r="D384" s="2" t="s">
        <v>51</v>
      </c>
      <c r="E384" s="2" t="s">
        <v>3280</v>
      </c>
      <c r="F384" s="2">
        <v>21173</v>
      </c>
      <c r="G384" s="3" t="str">
        <f>HYPERLINK("https://cloud.oebiotech.com/#/lm/network/21173", "https://cloud.oebiotech.com/#/lm/network/21173")</f>
        <v>https://cloud.oebiotech.com/#/lm/network/21173</v>
      </c>
      <c r="H384" s="2" t="s">
        <v>3281</v>
      </c>
      <c r="I384" s="2">
        <v>62296</v>
      </c>
      <c r="J384" s="2" t="s">
        <v>3282</v>
      </c>
      <c r="K384" s="2">
        <v>52925131</v>
      </c>
      <c r="L384" s="2"/>
      <c r="M384" s="2"/>
      <c r="N384" s="2"/>
      <c r="O384" s="2">
        <v>131690</v>
      </c>
      <c r="P384" s="2"/>
      <c r="Q384" s="2"/>
      <c r="R384" s="2" t="s">
        <v>3283</v>
      </c>
      <c r="S384" s="2" t="s">
        <v>3284</v>
      </c>
      <c r="T384" s="2" t="s">
        <v>3285</v>
      </c>
      <c r="U384" s="2" t="s">
        <v>56</v>
      </c>
      <c r="V384" s="2" t="s">
        <v>57</v>
      </c>
      <c r="W384" s="2" t="s">
        <v>155</v>
      </c>
      <c r="X384" s="2" t="s">
        <v>83</v>
      </c>
      <c r="Y384" s="2">
        <v>50.8</v>
      </c>
      <c r="Z384" s="2">
        <v>5.6000000000000001E-2</v>
      </c>
      <c r="AA384" s="2" t="s">
        <v>163</v>
      </c>
      <c r="AB384" s="2" t="s">
        <v>1683</v>
      </c>
      <c r="AC384" s="2">
        <v>-5.5369457361071302E-2</v>
      </c>
      <c r="AD384" s="2"/>
      <c r="AE384" s="2">
        <v>1.2518836719931701</v>
      </c>
      <c r="AF384" s="2">
        <v>257163.87966448301</v>
      </c>
      <c r="AG384" s="2">
        <v>337818.99554039398</v>
      </c>
      <c r="AH384" s="4">
        <v>0.76124754101855496</v>
      </c>
      <c r="AI384" s="4">
        <v>-0.39356243205370101</v>
      </c>
      <c r="AJ384" s="4" t="s">
        <v>62</v>
      </c>
      <c r="AK384" s="2">
        <v>0.24619519330534501</v>
      </c>
      <c r="AL384" s="2">
        <v>0.57119796911972998</v>
      </c>
      <c r="AM384" s="2">
        <v>357771.15866085002</v>
      </c>
      <c r="AN384" s="2">
        <v>308933.717665523</v>
      </c>
      <c r="AO384" s="2">
        <v>195191.484530724</v>
      </c>
      <c r="AP384" s="2">
        <v>207796.42131940799</v>
      </c>
      <c r="AQ384" s="2">
        <v>205897.65234126899</v>
      </c>
      <c r="AR384" s="2">
        <v>267392.84346912499</v>
      </c>
      <c r="AS384" s="2">
        <v>183142.688788158</v>
      </c>
      <c r="AT384" s="2">
        <v>128447.70441149799</v>
      </c>
      <c r="AU384" s="2">
        <v>417416.18600630801</v>
      </c>
      <c r="AV384" s="2">
        <v>451461.92411423899</v>
      </c>
      <c r="AW384" s="2">
        <v>474224.66972811101</v>
      </c>
      <c r="AX384" s="2">
        <v>372220.80019405001</v>
      </c>
    </row>
    <row r="385" spans="1:50" x14ac:dyDescent="0.25">
      <c r="A385" s="2" t="s">
        <v>3286</v>
      </c>
      <c r="B385" s="2">
        <v>333.14552175039501</v>
      </c>
      <c r="C385" s="2">
        <v>5.68976666666667</v>
      </c>
      <c r="D385" s="2" t="s">
        <v>51</v>
      </c>
      <c r="E385" s="2" t="s">
        <v>3287</v>
      </c>
      <c r="F385" s="2">
        <v>199199</v>
      </c>
      <c r="G385" s="3" t="str">
        <f>HYPERLINK("https://cloud.oebiotech.com/#/lm/network/199199", "https://cloud.oebiotech.com/#/lm/network/199199")</f>
        <v>https://cloud.oebiotech.com/#/lm/network/199199</v>
      </c>
      <c r="H385" s="2" t="s">
        <v>3288</v>
      </c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 t="s">
        <v>3289</v>
      </c>
      <c r="T385" s="2" t="s">
        <v>3290</v>
      </c>
      <c r="U385" s="2" t="s">
        <v>540</v>
      </c>
      <c r="V385" s="2" t="s">
        <v>3291</v>
      </c>
      <c r="W385" s="2" t="s">
        <v>3292</v>
      </c>
      <c r="X385" s="2" t="s">
        <v>69</v>
      </c>
      <c r="Y385" s="2">
        <v>50.3</v>
      </c>
      <c r="Z385" s="2">
        <v>47.2</v>
      </c>
      <c r="AA385" s="2" t="s">
        <v>512</v>
      </c>
      <c r="AB385" s="2" t="s">
        <v>3293</v>
      </c>
      <c r="AC385" s="2">
        <v>3.2482955779859801</v>
      </c>
      <c r="AD385" s="2"/>
      <c r="AE385" s="2">
        <v>1.25060715018357</v>
      </c>
      <c r="AF385" s="2">
        <v>97652.7690606658</v>
      </c>
      <c r="AG385" s="2">
        <v>150721.29020908999</v>
      </c>
      <c r="AH385" s="4">
        <v>0.64790295335978099</v>
      </c>
      <c r="AI385" s="4">
        <v>-0.62615036077701602</v>
      </c>
      <c r="AJ385" s="4" t="s">
        <v>62</v>
      </c>
      <c r="AK385" s="2">
        <v>0.26892701013935699</v>
      </c>
      <c r="AL385" s="2">
        <v>0.58981147365990405</v>
      </c>
      <c r="AM385" s="2">
        <v>68855.814209914795</v>
      </c>
      <c r="AN385" s="2">
        <v>158333.08742131299</v>
      </c>
      <c r="AO385" s="2">
        <v>72345.772361674099</v>
      </c>
      <c r="AP385" s="2">
        <v>98359.6337472413</v>
      </c>
      <c r="AQ385" s="2">
        <v>104978.33678275401</v>
      </c>
      <c r="AR385" s="2">
        <v>83043.969841097904</v>
      </c>
      <c r="AS385" s="2">
        <v>318626.56198559399</v>
      </c>
      <c r="AT385" s="2">
        <v>94982.131869669698</v>
      </c>
      <c r="AU385" s="2">
        <v>41010.531689071897</v>
      </c>
      <c r="AV385" s="2">
        <v>140295.33796680201</v>
      </c>
      <c r="AW385" s="2">
        <v>234608.47348701299</v>
      </c>
      <c r="AX385" s="2">
        <v>74804.704256387195</v>
      </c>
    </row>
    <row r="386" spans="1:50" x14ac:dyDescent="0.25">
      <c r="A386" s="2" t="s">
        <v>1116</v>
      </c>
      <c r="B386" s="2">
        <v>413.26739996579403</v>
      </c>
      <c r="C386" s="2">
        <v>0.63544999999999996</v>
      </c>
      <c r="D386" s="2" t="s">
        <v>51</v>
      </c>
      <c r="E386" s="2" t="s">
        <v>1117</v>
      </c>
      <c r="F386" s="2">
        <v>64543</v>
      </c>
      <c r="G386" s="3" t="str">
        <f>HYPERLINK("https://cloud.oebiotech.com/#/lm/network/64543", "https://cloud.oebiotech.com/#/lm/network/64543")</f>
        <v>https://cloud.oebiotech.com/#/lm/network/64543</v>
      </c>
      <c r="H386" s="2" t="s">
        <v>1118</v>
      </c>
      <c r="I386" s="2">
        <v>95850</v>
      </c>
      <c r="J386" s="2"/>
      <c r="K386" s="2">
        <v>5319371</v>
      </c>
      <c r="L386" s="2"/>
      <c r="M386" s="2"/>
      <c r="N386" s="2"/>
      <c r="O386" s="2">
        <v>175125</v>
      </c>
      <c r="P386" s="2"/>
      <c r="Q386" s="2"/>
      <c r="R386" s="2" t="s">
        <v>1119</v>
      </c>
      <c r="S386" s="2" t="s">
        <v>1120</v>
      </c>
      <c r="T386" s="2" t="s">
        <v>1121</v>
      </c>
      <c r="U386" s="2" t="s">
        <v>610</v>
      </c>
      <c r="V386" s="2" t="s">
        <v>611</v>
      </c>
      <c r="W386" s="2" t="s">
        <v>1122</v>
      </c>
      <c r="X386" s="2" t="s">
        <v>147</v>
      </c>
      <c r="Y386" s="2">
        <v>39.200000000000003</v>
      </c>
      <c r="Z386" s="2">
        <v>9.3000000000000007</v>
      </c>
      <c r="AA386" s="2" t="s">
        <v>1123</v>
      </c>
      <c r="AB386" s="2" t="s">
        <v>1124</v>
      </c>
      <c r="AC386" s="2">
        <v>2.9968172988812198</v>
      </c>
      <c r="AD386" s="2"/>
      <c r="AE386" s="2">
        <v>1.2475206435542601</v>
      </c>
      <c r="AF386" s="2">
        <v>107322.85759386299</v>
      </c>
      <c r="AG386" s="2">
        <v>140097.78243320499</v>
      </c>
      <c r="AH386" s="4">
        <v>0.76605679069211396</v>
      </c>
      <c r="AI386" s="4">
        <v>-0.384476746323482</v>
      </c>
      <c r="AJ386" s="4" t="s">
        <v>62</v>
      </c>
      <c r="AK386" s="2">
        <v>2.9495021553861199E-3</v>
      </c>
      <c r="AL386" s="2">
        <v>0.110133297462436</v>
      </c>
      <c r="AM386" s="2">
        <v>89437.827037849202</v>
      </c>
      <c r="AN386" s="2">
        <v>128366.70707699101</v>
      </c>
      <c r="AO386" s="2">
        <v>111921.68451474801</v>
      </c>
      <c r="AP386" s="2">
        <v>112837.744026821</v>
      </c>
      <c r="AQ386" s="2">
        <v>104081.73732878</v>
      </c>
      <c r="AR386" s="2">
        <v>97291.445577987804</v>
      </c>
      <c r="AS386" s="2">
        <v>126191.85809049199</v>
      </c>
      <c r="AT386" s="2">
        <v>146442.49341885699</v>
      </c>
      <c r="AU386" s="2">
        <v>115489.802719787</v>
      </c>
      <c r="AV386" s="2">
        <v>151290.82536569299</v>
      </c>
      <c r="AW386" s="2">
        <v>148818.45552478399</v>
      </c>
      <c r="AX386" s="2">
        <v>152353.25947961601</v>
      </c>
    </row>
    <row r="387" spans="1:50" x14ac:dyDescent="0.25">
      <c r="A387" s="2" t="s">
        <v>3294</v>
      </c>
      <c r="B387" s="2">
        <v>607.49493093956505</v>
      </c>
      <c r="C387" s="2">
        <v>14.9618</v>
      </c>
      <c r="D387" s="2" t="s">
        <v>51</v>
      </c>
      <c r="E387" s="2" t="s">
        <v>3295</v>
      </c>
      <c r="F387" s="2">
        <v>252422</v>
      </c>
      <c r="G387" s="3" t="str">
        <f>HYPERLINK("https://cloud.oebiotech.com/#/lm/network/252422", "https://cloud.oebiotech.com/#/lm/network/252422")</f>
        <v>https://cloud.oebiotech.com/#/lm/network/252422</v>
      </c>
      <c r="H387" s="2" t="s">
        <v>3296</v>
      </c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 t="s">
        <v>3297</v>
      </c>
      <c r="T387" s="2" t="s">
        <v>3298</v>
      </c>
      <c r="U387" s="2" t="s">
        <v>56</v>
      </c>
      <c r="V387" s="2" t="s">
        <v>145</v>
      </c>
      <c r="W387" s="2" t="s">
        <v>203</v>
      </c>
      <c r="X387" s="2" t="s">
        <v>59</v>
      </c>
      <c r="Y387" s="2">
        <v>48.5</v>
      </c>
      <c r="Z387" s="2">
        <v>48.6</v>
      </c>
      <c r="AA387" s="2" t="s">
        <v>179</v>
      </c>
      <c r="AB387" s="2" t="s">
        <v>3299</v>
      </c>
      <c r="AC387" s="2">
        <v>2.8272272652182799</v>
      </c>
      <c r="AD387" s="2"/>
      <c r="AE387" s="2">
        <v>1.2442140691713801</v>
      </c>
      <c r="AF387" s="2">
        <v>217703.29194732101</v>
      </c>
      <c r="AG387" s="2">
        <v>167559.89002743</v>
      </c>
      <c r="AH387" s="5">
        <v>1.29925659363755</v>
      </c>
      <c r="AI387" s="5">
        <v>0.37768638060216603</v>
      </c>
      <c r="AJ387" s="5" t="s">
        <v>139</v>
      </c>
      <c r="AK387" s="2">
        <v>0.47710334556730899</v>
      </c>
      <c r="AL387" s="2">
        <v>0.72263175505611199</v>
      </c>
      <c r="AM387" s="2">
        <v>202178.85500442999</v>
      </c>
      <c r="AN387" s="2">
        <v>408686.35191696801</v>
      </c>
      <c r="AO387" s="2">
        <v>277786.32279416098</v>
      </c>
      <c r="AP387" s="2">
        <v>127687.22489417301</v>
      </c>
      <c r="AQ387" s="2">
        <v>195605.67798598699</v>
      </c>
      <c r="AR387" s="2">
        <v>94275.319088208606</v>
      </c>
      <c r="AS387" s="2">
        <v>4373.2955884191197</v>
      </c>
      <c r="AT387" s="2">
        <v>239728.05715263699</v>
      </c>
      <c r="AU387" s="2">
        <v>332340.38317730202</v>
      </c>
      <c r="AV387" s="2">
        <v>236891.83821375301</v>
      </c>
      <c r="AW387" s="2">
        <v>90150.654392385099</v>
      </c>
      <c r="AX387" s="2">
        <v>101875.11164008301</v>
      </c>
    </row>
    <row r="388" spans="1:50" x14ac:dyDescent="0.25">
      <c r="A388" s="2" t="s">
        <v>1125</v>
      </c>
      <c r="B388" s="2">
        <v>630.46190832996604</v>
      </c>
      <c r="C388" s="2">
        <v>12.1360166666667</v>
      </c>
      <c r="D388" s="2" t="s">
        <v>51</v>
      </c>
      <c r="E388" s="2" t="s">
        <v>1126</v>
      </c>
      <c r="F388" s="2">
        <v>25983</v>
      </c>
      <c r="G388" s="3" t="str">
        <f>HYPERLINK("https://cloud.oebiotech.com/#/lm/network/25983", "https://cloud.oebiotech.com/#/lm/network/25983")</f>
        <v>https://cloud.oebiotech.com/#/lm/network/25983</v>
      </c>
      <c r="H388" s="2"/>
      <c r="I388" s="2">
        <v>82248</v>
      </c>
      <c r="J388" s="2" t="s">
        <v>1127</v>
      </c>
      <c r="K388" s="2">
        <v>52929663</v>
      </c>
      <c r="L388" s="2"/>
      <c r="M388" s="2"/>
      <c r="N388" s="2"/>
      <c r="O388" s="2"/>
      <c r="P388" s="2"/>
      <c r="Q388" s="2"/>
      <c r="R388" s="2"/>
      <c r="S388" s="2" t="s">
        <v>1128</v>
      </c>
      <c r="T388" s="2" t="s">
        <v>1129</v>
      </c>
      <c r="U388" s="2" t="s">
        <v>56</v>
      </c>
      <c r="V388" s="2" t="s">
        <v>57</v>
      </c>
      <c r="W388" s="2" t="s">
        <v>702</v>
      </c>
      <c r="X388" s="2" t="s">
        <v>147</v>
      </c>
      <c r="Y388" s="2">
        <v>38.299999999999997</v>
      </c>
      <c r="Z388" s="2">
        <v>14.9</v>
      </c>
      <c r="AA388" s="2" t="s">
        <v>122</v>
      </c>
      <c r="AB388" s="2" t="s">
        <v>1130</v>
      </c>
      <c r="AC388" s="2">
        <v>-0.84522980177984597</v>
      </c>
      <c r="AD388" s="2"/>
      <c r="AE388" s="2">
        <v>1.24306177787606</v>
      </c>
      <c r="AF388" s="2">
        <v>82343.428191220693</v>
      </c>
      <c r="AG388" s="2">
        <v>114337.352951077</v>
      </c>
      <c r="AH388" s="4">
        <v>0.72017959193487802</v>
      </c>
      <c r="AI388" s="4">
        <v>-0.47357137710244401</v>
      </c>
      <c r="AJ388" s="4" t="s">
        <v>62</v>
      </c>
      <c r="AK388" s="2">
        <v>1.5977341837253901E-2</v>
      </c>
      <c r="AL388" s="2">
        <v>0.199280416991126</v>
      </c>
      <c r="AM388" s="2">
        <v>56216.416905009697</v>
      </c>
      <c r="AN388" s="2">
        <v>62125.878143945898</v>
      </c>
      <c r="AO388" s="2">
        <v>73015.492208244599</v>
      </c>
      <c r="AP388" s="2">
        <v>89124.561115728196</v>
      </c>
      <c r="AQ388" s="2">
        <v>119774.177052889</v>
      </c>
      <c r="AR388" s="2">
        <v>93804.043721506998</v>
      </c>
      <c r="AS388" s="2">
        <v>137028.39783058001</v>
      </c>
      <c r="AT388" s="2">
        <v>115952.259726716</v>
      </c>
      <c r="AU388" s="2">
        <v>109020.936265062</v>
      </c>
      <c r="AV388" s="2">
        <v>100183.114356126</v>
      </c>
      <c r="AW388" s="2">
        <v>120584.877474812</v>
      </c>
      <c r="AX388" s="2">
        <v>103254.532053166</v>
      </c>
    </row>
    <row r="389" spans="1:50" x14ac:dyDescent="0.25">
      <c r="A389" s="2" t="s">
        <v>3300</v>
      </c>
      <c r="B389" s="2">
        <v>331.26433865651802</v>
      </c>
      <c r="C389" s="2">
        <v>13.346133333333301</v>
      </c>
      <c r="D389" s="2" t="s">
        <v>51</v>
      </c>
      <c r="E389" s="2" t="s">
        <v>3301</v>
      </c>
      <c r="F389" s="2">
        <v>679</v>
      </c>
      <c r="G389" s="3" t="str">
        <f>HYPERLINK("https://cloud.oebiotech.com/#/lm/network/679", "https://cloud.oebiotech.com/#/lm/network/679")</f>
        <v>https://cloud.oebiotech.com/#/lm/network/679</v>
      </c>
      <c r="H389" s="2" t="s">
        <v>3302</v>
      </c>
      <c r="I389" s="2">
        <v>34846</v>
      </c>
      <c r="J389" s="2" t="s">
        <v>3303</v>
      </c>
      <c r="K389" s="2">
        <v>5497181</v>
      </c>
      <c r="L389" s="2" t="s">
        <v>3304</v>
      </c>
      <c r="M389" s="2" t="s">
        <v>3305</v>
      </c>
      <c r="N389" s="2" t="s">
        <v>3306</v>
      </c>
      <c r="O389" s="2">
        <v>53487</v>
      </c>
      <c r="P389" s="2" t="s">
        <v>3307</v>
      </c>
      <c r="Q389" s="2" t="s">
        <v>3308</v>
      </c>
      <c r="R389" s="2" t="s">
        <v>3309</v>
      </c>
      <c r="S389" s="2" t="s">
        <v>3310</v>
      </c>
      <c r="T389" s="2" t="s">
        <v>3311</v>
      </c>
      <c r="U389" s="2" t="s">
        <v>56</v>
      </c>
      <c r="V389" s="2" t="s">
        <v>145</v>
      </c>
      <c r="W389" s="2" t="s">
        <v>231</v>
      </c>
      <c r="X389" s="2" t="s">
        <v>69</v>
      </c>
      <c r="Y389" s="2">
        <v>59.2</v>
      </c>
      <c r="Z389" s="2">
        <v>70.599999999999994</v>
      </c>
      <c r="AA389" s="2" t="s">
        <v>241</v>
      </c>
      <c r="AB389" s="2" t="s">
        <v>3312</v>
      </c>
      <c r="AC389" s="2">
        <v>0.25489658403390902</v>
      </c>
      <c r="AD389" s="2"/>
      <c r="AE389" s="2">
        <v>1.24268146893871</v>
      </c>
      <c r="AF389" s="2">
        <v>67595.026432315804</v>
      </c>
      <c r="AG389" s="2">
        <v>129545.099711647</v>
      </c>
      <c r="AH389" s="4">
        <v>0.52178759816291698</v>
      </c>
      <c r="AI389" s="4">
        <v>-0.93846544027106504</v>
      </c>
      <c r="AJ389" s="4" t="s">
        <v>62</v>
      </c>
      <c r="AK389" s="2">
        <v>0.102934543390189</v>
      </c>
      <c r="AL389" s="2">
        <v>0.40741492273836899</v>
      </c>
      <c r="AM389" s="2">
        <v>87482.937808980001</v>
      </c>
      <c r="AN389" s="2">
        <v>46415.261982949203</v>
      </c>
      <c r="AO389" s="2">
        <v>55520.378386060103</v>
      </c>
      <c r="AP389" s="2">
        <v>53101.246542169203</v>
      </c>
      <c r="AQ389" s="2">
        <v>76817.965051409206</v>
      </c>
      <c r="AR389" s="2">
        <v>86232.368822327204</v>
      </c>
      <c r="AS389" s="2">
        <v>35599.632514434699</v>
      </c>
      <c r="AT389" s="2">
        <v>59783.3665102308</v>
      </c>
      <c r="AU389" s="2">
        <v>249028.564577579</v>
      </c>
      <c r="AV389" s="2">
        <v>167863.277030428</v>
      </c>
      <c r="AW389" s="2">
        <v>180758.07179677999</v>
      </c>
      <c r="AX389" s="2">
        <v>84237.685840429607</v>
      </c>
    </row>
    <row r="390" spans="1:50" x14ac:dyDescent="0.25">
      <c r="A390" s="2" t="s">
        <v>3313</v>
      </c>
      <c r="B390" s="2">
        <v>695.48785851890204</v>
      </c>
      <c r="C390" s="2">
        <v>13.8921333333333</v>
      </c>
      <c r="D390" s="2" t="s">
        <v>51</v>
      </c>
      <c r="E390" s="2" t="s">
        <v>3314</v>
      </c>
      <c r="F390" s="2">
        <v>21081</v>
      </c>
      <c r="G390" s="3" t="str">
        <f>HYPERLINK("https://cloud.oebiotech.com/#/lm/network/21081", "https://cloud.oebiotech.com/#/lm/network/21081")</f>
        <v>https://cloud.oebiotech.com/#/lm/network/21081</v>
      </c>
      <c r="H390" s="2" t="s">
        <v>3315</v>
      </c>
      <c r="I390" s="2">
        <v>62157</v>
      </c>
      <c r="J390" s="2" t="s">
        <v>3316</v>
      </c>
      <c r="K390" s="2">
        <v>52925054</v>
      </c>
      <c r="L390" s="2"/>
      <c r="M390" s="2"/>
      <c r="N390" s="2"/>
      <c r="O390" s="2"/>
      <c r="P390" s="2"/>
      <c r="Q390" s="2"/>
      <c r="R390" s="2"/>
      <c r="S390" s="2" t="s">
        <v>3317</v>
      </c>
      <c r="T390" s="2" t="s">
        <v>3318</v>
      </c>
      <c r="U390" s="2" t="s">
        <v>56</v>
      </c>
      <c r="V390" s="2" t="s">
        <v>57</v>
      </c>
      <c r="W390" s="2" t="s">
        <v>155</v>
      </c>
      <c r="X390" s="2" t="s">
        <v>147</v>
      </c>
      <c r="Y390" s="2">
        <v>38.799999999999997</v>
      </c>
      <c r="Z390" s="2">
        <v>0.13700000000000001</v>
      </c>
      <c r="AA390" s="2" t="s">
        <v>122</v>
      </c>
      <c r="AB390" s="2" t="s">
        <v>3319</v>
      </c>
      <c r="AC390" s="2">
        <v>-1.62734095504475</v>
      </c>
      <c r="AD390" s="2"/>
      <c r="AE390" s="2">
        <v>1.2423130226314001</v>
      </c>
      <c r="AF390" s="2">
        <v>117287.165388729</v>
      </c>
      <c r="AG390" s="2">
        <v>81538.697414691298</v>
      </c>
      <c r="AH390" s="5">
        <v>1.4384233389482299</v>
      </c>
      <c r="AI390" s="5">
        <v>0.52448833441306797</v>
      </c>
      <c r="AJ390" s="5" t="s">
        <v>139</v>
      </c>
      <c r="AK390" s="2">
        <v>0.17195577818652799</v>
      </c>
      <c r="AL390" s="2">
        <v>0.49215166418631001</v>
      </c>
      <c r="AM390" s="2">
        <v>213058.52579407001</v>
      </c>
      <c r="AN390" s="2">
        <v>121545.553242091</v>
      </c>
      <c r="AO390" s="2">
        <v>89609.832289168204</v>
      </c>
      <c r="AP390" s="2">
        <v>107228.66311989901</v>
      </c>
      <c r="AQ390" s="2">
        <v>93190.601159312602</v>
      </c>
      <c r="AR390" s="2">
        <v>79089.816727835903</v>
      </c>
      <c r="AS390" s="2">
        <v>72650.100587242297</v>
      </c>
      <c r="AT390" s="2">
        <v>88884.283225562904</v>
      </c>
      <c r="AU390" s="2">
        <v>130429.752715972</v>
      </c>
      <c r="AV390" s="2">
        <v>40601.922231790501</v>
      </c>
      <c r="AW390" s="2">
        <v>51942.7174475551</v>
      </c>
      <c r="AX390" s="2">
        <v>104723.408280025</v>
      </c>
    </row>
    <row r="391" spans="1:50" x14ac:dyDescent="0.25">
      <c r="A391" s="2" t="s">
        <v>3320</v>
      </c>
      <c r="B391" s="2">
        <v>667.45619391682897</v>
      </c>
      <c r="C391" s="2">
        <v>14.35215</v>
      </c>
      <c r="D391" s="2" t="s">
        <v>51</v>
      </c>
      <c r="E391" s="2" t="s">
        <v>3321</v>
      </c>
      <c r="F391" s="2">
        <v>136105</v>
      </c>
      <c r="G391" s="3" t="str">
        <f>HYPERLINK("https://cloud.oebiotech.com/#/lm/network/136105", "https://cloud.oebiotech.com/#/lm/network/136105")</f>
        <v>https://cloud.oebiotech.com/#/lm/network/136105</v>
      </c>
      <c r="H391" s="2" t="s">
        <v>3322</v>
      </c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 t="s">
        <v>3323</v>
      </c>
      <c r="T391" s="2" t="s">
        <v>3324</v>
      </c>
      <c r="U391" s="2" t="s">
        <v>56</v>
      </c>
      <c r="V391" s="2" t="s">
        <v>145</v>
      </c>
      <c r="W391" s="2" t="s">
        <v>231</v>
      </c>
      <c r="X391" s="2" t="s">
        <v>59</v>
      </c>
      <c r="Y391" s="2">
        <v>56.6</v>
      </c>
      <c r="Z391" s="2">
        <v>94.3</v>
      </c>
      <c r="AA391" s="2" t="s">
        <v>60</v>
      </c>
      <c r="AB391" s="2" t="s">
        <v>3325</v>
      </c>
      <c r="AC391" s="2">
        <v>2.7446748361710398</v>
      </c>
      <c r="AD391" s="2"/>
      <c r="AE391" s="2">
        <v>1.2343893297682</v>
      </c>
      <c r="AF391" s="2">
        <v>253847.27414597</v>
      </c>
      <c r="AG391" s="2">
        <v>187253.31711414701</v>
      </c>
      <c r="AH391" s="5">
        <v>1.3556356600680599</v>
      </c>
      <c r="AI391" s="5">
        <v>0.43896949260338802</v>
      </c>
      <c r="AJ391" s="5" t="s">
        <v>139</v>
      </c>
      <c r="AK391" s="2">
        <v>0.56274185510736097</v>
      </c>
      <c r="AL391" s="2">
        <v>0.78064040599162898</v>
      </c>
      <c r="AM391" s="2">
        <v>300989.99129855202</v>
      </c>
      <c r="AN391" s="2">
        <v>698563.66115678404</v>
      </c>
      <c r="AO391" s="2">
        <v>165221.187951873</v>
      </c>
      <c r="AP391" s="2">
        <v>107877.111418808</v>
      </c>
      <c r="AQ391" s="2">
        <v>93971.693382415106</v>
      </c>
      <c r="AR391" s="2">
        <v>156459.999667389</v>
      </c>
      <c r="AS391" s="2">
        <v>77375.514550734093</v>
      </c>
      <c r="AT391" s="2">
        <v>86074.110524303804</v>
      </c>
      <c r="AU391" s="2">
        <v>348305.414274376</v>
      </c>
      <c r="AV391" s="2">
        <v>117112.588346465</v>
      </c>
      <c r="AW391" s="2">
        <v>94541.614865246505</v>
      </c>
      <c r="AX391" s="2">
        <v>400110.66012375901</v>
      </c>
    </row>
    <row r="392" spans="1:50" x14ac:dyDescent="0.25">
      <c r="A392" s="2" t="s">
        <v>3326</v>
      </c>
      <c r="B392" s="2">
        <v>391.28570496328598</v>
      </c>
      <c r="C392" s="2">
        <v>10.1415333333333</v>
      </c>
      <c r="D392" s="2" t="s">
        <v>51</v>
      </c>
      <c r="E392" s="2" t="s">
        <v>3327</v>
      </c>
      <c r="F392" s="2">
        <v>45895</v>
      </c>
      <c r="G392" s="3" t="str">
        <f>HYPERLINK("https://cloud.oebiotech.com/#/lm/network/45895", "https://cloud.oebiotech.com/#/lm/network/45895")</f>
        <v>https://cloud.oebiotech.com/#/lm/network/45895</v>
      </c>
      <c r="H392" s="2" t="s">
        <v>3328</v>
      </c>
      <c r="I392" s="2">
        <v>207</v>
      </c>
      <c r="J392" s="2" t="s">
        <v>3329</v>
      </c>
      <c r="K392" s="2">
        <v>10133</v>
      </c>
      <c r="L392" s="2" t="s">
        <v>3330</v>
      </c>
      <c r="M392" s="2" t="s">
        <v>3331</v>
      </c>
      <c r="N392" s="2" t="s">
        <v>3332</v>
      </c>
      <c r="O392" s="2">
        <v>16755</v>
      </c>
      <c r="P392" s="2"/>
      <c r="Q392" s="2"/>
      <c r="R392" s="2" t="s">
        <v>3333</v>
      </c>
      <c r="S392" s="2" t="s">
        <v>3334</v>
      </c>
      <c r="T392" s="2" t="s">
        <v>3335</v>
      </c>
      <c r="U392" s="2" t="s">
        <v>56</v>
      </c>
      <c r="V392" s="2" t="s">
        <v>283</v>
      </c>
      <c r="W392" s="2" t="s">
        <v>2042</v>
      </c>
      <c r="X392" s="2" t="s">
        <v>83</v>
      </c>
      <c r="Y392" s="2">
        <v>55.6</v>
      </c>
      <c r="Z392" s="2">
        <v>22.4</v>
      </c>
      <c r="AA392" s="2" t="s">
        <v>2043</v>
      </c>
      <c r="AB392" s="2" t="s">
        <v>3336</v>
      </c>
      <c r="AC392" s="2">
        <v>0.81988341554731803</v>
      </c>
      <c r="AD392" s="2"/>
      <c r="AE392" s="2">
        <v>1.2340600141714799</v>
      </c>
      <c r="AF392" s="2">
        <v>189685.446270605</v>
      </c>
      <c r="AG392" s="2">
        <v>55262.858342194602</v>
      </c>
      <c r="AH392" s="5">
        <v>3.4324219188238398</v>
      </c>
      <c r="AI392" s="5">
        <v>1.7792269021329301</v>
      </c>
      <c r="AJ392" s="5" t="s">
        <v>139</v>
      </c>
      <c r="AK392" s="2">
        <v>0.39421331559242601</v>
      </c>
      <c r="AL392" s="2">
        <v>0.666522226182239</v>
      </c>
      <c r="AM392" s="2">
        <v>8.559877937157E-6</v>
      </c>
      <c r="AN392" s="2">
        <v>3732.7091049670398</v>
      </c>
      <c r="AO392" s="2">
        <v>544.72352154578402</v>
      </c>
      <c r="AP392" s="2">
        <v>8.559877937157E-6</v>
      </c>
      <c r="AQ392" s="2">
        <v>912787.27290556103</v>
      </c>
      <c r="AR392" s="2">
        <v>221047.97207443899</v>
      </c>
      <c r="AS392" s="2">
        <v>2706.4319198971798</v>
      </c>
      <c r="AT392" s="2">
        <v>118581.043925797</v>
      </c>
      <c r="AU392" s="2">
        <v>127374.92178716</v>
      </c>
      <c r="AV392" s="2">
        <v>75476.9244551335</v>
      </c>
      <c r="AW392" s="2">
        <v>6410.9171198392696</v>
      </c>
      <c r="AX392" s="2">
        <v>1026.9108453405399</v>
      </c>
    </row>
    <row r="393" spans="1:50" x14ac:dyDescent="0.25">
      <c r="A393" s="2" t="s">
        <v>1131</v>
      </c>
      <c r="B393" s="2">
        <v>411.00719448146998</v>
      </c>
      <c r="C393" s="2">
        <v>9.6639666666666706</v>
      </c>
      <c r="D393" s="2" t="s">
        <v>51</v>
      </c>
      <c r="E393" s="2" t="s">
        <v>1132</v>
      </c>
      <c r="F393" s="2">
        <v>201340</v>
      </c>
      <c r="G393" s="3" t="str">
        <f>HYPERLINK("https://cloud.oebiotech.com/#/lm/network/201340", "https://cloud.oebiotech.com/#/lm/network/201340")</f>
        <v>https://cloud.oebiotech.com/#/lm/network/201340</v>
      </c>
      <c r="H393" s="2" t="s">
        <v>1133</v>
      </c>
      <c r="I393" s="2"/>
      <c r="J393" s="2"/>
      <c r="K393" s="2">
        <v>439620</v>
      </c>
      <c r="L393" s="2" t="s">
        <v>1134</v>
      </c>
      <c r="M393" s="2" t="s">
        <v>1135</v>
      </c>
      <c r="N393" s="2" t="s">
        <v>1136</v>
      </c>
      <c r="O393" s="2">
        <v>30926</v>
      </c>
      <c r="P393" s="2"/>
      <c r="Q393" s="2"/>
      <c r="R393" s="2"/>
      <c r="S393" s="2" t="s">
        <v>1137</v>
      </c>
      <c r="T393" s="2" t="s">
        <v>1138</v>
      </c>
      <c r="U393" s="2" t="s">
        <v>103</v>
      </c>
      <c r="V393" s="2" t="s">
        <v>104</v>
      </c>
      <c r="W393" s="2" t="s">
        <v>1139</v>
      </c>
      <c r="X393" s="2" t="s">
        <v>147</v>
      </c>
      <c r="Y393" s="2">
        <v>37.799999999999997</v>
      </c>
      <c r="Z393" s="2">
        <v>0.161</v>
      </c>
      <c r="AA393" s="2" t="s">
        <v>478</v>
      </c>
      <c r="AB393" s="2" t="s">
        <v>1140</v>
      </c>
      <c r="AC393" s="2">
        <v>4.7003804716161897</v>
      </c>
      <c r="AD393" s="2"/>
      <c r="AE393" s="2">
        <v>1.2336887736272899</v>
      </c>
      <c r="AF393" s="2">
        <v>167390.55639230501</v>
      </c>
      <c r="AG393" s="2">
        <v>195903.29147877599</v>
      </c>
      <c r="AH393" s="4">
        <v>0.854455048349404</v>
      </c>
      <c r="AI393" s="4">
        <v>-0.22692349909974099</v>
      </c>
      <c r="AJ393" s="4" t="s">
        <v>62</v>
      </c>
      <c r="AK393" s="2">
        <v>1.7842648471672301E-3</v>
      </c>
      <c r="AL393" s="2">
        <v>9.9661006488224596E-2</v>
      </c>
      <c r="AM393" s="2">
        <v>149637.99722025599</v>
      </c>
      <c r="AN393" s="2">
        <v>163937.515571909</v>
      </c>
      <c r="AO393" s="2">
        <v>168111.399423658</v>
      </c>
      <c r="AP393" s="2">
        <v>174245.65998125501</v>
      </c>
      <c r="AQ393" s="2">
        <v>185044.722350717</v>
      </c>
      <c r="AR393" s="2">
        <v>163366.04380603501</v>
      </c>
      <c r="AS393" s="2">
        <v>200833.01848003501</v>
      </c>
      <c r="AT393" s="2">
        <v>204279.35944105999</v>
      </c>
      <c r="AU393" s="2">
        <v>174296.25648682399</v>
      </c>
      <c r="AV393" s="2">
        <v>205835.70411302001</v>
      </c>
      <c r="AW393" s="2">
        <v>193002.91244672</v>
      </c>
      <c r="AX393" s="2">
        <v>197172.497904997</v>
      </c>
    </row>
    <row r="394" spans="1:50" x14ac:dyDescent="0.25">
      <c r="A394" s="2" t="s">
        <v>1141</v>
      </c>
      <c r="B394" s="2">
        <v>370.25994992325798</v>
      </c>
      <c r="C394" s="2">
        <v>9.6638500000000001</v>
      </c>
      <c r="D394" s="2" t="s">
        <v>51</v>
      </c>
      <c r="E394" s="2" t="s">
        <v>1142</v>
      </c>
      <c r="F394" s="2">
        <v>4342</v>
      </c>
      <c r="G394" s="3" t="str">
        <f>HYPERLINK("https://cloud.oebiotech.com/#/lm/network/4342", "https://cloud.oebiotech.com/#/lm/network/4342")</f>
        <v>https://cloud.oebiotech.com/#/lm/network/4342</v>
      </c>
      <c r="H394" s="2"/>
      <c r="I394" s="2"/>
      <c r="J394" s="2" t="s">
        <v>1143</v>
      </c>
      <c r="K394" s="2">
        <v>131839978</v>
      </c>
      <c r="L394" s="2"/>
      <c r="M394" s="2"/>
      <c r="N394" s="2"/>
      <c r="O394" s="2"/>
      <c r="P394" s="2"/>
      <c r="Q394" s="2"/>
      <c r="R394" s="2"/>
      <c r="S394" s="2" t="s">
        <v>1144</v>
      </c>
      <c r="T394" s="2" t="s">
        <v>1145</v>
      </c>
      <c r="U394" s="2" t="s">
        <v>56</v>
      </c>
      <c r="V394" s="2" t="s">
        <v>145</v>
      </c>
      <c r="W394" s="2" t="s">
        <v>187</v>
      </c>
      <c r="X394" s="2" t="s">
        <v>59</v>
      </c>
      <c r="Y394" s="2">
        <v>51.5</v>
      </c>
      <c r="Z394" s="2">
        <v>78.3</v>
      </c>
      <c r="AA394" s="2" t="s">
        <v>512</v>
      </c>
      <c r="AB394" s="2" t="s">
        <v>380</v>
      </c>
      <c r="AC394" s="2">
        <v>3.2657230529367101</v>
      </c>
      <c r="AD394" s="2"/>
      <c r="AE394" s="2">
        <v>1.2308307658130999</v>
      </c>
      <c r="AF394" s="2">
        <v>69192.183644294797</v>
      </c>
      <c r="AG394" s="2">
        <v>31459.900334566599</v>
      </c>
      <c r="AH394" s="5">
        <v>2.1993770771190202</v>
      </c>
      <c r="AI394" s="5">
        <v>1.1370949714746901</v>
      </c>
      <c r="AJ394" s="5" t="s">
        <v>139</v>
      </c>
      <c r="AK394" s="2">
        <v>9.4060950752970305E-3</v>
      </c>
      <c r="AL394" s="2">
        <v>0.159259654379001</v>
      </c>
      <c r="AM394" s="2">
        <v>58307.268691707701</v>
      </c>
      <c r="AN394" s="2">
        <v>89997.580122826199</v>
      </c>
      <c r="AO394" s="2">
        <v>57448.597650597403</v>
      </c>
      <c r="AP394" s="2">
        <v>38913.493708688598</v>
      </c>
      <c r="AQ394" s="2">
        <v>112832.41596357799</v>
      </c>
      <c r="AR394" s="2">
        <v>57653.745728371003</v>
      </c>
      <c r="AS394" s="2">
        <v>45844.733607081202</v>
      </c>
      <c r="AT394" s="2">
        <v>26320.421235199799</v>
      </c>
      <c r="AU394" s="2">
        <v>30171.761310779999</v>
      </c>
      <c r="AV394" s="2">
        <v>17389.4801364429</v>
      </c>
      <c r="AW394" s="2">
        <v>28954.940663873698</v>
      </c>
      <c r="AX394" s="2">
        <v>40078.065054022001</v>
      </c>
    </row>
    <row r="395" spans="1:50" x14ac:dyDescent="0.25">
      <c r="A395" s="2" t="s">
        <v>1146</v>
      </c>
      <c r="B395" s="2">
        <v>557.41486198842495</v>
      </c>
      <c r="C395" s="2">
        <v>11.999083333333299</v>
      </c>
      <c r="D395" s="2" t="s">
        <v>51</v>
      </c>
      <c r="E395" s="2" t="s">
        <v>1147</v>
      </c>
      <c r="F395" s="2">
        <v>251529</v>
      </c>
      <c r="G395" s="3" t="str">
        <f>HYPERLINK("https://cloud.oebiotech.com/#/lm/network/251529", "https://cloud.oebiotech.com/#/lm/network/251529")</f>
        <v>https://cloud.oebiotech.com/#/lm/network/251529</v>
      </c>
      <c r="H395" s="2" t="s">
        <v>1148</v>
      </c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 t="s">
        <v>1149</v>
      </c>
      <c r="T395" s="2" t="s">
        <v>1150</v>
      </c>
      <c r="U395" s="2" t="s">
        <v>56</v>
      </c>
      <c r="V395" s="2" t="s">
        <v>145</v>
      </c>
      <c r="W395" s="2" t="s">
        <v>187</v>
      </c>
      <c r="X395" s="2" t="s">
        <v>83</v>
      </c>
      <c r="Y395" s="2">
        <v>38.1</v>
      </c>
      <c r="Z395" s="2">
        <v>0</v>
      </c>
      <c r="AA395" s="2" t="s">
        <v>156</v>
      </c>
      <c r="AB395" s="2" t="s">
        <v>1151</v>
      </c>
      <c r="AC395" s="2">
        <v>-9.0339974681083905</v>
      </c>
      <c r="AD395" s="2"/>
      <c r="AE395" s="2">
        <v>1.2262862116888</v>
      </c>
      <c r="AF395" s="2">
        <v>96063.213143450499</v>
      </c>
      <c r="AG395" s="2">
        <v>128358.499482502</v>
      </c>
      <c r="AH395" s="4">
        <v>0.74839775730274904</v>
      </c>
      <c r="AI395" s="4">
        <v>-0.418122859575702</v>
      </c>
      <c r="AJ395" s="4" t="s">
        <v>62</v>
      </c>
      <c r="AK395" s="2">
        <v>2.6043348679762501E-2</v>
      </c>
      <c r="AL395" s="2">
        <v>0.24798394490570699</v>
      </c>
      <c r="AM395" s="2">
        <v>64960.150551583698</v>
      </c>
      <c r="AN395" s="2">
        <v>82832.327903793295</v>
      </c>
      <c r="AO395" s="2">
        <v>81555.690083512207</v>
      </c>
      <c r="AP395" s="2">
        <v>103540.91640333799</v>
      </c>
      <c r="AQ395" s="2">
        <v>128061.980972647</v>
      </c>
      <c r="AR395" s="2">
        <v>115428.212945829</v>
      </c>
      <c r="AS395" s="2">
        <v>146284.72501475801</v>
      </c>
      <c r="AT395" s="2">
        <v>145442.98187066099</v>
      </c>
      <c r="AU395" s="2">
        <v>101459.155509028</v>
      </c>
      <c r="AV395" s="2">
        <v>108985.816732949</v>
      </c>
      <c r="AW395" s="2">
        <v>136242.60393303301</v>
      </c>
      <c r="AX395" s="2">
        <v>131735.713834583</v>
      </c>
    </row>
    <row r="396" spans="1:50" x14ac:dyDescent="0.25">
      <c r="A396" s="2" t="s">
        <v>1152</v>
      </c>
      <c r="B396" s="2">
        <v>353.23354634573201</v>
      </c>
      <c r="C396" s="2">
        <v>8.7284333333333297</v>
      </c>
      <c r="D396" s="2" t="s">
        <v>51</v>
      </c>
      <c r="E396" s="2" t="s">
        <v>1153</v>
      </c>
      <c r="F396" s="2">
        <v>200012</v>
      </c>
      <c r="G396" s="3" t="str">
        <f>HYPERLINK("https://cloud.oebiotech.com/#/lm/network/200012", "https://cloud.oebiotech.com/#/lm/network/200012")</f>
        <v>https://cloud.oebiotech.com/#/lm/network/200012</v>
      </c>
      <c r="H396" s="2" t="s">
        <v>1154</v>
      </c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 t="s">
        <v>1155</v>
      </c>
      <c r="T396" s="2" t="s">
        <v>1156</v>
      </c>
      <c r="U396" s="2" t="s">
        <v>56</v>
      </c>
      <c r="V396" s="2" t="s">
        <v>145</v>
      </c>
      <c r="W396" s="2" t="s">
        <v>187</v>
      </c>
      <c r="X396" s="2" t="s">
        <v>83</v>
      </c>
      <c r="Y396" s="2">
        <v>61.4</v>
      </c>
      <c r="Z396" s="2">
        <v>35.1</v>
      </c>
      <c r="AA396" s="2" t="s">
        <v>163</v>
      </c>
      <c r="AB396" s="2" t="s">
        <v>550</v>
      </c>
      <c r="AC396" s="2">
        <v>0.56060637358023302</v>
      </c>
      <c r="AD396" s="2"/>
      <c r="AE396" s="2">
        <v>1.22562575421692</v>
      </c>
      <c r="AF396" s="2">
        <v>109801.76950988</v>
      </c>
      <c r="AG396" s="2">
        <v>72646.4797044523</v>
      </c>
      <c r="AH396" s="5">
        <v>1.5114534104967901</v>
      </c>
      <c r="AI396" s="5">
        <v>0.59593650957683597</v>
      </c>
      <c r="AJ396" s="5" t="s">
        <v>139</v>
      </c>
      <c r="AK396" s="2">
        <v>1.5416498272818E-2</v>
      </c>
      <c r="AL396" s="2">
        <v>0.196993902176336</v>
      </c>
      <c r="AM396" s="2">
        <v>118497.88827121</v>
      </c>
      <c r="AN396" s="2">
        <v>115307.093522394</v>
      </c>
      <c r="AO396" s="2">
        <v>113340.80002685</v>
      </c>
      <c r="AP396" s="2">
        <v>102794.121546764</v>
      </c>
      <c r="AQ396" s="2">
        <v>85851.178475711204</v>
      </c>
      <c r="AR396" s="2">
        <v>123019.535216352</v>
      </c>
      <c r="AS396" s="2">
        <v>89696.957156900695</v>
      </c>
      <c r="AT396" s="2">
        <v>42410.349851882398</v>
      </c>
      <c r="AU396" s="2">
        <v>109985.41372170601</v>
      </c>
      <c r="AV396" s="2">
        <v>42623.2787048432</v>
      </c>
      <c r="AW396" s="2">
        <v>90386.362498115603</v>
      </c>
      <c r="AX396" s="2">
        <v>60776.516293265602</v>
      </c>
    </row>
    <row r="397" spans="1:50" x14ac:dyDescent="0.25">
      <c r="A397" s="2" t="s">
        <v>1157</v>
      </c>
      <c r="B397" s="2">
        <v>561.03652310850998</v>
      </c>
      <c r="C397" s="2">
        <v>9.9108499999999999</v>
      </c>
      <c r="D397" s="2" t="s">
        <v>51</v>
      </c>
      <c r="E397" s="2" t="s">
        <v>1158</v>
      </c>
      <c r="F397" s="2">
        <v>64162</v>
      </c>
      <c r="G397" s="3" t="str">
        <f>HYPERLINK("https://cloud.oebiotech.com/#/lm/network/64162", "https://cloud.oebiotech.com/#/lm/network/64162")</f>
        <v>https://cloud.oebiotech.com/#/lm/network/64162</v>
      </c>
      <c r="H397" s="2" t="s">
        <v>1159</v>
      </c>
      <c r="I397" s="2">
        <v>95485</v>
      </c>
      <c r="J397" s="2"/>
      <c r="K397" s="2">
        <v>59288250</v>
      </c>
      <c r="L397" s="2"/>
      <c r="M397" s="2"/>
      <c r="N397" s="2"/>
      <c r="O397" s="2"/>
      <c r="P397" s="2"/>
      <c r="Q397" s="2"/>
      <c r="R397" s="2"/>
      <c r="S397" s="2" t="s">
        <v>1160</v>
      </c>
      <c r="T397" s="2" t="s">
        <v>1161</v>
      </c>
      <c r="U397" s="2" t="s">
        <v>103</v>
      </c>
      <c r="V397" s="2" t="s">
        <v>104</v>
      </c>
      <c r="W397" s="2" t="s">
        <v>105</v>
      </c>
      <c r="X397" s="2" t="s">
        <v>147</v>
      </c>
      <c r="Y397" s="2">
        <v>38.9</v>
      </c>
      <c r="Z397" s="2">
        <v>15.2</v>
      </c>
      <c r="AA397" s="2" t="s">
        <v>478</v>
      </c>
      <c r="AB397" s="2" t="s">
        <v>1162</v>
      </c>
      <c r="AC397" s="2">
        <v>1.7558296758626</v>
      </c>
      <c r="AD397" s="2"/>
      <c r="AE397" s="2">
        <v>1.22503593023329</v>
      </c>
      <c r="AF397" s="2">
        <v>122944.254770855</v>
      </c>
      <c r="AG397" s="2">
        <v>150835.016327183</v>
      </c>
      <c r="AH397" s="4">
        <v>0.81509093686953304</v>
      </c>
      <c r="AI397" s="4">
        <v>-0.29496707008107398</v>
      </c>
      <c r="AJ397" s="4" t="s">
        <v>62</v>
      </c>
      <c r="AK397" s="2">
        <v>2.0768520302682802E-3</v>
      </c>
      <c r="AL397" s="2">
        <v>0.10089723213391601</v>
      </c>
      <c r="AM397" s="2">
        <v>111140.241822301</v>
      </c>
      <c r="AN397" s="2">
        <v>105596.009693934</v>
      </c>
      <c r="AO397" s="2">
        <v>118146.680748161</v>
      </c>
      <c r="AP397" s="2">
        <v>133789.659210699</v>
      </c>
      <c r="AQ397" s="2">
        <v>138623.439762222</v>
      </c>
      <c r="AR397" s="2">
        <v>130369.497387813</v>
      </c>
      <c r="AS397" s="2">
        <v>156794.35977931999</v>
      </c>
      <c r="AT397" s="2">
        <v>158338.810486912</v>
      </c>
      <c r="AU397" s="2">
        <v>135731.793064809</v>
      </c>
      <c r="AV397" s="2">
        <v>161799.57367752201</v>
      </c>
      <c r="AW397" s="2">
        <v>144022.45231008399</v>
      </c>
      <c r="AX397" s="2">
        <v>148323.108644452</v>
      </c>
    </row>
    <row r="398" spans="1:50" x14ac:dyDescent="0.25">
      <c r="A398" s="2" t="s">
        <v>3337</v>
      </c>
      <c r="B398" s="2">
        <v>372.34846769473</v>
      </c>
      <c r="C398" s="2">
        <v>10.011466666666699</v>
      </c>
      <c r="D398" s="2" t="s">
        <v>51</v>
      </c>
      <c r="E398" s="2" t="s">
        <v>3338</v>
      </c>
      <c r="F398" s="2">
        <v>2140</v>
      </c>
      <c r="G398" s="3" t="str">
        <f>HYPERLINK("https://cloud.oebiotech.com/#/lm/network/2140", "https://cloud.oebiotech.com/#/lm/network/2140")</f>
        <v>https://cloud.oebiotech.com/#/lm/network/2140</v>
      </c>
      <c r="H398" s="2"/>
      <c r="I398" s="2">
        <v>74777</v>
      </c>
      <c r="J398" s="2" t="s">
        <v>3339</v>
      </c>
      <c r="K398" s="2">
        <v>5312927</v>
      </c>
      <c r="L398" s="2"/>
      <c r="M398" s="2"/>
      <c r="N398" s="2"/>
      <c r="O398" s="2"/>
      <c r="P398" s="2"/>
      <c r="Q398" s="2"/>
      <c r="R398" s="2"/>
      <c r="S398" s="2" t="s">
        <v>3340</v>
      </c>
      <c r="T398" s="2" t="s">
        <v>3341</v>
      </c>
      <c r="U398" s="2" t="s">
        <v>56</v>
      </c>
      <c r="V398" s="2" t="s">
        <v>145</v>
      </c>
      <c r="W398" s="2" t="s">
        <v>231</v>
      </c>
      <c r="X398" s="2" t="s">
        <v>147</v>
      </c>
      <c r="Y398" s="2">
        <v>41.5</v>
      </c>
      <c r="Z398" s="2">
        <v>15.7</v>
      </c>
      <c r="AA398" s="2" t="s">
        <v>512</v>
      </c>
      <c r="AB398" s="2" t="s">
        <v>3342</v>
      </c>
      <c r="AC398" s="2">
        <v>3.5193676756018601</v>
      </c>
      <c r="AD398" s="2"/>
      <c r="AE398" s="2">
        <v>1.22479846494654</v>
      </c>
      <c r="AF398" s="2">
        <v>12123.502700903</v>
      </c>
      <c r="AG398" s="2">
        <v>87461.230585947298</v>
      </c>
      <c r="AH398" s="4">
        <v>0.13861573430514801</v>
      </c>
      <c r="AI398" s="4">
        <v>-2.8508370674582002</v>
      </c>
      <c r="AJ398" s="4" t="s">
        <v>62</v>
      </c>
      <c r="AK398" s="2">
        <v>0.35570558543703001</v>
      </c>
      <c r="AL398" s="2">
        <v>0.64439059109587704</v>
      </c>
      <c r="AM398" s="2">
        <v>124.946364156652</v>
      </c>
      <c r="AN398" s="2">
        <v>8.559877937157E-6</v>
      </c>
      <c r="AO398" s="2">
        <v>4694.15453414067</v>
      </c>
      <c r="AP398" s="2">
        <v>45646.315059360197</v>
      </c>
      <c r="AQ398" s="2">
        <v>21790.7514670048</v>
      </c>
      <c r="AR398" s="2">
        <v>484.84877219552101</v>
      </c>
      <c r="AS398" s="2">
        <v>13705.8347668141</v>
      </c>
      <c r="AT398" s="2">
        <v>25185.040826124699</v>
      </c>
      <c r="AU398" s="2">
        <v>11720.801317899501</v>
      </c>
      <c r="AV398" s="2">
        <v>8.559877937157E-6</v>
      </c>
      <c r="AW398" s="2">
        <v>8.559877937157E-6</v>
      </c>
      <c r="AX398" s="2">
        <v>474155.70658772602</v>
      </c>
    </row>
    <row r="399" spans="1:50" x14ac:dyDescent="0.25">
      <c r="A399" s="2" t="s">
        <v>3343</v>
      </c>
      <c r="B399" s="2">
        <v>631.49311078558605</v>
      </c>
      <c r="C399" s="2">
        <v>13.831099999999999</v>
      </c>
      <c r="D399" s="2" t="s">
        <v>51</v>
      </c>
      <c r="E399" s="2" t="s">
        <v>3344</v>
      </c>
      <c r="F399" s="2">
        <v>252355</v>
      </c>
      <c r="G399" s="3" t="str">
        <f>HYPERLINK("https://cloud.oebiotech.com/#/lm/network/252355", "https://cloud.oebiotech.com/#/lm/network/252355")</f>
        <v>https://cloud.oebiotech.com/#/lm/network/252355</v>
      </c>
      <c r="H399" s="2" t="s">
        <v>3345</v>
      </c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 t="s">
        <v>3346</v>
      </c>
      <c r="T399" s="2" t="s">
        <v>3347</v>
      </c>
      <c r="U399" s="2" t="s">
        <v>56</v>
      </c>
      <c r="V399" s="2" t="s">
        <v>3215</v>
      </c>
      <c r="W399" s="2" t="s">
        <v>3216</v>
      </c>
      <c r="X399" s="2" t="s">
        <v>59</v>
      </c>
      <c r="Y399" s="2">
        <v>56.8</v>
      </c>
      <c r="Z399" s="2">
        <v>92.9</v>
      </c>
      <c r="AA399" s="2" t="s">
        <v>95</v>
      </c>
      <c r="AB399" s="2" t="s">
        <v>3348</v>
      </c>
      <c r="AC399" s="2">
        <v>3.7801174302446001</v>
      </c>
      <c r="AD399" s="2"/>
      <c r="AE399" s="2">
        <v>1.2226423441543799</v>
      </c>
      <c r="AF399" s="2">
        <v>217153.10410047599</v>
      </c>
      <c r="AG399" s="2">
        <v>163720.85245231399</v>
      </c>
      <c r="AH399" s="5">
        <v>1.3263619193756899</v>
      </c>
      <c r="AI399" s="5">
        <v>0.407474491924814</v>
      </c>
      <c r="AJ399" s="5" t="s">
        <v>139</v>
      </c>
      <c r="AK399" s="2">
        <v>0.42460455557443599</v>
      </c>
      <c r="AL399" s="2">
        <v>0.68372043570529595</v>
      </c>
      <c r="AM399" s="2">
        <v>200021.56935080199</v>
      </c>
      <c r="AN399" s="2">
        <v>491545.52838323102</v>
      </c>
      <c r="AO399" s="2">
        <v>238703.03275958099</v>
      </c>
      <c r="AP399" s="2">
        <v>128914.375472457</v>
      </c>
      <c r="AQ399" s="2">
        <v>161949.06530407601</v>
      </c>
      <c r="AR399" s="2">
        <v>81785.053332707597</v>
      </c>
      <c r="AS399" s="2">
        <v>58428.771209934799</v>
      </c>
      <c r="AT399" s="2">
        <v>183306.763596584</v>
      </c>
      <c r="AU399" s="2">
        <v>231060.324331646</v>
      </c>
      <c r="AV399" s="2">
        <v>180496.93526154701</v>
      </c>
      <c r="AW399" s="2">
        <v>132018.45546625301</v>
      </c>
      <c r="AX399" s="2">
        <v>197013.86484792101</v>
      </c>
    </row>
    <row r="400" spans="1:50" x14ac:dyDescent="0.25">
      <c r="A400" s="2" t="s">
        <v>1163</v>
      </c>
      <c r="B400" s="2">
        <v>311.222934112264</v>
      </c>
      <c r="C400" s="2">
        <v>8.53006666666667</v>
      </c>
      <c r="D400" s="2" t="s">
        <v>51</v>
      </c>
      <c r="E400" s="2" t="s">
        <v>1164</v>
      </c>
      <c r="F400" s="2">
        <v>538</v>
      </c>
      <c r="G400" s="3" t="str">
        <f>HYPERLINK("https://cloud.oebiotech.com/#/lm/network/538", "https://cloud.oebiotech.com/#/lm/network/538")</f>
        <v>https://cloud.oebiotech.com/#/lm/network/538</v>
      </c>
      <c r="H400" s="2"/>
      <c r="I400" s="2">
        <v>34718</v>
      </c>
      <c r="J400" s="2" t="s">
        <v>1165</v>
      </c>
      <c r="K400" s="2">
        <v>35860</v>
      </c>
      <c r="L400" s="2"/>
      <c r="M400" s="2"/>
      <c r="N400" s="2"/>
      <c r="O400" s="2"/>
      <c r="P400" s="2"/>
      <c r="Q400" s="2"/>
      <c r="R400" s="2"/>
      <c r="S400" s="2" t="s">
        <v>1166</v>
      </c>
      <c r="T400" s="2" t="s">
        <v>1167</v>
      </c>
      <c r="U400" s="2" t="s">
        <v>56</v>
      </c>
      <c r="V400" s="2" t="s">
        <v>145</v>
      </c>
      <c r="W400" s="2" t="s">
        <v>231</v>
      </c>
      <c r="X400" s="2" t="s">
        <v>69</v>
      </c>
      <c r="Y400" s="2">
        <v>65.3</v>
      </c>
      <c r="Z400" s="2">
        <v>59.7</v>
      </c>
      <c r="AA400" s="2" t="s">
        <v>478</v>
      </c>
      <c r="AB400" s="2" t="s">
        <v>1168</v>
      </c>
      <c r="AC400" s="2">
        <v>0.48374517393044902</v>
      </c>
      <c r="AD400" s="2"/>
      <c r="AE400" s="2">
        <v>1.22149455838537</v>
      </c>
      <c r="AF400" s="2">
        <v>90847.657412599801</v>
      </c>
      <c r="AG400" s="2">
        <v>50503.152852378596</v>
      </c>
      <c r="AH400" s="5">
        <v>1.7988512059464601</v>
      </c>
      <c r="AI400" s="5">
        <v>0.84707585733924795</v>
      </c>
      <c r="AJ400" s="5" t="s">
        <v>139</v>
      </c>
      <c r="AK400" s="2">
        <v>3.46910646978816E-2</v>
      </c>
      <c r="AL400" s="2">
        <v>0.271975767980906</v>
      </c>
      <c r="AM400" s="2">
        <v>75434.267005669899</v>
      </c>
      <c r="AN400" s="2">
        <v>142223.96330349401</v>
      </c>
      <c r="AO400" s="2">
        <v>109986.11220048</v>
      </c>
      <c r="AP400" s="2">
        <v>55696.301354953801</v>
      </c>
      <c r="AQ400" s="2">
        <v>66958.965365108394</v>
      </c>
      <c r="AR400" s="2">
        <v>94786.335245892595</v>
      </c>
      <c r="AS400" s="2">
        <v>77331.501158987507</v>
      </c>
      <c r="AT400" s="2">
        <v>34036.919286555603</v>
      </c>
      <c r="AU400" s="2">
        <v>48674.381131056798</v>
      </c>
      <c r="AV400" s="2">
        <v>14994.3349625921</v>
      </c>
      <c r="AW400" s="2">
        <v>48181.537815672003</v>
      </c>
      <c r="AX400" s="2">
        <v>79800.242759407498</v>
      </c>
    </row>
    <row r="401" spans="1:50" x14ac:dyDescent="0.25">
      <c r="A401" s="2" t="s">
        <v>1169</v>
      </c>
      <c r="B401" s="2">
        <v>401.34255893750998</v>
      </c>
      <c r="C401" s="2">
        <v>14.8127833333333</v>
      </c>
      <c r="D401" s="2" t="s">
        <v>51</v>
      </c>
      <c r="E401" s="2" t="s">
        <v>1170</v>
      </c>
      <c r="F401" s="2">
        <v>46439</v>
      </c>
      <c r="G401" s="3" t="str">
        <f>HYPERLINK("https://cloud.oebiotech.com/#/lm/network/46439", "https://cloud.oebiotech.com/#/lm/network/46439")</f>
        <v>https://cloud.oebiotech.com/#/lm/network/46439</v>
      </c>
      <c r="H401" s="2"/>
      <c r="I401" s="2">
        <v>84854</v>
      </c>
      <c r="J401" s="2" t="s">
        <v>1171</v>
      </c>
      <c r="K401" s="2">
        <v>5284280</v>
      </c>
      <c r="L401" s="2"/>
      <c r="M401" s="2"/>
      <c r="N401" s="2"/>
      <c r="O401" s="2"/>
      <c r="P401" s="2"/>
      <c r="Q401" s="2"/>
      <c r="R401" s="2"/>
      <c r="S401" s="2" t="s">
        <v>1172</v>
      </c>
      <c r="T401" s="2" t="s">
        <v>1173</v>
      </c>
      <c r="U401" s="2" t="s">
        <v>56</v>
      </c>
      <c r="V401" s="2" t="s">
        <v>283</v>
      </c>
      <c r="W401" s="2" t="s">
        <v>1108</v>
      </c>
      <c r="X401" s="2" t="s">
        <v>69</v>
      </c>
      <c r="Y401" s="2">
        <v>60.7</v>
      </c>
      <c r="Z401" s="2">
        <v>54.5</v>
      </c>
      <c r="AA401" s="2" t="s">
        <v>259</v>
      </c>
      <c r="AB401" s="2" t="s">
        <v>1174</v>
      </c>
      <c r="AC401" s="2">
        <v>2.8772348427398602</v>
      </c>
      <c r="AD401" s="2"/>
      <c r="AE401" s="2">
        <v>1.2214498252094299</v>
      </c>
      <c r="AF401" s="2">
        <v>97890.566668428597</v>
      </c>
      <c r="AG401" s="2">
        <v>63312.813389335097</v>
      </c>
      <c r="AH401" s="5">
        <v>1.5461414748142901</v>
      </c>
      <c r="AI401" s="5">
        <v>0.62867233457628502</v>
      </c>
      <c r="AJ401" s="5" t="s">
        <v>139</v>
      </c>
      <c r="AK401" s="2">
        <v>2.2499831010064E-2</v>
      </c>
      <c r="AL401" s="2">
        <v>0.233126521303229</v>
      </c>
      <c r="AM401" s="2">
        <v>99780.425709964606</v>
      </c>
      <c r="AN401" s="2">
        <v>124623.26465692199</v>
      </c>
      <c r="AO401" s="2">
        <v>77663.353326534896</v>
      </c>
      <c r="AP401" s="2">
        <v>104247.67825164599</v>
      </c>
      <c r="AQ401" s="2">
        <v>104237.969361329</v>
      </c>
      <c r="AR401" s="2">
        <v>76790.708704174802</v>
      </c>
      <c r="AS401" s="2">
        <v>69059.6465559809</v>
      </c>
      <c r="AT401" s="2">
        <v>107889.089580934</v>
      </c>
      <c r="AU401" s="2">
        <v>55942.6097154171</v>
      </c>
      <c r="AV401" s="2">
        <v>33619.654718033198</v>
      </c>
      <c r="AW401" s="2">
        <v>67653.996856070604</v>
      </c>
      <c r="AX401" s="2">
        <v>45711.882909574902</v>
      </c>
    </row>
    <row r="402" spans="1:50" x14ac:dyDescent="0.25">
      <c r="A402" s="2" t="s">
        <v>3349</v>
      </c>
      <c r="B402" s="2">
        <v>341.21234467696502</v>
      </c>
      <c r="C402" s="2">
        <v>8.1076499999999996</v>
      </c>
      <c r="D402" s="2" t="s">
        <v>51</v>
      </c>
      <c r="E402" s="2" t="s">
        <v>3350</v>
      </c>
      <c r="F402" s="2">
        <v>5357</v>
      </c>
      <c r="G402" s="3" t="str">
        <f>HYPERLINK("https://cloud.oebiotech.com/#/lm/network/5357", "https://cloud.oebiotech.com/#/lm/network/5357")</f>
        <v>https://cloud.oebiotech.com/#/lm/network/5357</v>
      </c>
      <c r="H402" s="2"/>
      <c r="I402" s="2"/>
      <c r="J402" s="2" t="s">
        <v>3351</v>
      </c>
      <c r="K402" s="2">
        <v>131840772</v>
      </c>
      <c r="L402" s="2"/>
      <c r="M402" s="2"/>
      <c r="N402" s="2"/>
      <c r="O402" s="2"/>
      <c r="P402" s="2"/>
      <c r="Q402" s="2"/>
      <c r="R402" s="2"/>
      <c r="S402" s="2" t="s">
        <v>3352</v>
      </c>
      <c r="T402" s="2" t="s">
        <v>3353</v>
      </c>
      <c r="U402" s="2" t="s">
        <v>56</v>
      </c>
      <c r="V402" s="2" t="s">
        <v>145</v>
      </c>
      <c r="W402" s="2" t="s">
        <v>231</v>
      </c>
      <c r="X402" s="2" t="s">
        <v>59</v>
      </c>
      <c r="Y402" s="2">
        <v>54.9</v>
      </c>
      <c r="Z402" s="2">
        <v>82.1</v>
      </c>
      <c r="AA402" s="2" t="s">
        <v>3354</v>
      </c>
      <c r="AB402" s="2" t="s">
        <v>232</v>
      </c>
      <c r="AC402" s="2">
        <v>3.4155148210398401</v>
      </c>
      <c r="AD402" s="2"/>
      <c r="AE402" s="2">
        <v>1.2184845113202001</v>
      </c>
      <c r="AF402" s="2">
        <v>87402.220074066907</v>
      </c>
      <c r="AG402" s="2">
        <v>53770.219240065802</v>
      </c>
      <c r="AH402" s="5">
        <v>1.6254763567886099</v>
      </c>
      <c r="AI402" s="5">
        <v>0.70086257159769605</v>
      </c>
      <c r="AJ402" s="5" t="s">
        <v>139</v>
      </c>
      <c r="AK402" s="2">
        <v>6.2520609428868695E-2</v>
      </c>
      <c r="AL402" s="2">
        <v>0.33601027492909402</v>
      </c>
      <c r="AM402" s="2">
        <v>161144.31292585499</v>
      </c>
      <c r="AN402" s="2">
        <v>82157.402108920607</v>
      </c>
      <c r="AO402" s="2">
        <v>69992.526615746698</v>
      </c>
      <c r="AP402" s="2">
        <v>75977.535218813995</v>
      </c>
      <c r="AQ402" s="2">
        <v>55997.037498862701</v>
      </c>
      <c r="AR402" s="2">
        <v>79144.506076202393</v>
      </c>
      <c r="AS402" s="2">
        <v>71397.044025651499</v>
      </c>
      <c r="AT402" s="2">
        <v>50205.989265464203</v>
      </c>
      <c r="AU402" s="2">
        <v>59595.305256867701</v>
      </c>
      <c r="AV402" s="2">
        <v>34114.938966166701</v>
      </c>
      <c r="AW402" s="2">
        <v>49874.727894682197</v>
      </c>
      <c r="AX402" s="2">
        <v>57433.310031562498</v>
      </c>
    </row>
    <row r="403" spans="1:50" x14ac:dyDescent="0.25">
      <c r="A403" s="2" t="s">
        <v>1175</v>
      </c>
      <c r="B403" s="2">
        <v>886.54586582970296</v>
      </c>
      <c r="C403" s="2">
        <v>12.174899999999999</v>
      </c>
      <c r="D403" s="2" t="s">
        <v>51</v>
      </c>
      <c r="E403" s="2" t="s">
        <v>1176</v>
      </c>
      <c r="F403" s="2">
        <v>209977</v>
      </c>
      <c r="G403" s="3" t="str">
        <f>HYPERLINK("https://cloud.oebiotech.com/#/lm/network/209977", "https://cloud.oebiotech.com/#/lm/network/209977")</f>
        <v>https://cloud.oebiotech.com/#/lm/network/209977</v>
      </c>
      <c r="H403" s="2" t="s">
        <v>1177</v>
      </c>
      <c r="I403" s="2"/>
      <c r="J403" s="2"/>
      <c r="K403" s="2">
        <v>119366</v>
      </c>
      <c r="L403" s="2"/>
      <c r="M403" s="2"/>
      <c r="N403" s="2"/>
      <c r="O403" s="2"/>
      <c r="P403" s="2"/>
      <c r="Q403" s="2"/>
      <c r="R403" s="2"/>
      <c r="S403" s="2" t="s">
        <v>1178</v>
      </c>
      <c r="T403" s="2" t="s">
        <v>1179</v>
      </c>
      <c r="U403" s="2" t="s">
        <v>56</v>
      </c>
      <c r="V403" s="2" t="s">
        <v>177</v>
      </c>
      <c r="W403" s="2" t="s">
        <v>806</v>
      </c>
      <c r="X403" s="2" t="s">
        <v>147</v>
      </c>
      <c r="Y403" s="2">
        <v>36.6</v>
      </c>
      <c r="Z403" s="2">
        <v>0</v>
      </c>
      <c r="AA403" s="2" t="s">
        <v>95</v>
      </c>
      <c r="AB403" s="2" t="s">
        <v>1180</v>
      </c>
      <c r="AC403" s="2">
        <v>2.19728965570705</v>
      </c>
      <c r="AD403" s="2"/>
      <c r="AE403" s="2">
        <v>1.2177036811858599</v>
      </c>
      <c r="AF403" s="2">
        <v>47906.993513335598</v>
      </c>
      <c r="AG403" s="2">
        <v>11446.3795008856</v>
      </c>
      <c r="AH403" s="5">
        <v>4.1853403086652001</v>
      </c>
      <c r="AI403" s="5">
        <v>2.0653449326115001</v>
      </c>
      <c r="AJ403" s="5" t="s">
        <v>139</v>
      </c>
      <c r="AK403" s="2">
        <v>1.9502976252384702E-2</v>
      </c>
      <c r="AL403" s="2">
        <v>0.21929767047425699</v>
      </c>
      <c r="AM403" s="2">
        <v>73598.030348726606</v>
      </c>
      <c r="AN403" s="2">
        <v>43285.039478398598</v>
      </c>
      <c r="AO403" s="2">
        <v>64273.060764554597</v>
      </c>
      <c r="AP403" s="2">
        <v>84140.204738960194</v>
      </c>
      <c r="AQ403" s="2">
        <v>3853.9956572943602</v>
      </c>
      <c r="AR403" s="2">
        <v>18291.630092079198</v>
      </c>
      <c r="AS403" s="2">
        <v>15741.5793279056</v>
      </c>
      <c r="AT403" s="2">
        <v>11334.8562183504</v>
      </c>
      <c r="AU403" s="2">
        <v>16493.832122910499</v>
      </c>
      <c r="AV403" s="2">
        <v>5681.1241082412698</v>
      </c>
      <c r="AW403" s="2">
        <v>8454.8645801615694</v>
      </c>
      <c r="AX403" s="2">
        <v>10972.020647744301</v>
      </c>
    </row>
    <row r="404" spans="1:50" x14ac:dyDescent="0.25">
      <c r="A404" s="2" t="s">
        <v>3355</v>
      </c>
      <c r="B404" s="2">
        <v>697.52735652275101</v>
      </c>
      <c r="C404" s="2">
        <v>13.5068</v>
      </c>
      <c r="D404" s="2" t="s">
        <v>51</v>
      </c>
      <c r="E404" s="2" t="s">
        <v>3356</v>
      </c>
      <c r="F404" s="2">
        <v>39615</v>
      </c>
      <c r="G404" s="3" t="str">
        <f>HYPERLINK("https://cloud.oebiotech.com/#/lm/network/39615", "https://cloud.oebiotech.com/#/lm/network/39615")</f>
        <v>https://cloud.oebiotech.com/#/lm/network/39615</v>
      </c>
      <c r="H404" s="2" t="s">
        <v>3357</v>
      </c>
      <c r="I404" s="2">
        <v>83737</v>
      </c>
      <c r="J404" s="2" t="s">
        <v>3358</v>
      </c>
      <c r="K404" s="2">
        <v>52931133</v>
      </c>
      <c r="L404" s="2"/>
      <c r="M404" s="2"/>
      <c r="N404" s="2"/>
      <c r="O404" s="2">
        <v>133171</v>
      </c>
      <c r="P404" s="2"/>
      <c r="Q404" s="2"/>
      <c r="R404" s="2" t="s">
        <v>3359</v>
      </c>
      <c r="S404" s="2" t="s">
        <v>3360</v>
      </c>
      <c r="T404" s="2" t="s">
        <v>3361</v>
      </c>
      <c r="U404" s="2" t="s">
        <v>56</v>
      </c>
      <c r="V404" s="2" t="s">
        <v>344</v>
      </c>
      <c r="W404" s="2" t="s">
        <v>1239</v>
      </c>
      <c r="X404" s="2" t="s">
        <v>59</v>
      </c>
      <c r="Y404" s="2">
        <v>45.2</v>
      </c>
      <c r="Z404" s="2">
        <v>78.900000000000006</v>
      </c>
      <c r="AA404" s="2" t="s">
        <v>95</v>
      </c>
      <c r="AB404" s="2" t="s">
        <v>3362</v>
      </c>
      <c r="AC404" s="2">
        <v>2.75905182653683</v>
      </c>
      <c r="AD404" s="2"/>
      <c r="AE404" s="2">
        <v>1.21361548282672</v>
      </c>
      <c r="AF404" s="2">
        <v>111257.531240802</v>
      </c>
      <c r="AG404" s="2">
        <v>166427.34387644299</v>
      </c>
      <c r="AH404" s="4">
        <v>0.66850511850625005</v>
      </c>
      <c r="AI404" s="4">
        <v>-0.58098948832293995</v>
      </c>
      <c r="AJ404" s="4" t="s">
        <v>62</v>
      </c>
      <c r="AK404" s="2">
        <v>0.25958503578106201</v>
      </c>
      <c r="AL404" s="2">
        <v>0.58222756230909201</v>
      </c>
      <c r="AM404" s="2">
        <v>38143.917271279701</v>
      </c>
      <c r="AN404" s="2">
        <v>149486.75785678299</v>
      </c>
      <c r="AO404" s="2">
        <v>125344.42836136599</v>
      </c>
      <c r="AP404" s="2">
        <v>49685.216840012603</v>
      </c>
      <c r="AQ404" s="2">
        <v>183701.327280945</v>
      </c>
      <c r="AR404" s="2">
        <v>121183.53983442701</v>
      </c>
      <c r="AS404" s="2">
        <v>33910.291948948397</v>
      </c>
      <c r="AT404" s="2">
        <v>102257.426201945</v>
      </c>
      <c r="AU404" s="2">
        <v>113679.35639506701</v>
      </c>
      <c r="AV404" s="2">
        <v>209586.788189035</v>
      </c>
      <c r="AW404" s="2">
        <v>260088.36192504299</v>
      </c>
      <c r="AX404" s="2">
        <v>279041.83859862201</v>
      </c>
    </row>
    <row r="405" spans="1:50" x14ac:dyDescent="0.25">
      <c r="A405" s="2" t="s">
        <v>1181</v>
      </c>
      <c r="B405" s="2">
        <v>259.19108348054499</v>
      </c>
      <c r="C405" s="2">
        <v>11.0279666666667</v>
      </c>
      <c r="D405" s="2" t="s">
        <v>51</v>
      </c>
      <c r="E405" s="2" t="s">
        <v>1182</v>
      </c>
      <c r="F405" s="2">
        <v>64690</v>
      </c>
      <c r="G405" s="3" t="str">
        <f>HYPERLINK("https://cloud.oebiotech.com/#/lm/network/64690", "https://cloud.oebiotech.com/#/lm/network/64690")</f>
        <v>https://cloud.oebiotech.com/#/lm/network/64690</v>
      </c>
      <c r="H405" s="2" t="s">
        <v>1183</v>
      </c>
      <c r="I405" s="2">
        <v>69920</v>
      </c>
      <c r="J405" s="2"/>
      <c r="K405" s="2">
        <v>8831</v>
      </c>
      <c r="L405" s="2" t="s">
        <v>1184</v>
      </c>
      <c r="M405" s="2"/>
      <c r="N405" s="2"/>
      <c r="O405" s="2"/>
      <c r="P405" s="2"/>
      <c r="Q405" s="2"/>
      <c r="R405" s="2" t="s">
        <v>1185</v>
      </c>
      <c r="S405" s="2" t="s">
        <v>1186</v>
      </c>
      <c r="T405" s="2" t="s">
        <v>1187</v>
      </c>
      <c r="U405" s="2" t="s">
        <v>56</v>
      </c>
      <c r="V405" s="2" t="s">
        <v>145</v>
      </c>
      <c r="W405" s="2" t="s">
        <v>1188</v>
      </c>
      <c r="X405" s="2" t="s">
        <v>59</v>
      </c>
      <c r="Y405" s="2">
        <v>51.5</v>
      </c>
      <c r="Z405" s="2">
        <v>63.8</v>
      </c>
      <c r="AA405" s="2" t="s">
        <v>60</v>
      </c>
      <c r="AB405" s="2" t="s">
        <v>1189</v>
      </c>
      <c r="AC405" s="2">
        <v>2.7024869541986098</v>
      </c>
      <c r="AD405" s="2"/>
      <c r="AE405" s="2">
        <v>1.2128170413786901</v>
      </c>
      <c r="AF405" s="2">
        <v>51136.020448166499</v>
      </c>
      <c r="AG405" s="2">
        <v>1926.3927800563099</v>
      </c>
      <c r="AH405" s="5">
        <v>26.5449606007512</v>
      </c>
      <c r="AI405" s="5">
        <v>4.7303660950364099</v>
      </c>
      <c r="AJ405" s="5" t="s">
        <v>139</v>
      </c>
      <c r="AK405" s="2">
        <v>1.8333520213894301E-2</v>
      </c>
      <c r="AL405" s="2">
        <v>0.21342374413703999</v>
      </c>
      <c r="AM405" s="2">
        <v>4497.5043964892202</v>
      </c>
      <c r="AN405" s="2">
        <v>21874.7876054279</v>
      </c>
      <c r="AO405" s="2">
        <v>58813.800111644203</v>
      </c>
      <c r="AP405" s="2">
        <v>21421.420946745198</v>
      </c>
      <c r="AQ405" s="2">
        <v>85940.9925548795</v>
      </c>
      <c r="AR405" s="2">
        <v>114267.617073813</v>
      </c>
      <c r="AS405" s="2">
        <v>1912.2527663542401</v>
      </c>
      <c r="AT405" s="2">
        <v>1948.8985683712799</v>
      </c>
      <c r="AU405" s="2">
        <v>1265.42619532607</v>
      </c>
      <c r="AV405" s="2">
        <v>2596.2708638262502</v>
      </c>
      <c r="AW405" s="2">
        <v>1774.9844372656501</v>
      </c>
      <c r="AX405" s="2">
        <v>2060.5238491943901</v>
      </c>
    </row>
    <row r="406" spans="1:50" x14ac:dyDescent="0.25">
      <c r="A406" s="2" t="s">
        <v>3363</v>
      </c>
      <c r="B406" s="2">
        <v>395.220411403637</v>
      </c>
      <c r="C406" s="2">
        <v>12.363666666666701</v>
      </c>
      <c r="D406" s="2" t="s">
        <v>51</v>
      </c>
      <c r="E406" s="2" t="s">
        <v>3364</v>
      </c>
      <c r="F406" s="2">
        <v>26101</v>
      </c>
      <c r="G406" s="3" t="str">
        <f>HYPERLINK("https://cloud.oebiotech.com/#/lm/network/26101", "https://cloud.oebiotech.com/#/lm/network/26101")</f>
        <v>https://cloud.oebiotech.com/#/lm/network/26101</v>
      </c>
      <c r="H406" s="2" t="s">
        <v>3365</v>
      </c>
      <c r="I406" s="2">
        <v>82356</v>
      </c>
      <c r="J406" s="2" t="s">
        <v>3366</v>
      </c>
      <c r="K406" s="2">
        <v>52929767</v>
      </c>
      <c r="L406" s="2"/>
      <c r="M406" s="2"/>
      <c r="N406" s="2"/>
      <c r="O406" s="2"/>
      <c r="P406" s="2"/>
      <c r="Q406" s="2"/>
      <c r="R406" s="2"/>
      <c r="S406" s="2" t="s">
        <v>3367</v>
      </c>
      <c r="T406" s="2" t="s">
        <v>3368</v>
      </c>
      <c r="U406" s="2" t="s">
        <v>56</v>
      </c>
      <c r="V406" s="2" t="s">
        <v>57</v>
      </c>
      <c r="W406" s="2" t="s">
        <v>702</v>
      </c>
      <c r="X406" s="2" t="s">
        <v>147</v>
      </c>
      <c r="Y406" s="2">
        <v>38.799999999999997</v>
      </c>
      <c r="Z406" s="2">
        <v>0</v>
      </c>
      <c r="AA406" s="2" t="s">
        <v>163</v>
      </c>
      <c r="AB406" s="2" t="s">
        <v>3369</v>
      </c>
      <c r="AC406" s="2">
        <v>-5.8498504039986403E-3</v>
      </c>
      <c r="AD406" s="2"/>
      <c r="AE406" s="2">
        <v>1.2126461474829</v>
      </c>
      <c r="AF406" s="2">
        <v>63232.821405740797</v>
      </c>
      <c r="AG406" s="2">
        <v>109498.936874801</v>
      </c>
      <c r="AH406" s="4">
        <v>0.57747429528051197</v>
      </c>
      <c r="AI406" s="4">
        <v>-0.79217136462995597</v>
      </c>
      <c r="AJ406" s="4" t="s">
        <v>62</v>
      </c>
      <c r="AK406" s="2">
        <v>7.2632867426795894E-2</v>
      </c>
      <c r="AL406" s="2">
        <v>0.353750068837479</v>
      </c>
      <c r="AM406" s="2">
        <v>102626.873566008</v>
      </c>
      <c r="AN406" s="2">
        <v>40282.960757976398</v>
      </c>
      <c r="AO406" s="2">
        <v>50238.404934211598</v>
      </c>
      <c r="AP406" s="2">
        <v>57535.160595412497</v>
      </c>
      <c r="AQ406" s="2">
        <v>58240.757752813202</v>
      </c>
      <c r="AR406" s="2">
        <v>70472.770828023102</v>
      </c>
      <c r="AS406" s="2">
        <v>56749.141540509998</v>
      </c>
      <c r="AT406" s="2">
        <v>68113.963316237103</v>
      </c>
      <c r="AU406" s="2">
        <v>89964.561245831806</v>
      </c>
      <c r="AV406" s="2">
        <v>115633.484285214</v>
      </c>
      <c r="AW406" s="2">
        <v>201354.43634416501</v>
      </c>
      <c r="AX406" s="2">
        <v>125178.034516846</v>
      </c>
    </row>
    <row r="407" spans="1:50" x14ac:dyDescent="0.25">
      <c r="A407" s="2" t="s">
        <v>3370</v>
      </c>
      <c r="B407" s="2">
        <v>219.044871155837</v>
      </c>
      <c r="C407" s="2">
        <v>0.68074999999999997</v>
      </c>
      <c r="D407" s="2" t="s">
        <v>51</v>
      </c>
      <c r="E407" s="2" t="s">
        <v>3371</v>
      </c>
      <c r="F407" s="2">
        <v>56285</v>
      </c>
      <c r="G407" s="3" t="str">
        <f>HYPERLINK("https://cloud.oebiotech.com/#/lm/network/56285", "https://cloud.oebiotech.com/#/lm/network/56285")</f>
        <v>https://cloud.oebiotech.com/#/lm/network/56285</v>
      </c>
      <c r="H407" s="2" t="s">
        <v>3372</v>
      </c>
      <c r="I407" s="2">
        <v>43459</v>
      </c>
      <c r="J407" s="2"/>
      <c r="K407" s="2">
        <v>11349</v>
      </c>
      <c r="L407" s="2" t="s">
        <v>3373</v>
      </c>
      <c r="M407" s="2"/>
      <c r="N407" s="2"/>
      <c r="O407" s="2">
        <v>5078</v>
      </c>
      <c r="P407" s="2"/>
      <c r="Q407" s="2"/>
      <c r="R407" s="2" t="s">
        <v>3374</v>
      </c>
      <c r="S407" s="2" t="s">
        <v>3375</v>
      </c>
      <c r="T407" s="2" t="s">
        <v>3376</v>
      </c>
      <c r="U407" s="2" t="s">
        <v>540</v>
      </c>
      <c r="V407" s="2" t="s">
        <v>541</v>
      </c>
      <c r="W407" s="2" t="s">
        <v>3377</v>
      </c>
      <c r="X407" s="2" t="s">
        <v>147</v>
      </c>
      <c r="Y407" s="2">
        <v>41.2</v>
      </c>
      <c r="Z407" s="2">
        <v>18.5</v>
      </c>
      <c r="AA407" s="2" t="s">
        <v>379</v>
      </c>
      <c r="AB407" s="2" t="s">
        <v>3378</v>
      </c>
      <c r="AC407" s="2">
        <v>-1.18415524499574</v>
      </c>
      <c r="AD407" s="2"/>
      <c r="AE407" s="2">
        <v>1.21117528824474</v>
      </c>
      <c r="AF407" s="2">
        <v>72035.904100811196</v>
      </c>
      <c r="AG407" s="2">
        <v>27617.854246170398</v>
      </c>
      <c r="AH407" s="5">
        <v>2.60830922846948</v>
      </c>
      <c r="AI407" s="5">
        <v>1.3831149186231799</v>
      </c>
      <c r="AJ407" s="5" t="s">
        <v>139</v>
      </c>
      <c r="AK407" s="2">
        <v>0.52116473165724098</v>
      </c>
      <c r="AL407" s="2">
        <v>0.75192102353561097</v>
      </c>
      <c r="AM407" s="2">
        <v>395195.43321239698</v>
      </c>
      <c r="AN407" s="2">
        <v>8.559877937157E-6</v>
      </c>
      <c r="AO407" s="2">
        <v>17630.9971496373</v>
      </c>
      <c r="AP407" s="2">
        <v>10497.362276301101</v>
      </c>
      <c r="AQ407" s="2">
        <v>8891.6319494120798</v>
      </c>
      <c r="AR407" s="2">
        <v>8.559877937157E-6</v>
      </c>
      <c r="AS407" s="2">
        <v>64003.306297385003</v>
      </c>
      <c r="AT407" s="2">
        <v>93840.8957885727</v>
      </c>
      <c r="AU407" s="2">
        <v>2883.0941873238899</v>
      </c>
      <c r="AV407" s="2">
        <v>2034.3889380472101</v>
      </c>
      <c r="AW407" s="2">
        <v>8.559877937157E-6</v>
      </c>
      <c r="AX407" s="2">
        <v>2945.4402571334499</v>
      </c>
    </row>
    <row r="408" spans="1:50" x14ac:dyDescent="0.25">
      <c r="A408" s="2" t="s">
        <v>1190</v>
      </c>
      <c r="B408" s="2">
        <v>136.048478862699</v>
      </c>
      <c r="C408" s="2">
        <v>0.69773333333333298</v>
      </c>
      <c r="D408" s="2" t="s">
        <v>51</v>
      </c>
      <c r="E408" s="2" t="s">
        <v>1191</v>
      </c>
      <c r="F408" s="2">
        <v>47093</v>
      </c>
      <c r="G408" s="3" t="str">
        <f>HYPERLINK("https://cloud.oebiotech.com/#/lm/network/47093", "https://cloud.oebiotech.com/#/lm/network/47093")</f>
        <v>https://cloud.oebiotech.com/#/lm/network/47093</v>
      </c>
      <c r="H408" s="2" t="s">
        <v>1192</v>
      </c>
      <c r="I408" s="2">
        <v>8</v>
      </c>
      <c r="J408" s="2"/>
      <c r="K408" s="2">
        <v>588</v>
      </c>
      <c r="L408" s="2" t="s">
        <v>1193</v>
      </c>
      <c r="M408" s="2" t="s">
        <v>1194</v>
      </c>
      <c r="N408" s="2" t="s">
        <v>1195</v>
      </c>
      <c r="O408" s="2">
        <v>16737</v>
      </c>
      <c r="P408" s="2" t="s">
        <v>1196</v>
      </c>
      <c r="Q408" s="2" t="s">
        <v>1197</v>
      </c>
      <c r="R408" s="2" t="s">
        <v>1198</v>
      </c>
      <c r="S408" s="2" t="s">
        <v>1199</v>
      </c>
      <c r="T408" s="2" t="s">
        <v>1200</v>
      </c>
      <c r="U408" s="2" t="s">
        <v>103</v>
      </c>
      <c r="V408" s="2" t="s">
        <v>104</v>
      </c>
      <c r="W408" s="2" t="s">
        <v>105</v>
      </c>
      <c r="X408" s="2" t="s">
        <v>83</v>
      </c>
      <c r="Y408" s="2">
        <v>46.8</v>
      </c>
      <c r="Z408" s="2">
        <v>34.200000000000003</v>
      </c>
      <c r="AA408" s="2" t="s">
        <v>95</v>
      </c>
      <c r="AB408" s="2" t="s">
        <v>1201</v>
      </c>
      <c r="AC408" s="2">
        <v>3.0632193697200201</v>
      </c>
      <c r="AD408" s="2"/>
      <c r="AE408" s="2">
        <v>1.20747598173144</v>
      </c>
      <c r="AF408" s="2">
        <v>59651.652650277298</v>
      </c>
      <c r="AG408" s="2">
        <v>99042.868297083696</v>
      </c>
      <c r="AH408" s="4">
        <v>0.60228115033330298</v>
      </c>
      <c r="AI408" s="4">
        <v>-0.73149098746274499</v>
      </c>
      <c r="AJ408" s="4" t="s">
        <v>62</v>
      </c>
      <c r="AK408" s="2">
        <v>3.6743317569421299E-2</v>
      </c>
      <c r="AL408" s="2">
        <v>0.27963408806095602</v>
      </c>
      <c r="AM408" s="2">
        <v>33277.301379107499</v>
      </c>
      <c r="AN408" s="2">
        <v>62991.778970383297</v>
      </c>
      <c r="AO408" s="2">
        <v>52722.2094135363</v>
      </c>
      <c r="AP408" s="2">
        <v>70024.098037278105</v>
      </c>
      <c r="AQ408" s="2">
        <v>50071.801412221997</v>
      </c>
      <c r="AR408" s="2">
        <v>88822.726689136907</v>
      </c>
      <c r="AS408" s="2">
        <v>121779.520491787</v>
      </c>
      <c r="AT408" s="2">
        <v>133788.55063672</v>
      </c>
      <c r="AU408" s="2">
        <v>71670.003090186307</v>
      </c>
      <c r="AV408" s="2">
        <v>80103.558089621103</v>
      </c>
      <c r="AW408" s="2">
        <v>52706.313383197601</v>
      </c>
      <c r="AX408" s="2">
        <v>134209.26409099001</v>
      </c>
    </row>
    <row r="409" spans="1:50" x14ac:dyDescent="0.25">
      <c r="A409" s="2" t="s">
        <v>3379</v>
      </c>
      <c r="B409" s="2">
        <v>538.42484181386305</v>
      </c>
      <c r="C409" s="2">
        <v>10.753966666666701</v>
      </c>
      <c r="D409" s="2" t="s">
        <v>51</v>
      </c>
      <c r="E409" s="2" t="s">
        <v>3380</v>
      </c>
      <c r="F409" s="2">
        <v>64304</v>
      </c>
      <c r="G409" s="3" t="str">
        <f>HYPERLINK("https://cloud.oebiotech.com/#/lm/network/64304", "https://cloud.oebiotech.com/#/lm/network/64304")</f>
        <v>https://cloud.oebiotech.com/#/lm/network/64304</v>
      </c>
      <c r="H409" s="2" t="s">
        <v>3381</v>
      </c>
      <c r="I409" s="2">
        <v>95624</v>
      </c>
      <c r="J409" s="2"/>
      <c r="K409" s="2">
        <v>131753066</v>
      </c>
      <c r="L409" s="2"/>
      <c r="M409" s="2"/>
      <c r="N409" s="2"/>
      <c r="O409" s="2">
        <v>171689</v>
      </c>
      <c r="P409" s="2"/>
      <c r="Q409" s="2"/>
      <c r="R409" s="2" t="s">
        <v>3382</v>
      </c>
      <c r="S409" s="2" t="s">
        <v>3383</v>
      </c>
      <c r="T409" s="2" t="s">
        <v>3384</v>
      </c>
      <c r="U409" s="2" t="s">
        <v>56</v>
      </c>
      <c r="V409" s="2" t="s">
        <v>145</v>
      </c>
      <c r="W409" s="2" t="s">
        <v>203</v>
      </c>
      <c r="X409" s="2" t="s">
        <v>147</v>
      </c>
      <c r="Y409" s="2">
        <v>36.6</v>
      </c>
      <c r="Z409" s="2">
        <v>0</v>
      </c>
      <c r="AA409" s="2" t="s">
        <v>526</v>
      </c>
      <c r="AB409" s="2" t="s">
        <v>3385</v>
      </c>
      <c r="AC409" s="2">
        <v>-1.2091709442891401</v>
      </c>
      <c r="AD409" s="2"/>
      <c r="AE409" s="2">
        <v>1.20603498609096</v>
      </c>
      <c r="AF409" s="2">
        <v>68105.936567522906</v>
      </c>
      <c r="AG409" s="2">
        <v>120897.46566601199</v>
      </c>
      <c r="AH409" s="4">
        <v>0.56333634615361405</v>
      </c>
      <c r="AI409" s="4">
        <v>-0.82793153841028699</v>
      </c>
      <c r="AJ409" s="4" t="s">
        <v>62</v>
      </c>
      <c r="AK409" s="2">
        <v>7.1647759792784801E-2</v>
      </c>
      <c r="AL409" s="2">
        <v>0.35359330830404301</v>
      </c>
      <c r="AM409" s="2">
        <v>14596.6532880042</v>
      </c>
      <c r="AN409" s="2">
        <v>71913.701743917103</v>
      </c>
      <c r="AO409" s="2">
        <v>73728.781456850294</v>
      </c>
      <c r="AP409" s="2">
        <v>48800.110595784397</v>
      </c>
      <c r="AQ409" s="2">
        <v>119997.701732997</v>
      </c>
      <c r="AR409" s="2">
        <v>79598.670587584696</v>
      </c>
      <c r="AS409" s="2">
        <v>59353.4580100401</v>
      </c>
      <c r="AT409" s="2">
        <v>149083.02283711499</v>
      </c>
      <c r="AU409" s="2">
        <v>186154.16255670699</v>
      </c>
      <c r="AV409" s="2">
        <v>157286.56137647401</v>
      </c>
      <c r="AW409" s="2">
        <v>55120.788134595801</v>
      </c>
      <c r="AX409" s="2">
        <v>118386.80108113799</v>
      </c>
    </row>
    <row r="410" spans="1:50" x14ac:dyDescent="0.25">
      <c r="A410" s="2" t="s">
        <v>1202</v>
      </c>
      <c r="B410" s="2">
        <v>189.112539541768</v>
      </c>
      <c r="C410" s="2">
        <v>5.0589333333333304</v>
      </c>
      <c r="D410" s="2" t="s">
        <v>51</v>
      </c>
      <c r="E410" s="2" t="s">
        <v>1203</v>
      </c>
      <c r="F410" s="2">
        <v>9907</v>
      </c>
      <c r="G410" s="3" t="str">
        <f>HYPERLINK("https://cloud.oebiotech.com/#/lm/network/9907", "https://cloud.oebiotech.com/#/lm/network/9907")</f>
        <v>https://cloud.oebiotech.com/#/lm/network/9907</v>
      </c>
      <c r="H410" s="2"/>
      <c r="I410" s="2">
        <v>98124</v>
      </c>
      <c r="J410" s="2" t="s">
        <v>1204</v>
      </c>
      <c r="K410" s="2">
        <v>155663</v>
      </c>
      <c r="L410" s="2"/>
      <c r="M410" s="2"/>
      <c r="N410" s="2"/>
      <c r="O410" s="2"/>
      <c r="P410" s="2"/>
      <c r="Q410" s="2"/>
      <c r="R410" s="2"/>
      <c r="S410" s="2" t="s">
        <v>1205</v>
      </c>
      <c r="T410" s="2" t="s">
        <v>1206</v>
      </c>
      <c r="U410" s="2" t="s">
        <v>331</v>
      </c>
      <c r="V410" s="2" t="s">
        <v>332</v>
      </c>
      <c r="W410" s="2" t="s">
        <v>1207</v>
      </c>
      <c r="X410" s="2" t="s">
        <v>69</v>
      </c>
      <c r="Y410" s="2">
        <v>55.8</v>
      </c>
      <c r="Z410" s="2">
        <v>77.3</v>
      </c>
      <c r="AA410" s="2" t="s">
        <v>218</v>
      </c>
      <c r="AB410" s="2" t="s">
        <v>1208</v>
      </c>
      <c r="AC410" s="2">
        <v>-4.8092171483284796</v>
      </c>
      <c r="AD410" s="2"/>
      <c r="AE410" s="2">
        <v>1.2049454518335501</v>
      </c>
      <c r="AF410" s="2">
        <v>100286.99552313601</v>
      </c>
      <c r="AG410" s="2">
        <v>61127.859031539403</v>
      </c>
      <c r="AH410" s="5">
        <v>1.6406103062008499</v>
      </c>
      <c r="AI410" s="5">
        <v>0.71423259651345805</v>
      </c>
      <c r="AJ410" s="5" t="s">
        <v>139</v>
      </c>
      <c r="AK410" s="2">
        <v>2.9744827735177601E-2</v>
      </c>
      <c r="AL410" s="2">
        <v>0.25908320162100301</v>
      </c>
      <c r="AM410" s="2">
        <v>96608.497053816303</v>
      </c>
      <c r="AN410" s="2">
        <v>150322.54843490501</v>
      </c>
      <c r="AO410" s="2">
        <v>57597.382658967101</v>
      </c>
      <c r="AP410" s="2">
        <v>77652.558630289801</v>
      </c>
      <c r="AQ410" s="2">
        <v>93570.770579761695</v>
      </c>
      <c r="AR410" s="2">
        <v>125970.21578107899</v>
      </c>
      <c r="AS410" s="2">
        <v>83972.750023925299</v>
      </c>
      <c r="AT410" s="2">
        <v>46594.548873349697</v>
      </c>
      <c r="AU410" s="2">
        <v>83446.549840335807</v>
      </c>
      <c r="AV410" s="2">
        <v>44123.685759039297</v>
      </c>
      <c r="AW410" s="2">
        <v>53043.641990283002</v>
      </c>
      <c r="AX410" s="2">
        <v>55585.977702303302</v>
      </c>
    </row>
    <row r="411" spans="1:50" x14ac:dyDescent="0.25">
      <c r="A411" s="2" t="s">
        <v>3386</v>
      </c>
      <c r="B411" s="2">
        <v>445.33250235486202</v>
      </c>
      <c r="C411" s="2">
        <v>12.932916666666699</v>
      </c>
      <c r="D411" s="2" t="s">
        <v>51</v>
      </c>
      <c r="E411" s="2" t="s">
        <v>3387</v>
      </c>
      <c r="F411" s="2">
        <v>45830</v>
      </c>
      <c r="G411" s="3" t="str">
        <f>HYPERLINK("https://cloud.oebiotech.com/#/lm/network/45830", "https://cloud.oebiotech.com/#/lm/network/45830")</f>
        <v>https://cloud.oebiotech.com/#/lm/network/45830</v>
      </c>
      <c r="H411" s="2"/>
      <c r="I411" s="2">
        <v>42595</v>
      </c>
      <c r="J411" s="2" t="s">
        <v>3388</v>
      </c>
      <c r="K411" s="2">
        <v>20839398</v>
      </c>
      <c r="L411" s="2"/>
      <c r="M411" s="2"/>
      <c r="N411" s="2"/>
      <c r="O411" s="2"/>
      <c r="P411" s="2"/>
      <c r="Q411" s="2"/>
      <c r="R411" s="2"/>
      <c r="S411" s="2" t="s">
        <v>3389</v>
      </c>
      <c r="T411" s="2" t="s">
        <v>3390</v>
      </c>
      <c r="U411" s="2" t="s">
        <v>56</v>
      </c>
      <c r="V411" s="2" t="s">
        <v>283</v>
      </c>
      <c r="W411" s="2" t="s">
        <v>420</v>
      </c>
      <c r="X411" s="2" t="s">
        <v>69</v>
      </c>
      <c r="Y411" s="2">
        <v>65.400000000000006</v>
      </c>
      <c r="Z411" s="2">
        <v>59.7</v>
      </c>
      <c r="AA411" s="2" t="s">
        <v>218</v>
      </c>
      <c r="AB411" s="2" t="s">
        <v>1174</v>
      </c>
      <c r="AC411" s="2">
        <v>0.42173436952829502</v>
      </c>
      <c r="AD411" s="2"/>
      <c r="AE411" s="2">
        <v>1.2016157685311899</v>
      </c>
      <c r="AF411" s="2">
        <v>447736.34316618601</v>
      </c>
      <c r="AG411" s="2">
        <v>339191.84542014898</v>
      </c>
      <c r="AH411" s="5">
        <v>1.3200091606317499</v>
      </c>
      <c r="AI411" s="5">
        <v>0.40054794166868402</v>
      </c>
      <c r="AJ411" s="5" t="s">
        <v>139</v>
      </c>
      <c r="AK411" s="2">
        <v>0.30226416373629</v>
      </c>
      <c r="AL411" s="2">
        <v>0.61153432066882796</v>
      </c>
      <c r="AM411" s="2">
        <v>244055.61578176601</v>
      </c>
      <c r="AN411" s="2">
        <v>448657.36778047198</v>
      </c>
      <c r="AO411" s="2">
        <v>553066.21637932304</v>
      </c>
      <c r="AP411" s="2">
        <v>693286.38357691898</v>
      </c>
      <c r="AQ411" s="2">
        <v>519364.07434252399</v>
      </c>
      <c r="AR411" s="2">
        <v>227988.40113611199</v>
      </c>
      <c r="AS411" s="2">
        <v>225785.91124093399</v>
      </c>
      <c r="AT411" s="2">
        <v>485598.85261159303</v>
      </c>
      <c r="AU411" s="2">
        <v>245951.85464305899</v>
      </c>
      <c r="AV411" s="2">
        <v>124886.96989248101</v>
      </c>
      <c r="AW411" s="2">
        <v>422243.32395160699</v>
      </c>
      <c r="AX411" s="2">
        <v>530684.16018122202</v>
      </c>
    </row>
    <row r="412" spans="1:50" x14ac:dyDescent="0.25">
      <c r="A412" s="2" t="s">
        <v>3391</v>
      </c>
      <c r="B412" s="2">
        <v>357.27984521396002</v>
      </c>
      <c r="C412" s="2">
        <v>10.132949999999999</v>
      </c>
      <c r="D412" s="2" t="s">
        <v>51</v>
      </c>
      <c r="E412" s="2" t="s">
        <v>3392</v>
      </c>
      <c r="F412" s="2">
        <v>46071</v>
      </c>
      <c r="G412" s="3" t="str">
        <f>HYPERLINK("https://cloud.oebiotech.com/#/lm/network/46071", "https://cloud.oebiotech.com/#/lm/network/46071")</f>
        <v>https://cloud.oebiotech.com/#/lm/network/46071</v>
      </c>
      <c r="H412" s="2"/>
      <c r="I412" s="2">
        <v>84524</v>
      </c>
      <c r="J412" s="2" t="s">
        <v>3393</v>
      </c>
      <c r="K412" s="2">
        <v>5283972</v>
      </c>
      <c r="L412" s="2"/>
      <c r="M412" s="2"/>
      <c r="N412" s="2"/>
      <c r="O412" s="2"/>
      <c r="P412" s="2"/>
      <c r="Q412" s="2"/>
      <c r="R412" s="2"/>
      <c r="S412" s="2" t="s">
        <v>3394</v>
      </c>
      <c r="T412" s="2" t="s">
        <v>3395</v>
      </c>
      <c r="U412" s="2" t="s">
        <v>56</v>
      </c>
      <c r="V412" s="2" t="s">
        <v>283</v>
      </c>
      <c r="W412" s="2" t="s">
        <v>2042</v>
      </c>
      <c r="X412" s="2" t="s">
        <v>69</v>
      </c>
      <c r="Y412" s="2">
        <v>57.7</v>
      </c>
      <c r="Z412" s="2">
        <v>56.3</v>
      </c>
      <c r="AA412" s="2" t="s">
        <v>179</v>
      </c>
      <c r="AB412" s="2" t="s">
        <v>3396</v>
      </c>
      <c r="AC412" s="2">
        <v>2.7743422250430401</v>
      </c>
      <c r="AD412" s="2"/>
      <c r="AE412" s="2">
        <v>1.2008946867430901</v>
      </c>
      <c r="AF412" s="2">
        <v>185265.27177149101</v>
      </c>
      <c r="AG412" s="2">
        <v>54399.372501505997</v>
      </c>
      <c r="AH412" s="5">
        <v>3.4056508972849202</v>
      </c>
      <c r="AI412" s="5">
        <v>1.7679305563997001</v>
      </c>
      <c r="AJ412" s="5" t="s">
        <v>139</v>
      </c>
      <c r="AK412" s="2">
        <v>0.41187132372468499</v>
      </c>
      <c r="AL412" s="2">
        <v>0.67548655599718399</v>
      </c>
      <c r="AM412" s="2">
        <v>2.3183763328604199</v>
      </c>
      <c r="AN412" s="2">
        <v>4405.3893533422097</v>
      </c>
      <c r="AO412" s="2">
        <v>338.35975842434198</v>
      </c>
      <c r="AP412" s="2">
        <v>8.559877937157E-6</v>
      </c>
      <c r="AQ412" s="2">
        <v>925432.21374868404</v>
      </c>
      <c r="AR412" s="2">
        <v>181413.3493836</v>
      </c>
      <c r="AS412" s="2">
        <v>4156.22362085856</v>
      </c>
      <c r="AT412" s="2">
        <v>113279.37716620399</v>
      </c>
      <c r="AU412" s="2">
        <v>132262.009468267</v>
      </c>
      <c r="AV412" s="2">
        <v>67826.442348256503</v>
      </c>
      <c r="AW412" s="2">
        <v>6903.1497343025403</v>
      </c>
      <c r="AX412" s="2">
        <v>1969.0326711472001</v>
      </c>
    </row>
    <row r="413" spans="1:50" x14ac:dyDescent="0.25">
      <c r="A413" s="2" t="s">
        <v>1209</v>
      </c>
      <c r="B413" s="2">
        <v>395.364393961443</v>
      </c>
      <c r="C413" s="2">
        <v>15.024316666666699</v>
      </c>
      <c r="D413" s="2" t="s">
        <v>51</v>
      </c>
      <c r="E413" s="2" t="s">
        <v>1210</v>
      </c>
      <c r="F413" s="2">
        <v>58030</v>
      </c>
      <c r="G413" s="3" t="str">
        <f>HYPERLINK("https://cloud.oebiotech.com/#/lm/network/58030", "https://cloud.oebiotech.com/#/lm/network/58030")</f>
        <v>https://cloud.oebiotech.com/#/lm/network/58030</v>
      </c>
      <c r="H413" s="2" t="s">
        <v>1211</v>
      </c>
      <c r="I413" s="2">
        <v>89580</v>
      </c>
      <c r="J413" s="2"/>
      <c r="K413" s="2">
        <v>46856263</v>
      </c>
      <c r="L413" s="2"/>
      <c r="M413" s="2"/>
      <c r="N413" s="2"/>
      <c r="O413" s="2"/>
      <c r="P413" s="2"/>
      <c r="Q413" s="2"/>
      <c r="R413" s="2" t="s">
        <v>1212</v>
      </c>
      <c r="S413" s="2" t="s">
        <v>1213</v>
      </c>
      <c r="T413" s="2" t="s">
        <v>1214</v>
      </c>
      <c r="U413" s="2" t="s">
        <v>56</v>
      </c>
      <c r="V413" s="2" t="s">
        <v>283</v>
      </c>
      <c r="W413" s="2" t="s">
        <v>1215</v>
      </c>
      <c r="X413" s="2" t="s">
        <v>83</v>
      </c>
      <c r="Y413" s="2">
        <v>57.3</v>
      </c>
      <c r="Z413" s="2">
        <v>2.66</v>
      </c>
      <c r="AA413" s="2" t="s">
        <v>156</v>
      </c>
      <c r="AB413" s="2" t="s">
        <v>1216</v>
      </c>
      <c r="AC413" s="2">
        <v>-6.8723329277476397</v>
      </c>
      <c r="AD413" s="2"/>
      <c r="AE413" s="2">
        <v>1.19993717562382</v>
      </c>
      <c r="AF413" s="2">
        <v>28072.251896712001</v>
      </c>
      <c r="AG413" s="2">
        <v>64694.652084409099</v>
      </c>
      <c r="AH413" s="4">
        <v>0.433919203400078</v>
      </c>
      <c r="AI413" s="4">
        <v>-1.2045016598343301</v>
      </c>
      <c r="AJ413" s="4" t="s">
        <v>62</v>
      </c>
      <c r="AK413" s="2">
        <v>4.2198851360073897E-2</v>
      </c>
      <c r="AL413" s="2">
        <v>0.29293759539812297</v>
      </c>
      <c r="AM413" s="2">
        <v>33291.406479521</v>
      </c>
      <c r="AN413" s="2">
        <v>30571.115691561099</v>
      </c>
      <c r="AO413" s="2">
        <v>36408.857252751703</v>
      </c>
      <c r="AP413" s="2">
        <v>14607.138137972501</v>
      </c>
      <c r="AQ413" s="2">
        <v>35647.4416547863</v>
      </c>
      <c r="AR413" s="2">
        <v>17907.552163679298</v>
      </c>
      <c r="AS413" s="2">
        <v>115766.47081930201</v>
      </c>
      <c r="AT413" s="2">
        <v>32598.420973296299</v>
      </c>
      <c r="AU413" s="2">
        <v>31210.499665695999</v>
      </c>
      <c r="AV413" s="2">
        <v>97318.7807956787</v>
      </c>
      <c r="AW413" s="2">
        <v>77902.696320866104</v>
      </c>
      <c r="AX413" s="2">
        <v>33371.043931615299</v>
      </c>
    </row>
    <row r="414" spans="1:50" x14ac:dyDescent="0.25">
      <c r="A414" s="2" t="s">
        <v>3397</v>
      </c>
      <c r="B414" s="2">
        <v>286.14464035686399</v>
      </c>
      <c r="C414" s="2">
        <v>9.2584999999999997</v>
      </c>
      <c r="D414" s="2" t="s">
        <v>51</v>
      </c>
      <c r="E414" s="2" t="s">
        <v>3398</v>
      </c>
      <c r="F414" s="2">
        <v>54340</v>
      </c>
      <c r="G414" s="3" t="str">
        <f>HYPERLINK("https://cloud.oebiotech.com/#/lm/network/54340", "https://cloud.oebiotech.com/#/lm/network/54340")</f>
        <v>https://cloud.oebiotech.com/#/lm/network/54340</v>
      </c>
      <c r="H414" s="2" t="s">
        <v>3399</v>
      </c>
      <c r="I414" s="2">
        <v>43568</v>
      </c>
      <c r="J414" s="2"/>
      <c r="K414" s="2">
        <v>638024</v>
      </c>
      <c r="L414" s="2" t="s">
        <v>3400</v>
      </c>
      <c r="M414" s="2"/>
      <c r="N414" s="2"/>
      <c r="O414" s="2">
        <v>28821</v>
      </c>
      <c r="P414" s="2"/>
      <c r="Q414" s="2"/>
      <c r="R414" s="2" t="s">
        <v>3401</v>
      </c>
      <c r="S414" s="2" t="s">
        <v>3402</v>
      </c>
      <c r="T414" s="2" t="s">
        <v>3403</v>
      </c>
      <c r="U414" s="2" t="s">
        <v>238</v>
      </c>
      <c r="V414" s="2" t="s">
        <v>240</v>
      </c>
      <c r="W414" s="2" t="s">
        <v>240</v>
      </c>
      <c r="X414" s="2" t="s">
        <v>59</v>
      </c>
      <c r="Y414" s="2">
        <v>56.9</v>
      </c>
      <c r="Z414" s="2">
        <v>90.4</v>
      </c>
      <c r="AA414" s="2" t="s">
        <v>60</v>
      </c>
      <c r="AB414" s="2" t="s">
        <v>3404</v>
      </c>
      <c r="AC414" s="2">
        <v>3.0527556932027702</v>
      </c>
      <c r="AD414" s="2"/>
      <c r="AE414" s="2">
        <v>1.19748677541806</v>
      </c>
      <c r="AF414" s="2">
        <v>73664.807243139294</v>
      </c>
      <c r="AG414" s="2">
        <v>21570.030545080099</v>
      </c>
      <c r="AH414" s="5">
        <v>3.4151461718695399</v>
      </c>
      <c r="AI414" s="5">
        <v>1.7719473287110501</v>
      </c>
      <c r="AJ414" s="5" t="s">
        <v>139</v>
      </c>
      <c r="AK414" s="2">
        <v>0.301114789260574</v>
      </c>
      <c r="AL414" s="2">
        <v>0.61055505990699699</v>
      </c>
      <c r="AM414" s="2">
        <v>79619.125547358897</v>
      </c>
      <c r="AN414" s="2">
        <v>38878.976847949001</v>
      </c>
      <c r="AO414" s="2">
        <v>293985.40358592197</v>
      </c>
      <c r="AP414" s="2">
        <v>18381.050922989802</v>
      </c>
      <c r="AQ414" s="2">
        <v>9089.5675328592806</v>
      </c>
      <c r="AR414" s="2">
        <v>2034.7190217569701</v>
      </c>
      <c r="AS414" s="2">
        <v>1772.1658392082099</v>
      </c>
      <c r="AT414" s="2">
        <v>4233.8675169525604</v>
      </c>
      <c r="AU414" s="2">
        <v>93531.635655788603</v>
      </c>
      <c r="AV414" s="2">
        <v>16132.9737257051</v>
      </c>
      <c r="AW414" s="2">
        <v>7066.7560333382298</v>
      </c>
      <c r="AX414" s="2">
        <v>6682.7844994878997</v>
      </c>
    </row>
    <row r="415" spans="1:50" x14ac:dyDescent="0.25">
      <c r="A415" s="2" t="s">
        <v>3405</v>
      </c>
      <c r="B415" s="2">
        <v>117.01819190947801</v>
      </c>
      <c r="C415" s="2">
        <v>1.21291666666667</v>
      </c>
      <c r="D415" s="2" t="s">
        <v>51</v>
      </c>
      <c r="E415" s="2" t="s">
        <v>3406</v>
      </c>
      <c r="F415" s="2">
        <v>2857</v>
      </c>
      <c r="G415" s="3" t="str">
        <f>HYPERLINK("https://cloud.oebiotech.com/#/lm/network/2857", "https://cloud.oebiotech.com/#/lm/network/2857")</f>
        <v>https://cloud.oebiotech.com/#/lm/network/2857</v>
      </c>
      <c r="H415" s="2" t="s">
        <v>3407</v>
      </c>
      <c r="I415" s="2">
        <v>114</v>
      </c>
      <c r="J415" s="2" t="s">
        <v>3408</v>
      </c>
      <c r="K415" s="2">
        <v>1110</v>
      </c>
      <c r="L415" s="2" t="s">
        <v>3409</v>
      </c>
      <c r="M415" s="2" t="s">
        <v>3410</v>
      </c>
      <c r="N415" s="2" t="s">
        <v>3411</v>
      </c>
      <c r="O415" s="2">
        <v>15741</v>
      </c>
      <c r="P415" s="2"/>
      <c r="Q415" s="2"/>
      <c r="R415" s="2" t="s">
        <v>3412</v>
      </c>
      <c r="S415" s="2" t="s">
        <v>3413</v>
      </c>
      <c r="T415" s="2" t="s">
        <v>3414</v>
      </c>
      <c r="U415" s="2" t="s">
        <v>103</v>
      </c>
      <c r="V415" s="2" t="s">
        <v>104</v>
      </c>
      <c r="W415" s="2" t="s">
        <v>3415</v>
      </c>
      <c r="X415" s="2" t="s">
        <v>69</v>
      </c>
      <c r="Y415" s="2">
        <v>53.5</v>
      </c>
      <c r="Z415" s="2">
        <v>73.8</v>
      </c>
      <c r="AA415" s="2" t="s">
        <v>163</v>
      </c>
      <c r="AB415" s="2" t="s">
        <v>3416</v>
      </c>
      <c r="AC415" s="2">
        <v>-9.6616279534302691</v>
      </c>
      <c r="AD415" s="2"/>
      <c r="AE415" s="2">
        <v>1.1913632712347599</v>
      </c>
      <c r="AF415" s="2">
        <v>194906.14885585199</v>
      </c>
      <c r="AG415" s="2">
        <v>151002.45454184301</v>
      </c>
      <c r="AH415" s="5">
        <v>1.2907482162936801</v>
      </c>
      <c r="AI415" s="5">
        <v>0.36820760441650202</v>
      </c>
      <c r="AJ415" s="5" t="s">
        <v>139</v>
      </c>
      <c r="AK415" s="2">
        <v>0.65473237043360899</v>
      </c>
      <c r="AL415" s="2">
        <v>0.83240942988891198</v>
      </c>
      <c r="AM415" s="2">
        <v>554854.41942076501</v>
      </c>
      <c r="AN415" s="2">
        <v>130241.373631475</v>
      </c>
      <c r="AO415" s="2">
        <v>71727.937766577903</v>
      </c>
      <c r="AP415" s="2">
        <v>114365.814675305</v>
      </c>
      <c r="AQ415" s="2">
        <v>201766.99729867099</v>
      </c>
      <c r="AR415" s="2">
        <v>96480.350342317193</v>
      </c>
      <c r="AS415" s="2">
        <v>74369.790562992202</v>
      </c>
      <c r="AT415" s="2">
        <v>98495.390592071693</v>
      </c>
      <c r="AU415" s="2">
        <v>445729.17964516103</v>
      </c>
      <c r="AV415" s="2">
        <v>77415.9275657041</v>
      </c>
      <c r="AW415" s="2">
        <v>136118.08900852301</v>
      </c>
      <c r="AX415" s="2">
        <v>73886.3498766064</v>
      </c>
    </row>
    <row r="416" spans="1:50" x14ac:dyDescent="0.25">
      <c r="A416" s="2" t="s">
        <v>3417</v>
      </c>
      <c r="B416" s="2">
        <v>564.44013826030096</v>
      </c>
      <c r="C416" s="2">
        <v>11.1675166666667</v>
      </c>
      <c r="D416" s="2" t="s">
        <v>51</v>
      </c>
      <c r="E416" s="2" t="s">
        <v>3418</v>
      </c>
      <c r="F416" s="2">
        <v>197544</v>
      </c>
      <c r="G416" s="3" t="str">
        <f>HYPERLINK("https://cloud.oebiotech.com/#/lm/network/197544", "https://cloud.oebiotech.com/#/lm/network/197544")</f>
        <v>https://cloud.oebiotech.com/#/lm/network/197544</v>
      </c>
      <c r="H416" s="2" t="s">
        <v>3419</v>
      </c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 t="s">
        <v>3420</v>
      </c>
      <c r="T416" s="2" t="s">
        <v>3421</v>
      </c>
      <c r="U416" s="2" t="s">
        <v>56</v>
      </c>
      <c r="V416" s="2" t="s">
        <v>145</v>
      </c>
      <c r="W416" s="2" t="s">
        <v>1188</v>
      </c>
      <c r="X416" s="2" t="s">
        <v>147</v>
      </c>
      <c r="Y416" s="2">
        <v>38.700000000000003</v>
      </c>
      <c r="Z416" s="2">
        <v>11.9</v>
      </c>
      <c r="AA416" s="2" t="s">
        <v>395</v>
      </c>
      <c r="AB416" s="2" t="s">
        <v>3422</v>
      </c>
      <c r="AC416" s="2">
        <v>2.4181457454576898</v>
      </c>
      <c r="AD416" s="2"/>
      <c r="AE416" s="2">
        <v>1.1910682377819</v>
      </c>
      <c r="AF416" s="2">
        <v>268193.27267657599</v>
      </c>
      <c r="AG416" s="2">
        <v>364982.247628727</v>
      </c>
      <c r="AH416" s="4">
        <v>0.73481182829854297</v>
      </c>
      <c r="AI416" s="4">
        <v>-0.44455324512521999</v>
      </c>
      <c r="AJ416" s="4" t="s">
        <v>62</v>
      </c>
      <c r="AK416" s="2">
        <v>0.28368684777404901</v>
      </c>
      <c r="AL416" s="2">
        <v>0.60000138164408201</v>
      </c>
      <c r="AM416" s="2">
        <v>178095.50550154399</v>
      </c>
      <c r="AN416" s="2">
        <v>414755.40323175199</v>
      </c>
      <c r="AO416" s="2">
        <v>236196.075766483</v>
      </c>
      <c r="AP416" s="2">
        <v>318702.15543013898</v>
      </c>
      <c r="AQ416" s="2">
        <v>282611.839667555</v>
      </c>
      <c r="AR416" s="2">
        <v>178798.656461985</v>
      </c>
      <c r="AS416" s="2">
        <v>194140.32470759001</v>
      </c>
      <c r="AT416" s="2">
        <v>371220.81863338797</v>
      </c>
      <c r="AU416" s="2">
        <v>608970.62017640099</v>
      </c>
      <c r="AV416" s="2">
        <v>539606.812333846</v>
      </c>
      <c r="AW416" s="2">
        <v>123765.08335870699</v>
      </c>
      <c r="AX416" s="2">
        <v>352189.82656242902</v>
      </c>
    </row>
    <row r="417" spans="1:50" x14ac:dyDescent="0.25">
      <c r="A417" s="2" t="s">
        <v>3423</v>
      </c>
      <c r="B417" s="2">
        <v>187.0968755058</v>
      </c>
      <c r="C417" s="2">
        <v>5.2225333333333301</v>
      </c>
      <c r="D417" s="2" t="s">
        <v>51</v>
      </c>
      <c r="E417" s="2" t="s">
        <v>3424</v>
      </c>
      <c r="F417" s="2">
        <v>2867</v>
      </c>
      <c r="G417" s="3" t="str">
        <f>HYPERLINK("https://cloud.oebiotech.com/#/lm/network/2867", "https://cloud.oebiotech.com/#/lm/network/2867")</f>
        <v>https://cloud.oebiotech.com/#/lm/network/2867</v>
      </c>
      <c r="H417" s="2" t="s">
        <v>3425</v>
      </c>
      <c r="I417" s="2">
        <v>5750</v>
      </c>
      <c r="J417" s="2" t="s">
        <v>3426</v>
      </c>
      <c r="K417" s="2">
        <v>2266</v>
      </c>
      <c r="L417" s="2" t="s">
        <v>3427</v>
      </c>
      <c r="M417" s="2"/>
      <c r="N417" s="2"/>
      <c r="O417" s="2">
        <v>48131</v>
      </c>
      <c r="P417" s="2"/>
      <c r="Q417" s="2"/>
      <c r="R417" s="2" t="s">
        <v>3428</v>
      </c>
      <c r="S417" s="2" t="s">
        <v>3429</v>
      </c>
      <c r="T417" s="2" t="s">
        <v>3430</v>
      </c>
      <c r="U417" s="2" t="s">
        <v>56</v>
      </c>
      <c r="V417" s="2" t="s">
        <v>145</v>
      </c>
      <c r="W417" s="2" t="s">
        <v>231</v>
      </c>
      <c r="X417" s="2" t="s">
        <v>69</v>
      </c>
      <c r="Y417" s="2">
        <v>55.1</v>
      </c>
      <c r="Z417" s="2">
        <v>63.8</v>
      </c>
      <c r="AA417" s="2" t="s">
        <v>163</v>
      </c>
      <c r="AB417" s="2" t="s">
        <v>3431</v>
      </c>
      <c r="AC417" s="2">
        <v>-3.75882666447378</v>
      </c>
      <c r="AD417" s="2"/>
      <c r="AE417" s="2">
        <v>1.1899792278131101</v>
      </c>
      <c r="AF417" s="2">
        <v>128244.50923215901</v>
      </c>
      <c r="AG417" s="2">
        <v>90398.435719482703</v>
      </c>
      <c r="AH417" s="5">
        <v>1.41865850013287</v>
      </c>
      <c r="AI417" s="5">
        <v>0.50452734524126097</v>
      </c>
      <c r="AJ417" s="5" t="s">
        <v>139</v>
      </c>
      <c r="AK417" s="2">
        <v>9.6091324023530697E-2</v>
      </c>
      <c r="AL417" s="2">
        <v>0.39524362296311799</v>
      </c>
      <c r="AM417" s="2">
        <v>121445.314925265</v>
      </c>
      <c r="AN417" s="2">
        <v>171991.16893645099</v>
      </c>
      <c r="AO417" s="2">
        <v>173656.77582939799</v>
      </c>
      <c r="AP417" s="2">
        <v>76581.617387706894</v>
      </c>
      <c r="AQ417" s="2">
        <v>119981.273907936</v>
      </c>
      <c r="AR417" s="2">
        <v>105810.904406196</v>
      </c>
      <c r="AS417" s="2">
        <v>112626.593424242</v>
      </c>
      <c r="AT417" s="2">
        <v>64454.146397372999</v>
      </c>
      <c r="AU417" s="2">
        <v>134314.25729377099</v>
      </c>
      <c r="AV417" s="2">
        <v>58321.215512586001</v>
      </c>
      <c r="AW417" s="2">
        <v>60697.932234400498</v>
      </c>
      <c r="AX417" s="2">
        <v>111976.46945452401</v>
      </c>
    </row>
    <row r="418" spans="1:50" x14ac:dyDescent="0.25">
      <c r="A418" s="2" t="s">
        <v>1217</v>
      </c>
      <c r="B418" s="2">
        <v>354.26499143458102</v>
      </c>
      <c r="C418" s="2">
        <v>9.2380666666666702</v>
      </c>
      <c r="D418" s="2" t="s">
        <v>51</v>
      </c>
      <c r="E418" s="2" t="s">
        <v>1218</v>
      </c>
      <c r="F418" s="2">
        <v>3637</v>
      </c>
      <c r="G418" s="3" t="str">
        <f>HYPERLINK("https://cloud.oebiotech.com/#/lm/network/3637", "https://cloud.oebiotech.com/#/lm/network/3637")</f>
        <v>https://cloud.oebiotech.com/#/lm/network/3637</v>
      </c>
      <c r="H418" s="2" t="s">
        <v>1219</v>
      </c>
      <c r="I418" s="2">
        <v>407</v>
      </c>
      <c r="J418" s="2" t="s">
        <v>1220</v>
      </c>
      <c r="K418" s="2">
        <v>5281912</v>
      </c>
      <c r="L418" s="2" t="s">
        <v>1221</v>
      </c>
      <c r="M418" s="2"/>
      <c r="N418" s="2"/>
      <c r="O418" s="2">
        <v>15545</v>
      </c>
      <c r="P418" s="2"/>
      <c r="Q418" s="2"/>
      <c r="R418" s="2" t="s">
        <v>1222</v>
      </c>
      <c r="S418" s="2" t="s">
        <v>1223</v>
      </c>
      <c r="T418" s="2" t="s">
        <v>1224</v>
      </c>
      <c r="U418" s="2" t="s">
        <v>56</v>
      </c>
      <c r="V418" s="2" t="s">
        <v>145</v>
      </c>
      <c r="W418" s="2" t="s">
        <v>187</v>
      </c>
      <c r="X418" s="2" t="s">
        <v>69</v>
      </c>
      <c r="Y418" s="2">
        <v>63</v>
      </c>
      <c r="Z418" s="2">
        <v>78.7</v>
      </c>
      <c r="AA418" s="2" t="s">
        <v>512</v>
      </c>
      <c r="AB418" s="2" t="s">
        <v>188</v>
      </c>
      <c r="AC418" s="2">
        <v>3.29060436478647</v>
      </c>
      <c r="AD418" s="2"/>
      <c r="AE418" s="2">
        <v>1.1890307940659699</v>
      </c>
      <c r="AF418" s="2">
        <v>56646.463729827803</v>
      </c>
      <c r="AG418" s="2">
        <v>28064.769190362498</v>
      </c>
      <c r="AH418" s="5">
        <v>2.0184190130193702</v>
      </c>
      <c r="AI418" s="5">
        <v>1.01322570132953</v>
      </c>
      <c r="AJ418" s="5" t="s">
        <v>139</v>
      </c>
      <c r="AK418" s="2">
        <v>5.2638975104383999E-3</v>
      </c>
      <c r="AL418" s="2">
        <v>0.124014918728067</v>
      </c>
      <c r="AM418" s="2">
        <v>59914.615626550898</v>
      </c>
      <c r="AN418" s="2">
        <v>83927.009850985996</v>
      </c>
      <c r="AO418" s="2">
        <v>54893.660528604698</v>
      </c>
      <c r="AP418" s="2">
        <v>38027.762400309402</v>
      </c>
      <c r="AQ418" s="2">
        <v>50157.968511038001</v>
      </c>
      <c r="AR418" s="2">
        <v>52957.765461477902</v>
      </c>
      <c r="AS418" s="2">
        <v>43948.6834310872</v>
      </c>
      <c r="AT418" s="2">
        <v>24403.123400224798</v>
      </c>
      <c r="AU418" s="2">
        <v>39394.814195289102</v>
      </c>
      <c r="AV418" s="2">
        <v>10540.028293453899</v>
      </c>
      <c r="AW418" s="2">
        <v>19376.4862102591</v>
      </c>
      <c r="AX418" s="2">
        <v>30725.479611860901</v>
      </c>
    </row>
    <row r="419" spans="1:50" x14ac:dyDescent="0.25">
      <c r="A419" s="2" t="s">
        <v>1225</v>
      </c>
      <c r="B419" s="2">
        <v>415.001777188463</v>
      </c>
      <c r="C419" s="2">
        <v>9.6639666666666706</v>
      </c>
      <c r="D419" s="2" t="s">
        <v>51</v>
      </c>
      <c r="E419" s="2" t="s">
        <v>1226</v>
      </c>
      <c r="F419" s="2">
        <v>56937</v>
      </c>
      <c r="G419" s="3" t="str">
        <f>HYPERLINK("https://cloud.oebiotech.com/#/lm/network/56937", "https://cloud.oebiotech.com/#/lm/network/56937")</f>
        <v>https://cloud.oebiotech.com/#/lm/network/56937</v>
      </c>
      <c r="H419" s="2" t="s">
        <v>1227</v>
      </c>
      <c r="I419" s="2">
        <v>88594</v>
      </c>
      <c r="J419" s="2"/>
      <c r="K419" s="2">
        <v>20216911</v>
      </c>
      <c r="L419" s="2"/>
      <c r="M419" s="2"/>
      <c r="N419" s="2"/>
      <c r="O419" s="2">
        <v>174030</v>
      </c>
      <c r="P419" s="2"/>
      <c r="Q419" s="2"/>
      <c r="R419" s="2" t="s">
        <v>1228</v>
      </c>
      <c r="S419" s="2" t="s">
        <v>1229</v>
      </c>
      <c r="T419" s="2" t="s">
        <v>1230</v>
      </c>
      <c r="U419" s="2" t="s">
        <v>1231</v>
      </c>
      <c r="V419" s="2" t="s">
        <v>1232</v>
      </c>
      <c r="W419" s="2" t="s">
        <v>240</v>
      </c>
      <c r="X419" s="2" t="s">
        <v>147</v>
      </c>
      <c r="Y419" s="2">
        <v>36.5</v>
      </c>
      <c r="Z419" s="2">
        <v>3.6</v>
      </c>
      <c r="AA419" s="2" t="s">
        <v>478</v>
      </c>
      <c r="AB419" s="2" t="s">
        <v>1233</v>
      </c>
      <c r="AC419" s="2">
        <v>-2.40952910273929</v>
      </c>
      <c r="AD419" s="2"/>
      <c r="AE419" s="2">
        <v>1.1868413352057801</v>
      </c>
      <c r="AF419" s="2">
        <v>146098.97729898099</v>
      </c>
      <c r="AG419" s="2">
        <v>172605.542275138</v>
      </c>
      <c r="AH419" s="4">
        <v>0.84643271225958205</v>
      </c>
      <c r="AI419" s="4">
        <v>-0.24053271022522901</v>
      </c>
      <c r="AJ419" s="4" t="s">
        <v>62</v>
      </c>
      <c r="AK419" s="2">
        <v>3.0918082011865602E-3</v>
      </c>
      <c r="AL419" s="2">
        <v>0.111523607056318</v>
      </c>
      <c r="AM419" s="2">
        <v>126929.090073024</v>
      </c>
      <c r="AN419" s="2">
        <v>142753.28904283099</v>
      </c>
      <c r="AO419" s="2">
        <v>145317.594594202</v>
      </c>
      <c r="AP419" s="2">
        <v>156260.08382838799</v>
      </c>
      <c r="AQ419" s="2">
        <v>163335.994772684</v>
      </c>
      <c r="AR419" s="2">
        <v>141997.811482755</v>
      </c>
      <c r="AS419" s="2">
        <v>177541.80753162401</v>
      </c>
      <c r="AT419" s="2">
        <v>180186.35076296399</v>
      </c>
      <c r="AU419" s="2">
        <v>153247.61521435599</v>
      </c>
      <c r="AV419" s="2">
        <v>183084.40510090499</v>
      </c>
      <c r="AW419" s="2">
        <v>166578.93494713801</v>
      </c>
      <c r="AX419" s="2">
        <v>174994.140093839</v>
      </c>
    </row>
    <row r="420" spans="1:50" x14ac:dyDescent="0.25">
      <c r="A420" s="2" t="s">
        <v>3432</v>
      </c>
      <c r="B420" s="2">
        <v>191.01898532970401</v>
      </c>
      <c r="C420" s="2">
        <v>1.0003833333333301</v>
      </c>
      <c r="D420" s="2" t="s">
        <v>51</v>
      </c>
      <c r="E420" s="2" t="s">
        <v>3433</v>
      </c>
      <c r="F420" s="2">
        <v>46867</v>
      </c>
      <c r="G420" s="3" t="str">
        <f>HYPERLINK("https://cloud.oebiotech.com/#/lm/network/46867", "https://cloud.oebiotech.com/#/lm/network/46867")</f>
        <v>https://cloud.oebiotech.com/#/lm/network/46867</v>
      </c>
      <c r="H420" s="2" t="s">
        <v>3434</v>
      </c>
      <c r="I420" s="2">
        <v>124</v>
      </c>
      <c r="J420" s="2"/>
      <c r="K420" s="2">
        <v>311</v>
      </c>
      <c r="L420" s="2" t="s">
        <v>3435</v>
      </c>
      <c r="M420" s="2" t="s">
        <v>3436</v>
      </c>
      <c r="N420" s="2" t="s">
        <v>3437</v>
      </c>
      <c r="O420" s="2">
        <v>30769</v>
      </c>
      <c r="P420" s="2" t="s">
        <v>3438</v>
      </c>
      <c r="Q420" s="2" t="s">
        <v>3439</v>
      </c>
      <c r="R420" s="2" t="s">
        <v>3440</v>
      </c>
      <c r="S420" s="2" t="s">
        <v>3441</v>
      </c>
      <c r="T420" s="2" t="s">
        <v>3442</v>
      </c>
      <c r="U420" s="2" t="s">
        <v>103</v>
      </c>
      <c r="V420" s="2" t="s">
        <v>104</v>
      </c>
      <c r="W420" s="2" t="s">
        <v>1139</v>
      </c>
      <c r="X420" s="2" t="s">
        <v>69</v>
      </c>
      <c r="Y420" s="2">
        <v>58.5</v>
      </c>
      <c r="Z420" s="2">
        <v>95</v>
      </c>
      <c r="AA420" s="2" t="s">
        <v>163</v>
      </c>
      <c r="AB420" s="2" t="s">
        <v>3443</v>
      </c>
      <c r="AC420" s="2">
        <v>-3.85795625538052</v>
      </c>
      <c r="AD420" s="2"/>
      <c r="AE420" s="2">
        <v>1.18664477079488</v>
      </c>
      <c r="AF420" s="2">
        <v>154392.88032080099</v>
      </c>
      <c r="AG420" s="2">
        <v>236145.682117666</v>
      </c>
      <c r="AH420" s="4">
        <v>0.65380352897526495</v>
      </c>
      <c r="AI420" s="4">
        <v>-0.61307093065863905</v>
      </c>
      <c r="AJ420" s="4" t="s">
        <v>62</v>
      </c>
      <c r="AK420" s="2">
        <v>0.16235367788209601</v>
      </c>
      <c r="AL420" s="2">
        <v>0.48399353100485398</v>
      </c>
      <c r="AM420" s="2">
        <v>238353.290924036</v>
      </c>
      <c r="AN420" s="2">
        <v>73596.408098959102</v>
      </c>
      <c r="AO420" s="2">
        <v>124118.67961670599</v>
      </c>
      <c r="AP420" s="2">
        <v>195377.18809798101</v>
      </c>
      <c r="AQ420" s="2">
        <v>183091.18601628399</v>
      </c>
      <c r="AR420" s="2">
        <v>111820.52917084099</v>
      </c>
      <c r="AS420" s="2">
        <v>224744.67746349599</v>
      </c>
      <c r="AT420" s="2">
        <v>425467.63285982702</v>
      </c>
      <c r="AU420" s="2">
        <v>207687.01326803301</v>
      </c>
      <c r="AV420" s="2">
        <v>255490.635018517</v>
      </c>
      <c r="AW420" s="2">
        <v>246341.00805930901</v>
      </c>
      <c r="AX420" s="2">
        <v>57143.126036815003</v>
      </c>
    </row>
    <row r="421" spans="1:50" x14ac:dyDescent="0.25">
      <c r="A421" s="2" t="s">
        <v>1234</v>
      </c>
      <c r="B421" s="2">
        <v>697.49181348918603</v>
      </c>
      <c r="C421" s="2">
        <v>10.6505166666667</v>
      </c>
      <c r="D421" s="2" t="s">
        <v>51</v>
      </c>
      <c r="E421" s="2" t="s">
        <v>1235</v>
      </c>
      <c r="F421" s="2">
        <v>39767</v>
      </c>
      <c r="G421" s="3" t="str">
        <f>HYPERLINK("https://cloud.oebiotech.com/#/lm/network/39767", "https://cloud.oebiotech.com/#/lm/network/39767")</f>
        <v>https://cloud.oebiotech.com/#/lm/network/39767</v>
      </c>
      <c r="H421" s="2"/>
      <c r="I421" s="2">
        <v>103127</v>
      </c>
      <c r="J421" s="2" t="s">
        <v>1236</v>
      </c>
      <c r="K421" s="2">
        <v>70699071</v>
      </c>
      <c r="L421" s="2"/>
      <c r="M421" s="2"/>
      <c r="N421" s="2"/>
      <c r="O421" s="2"/>
      <c r="P421" s="2"/>
      <c r="Q421" s="2"/>
      <c r="R421" s="2"/>
      <c r="S421" s="2" t="s">
        <v>1237</v>
      </c>
      <c r="T421" s="2" t="s">
        <v>1238</v>
      </c>
      <c r="U421" s="2" t="s">
        <v>56</v>
      </c>
      <c r="V421" s="2" t="s">
        <v>344</v>
      </c>
      <c r="W421" s="2" t="s">
        <v>1239</v>
      </c>
      <c r="X421" s="2" t="s">
        <v>147</v>
      </c>
      <c r="Y421" s="2">
        <v>38.1</v>
      </c>
      <c r="Z421" s="2">
        <v>13.4</v>
      </c>
      <c r="AA421" s="2" t="s">
        <v>95</v>
      </c>
      <c r="AB421" s="2" t="s">
        <v>1240</v>
      </c>
      <c r="AC421" s="2">
        <v>4.0082374195308201</v>
      </c>
      <c r="AD421" s="2"/>
      <c r="AE421" s="2">
        <v>1.1853255989859299</v>
      </c>
      <c r="AF421" s="2">
        <v>99911.181874962</v>
      </c>
      <c r="AG421" s="2">
        <v>132395.576506821</v>
      </c>
      <c r="AH421" s="4">
        <v>0.75464138992449104</v>
      </c>
      <c r="AI421" s="4">
        <v>-0.406136864867578</v>
      </c>
      <c r="AJ421" s="4" t="s">
        <v>62</v>
      </c>
      <c r="AK421" s="2">
        <v>3.9827861600436103E-2</v>
      </c>
      <c r="AL421" s="2">
        <v>0.29155452793099101</v>
      </c>
      <c r="AM421" s="2">
        <v>68732.044969149298</v>
      </c>
      <c r="AN421" s="2">
        <v>72952.974019086701</v>
      </c>
      <c r="AO421" s="2">
        <v>94726.684291768906</v>
      </c>
      <c r="AP421" s="2">
        <v>100001.680718353</v>
      </c>
      <c r="AQ421" s="2">
        <v>145290.30634951399</v>
      </c>
      <c r="AR421" s="2">
        <v>117763.40090189999</v>
      </c>
      <c r="AS421" s="2">
        <v>148353.72102727901</v>
      </c>
      <c r="AT421" s="2">
        <v>148098.000804018</v>
      </c>
      <c r="AU421" s="2">
        <v>109032.431151686</v>
      </c>
      <c r="AV421" s="2">
        <v>116797.921047301</v>
      </c>
      <c r="AW421" s="2">
        <v>124769.497637968</v>
      </c>
      <c r="AX421" s="2">
        <v>147321.88737267599</v>
      </c>
    </row>
    <row r="422" spans="1:50" x14ac:dyDescent="0.25">
      <c r="A422" s="2" t="s">
        <v>3444</v>
      </c>
      <c r="B422" s="2">
        <v>682.44720131315296</v>
      </c>
      <c r="C422" s="2">
        <v>12.6122333333333</v>
      </c>
      <c r="D422" s="2" t="s">
        <v>51</v>
      </c>
      <c r="E422" s="2" t="s">
        <v>3445</v>
      </c>
      <c r="F422" s="2">
        <v>60164</v>
      </c>
      <c r="G422" s="3" t="str">
        <f>HYPERLINK("https://cloud.oebiotech.com/#/lm/network/60164", "https://cloud.oebiotech.com/#/lm/network/60164")</f>
        <v>https://cloud.oebiotech.com/#/lm/network/60164</v>
      </c>
      <c r="H422" s="2" t="s">
        <v>3446</v>
      </c>
      <c r="I422" s="2">
        <v>91547</v>
      </c>
      <c r="J422" s="2"/>
      <c r="K422" s="2">
        <v>131751984</v>
      </c>
      <c r="L422" s="2"/>
      <c r="M422" s="2"/>
      <c r="N422" s="2"/>
      <c r="O422" s="2">
        <v>176291</v>
      </c>
      <c r="P422" s="2"/>
      <c r="Q422" s="2"/>
      <c r="R422" s="2" t="s">
        <v>3447</v>
      </c>
      <c r="S422" s="2" t="s">
        <v>3448</v>
      </c>
      <c r="T422" s="2" t="s">
        <v>3449</v>
      </c>
      <c r="U422" s="2" t="s">
        <v>610</v>
      </c>
      <c r="V422" s="2" t="s">
        <v>611</v>
      </c>
      <c r="W422" s="2" t="s">
        <v>1122</v>
      </c>
      <c r="X422" s="2" t="s">
        <v>147</v>
      </c>
      <c r="Y422" s="2">
        <v>37.200000000000003</v>
      </c>
      <c r="Z422" s="2">
        <v>0</v>
      </c>
      <c r="AA422" s="2" t="s">
        <v>259</v>
      </c>
      <c r="AB422" s="2" t="s">
        <v>3450</v>
      </c>
      <c r="AC422" s="2">
        <v>0.88179006197882503</v>
      </c>
      <c r="AD422" s="2"/>
      <c r="AE422" s="2">
        <v>1.1851695192547</v>
      </c>
      <c r="AF422" s="2">
        <v>52469.271953659401</v>
      </c>
      <c r="AG422" s="2">
        <v>16622.1138188736</v>
      </c>
      <c r="AH422" s="5">
        <v>3.15659443349998</v>
      </c>
      <c r="AI422" s="5">
        <v>1.6583689117865399</v>
      </c>
      <c r="AJ422" s="5" t="s">
        <v>139</v>
      </c>
      <c r="AK422" s="2">
        <v>0.28254475815042601</v>
      </c>
      <c r="AL422" s="2">
        <v>0.60000138164408201</v>
      </c>
      <c r="AM422" s="2">
        <v>192519.38840184899</v>
      </c>
      <c r="AN422" s="2">
        <v>94603.063749492299</v>
      </c>
      <c r="AO422" s="2">
        <v>14176.111903807399</v>
      </c>
      <c r="AP422" s="2">
        <v>4196.1657829717897</v>
      </c>
      <c r="AQ422" s="2">
        <v>3609.5627809949901</v>
      </c>
      <c r="AR422" s="2">
        <v>5711.3391028411997</v>
      </c>
      <c r="AS422" s="2">
        <v>9615.2299974450907</v>
      </c>
      <c r="AT422" s="2">
        <v>19714.563187356802</v>
      </c>
      <c r="AU422" s="2">
        <v>14616.145330535899</v>
      </c>
      <c r="AV422" s="2">
        <v>16275.380769057399</v>
      </c>
      <c r="AW422" s="2">
        <v>24414.810288068202</v>
      </c>
      <c r="AX422" s="2">
        <v>15096.5533407782</v>
      </c>
    </row>
    <row r="423" spans="1:50" x14ac:dyDescent="0.25">
      <c r="A423" s="2" t="s">
        <v>1241</v>
      </c>
      <c r="B423" s="2">
        <v>620.39334927451205</v>
      </c>
      <c r="C423" s="2">
        <v>11.777900000000001</v>
      </c>
      <c r="D423" s="2" t="s">
        <v>51</v>
      </c>
      <c r="E423" s="2" t="s">
        <v>1242</v>
      </c>
      <c r="F423" s="2">
        <v>27845</v>
      </c>
      <c r="G423" s="3" t="str">
        <f>HYPERLINK("https://cloud.oebiotech.com/#/lm/network/27845", "https://cloud.oebiotech.com/#/lm/network/27845")</f>
        <v>https://cloud.oebiotech.com/#/lm/network/27845</v>
      </c>
      <c r="H423" s="2"/>
      <c r="I423" s="2"/>
      <c r="J423" s="2" t="s">
        <v>1243</v>
      </c>
      <c r="K423" s="2">
        <v>134812301</v>
      </c>
      <c r="L423" s="2"/>
      <c r="M423" s="2"/>
      <c r="N423" s="2"/>
      <c r="O423" s="2"/>
      <c r="P423" s="2"/>
      <c r="Q423" s="2"/>
      <c r="R423" s="2"/>
      <c r="S423" s="2" t="s">
        <v>1244</v>
      </c>
      <c r="T423" s="2" t="s">
        <v>1245</v>
      </c>
      <c r="U423" s="2" t="s">
        <v>56</v>
      </c>
      <c r="V423" s="2" t="s">
        <v>57</v>
      </c>
      <c r="W423" s="2" t="s">
        <v>58</v>
      </c>
      <c r="X423" s="2" t="s">
        <v>147</v>
      </c>
      <c r="Y423" s="2">
        <v>44</v>
      </c>
      <c r="Z423" s="2">
        <v>30.4</v>
      </c>
      <c r="AA423" s="2" t="s">
        <v>259</v>
      </c>
      <c r="AB423" s="2" t="s">
        <v>1246</v>
      </c>
      <c r="AC423" s="2">
        <v>1.86276994512963</v>
      </c>
      <c r="AD423" s="2"/>
      <c r="AE423" s="2">
        <v>1.1851170255439401</v>
      </c>
      <c r="AF423" s="2">
        <v>71633.100472810605</v>
      </c>
      <c r="AG423" s="2">
        <v>37738.668464820097</v>
      </c>
      <c r="AH423" s="5">
        <v>1.89813534464224</v>
      </c>
      <c r="AI423" s="5">
        <v>0.92458286595362704</v>
      </c>
      <c r="AJ423" s="5" t="s">
        <v>139</v>
      </c>
      <c r="AK423" s="2">
        <v>4.09942647858172E-3</v>
      </c>
      <c r="AL423" s="2">
        <v>0.115896642873046</v>
      </c>
      <c r="AM423" s="2">
        <v>71408.456964276396</v>
      </c>
      <c r="AN423" s="2">
        <v>64792.642178953298</v>
      </c>
      <c r="AO423" s="2">
        <v>65830.768446580201</v>
      </c>
      <c r="AP423" s="2">
        <v>110842.107509223</v>
      </c>
      <c r="AQ423" s="2">
        <v>61324.181562336402</v>
      </c>
      <c r="AR423" s="2">
        <v>55600.446175494202</v>
      </c>
      <c r="AS423" s="2">
        <v>36233.933992411803</v>
      </c>
      <c r="AT423" s="2">
        <v>51708.620187335102</v>
      </c>
      <c r="AU423" s="2">
        <v>47490.126269878099</v>
      </c>
      <c r="AV423" s="2">
        <v>36197.823323882301</v>
      </c>
      <c r="AW423" s="2">
        <v>23802.328845310301</v>
      </c>
      <c r="AX423" s="2">
        <v>30999.1781701031</v>
      </c>
    </row>
    <row r="424" spans="1:50" x14ac:dyDescent="0.25">
      <c r="A424" s="2" t="s">
        <v>1247</v>
      </c>
      <c r="B424" s="2">
        <v>393.22877182102002</v>
      </c>
      <c r="C424" s="2">
        <v>6.1954000000000002</v>
      </c>
      <c r="D424" s="2" t="s">
        <v>51</v>
      </c>
      <c r="E424" s="2" t="s">
        <v>1248</v>
      </c>
      <c r="F424" s="2">
        <v>203741</v>
      </c>
      <c r="G424" s="3" t="str">
        <f>HYPERLINK("https://cloud.oebiotech.com/#/lm/network/203741", "https://cloud.oebiotech.com/#/lm/network/203741")</f>
        <v>https://cloud.oebiotech.com/#/lm/network/203741</v>
      </c>
      <c r="H424" s="2" t="s">
        <v>1249</v>
      </c>
      <c r="I424" s="2"/>
      <c r="J424" s="2"/>
      <c r="K424" s="2">
        <v>73998974</v>
      </c>
      <c r="L424" s="2"/>
      <c r="M424" s="2"/>
      <c r="N424" s="2"/>
      <c r="O424" s="2"/>
      <c r="P424" s="2"/>
      <c r="Q424" s="2"/>
      <c r="R424" s="2"/>
      <c r="S424" s="2" t="s">
        <v>1250</v>
      </c>
      <c r="T424" s="2" t="s">
        <v>1251</v>
      </c>
      <c r="U424" s="2" t="s">
        <v>56</v>
      </c>
      <c r="V424" s="2" t="s">
        <v>145</v>
      </c>
      <c r="W424" s="2" t="s">
        <v>187</v>
      </c>
      <c r="X424" s="2" t="s">
        <v>59</v>
      </c>
      <c r="Y424" s="2">
        <v>48.8</v>
      </c>
      <c r="Z424" s="2">
        <v>51.1</v>
      </c>
      <c r="AA424" s="2" t="s">
        <v>218</v>
      </c>
      <c r="AB424" s="2" t="s">
        <v>1252</v>
      </c>
      <c r="AC424" s="2">
        <v>1.4629596913664999</v>
      </c>
      <c r="AD424" s="2"/>
      <c r="AE424" s="2">
        <v>1.1842113572370501</v>
      </c>
      <c r="AF424" s="2">
        <v>72694.452539812497</v>
      </c>
      <c r="AG424" s="2">
        <v>40899.551575878497</v>
      </c>
      <c r="AH424" s="5">
        <v>1.7773899648984399</v>
      </c>
      <c r="AI424" s="5">
        <v>0.82976024788456604</v>
      </c>
      <c r="AJ424" s="5" t="s">
        <v>139</v>
      </c>
      <c r="AK424" s="2">
        <v>4.0010037264871803E-2</v>
      </c>
      <c r="AL424" s="2">
        <v>0.29155452793099101</v>
      </c>
      <c r="AM424" s="2">
        <v>114030.333550069</v>
      </c>
      <c r="AN424" s="2">
        <v>100679.80380841201</v>
      </c>
      <c r="AO424" s="2">
        <v>58147.739831002997</v>
      </c>
      <c r="AP424" s="2">
        <v>56916.762765244697</v>
      </c>
      <c r="AQ424" s="2">
        <v>39806.247555616101</v>
      </c>
      <c r="AR424" s="2">
        <v>66585.827728530407</v>
      </c>
      <c r="AS424" s="2">
        <v>56759.016972864199</v>
      </c>
      <c r="AT424" s="2">
        <v>20480.234919200499</v>
      </c>
      <c r="AU424" s="2">
        <v>57559.867536915997</v>
      </c>
      <c r="AV424" s="2">
        <v>20903.2415464113</v>
      </c>
      <c r="AW424" s="2">
        <v>45410.674595341399</v>
      </c>
      <c r="AX424" s="2">
        <v>44284.273884537397</v>
      </c>
    </row>
    <row r="425" spans="1:50" x14ac:dyDescent="0.25">
      <c r="A425" s="2" t="s">
        <v>3451</v>
      </c>
      <c r="B425" s="2">
        <v>443.20535438893302</v>
      </c>
      <c r="C425" s="2">
        <v>7.0694833333333298</v>
      </c>
      <c r="D425" s="2" t="s">
        <v>51</v>
      </c>
      <c r="E425" s="2" t="s">
        <v>3452</v>
      </c>
      <c r="F425" s="2">
        <v>46641</v>
      </c>
      <c r="G425" s="3" t="str">
        <f>HYPERLINK("https://cloud.oebiotech.com/#/lm/network/46641", "https://cloud.oebiotech.com/#/lm/network/46641")</f>
        <v>https://cloud.oebiotech.com/#/lm/network/46641</v>
      </c>
      <c r="H425" s="2" t="s">
        <v>3453</v>
      </c>
      <c r="I425" s="2">
        <v>57942</v>
      </c>
      <c r="J425" s="2" t="s">
        <v>3454</v>
      </c>
      <c r="K425" s="2">
        <v>5460852</v>
      </c>
      <c r="L425" s="2" t="s">
        <v>3455</v>
      </c>
      <c r="M425" s="2" t="s">
        <v>3456</v>
      </c>
      <c r="N425" s="2" t="s">
        <v>3457</v>
      </c>
      <c r="O425" s="2">
        <v>17821</v>
      </c>
      <c r="P425" s="2" t="s">
        <v>3458</v>
      </c>
      <c r="Q425" s="2" t="s">
        <v>3459</v>
      </c>
      <c r="R425" s="2"/>
      <c r="S425" s="2" t="s">
        <v>3460</v>
      </c>
      <c r="T425" s="2" t="s">
        <v>3461</v>
      </c>
      <c r="U425" s="2" t="s">
        <v>56</v>
      </c>
      <c r="V425" s="2" t="s">
        <v>283</v>
      </c>
      <c r="W425" s="2" t="s">
        <v>3462</v>
      </c>
      <c r="X425" s="2" t="s">
        <v>59</v>
      </c>
      <c r="Y425" s="2">
        <v>47.6</v>
      </c>
      <c r="Z425" s="2">
        <v>52.1</v>
      </c>
      <c r="AA425" s="2" t="s">
        <v>379</v>
      </c>
      <c r="AB425" s="2" t="s">
        <v>3463</v>
      </c>
      <c r="AC425" s="2">
        <v>-4.7001702569988097</v>
      </c>
      <c r="AD425" s="2"/>
      <c r="AE425" s="2">
        <v>1.1800519036499599</v>
      </c>
      <c r="AF425" s="2">
        <v>76937.377015941805</v>
      </c>
      <c r="AG425" s="2">
        <v>42547.217182564302</v>
      </c>
      <c r="AH425" s="5">
        <v>1.8082822358466799</v>
      </c>
      <c r="AI425" s="5">
        <v>0.85461987049561405</v>
      </c>
      <c r="AJ425" s="5" t="s">
        <v>139</v>
      </c>
      <c r="AK425" s="2">
        <v>9.5483871220649705E-2</v>
      </c>
      <c r="AL425" s="2">
        <v>0.39518270427574997</v>
      </c>
      <c r="AM425" s="2">
        <v>154872.229629051</v>
      </c>
      <c r="AN425" s="2">
        <v>58867.326059766703</v>
      </c>
      <c r="AO425" s="2">
        <v>64097.207833334098</v>
      </c>
      <c r="AP425" s="2">
        <v>67542.374348628902</v>
      </c>
      <c r="AQ425" s="2">
        <v>49025.8802001484</v>
      </c>
      <c r="AR425" s="2">
        <v>67219.244024721702</v>
      </c>
      <c r="AS425" s="2">
        <v>77964.489579172296</v>
      </c>
      <c r="AT425" s="2">
        <v>46980.603774464696</v>
      </c>
      <c r="AU425" s="2">
        <v>43798.356280407701</v>
      </c>
      <c r="AV425" s="2">
        <v>10585.5238629796</v>
      </c>
      <c r="AW425" s="2">
        <v>20576.697092953102</v>
      </c>
      <c r="AX425" s="2">
        <v>55377.632505408699</v>
      </c>
    </row>
    <row r="426" spans="1:50" x14ac:dyDescent="0.25">
      <c r="A426" s="2" t="s">
        <v>1253</v>
      </c>
      <c r="B426" s="2">
        <v>345.20476475539198</v>
      </c>
      <c r="C426" s="2">
        <v>12.051083333333301</v>
      </c>
      <c r="D426" s="2" t="s">
        <v>51</v>
      </c>
      <c r="E426" s="2" t="s">
        <v>1254</v>
      </c>
      <c r="F426" s="2">
        <v>35913</v>
      </c>
      <c r="G426" s="3" t="str">
        <f>HYPERLINK("https://cloud.oebiotech.com/#/lm/network/35913", "https://cloud.oebiotech.com/#/lm/network/35913")</f>
        <v>https://cloud.oebiotech.com/#/lm/network/35913</v>
      </c>
      <c r="H426" s="2" t="s">
        <v>1255</v>
      </c>
      <c r="I426" s="2">
        <v>41263</v>
      </c>
      <c r="J426" s="2" t="s">
        <v>1256</v>
      </c>
      <c r="K426" s="2">
        <v>94391</v>
      </c>
      <c r="L426" s="2" t="s">
        <v>1257</v>
      </c>
      <c r="M426" s="2"/>
      <c r="N426" s="2"/>
      <c r="O426" s="2">
        <v>29571</v>
      </c>
      <c r="P426" s="2"/>
      <c r="Q426" s="2"/>
      <c r="R426" s="2" t="s">
        <v>1258</v>
      </c>
      <c r="S426" s="2" t="s">
        <v>1259</v>
      </c>
      <c r="T426" s="2" t="s">
        <v>1260</v>
      </c>
      <c r="U426" s="2" t="s">
        <v>56</v>
      </c>
      <c r="V426" s="2" t="s">
        <v>177</v>
      </c>
      <c r="W426" s="2" t="s">
        <v>178</v>
      </c>
      <c r="X426" s="2" t="s">
        <v>83</v>
      </c>
      <c r="Y426" s="2">
        <v>54.3</v>
      </c>
      <c r="Z426" s="2">
        <v>0</v>
      </c>
      <c r="AA426" s="2" t="s">
        <v>218</v>
      </c>
      <c r="AB426" s="2" t="s">
        <v>1261</v>
      </c>
      <c r="AC426" s="2">
        <v>-7.8886783520592898</v>
      </c>
      <c r="AD426" s="2"/>
      <c r="AE426" s="2">
        <v>1.1774223876546499</v>
      </c>
      <c r="AF426" s="2">
        <v>23953.802274688001</v>
      </c>
      <c r="AG426" s="2">
        <v>71384.890143637196</v>
      </c>
      <c r="AH426" s="4">
        <v>0.33555843857837903</v>
      </c>
      <c r="AI426" s="4">
        <v>-1.57536405661257</v>
      </c>
      <c r="AJ426" s="4" t="s">
        <v>62</v>
      </c>
      <c r="AK426" s="2">
        <v>4.8974582047590698E-2</v>
      </c>
      <c r="AL426" s="2">
        <v>0.30691247078395001</v>
      </c>
      <c r="AM426" s="2">
        <v>26911.880999469198</v>
      </c>
      <c r="AN426" s="2">
        <v>26308.1332651587</v>
      </c>
      <c r="AO426" s="2">
        <v>39812.418976774898</v>
      </c>
      <c r="AP426" s="2">
        <v>15317.3332818298</v>
      </c>
      <c r="AQ426" s="2">
        <v>19064.702608938402</v>
      </c>
      <c r="AR426" s="2">
        <v>16308.344515957</v>
      </c>
      <c r="AS426" s="2">
        <v>34156.3970067958</v>
      </c>
      <c r="AT426" s="2">
        <v>16698.8272572223</v>
      </c>
      <c r="AU426" s="2">
        <v>153618.360794654</v>
      </c>
      <c r="AV426" s="2">
        <v>84986.781858381597</v>
      </c>
      <c r="AW426" s="2">
        <v>98513.277454700801</v>
      </c>
      <c r="AX426" s="2">
        <v>40335.696490068498</v>
      </c>
    </row>
    <row r="427" spans="1:50" x14ac:dyDescent="0.25">
      <c r="A427" s="2" t="s">
        <v>3464</v>
      </c>
      <c r="B427" s="2">
        <v>439.17087943464702</v>
      </c>
      <c r="C427" s="2">
        <v>7.8818000000000001</v>
      </c>
      <c r="D427" s="2" t="s">
        <v>51</v>
      </c>
      <c r="E427" s="2" t="s">
        <v>3465</v>
      </c>
      <c r="F427" s="2">
        <v>53733</v>
      </c>
      <c r="G427" s="3" t="str">
        <f>HYPERLINK("https://cloud.oebiotech.com/#/lm/network/53733", "https://cloud.oebiotech.com/#/lm/network/53733")</f>
        <v>https://cloud.oebiotech.com/#/lm/network/53733</v>
      </c>
      <c r="H427" s="2" t="s">
        <v>3466</v>
      </c>
      <c r="I427" s="2">
        <v>85609</v>
      </c>
      <c r="J427" s="2"/>
      <c r="K427" s="2">
        <v>85744</v>
      </c>
      <c r="L427" s="2"/>
      <c r="M427" s="2"/>
      <c r="N427" s="2"/>
      <c r="O427" s="2">
        <v>73806</v>
      </c>
      <c r="P427" s="2"/>
      <c r="Q427" s="2"/>
      <c r="R427" s="2" t="s">
        <v>3467</v>
      </c>
      <c r="S427" s="2" t="s">
        <v>3468</v>
      </c>
      <c r="T427" s="2" t="s">
        <v>3469</v>
      </c>
      <c r="U427" s="2" t="s">
        <v>103</v>
      </c>
      <c r="V427" s="2" t="s">
        <v>104</v>
      </c>
      <c r="W427" s="2" t="s">
        <v>105</v>
      </c>
      <c r="X427" s="2" t="s">
        <v>147</v>
      </c>
      <c r="Y427" s="2">
        <v>41.4</v>
      </c>
      <c r="Z427" s="2">
        <v>25.4</v>
      </c>
      <c r="AA427" s="2" t="s">
        <v>478</v>
      </c>
      <c r="AB427" s="2" t="s">
        <v>3470</v>
      </c>
      <c r="AC427" s="2">
        <v>4.1553889555321799</v>
      </c>
      <c r="AD427" s="2"/>
      <c r="AE427" s="2">
        <v>1.1762818091767799</v>
      </c>
      <c r="AF427" s="2">
        <v>118626.99726756</v>
      </c>
      <c r="AG427" s="2">
        <v>219513.538002079</v>
      </c>
      <c r="AH427" s="4">
        <v>0.54040857045653601</v>
      </c>
      <c r="AI427" s="4">
        <v>-0.88787754002928798</v>
      </c>
      <c r="AJ427" s="4" t="s">
        <v>62</v>
      </c>
      <c r="AK427" s="2">
        <v>0.194267951755941</v>
      </c>
      <c r="AL427" s="2">
        <v>0.51806281136890397</v>
      </c>
      <c r="AM427" s="2">
        <v>305049.85107362398</v>
      </c>
      <c r="AN427" s="2">
        <v>15160.6581040281</v>
      </c>
      <c r="AO427" s="2">
        <v>182651.75020764099</v>
      </c>
      <c r="AP427" s="2">
        <v>967.89640625327002</v>
      </c>
      <c r="AQ427" s="2">
        <v>48097.782947352498</v>
      </c>
      <c r="AR427" s="2">
        <v>159834.04486646</v>
      </c>
      <c r="AS427" s="2">
        <v>284091.95065504999</v>
      </c>
      <c r="AT427" s="2">
        <v>108022.200372063</v>
      </c>
      <c r="AU427" s="2">
        <v>414586.37606369797</v>
      </c>
      <c r="AV427" s="2">
        <v>132014.19381326999</v>
      </c>
      <c r="AW427" s="2">
        <v>297547.24297738902</v>
      </c>
      <c r="AX427" s="2">
        <v>80819.264131002899</v>
      </c>
    </row>
    <row r="428" spans="1:50" x14ac:dyDescent="0.25">
      <c r="A428" s="2" t="s">
        <v>3471</v>
      </c>
      <c r="B428" s="2">
        <v>116.06959999999999</v>
      </c>
      <c r="C428" s="2">
        <v>7.44</v>
      </c>
      <c r="D428" s="2" t="s">
        <v>125</v>
      </c>
      <c r="E428" s="2" t="s">
        <v>3472</v>
      </c>
      <c r="F428" s="2">
        <v>46903</v>
      </c>
      <c r="G428" s="3" t="str">
        <f>HYPERLINK("https://cloud.oebiotech.com/#/lm/network/46903", "https://cloud.oebiotech.com/#/lm/network/46903")</f>
        <v>https://cloud.oebiotech.com/#/lm/network/46903</v>
      </c>
      <c r="H428" s="2" t="s">
        <v>3473</v>
      </c>
      <c r="I428" s="2">
        <v>11</v>
      </c>
      <c r="J428" s="2"/>
      <c r="K428" s="2">
        <v>5950</v>
      </c>
      <c r="L428" s="2" t="s">
        <v>3474</v>
      </c>
      <c r="M428" s="2" t="s">
        <v>3475</v>
      </c>
      <c r="N428" s="2" t="s">
        <v>3476</v>
      </c>
      <c r="O428" s="2">
        <v>16977</v>
      </c>
      <c r="P428" s="2"/>
      <c r="Q428" s="2"/>
      <c r="R428" s="2" t="s">
        <v>3477</v>
      </c>
      <c r="S428" s="2" t="s">
        <v>3478</v>
      </c>
      <c r="T428" s="2" t="s">
        <v>3479</v>
      </c>
      <c r="U428" s="2" t="s">
        <v>103</v>
      </c>
      <c r="V428" s="2" t="s">
        <v>104</v>
      </c>
      <c r="W428" s="2" t="s">
        <v>105</v>
      </c>
      <c r="X428" s="2" t="s">
        <v>69</v>
      </c>
      <c r="Y428" s="2">
        <v>96</v>
      </c>
      <c r="Z428" s="2">
        <v>94.8</v>
      </c>
      <c r="AA428" s="2"/>
      <c r="AB428" s="2" t="s">
        <v>3480</v>
      </c>
      <c r="AC428" s="2"/>
      <c r="AD428" s="2">
        <v>246426.22406638999</v>
      </c>
      <c r="AE428" s="2">
        <v>1.1758782487119901</v>
      </c>
      <c r="AF428" s="2">
        <v>7564790.6931512998</v>
      </c>
      <c r="AG428" s="2">
        <v>8336569.6091352897</v>
      </c>
      <c r="AH428" s="4">
        <v>0.90742248284734905</v>
      </c>
      <c r="AI428" s="4">
        <v>-0.140153689672425</v>
      </c>
      <c r="AJ428" s="4" t="s">
        <v>62</v>
      </c>
      <c r="AK428" s="2">
        <v>0.47152550724726</v>
      </c>
      <c r="AL428" s="2">
        <v>0.71828781470596004</v>
      </c>
      <c r="AM428" s="2">
        <v>7727054.8266278803</v>
      </c>
      <c r="AN428" s="2">
        <v>8102908.4702536101</v>
      </c>
      <c r="AO428" s="2">
        <v>5721220.8616718501</v>
      </c>
      <c r="AP428" s="2">
        <v>10933057.0306105</v>
      </c>
      <c r="AQ428" s="2">
        <v>4533282.8087493004</v>
      </c>
      <c r="AR428" s="2">
        <v>8371220.1609946303</v>
      </c>
      <c r="AS428" s="2">
        <v>6537204.1737089204</v>
      </c>
      <c r="AT428" s="2">
        <v>7615083.9828052903</v>
      </c>
      <c r="AU428" s="2">
        <v>9235109.12320235</v>
      </c>
      <c r="AV428" s="2">
        <v>9365979.38326253</v>
      </c>
      <c r="AW428" s="2">
        <v>9411747.0251760893</v>
      </c>
      <c r="AX428" s="2">
        <v>7854293.9666565498</v>
      </c>
    </row>
    <row r="429" spans="1:50" x14ac:dyDescent="0.25">
      <c r="A429" s="2" t="s">
        <v>3481</v>
      </c>
      <c r="B429" s="2">
        <v>680.27233586321995</v>
      </c>
      <c r="C429" s="2">
        <v>4.2287166666666698</v>
      </c>
      <c r="D429" s="2" t="s">
        <v>51</v>
      </c>
      <c r="E429" s="2" t="s">
        <v>3482</v>
      </c>
      <c r="F429" s="2">
        <v>203125</v>
      </c>
      <c r="G429" s="3" t="str">
        <f>HYPERLINK("https://cloud.oebiotech.com/#/lm/network/203125", "https://cloud.oebiotech.com/#/lm/network/203125")</f>
        <v>https://cloud.oebiotech.com/#/lm/network/203125</v>
      </c>
      <c r="H429" s="2" t="s">
        <v>3483</v>
      </c>
      <c r="I429" s="2"/>
      <c r="J429" s="2"/>
      <c r="K429" s="2">
        <v>14844812</v>
      </c>
      <c r="L429" s="2"/>
      <c r="M429" s="2"/>
      <c r="N429" s="2"/>
      <c r="O429" s="2"/>
      <c r="P429" s="2"/>
      <c r="Q429" s="2"/>
      <c r="R429" s="2"/>
      <c r="S429" s="2" t="s">
        <v>3484</v>
      </c>
      <c r="T429" s="2" t="s">
        <v>3485</v>
      </c>
      <c r="U429" s="2" t="s">
        <v>540</v>
      </c>
      <c r="V429" s="2" t="s">
        <v>3486</v>
      </c>
      <c r="W429" s="2" t="s">
        <v>240</v>
      </c>
      <c r="X429" s="2" t="s">
        <v>147</v>
      </c>
      <c r="Y429" s="2">
        <v>41.7</v>
      </c>
      <c r="Z429" s="2">
        <v>18.7</v>
      </c>
      <c r="AA429" s="2" t="s">
        <v>379</v>
      </c>
      <c r="AB429" s="2" t="s">
        <v>3487</v>
      </c>
      <c r="AC429" s="2">
        <v>1.5536936084217301</v>
      </c>
      <c r="AD429" s="2"/>
      <c r="AE429" s="2">
        <v>1.1748169471796199</v>
      </c>
      <c r="AF429" s="2">
        <v>444.99722701318899</v>
      </c>
      <c r="AG429" s="2">
        <v>63960.750043481203</v>
      </c>
      <c r="AH429" s="4">
        <v>6.9573484787260201E-3</v>
      </c>
      <c r="AI429" s="4">
        <v>-7.1672467006339096</v>
      </c>
      <c r="AJ429" s="4" t="s">
        <v>62</v>
      </c>
      <c r="AK429" s="2">
        <v>0.34220187276825198</v>
      </c>
      <c r="AL429" s="2">
        <v>0.63815037094278604</v>
      </c>
      <c r="AM429" s="2">
        <v>18.855471297719301</v>
      </c>
      <c r="AN429" s="2">
        <v>2.26120300014257</v>
      </c>
      <c r="AO429" s="2">
        <v>5.6855421448137804</v>
      </c>
      <c r="AP429" s="2">
        <v>18.6095760232492</v>
      </c>
      <c r="AQ429" s="2">
        <v>8.559877937157E-6</v>
      </c>
      <c r="AR429" s="2">
        <v>2624.5715610533298</v>
      </c>
      <c r="AS429" s="2">
        <v>8.559877937157E-6</v>
      </c>
      <c r="AT429" s="2">
        <v>6.7518116460804496</v>
      </c>
      <c r="AU429" s="2">
        <v>104.886890274596</v>
      </c>
      <c r="AV429" s="2">
        <v>941.95203527679098</v>
      </c>
      <c r="AW429" s="2">
        <v>382434.647539236</v>
      </c>
      <c r="AX429" s="2">
        <v>276.26197589364699</v>
      </c>
    </row>
    <row r="430" spans="1:50" x14ac:dyDescent="0.25">
      <c r="A430" s="2" t="s">
        <v>3488</v>
      </c>
      <c r="B430" s="2">
        <v>395.190067771879</v>
      </c>
      <c r="C430" s="2">
        <v>8.6445000000000007</v>
      </c>
      <c r="D430" s="2" t="s">
        <v>51</v>
      </c>
      <c r="E430" s="2" t="s">
        <v>3489</v>
      </c>
      <c r="F430" s="2">
        <v>47215</v>
      </c>
      <c r="G430" s="3" t="str">
        <f>HYPERLINK("https://cloud.oebiotech.com/#/lm/network/47215", "https://cloud.oebiotech.com/#/lm/network/47215")</f>
        <v>https://cloud.oebiotech.com/#/lm/network/47215</v>
      </c>
      <c r="H430" s="2" t="s">
        <v>3490</v>
      </c>
      <c r="I430" s="2">
        <v>5740</v>
      </c>
      <c r="J430" s="2"/>
      <c r="K430" s="2">
        <v>20845972</v>
      </c>
      <c r="L430" s="2"/>
      <c r="M430" s="2"/>
      <c r="N430" s="2"/>
      <c r="O430" s="2"/>
      <c r="P430" s="2"/>
      <c r="Q430" s="2"/>
      <c r="R430" s="2" t="s">
        <v>3491</v>
      </c>
      <c r="S430" s="2" t="s">
        <v>3492</v>
      </c>
      <c r="T430" s="2" t="s">
        <v>3493</v>
      </c>
      <c r="U430" s="2" t="s">
        <v>56</v>
      </c>
      <c r="V430" s="2" t="s">
        <v>283</v>
      </c>
      <c r="W430" s="2" t="s">
        <v>2305</v>
      </c>
      <c r="X430" s="2" t="s">
        <v>147</v>
      </c>
      <c r="Y430" s="2">
        <v>37.799999999999997</v>
      </c>
      <c r="Z430" s="2">
        <v>0.752</v>
      </c>
      <c r="AA430" s="2" t="s">
        <v>163</v>
      </c>
      <c r="AB430" s="2" t="s">
        <v>3494</v>
      </c>
      <c r="AC430" s="2">
        <v>0.75487650055451705</v>
      </c>
      <c r="AD430" s="2"/>
      <c r="AE430" s="2">
        <v>1.1738246335801501</v>
      </c>
      <c r="AF430" s="2">
        <v>15472.676877326099</v>
      </c>
      <c r="AG430" s="2">
        <v>55529.325118057197</v>
      </c>
      <c r="AH430" s="4">
        <v>0.27863974295438798</v>
      </c>
      <c r="AI430" s="4">
        <v>-1.8435270477379799</v>
      </c>
      <c r="AJ430" s="4" t="s">
        <v>62</v>
      </c>
      <c r="AK430" s="2">
        <v>9.21761202911274E-2</v>
      </c>
      <c r="AL430" s="2">
        <v>0.39077178500044701</v>
      </c>
      <c r="AM430" s="2">
        <v>7879.9534898482898</v>
      </c>
      <c r="AN430" s="2">
        <v>19927.936877164</v>
      </c>
      <c r="AO430" s="2">
        <v>7683.7010780272203</v>
      </c>
      <c r="AP430" s="2">
        <v>11914.451628327601</v>
      </c>
      <c r="AQ430" s="2">
        <v>28753.006674171</v>
      </c>
      <c r="AR430" s="2">
        <v>16677.011516418501</v>
      </c>
      <c r="AS430" s="2">
        <v>70795.6834516651</v>
      </c>
      <c r="AT430" s="2">
        <v>40395.186619342901</v>
      </c>
      <c r="AU430" s="2">
        <v>25496.619670251199</v>
      </c>
      <c r="AV430" s="2">
        <v>154499.89733997901</v>
      </c>
      <c r="AW430" s="2">
        <v>19103.066470022201</v>
      </c>
      <c r="AX430" s="2">
        <v>22885.4971570829</v>
      </c>
    </row>
    <row r="431" spans="1:50" x14ac:dyDescent="0.25">
      <c r="A431" s="2" t="s">
        <v>1262</v>
      </c>
      <c r="B431" s="2">
        <v>377.16320319721598</v>
      </c>
      <c r="C431" s="2">
        <v>10.9667166666667</v>
      </c>
      <c r="D431" s="2" t="s">
        <v>51</v>
      </c>
      <c r="E431" s="2" t="s">
        <v>1263</v>
      </c>
      <c r="F431" s="2">
        <v>209772</v>
      </c>
      <c r="G431" s="3" t="str">
        <f>HYPERLINK("https://cloud.oebiotech.com/#/lm/network/209772", "https://cloud.oebiotech.com/#/lm/network/209772")</f>
        <v>https://cloud.oebiotech.com/#/lm/network/209772</v>
      </c>
      <c r="H431" s="2" t="s">
        <v>1264</v>
      </c>
      <c r="I431" s="2"/>
      <c r="J431" s="2"/>
      <c r="K431" s="2">
        <v>54736</v>
      </c>
      <c r="L431" s="2"/>
      <c r="M431" s="2"/>
      <c r="N431" s="2"/>
      <c r="O431" s="2"/>
      <c r="P431" s="2"/>
      <c r="Q431" s="2"/>
      <c r="R431" s="2"/>
      <c r="S431" s="2" t="s">
        <v>1265</v>
      </c>
      <c r="T431" s="2" t="s">
        <v>1266</v>
      </c>
      <c r="U431" s="2" t="s">
        <v>610</v>
      </c>
      <c r="V431" s="2" t="s">
        <v>611</v>
      </c>
      <c r="W431" s="2" t="s">
        <v>1267</v>
      </c>
      <c r="X431" s="2" t="s">
        <v>147</v>
      </c>
      <c r="Y431" s="2">
        <v>45.2</v>
      </c>
      <c r="Z431" s="2">
        <v>33.799999999999997</v>
      </c>
      <c r="AA431" s="2" t="s">
        <v>395</v>
      </c>
      <c r="AB431" s="2" t="s">
        <v>1268</v>
      </c>
      <c r="AC431" s="2">
        <v>1.82446989883065</v>
      </c>
      <c r="AD431" s="2"/>
      <c r="AE431" s="2">
        <v>1.1712825071277699</v>
      </c>
      <c r="AF431" s="2">
        <v>116083.92369676199</v>
      </c>
      <c r="AG431" s="2">
        <v>85091.001077887195</v>
      </c>
      <c r="AH431" s="5">
        <v>1.36423267121403</v>
      </c>
      <c r="AI431" s="5">
        <v>0.44808971839455197</v>
      </c>
      <c r="AJ431" s="5" t="s">
        <v>139</v>
      </c>
      <c r="AK431" s="2">
        <v>3.2780533982506399E-3</v>
      </c>
      <c r="AL431" s="2">
        <v>0.1120315017845</v>
      </c>
      <c r="AM431" s="2">
        <v>112986.255001197</v>
      </c>
      <c r="AN431" s="2">
        <v>118458.22136775999</v>
      </c>
      <c r="AO431" s="2">
        <v>119058.669135661</v>
      </c>
      <c r="AP431" s="2">
        <v>116528.330487439</v>
      </c>
      <c r="AQ431" s="2">
        <v>116620.172190695</v>
      </c>
      <c r="AR431" s="2">
        <v>112851.893997821</v>
      </c>
      <c r="AS431" s="2">
        <v>96592.513908984401</v>
      </c>
      <c r="AT431" s="2">
        <v>71472.099786862702</v>
      </c>
      <c r="AU431" s="2">
        <v>114795.17564108501</v>
      </c>
      <c r="AV431" s="2">
        <v>74994.020932189902</v>
      </c>
      <c r="AW431" s="2">
        <v>91622.447192684995</v>
      </c>
      <c r="AX431" s="2">
        <v>61069.749005516001</v>
      </c>
    </row>
    <row r="432" spans="1:50" x14ac:dyDescent="0.25">
      <c r="A432" s="2" t="s">
        <v>1269</v>
      </c>
      <c r="B432" s="2">
        <v>740.52693774219404</v>
      </c>
      <c r="C432" s="2">
        <v>11.573966666666699</v>
      </c>
      <c r="D432" s="2" t="s">
        <v>51</v>
      </c>
      <c r="E432" s="2" t="s">
        <v>1270</v>
      </c>
      <c r="F432" s="2">
        <v>133954</v>
      </c>
      <c r="G432" s="3" t="str">
        <f>HYPERLINK("https://cloud.oebiotech.com/#/lm/network/133954", "https://cloud.oebiotech.com/#/lm/network/133954")</f>
        <v>https://cloud.oebiotech.com/#/lm/network/133954</v>
      </c>
      <c r="H432" s="2" t="s">
        <v>1271</v>
      </c>
      <c r="I432" s="2"/>
      <c r="J432" s="2"/>
      <c r="K432" s="2">
        <v>131820962</v>
      </c>
      <c r="L432" s="2"/>
      <c r="M432" s="2"/>
      <c r="N432" s="2"/>
      <c r="O432" s="2"/>
      <c r="P432" s="2"/>
      <c r="Q432" s="2"/>
      <c r="R432" s="2"/>
      <c r="S432" s="2" t="s">
        <v>1272</v>
      </c>
      <c r="T432" s="2" t="s">
        <v>1273</v>
      </c>
      <c r="U432" s="2" t="s">
        <v>56</v>
      </c>
      <c r="V432" s="2" t="s">
        <v>57</v>
      </c>
      <c r="W432" s="2" t="s">
        <v>155</v>
      </c>
      <c r="X432" s="2" t="s">
        <v>83</v>
      </c>
      <c r="Y432" s="2">
        <v>54.6</v>
      </c>
      <c r="Z432" s="2">
        <v>0</v>
      </c>
      <c r="AA432" s="2" t="s">
        <v>95</v>
      </c>
      <c r="AB432" s="2" t="s">
        <v>1274</v>
      </c>
      <c r="AC432" s="2">
        <v>9.5633986276853005</v>
      </c>
      <c r="AD432" s="2"/>
      <c r="AE432" s="2">
        <v>1.16891520294705</v>
      </c>
      <c r="AF432" s="2">
        <v>102752.651224745</v>
      </c>
      <c r="AG432" s="2">
        <v>129180.465065089</v>
      </c>
      <c r="AH432" s="4">
        <v>0.795419424856323</v>
      </c>
      <c r="AI432" s="4">
        <v>-0.330212300406173</v>
      </c>
      <c r="AJ432" s="4" t="s">
        <v>62</v>
      </c>
      <c r="AK432" s="2">
        <v>3.4541229791777601E-3</v>
      </c>
      <c r="AL432" s="2">
        <v>0.1120315017845</v>
      </c>
      <c r="AM432" s="2">
        <v>83608.633315694693</v>
      </c>
      <c r="AN432" s="2">
        <v>107322.751247678</v>
      </c>
      <c r="AO432" s="2">
        <v>111000.407441313</v>
      </c>
      <c r="AP432" s="2">
        <v>98528.023696336299</v>
      </c>
      <c r="AQ432" s="2">
        <v>114530.52961072201</v>
      </c>
      <c r="AR432" s="2">
        <v>101525.562036727</v>
      </c>
      <c r="AS432" s="2">
        <v>131254.76746612601</v>
      </c>
      <c r="AT432" s="2">
        <v>114939.265818331</v>
      </c>
      <c r="AU432" s="2">
        <v>119238.98432710901</v>
      </c>
      <c r="AV432" s="2">
        <v>142481.98840683501</v>
      </c>
      <c r="AW432" s="2">
        <v>121100.97688013301</v>
      </c>
      <c r="AX432" s="2">
        <v>146066.80749199801</v>
      </c>
    </row>
    <row r="433" spans="1:50" x14ac:dyDescent="0.25">
      <c r="A433" s="2" t="s">
        <v>3495</v>
      </c>
      <c r="B433" s="2">
        <v>233.165596498513</v>
      </c>
      <c r="C433" s="2">
        <v>4.3002500000000001</v>
      </c>
      <c r="D433" s="2" t="s">
        <v>51</v>
      </c>
      <c r="E433" s="2" t="s">
        <v>3496</v>
      </c>
      <c r="F433" s="2">
        <v>199854</v>
      </c>
      <c r="G433" s="3" t="str">
        <f>HYPERLINK("https://cloud.oebiotech.com/#/lm/network/199854", "https://cloud.oebiotech.com/#/lm/network/199854")</f>
        <v>https://cloud.oebiotech.com/#/lm/network/199854</v>
      </c>
      <c r="H433" s="2" t="s">
        <v>3497</v>
      </c>
      <c r="I433" s="2"/>
      <c r="J433" s="2"/>
      <c r="K433" s="2">
        <v>707167</v>
      </c>
      <c r="L433" s="2"/>
      <c r="M433" s="2"/>
      <c r="N433" s="2"/>
      <c r="O433" s="2"/>
      <c r="P433" s="2"/>
      <c r="Q433" s="2"/>
      <c r="R433" s="2"/>
      <c r="S433" s="2" t="s">
        <v>3498</v>
      </c>
      <c r="T433" s="2" t="s">
        <v>3499</v>
      </c>
      <c r="U433" s="2" t="s">
        <v>266</v>
      </c>
      <c r="V433" s="2" t="s">
        <v>445</v>
      </c>
      <c r="W433" s="2" t="s">
        <v>3500</v>
      </c>
      <c r="X433" s="2" t="s">
        <v>83</v>
      </c>
      <c r="Y433" s="2">
        <v>42.4</v>
      </c>
      <c r="Z433" s="2">
        <v>2.16</v>
      </c>
      <c r="AA433" s="2" t="s">
        <v>106</v>
      </c>
      <c r="AB433" s="2" t="s">
        <v>3501</v>
      </c>
      <c r="AC433" s="2">
        <v>3.2598375982350598</v>
      </c>
      <c r="AD433" s="2"/>
      <c r="AE433" s="2">
        <v>1.16853523246645</v>
      </c>
      <c r="AF433" s="2">
        <v>23591.639526265699</v>
      </c>
      <c r="AG433" s="2">
        <v>89244.097485902705</v>
      </c>
      <c r="AH433" s="4">
        <v>0.26434957818910398</v>
      </c>
      <c r="AI433" s="4">
        <v>-1.91948107021115</v>
      </c>
      <c r="AJ433" s="4" t="s">
        <v>62</v>
      </c>
      <c r="AK433" s="2">
        <v>0.325373306776573</v>
      </c>
      <c r="AL433" s="2">
        <v>0.62992073899545697</v>
      </c>
      <c r="AM433" s="2">
        <v>99494.829098203103</v>
      </c>
      <c r="AN433" s="2">
        <v>1132.6873929235701</v>
      </c>
      <c r="AO433" s="2">
        <v>330.483466244628</v>
      </c>
      <c r="AP433" s="2">
        <v>39489.569504944702</v>
      </c>
      <c r="AQ433" s="2">
        <v>655.21024468015401</v>
      </c>
      <c r="AR433" s="2">
        <v>447.05745059783101</v>
      </c>
      <c r="AS433" s="2">
        <v>364523.07464891003</v>
      </c>
      <c r="AT433" s="2">
        <v>264.74332055647</v>
      </c>
      <c r="AU433" s="2">
        <v>1094.16711959602</v>
      </c>
      <c r="AV433" s="2">
        <v>8.559877937157E-6</v>
      </c>
      <c r="AW433" s="2">
        <v>3280.0259592737402</v>
      </c>
      <c r="AX433" s="2">
        <v>166302.57385851999</v>
      </c>
    </row>
    <row r="434" spans="1:50" x14ac:dyDescent="0.25">
      <c r="A434" s="2" t="s">
        <v>3502</v>
      </c>
      <c r="B434" s="2">
        <v>401.23111503129502</v>
      </c>
      <c r="C434" s="2">
        <v>9.21756666666667</v>
      </c>
      <c r="D434" s="2" t="s">
        <v>51</v>
      </c>
      <c r="E434" s="2" t="s">
        <v>3503</v>
      </c>
      <c r="F434" s="2">
        <v>205764</v>
      </c>
      <c r="G434" s="3" t="str">
        <f>HYPERLINK("https://cloud.oebiotech.com/#/lm/network/205764", "https://cloud.oebiotech.com/#/lm/network/205764")</f>
        <v>https://cloud.oebiotech.com/#/lm/network/205764</v>
      </c>
      <c r="H434" s="2" t="s">
        <v>3504</v>
      </c>
      <c r="I434" s="2"/>
      <c r="J434" s="2"/>
      <c r="K434" s="2">
        <v>57107445</v>
      </c>
      <c r="L434" s="2"/>
      <c r="M434" s="2"/>
      <c r="N434" s="2"/>
      <c r="O434" s="2"/>
      <c r="P434" s="2"/>
      <c r="Q434" s="2"/>
      <c r="R434" s="2"/>
      <c r="S434" s="2" t="s">
        <v>3505</v>
      </c>
      <c r="T434" s="2" t="s">
        <v>3506</v>
      </c>
      <c r="U434" s="2" t="s">
        <v>56</v>
      </c>
      <c r="V434" s="2" t="s">
        <v>145</v>
      </c>
      <c r="W434" s="2" t="s">
        <v>187</v>
      </c>
      <c r="X434" s="2" t="s">
        <v>83</v>
      </c>
      <c r="Y434" s="2">
        <v>45.8</v>
      </c>
      <c r="Z434" s="2">
        <v>28.5</v>
      </c>
      <c r="AA434" s="2" t="s">
        <v>778</v>
      </c>
      <c r="AB434" s="2" t="s">
        <v>3507</v>
      </c>
      <c r="AC434" s="2">
        <v>3.3580822207104601</v>
      </c>
      <c r="AD434" s="2"/>
      <c r="AE434" s="2">
        <v>1.1633807065052799</v>
      </c>
      <c r="AF434" s="2">
        <v>115055.541301384</v>
      </c>
      <c r="AG434" s="2">
        <v>80961.409703115103</v>
      </c>
      <c r="AH434" s="5">
        <v>1.4211158343622201</v>
      </c>
      <c r="AI434" s="5">
        <v>0.50702415264479495</v>
      </c>
      <c r="AJ434" s="5" t="s">
        <v>139</v>
      </c>
      <c r="AK434" s="2">
        <v>7.0297674704711696E-2</v>
      </c>
      <c r="AL434" s="2">
        <v>0.34954547296639299</v>
      </c>
      <c r="AM434" s="2">
        <v>177865.02600490101</v>
      </c>
      <c r="AN434" s="2">
        <v>121686.99924286699</v>
      </c>
      <c r="AO434" s="2">
        <v>73819.645476752296</v>
      </c>
      <c r="AP434" s="2">
        <v>91052.777795671194</v>
      </c>
      <c r="AQ434" s="2">
        <v>98280.782238632004</v>
      </c>
      <c r="AR434" s="2">
        <v>127628.017049482</v>
      </c>
      <c r="AS434" s="2">
        <v>84156.495103286594</v>
      </c>
      <c r="AT434" s="2">
        <v>52855.841838314896</v>
      </c>
      <c r="AU434" s="2">
        <v>106481.850274928</v>
      </c>
      <c r="AV434" s="2">
        <v>65945.750388058907</v>
      </c>
      <c r="AW434" s="2">
        <v>90601.544629896802</v>
      </c>
      <c r="AX434" s="2">
        <v>85726.975984205303</v>
      </c>
    </row>
    <row r="435" spans="1:50" x14ac:dyDescent="0.25">
      <c r="A435" s="2" t="s">
        <v>3508</v>
      </c>
      <c r="B435" s="2">
        <v>580.32598142843904</v>
      </c>
      <c r="C435" s="2">
        <v>7.9022333333333297</v>
      </c>
      <c r="D435" s="2" t="s">
        <v>51</v>
      </c>
      <c r="E435" s="2" t="s">
        <v>3509</v>
      </c>
      <c r="F435" s="2">
        <v>18298</v>
      </c>
      <c r="G435" s="3" t="str">
        <f>HYPERLINK("https://cloud.oebiotech.com/#/lm/network/18298", "https://cloud.oebiotech.com/#/lm/network/18298")</f>
        <v>https://cloud.oebiotech.com/#/lm/network/18298</v>
      </c>
      <c r="H435" s="2"/>
      <c r="I435" s="2">
        <v>39434</v>
      </c>
      <c r="J435" s="2" t="s">
        <v>3510</v>
      </c>
      <c r="K435" s="2">
        <v>24778770</v>
      </c>
      <c r="L435" s="2"/>
      <c r="M435" s="2"/>
      <c r="N435" s="2"/>
      <c r="O435" s="2">
        <v>131659</v>
      </c>
      <c r="P435" s="2"/>
      <c r="Q435" s="2"/>
      <c r="R435" s="2"/>
      <c r="S435" s="2" t="s">
        <v>3511</v>
      </c>
      <c r="T435" s="2" t="s">
        <v>3512</v>
      </c>
      <c r="U435" s="2" t="s">
        <v>56</v>
      </c>
      <c r="V435" s="2" t="s">
        <v>57</v>
      </c>
      <c r="W435" s="2" t="s">
        <v>58</v>
      </c>
      <c r="X435" s="2" t="s">
        <v>59</v>
      </c>
      <c r="Y435" s="2">
        <v>56.6</v>
      </c>
      <c r="Z435" s="2">
        <v>85.9</v>
      </c>
      <c r="AA435" s="2" t="s">
        <v>218</v>
      </c>
      <c r="AB435" s="2" t="s">
        <v>3513</v>
      </c>
      <c r="AC435" s="2">
        <v>0.69931719645880497</v>
      </c>
      <c r="AD435" s="2"/>
      <c r="AE435" s="2">
        <v>1.16284906756006</v>
      </c>
      <c r="AF435" s="2">
        <v>140906.509675804</v>
      </c>
      <c r="AG435" s="2">
        <v>88045.473496789797</v>
      </c>
      <c r="AH435" s="5">
        <v>1.6003833482812899</v>
      </c>
      <c r="AI435" s="5">
        <v>0.67841752287576496</v>
      </c>
      <c r="AJ435" s="5" t="s">
        <v>139</v>
      </c>
      <c r="AK435" s="2">
        <v>0.124806052208754</v>
      </c>
      <c r="AL435" s="2">
        <v>0.44206731734385901</v>
      </c>
      <c r="AM435" s="2">
        <v>137744.64156508099</v>
      </c>
      <c r="AN435" s="2">
        <v>178332.646050012</v>
      </c>
      <c r="AO435" s="2">
        <v>99514.8437363306</v>
      </c>
      <c r="AP435" s="2">
        <v>86728.469792561504</v>
      </c>
      <c r="AQ435" s="2">
        <v>149314.031157513</v>
      </c>
      <c r="AR435" s="2">
        <v>193804.425753324</v>
      </c>
      <c r="AS435" s="2">
        <v>180913.70531585801</v>
      </c>
      <c r="AT435" s="2">
        <v>84900.606029598697</v>
      </c>
      <c r="AU435" s="2">
        <v>50646.147313132402</v>
      </c>
      <c r="AV435" s="2">
        <v>32258.355966698498</v>
      </c>
      <c r="AW435" s="2">
        <v>27377.543529625898</v>
      </c>
      <c r="AX435" s="2">
        <v>152176.48282582499</v>
      </c>
    </row>
    <row r="436" spans="1:50" x14ac:dyDescent="0.25">
      <c r="A436" s="2" t="s">
        <v>3514</v>
      </c>
      <c r="B436" s="2">
        <v>543.28470747689096</v>
      </c>
      <c r="C436" s="2">
        <v>3.9637500000000001</v>
      </c>
      <c r="D436" s="2" t="s">
        <v>51</v>
      </c>
      <c r="E436" s="2" t="s">
        <v>3515</v>
      </c>
      <c r="F436" s="2">
        <v>56383</v>
      </c>
      <c r="G436" s="3" t="str">
        <f>HYPERLINK("https://cloud.oebiotech.com/#/lm/network/56383", "https://cloud.oebiotech.com/#/lm/network/56383")</f>
        <v>https://cloud.oebiotech.com/#/lm/network/56383</v>
      </c>
      <c r="H436" s="2" t="s">
        <v>3516</v>
      </c>
      <c r="I436" s="2">
        <v>88035</v>
      </c>
      <c r="J436" s="2"/>
      <c r="K436" s="2">
        <v>131751214</v>
      </c>
      <c r="L436" s="2"/>
      <c r="M436" s="2"/>
      <c r="N436" s="2"/>
      <c r="O436" s="2"/>
      <c r="P436" s="2"/>
      <c r="Q436" s="2"/>
      <c r="R436" s="2" t="s">
        <v>3517</v>
      </c>
      <c r="S436" s="2" t="s">
        <v>3518</v>
      </c>
      <c r="T436" s="2" t="s">
        <v>3519</v>
      </c>
      <c r="U436" s="2" t="s">
        <v>238</v>
      </c>
      <c r="V436" s="2" t="s">
        <v>3520</v>
      </c>
      <c r="W436" s="2" t="s">
        <v>3521</v>
      </c>
      <c r="X436" s="2" t="s">
        <v>147</v>
      </c>
      <c r="Y436" s="2">
        <v>38.4</v>
      </c>
      <c r="Z436" s="2">
        <v>12.1</v>
      </c>
      <c r="AA436" s="2" t="s">
        <v>259</v>
      </c>
      <c r="AB436" s="2" t="s">
        <v>3522</v>
      </c>
      <c r="AC436" s="2">
        <v>-1.1825688730974</v>
      </c>
      <c r="AD436" s="2"/>
      <c r="AE436" s="2">
        <v>1.1577920395993</v>
      </c>
      <c r="AF436" s="2">
        <v>6496.0591398126098</v>
      </c>
      <c r="AG436" s="2">
        <v>70129.016292379194</v>
      </c>
      <c r="AH436" s="4">
        <v>9.2630119218120602E-2</v>
      </c>
      <c r="AI436" s="4">
        <v>-3.4323748193844601</v>
      </c>
      <c r="AJ436" s="4" t="s">
        <v>62</v>
      </c>
      <c r="AK436" s="2">
        <v>0.38057785437189101</v>
      </c>
      <c r="AL436" s="2">
        <v>0.65913977412323299</v>
      </c>
      <c r="AM436" s="2">
        <v>9489.0205577483503</v>
      </c>
      <c r="AN436" s="2">
        <v>3368.2841600268998</v>
      </c>
      <c r="AO436" s="2">
        <v>666.62194529393503</v>
      </c>
      <c r="AP436" s="2">
        <v>8.559877937157E-6</v>
      </c>
      <c r="AQ436" s="2">
        <v>13544.104254632901</v>
      </c>
      <c r="AR436" s="2">
        <v>11908.3239126137</v>
      </c>
      <c r="AS436" s="2">
        <v>8.559877937157E-6</v>
      </c>
      <c r="AT436" s="2">
        <v>1028.5237055350501</v>
      </c>
      <c r="AU436" s="2">
        <v>769.20037945941897</v>
      </c>
      <c r="AV436" s="2">
        <v>416766.21703387197</v>
      </c>
      <c r="AW436" s="2">
        <v>8.559877937157E-6</v>
      </c>
      <c r="AX436" s="2">
        <v>2210.1566182890801</v>
      </c>
    </row>
    <row r="437" spans="1:50" x14ac:dyDescent="0.25">
      <c r="A437" s="2" t="s">
        <v>3523</v>
      </c>
      <c r="B437" s="2">
        <v>279.232548142479</v>
      </c>
      <c r="C437" s="2">
        <v>12.0390333333333</v>
      </c>
      <c r="D437" s="2" t="s">
        <v>51</v>
      </c>
      <c r="E437" s="2" t="s">
        <v>3524</v>
      </c>
      <c r="F437" s="2">
        <v>3321</v>
      </c>
      <c r="G437" s="3" t="str">
        <f>HYPERLINK("https://cloud.oebiotech.com/#/lm/network/3321", "https://cloud.oebiotech.com/#/lm/network/3321")</f>
        <v>https://cloud.oebiotech.com/#/lm/network/3321</v>
      </c>
      <c r="H437" s="2"/>
      <c r="I437" s="2"/>
      <c r="J437" s="2" t="s">
        <v>3525</v>
      </c>
      <c r="K437" s="2">
        <v>11150638</v>
      </c>
      <c r="L437" s="2"/>
      <c r="M437" s="2"/>
      <c r="N437" s="2"/>
      <c r="O437" s="2"/>
      <c r="P437" s="2"/>
      <c r="Q437" s="2"/>
      <c r="R437" s="2"/>
      <c r="S437" s="2" t="s">
        <v>3526</v>
      </c>
      <c r="T437" s="2" t="s">
        <v>3527</v>
      </c>
      <c r="U437" s="2" t="s">
        <v>56</v>
      </c>
      <c r="V437" s="2" t="s">
        <v>145</v>
      </c>
      <c r="W437" s="2" t="s">
        <v>203</v>
      </c>
      <c r="X437" s="2" t="s">
        <v>83</v>
      </c>
      <c r="Y437" s="2">
        <v>55.6</v>
      </c>
      <c r="Z437" s="2">
        <v>0</v>
      </c>
      <c r="AA437" s="2" t="s">
        <v>156</v>
      </c>
      <c r="AB437" s="2" t="s">
        <v>1772</v>
      </c>
      <c r="AC437" s="2">
        <v>2.3343197818021602</v>
      </c>
      <c r="AD437" s="2"/>
      <c r="AE437" s="2">
        <v>1.1561072382654201</v>
      </c>
      <c r="AF437" s="2">
        <v>36633.418385277699</v>
      </c>
      <c r="AG437" s="2">
        <v>83964.600365562903</v>
      </c>
      <c r="AH437" s="4">
        <v>0.43629598933102898</v>
      </c>
      <c r="AI437" s="4">
        <v>-1.1966208831459699</v>
      </c>
      <c r="AJ437" s="4" t="s">
        <v>62</v>
      </c>
      <c r="AK437" s="2">
        <v>6.13451535522581E-2</v>
      </c>
      <c r="AL437" s="2">
        <v>0.33413410700895102</v>
      </c>
      <c r="AM437" s="2">
        <v>36854.772523033003</v>
      </c>
      <c r="AN437" s="2">
        <v>41979.909322929001</v>
      </c>
      <c r="AO437" s="2">
        <v>54992.532268889197</v>
      </c>
      <c r="AP437" s="2">
        <v>33595.693327776498</v>
      </c>
      <c r="AQ437" s="2">
        <v>29801.0587992484</v>
      </c>
      <c r="AR437" s="2">
        <v>22576.5440697903</v>
      </c>
      <c r="AS437" s="2">
        <v>29927.286335286299</v>
      </c>
      <c r="AT437" s="2">
        <v>31088.880079548398</v>
      </c>
      <c r="AU437" s="2">
        <v>162801.92189834901</v>
      </c>
      <c r="AV437" s="2">
        <v>93495.484181235501</v>
      </c>
      <c r="AW437" s="2">
        <v>127329.888299553</v>
      </c>
      <c r="AX437" s="2">
        <v>59144.141399405402</v>
      </c>
    </row>
    <row r="438" spans="1:50" x14ac:dyDescent="0.25">
      <c r="A438" s="2" t="s">
        <v>3528</v>
      </c>
      <c r="B438" s="2">
        <v>790.56070359381897</v>
      </c>
      <c r="C438" s="2">
        <v>10.644133333333301</v>
      </c>
      <c r="D438" s="2" t="s">
        <v>51</v>
      </c>
      <c r="E438" s="2" t="s">
        <v>3529</v>
      </c>
      <c r="F438" s="2">
        <v>18857</v>
      </c>
      <c r="G438" s="3" t="str">
        <f>HYPERLINK("https://cloud.oebiotech.com/#/lm/network/18857", "https://cloud.oebiotech.com/#/lm/network/18857")</f>
        <v>https://cloud.oebiotech.com/#/lm/network/18857</v>
      </c>
      <c r="H438" s="2" t="s">
        <v>3530</v>
      </c>
      <c r="I438" s="2">
        <v>59546</v>
      </c>
      <c r="J438" s="2" t="s">
        <v>3531</v>
      </c>
      <c r="K438" s="2">
        <v>52922675</v>
      </c>
      <c r="L438" s="2" t="s">
        <v>90</v>
      </c>
      <c r="M438" s="2" t="s">
        <v>91</v>
      </c>
      <c r="N438" s="2" t="s">
        <v>92</v>
      </c>
      <c r="O438" s="2"/>
      <c r="P438" s="2"/>
      <c r="Q438" s="2"/>
      <c r="R438" s="2"/>
      <c r="S438" s="2" t="s">
        <v>3532</v>
      </c>
      <c r="T438" s="2" t="s">
        <v>3533</v>
      </c>
      <c r="U438" s="2" t="s">
        <v>56</v>
      </c>
      <c r="V438" s="2" t="s">
        <v>57</v>
      </c>
      <c r="W438" s="2" t="s">
        <v>58</v>
      </c>
      <c r="X438" s="2" t="s">
        <v>59</v>
      </c>
      <c r="Y438" s="2">
        <v>53.7</v>
      </c>
      <c r="Z438" s="2">
        <v>69.400000000000006</v>
      </c>
      <c r="AA438" s="2" t="s">
        <v>218</v>
      </c>
      <c r="AB438" s="2" t="s">
        <v>3534</v>
      </c>
      <c r="AC438" s="2">
        <v>0.46349849822035499</v>
      </c>
      <c r="AD438" s="2"/>
      <c r="AE438" s="2">
        <v>1.1531876663560401</v>
      </c>
      <c r="AF438" s="2">
        <v>879452.89198159997</v>
      </c>
      <c r="AG438" s="2">
        <v>815937.19489837403</v>
      </c>
      <c r="AH438" s="5">
        <v>1.07784385548343</v>
      </c>
      <c r="AI438" s="5">
        <v>0.108148193641443</v>
      </c>
      <c r="AJ438" s="5" t="s">
        <v>139</v>
      </c>
      <c r="AK438" s="2">
        <v>0.79071613321182599</v>
      </c>
      <c r="AL438" s="2">
        <v>0.90752826503280903</v>
      </c>
      <c r="AM438" s="2">
        <v>1185414.6761274301</v>
      </c>
      <c r="AN438" s="2">
        <v>1027611.91664872</v>
      </c>
      <c r="AO438" s="2">
        <v>958973.20417084696</v>
      </c>
      <c r="AP438" s="2">
        <v>455042.87059320603</v>
      </c>
      <c r="AQ438" s="2">
        <v>687297.10412339901</v>
      </c>
      <c r="AR438" s="2">
        <v>962377.58022599702</v>
      </c>
      <c r="AS438" s="2">
        <v>441829.20066337101</v>
      </c>
      <c r="AT438" s="2">
        <v>282689.22270578501</v>
      </c>
      <c r="AU438" s="2">
        <v>1724233.9760730001</v>
      </c>
      <c r="AV438" s="2">
        <v>962182.14208787505</v>
      </c>
      <c r="AW438" s="2">
        <v>769436.57918605302</v>
      </c>
      <c r="AX438" s="2">
        <v>715252.04867415805</v>
      </c>
    </row>
    <row r="439" spans="1:50" x14ac:dyDescent="0.25">
      <c r="A439" s="2" t="s">
        <v>1275</v>
      </c>
      <c r="B439" s="2">
        <v>452.99852462073397</v>
      </c>
      <c r="C439" s="2">
        <v>9.8278499999999998</v>
      </c>
      <c r="D439" s="2" t="s">
        <v>51</v>
      </c>
      <c r="E439" s="2" t="s">
        <v>1276</v>
      </c>
      <c r="F439" s="2">
        <v>53026</v>
      </c>
      <c r="G439" s="3" t="str">
        <f>HYPERLINK("https://cloud.oebiotech.com/#/lm/network/53026", "https://cloud.oebiotech.com/#/lm/network/53026")</f>
        <v>https://cloud.oebiotech.com/#/lm/network/53026</v>
      </c>
      <c r="H439" s="2" t="s">
        <v>1277</v>
      </c>
      <c r="I439" s="2">
        <v>1578</v>
      </c>
      <c r="J439" s="2"/>
      <c r="K439" s="2">
        <v>4510</v>
      </c>
      <c r="L439" s="2" t="s">
        <v>1278</v>
      </c>
      <c r="M439" s="2"/>
      <c r="N439" s="2"/>
      <c r="O439" s="2">
        <v>28787</v>
      </c>
      <c r="P439" s="2" t="s">
        <v>1279</v>
      </c>
      <c r="Q439" s="2" t="s">
        <v>1280</v>
      </c>
      <c r="R439" s="2" t="s">
        <v>1281</v>
      </c>
      <c r="S439" s="2" t="s">
        <v>1282</v>
      </c>
      <c r="T439" s="2" t="s">
        <v>1283</v>
      </c>
      <c r="U439" s="2" t="s">
        <v>331</v>
      </c>
      <c r="V439" s="2" t="s">
        <v>1284</v>
      </c>
      <c r="W439" s="2" t="s">
        <v>1285</v>
      </c>
      <c r="X439" s="2" t="s">
        <v>147</v>
      </c>
      <c r="Y439" s="2">
        <v>39.1</v>
      </c>
      <c r="Z439" s="2">
        <v>1.3100000000000001E-2</v>
      </c>
      <c r="AA439" s="2" t="s">
        <v>478</v>
      </c>
      <c r="AB439" s="2" t="s">
        <v>1286</v>
      </c>
      <c r="AC439" s="2">
        <v>1.41749745294581</v>
      </c>
      <c r="AD439" s="2"/>
      <c r="AE439" s="2">
        <v>1.15287628948827</v>
      </c>
      <c r="AF439" s="2">
        <v>139857.032030706</v>
      </c>
      <c r="AG439" s="2">
        <v>165015.76324113499</v>
      </c>
      <c r="AH439" s="4">
        <v>0.84753740663147903</v>
      </c>
      <c r="AI439" s="4">
        <v>-0.23865105092063099</v>
      </c>
      <c r="AJ439" s="4" t="s">
        <v>62</v>
      </c>
      <c r="AK439" s="2">
        <v>4.0150766354851396E-3</v>
      </c>
      <c r="AL439" s="2">
        <v>0.11478131297048901</v>
      </c>
      <c r="AM439" s="2">
        <v>119785.12784115</v>
      </c>
      <c r="AN439" s="2">
        <v>139005.06132988201</v>
      </c>
      <c r="AO439" s="2">
        <v>140577.81391926401</v>
      </c>
      <c r="AP439" s="2">
        <v>147419.341653549</v>
      </c>
      <c r="AQ439" s="2">
        <v>154639.441851654</v>
      </c>
      <c r="AR439" s="2">
        <v>137715.40558873699</v>
      </c>
      <c r="AS439" s="2">
        <v>170792.937992602</v>
      </c>
      <c r="AT439" s="2">
        <v>172028.30536554099</v>
      </c>
      <c r="AU439" s="2">
        <v>143612.600515553</v>
      </c>
      <c r="AV439" s="2">
        <v>175947.91948409399</v>
      </c>
      <c r="AW439" s="2">
        <v>160023.02881455599</v>
      </c>
      <c r="AX439" s="2">
        <v>167689.78727446601</v>
      </c>
    </row>
    <row r="440" spans="1:50" x14ac:dyDescent="0.25">
      <c r="A440" s="2" t="s">
        <v>3535</v>
      </c>
      <c r="B440" s="2">
        <v>157.08000000000001</v>
      </c>
      <c r="C440" s="2">
        <v>19.506</v>
      </c>
      <c r="D440" s="2" t="s">
        <v>125</v>
      </c>
      <c r="E440" s="2" t="s">
        <v>3536</v>
      </c>
      <c r="F440" s="2">
        <v>46894</v>
      </c>
      <c r="G440" s="3" t="str">
        <f>HYPERLINK("https://cloud.oebiotech.com/#/lm/network/46894", "https://cloud.oebiotech.com/#/lm/network/46894")</f>
        <v>https://cloud.oebiotech.com/#/lm/network/46894</v>
      </c>
      <c r="H440" s="2" t="s">
        <v>2370</v>
      </c>
      <c r="I440" s="2"/>
      <c r="J440" s="2"/>
      <c r="K440" s="2">
        <v>439357</v>
      </c>
      <c r="L440" s="2" t="s">
        <v>3537</v>
      </c>
      <c r="M440" s="2" t="s">
        <v>3538</v>
      </c>
      <c r="N440" s="2" t="s">
        <v>3539</v>
      </c>
      <c r="O440" s="2">
        <v>28061</v>
      </c>
      <c r="P440" s="2" t="s">
        <v>3540</v>
      </c>
      <c r="Q440" s="2" t="s">
        <v>3541</v>
      </c>
      <c r="R440" s="2" t="s">
        <v>3542</v>
      </c>
      <c r="S440" s="2" t="s">
        <v>3543</v>
      </c>
      <c r="T440" s="2" t="s">
        <v>3544</v>
      </c>
      <c r="U440" s="2" t="s">
        <v>331</v>
      </c>
      <c r="V440" s="2" t="s">
        <v>332</v>
      </c>
      <c r="W440" s="2" t="s">
        <v>333</v>
      </c>
      <c r="X440" s="2" t="s">
        <v>69</v>
      </c>
      <c r="Y440" s="2">
        <v>94.5</v>
      </c>
      <c r="Z440" s="2">
        <v>91</v>
      </c>
      <c r="AA440" s="2"/>
      <c r="AB440" s="2" t="s">
        <v>1085</v>
      </c>
      <c r="AC440" s="2"/>
      <c r="AD440" s="2">
        <v>654375.53413035104</v>
      </c>
      <c r="AE440" s="2">
        <v>1.1513380451644399</v>
      </c>
      <c r="AF440" s="2">
        <v>2208551.9782854202</v>
      </c>
      <c r="AG440" s="2">
        <v>2678515.0988477198</v>
      </c>
      <c r="AH440" s="4">
        <v>0.82454341184618396</v>
      </c>
      <c r="AI440" s="4">
        <v>-0.27833264196876401</v>
      </c>
      <c r="AJ440" s="4" t="s">
        <v>62</v>
      </c>
      <c r="AK440" s="2">
        <v>0.16437438570787499</v>
      </c>
      <c r="AL440" s="2">
        <v>0.48527634408137998</v>
      </c>
      <c r="AM440" s="2">
        <v>2248900.5083791399</v>
      </c>
      <c r="AN440" s="2">
        <v>2535066.07515305</v>
      </c>
      <c r="AO440" s="2">
        <v>2240486.69655834</v>
      </c>
      <c r="AP440" s="2">
        <v>1573124.54475948</v>
      </c>
      <c r="AQ440" s="2">
        <v>1302256.8557462799</v>
      </c>
      <c r="AR440" s="2">
        <v>3351477.18911622</v>
      </c>
      <c r="AS440" s="2">
        <v>2461969.8097639601</v>
      </c>
      <c r="AT440" s="2">
        <v>2855715.5995851001</v>
      </c>
      <c r="AU440" s="2">
        <v>2673632.5905378</v>
      </c>
      <c r="AV440" s="2">
        <v>2923297.9639795502</v>
      </c>
      <c r="AW440" s="2">
        <v>2310093.9444602001</v>
      </c>
      <c r="AX440" s="2">
        <v>2846380.6847597202</v>
      </c>
    </row>
    <row r="441" spans="1:50" x14ac:dyDescent="0.25">
      <c r="A441" s="2" t="s">
        <v>1287</v>
      </c>
      <c r="B441" s="2">
        <v>375.215702636537</v>
      </c>
      <c r="C441" s="2">
        <v>8.7827333333333293</v>
      </c>
      <c r="D441" s="2" t="s">
        <v>51</v>
      </c>
      <c r="E441" s="2" t="s">
        <v>1288</v>
      </c>
      <c r="F441" s="2">
        <v>5961</v>
      </c>
      <c r="G441" s="3" t="str">
        <f>HYPERLINK("https://cloud.oebiotech.com/#/lm/network/5961", "https://cloud.oebiotech.com/#/lm/network/5961")</f>
        <v>https://cloud.oebiotech.com/#/lm/network/5961</v>
      </c>
      <c r="H441" s="2"/>
      <c r="I441" s="2">
        <v>75238</v>
      </c>
      <c r="J441" s="2" t="s">
        <v>1289</v>
      </c>
      <c r="K441" s="2">
        <v>53477507</v>
      </c>
      <c r="L441" s="2"/>
      <c r="M441" s="2"/>
      <c r="N441" s="2"/>
      <c r="O441" s="2">
        <v>132797</v>
      </c>
      <c r="P441" s="2" t="s">
        <v>1290</v>
      </c>
      <c r="Q441" s="2" t="s">
        <v>1291</v>
      </c>
      <c r="R441" s="2"/>
      <c r="S441" s="2" t="s">
        <v>1292</v>
      </c>
      <c r="T441" s="2" t="s">
        <v>1293</v>
      </c>
      <c r="U441" s="2" t="s">
        <v>56</v>
      </c>
      <c r="V441" s="2" t="s">
        <v>145</v>
      </c>
      <c r="W441" s="2" t="s">
        <v>231</v>
      </c>
      <c r="X441" s="2" t="s">
        <v>59</v>
      </c>
      <c r="Y441" s="2">
        <v>53.8</v>
      </c>
      <c r="Z441" s="2">
        <v>81.7</v>
      </c>
      <c r="AA441" s="2" t="s">
        <v>60</v>
      </c>
      <c r="AB441" s="2" t="s">
        <v>807</v>
      </c>
      <c r="AC441" s="2">
        <v>-2.3993399023920698</v>
      </c>
      <c r="AD441" s="2"/>
      <c r="AE441" s="2">
        <v>1.1494611134394099</v>
      </c>
      <c r="AF441" s="2">
        <v>54551.492304041902</v>
      </c>
      <c r="AG441" s="2">
        <v>28180.980917378802</v>
      </c>
      <c r="AH441" s="5">
        <v>1.93575562412027</v>
      </c>
      <c r="AI441" s="5">
        <v>0.95289683374732004</v>
      </c>
      <c r="AJ441" s="5" t="s">
        <v>139</v>
      </c>
      <c r="AK441" s="2">
        <v>9.5070002134357205E-4</v>
      </c>
      <c r="AL441" s="2">
        <v>7.9497267981926606E-2</v>
      </c>
      <c r="AM441" s="2">
        <v>58060.692405420501</v>
      </c>
      <c r="AN441" s="2">
        <v>73203.628212934898</v>
      </c>
      <c r="AO441" s="2">
        <v>48795.218512781699</v>
      </c>
      <c r="AP441" s="2">
        <v>50310.0958079013</v>
      </c>
      <c r="AQ441" s="2">
        <v>40496.334997809703</v>
      </c>
      <c r="AR441" s="2">
        <v>56442.983887403403</v>
      </c>
      <c r="AS441" s="2">
        <v>41009.041254886302</v>
      </c>
      <c r="AT441" s="2">
        <v>27498.936094283501</v>
      </c>
      <c r="AU441" s="2">
        <v>30279.0915499644</v>
      </c>
      <c r="AV441" s="2">
        <v>14607.319069770299</v>
      </c>
      <c r="AW441" s="2">
        <v>25492.414816926801</v>
      </c>
      <c r="AX441" s="2">
        <v>30199.082718441601</v>
      </c>
    </row>
    <row r="442" spans="1:50" x14ac:dyDescent="0.25">
      <c r="A442" s="2" t="s">
        <v>3545</v>
      </c>
      <c r="B442" s="2">
        <v>578.31044360955798</v>
      </c>
      <c r="C442" s="2">
        <v>8.94478333333333</v>
      </c>
      <c r="D442" s="2" t="s">
        <v>51</v>
      </c>
      <c r="E442" s="2" t="s">
        <v>3546</v>
      </c>
      <c r="F442" s="2">
        <v>27908</v>
      </c>
      <c r="G442" s="3" t="str">
        <f>HYPERLINK("https://cloud.oebiotech.com/#/lm/network/27908", "https://cloud.oebiotech.com/#/lm/network/27908")</f>
        <v>https://cloud.oebiotech.com/#/lm/network/27908</v>
      </c>
      <c r="H442" s="2"/>
      <c r="I442" s="2"/>
      <c r="J442" s="2" t="s">
        <v>3547</v>
      </c>
      <c r="K442" s="2">
        <v>134812365</v>
      </c>
      <c r="L442" s="2"/>
      <c r="M442" s="2"/>
      <c r="N442" s="2"/>
      <c r="O442" s="2"/>
      <c r="P442" s="2"/>
      <c r="Q442" s="2"/>
      <c r="R442" s="2"/>
      <c r="S442" s="2" t="s">
        <v>3548</v>
      </c>
      <c r="T442" s="2" t="s">
        <v>3549</v>
      </c>
      <c r="U442" s="2" t="s">
        <v>56</v>
      </c>
      <c r="V442" s="2" t="s">
        <v>57</v>
      </c>
      <c r="W442" s="2" t="s">
        <v>155</v>
      </c>
      <c r="X442" s="2" t="s">
        <v>59</v>
      </c>
      <c r="Y442" s="2">
        <v>55.2</v>
      </c>
      <c r="Z442" s="2">
        <v>80.3</v>
      </c>
      <c r="AA442" s="2" t="s">
        <v>163</v>
      </c>
      <c r="AB442" s="2" t="s">
        <v>3550</v>
      </c>
      <c r="AC442" s="2">
        <v>0.83996751696727001</v>
      </c>
      <c r="AD442" s="2"/>
      <c r="AE442" s="2">
        <v>1.1479533978943199</v>
      </c>
      <c r="AF442" s="2">
        <v>78367.792823626005</v>
      </c>
      <c r="AG442" s="2">
        <v>40157.589737204202</v>
      </c>
      <c r="AH442" s="5">
        <v>1.9515063861271</v>
      </c>
      <c r="AI442" s="5">
        <v>0.96458818387285294</v>
      </c>
      <c r="AJ442" s="5" t="s">
        <v>139</v>
      </c>
      <c r="AK442" s="2">
        <v>5.4333275564031801E-2</v>
      </c>
      <c r="AL442" s="2">
        <v>0.31944806275085003</v>
      </c>
      <c r="AM442" s="2">
        <v>69945.509382590797</v>
      </c>
      <c r="AN442" s="2">
        <v>133828.62326297301</v>
      </c>
      <c r="AO442" s="2">
        <v>74667.969961582101</v>
      </c>
      <c r="AP442" s="2">
        <v>38333.454716480897</v>
      </c>
      <c r="AQ442" s="2">
        <v>56054.838182924403</v>
      </c>
      <c r="AR442" s="2">
        <v>97376.361435204599</v>
      </c>
      <c r="AS442" s="2">
        <v>82292.562352181398</v>
      </c>
      <c r="AT442" s="2">
        <v>26910.369607056899</v>
      </c>
      <c r="AU442" s="2">
        <v>34549.356669736902</v>
      </c>
      <c r="AV442" s="2">
        <v>18887.026039624201</v>
      </c>
      <c r="AW442" s="2">
        <v>15014.007904869701</v>
      </c>
      <c r="AX442" s="2">
        <v>63292.215849755899</v>
      </c>
    </row>
    <row r="443" spans="1:50" x14ac:dyDescent="0.25">
      <c r="A443" s="2" t="s">
        <v>3551</v>
      </c>
      <c r="B443" s="2">
        <v>317.21216626823099</v>
      </c>
      <c r="C443" s="2">
        <v>10.5758666666667</v>
      </c>
      <c r="D443" s="2" t="s">
        <v>51</v>
      </c>
      <c r="E443" s="2" t="s">
        <v>3552</v>
      </c>
      <c r="F443" s="2">
        <v>198737</v>
      </c>
      <c r="G443" s="3" t="str">
        <f>HYPERLINK("https://cloud.oebiotech.com/#/lm/network/198737", "https://cloud.oebiotech.com/#/lm/network/198737")</f>
        <v>https://cloud.oebiotech.com/#/lm/network/198737</v>
      </c>
      <c r="H443" s="2" t="s">
        <v>3553</v>
      </c>
      <c r="I443" s="2"/>
      <c r="J443" s="2"/>
      <c r="K443" s="2">
        <v>53394250</v>
      </c>
      <c r="L443" s="2"/>
      <c r="M443" s="2"/>
      <c r="N443" s="2"/>
      <c r="O443" s="2"/>
      <c r="P443" s="2"/>
      <c r="Q443" s="2"/>
      <c r="R443" s="2"/>
      <c r="S443" s="2" t="s">
        <v>3554</v>
      </c>
      <c r="T443" s="2" t="s">
        <v>3555</v>
      </c>
      <c r="U443" s="2" t="s">
        <v>56</v>
      </c>
      <c r="V443" s="2" t="s">
        <v>145</v>
      </c>
      <c r="W443" s="2" t="s">
        <v>187</v>
      </c>
      <c r="X443" s="2" t="s">
        <v>69</v>
      </c>
      <c r="Y443" s="2">
        <v>65.900000000000006</v>
      </c>
      <c r="Z443" s="2">
        <v>65.2</v>
      </c>
      <c r="AA443" s="2" t="s">
        <v>298</v>
      </c>
      <c r="AB443" s="2" t="s">
        <v>180</v>
      </c>
      <c r="AC443" s="2">
        <v>-0.16378804595619501</v>
      </c>
      <c r="AD443" s="2"/>
      <c r="AE443" s="2">
        <v>1.1468903886439401</v>
      </c>
      <c r="AF443" s="2">
        <v>184071.03218003901</v>
      </c>
      <c r="AG443" s="2">
        <v>143919.47993427399</v>
      </c>
      <c r="AH443" s="5">
        <v>1.2789862238531</v>
      </c>
      <c r="AI443" s="5">
        <v>0.35500072482482598</v>
      </c>
      <c r="AJ443" s="5" t="s">
        <v>139</v>
      </c>
      <c r="AK443" s="2">
        <v>0.48487412897035098</v>
      </c>
      <c r="AL443" s="2">
        <v>0.72896877784172598</v>
      </c>
      <c r="AM443" s="2">
        <v>402825.32120095001</v>
      </c>
      <c r="AN443" s="2">
        <v>228233.10639932699</v>
      </c>
      <c r="AO443" s="2">
        <v>119495.896394724</v>
      </c>
      <c r="AP443" s="2">
        <v>123511.58115085</v>
      </c>
      <c r="AQ443" s="2">
        <v>115915.465428597</v>
      </c>
      <c r="AR443" s="2">
        <v>114444.822505788</v>
      </c>
      <c r="AS443" s="2">
        <v>165113.15870273599</v>
      </c>
      <c r="AT443" s="2">
        <v>71867.710832811907</v>
      </c>
      <c r="AU443" s="2">
        <v>268377.80299648101</v>
      </c>
      <c r="AV443" s="2">
        <v>154012.156577974</v>
      </c>
      <c r="AW443" s="2">
        <v>96620.787680476002</v>
      </c>
      <c r="AX443" s="2">
        <v>107525.262815166</v>
      </c>
    </row>
    <row r="444" spans="1:50" x14ac:dyDescent="0.25">
      <c r="A444" s="2" t="s">
        <v>3556</v>
      </c>
      <c r="B444" s="2">
        <v>117.054551053354</v>
      </c>
      <c r="C444" s="2">
        <v>3.3347333333333302</v>
      </c>
      <c r="D444" s="2" t="s">
        <v>51</v>
      </c>
      <c r="E444" s="2" t="s">
        <v>3557</v>
      </c>
      <c r="F444" s="2">
        <v>1944</v>
      </c>
      <c r="G444" s="3" t="str">
        <f>HYPERLINK("https://cloud.oebiotech.com/#/lm/network/1944", "https://cloud.oebiotech.com/#/lm/network/1944")</f>
        <v>https://cloud.oebiotech.com/#/lm/network/1944</v>
      </c>
      <c r="H444" s="2" t="s">
        <v>3558</v>
      </c>
      <c r="I444" s="2">
        <v>5396</v>
      </c>
      <c r="J444" s="2" t="s">
        <v>3559</v>
      </c>
      <c r="K444" s="2">
        <v>99823</v>
      </c>
      <c r="L444" s="2"/>
      <c r="M444" s="2"/>
      <c r="N444" s="2"/>
      <c r="O444" s="2">
        <v>60645</v>
      </c>
      <c r="P444" s="2"/>
      <c r="Q444" s="2"/>
      <c r="R444" s="2" t="s">
        <v>3560</v>
      </c>
      <c r="S444" s="2" t="s">
        <v>3561</v>
      </c>
      <c r="T444" s="2" t="s">
        <v>3562</v>
      </c>
      <c r="U444" s="2" t="s">
        <v>56</v>
      </c>
      <c r="V444" s="2" t="s">
        <v>145</v>
      </c>
      <c r="W444" s="2" t="s">
        <v>231</v>
      </c>
      <c r="X444" s="2" t="s">
        <v>69</v>
      </c>
      <c r="Y444" s="2">
        <v>55.9</v>
      </c>
      <c r="Z444" s="2">
        <v>85.9</v>
      </c>
      <c r="AA444" s="2" t="s">
        <v>163</v>
      </c>
      <c r="AB444" s="2" t="s">
        <v>1611</v>
      </c>
      <c r="AC444" s="2">
        <v>-9.88196203588857</v>
      </c>
      <c r="AD444" s="2"/>
      <c r="AE444" s="2">
        <v>1.13727986966022</v>
      </c>
      <c r="AF444" s="2">
        <v>353964.21144567197</v>
      </c>
      <c r="AG444" s="2">
        <v>281310.43099212402</v>
      </c>
      <c r="AH444" s="5">
        <v>1.2582690595485999</v>
      </c>
      <c r="AI444" s="5">
        <v>0.33144045112946602</v>
      </c>
      <c r="AJ444" s="5" t="s">
        <v>139</v>
      </c>
      <c r="AK444" s="2">
        <v>0.28031402742511902</v>
      </c>
      <c r="AL444" s="2">
        <v>0.59978920543246905</v>
      </c>
      <c r="AM444" s="2">
        <v>347860.30765056098</v>
      </c>
      <c r="AN444" s="2">
        <v>218246.77679314601</v>
      </c>
      <c r="AO444" s="2">
        <v>351709.75964516599</v>
      </c>
      <c r="AP444" s="2">
        <v>378723.85676002002</v>
      </c>
      <c r="AQ444" s="2">
        <v>599232.60289896</v>
      </c>
      <c r="AR444" s="2">
        <v>228011.96492618101</v>
      </c>
      <c r="AS444" s="2">
        <v>363248.97844267898</v>
      </c>
      <c r="AT444" s="2">
        <v>291490.19956475601</v>
      </c>
      <c r="AU444" s="2">
        <v>360764.33243979898</v>
      </c>
      <c r="AV444" s="2">
        <v>271276.05082970997</v>
      </c>
      <c r="AW444" s="2">
        <v>190887.18223160101</v>
      </c>
      <c r="AX444" s="2">
        <v>210195.84244420001</v>
      </c>
    </row>
    <row r="445" spans="1:50" x14ac:dyDescent="0.25">
      <c r="A445" s="2" t="s">
        <v>3563</v>
      </c>
      <c r="B445" s="2">
        <v>590.34675312132504</v>
      </c>
      <c r="C445" s="2">
        <v>10.76145</v>
      </c>
      <c r="D445" s="2" t="s">
        <v>51</v>
      </c>
      <c r="E445" s="2" t="s">
        <v>3564</v>
      </c>
      <c r="F445" s="2">
        <v>19888</v>
      </c>
      <c r="G445" s="3" t="str">
        <f>HYPERLINK("https://cloud.oebiotech.com/#/lm/network/19888", "https://cloud.oebiotech.com/#/lm/network/19888")</f>
        <v>https://cloud.oebiotech.com/#/lm/network/19888</v>
      </c>
      <c r="H445" s="2" t="s">
        <v>3565</v>
      </c>
      <c r="I445" s="2">
        <v>61703</v>
      </c>
      <c r="J445" s="2" t="s">
        <v>3566</v>
      </c>
      <c r="K445" s="2">
        <v>53480467</v>
      </c>
      <c r="L445" s="2" t="s">
        <v>691</v>
      </c>
      <c r="M445" s="2" t="s">
        <v>692</v>
      </c>
      <c r="N445" s="2" t="s">
        <v>693</v>
      </c>
      <c r="O445" s="2">
        <v>74343</v>
      </c>
      <c r="P445" s="2"/>
      <c r="Q445" s="2"/>
      <c r="R445" s="2" t="s">
        <v>3567</v>
      </c>
      <c r="S445" s="2" t="s">
        <v>3568</v>
      </c>
      <c r="T445" s="2" t="s">
        <v>3569</v>
      </c>
      <c r="U445" s="2" t="s">
        <v>56</v>
      </c>
      <c r="V445" s="2" t="s">
        <v>57</v>
      </c>
      <c r="W445" s="2" t="s">
        <v>58</v>
      </c>
      <c r="X445" s="2" t="s">
        <v>69</v>
      </c>
      <c r="Y445" s="2">
        <v>70.2</v>
      </c>
      <c r="Z445" s="2">
        <v>93.2</v>
      </c>
      <c r="AA445" s="2" t="s">
        <v>218</v>
      </c>
      <c r="AB445" s="2" t="s">
        <v>1879</v>
      </c>
      <c r="AC445" s="2">
        <v>0.75293548248091102</v>
      </c>
      <c r="AD445" s="2"/>
      <c r="AE445" s="2">
        <v>1.1358476010545899</v>
      </c>
      <c r="AF445" s="2">
        <v>430107.33762624901</v>
      </c>
      <c r="AG445" s="2">
        <v>538858.54987088195</v>
      </c>
      <c r="AH445" s="4">
        <v>0.79818226458373598</v>
      </c>
      <c r="AI445" s="4">
        <v>-0.32520987201582302</v>
      </c>
      <c r="AJ445" s="4" t="s">
        <v>62</v>
      </c>
      <c r="AK445" s="2">
        <v>0.43053290361628299</v>
      </c>
      <c r="AL445" s="2">
        <v>0.68841202498515297</v>
      </c>
      <c r="AM445" s="2">
        <v>785285.81345920695</v>
      </c>
      <c r="AN445" s="2">
        <v>358112.127789155</v>
      </c>
      <c r="AO445" s="2">
        <v>266997.979501903</v>
      </c>
      <c r="AP445" s="2">
        <v>415401.90198651399</v>
      </c>
      <c r="AQ445" s="2">
        <v>398637.55458081799</v>
      </c>
      <c r="AR445" s="2">
        <v>356208.64843989501</v>
      </c>
      <c r="AS445" s="2">
        <v>226762.10222406601</v>
      </c>
      <c r="AT445" s="2">
        <v>193307.77617601099</v>
      </c>
      <c r="AU445" s="2">
        <v>645937.21241307806</v>
      </c>
      <c r="AV445" s="2">
        <v>857193.41309086501</v>
      </c>
      <c r="AW445" s="2">
        <v>606973.24854394898</v>
      </c>
      <c r="AX445" s="2">
        <v>702977.54677732405</v>
      </c>
    </row>
    <row r="446" spans="1:50" x14ac:dyDescent="0.25">
      <c r="A446" s="2" t="s">
        <v>3570</v>
      </c>
      <c r="B446" s="2">
        <v>229.15536342506601</v>
      </c>
      <c r="C446" s="2">
        <v>3.62381666666667</v>
      </c>
      <c r="D446" s="2" t="s">
        <v>51</v>
      </c>
      <c r="E446" s="2" t="s">
        <v>3571</v>
      </c>
      <c r="F446" s="2">
        <v>51192</v>
      </c>
      <c r="G446" s="3" t="str">
        <f>HYPERLINK("https://cloud.oebiotech.com/#/lm/network/51192", "https://cloud.oebiotech.com/#/lm/network/51192")</f>
        <v>https://cloud.oebiotech.com/#/lm/network/51192</v>
      </c>
      <c r="H446" s="2" t="s">
        <v>3572</v>
      </c>
      <c r="I446" s="2">
        <v>23858</v>
      </c>
      <c r="J446" s="2"/>
      <c r="K446" s="2">
        <v>444876</v>
      </c>
      <c r="L446" s="2"/>
      <c r="M446" s="2"/>
      <c r="N446" s="2"/>
      <c r="O446" s="2">
        <v>74076</v>
      </c>
      <c r="P446" s="2"/>
      <c r="Q446" s="2"/>
      <c r="R446" s="2" t="s">
        <v>3573</v>
      </c>
      <c r="S446" s="2" t="s">
        <v>3574</v>
      </c>
      <c r="T446" s="2" t="s">
        <v>3575</v>
      </c>
      <c r="U446" s="2" t="s">
        <v>103</v>
      </c>
      <c r="V446" s="2" t="s">
        <v>104</v>
      </c>
      <c r="W446" s="2" t="s">
        <v>105</v>
      </c>
      <c r="X446" s="2" t="s">
        <v>147</v>
      </c>
      <c r="Y446" s="2">
        <v>44.9</v>
      </c>
      <c r="Z446" s="2">
        <v>30.7</v>
      </c>
      <c r="AA446" s="2" t="s">
        <v>259</v>
      </c>
      <c r="AB446" s="2" t="s">
        <v>1715</v>
      </c>
      <c r="AC446" s="2">
        <v>3.0440119375739201</v>
      </c>
      <c r="AD446" s="2"/>
      <c r="AE446" s="2">
        <v>1.13349949634361</v>
      </c>
      <c r="AF446" s="2">
        <v>144508.77164247999</v>
      </c>
      <c r="AG446" s="2">
        <v>72802.434357572303</v>
      </c>
      <c r="AH446" s="5">
        <v>1.9849442249790501</v>
      </c>
      <c r="AI446" s="5">
        <v>0.98909846959663295</v>
      </c>
      <c r="AJ446" s="5" t="s">
        <v>139</v>
      </c>
      <c r="AK446" s="2">
        <v>0.213308378800175</v>
      </c>
      <c r="AL446" s="2">
        <v>0.53768212145991301</v>
      </c>
      <c r="AM446" s="2">
        <v>38352.725190675803</v>
      </c>
      <c r="AN446" s="2">
        <v>151343.64757142801</v>
      </c>
      <c r="AO446" s="2">
        <v>67010.459085810697</v>
      </c>
      <c r="AP446" s="2">
        <v>63573.981388998604</v>
      </c>
      <c r="AQ446" s="2">
        <v>387090.83350377402</v>
      </c>
      <c r="AR446" s="2">
        <v>159680.983114192</v>
      </c>
      <c r="AS446" s="2">
        <v>38005.460307957997</v>
      </c>
      <c r="AT446" s="2">
        <v>77910.426278747895</v>
      </c>
      <c r="AU446" s="2">
        <v>117743.265409183</v>
      </c>
      <c r="AV446" s="2">
        <v>71480.896908315495</v>
      </c>
      <c r="AW446" s="2">
        <v>43431.284336541103</v>
      </c>
      <c r="AX446" s="2">
        <v>88243.272904688303</v>
      </c>
    </row>
    <row r="447" spans="1:50" x14ac:dyDescent="0.25">
      <c r="A447" s="2" t="s">
        <v>1294</v>
      </c>
      <c r="B447" s="2">
        <v>429.262043797844</v>
      </c>
      <c r="C447" s="2">
        <v>13.5068</v>
      </c>
      <c r="D447" s="2" t="s">
        <v>51</v>
      </c>
      <c r="E447" s="2" t="s">
        <v>1295</v>
      </c>
      <c r="F447" s="2">
        <v>3333</v>
      </c>
      <c r="G447" s="3" t="str">
        <f>HYPERLINK("https://cloud.oebiotech.com/#/lm/network/3333", "https://cloud.oebiotech.com/#/lm/network/3333")</f>
        <v>https://cloud.oebiotech.com/#/lm/network/3333</v>
      </c>
      <c r="H447" s="2"/>
      <c r="I447" s="2"/>
      <c r="J447" s="2" t="s">
        <v>1296</v>
      </c>
      <c r="K447" s="2"/>
      <c r="L447" s="2"/>
      <c r="M447" s="2"/>
      <c r="N447" s="2"/>
      <c r="O447" s="2"/>
      <c r="P447" s="2"/>
      <c r="Q447" s="2"/>
      <c r="R447" s="2"/>
      <c r="S447" s="2" t="s">
        <v>1297</v>
      </c>
      <c r="T447" s="2" t="s">
        <v>1298</v>
      </c>
      <c r="U447" s="2" t="s">
        <v>610</v>
      </c>
      <c r="V447" s="2" t="s">
        <v>895</v>
      </c>
      <c r="W447" s="2" t="s">
        <v>919</v>
      </c>
      <c r="X447" s="2" t="s">
        <v>147</v>
      </c>
      <c r="Y447" s="2">
        <v>39.6</v>
      </c>
      <c r="Z447" s="2">
        <v>35.9</v>
      </c>
      <c r="AA447" s="2" t="s">
        <v>156</v>
      </c>
      <c r="AB447" s="2" t="s">
        <v>1299</v>
      </c>
      <c r="AC447" s="2">
        <v>-3.3766528107515001</v>
      </c>
      <c r="AD447" s="2"/>
      <c r="AE447" s="2">
        <v>1.13156305719376</v>
      </c>
      <c r="AF447" s="2">
        <v>152209.54666292801</v>
      </c>
      <c r="AG447" s="2">
        <v>115870.72138986101</v>
      </c>
      <c r="AH447" s="5">
        <v>1.31361525014417</v>
      </c>
      <c r="AI447" s="5">
        <v>0.39354278099483903</v>
      </c>
      <c r="AJ447" s="5" t="s">
        <v>139</v>
      </c>
      <c r="AK447" s="2">
        <v>4.3768662557266698E-2</v>
      </c>
      <c r="AL447" s="2">
        <v>0.297793096711781</v>
      </c>
      <c r="AM447" s="2">
        <v>161265.94628762599</v>
      </c>
      <c r="AN447" s="2">
        <v>176783.3957619</v>
      </c>
      <c r="AO447" s="2">
        <v>184296.59848574901</v>
      </c>
      <c r="AP447" s="2">
        <v>156481.70464658999</v>
      </c>
      <c r="AQ447" s="2">
        <v>142454.317082314</v>
      </c>
      <c r="AR447" s="2">
        <v>91975.317713386496</v>
      </c>
      <c r="AS447" s="2">
        <v>134701.138405626</v>
      </c>
      <c r="AT447" s="2">
        <v>121106.96269621899</v>
      </c>
      <c r="AU447" s="2">
        <v>77284.743823368801</v>
      </c>
      <c r="AV447" s="2">
        <v>119749.58841159999</v>
      </c>
      <c r="AW447" s="2">
        <v>116338.628708788</v>
      </c>
      <c r="AX447" s="2">
        <v>126043.266293565</v>
      </c>
    </row>
    <row r="448" spans="1:50" x14ac:dyDescent="0.25">
      <c r="A448" s="2" t="s">
        <v>1300</v>
      </c>
      <c r="B448" s="2">
        <v>419.20551617369603</v>
      </c>
      <c r="C448" s="2">
        <v>8.8124500000000001</v>
      </c>
      <c r="D448" s="2" t="s">
        <v>51</v>
      </c>
      <c r="E448" s="2" t="s">
        <v>1301</v>
      </c>
      <c r="F448" s="2">
        <v>59619</v>
      </c>
      <c r="G448" s="3" t="str">
        <f>HYPERLINK("https://cloud.oebiotech.com/#/lm/network/59619", "https://cloud.oebiotech.com/#/lm/network/59619")</f>
        <v>https://cloud.oebiotech.com/#/lm/network/59619</v>
      </c>
      <c r="H448" s="2" t="s">
        <v>1302</v>
      </c>
      <c r="I448" s="2">
        <v>91018</v>
      </c>
      <c r="J448" s="2"/>
      <c r="K448" s="2">
        <v>131751864</v>
      </c>
      <c r="L448" s="2"/>
      <c r="M448" s="2"/>
      <c r="N448" s="2"/>
      <c r="O448" s="2">
        <v>169249</v>
      </c>
      <c r="P448" s="2"/>
      <c r="Q448" s="2"/>
      <c r="R448" s="2" t="s">
        <v>1303</v>
      </c>
      <c r="S448" s="2" t="s">
        <v>1304</v>
      </c>
      <c r="T448" s="2" t="s">
        <v>1305</v>
      </c>
      <c r="U448" s="2" t="s">
        <v>56</v>
      </c>
      <c r="V448" s="2" t="s">
        <v>177</v>
      </c>
      <c r="W448" s="2" t="s">
        <v>178</v>
      </c>
      <c r="X448" s="2" t="s">
        <v>147</v>
      </c>
      <c r="Y448" s="2">
        <v>39.200000000000003</v>
      </c>
      <c r="Z448" s="2">
        <v>12.2</v>
      </c>
      <c r="AA448" s="2" t="s">
        <v>163</v>
      </c>
      <c r="AB448" s="2" t="s">
        <v>1306</v>
      </c>
      <c r="AC448" s="2">
        <v>-4.7850705116221599</v>
      </c>
      <c r="AD448" s="2"/>
      <c r="AE448" s="2">
        <v>1.1291758799440701</v>
      </c>
      <c r="AF448" s="2">
        <v>55379.084329604098</v>
      </c>
      <c r="AG448" s="2">
        <v>28363.6892633885</v>
      </c>
      <c r="AH448" s="5">
        <v>1.95246407529527</v>
      </c>
      <c r="AI448" s="5">
        <v>0.96529600349136702</v>
      </c>
      <c r="AJ448" s="5" t="s">
        <v>139</v>
      </c>
      <c r="AK448" s="2">
        <v>3.3257062655409398E-3</v>
      </c>
      <c r="AL448" s="2">
        <v>0.1120315017845</v>
      </c>
      <c r="AM448" s="2">
        <v>55768.198176366001</v>
      </c>
      <c r="AN448" s="2">
        <v>76318.589840375003</v>
      </c>
      <c r="AO448" s="2">
        <v>58072.683741749701</v>
      </c>
      <c r="AP448" s="2">
        <v>44569.2817763247</v>
      </c>
      <c r="AQ448" s="2">
        <v>38470.971106477598</v>
      </c>
      <c r="AR448" s="2">
        <v>59074.7813363319</v>
      </c>
      <c r="AS448" s="2">
        <v>47497.671496562099</v>
      </c>
      <c r="AT448" s="2">
        <v>25651.590787225199</v>
      </c>
      <c r="AU448" s="2">
        <v>29980.333489186301</v>
      </c>
      <c r="AV448" s="2">
        <v>13715.024760681001</v>
      </c>
      <c r="AW448" s="2">
        <v>22490.122890715498</v>
      </c>
      <c r="AX448" s="2">
        <v>30847.392155960799</v>
      </c>
    </row>
    <row r="449" spans="1:50" x14ac:dyDescent="0.25">
      <c r="A449" s="2" t="s">
        <v>1307</v>
      </c>
      <c r="B449" s="2">
        <v>692.45141607562095</v>
      </c>
      <c r="C449" s="2">
        <v>12.0589833333333</v>
      </c>
      <c r="D449" s="2" t="s">
        <v>51</v>
      </c>
      <c r="E449" s="2" t="s">
        <v>1308</v>
      </c>
      <c r="F449" s="2">
        <v>247988</v>
      </c>
      <c r="G449" s="3" t="str">
        <f>HYPERLINK("https://cloud.oebiotech.com/#/lm/network/247988", "https://cloud.oebiotech.com/#/lm/network/247988")</f>
        <v>https://cloud.oebiotech.com/#/lm/network/247988</v>
      </c>
      <c r="H449" s="2" t="s">
        <v>1309</v>
      </c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 t="s">
        <v>1310</v>
      </c>
      <c r="T449" s="2" t="s">
        <v>1311</v>
      </c>
      <c r="U449" s="2" t="s">
        <v>56</v>
      </c>
      <c r="V449" s="2" t="s">
        <v>145</v>
      </c>
      <c r="W449" s="2" t="s">
        <v>187</v>
      </c>
      <c r="X449" s="2" t="s">
        <v>83</v>
      </c>
      <c r="Y449" s="2">
        <v>38.4</v>
      </c>
      <c r="Z449" s="2">
        <v>0</v>
      </c>
      <c r="AA449" s="2" t="s">
        <v>156</v>
      </c>
      <c r="AB449" s="2" t="s">
        <v>1312</v>
      </c>
      <c r="AC449" s="2">
        <v>-5.68713038073966</v>
      </c>
      <c r="AD449" s="2"/>
      <c r="AE449" s="2">
        <v>1.1237392020005501</v>
      </c>
      <c r="AF449" s="2">
        <v>43280.772658499198</v>
      </c>
      <c r="AG449" s="2">
        <v>16019.162843197801</v>
      </c>
      <c r="AH449" s="5">
        <v>2.70181239070665</v>
      </c>
      <c r="AI449" s="5">
        <v>1.4339274998323199</v>
      </c>
      <c r="AJ449" s="5" t="s">
        <v>139</v>
      </c>
      <c r="AK449" s="2">
        <v>1.0157751528202801E-2</v>
      </c>
      <c r="AL449" s="2">
        <v>0.16343244125458101</v>
      </c>
      <c r="AM449" s="2">
        <v>46374.062606254702</v>
      </c>
      <c r="AN449" s="2">
        <v>65395.880712725899</v>
      </c>
      <c r="AO449" s="2">
        <v>43899.2426441719</v>
      </c>
      <c r="AP449" s="2">
        <v>39225.052576640199</v>
      </c>
      <c r="AQ449" s="2">
        <v>11446.7354096818</v>
      </c>
      <c r="AR449" s="2">
        <v>53343.662001520999</v>
      </c>
      <c r="AS449" s="2">
        <v>19255.5273873675</v>
      </c>
      <c r="AT449" s="2">
        <v>12652.8052661044</v>
      </c>
      <c r="AU449" s="2">
        <v>36845.222061428598</v>
      </c>
      <c r="AV449" s="2">
        <v>7598.1514724041599</v>
      </c>
      <c r="AW449" s="2">
        <v>10508.7562588691</v>
      </c>
      <c r="AX449" s="2">
        <v>9254.5146130127505</v>
      </c>
    </row>
    <row r="450" spans="1:50" x14ac:dyDescent="0.25">
      <c r="A450" s="2" t="s">
        <v>1313</v>
      </c>
      <c r="B450" s="2">
        <v>319.05974608439197</v>
      </c>
      <c r="C450" s="2">
        <v>5.7116499999999997</v>
      </c>
      <c r="D450" s="2" t="s">
        <v>51</v>
      </c>
      <c r="E450" s="2" t="s">
        <v>1314</v>
      </c>
      <c r="F450" s="2">
        <v>201914</v>
      </c>
      <c r="G450" s="3" t="str">
        <f>HYPERLINK("https://cloud.oebiotech.com/#/lm/network/201914", "https://cloud.oebiotech.com/#/lm/network/201914")</f>
        <v>https://cloud.oebiotech.com/#/lm/network/201914</v>
      </c>
      <c r="H450" s="2" t="s">
        <v>1315</v>
      </c>
      <c r="I450" s="2">
        <v>424737</v>
      </c>
      <c r="J450" s="2"/>
      <c r="K450" s="2">
        <v>126394</v>
      </c>
      <c r="L450" s="2"/>
      <c r="M450" s="2"/>
      <c r="N450" s="2"/>
      <c r="O450" s="2"/>
      <c r="P450" s="2"/>
      <c r="Q450" s="2"/>
      <c r="R450" s="2"/>
      <c r="S450" s="2" t="s">
        <v>1316</v>
      </c>
      <c r="T450" s="2" t="s">
        <v>1317</v>
      </c>
      <c r="U450" s="2" t="s">
        <v>103</v>
      </c>
      <c r="V450" s="2" t="s">
        <v>104</v>
      </c>
      <c r="W450" s="2" t="s">
        <v>105</v>
      </c>
      <c r="X450" s="2" t="s">
        <v>147</v>
      </c>
      <c r="Y450" s="2">
        <v>42.9</v>
      </c>
      <c r="Z450" s="2">
        <v>21.1</v>
      </c>
      <c r="AA450" s="2" t="s">
        <v>512</v>
      </c>
      <c r="AB450" s="2" t="s">
        <v>1318</v>
      </c>
      <c r="AC450" s="2">
        <v>0.98948355049700698</v>
      </c>
      <c r="AD450" s="2"/>
      <c r="AE450" s="2">
        <v>1.1229547854296</v>
      </c>
      <c r="AF450" s="2">
        <v>11801.158341919499</v>
      </c>
      <c r="AG450" s="2">
        <v>49160.981494263397</v>
      </c>
      <c r="AH450" s="4">
        <v>0.24005131678049599</v>
      </c>
      <c r="AI450" s="4">
        <v>-2.0585852450917299</v>
      </c>
      <c r="AJ450" s="4" t="s">
        <v>62</v>
      </c>
      <c r="AK450" s="2">
        <v>3.8328907760428202E-2</v>
      </c>
      <c r="AL450" s="2">
        <v>0.28737929329641199</v>
      </c>
      <c r="AM450" s="2">
        <v>18834.947496651301</v>
      </c>
      <c r="AN450" s="2">
        <v>5152.9646076090303</v>
      </c>
      <c r="AO450" s="2">
        <v>16634.850790154302</v>
      </c>
      <c r="AP450" s="2">
        <v>432.11093645958499</v>
      </c>
      <c r="AQ450" s="2">
        <v>10935.993717478599</v>
      </c>
      <c r="AR450" s="2">
        <v>18816.082503164202</v>
      </c>
      <c r="AS450" s="2">
        <v>14256.4880540381</v>
      </c>
      <c r="AT450" s="2">
        <v>21382.464298815099</v>
      </c>
      <c r="AU450" s="2">
        <v>65943.353554500107</v>
      </c>
      <c r="AV450" s="2">
        <v>48050.708809375501</v>
      </c>
      <c r="AW450" s="2">
        <v>115628.081956864</v>
      </c>
      <c r="AX450" s="2">
        <v>29704.792291987502</v>
      </c>
    </row>
    <row r="451" spans="1:50" x14ac:dyDescent="0.25">
      <c r="A451" s="2" t="s">
        <v>3576</v>
      </c>
      <c r="B451" s="2">
        <v>524.27846813108704</v>
      </c>
      <c r="C451" s="2">
        <v>10.246033333333299</v>
      </c>
      <c r="D451" s="2" t="s">
        <v>51</v>
      </c>
      <c r="E451" s="2" t="s">
        <v>3577</v>
      </c>
      <c r="F451" s="2">
        <v>21221</v>
      </c>
      <c r="G451" s="3" t="str">
        <f>HYPERLINK("https://cloud.oebiotech.com/#/lm/network/21221", "https://cloud.oebiotech.com/#/lm/network/21221")</f>
        <v>https://cloud.oebiotech.com/#/lm/network/21221</v>
      </c>
      <c r="H451" s="2" t="s">
        <v>3578</v>
      </c>
      <c r="I451" s="2">
        <v>62284</v>
      </c>
      <c r="J451" s="2" t="s">
        <v>3579</v>
      </c>
      <c r="K451" s="2">
        <v>53480945</v>
      </c>
      <c r="L451" s="2"/>
      <c r="M451" s="2"/>
      <c r="N451" s="2"/>
      <c r="O451" s="2">
        <v>72749</v>
      </c>
      <c r="P451" s="2"/>
      <c r="Q451" s="2"/>
      <c r="R451" s="2"/>
      <c r="S451" s="2" t="s">
        <v>3580</v>
      </c>
      <c r="T451" s="2" t="s">
        <v>3581</v>
      </c>
      <c r="U451" s="2" t="s">
        <v>56</v>
      </c>
      <c r="V451" s="2" t="s">
        <v>57</v>
      </c>
      <c r="W451" s="2" t="s">
        <v>155</v>
      </c>
      <c r="X451" s="2" t="s">
        <v>69</v>
      </c>
      <c r="Y451" s="2">
        <v>62.8</v>
      </c>
      <c r="Z451" s="2">
        <v>88.5</v>
      </c>
      <c r="AA451" s="2" t="s">
        <v>163</v>
      </c>
      <c r="AB451" s="2" t="s">
        <v>2094</v>
      </c>
      <c r="AC451" s="2">
        <v>0.39060714957810899</v>
      </c>
      <c r="AD451" s="2"/>
      <c r="AE451" s="2">
        <v>1.11759207038716</v>
      </c>
      <c r="AF451" s="2">
        <v>200706.05365776201</v>
      </c>
      <c r="AG451" s="2">
        <v>259982.38234923</v>
      </c>
      <c r="AH451" s="4">
        <v>0.77199867100285502</v>
      </c>
      <c r="AI451" s="4">
        <v>-0.37332973099405897</v>
      </c>
      <c r="AJ451" s="4" t="s">
        <v>62</v>
      </c>
      <c r="AK451" s="2">
        <v>0.21222817294514901</v>
      </c>
      <c r="AL451" s="2">
        <v>0.53706865589344099</v>
      </c>
      <c r="AM451" s="2">
        <v>330467.52863586898</v>
      </c>
      <c r="AN451" s="2">
        <v>176254.24241658399</v>
      </c>
      <c r="AO451" s="2">
        <v>187143.64279962299</v>
      </c>
      <c r="AP451" s="2">
        <v>223857.932263063</v>
      </c>
      <c r="AQ451" s="2">
        <v>103457.11520808301</v>
      </c>
      <c r="AR451" s="2">
        <v>183055.86062334801</v>
      </c>
      <c r="AS451" s="2">
        <v>230691.25252966199</v>
      </c>
      <c r="AT451" s="2">
        <v>241023.44817265301</v>
      </c>
      <c r="AU451" s="2">
        <v>123008.716345682</v>
      </c>
      <c r="AV451" s="2">
        <v>322903.1575113</v>
      </c>
      <c r="AW451" s="2">
        <v>318296.881628723</v>
      </c>
      <c r="AX451" s="2">
        <v>323970.83790735999</v>
      </c>
    </row>
    <row r="452" spans="1:50" x14ac:dyDescent="0.25">
      <c r="A452" s="2" t="s">
        <v>1319</v>
      </c>
      <c r="B452" s="2">
        <v>349.23610010449698</v>
      </c>
      <c r="C452" s="2">
        <v>13.510733333333301</v>
      </c>
      <c r="D452" s="2" t="s">
        <v>51</v>
      </c>
      <c r="E452" s="2" t="s">
        <v>1320</v>
      </c>
      <c r="F452" s="2">
        <v>211990</v>
      </c>
      <c r="G452" s="3" t="str">
        <f>HYPERLINK("https://cloud.oebiotech.com/#/lm/network/211990", "https://cloud.oebiotech.com/#/lm/network/211990")</f>
        <v>https://cloud.oebiotech.com/#/lm/network/211990</v>
      </c>
      <c r="H452" s="2" t="s">
        <v>1321</v>
      </c>
      <c r="I452" s="2"/>
      <c r="J452" s="2"/>
      <c r="K452" s="2">
        <v>3387569</v>
      </c>
      <c r="L452" s="2"/>
      <c r="M452" s="2"/>
      <c r="N452" s="2"/>
      <c r="O452" s="2"/>
      <c r="P452" s="2"/>
      <c r="Q452" s="2"/>
      <c r="R452" s="2"/>
      <c r="S452" s="2" t="s">
        <v>1322</v>
      </c>
      <c r="T452" s="2" t="s">
        <v>1323</v>
      </c>
      <c r="U452" s="2" t="s">
        <v>103</v>
      </c>
      <c r="V452" s="2" t="s">
        <v>104</v>
      </c>
      <c r="W452" s="2" t="s">
        <v>105</v>
      </c>
      <c r="X452" s="2" t="s">
        <v>147</v>
      </c>
      <c r="Y452" s="2">
        <v>37.1</v>
      </c>
      <c r="Z452" s="2">
        <v>9.9600000000000001E-3</v>
      </c>
      <c r="AA452" s="2" t="s">
        <v>478</v>
      </c>
      <c r="AB452" s="2" t="s">
        <v>1324</v>
      </c>
      <c r="AC452" s="2">
        <v>4.8244375836459898</v>
      </c>
      <c r="AD452" s="2"/>
      <c r="AE452" s="2">
        <v>1.1168471619778</v>
      </c>
      <c r="AF452" s="2">
        <v>40114.617566125802</v>
      </c>
      <c r="AG452" s="2">
        <v>76827.403170084901</v>
      </c>
      <c r="AH452" s="4">
        <v>0.52213944388199196</v>
      </c>
      <c r="AI452" s="4">
        <v>-0.93749294684413897</v>
      </c>
      <c r="AJ452" s="4" t="s">
        <v>62</v>
      </c>
      <c r="AK452" s="2">
        <v>2.9550536871723598E-2</v>
      </c>
      <c r="AL452" s="2">
        <v>0.25908320162100301</v>
      </c>
      <c r="AM452" s="2">
        <v>36193.5837030494</v>
      </c>
      <c r="AN452" s="2">
        <v>25938.961800168399</v>
      </c>
      <c r="AO452" s="2">
        <v>45133.480231088703</v>
      </c>
      <c r="AP452" s="2">
        <v>27578.638304841599</v>
      </c>
      <c r="AQ452" s="2">
        <v>60253.493556289199</v>
      </c>
      <c r="AR452" s="2">
        <v>45589.547801317203</v>
      </c>
      <c r="AS452" s="2">
        <v>47606.743385007503</v>
      </c>
      <c r="AT452" s="2">
        <v>47162.172264852503</v>
      </c>
      <c r="AU452" s="2">
        <v>128242.835900732</v>
      </c>
      <c r="AV452" s="2">
        <v>90934.752644934895</v>
      </c>
      <c r="AW452" s="2">
        <v>94161.950601215605</v>
      </c>
      <c r="AX452" s="2">
        <v>52855.964223766903</v>
      </c>
    </row>
    <row r="453" spans="1:50" x14ac:dyDescent="0.25">
      <c r="A453" s="2" t="s">
        <v>1325</v>
      </c>
      <c r="B453" s="2">
        <v>692.45100386312299</v>
      </c>
      <c r="C453" s="2">
        <v>10.329216666666699</v>
      </c>
      <c r="D453" s="2" t="s">
        <v>51</v>
      </c>
      <c r="E453" s="2" t="s">
        <v>1326</v>
      </c>
      <c r="F453" s="2">
        <v>21487</v>
      </c>
      <c r="G453" s="3" t="str">
        <f>HYPERLINK("https://cloud.oebiotech.com/#/lm/network/21487", "https://cloud.oebiotech.com/#/lm/network/21487")</f>
        <v>https://cloud.oebiotech.com/#/lm/network/21487</v>
      </c>
      <c r="H453" s="2"/>
      <c r="I453" s="2">
        <v>77890</v>
      </c>
      <c r="J453" s="2" t="s">
        <v>1327</v>
      </c>
      <c r="K453" s="2">
        <v>52925336</v>
      </c>
      <c r="L453" s="2"/>
      <c r="M453" s="2"/>
      <c r="N453" s="2"/>
      <c r="O453" s="2"/>
      <c r="P453" s="2"/>
      <c r="Q453" s="2"/>
      <c r="R453" s="2"/>
      <c r="S453" s="2" t="s">
        <v>1328</v>
      </c>
      <c r="T453" s="2" t="s">
        <v>1329</v>
      </c>
      <c r="U453" s="2" t="s">
        <v>56</v>
      </c>
      <c r="V453" s="2" t="s">
        <v>57</v>
      </c>
      <c r="W453" s="2" t="s">
        <v>82</v>
      </c>
      <c r="X453" s="2" t="s">
        <v>59</v>
      </c>
      <c r="Y453" s="2">
        <v>52.9</v>
      </c>
      <c r="Z453" s="2">
        <v>77.7</v>
      </c>
      <c r="AA453" s="2" t="s">
        <v>163</v>
      </c>
      <c r="AB453" s="2" t="s">
        <v>1330</v>
      </c>
      <c r="AC453" s="2">
        <v>0.28305094128184599</v>
      </c>
      <c r="AD453" s="2"/>
      <c r="AE453" s="2">
        <v>1.1168339841425701</v>
      </c>
      <c r="AF453" s="2">
        <v>39257.124779429003</v>
      </c>
      <c r="AG453" s="2">
        <v>12181.1009685513</v>
      </c>
      <c r="AH453" s="5">
        <v>3.2227895393677</v>
      </c>
      <c r="AI453" s="5">
        <v>1.6883099779027599</v>
      </c>
      <c r="AJ453" s="5" t="s">
        <v>139</v>
      </c>
      <c r="AK453" s="2">
        <v>3.8554794870903001E-3</v>
      </c>
      <c r="AL453" s="2">
        <v>0.113564669772853</v>
      </c>
      <c r="AM453" s="2">
        <v>41487.081254606601</v>
      </c>
      <c r="AN453" s="2">
        <v>58290.751745763002</v>
      </c>
      <c r="AO453" s="2">
        <v>30931.609400666999</v>
      </c>
      <c r="AP453" s="2">
        <v>29831.536527450298</v>
      </c>
      <c r="AQ453" s="2">
        <v>17680.89784338</v>
      </c>
      <c r="AR453" s="2">
        <v>57320.871904707303</v>
      </c>
      <c r="AS453" s="2">
        <v>17803.504013051599</v>
      </c>
      <c r="AT453" s="2">
        <v>11521.961414129601</v>
      </c>
      <c r="AU453" s="2">
        <v>14152.104740806801</v>
      </c>
      <c r="AV453" s="2">
        <v>636.79912106050199</v>
      </c>
      <c r="AW453" s="2">
        <v>8302.9223073422108</v>
      </c>
      <c r="AX453" s="2">
        <v>20669.3142149173</v>
      </c>
    </row>
    <row r="454" spans="1:50" x14ac:dyDescent="0.25">
      <c r="A454" s="2" t="s">
        <v>3582</v>
      </c>
      <c r="B454" s="2">
        <v>363.21778002612501</v>
      </c>
      <c r="C454" s="2">
        <v>6.1052666666666697</v>
      </c>
      <c r="D454" s="2" t="s">
        <v>51</v>
      </c>
      <c r="E454" s="2" t="s">
        <v>3583</v>
      </c>
      <c r="F454" s="2">
        <v>44979</v>
      </c>
      <c r="G454" s="3" t="str">
        <f>HYPERLINK("https://cloud.oebiotech.com/#/lm/network/44979", "https://cloud.oebiotech.com/#/lm/network/44979")</f>
        <v>https://cloud.oebiotech.com/#/lm/network/44979</v>
      </c>
      <c r="H454" s="2" t="s">
        <v>3584</v>
      </c>
      <c r="I454" s="2">
        <v>272</v>
      </c>
      <c r="J454" s="2" t="s">
        <v>3585</v>
      </c>
      <c r="K454" s="2">
        <v>5754</v>
      </c>
      <c r="L454" s="2" t="s">
        <v>3586</v>
      </c>
      <c r="M454" s="2" t="s">
        <v>3587</v>
      </c>
      <c r="N454" s="2" t="s">
        <v>3588</v>
      </c>
      <c r="O454" s="2">
        <v>17650</v>
      </c>
      <c r="P454" s="2" t="s">
        <v>3589</v>
      </c>
      <c r="Q454" s="2" t="s">
        <v>3590</v>
      </c>
      <c r="R454" s="2" t="s">
        <v>3591</v>
      </c>
      <c r="S454" s="2" t="s">
        <v>3592</v>
      </c>
      <c r="T454" s="2" t="s">
        <v>3593</v>
      </c>
      <c r="U454" s="2" t="s">
        <v>56</v>
      </c>
      <c r="V454" s="2" t="s">
        <v>283</v>
      </c>
      <c r="W454" s="2" t="s">
        <v>492</v>
      </c>
      <c r="X454" s="2" t="s">
        <v>69</v>
      </c>
      <c r="Y454" s="2">
        <v>60.2</v>
      </c>
      <c r="Z454" s="2">
        <v>96.9</v>
      </c>
      <c r="AA454" s="2" t="s">
        <v>259</v>
      </c>
      <c r="AB454" s="2" t="s">
        <v>3082</v>
      </c>
      <c r="AC454" s="2">
        <v>3.2564987893344499</v>
      </c>
      <c r="AD454" s="2"/>
      <c r="AE454" s="2">
        <v>1.1158077294834801</v>
      </c>
      <c r="AF454" s="2">
        <v>21208.859981655802</v>
      </c>
      <c r="AG454" s="2">
        <v>64372.332241393997</v>
      </c>
      <c r="AH454" s="4">
        <v>0.32947167273858102</v>
      </c>
      <c r="AI454" s="4">
        <v>-1.6017736641195099</v>
      </c>
      <c r="AJ454" s="4" t="s">
        <v>62</v>
      </c>
      <c r="AK454" s="2">
        <v>5.8867693031966303E-2</v>
      </c>
      <c r="AL454" s="2">
        <v>0.32837652512840398</v>
      </c>
      <c r="AM454" s="2">
        <v>10459.934566972999</v>
      </c>
      <c r="AN454" s="2">
        <v>35238.021938269201</v>
      </c>
      <c r="AO454" s="2">
        <v>6449.4482938875799</v>
      </c>
      <c r="AP454" s="2">
        <v>4537.6755435908499</v>
      </c>
      <c r="AQ454" s="2">
        <v>66142.233562944006</v>
      </c>
      <c r="AR454" s="2">
        <v>4425.8459842699904</v>
      </c>
      <c r="AS454" s="2">
        <v>70024.052973978396</v>
      </c>
      <c r="AT454" s="2">
        <v>127228.58700268601</v>
      </c>
      <c r="AU454" s="2">
        <v>12464.072808297</v>
      </c>
      <c r="AV454" s="2">
        <v>58384.404139789898</v>
      </c>
      <c r="AW454" s="2">
        <v>24256.978187657602</v>
      </c>
      <c r="AX454" s="2">
        <v>93875.898335954902</v>
      </c>
    </row>
    <row r="455" spans="1:50" x14ac:dyDescent="0.25">
      <c r="A455" s="2" t="s">
        <v>3594</v>
      </c>
      <c r="B455" s="2">
        <v>336.25206159513601</v>
      </c>
      <c r="C455" s="2">
        <v>10.511383333333301</v>
      </c>
      <c r="D455" s="2" t="s">
        <v>51</v>
      </c>
      <c r="E455" s="2" t="s">
        <v>3595</v>
      </c>
      <c r="F455" s="2">
        <v>198541</v>
      </c>
      <c r="G455" s="3" t="str">
        <f>HYPERLINK("https://cloud.oebiotech.com/#/lm/network/198541", "https://cloud.oebiotech.com/#/lm/network/198541")</f>
        <v>https://cloud.oebiotech.com/#/lm/network/198541</v>
      </c>
      <c r="H455" s="2" t="s">
        <v>3596</v>
      </c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 t="s">
        <v>3597</v>
      </c>
      <c r="T455" s="2" t="s">
        <v>3598</v>
      </c>
      <c r="U455" s="2" t="s">
        <v>103</v>
      </c>
      <c r="V455" s="2" t="s">
        <v>104</v>
      </c>
      <c r="W455" s="2" t="s">
        <v>105</v>
      </c>
      <c r="X455" s="2" t="s">
        <v>59</v>
      </c>
      <c r="Y455" s="2">
        <v>51.9</v>
      </c>
      <c r="Z455" s="2">
        <v>67.5</v>
      </c>
      <c r="AA455" s="2" t="s">
        <v>1123</v>
      </c>
      <c r="AB455" s="2" t="s">
        <v>3599</v>
      </c>
      <c r="AC455" s="2">
        <v>3.6612494547491301</v>
      </c>
      <c r="AD455" s="2"/>
      <c r="AE455" s="2">
        <v>1.11520838211782</v>
      </c>
      <c r="AF455" s="2">
        <v>81851.286345428904</v>
      </c>
      <c r="AG455" s="2">
        <v>12550.098403452301</v>
      </c>
      <c r="AH455" s="5">
        <v>6.5219637100943499</v>
      </c>
      <c r="AI455" s="5">
        <v>2.7053064135775502</v>
      </c>
      <c r="AJ455" s="5" t="s">
        <v>139</v>
      </c>
      <c r="AK455" s="2">
        <v>0.21746888092681099</v>
      </c>
      <c r="AL455" s="2">
        <v>0.54271237749578605</v>
      </c>
      <c r="AM455" s="2">
        <v>4378.9702258458101</v>
      </c>
      <c r="AN455" s="2">
        <v>3010.9282512793502</v>
      </c>
      <c r="AO455" s="2">
        <v>176367.56754418201</v>
      </c>
      <c r="AP455" s="2">
        <v>3730.2358510355102</v>
      </c>
      <c r="AQ455" s="2">
        <v>297637.23387377302</v>
      </c>
      <c r="AR455" s="2">
        <v>5982.78232645768</v>
      </c>
      <c r="AS455" s="2">
        <v>67043.903240166896</v>
      </c>
      <c r="AT455" s="2">
        <v>590.79812741903004</v>
      </c>
      <c r="AU455" s="2">
        <v>6375.1769246002996</v>
      </c>
      <c r="AV455" s="2">
        <v>213.87345168270301</v>
      </c>
      <c r="AW455" s="2">
        <v>309.61698790806702</v>
      </c>
      <c r="AX455" s="2">
        <v>767.22168893671403</v>
      </c>
    </row>
    <row r="456" spans="1:50" x14ac:dyDescent="0.25">
      <c r="A456" s="2" t="s">
        <v>3600</v>
      </c>
      <c r="B456" s="2">
        <v>1004.47627673252</v>
      </c>
      <c r="C456" s="2">
        <v>4.9210500000000001</v>
      </c>
      <c r="D456" s="2" t="s">
        <v>51</v>
      </c>
      <c r="E456" s="2" t="s">
        <v>3601</v>
      </c>
      <c r="F456" s="2">
        <v>135708</v>
      </c>
      <c r="G456" s="3" t="str">
        <f>HYPERLINK("https://cloud.oebiotech.com/#/lm/network/135708", "https://cloud.oebiotech.com/#/lm/network/135708")</f>
        <v>https://cloud.oebiotech.com/#/lm/network/135708</v>
      </c>
      <c r="H456" s="2" t="s">
        <v>3602</v>
      </c>
      <c r="I456" s="2"/>
      <c r="J456" s="2"/>
      <c r="K456" s="2">
        <v>131822687</v>
      </c>
      <c r="L456" s="2"/>
      <c r="M456" s="2"/>
      <c r="N456" s="2"/>
      <c r="O456" s="2"/>
      <c r="P456" s="2"/>
      <c r="Q456" s="2"/>
      <c r="R456" s="2"/>
      <c r="S456" s="2" t="s">
        <v>3603</v>
      </c>
      <c r="T456" s="2" t="s">
        <v>3604</v>
      </c>
      <c r="U456" s="2" t="s">
        <v>56</v>
      </c>
      <c r="V456" s="2" t="s">
        <v>57</v>
      </c>
      <c r="W456" s="2" t="s">
        <v>3605</v>
      </c>
      <c r="X456" s="2" t="s">
        <v>147</v>
      </c>
      <c r="Y456" s="2">
        <v>38.299999999999997</v>
      </c>
      <c r="Z456" s="2">
        <v>27.4</v>
      </c>
      <c r="AA456" s="2" t="s">
        <v>379</v>
      </c>
      <c r="AB456" s="2" t="s">
        <v>3606</v>
      </c>
      <c r="AC456" s="2">
        <v>-4.4203759780332499</v>
      </c>
      <c r="AD456" s="2"/>
      <c r="AE456" s="2">
        <v>1.11430918481</v>
      </c>
      <c r="AF456" s="2">
        <v>40882.375546810901</v>
      </c>
      <c r="AG456" s="2">
        <v>88725.847383346903</v>
      </c>
      <c r="AH456" s="4">
        <v>0.46077188048906997</v>
      </c>
      <c r="AI456" s="4">
        <v>-1.11787541872522</v>
      </c>
      <c r="AJ456" s="4" t="s">
        <v>62</v>
      </c>
      <c r="AK456" s="2">
        <v>0.28337025308341202</v>
      </c>
      <c r="AL456" s="2">
        <v>0.60000138164408201</v>
      </c>
      <c r="AM456" s="2">
        <v>28941.8667870846</v>
      </c>
      <c r="AN456" s="2">
        <v>27832.144310635798</v>
      </c>
      <c r="AO456" s="2">
        <v>34044.193713019602</v>
      </c>
      <c r="AP456" s="2">
        <v>12741.0938226126</v>
      </c>
      <c r="AQ456" s="2">
        <v>42674.825223169202</v>
      </c>
      <c r="AR456" s="2">
        <v>99060.129424343802</v>
      </c>
      <c r="AS456" s="2">
        <v>3442.39310520656</v>
      </c>
      <c r="AT456" s="2">
        <v>61107.748268224503</v>
      </c>
      <c r="AU456" s="2">
        <v>8.559877937157E-6</v>
      </c>
      <c r="AV456" s="2">
        <v>255270.858342311</v>
      </c>
      <c r="AW456" s="2">
        <v>58160.754895985403</v>
      </c>
      <c r="AX456" s="2">
        <v>154373.329679794</v>
      </c>
    </row>
    <row r="457" spans="1:50" x14ac:dyDescent="0.25">
      <c r="A457" s="2" t="s">
        <v>3607</v>
      </c>
      <c r="B457" s="2">
        <v>371.24432982918898</v>
      </c>
      <c r="C457" s="2">
        <v>6.3627833333333301</v>
      </c>
      <c r="D457" s="2" t="s">
        <v>51</v>
      </c>
      <c r="E457" s="2" t="s">
        <v>3608</v>
      </c>
      <c r="F457" s="2">
        <v>3666</v>
      </c>
      <c r="G457" s="3" t="str">
        <f>HYPERLINK("https://cloud.oebiotech.com/#/lm/network/3666", "https://cloud.oebiotech.com/#/lm/network/3666")</f>
        <v>https://cloud.oebiotech.com/#/lm/network/3666</v>
      </c>
      <c r="H457" s="2"/>
      <c r="I457" s="2"/>
      <c r="J457" s="2" t="s">
        <v>3609</v>
      </c>
      <c r="K457" s="2">
        <v>5283045</v>
      </c>
      <c r="L457" s="2"/>
      <c r="M457" s="2"/>
      <c r="N457" s="2"/>
      <c r="O457" s="2"/>
      <c r="P457" s="2"/>
      <c r="Q457" s="2"/>
      <c r="R457" s="2"/>
      <c r="S457" s="2" t="s">
        <v>3610</v>
      </c>
      <c r="T457" s="2" t="s">
        <v>3611</v>
      </c>
      <c r="U457" s="2" t="s">
        <v>56</v>
      </c>
      <c r="V457" s="2" t="s">
        <v>145</v>
      </c>
      <c r="W457" s="2" t="s">
        <v>187</v>
      </c>
      <c r="X457" s="2" t="s">
        <v>83</v>
      </c>
      <c r="Y457" s="2">
        <v>45.8</v>
      </c>
      <c r="Z457" s="2">
        <v>12.2</v>
      </c>
      <c r="AA457" s="2" t="s">
        <v>163</v>
      </c>
      <c r="AB457" s="2" t="s">
        <v>564</v>
      </c>
      <c r="AC457" s="2">
        <v>1.1212571559889299</v>
      </c>
      <c r="AD457" s="2"/>
      <c r="AE457" s="2">
        <v>1.10722152131818</v>
      </c>
      <c r="AF457" s="2">
        <v>71278.897336869093</v>
      </c>
      <c r="AG457" s="2">
        <v>38983.414342650998</v>
      </c>
      <c r="AH457" s="5">
        <v>1.82844162161764</v>
      </c>
      <c r="AI457" s="5">
        <v>0.87061456512760604</v>
      </c>
      <c r="AJ457" s="5" t="s">
        <v>139</v>
      </c>
      <c r="AK457" s="2">
        <v>0.175619301439147</v>
      </c>
      <c r="AL457" s="2">
        <v>0.49660090720040001</v>
      </c>
      <c r="AM457" s="2">
        <v>150579.28319617599</v>
      </c>
      <c r="AN457" s="2">
        <v>68396.411155218098</v>
      </c>
      <c r="AO457" s="2">
        <v>44164.117417901798</v>
      </c>
      <c r="AP457" s="2">
        <v>57533.242526002097</v>
      </c>
      <c r="AQ457" s="2">
        <v>45159.063276990099</v>
      </c>
      <c r="AR457" s="2">
        <v>61841.266448926501</v>
      </c>
      <c r="AS457" s="2">
        <v>31882.268606677499</v>
      </c>
      <c r="AT457" s="2">
        <v>6201.6227198926899</v>
      </c>
      <c r="AU457" s="2">
        <v>110333.24577239501</v>
      </c>
      <c r="AV457" s="2">
        <v>17367.793437680699</v>
      </c>
      <c r="AW457" s="2">
        <v>35264.673152494899</v>
      </c>
      <c r="AX457" s="2">
        <v>32850.882366765502</v>
      </c>
    </row>
    <row r="458" spans="1:50" x14ac:dyDescent="0.25">
      <c r="A458" s="2" t="s">
        <v>3612</v>
      </c>
      <c r="B458" s="2">
        <v>377.14261361811901</v>
      </c>
      <c r="C458" s="2">
        <v>12.051083333333301</v>
      </c>
      <c r="D458" s="2" t="s">
        <v>51</v>
      </c>
      <c r="E458" s="2" t="s">
        <v>3613</v>
      </c>
      <c r="F458" s="2">
        <v>210538</v>
      </c>
      <c r="G458" s="3" t="str">
        <f>HYPERLINK("https://cloud.oebiotech.com/#/lm/network/210538", "https://cloud.oebiotech.com/#/lm/network/210538")</f>
        <v>https://cloud.oebiotech.com/#/lm/network/210538</v>
      </c>
      <c r="H458" s="2" t="s">
        <v>3614</v>
      </c>
      <c r="I458" s="2"/>
      <c r="J458" s="2"/>
      <c r="K458" s="2">
        <v>9865506</v>
      </c>
      <c r="L458" s="2"/>
      <c r="M458" s="2"/>
      <c r="N458" s="2"/>
      <c r="O458" s="2"/>
      <c r="P458" s="2"/>
      <c r="Q458" s="2"/>
      <c r="R458" s="2"/>
      <c r="S458" s="2" t="s">
        <v>3615</v>
      </c>
      <c r="T458" s="2" t="s">
        <v>3616</v>
      </c>
      <c r="U458" s="2" t="s">
        <v>266</v>
      </c>
      <c r="V458" s="2" t="s">
        <v>1393</v>
      </c>
      <c r="W458" s="2" t="s">
        <v>1643</v>
      </c>
      <c r="X458" s="2" t="s">
        <v>147</v>
      </c>
      <c r="Y458" s="2">
        <v>43.9</v>
      </c>
      <c r="Z458" s="2">
        <v>23.6</v>
      </c>
      <c r="AA458" s="2" t="s">
        <v>379</v>
      </c>
      <c r="AB458" s="2" t="s">
        <v>3617</v>
      </c>
      <c r="AC458" s="2">
        <v>1.73154071538308</v>
      </c>
      <c r="AD458" s="2"/>
      <c r="AE458" s="2">
        <v>1.10605524716637</v>
      </c>
      <c r="AF458" s="2">
        <v>27396.6167407914</v>
      </c>
      <c r="AG458" s="2">
        <v>73965.583496341307</v>
      </c>
      <c r="AH458" s="4">
        <v>0.37039681762459897</v>
      </c>
      <c r="AI458" s="4">
        <v>-1.4328563915833099</v>
      </c>
      <c r="AJ458" s="4" t="s">
        <v>62</v>
      </c>
      <c r="AK458" s="2">
        <v>7.6037083001990996E-2</v>
      </c>
      <c r="AL458" s="2">
        <v>0.35970690181898002</v>
      </c>
      <c r="AM458" s="2">
        <v>29123.264637660101</v>
      </c>
      <c r="AN458" s="2">
        <v>32959.871570497497</v>
      </c>
      <c r="AO458" s="2">
        <v>50860.105908562902</v>
      </c>
      <c r="AP458" s="2">
        <v>16889.5552344559</v>
      </c>
      <c r="AQ458" s="2">
        <v>19642.368144003602</v>
      </c>
      <c r="AR458" s="2">
        <v>14904.5349495683</v>
      </c>
      <c r="AS458" s="2">
        <v>36821.407153409396</v>
      </c>
      <c r="AT458" s="2">
        <v>15514.927535753401</v>
      </c>
      <c r="AU458" s="2">
        <v>162523.13214774901</v>
      </c>
      <c r="AV458" s="2">
        <v>86451.575680515103</v>
      </c>
      <c r="AW458" s="2">
        <v>109298.46010864001</v>
      </c>
      <c r="AX458" s="2">
        <v>33183.998351981099</v>
      </c>
    </row>
    <row r="459" spans="1:50" x14ac:dyDescent="0.25">
      <c r="A459" s="2" t="s">
        <v>3618</v>
      </c>
      <c r="B459" s="2">
        <v>727.56429467780401</v>
      </c>
      <c r="C459" s="2">
        <v>14.459250000000001</v>
      </c>
      <c r="D459" s="2" t="s">
        <v>51</v>
      </c>
      <c r="E459" s="2" t="s">
        <v>3619</v>
      </c>
      <c r="F459" s="2">
        <v>243338</v>
      </c>
      <c r="G459" s="3" t="str">
        <f>HYPERLINK("https://cloud.oebiotech.com/#/lm/network/243338", "https://cloud.oebiotech.com/#/lm/network/243338")</f>
        <v>https://cloud.oebiotech.com/#/lm/network/243338</v>
      </c>
      <c r="H459" s="2" t="s">
        <v>3620</v>
      </c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 t="s">
        <v>3621</v>
      </c>
      <c r="T459" s="2" t="s">
        <v>3622</v>
      </c>
      <c r="U459" s="2" t="s">
        <v>56</v>
      </c>
      <c r="V459" s="2" t="s">
        <v>283</v>
      </c>
      <c r="W459" s="2" t="s">
        <v>1663</v>
      </c>
      <c r="X459" s="2" t="s">
        <v>147</v>
      </c>
      <c r="Y459" s="2">
        <v>45.7</v>
      </c>
      <c r="Z459" s="2">
        <v>41</v>
      </c>
      <c r="AA459" s="2" t="s">
        <v>95</v>
      </c>
      <c r="AB459" s="2" t="s">
        <v>3623</v>
      </c>
      <c r="AC459" s="2">
        <v>1.0120752094822201</v>
      </c>
      <c r="AD459" s="2"/>
      <c r="AE459" s="2">
        <v>1.1045344047322401</v>
      </c>
      <c r="AF459" s="2">
        <v>73222.7440737008</v>
      </c>
      <c r="AG459" s="2">
        <v>103247.03217144099</v>
      </c>
      <c r="AH459" s="4">
        <v>0.70919950466096404</v>
      </c>
      <c r="AI459" s="4">
        <v>-0.49573656629799701</v>
      </c>
      <c r="AJ459" s="4" t="s">
        <v>62</v>
      </c>
      <c r="AK459" s="2">
        <v>6.0586298648080197E-2</v>
      </c>
      <c r="AL459" s="2">
        <v>0.33204778482206299</v>
      </c>
      <c r="AM459" s="2">
        <v>14301.7934049164</v>
      </c>
      <c r="AN459" s="2">
        <v>71156.422514214995</v>
      </c>
      <c r="AO459" s="2">
        <v>84664.304909044906</v>
      </c>
      <c r="AP459" s="2">
        <v>72887.3641112115</v>
      </c>
      <c r="AQ459" s="2">
        <v>104539.403739056</v>
      </c>
      <c r="AR459" s="2">
        <v>91787.175763760999</v>
      </c>
      <c r="AS459" s="2">
        <v>118459.589774451</v>
      </c>
      <c r="AT459" s="2">
        <v>108795.300608581</v>
      </c>
      <c r="AU459" s="2">
        <v>109452.032619323</v>
      </c>
      <c r="AV459" s="2">
        <v>82320.706525374</v>
      </c>
      <c r="AW459" s="2">
        <v>86818.207756483505</v>
      </c>
      <c r="AX459" s="2">
        <v>113636.355744435</v>
      </c>
    </row>
    <row r="460" spans="1:50" x14ac:dyDescent="0.25">
      <c r="A460" s="2" t="s">
        <v>3624</v>
      </c>
      <c r="B460" s="2">
        <v>552.33147813419203</v>
      </c>
      <c r="C460" s="2">
        <v>8.7620000000000005</v>
      </c>
      <c r="D460" s="2" t="s">
        <v>51</v>
      </c>
      <c r="E460" s="2" t="s">
        <v>3625</v>
      </c>
      <c r="F460" s="2">
        <v>22450</v>
      </c>
      <c r="G460" s="3" t="str">
        <f>HYPERLINK("https://cloud.oebiotech.com/#/lm/network/22450", "https://cloud.oebiotech.com/#/lm/network/22450")</f>
        <v>https://cloud.oebiotech.com/#/lm/network/22450</v>
      </c>
      <c r="H460" s="2"/>
      <c r="I460" s="2">
        <v>78847</v>
      </c>
      <c r="J460" s="2" t="s">
        <v>3626</v>
      </c>
      <c r="K460" s="2">
        <v>52926288</v>
      </c>
      <c r="L460" s="2"/>
      <c r="M460" s="2"/>
      <c r="N460" s="2"/>
      <c r="O460" s="2"/>
      <c r="P460" s="2"/>
      <c r="Q460" s="2"/>
      <c r="R460" s="2"/>
      <c r="S460" s="2" t="s">
        <v>3627</v>
      </c>
      <c r="T460" s="2" t="s">
        <v>3628</v>
      </c>
      <c r="U460" s="2" t="s">
        <v>56</v>
      </c>
      <c r="V460" s="2" t="s">
        <v>57</v>
      </c>
      <c r="W460" s="2" t="s">
        <v>82</v>
      </c>
      <c r="X460" s="2" t="s">
        <v>59</v>
      </c>
      <c r="Y460" s="2">
        <v>53</v>
      </c>
      <c r="Z460" s="2">
        <v>72.5</v>
      </c>
      <c r="AA460" s="2" t="s">
        <v>60</v>
      </c>
      <c r="AB460" s="2" t="s">
        <v>3629</v>
      </c>
      <c r="AC460" s="2">
        <v>3.4152215281453202</v>
      </c>
      <c r="AD460" s="2"/>
      <c r="AE460" s="2">
        <v>1.10253194603057</v>
      </c>
      <c r="AF460" s="2">
        <v>95284.990867284505</v>
      </c>
      <c r="AG460" s="2">
        <v>48956.702396533103</v>
      </c>
      <c r="AH460" s="5">
        <v>1.9463114589603601</v>
      </c>
      <c r="AI460" s="5">
        <v>0.96074259621498503</v>
      </c>
      <c r="AJ460" s="5" t="s">
        <v>139</v>
      </c>
      <c r="AK460" s="2">
        <v>9.2872623529930504E-2</v>
      </c>
      <c r="AL460" s="2">
        <v>0.39171747207476998</v>
      </c>
      <c r="AM460" s="2">
        <v>77845.178398656804</v>
      </c>
      <c r="AN460" s="2">
        <v>118702.38821275299</v>
      </c>
      <c r="AO460" s="2">
        <v>150142.70069539701</v>
      </c>
      <c r="AP460" s="2">
        <v>67901.066960645796</v>
      </c>
      <c r="AQ460" s="2">
        <v>48063.002791671199</v>
      </c>
      <c r="AR460" s="2">
        <v>109055.60814458301</v>
      </c>
      <c r="AS460" s="2">
        <v>118186.41710133301</v>
      </c>
      <c r="AT460" s="2">
        <v>12494.190255915701</v>
      </c>
      <c r="AU460" s="2">
        <v>23789.874454025601</v>
      </c>
      <c r="AV460" s="2">
        <v>24832.829211343102</v>
      </c>
      <c r="AW460" s="2">
        <v>11647.141604059099</v>
      </c>
      <c r="AX460" s="2">
        <v>102789.761752522</v>
      </c>
    </row>
    <row r="461" spans="1:50" x14ac:dyDescent="0.25">
      <c r="A461" s="2" t="s">
        <v>3630</v>
      </c>
      <c r="B461" s="2">
        <v>310.162642462919</v>
      </c>
      <c r="C461" s="2">
        <v>12.4711833333333</v>
      </c>
      <c r="D461" s="2" t="s">
        <v>51</v>
      </c>
      <c r="E461" s="2" t="s">
        <v>3631</v>
      </c>
      <c r="F461" s="2">
        <v>53911</v>
      </c>
      <c r="G461" s="3" t="str">
        <f>HYPERLINK("https://cloud.oebiotech.com/#/lm/network/53911", "https://cloud.oebiotech.com/#/lm/network/53911")</f>
        <v>https://cloud.oebiotech.com/#/lm/network/53911</v>
      </c>
      <c r="H461" s="2" t="s">
        <v>3632</v>
      </c>
      <c r="I461" s="2">
        <v>23880</v>
      </c>
      <c r="J461" s="2"/>
      <c r="K461" s="2">
        <v>6993104</v>
      </c>
      <c r="L461" s="2"/>
      <c r="M461" s="2"/>
      <c r="N461" s="2"/>
      <c r="O461" s="2">
        <v>74051</v>
      </c>
      <c r="P461" s="2"/>
      <c r="Q461" s="2"/>
      <c r="R461" s="2" t="s">
        <v>3633</v>
      </c>
      <c r="S461" s="2" t="s">
        <v>3634</v>
      </c>
      <c r="T461" s="2" t="s">
        <v>3635</v>
      </c>
      <c r="U461" s="2" t="s">
        <v>103</v>
      </c>
      <c r="V461" s="2" t="s">
        <v>104</v>
      </c>
      <c r="W461" s="2" t="s">
        <v>105</v>
      </c>
      <c r="X461" s="2" t="s">
        <v>147</v>
      </c>
      <c r="Y461" s="2">
        <v>39</v>
      </c>
      <c r="Z461" s="2">
        <v>1.8</v>
      </c>
      <c r="AA461" s="2" t="s">
        <v>512</v>
      </c>
      <c r="AB461" s="2" t="s">
        <v>3636</v>
      </c>
      <c r="AC461" s="2">
        <v>1.4669314445094399</v>
      </c>
      <c r="AD461" s="2"/>
      <c r="AE461" s="2">
        <v>1.10167702941751</v>
      </c>
      <c r="AF461" s="2">
        <v>775377.49397493002</v>
      </c>
      <c r="AG461" s="2">
        <v>719268.79274550895</v>
      </c>
      <c r="AH461" s="5">
        <v>1.0780079739248101</v>
      </c>
      <c r="AI461" s="5">
        <v>0.108367849611042</v>
      </c>
      <c r="AJ461" s="5" t="s">
        <v>139</v>
      </c>
      <c r="AK461" s="2">
        <v>0.72371949400368596</v>
      </c>
      <c r="AL461" s="2">
        <v>0.87207684917797501</v>
      </c>
      <c r="AM461" s="2">
        <v>1246121.2396513601</v>
      </c>
      <c r="AN461" s="2">
        <v>953784.28809268202</v>
      </c>
      <c r="AO461" s="2">
        <v>682270.73377086699</v>
      </c>
      <c r="AP461" s="2">
        <v>629122.30188866705</v>
      </c>
      <c r="AQ461" s="2">
        <v>560360.79776446603</v>
      </c>
      <c r="AR461" s="2">
        <v>580605.60268153797</v>
      </c>
      <c r="AS461" s="2">
        <v>501030.80562293797</v>
      </c>
      <c r="AT461" s="2">
        <v>340158.18827704398</v>
      </c>
      <c r="AU461" s="2">
        <v>1016203.4319141899</v>
      </c>
      <c r="AV461" s="2">
        <v>717465.34668589605</v>
      </c>
      <c r="AW461" s="2">
        <v>974066.03755701997</v>
      </c>
      <c r="AX461" s="2">
        <v>766688.94641596603</v>
      </c>
    </row>
    <row r="462" spans="1:50" x14ac:dyDescent="0.25">
      <c r="A462" s="2" t="s">
        <v>3637</v>
      </c>
      <c r="B462" s="2">
        <v>336.25203332534699</v>
      </c>
      <c r="C462" s="2">
        <v>7.7793999999999999</v>
      </c>
      <c r="D462" s="2" t="s">
        <v>51</v>
      </c>
      <c r="E462" s="2" t="s">
        <v>3638</v>
      </c>
      <c r="F462" s="2">
        <v>60389</v>
      </c>
      <c r="G462" s="3" t="str">
        <f>HYPERLINK("https://cloud.oebiotech.com/#/lm/network/60389", "https://cloud.oebiotech.com/#/lm/network/60389")</f>
        <v>https://cloud.oebiotech.com/#/lm/network/60389</v>
      </c>
      <c r="H462" s="2" t="s">
        <v>3639</v>
      </c>
      <c r="I462" s="2">
        <v>91743</v>
      </c>
      <c r="J462" s="2"/>
      <c r="K462" s="2">
        <v>14191192</v>
      </c>
      <c r="L462" s="2"/>
      <c r="M462" s="2"/>
      <c r="N462" s="2"/>
      <c r="O462" s="2"/>
      <c r="P462" s="2"/>
      <c r="Q462" s="2"/>
      <c r="R462" s="2" t="s">
        <v>3640</v>
      </c>
      <c r="S462" s="2" t="s">
        <v>3641</v>
      </c>
      <c r="T462" s="2" t="s">
        <v>3642</v>
      </c>
      <c r="U462" s="2" t="s">
        <v>56</v>
      </c>
      <c r="V462" s="2" t="s">
        <v>177</v>
      </c>
      <c r="W462" s="2" t="s">
        <v>178</v>
      </c>
      <c r="X462" s="2" t="s">
        <v>83</v>
      </c>
      <c r="Y462" s="2">
        <v>42.4</v>
      </c>
      <c r="Z462" s="2">
        <v>8.3800000000000008</v>
      </c>
      <c r="AA462" s="2" t="s">
        <v>3354</v>
      </c>
      <c r="AB462" s="2" t="s">
        <v>180</v>
      </c>
      <c r="AC462" s="2">
        <v>-4.0444581608186496</v>
      </c>
      <c r="AD462" s="2"/>
      <c r="AE462" s="2">
        <v>1.0984823877547401</v>
      </c>
      <c r="AF462" s="2">
        <v>96842.5267710302</v>
      </c>
      <c r="AG462" s="2">
        <v>22416.698274182902</v>
      </c>
      <c r="AH462" s="5">
        <v>4.3201066270568003</v>
      </c>
      <c r="AI462" s="5">
        <v>2.1110669208210799</v>
      </c>
      <c r="AJ462" s="5" t="s">
        <v>139</v>
      </c>
      <c r="AK462" s="2">
        <v>0.254429375032658</v>
      </c>
      <c r="AL462" s="2">
        <v>0.57740713044883996</v>
      </c>
      <c r="AM462" s="2">
        <v>8663.6636360266293</v>
      </c>
      <c r="AN462" s="2">
        <v>8244.9832695436999</v>
      </c>
      <c r="AO462" s="2">
        <v>184117.00877663901</v>
      </c>
      <c r="AP462" s="2">
        <v>7307.0015574351501</v>
      </c>
      <c r="AQ462" s="2">
        <v>359673.86706078099</v>
      </c>
      <c r="AR462" s="2">
        <v>13048.636325755901</v>
      </c>
      <c r="AS462" s="2">
        <v>93535.9931189286</v>
      </c>
      <c r="AT462" s="2">
        <v>4842.4010003797202</v>
      </c>
      <c r="AU462" s="2">
        <v>21697.051321090301</v>
      </c>
      <c r="AV462" s="2">
        <v>3218.09932415812</v>
      </c>
      <c r="AW462" s="2">
        <v>7217.3267636314904</v>
      </c>
      <c r="AX462" s="2">
        <v>3989.3181169089899</v>
      </c>
    </row>
    <row r="463" spans="1:50" x14ac:dyDescent="0.25">
      <c r="A463" s="2" t="s">
        <v>3643</v>
      </c>
      <c r="B463" s="2">
        <v>130.086658964116</v>
      </c>
      <c r="C463" s="2">
        <v>0.74455000000000005</v>
      </c>
      <c r="D463" s="2" t="s">
        <v>51</v>
      </c>
      <c r="E463" s="2" t="s">
        <v>3644</v>
      </c>
      <c r="F463" s="2">
        <v>205570</v>
      </c>
      <c r="G463" s="3" t="str">
        <f>HYPERLINK("https://cloud.oebiotech.com/#/lm/network/205570", "https://cloud.oebiotech.com/#/lm/network/205570")</f>
        <v>https://cloud.oebiotech.com/#/lm/network/205570</v>
      </c>
      <c r="H463" s="2" t="s">
        <v>3645</v>
      </c>
      <c r="I463" s="2"/>
      <c r="J463" s="2"/>
      <c r="K463" s="2">
        <v>419075</v>
      </c>
      <c r="L463" s="2"/>
      <c r="M463" s="2"/>
      <c r="N463" s="2"/>
      <c r="O463" s="2"/>
      <c r="P463" s="2"/>
      <c r="Q463" s="2"/>
      <c r="R463" s="2"/>
      <c r="S463" s="2" t="s">
        <v>3646</v>
      </c>
      <c r="T463" s="2" t="s">
        <v>3647</v>
      </c>
      <c r="U463" s="2" t="s">
        <v>119</v>
      </c>
      <c r="V463" s="2" t="s">
        <v>120</v>
      </c>
      <c r="W463" s="2" t="s">
        <v>1887</v>
      </c>
      <c r="X463" s="2" t="s">
        <v>83</v>
      </c>
      <c r="Y463" s="2">
        <v>46.7</v>
      </c>
      <c r="Z463" s="2">
        <v>36.9</v>
      </c>
      <c r="AA463" s="2" t="s">
        <v>179</v>
      </c>
      <c r="AB463" s="2" t="s">
        <v>3648</v>
      </c>
      <c r="AC463" s="2">
        <v>2.7461756788843701</v>
      </c>
      <c r="AD463" s="2"/>
      <c r="AE463" s="2">
        <v>1.0960344644975</v>
      </c>
      <c r="AF463" s="2">
        <v>288565.11664874101</v>
      </c>
      <c r="AG463" s="2">
        <v>341439.13734610198</v>
      </c>
      <c r="AH463" s="4">
        <v>0.84514364373008299</v>
      </c>
      <c r="AI463" s="4">
        <v>-0.24273152688317601</v>
      </c>
      <c r="AJ463" s="4" t="s">
        <v>62</v>
      </c>
      <c r="AK463" s="2">
        <v>0.52265155303303301</v>
      </c>
      <c r="AL463" s="2">
        <v>0.753042437774049</v>
      </c>
      <c r="AM463" s="2">
        <v>151702.61869231501</v>
      </c>
      <c r="AN463" s="2">
        <v>415719.12863695598</v>
      </c>
      <c r="AO463" s="2">
        <v>296830.648025323</v>
      </c>
      <c r="AP463" s="2">
        <v>223492.40408713801</v>
      </c>
      <c r="AQ463" s="2">
        <v>162634.54153677699</v>
      </c>
      <c r="AR463" s="2">
        <v>481011.35891393502</v>
      </c>
      <c r="AS463" s="2">
        <v>407303.95310730202</v>
      </c>
      <c r="AT463" s="2">
        <v>182591.66225337601</v>
      </c>
      <c r="AU463" s="2">
        <v>234318.80688645499</v>
      </c>
      <c r="AV463" s="2">
        <v>253500.303789931</v>
      </c>
      <c r="AW463" s="2">
        <v>419303.87132089201</v>
      </c>
      <c r="AX463" s="2">
        <v>551616.22671865299</v>
      </c>
    </row>
    <row r="464" spans="1:50" x14ac:dyDescent="0.25">
      <c r="A464" s="2" t="s">
        <v>3649</v>
      </c>
      <c r="B464" s="2">
        <v>417.22630076690899</v>
      </c>
      <c r="C464" s="2">
        <v>7.4063833333333298</v>
      </c>
      <c r="D464" s="2" t="s">
        <v>51</v>
      </c>
      <c r="E464" s="2" t="s">
        <v>3650</v>
      </c>
      <c r="F464" s="2">
        <v>5430</v>
      </c>
      <c r="G464" s="3" t="str">
        <f>HYPERLINK("https://cloud.oebiotech.com/#/lm/network/5430", "https://cloud.oebiotech.com/#/lm/network/5430")</f>
        <v>https://cloud.oebiotech.com/#/lm/network/5430</v>
      </c>
      <c r="H464" s="2"/>
      <c r="I464" s="2"/>
      <c r="J464" s="2" t="s">
        <v>3651</v>
      </c>
      <c r="K464" s="2">
        <v>44189178</v>
      </c>
      <c r="L464" s="2"/>
      <c r="M464" s="2"/>
      <c r="N464" s="2"/>
      <c r="O464" s="2"/>
      <c r="P464" s="2"/>
      <c r="Q464" s="2"/>
      <c r="R464" s="2"/>
      <c r="S464" s="2" t="s">
        <v>3652</v>
      </c>
      <c r="T464" s="2" t="s">
        <v>3653</v>
      </c>
      <c r="U464" s="2" t="s">
        <v>331</v>
      </c>
      <c r="V464" s="2" t="s">
        <v>332</v>
      </c>
      <c r="W464" s="2" t="s">
        <v>333</v>
      </c>
      <c r="X464" s="2" t="s">
        <v>83</v>
      </c>
      <c r="Y464" s="2">
        <v>47.9</v>
      </c>
      <c r="Z464" s="2">
        <v>0</v>
      </c>
      <c r="AA464" s="2" t="s">
        <v>95</v>
      </c>
      <c r="AB464" s="2" t="s">
        <v>414</v>
      </c>
      <c r="AC464" s="2">
        <v>3.9095388841023899</v>
      </c>
      <c r="AD464" s="2"/>
      <c r="AE464" s="2">
        <v>1.09572786714269</v>
      </c>
      <c r="AF464" s="2">
        <v>82718.534753325497</v>
      </c>
      <c r="AG464" s="2">
        <v>53650.031818918898</v>
      </c>
      <c r="AH464" s="5">
        <v>1.54181706792867</v>
      </c>
      <c r="AI464" s="5">
        <v>0.62463160387299499</v>
      </c>
      <c r="AJ464" s="5" t="s">
        <v>139</v>
      </c>
      <c r="AK464" s="2">
        <v>9.6050582661089706E-2</v>
      </c>
      <c r="AL464" s="2">
        <v>0.39524362296311799</v>
      </c>
      <c r="AM464" s="2">
        <v>150150.20063447399</v>
      </c>
      <c r="AN464" s="2">
        <v>88625.131509261802</v>
      </c>
      <c r="AO464" s="2">
        <v>56614.8874214557</v>
      </c>
      <c r="AP464" s="2">
        <v>65400.7726818593</v>
      </c>
      <c r="AQ464" s="2">
        <v>51048.775946113601</v>
      </c>
      <c r="AR464" s="2">
        <v>84471.440326788404</v>
      </c>
      <c r="AS464" s="2">
        <v>63814.748220989502</v>
      </c>
      <c r="AT464" s="2">
        <v>36230.283694458303</v>
      </c>
      <c r="AU464" s="2">
        <v>74012.149484446607</v>
      </c>
      <c r="AV464" s="2">
        <v>42810.801645866399</v>
      </c>
      <c r="AW464" s="2">
        <v>52209.899500048297</v>
      </c>
      <c r="AX464" s="2">
        <v>52822.308367704201</v>
      </c>
    </row>
    <row r="465" spans="1:50" x14ac:dyDescent="0.25">
      <c r="A465" s="2" t="s">
        <v>3654</v>
      </c>
      <c r="B465" s="2">
        <v>629.47689736535006</v>
      </c>
      <c r="C465" s="2">
        <v>15.024316666666699</v>
      </c>
      <c r="D465" s="2" t="s">
        <v>51</v>
      </c>
      <c r="E465" s="2" t="s">
        <v>3655</v>
      </c>
      <c r="F465" s="2">
        <v>252303</v>
      </c>
      <c r="G465" s="3" t="str">
        <f>HYPERLINK("https://cloud.oebiotech.com/#/lm/network/252303", "https://cloud.oebiotech.com/#/lm/network/252303")</f>
        <v>https://cloud.oebiotech.com/#/lm/network/252303</v>
      </c>
      <c r="H465" s="2" t="s">
        <v>3656</v>
      </c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 t="s">
        <v>3657</v>
      </c>
      <c r="T465" s="2" t="s">
        <v>3658</v>
      </c>
      <c r="U465" s="2" t="s">
        <v>56</v>
      </c>
      <c r="V465" s="2" t="s">
        <v>145</v>
      </c>
      <c r="W465" s="2" t="s">
        <v>187</v>
      </c>
      <c r="X465" s="2" t="s">
        <v>59</v>
      </c>
      <c r="Y465" s="2">
        <v>55.5</v>
      </c>
      <c r="Z465" s="2">
        <v>89.2</v>
      </c>
      <c r="AA465" s="2" t="s">
        <v>3659</v>
      </c>
      <c r="AB465" s="2" t="s">
        <v>3660</v>
      </c>
      <c r="AC465" s="2">
        <v>-1.03458313600461</v>
      </c>
      <c r="AD465" s="2"/>
      <c r="AE465" s="2">
        <v>1.0947295175701599</v>
      </c>
      <c r="AF465" s="2">
        <v>281337.63268645998</v>
      </c>
      <c r="AG465" s="2">
        <v>238054.39295118101</v>
      </c>
      <c r="AH465" s="5">
        <v>1.1818207981742801</v>
      </c>
      <c r="AI465" s="5">
        <v>0.241011293395929</v>
      </c>
      <c r="AJ465" s="5" t="s">
        <v>139</v>
      </c>
      <c r="AK465" s="2">
        <v>0.61384398133944595</v>
      </c>
      <c r="AL465" s="2">
        <v>0.80778469542020503</v>
      </c>
      <c r="AM465" s="2">
        <v>263183.48159233999</v>
      </c>
      <c r="AN465" s="2">
        <v>521636.37654627702</v>
      </c>
      <c r="AO465" s="2">
        <v>358268.86479000503</v>
      </c>
      <c r="AP465" s="2">
        <v>158423.156600777</v>
      </c>
      <c r="AQ465" s="2">
        <v>257546.24220370699</v>
      </c>
      <c r="AR465" s="2">
        <v>128967.674385652</v>
      </c>
      <c r="AS465" s="2">
        <v>25592.754785975001</v>
      </c>
      <c r="AT465" s="2">
        <v>331902.03507057601</v>
      </c>
      <c r="AU465" s="2">
        <v>384694.064159245</v>
      </c>
      <c r="AV465" s="2">
        <v>366733.10728351102</v>
      </c>
      <c r="AW465" s="2">
        <v>154833.29436284001</v>
      </c>
      <c r="AX465" s="2">
        <v>164571.10204494101</v>
      </c>
    </row>
    <row r="466" spans="1:50" x14ac:dyDescent="0.25">
      <c r="A466" s="2" t="s">
        <v>3661</v>
      </c>
      <c r="B466" s="2">
        <v>508.34178451909997</v>
      </c>
      <c r="C466" s="2">
        <v>10.5512333333333</v>
      </c>
      <c r="D466" s="2" t="s">
        <v>51</v>
      </c>
      <c r="E466" s="2" t="s">
        <v>3662</v>
      </c>
      <c r="F466" s="2">
        <v>19821</v>
      </c>
      <c r="G466" s="3" t="str">
        <f>HYPERLINK("https://cloud.oebiotech.com/#/lm/network/19821", "https://cloud.oebiotech.com/#/lm/network/19821")</f>
        <v>https://cloud.oebiotech.com/#/lm/network/19821</v>
      </c>
      <c r="H466" s="2"/>
      <c r="I466" s="2">
        <v>40268</v>
      </c>
      <c r="J466" s="2" t="s">
        <v>3663</v>
      </c>
      <c r="K466" s="2">
        <v>42607442</v>
      </c>
      <c r="L466" s="2"/>
      <c r="M466" s="2"/>
      <c r="N466" s="2"/>
      <c r="O466" s="2">
        <v>73854</v>
      </c>
      <c r="P466" s="2"/>
      <c r="Q466" s="2"/>
      <c r="R466" s="2"/>
      <c r="S466" s="2" t="s">
        <v>3664</v>
      </c>
      <c r="T466" s="2" t="s">
        <v>3665</v>
      </c>
      <c r="U466" s="2" t="s">
        <v>56</v>
      </c>
      <c r="V466" s="2" t="s">
        <v>57</v>
      </c>
      <c r="W466" s="2" t="s">
        <v>58</v>
      </c>
      <c r="X466" s="2" t="s">
        <v>69</v>
      </c>
      <c r="Y466" s="2">
        <v>59.6</v>
      </c>
      <c r="Z466" s="2">
        <v>89.1</v>
      </c>
      <c r="AA466" s="2" t="s">
        <v>60</v>
      </c>
      <c r="AB466" s="2" t="s">
        <v>3666</v>
      </c>
      <c r="AC466" s="2">
        <v>3.9786765510120201</v>
      </c>
      <c r="AD466" s="2"/>
      <c r="AE466" s="2">
        <v>1.08666766131629</v>
      </c>
      <c r="AF466" s="2">
        <v>353420.90353568603</v>
      </c>
      <c r="AG466" s="2">
        <v>449495.46602946799</v>
      </c>
      <c r="AH466" s="4">
        <v>0.78626133130454401</v>
      </c>
      <c r="AI466" s="4">
        <v>-0.34691919116370301</v>
      </c>
      <c r="AJ466" s="4" t="s">
        <v>62</v>
      </c>
      <c r="AK466" s="2">
        <v>0.39533824897054098</v>
      </c>
      <c r="AL466" s="2">
        <v>0.66736513623488802</v>
      </c>
      <c r="AM466" s="2">
        <v>433133.302449362</v>
      </c>
      <c r="AN466" s="2">
        <v>372102.21880178101</v>
      </c>
      <c r="AO466" s="2">
        <v>343801.93673127401</v>
      </c>
      <c r="AP466" s="2">
        <v>311370.20525643497</v>
      </c>
      <c r="AQ466" s="2">
        <v>354444.01568267599</v>
      </c>
      <c r="AR466" s="2">
        <v>305673.74229258997</v>
      </c>
      <c r="AS466" s="2">
        <v>180774.56216226699</v>
      </c>
      <c r="AT466" s="2">
        <v>147894.679509204</v>
      </c>
      <c r="AU466" s="2">
        <v>800257.24474758597</v>
      </c>
      <c r="AV466" s="2">
        <v>550111.97588487098</v>
      </c>
      <c r="AW466" s="2">
        <v>644659.04624271498</v>
      </c>
      <c r="AX466" s="2">
        <v>373275.28763016697</v>
      </c>
    </row>
    <row r="467" spans="1:50" x14ac:dyDescent="0.25">
      <c r="A467" s="2" t="s">
        <v>3667</v>
      </c>
      <c r="B467" s="2">
        <v>564.36077340151803</v>
      </c>
      <c r="C467" s="2">
        <v>4.6064833333333297</v>
      </c>
      <c r="D467" s="2" t="s">
        <v>51</v>
      </c>
      <c r="E467" s="2" t="s">
        <v>3668</v>
      </c>
      <c r="F467" s="2">
        <v>35861</v>
      </c>
      <c r="G467" s="3" t="str">
        <f>HYPERLINK("https://cloud.oebiotech.com/#/lm/network/35861", "https://cloud.oebiotech.com/#/lm/network/35861")</f>
        <v>https://cloud.oebiotech.com/#/lm/network/35861</v>
      </c>
      <c r="H467" s="2"/>
      <c r="I467" s="2"/>
      <c r="J467" s="2" t="s">
        <v>3669</v>
      </c>
      <c r="K467" s="2"/>
      <c r="L467" s="2"/>
      <c r="M467" s="2"/>
      <c r="N467" s="2"/>
      <c r="O467" s="2"/>
      <c r="P467" s="2"/>
      <c r="Q467" s="2"/>
      <c r="R467" s="2"/>
      <c r="S467" s="2" t="s">
        <v>3670</v>
      </c>
      <c r="T467" s="2" t="s">
        <v>3671</v>
      </c>
      <c r="U467" s="2" t="s">
        <v>56</v>
      </c>
      <c r="V467" s="2" t="s">
        <v>177</v>
      </c>
      <c r="W467" s="2" t="s">
        <v>394</v>
      </c>
      <c r="X467" s="2" t="s">
        <v>147</v>
      </c>
      <c r="Y467" s="2">
        <v>41.9</v>
      </c>
      <c r="Z467" s="2">
        <v>15.6</v>
      </c>
      <c r="AA467" s="2" t="s">
        <v>148</v>
      </c>
      <c r="AB467" s="2" t="s">
        <v>3672</v>
      </c>
      <c r="AC467" s="2">
        <v>0.73492652065032404</v>
      </c>
      <c r="AD467" s="2"/>
      <c r="AE467" s="2">
        <v>1.08555635286346</v>
      </c>
      <c r="AF467" s="2">
        <v>139951.579844836</v>
      </c>
      <c r="AG467" s="2">
        <v>68189.967790147901</v>
      </c>
      <c r="AH467" s="5">
        <v>2.0523778552811698</v>
      </c>
      <c r="AI467" s="5">
        <v>1.0372963643544999</v>
      </c>
      <c r="AJ467" s="5" t="s">
        <v>139</v>
      </c>
      <c r="AK467" s="2">
        <v>0.221426952052375</v>
      </c>
      <c r="AL467" s="2">
        <v>0.54729884027266895</v>
      </c>
      <c r="AM467" s="2">
        <v>33153.323442267298</v>
      </c>
      <c r="AN467" s="2">
        <v>38945.448735428603</v>
      </c>
      <c r="AO467" s="2">
        <v>175842.20484259701</v>
      </c>
      <c r="AP467" s="2">
        <v>71260.653301732906</v>
      </c>
      <c r="AQ467" s="2">
        <v>384693.17125650402</v>
      </c>
      <c r="AR467" s="2">
        <v>135814.67749048601</v>
      </c>
      <c r="AS467" s="2">
        <v>59019.338748870403</v>
      </c>
      <c r="AT467" s="2">
        <v>116566.213489192</v>
      </c>
      <c r="AU467" s="2">
        <v>48085.978071618098</v>
      </c>
      <c r="AV467" s="2">
        <v>57448.174394076399</v>
      </c>
      <c r="AW467" s="2">
        <v>51042.0130225428</v>
      </c>
      <c r="AX467" s="2">
        <v>76978.089014587502</v>
      </c>
    </row>
    <row r="468" spans="1:50" x14ac:dyDescent="0.25">
      <c r="A468" s="2" t="s">
        <v>1331</v>
      </c>
      <c r="B468" s="2">
        <v>397.198901331456</v>
      </c>
      <c r="C468" s="2">
        <v>9.2789833333333291</v>
      </c>
      <c r="D468" s="2" t="s">
        <v>51</v>
      </c>
      <c r="E468" s="2" t="s">
        <v>1332</v>
      </c>
      <c r="F468" s="2">
        <v>53003</v>
      </c>
      <c r="G468" s="3" t="str">
        <f>HYPERLINK("https://cloud.oebiotech.com/#/lm/network/53003", "https://cloud.oebiotech.com/#/lm/network/53003")</f>
        <v>https://cloud.oebiotech.com/#/lm/network/53003</v>
      </c>
      <c r="H468" s="2" t="s">
        <v>1333</v>
      </c>
      <c r="I468" s="2">
        <v>69451</v>
      </c>
      <c r="J468" s="2"/>
      <c r="K468" s="2">
        <v>443872</v>
      </c>
      <c r="L468" s="2" t="s">
        <v>1334</v>
      </c>
      <c r="M468" s="2"/>
      <c r="N468" s="2"/>
      <c r="O468" s="2">
        <v>31547</v>
      </c>
      <c r="P468" s="2"/>
      <c r="Q468" s="2"/>
      <c r="R468" s="2" t="s">
        <v>1335</v>
      </c>
      <c r="S468" s="2" t="s">
        <v>1336</v>
      </c>
      <c r="T468" s="2" t="s">
        <v>1337</v>
      </c>
      <c r="U468" s="2" t="s">
        <v>56</v>
      </c>
      <c r="V468" s="2" t="s">
        <v>283</v>
      </c>
      <c r="W468" s="2" t="s">
        <v>1338</v>
      </c>
      <c r="X468" s="2" t="s">
        <v>147</v>
      </c>
      <c r="Y468" s="2">
        <v>39.1</v>
      </c>
      <c r="Z468" s="2">
        <v>4.6399999999999997</v>
      </c>
      <c r="AA468" s="2" t="s">
        <v>1339</v>
      </c>
      <c r="AB468" s="2" t="s">
        <v>1340</v>
      </c>
      <c r="AC468" s="2">
        <v>-4.9470715466696902</v>
      </c>
      <c r="AD468" s="2"/>
      <c r="AE468" s="2">
        <v>1.0854340446991599</v>
      </c>
      <c r="AF468" s="2">
        <v>60223.920730138998</v>
      </c>
      <c r="AG468" s="2">
        <v>35477.602614068303</v>
      </c>
      <c r="AH468" s="5">
        <v>1.6975194571421699</v>
      </c>
      <c r="AI468" s="5">
        <v>0.76342811088335005</v>
      </c>
      <c r="AJ468" s="5" t="s">
        <v>139</v>
      </c>
      <c r="AK468" s="2">
        <v>2.7797243355493099E-2</v>
      </c>
      <c r="AL468" s="2">
        <v>0.25546785418198498</v>
      </c>
      <c r="AM468" s="2">
        <v>101305.079979266</v>
      </c>
      <c r="AN468" s="2">
        <v>53061.521746836501</v>
      </c>
      <c r="AO468" s="2">
        <v>59507.7174182862</v>
      </c>
      <c r="AP468" s="2">
        <v>49618.945688814601</v>
      </c>
      <c r="AQ468" s="2">
        <v>48949.014245052203</v>
      </c>
      <c r="AR468" s="2">
        <v>48901.245302578602</v>
      </c>
      <c r="AS468" s="2">
        <v>50308.992983811899</v>
      </c>
      <c r="AT468" s="2">
        <v>29469.5860854231</v>
      </c>
      <c r="AU468" s="2">
        <v>43489.013984599398</v>
      </c>
      <c r="AV468" s="2">
        <v>18819.7820379066</v>
      </c>
      <c r="AW468" s="2">
        <v>29379.205940851902</v>
      </c>
      <c r="AX468" s="2">
        <v>41399.034651816903</v>
      </c>
    </row>
    <row r="469" spans="1:50" x14ac:dyDescent="0.25">
      <c r="A469" s="2" t="s">
        <v>3673</v>
      </c>
      <c r="B469" s="2">
        <v>614.34652142332402</v>
      </c>
      <c r="C469" s="2">
        <v>10.6243</v>
      </c>
      <c r="D469" s="2" t="s">
        <v>51</v>
      </c>
      <c r="E469" s="2" t="s">
        <v>3674</v>
      </c>
      <c r="F469" s="2">
        <v>19892</v>
      </c>
      <c r="G469" s="3" t="str">
        <f>HYPERLINK("https://cloud.oebiotech.com/#/lm/network/19892", "https://cloud.oebiotech.com/#/lm/network/19892")</f>
        <v>https://cloud.oebiotech.com/#/lm/network/19892</v>
      </c>
      <c r="H469" s="2" t="s">
        <v>3675</v>
      </c>
      <c r="I469" s="2">
        <v>61712</v>
      </c>
      <c r="J469" s="2" t="s">
        <v>3676</v>
      </c>
      <c r="K469" s="2">
        <v>53480475</v>
      </c>
      <c r="L469" s="2" t="s">
        <v>691</v>
      </c>
      <c r="M469" s="2" t="s">
        <v>692</v>
      </c>
      <c r="N469" s="2" t="s">
        <v>693</v>
      </c>
      <c r="O469" s="2">
        <v>133734</v>
      </c>
      <c r="P469" s="2"/>
      <c r="Q469" s="2"/>
      <c r="R469" s="2"/>
      <c r="S469" s="2" t="s">
        <v>3677</v>
      </c>
      <c r="T469" s="2" t="s">
        <v>3678</v>
      </c>
      <c r="U469" s="2" t="s">
        <v>56</v>
      </c>
      <c r="V469" s="2" t="s">
        <v>57</v>
      </c>
      <c r="W469" s="2" t="s">
        <v>58</v>
      </c>
      <c r="X469" s="2" t="s">
        <v>69</v>
      </c>
      <c r="Y469" s="2">
        <v>67.599999999999994</v>
      </c>
      <c r="Z469" s="2">
        <v>79.5</v>
      </c>
      <c r="AA469" s="2" t="s">
        <v>218</v>
      </c>
      <c r="AB469" s="2" t="s">
        <v>3679</v>
      </c>
      <c r="AC469" s="2">
        <v>0.31424352020601398</v>
      </c>
      <c r="AD469" s="2"/>
      <c r="AE469" s="2">
        <v>1.0847298573455699</v>
      </c>
      <c r="AF469" s="2">
        <v>78470.757638682204</v>
      </c>
      <c r="AG469" s="2">
        <v>117512.97531185301</v>
      </c>
      <c r="AH469" s="4">
        <v>0.667762495421792</v>
      </c>
      <c r="AI469" s="4">
        <v>-0.58259302752471298</v>
      </c>
      <c r="AJ469" s="4" t="s">
        <v>62</v>
      </c>
      <c r="AK469" s="2">
        <v>0.152729234688841</v>
      </c>
      <c r="AL469" s="2">
        <v>0.47381118742890099</v>
      </c>
      <c r="AM469" s="2">
        <v>115043.793264561</v>
      </c>
      <c r="AN469" s="2">
        <v>79884.354172785504</v>
      </c>
      <c r="AO469" s="2">
        <v>51486.213928631601</v>
      </c>
      <c r="AP469" s="2">
        <v>80472.2131066773</v>
      </c>
      <c r="AQ469" s="2">
        <v>69676.499861718301</v>
      </c>
      <c r="AR469" s="2">
        <v>74261.471497719598</v>
      </c>
      <c r="AS469" s="2">
        <v>69070.853532579305</v>
      </c>
      <c r="AT469" s="2">
        <v>43531.604341618797</v>
      </c>
      <c r="AU469" s="2">
        <v>89380.446376647495</v>
      </c>
      <c r="AV469" s="2">
        <v>188404.575934469</v>
      </c>
      <c r="AW469" s="2">
        <v>164862.639696581</v>
      </c>
      <c r="AX469" s="2">
        <v>149827.73198922101</v>
      </c>
    </row>
    <row r="470" spans="1:50" x14ac:dyDescent="0.25">
      <c r="A470" s="2" t="s">
        <v>3680</v>
      </c>
      <c r="B470" s="2">
        <v>377.23385718894201</v>
      </c>
      <c r="C470" s="2">
        <v>7.2379833333333297</v>
      </c>
      <c r="D470" s="2" t="s">
        <v>51</v>
      </c>
      <c r="E470" s="2" t="s">
        <v>3681</v>
      </c>
      <c r="F470" s="2">
        <v>277720</v>
      </c>
      <c r="G470" s="3" t="str">
        <f>HYPERLINK("https://cloud.oebiotech.com/#/lm/network/277720", "https://cloud.oebiotech.com/#/lm/network/277720")</f>
        <v>https://cloud.oebiotech.com/#/lm/network/277720</v>
      </c>
      <c r="H470" s="2"/>
      <c r="I470" s="2">
        <v>69710</v>
      </c>
      <c r="J470" s="2"/>
      <c r="K470" s="2">
        <v>104845</v>
      </c>
      <c r="L470" s="2" t="s">
        <v>3682</v>
      </c>
      <c r="M470" s="2"/>
      <c r="N470" s="2"/>
      <c r="O470" s="2"/>
      <c r="P470" s="2"/>
      <c r="Q470" s="2"/>
      <c r="R470" s="2" t="s">
        <v>3683</v>
      </c>
      <c r="S470" s="2" t="s">
        <v>3684</v>
      </c>
      <c r="T470" s="2" t="s">
        <v>3685</v>
      </c>
      <c r="U470" s="2" t="s">
        <v>56</v>
      </c>
      <c r="V470" s="2" t="s">
        <v>283</v>
      </c>
      <c r="W470" s="2" t="s">
        <v>3686</v>
      </c>
      <c r="X470" s="2" t="s">
        <v>83</v>
      </c>
      <c r="Y470" s="2">
        <v>48.3</v>
      </c>
      <c r="Z470" s="2">
        <v>0</v>
      </c>
      <c r="AA470" s="2" t="s">
        <v>218</v>
      </c>
      <c r="AB470" s="2" t="s">
        <v>3687</v>
      </c>
      <c r="AC470" s="2">
        <v>1.53335380022757</v>
      </c>
      <c r="AD470" s="2"/>
      <c r="AE470" s="2">
        <v>1.0838902682354199</v>
      </c>
      <c r="AF470" s="2">
        <v>61331.391114616999</v>
      </c>
      <c r="AG470" s="2">
        <v>33988.291072969703</v>
      </c>
      <c r="AH470" s="5">
        <v>1.80448587376589</v>
      </c>
      <c r="AI470" s="5">
        <v>0.85158784928797304</v>
      </c>
      <c r="AJ470" s="5" t="s">
        <v>139</v>
      </c>
      <c r="AK470" s="2">
        <v>6.7103158337527002E-2</v>
      </c>
      <c r="AL470" s="2">
        <v>0.34192828169447498</v>
      </c>
      <c r="AM470" s="2">
        <v>104990.526339</v>
      </c>
      <c r="AN470" s="2">
        <v>70327.485725684804</v>
      </c>
      <c r="AO470" s="2">
        <v>52222.697502138399</v>
      </c>
      <c r="AP470" s="2">
        <v>45818.754889088697</v>
      </c>
      <c r="AQ470" s="2">
        <v>44540.165116857403</v>
      </c>
      <c r="AR470" s="2">
        <v>50088.717114932799</v>
      </c>
      <c r="AS470" s="2">
        <v>57134.5959005357</v>
      </c>
      <c r="AT470" s="2">
        <v>14667.387522708499</v>
      </c>
      <c r="AU470" s="2">
        <v>61859.768904600904</v>
      </c>
      <c r="AV470" s="2">
        <v>8971.7013448084199</v>
      </c>
      <c r="AW470" s="2">
        <v>19127.3111014272</v>
      </c>
      <c r="AX470" s="2">
        <v>42168.981663737497</v>
      </c>
    </row>
    <row r="471" spans="1:50" x14ac:dyDescent="0.25">
      <c r="A471" s="2" t="s">
        <v>1341</v>
      </c>
      <c r="B471" s="2">
        <v>638.40491782102401</v>
      </c>
      <c r="C471" s="2">
        <v>11.2897</v>
      </c>
      <c r="D471" s="2" t="s">
        <v>51</v>
      </c>
      <c r="E471" s="2" t="s">
        <v>1342</v>
      </c>
      <c r="F471" s="2">
        <v>28044</v>
      </c>
      <c r="G471" s="3" t="str">
        <f>HYPERLINK("https://cloud.oebiotech.com/#/lm/network/28044", "https://cloud.oebiotech.com/#/lm/network/28044")</f>
        <v>https://cloud.oebiotech.com/#/lm/network/28044</v>
      </c>
      <c r="H471" s="2"/>
      <c r="I471" s="2"/>
      <c r="J471" s="2" t="s">
        <v>1343</v>
      </c>
      <c r="K471" s="2">
        <v>134812490</v>
      </c>
      <c r="L471" s="2"/>
      <c r="M471" s="2"/>
      <c r="N471" s="2"/>
      <c r="O471" s="2"/>
      <c r="P471" s="2"/>
      <c r="Q471" s="2"/>
      <c r="R471" s="2"/>
      <c r="S471" s="2" t="s">
        <v>1344</v>
      </c>
      <c r="T471" s="2" t="s">
        <v>1345</v>
      </c>
      <c r="U471" s="2" t="s">
        <v>56</v>
      </c>
      <c r="V471" s="2" t="s">
        <v>57</v>
      </c>
      <c r="W471" s="2" t="s">
        <v>702</v>
      </c>
      <c r="X471" s="2" t="s">
        <v>147</v>
      </c>
      <c r="Y471" s="2">
        <v>38</v>
      </c>
      <c r="Z471" s="2">
        <v>0</v>
      </c>
      <c r="AA471" s="2" t="s">
        <v>512</v>
      </c>
      <c r="AB471" s="2" t="s">
        <v>1346</v>
      </c>
      <c r="AC471" s="2">
        <v>3.47799077930613</v>
      </c>
      <c r="AD471" s="2"/>
      <c r="AE471" s="2">
        <v>1.08326487901569</v>
      </c>
      <c r="AF471" s="2">
        <v>36192.776430501603</v>
      </c>
      <c r="AG471" s="2">
        <v>9609.2225677027309</v>
      </c>
      <c r="AH471" s="5">
        <v>3.7664624974082699</v>
      </c>
      <c r="AI471" s="5">
        <v>1.9132101645164299</v>
      </c>
      <c r="AJ471" s="5" t="s">
        <v>139</v>
      </c>
      <c r="AK471" s="2">
        <v>2.6310912045187498E-2</v>
      </c>
      <c r="AL471" s="2">
        <v>0.24993261569964501</v>
      </c>
      <c r="AM471" s="2">
        <v>64683.661920735198</v>
      </c>
      <c r="AN471" s="2">
        <v>62019.691373429698</v>
      </c>
      <c r="AO471" s="2">
        <v>14510.2632167721</v>
      </c>
      <c r="AP471" s="2">
        <v>36337.090055557703</v>
      </c>
      <c r="AQ471" s="2">
        <v>2372.61696957304</v>
      </c>
      <c r="AR471" s="2">
        <v>37233.335046941698</v>
      </c>
      <c r="AS471" s="2">
        <v>9598.9222646136404</v>
      </c>
      <c r="AT471" s="2">
        <v>11066.2628532124</v>
      </c>
      <c r="AU471" s="2">
        <v>8805.9399682614094</v>
      </c>
      <c r="AV471" s="2">
        <v>11163.044509944</v>
      </c>
      <c r="AW471" s="2">
        <v>4961.7800249994598</v>
      </c>
      <c r="AX471" s="2">
        <v>12059.385785185499</v>
      </c>
    </row>
    <row r="472" spans="1:50" x14ac:dyDescent="0.25">
      <c r="A472" s="2" t="s">
        <v>1347</v>
      </c>
      <c r="B472" s="2">
        <v>367.21280726492603</v>
      </c>
      <c r="C472" s="2">
        <v>6.5805166666666697</v>
      </c>
      <c r="D472" s="2" t="s">
        <v>51</v>
      </c>
      <c r="E472" s="2" t="s">
        <v>1348</v>
      </c>
      <c r="F472" s="2">
        <v>7906</v>
      </c>
      <c r="G472" s="3" t="str">
        <f>HYPERLINK("https://cloud.oebiotech.com/#/lm/network/7906", "https://cloud.oebiotech.com/#/lm/network/7906")</f>
        <v>https://cloud.oebiotech.com/#/lm/network/7906</v>
      </c>
      <c r="H472" s="2"/>
      <c r="I472" s="2"/>
      <c r="J472" s="2" t="s">
        <v>1349</v>
      </c>
      <c r="K472" s="2">
        <v>132967553</v>
      </c>
      <c r="L472" s="2"/>
      <c r="M472" s="2"/>
      <c r="N472" s="2"/>
      <c r="O472" s="2"/>
      <c r="P472" s="2"/>
      <c r="Q472" s="2"/>
      <c r="R472" s="2"/>
      <c r="S472" s="2" t="s">
        <v>1350</v>
      </c>
      <c r="T472" s="2" t="s">
        <v>1351</v>
      </c>
      <c r="U472" s="2" t="s">
        <v>240</v>
      </c>
      <c r="V472" s="2" t="s">
        <v>240</v>
      </c>
      <c r="W472" s="2" t="s">
        <v>240</v>
      </c>
      <c r="X472" s="2" t="s">
        <v>59</v>
      </c>
      <c r="Y472" s="2">
        <v>52.8</v>
      </c>
      <c r="Z472" s="2">
        <v>73</v>
      </c>
      <c r="AA472" s="2" t="s">
        <v>786</v>
      </c>
      <c r="AB472" s="2" t="s">
        <v>1061</v>
      </c>
      <c r="AC472" s="2">
        <v>3.3630972963092498</v>
      </c>
      <c r="AD472" s="2"/>
      <c r="AE472" s="2">
        <v>1.0808184729216299</v>
      </c>
      <c r="AF472" s="2">
        <v>50393.784316436802</v>
      </c>
      <c r="AG472" s="2">
        <v>24065.498376570598</v>
      </c>
      <c r="AH472" s="5">
        <v>2.09402620830403</v>
      </c>
      <c r="AI472" s="5">
        <v>1.06627949878908</v>
      </c>
      <c r="AJ472" s="5" t="s">
        <v>139</v>
      </c>
      <c r="AK472" s="2">
        <v>2.7795807958483601E-3</v>
      </c>
      <c r="AL472" s="2">
        <v>0.107999348234493</v>
      </c>
      <c r="AM472" s="2">
        <v>40011.3509649353</v>
      </c>
      <c r="AN472" s="2">
        <v>70932.438819176299</v>
      </c>
      <c r="AO472" s="2">
        <v>56816.643892596898</v>
      </c>
      <c r="AP472" s="2">
        <v>49363.542280467802</v>
      </c>
      <c r="AQ472" s="2">
        <v>37084.821363635798</v>
      </c>
      <c r="AR472" s="2">
        <v>48153.908577808499</v>
      </c>
      <c r="AS472" s="2">
        <v>38698.680878266998</v>
      </c>
      <c r="AT472" s="2">
        <v>17746.500196295601</v>
      </c>
      <c r="AU472" s="2">
        <v>33264.1948674784</v>
      </c>
      <c r="AV472" s="2">
        <v>8427.6060513362099</v>
      </c>
      <c r="AW472" s="2">
        <v>22340.9033934646</v>
      </c>
      <c r="AX472" s="2">
        <v>23915.1048725816</v>
      </c>
    </row>
    <row r="473" spans="1:50" x14ac:dyDescent="0.25">
      <c r="A473" s="2" t="s">
        <v>3688</v>
      </c>
      <c r="B473" s="2">
        <v>604.32613832674303</v>
      </c>
      <c r="C473" s="2">
        <v>8.94478333333333</v>
      </c>
      <c r="D473" s="2" t="s">
        <v>51</v>
      </c>
      <c r="E473" s="2" t="s">
        <v>3689</v>
      </c>
      <c r="F473" s="2">
        <v>27870</v>
      </c>
      <c r="G473" s="3" t="str">
        <f>HYPERLINK("https://cloud.oebiotech.com/#/lm/network/27870", "https://cloud.oebiotech.com/#/lm/network/27870")</f>
        <v>https://cloud.oebiotech.com/#/lm/network/27870</v>
      </c>
      <c r="H473" s="2"/>
      <c r="I473" s="2"/>
      <c r="J473" s="2" t="s">
        <v>3690</v>
      </c>
      <c r="K473" s="2">
        <v>129626803</v>
      </c>
      <c r="L473" s="2"/>
      <c r="M473" s="2"/>
      <c r="N473" s="2"/>
      <c r="O473" s="2">
        <v>137583</v>
      </c>
      <c r="P473" s="2"/>
      <c r="Q473" s="2"/>
      <c r="R473" s="2"/>
      <c r="S473" s="2" t="s">
        <v>3691</v>
      </c>
      <c r="T473" s="2" t="s">
        <v>3692</v>
      </c>
      <c r="U473" s="2" t="s">
        <v>56</v>
      </c>
      <c r="V473" s="2" t="s">
        <v>57</v>
      </c>
      <c r="W473" s="2" t="s">
        <v>58</v>
      </c>
      <c r="X473" s="2" t="s">
        <v>69</v>
      </c>
      <c r="Y473" s="2">
        <v>66.099999999999994</v>
      </c>
      <c r="Z473" s="2">
        <v>99.5</v>
      </c>
      <c r="AA473" s="2" t="s">
        <v>218</v>
      </c>
      <c r="AB473" s="2" t="s">
        <v>3693</v>
      </c>
      <c r="AC473" s="2">
        <v>0.94982287423742195</v>
      </c>
      <c r="AD473" s="2"/>
      <c r="AE473" s="2">
        <v>1.0784294456253201</v>
      </c>
      <c r="AF473" s="2">
        <v>187376.95475069401</v>
      </c>
      <c r="AG473" s="2">
        <v>151278.40610491001</v>
      </c>
      <c r="AH473" s="5">
        <v>1.23862327463147</v>
      </c>
      <c r="AI473" s="5">
        <v>0.30873746071104902</v>
      </c>
      <c r="AJ473" s="5" t="s">
        <v>139</v>
      </c>
      <c r="AK473" s="2">
        <v>0.181856954573863</v>
      </c>
      <c r="AL473" s="2">
        <v>0.50503247306174104</v>
      </c>
      <c r="AM473" s="2">
        <v>233763.76717532799</v>
      </c>
      <c r="AN473" s="2">
        <v>205340.10537901899</v>
      </c>
      <c r="AO473" s="2">
        <v>143627.634183271</v>
      </c>
      <c r="AP473" s="2">
        <v>155041.57209030399</v>
      </c>
      <c r="AQ473" s="2">
        <v>173279.67846394001</v>
      </c>
      <c r="AR473" s="2">
        <v>213208.971212301</v>
      </c>
      <c r="AS473" s="2">
        <v>166703.587143446</v>
      </c>
      <c r="AT473" s="2">
        <v>102718.80950144101</v>
      </c>
      <c r="AU473" s="2">
        <v>241595.78016764999</v>
      </c>
      <c r="AV473" s="2">
        <v>135678.692117256</v>
      </c>
      <c r="AW473" s="2">
        <v>110148.895690138</v>
      </c>
      <c r="AX473" s="2">
        <v>150824.67200953001</v>
      </c>
    </row>
    <row r="474" spans="1:50" x14ac:dyDescent="0.25">
      <c r="A474" s="2" t="s">
        <v>3694</v>
      </c>
      <c r="B474" s="2">
        <v>361.238691862167</v>
      </c>
      <c r="C474" s="2">
        <v>10.0576666666667</v>
      </c>
      <c r="D474" s="2" t="s">
        <v>51</v>
      </c>
      <c r="E474" s="2" t="s">
        <v>3695</v>
      </c>
      <c r="F474" s="2">
        <v>48650</v>
      </c>
      <c r="G474" s="3" t="str">
        <f>HYPERLINK("https://cloud.oebiotech.com/#/lm/network/48650", "https://cloud.oebiotech.com/#/lm/network/48650")</f>
        <v>https://cloud.oebiotech.com/#/lm/network/48650</v>
      </c>
      <c r="H474" s="2" t="s">
        <v>3696</v>
      </c>
      <c r="I474" s="2">
        <v>58342</v>
      </c>
      <c r="J474" s="2"/>
      <c r="K474" s="2">
        <v>66255</v>
      </c>
      <c r="L474" s="2" t="s">
        <v>3697</v>
      </c>
      <c r="M474" s="2"/>
      <c r="N474" s="2"/>
      <c r="O474" s="2"/>
      <c r="P474" s="2"/>
      <c r="Q474" s="2"/>
      <c r="R474" s="2" t="s">
        <v>3698</v>
      </c>
      <c r="S474" s="2" t="s">
        <v>3699</v>
      </c>
      <c r="T474" s="2" t="s">
        <v>3700</v>
      </c>
      <c r="U474" s="2" t="s">
        <v>56</v>
      </c>
      <c r="V474" s="2" t="s">
        <v>283</v>
      </c>
      <c r="W474" s="2" t="s">
        <v>3686</v>
      </c>
      <c r="X474" s="2" t="s">
        <v>83</v>
      </c>
      <c r="Y474" s="2">
        <v>52.7</v>
      </c>
      <c r="Z474" s="2">
        <v>15.8</v>
      </c>
      <c r="AA474" s="2" t="s">
        <v>218</v>
      </c>
      <c r="AB474" s="2" t="s">
        <v>3701</v>
      </c>
      <c r="AC474" s="2">
        <v>0.81813375560454604</v>
      </c>
      <c r="AD474" s="2"/>
      <c r="AE474" s="2">
        <v>1.07607974262212</v>
      </c>
      <c r="AF474" s="2">
        <v>88133.803621081403</v>
      </c>
      <c r="AG474" s="2">
        <v>53598.432821788803</v>
      </c>
      <c r="AH474" s="5">
        <v>1.64433545872732</v>
      </c>
      <c r="AI474" s="5">
        <v>0.71750465137511299</v>
      </c>
      <c r="AJ474" s="5" t="s">
        <v>139</v>
      </c>
      <c r="AK474" s="2">
        <v>0.14451182278095101</v>
      </c>
      <c r="AL474" s="2">
        <v>0.46795150714190697</v>
      </c>
      <c r="AM474" s="2">
        <v>164999.49227746899</v>
      </c>
      <c r="AN474" s="2">
        <v>57467.982134496102</v>
      </c>
      <c r="AO474" s="2">
        <v>37486.826929769602</v>
      </c>
      <c r="AP474" s="2">
        <v>62905.129369382397</v>
      </c>
      <c r="AQ474" s="2">
        <v>84197.253673617204</v>
      </c>
      <c r="AR474" s="2">
        <v>121746.137341754</v>
      </c>
      <c r="AS474" s="2">
        <v>55436.015359509103</v>
      </c>
      <c r="AT474" s="2">
        <v>26843.5231384369</v>
      </c>
      <c r="AU474" s="2">
        <v>99835.918035297596</v>
      </c>
      <c r="AV474" s="2">
        <v>42907.921805118502</v>
      </c>
      <c r="AW474" s="2">
        <v>53566.232069654303</v>
      </c>
      <c r="AX474" s="2">
        <v>43000.986522716303</v>
      </c>
    </row>
    <row r="475" spans="1:50" x14ac:dyDescent="0.25">
      <c r="A475" s="2" t="s">
        <v>3702</v>
      </c>
      <c r="B475" s="2">
        <v>667.533317864629</v>
      </c>
      <c r="C475" s="2">
        <v>12.6872166666667</v>
      </c>
      <c r="D475" s="2" t="s">
        <v>51</v>
      </c>
      <c r="E475" s="2" t="s">
        <v>3703</v>
      </c>
      <c r="F475" s="2">
        <v>49396</v>
      </c>
      <c r="G475" s="3" t="str">
        <f>HYPERLINK("https://cloud.oebiotech.com/#/lm/network/49396", "https://cloud.oebiotech.com/#/lm/network/49396")</f>
        <v>https://cloud.oebiotech.com/#/lm/network/49396</v>
      </c>
      <c r="H475" s="2" t="s">
        <v>3704</v>
      </c>
      <c r="I475" s="2">
        <v>59149</v>
      </c>
      <c r="J475" s="2"/>
      <c r="K475" s="2">
        <v>53478439</v>
      </c>
      <c r="L475" s="2"/>
      <c r="M475" s="2"/>
      <c r="N475" s="2"/>
      <c r="O475" s="2">
        <v>89805</v>
      </c>
      <c r="P475" s="2"/>
      <c r="Q475" s="2"/>
      <c r="R475" s="2"/>
      <c r="S475" s="2" t="s">
        <v>3705</v>
      </c>
      <c r="T475" s="2" t="s">
        <v>3706</v>
      </c>
      <c r="U475" s="2" t="s">
        <v>56</v>
      </c>
      <c r="V475" s="2" t="s">
        <v>3215</v>
      </c>
      <c r="W475" s="2" t="s">
        <v>3216</v>
      </c>
      <c r="X475" s="2" t="s">
        <v>147</v>
      </c>
      <c r="Y475" s="2">
        <v>38.200000000000003</v>
      </c>
      <c r="Z475" s="2">
        <v>4.7</v>
      </c>
      <c r="AA475" s="2" t="s">
        <v>163</v>
      </c>
      <c r="AB475" s="2" t="s">
        <v>3707</v>
      </c>
      <c r="AC475" s="2">
        <v>3.91733885852359</v>
      </c>
      <c r="AD475" s="2"/>
      <c r="AE475" s="2">
        <v>1.07542572972624</v>
      </c>
      <c r="AF475" s="2">
        <v>38278.947554817598</v>
      </c>
      <c r="AG475" s="2">
        <v>84765.948820375197</v>
      </c>
      <c r="AH475" s="4">
        <v>0.45158401560434702</v>
      </c>
      <c r="AI475" s="4">
        <v>-1.14693367391477</v>
      </c>
      <c r="AJ475" s="4" t="s">
        <v>62</v>
      </c>
      <c r="AK475" s="2">
        <v>6.6553448540674603E-2</v>
      </c>
      <c r="AL475" s="2">
        <v>0.34192828169447498</v>
      </c>
      <c r="AM475" s="2">
        <v>51448.832669800497</v>
      </c>
      <c r="AN475" s="2">
        <v>24925.303090022499</v>
      </c>
      <c r="AO475" s="2">
        <v>29065.395883384099</v>
      </c>
      <c r="AP475" s="2">
        <v>15549.941354914499</v>
      </c>
      <c r="AQ475" s="2">
        <v>83751.414177750907</v>
      </c>
      <c r="AR475" s="2">
        <v>24932.798153033102</v>
      </c>
      <c r="AS475" s="2">
        <v>79668.6920605552</v>
      </c>
      <c r="AT475" s="2">
        <v>48486.216758980299</v>
      </c>
      <c r="AU475" s="2">
        <v>181561.90757327701</v>
      </c>
      <c r="AV475" s="2">
        <v>67733.682587387797</v>
      </c>
      <c r="AW475" s="2">
        <v>79024.936492155699</v>
      </c>
      <c r="AX475" s="2">
        <v>52120.257449894998</v>
      </c>
    </row>
    <row r="476" spans="1:50" x14ac:dyDescent="0.25">
      <c r="A476" s="2" t="s">
        <v>1352</v>
      </c>
      <c r="B476" s="2">
        <v>334.99548290965703</v>
      </c>
      <c r="C476" s="2">
        <v>13.510733333333301</v>
      </c>
      <c r="D476" s="2" t="s">
        <v>51</v>
      </c>
      <c r="E476" s="2" t="s">
        <v>1353</v>
      </c>
      <c r="F476" s="2">
        <v>199563</v>
      </c>
      <c r="G476" s="3" t="str">
        <f>HYPERLINK("https://cloud.oebiotech.com/#/lm/network/199563", "https://cloud.oebiotech.com/#/lm/network/199563")</f>
        <v>https://cloud.oebiotech.com/#/lm/network/199563</v>
      </c>
      <c r="H476" s="2" t="s">
        <v>1354</v>
      </c>
      <c r="I476" s="2"/>
      <c r="J476" s="2"/>
      <c r="K476" s="2">
        <v>13350568</v>
      </c>
      <c r="L476" s="2"/>
      <c r="M476" s="2"/>
      <c r="N476" s="2"/>
      <c r="O476" s="2"/>
      <c r="P476" s="2"/>
      <c r="Q476" s="2"/>
      <c r="R476" s="2"/>
      <c r="S476" s="2" t="s">
        <v>1355</v>
      </c>
      <c r="T476" s="2" t="s">
        <v>1356</v>
      </c>
      <c r="U476" s="2" t="s">
        <v>1357</v>
      </c>
      <c r="V476" s="2" t="s">
        <v>1358</v>
      </c>
      <c r="W476" s="2" t="s">
        <v>1359</v>
      </c>
      <c r="X476" s="2" t="s">
        <v>147</v>
      </c>
      <c r="Y476" s="2">
        <v>46.1</v>
      </c>
      <c r="Z476" s="2">
        <v>36.9</v>
      </c>
      <c r="AA476" s="2" t="s">
        <v>478</v>
      </c>
      <c r="AB476" s="2" t="s">
        <v>1360</v>
      </c>
      <c r="AC476" s="2">
        <v>2.35514768426156</v>
      </c>
      <c r="AD476" s="2"/>
      <c r="AE476" s="2">
        <v>1.0747649542927</v>
      </c>
      <c r="AF476" s="2">
        <v>126672.081575726</v>
      </c>
      <c r="AG476" s="2">
        <v>150009.18658862801</v>
      </c>
      <c r="AH476" s="4">
        <v>0.84442882770307004</v>
      </c>
      <c r="AI476" s="4">
        <v>-0.24395226362727701</v>
      </c>
      <c r="AJ476" s="4" t="s">
        <v>62</v>
      </c>
      <c r="AK476" s="2">
        <v>1.9292206065104299E-3</v>
      </c>
      <c r="AL476" s="2">
        <v>0.10025137111515001</v>
      </c>
      <c r="AM476" s="2">
        <v>112444.699520119</v>
      </c>
      <c r="AN476" s="2">
        <v>124949.183004796</v>
      </c>
      <c r="AO476" s="2">
        <v>133121.89792314899</v>
      </c>
      <c r="AP476" s="2">
        <v>126912.421050498</v>
      </c>
      <c r="AQ476" s="2">
        <v>139698.23861611</v>
      </c>
      <c r="AR476" s="2">
        <v>122906.049339687</v>
      </c>
      <c r="AS476" s="2">
        <v>151557.244493101</v>
      </c>
      <c r="AT476" s="2">
        <v>162711.31577773401</v>
      </c>
      <c r="AU476" s="2">
        <v>132167.22376810701</v>
      </c>
      <c r="AV476" s="2">
        <v>155161.649613293</v>
      </c>
      <c r="AW476" s="2">
        <v>148724.24572051899</v>
      </c>
      <c r="AX476" s="2">
        <v>149733.440159016</v>
      </c>
    </row>
    <row r="477" spans="1:50" x14ac:dyDescent="0.25">
      <c r="A477" s="2" t="s">
        <v>3708</v>
      </c>
      <c r="B477" s="2">
        <v>381.20321743171598</v>
      </c>
      <c r="C477" s="2">
        <v>9.6251166666666705</v>
      </c>
      <c r="D477" s="2" t="s">
        <v>51</v>
      </c>
      <c r="E477" s="2" t="s">
        <v>3709</v>
      </c>
      <c r="F477" s="2">
        <v>26102</v>
      </c>
      <c r="G477" s="3" t="str">
        <f>HYPERLINK("https://cloud.oebiotech.com/#/lm/network/26102", "https://cloud.oebiotech.com/#/lm/network/26102")</f>
        <v>https://cloud.oebiotech.com/#/lm/network/26102</v>
      </c>
      <c r="H477" s="2" t="s">
        <v>3710</v>
      </c>
      <c r="I477" s="2">
        <v>82357</v>
      </c>
      <c r="J477" s="2" t="s">
        <v>3711</v>
      </c>
      <c r="K477" s="2">
        <v>52929768</v>
      </c>
      <c r="L477" s="2"/>
      <c r="M477" s="2"/>
      <c r="N477" s="2"/>
      <c r="O477" s="2"/>
      <c r="P477" s="2"/>
      <c r="Q477" s="2"/>
      <c r="R477" s="2"/>
      <c r="S477" s="2" t="s">
        <v>3712</v>
      </c>
      <c r="T477" s="2" t="s">
        <v>3713</v>
      </c>
      <c r="U477" s="2" t="s">
        <v>56</v>
      </c>
      <c r="V477" s="2" t="s">
        <v>57</v>
      </c>
      <c r="W477" s="2" t="s">
        <v>702</v>
      </c>
      <c r="X477" s="2" t="s">
        <v>147</v>
      </c>
      <c r="Y477" s="2">
        <v>41.3</v>
      </c>
      <c r="Z477" s="2">
        <v>13.3</v>
      </c>
      <c r="AA477" s="2" t="s">
        <v>179</v>
      </c>
      <c r="AB477" s="2" t="s">
        <v>3714</v>
      </c>
      <c r="AC477" s="2">
        <v>-1.1810357111959799</v>
      </c>
      <c r="AD477" s="2"/>
      <c r="AE477" s="2">
        <v>1.07346174463647</v>
      </c>
      <c r="AF477" s="2">
        <v>117230.983409444</v>
      </c>
      <c r="AG477" s="2">
        <v>88574.085812515696</v>
      </c>
      <c r="AH477" s="5">
        <v>1.32353591159367</v>
      </c>
      <c r="AI477" s="5">
        <v>0.40439734011114897</v>
      </c>
      <c r="AJ477" s="5" t="s">
        <v>139</v>
      </c>
      <c r="AK477" s="2">
        <v>0.11937867308024</v>
      </c>
      <c r="AL477" s="2">
        <v>0.43766036031086097</v>
      </c>
      <c r="AM477" s="2">
        <v>173434.43307344499</v>
      </c>
      <c r="AN477" s="2">
        <v>116654.12515885499</v>
      </c>
      <c r="AO477" s="2">
        <v>101444.10038340199</v>
      </c>
      <c r="AP477" s="2">
        <v>116851.878919771</v>
      </c>
      <c r="AQ477" s="2">
        <v>87687.608509555401</v>
      </c>
      <c r="AR477" s="2">
        <v>107313.75441163599</v>
      </c>
      <c r="AS477" s="2">
        <v>113992.820137195</v>
      </c>
      <c r="AT477" s="2">
        <v>85149.772346182304</v>
      </c>
      <c r="AU477" s="2">
        <v>121956.64384488801</v>
      </c>
      <c r="AV477" s="2">
        <v>47126.348991978499</v>
      </c>
      <c r="AW477" s="2">
        <v>65374.308509653398</v>
      </c>
      <c r="AX477" s="2">
        <v>97844.621045197098</v>
      </c>
    </row>
    <row r="478" spans="1:50" x14ac:dyDescent="0.25">
      <c r="A478" s="2" t="s">
        <v>1361</v>
      </c>
      <c r="B478" s="2">
        <v>421.22185402185102</v>
      </c>
      <c r="C478" s="2">
        <v>8.3100500000000004</v>
      </c>
      <c r="D478" s="2" t="s">
        <v>51</v>
      </c>
      <c r="E478" s="2" t="s">
        <v>1362</v>
      </c>
      <c r="F478" s="2">
        <v>5192</v>
      </c>
      <c r="G478" s="3" t="str">
        <f>HYPERLINK("https://cloud.oebiotech.com/#/lm/network/5192", "https://cloud.oebiotech.com/#/lm/network/5192")</f>
        <v>https://cloud.oebiotech.com/#/lm/network/5192</v>
      </c>
      <c r="H478" s="2"/>
      <c r="I478" s="2"/>
      <c r="J478" s="2" t="s">
        <v>1363</v>
      </c>
      <c r="K478" s="2">
        <v>131840610</v>
      </c>
      <c r="L478" s="2"/>
      <c r="M478" s="2"/>
      <c r="N478" s="2"/>
      <c r="O478" s="2"/>
      <c r="P478" s="2"/>
      <c r="Q478" s="2"/>
      <c r="R478" s="2"/>
      <c r="S478" s="2" t="s">
        <v>1364</v>
      </c>
      <c r="T478" s="2" t="s">
        <v>1365</v>
      </c>
      <c r="U478" s="2" t="s">
        <v>56</v>
      </c>
      <c r="V478" s="2" t="s">
        <v>145</v>
      </c>
      <c r="W478" s="2" t="s">
        <v>231</v>
      </c>
      <c r="X478" s="2" t="s">
        <v>147</v>
      </c>
      <c r="Y478" s="2">
        <v>45.3</v>
      </c>
      <c r="Z478" s="2">
        <v>38.299999999999997</v>
      </c>
      <c r="AA478" s="2" t="s">
        <v>218</v>
      </c>
      <c r="AB478" s="2" t="s">
        <v>1366</v>
      </c>
      <c r="AC478" s="2">
        <v>-3.51643904704832</v>
      </c>
      <c r="AD478" s="2"/>
      <c r="AE478" s="2">
        <v>1.0729389509429099</v>
      </c>
      <c r="AF478" s="2">
        <v>46045.250631256698</v>
      </c>
      <c r="AG478" s="2">
        <v>21464.5007582461</v>
      </c>
      <c r="AH478" s="5">
        <v>2.1451815325156001</v>
      </c>
      <c r="AI478" s="5">
        <v>1.1010997386238599</v>
      </c>
      <c r="AJ478" s="5" t="s">
        <v>139</v>
      </c>
      <c r="AK478" s="2">
        <v>4.6251799070246201E-2</v>
      </c>
      <c r="AL478" s="2">
        <v>0.303077969035141</v>
      </c>
      <c r="AM478" s="2">
        <v>91733.482255785493</v>
      </c>
      <c r="AN478" s="2">
        <v>49437.329958620801</v>
      </c>
      <c r="AO478" s="2">
        <v>33157.925934579798</v>
      </c>
      <c r="AP478" s="2">
        <v>28250.267820305198</v>
      </c>
      <c r="AQ478" s="2">
        <v>33865.781772730297</v>
      </c>
      <c r="AR478" s="2">
        <v>39826.716045518799</v>
      </c>
      <c r="AS478" s="2">
        <v>21651.598228888401</v>
      </c>
      <c r="AT478" s="2">
        <v>8070.4414887394896</v>
      </c>
      <c r="AU478" s="2">
        <v>39872.160628326499</v>
      </c>
      <c r="AV478" s="2">
        <v>10286.6020911873</v>
      </c>
      <c r="AW478" s="2">
        <v>18310.902493827401</v>
      </c>
      <c r="AX478" s="2">
        <v>30595.299618507801</v>
      </c>
    </row>
    <row r="479" spans="1:50" x14ac:dyDescent="0.25">
      <c r="A479" s="2" t="s">
        <v>3715</v>
      </c>
      <c r="B479" s="2">
        <v>188.12865513421701</v>
      </c>
      <c r="C479" s="2">
        <v>0.73424999999999996</v>
      </c>
      <c r="D479" s="2" t="s">
        <v>51</v>
      </c>
      <c r="E479" s="2" t="s">
        <v>3716</v>
      </c>
      <c r="F479" s="2">
        <v>47150</v>
      </c>
      <c r="G479" s="3" t="str">
        <f>HYPERLINK("https://cloud.oebiotech.com/#/lm/network/47150", "https://cloud.oebiotech.com/#/lm/network/47150")</f>
        <v>https://cloud.oebiotech.com/#/lm/network/47150</v>
      </c>
      <c r="H479" s="2" t="s">
        <v>3717</v>
      </c>
      <c r="I479" s="2">
        <v>5640</v>
      </c>
      <c r="J479" s="2"/>
      <c r="K479" s="2">
        <v>9085</v>
      </c>
      <c r="L479" s="2" t="s">
        <v>3718</v>
      </c>
      <c r="M479" s="2"/>
      <c r="N479" s="2"/>
      <c r="O479" s="2">
        <v>27747</v>
      </c>
      <c r="P479" s="2" t="s">
        <v>3719</v>
      </c>
      <c r="Q479" s="2" t="s">
        <v>3720</v>
      </c>
      <c r="R479" s="2" t="s">
        <v>3721</v>
      </c>
      <c r="S479" s="2" t="s">
        <v>3722</v>
      </c>
      <c r="T479" s="2" t="s">
        <v>3723</v>
      </c>
      <c r="U479" s="2" t="s">
        <v>103</v>
      </c>
      <c r="V479" s="2" t="s">
        <v>104</v>
      </c>
      <c r="W479" s="2" t="s">
        <v>105</v>
      </c>
      <c r="X479" s="2" t="s">
        <v>83</v>
      </c>
      <c r="Y479" s="2">
        <v>46.2</v>
      </c>
      <c r="Z479" s="2">
        <v>0</v>
      </c>
      <c r="AA479" s="2" t="s">
        <v>122</v>
      </c>
      <c r="AB479" s="2" t="s">
        <v>3724</v>
      </c>
      <c r="AC479" s="2">
        <v>7.0657612964102201</v>
      </c>
      <c r="AD479" s="2"/>
      <c r="AE479" s="2">
        <v>1.07254697279122</v>
      </c>
      <c r="AF479" s="2">
        <v>139947.58207971201</v>
      </c>
      <c r="AG479" s="2">
        <v>57932.142328651797</v>
      </c>
      <c r="AH479" s="5">
        <v>2.4157156365076702</v>
      </c>
      <c r="AI479" s="5">
        <v>1.2724506392882799</v>
      </c>
      <c r="AJ479" s="5" t="s">
        <v>139</v>
      </c>
      <c r="AK479" s="2">
        <v>0.219518975887526</v>
      </c>
      <c r="AL479" s="2">
        <v>0.54520642864221103</v>
      </c>
      <c r="AM479" s="2">
        <v>37598.452201445798</v>
      </c>
      <c r="AN479" s="2">
        <v>175176.51388607599</v>
      </c>
      <c r="AO479" s="2">
        <v>31421.783325025899</v>
      </c>
      <c r="AP479" s="2">
        <v>149739.993880255</v>
      </c>
      <c r="AQ479" s="2">
        <v>385618.37609409599</v>
      </c>
      <c r="AR479" s="2">
        <v>60130.3730913736</v>
      </c>
      <c r="AS479" s="2">
        <v>201941.54484196001</v>
      </c>
      <c r="AT479" s="2">
        <v>57201.567115589103</v>
      </c>
      <c r="AU479" s="2">
        <v>2707.0907417662602</v>
      </c>
      <c r="AV479" s="2">
        <v>4175.7605966075098</v>
      </c>
      <c r="AW479" s="2">
        <v>37291.081035236202</v>
      </c>
      <c r="AX479" s="2">
        <v>44275.809640751802</v>
      </c>
    </row>
    <row r="480" spans="1:50" x14ac:dyDescent="0.25">
      <c r="A480" s="2" t="s">
        <v>1367</v>
      </c>
      <c r="B480" s="2">
        <v>655.42182574184505</v>
      </c>
      <c r="C480" s="2">
        <v>12.55655</v>
      </c>
      <c r="D480" s="2" t="s">
        <v>51</v>
      </c>
      <c r="E480" s="2" t="s">
        <v>1368</v>
      </c>
      <c r="F480" s="2">
        <v>206370</v>
      </c>
      <c r="G480" s="3" t="str">
        <f>HYPERLINK("https://cloud.oebiotech.com/#/lm/network/206370", "https://cloud.oebiotech.com/#/lm/network/206370")</f>
        <v>https://cloud.oebiotech.com/#/lm/network/206370</v>
      </c>
      <c r="H480" s="2" t="s">
        <v>1369</v>
      </c>
      <c r="I480" s="2"/>
      <c r="J480" s="2"/>
      <c r="K480" s="2">
        <v>5230732</v>
      </c>
      <c r="L480" s="2"/>
      <c r="M480" s="2"/>
      <c r="N480" s="2"/>
      <c r="O480" s="2"/>
      <c r="P480" s="2"/>
      <c r="Q480" s="2"/>
      <c r="R480" s="2"/>
      <c r="S480" s="2" t="s">
        <v>1370</v>
      </c>
      <c r="T480" s="2" t="s">
        <v>1371</v>
      </c>
      <c r="U480" s="2" t="s">
        <v>103</v>
      </c>
      <c r="V480" s="2" t="s">
        <v>1372</v>
      </c>
      <c r="W480" s="2" t="s">
        <v>1373</v>
      </c>
      <c r="X480" s="2" t="s">
        <v>147</v>
      </c>
      <c r="Y480" s="2">
        <v>37.799999999999997</v>
      </c>
      <c r="Z480" s="2">
        <v>0</v>
      </c>
      <c r="AA480" s="2" t="s">
        <v>241</v>
      </c>
      <c r="AB480" s="2" t="s">
        <v>1374</v>
      </c>
      <c r="AC480" s="2">
        <v>4.5224155682321703</v>
      </c>
      <c r="AD480" s="2"/>
      <c r="AE480" s="2">
        <v>1.07223144443704</v>
      </c>
      <c r="AF480" s="2">
        <v>32375.866850328599</v>
      </c>
      <c r="AG480" s="2">
        <v>59923.5138028336</v>
      </c>
      <c r="AH480" s="4">
        <v>0.54028652186277004</v>
      </c>
      <c r="AI480" s="4">
        <v>-0.88820340234322503</v>
      </c>
      <c r="AJ480" s="4" t="s">
        <v>62</v>
      </c>
      <c r="AK480" s="2">
        <v>2.37583156682942E-2</v>
      </c>
      <c r="AL480" s="2">
        <v>0.23922264176586699</v>
      </c>
      <c r="AM480" s="2">
        <v>23742.9872716299</v>
      </c>
      <c r="AN480" s="2">
        <v>24776.144697832398</v>
      </c>
      <c r="AO480" s="2">
        <v>29824.947982208301</v>
      </c>
      <c r="AP480" s="2">
        <v>23631.080780504199</v>
      </c>
      <c r="AQ480" s="2">
        <v>41719.967507235902</v>
      </c>
      <c r="AR480" s="2">
        <v>50560.072862561101</v>
      </c>
      <c r="AS480" s="2">
        <v>42524.942818504896</v>
      </c>
      <c r="AT480" s="2">
        <v>31842.229127762799</v>
      </c>
      <c r="AU480" s="2">
        <v>67971.900161193495</v>
      </c>
      <c r="AV480" s="2">
        <v>66490.450911687803</v>
      </c>
      <c r="AW480" s="2">
        <v>54136.416546735003</v>
      </c>
      <c r="AX480" s="2">
        <v>96575.143251117493</v>
      </c>
    </row>
    <row r="481" spans="1:50" x14ac:dyDescent="0.25">
      <c r="A481" s="2" t="s">
        <v>1375</v>
      </c>
      <c r="B481" s="2">
        <v>586.30987753920601</v>
      </c>
      <c r="C481" s="2">
        <v>10.591366666666699</v>
      </c>
      <c r="D481" s="2" t="s">
        <v>51</v>
      </c>
      <c r="E481" s="2" t="s">
        <v>1376</v>
      </c>
      <c r="F481" s="2">
        <v>200235</v>
      </c>
      <c r="G481" s="3" t="str">
        <f>HYPERLINK("https://cloud.oebiotech.com/#/lm/network/200235", "https://cloud.oebiotech.com/#/lm/network/200235")</f>
        <v>https://cloud.oebiotech.com/#/lm/network/200235</v>
      </c>
      <c r="H481" s="2" t="s">
        <v>1377</v>
      </c>
      <c r="I481" s="2"/>
      <c r="J481" s="2"/>
      <c r="K481" s="2">
        <v>433449</v>
      </c>
      <c r="L481" s="2"/>
      <c r="M481" s="2"/>
      <c r="N481" s="2"/>
      <c r="O481" s="2">
        <v>93755</v>
      </c>
      <c r="P481" s="2"/>
      <c r="Q481" s="2"/>
      <c r="R481" s="2"/>
      <c r="S481" s="2" t="s">
        <v>1378</v>
      </c>
      <c r="T481" s="2" t="s">
        <v>1379</v>
      </c>
      <c r="U481" s="2" t="s">
        <v>540</v>
      </c>
      <c r="V481" s="2" t="s">
        <v>1380</v>
      </c>
      <c r="W481" s="2" t="s">
        <v>240</v>
      </c>
      <c r="X481" s="2" t="s">
        <v>147</v>
      </c>
      <c r="Y481" s="2">
        <v>37.9</v>
      </c>
      <c r="Z481" s="2">
        <v>10.7</v>
      </c>
      <c r="AA481" s="2" t="s">
        <v>259</v>
      </c>
      <c r="AB481" s="2" t="s">
        <v>1381</v>
      </c>
      <c r="AC481" s="2">
        <v>-4.1247599472969698</v>
      </c>
      <c r="AD481" s="2"/>
      <c r="AE481" s="2">
        <v>1.07047855689414</v>
      </c>
      <c r="AF481" s="2">
        <v>64041.342307044601</v>
      </c>
      <c r="AG481" s="2">
        <v>87958.505278657394</v>
      </c>
      <c r="AH481" s="4">
        <v>0.72808584120612396</v>
      </c>
      <c r="AI481" s="4">
        <v>-0.45781954091727001</v>
      </c>
      <c r="AJ481" s="4" t="s">
        <v>62</v>
      </c>
      <c r="AK481" s="2">
        <v>3.2693391628028801E-3</v>
      </c>
      <c r="AL481" s="2">
        <v>0.1120315017845</v>
      </c>
      <c r="AM481" s="2">
        <v>62269.497998473598</v>
      </c>
      <c r="AN481" s="2">
        <v>61674.969858948803</v>
      </c>
      <c r="AO481" s="2">
        <v>59381.064048955697</v>
      </c>
      <c r="AP481" s="2">
        <v>67967.684671294497</v>
      </c>
      <c r="AQ481" s="2">
        <v>69809.734569690394</v>
      </c>
      <c r="AR481" s="2">
        <v>63145.102694904599</v>
      </c>
      <c r="AS481" s="2">
        <v>86199.156338829504</v>
      </c>
      <c r="AT481" s="2">
        <v>91870.225078409407</v>
      </c>
      <c r="AU481" s="2">
        <v>66002.305390995898</v>
      </c>
      <c r="AV481" s="2">
        <v>84945.545359799697</v>
      </c>
      <c r="AW481" s="2">
        <v>86827.377905098896</v>
      </c>
      <c r="AX481" s="2">
        <v>111906.42159881099</v>
      </c>
    </row>
    <row r="482" spans="1:50" x14ac:dyDescent="0.25">
      <c r="A482" s="2" t="s">
        <v>3725</v>
      </c>
      <c r="B482" s="2">
        <v>432.31232346004998</v>
      </c>
      <c r="C482" s="2">
        <v>7.3857499999999998</v>
      </c>
      <c r="D482" s="2" t="s">
        <v>51</v>
      </c>
      <c r="E482" s="2" t="s">
        <v>3726</v>
      </c>
      <c r="F482" s="2">
        <v>274764</v>
      </c>
      <c r="G482" s="3" t="str">
        <f>HYPERLINK("https://cloud.oebiotech.com/#/lm/network/274764", "https://cloud.oebiotech.com/#/lm/network/274764")</f>
        <v>https://cloud.oebiotech.com/#/lm/network/274764</v>
      </c>
      <c r="H482" s="2"/>
      <c r="I482" s="2">
        <v>65446</v>
      </c>
      <c r="J482" s="2"/>
      <c r="K482" s="2">
        <v>10025771</v>
      </c>
      <c r="L482" s="2"/>
      <c r="M482" s="2"/>
      <c r="N482" s="2"/>
      <c r="O482" s="2"/>
      <c r="P482" s="2"/>
      <c r="Q482" s="2"/>
      <c r="R482" s="2"/>
      <c r="S482" s="2" t="s">
        <v>3727</v>
      </c>
      <c r="T482" s="2" t="s">
        <v>3728</v>
      </c>
      <c r="U482" s="2" t="s">
        <v>56</v>
      </c>
      <c r="V482" s="2" t="s">
        <v>177</v>
      </c>
      <c r="W482" s="2" t="s">
        <v>584</v>
      </c>
      <c r="X482" s="2" t="s">
        <v>147</v>
      </c>
      <c r="Y482" s="2">
        <v>38.700000000000003</v>
      </c>
      <c r="Z482" s="2">
        <v>1.26</v>
      </c>
      <c r="AA482" s="2" t="s">
        <v>179</v>
      </c>
      <c r="AB482" s="2" t="s">
        <v>3729</v>
      </c>
      <c r="AC482" s="2">
        <v>3.4505399040941298</v>
      </c>
      <c r="AD482" s="2"/>
      <c r="AE482" s="2">
        <v>1.07009056624247</v>
      </c>
      <c r="AF482" s="2">
        <v>23550.759411500399</v>
      </c>
      <c r="AG482" s="2">
        <v>63652.727080995501</v>
      </c>
      <c r="AH482" s="4">
        <v>0.36998822346657601</v>
      </c>
      <c r="AI482" s="4">
        <v>-1.43444874365052</v>
      </c>
      <c r="AJ482" s="4" t="s">
        <v>62</v>
      </c>
      <c r="AK482" s="2">
        <v>0.10698135877873</v>
      </c>
      <c r="AL482" s="2">
        <v>0.416763994139976</v>
      </c>
      <c r="AM482" s="2">
        <v>1781.9027832608599</v>
      </c>
      <c r="AN482" s="2">
        <v>27359.035406458199</v>
      </c>
      <c r="AO482" s="2">
        <v>1465.86644117179</v>
      </c>
      <c r="AP482" s="2">
        <v>89105.411808398494</v>
      </c>
      <c r="AQ482" s="2">
        <v>6585.8308594514801</v>
      </c>
      <c r="AR482" s="2">
        <v>15006.509170261301</v>
      </c>
      <c r="AS482" s="2">
        <v>8260.2797448812198</v>
      </c>
      <c r="AT482" s="2">
        <v>116516.957113624</v>
      </c>
      <c r="AU482" s="2">
        <v>71768.342780227205</v>
      </c>
      <c r="AV482" s="2">
        <v>104116.71244904</v>
      </c>
      <c r="AW482" s="2">
        <v>64307.082008955098</v>
      </c>
      <c r="AX482" s="2">
        <v>16946.9883892455</v>
      </c>
    </row>
    <row r="483" spans="1:50" x14ac:dyDescent="0.25">
      <c r="A483" s="2" t="s">
        <v>3730</v>
      </c>
      <c r="B483" s="2">
        <v>367.21274979033399</v>
      </c>
      <c r="C483" s="2">
        <v>6.6032999999999999</v>
      </c>
      <c r="D483" s="2" t="s">
        <v>51</v>
      </c>
      <c r="E483" s="2" t="s">
        <v>3731</v>
      </c>
      <c r="F483" s="2">
        <v>3653</v>
      </c>
      <c r="G483" s="3" t="str">
        <f>HYPERLINK("https://cloud.oebiotech.com/#/lm/network/3653", "https://cloud.oebiotech.com/#/lm/network/3653")</f>
        <v>https://cloud.oebiotech.com/#/lm/network/3653</v>
      </c>
      <c r="H483" s="2" t="s">
        <v>3732</v>
      </c>
      <c r="I483" s="2">
        <v>3819</v>
      </c>
      <c r="J483" s="2" t="s">
        <v>3733</v>
      </c>
      <c r="K483" s="2">
        <v>5283038</v>
      </c>
      <c r="L483" s="2"/>
      <c r="M483" s="2"/>
      <c r="N483" s="2"/>
      <c r="O483" s="2"/>
      <c r="P483" s="2"/>
      <c r="Q483" s="2"/>
      <c r="R483" s="2" t="s">
        <v>3734</v>
      </c>
      <c r="S483" s="2" t="s">
        <v>3735</v>
      </c>
      <c r="T483" s="2" t="s">
        <v>3736</v>
      </c>
      <c r="U483" s="2" t="s">
        <v>56</v>
      </c>
      <c r="V483" s="2" t="s">
        <v>145</v>
      </c>
      <c r="W483" s="2" t="s">
        <v>187</v>
      </c>
      <c r="X483" s="2" t="s">
        <v>69</v>
      </c>
      <c r="Y483" s="2">
        <v>52.4</v>
      </c>
      <c r="Z483" s="2">
        <v>52.6</v>
      </c>
      <c r="AA483" s="2" t="s">
        <v>163</v>
      </c>
      <c r="AB483" s="2" t="s">
        <v>533</v>
      </c>
      <c r="AC483" s="2">
        <v>0.37336042540115499</v>
      </c>
      <c r="AD483" s="2"/>
      <c r="AE483" s="2">
        <v>1.0689667407457</v>
      </c>
      <c r="AF483" s="2">
        <v>98120.863904295795</v>
      </c>
      <c r="AG483" s="2">
        <v>62194.653295358497</v>
      </c>
      <c r="AH483" s="5">
        <v>1.5776414644250201</v>
      </c>
      <c r="AI483" s="5">
        <v>0.65776937501699095</v>
      </c>
      <c r="AJ483" s="5" t="s">
        <v>139</v>
      </c>
      <c r="AK483" s="2">
        <v>5.0648174521327999E-2</v>
      </c>
      <c r="AL483" s="2">
        <v>0.31128179309847198</v>
      </c>
      <c r="AM483" s="2">
        <v>90114.923953178906</v>
      </c>
      <c r="AN483" s="2">
        <v>123246.420441407</v>
      </c>
      <c r="AO483" s="2">
        <v>98632.305462610297</v>
      </c>
      <c r="AP483" s="2">
        <v>99065.377736978393</v>
      </c>
      <c r="AQ483" s="2">
        <v>59025.645651578998</v>
      </c>
      <c r="AR483" s="2">
        <v>118640.510180021</v>
      </c>
      <c r="AS483" s="2">
        <v>114580.913628746</v>
      </c>
      <c r="AT483" s="2">
        <v>48986.609162925102</v>
      </c>
      <c r="AU483" s="2">
        <v>71629.497932357393</v>
      </c>
      <c r="AV483" s="2">
        <v>21864.464907409001</v>
      </c>
      <c r="AW483" s="2">
        <v>41649.077124928699</v>
      </c>
      <c r="AX483" s="2">
        <v>74457.357015785004</v>
      </c>
    </row>
    <row r="484" spans="1:50" x14ac:dyDescent="0.25">
      <c r="A484" s="2" t="s">
        <v>3737</v>
      </c>
      <c r="B484" s="2">
        <v>333.20735500854198</v>
      </c>
      <c r="C484" s="2">
        <v>9.0899333333333292</v>
      </c>
      <c r="D484" s="2" t="s">
        <v>51</v>
      </c>
      <c r="E484" s="2" t="s">
        <v>3738</v>
      </c>
      <c r="F484" s="2">
        <v>267275</v>
      </c>
      <c r="G484" s="3" t="str">
        <f>HYPERLINK("https://cloud.oebiotech.com/#/lm/network/267275", "https://cloud.oebiotech.com/#/lm/network/267275")</f>
        <v>https://cloud.oebiotech.com/#/lm/network/267275</v>
      </c>
      <c r="H484" s="2"/>
      <c r="I484" s="2">
        <v>45147</v>
      </c>
      <c r="J484" s="2"/>
      <c r="K484" s="2">
        <v>91885983</v>
      </c>
      <c r="L484" s="2"/>
      <c r="M484" s="2"/>
      <c r="N484" s="2"/>
      <c r="O484" s="2"/>
      <c r="P484" s="2"/>
      <c r="Q484" s="2"/>
      <c r="R484" s="2"/>
      <c r="S484" s="2" t="s">
        <v>3739</v>
      </c>
      <c r="T484" s="2" t="s">
        <v>3740</v>
      </c>
      <c r="U484" s="2" t="s">
        <v>56</v>
      </c>
      <c r="V484" s="2" t="s">
        <v>145</v>
      </c>
      <c r="W484" s="2" t="s">
        <v>187</v>
      </c>
      <c r="X484" s="2" t="s">
        <v>69</v>
      </c>
      <c r="Y484" s="2">
        <v>60.3</v>
      </c>
      <c r="Z484" s="2">
        <v>52.7</v>
      </c>
      <c r="AA484" s="2" t="s">
        <v>163</v>
      </c>
      <c r="AB484" s="2" t="s">
        <v>212</v>
      </c>
      <c r="AC484" s="2">
        <v>0.66424485629527596</v>
      </c>
      <c r="AD484" s="2"/>
      <c r="AE484" s="2">
        <v>1.06737363107765</v>
      </c>
      <c r="AF484" s="2">
        <v>98790.1801143263</v>
      </c>
      <c r="AG484" s="2">
        <v>67661.196969694895</v>
      </c>
      <c r="AH484" s="5">
        <v>1.46007142259948</v>
      </c>
      <c r="AI484" s="5">
        <v>0.54603894342707404</v>
      </c>
      <c r="AJ484" s="5" t="s">
        <v>139</v>
      </c>
      <c r="AK484" s="2">
        <v>0.308026886821132</v>
      </c>
      <c r="AL484" s="2">
        <v>0.61782284697873702</v>
      </c>
      <c r="AM484" s="2">
        <v>210360.862977629</v>
      </c>
      <c r="AN484" s="2">
        <v>107490.002016424</v>
      </c>
      <c r="AO484" s="2">
        <v>70457.199625075998</v>
      </c>
      <c r="AP484" s="2">
        <v>83232.445938040197</v>
      </c>
      <c r="AQ484" s="2">
        <v>45452.987191104003</v>
      </c>
      <c r="AR484" s="2">
        <v>75747.582937684303</v>
      </c>
      <c r="AS484" s="2">
        <v>85826.062299507001</v>
      </c>
      <c r="AT484" s="2">
        <v>43681.822422235397</v>
      </c>
      <c r="AU484" s="2">
        <v>142575.34898656499</v>
      </c>
      <c r="AV484" s="2">
        <v>38363.810064626501</v>
      </c>
      <c r="AW484" s="2">
        <v>41143.613637095499</v>
      </c>
      <c r="AX484" s="2">
        <v>54376.524408140103</v>
      </c>
    </row>
    <row r="485" spans="1:50" x14ac:dyDescent="0.25">
      <c r="A485" s="2" t="s">
        <v>3741</v>
      </c>
      <c r="B485" s="2">
        <v>203.013548080341</v>
      </c>
      <c r="C485" s="2">
        <v>0.84924999999999995</v>
      </c>
      <c r="D485" s="2" t="s">
        <v>51</v>
      </c>
      <c r="E485" s="2" t="s">
        <v>3742</v>
      </c>
      <c r="F485" s="2">
        <v>200305</v>
      </c>
      <c r="G485" s="3" t="str">
        <f>HYPERLINK("https://cloud.oebiotech.com/#/lm/network/200305", "https://cloud.oebiotech.com/#/lm/network/200305")</f>
        <v>https://cloud.oebiotech.com/#/lm/network/200305</v>
      </c>
      <c r="H485" s="2" t="s">
        <v>3743</v>
      </c>
      <c r="I485" s="2">
        <v>442965</v>
      </c>
      <c r="J485" s="2"/>
      <c r="K485" s="2">
        <v>2737592</v>
      </c>
      <c r="L485" s="2"/>
      <c r="M485" s="2"/>
      <c r="N485" s="2"/>
      <c r="O485" s="2"/>
      <c r="P485" s="2"/>
      <c r="Q485" s="2"/>
      <c r="R485" s="2"/>
      <c r="S485" s="2" t="s">
        <v>3744</v>
      </c>
      <c r="T485" s="2" t="s">
        <v>3745</v>
      </c>
      <c r="U485" s="2" t="s">
        <v>610</v>
      </c>
      <c r="V485" s="2" t="s">
        <v>611</v>
      </c>
      <c r="W485" s="2" t="s">
        <v>3746</v>
      </c>
      <c r="X485" s="2" t="s">
        <v>147</v>
      </c>
      <c r="Y485" s="2">
        <v>38.5</v>
      </c>
      <c r="Z485" s="2">
        <v>2.3199999999999998</v>
      </c>
      <c r="AA485" s="2" t="s">
        <v>379</v>
      </c>
      <c r="AB485" s="2" t="s">
        <v>3747</v>
      </c>
      <c r="AC485" s="2">
        <v>4.4898754221505301</v>
      </c>
      <c r="AD485" s="2"/>
      <c r="AE485" s="2">
        <v>1.06713879226113</v>
      </c>
      <c r="AF485" s="2">
        <v>276618.971912926</v>
      </c>
      <c r="AG485" s="2">
        <v>239424.75654421301</v>
      </c>
      <c r="AH485" s="5">
        <v>1.1553482434547</v>
      </c>
      <c r="AI485" s="5">
        <v>0.20832777231647201</v>
      </c>
      <c r="AJ485" s="5" t="s">
        <v>139</v>
      </c>
      <c r="AK485" s="2">
        <v>0.359065096943402</v>
      </c>
      <c r="AL485" s="2">
        <v>0.64449606579735297</v>
      </c>
      <c r="AM485" s="2">
        <v>383065.47857828799</v>
      </c>
      <c r="AN485" s="2">
        <v>281189.53778570698</v>
      </c>
      <c r="AO485" s="2">
        <v>243072.70647924699</v>
      </c>
      <c r="AP485" s="2">
        <v>339717.681569323</v>
      </c>
      <c r="AQ485" s="2">
        <v>239055.94768423901</v>
      </c>
      <c r="AR485" s="2">
        <v>173612.47938075301</v>
      </c>
      <c r="AS485" s="2">
        <v>215333.08762458601</v>
      </c>
      <c r="AT485" s="2">
        <v>315085.47633401101</v>
      </c>
      <c r="AU485" s="2">
        <v>265704.175564537</v>
      </c>
      <c r="AV485" s="2">
        <v>199673.93616888899</v>
      </c>
      <c r="AW485" s="2">
        <v>280079.95057872002</v>
      </c>
      <c r="AX485" s="2">
        <v>160671.91299453599</v>
      </c>
    </row>
    <row r="486" spans="1:50" x14ac:dyDescent="0.25">
      <c r="A486" s="2" t="s">
        <v>3748</v>
      </c>
      <c r="B486" s="2">
        <v>386.23730595630502</v>
      </c>
      <c r="C486" s="2">
        <v>13.3257833333333</v>
      </c>
      <c r="D486" s="2" t="s">
        <v>51</v>
      </c>
      <c r="E486" s="2" t="s">
        <v>3749</v>
      </c>
      <c r="F486" s="2">
        <v>8715</v>
      </c>
      <c r="G486" s="3" t="str">
        <f>HYPERLINK("https://cloud.oebiotech.com/#/lm/network/8715", "https://cloud.oebiotech.com/#/lm/network/8715")</f>
        <v>https://cloud.oebiotech.com/#/lm/network/8715</v>
      </c>
      <c r="H486" s="2"/>
      <c r="I486" s="2">
        <v>75520</v>
      </c>
      <c r="J486" s="2" t="s">
        <v>3750</v>
      </c>
      <c r="K486" s="2">
        <v>52922081</v>
      </c>
      <c r="L486" s="2"/>
      <c r="M486" s="2"/>
      <c r="N486" s="2"/>
      <c r="O486" s="2"/>
      <c r="P486" s="2"/>
      <c r="Q486" s="2"/>
      <c r="R486" s="2"/>
      <c r="S486" s="2" t="s">
        <v>3751</v>
      </c>
      <c r="T486" s="2" t="s">
        <v>3752</v>
      </c>
      <c r="U486" s="2" t="s">
        <v>56</v>
      </c>
      <c r="V486" s="2" t="s">
        <v>145</v>
      </c>
      <c r="W486" s="2" t="s">
        <v>1617</v>
      </c>
      <c r="X486" s="2" t="s">
        <v>147</v>
      </c>
      <c r="Y486" s="2">
        <v>38.200000000000003</v>
      </c>
      <c r="Z486" s="2">
        <v>0.76300000000000001</v>
      </c>
      <c r="AA486" s="2" t="s">
        <v>163</v>
      </c>
      <c r="AB486" s="2" t="s">
        <v>3753</v>
      </c>
      <c r="AC486" s="2">
        <v>0.65260781403530799</v>
      </c>
      <c r="AD486" s="2"/>
      <c r="AE486" s="2">
        <v>1.0650649424362999</v>
      </c>
      <c r="AF486" s="2">
        <v>24617.545252805001</v>
      </c>
      <c r="AG486" s="2">
        <v>107994.500788752</v>
      </c>
      <c r="AH486" s="4">
        <v>0.227951840816038</v>
      </c>
      <c r="AI486" s="4">
        <v>-2.1331990352111299</v>
      </c>
      <c r="AJ486" s="4" t="s">
        <v>62</v>
      </c>
      <c r="AK486" s="2">
        <v>0.26499725033545601</v>
      </c>
      <c r="AL486" s="2">
        <v>0.58661024431081399</v>
      </c>
      <c r="AM486" s="2">
        <v>13371.6560774929</v>
      </c>
      <c r="AN486" s="2">
        <v>44291.015498016299</v>
      </c>
      <c r="AO486" s="2">
        <v>28886.9185297232</v>
      </c>
      <c r="AP486" s="2">
        <v>18353.759874163101</v>
      </c>
      <c r="AQ486" s="2">
        <v>18691.073153203499</v>
      </c>
      <c r="AR486" s="2">
        <v>24110.848384231202</v>
      </c>
      <c r="AS486" s="2">
        <v>10726.528345266999</v>
      </c>
      <c r="AT486" s="2">
        <v>9131.9600108533705</v>
      </c>
      <c r="AU486" s="2">
        <v>448750.23163374601</v>
      </c>
      <c r="AV486" s="2">
        <v>38927.225370624197</v>
      </c>
      <c r="AW486" s="2">
        <v>124941.612828696</v>
      </c>
      <c r="AX486" s="2">
        <v>15489.446543324801</v>
      </c>
    </row>
    <row r="487" spans="1:50" x14ac:dyDescent="0.25">
      <c r="A487" s="2" t="s">
        <v>1382</v>
      </c>
      <c r="B487" s="2">
        <v>321.24324089798398</v>
      </c>
      <c r="C487" s="2">
        <v>11.3101</v>
      </c>
      <c r="D487" s="2" t="s">
        <v>51</v>
      </c>
      <c r="E487" s="2" t="s">
        <v>1383</v>
      </c>
      <c r="F487" s="2">
        <v>199234</v>
      </c>
      <c r="G487" s="3" t="str">
        <f>HYPERLINK("https://cloud.oebiotech.com/#/lm/network/199234", "https://cloud.oebiotech.com/#/lm/network/199234")</f>
        <v>https://cloud.oebiotech.com/#/lm/network/199234</v>
      </c>
      <c r="H487" s="2" t="s">
        <v>1384</v>
      </c>
      <c r="I487" s="2">
        <v>45085</v>
      </c>
      <c r="J487" s="2"/>
      <c r="K487" s="2">
        <v>133226</v>
      </c>
      <c r="L487" s="2" t="s">
        <v>851</v>
      </c>
      <c r="M487" s="2" t="s">
        <v>305</v>
      </c>
      <c r="N487" s="2" t="s">
        <v>306</v>
      </c>
      <c r="O487" s="2"/>
      <c r="P487" s="2"/>
      <c r="Q487" s="2"/>
      <c r="R487" s="2" t="s">
        <v>1385</v>
      </c>
      <c r="S487" s="2" t="s">
        <v>1386</v>
      </c>
      <c r="T487" s="2" t="s">
        <v>1387</v>
      </c>
      <c r="U487" s="2" t="s">
        <v>56</v>
      </c>
      <c r="V487" s="2" t="s">
        <v>145</v>
      </c>
      <c r="W487" s="2" t="s">
        <v>187</v>
      </c>
      <c r="X487" s="2" t="s">
        <v>69</v>
      </c>
      <c r="Y487" s="2">
        <v>62.4</v>
      </c>
      <c r="Z487" s="2">
        <v>84.5</v>
      </c>
      <c r="AA487" s="2" t="s">
        <v>259</v>
      </c>
      <c r="AB487" s="2" t="s">
        <v>205</v>
      </c>
      <c r="AC487" s="2">
        <v>2.5593101729369101</v>
      </c>
      <c r="AD487" s="2"/>
      <c r="AE487" s="2">
        <v>1.06443865997916</v>
      </c>
      <c r="AF487" s="2">
        <v>36949.447918439997</v>
      </c>
      <c r="AG487" s="2">
        <v>15767.246523472</v>
      </c>
      <c r="AH487" s="5">
        <v>2.3434305960419302</v>
      </c>
      <c r="AI487" s="5">
        <v>1.2286220680284401</v>
      </c>
      <c r="AJ487" s="5" t="s">
        <v>139</v>
      </c>
      <c r="AK487" s="2">
        <v>3.0994433492155201E-3</v>
      </c>
      <c r="AL487" s="2">
        <v>0.111523607056318</v>
      </c>
      <c r="AM487" s="2">
        <v>55198.761245086404</v>
      </c>
      <c r="AN487" s="2">
        <v>43554.669292815503</v>
      </c>
      <c r="AO487" s="2">
        <v>35933.110769782703</v>
      </c>
      <c r="AP487" s="2">
        <v>20894.303270934699</v>
      </c>
      <c r="AQ487" s="2">
        <v>36450.144438242802</v>
      </c>
      <c r="AR487" s="2">
        <v>29665.698493777702</v>
      </c>
      <c r="AS487" s="2">
        <v>19336.620217507701</v>
      </c>
      <c r="AT487" s="2">
        <v>7220.4689940648504</v>
      </c>
      <c r="AU487" s="2">
        <v>22130.0972426068</v>
      </c>
      <c r="AV487" s="2">
        <v>9168.7881767899999</v>
      </c>
      <c r="AW487" s="2">
        <v>14789.5384474969</v>
      </c>
      <c r="AX487" s="2">
        <v>21957.9660623657</v>
      </c>
    </row>
    <row r="488" spans="1:50" x14ac:dyDescent="0.25">
      <c r="A488" s="2" t="s">
        <v>3754</v>
      </c>
      <c r="B488" s="2">
        <v>595.28929908764599</v>
      </c>
      <c r="C488" s="2">
        <v>11.948033333333299</v>
      </c>
      <c r="D488" s="2" t="s">
        <v>51</v>
      </c>
      <c r="E488" s="2" t="s">
        <v>3755</v>
      </c>
      <c r="F488" s="2">
        <v>28064</v>
      </c>
      <c r="G488" s="3" t="str">
        <f>HYPERLINK("https://cloud.oebiotech.com/#/lm/network/28064", "https://cloud.oebiotech.com/#/lm/network/28064")</f>
        <v>https://cloud.oebiotech.com/#/lm/network/28064</v>
      </c>
      <c r="H488" s="2"/>
      <c r="I488" s="2"/>
      <c r="J488" s="2" t="s">
        <v>3756</v>
      </c>
      <c r="K488" s="2">
        <v>134812509</v>
      </c>
      <c r="L488" s="2"/>
      <c r="M488" s="2"/>
      <c r="N488" s="2"/>
      <c r="O488" s="2"/>
      <c r="P488" s="2"/>
      <c r="Q488" s="2"/>
      <c r="R488" s="2"/>
      <c r="S488" s="2" t="s">
        <v>3757</v>
      </c>
      <c r="T488" s="2" t="s">
        <v>3758</v>
      </c>
      <c r="U488" s="2" t="s">
        <v>56</v>
      </c>
      <c r="V488" s="2" t="s">
        <v>57</v>
      </c>
      <c r="W488" s="2" t="s">
        <v>702</v>
      </c>
      <c r="X488" s="2" t="s">
        <v>147</v>
      </c>
      <c r="Y488" s="2">
        <v>39.1</v>
      </c>
      <c r="Z488" s="2">
        <v>3.29</v>
      </c>
      <c r="AA488" s="2" t="s">
        <v>241</v>
      </c>
      <c r="AB488" s="2" t="s">
        <v>3759</v>
      </c>
      <c r="AC488" s="2">
        <v>0.74848578727014603</v>
      </c>
      <c r="AD488" s="2"/>
      <c r="AE488" s="2">
        <v>1.06330686967155</v>
      </c>
      <c r="AF488" s="2">
        <v>223598.074222175</v>
      </c>
      <c r="AG488" s="2">
        <v>175057.50105314399</v>
      </c>
      <c r="AH488" s="5">
        <v>1.2772835946875201</v>
      </c>
      <c r="AI488" s="5">
        <v>0.353078881520901</v>
      </c>
      <c r="AJ488" s="5" t="s">
        <v>139</v>
      </c>
      <c r="AK488" s="2">
        <v>0.12737732241348701</v>
      </c>
      <c r="AL488" s="2">
        <v>0.44626309510015799</v>
      </c>
      <c r="AM488" s="2">
        <v>218970.20442743701</v>
      </c>
      <c r="AN488" s="2">
        <v>273244.67965226597</v>
      </c>
      <c r="AO488" s="2">
        <v>238769.698064086</v>
      </c>
      <c r="AP488" s="2">
        <v>179294.73496260299</v>
      </c>
      <c r="AQ488" s="2">
        <v>160053.35405890099</v>
      </c>
      <c r="AR488" s="2">
        <v>271255.77416775998</v>
      </c>
      <c r="AS488" s="2">
        <v>140071.318777643</v>
      </c>
      <c r="AT488" s="2">
        <v>92236.426680809993</v>
      </c>
      <c r="AU488" s="2">
        <v>170574.214819482</v>
      </c>
      <c r="AV488" s="2">
        <v>241709.20867580999</v>
      </c>
      <c r="AW488" s="2">
        <v>187221.12626447499</v>
      </c>
      <c r="AX488" s="2">
        <v>218532.71110064699</v>
      </c>
    </row>
    <row r="489" spans="1:50" x14ac:dyDescent="0.25">
      <c r="A489" s="2" t="s">
        <v>1388</v>
      </c>
      <c r="B489" s="2">
        <v>376.19411151048001</v>
      </c>
      <c r="C489" s="2">
        <v>12.698066666666699</v>
      </c>
      <c r="D489" s="2" t="s">
        <v>51</v>
      </c>
      <c r="E489" s="2" t="s">
        <v>1389</v>
      </c>
      <c r="F489" s="2">
        <v>210978</v>
      </c>
      <c r="G489" s="3" t="str">
        <f>HYPERLINK("https://cloud.oebiotech.com/#/lm/network/210978", "https://cloud.oebiotech.com/#/lm/network/210978")</f>
        <v>https://cloud.oebiotech.com/#/lm/network/210978</v>
      </c>
      <c r="H489" s="2" t="s">
        <v>1390</v>
      </c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 t="s">
        <v>1391</v>
      </c>
      <c r="T489" s="2" t="s">
        <v>1392</v>
      </c>
      <c r="U489" s="2" t="s">
        <v>266</v>
      </c>
      <c r="V489" s="2" t="s">
        <v>1393</v>
      </c>
      <c r="W489" s="2" t="s">
        <v>1394</v>
      </c>
      <c r="X489" s="2" t="s">
        <v>147</v>
      </c>
      <c r="Y489" s="2">
        <v>37.9</v>
      </c>
      <c r="Z489" s="2">
        <v>4.0599999999999996</v>
      </c>
      <c r="AA489" s="2" t="s">
        <v>156</v>
      </c>
      <c r="AB489" s="2" t="s">
        <v>1395</v>
      </c>
      <c r="AC489" s="2">
        <v>-3.34978053918362</v>
      </c>
      <c r="AD489" s="2"/>
      <c r="AE489" s="2">
        <v>1.0625920473616699</v>
      </c>
      <c r="AF489" s="2">
        <v>139238.14094408299</v>
      </c>
      <c r="AG489" s="2">
        <v>182808.34180754499</v>
      </c>
      <c r="AH489" s="4">
        <v>0.76166185616774895</v>
      </c>
      <c r="AI489" s="4">
        <v>-0.39277744717284202</v>
      </c>
      <c r="AJ489" s="4" t="s">
        <v>62</v>
      </c>
      <c r="AK489" s="2">
        <v>4.8839200752785701E-2</v>
      </c>
      <c r="AL489" s="2">
        <v>0.30691247078395001</v>
      </c>
      <c r="AM489" s="2">
        <v>118257.460213303</v>
      </c>
      <c r="AN489" s="2">
        <v>154949.79008483901</v>
      </c>
      <c r="AO489" s="2">
        <v>172616.21380336999</v>
      </c>
      <c r="AP489" s="2">
        <v>116707.653846948</v>
      </c>
      <c r="AQ489" s="2">
        <v>161331.13680017801</v>
      </c>
      <c r="AR489" s="2">
        <v>111566.59091586201</v>
      </c>
      <c r="AS489" s="2">
        <v>120730.821918089</v>
      </c>
      <c r="AT489" s="2">
        <v>179926.230457053</v>
      </c>
      <c r="AU489" s="2">
        <v>241948.82353202999</v>
      </c>
      <c r="AV489" s="2">
        <v>178899.61767450499</v>
      </c>
      <c r="AW489" s="2">
        <v>200813.88953823599</v>
      </c>
      <c r="AX489" s="2">
        <v>174530.667725359</v>
      </c>
    </row>
    <row r="490" spans="1:50" x14ac:dyDescent="0.25">
      <c r="A490" s="2" t="s">
        <v>1396</v>
      </c>
      <c r="B490" s="2">
        <v>337.23860800949899</v>
      </c>
      <c r="C490" s="2">
        <v>9.0060833333333292</v>
      </c>
      <c r="D490" s="2" t="s">
        <v>51</v>
      </c>
      <c r="E490" s="2" t="s">
        <v>1397</v>
      </c>
      <c r="F490" s="2">
        <v>47017</v>
      </c>
      <c r="G490" s="3" t="str">
        <f>HYPERLINK("https://cloud.oebiotech.com/#/lm/network/47017", "https://cloud.oebiotech.com/#/lm/network/47017")</f>
        <v>https://cloud.oebiotech.com/#/lm/network/47017</v>
      </c>
      <c r="H490" s="2" t="s">
        <v>1398</v>
      </c>
      <c r="I490" s="2">
        <v>5372</v>
      </c>
      <c r="J490" s="2"/>
      <c r="K490" s="2">
        <v>53477690</v>
      </c>
      <c r="L490" s="2" t="s">
        <v>1399</v>
      </c>
      <c r="M490" s="2"/>
      <c r="N490" s="2"/>
      <c r="O490" s="2">
        <v>27727</v>
      </c>
      <c r="P490" s="2"/>
      <c r="Q490" s="2"/>
      <c r="R490" s="2" t="s">
        <v>1400</v>
      </c>
      <c r="S490" s="2" t="s">
        <v>1401</v>
      </c>
      <c r="T490" s="2" t="s">
        <v>1402</v>
      </c>
      <c r="U490" s="2" t="s">
        <v>56</v>
      </c>
      <c r="V490" s="2" t="s">
        <v>283</v>
      </c>
      <c r="W490" s="2" t="s">
        <v>284</v>
      </c>
      <c r="X490" s="2" t="s">
        <v>147</v>
      </c>
      <c r="Y490" s="2">
        <v>42.5</v>
      </c>
      <c r="Z490" s="2">
        <v>22.4</v>
      </c>
      <c r="AA490" s="2" t="s">
        <v>218</v>
      </c>
      <c r="AB490" s="2" t="s">
        <v>1403</v>
      </c>
      <c r="AC490" s="2">
        <v>0.59839173586855599</v>
      </c>
      <c r="AD490" s="2"/>
      <c r="AE490" s="2">
        <v>1.06181225660902</v>
      </c>
      <c r="AF490" s="2">
        <v>38619.459851293002</v>
      </c>
      <c r="AG490" s="2">
        <v>14683.6488663777</v>
      </c>
      <c r="AH490" s="5">
        <v>2.6300996572945099</v>
      </c>
      <c r="AI490" s="5">
        <v>1.3951174658144001</v>
      </c>
      <c r="AJ490" s="5" t="s">
        <v>139</v>
      </c>
      <c r="AK490" s="2">
        <v>4.8947636739777901E-2</v>
      </c>
      <c r="AL490" s="2">
        <v>0.30691247078395001</v>
      </c>
      <c r="AM490" s="2">
        <v>86772.736968225698</v>
      </c>
      <c r="AN490" s="2">
        <v>35830.8959593197</v>
      </c>
      <c r="AO490" s="2">
        <v>24148.174265926398</v>
      </c>
      <c r="AP490" s="2">
        <v>19972.8801795289</v>
      </c>
      <c r="AQ490" s="2">
        <v>28974.052061024799</v>
      </c>
      <c r="AR490" s="2">
        <v>36018.019673732502</v>
      </c>
      <c r="AS490" s="2">
        <v>18252.746383821199</v>
      </c>
      <c r="AT490" s="2">
        <v>7590.0080320734596</v>
      </c>
      <c r="AU490" s="2">
        <v>29709.894387406799</v>
      </c>
      <c r="AV490" s="2">
        <v>3944.3862197548101</v>
      </c>
      <c r="AW490" s="2">
        <v>10089.3079494999</v>
      </c>
      <c r="AX490" s="2">
        <v>18515.5502257103</v>
      </c>
    </row>
    <row r="491" spans="1:50" x14ac:dyDescent="0.25">
      <c r="A491" s="2" t="s">
        <v>3760</v>
      </c>
      <c r="B491" s="2">
        <v>190.08680257513299</v>
      </c>
      <c r="C491" s="2">
        <v>6.1269833333333299</v>
      </c>
      <c r="D491" s="2" t="s">
        <v>51</v>
      </c>
      <c r="E491" s="2" t="s">
        <v>3761</v>
      </c>
      <c r="F491" s="2">
        <v>47900</v>
      </c>
      <c r="G491" s="3" t="str">
        <f>HYPERLINK("https://cloud.oebiotech.com/#/lm/network/47900", "https://cloud.oebiotech.com/#/lm/network/47900")</f>
        <v>https://cloud.oebiotech.com/#/lm/network/47900</v>
      </c>
      <c r="H491" s="2" t="s">
        <v>3762</v>
      </c>
      <c r="I491" s="2">
        <v>6602</v>
      </c>
      <c r="J491" s="2"/>
      <c r="K491" s="2">
        <v>3744</v>
      </c>
      <c r="L491" s="2"/>
      <c r="M491" s="2"/>
      <c r="N491" s="2"/>
      <c r="O491" s="2">
        <v>43580</v>
      </c>
      <c r="P491" s="2" t="s">
        <v>3763</v>
      </c>
      <c r="Q491" s="2" t="s">
        <v>3764</v>
      </c>
      <c r="R491" s="2" t="s">
        <v>3765</v>
      </c>
      <c r="S491" s="2" t="s">
        <v>3766</v>
      </c>
      <c r="T491" s="2" t="s">
        <v>3767</v>
      </c>
      <c r="U491" s="2" t="s">
        <v>266</v>
      </c>
      <c r="V491" s="2" t="s">
        <v>445</v>
      </c>
      <c r="W491" s="2" t="s">
        <v>3768</v>
      </c>
      <c r="X491" s="2" t="s">
        <v>69</v>
      </c>
      <c r="Y491" s="2">
        <v>62.9</v>
      </c>
      <c r="Z491" s="2">
        <v>96.3</v>
      </c>
      <c r="AA491" s="2" t="s">
        <v>3769</v>
      </c>
      <c r="AB491" s="2" t="s">
        <v>3770</v>
      </c>
      <c r="AC491" s="2">
        <v>2.8958610180061299</v>
      </c>
      <c r="AD491" s="2"/>
      <c r="AE491" s="2">
        <v>1.06019511168161</v>
      </c>
      <c r="AF491" s="2">
        <v>123150.288803263</v>
      </c>
      <c r="AG491" s="2">
        <v>11947.793497380901</v>
      </c>
      <c r="AH491" s="5">
        <v>10.307366697479299</v>
      </c>
      <c r="AI491" s="5">
        <v>3.3656038982303298</v>
      </c>
      <c r="AJ491" s="5" t="s">
        <v>139</v>
      </c>
      <c r="AK491" s="2">
        <v>0.38402672734569199</v>
      </c>
      <c r="AL491" s="2">
        <v>0.66085990731923905</v>
      </c>
      <c r="AM491" s="2">
        <v>299.00144336367703</v>
      </c>
      <c r="AN491" s="2">
        <v>2339.50847516473</v>
      </c>
      <c r="AO491" s="2">
        <v>152.07566227559599</v>
      </c>
      <c r="AP491" s="2">
        <v>376.70866665557298</v>
      </c>
      <c r="AQ491" s="2">
        <v>2591.5540578803798</v>
      </c>
      <c r="AR491" s="2">
        <v>733142.88451423997</v>
      </c>
      <c r="AS491" s="2">
        <v>308.215216443131</v>
      </c>
      <c r="AT491" s="2">
        <v>598.03981779252297</v>
      </c>
      <c r="AU491" s="2">
        <v>32638.228158496699</v>
      </c>
      <c r="AV491" s="2">
        <v>10227.0752386854</v>
      </c>
      <c r="AW491" s="2">
        <v>27539.504212084001</v>
      </c>
      <c r="AX491" s="2">
        <v>375.69834078354398</v>
      </c>
    </row>
    <row r="492" spans="1:50" x14ac:dyDescent="0.25">
      <c r="A492" s="2" t="s">
        <v>3771</v>
      </c>
      <c r="B492" s="2">
        <v>318.12059394057002</v>
      </c>
      <c r="C492" s="2">
        <v>0.74455000000000005</v>
      </c>
      <c r="D492" s="2" t="s">
        <v>51</v>
      </c>
      <c r="E492" s="2" t="s">
        <v>3772</v>
      </c>
      <c r="F492" s="2">
        <v>264864</v>
      </c>
      <c r="G492" s="3" t="str">
        <f>HYPERLINK("https://cloud.oebiotech.com/#/lm/network/264864", "https://cloud.oebiotech.com/#/lm/network/264864")</f>
        <v>https://cloud.oebiotech.com/#/lm/network/264864</v>
      </c>
      <c r="H492" s="2"/>
      <c r="I492" s="2">
        <v>22332</v>
      </c>
      <c r="J492" s="2"/>
      <c r="K492" s="2">
        <v>145455319</v>
      </c>
      <c r="L492" s="2"/>
      <c r="M492" s="2"/>
      <c r="N492" s="2"/>
      <c r="O492" s="2"/>
      <c r="P492" s="2"/>
      <c r="Q492" s="2"/>
      <c r="R492" s="2"/>
      <c r="S492" s="2" t="s">
        <v>3773</v>
      </c>
      <c r="T492" s="2" t="s">
        <v>3774</v>
      </c>
      <c r="U492" s="2" t="s">
        <v>103</v>
      </c>
      <c r="V492" s="2" t="s">
        <v>104</v>
      </c>
      <c r="W492" s="2" t="s">
        <v>105</v>
      </c>
      <c r="X492" s="2" t="s">
        <v>83</v>
      </c>
      <c r="Y492" s="2">
        <v>38.6</v>
      </c>
      <c r="Z492" s="2">
        <v>0.65600000000000003</v>
      </c>
      <c r="AA492" s="2" t="s">
        <v>122</v>
      </c>
      <c r="AB492" s="2" t="s">
        <v>3775</v>
      </c>
      <c r="AC492" s="2">
        <v>9.5716416783140694</v>
      </c>
      <c r="AD492" s="2"/>
      <c r="AE492" s="2">
        <v>1.05562416223699</v>
      </c>
      <c r="AF492" s="2">
        <v>131736.36049201401</v>
      </c>
      <c r="AG492" s="2">
        <v>80090.777516971502</v>
      </c>
      <c r="AH492" s="5">
        <v>1.6448380771943301</v>
      </c>
      <c r="AI492" s="5">
        <v>0.71794556771323703</v>
      </c>
      <c r="AJ492" s="5" t="s">
        <v>139</v>
      </c>
      <c r="AK492" s="2">
        <v>0.26385990231763401</v>
      </c>
      <c r="AL492" s="2">
        <v>0.58602374896457698</v>
      </c>
      <c r="AM492" s="2">
        <v>189438.01153009399</v>
      </c>
      <c r="AN492" s="2">
        <v>167082.50155924799</v>
      </c>
      <c r="AO492" s="2">
        <v>66957.919409624999</v>
      </c>
      <c r="AP492" s="2">
        <v>276127.31809927698</v>
      </c>
      <c r="AQ492" s="2">
        <v>72393.968075790704</v>
      </c>
      <c r="AR492" s="2">
        <v>18418.444278049101</v>
      </c>
      <c r="AS492" s="2">
        <v>8425.2835844566398</v>
      </c>
      <c r="AT492" s="2">
        <v>134510.11838279499</v>
      </c>
      <c r="AU492" s="2">
        <v>46213.799524849899</v>
      </c>
      <c r="AV492" s="2">
        <v>74237.703118497695</v>
      </c>
      <c r="AW492" s="2">
        <v>98369.733661198494</v>
      </c>
      <c r="AX492" s="2">
        <v>118788.026830031</v>
      </c>
    </row>
    <row r="493" spans="1:50" x14ac:dyDescent="0.25">
      <c r="A493" s="2" t="s">
        <v>3776</v>
      </c>
      <c r="B493" s="2">
        <v>234.20717436796701</v>
      </c>
      <c r="C493" s="2">
        <v>5.2849000000000004</v>
      </c>
      <c r="D493" s="2" t="s">
        <v>51</v>
      </c>
      <c r="E493" s="2" t="s">
        <v>3777</v>
      </c>
      <c r="F493" s="2">
        <v>1684</v>
      </c>
      <c r="G493" s="3" t="str">
        <f>HYPERLINK("https://cloud.oebiotech.com/#/lm/network/1684", "https://cloud.oebiotech.com/#/lm/network/1684")</f>
        <v>https://cloud.oebiotech.com/#/lm/network/1684</v>
      </c>
      <c r="H493" s="2" t="s">
        <v>3778</v>
      </c>
      <c r="I493" s="2">
        <v>6465</v>
      </c>
      <c r="J493" s="2" t="s">
        <v>3779</v>
      </c>
      <c r="K493" s="2">
        <v>79034</v>
      </c>
      <c r="L493" s="2" t="s">
        <v>3780</v>
      </c>
      <c r="M493" s="2"/>
      <c r="N493" s="2"/>
      <c r="O493" s="2">
        <v>39567</v>
      </c>
      <c r="P493" s="2" t="s">
        <v>3781</v>
      </c>
      <c r="Q493" s="2" t="s">
        <v>3782</v>
      </c>
      <c r="R493" s="2" t="s">
        <v>3783</v>
      </c>
      <c r="S493" s="2" t="s">
        <v>3784</v>
      </c>
      <c r="T493" s="2" t="s">
        <v>3785</v>
      </c>
      <c r="U493" s="2" t="s">
        <v>103</v>
      </c>
      <c r="V493" s="2" t="s">
        <v>377</v>
      </c>
      <c r="W493" s="2" t="s">
        <v>378</v>
      </c>
      <c r="X493" s="2" t="s">
        <v>147</v>
      </c>
      <c r="Y493" s="2">
        <v>45.2</v>
      </c>
      <c r="Z493" s="2">
        <v>33.1</v>
      </c>
      <c r="AA493" s="2" t="s">
        <v>512</v>
      </c>
      <c r="AB493" s="2" t="s">
        <v>3786</v>
      </c>
      <c r="AC493" s="2">
        <v>3.72022084584873</v>
      </c>
      <c r="AD493" s="2"/>
      <c r="AE493" s="2">
        <v>1.0549801080307599</v>
      </c>
      <c r="AF493" s="2">
        <v>5466.6893101715395</v>
      </c>
      <c r="AG493" s="2">
        <v>60227.439495974701</v>
      </c>
      <c r="AH493" s="4">
        <v>9.0767420231054399E-2</v>
      </c>
      <c r="AI493" s="4">
        <v>-3.4616816357120199</v>
      </c>
      <c r="AJ493" s="4" t="s">
        <v>62</v>
      </c>
      <c r="AK493" s="2">
        <v>0.32090458359206098</v>
      </c>
      <c r="AL493" s="2">
        <v>0.62866285719097004</v>
      </c>
      <c r="AM493" s="2">
        <v>968.21651687476503</v>
      </c>
      <c r="AN493" s="2">
        <v>1118.6399655896901</v>
      </c>
      <c r="AO493" s="2">
        <v>5165.2910802850502</v>
      </c>
      <c r="AP493" s="2">
        <v>13457.7636819783</v>
      </c>
      <c r="AQ493" s="2">
        <v>11161.9289845737</v>
      </c>
      <c r="AR493" s="2">
        <v>928.29563172773101</v>
      </c>
      <c r="AS493" s="2">
        <v>13777.375303119201</v>
      </c>
      <c r="AT493" s="2">
        <v>19613.215846767602</v>
      </c>
      <c r="AU493" s="2">
        <v>4780.07089600173</v>
      </c>
      <c r="AV493" s="2">
        <v>775.51888242031498</v>
      </c>
      <c r="AW493" s="2">
        <v>718.97062528933895</v>
      </c>
      <c r="AX493" s="2">
        <v>321699.48542225</v>
      </c>
    </row>
    <row r="494" spans="1:50" x14ac:dyDescent="0.25">
      <c r="A494" s="2" t="s">
        <v>1404</v>
      </c>
      <c r="B494" s="2">
        <v>377.00420305940901</v>
      </c>
      <c r="C494" s="2">
        <v>9.6639666666666706</v>
      </c>
      <c r="D494" s="2" t="s">
        <v>51</v>
      </c>
      <c r="E494" s="2" t="s">
        <v>1405</v>
      </c>
      <c r="F494" s="2">
        <v>211512</v>
      </c>
      <c r="G494" s="3" t="str">
        <f>HYPERLINK("https://cloud.oebiotech.com/#/lm/network/211512", "https://cloud.oebiotech.com/#/lm/network/211512")</f>
        <v>https://cloud.oebiotech.com/#/lm/network/211512</v>
      </c>
      <c r="H494" s="2" t="s">
        <v>1406</v>
      </c>
      <c r="I494" s="2"/>
      <c r="J494" s="2"/>
      <c r="K494" s="2">
        <v>56630559</v>
      </c>
      <c r="L494" s="2"/>
      <c r="M494" s="2"/>
      <c r="N494" s="2"/>
      <c r="O494" s="2"/>
      <c r="P494" s="2"/>
      <c r="Q494" s="2"/>
      <c r="R494" s="2"/>
      <c r="S494" s="2" t="s">
        <v>1407</v>
      </c>
      <c r="T494" s="2" t="s">
        <v>1408</v>
      </c>
      <c r="U494" s="2" t="s">
        <v>610</v>
      </c>
      <c r="V494" s="2" t="s">
        <v>611</v>
      </c>
      <c r="W494" s="2" t="s">
        <v>1409</v>
      </c>
      <c r="X494" s="2" t="s">
        <v>147</v>
      </c>
      <c r="Y494" s="2">
        <v>39.5</v>
      </c>
      <c r="Z494" s="2">
        <v>13.1</v>
      </c>
      <c r="AA494" s="2" t="s">
        <v>163</v>
      </c>
      <c r="AB494" s="2" t="s">
        <v>1410</v>
      </c>
      <c r="AC494" s="2">
        <v>3.2606088837808298</v>
      </c>
      <c r="AD494" s="2"/>
      <c r="AE494" s="2">
        <v>1.0527322304920601</v>
      </c>
      <c r="AF494" s="2">
        <v>116964.057072061</v>
      </c>
      <c r="AG494" s="2">
        <v>137779.53600225999</v>
      </c>
      <c r="AH494" s="4">
        <v>0.84892183894524298</v>
      </c>
      <c r="AI494" s="4">
        <v>-0.23629636532225001</v>
      </c>
      <c r="AJ494" s="4" t="s">
        <v>62</v>
      </c>
      <c r="AK494" s="2">
        <v>1.4071701369317801E-3</v>
      </c>
      <c r="AL494" s="2">
        <v>9.6009314101857798E-2</v>
      </c>
      <c r="AM494" s="2">
        <v>103889.524457726</v>
      </c>
      <c r="AN494" s="2">
        <v>113834.41805399999</v>
      </c>
      <c r="AO494" s="2">
        <v>117689.30087310199</v>
      </c>
      <c r="AP494" s="2">
        <v>120810.91361312701</v>
      </c>
      <c r="AQ494" s="2">
        <v>131276.527107448</v>
      </c>
      <c r="AR494" s="2">
        <v>114283.658326965</v>
      </c>
      <c r="AS494" s="2">
        <v>139094.87118591601</v>
      </c>
      <c r="AT494" s="2">
        <v>143494.735363377</v>
      </c>
      <c r="AU494" s="2">
        <v>124368.36998065699</v>
      </c>
      <c r="AV494" s="2">
        <v>143045.60291300699</v>
      </c>
      <c r="AW494" s="2">
        <v>134392.825040767</v>
      </c>
      <c r="AX494" s="2">
        <v>142280.811529839</v>
      </c>
    </row>
    <row r="495" spans="1:50" x14ac:dyDescent="0.25">
      <c r="A495" s="2" t="s">
        <v>3787</v>
      </c>
      <c r="B495" s="2">
        <v>545.87701326421802</v>
      </c>
      <c r="C495" s="2">
        <v>11.107799999999999</v>
      </c>
      <c r="D495" s="2" t="s">
        <v>51</v>
      </c>
      <c r="E495" s="2" t="s">
        <v>3788</v>
      </c>
      <c r="F495" s="2">
        <v>210196</v>
      </c>
      <c r="G495" s="3" t="str">
        <f>HYPERLINK("https://cloud.oebiotech.com/#/lm/network/210196", "https://cloud.oebiotech.com/#/lm/network/210196")</f>
        <v>https://cloud.oebiotech.com/#/lm/network/210196</v>
      </c>
      <c r="H495" s="2" t="s">
        <v>3789</v>
      </c>
      <c r="I495" s="2">
        <v>337803</v>
      </c>
      <c r="J495" s="2"/>
      <c r="K495" s="2">
        <v>10491</v>
      </c>
      <c r="L495" s="2"/>
      <c r="M495" s="2"/>
      <c r="N495" s="2"/>
      <c r="O495" s="2"/>
      <c r="P495" s="2"/>
      <c r="Q495" s="2"/>
      <c r="R495" s="2"/>
      <c r="S495" s="2" t="s">
        <v>3790</v>
      </c>
      <c r="T495" s="2" t="s">
        <v>3791</v>
      </c>
      <c r="U495" s="2" t="s">
        <v>1357</v>
      </c>
      <c r="V495" s="2" t="s">
        <v>3792</v>
      </c>
      <c r="W495" s="2" t="s">
        <v>240</v>
      </c>
      <c r="X495" s="2" t="s">
        <v>147</v>
      </c>
      <c r="Y495" s="2">
        <v>38.200000000000003</v>
      </c>
      <c r="Z495" s="2">
        <v>0</v>
      </c>
      <c r="AA495" s="2" t="s">
        <v>122</v>
      </c>
      <c r="AB495" s="2" t="s">
        <v>3793</v>
      </c>
      <c r="AC495" s="2">
        <v>-0.57627559529119998</v>
      </c>
      <c r="AD495" s="2"/>
      <c r="AE495" s="2">
        <v>1.05263736472138</v>
      </c>
      <c r="AF495" s="2">
        <v>160419.30046058801</v>
      </c>
      <c r="AG495" s="2">
        <v>190418.97261826901</v>
      </c>
      <c r="AH495" s="4">
        <v>0.84245439545658496</v>
      </c>
      <c r="AI495" s="4">
        <v>-0.24732950382063101</v>
      </c>
      <c r="AJ495" s="4" t="s">
        <v>62</v>
      </c>
      <c r="AK495" s="2">
        <v>0.121015678067966</v>
      </c>
      <c r="AL495" s="2">
        <v>0.43807021464727303</v>
      </c>
      <c r="AM495" s="2">
        <v>118017.260976012</v>
      </c>
      <c r="AN495" s="2">
        <v>146220.96206348299</v>
      </c>
      <c r="AO495" s="2">
        <v>149138.24109015099</v>
      </c>
      <c r="AP495" s="2">
        <v>172449.64477415601</v>
      </c>
      <c r="AQ495" s="2">
        <v>207326.41639108301</v>
      </c>
      <c r="AR495" s="2">
        <v>169363.277468641</v>
      </c>
      <c r="AS495" s="2">
        <v>230874.45691612401</v>
      </c>
      <c r="AT495" s="2">
        <v>220163.805876778</v>
      </c>
      <c r="AU495" s="2">
        <v>153051.33088708299</v>
      </c>
      <c r="AV495" s="2">
        <v>160707.48975916501</v>
      </c>
      <c r="AW495" s="2">
        <v>184118.323360329</v>
      </c>
      <c r="AX495" s="2">
        <v>193598.42891013401</v>
      </c>
    </row>
    <row r="496" spans="1:50" x14ac:dyDescent="0.25">
      <c r="A496" s="2" t="s">
        <v>1411</v>
      </c>
      <c r="B496" s="2">
        <v>129.04650000000001</v>
      </c>
      <c r="C496" s="2">
        <v>28.181000000000001</v>
      </c>
      <c r="D496" s="2" t="s">
        <v>125</v>
      </c>
      <c r="E496" s="2" t="s">
        <v>1412</v>
      </c>
      <c r="F496" s="2">
        <v>43411</v>
      </c>
      <c r="G496" s="3" t="str">
        <f>HYPERLINK("https://cloud.oebiotech.com/#/lm/network/43411", "https://cloud.oebiotech.com/#/lm/network/43411")</f>
        <v>https://cloud.oebiotech.com/#/lm/network/43411</v>
      </c>
      <c r="H496" s="2" t="s">
        <v>1413</v>
      </c>
      <c r="I496" s="2">
        <v>163</v>
      </c>
      <c r="J496" s="2" t="s">
        <v>1414</v>
      </c>
      <c r="K496" s="2">
        <v>5997</v>
      </c>
      <c r="L496" s="2" t="s">
        <v>1415</v>
      </c>
      <c r="M496" s="2" t="s">
        <v>1416</v>
      </c>
      <c r="N496" s="2" t="s">
        <v>1417</v>
      </c>
      <c r="O496" s="2">
        <v>16113</v>
      </c>
      <c r="P496" s="2" t="s">
        <v>1418</v>
      </c>
      <c r="Q496" s="2" t="s">
        <v>1419</v>
      </c>
      <c r="R496" s="2" t="s">
        <v>1420</v>
      </c>
      <c r="S496" s="2" t="s">
        <v>1421</v>
      </c>
      <c r="T496" s="2" t="s">
        <v>1422</v>
      </c>
      <c r="U496" s="2" t="s">
        <v>56</v>
      </c>
      <c r="V496" s="2" t="s">
        <v>283</v>
      </c>
      <c r="W496" s="2" t="s">
        <v>1108</v>
      </c>
      <c r="X496" s="2" t="s">
        <v>69</v>
      </c>
      <c r="Y496" s="2">
        <v>94</v>
      </c>
      <c r="Z496" s="2">
        <v>99.5</v>
      </c>
      <c r="AA496" s="2"/>
      <c r="AB496" s="2" t="s">
        <v>1423</v>
      </c>
      <c r="AC496" s="2"/>
      <c r="AD496" s="2">
        <v>1121350.1944728801</v>
      </c>
      <c r="AE496" s="2">
        <v>1.05225418771609</v>
      </c>
      <c r="AF496" s="2">
        <v>2707413.1946915002</v>
      </c>
      <c r="AG496" s="2">
        <v>2453736.1579420599</v>
      </c>
      <c r="AH496" s="5">
        <v>1.1033839909512499</v>
      </c>
      <c r="AI496" s="5">
        <v>0.141934953607218</v>
      </c>
      <c r="AJ496" s="5" t="s">
        <v>139</v>
      </c>
      <c r="AK496" s="2">
        <v>1.6754078371741098E-2</v>
      </c>
      <c r="AL496" s="2">
        <v>0.20509064596500401</v>
      </c>
      <c r="AM496" s="2">
        <v>2516398.5826416998</v>
      </c>
      <c r="AN496" s="2">
        <v>2953874.96840702</v>
      </c>
      <c r="AO496" s="2">
        <v>2701751.3188261501</v>
      </c>
      <c r="AP496" s="2">
        <v>2861514.4600940701</v>
      </c>
      <c r="AQ496" s="2">
        <v>2527527.6924101198</v>
      </c>
      <c r="AR496" s="2">
        <v>2683412.1457699402</v>
      </c>
      <c r="AS496" s="2">
        <v>2554418.4961868399</v>
      </c>
      <c r="AT496" s="2">
        <v>2554043.2981992099</v>
      </c>
      <c r="AU496" s="2">
        <v>2216476.0583613901</v>
      </c>
      <c r="AV496" s="2">
        <v>2425932.8844892099</v>
      </c>
      <c r="AW496" s="2">
        <v>2457432.79761635</v>
      </c>
      <c r="AX496" s="2">
        <v>2514113.41279935</v>
      </c>
    </row>
    <row r="497" spans="1:50" x14ac:dyDescent="0.25">
      <c r="A497" s="2" t="s">
        <v>3794</v>
      </c>
      <c r="B497" s="2">
        <v>337.238357938636</v>
      </c>
      <c r="C497" s="2">
        <v>9.3404333333333298</v>
      </c>
      <c r="D497" s="2" t="s">
        <v>51</v>
      </c>
      <c r="E497" s="2" t="s">
        <v>3795</v>
      </c>
      <c r="F497" s="2">
        <v>3736</v>
      </c>
      <c r="G497" s="3" t="str">
        <f>HYPERLINK("https://cloud.oebiotech.com/#/lm/network/3736", "https://cloud.oebiotech.com/#/lm/network/3736")</f>
        <v>https://cloud.oebiotech.com/#/lm/network/3736</v>
      </c>
      <c r="H497" s="2" t="s">
        <v>3796</v>
      </c>
      <c r="I497" s="2">
        <v>408</v>
      </c>
      <c r="J497" s="2" t="s">
        <v>3797</v>
      </c>
      <c r="K497" s="2">
        <v>5280388</v>
      </c>
      <c r="L497" s="2" t="s">
        <v>3798</v>
      </c>
      <c r="M497" s="2"/>
      <c r="N497" s="2"/>
      <c r="O497" s="2">
        <v>27624</v>
      </c>
      <c r="P497" s="2"/>
      <c r="Q497" s="2"/>
      <c r="R497" s="2" t="s">
        <v>3799</v>
      </c>
      <c r="S497" s="2" t="s">
        <v>3800</v>
      </c>
      <c r="T497" s="2" t="s">
        <v>3801</v>
      </c>
      <c r="U497" s="2" t="s">
        <v>56</v>
      </c>
      <c r="V497" s="2" t="s">
        <v>145</v>
      </c>
      <c r="W497" s="2" t="s">
        <v>187</v>
      </c>
      <c r="X497" s="2" t="s">
        <v>69</v>
      </c>
      <c r="Y497" s="2">
        <v>71.900000000000006</v>
      </c>
      <c r="Z497" s="2">
        <v>82.8</v>
      </c>
      <c r="AA497" s="2" t="s">
        <v>259</v>
      </c>
      <c r="AB497" s="2" t="s">
        <v>188</v>
      </c>
      <c r="AC497" s="2">
        <v>3.03959187098501</v>
      </c>
      <c r="AD497" s="2"/>
      <c r="AE497" s="2">
        <v>1.0516801355929799</v>
      </c>
      <c r="AF497" s="2">
        <v>82345.711827218198</v>
      </c>
      <c r="AG497" s="2">
        <v>53603.897118660803</v>
      </c>
      <c r="AH497" s="5">
        <v>1.5361889014325401</v>
      </c>
      <c r="AI497" s="5">
        <v>0.61935563168618202</v>
      </c>
      <c r="AJ497" s="5" t="s">
        <v>139</v>
      </c>
      <c r="AK497" s="2">
        <v>0.121083581309782</v>
      </c>
      <c r="AL497" s="2">
        <v>0.43807021464727303</v>
      </c>
      <c r="AM497" s="2">
        <v>127392.81594901699</v>
      </c>
      <c r="AN497" s="2">
        <v>99824.818295400299</v>
      </c>
      <c r="AO497" s="2">
        <v>57696.0424274584</v>
      </c>
      <c r="AP497" s="2">
        <v>62741.075654344502</v>
      </c>
      <c r="AQ497" s="2">
        <v>70952.679688362303</v>
      </c>
      <c r="AR497" s="2">
        <v>75466.838948726901</v>
      </c>
      <c r="AS497" s="2">
        <v>40359.710578543498</v>
      </c>
      <c r="AT497" s="2">
        <v>19871.861810455299</v>
      </c>
      <c r="AU497" s="2">
        <v>111536.757606895</v>
      </c>
      <c r="AV497" s="2">
        <v>35591.762071290199</v>
      </c>
      <c r="AW497" s="2">
        <v>64585.808822754399</v>
      </c>
      <c r="AX497" s="2">
        <v>49677.481822026602</v>
      </c>
    </row>
    <row r="498" spans="1:50" x14ac:dyDescent="0.25">
      <c r="A498" s="2" t="s">
        <v>3802</v>
      </c>
      <c r="B498" s="2">
        <v>157.09760796235301</v>
      </c>
      <c r="C498" s="2">
        <v>0.74455000000000005</v>
      </c>
      <c r="D498" s="2" t="s">
        <v>51</v>
      </c>
      <c r="E498" s="2" t="s">
        <v>3803</v>
      </c>
      <c r="F498" s="2">
        <v>48074</v>
      </c>
      <c r="G498" s="3" t="str">
        <f>HYPERLINK("https://cloud.oebiotech.com/#/lm/network/48074", "https://cloud.oebiotech.com/#/lm/network/48074")</f>
        <v>https://cloud.oebiotech.com/#/lm/network/48074</v>
      </c>
      <c r="H498" s="2" t="s">
        <v>3804</v>
      </c>
      <c r="I498" s="2">
        <v>3303</v>
      </c>
      <c r="J498" s="2"/>
      <c r="K498" s="2">
        <v>439232</v>
      </c>
      <c r="L498" s="2" t="s">
        <v>3805</v>
      </c>
      <c r="M498" s="2" t="s">
        <v>3806</v>
      </c>
      <c r="N498" s="2" t="s">
        <v>3807</v>
      </c>
      <c r="O498" s="2">
        <v>16543</v>
      </c>
      <c r="P498" s="2"/>
      <c r="Q498" s="2"/>
      <c r="R498" s="2" t="s">
        <v>3808</v>
      </c>
      <c r="S498" s="2" t="s">
        <v>3809</v>
      </c>
      <c r="T498" s="2" t="s">
        <v>3810</v>
      </c>
      <c r="U498" s="2" t="s">
        <v>103</v>
      </c>
      <c r="V498" s="2" t="s">
        <v>104</v>
      </c>
      <c r="W498" s="2" t="s">
        <v>105</v>
      </c>
      <c r="X498" s="2" t="s">
        <v>83</v>
      </c>
      <c r="Y498" s="2">
        <v>51.2</v>
      </c>
      <c r="Z498" s="2">
        <v>27.4</v>
      </c>
      <c r="AA498" s="2" t="s">
        <v>179</v>
      </c>
      <c r="AB498" s="2" t="s">
        <v>3811</v>
      </c>
      <c r="AC498" s="2">
        <v>2.6070875370367501</v>
      </c>
      <c r="AD498" s="2"/>
      <c r="AE498" s="2">
        <v>1.05007710193689</v>
      </c>
      <c r="AF498" s="2">
        <v>45061.901668762599</v>
      </c>
      <c r="AG498" s="2">
        <v>76596.995893880099</v>
      </c>
      <c r="AH498" s="4">
        <v>0.58829855065324999</v>
      </c>
      <c r="AI498" s="4">
        <v>-0.76537961289068202</v>
      </c>
      <c r="AJ498" s="4" t="s">
        <v>62</v>
      </c>
      <c r="AK498" s="2">
        <v>6.0430828975004E-2</v>
      </c>
      <c r="AL498" s="2">
        <v>0.33189438633172902</v>
      </c>
      <c r="AM498" s="2">
        <v>41665.433306174797</v>
      </c>
      <c r="AN498" s="2">
        <v>53180.208148304599</v>
      </c>
      <c r="AO498" s="2">
        <v>35096.6755869466</v>
      </c>
      <c r="AP498" s="2">
        <v>40277.740330521599</v>
      </c>
      <c r="AQ498" s="2">
        <v>59870.376480015701</v>
      </c>
      <c r="AR498" s="2">
        <v>40280.976160612401</v>
      </c>
      <c r="AS498" s="2">
        <v>29477.587285185698</v>
      </c>
      <c r="AT498" s="2">
        <v>50362.971625032398</v>
      </c>
      <c r="AU498" s="2">
        <v>68267.665741175602</v>
      </c>
      <c r="AV498" s="2">
        <v>108287.42282542901</v>
      </c>
      <c r="AW498" s="2">
        <v>79347.797501031193</v>
      </c>
      <c r="AX498" s="2">
        <v>123838.530385427</v>
      </c>
    </row>
    <row r="499" spans="1:50" x14ac:dyDescent="0.25">
      <c r="A499" s="2" t="s">
        <v>3812</v>
      </c>
      <c r="B499" s="2">
        <v>293.21231669856502</v>
      </c>
      <c r="C499" s="2">
        <v>10.2258</v>
      </c>
      <c r="D499" s="2" t="s">
        <v>51</v>
      </c>
      <c r="E499" s="2" t="s">
        <v>3813</v>
      </c>
      <c r="F499" s="2">
        <v>2983</v>
      </c>
      <c r="G499" s="3" t="str">
        <f>HYPERLINK("https://cloud.oebiotech.com/#/lm/network/2983", "https://cloud.oebiotech.com/#/lm/network/2983")</f>
        <v>https://cloud.oebiotech.com/#/lm/network/2983</v>
      </c>
      <c r="H499" s="2"/>
      <c r="I499" s="2">
        <v>36030</v>
      </c>
      <c r="J499" s="2" t="s">
        <v>3814</v>
      </c>
      <c r="K499" s="2">
        <v>6439873</v>
      </c>
      <c r="L499" s="2" t="s">
        <v>3815</v>
      </c>
      <c r="M499" s="2" t="s">
        <v>3816</v>
      </c>
      <c r="N499" s="2" t="s">
        <v>3817</v>
      </c>
      <c r="O499" s="2">
        <v>80447</v>
      </c>
      <c r="P499" s="2"/>
      <c r="Q499" s="2"/>
      <c r="R499" s="2" t="s">
        <v>3818</v>
      </c>
      <c r="S499" s="2" t="s">
        <v>3819</v>
      </c>
      <c r="T499" s="2" t="s">
        <v>3820</v>
      </c>
      <c r="U499" s="2" t="s">
        <v>56</v>
      </c>
      <c r="V499" s="2" t="s">
        <v>145</v>
      </c>
      <c r="W499" s="2" t="s">
        <v>203</v>
      </c>
      <c r="X499" s="2" t="s">
        <v>69</v>
      </c>
      <c r="Y499" s="2">
        <v>56.6</v>
      </c>
      <c r="Z499" s="2">
        <v>58.4</v>
      </c>
      <c r="AA499" s="2" t="s">
        <v>298</v>
      </c>
      <c r="AB499" s="2" t="s">
        <v>1722</v>
      </c>
      <c r="AC499" s="2">
        <v>0.33413756464816502</v>
      </c>
      <c r="AD499" s="2"/>
      <c r="AE499" s="2">
        <v>1.04988040122112</v>
      </c>
      <c r="AF499" s="2">
        <v>120360.488423748</v>
      </c>
      <c r="AG499" s="2">
        <v>220567.07486927201</v>
      </c>
      <c r="AH499" s="4">
        <v>0.54568656040383601</v>
      </c>
      <c r="AI499" s="4">
        <v>-0.87385558256310403</v>
      </c>
      <c r="AJ499" s="4" t="s">
        <v>62</v>
      </c>
      <c r="AK499" s="2">
        <v>0.30313649757181299</v>
      </c>
      <c r="AL499" s="2">
        <v>0.61277541235405297</v>
      </c>
      <c r="AM499" s="2">
        <v>153576.18054207301</v>
      </c>
      <c r="AN499" s="2">
        <v>187922.83863303901</v>
      </c>
      <c r="AO499" s="2">
        <v>110710.51463588</v>
      </c>
      <c r="AP499" s="2">
        <v>64834.243663507601</v>
      </c>
      <c r="AQ499" s="2">
        <v>102781.501322335</v>
      </c>
      <c r="AR499" s="2">
        <v>102337.651745656</v>
      </c>
      <c r="AS499" s="2">
        <v>122918.61416356701</v>
      </c>
      <c r="AT499" s="2">
        <v>48125.049026654597</v>
      </c>
      <c r="AU499" s="2">
        <v>660583.87570004002</v>
      </c>
      <c r="AV499" s="2">
        <v>198095.907311619</v>
      </c>
      <c r="AW499" s="2">
        <v>177430.020765644</v>
      </c>
      <c r="AX499" s="2">
        <v>116248.982248108</v>
      </c>
    </row>
    <row r="500" spans="1:50" x14ac:dyDescent="0.25">
      <c r="A500" s="2" t="s">
        <v>3821</v>
      </c>
      <c r="B500" s="2">
        <v>146.04483195662101</v>
      </c>
      <c r="C500" s="2">
        <v>0.68473333333333297</v>
      </c>
      <c r="D500" s="2" t="s">
        <v>51</v>
      </c>
      <c r="E500" s="2" t="s">
        <v>3822</v>
      </c>
      <c r="F500" s="2">
        <v>46895</v>
      </c>
      <c r="G500" s="3" t="str">
        <f>HYPERLINK("https://cloud.oebiotech.com/#/lm/network/46895", "https://cloud.oebiotech.com/#/lm/network/46895")</f>
        <v>https://cloud.oebiotech.com/#/lm/network/46895</v>
      </c>
      <c r="H500" s="2" t="s">
        <v>3823</v>
      </c>
      <c r="I500" s="2">
        <v>19</v>
      </c>
      <c r="J500" s="2"/>
      <c r="K500" s="2">
        <v>33032</v>
      </c>
      <c r="L500" s="2" t="s">
        <v>3824</v>
      </c>
      <c r="M500" s="2" t="s">
        <v>3825</v>
      </c>
      <c r="N500" s="2" t="s">
        <v>3826</v>
      </c>
      <c r="O500" s="2">
        <v>16015</v>
      </c>
      <c r="P500" s="2"/>
      <c r="Q500" s="2"/>
      <c r="R500" s="2" t="s">
        <v>3827</v>
      </c>
      <c r="S500" s="2" t="s">
        <v>3828</v>
      </c>
      <c r="T500" s="2" t="s">
        <v>3829</v>
      </c>
      <c r="U500" s="2" t="s">
        <v>103</v>
      </c>
      <c r="V500" s="2" t="s">
        <v>104</v>
      </c>
      <c r="W500" s="2" t="s">
        <v>105</v>
      </c>
      <c r="X500" s="2" t="s">
        <v>69</v>
      </c>
      <c r="Y500" s="2">
        <v>57</v>
      </c>
      <c r="Z500" s="2">
        <v>90.7</v>
      </c>
      <c r="AA500" s="2" t="s">
        <v>163</v>
      </c>
      <c r="AB500" s="2" t="s">
        <v>1899</v>
      </c>
      <c r="AC500" s="2">
        <v>-7.1360796656963998</v>
      </c>
      <c r="AD500" s="2"/>
      <c r="AE500" s="2">
        <v>1.0496486284470401</v>
      </c>
      <c r="AF500" s="2">
        <v>595530.62997599004</v>
      </c>
      <c r="AG500" s="2">
        <v>547382.78360242199</v>
      </c>
      <c r="AH500" s="5">
        <v>1.0879601036347899</v>
      </c>
      <c r="AI500" s="5">
        <v>0.12162565277981199</v>
      </c>
      <c r="AJ500" s="5" t="s">
        <v>139</v>
      </c>
      <c r="AK500" s="2">
        <v>0.67482566865343496</v>
      </c>
      <c r="AL500" s="2">
        <v>0.84259510330444198</v>
      </c>
      <c r="AM500" s="2">
        <v>768743.51019015303</v>
      </c>
      <c r="AN500" s="2">
        <v>940540.66943433299</v>
      </c>
      <c r="AO500" s="2">
        <v>431452.86442680901</v>
      </c>
      <c r="AP500" s="2">
        <v>596398.989042831</v>
      </c>
      <c r="AQ500" s="2">
        <v>496583.98182597</v>
      </c>
      <c r="AR500" s="2">
        <v>339463.76493584202</v>
      </c>
      <c r="AS500" s="2">
        <v>329785.67066587298</v>
      </c>
      <c r="AT500" s="2">
        <v>526570.66837502096</v>
      </c>
      <c r="AU500" s="2">
        <v>696023.32599316095</v>
      </c>
      <c r="AV500" s="2">
        <v>475816.61485377699</v>
      </c>
      <c r="AW500" s="2">
        <v>756744.62650669296</v>
      </c>
      <c r="AX500" s="2">
        <v>499355.79522000899</v>
      </c>
    </row>
    <row r="501" spans="1:50" x14ac:dyDescent="0.25">
      <c r="A501" s="2" t="s">
        <v>1424</v>
      </c>
      <c r="B501" s="2">
        <v>131.07026633509301</v>
      </c>
      <c r="C501" s="2">
        <v>4.5102333333333302</v>
      </c>
      <c r="D501" s="2" t="s">
        <v>51</v>
      </c>
      <c r="E501" s="2" t="s">
        <v>1425</v>
      </c>
      <c r="F501" s="2">
        <v>1866</v>
      </c>
      <c r="G501" s="3" t="str">
        <f>HYPERLINK("https://cloud.oebiotech.com/#/lm/network/1866", "https://cloud.oebiotech.com/#/lm/network/1866")</f>
        <v>https://cloud.oebiotech.com/#/lm/network/1866</v>
      </c>
      <c r="H501" s="2" t="s">
        <v>1426</v>
      </c>
      <c r="I501" s="2">
        <v>45843</v>
      </c>
      <c r="J501" s="2" t="s">
        <v>1427</v>
      </c>
      <c r="K501" s="2">
        <v>10796774</v>
      </c>
      <c r="L501" s="2"/>
      <c r="M501" s="2"/>
      <c r="N501" s="2"/>
      <c r="O501" s="2">
        <v>89228</v>
      </c>
      <c r="P501" s="2"/>
      <c r="Q501" s="2"/>
      <c r="R501" s="2" t="s">
        <v>1428</v>
      </c>
      <c r="S501" s="2" t="s">
        <v>1429</v>
      </c>
      <c r="T501" s="2" t="s">
        <v>1430</v>
      </c>
      <c r="U501" s="2" t="s">
        <v>56</v>
      </c>
      <c r="V501" s="2" t="s">
        <v>145</v>
      </c>
      <c r="W501" s="2" t="s">
        <v>231</v>
      </c>
      <c r="X501" s="2" t="s">
        <v>69</v>
      </c>
      <c r="Y501" s="2">
        <v>57.7</v>
      </c>
      <c r="Z501" s="2">
        <v>80.8</v>
      </c>
      <c r="AA501" s="2" t="s">
        <v>163</v>
      </c>
      <c r="AB501" s="2" t="s">
        <v>1431</v>
      </c>
      <c r="AC501" s="2">
        <v>-8.3395497673123309</v>
      </c>
      <c r="AD501" s="2"/>
      <c r="AE501" s="2">
        <v>1.0488842705383401</v>
      </c>
      <c r="AF501" s="2">
        <v>89067.734866350904</v>
      </c>
      <c r="AG501" s="2">
        <v>55967.331624532002</v>
      </c>
      <c r="AH501" s="5">
        <v>1.5914236444910299</v>
      </c>
      <c r="AI501" s="5">
        <v>0.67031793903054704</v>
      </c>
      <c r="AJ501" s="5" t="s">
        <v>139</v>
      </c>
      <c r="AK501" s="2">
        <v>3.08069538549216E-2</v>
      </c>
      <c r="AL501" s="2">
        <v>0.26142937464104898</v>
      </c>
      <c r="AM501" s="2">
        <v>102976.34504064301</v>
      </c>
      <c r="AN501" s="2">
        <v>57721.239484936399</v>
      </c>
      <c r="AO501" s="2">
        <v>71672.583017843805</v>
      </c>
      <c r="AP501" s="2">
        <v>124186.73162991001</v>
      </c>
      <c r="AQ501" s="2">
        <v>119884.286159186</v>
      </c>
      <c r="AR501" s="2">
        <v>57965.223865585998</v>
      </c>
      <c r="AS501" s="2">
        <v>53298.108987961801</v>
      </c>
      <c r="AT501" s="2">
        <v>74478.904131831805</v>
      </c>
      <c r="AU501" s="2">
        <v>55342.112105784901</v>
      </c>
      <c r="AV501" s="2">
        <v>59335.5405166407</v>
      </c>
      <c r="AW501" s="2">
        <v>51453.774105185403</v>
      </c>
      <c r="AX501" s="2">
        <v>41895.549899787598</v>
      </c>
    </row>
    <row r="502" spans="1:50" x14ac:dyDescent="0.25">
      <c r="A502" s="2" t="s">
        <v>3830</v>
      </c>
      <c r="B502" s="2">
        <v>496.376262891122</v>
      </c>
      <c r="C502" s="2">
        <v>12.11665</v>
      </c>
      <c r="D502" s="2" t="s">
        <v>51</v>
      </c>
      <c r="E502" s="2" t="s">
        <v>3831</v>
      </c>
      <c r="F502" s="2">
        <v>266505</v>
      </c>
      <c r="G502" s="3" t="str">
        <f>HYPERLINK("https://cloud.oebiotech.com/#/lm/network/266505", "https://cloud.oebiotech.com/#/lm/network/266505")</f>
        <v>https://cloud.oebiotech.com/#/lm/network/266505</v>
      </c>
      <c r="H502" s="2"/>
      <c r="I502" s="2">
        <v>43417</v>
      </c>
      <c r="J502" s="2"/>
      <c r="K502" s="2">
        <v>127599</v>
      </c>
      <c r="L502" s="2"/>
      <c r="M502" s="2"/>
      <c r="N502" s="2"/>
      <c r="O502" s="2"/>
      <c r="P502" s="2"/>
      <c r="Q502" s="2"/>
      <c r="R502" s="2" t="s">
        <v>3832</v>
      </c>
      <c r="S502" s="2" t="s">
        <v>3833</v>
      </c>
      <c r="T502" s="2" t="s">
        <v>3834</v>
      </c>
      <c r="U502" s="2" t="s">
        <v>56</v>
      </c>
      <c r="V502" s="2" t="s">
        <v>57</v>
      </c>
      <c r="W502" s="2" t="s">
        <v>58</v>
      </c>
      <c r="X502" s="2" t="s">
        <v>147</v>
      </c>
      <c r="Y502" s="2">
        <v>38.1</v>
      </c>
      <c r="Z502" s="2">
        <v>0</v>
      </c>
      <c r="AA502" s="2" t="s">
        <v>259</v>
      </c>
      <c r="AB502" s="2" t="s">
        <v>3835</v>
      </c>
      <c r="AC502" s="2">
        <v>0.22483282079318601</v>
      </c>
      <c r="AD502" s="2"/>
      <c r="AE502" s="2">
        <v>1.04572260042306</v>
      </c>
      <c r="AF502" s="2">
        <v>48399.007713027997</v>
      </c>
      <c r="AG502" s="2">
        <v>21356.713359772999</v>
      </c>
      <c r="AH502" s="5">
        <v>2.2662198484243898</v>
      </c>
      <c r="AI502" s="5">
        <v>1.1802878253448399</v>
      </c>
      <c r="AJ502" s="5" t="s">
        <v>139</v>
      </c>
      <c r="AK502" s="2">
        <v>0.19008689118994199</v>
      </c>
      <c r="AL502" s="2">
        <v>0.51390977823073003</v>
      </c>
      <c r="AM502" s="2">
        <v>95022.335257117593</v>
      </c>
      <c r="AN502" s="2">
        <v>84102.953064368194</v>
      </c>
      <c r="AO502" s="2">
        <v>21582.396862820598</v>
      </c>
      <c r="AP502" s="2">
        <v>3602.585809363</v>
      </c>
      <c r="AQ502" s="2">
        <v>44531.192283559503</v>
      </c>
      <c r="AR502" s="2">
        <v>41552.583000939398</v>
      </c>
      <c r="AS502" s="2">
        <v>4130.2871035603002</v>
      </c>
      <c r="AT502" s="2">
        <v>5140.2384659794598</v>
      </c>
      <c r="AU502" s="2">
        <v>81334.167989945898</v>
      </c>
      <c r="AV502" s="2">
        <v>3520.49015634752</v>
      </c>
      <c r="AW502" s="2">
        <v>30272.317669360102</v>
      </c>
      <c r="AX502" s="2">
        <v>3742.7787734448698</v>
      </c>
    </row>
    <row r="503" spans="1:50" x14ac:dyDescent="0.25">
      <c r="A503" s="2" t="s">
        <v>1432</v>
      </c>
      <c r="B503" s="2">
        <v>219.138665779082</v>
      </c>
      <c r="C503" s="2">
        <v>9.3200333333333294</v>
      </c>
      <c r="D503" s="2" t="s">
        <v>51</v>
      </c>
      <c r="E503" s="2" t="s">
        <v>1433</v>
      </c>
      <c r="F503" s="2">
        <v>753</v>
      </c>
      <c r="G503" s="3" t="str">
        <f>HYPERLINK("https://cloud.oebiotech.com/#/lm/network/753", "https://cloud.oebiotech.com/#/lm/network/753")</f>
        <v>https://cloud.oebiotech.com/#/lm/network/753</v>
      </c>
      <c r="H503" s="2"/>
      <c r="I503" s="2">
        <v>34922</v>
      </c>
      <c r="J503" s="2" t="s">
        <v>1434</v>
      </c>
      <c r="K503" s="2">
        <v>5312410</v>
      </c>
      <c r="L503" s="2"/>
      <c r="M503" s="2"/>
      <c r="N503" s="2"/>
      <c r="O503" s="2"/>
      <c r="P503" s="2"/>
      <c r="Q503" s="2"/>
      <c r="R503" s="2"/>
      <c r="S503" s="2" t="s">
        <v>1435</v>
      </c>
      <c r="T503" s="2" t="s">
        <v>1436</v>
      </c>
      <c r="U503" s="2" t="s">
        <v>56</v>
      </c>
      <c r="V503" s="2" t="s">
        <v>145</v>
      </c>
      <c r="W503" s="2" t="s">
        <v>231</v>
      </c>
      <c r="X503" s="2" t="s">
        <v>69</v>
      </c>
      <c r="Y503" s="2">
        <v>65.900000000000006</v>
      </c>
      <c r="Z503" s="2">
        <v>83.3</v>
      </c>
      <c r="AA503" s="2" t="s">
        <v>259</v>
      </c>
      <c r="AB503" s="2" t="s">
        <v>1437</v>
      </c>
      <c r="AC503" s="2">
        <v>3.2527781168740799</v>
      </c>
      <c r="AD503" s="2"/>
      <c r="AE503" s="2">
        <v>1.0427362257131101</v>
      </c>
      <c r="AF503" s="2">
        <v>47092.259315702999</v>
      </c>
      <c r="AG503" s="2">
        <v>25544.606877289501</v>
      </c>
      <c r="AH503" s="5">
        <v>1.8435303992707099</v>
      </c>
      <c r="AI503" s="5">
        <v>0.88247120624215103</v>
      </c>
      <c r="AJ503" s="5" t="s">
        <v>139</v>
      </c>
      <c r="AK503" s="2">
        <v>1.87071949563462E-3</v>
      </c>
      <c r="AL503" s="2">
        <v>0.10025137111515001</v>
      </c>
      <c r="AM503" s="2">
        <v>49273.569647828197</v>
      </c>
      <c r="AN503" s="2">
        <v>56191.938610156903</v>
      </c>
      <c r="AO503" s="2">
        <v>49148.278742459603</v>
      </c>
      <c r="AP503" s="2">
        <v>37015.260706896697</v>
      </c>
      <c r="AQ503" s="2">
        <v>45752.255459860302</v>
      </c>
      <c r="AR503" s="2">
        <v>45172.252727016297</v>
      </c>
      <c r="AS503" s="2">
        <v>42334.027598221699</v>
      </c>
      <c r="AT503" s="2">
        <v>24479.3982224996</v>
      </c>
      <c r="AU503" s="2">
        <v>33545.3177170333</v>
      </c>
      <c r="AV503" s="2">
        <v>12376.877751199299</v>
      </c>
      <c r="AW503" s="2">
        <v>17098.037303383298</v>
      </c>
      <c r="AX503" s="2">
        <v>23433.982671400001</v>
      </c>
    </row>
    <row r="504" spans="1:50" x14ac:dyDescent="0.25">
      <c r="A504" s="2" t="s">
        <v>1438</v>
      </c>
      <c r="B504" s="2">
        <v>353.23353180451198</v>
      </c>
      <c r="C504" s="2">
        <v>7.3126499999999997</v>
      </c>
      <c r="D504" s="2" t="s">
        <v>51</v>
      </c>
      <c r="E504" s="2" t="s">
        <v>1439</v>
      </c>
      <c r="F504" s="2">
        <v>3634</v>
      </c>
      <c r="G504" s="3" t="str">
        <f>HYPERLINK("https://cloud.oebiotech.com/#/lm/network/3634", "https://cloud.oebiotech.com/#/lm/network/3634")</f>
        <v>https://cloud.oebiotech.com/#/lm/network/3634</v>
      </c>
      <c r="H504" s="2" t="s">
        <v>1440</v>
      </c>
      <c r="I504" s="2">
        <v>36085</v>
      </c>
      <c r="J504" s="2" t="s">
        <v>1441</v>
      </c>
      <c r="K504" s="2">
        <v>5280363</v>
      </c>
      <c r="L504" s="2" t="s">
        <v>1442</v>
      </c>
      <c r="M504" s="2" t="s">
        <v>1443</v>
      </c>
      <c r="N504" s="2" t="s">
        <v>1444</v>
      </c>
      <c r="O504" s="2">
        <v>15553</v>
      </c>
      <c r="P504" s="2" t="s">
        <v>1445</v>
      </c>
      <c r="Q504" s="2" t="s">
        <v>1446</v>
      </c>
      <c r="R504" s="2" t="s">
        <v>1447</v>
      </c>
      <c r="S504" s="2" t="s">
        <v>1448</v>
      </c>
      <c r="T504" s="2" t="s">
        <v>1449</v>
      </c>
      <c r="U504" s="2" t="s">
        <v>56</v>
      </c>
      <c r="V504" s="2" t="s">
        <v>145</v>
      </c>
      <c r="W504" s="2" t="s">
        <v>187</v>
      </c>
      <c r="X504" s="2" t="s">
        <v>69</v>
      </c>
      <c r="Y504" s="2">
        <v>56.7</v>
      </c>
      <c r="Z504" s="2">
        <v>60.5</v>
      </c>
      <c r="AA504" s="2" t="s">
        <v>163</v>
      </c>
      <c r="AB504" s="2" t="s">
        <v>550</v>
      </c>
      <c r="AC504" s="2">
        <v>0.51955738273557095</v>
      </c>
      <c r="AD504" s="2"/>
      <c r="AE504" s="2">
        <v>1.0413098077925</v>
      </c>
      <c r="AF504" s="2">
        <v>62483.313468522298</v>
      </c>
      <c r="AG504" s="2">
        <v>34613.345278276603</v>
      </c>
      <c r="AH504" s="5">
        <v>1.8051798508980601</v>
      </c>
      <c r="AI504" s="5">
        <v>0.85214258064304904</v>
      </c>
      <c r="AJ504" s="5" t="s">
        <v>139</v>
      </c>
      <c r="AK504" s="2">
        <v>6.5691372165124599E-3</v>
      </c>
      <c r="AL504" s="2">
        <v>0.13578099011431899</v>
      </c>
      <c r="AM504" s="2">
        <v>47912.302309000501</v>
      </c>
      <c r="AN504" s="2">
        <v>76509.597790062704</v>
      </c>
      <c r="AO504" s="2">
        <v>72544.256903587506</v>
      </c>
      <c r="AP504" s="2">
        <v>73588.743022477996</v>
      </c>
      <c r="AQ504" s="2">
        <v>48528.443797610998</v>
      </c>
      <c r="AR504" s="2">
        <v>55816.5369883944</v>
      </c>
      <c r="AS504" s="2">
        <v>44898.464427328603</v>
      </c>
      <c r="AT504" s="2">
        <v>22136.345540573799</v>
      </c>
      <c r="AU504" s="2">
        <v>51952.546999406899</v>
      </c>
      <c r="AV504" s="2">
        <v>14825.1331467483</v>
      </c>
      <c r="AW504" s="2">
        <v>45802.357076060798</v>
      </c>
      <c r="AX504" s="2">
        <v>28065.224479541401</v>
      </c>
    </row>
    <row r="505" spans="1:50" x14ac:dyDescent="0.25">
      <c r="A505" s="2" t="s">
        <v>3836</v>
      </c>
      <c r="B505" s="2">
        <v>329.160236367979</v>
      </c>
      <c r="C505" s="2">
        <v>11.75825</v>
      </c>
      <c r="D505" s="2" t="s">
        <v>51</v>
      </c>
      <c r="E505" s="2" t="s">
        <v>3837</v>
      </c>
      <c r="F505" s="2">
        <v>59654</v>
      </c>
      <c r="G505" s="3" t="str">
        <f>HYPERLINK("https://cloud.oebiotech.com/#/lm/network/59654", "https://cloud.oebiotech.com/#/lm/network/59654")</f>
        <v>https://cloud.oebiotech.com/#/lm/network/59654</v>
      </c>
      <c r="H505" s="2" t="s">
        <v>3838</v>
      </c>
      <c r="I505" s="2">
        <v>91049</v>
      </c>
      <c r="J505" s="2"/>
      <c r="K505" s="2">
        <v>131751869</v>
      </c>
      <c r="L505" s="2"/>
      <c r="M505" s="2"/>
      <c r="N505" s="2"/>
      <c r="O505" s="2">
        <v>168640</v>
      </c>
      <c r="P505" s="2"/>
      <c r="Q505" s="2"/>
      <c r="R505" s="2" t="s">
        <v>3839</v>
      </c>
      <c r="S505" s="2" t="s">
        <v>3840</v>
      </c>
      <c r="T505" s="2" t="s">
        <v>3841</v>
      </c>
      <c r="U505" s="2" t="s">
        <v>331</v>
      </c>
      <c r="V505" s="2" t="s">
        <v>332</v>
      </c>
      <c r="W505" s="2" t="s">
        <v>333</v>
      </c>
      <c r="X505" s="2" t="s">
        <v>147</v>
      </c>
      <c r="Y505" s="2">
        <v>43.3</v>
      </c>
      <c r="Z505" s="2">
        <v>22.9</v>
      </c>
      <c r="AA505" s="2" t="s">
        <v>179</v>
      </c>
      <c r="AB505" s="2" t="s">
        <v>3842</v>
      </c>
      <c r="AC505" s="2">
        <v>2.18633472397633</v>
      </c>
      <c r="AD505" s="2"/>
      <c r="AE505" s="2">
        <v>1.0408070198109001</v>
      </c>
      <c r="AF505" s="2">
        <v>2365.7244857532301</v>
      </c>
      <c r="AG505" s="2">
        <v>132529.129161296</v>
      </c>
      <c r="AH505" s="4">
        <v>1.78506000961796E-2</v>
      </c>
      <c r="AI505" s="4">
        <v>-5.8078836146111197</v>
      </c>
      <c r="AJ505" s="4" t="s">
        <v>62</v>
      </c>
      <c r="AK505" s="2">
        <v>0.338337751095871</v>
      </c>
      <c r="AL505" s="2">
        <v>0.63815037094278604</v>
      </c>
      <c r="AM505" s="2">
        <v>2512.36236024355</v>
      </c>
      <c r="AN505" s="2">
        <v>2949.70025383965</v>
      </c>
      <c r="AO505" s="2">
        <v>2632.5909909747802</v>
      </c>
      <c r="AP505" s="2">
        <v>2055.4350809371499</v>
      </c>
      <c r="AQ505" s="2">
        <v>2414.4589176857498</v>
      </c>
      <c r="AR505" s="2">
        <v>1629.7993108385001</v>
      </c>
      <c r="AS505" s="2">
        <v>3081.9054431448499</v>
      </c>
      <c r="AT505" s="2">
        <v>779744.49591795704</v>
      </c>
      <c r="AU505" s="2">
        <v>2057.2813496444601</v>
      </c>
      <c r="AV505" s="2">
        <v>2884.7086957137899</v>
      </c>
      <c r="AW505" s="2">
        <v>3649.8808022694402</v>
      </c>
      <c r="AX505" s="2">
        <v>3756.5027590475802</v>
      </c>
    </row>
    <row r="506" spans="1:50" x14ac:dyDescent="0.25">
      <c r="A506" s="2" t="s">
        <v>3843</v>
      </c>
      <c r="B506" s="2">
        <v>453.23191440694501</v>
      </c>
      <c r="C506" s="2">
        <v>9.5834499999999991</v>
      </c>
      <c r="D506" s="2" t="s">
        <v>51</v>
      </c>
      <c r="E506" s="2" t="s">
        <v>3844</v>
      </c>
      <c r="F506" s="2">
        <v>46700</v>
      </c>
      <c r="G506" s="3" t="str">
        <f>HYPERLINK("https://cloud.oebiotech.com/#/lm/network/46700", "https://cloud.oebiotech.com/#/lm/network/46700")</f>
        <v>https://cloud.oebiotech.com/#/lm/network/46700</v>
      </c>
      <c r="H506" s="2" t="s">
        <v>3845</v>
      </c>
      <c r="I506" s="2"/>
      <c r="J506" s="2" t="s">
        <v>3846</v>
      </c>
      <c r="K506" s="2">
        <v>44263355</v>
      </c>
      <c r="L506" s="2"/>
      <c r="M506" s="2"/>
      <c r="N506" s="2"/>
      <c r="O506" s="2"/>
      <c r="P506" s="2"/>
      <c r="Q506" s="2"/>
      <c r="R506" s="2"/>
      <c r="S506" s="2" t="s">
        <v>3847</v>
      </c>
      <c r="T506" s="2" t="s">
        <v>3848</v>
      </c>
      <c r="U506" s="2" t="s">
        <v>56</v>
      </c>
      <c r="V506" s="2" t="s">
        <v>283</v>
      </c>
      <c r="W506" s="2" t="s">
        <v>2042</v>
      </c>
      <c r="X506" s="2" t="s">
        <v>83</v>
      </c>
      <c r="Y506" s="2">
        <v>40.4</v>
      </c>
      <c r="Z506" s="2">
        <v>0.14000000000000001</v>
      </c>
      <c r="AA506" s="2" t="s">
        <v>379</v>
      </c>
      <c r="AB506" s="2" t="s">
        <v>2827</v>
      </c>
      <c r="AC506" s="2">
        <v>0.59482803055619704</v>
      </c>
      <c r="AD506" s="2"/>
      <c r="AE506" s="2">
        <v>1.04048557544521</v>
      </c>
      <c r="AF506" s="2">
        <v>86779.874089849807</v>
      </c>
      <c r="AG506" s="2">
        <v>7913.2919370176896</v>
      </c>
      <c r="AH506" s="5">
        <v>10.966343056787901</v>
      </c>
      <c r="AI506" s="5">
        <v>3.45501060573259</v>
      </c>
      <c r="AJ506" s="5" t="s">
        <v>139</v>
      </c>
      <c r="AK506" s="2">
        <v>0.27953884200859502</v>
      </c>
      <c r="AL506" s="2">
        <v>0.599207894506394</v>
      </c>
      <c r="AM506" s="2">
        <v>233.943395777245</v>
      </c>
      <c r="AN506" s="2">
        <v>678.41748421902298</v>
      </c>
      <c r="AO506" s="2">
        <v>8.559877937157E-6</v>
      </c>
      <c r="AP506" s="2">
        <v>213.26590593936899</v>
      </c>
      <c r="AQ506" s="2">
        <v>422140.74947980797</v>
      </c>
      <c r="AR506" s="2">
        <v>97412.868264795499</v>
      </c>
      <c r="AS506" s="2">
        <v>4196.1010514361797</v>
      </c>
      <c r="AT506" s="2">
        <v>8971.9758855267391</v>
      </c>
      <c r="AU506" s="2">
        <v>15787.4774172204</v>
      </c>
      <c r="AV506" s="2">
        <v>16307.2356069622</v>
      </c>
      <c r="AW506" s="2">
        <v>1770.77048398235</v>
      </c>
      <c r="AX506" s="2">
        <v>446.19117697825101</v>
      </c>
    </row>
    <row r="507" spans="1:50" x14ac:dyDescent="0.25">
      <c r="A507" s="2" t="s">
        <v>3849</v>
      </c>
      <c r="B507" s="2">
        <v>510.30541626448701</v>
      </c>
      <c r="C507" s="2">
        <v>3.9837333333333298</v>
      </c>
      <c r="D507" s="2" t="s">
        <v>51</v>
      </c>
      <c r="E507" s="2" t="s">
        <v>3850</v>
      </c>
      <c r="F507" s="2">
        <v>205190</v>
      </c>
      <c r="G507" s="3" t="str">
        <f>HYPERLINK("https://cloud.oebiotech.com/#/lm/network/205190", "https://cloud.oebiotech.com/#/lm/network/205190")</f>
        <v>https://cloud.oebiotech.com/#/lm/network/205190</v>
      </c>
      <c r="H507" s="2" t="s">
        <v>3851</v>
      </c>
      <c r="I507" s="2"/>
      <c r="J507" s="2"/>
      <c r="K507" s="2">
        <v>2834</v>
      </c>
      <c r="L507" s="2"/>
      <c r="M507" s="2"/>
      <c r="N507" s="2"/>
      <c r="O507" s="2"/>
      <c r="P507" s="2"/>
      <c r="Q507" s="2"/>
      <c r="R507" s="2"/>
      <c r="S507" s="2" t="s">
        <v>3852</v>
      </c>
      <c r="T507" s="2" t="s">
        <v>3853</v>
      </c>
      <c r="U507" s="2" t="s">
        <v>56</v>
      </c>
      <c r="V507" s="2" t="s">
        <v>177</v>
      </c>
      <c r="W507" s="2" t="s">
        <v>3270</v>
      </c>
      <c r="X507" s="2" t="s">
        <v>147</v>
      </c>
      <c r="Y507" s="2">
        <v>45.3</v>
      </c>
      <c r="Z507" s="2">
        <v>33.9</v>
      </c>
      <c r="AA507" s="2" t="s">
        <v>60</v>
      </c>
      <c r="AB507" s="2" t="s">
        <v>3854</v>
      </c>
      <c r="AC507" s="2">
        <v>-1.42844967775884</v>
      </c>
      <c r="AD507" s="2"/>
      <c r="AE507" s="2">
        <v>1.0400511101916701</v>
      </c>
      <c r="AF507" s="2">
        <v>101446.37039204</v>
      </c>
      <c r="AG507" s="2">
        <v>45637.370222712903</v>
      </c>
      <c r="AH507" s="5">
        <v>2.22287940556118</v>
      </c>
      <c r="AI507" s="5">
        <v>1.15242968218491</v>
      </c>
      <c r="AJ507" s="5" t="s">
        <v>139</v>
      </c>
      <c r="AK507" s="2">
        <v>0.26371345750326602</v>
      </c>
      <c r="AL507" s="2">
        <v>0.58595314266350595</v>
      </c>
      <c r="AM507" s="2">
        <v>186988.360958784</v>
      </c>
      <c r="AN507" s="2">
        <v>36457.174792414298</v>
      </c>
      <c r="AO507" s="2">
        <v>63944.642859418796</v>
      </c>
      <c r="AP507" s="2">
        <v>48381.456787260999</v>
      </c>
      <c r="AQ507" s="2">
        <v>18650.905256280901</v>
      </c>
      <c r="AR507" s="2">
        <v>254255.681698078</v>
      </c>
      <c r="AS507" s="2">
        <v>13933.146241869699</v>
      </c>
      <c r="AT507" s="2">
        <v>12237.0227394549</v>
      </c>
      <c r="AU507" s="2">
        <v>16853.3757952331</v>
      </c>
      <c r="AV507" s="2">
        <v>176125.99164735101</v>
      </c>
      <c r="AW507" s="2">
        <v>30084.155308909802</v>
      </c>
      <c r="AX507" s="2">
        <v>24590.529603459101</v>
      </c>
    </row>
    <row r="508" spans="1:50" x14ac:dyDescent="0.25">
      <c r="A508" s="2" t="s">
        <v>1450</v>
      </c>
      <c r="B508" s="2">
        <v>335.22271800908601</v>
      </c>
      <c r="C508" s="2">
        <v>8.1076499999999996</v>
      </c>
      <c r="D508" s="2" t="s">
        <v>51</v>
      </c>
      <c r="E508" s="2" t="s">
        <v>1451</v>
      </c>
      <c r="F508" s="2">
        <v>3659</v>
      </c>
      <c r="G508" s="3" t="str">
        <f>HYPERLINK("https://cloud.oebiotech.com/#/lm/network/3659", "https://cloud.oebiotech.com/#/lm/network/3659")</f>
        <v>https://cloud.oebiotech.com/#/lm/network/3659</v>
      </c>
      <c r="H508" s="2" t="s">
        <v>1452</v>
      </c>
      <c r="I508" s="2">
        <v>2311</v>
      </c>
      <c r="J508" s="2" t="s">
        <v>1453</v>
      </c>
      <c r="K508" s="2">
        <v>5280711</v>
      </c>
      <c r="L508" s="2" t="s">
        <v>1454</v>
      </c>
      <c r="M508" s="2" t="s">
        <v>305</v>
      </c>
      <c r="N508" s="2" t="s">
        <v>306</v>
      </c>
      <c r="O508" s="2">
        <v>15550</v>
      </c>
      <c r="P508" s="2" t="s">
        <v>307</v>
      </c>
      <c r="Q508" s="2" t="s">
        <v>308</v>
      </c>
      <c r="R508" s="2" t="s">
        <v>1455</v>
      </c>
      <c r="S508" s="2" t="s">
        <v>1456</v>
      </c>
      <c r="T508" s="2" t="s">
        <v>1457</v>
      </c>
      <c r="U508" s="2" t="s">
        <v>56</v>
      </c>
      <c r="V508" s="2" t="s">
        <v>145</v>
      </c>
      <c r="W508" s="2" t="s">
        <v>187</v>
      </c>
      <c r="X508" s="2" t="s">
        <v>69</v>
      </c>
      <c r="Y508" s="2">
        <v>58.6</v>
      </c>
      <c r="Z508" s="2">
        <v>90.8</v>
      </c>
      <c r="AA508" s="2" t="s">
        <v>156</v>
      </c>
      <c r="AB508" s="2" t="s">
        <v>380</v>
      </c>
      <c r="AC508" s="2">
        <v>2.93032897181708</v>
      </c>
      <c r="AD508" s="2"/>
      <c r="AE508" s="2">
        <v>1.03838919179125</v>
      </c>
      <c r="AF508" s="2">
        <v>47337.704180901499</v>
      </c>
      <c r="AG508" s="2">
        <v>22968.702772628902</v>
      </c>
      <c r="AH508" s="5">
        <v>2.0609655081310199</v>
      </c>
      <c r="AI508" s="5">
        <v>1.04332036044984</v>
      </c>
      <c r="AJ508" s="5" t="s">
        <v>139</v>
      </c>
      <c r="AK508" s="2">
        <v>8.0642552795815396E-3</v>
      </c>
      <c r="AL508" s="2">
        <v>0.147905063558916</v>
      </c>
      <c r="AM508" s="2">
        <v>42204.560150613499</v>
      </c>
      <c r="AN508" s="2">
        <v>76389.667551248203</v>
      </c>
      <c r="AO508" s="2">
        <v>46832.293419012502</v>
      </c>
      <c r="AP508" s="2">
        <v>32427.0230387622</v>
      </c>
      <c r="AQ508" s="2">
        <v>40686.847839776499</v>
      </c>
      <c r="AR508" s="2">
        <v>45485.833085996397</v>
      </c>
      <c r="AS508" s="2">
        <v>39102.664946981698</v>
      </c>
      <c r="AT508" s="2">
        <v>16432.086665642899</v>
      </c>
      <c r="AU508" s="2">
        <v>28857.428444785801</v>
      </c>
      <c r="AV508" s="2">
        <v>10758.544897104101</v>
      </c>
      <c r="AW508" s="2">
        <v>19475.7229944803</v>
      </c>
      <c r="AX508" s="2">
        <v>23185.7686867788</v>
      </c>
    </row>
    <row r="509" spans="1:50" x14ac:dyDescent="0.25">
      <c r="A509" s="2" t="s">
        <v>3855</v>
      </c>
      <c r="B509" s="2">
        <v>262.23863693914802</v>
      </c>
      <c r="C509" s="2">
        <v>6.6012000000000004</v>
      </c>
      <c r="D509" s="2" t="s">
        <v>51</v>
      </c>
      <c r="E509" s="2" t="s">
        <v>3856</v>
      </c>
      <c r="F509" s="2">
        <v>56767</v>
      </c>
      <c r="G509" s="3" t="str">
        <f>HYPERLINK("https://cloud.oebiotech.com/#/lm/network/56767", "https://cloud.oebiotech.com/#/lm/network/56767")</f>
        <v>https://cloud.oebiotech.com/#/lm/network/56767</v>
      </c>
      <c r="H509" s="2" t="s">
        <v>3857</v>
      </c>
      <c r="I509" s="2">
        <v>88441</v>
      </c>
      <c r="J509" s="2"/>
      <c r="K509" s="2">
        <v>16734862</v>
      </c>
      <c r="L509" s="2"/>
      <c r="M509" s="2"/>
      <c r="N509" s="2"/>
      <c r="O509" s="2"/>
      <c r="P509" s="2"/>
      <c r="Q509" s="2"/>
      <c r="R509" s="2" t="s">
        <v>3858</v>
      </c>
      <c r="S509" s="2" t="s">
        <v>3859</v>
      </c>
      <c r="T509" s="2" t="s">
        <v>3860</v>
      </c>
      <c r="U509" s="2" t="s">
        <v>56</v>
      </c>
      <c r="V509" s="2" t="s">
        <v>177</v>
      </c>
      <c r="W509" s="2" t="s">
        <v>584</v>
      </c>
      <c r="X509" s="2" t="s">
        <v>59</v>
      </c>
      <c r="Y509" s="2">
        <v>47.7</v>
      </c>
      <c r="Z509" s="2">
        <v>46.3</v>
      </c>
      <c r="AA509" s="2" t="s">
        <v>512</v>
      </c>
      <c r="AB509" s="2" t="s">
        <v>3861</v>
      </c>
      <c r="AC509" s="2">
        <v>3.95838365522749</v>
      </c>
      <c r="AD509" s="2"/>
      <c r="AE509" s="2">
        <v>1.0378911642428099</v>
      </c>
      <c r="AF509" s="2">
        <v>8218.2050210489797</v>
      </c>
      <c r="AG509" s="2">
        <v>61903.822299473497</v>
      </c>
      <c r="AH509" s="4">
        <v>0.13275763459793499</v>
      </c>
      <c r="AI509" s="4">
        <v>-2.91313326527137</v>
      </c>
      <c r="AJ509" s="4" t="s">
        <v>62</v>
      </c>
      <c r="AK509" s="2">
        <v>0.338403556265089</v>
      </c>
      <c r="AL509" s="2">
        <v>0.63815037094278604</v>
      </c>
      <c r="AM509" s="2">
        <v>257.68893840598901</v>
      </c>
      <c r="AN509" s="2">
        <v>251.6645632181</v>
      </c>
      <c r="AO509" s="2">
        <v>8505.8384197845207</v>
      </c>
      <c r="AP509" s="2">
        <v>14614.431922921</v>
      </c>
      <c r="AQ509" s="2">
        <v>25370.1563904914</v>
      </c>
      <c r="AR509" s="2">
        <v>309.44989147285401</v>
      </c>
      <c r="AS509" s="2">
        <v>17199.217465185699</v>
      </c>
      <c r="AT509" s="2">
        <v>16345.278706916301</v>
      </c>
      <c r="AU509" s="2">
        <v>9103.8880739777796</v>
      </c>
      <c r="AV509" s="2">
        <v>612.96480264888601</v>
      </c>
      <c r="AW509" s="2">
        <v>508.746673645116</v>
      </c>
      <c r="AX509" s="2">
        <v>327652.83807446703</v>
      </c>
    </row>
    <row r="510" spans="1:50" x14ac:dyDescent="0.25">
      <c r="A510" s="2" t="s">
        <v>3862</v>
      </c>
      <c r="B510" s="2">
        <v>491.37255860156102</v>
      </c>
      <c r="C510" s="2">
        <v>13.38585</v>
      </c>
      <c r="D510" s="2" t="s">
        <v>51</v>
      </c>
      <c r="E510" s="2" t="s">
        <v>3863</v>
      </c>
      <c r="F510" s="2">
        <v>58530</v>
      </c>
      <c r="G510" s="3" t="str">
        <f>HYPERLINK("https://cloud.oebiotech.com/#/lm/network/58530", "https://cloud.oebiotech.com/#/lm/network/58530")</f>
        <v>https://cloud.oebiotech.com/#/lm/network/58530</v>
      </c>
      <c r="H510" s="2" t="s">
        <v>3864</v>
      </c>
      <c r="I510" s="2">
        <v>90001</v>
      </c>
      <c r="J510" s="2"/>
      <c r="K510" s="2">
        <v>12302286</v>
      </c>
      <c r="L510" s="2"/>
      <c r="M510" s="2"/>
      <c r="N510" s="2"/>
      <c r="O510" s="2">
        <v>173217</v>
      </c>
      <c r="P510" s="2"/>
      <c r="Q510" s="2"/>
      <c r="R510" s="2" t="s">
        <v>3865</v>
      </c>
      <c r="S510" s="2" t="s">
        <v>3866</v>
      </c>
      <c r="T510" s="2" t="s">
        <v>3867</v>
      </c>
      <c r="U510" s="2" t="s">
        <v>56</v>
      </c>
      <c r="V510" s="2" t="s">
        <v>177</v>
      </c>
      <c r="W510" s="2" t="s">
        <v>3270</v>
      </c>
      <c r="X510" s="2" t="s">
        <v>147</v>
      </c>
      <c r="Y510" s="2">
        <v>43.7</v>
      </c>
      <c r="Z510" s="2">
        <v>29.1</v>
      </c>
      <c r="AA510" s="2" t="s">
        <v>259</v>
      </c>
      <c r="AB510" s="2" t="s">
        <v>3868</v>
      </c>
      <c r="AC510" s="2">
        <v>-1.10638162795593</v>
      </c>
      <c r="AD510" s="2"/>
      <c r="AE510" s="2">
        <v>1.0334673004778201</v>
      </c>
      <c r="AF510" s="2">
        <v>105382.36866312601</v>
      </c>
      <c r="AG510" s="2">
        <v>66505.491101975902</v>
      </c>
      <c r="AH510" s="5">
        <v>1.5845664307859699</v>
      </c>
      <c r="AI510" s="5">
        <v>0.664088144009499</v>
      </c>
      <c r="AJ510" s="5" t="s">
        <v>139</v>
      </c>
      <c r="AK510" s="2">
        <v>0.106950524505446</v>
      </c>
      <c r="AL510" s="2">
        <v>0.416763994139976</v>
      </c>
      <c r="AM510" s="2">
        <v>112776.492458276</v>
      </c>
      <c r="AN510" s="2">
        <v>117105.192456923</v>
      </c>
      <c r="AO510" s="2">
        <v>115518.28218205601</v>
      </c>
      <c r="AP510" s="2">
        <v>128973.605941858</v>
      </c>
      <c r="AQ510" s="2">
        <v>116592.363831448</v>
      </c>
      <c r="AR510" s="2">
        <v>41328.275108193302</v>
      </c>
      <c r="AS510" s="2">
        <v>26060.444269758402</v>
      </c>
      <c r="AT510" s="2">
        <v>68590.555668921006</v>
      </c>
      <c r="AU510" s="2">
        <v>42424.303972618203</v>
      </c>
      <c r="AV510" s="2">
        <v>30545.946407797201</v>
      </c>
      <c r="AW510" s="2">
        <v>138283.54371156899</v>
      </c>
      <c r="AX510" s="2">
        <v>93128.152581191505</v>
      </c>
    </row>
    <row r="511" spans="1:50" x14ac:dyDescent="0.25">
      <c r="A511" s="2" t="s">
        <v>1458</v>
      </c>
      <c r="B511" s="2">
        <v>455.34677771378801</v>
      </c>
      <c r="C511" s="2">
        <v>11.513666666666699</v>
      </c>
      <c r="D511" s="2" t="s">
        <v>51</v>
      </c>
      <c r="E511" s="2" t="s">
        <v>1459</v>
      </c>
      <c r="F511" s="2">
        <v>52045</v>
      </c>
      <c r="G511" s="3" t="str">
        <f>HYPERLINK("https://cloud.oebiotech.com/#/lm/network/52045", "https://cloud.oebiotech.com/#/lm/network/52045")</f>
        <v>https://cloud.oebiotech.com/#/lm/network/52045</v>
      </c>
      <c r="H511" s="2" t="s">
        <v>1460</v>
      </c>
      <c r="I511" s="2"/>
      <c r="J511" s="2"/>
      <c r="K511" s="2">
        <v>53481467</v>
      </c>
      <c r="L511" s="2"/>
      <c r="M511" s="2"/>
      <c r="N511" s="2"/>
      <c r="O511" s="2"/>
      <c r="P511" s="2"/>
      <c r="Q511" s="2"/>
      <c r="R511" s="2"/>
      <c r="S511" s="2" t="s">
        <v>1461</v>
      </c>
      <c r="T511" s="2" t="s">
        <v>1462</v>
      </c>
      <c r="U511" s="2" t="s">
        <v>56</v>
      </c>
      <c r="V511" s="2" t="s">
        <v>177</v>
      </c>
      <c r="W511" s="2" t="s">
        <v>1463</v>
      </c>
      <c r="X511" s="2" t="s">
        <v>83</v>
      </c>
      <c r="Y511" s="2">
        <v>39.1</v>
      </c>
      <c r="Z511" s="2">
        <v>0.10199999999999999</v>
      </c>
      <c r="AA511" s="2" t="s">
        <v>95</v>
      </c>
      <c r="AB511" s="2" t="s">
        <v>1464</v>
      </c>
      <c r="AC511" s="2">
        <v>-6.4491674178156497</v>
      </c>
      <c r="AD511" s="2"/>
      <c r="AE511" s="2">
        <v>1.03310024543309</v>
      </c>
      <c r="AF511" s="2">
        <v>56235.982708585798</v>
      </c>
      <c r="AG511" s="2">
        <v>78749.795871417693</v>
      </c>
      <c r="AH511" s="4">
        <v>0.71410956798424796</v>
      </c>
      <c r="AI511" s="4">
        <v>-0.485782646599273</v>
      </c>
      <c r="AJ511" s="4" t="s">
        <v>62</v>
      </c>
      <c r="AK511" s="2">
        <v>7.9300373567565904E-3</v>
      </c>
      <c r="AL511" s="2">
        <v>0.14763959746856301</v>
      </c>
      <c r="AM511" s="2">
        <v>40394.141923691997</v>
      </c>
      <c r="AN511" s="2">
        <v>46075.274109450504</v>
      </c>
      <c r="AO511" s="2">
        <v>57671.0034579571</v>
      </c>
      <c r="AP511" s="2">
        <v>51983.813637425599</v>
      </c>
      <c r="AQ511" s="2">
        <v>76998.014668232194</v>
      </c>
      <c r="AR511" s="2">
        <v>64293.648454757502</v>
      </c>
      <c r="AS511" s="2">
        <v>96628.657297750295</v>
      </c>
      <c r="AT511" s="2">
        <v>80145.026184368093</v>
      </c>
      <c r="AU511" s="2">
        <v>74338.420435817403</v>
      </c>
      <c r="AV511" s="2">
        <v>65386.894753918699</v>
      </c>
      <c r="AW511" s="2">
        <v>77889.209730723</v>
      </c>
      <c r="AX511" s="2">
        <v>78110.566825928603</v>
      </c>
    </row>
    <row r="512" spans="1:50" x14ac:dyDescent="0.25">
      <c r="A512" s="2" t="s">
        <v>3869</v>
      </c>
      <c r="B512" s="2">
        <v>613.44513674679604</v>
      </c>
      <c r="C512" s="2">
        <v>10.644133333333301</v>
      </c>
      <c r="D512" s="2" t="s">
        <v>51</v>
      </c>
      <c r="E512" s="2" t="s">
        <v>3870</v>
      </c>
      <c r="F512" s="2">
        <v>248355</v>
      </c>
      <c r="G512" s="3" t="str">
        <f>HYPERLINK("https://cloud.oebiotech.com/#/lm/network/248355", "https://cloud.oebiotech.com/#/lm/network/248355")</f>
        <v>https://cloud.oebiotech.com/#/lm/network/248355</v>
      </c>
      <c r="H512" s="2" t="s">
        <v>3871</v>
      </c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 t="s">
        <v>3872</v>
      </c>
      <c r="T512" s="2" t="s">
        <v>3873</v>
      </c>
      <c r="U512" s="2" t="s">
        <v>56</v>
      </c>
      <c r="V512" s="2" t="s">
        <v>145</v>
      </c>
      <c r="W512" s="2" t="s">
        <v>187</v>
      </c>
      <c r="X512" s="2" t="s">
        <v>147</v>
      </c>
      <c r="Y512" s="2">
        <v>42.3</v>
      </c>
      <c r="Z512" s="2">
        <v>20.6</v>
      </c>
      <c r="AA512" s="2" t="s">
        <v>379</v>
      </c>
      <c r="AB512" s="2" t="s">
        <v>3874</v>
      </c>
      <c r="AC512" s="2">
        <v>-3.5203875059026002</v>
      </c>
      <c r="AD512" s="2"/>
      <c r="AE512" s="2">
        <v>1.02931735773063</v>
      </c>
      <c r="AF512" s="2">
        <v>195793.04746462201</v>
      </c>
      <c r="AG512" s="2">
        <v>152428.01162366799</v>
      </c>
      <c r="AH512" s="5">
        <v>1.28449518811554</v>
      </c>
      <c r="AI512" s="5">
        <v>0.36120148572736799</v>
      </c>
      <c r="AJ512" s="5" t="s">
        <v>139</v>
      </c>
      <c r="AK512" s="2">
        <v>0.41383147781606699</v>
      </c>
      <c r="AL512" s="2">
        <v>0.67695529702038104</v>
      </c>
      <c r="AM512" s="2">
        <v>196074.89217851701</v>
      </c>
      <c r="AN512" s="2">
        <v>235728.01471167</v>
      </c>
      <c r="AO512" s="2">
        <v>237037.066089284</v>
      </c>
      <c r="AP512" s="2">
        <v>77124.997884202996</v>
      </c>
      <c r="AQ512" s="2">
        <v>167343.51277829701</v>
      </c>
      <c r="AR512" s="2">
        <v>261449.80114575999</v>
      </c>
      <c r="AS512" s="2">
        <v>99028.427907770107</v>
      </c>
      <c r="AT512" s="2">
        <v>60006.7076442908</v>
      </c>
      <c r="AU512" s="2">
        <v>358582.909920367</v>
      </c>
      <c r="AV512" s="2">
        <v>132133.28607923101</v>
      </c>
      <c r="AW512" s="2">
        <v>131260.443409453</v>
      </c>
      <c r="AX512" s="2">
        <v>133556.29478089599</v>
      </c>
    </row>
    <row r="513" spans="1:50" x14ac:dyDescent="0.25">
      <c r="A513" s="2" t="s">
        <v>1465</v>
      </c>
      <c r="B513" s="2">
        <v>369.22840766624</v>
      </c>
      <c r="C513" s="2">
        <v>7.9897</v>
      </c>
      <c r="D513" s="2" t="s">
        <v>51</v>
      </c>
      <c r="E513" s="2" t="s">
        <v>1466</v>
      </c>
      <c r="F513" s="2">
        <v>3910</v>
      </c>
      <c r="G513" s="3" t="str">
        <f>HYPERLINK("https://cloud.oebiotech.com/#/lm/network/3910", "https://cloud.oebiotech.com/#/lm/network/3910")</f>
        <v>https://cloud.oebiotech.com/#/lm/network/3910</v>
      </c>
      <c r="H513" s="2" t="s">
        <v>1467</v>
      </c>
      <c r="I513" s="2">
        <v>422</v>
      </c>
      <c r="J513" s="2" t="s">
        <v>1468</v>
      </c>
      <c r="K513" s="2">
        <v>5283137</v>
      </c>
      <c r="L513" s="2" t="s">
        <v>1469</v>
      </c>
      <c r="M513" s="2" t="s">
        <v>305</v>
      </c>
      <c r="N513" s="2" t="s">
        <v>306</v>
      </c>
      <c r="O513" s="2">
        <v>28728</v>
      </c>
      <c r="P513" s="2" t="s">
        <v>307</v>
      </c>
      <c r="Q513" s="2" t="s">
        <v>308</v>
      </c>
      <c r="R513" s="2" t="s">
        <v>1470</v>
      </c>
      <c r="S513" s="2" t="s">
        <v>1471</v>
      </c>
      <c r="T513" s="2" t="s">
        <v>1472</v>
      </c>
      <c r="U513" s="2" t="s">
        <v>56</v>
      </c>
      <c r="V513" s="2" t="s">
        <v>145</v>
      </c>
      <c r="W513" s="2" t="s">
        <v>187</v>
      </c>
      <c r="X513" s="2" t="s">
        <v>83</v>
      </c>
      <c r="Y513" s="2">
        <v>46.8</v>
      </c>
      <c r="Z513" s="2">
        <v>0</v>
      </c>
      <c r="AA513" s="2" t="s">
        <v>163</v>
      </c>
      <c r="AB513" s="2" t="s">
        <v>312</v>
      </c>
      <c r="AC513" s="2">
        <v>0.39242721225018201</v>
      </c>
      <c r="AD513" s="2"/>
      <c r="AE513" s="2">
        <v>1.0278851010324701</v>
      </c>
      <c r="AF513" s="2">
        <v>60879.815767601598</v>
      </c>
      <c r="AG513" s="2">
        <v>34655.679220048798</v>
      </c>
      <c r="AH513" s="5">
        <v>1.7567053117337801</v>
      </c>
      <c r="AI513" s="5">
        <v>0.81287219876947003</v>
      </c>
      <c r="AJ513" s="5" t="s">
        <v>139</v>
      </c>
      <c r="AK513" s="2">
        <v>4.6569993418789403E-3</v>
      </c>
      <c r="AL513" s="2">
        <v>0.12174388396289799</v>
      </c>
      <c r="AM513" s="2">
        <v>43888.842232117298</v>
      </c>
      <c r="AN513" s="2">
        <v>79048.9495826442</v>
      </c>
      <c r="AO513" s="2">
        <v>65273.140849375603</v>
      </c>
      <c r="AP513" s="2">
        <v>49675.791984764197</v>
      </c>
      <c r="AQ513" s="2">
        <v>59407.9933002369</v>
      </c>
      <c r="AR513" s="2">
        <v>67984.176656471303</v>
      </c>
      <c r="AS513" s="2">
        <v>46677.343257982</v>
      </c>
      <c r="AT513" s="2">
        <v>23337.685969328701</v>
      </c>
      <c r="AU513" s="2">
        <v>46393.8423704218</v>
      </c>
      <c r="AV513" s="2">
        <v>22888.656810627701</v>
      </c>
      <c r="AW513" s="2">
        <v>44450.7812870466</v>
      </c>
      <c r="AX513" s="2">
        <v>24185.765624885898</v>
      </c>
    </row>
    <row r="514" spans="1:50" x14ac:dyDescent="0.25">
      <c r="A514" s="2" t="s">
        <v>3875</v>
      </c>
      <c r="B514" s="2">
        <v>184.98603988433501</v>
      </c>
      <c r="C514" s="2">
        <v>13.24255</v>
      </c>
      <c r="D514" s="2" t="s">
        <v>51</v>
      </c>
      <c r="E514" s="2" t="s">
        <v>3876</v>
      </c>
      <c r="F514" s="2">
        <v>64481</v>
      </c>
      <c r="G514" s="3" t="str">
        <f>HYPERLINK("https://cloud.oebiotech.com/#/lm/network/64481", "https://cloud.oebiotech.com/#/lm/network/64481")</f>
        <v>https://cloud.oebiotech.com/#/lm/network/64481</v>
      </c>
      <c r="H514" s="2" t="s">
        <v>3877</v>
      </c>
      <c r="I514" s="2">
        <v>95791</v>
      </c>
      <c r="J514" s="2"/>
      <c r="K514" s="2">
        <v>6428451</v>
      </c>
      <c r="L514" s="2"/>
      <c r="M514" s="2"/>
      <c r="N514" s="2"/>
      <c r="O514" s="2">
        <v>173607</v>
      </c>
      <c r="P514" s="2"/>
      <c r="Q514" s="2"/>
      <c r="R514" s="2" t="s">
        <v>3878</v>
      </c>
      <c r="S514" s="2" t="s">
        <v>3879</v>
      </c>
      <c r="T514" s="2" t="s">
        <v>3880</v>
      </c>
      <c r="U514" s="2" t="s">
        <v>1231</v>
      </c>
      <c r="V514" s="2" t="s">
        <v>3881</v>
      </c>
      <c r="W514" s="2" t="s">
        <v>240</v>
      </c>
      <c r="X514" s="2" t="s">
        <v>147</v>
      </c>
      <c r="Y514" s="2">
        <v>36.9</v>
      </c>
      <c r="Z514" s="2">
        <v>0</v>
      </c>
      <c r="AA514" s="2" t="s">
        <v>395</v>
      </c>
      <c r="AB514" s="2" t="s">
        <v>3882</v>
      </c>
      <c r="AC514" s="2">
        <v>3.35211351716532</v>
      </c>
      <c r="AD514" s="2"/>
      <c r="AE514" s="2">
        <v>1.0273728776958699</v>
      </c>
      <c r="AF514" s="2">
        <v>490222.83736035798</v>
      </c>
      <c r="AG514" s="2">
        <v>540640.38211061305</v>
      </c>
      <c r="AH514" s="4">
        <v>0.90674476709743901</v>
      </c>
      <c r="AI514" s="4">
        <v>-0.141231580585779</v>
      </c>
      <c r="AJ514" s="4" t="s">
        <v>62</v>
      </c>
      <c r="AK514" s="2">
        <v>0.29322946187818799</v>
      </c>
      <c r="AL514" s="2">
        <v>0.60629539475051897</v>
      </c>
      <c r="AM514" s="2">
        <v>413864.04695946601</v>
      </c>
      <c r="AN514" s="2">
        <v>537232.02910739195</v>
      </c>
      <c r="AO514" s="2">
        <v>502860.20306049997</v>
      </c>
      <c r="AP514" s="2">
        <v>537942.25326985097</v>
      </c>
      <c r="AQ514" s="2">
        <v>518213.93709344103</v>
      </c>
      <c r="AR514" s="2">
        <v>431224.55467149999</v>
      </c>
      <c r="AS514" s="2">
        <v>654355.75774622394</v>
      </c>
      <c r="AT514" s="2">
        <v>664965.78708384896</v>
      </c>
      <c r="AU514" s="2">
        <v>436403.87299392198</v>
      </c>
      <c r="AV514" s="2">
        <v>481368.447771215</v>
      </c>
      <c r="AW514" s="2">
        <v>474429.988796191</v>
      </c>
      <c r="AX514" s="2">
        <v>532318.43827227806</v>
      </c>
    </row>
    <row r="515" spans="1:50" x14ac:dyDescent="0.25">
      <c r="A515" s="2" t="s">
        <v>3883</v>
      </c>
      <c r="B515" s="2">
        <v>377.146859391752</v>
      </c>
      <c r="C515" s="2">
        <v>3.78085</v>
      </c>
      <c r="D515" s="2" t="s">
        <v>51</v>
      </c>
      <c r="E515" s="2" t="s">
        <v>3884</v>
      </c>
      <c r="F515" s="2">
        <v>53844</v>
      </c>
      <c r="G515" s="3" t="str">
        <f>HYPERLINK("https://cloud.oebiotech.com/#/lm/network/53844", "https://cloud.oebiotech.com/#/lm/network/53844")</f>
        <v>https://cloud.oebiotech.com/#/lm/network/53844</v>
      </c>
      <c r="H515" s="2" t="s">
        <v>3885</v>
      </c>
      <c r="I515" s="2">
        <v>85722</v>
      </c>
      <c r="J515" s="2"/>
      <c r="K515" s="2">
        <v>25176542</v>
      </c>
      <c r="L515" s="2"/>
      <c r="M515" s="2"/>
      <c r="N515" s="2"/>
      <c r="O515" s="2">
        <v>141431</v>
      </c>
      <c r="P515" s="2"/>
      <c r="Q515" s="2"/>
      <c r="R515" s="2" t="s">
        <v>3886</v>
      </c>
      <c r="S515" s="2" t="s">
        <v>3887</v>
      </c>
      <c r="T515" s="2" t="s">
        <v>3888</v>
      </c>
      <c r="U515" s="2" t="s">
        <v>103</v>
      </c>
      <c r="V515" s="2" t="s">
        <v>104</v>
      </c>
      <c r="W515" s="2" t="s">
        <v>105</v>
      </c>
      <c r="X515" s="2" t="s">
        <v>147</v>
      </c>
      <c r="Y515" s="2">
        <v>46.5</v>
      </c>
      <c r="Z515" s="2">
        <v>38.200000000000003</v>
      </c>
      <c r="AA515" s="2" t="s">
        <v>218</v>
      </c>
      <c r="AB515" s="2" t="s">
        <v>3889</v>
      </c>
      <c r="AC515" s="2">
        <v>0.60630392471638594</v>
      </c>
      <c r="AD515" s="2"/>
      <c r="AE515" s="2">
        <v>1.0255713081153599</v>
      </c>
      <c r="AF515" s="2">
        <v>4973.5097047191102</v>
      </c>
      <c r="AG515" s="2">
        <v>53544.3549124907</v>
      </c>
      <c r="AH515" s="4">
        <v>9.2885789974451696E-2</v>
      </c>
      <c r="AI515" s="4">
        <v>-3.4283982853244899</v>
      </c>
      <c r="AJ515" s="4" t="s">
        <v>62</v>
      </c>
      <c r="AK515" s="2">
        <v>0.36770813487738602</v>
      </c>
      <c r="AL515" s="2">
        <v>0.65211896511952605</v>
      </c>
      <c r="AM515" s="2">
        <v>365.16029159118398</v>
      </c>
      <c r="AN515" s="2">
        <v>233.31507502446499</v>
      </c>
      <c r="AO515" s="2">
        <v>529.85483122037101</v>
      </c>
      <c r="AP515" s="2">
        <v>8.559877937157E-6</v>
      </c>
      <c r="AQ515" s="2">
        <v>680.58446320416897</v>
      </c>
      <c r="AR515" s="2">
        <v>28032.143558714601</v>
      </c>
      <c r="AS515" s="2">
        <v>5943.1818482593799</v>
      </c>
      <c r="AT515" s="2">
        <v>8.559877937157E-6</v>
      </c>
      <c r="AU515" s="2">
        <v>365.29546035216902</v>
      </c>
      <c r="AV515" s="2">
        <v>90.113142440554498</v>
      </c>
      <c r="AW515" s="2">
        <v>309876.40540270001</v>
      </c>
      <c r="AX515" s="2">
        <v>4991.1336126321603</v>
      </c>
    </row>
    <row r="516" spans="1:50" x14ac:dyDescent="0.25">
      <c r="A516" s="2" t="s">
        <v>3890</v>
      </c>
      <c r="B516" s="2">
        <v>374.19737124867697</v>
      </c>
      <c r="C516" s="2">
        <v>4.8935333333333304</v>
      </c>
      <c r="D516" s="2" t="s">
        <v>51</v>
      </c>
      <c r="E516" s="2" t="s">
        <v>3891</v>
      </c>
      <c r="F516" s="2">
        <v>263138</v>
      </c>
      <c r="G516" s="3" t="str">
        <f>HYPERLINK("https://cloud.oebiotech.com/#/lm/network/263138", "https://cloud.oebiotech.com/#/lm/network/263138")</f>
        <v>https://cloud.oebiotech.com/#/lm/network/263138</v>
      </c>
      <c r="H516" s="2"/>
      <c r="I516" s="2">
        <v>20539</v>
      </c>
      <c r="J516" s="2"/>
      <c r="K516" s="2">
        <v>25232584</v>
      </c>
      <c r="L516" s="2"/>
      <c r="M516" s="2"/>
      <c r="N516" s="2"/>
      <c r="O516" s="2"/>
      <c r="P516" s="2"/>
      <c r="Q516" s="2"/>
      <c r="R516" s="2"/>
      <c r="S516" s="2" t="s">
        <v>3892</v>
      </c>
      <c r="T516" s="2" t="s">
        <v>3893</v>
      </c>
      <c r="U516" s="2" t="s">
        <v>103</v>
      </c>
      <c r="V516" s="2" t="s">
        <v>104</v>
      </c>
      <c r="W516" s="2" t="s">
        <v>105</v>
      </c>
      <c r="X516" s="2" t="s">
        <v>83</v>
      </c>
      <c r="Y516" s="2">
        <v>46.4</v>
      </c>
      <c r="Z516" s="2">
        <v>6.02</v>
      </c>
      <c r="AA516" s="2" t="s">
        <v>122</v>
      </c>
      <c r="AB516" s="2" t="s">
        <v>3894</v>
      </c>
      <c r="AC516" s="2">
        <v>5.2534515096577197</v>
      </c>
      <c r="AD516" s="2"/>
      <c r="AE516" s="2">
        <v>1.02421651956296</v>
      </c>
      <c r="AF516" s="2">
        <v>5959.0307124526298</v>
      </c>
      <c r="AG516" s="2">
        <v>40924.385350573197</v>
      </c>
      <c r="AH516" s="4">
        <v>0.14561075655517799</v>
      </c>
      <c r="AI516" s="4">
        <v>-2.7798111606721099</v>
      </c>
      <c r="AJ516" s="4" t="s">
        <v>62</v>
      </c>
      <c r="AK516" s="2">
        <v>0.19662086848684401</v>
      </c>
      <c r="AL516" s="2">
        <v>0.52014995935017205</v>
      </c>
      <c r="AM516" s="2">
        <v>1948.6534040242</v>
      </c>
      <c r="AN516" s="2">
        <v>9440.1625241759702</v>
      </c>
      <c r="AO516" s="2">
        <v>4219.3870815537302</v>
      </c>
      <c r="AP516" s="2">
        <v>9917.1067862118107</v>
      </c>
      <c r="AQ516" s="2">
        <v>512.09881867688</v>
      </c>
      <c r="AR516" s="2">
        <v>9716.77566007319</v>
      </c>
      <c r="AS516" s="2">
        <v>20038.126344030799</v>
      </c>
      <c r="AT516" s="2">
        <v>12176.3844867318</v>
      </c>
      <c r="AU516" s="2">
        <v>221.11992876135801</v>
      </c>
      <c r="AV516" s="2">
        <v>164202.33040420001</v>
      </c>
      <c r="AW516" s="2">
        <v>38813.608052039497</v>
      </c>
      <c r="AX516" s="2">
        <v>10094.7428876759</v>
      </c>
    </row>
    <row r="517" spans="1:50" x14ac:dyDescent="0.25">
      <c r="A517" s="2" t="s">
        <v>1473</v>
      </c>
      <c r="B517" s="2">
        <v>431.01325170034801</v>
      </c>
      <c r="C517" s="2">
        <v>10.09835</v>
      </c>
      <c r="D517" s="2" t="s">
        <v>51</v>
      </c>
      <c r="E517" s="2" t="s">
        <v>1474</v>
      </c>
      <c r="F517" s="2">
        <v>257670</v>
      </c>
      <c r="G517" s="3" t="str">
        <f>HYPERLINK("https://cloud.oebiotech.com/#/lm/network/257670", "https://cloud.oebiotech.com/#/lm/network/257670")</f>
        <v>https://cloud.oebiotech.com/#/lm/network/257670</v>
      </c>
      <c r="H517" s="2" t="s">
        <v>1475</v>
      </c>
      <c r="I517" s="2"/>
      <c r="J517" s="2"/>
      <c r="K517" s="2">
        <v>23185081</v>
      </c>
      <c r="L517" s="2"/>
      <c r="M517" s="2"/>
      <c r="N517" s="2"/>
      <c r="O517" s="2"/>
      <c r="P517" s="2"/>
      <c r="Q517" s="2"/>
      <c r="R517" s="2"/>
      <c r="S517" s="2" t="s">
        <v>1476</v>
      </c>
      <c r="T517" s="2" t="s">
        <v>1477</v>
      </c>
      <c r="U517" s="2" t="s">
        <v>331</v>
      </c>
      <c r="V517" s="2" t="s">
        <v>332</v>
      </c>
      <c r="W517" s="2" t="s">
        <v>1207</v>
      </c>
      <c r="X517" s="2" t="s">
        <v>147</v>
      </c>
      <c r="Y517" s="2">
        <v>36.4</v>
      </c>
      <c r="Z517" s="2">
        <v>0</v>
      </c>
      <c r="AA517" s="2" t="s">
        <v>478</v>
      </c>
      <c r="AB517" s="2" t="s">
        <v>1478</v>
      </c>
      <c r="AC517" s="2">
        <v>4.7206859912155101</v>
      </c>
      <c r="AD517" s="2"/>
      <c r="AE517" s="2">
        <v>1.02191708978013</v>
      </c>
      <c r="AF517" s="2">
        <v>103533.445391922</v>
      </c>
      <c r="AG517" s="2">
        <v>122921.10165891499</v>
      </c>
      <c r="AH517" s="4">
        <v>0.84227560601604101</v>
      </c>
      <c r="AI517" s="4">
        <v>-0.24763571150967201</v>
      </c>
      <c r="AJ517" s="4" t="s">
        <v>62</v>
      </c>
      <c r="AK517" s="2">
        <v>1.1315653899847001E-3</v>
      </c>
      <c r="AL517" s="2">
        <v>9.0785185409988894E-2</v>
      </c>
      <c r="AM517" s="2">
        <v>91949.707855346598</v>
      </c>
      <c r="AN517" s="2">
        <v>101621.29763045</v>
      </c>
      <c r="AO517" s="2">
        <v>103343.877842474</v>
      </c>
      <c r="AP517" s="2">
        <v>106236.589902023</v>
      </c>
      <c r="AQ517" s="2">
        <v>115634.800233791</v>
      </c>
      <c r="AR517" s="2">
        <v>102414.398887449</v>
      </c>
      <c r="AS517" s="2">
        <v>125834.73186666799</v>
      </c>
      <c r="AT517" s="2">
        <v>126758.42572113599</v>
      </c>
      <c r="AU517" s="2">
        <v>110958.635172799</v>
      </c>
      <c r="AV517" s="2">
        <v>130861.22109314401</v>
      </c>
      <c r="AW517" s="2">
        <v>117730.649179549</v>
      </c>
      <c r="AX517" s="2">
        <v>125382.946920196</v>
      </c>
    </row>
    <row r="518" spans="1:50" x14ac:dyDescent="0.25">
      <c r="A518" s="2" t="s">
        <v>1479</v>
      </c>
      <c r="B518" s="2">
        <v>617.43631203331097</v>
      </c>
      <c r="C518" s="2">
        <v>10.21335</v>
      </c>
      <c r="D518" s="2" t="s">
        <v>51</v>
      </c>
      <c r="E518" s="2" t="s">
        <v>1480</v>
      </c>
      <c r="F518" s="2">
        <v>64606</v>
      </c>
      <c r="G518" s="3" t="str">
        <f>HYPERLINK("https://cloud.oebiotech.com/#/lm/network/64606", "https://cloud.oebiotech.com/#/lm/network/64606")</f>
        <v>https://cloud.oebiotech.com/#/lm/network/64606</v>
      </c>
      <c r="H518" s="2" t="s">
        <v>1481</v>
      </c>
      <c r="I518" s="2">
        <v>95908</v>
      </c>
      <c r="J518" s="2"/>
      <c r="K518" s="2">
        <v>131753156</v>
      </c>
      <c r="L518" s="2"/>
      <c r="M518" s="2"/>
      <c r="N518" s="2"/>
      <c r="O518" s="2">
        <v>171854</v>
      </c>
      <c r="P518" s="2"/>
      <c r="Q518" s="2"/>
      <c r="R518" s="2" t="s">
        <v>1482</v>
      </c>
      <c r="S518" s="2" t="s">
        <v>1483</v>
      </c>
      <c r="T518" s="2" t="s">
        <v>1484</v>
      </c>
      <c r="U518" s="2" t="s">
        <v>56</v>
      </c>
      <c r="V518" s="2" t="s">
        <v>145</v>
      </c>
      <c r="W518" s="2" t="s">
        <v>146</v>
      </c>
      <c r="X518" s="2" t="s">
        <v>147</v>
      </c>
      <c r="Y518" s="2">
        <v>39.5</v>
      </c>
      <c r="Z518" s="2">
        <v>20.8</v>
      </c>
      <c r="AA518" s="2" t="s">
        <v>95</v>
      </c>
      <c r="AB518" s="2" t="s">
        <v>1485</v>
      </c>
      <c r="AC518" s="2">
        <v>-4.14328168100357</v>
      </c>
      <c r="AD518" s="2"/>
      <c r="AE518" s="2">
        <v>1.0213655207113199</v>
      </c>
      <c r="AF518" s="2">
        <v>90771.732577453105</v>
      </c>
      <c r="AG518" s="2">
        <v>113371.470447278</v>
      </c>
      <c r="AH518" s="4">
        <v>0.80065762770242799</v>
      </c>
      <c r="AI518" s="4">
        <v>-0.32074263678313603</v>
      </c>
      <c r="AJ518" s="4" t="s">
        <v>62</v>
      </c>
      <c r="AK518" s="2">
        <v>3.0829138009123801E-2</v>
      </c>
      <c r="AL518" s="2">
        <v>0.26142937464104898</v>
      </c>
      <c r="AM518" s="2">
        <v>62723.853892667401</v>
      </c>
      <c r="AN518" s="2">
        <v>74096.193350916801</v>
      </c>
      <c r="AO518" s="2">
        <v>92770.271423959406</v>
      </c>
      <c r="AP518" s="2">
        <v>89462.640419175994</v>
      </c>
      <c r="AQ518" s="2">
        <v>122138.079597904</v>
      </c>
      <c r="AR518" s="2">
        <v>103439.356780095</v>
      </c>
      <c r="AS518" s="2">
        <v>115829.122160175</v>
      </c>
      <c r="AT518" s="2">
        <v>119984.19050738</v>
      </c>
      <c r="AU518" s="2">
        <v>101894.440031794</v>
      </c>
      <c r="AV518" s="2">
        <v>110328.150348686</v>
      </c>
      <c r="AW518" s="2">
        <v>114016.06501701599</v>
      </c>
      <c r="AX518" s="2">
        <v>118176.854618614</v>
      </c>
    </row>
    <row r="519" spans="1:50" x14ac:dyDescent="0.25">
      <c r="A519" s="2" t="s">
        <v>3895</v>
      </c>
      <c r="B519" s="2">
        <v>505.13077342181703</v>
      </c>
      <c r="C519" s="2">
        <v>5.3584666666666703</v>
      </c>
      <c r="D519" s="2" t="s">
        <v>51</v>
      </c>
      <c r="E519" s="2" t="s">
        <v>3896</v>
      </c>
      <c r="F519" s="2">
        <v>34609</v>
      </c>
      <c r="G519" s="3" t="str">
        <f>HYPERLINK("https://cloud.oebiotech.com/#/lm/network/34609", "https://cloud.oebiotech.com/#/lm/network/34609")</f>
        <v>https://cloud.oebiotech.com/#/lm/network/34609</v>
      </c>
      <c r="H519" s="2"/>
      <c r="I519" s="2"/>
      <c r="J519" s="2" t="s">
        <v>3897</v>
      </c>
      <c r="K519" s="2">
        <v>5315254</v>
      </c>
      <c r="L519" s="2"/>
      <c r="M519" s="2"/>
      <c r="N519" s="2"/>
      <c r="O519" s="2"/>
      <c r="P519" s="2"/>
      <c r="Q519" s="2"/>
      <c r="R519" s="2"/>
      <c r="S519" s="2" t="s">
        <v>3898</v>
      </c>
      <c r="T519" s="2" t="s">
        <v>3899</v>
      </c>
      <c r="U519" s="2" t="s">
        <v>540</v>
      </c>
      <c r="V519" s="2" t="s">
        <v>541</v>
      </c>
      <c r="W519" s="2" t="s">
        <v>542</v>
      </c>
      <c r="X519" s="2" t="s">
        <v>83</v>
      </c>
      <c r="Y519" s="2">
        <v>54.1</v>
      </c>
      <c r="Z519" s="2">
        <v>2.7799999999999998E-2</v>
      </c>
      <c r="AA519" s="2" t="s">
        <v>163</v>
      </c>
      <c r="AB519" s="2" t="s">
        <v>3900</v>
      </c>
      <c r="AC519" s="2">
        <v>-8.6466071524658705</v>
      </c>
      <c r="AD519" s="2"/>
      <c r="AE519" s="2">
        <v>1.0206896634701701</v>
      </c>
      <c r="AF519" s="2">
        <v>9207.9145732821198</v>
      </c>
      <c r="AG519" s="2">
        <v>39559.594938778799</v>
      </c>
      <c r="AH519" s="4">
        <v>0.232760587855665</v>
      </c>
      <c r="AI519" s="4">
        <v>-2.1030813000380402</v>
      </c>
      <c r="AJ519" s="4" t="s">
        <v>62</v>
      </c>
      <c r="AK519" s="2">
        <v>8.1037034488741902E-2</v>
      </c>
      <c r="AL519" s="2">
        <v>0.36864413848896399</v>
      </c>
      <c r="AM519" s="2">
        <v>8251.2658774433803</v>
      </c>
      <c r="AN519" s="2">
        <v>6815.9921679693698</v>
      </c>
      <c r="AO519" s="2">
        <v>12125.186904996201</v>
      </c>
      <c r="AP519" s="2">
        <v>8.559877937157E-6</v>
      </c>
      <c r="AQ519" s="2">
        <v>4919.7180320584002</v>
      </c>
      <c r="AR519" s="2">
        <v>23135.324448665498</v>
      </c>
      <c r="AS519" s="2">
        <v>14196.323765872699</v>
      </c>
      <c r="AT519" s="2">
        <v>14628.8477372612</v>
      </c>
      <c r="AU519" s="2">
        <v>28651.454749138</v>
      </c>
      <c r="AV519" s="2">
        <v>67666.9496463424</v>
      </c>
      <c r="AW519" s="2">
        <v>102512.350993941</v>
      </c>
      <c r="AX519" s="2">
        <v>9701.6427401173005</v>
      </c>
    </row>
    <row r="520" spans="1:50" x14ac:dyDescent="0.25">
      <c r="A520" s="2" t="s">
        <v>3901</v>
      </c>
      <c r="B520" s="2">
        <v>297.29068374098603</v>
      </c>
      <c r="C520" s="2">
        <v>12.411716666666701</v>
      </c>
      <c r="D520" s="2" t="s">
        <v>51</v>
      </c>
      <c r="E520" s="2" t="s">
        <v>3902</v>
      </c>
      <c r="F520" s="2">
        <v>8571</v>
      </c>
      <c r="G520" s="3" t="str">
        <f>HYPERLINK("https://cloud.oebiotech.com/#/lm/network/8571", "https://cloud.oebiotech.com/#/lm/network/8571")</f>
        <v>https://cloud.oebiotech.com/#/lm/network/8571</v>
      </c>
      <c r="H520" s="2" t="s">
        <v>3903</v>
      </c>
      <c r="I520" s="2">
        <v>43435</v>
      </c>
      <c r="J520" s="2" t="s">
        <v>3904</v>
      </c>
      <c r="K520" s="2">
        <v>6435901</v>
      </c>
      <c r="L520" s="2"/>
      <c r="M520" s="2"/>
      <c r="N520" s="2"/>
      <c r="O520" s="2">
        <v>82984</v>
      </c>
      <c r="P520" s="2"/>
      <c r="Q520" s="2"/>
      <c r="R520" s="2" t="s">
        <v>3905</v>
      </c>
      <c r="S520" s="2" t="s">
        <v>3906</v>
      </c>
      <c r="T520" s="2" t="s">
        <v>3907</v>
      </c>
      <c r="U520" s="2" t="s">
        <v>56</v>
      </c>
      <c r="V520" s="2" t="s">
        <v>145</v>
      </c>
      <c r="W520" s="2" t="s">
        <v>1617</v>
      </c>
      <c r="X520" s="2" t="s">
        <v>83</v>
      </c>
      <c r="Y520" s="2">
        <v>42.1</v>
      </c>
      <c r="Z520" s="2">
        <v>0</v>
      </c>
      <c r="AA520" s="2" t="s">
        <v>512</v>
      </c>
      <c r="AB520" s="2" t="s">
        <v>3908</v>
      </c>
      <c r="AC520" s="2">
        <v>2.3044368657986798</v>
      </c>
      <c r="AD520" s="2"/>
      <c r="AE520" s="2">
        <v>1.0201500316583101</v>
      </c>
      <c r="AF520" s="2">
        <v>352048.17711905303</v>
      </c>
      <c r="AG520" s="2">
        <v>227673.80613293801</v>
      </c>
      <c r="AH520" s="5">
        <v>1.5462831807427699</v>
      </c>
      <c r="AI520" s="5">
        <v>0.62880455344219299</v>
      </c>
      <c r="AJ520" s="5" t="s">
        <v>139</v>
      </c>
      <c r="AK520" s="2">
        <v>0.63799164612764203</v>
      </c>
      <c r="AL520" s="2">
        <v>0.82306744960013201</v>
      </c>
      <c r="AM520" s="2">
        <v>9441.9608578031603</v>
      </c>
      <c r="AN520" s="2">
        <v>4648.0922409992199</v>
      </c>
      <c r="AO520" s="2">
        <v>938988.14562669594</v>
      </c>
      <c r="AP520" s="2">
        <v>28292.585829457999</v>
      </c>
      <c r="AQ520" s="2">
        <v>1112535.52882926</v>
      </c>
      <c r="AR520" s="2">
        <v>18382.749330104201</v>
      </c>
      <c r="AS520" s="2">
        <v>592326.91097939201</v>
      </c>
      <c r="AT520" s="2">
        <v>4544.8739507496102</v>
      </c>
      <c r="AU520" s="2">
        <v>744352.54979888303</v>
      </c>
      <c r="AV520" s="2">
        <v>16758.244783130202</v>
      </c>
      <c r="AW520" s="2">
        <v>4052.3838613231301</v>
      </c>
      <c r="AX520" s="2">
        <v>4007.8734241511802</v>
      </c>
    </row>
    <row r="521" spans="1:50" x14ac:dyDescent="0.25">
      <c r="A521" s="2" t="s">
        <v>1486</v>
      </c>
      <c r="B521" s="2">
        <v>284.331966492996</v>
      </c>
      <c r="C521" s="2">
        <v>10.192183333333301</v>
      </c>
      <c r="D521" s="2" t="s">
        <v>51</v>
      </c>
      <c r="E521" s="2" t="s">
        <v>1487</v>
      </c>
      <c r="F521" s="2">
        <v>9134</v>
      </c>
      <c r="G521" s="3" t="str">
        <f>HYPERLINK("https://cloud.oebiotech.com/#/lm/network/9134", "https://cloud.oebiotech.com/#/lm/network/9134")</f>
        <v>https://cloud.oebiotech.com/#/lm/network/9134</v>
      </c>
      <c r="H521" s="2"/>
      <c r="I521" s="2">
        <v>97436</v>
      </c>
      <c r="J521" s="2" t="s">
        <v>1488</v>
      </c>
      <c r="K521" s="2">
        <v>11021850</v>
      </c>
      <c r="L521" s="2"/>
      <c r="M521" s="2"/>
      <c r="N521" s="2"/>
      <c r="O521" s="2"/>
      <c r="P521" s="2"/>
      <c r="Q521" s="2"/>
      <c r="R521" s="2"/>
      <c r="S521" s="2" t="s">
        <v>1489</v>
      </c>
      <c r="T521" s="2" t="s">
        <v>1490</v>
      </c>
      <c r="U521" s="2" t="s">
        <v>1491</v>
      </c>
      <c r="V521" s="2" t="s">
        <v>1492</v>
      </c>
      <c r="W521" s="2" t="s">
        <v>1493</v>
      </c>
      <c r="X521" s="2" t="s">
        <v>147</v>
      </c>
      <c r="Y521" s="2">
        <v>38.700000000000003</v>
      </c>
      <c r="Z521" s="2">
        <v>1.04</v>
      </c>
      <c r="AA521" s="2" t="s">
        <v>512</v>
      </c>
      <c r="AB521" s="2" t="s">
        <v>1494</v>
      </c>
      <c r="AC521" s="2">
        <v>2.96564848500552</v>
      </c>
      <c r="AD521" s="2"/>
      <c r="AE521" s="2">
        <v>1.01943740094415</v>
      </c>
      <c r="AF521" s="2">
        <v>93871.703428087596</v>
      </c>
      <c r="AG521" s="2">
        <v>115771.319032817</v>
      </c>
      <c r="AH521" s="4">
        <v>0.810837297288447</v>
      </c>
      <c r="AI521" s="4">
        <v>-0.30251564276791698</v>
      </c>
      <c r="AJ521" s="4" t="s">
        <v>62</v>
      </c>
      <c r="AK521" s="2">
        <v>4.4863927456699699E-3</v>
      </c>
      <c r="AL521" s="2">
        <v>0.12174388396289799</v>
      </c>
      <c r="AM521" s="2">
        <v>76693.007006843603</v>
      </c>
      <c r="AN521" s="2">
        <v>97496.459131756405</v>
      </c>
      <c r="AO521" s="2">
        <v>95299.114700491205</v>
      </c>
      <c r="AP521" s="2">
        <v>96721.560323987302</v>
      </c>
      <c r="AQ521" s="2">
        <v>111032.434015516</v>
      </c>
      <c r="AR521" s="2">
        <v>85987.645389931204</v>
      </c>
      <c r="AS521" s="2">
        <v>116130.47190778601</v>
      </c>
      <c r="AT521" s="2">
        <v>126106.62671323</v>
      </c>
      <c r="AU521" s="2">
        <v>102757.45132086999</v>
      </c>
      <c r="AV521" s="2">
        <v>115819.814952455</v>
      </c>
      <c r="AW521" s="2">
        <v>108908.464903368</v>
      </c>
      <c r="AX521" s="2">
        <v>124905.08439919099</v>
      </c>
    </row>
    <row r="522" spans="1:50" x14ac:dyDescent="0.25">
      <c r="A522" s="2" t="s">
        <v>3909</v>
      </c>
      <c r="B522" s="2">
        <v>142.09787277214599</v>
      </c>
      <c r="C522" s="2">
        <v>3.1093000000000002</v>
      </c>
      <c r="D522" s="2" t="s">
        <v>51</v>
      </c>
      <c r="E522" s="2" t="s">
        <v>3910</v>
      </c>
      <c r="F522" s="2">
        <v>205286</v>
      </c>
      <c r="G522" s="3" t="str">
        <f>HYPERLINK("https://cloud.oebiotech.com/#/lm/network/205286", "https://cloud.oebiotech.com/#/lm/network/205286")</f>
        <v>https://cloud.oebiotech.com/#/lm/network/205286</v>
      </c>
      <c r="H522" s="2" t="s">
        <v>3911</v>
      </c>
      <c r="I522" s="2"/>
      <c r="J522" s="2"/>
      <c r="K522" s="2">
        <v>10197817</v>
      </c>
      <c r="L522" s="2"/>
      <c r="M522" s="2"/>
      <c r="N522" s="2"/>
      <c r="O522" s="2"/>
      <c r="P522" s="2"/>
      <c r="Q522" s="2"/>
      <c r="R522" s="2"/>
      <c r="S522" s="2" t="s">
        <v>3912</v>
      </c>
      <c r="T522" s="2" t="s">
        <v>3913</v>
      </c>
      <c r="U522" s="2" t="s">
        <v>103</v>
      </c>
      <c r="V522" s="2" t="s">
        <v>104</v>
      </c>
      <c r="W522" s="2" t="s">
        <v>105</v>
      </c>
      <c r="X522" s="2" t="s">
        <v>147</v>
      </c>
      <c r="Y522" s="2">
        <v>38.700000000000003</v>
      </c>
      <c r="Z522" s="2">
        <v>0</v>
      </c>
      <c r="AA522" s="2" t="s">
        <v>156</v>
      </c>
      <c r="AB522" s="2" t="s">
        <v>3914</v>
      </c>
      <c r="AC522" s="2">
        <v>2.4157752357160098</v>
      </c>
      <c r="AD522" s="2"/>
      <c r="AE522" s="2">
        <v>1.0190992782955499</v>
      </c>
      <c r="AF522" s="2">
        <v>91.50517403536</v>
      </c>
      <c r="AG522" s="2">
        <v>41142.628454888603</v>
      </c>
      <c r="AH522" s="4">
        <v>2.2240964535285399E-3</v>
      </c>
      <c r="AI522" s="4">
        <v>-8.8125649291501809</v>
      </c>
      <c r="AJ522" s="4" t="s">
        <v>62</v>
      </c>
      <c r="AK522" s="2">
        <v>7.5474708663747697E-2</v>
      </c>
      <c r="AL522" s="2">
        <v>0.35933708527399399</v>
      </c>
      <c r="AM522" s="2">
        <v>48.514437380537601</v>
      </c>
      <c r="AN522" s="2">
        <v>70.023694756470704</v>
      </c>
      <c r="AO522" s="2">
        <v>63.294570673872599</v>
      </c>
      <c r="AP522" s="2">
        <v>68.706204339068293</v>
      </c>
      <c r="AQ522" s="2">
        <v>166.20883838706999</v>
      </c>
      <c r="AR522" s="2">
        <v>132.283298675141</v>
      </c>
      <c r="AS522" s="2">
        <v>70277.694016240202</v>
      </c>
      <c r="AT522" s="2">
        <v>123768.95041602899</v>
      </c>
      <c r="AU522" s="2">
        <v>92.284274928855396</v>
      </c>
      <c r="AV522" s="2">
        <v>52469.412672412502</v>
      </c>
      <c r="AW522" s="2">
        <v>124.894748439301</v>
      </c>
      <c r="AX522" s="2">
        <v>122.534601281973</v>
      </c>
    </row>
    <row r="523" spans="1:50" x14ac:dyDescent="0.25">
      <c r="A523" s="2" t="s">
        <v>3915</v>
      </c>
      <c r="B523" s="2">
        <v>401.26714342262301</v>
      </c>
      <c r="C523" s="2">
        <v>10.3521</v>
      </c>
      <c r="D523" s="2" t="s">
        <v>51</v>
      </c>
      <c r="E523" s="2" t="s">
        <v>3916</v>
      </c>
      <c r="F523" s="2">
        <v>208616</v>
      </c>
      <c r="G523" s="3" t="str">
        <f>HYPERLINK("https://cloud.oebiotech.com/#/lm/network/208616", "https://cloud.oebiotech.com/#/lm/network/208616")</f>
        <v>https://cloud.oebiotech.com/#/lm/network/208616</v>
      </c>
      <c r="H523" s="2" t="s">
        <v>3917</v>
      </c>
      <c r="I523" s="2"/>
      <c r="J523" s="2"/>
      <c r="K523" s="2">
        <v>3028542</v>
      </c>
      <c r="L523" s="2"/>
      <c r="M523" s="2"/>
      <c r="N523" s="2"/>
      <c r="O523" s="2"/>
      <c r="P523" s="2"/>
      <c r="Q523" s="2"/>
      <c r="R523" s="2"/>
      <c r="S523" s="2" t="s">
        <v>3918</v>
      </c>
      <c r="T523" s="2" t="s">
        <v>3919</v>
      </c>
      <c r="U523" s="2" t="s">
        <v>56</v>
      </c>
      <c r="V523" s="2" t="s">
        <v>145</v>
      </c>
      <c r="W523" s="2" t="s">
        <v>231</v>
      </c>
      <c r="X523" s="2" t="s">
        <v>83</v>
      </c>
      <c r="Y523" s="2">
        <v>44.2</v>
      </c>
      <c r="Z523" s="2">
        <v>0</v>
      </c>
      <c r="AA523" s="2" t="s">
        <v>95</v>
      </c>
      <c r="AB523" s="2" t="s">
        <v>3920</v>
      </c>
      <c r="AC523" s="2">
        <v>2.41369604795287</v>
      </c>
      <c r="AD523" s="2"/>
      <c r="AE523" s="2">
        <v>1.0176113516466201</v>
      </c>
      <c r="AF523" s="2">
        <v>59370.057491993699</v>
      </c>
      <c r="AG523" s="2">
        <v>92440.492915800496</v>
      </c>
      <c r="AH523" s="4">
        <v>0.64225163258347195</v>
      </c>
      <c r="AI523" s="4">
        <v>-0.638789442471141</v>
      </c>
      <c r="AJ523" s="4" t="s">
        <v>62</v>
      </c>
      <c r="AK523" s="2">
        <v>0.13273758202819799</v>
      </c>
      <c r="AL523" s="2">
        <v>0.45326287063707099</v>
      </c>
      <c r="AM523" s="2">
        <v>23311.068904344</v>
      </c>
      <c r="AN523" s="2">
        <v>22583.148981711802</v>
      </c>
      <c r="AO523" s="2">
        <v>67322.574277741194</v>
      </c>
      <c r="AP523" s="2">
        <v>67891.082423174405</v>
      </c>
      <c r="AQ523" s="2">
        <v>100260.333268919</v>
      </c>
      <c r="AR523" s="2">
        <v>74852.137096072096</v>
      </c>
      <c r="AS523" s="2">
        <v>82519.990056992494</v>
      </c>
      <c r="AT523" s="2">
        <v>146000.33725791401</v>
      </c>
      <c r="AU523" s="2">
        <v>47504.982374374602</v>
      </c>
      <c r="AV523" s="2">
        <v>65789.152425336695</v>
      </c>
      <c r="AW523" s="2">
        <v>79396.774899244294</v>
      </c>
      <c r="AX523" s="2">
        <v>133431.720480941</v>
      </c>
    </row>
    <row r="524" spans="1:50" x14ac:dyDescent="0.25">
      <c r="A524" s="2" t="s">
        <v>3921</v>
      </c>
      <c r="B524" s="2">
        <v>428.138493881979</v>
      </c>
      <c r="C524" s="2">
        <v>5.4092166666666701</v>
      </c>
      <c r="D524" s="2" t="s">
        <v>51</v>
      </c>
      <c r="E524" s="2" t="s">
        <v>3922</v>
      </c>
      <c r="F524" s="2">
        <v>209708</v>
      </c>
      <c r="G524" s="3" t="str">
        <f>HYPERLINK("https://cloud.oebiotech.com/#/lm/network/209708", "https://cloud.oebiotech.com/#/lm/network/209708")</f>
        <v>https://cloud.oebiotech.com/#/lm/network/209708</v>
      </c>
      <c r="H524" s="2" t="s">
        <v>3923</v>
      </c>
      <c r="I524" s="2"/>
      <c r="J524" s="2"/>
      <c r="K524" s="2">
        <v>75236651</v>
      </c>
      <c r="L524" s="2"/>
      <c r="M524" s="2"/>
      <c r="N524" s="2"/>
      <c r="O524" s="2"/>
      <c r="P524" s="2"/>
      <c r="Q524" s="2"/>
      <c r="R524" s="2"/>
      <c r="S524" s="2" t="s">
        <v>3924</v>
      </c>
      <c r="T524" s="2" t="s">
        <v>3925</v>
      </c>
      <c r="U524" s="2" t="s">
        <v>266</v>
      </c>
      <c r="V524" s="2" t="s">
        <v>3926</v>
      </c>
      <c r="W524" s="2" t="s">
        <v>3927</v>
      </c>
      <c r="X524" s="2" t="s">
        <v>147</v>
      </c>
      <c r="Y524" s="2">
        <v>44.1</v>
      </c>
      <c r="Z524" s="2">
        <v>30.9</v>
      </c>
      <c r="AA524" s="2" t="s">
        <v>395</v>
      </c>
      <c r="AB524" s="2" t="s">
        <v>3928</v>
      </c>
      <c r="AC524" s="2">
        <v>-2.7907472301835998</v>
      </c>
      <c r="AD524" s="2"/>
      <c r="AE524" s="2">
        <v>1.0172599560078801</v>
      </c>
      <c r="AF524" s="2">
        <v>9160.5067213714592</v>
      </c>
      <c r="AG524" s="2">
        <v>48391.981576794897</v>
      </c>
      <c r="AH524" s="4">
        <v>0.18929802878260599</v>
      </c>
      <c r="AI524" s="4">
        <v>-2.4012687069855501</v>
      </c>
      <c r="AJ524" s="4" t="s">
        <v>62</v>
      </c>
      <c r="AK524" s="2">
        <v>0.13872224450505899</v>
      </c>
      <c r="AL524" s="2">
        <v>0.45923352345858398</v>
      </c>
      <c r="AM524" s="2">
        <v>21575.268021353899</v>
      </c>
      <c r="AN524" s="2">
        <v>2181.9846266242898</v>
      </c>
      <c r="AO524" s="2">
        <v>5573.6364115098704</v>
      </c>
      <c r="AP524" s="2">
        <v>8.559877937157E-6</v>
      </c>
      <c r="AQ524" s="2">
        <v>2443.46944922072</v>
      </c>
      <c r="AR524" s="2">
        <v>23188.681810960101</v>
      </c>
      <c r="AS524" s="2">
        <v>8.559877937157E-6</v>
      </c>
      <c r="AT524" s="2">
        <v>18396.510264524699</v>
      </c>
      <c r="AU524" s="2">
        <v>56646.793291358001</v>
      </c>
      <c r="AV524" s="2">
        <v>42429.2206388044</v>
      </c>
      <c r="AW524" s="2">
        <v>160790.207469249</v>
      </c>
      <c r="AX524" s="2">
        <v>12089.1577882734</v>
      </c>
    </row>
    <row r="525" spans="1:50" x14ac:dyDescent="0.25">
      <c r="A525" s="2" t="s">
        <v>3929</v>
      </c>
      <c r="B525" s="2">
        <v>416.31728241576798</v>
      </c>
      <c r="C525" s="2">
        <v>8.7620000000000005</v>
      </c>
      <c r="D525" s="2" t="s">
        <v>51</v>
      </c>
      <c r="E525" s="2" t="s">
        <v>3930</v>
      </c>
      <c r="F525" s="2">
        <v>198465</v>
      </c>
      <c r="G525" s="3" t="str">
        <f>HYPERLINK("https://cloud.oebiotech.com/#/lm/network/198465", "https://cloud.oebiotech.com/#/lm/network/198465")</f>
        <v>https://cloud.oebiotech.com/#/lm/network/198465</v>
      </c>
      <c r="H525" s="2" t="s">
        <v>3931</v>
      </c>
      <c r="I525" s="2"/>
      <c r="J525" s="2"/>
      <c r="K525" s="2">
        <v>89489</v>
      </c>
      <c r="L525" s="2"/>
      <c r="M525" s="2"/>
      <c r="N525" s="2"/>
      <c r="O525" s="2"/>
      <c r="P525" s="2"/>
      <c r="Q525" s="2"/>
      <c r="R525" s="2"/>
      <c r="S525" s="2" t="s">
        <v>3932</v>
      </c>
      <c r="T525" s="2" t="s">
        <v>3933</v>
      </c>
      <c r="U525" s="2" t="s">
        <v>103</v>
      </c>
      <c r="V525" s="2" t="s">
        <v>104</v>
      </c>
      <c r="W525" s="2" t="s">
        <v>105</v>
      </c>
      <c r="X525" s="2" t="s">
        <v>147</v>
      </c>
      <c r="Y525" s="2">
        <v>42.6</v>
      </c>
      <c r="Z525" s="2">
        <v>24.7</v>
      </c>
      <c r="AA525" s="2" t="s">
        <v>259</v>
      </c>
      <c r="AB525" s="2" t="s">
        <v>3934</v>
      </c>
      <c r="AC525" s="2">
        <v>-4.8381043370340198</v>
      </c>
      <c r="AD525" s="2"/>
      <c r="AE525" s="2">
        <v>1.0171758509368201</v>
      </c>
      <c r="AF525" s="2">
        <v>1943.3492487772901</v>
      </c>
      <c r="AG525" s="2">
        <v>32790.297324560299</v>
      </c>
      <c r="AH525" s="4">
        <v>5.9265984371593403E-2</v>
      </c>
      <c r="AI525" s="4">
        <v>-4.0766518802606004</v>
      </c>
      <c r="AJ525" s="4" t="s">
        <v>62</v>
      </c>
      <c r="AK525" s="2">
        <v>0.124167375471468</v>
      </c>
      <c r="AL525" s="2">
        <v>0.44128813217080598</v>
      </c>
      <c r="AM525" s="2">
        <v>8.559877937157E-6</v>
      </c>
      <c r="AN525" s="2">
        <v>968.29159384569198</v>
      </c>
      <c r="AO525" s="2">
        <v>1051.38208300422</v>
      </c>
      <c r="AP525" s="2">
        <v>4331.9829582303601</v>
      </c>
      <c r="AQ525" s="2">
        <v>3537.6162689572602</v>
      </c>
      <c r="AR525" s="2">
        <v>1770.8225800663399</v>
      </c>
      <c r="AS525" s="2">
        <v>8.559877937157E-6</v>
      </c>
      <c r="AT525" s="2">
        <v>12011.356724830701</v>
      </c>
      <c r="AU525" s="2">
        <v>1585.6748862417401</v>
      </c>
      <c r="AV525" s="2">
        <v>95099.947334702607</v>
      </c>
      <c r="AW525" s="2">
        <v>85869.4856512923</v>
      </c>
      <c r="AX525" s="2">
        <v>2175.3193417347002</v>
      </c>
    </row>
    <row r="526" spans="1:50" x14ac:dyDescent="0.25">
      <c r="A526" s="2" t="s">
        <v>1495</v>
      </c>
      <c r="B526" s="2">
        <v>333.20706312556399</v>
      </c>
      <c r="C526" s="2">
        <v>6.9315166666666697</v>
      </c>
      <c r="D526" s="2" t="s">
        <v>51</v>
      </c>
      <c r="E526" s="2" t="s">
        <v>1496</v>
      </c>
      <c r="F526" s="2">
        <v>35989</v>
      </c>
      <c r="G526" s="3" t="str">
        <f>HYPERLINK("https://cloud.oebiotech.com/#/lm/network/35989", "https://cloud.oebiotech.com/#/lm/network/35989")</f>
        <v>https://cloud.oebiotech.com/#/lm/network/35989</v>
      </c>
      <c r="H526" s="2"/>
      <c r="I526" s="2"/>
      <c r="J526" s="2" t="s">
        <v>1497</v>
      </c>
      <c r="K526" s="2"/>
      <c r="L526" s="2"/>
      <c r="M526" s="2"/>
      <c r="N526" s="2"/>
      <c r="O526" s="2"/>
      <c r="P526" s="2"/>
      <c r="Q526" s="2"/>
      <c r="R526" s="2"/>
      <c r="S526" s="2" t="s">
        <v>1498</v>
      </c>
      <c r="T526" s="2" t="s">
        <v>1499</v>
      </c>
      <c r="U526" s="2" t="s">
        <v>56</v>
      </c>
      <c r="V526" s="2" t="s">
        <v>177</v>
      </c>
      <c r="W526" s="2" t="s">
        <v>178</v>
      </c>
      <c r="X526" s="2" t="s">
        <v>69</v>
      </c>
      <c r="Y526" s="2">
        <v>56.1</v>
      </c>
      <c r="Z526" s="2">
        <v>80.8</v>
      </c>
      <c r="AA526" s="2" t="s">
        <v>259</v>
      </c>
      <c r="AB526" s="2" t="s">
        <v>1500</v>
      </c>
      <c r="AC526" s="2">
        <v>3.09247802553248</v>
      </c>
      <c r="AD526" s="2"/>
      <c r="AE526" s="2">
        <v>1.0154514230540199</v>
      </c>
      <c r="AF526" s="2">
        <v>52883.302644349496</v>
      </c>
      <c r="AG526" s="2">
        <v>29791.639338824902</v>
      </c>
      <c r="AH526" s="5">
        <v>1.7751054932862</v>
      </c>
      <c r="AI526" s="5">
        <v>0.827904765529067</v>
      </c>
      <c r="AJ526" s="5" t="s">
        <v>139</v>
      </c>
      <c r="AK526" s="2">
        <v>6.9366549325868103E-3</v>
      </c>
      <c r="AL526" s="2">
        <v>0.14007796032233999</v>
      </c>
      <c r="AM526" s="2">
        <v>52818.614490469801</v>
      </c>
      <c r="AN526" s="2">
        <v>67855.765405978396</v>
      </c>
      <c r="AO526" s="2">
        <v>55926.550958201398</v>
      </c>
      <c r="AP526" s="2">
        <v>57576.580533685003</v>
      </c>
      <c r="AQ526" s="2">
        <v>33776.703107588997</v>
      </c>
      <c r="AR526" s="2">
        <v>49345.601370173397</v>
      </c>
      <c r="AS526" s="2">
        <v>44219.731830729201</v>
      </c>
      <c r="AT526" s="2">
        <v>27259.622518773002</v>
      </c>
      <c r="AU526" s="2">
        <v>40153.682882688903</v>
      </c>
      <c r="AV526" s="2">
        <v>10325.6467683143</v>
      </c>
      <c r="AW526" s="2">
        <v>23021.7561592239</v>
      </c>
      <c r="AX526" s="2">
        <v>33769.395873220397</v>
      </c>
    </row>
    <row r="527" spans="1:50" x14ac:dyDescent="0.25">
      <c r="A527" s="2" t="s">
        <v>3935</v>
      </c>
      <c r="B527" s="2">
        <v>336.252014085437</v>
      </c>
      <c r="C527" s="2">
        <v>8.0054499999999997</v>
      </c>
      <c r="D527" s="2" t="s">
        <v>51</v>
      </c>
      <c r="E527" s="2" t="s">
        <v>3936</v>
      </c>
      <c r="F527" s="2">
        <v>197869</v>
      </c>
      <c r="G527" s="3" t="str">
        <f>HYPERLINK("https://cloud.oebiotech.com/#/lm/network/197869", "https://cloud.oebiotech.com/#/lm/network/197869")</f>
        <v>https://cloud.oebiotech.com/#/lm/network/197869</v>
      </c>
      <c r="H527" s="2" t="s">
        <v>3937</v>
      </c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 t="s">
        <v>3938</v>
      </c>
      <c r="T527" s="2" t="s">
        <v>3939</v>
      </c>
      <c r="U527" s="2" t="s">
        <v>56</v>
      </c>
      <c r="V527" s="2" t="s">
        <v>145</v>
      </c>
      <c r="W527" s="2" t="s">
        <v>1188</v>
      </c>
      <c r="X527" s="2" t="s">
        <v>147</v>
      </c>
      <c r="Y527" s="2">
        <v>37.9</v>
      </c>
      <c r="Z527" s="2">
        <v>0</v>
      </c>
      <c r="AA527" s="2" t="s">
        <v>179</v>
      </c>
      <c r="AB527" s="2" t="s">
        <v>3940</v>
      </c>
      <c r="AC527" s="2">
        <v>-3.6977936739051298</v>
      </c>
      <c r="AD527" s="2"/>
      <c r="AE527" s="2">
        <v>1.01246886860229</v>
      </c>
      <c r="AF527" s="2">
        <v>81029.946744713801</v>
      </c>
      <c r="AG527" s="2">
        <v>16898.751948556899</v>
      </c>
      <c r="AH527" s="5">
        <v>4.7950255138003604</v>
      </c>
      <c r="AI527" s="5">
        <v>2.26153849168456</v>
      </c>
      <c r="AJ527" s="5" t="s">
        <v>139</v>
      </c>
      <c r="AK527" s="2">
        <v>0.26250958886881898</v>
      </c>
      <c r="AL527" s="2">
        <v>0.58502981573355095</v>
      </c>
      <c r="AM527" s="2">
        <v>5216.7998621765901</v>
      </c>
      <c r="AN527" s="2">
        <v>400.268537794091</v>
      </c>
      <c r="AO527" s="2">
        <v>145205.823593874</v>
      </c>
      <c r="AP527" s="2">
        <v>5408.8928318092603</v>
      </c>
      <c r="AQ527" s="2">
        <v>322379.663890008</v>
      </c>
      <c r="AR527" s="2">
        <v>7568.2317526208799</v>
      </c>
      <c r="AS527" s="2">
        <v>35191.299809998804</v>
      </c>
      <c r="AT527" s="2">
        <v>4099.7617341946398</v>
      </c>
      <c r="AU527" s="2">
        <v>15989.244605031001</v>
      </c>
      <c r="AV527" s="2">
        <v>1109.0192419396701</v>
      </c>
      <c r="AW527" s="2">
        <v>498.26404678132798</v>
      </c>
      <c r="AX527" s="2">
        <v>44504.922253395896</v>
      </c>
    </row>
    <row r="528" spans="1:50" x14ac:dyDescent="0.25">
      <c r="A528" s="2" t="s">
        <v>1501</v>
      </c>
      <c r="B528" s="2">
        <v>349.20237425656899</v>
      </c>
      <c r="C528" s="2">
        <v>6.88723333333333</v>
      </c>
      <c r="D528" s="2" t="s">
        <v>51</v>
      </c>
      <c r="E528" s="2" t="s">
        <v>1502</v>
      </c>
      <c r="F528" s="2">
        <v>534735</v>
      </c>
      <c r="G528" s="3" t="str">
        <f>HYPERLINK("https://cloud.oebiotech.com/#/lm/network/534735", "https://cloud.oebiotech.com/#/lm/network/534735")</f>
        <v>https://cloud.oebiotech.com/#/lm/network/534735</v>
      </c>
      <c r="H528" s="2"/>
      <c r="I528" s="2">
        <v>985468</v>
      </c>
      <c r="J528" s="2"/>
      <c r="K528" s="2">
        <v>38350572</v>
      </c>
      <c r="L528" s="2"/>
      <c r="M528" s="2"/>
      <c r="N528" s="2"/>
      <c r="O528" s="2"/>
      <c r="P528" s="2"/>
      <c r="Q528" s="2"/>
      <c r="R528" s="2"/>
      <c r="S528" s="2" t="s">
        <v>1503</v>
      </c>
      <c r="T528" s="2" t="s">
        <v>1504</v>
      </c>
      <c r="U528" s="2" t="s">
        <v>56</v>
      </c>
      <c r="V528" s="2" t="s">
        <v>177</v>
      </c>
      <c r="W528" s="2" t="s">
        <v>806</v>
      </c>
      <c r="X528" s="2" t="s">
        <v>69</v>
      </c>
      <c r="Y528" s="2">
        <v>57.1</v>
      </c>
      <c r="Z528" s="2">
        <v>74.400000000000006</v>
      </c>
      <c r="AA528" s="2" t="s">
        <v>163</v>
      </c>
      <c r="AB528" s="2" t="s">
        <v>950</v>
      </c>
      <c r="AC528" s="2">
        <v>0.93266696806965699</v>
      </c>
      <c r="AD528" s="2"/>
      <c r="AE528" s="2">
        <v>1.0102507306104</v>
      </c>
      <c r="AF528" s="2">
        <v>51978.923938122301</v>
      </c>
      <c r="AG528" s="2">
        <v>27958.819415186299</v>
      </c>
      <c r="AH528" s="5">
        <v>1.8591244203211701</v>
      </c>
      <c r="AI528" s="5">
        <v>0.89462332462734395</v>
      </c>
      <c r="AJ528" s="5" t="s">
        <v>139</v>
      </c>
      <c r="AK528" s="2">
        <v>3.0446483930787999E-2</v>
      </c>
      <c r="AL528" s="2">
        <v>0.260087446182861</v>
      </c>
      <c r="AM528" s="2">
        <v>78062.766098711596</v>
      </c>
      <c r="AN528" s="2">
        <v>60422.3076189407</v>
      </c>
      <c r="AO528" s="2">
        <v>44671.284973178801</v>
      </c>
      <c r="AP528" s="2">
        <v>61853.967385892603</v>
      </c>
      <c r="AQ528" s="2">
        <v>27180.417433714301</v>
      </c>
      <c r="AR528" s="2">
        <v>39682.800118295898</v>
      </c>
      <c r="AS528" s="2">
        <v>49518.290473644403</v>
      </c>
      <c r="AT528" s="2">
        <v>25373.056008142099</v>
      </c>
      <c r="AU528" s="2">
        <v>35142.1278185677</v>
      </c>
      <c r="AV528" s="2">
        <v>5999.4691516890798</v>
      </c>
      <c r="AW528" s="2">
        <v>21103.478604352698</v>
      </c>
      <c r="AX528" s="2">
        <v>30616.494434721601</v>
      </c>
    </row>
    <row r="529" spans="1:50" x14ac:dyDescent="0.25">
      <c r="A529" s="2" t="s">
        <v>3941</v>
      </c>
      <c r="B529" s="2">
        <v>448.33856138390701</v>
      </c>
      <c r="C529" s="2">
        <v>11.0279666666667</v>
      </c>
      <c r="D529" s="2" t="s">
        <v>51</v>
      </c>
      <c r="E529" s="2" t="s">
        <v>3942</v>
      </c>
      <c r="F529" s="2">
        <v>46445</v>
      </c>
      <c r="G529" s="3" t="str">
        <f>HYPERLINK("https://cloud.oebiotech.com/#/lm/network/46445", "https://cloud.oebiotech.com/#/lm/network/46445")</f>
        <v>https://cloud.oebiotech.com/#/lm/network/46445</v>
      </c>
      <c r="H529" s="2"/>
      <c r="I529" s="2">
        <v>84860</v>
      </c>
      <c r="J529" s="2" t="s">
        <v>3943</v>
      </c>
      <c r="K529" s="2">
        <v>5284286</v>
      </c>
      <c r="L529" s="2"/>
      <c r="M529" s="2"/>
      <c r="N529" s="2"/>
      <c r="O529" s="2"/>
      <c r="P529" s="2"/>
      <c r="Q529" s="2"/>
      <c r="R529" s="2"/>
      <c r="S529" s="2" t="s">
        <v>3944</v>
      </c>
      <c r="T529" s="2" t="s">
        <v>3945</v>
      </c>
      <c r="U529" s="2" t="s">
        <v>56</v>
      </c>
      <c r="V529" s="2" t="s">
        <v>283</v>
      </c>
      <c r="W529" s="2" t="s">
        <v>2042</v>
      </c>
      <c r="X529" s="2" t="s">
        <v>83</v>
      </c>
      <c r="Y529" s="2">
        <v>37.6</v>
      </c>
      <c r="Z529" s="2">
        <v>0</v>
      </c>
      <c r="AA529" s="2" t="s">
        <v>453</v>
      </c>
      <c r="AB529" s="2" t="s">
        <v>3946</v>
      </c>
      <c r="AC529" s="2">
        <v>-8.3056059845448704</v>
      </c>
      <c r="AD529" s="2"/>
      <c r="AE529" s="2">
        <v>1.00815554765244</v>
      </c>
      <c r="AF529" s="2">
        <v>108539.633905615</v>
      </c>
      <c r="AG529" s="2">
        <v>136039.542797531</v>
      </c>
      <c r="AH529" s="4">
        <v>0.79785356282147801</v>
      </c>
      <c r="AI529" s="4">
        <v>-0.32580411482779897</v>
      </c>
      <c r="AJ529" s="4" t="s">
        <v>62</v>
      </c>
      <c r="AK529" s="2">
        <v>9.0988833009664094E-2</v>
      </c>
      <c r="AL529" s="2">
        <v>0.38751843728721302</v>
      </c>
      <c r="AM529" s="2">
        <v>75502.178307496404</v>
      </c>
      <c r="AN529" s="2">
        <v>89360.7473273543</v>
      </c>
      <c r="AO529" s="2">
        <v>101153.325764961</v>
      </c>
      <c r="AP529" s="2">
        <v>120312.34382895799</v>
      </c>
      <c r="AQ529" s="2">
        <v>139637.36549312901</v>
      </c>
      <c r="AR529" s="2">
        <v>125271.842711793</v>
      </c>
      <c r="AS529" s="2">
        <v>168462.79353769901</v>
      </c>
      <c r="AT529" s="2">
        <v>166804.89081555701</v>
      </c>
      <c r="AU529" s="2">
        <v>113102.106159274</v>
      </c>
      <c r="AV529" s="2">
        <v>103944.631544049</v>
      </c>
      <c r="AW529" s="2">
        <v>132293.45937009301</v>
      </c>
      <c r="AX529" s="2">
        <v>131629.375358516</v>
      </c>
    </row>
    <row r="530" spans="1:50" x14ac:dyDescent="0.25">
      <c r="A530" s="2" t="s">
        <v>1505</v>
      </c>
      <c r="B530" s="2">
        <v>437.216509898146</v>
      </c>
      <c r="C530" s="2">
        <v>6.4887499999999996</v>
      </c>
      <c r="D530" s="2" t="s">
        <v>51</v>
      </c>
      <c r="E530" s="2" t="s">
        <v>1506</v>
      </c>
      <c r="F530" s="2">
        <v>83512</v>
      </c>
      <c r="G530" s="3" t="str">
        <f>HYPERLINK("https://cloud.oebiotech.com/#/lm/network/83512", "https://cloud.oebiotech.com/#/lm/network/83512")</f>
        <v>https://cloud.oebiotech.com/#/lm/network/83512</v>
      </c>
      <c r="H530" s="2" t="s">
        <v>1507</v>
      </c>
      <c r="I530" s="2"/>
      <c r="J530" s="2"/>
      <c r="K530" s="2">
        <v>134819271</v>
      </c>
      <c r="L530" s="2"/>
      <c r="M530" s="2"/>
      <c r="N530" s="2"/>
      <c r="O530" s="2"/>
      <c r="P530" s="2"/>
      <c r="Q530" s="2"/>
      <c r="R530" s="2"/>
      <c r="S530" s="2" t="s">
        <v>1508</v>
      </c>
      <c r="T530" s="2" t="s">
        <v>1509</v>
      </c>
      <c r="U530" s="2" t="s">
        <v>56</v>
      </c>
      <c r="V530" s="2" t="s">
        <v>145</v>
      </c>
      <c r="W530" s="2" t="s">
        <v>187</v>
      </c>
      <c r="X530" s="2" t="s">
        <v>59</v>
      </c>
      <c r="Y530" s="2">
        <v>46.9</v>
      </c>
      <c r="Z530" s="2">
        <v>45.7</v>
      </c>
      <c r="AA530" s="2" t="s">
        <v>218</v>
      </c>
      <c r="AB530" s="2" t="s">
        <v>636</v>
      </c>
      <c r="AC530" s="2">
        <v>-4.0327262827094801</v>
      </c>
      <c r="AD530" s="2"/>
      <c r="AE530" s="2">
        <v>1.0075577918346299</v>
      </c>
      <c r="AF530" s="2">
        <v>45630.455997162499</v>
      </c>
      <c r="AG530" s="2">
        <v>24965.477131926898</v>
      </c>
      <c r="AH530" s="5">
        <v>1.82774219599466</v>
      </c>
      <c r="AI530" s="5">
        <v>0.87006259184596102</v>
      </c>
      <c r="AJ530" s="5" t="s">
        <v>139</v>
      </c>
      <c r="AK530" s="2">
        <v>1.59398622899398E-2</v>
      </c>
      <c r="AL530" s="2">
        <v>0.199280416991126</v>
      </c>
      <c r="AM530" s="2">
        <v>65501.591325888803</v>
      </c>
      <c r="AN530" s="2">
        <v>60189.799739808303</v>
      </c>
      <c r="AO530" s="2">
        <v>44478.880626017897</v>
      </c>
      <c r="AP530" s="2">
        <v>45043.149722807997</v>
      </c>
      <c r="AQ530" s="2">
        <v>26362.259904199698</v>
      </c>
      <c r="AR530" s="2">
        <v>32207.054664252599</v>
      </c>
      <c r="AS530" s="2">
        <v>32485.714690892899</v>
      </c>
      <c r="AT530" s="2">
        <v>20578.197188558399</v>
      </c>
      <c r="AU530" s="2">
        <v>35854.307713192</v>
      </c>
      <c r="AV530" s="2">
        <v>12590.8292519112</v>
      </c>
      <c r="AW530" s="2">
        <v>21089.945754157401</v>
      </c>
      <c r="AX530" s="2">
        <v>27193.868192849801</v>
      </c>
    </row>
    <row r="531" spans="1:50" x14ac:dyDescent="0.25">
      <c r="A531" s="2" t="s">
        <v>3947</v>
      </c>
      <c r="B531" s="2">
        <v>318.16698703604402</v>
      </c>
      <c r="C531" s="2">
        <v>3.5852833333333298</v>
      </c>
      <c r="D531" s="2" t="s">
        <v>51</v>
      </c>
      <c r="E531" s="2" t="s">
        <v>3948</v>
      </c>
      <c r="F531" s="2">
        <v>53328</v>
      </c>
      <c r="G531" s="3" t="str">
        <f>HYPERLINK("https://cloud.oebiotech.com/#/lm/network/53328", "https://cloud.oebiotech.com/#/lm/network/53328")</f>
        <v>https://cloud.oebiotech.com/#/lm/network/53328</v>
      </c>
      <c r="H531" s="2" t="s">
        <v>3949</v>
      </c>
      <c r="I531" s="2">
        <v>85466</v>
      </c>
      <c r="J531" s="2"/>
      <c r="K531" s="2">
        <v>60789</v>
      </c>
      <c r="L531" s="2"/>
      <c r="M531" s="2"/>
      <c r="N531" s="2"/>
      <c r="O531" s="2">
        <v>50580</v>
      </c>
      <c r="P531" s="2"/>
      <c r="Q531" s="2"/>
      <c r="R531" s="2" t="s">
        <v>3950</v>
      </c>
      <c r="S531" s="2" t="s">
        <v>3951</v>
      </c>
      <c r="T531" s="2" t="s">
        <v>3952</v>
      </c>
      <c r="U531" s="2" t="s">
        <v>610</v>
      </c>
      <c r="V531" s="2" t="s">
        <v>611</v>
      </c>
      <c r="W531" s="2" t="s">
        <v>3953</v>
      </c>
      <c r="X531" s="2" t="s">
        <v>83</v>
      </c>
      <c r="Y531" s="2">
        <v>45.6</v>
      </c>
      <c r="Z531" s="2">
        <v>41.4</v>
      </c>
      <c r="AA531" s="2" t="s">
        <v>60</v>
      </c>
      <c r="AB531" s="2" t="s">
        <v>3954</v>
      </c>
      <c r="AC531" s="2">
        <v>-9.45135266045199</v>
      </c>
      <c r="AD531" s="2"/>
      <c r="AE531" s="2">
        <v>1.00746273813786</v>
      </c>
      <c r="AF531" s="2">
        <v>126078.266367337</v>
      </c>
      <c r="AG531" s="2">
        <v>83097.545711166997</v>
      </c>
      <c r="AH531" s="5">
        <v>1.5172321310856001</v>
      </c>
      <c r="AI531" s="5">
        <v>0.601441829649485</v>
      </c>
      <c r="AJ531" s="5" t="s">
        <v>139</v>
      </c>
      <c r="AK531" s="2">
        <v>0.28551995700066801</v>
      </c>
      <c r="AL531" s="2">
        <v>0.600675920568711</v>
      </c>
      <c r="AM531" s="2">
        <v>203110.729366018</v>
      </c>
      <c r="AN531" s="2">
        <v>125687.646017141</v>
      </c>
      <c r="AO531" s="2">
        <v>118522.81473439001</v>
      </c>
      <c r="AP531" s="2">
        <v>55243.9555731238</v>
      </c>
      <c r="AQ531" s="2">
        <v>57766.236118731598</v>
      </c>
      <c r="AR531" s="2">
        <v>196138.21639461699</v>
      </c>
      <c r="AS531" s="2">
        <v>803.38898640454397</v>
      </c>
      <c r="AT531" s="2">
        <v>9884.8252243703191</v>
      </c>
      <c r="AU531" s="2">
        <v>100334.87539987599</v>
      </c>
      <c r="AV531" s="2">
        <v>157315.31291082199</v>
      </c>
      <c r="AW531" s="2">
        <v>76669.843349501898</v>
      </c>
      <c r="AX531" s="2">
        <v>153577.02839602699</v>
      </c>
    </row>
    <row r="532" spans="1:50" x14ac:dyDescent="0.25">
      <c r="A532" s="2" t="s">
        <v>3955</v>
      </c>
      <c r="B532" s="2">
        <v>904.46989254526602</v>
      </c>
      <c r="C532" s="2">
        <v>4.5660166666666697</v>
      </c>
      <c r="D532" s="2" t="s">
        <v>51</v>
      </c>
      <c r="E532" s="2" t="s">
        <v>3956</v>
      </c>
      <c r="F532" s="2">
        <v>212784</v>
      </c>
      <c r="G532" s="3" t="str">
        <f>HYPERLINK("https://cloud.oebiotech.com/#/lm/network/212784", "https://cloud.oebiotech.com/#/lm/network/212784")</f>
        <v>https://cloud.oebiotech.com/#/lm/network/212784</v>
      </c>
      <c r="H532" s="2" t="s">
        <v>3957</v>
      </c>
      <c r="I532" s="2"/>
      <c r="J532" s="2"/>
      <c r="K532" s="2">
        <v>3032406</v>
      </c>
      <c r="L532" s="2"/>
      <c r="M532" s="2"/>
      <c r="N532" s="2"/>
      <c r="O532" s="2"/>
      <c r="P532" s="2"/>
      <c r="Q532" s="2"/>
      <c r="R532" s="2"/>
      <c r="S532" s="2" t="s">
        <v>3958</v>
      </c>
      <c r="T532" s="2" t="s">
        <v>3959</v>
      </c>
      <c r="U532" s="2" t="s">
        <v>331</v>
      </c>
      <c r="V532" s="2" t="s">
        <v>332</v>
      </c>
      <c r="W532" s="2" t="s">
        <v>333</v>
      </c>
      <c r="X532" s="2" t="s">
        <v>59</v>
      </c>
      <c r="Y532" s="2">
        <v>47.4</v>
      </c>
      <c r="Z532" s="2">
        <v>46.4</v>
      </c>
      <c r="AA532" s="2" t="s">
        <v>156</v>
      </c>
      <c r="AB532" s="2" t="s">
        <v>3960</v>
      </c>
      <c r="AC532" s="2">
        <v>1.06458011080106</v>
      </c>
      <c r="AD532" s="2"/>
      <c r="AE532" s="2">
        <v>1.0061076834974001</v>
      </c>
      <c r="AF532" s="2">
        <v>17272.568085036801</v>
      </c>
      <c r="AG532" s="2">
        <v>46334.538491920299</v>
      </c>
      <c r="AH532" s="4">
        <v>0.37277954301948502</v>
      </c>
      <c r="AI532" s="4">
        <v>-1.4236054033343299</v>
      </c>
      <c r="AJ532" s="4" t="s">
        <v>62</v>
      </c>
      <c r="AK532" s="2">
        <v>0.13486237300571499</v>
      </c>
      <c r="AL532" s="2">
        <v>0.45558053561409101</v>
      </c>
      <c r="AM532" s="2">
        <v>25328.441137993701</v>
      </c>
      <c r="AN532" s="2">
        <v>8.559877937157E-6</v>
      </c>
      <c r="AO532" s="2">
        <v>8.559877937157E-6</v>
      </c>
      <c r="AP532" s="2">
        <v>36520.004284373899</v>
      </c>
      <c r="AQ532" s="2">
        <v>26683.998438781698</v>
      </c>
      <c r="AR532" s="2">
        <v>15102.9646319519</v>
      </c>
      <c r="AS532" s="2">
        <v>8.559877937157E-6</v>
      </c>
      <c r="AT532" s="2">
        <v>30479.139285241901</v>
      </c>
      <c r="AU532" s="2">
        <v>3082.1561639430201</v>
      </c>
      <c r="AV532" s="2">
        <v>94974.332236317103</v>
      </c>
      <c r="AW532" s="2">
        <v>84786.693071165006</v>
      </c>
      <c r="AX532" s="2">
        <v>64684.910186295201</v>
      </c>
    </row>
    <row r="533" spans="1:50" x14ac:dyDescent="0.25">
      <c r="A533" s="2" t="s">
        <v>3961</v>
      </c>
      <c r="B533" s="2">
        <v>349.202285780333</v>
      </c>
      <c r="C533" s="2">
        <v>8.2687333333333299</v>
      </c>
      <c r="D533" s="2" t="s">
        <v>51</v>
      </c>
      <c r="E533" s="2" t="s">
        <v>3962</v>
      </c>
      <c r="F533" s="2">
        <v>3807</v>
      </c>
      <c r="G533" s="3" t="str">
        <f>HYPERLINK("https://cloud.oebiotech.com/#/lm/network/3807", "https://cloud.oebiotech.com/#/lm/network/3807")</f>
        <v>https://cloud.oebiotech.com/#/lm/network/3807</v>
      </c>
      <c r="H533" s="2" t="s">
        <v>3963</v>
      </c>
      <c r="I533" s="2">
        <v>45959</v>
      </c>
      <c r="J533" s="2" t="s">
        <v>3964</v>
      </c>
      <c r="K533" s="2">
        <v>5280727</v>
      </c>
      <c r="L533" s="2" t="s">
        <v>3965</v>
      </c>
      <c r="M533" s="2" t="s">
        <v>305</v>
      </c>
      <c r="N533" s="2" t="s">
        <v>306</v>
      </c>
      <c r="O533" s="2">
        <v>15557</v>
      </c>
      <c r="P533" s="2" t="s">
        <v>307</v>
      </c>
      <c r="Q533" s="2" t="s">
        <v>308</v>
      </c>
      <c r="R533" s="2"/>
      <c r="S533" s="2" t="s">
        <v>3966</v>
      </c>
      <c r="T533" s="2" t="s">
        <v>3967</v>
      </c>
      <c r="U533" s="2" t="s">
        <v>56</v>
      </c>
      <c r="V533" s="2" t="s">
        <v>145</v>
      </c>
      <c r="W533" s="2" t="s">
        <v>187</v>
      </c>
      <c r="X533" s="2" t="s">
        <v>83</v>
      </c>
      <c r="Y533" s="2">
        <v>54.9</v>
      </c>
      <c r="Z533" s="2">
        <v>0</v>
      </c>
      <c r="AA533" s="2" t="s">
        <v>163</v>
      </c>
      <c r="AB533" s="2" t="s">
        <v>950</v>
      </c>
      <c r="AC533" s="2">
        <v>0.68002881899561096</v>
      </c>
      <c r="AD533" s="2"/>
      <c r="AE533" s="2">
        <v>1.0059560595314601</v>
      </c>
      <c r="AF533" s="2">
        <v>43371.125313295299</v>
      </c>
      <c r="AG533" s="2">
        <v>21911.4683031977</v>
      </c>
      <c r="AH533" s="5">
        <v>1.9793801452806199</v>
      </c>
      <c r="AI533" s="5">
        <v>0.98504871245804704</v>
      </c>
      <c r="AJ533" s="5" t="s">
        <v>139</v>
      </c>
      <c r="AK533" s="2">
        <v>5.2622747508377601E-2</v>
      </c>
      <c r="AL533" s="2">
        <v>0.31653622285434502</v>
      </c>
      <c r="AM533" s="2">
        <v>83603.704205385802</v>
      </c>
      <c r="AN533" s="2">
        <v>46786.203916947197</v>
      </c>
      <c r="AO533" s="2">
        <v>38540.892268193398</v>
      </c>
      <c r="AP533" s="2">
        <v>31516.680737695599</v>
      </c>
      <c r="AQ533" s="2">
        <v>26185.945773855001</v>
      </c>
      <c r="AR533" s="2">
        <v>33593.324977695003</v>
      </c>
      <c r="AS533" s="2">
        <v>33297.095848331403</v>
      </c>
      <c r="AT533" s="2">
        <v>14131.3632586122</v>
      </c>
      <c r="AU533" s="2">
        <v>38870.208791911602</v>
      </c>
      <c r="AV533" s="2">
        <v>8957.0644700601806</v>
      </c>
      <c r="AW533" s="2">
        <v>18333.0476707292</v>
      </c>
      <c r="AX533" s="2">
        <v>17880.029779541801</v>
      </c>
    </row>
    <row r="534" spans="1:50" x14ac:dyDescent="0.25">
      <c r="A534" s="2" t="s">
        <v>1510</v>
      </c>
      <c r="B534" s="2">
        <v>477.210707364472</v>
      </c>
      <c r="C534" s="2">
        <v>5.60476666666667</v>
      </c>
      <c r="D534" s="2" t="s">
        <v>51</v>
      </c>
      <c r="E534" s="2" t="s">
        <v>1511</v>
      </c>
      <c r="F534" s="2">
        <v>59484</v>
      </c>
      <c r="G534" s="3" t="str">
        <f>HYPERLINK("https://cloud.oebiotech.com/#/lm/network/59484", "https://cloud.oebiotech.com/#/lm/network/59484")</f>
        <v>https://cloud.oebiotech.com/#/lm/network/59484</v>
      </c>
      <c r="H534" s="2" t="s">
        <v>1512</v>
      </c>
      <c r="I534" s="2"/>
      <c r="J534" s="2"/>
      <c r="K534" s="2">
        <v>3321199</v>
      </c>
      <c r="L534" s="2" t="s">
        <v>1513</v>
      </c>
      <c r="M534" s="2"/>
      <c r="N534" s="2"/>
      <c r="O534" s="2"/>
      <c r="P534" s="2"/>
      <c r="Q534" s="2"/>
      <c r="R534" s="2" t="s">
        <v>1514</v>
      </c>
      <c r="S534" s="2" t="s">
        <v>1515</v>
      </c>
      <c r="T534" s="2" t="s">
        <v>1516</v>
      </c>
      <c r="U534" s="2" t="s">
        <v>56</v>
      </c>
      <c r="V534" s="2" t="s">
        <v>177</v>
      </c>
      <c r="W534" s="2" t="s">
        <v>806</v>
      </c>
      <c r="X534" s="2" t="s">
        <v>83</v>
      </c>
      <c r="Y534" s="2">
        <v>44.3</v>
      </c>
      <c r="Z534" s="2">
        <v>3.32E-2</v>
      </c>
      <c r="AA534" s="2" t="s">
        <v>379</v>
      </c>
      <c r="AB534" s="2" t="s">
        <v>1517</v>
      </c>
      <c r="AC534" s="2">
        <v>-4.6326536529320901</v>
      </c>
      <c r="AD534" s="2"/>
      <c r="AE534" s="2">
        <v>1.0053317632908301</v>
      </c>
      <c r="AF534" s="2">
        <v>32936.312864159503</v>
      </c>
      <c r="AG534" s="2">
        <v>11733.2204238387</v>
      </c>
      <c r="AH534" s="5">
        <v>2.8070991317304399</v>
      </c>
      <c r="AI534" s="5">
        <v>1.4890800130241399</v>
      </c>
      <c r="AJ534" s="5" t="s">
        <v>139</v>
      </c>
      <c r="AK534" s="2">
        <v>3.3374066179605498E-2</v>
      </c>
      <c r="AL534" s="2">
        <v>0.27023848021491997</v>
      </c>
      <c r="AM534" s="2">
        <v>68929.835114368194</v>
      </c>
      <c r="AN534" s="2">
        <v>34743.931069767001</v>
      </c>
      <c r="AO534" s="2">
        <v>19837.326847084099</v>
      </c>
      <c r="AP534" s="2">
        <v>23326.092506917299</v>
      </c>
      <c r="AQ534" s="2">
        <v>12717.9742200536</v>
      </c>
      <c r="AR534" s="2">
        <v>38062.717426766598</v>
      </c>
      <c r="AS534" s="2">
        <v>18575.1217156561</v>
      </c>
      <c r="AT534" s="2">
        <v>15845.546519974099</v>
      </c>
      <c r="AU534" s="2">
        <v>15014.4592231221</v>
      </c>
      <c r="AV534" s="2">
        <v>3677.5854018669202</v>
      </c>
      <c r="AW534" s="2">
        <v>3035.63583791675</v>
      </c>
      <c r="AX534" s="2">
        <v>14250.9738444961</v>
      </c>
    </row>
    <row r="535" spans="1:50" x14ac:dyDescent="0.25">
      <c r="A535" s="2" t="s">
        <v>1518</v>
      </c>
      <c r="B535" s="2">
        <v>454.13345525218398</v>
      </c>
      <c r="C535" s="2">
        <v>4.9007166666666704</v>
      </c>
      <c r="D535" s="2" t="s">
        <v>51</v>
      </c>
      <c r="E535" s="2" t="s">
        <v>1519</v>
      </c>
      <c r="F535" s="2">
        <v>54667</v>
      </c>
      <c r="G535" s="3" t="str">
        <f>HYPERLINK("https://cloud.oebiotech.com/#/lm/network/54667", "https://cloud.oebiotech.com/#/lm/network/54667")</f>
        <v>https://cloud.oebiotech.com/#/lm/network/54667</v>
      </c>
      <c r="H535" s="2" t="s">
        <v>1520</v>
      </c>
      <c r="I535" s="2">
        <v>86483</v>
      </c>
      <c r="J535" s="2"/>
      <c r="K535" s="2">
        <v>131750898</v>
      </c>
      <c r="L535" s="2"/>
      <c r="M535" s="2"/>
      <c r="N535" s="2"/>
      <c r="O535" s="2">
        <v>156184</v>
      </c>
      <c r="P535" s="2"/>
      <c r="Q535" s="2"/>
      <c r="R535" s="2"/>
      <c r="S535" s="2" t="s">
        <v>1521</v>
      </c>
      <c r="T535" s="2" t="s">
        <v>1522</v>
      </c>
      <c r="U535" s="2" t="s">
        <v>331</v>
      </c>
      <c r="V535" s="2" t="s">
        <v>332</v>
      </c>
      <c r="W535" s="2" t="s">
        <v>333</v>
      </c>
      <c r="X535" s="2" t="s">
        <v>147</v>
      </c>
      <c r="Y535" s="2">
        <v>38.5</v>
      </c>
      <c r="Z535" s="2">
        <v>2.2799999999999998</v>
      </c>
      <c r="AA535" s="2" t="s">
        <v>379</v>
      </c>
      <c r="AB535" s="2" t="s">
        <v>1523</v>
      </c>
      <c r="AC535" s="2">
        <v>-4.2881094085214801</v>
      </c>
      <c r="AD535" s="2"/>
      <c r="AE535" s="2">
        <v>1.0050677739861</v>
      </c>
      <c r="AF535" s="2">
        <v>13782.234227389599</v>
      </c>
      <c r="AG535" s="2">
        <v>42633.148966519999</v>
      </c>
      <c r="AH535" s="4">
        <v>0.32327507025607799</v>
      </c>
      <c r="AI535" s="4">
        <v>-1.62916583828842</v>
      </c>
      <c r="AJ535" s="4" t="s">
        <v>62</v>
      </c>
      <c r="AK535" s="2">
        <v>4.0524142227835798E-2</v>
      </c>
      <c r="AL535" s="2">
        <v>0.29155452793099101</v>
      </c>
      <c r="AM535" s="2">
        <v>13832.3840552437</v>
      </c>
      <c r="AN535" s="2">
        <v>7107.0453904986098</v>
      </c>
      <c r="AO535" s="2">
        <v>14758.416298249</v>
      </c>
      <c r="AP535" s="2">
        <v>8.559877937157E-6</v>
      </c>
      <c r="AQ535" s="2">
        <v>6283.3255811126101</v>
      </c>
      <c r="AR535" s="2">
        <v>40712.234030673797</v>
      </c>
      <c r="AS535" s="2">
        <v>15073.8226859938</v>
      </c>
      <c r="AT535" s="2">
        <v>35007.381071863601</v>
      </c>
      <c r="AU535" s="2">
        <v>42293.219533895899</v>
      </c>
      <c r="AV535" s="2">
        <v>74075.628931526197</v>
      </c>
      <c r="AW535" s="2">
        <v>73688.135601290807</v>
      </c>
      <c r="AX535" s="2">
        <v>15660.705974549701</v>
      </c>
    </row>
    <row r="536" spans="1:50" x14ac:dyDescent="0.25">
      <c r="A536" s="2" t="s">
        <v>3968</v>
      </c>
      <c r="B536" s="2">
        <v>487.10247109591501</v>
      </c>
      <c r="C536" s="2">
        <v>5.5550833333333296</v>
      </c>
      <c r="D536" s="2" t="s">
        <v>51</v>
      </c>
      <c r="E536" s="2" t="s">
        <v>3969</v>
      </c>
      <c r="F536" s="2">
        <v>213463</v>
      </c>
      <c r="G536" s="3" t="str">
        <f>HYPERLINK("https://cloud.oebiotech.com/#/lm/network/213463", "https://cloud.oebiotech.com/#/lm/network/213463")</f>
        <v>https://cloud.oebiotech.com/#/lm/network/213463</v>
      </c>
      <c r="H536" s="2" t="s">
        <v>3970</v>
      </c>
      <c r="I536" s="2"/>
      <c r="J536" s="2"/>
      <c r="K536" s="2">
        <v>13013858</v>
      </c>
      <c r="L536" s="2"/>
      <c r="M536" s="2"/>
      <c r="N536" s="2"/>
      <c r="O536" s="2"/>
      <c r="P536" s="2"/>
      <c r="Q536" s="2"/>
      <c r="R536" s="2"/>
      <c r="S536" s="2" t="s">
        <v>3971</v>
      </c>
      <c r="T536" s="2" t="s">
        <v>3972</v>
      </c>
      <c r="U536" s="2" t="s">
        <v>295</v>
      </c>
      <c r="V536" s="2" t="s">
        <v>296</v>
      </c>
      <c r="W536" s="2" t="s">
        <v>3973</v>
      </c>
      <c r="X536" s="2" t="s">
        <v>59</v>
      </c>
      <c r="Y536" s="2">
        <v>51.2</v>
      </c>
      <c r="Z536" s="2">
        <v>66.3</v>
      </c>
      <c r="AA536" s="2" t="s">
        <v>163</v>
      </c>
      <c r="AB536" s="2" t="s">
        <v>3974</v>
      </c>
      <c r="AC536" s="2">
        <v>4.95095972168349</v>
      </c>
      <c r="AD536" s="2"/>
      <c r="AE536" s="2">
        <v>1.0049936834294599</v>
      </c>
      <c r="AF536" s="2">
        <v>25550.854709630101</v>
      </c>
      <c r="AG536" s="2">
        <v>272.451487505638</v>
      </c>
      <c r="AH536" s="5">
        <v>93.781300089621794</v>
      </c>
      <c r="AI536" s="5">
        <v>6.5512283741577502</v>
      </c>
      <c r="AJ536" s="5" t="s">
        <v>139</v>
      </c>
      <c r="AK536" s="2">
        <v>0.130739924741164</v>
      </c>
      <c r="AL536" s="2">
        <v>0.45075891870540802</v>
      </c>
      <c r="AM536" s="2">
        <v>95337.885833722306</v>
      </c>
      <c r="AN536" s="2">
        <v>8.559877937157E-6</v>
      </c>
      <c r="AO536" s="2">
        <v>17667.9886107436</v>
      </c>
      <c r="AP536" s="2">
        <v>8.559877937157E-6</v>
      </c>
      <c r="AQ536" s="2">
        <v>39856.042036765197</v>
      </c>
      <c r="AR536" s="2">
        <v>443.21175942952499</v>
      </c>
      <c r="AS536" s="2">
        <v>8.559877937157E-6</v>
      </c>
      <c r="AT536" s="2">
        <v>370.703215532824</v>
      </c>
      <c r="AU536" s="2">
        <v>870.66133231568904</v>
      </c>
      <c r="AV536" s="2">
        <v>8.559877937157E-6</v>
      </c>
      <c r="AW536" s="2">
        <v>141.97634715094199</v>
      </c>
      <c r="AX536" s="2">
        <v>251.368012914616</v>
      </c>
    </row>
    <row r="537" spans="1:50" x14ac:dyDescent="0.25">
      <c r="A537" s="2" t="s">
        <v>1524</v>
      </c>
      <c r="B537" s="2">
        <v>423.202679048204</v>
      </c>
      <c r="C537" s="2">
        <v>5.1999000000000004</v>
      </c>
      <c r="D537" s="2" t="s">
        <v>51</v>
      </c>
      <c r="E537" s="2" t="s">
        <v>1525</v>
      </c>
      <c r="F537" s="2">
        <v>45061</v>
      </c>
      <c r="G537" s="3" t="str">
        <f>HYPERLINK("https://cloud.oebiotech.com/#/lm/network/45061", "https://cloud.oebiotech.com/#/lm/network/45061")</f>
        <v>https://cloud.oebiotech.com/#/lm/network/45061</v>
      </c>
      <c r="H537" s="2" t="s">
        <v>1526</v>
      </c>
      <c r="I537" s="2">
        <v>57881</v>
      </c>
      <c r="J537" s="2" t="s">
        <v>1527</v>
      </c>
      <c r="K537" s="2">
        <v>44263343</v>
      </c>
      <c r="L537" s="2"/>
      <c r="M537" s="2"/>
      <c r="N537" s="2"/>
      <c r="O537" s="2">
        <v>89455</v>
      </c>
      <c r="P537" s="2"/>
      <c r="Q537" s="2"/>
      <c r="R537" s="2" t="s">
        <v>1528</v>
      </c>
      <c r="S537" s="2" t="s">
        <v>1529</v>
      </c>
      <c r="T537" s="2" t="s">
        <v>1530</v>
      </c>
      <c r="U537" s="2" t="s">
        <v>56</v>
      </c>
      <c r="V537" s="2" t="s">
        <v>283</v>
      </c>
      <c r="W537" s="2" t="s">
        <v>492</v>
      </c>
      <c r="X537" s="2" t="s">
        <v>83</v>
      </c>
      <c r="Y537" s="2">
        <v>45.9</v>
      </c>
      <c r="Z537" s="2">
        <v>0.17</v>
      </c>
      <c r="AA537" s="2" t="s">
        <v>218</v>
      </c>
      <c r="AB537" s="2" t="s">
        <v>1531</v>
      </c>
      <c r="AC537" s="2">
        <v>0.62796425863384497</v>
      </c>
      <c r="AD537" s="2"/>
      <c r="AE537" s="2">
        <v>1.0042127958468301</v>
      </c>
      <c r="AF537" s="2">
        <v>44152.281057432701</v>
      </c>
      <c r="AG537" s="2">
        <v>20546.6753073609</v>
      </c>
      <c r="AH537" s="5">
        <v>2.1488771490740999</v>
      </c>
      <c r="AI537" s="5">
        <v>1.1035830065033601</v>
      </c>
      <c r="AJ537" s="5" t="s">
        <v>139</v>
      </c>
      <c r="AK537" s="2">
        <v>4.4117336461661501E-2</v>
      </c>
      <c r="AL537" s="2">
        <v>0.297793096711781</v>
      </c>
      <c r="AM537" s="2">
        <v>85888.554392531296</v>
      </c>
      <c r="AN537" s="2">
        <v>37595.005955322697</v>
      </c>
      <c r="AO537" s="2">
        <v>34956.356614233599</v>
      </c>
      <c r="AP537" s="2">
        <v>52479.654619703797</v>
      </c>
      <c r="AQ537" s="2">
        <v>18941.200727759599</v>
      </c>
      <c r="AR537" s="2">
        <v>35052.914035045498</v>
      </c>
      <c r="AS537" s="2">
        <v>34327.2656229399</v>
      </c>
      <c r="AT537" s="2">
        <v>26475.749021439198</v>
      </c>
      <c r="AU537" s="2">
        <v>17890.401931199201</v>
      </c>
      <c r="AV537" s="2">
        <v>6959.7405051818596</v>
      </c>
      <c r="AW537" s="2">
        <v>12685.0045458121</v>
      </c>
      <c r="AX537" s="2">
        <v>24941.8902175929</v>
      </c>
    </row>
    <row r="538" spans="1:50" x14ac:dyDescent="0.25">
      <c r="A538" s="2" t="s">
        <v>3975</v>
      </c>
      <c r="B538" s="2">
        <v>373.20231642898</v>
      </c>
      <c r="C538" s="2">
        <v>5.2022000000000004</v>
      </c>
      <c r="D538" s="2" t="s">
        <v>51</v>
      </c>
      <c r="E538" s="2" t="s">
        <v>3976</v>
      </c>
      <c r="F538" s="2">
        <v>3689</v>
      </c>
      <c r="G538" s="3" t="str">
        <f>HYPERLINK("https://cloud.oebiotech.com/#/lm/network/3689", "https://cloud.oebiotech.com/#/lm/network/3689")</f>
        <v>https://cloud.oebiotech.com/#/lm/network/3689</v>
      </c>
      <c r="H538" s="2"/>
      <c r="I538" s="2">
        <v>36137</v>
      </c>
      <c r="J538" s="2" t="s">
        <v>3977</v>
      </c>
      <c r="K538" s="2">
        <v>5283067</v>
      </c>
      <c r="L538" s="2"/>
      <c r="M538" s="2"/>
      <c r="N538" s="2"/>
      <c r="O538" s="2"/>
      <c r="P538" s="2"/>
      <c r="Q538" s="2"/>
      <c r="R538" s="2" t="s">
        <v>3978</v>
      </c>
      <c r="S538" s="2" t="s">
        <v>3979</v>
      </c>
      <c r="T538" s="2" t="s">
        <v>3980</v>
      </c>
      <c r="U538" s="2" t="s">
        <v>56</v>
      </c>
      <c r="V538" s="2" t="s">
        <v>145</v>
      </c>
      <c r="W538" s="2" t="s">
        <v>187</v>
      </c>
      <c r="X538" s="2" t="s">
        <v>59</v>
      </c>
      <c r="Y538" s="2">
        <v>45.8</v>
      </c>
      <c r="Z538" s="2">
        <v>48.2</v>
      </c>
      <c r="AA538" s="2" t="s">
        <v>259</v>
      </c>
      <c r="AB538" s="2" t="s">
        <v>3981</v>
      </c>
      <c r="AC538" s="2">
        <v>3.6701355118545602</v>
      </c>
      <c r="AD538" s="2"/>
      <c r="AE538" s="2">
        <v>1.00418014199923</v>
      </c>
      <c r="AF538" s="2">
        <v>48006.208713036598</v>
      </c>
      <c r="AG538" s="2">
        <v>24437.856476134999</v>
      </c>
      <c r="AH538" s="5">
        <v>1.9644197828855201</v>
      </c>
      <c r="AI538" s="5">
        <v>0.97410325652344598</v>
      </c>
      <c r="AJ538" s="5" t="s">
        <v>139</v>
      </c>
      <c r="AK538" s="2">
        <v>5.5962734642163399E-2</v>
      </c>
      <c r="AL538" s="2">
        <v>0.325098586663918</v>
      </c>
      <c r="AM538" s="2">
        <v>92896.341260512098</v>
      </c>
      <c r="AN538" s="2">
        <v>38175.344844957297</v>
      </c>
      <c r="AO538" s="2">
        <v>41203.826738633499</v>
      </c>
      <c r="AP538" s="2">
        <v>53189.664480111896</v>
      </c>
      <c r="AQ538" s="2">
        <v>19877.401280010501</v>
      </c>
      <c r="AR538" s="2">
        <v>42694.673673994599</v>
      </c>
      <c r="AS538" s="2">
        <v>36165.9998035916</v>
      </c>
      <c r="AT538" s="2">
        <v>28471.465236634001</v>
      </c>
      <c r="AU538" s="2">
        <v>28104.854714492401</v>
      </c>
      <c r="AV538" s="2">
        <v>5592.5826428486198</v>
      </c>
      <c r="AW538" s="2">
        <v>19695.425906627901</v>
      </c>
      <c r="AX538" s="2">
        <v>28596.810552615199</v>
      </c>
    </row>
    <row r="539" spans="1:50" x14ac:dyDescent="0.25">
      <c r="A539" s="2" t="s">
        <v>1532</v>
      </c>
      <c r="B539" s="2">
        <v>323.22038500393899</v>
      </c>
      <c r="C539" s="2">
        <v>13.3257833333333</v>
      </c>
      <c r="D539" s="2" t="s">
        <v>51</v>
      </c>
      <c r="E539" s="2" t="s">
        <v>1533</v>
      </c>
      <c r="F539" s="2">
        <v>256179</v>
      </c>
      <c r="G539" s="3" t="str">
        <f>HYPERLINK("https://cloud.oebiotech.com/#/lm/network/256179", "https://cloud.oebiotech.com/#/lm/network/256179")</f>
        <v>https://cloud.oebiotech.com/#/lm/network/256179</v>
      </c>
      <c r="H539" s="2" t="s">
        <v>1534</v>
      </c>
      <c r="I539" s="2"/>
      <c r="J539" s="2"/>
      <c r="K539" s="2">
        <v>9857</v>
      </c>
      <c r="L539" s="2"/>
      <c r="M539" s="2"/>
      <c r="N539" s="2"/>
      <c r="O539" s="2"/>
      <c r="P539" s="2"/>
      <c r="Q539" s="2"/>
      <c r="R539" s="2"/>
      <c r="S539" s="2" t="s">
        <v>1535</v>
      </c>
      <c r="T539" s="2" t="s">
        <v>1536</v>
      </c>
      <c r="U539" s="2" t="s">
        <v>56</v>
      </c>
      <c r="V539" s="2" t="s">
        <v>145</v>
      </c>
      <c r="W539" s="2" t="s">
        <v>231</v>
      </c>
      <c r="X539" s="2" t="s">
        <v>147</v>
      </c>
      <c r="Y539" s="2">
        <v>39.5</v>
      </c>
      <c r="Z539" s="2">
        <v>0</v>
      </c>
      <c r="AA539" s="2" t="s">
        <v>218</v>
      </c>
      <c r="AB539" s="2" t="s">
        <v>1537</v>
      </c>
      <c r="AC539" s="2">
        <v>2.7387280632136999E-2</v>
      </c>
      <c r="AD539" s="2"/>
      <c r="AE539" s="2">
        <v>1.00410369449126</v>
      </c>
      <c r="AF539" s="2">
        <v>22440.708881426399</v>
      </c>
      <c r="AG539" s="2">
        <v>47884.322014158497</v>
      </c>
      <c r="AH539" s="4">
        <v>0.46864418117460499</v>
      </c>
      <c r="AI539" s="4">
        <v>-1.0934351249865999</v>
      </c>
      <c r="AJ539" s="4" t="s">
        <v>62</v>
      </c>
      <c r="AK539" s="2">
        <v>6.2424952756678902E-3</v>
      </c>
      <c r="AL539" s="2">
        <v>0.13330813664095001</v>
      </c>
      <c r="AM539" s="2">
        <v>27528.609381248199</v>
      </c>
      <c r="AN539" s="2">
        <v>13583.5607565708</v>
      </c>
      <c r="AO539" s="2">
        <v>20835.816829818701</v>
      </c>
      <c r="AP539" s="2">
        <v>17943.871765391901</v>
      </c>
      <c r="AQ539" s="2">
        <v>26637.211647948599</v>
      </c>
      <c r="AR539" s="2">
        <v>28115.1829075803</v>
      </c>
      <c r="AS539" s="2">
        <v>28832.490351480101</v>
      </c>
      <c r="AT539" s="2">
        <v>31147.440760260401</v>
      </c>
      <c r="AU539" s="2">
        <v>72422.554091026497</v>
      </c>
      <c r="AV539" s="2">
        <v>58715.268787801302</v>
      </c>
      <c r="AW539" s="2">
        <v>54935.818112191097</v>
      </c>
      <c r="AX539" s="2">
        <v>41252.3599821916</v>
      </c>
    </row>
    <row r="540" spans="1:50" x14ac:dyDescent="0.25">
      <c r="A540" s="2" t="s">
        <v>3982</v>
      </c>
      <c r="B540" s="2">
        <v>315.19647176533402</v>
      </c>
      <c r="C540" s="2">
        <v>6.3332833333333296</v>
      </c>
      <c r="D540" s="2" t="s">
        <v>51</v>
      </c>
      <c r="E540" s="2" t="s">
        <v>3983</v>
      </c>
      <c r="F540" s="2">
        <v>52076</v>
      </c>
      <c r="G540" s="3" t="str">
        <f>HYPERLINK("https://cloud.oebiotech.com/#/lm/network/52076", "https://cloud.oebiotech.com/#/lm/network/52076")</f>
        <v>https://cloud.oebiotech.com/#/lm/network/52076</v>
      </c>
      <c r="H540" s="2" t="s">
        <v>3984</v>
      </c>
      <c r="I540" s="2"/>
      <c r="J540" s="2"/>
      <c r="K540" s="2">
        <v>9995780</v>
      </c>
      <c r="L540" s="2"/>
      <c r="M540" s="2"/>
      <c r="N540" s="2"/>
      <c r="O540" s="2"/>
      <c r="P540" s="2"/>
      <c r="Q540" s="2"/>
      <c r="R540" s="2"/>
      <c r="S540" s="2" t="s">
        <v>3985</v>
      </c>
      <c r="T540" s="2" t="s">
        <v>3986</v>
      </c>
      <c r="U540" s="2" t="s">
        <v>56</v>
      </c>
      <c r="V540" s="2" t="s">
        <v>177</v>
      </c>
      <c r="W540" s="2" t="s">
        <v>3987</v>
      </c>
      <c r="X540" s="2" t="s">
        <v>147</v>
      </c>
      <c r="Y540" s="2">
        <v>43.7</v>
      </c>
      <c r="Z540" s="2">
        <v>32.700000000000003</v>
      </c>
      <c r="AA540" s="2" t="s">
        <v>179</v>
      </c>
      <c r="AB540" s="2" t="s">
        <v>3988</v>
      </c>
      <c r="AC540" s="2">
        <v>3.18484542366491</v>
      </c>
      <c r="AD540" s="2"/>
      <c r="AE540" s="2">
        <v>1.0027329731130801</v>
      </c>
      <c r="AF540" s="2">
        <v>56277.232844295497</v>
      </c>
      <c r="AG540" s="2">
        <v>31766.125283594902</v>
      </c>
      <c r="AH540" s="5">
        <v>1.77161149941567</v>
      </c>
      <c r="AI540" s="5">
        <v>0.82506226680646699</v>
      </c>
      <c r="AJ540" s="5" t="s">
        <v>139</v>
      </c>
      <c r="AK540" s="2">
        <v>0.124277808743605</v>
      </c>
      <c r="AL540" s="2">
        <v>0.44128813217080598</v>
      </c>
      <c r="AM540" s="2">
        <v>109190.77725128199</v>
      </c>
      <c r="AN540" s="2">
        <v>76645.730390148907</v>
      </c>
      <c r="AO540" s="2">
        <v>40318.928996655399</v>
      </c>
      <c r="AP540" s="2">
        <v>51253.356402776102</v>
      </c>
      <c r="AQ540" s="2">
        <v>25941.843427338201</v>
      </c>
      <c r="AR540" s="2">
        <v>34312.760597572698</v>
      </c>
      <c r="AS540" s="2">
        <v>53568.779834265901</v>
      </c>
      <c r="AT540" s="2">
        <v>24838.124398238298</v>
      </c>
      <c r="AU540" s="2">
        <v>48254.549310660601</v>
      </c>
      <c r="AV540" s="2">
        <v>11613.3073024037</v>
      </c>
      <c r="AW540" s="2">
        <v>15210.350493476901</v>
      </c>
      <c r="AX540" s="2">
        <v>37111.640362523998</v>
      </c>
    </row>
    <row r="541" spans="1:50" x14ac:dyDescent="0.25">
      <c r="A541" s="2" t="s">
        <v>3989</v>
      </c>
      <c r="B541" s="2">
        <v>373.20072391060597</v>
      </c>
      <c r="C541" s="2">
        <v>6.3332833333333296</v>
      </c>
      <c r="D541" s="2" t="s">
        <v>51</v>
      </c>
      <c r="E541" s="2" t="s">
        <v>3990</v>
      </c>
      <c r="F541" s="2">
        <v>203498</v>
      </c>
      <c r="G541" s="3" t="str">
        <f>HYPERLINK("https://cloud.oebiotech.com/#/lm/network/203498", "https://cloud.oebiotech.com/#/lm/network/203498")</f>
        <v>https://cloud.oebiotech.com/#/lm/network/203498</v>
      </c>
      <c r="H541" s="2" t="s">
        <v>3991</v>
      </c>
      <c r="I541" s="2"/>
      <c r="J541" s="2"/>
      <c r="K541" s="2">
        <v>343585</v>
      </c>
      <c r="L541" s="2"/>
      <c r="M541" s="2"/>
      <c r="N541" s="2"/>
      <c r="O541" s="2"/>
      <c r="P541" s="2"/>
      <c r="Q541" s="2"/>
      <c r="R541" s="2"/>
      <c r="S541" s="2" t="s">
        <v>3992</v>
      </c>
      <c r="T541" s="2" t="s">
        <v>3993</v>
      </c>
      <c r="U541" s="2" t="s">
        <v>266</v>
      </c>
      <c r="V541" s="2" t="s">
        <v>3994</v>
      </c>
      <c r="W541" s="2" t="s">
        <v>3995</v>
      </c>
      <c r="X541" s="2" t="s">
        <v>83</v>
      </c>
      <c r="Y541" s="2">
        <v>39.799999999999997</v>
      </c>
      <c r="Z541" s="2">
        <v>0</v>
      </c>
      <c r="AA541" s="2" t="s">
        <v>95</v>
      </c>
      <c r="AB541" s="2" t="s">
        <v>950</v>
      </c>
      <c r="AC541" s="2">
        <v>6.2224805470831299</v>
      </c>
      <c r="AD541" s="2"/>
      <c r="AE541" s="2">
        <v>0.99886169695842997</v>
      </c>
      <c r="AF541" s="2">
        <v>54587.999446463298</v>
      </c>
      <c r="AG541" s="2">
        <v>29663.3943806477</v>
      </c>
      <c r="AH541" s="5">
        <v>1.8402479077740499</v>
      </c>
      <c r="AI541" s="5">
        <v>0.87990013107820397</v>
      </c>
      <c r="AJ541" s="5" t="s">
        <v>139</v>
      </c>
      <c r="AK541" s="2">
        <v>0.14273932395744099</v>
      </c>
      <c r="AL541" s="2">
        <v>0.46517161855931399</v>
      </c>
      <c r="AM541" s="2">
        <v>119098.365841138</v>
      </c>
      <c r="AN541" s="2">
        <v>62377.6567862921</v>
      </c>
      <c r="AO541" s="2">
        <v>38140.909058428399</v>
      </c>
      <c r="AP541" s="2">
        <v>50400.444449336799</v>
      </c>
      <c r="AQ541" s="2">
        <v>21283.593081851599</v>
      </c>
      <c r="AR541" s="2">
        <v>36227.027461732803</v>
      </c>
      <c r="AS541" s="2">
        <v>51814.0961067936</v>
      </c>
      <c r="AT541" s="2">
        <v>25693.722541005998</v>
      </c>
      <c r="AU541" s="2">
        <v>41190.3034873465</v>
      </c>
      <c r="AV541" s="2">
        <v>6394.8158481088503</v>
      </c>
      <c r="AW541" s="2">
        <v>16282.0061144309</v>
      </c>
      <c r="AX541" s="2">
        <v>36605.4221862001</v>
      </c>
    </row>
    <row r="542" spans="1:50" x14ac:dyDescent="0.25">
      <c r="A542" s="2" t="s">
        <v>3996</v>
      </c>
      <c r="B542" s="2">
        <v>316.24926024861099</v>
      </c>
      <c r="C542" s="2">
        <v>7.19926666666667</v>
      </c>
      <c r="D542" s="2" t="s">
        <v>51</v>
      </c>
      <c r="E542" s="2" t="s">
        <v>3997</v>
      </c>
      <c r="F542" s="2">
        <v>197343</v>
      </c>
      <c r="G542" s="3" t="str">
        <f>HYPERLINK("https://cloud.oebiotech.com/#/lm/network/197343", "https://cloud.oebiotech.com/#/lm/network/197343")</f>
        <v>https://cloud.oebiotech.com/#/lm/network/197343</v>
      </c>
      <c r="H542" s="2" t="s">
        <v>3998</v>
      </c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 t="s">
        <v>3999</v>
      </c>
      <c r="T542" s="2" t="s">
        <v>4000</v>
      </c>
      <c r="U542" s="2" t="s">
        <v>56</v>
      </c>
      <c r="V542" s="2" t="s">
        <v>145</v>
      </c>
      <c r="W542" s="2" t="s">
        <v>1188</v>
      </c>
      <c r="X542" s="2" t="s">
        <v>59</v>
      </c>
      <c r="Y542" s="2">
        <v>49.6</v>
      </c>
      <c r="Z542" s="2">
        <v>56.1</v>
      </c>
      <c r="AA542" s="2" t="s">
        <v>60</v>
      </c>
      <c r="AB542" s="2" t="s">
        <v>4001</v>
      </c>
      <c r="AC542" s="2">
        <v>3.2523542157030998</v>
      </c>
      <c r="AD542" s="2"/>
      <c r="AE542" s="2">
        <v>0.99823090071965703</v>
      </c>
      <c r="AF542" s="2">
        <v>139035.19682781299</v>
      </c>
      <c r="AG542" s="2">
        <v>81278.389786515094</v>
      </c>
      <c r="AH542" s="5">
        <v>1.71060471538623</v>
      </c>
      <c r="AI542" s="5">
        <v>0.77450642199201203</v>
      </c>
      <c r="AJ542" s="5" t="s">
        <v>139</v>
      </c>
      <c r="AK542" s="2">
        <v>9.2811614793079006E-2</v>
      </c>
      <c r="AL542" s="2">
        <v>0.39171747207476998</v>
      </c>
      <c r="AM542" s="2">
        <v>87877.731383344697</v>
      </c>
      <c r="AN542" s="2">
        <v>96686.9935549699</v>
      </c>
      <c r="AO542" s="2">
        <v>129531.412558208</v>
      </c>
      <c r="AP542" s="2">
        <v>203810.28781647599</v>
      </c>
      <c r="AQ542" s="2">
        <v>184922.54432345601</v>
      </c>
      <c r="AR542" s="2">
        <v>131382.21133042101</v>
      </c>
      <c r="AS542" s="2">
        <v>154778.06320926201</v>
      </c>
      <c r="AT542" s="2">
        <v>86774.401188533404</v>
      </c>
      <c r="AU542" s="2">
        <v>30191.012939819801</v>
      </c>
      <c r="AV542" s="2">
        <v>21169.401836821798</v>
      </c>
      <c r="AW542" s="2">
        <v>151935.95804477701</v>
      </c>
      <c r="AX542" s="2">
        <v>42821.501499876402</v>
      </c>
    </row>
    <row r="543" spans="1:50" x14ac:dyDescent="0.25">
      <c r="A543" s="2" t="s">
        <v>4002</v>
      </c>
      <c r="B543" s="2">
        <v>661.44544747170505</v>
      </c>
      <c r="C543" s="2">
        <v>10.9866666666667</v>
      </c>
      <c r="D543" s="2" t="s">
        <v>51</v>
      </c>
      <c r="E543" s="2" t="s">
        <v>4003</v>
      </c>
      <c r="F543" s="2">
        <v>59025</v>
      </c>
      <c r="G543" s="3" t="str">
        <f>HYPERLINK("https://cloud.oebiotech.com/#/lm/network/59025", "https://cloud.oebiotech.com/#/lm/network/59025")</f>
        <v>https://cloud.oebiotech.com/#/lm/network/59025</v>
      </c>
      <c r="H543" s="2" t="s">
        <v>4004</v>
      </c>
      <c r="I543" s="2">
        <v>90459</v>
      </c>
      <c r="J543" s="2"/>
      <c r="K543" s="2">
        <v>12313783</v>
      </c>
      <c r="L543" s="2"/>
      <c r="M543" s="2"/>
      <c r="N543" s="2"/>
      <c r="O543" s="2"/>
      <c r="P543" s="2"/>
      <c r="Q543" s="2"/>
      <c r="R543" s="2"/>
      <c r="S543" s="2" t="s">
        <v>4005</v>
      </c>
      <c r="T543" s="2" t="s">
        <v>4006</v>
      </c>
      <c r="U543" s="2" t="s">
        <v>56</v>
      </c>
      <c r="V543" s="2" t="s">
        <v>283</v>
      </c>
      <c r="W543" s="2" t="s">
        <v>4007</v>
      </c>
      <c r="X543" s="2" t="s">
        <v>147</v>
      </c>
      <c r="Y543" s="2">
        <v>38.200000000000003</v>
      </c>
      <c r="Z543" s="2">
        <v>5.0599999999999996</v>
      </c>
      <c r="AA543" s="2" t="s">
        <v>218</v>
      </c>
      <c r="AB543" s="2" t="s">
        <v>4008</v>
      </c>
      <c r="AC543" s="2">
        <v>-3.1078000547075102</v>
      </c>
      <c r="AD543" s="2"/>
      <c r="AE543" s="2">
        <v>0.99815985784531003</v>
      </c>
      <c r="AF543" s="2">
        <v>114195.459305506</v>
      </c>
      <c r="AG543" s="2">
        <v>78589.798573175605</v>
      </c>
      <c r="AH543" s="5">
        <v>1.4530570300314201</v>
      </c>
      <c r="AI543" s="5">
        <v>0.53909132742284105</v>
      </c>
      <c r="AJ543" s="5" t="s">
        <v>139</v>
      </c>
      <c r="AK543" s="2">
        <v>0.104127984699141</v>
      </c>
      <c r="AL543" s="2">
        <v>0.41022418391426801</v>
      </c>
      <c r="AM543" s="2">
        <v>111271.591896841</v>
      </c>
      <c r="AN543" s="2">
        <v>105019.76935590801</v>
      </c>
      <c r="AO543" s="2">
        <v>114300.28598446499</v>
      </c>
      <c r="AP543" s="2">
        <v>104690.82838414</v>
      </c>
      <c r="AQ543" s="2">
        <v>104505.49063641101</v>
      </c>
      <c r="AR543" s="2">
        <v>145384.78957527399</v>
      </c>
      <c r="AS543" s="2">
        <v>72890.123185702905</v>
      </c>
      <c r="AT543" s="2">
        <v>34242.138417787697</v>
      </c>
      <c r="AU543" s="2">
        <v>153909.30226907099</v>
      </c>
      <c r="AV543" s="2">
        <v>67217.931095344597</v>
      </c>
      <c r="AW543" s="2">
        <v>108745.392453685</v>
      </c>
      <c r="AX543" s="2">
        <v>34533.904017462497</v>
      </c>
    </row>
    <row r="544" spans="1:50" x14ac:dyDescent="0.25">
      <c r="A544" s="2" t="s">
        <v>4009</v>
      </c>
      <c r="B544" s="2">
        <v>441.331033857671</v>
      </c>
      <c r="C544" s="2">
        <v>10.6709833333333</v>
      </c>
      <c r="D544" s="2" t="s">
        <v>51</v>
      </c>
      <c r="E544" s="2" t="s">
        <v>4010</v>
      </c>
      <c r="F544" s="2">
        <v>198369</v>
      </c>
      <c r="G544" s="3" t="str">
        <f>HYPERLINK("https://cloud.oebiotech.com/#/lm/network/198369", "https://cloud.oebiotech.com/#/lm/network/198369")</f>
        <v>https://cloud.oebiotech.com/#/lm/network/198369</v>
      </c>
      <c r="H544" s="2" t="s">
        <v>4011</v>
      </c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 t="s">
        <v>4012</v>
      </c>
      <c r="T544" s="2" t="s">
        <v>4013</v>
      </c>
      <c r="U544" s="2" t="s">
        <v>56</v>
      </c>
      <c r="V544" s="2" t="s">
        <v>145</v>
      </c>
      <c r="W544" s="2" t="s">
        <v>1188</v>
      </c>
      <c r="X544" s="2" t="s">
        <v>147</v>
      </c>
      <c r="Y544" s="2">
        <v>36.200000000000003</v>
      </c>
      <c r="Z544" s="2">
        <v>0.108</v>
      </c>
      <c r="AA544" s="2" t="s">
        <v>526</v>
      </c>
      <c r="AB544" s="2" t="s">
        <v>4014</v>
      </c>
      <c r="AC544" s="2">
        <v>-2.98864720513546</v>
      </c>
      <c r="AD544" s="2"/>
      <c r="AE544" s="2">
        <v>0.99741587378562702</v>
      </c>
      <c r="AF544" s="2">
        <v>101464.698158941</v>
      </c>
      <c r="AG544" s="2">
        <v>129840.702213408</v>
      </c>
      <c r="AH544" s="4">
        <v>0.78145524807908695</v>
      </c>
      <c r="AI544" s="4">
        <v>-0.35576483871044001</v>
      </c>
      <c r="AJ544" s="4" t="s">
        <v>62</v>
      </c>
      <c r="AK544" s="2">
        <v>0.100238487260824</v>
      </c>
      <c r="AL544" s="2">
        <v>0.40292207100034599</v>
      </c>
      <c r="AM544" s="2">
        <v>67247.426175657398</v>
      </c>
      <c r="AN544" s="2">
        <v>78466.576729138207</v>
      </c>
      <c r="AO544" s="2">
        <v>102011.495078183</v>
      </c>
      <c r="AP544" s="2">
        <v>105448.75283339</v>
      </c>
      <c r="AQ544" s="2">
        <v>135766.038674482</v>
      </c>
      <c r="AR544" s="2">
        <v>119847.899462798</v>
      </c>
      <c r="AS544" s="2">
        <v>160799.79271461599</v>
      </c>
      <c r="AT544" s="2">
        <v>165735.21442085499</v>
      </c>
      <c r="AU544" s="2">
        <v>100821.732321515</v>
      </c>
      <c r="AV544" s="2">
        <v>100164.12339182101</v>
      </c>
      <c r="AW544" s="2">
        <v>117642.52568084199</v>
      </c>
      <c r="AX544" s="2">
        <v>133880.824750798</v>
      </c>
    </row>
    <row r="545" spans="1:50" x14ac:dyDescent="0.25">
      <c r="A545" s="2" t="s">
        <v>4015</v>
      </c>
      <c r="B545" s="2">
        <v>121.07247622199201</v>
      </c>
      <c r="C545" s="2">
        <v>0.71519999999999995</v>
      </c>
      <c r="D545" s="2" t="s">
        <v>51</v>
      </c>
      <c r="E545" s="2" t="s">
        <v>4016</v>
      </c>
      <c r="F545" s="2">
        <v>204525</v>
      </c>
      <c r="G545" s="3" t="str">
        <f>HYPERLINK("https://cloud.oebiotech.com/#/lm/network/204525", "https://cloud.oebiotech.com/#/lm/network/204525")</f>
        <v>https://cloud.oebiotech.com/#/lm/network/204525</v>
      </c>
      <c r="H545" s="2" t="s">
        <v>4017</v>
      </c>
      <c r="I545" s="2"/>
      <c r="J545" s="2"/>
      <c r="K545" s="2">
        <v>53923004</v>
      </c>
      <c r="L545" s="2"/>
      <c r="M545" s="2"/>
      <c r="N545" s="2"/>
      <c r="O545" s="2"/>
      <c r="P545" s="2"/>
      <c r="Q545" s="2"/>
      <c r="R545" s="2"/>
      <c r="S545" s="2" t="s">
        <v>4018</v>
      </c>
      <c r="T545" s="2" t="s">
        <v>4019</v>
      </c>
      <c r="U545" s="2" t="s">
        <v>3062</v>
      </c>
      <c r="V545" s="2" t="s">
        <v>4020</v>
      </c>
      <c r="W545" s="2" t="s">
        <v>240</v>
      </c>
      <c r="X545" s="2" t="s">
        <v>83</v>
      </c>
      <c r="Y545" s="2">
        <v>42.8</v>
      </c>
      <c r="Z545" s="2">
        <v>7.15</v>
      </c>
      <c r="AA545" s="2" t="s">
        <v>512</v>
      </c>
      <c r="AB545" s="2" t="s">
        <v>4021</v>
      </c>
      <c r="AC545" s="2">
        <v>4.6029359036089001</v>
      </c>
      <c r="AD545" s="2"/>
      <c r="AE545" s="2">
        <v>0.99483439868665302</v>
      </c>
      <c r="AF545" s="2">
        <v>97725.675915161002</v>
      </c>
      <c r="AG545" s="2">
        <v>64244.532667418098</v>
      </c>
      <c r="AH545" s="5">
        <v>1.5211516351293</v>
      </c>
      <c r="AI545" s="5">
        <v>0.60516397445955905</v>
      </c>
      <c r="AJ545" s="5" t="s">
        <v>139</v>
      </c>
      <c r="AK545" s="2">
        <v>0.18847834838752001</v>
      </c>
      <c r="AL545" s="2">
        <v>0.51283040988850104</v>
      </c>
      <c r="AM545" s="2">
        <v>62620.137723575201</v>
      </c>
      <c r="AN545" s="2">
        <v>198987.200807613</v>
      </c>
      <c r="AO545" s="2">
        <v>105448.467020968</v>
      </c>
      <c r="AP545" s="2">
        <v>81161.021302338893</v>
      </c>
      <c r="AQ545" s="2">
        <v>41382.160537525699</v>
      </c>
      <c r="AR545" s="2">
        <v>96755.068098945296</v>
      </c>
      <c r="AS545" s="2">
        <v>56195.248543340596</v>
      </c>
      <c r="AT545" s="2">
        <v>77364.642729818806</v>
      </c>
      <c r="AU545" s="2">
        <v>88594.3934199168</v>
      </c>
      <c r="AV545" s="2">
        <v>39182.817364482602</v>
      </c>
      <c r="AW545" s="2">
        <v>47592.131045772701</v>
      </c>
      <c r="AX545" s="2">
        <v>76537.962901177001</v>
      </c>
    </row>
    <row r="546" spans="1:50" x14ac:dyDescent="0.25">
      <c r="A546" s="2" t="s">
        <v>4022</v>
      </c>
      <c r="B546" s="2">
        <v>233.154330408547</v>
      </c>
      <c r="C546" s="2">
        <v>10.76145</v>
      </c>
      <c r="D546" s="2" t="s">
        <v>51</v>
      </c>
      <c r="E546" s="2" t="s">
        <v>4023</v>
      </c>
      <c r="F546" s="2">
        <v>256432</v>
      </c>
      <c r="G546" s="3" t="str">
        <f>HYPERLINK("https://cloud.oebiotech.com/#/lm/network/256432", "https://cloud.oebiotech.com/#/lm/network/256432")</f>
        <v>https://cloud.oebiotech.com/#/lm/network/256432</v>
      </c>
      <c r="H546" s="2" t="s">
        <v>4024</v>
      </c>
      <c r="I546" s="2"/>
      <c r="J546" s="2"/>
      <c r="K546" s="2">
        <v>325065</v>
      </c>
      <c r="L546" s="2"/>
      <c r="M546" s="2"/>
      <c r="N546" s="2"/>
      <c r="O546" s="2"/>
      <c r="P546" s="2"/>
      <c r="Q546" s="2"/>
      <c r="R546" s="2"/>
      <c r="S546" s="2" t="s">
        <v>4025</v>
      </c>
      <c r="T546" s="2" t="s">
        <v>4026</v>
      </c>
      <c r="U546" s="2" t="s">
        <v>56</v>
      </c>
      <c r="V546" s="2" t="s">
        <v>177</v>
      </c>
      <c r="W546" s="2" t="s">
        <v>806</v>
      </c>
      <c r="X546" s="2" t="s">
        <v>83</v>
      </c>
      <c r="Y546" s="2">
        <v>52.1</v>
      </c>
      <c r="Z546" s="2">
        <v>0</v>
      </c>
      <c r="AA546" s="2" t="s">
        <v>163</v>
      </c>
      <c r="AB546" s="2" t="s">
        <v>4027</v>
      </c>
      <c r="AC546" s="2">
        <v>-1.59335906311203</v>
      </c>
      <c r="AD546" s="2"/>
      <c r="AE546" s="2">
        <v>0.99426107830419097</v>
      </c>
      <c r="AF546" s="2">
        <v>64833.392290303302</v>
      </c>
      <c r="AG546" s="2">
        <v>85653.771864148599</v>
      </c>
      <c r="AH546" s="4">
        <v>0.75692396119031902</v>
      </c>
      <c r="AI546" s="4">
        <v>-0.40177971716459898</v>
      </c>
      <c r="AJ546" s="4" t="s">
        <v>62</v>
      </c>
      <c r="AK546" s="2">
        <v>8.0956223242041395E-3</v>
      </c>
      <c r="AL546" s="2">
        <v>0.147905063558916</v>
      </c>
      <c r="AM546" s="2">
        <v>62072.2523841453</v>
      </c>
      <c r="AN546" s="2">
        <v>59523.798884310498</v>
      </c>
      <c r="AO546" s="2">
        <v>64058.764248689098</v>
      </c>
      <c r="AP546" s="2">
        <v>65324.815740331302</v>
      </c>
      <c r="AQ546" s="2">
        <v>66729.427873877197</v>
      </c>
      <c r="AR546" s="2">
        <v>71291.294610466095</v>
      </c>
      <c r="AS546" s="2">
        <v>67586.483432449197</v>
      </c>
      <c r="AT546" s="2">
        <v>73579.815278688693</v>
      </c>
      <c r="AU546" s="2">
        <v>78667.543726550997</v>
      </c>
      <c r="AV546" s="2">
        <v>107424.834940613</v>
      </c>
      <c r="AW546" s="2">
        <v>94692.623458471004</v>
      </c>
      <c r="AX546" s="2">
        <v>91971.330348118499</v>
      </c>
    </row>
    <row r="547" spans="1:50" x14ac:dyDescent="0.25">
      <c r="A547" s="2" t="s">
        <v>4028</v>
      </c>
      <c r="B547" s="2">
        <v>635.30497084320996</v>
      </c>
      <c r="C547" s="2">
        <v>4.5660166666666697</v>
      </c>
      <c r="D547" s="2" t="s">
        <v>51</v>
      </c>
      <c r="E547" s="2" t="s">
        <v>4029</v>
      </c>
      <c r="F547" s="2">
        <v>27944</v>
      </c>
      <c r="G547" s="3" t="str">
        <f>HYPERLINK("https://cloud.oebiotech.com/#/lm/network/27944", "https://cloud.oebiotech.com/#/lm/network/27944")</f>
        <v>https://cloud.oebiotech.com/#/lm/network/27944</v>
      </c>
      <c r="H547" s="2"/>
      <c r="I547" s="2"/>
      <c r="J547" s="2" t="s">
        <v>4030</v>
      </c>
      <c r="K547" s="2">
        <v>134812391</v>
      </c>
      <c r="L547" s="2"/>
      <c r="M547" s="2"/>
      <c r="N547" s="2"/>
      <c r="O547" s="2"/>
      <c r="P547" s="2"/>
      <c r="Q547" s="2"/>
      <c r="R547" s="2"/>
      <c r="S547" s="2" t="s">
        <v>4031</v>
      </c>
      <c r="T547" s="2" t="s">
        <v>4032</v>
      </c>
      <c r="U547" s="2" t="s">
        <v>56</v>
      </c>
      <c r="V547" s="2" t="s">
        <v>57</v>
      </c>
      <c r="W547" s="2" t="s">
        <v>82</v>
      </c>
      <c r="X547" s="2" t="s">
        <v>147</v>
      </c>
      <c r="Y547" s="2">
        <v>37.6</v>
      </c>
      <c r="Z547" s="2">
        <v>3.26</v>
      </c>
      <c r="AA547" s="2" t="s">
        <v>122</v>
      </c>
      <c r="AB547" s="2" t="s">
        <v>4033</v>
      </c>
      <c r="AC547" s="2">
        <v>-3.2927853837280798</v>
      </c>
      <c r="AD547" s="2"/>
      <c r="AE547" s="2">
        <v>0.99216284068404803</v>
      </c>
      <c r="AF547" s="2">
        <v>28474.0279581428</v>
      </c>
      <c r="AG547" s="2">
        <v>85985.405925113504</v>
      </c>
      <c r="AH547" s="4">
        <v>0.33114954394634599</v>
      </c>
      <c r="AI547" s="4">
        <v>-1.59444522351053</v>
      </c>
      <c r="AJ547" s="4" t="s">
        <v>62</v>
      </c>
      <c r="AK547" s="2">
        <v>0.49169144213102101</v>
      </c>
      <c r="AL547" s="2">
        <v>0.73327608438379099</v>
      </c>
      <c r="AM547" s="2">
        <v>67412.014866066995</v>
      </c>
      <c r="AN547" s="2">
        <v>380.74557819977798</v>
      </c>
      <c r="AO547" s="2">
        <v>1789.73850711609</v>
      </c>
      <c r="AP547" s="2">
        <v>5022.5954115948498</v>
      </c>
      <c r="AQ547" s="2">
        <v>45001.602747796001</v>
      </c>
      <c r="AR547" s="2">
        <v>51237.470638083098</v>
      </c>
      <c r="AS547" s="2">
        <v>3943.6796716731501</v>
      </c>
      <c r="AT547" s="2">
        <v>2261.20372723849</v>
      </c>
      <c r="AU547" s="2">
        <v>3988.54397977299</v>
      </c>
      <c r="AV547" s="2">
        <v>484018.35572370002</v>
      </c>
      <c r="AW547" s="2">
        <v>334.17554044151899</v>
      </c>
      <c r="AX547" s="2">
        <v>21366.476907854802</v>
      </c>
    </row>
    <row r="548" spans="1:50" x14ac:dyDescent="0.25">
      <c r="A548" s="2" t="s">
        <v>4034</v>
      </c>
      <c r="B548" s="2">
        <v>419.20543086118198</v>
      </c>
      <c r="C548" s="2">
        <v>7.7371833333333297</v>
      </c>
      <c r="D548" s="2" t="s">
        <v>51</v>
      </c>
      <c r="E548" s="2" t="s">
        <v>4035</v>
      </c>
      <c r="F548" s="2">
        <v>205047</v>
      </c>
      <c r="G548" s="3" t="str">
        <f>HYPERLINK("https://cloud.oebiotech.com/#/lm/network/205047", "https://cloud.oebiotech.com/#/lm/network/205047")</f>
        <v>https://cloud.oebiotech.com/#/lm/network/205047</v>
      </c>
      <c r="H548" s="2" t="s">
        <v>4036</v>
      </c>
      <c r="I548" s="2"/>
      <c r="J548" s="2"/>
      <c r="K548" s="2">
        <v>53394056</v>
      </c>
      <c r="L548" s="2"/>
      <c r="M548" s="2"/>
      <c r="N548" s="2"/>
      <c r="O548" s="2"/>
      <c r="P548" s="2"/>
      <c r="Q548" s="2"/>
      <c r="R548" s="2"/>
      <c r="S548" s="2" t="s">
        <v>4037</v>
      </c>
      <c r="T548" s="2" t="s">
        <v>4038</v>
      </c>
      <c r="U548" s="2" t="s">
        <v>56</v>
      </c>
      <c r="V548" s="2" t="s">
        <v>177</v>
      </c>
      <c r="W548" s="2" t="s">
        <v>584</v>
      </c>
      <c r="X548" s="2" t="s">
        <v>69</v>
      </c>
      <c r="Y548" s="2">
        <v>50.4</v>
      </c>
      <c r="Z548" s="2">
        <v>47</v>
      </c>
      <c r="AA548" s="2" t="s">
        <v>218</v>
      </c>
      <c r="AB548" s="2" t="s">
        <v>807</v>
      </c>
      <c r="AC548" s="2">
        <v>-5.6013268059413699</v>
      </c>
      <c r="AD548" s="2"/>
      <c r="AE548" s="2">
        <v>0.99212324145191999</v>
      </c>
      <c r="AF548" s="2">
        <v>43615.691992036103</v>
      </c>
      <c r="AG548" s="2">
        <v>23028.392680846999</v>
      </c>
      <c r="AH548" s="5">
        <v>1.8939963633810999</v>
      </c>
      <c r="AI548" s="5">
        <v>0.92143356072335902</v>
      </c>
      <c r="AJ548" s="5" t="s">
        <v>139</v>
      </c>
      <c r="AK548" s="2">
        <v>1.40900532507421E-3</v>
      </c>
      <c r="AL548" s="2">
        <v>9.6009314101857798E-2</v>
      </c>
      <c r="AM548" s="2">
        <v>47454.128164174901</v>
      </c>
      <c r="AN548" s="2">
        <v>40618.121274374404</v>
      </c>
      <c r="AO548" s="2">
        <v>47379.940743977699</v>
      </c>
      <c r="AP548" s="2">
        <v>49001.530787475902</v>
      </c>
      <c r="AQ548" s="2">
        <v>32014.004553244999</v>
      </c>
      <c r="AR548" s="2">
        <v>45226.4264289688</v>
      </c>
      <c r="AS548" s="2">
        <v>36065.940142358697</v>
      </c>
      <c r="AT548" s="2">
        <v>25992.964165245499</v>
      </c>
      <c r="AU548" s="2">
        <v>27524.9004786677</v>
      </c>
      <c r="AV548" s="2">
        <v>7573.51781341486</v>
      </c>
      <c r="AW548" s="2">
        <v>18001.451169145199</v>
      </c>
      <c r="AX548" s="2">
        <v>23011.582316249802</v>
      </c>
    </row>
    <row r="549" spans="1:50" x14ac:dyDescent="0.25">
      <c r="A549" s="2" t="s">
        <v>4039</v>
      </c>
      <c r="B549" s="2">
        <v>246.12456608475799</v>
      </c>
      <c r="C549" s="2">
        <v>4.1742499999999998</v>
      </c>
      <c r="D549" s="2" t="s">
        <v>51</v>
      </c>
      <c r="E549" s="2" t="s">
        <v>4040</v>
      </c>
      <c r="F549" s="2">
        <v>266906</v>
      </c>
      <c r="G549" s="3" t="str">
        <f>HYPERLINK("https://cloud.oebiotech.com/#/lm/network/266906", "https://cloud.oebiotech.com/#/lm/network/266906")</f>
        <v>https://cloud.oebiotech.com/#/lm/network/266906</v>
      </c>
      <c r="H549" s="2"/>
      <c r="I549" s="2">
        <v>44265</v>
      </c>
      <c r="J549" s="2"/>
      <c r="K549" s="2">
        <v>94230</v>
      </c>
      <c r="L549" s="2"/>
      <c r="M549" s="2"/>
      <c r="N549" s="2"/>
      <c r="O549" s="2"/>
      <c r="P549" s="2"/>
      <c r="Q549" s="2"/>
      <c r="R549" s="2" t="s">
        <v>4041</v>
      </c>
      <c r="S549" s="2" t="s">
        <v>4042</v>
      </c>
      <c r="T549" s="2" t="s">
        <v>4043</v>
      </c>
      <c r="U549" s="2" t="s">
        <v>266</v>
      </c>
      <c r="V549" s="2" t="s">
        <v>445</v>
      </c>
      <c r="W549" s="2" t="s">
        <v>446</v>
      </c>
      <c r="X549" s="2" t="s">
        <v>147</v>
      </c>
      <c r="Y549" s="2">
        <v>43.6</v>
      </c>
      <c r="Z549" s="2">
        <v>26.1</v>
      </c>
      <c r="AA549" s="2" t="s">
        <v>196</v>
      </c>
      <c r="AB549" s="2" t="s">
        <v>4044</v>
      </c>
      <c r="AC549" s="2">
        <v>3.5204420992399199</v>
      </c>
      <c r="AD549" s="2"/>
      <c r="AE549" s="2">
        <v>0.99156840157502601</v>
      </c>
      <c r="AF549" s="2">
        <v>7972.5712724285404</v>
      </c>
      <c r="AG549" s="2">
        <v>60047.214562889203</v>
      </c>
      <c r="AH549" s="4">
        <v>0.132771708570739</v>
      </c>
      <c r="AI549" s="4">
        <v>-2.9129803296255599</v>
      </c>
      <c r="AJ549" s="4" t="s">
        <v>62</v>
      </c>
      <c r="AK549" s="2">
        <v>0.41005569436161499</v>
      </c>
      <c r="AL549" s="2">
        <v>0.67525811186721996</v>
      </c>
      <c r="AM549" s="2">
        <v>2.3134596019072902</v>
      </c>
      <c r="AN549" s="2">
        <v>47818.387766156498</v>
      </c>
      <c r="AO549" s="2">
        <v>1.38180956056425</v>
      </c>
      <c r="AP549" s="2">
        <v>3.5273992897894502</v>
      </c>
      <c r="AQ549" s="2">
        <v>1.1125298328890301</v>
      </c>
      <c r="AR549" s="2">
        <v>8.70467012959935</v>
      </c>
      <c r="AS549" s="2">
        <v>9.2542949002594206</v>
      </c>
      <c r="AT549" s="2">
        <v>8.559877937157E-6</v>
      </c>
      <c r="AU549" s="2">
        <v>12.470483387166899</v>
      </c>
      <c r="AV549" s="2">
        <v>8.559877937157E-6</v>
      </c>
      <c r="AW549" s="2">
        <v>360256.26451246499</v>
      </c>
      <c r="AX549" s="2">
        <v>5.2980694630497602</v>
      </c>
    </row>
    <row r="550" spans="1:50" x14ac:dyDescent="0.25">
      <c r="A550" s="2" t="s">
        <v>4045</v>
      </c>
      <c r="B550" s="2">
        <v>337.23779886411899</v>
      </c>
      <c r="C550" s="2">
        <v>9.7054500000000008</v>
      </c>
      <c r="D550" s="2" t="s">
        <v>51</v>
      </c>
      <c r="E550" s="2" t="s">
        <v>4046</v>
      </c>
      <c r="F550" s="2">
        <v>3671</v>
      </c>
      <c r="G550" s="3" t="str">
        <f>HYPERLINK("https://cloud.oebiotech.com/#/lm/network/3671", "https://cloud.oebiotech.com/#/lm/network/3671")</f>
        <v>https://cloud.oebiotech.com/#/lm/network/3671</v>
      </c>
      <c r="H550" s="2"/>
      <c r="I550" s="2">
        <v>36120</v>
      </c>
      <c r="J550" s="2" t="s">
        <v>4047</v>
      </c>
      <c r="K550" s="2">
        <v>5283050</v>
      </c>
      <c r="L550" s="2"/>
      <c r="M550" s="2"/>
      <c r="N550" s="2"/>
      <c r="O550" s="2"/>
      <c r="P550" s="2"/>
      <c r="Q550" s="2"/>
      <c r="R550" s="2" t="s">
        <v>4048</v>
      </c>
      <c r="S550" s="2" t="s">
        <v>4049</v>
      </c>
      <c r="T550" s="2" t="s">
        <v>4050</v>
      </c>
      <c r="U550" s="2" t="s">
        <v>56</v>
      </c>
      <c r="V550" s="2" t="s">
        <v>145</v>
      </c>
      <c r="W550" s="2" t="s">
        <v>187</v>
      </c>
      <c r="X550" s="2" t="s">
        <v>69</v>
      </c>
      <c r="Y550" s="2">
        <v>62.8</v>
      </c>
      <c r="Z550" s="2">
        <v>50.5</v>
      </c>
      <c r="AA550" s="2" t="s">
        <v>259</v>
      </c>
      <c r="AB550" s="2" t="s">
        <v>188</v>
      </c>
      <c r="AC550" s="2">
        <v>1.3768181230280401</v>
      </c>
      <c r="AD550" s="2"/>
      <c r="AE550" s="2">
        <v>0.99118962986565995</v>
      </c>
      <c r="AF550" s="2">
        <v>37261.666856480202</v>
      </c>
      <c r="AG550" s="2">
        <v>16804.692923508701</v>
      </c>
      <c r="AH550" s="5">
        <v>2.21733696807715</v>
      </c>
      <c r="AI550" s="5">
        <v>1.14882803282702</v>
      </c>
      <c r="AJ550" s="5" t="s">
        <v>139</v>
      </c>
      <c r="AK550" s="2">
        <v>1.0286779512765101E-2</v>
      </c>
      <c r="AL550" s="2">
        <v>0.16417368270776</v>
      </c>
      <c r="AM550" s="2">
        <v>52524.149160843997</v>
      </c>
      <c r="AN550" s="2">
        <v>40158.230257720803</v>
      </c>
      <c r="AO550" s="2">
        <v>27032.562887338299</v>
      </c>
      <c r="AP550" s="2">
        <v>20974.918205333899</v>
      </c>
      <c r="AQ550" s="2">
        <v>52404.806347714097</v>
      </c>
      <c r="AR550" s="2">
        <v>30475.334279930299</v>
      </c>
      <c r="AS550" s="2">
        <v>15643.844750157299</v>
      </c>
      <c r="AT550" s="2">
        <v>7918.51038855365</v>
      </c>
      <c r="AU550" s="2">
        <v>32332.649197131501</v>
      </c>
      <c r="AV550" s="2">
        <v>9563.3344723272003</v>
      </c>
      <c r="AW550" s="2">
        <v>16928.628876221501</v>
      </c>
      <c r="AX550" s="2">
        <v>18441.189856661</v>
      </c>
    </row>
    <row r="551" spans="1:50" x14ac:dyDescent="0.25">
      <c r="A551" s="2" t="s">
        <v>4051</v>
      </c>
      <c r="B551" s="2">
        <v>349.20156250330803</v>
      </c>
      <c r="C551" s="2">
        <v>7.6341666666666699</v>
      </c>
      <c r="D551" s="2" t="s">
        <v>51</v>
      </c>
      <c r="E551" s="2" t="s">
        <v>4052</v>
      </c>
      <c r="F551" s="2">
        <v>202536</v>
      </c>
      <c r="G551" s="3" t="str">
        <f>HYPERLINK("https://cloud.oebiotech.com/#/lm/network/202536", "https://cloud.oebiotech.com/#/lm/network/202536")</f>
        <v>https://cloud.oebiotech.com/#/lm/network/202536</v>
      </c>
      <c r="H551" s="2" t="s">
        <v>4053</v>
      </c>
      <c r="I551" s="2"/>
      <c r="J551" s="2"/>
      <c r="K551" s="2">
        <v>54547164</v>
      </c>
      <c r="L551" s="2"/>
      <c r="M551" s="2"/>
      <c r="N551" s="2"/>
      <c r="O551" s="2"/>
      <c r="P551" s="2"/>
      <c r="Q551" s="2"/>
      <c r="R551" s="2"/>
      <c r="S551" s="2" t="s">
        <v>4054</v>
      </c>
      <c r="T551" s="2" t="s">
        <v>4055</v>
      </c>
      <c r="U551" s="2" t="s">
        <v>56</v>
      </c>
      <c r="V551" s="2" t="s">
        <v>145</v>
      </c>
      <c r="W551" s="2" t="s">
        <v>187</v>
      </c>
      <c r="X551" s="2" t="s">
        <v>69</v>
      </c>
      <c r="Y551" s="2">
        <v>50.8</v>
      </c>
      <c r="Z551" s="2">
        <v>51.6</v>
      </c>
      <c r="AA551" s="2" t="s">
        <v>786</v>
      </c>
      <c r="AB551" s="2" t="s">
        <v>4056</v>
      </c>
      <c r="AC551" s="2">
        <v>1.67140022841141</v>
      </c>
      <c r="AD551" s="2"/>
      <c r="AE551" s="2">
        <v>0.99044336182870896</v>
      </c>
      <c r="AF551" s="2">
        <v>55280.338248203203</v>
      </c>
      <c r="AG551" s="2">
        <v>31566.730562166402</v>
      </c>
      <c r="AH551" s="5">
        <v>1.75122153177492</v>
      </c>
      <c r="AI551" s="5">
        <v>0.80836159809308195</v>
      </c>
      <c r="AJ551" s="5" t="s">
        <v>139</v>
      </c>
      <c r="AK551" s="2">
        <v>1.9616007346027201E-2</v>
      </c>
      <c r="AL551" s="2">
        <v>0.21932247761462001</v>
      </c>
      <c r="AM551" s="2">
        <v>51990.521291990903</v>
      </c>
      <c r="AN551" s="2">
        <v>84142.833477679698</v>
      </c>
      <c r="AO551" s="2">
        <v>52095.148179471696</v>
      </c>
      <c r="AP551" s="2">
        <v>49856.645530428301</v>
      </c>
      <c r="AQ551" s="2">
        <v>38941.008859847403</v>
      </c>
      <c r="AR551" s="2">
        <v>54655.872149800998</v>
      </c>
      <c r="AS551" s="2">
        <v>46596.347083767098</v>
      </c>
      <c r="AT551" s="2">
        <v>20642.0640427703</v>
      </c>
      <c r="AU551" s="2">
        <v>51958.153357153897</v>
      </c>
      <c r="AV551" s="2">
        <v>16252.9978837043</v>
      </c>
      <c r="AW551" s="2">
        <v>28005.566046710901</v>
      </c>
      <c r="AX551" s="2">
        <v>25945.254958891699</v>
      </c>
    </row>
    <row r="552" spans="1:50" x14ac:dyDescent="0.25">
      <c r="A552" s="2" t="s">
        <v>4057</v>
      </c>
      <c r="B552" s="2">
        <v>615.461653451801</v>
      </c>
      <c r="C552" s="2">
        <v>14.2899333333333</v>
      </c>
      <c r="D552" s="2" t="s">
        <v>51</v>
      </c>
      <c r="E552" s="2" t="s">
        <v>4058</v>
      </c>
      <c r="F552" s="2">
        <v>248469</v>
      </c>
      <c r="G552" s="3" t="str">
        <f>HYPERLINK("https://cloud.oebiotech.com/#/lm/network/248469", "https://cloud.oebiotech.com/#/lm/network/248469")</f>
        <v>https://cloud.oebiotech.com/#/lm/network/248469</v>
      </c>
      <c r="H552" s="2" t="s">
        <v>4059</v>
      </c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 t="s">
        <v>4060</v>
      </c>
      <c r="T552" s="2" t="s">
        <v>4061</v>
      </c>
      <c r="U552" s="2" t="s">
        <v>56</v>
      </c>
      <c r="V552" s="2" t="s">
        <v>145</v>
      </c>
      <c r="W552" s="2" t="s">
        <v>203</v>
      </c>
      <c r="X552" s="2" t="s">
        <v>59</v>
      </c>
      <c r="Y552" s="2">
        <v>49.9</v>
      </c>
      <c r="Z552" s="2">
        <v>64.099999999999994</v>
      </c>
      <c r="AA552" s="2" t="s">
        <v>4062</v>
      </c>
      <c r="AB552" s="2" t="s">
        <v>2231</v>
      </c>
      <c r="AC552" s="2">
        <v>3.6170623206955299</v>
      </c>
      <c r="AD552" s="2"/>
      <c r="AE552" s="2">
        <v>0.98888663547078703</v>
      </c>
      <c r="AF552" s="2">
        <v>171475.67948884799</v>
      </c>
      <c r="AG552" s="2">
        <v>114337.871787841</v>
      </c>
      <c r="AH552" s="5">
        <v>1.4997277525597901</v>
      </c>
      <c r="AI552" s="5">
        <v>0.58470063026799401</v>
      </c>
      <c r="AJ552" s="5" t="s">
        <v>139</v>
      </c>
      <c r="AK552" s="2">
        <v>0.22703283473942801</v>
      </c>
      <c r="AL552" s="2">
        <v>0.55318612061801498</v>
      </c>
      <c r="AM552" s="2">
        <v>45155.7322346941</v>
      </c>
      <c r="AN552" s="2">
        <v>270218.455411951</v>
      </c>
      <c r="AO552" s="2">
        <v>277431.67115198198</v>
      </c>
      <c r="AP552" s="2">
        <v>212565.34056079501</v>
      </c>
      <c r="AQ552" s="2">
        <v>115614.88810855</v>
      </c>
      <c r="AR552" s="2">
        <v>107867.989465115</v>
      </c>
      <c r="AS552" s="2">
        <v>55349.576226785503</v>
      </c>
      <c r="AT552" s="2">
        <v>145396.246061157</v>
      </c>
      <c r="AU552" s="2">
        <v>55411.011782585701</v>
      </c>
      <c r="AV552" s="2">
        <v>103469.91705911201</v>
      </c>
      <c r="AW552" s="2">
        <v>147109.90474452701</v>
      </c>
      <c r="AX552" s="2">
        <v>179290.57485287701</v>
      </c>
    </row>
    <row r="553" spans="1:50" x14ac:dyDescent="0.25">
      <c r="A553" s="2" t="s">
        <v>4063</v>
      </c>
      <c r="B553" s="2">
        <v>466.21363284236202</v>
      </c>
      <c r="C553" s="2">
        <v>4.3824333333333296</v>
      </c>
      <c r="D553" s="2" t="s">
        <v>51</v>
      </c>
      <c r="E553" s="2" t="s">
        <v>4064</v>
      </c>
      <c r="F553" s="2">
        <v>8594</v>
      </c>
      <c r="G553" s="3" t="str">
        <f>HYPERLINK("https://cloud.oebiotech.com/#/lm/network/8594", "https://cloud.oebiotech.com/#/lm/network/8594")</f>
        <v>https://cloud.oebiotech.com/#/lm/network/8594</v>
      </c>
      <c r="H553" s="2"/>
      <c r="I553" s="2">
        <v>36675</v>
      </c>
      <c r="J553" s="2" t="s">
        <v>4065</v>
      </c>
      <c r="K553" s="2">
        <v>5283388</v>
      </c>
      <c r="L553" s="2" t="s">
        <v>4066</v>
      </c>
      <c r="M553" s="2"/>
      <c r="N553" s="2"/>
      <c r="O553" s="2">
        <v>144413</v>
      </c>
      <c r="P553" s="2"/>
      <c r="Q553" s="2"/>
      <c r="R553" s="2" t="s">
        <v>4067</v>
      </c>
      <c r="S553" s="2" t="s">
        <v>4068</v>
      </c>
      <c r="T553" s="2" t="s">
        <v>4069</v>
      </c>
      <c r="U553" s="2" t="s">
        <v>103</v>
      </c>
      <c r="V553" s="2" t="s">
        <v>1567</v>
      </c>
      <c r="W553" s="2" t="s">
        <v>1568</v>
      </c>
      <c r="X553" s="2" t="s">
        <v>147</v>
      </c>
      <c r="Y553" s="2">
        <v>41.3</v>
      </c>
      <c r="Z553" s="2">
        <v>15.3</v>
      </c>
      <c r="AA553" s="2" t="s">
        <v>395</v>
      </c>
      <c r="AB553" s="2" t="s">
        <v>4070</v>
      </c>
      <c r="AC553" s="2">
        <v>4.0136128234631201</v>
      </c>
      <c r="AD553" s="2"/>
      <c r="AE553" s="2">
        <v>0.98405596592780997</v>
      </c>
      <c r="AF553" s="2">
        <v>367.82081904964002</v>
      </c>
      <c r="AG553" s="2">
        <v>44972.908714861798</v>
      </c>
      <c r="AH553" s="4">
        <v>8.1787198017745505E-3</v>
      </c>
      <c r="AI553" s="4">
        <v>-6.9339092459170901</v>
      </c>
      <c r="AJ553" s="4" t="s">
        <v>62</v>
      </c>
      <c r="AK553" s="2">
        <v>0.34129721920533501</v>
      </c>
      <c r="AL553" s="2">
        <v>0.63815037094278604</v>
      </c>
      <c r="AM553" s="2">
        <v>841.41586954316301</v>
      </c>
      <c r="AN553" s="2">
        <v>8.559877937157E-6</v>
      </c>
      <c r="AO553" s="2">
        <v>8.559877937157E-6</v>
      </c>
      <c r="AP553" s="2">
        <v>177.05177718342</v>
      </c>
      <c r="AQ553" s="2">
        <v>9.6060282145794993</v>
      </c>
      <c r="AR553" s="2">
        <v>1178.85122223692</v>
      </c>
      <c r="AS553" s="2">
        <v>8.559877937157E-6</v>
      </c>
      <c r="AT553" s="2">
        <v>8.559877937157E-6</v>
      </c>
      <c r="AU553" s="2">
        <v>219.260197506677</v>
      </c>
      <c r="AV553" s="2">
        <v>1216.4233251968501</v>
      </c>
      <c r="AW553" s="2">
        <v>268189.66173776903</v>
      </c>
      <c r="AX553" s="2">
        <v>212.107011578575</v>
      </c>
    </row>
    <row r="554" spans="1:50" x14ac:dyDescent="0.25">
      <c r="A554" s="2" t="s">
        <v>4071</v>
      </c>
      <c r="B554" s="2">
        <v>610.30984945061095</v>
      </c>
      <c r="C554" s="2">
        <v>10.430199999999999</v>
      </c>
      <c r="D554" s="2" t="s">
        <v>51</v>
      </c>
      <c r="E554" s="2" t="s">
        <v>4072</v>
      </c>
      <c r="F554" s="2">
        <v>210909</v>
      </c>
      <c r="G554" s="3" t="str">
        <f>HYPERLINK("https://cloud.oebiotech.com/#/lm/network/210909", "https://cloud.oebiotech.com/#/lm/network/210909")</f>
        <v>https://cloud.oebiotech.com/#/lm/network/210909</v>
      </c>
      <c r="H554" s="2" t="s">
        <v>4073</v>
      </c>
      <c r="I554" s="2"/>
      <c r="J554" s="2"/>
      <c r="K554" s="2">
        <v>72997919</v>
      </c>
      <c r="L554" s="2"/>
      <c r="M554" s="2"/>
      <c r="N554" s="2"/>
      <c r="O554" s="2"/>
      <c r="P554" s="2"/>
      <c r="Q554" s="2"/>
      <c r="R554" s="2"/>
      <c r="S554" s="2" t="s">
        <v>4074</v>
      </c>
      <c r="T554" s="2" t="s">
        <v>4075</v>
      </c>
      <c r="U554" s="2" t="s">
        <v>540</v>
      </c>
      <c r="V554" s="2" t="s">
        <v>1380</v>
      </c>
      <c r="W554" s="2" t="s">
        <v>240</v>
      </c>
      <c r="X554" s="2" t="s">
        <v>59</v>
      </c>
      <c r="Y554" s="2">
        <v>51.7</v>
      </c>
      <c r="Z554" s="2">
        <v>71.099999999999994</v>
      </c>
      <c r="AA554" s="2" t="s">
        <v>95</v>
      </c>
      <c r="AB554" s="2" t="s">
        <v>4076</v>
      </c>
      <c r="AC554" s="2">
        <v>-6.23908210337554E-2</v>
      </c>
      <c r="AD554" s="2"/>
      <c r="AE554" s="2">
        <v>0.98107392337506205</v>
      </c>
      <c r="AF554" s="2">
        <v>61078.902977479702</v>
      </c>
      <c r="AG554" s="2">
        <v>81594.641947888202</v>
      </c>
      <c r="AH554" s="4">
        <v>0.748565120446129</v>
      </c>
      <c r="AI554" s="4">
        <v>-0.41780026777121998</v>
      </c>
      <c r="AJ554" s="4" t="s">
        <v>62</v>
      </c>
      <c r="AK554" s="2">
        <v>5.7857982959325103E-3</v>
      </c>
      <c r="AL554" s="2">
        <v>0.12769622484368501</v>
      </c>
      <c r="AM554" s="2">
        <v>50917.348428955003</v>
      </c>
      <c r="AN554" s="2">
        <v>68909.981855229606</v>
      </c>
      <c r="AO554" s="2">
        <v>65843.137334878906</v>
      </c>
      <c r="AP554" s="2">
        <v>56191.514825097503</v>
      </c>
      <c r="AQ554" s="2">
        <v>69862.389070143705</v>
      </c>
      <c r="AR554" s="2">
        <v>54749.046350573401</v>
      </c>
      <c r="AS554" s="2">
        <v>76947.687848758505</v>
      </c>
      <c r="AT554" s="2">
        <v>76066.828503793993</v>
      </c>
      <c r="AU554" s="2">
        <v>65703.530426839003</v>
      </c>
      <c r="AV554" s="2">
        <v>82731.052365946103</v>
      </c>
      <c r="AW554" s="2">
        <v>87376.861382624702</v>
      </c>
      <c r="AX554" s="2">
        <v>100741.89115936701</v>
      </c>
    </row>
    <row r="555" spans="1:50" x14ac:dyDescent="0.25">
      <c r="A555" s="2" t="s">
        <v>4077</v>
      </c>
      <c r="B555" s="2">
        <v>341.212156535688</v>
      </c>
      <c r="C555" s="2">
        <v>9.5639333333333294</v>
      </c>
      <c r="D555" s="2" t="s">
        <v>51</v>
      </c>
      <c r="E555" s="2" t="s">
        <v>4078</v>
      </c>
      <c r="F555" s="2">
        <v>5400</v>
      </c>
      <c r="G555" s="3" t="str">
        <f>HYPERLINK("https://cloud.oebiotech.com/#/lm/network/5400", "https://cloud.oebiotech.com/#/lm/network/5400")</f>
        <v>https://cloud.oebiotech.com/#/lm/network/5400</v>
      </c>
      <c r="H555" s="2"/>
      <c r="I555" s="2"/>
      <c r="J555" s="2" t="s">
        <v>4079</v>
      </c>
      <c r="K555" s="2">
        <v>131840815</v>
      </c>
      <c r="L555" s="2"/>
      <c r="M555" s="2"/>
      <c r="N555" s="2"/>
      <c r="O555" s="2"/>
      <c r="P555" s="2"/>
      <c r="Q555" s="2"/>
      <c r="R555" s="2"/>
      <c r="S555" s="2" t="s">
        <v>4080</v>
      </c>
      <c r="T555" s="2" t="s">
        <v>4081</v>
      </c>
      <c r="U555" s="2" t="s">
        <v>56</v>
      </c>
      <c r="V555" s="2" t="s">
        <v>145</v>
      </c>
      <c r="W555" s="2" t="s">
        <v>231</v>
      </c>
      <c r="X555" s="2" t="s">
        <v>59</v>
      </c>
      <c r="Y555" s="2">
        <v>55.7</v>
      </c>
      <c r="Z555" s="2">
        <v>86.9</v>
      </c>
      <c r="AA555" s="2" t="s">
        <v>156</v>
      </c>
      <c r="AB555" s="2" t="s">
        <v>232</v>
      </c>
      <c r="AC555" s="2">
        <v>2.8902950868533499</v>
      </c>
      <c r="AD555" s="2"/>
      <c r="AE555" s="2">
        <v>0.98098432829830995</v>
      </c>
      <c r="AF555" s="2">
        <v>71335.987690616603</v>
      </c>
      <c r="AG555" s="2">
        <v>48009.060946158403</v>
      </c>
      <c r="AH555" s="5">
        <v>1.48588591996455</v>
      </c>
      <c r="AI555" s="5">
        <v>0.57132335610582796</v>
      </c>
      <c r="AJ555" s="5" t="s">
        <v>139</v>
      </c>
      <c r="AK555" s="2">
        <v>9.1627739682678802E-2</v>
      </c>
      <c r="AL555" s="2">
        <v>0.38940149641808502</v>
      </c>
      <c r="AM555" s="2">
        <v>130167.62846278401</v>
      </c>
      <c r="AN555" s="2">
        <v>62293.520543774001</v>
      </c>
      <c r="AO555" s="2">
        <v>61643.189640800301</v>
      </c>
      <c r="AP555" s="2">
        <v>61330.636749306301</v>
      </c>
      <c r="AQ555" s="2">
        <v>51853.839740402</v>
      </c>
      <c r="AR555" s="2">
        <v>60727.111006633197</v>
      </c>
      <c r="AS555" s="2">
        <v>62766.610267579701</v>
      </c>
      <c r="AT555" s="2">
        <v>41811.6956599244</v>
      </c>
      <c r="AU555" s="2">
        <v>49205.933096279798</v>
      </c>
      <c r="AV555" s="2">
        <v>34105.703477847797</v>
      </c>
      <c r="AW555" s="2">
        <v>49681.789482022003</v>
      </c>
      <c r="AX555" s="2">
        <v>50482.633693296797</v>
      </c>
    </row>
    <row r="556" spans="1:50" x14ac:dyDescent="0.25">
      <c r="A556" s="2" t="s">
        <v>4082</v>
      </c>
      <c r="B556" s="2">
        <v>340.21062178197297</v>
      </c>
      <c r="C556" s="2">
        <v>13.3257833333333</v>
      </c>
      <c r="D556" s="2" t="s">
        <v>51</v>
      </c>
      <c r="E556" s="2" t="s">
        <v>4083</v>
      </c>
      <c r="F556" s="2">
        <v>207306</v>
      </c>
      <c r="G556" s="3" t="str">
        <f>HYPERLINK("https://cloud.oebiotech.com/#/lm/network/207306", "https://cloud.oebiotech.com/#/lm/network/207306")</f>
        <v>https://cloud.oebiotech.com/#/lm/network/207306</v>
      </c>
      <c r="H556" s="2" t="s">
        <v>4084</v>
      </c>
      <c r="I556" s="2"/>
      <c r="J556" s="2"/>
      <c r="K556" s="2">
        <v>20025482</v>
      </c>
      <c r="L556" s="2"/>
      <c r="M556" s="2"/>
      <c r="N556" s="2"/>
      <c r="O556" s="2"/>
      <c r="P556" s="2"/>
      <c r="Q556" s="2"/>
      <c r="R556" s="2"/>
      <c r="S556" s="2" t="s">
        <v>4085</v>
      </c>
      <c r="T556" s="2" t="s">
        <v>4086</v>
      </c>
      <c r="U556" s="2" t="s">
        <v>103</v>
      </c>
      <c r="V556" s="2" t="s">
        <v>104</v>
      </c>
      <c r="W556" s="2" t="s">
        <v>105</v>
      </c>
      <c r="X556" s="2" t="s">
        <v>147</v>
      </c>
      <c r="Y556" s="2">
        <v>38.9</v>
      </c>
      <c r="Z556" s="2">
        <v>0</v>
      </c>
      <c r="AA556" s="2" t="s">
        <v>379</v>
      </c>
      <c r="AB556" s="2" t="s">
        <v>4087</v>
      </c>
      <c r="AC556" s="2">
        <v>1.0034295764540699</v>
      </c>
      <c r="AD556" s="2"/>
      <c r="AE556" s="2">
        <v>0.97931399557905496</v>
      </c>
      <c r="AF556" s="2">
        <v>22247.771725872299</v>
      </c>
      <c r="AG556" s="2">
        <v>40904.2715028409</v>
      </c>
      <c r="AH556" s="4">
        <v>0.54389849540107604</v>
      </c>
      <c r="AI556" s="4">
        <v>-0.87859066003910702</v>
      </c>
      <c r="AJ556" s="4" t="s">
        <v>62</v>
      </c>
      <c r="AK556" s="2">
        <v>3.6148863792463698E-4</v>
      </c>
      <c r="AL556" s="2">
        <v>5.3653951083964202E-2</v>
      </c>
      <c r="AM556" s="2">
        <v>23511.9595792738</v>
      </c>
      <c r="AN556" s="2">
        <v>14678.9275037159</v>
      </c>
      <c r="AO556" s="2">
        <v>21057.980456811401</v>
      </c>
      <c r="AP556" s="2">
        <v>17829.0376305889</v>
      </c>
      <c r="AQ556" s="2">
        <v>27035.411362048999</v>
      </c>
      <c r="AR556" s="2">
        <v>29373.313822794498</v>
      </c>
      <c r="AS556" s="2">
        <v>35259.025879574197</v>
      </c>
      <c r="AT556" s="2">
        <v>31692.8280607794</v>
      </c>
      <c r="AU556" s="2">
        <v>41967.205227795203</v>
      </c>
      <c r="AV556" s="2">
        <v>50569.136128005397</v>
      </c>
      <c r="AW556" s="2">
        <v>41894.171323254603</v>
      </c>
      <c r="AX556" s="2">
        <v>44043.262397636499</v>
      </c>
    </row>
    <row r="557" spans="1:50" x14ac:dyDescent="0.25">
      <c r="A557" s="2" t="s">
        <v>4088</v>
      </c>
      <c r="B557" s="2">
        <v>174.99636317557599</v>
      </c>
      <c r="C557" s="2">
        <v>6.3968333333333298</v>
      </c>
      <c r="D557" s="2" t="s">
        <v>51</v>
      </c>
      <c r="E557" s="2" t="s">
        <v>4089</v>
      </c>
      <c r="F557" s="2">
        <v>199976</v>
      </c>
      <c r="G557" s="3" t="str">
        <f>HYPERLINK("https://cloud.oebiotech.com/#/lm/network/199976", "https://cloud.oebiotech.com/#/lm/network/199976")</f>
        <v>https://cloud.oebiotech.com/#/lm/network/199976</v>
      </c>
      <c r="H557" s="2" t="s">
        <v>4090</v>
      </c>
      <c r="I557" s="2">
        <v>412258</v>
      </c>
      <c r="J557" s="2"/>
      <c r="K557" s="2">
        <v>129981</v>
      </c>
      <c r="L557" s="2"/>
      <c r="M557" s="2"/>
      <c r="N557" s="2"/>
      <c r="O557" s="2"/>
      <c r="P557" s="2"/>
      <c r="Q557" s="2"/>
      <c r="R557" s="2"/>
      <c r="S557" s="2" t="s">
        <v>4091</v>
      </c>
      <c r="T557" s="2" t="s">
        <v>4092</v>
      </c>
      <c r="U557" s="2" t="s">
        <v>266</v>
      </c>
      <c r="V557" s="2" t="s">
        <v>4093</v>
      </c>
      <c r="W557" s="2" t="s">
        <v>240</v>
      </c>
      <c r="X557" s="2" t="s">
        <v>147</v>
      </c>
      <c r="Y557" s="2">
        <v>45.8</v>
      </c>
      <c r="Z557" s="2">
        <v>39.1</v>
      </c>
      <c r="AA557" s="2" t="s">
        <v>379</v>
      </c>
      <c r="AB557" s="2" t="s">
        <v>4094</v>
      </c>
      <c r="AC557" s="2">
        <v>-4.0932173833113499</v>
      </c>
      <c r="AD557" s="2"/>
      <c r="AE557" s="2">
        <v>0.97809659099507795</v>
      </c>
      <c r="AF557" s="2">
        <v>69119.731179905895</v>
      </c>
      <c r="AG557" s="2">
        <v>90488.878002403406</v>
      </c>
      <c r="AH557" s="4">
        <v>0.763847808766842</v>
      </c>
      <c r="AI557" s="4">
        <v>-0.38864287470137199</v>
      </c>
      <c r="AJ557" s="4" t="s">
        <v>62</v>
      </c>
      <c r="AK557" s="2">
        <v>4.4317665054229197E-2</v>
      </c>
      <c r="AL557" s="2">
        <v>0.297793096711781</v>
      </c>
      <c r="AM557" s="2">
        <v>41972.311611243</v>
      </c>
      <c r="AN557" s="2">
        <v>56842.903804357396</v>
      </c>
      <c r="AO557" s="2">
        <v>66146.194000534495</v>
      </c>
      <c r="AP557" s="2">
        <v>91307.722336555802</v>
      </c>
      <c r="AQ557" s="2">
        <v>82177.459535522794</v>
      </c>
      <c r="AR557" s="2">
        <v>76271.795791222103</v>
      </c>
      <c r="AS557" s="2">
        <v>94174.689413744505</v>
      </c>
      <c r="AT557" s="2">
        <v>108002.79640609</v>
      </c>
      <c r="AU557" s="2">
        <v>77265.2966810746</v>
      </c>
      <c r="AV557" s="2">
        <v>102592.89484599</v>
      </c>
      <c r="AW557" s="2">
        <v>72150.306003464706</v>
      </c>
      <c r="AX557" s="2">
        <v>88747.284664056802</v>
      </c>
    </row>
    <row r="558" spans="1:50" x14ac:dyDescent="0.25">
      <c r="A558" s="2" t="s">
        <v>4095</v>
      </c>
      <c r="B558" s="2">
        <v>637.483677987943</v>
      </c>
      <c r="C558" s="2">
        <v>13.8921333333333</v>
      </c>
      <c r="D558" s="2" t="s">
        <v>51</v>
      </c>
      <c r="E558" s="2" t="s">
        <v>4096</v>
      </c>
      <c r="F558" s="2">
        <v>78760</v>
      </c>
      <c r="G558" s="3" t="str">
        <f>HYPERLINK("https://cloud.oebiotech.com/#/lm/network/78760", "https://cloud.oebiotech.com/#/lm/network/78760")</f>
        <v>https://cloud.oebiotech.com/#/lm/network/78760</v>
      </c>
      <c r="H558" s="2" t="s">
        <v>4097</v>
      </c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 t="s">
        <v>4098</v>
      </c>
      <c r="T558" s="2" t="s">
        <v>4099</v>
      </c>
      <c r="U558" s="2" t="s">
        <v>56</v>
      </c>
      <c r="V558" s="2" t="s">
        <v>145</v>
      </c>
      <c r="W558" s="2" t="s">
        <v>187</v>
      </c>
      <c r="X558" s="2" t="s">
        <v>59</v>
      </c>
      <c r="Y558" s="2">
        <v>51.4</v>
      </c>
      <c r="Z558" s="2">
        <v>62.3</v>
      </c>
      <c r="AA558" s="2" t="s">
        <v>259</v>
      </c>
      <c r="AB558" s="2" t="s">
        <v>4100</v>
      </c>
      <c r="AC558" s="2">
        <v>1.6126400219758099</v>
      </c>
      <c r="AD558" s="2"/>
      <c r="AE558" s="2">
        <v>0.97771739537510804</v>
      </c>
      <c r="AF558" s="2">
        <v>105951.296326763</v>
      </c>
      <c r="AG558" s="2">
        <v>78712.166650044004</v>
      </c>
      <c r="AH558" s="5">
        <v>1.3460599655174601</v>
      </c>
      <c r="AI558" s="5">
        <v>0.42874268188554598</v>
      </c>
      <c r="AJ558" s="5" t="s">
        <v>139</v>
      </c>
      <c r="AK558" s="2">
        <v>0.36800659337317299</v>
      </c>
      <c r="AL558" s="2">
        <v>0.65217362926491296</v>
      </c>
      <c r="AM558" s="2">
        <v>206802.636398773</v>
      </c>
      <c r="AN558" s="2">
        <v>106232.535555108</v>
      </c>
      <c r="AO558" s="2">
        <v>75897.966820651898</v>
      </c>
      <c r="AP558" s="2">
        <v>106552.867255965</v>
      </c>
      <c r="AQ558" s="2">
        <v>72116.199261891801</v>
      </c>
      <c r="AR558" s="2">
        <v>68105.572668186607</v>
      </c>
      <c r="AS558" s="2">
        <v>60762.344941178198</v>
      </c>
      <c r="AT558" s="2">
        <v>67437.1367258346</v>
      </c>
      <c r="AU558" s="2">
        <v>158049.90944402601</v>
      </c>
      <c r="AV558" s="2">
        <v>33204.0638151651</v>
      </c>
      <c r="AW558" s="2">
        <v>40595.7621824659</v>
      </c>
      <c r="AX558" s="2">
        <v>112223.782791594</v>
      </c>
    </row>
    <row r="559" spans="1:50" x14ac:dyDescent="0.25">
      <c r="A559" s="2" t="s">
        <v>4101</v>
      </c>
      <c r="B559" s="2">
        <v>367.21279795878002</v>
      </c>
      <c r="C559" s="2">
        <v>7.5258333333333303</v>
      </c>
      <c r="D559" s="2" t="s">
        <v>51</v>
      </c>
      <c r="E559" s="2" t="s">
        <v>4102</v>
      </c>
      <c r="F559" s="2">
        <v>3818</v>
      </c>
      <c r="G559" s="3" t="str">
        <f>HYPERLINK("https://cloud.oebiotech.com/#/lm/network/3818", "https://cloud.oebiotech.com/#/lm/network/3818")</f>
        <v>https://cloud.oebiotech.com/#/lm/network/3818</v>
      </c>
      <c r="H559" s="2"/>
      <c r="I559" s="2">
        <v>74982</v>
      </c>
      <c r="J559" s="2" t="s">
        <v>4103</v>
      </c>
      <c r="K559" s="2">
        <v>6444110</v>
      </c>
      <c r="L559" s="2"/>
      <c r="M559" s="2"/>
      <c r="N559" s="2"/>
      <c r="O559" s="2"/>
      <c r="P559" s="2"/>
      <c r="Q559" s="2"/>
      <c r="R559" s="2"/>
      <c r="S559" s="2" t="s">
        <v>4104</v>
      </c>
      <c r="T559" s="2" t="s">
        <v>4105</v>
      </c>
      <c r="U559" s="2" t="s">
        <v>56</v>
      </c>
      <c r="V559" s="2" t="s">
        <v>145</v>
      </c>
      <c r="W559" s="2" t="s">
        <v>187</v>
      </c>
      <c r="X559" s="2" t="s">
        <v>83</v>
      </c>
      <c r="Y559" s="2">
        <v>58.7</v>
      </c>
      <c r="Z559" s="2">
        <v>0</v>
      </c>
      <c r="AA559" s="2" t="s">
        <v>163</v>
      </c>
      <c r="AB559" s="2" t="s">
        <v>533</v>
      </c>
      <c r="AC559" s="2">
        <v>0.50417477540099398</v>
      </c>
      <c r="AD559" s="2"/>
      <c r="AE559" s="2">
        <v>0.97738411626410304</v>
      </c>
      <c r="AF559" s="2">
        <v>55864.912365787801</v>
      </c>
      <c r="AG559" s="2">
        <v>30349.191670877699</v>
      </c>
      <c r="AH559" s="5">
        <v>1.8407380655015699</v>
      </c>
      <c r="AI559" s="5">
        <v>0.88028434777018005</v>
      </c>
      <c r="AJ559" s="5" t="s">
        <v>139</v>
      </c>
      <c r="AK559" s="2">
        <v>6.2646067244104698E-3</v>
      </c>
      <c r="AL559" s="2">
        <v>0.13330813664095001</v>
      </c>
      <c r="AM559" s="2">
        <v>34471.845829710401</v>
      </c>
      <c r="AN559" s="2">
        <v>67769.3720309817</v>
      </c>
      <c r="AO559" s="2">
        <v>69202.065765370106</v>
      </c>
      <c r="AP559" s="2">
        <v>65670.888592649906</v>
      </c>
      <c r="AQ559" s="2">
        <v>47738.566014821103</v>
      </c>
      <c r="AR559" s="2">
        <v>50336.735961193401</v>
      </c>
      <c r="AS559" s="2">
        <v>42343.550965417402</v>
      </c>
      <c r="AT559" s="2">
        <v>29791.446575535902</v>
      </c>
      <c r="AU559" s="2">
        <v>33108.013207216703</v>
      </c>
      <c r="AV559" s="2">
        <v>9318.6941032109899</v>
      </c>
      <c r="AW559" s="2">
        <v>28427.291179171199</v>
      </c>
      <c r="AX559" s="2">
        <v>39106.153994713903</v>
      </c>
    </row>
    <row r="560" spans="1:50" x14ac:dyDescent="0.25">
      <c r="A560" s="2" t="s">
        <v>4106</v>
      </c>
      <c r="B560" s="2">
        <v>215.049105387189</v>
      </c>
      <c r="C560" s="2">
        <v>4.1950000000000003</v>
      </c>
      <c r="D560" s="2" t="s">
        <v>51</v>
      </c>
      <c r="E560" s="2" t="s">
        <v>4107</v>
      </c>
      <c r="F560" s="2">
        <v>52885</v>
      </c>
      <c r="G560" s="3" t="str">
        <f>HYPERLINK("https://cloud.oebiotech.com/#/lm/network/52885", "https://cloud.oebiotech.com/#/lm/network/52885")</f>
        <v>https://cloud.oebiotech.com/#/lm/network/52885</v>
      </c>
      <c r="H560" s="2" t="s">
        <v>4108</v>
      </c>
      <c r="I560" s="2">
        <v>2177</v>
      </c>
      <c r="J560" s="2"/>
      <c r="K560" s="2">
        <v>657298</v>
      </c>
      <c r="L560" s="2" t="s">
        <v>4109</v>
      </c>
      <c r="M560" s="2"/>
      <c r="N560" s="2"/>
      <c r="O560" s="2">
        <v>8502</v>
      </c>
      <c r="P560" s="2" t="s">
        <v>4110</v>
      </c>
      <c r="Q560" s="2" t="s">
        <v>4111</v>
      </c>
      <c r="R560" s="2" t="s">
        <v>4112</v>
      </c>
      <c r="S560" s="2" t="s">
        <v>4113</v>
      </c>
      <c r="T560" s="2" t="s">
        <v>4114</v>
      </c>
      <c r="U560" s="2" t="s">
        <v>266</v>
      </c>
      <c r="V560" s="2" t="s">
        <v>3926</v>
      </c>
      <c r="W560" s="2" t="s">
        <v>4115</v>
      </c>
      <c r="X560" s="2" t="s">
        <v>147</v>
      </c>
      <c r="Y560" s="2">
        <v>41.5</v>
      </c>
      <c r="Z560" s="2">
        <v>13.9</v>
      </c>
      <c r="AA560" s="2" t="s">
        <v>218</v>
      </c>
      <c r="AB560" s="2" t="s">
        <v>4116</v>
      </c>
      <c r="AC560" s="2">
        <v>-2.8311011652366802</v>
      </c>
      <c r="AD560" s="2"/>
      <c r="AE560" s="2">
        <v>0.97681559339933299</v>
      </c>
      <c r="AF560" s="2">
        <v>679.20745905039598</v>
      </c>
      <c r="AG560" s="2">
        <v>44797.065326511001</v>
      </c>
      <c r="AH560" s="4">
        <v>1.5161873977678601E-2</v>
      </c>
      <c r="AI560" s="4">
        <v>-6.0434081109874702</v>
      </c>
      <c r="AJ560" s="4" t="s">
        <v>62</v>
      </c>
      <c r="AK560" s="2">
        <v>0.34553038109221101</v>
      </c>
      <c r="AL560" s="2">
        <v>0.63919755662431299</v>
      </c>
      <c r="AM560" s="2">
        <v>155.808760298377</v>
      </c>
      <c r="AN560" s="2">
        <v>245.66397704291299</v>
      </c>
      <c r="AO560" s="2">
        <v>577.59898261207695</v>
      </c>
      <c r="AP560" s="2">
        <v>499.14086059946402</v>
      </c>
      <c r="AQ560" s="2">
        <v>602.56398139506496</v>
      </c>
      <c r="AR560" s="2">
        <v>1994.4681923544799</v>
      </c>
      <c r="AS560" s="2">
        <v>222.502153948066</v>
      </c>
      <c r="AT560" s="2">
        <v>268.33882417656298</v>
      </c>
      <c r="AU560" s="2">
        <v>162.95624063740999</v>
      </c>
      <c r="AV560" s="2">
        <v>122.111879963802</v>
      </c>
      <c r="AW560" s="2">
        <v>267613.62321588001</v>
      </c>
      <c r="AX560" s="2">
        <v>392.85964446024599</v>
      </c>
    </row>
    <row r="561" spans="1:50" x14ac:dyDescent="0.25">
      <c r="A561" s="2" t="s">
        <v>4117</v>
      </c>
      <c r="B561" s="2">
        <v>851.60026309386501</v>
      </c>
      <c r="C561" s="2">
        <v>13.5068</v>
      </c>
      <c r="D561" s="2" t="s">
        <v>51</v>
      </c>
      <c r="E561" s="2" t="s">
        <v>4118</v>
      </c>
      <c r="F561" s="2">
        <v>241159</v>
      </c>
      <c r="G561" s="3" t="str">
        <f>HYPERLINK("https://cloud.oebiotech.com/#/lm/network/241159", "https://cloud.oebiotech.com/#/lm/network/241159")</f>
        <v>https://cloud.oebiotech.com/#/lm/network/241159</v>
      </c>
      <c r="H561" s="2" t="s">
        <v>4119</v>
      </c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 t="s">
        <v>4120</v>
      </c>
      <c r="T561" s="2" t="s">
        <v>4121</v>
      </c>
      <c r="U561" s="2" t="s">
        <v>56</v>
      </c>
      <c r="V561" s="2" t="s">
        <v>57</v>
      </c>
      <c r="W561" s="2" t="s">
        <v>58</v>
      </c>
      <c r="X561" s="2" t="s">
        <v>147</v>
      </c>
      <c r="Y561" s="2">
        <v>37.5</v>
      </c>
      <c r="Z561" s="2">
        <v>0</v>
      </c>
      <c r="AA561" s="2" t="s">
        <v>4122</v>
      </c>
      <c r="AB561" s="2" t="s">
        <v>4123</v>
      </c>
      <c r="AC561" s="2">
        <v>-4.4116454432975303</v>
      </c>
      <c r="AD561" s="2"/>
      <c r="AE561" s="2">
        <v>0.97504418847054497</v>
      </c>
      <c r="AF561" s="2">
        <v>238255.84287931901</v>
      </c>
      <c r="AG561" s="2">
        <v>282959.15391297598</v>
      </c>
      <c r="AH561" s="4">
        <v>0.84201496783028495</v>
      </c>
      <c r="AI561" s="4">
        <v>-0.248082215725627</v>
      </c>
      <c r="AJ561" s="4" t="s">
        <v>62</v>
      </c>
      <c r="AK561" s="2">
        <v>0.26062697608732299</v>
      </c>
      <c r="AL561" s="2">
        <v>0.58280314765741503</v>
      </c>
      <c r="AM561" s="2">
        <v>185342.63510621901</v>
      </c>
      <c r="AN561" s="2">
        <v>248668.66491697801</v>
      </c>
      <c r="AO561" s="2">
        <v>251575.72329959401</v>
      </c>
      <c r="AP561" s="2">
        <v>183067.16419826099</v>
      </c>
      <c r="AQ561" s="2">
        <v>321204.77774622798</v>
      </c>
      <c r="AR561" s="2">
        <v>239676.09200863499</v>
      </c>
      <c r="AS561" s="2">
        <v>245701.72898153</v>
      </c>
      <c r="AT561" s="2">
        <v>218937.998097659</v>
      </c>
      <c r="AU561" s="2">
        <v>367374.51058864902</v>
      </c>
      <c r="AV561" s="2">
        <v>388566.87472234498</v>
      </c>
      <c r="AW561" s="2">
        <v>211687.269027637</v>
      </c>
      <c r="AX561" s="2">
        <v>265486.54206003598</v>
      </c>
    </row>
    <row r="562" spans="1:50" x14ac:dyDescent="0.25">
      <c r="A562" s="2" t="s">
        <v>4124</v>
      </c>
      <c r="B562" s="2">
        <v>300.99172815661598</v>
      </c>
      <c r="C562" s="2">
        <v>8.62388333333333</v>
      </c>
      <c r="D562" s="2" t="s">
        <v>51</v>
      </c>
      <c r="E562" s="2" t="s">
        <v>4125</v>
      </c>
      <c r="F562" s="2">
        <v>53596</v>
      </c>
      <c r="G562" s="3" t="str">
        <f>HYPERLINK("https://cloud.oebiotech.com/#/lm/network/53596", "https://cloud.oebiotech.com/#/lm/network/53596")</f>
        <v>https://cloud.oebiotech.com/#/lm/network/53596</v>
      </c>
      <c r="H562" s="2" t="s">
        <v>4126</v>
      </c>
      <c r="I562" s="2">
        <v>85532</v>
      </c>
      <c r="J562" s="2"/>
      <c r="K562" s="2">
        <v>5284553</v>
      </c>
      <c r="L562" s="2"/>
      <c r="M562" s="2"/>
      <c r="N562" s="2"/>
      <c r="O562" s="2">
        <v>60072</v>
      </c>
      <c r="P562" s="2"/>
      <c r="Q562" s="2"/>
      <c r="R562" s="2" t="s">
        <v>4127</v>
      </c>
      <c r="S562" s="2" t="s">
        <v>4128</v>
      </c>
      <c r="T562" s="2" t="s">
        <v>4129</v>
      </c>
      <c r="U562" s="2" t="s">
        <v>331</v>
      </c>
      <c r="V562" s="2" t="s">
        <v>1284</v>
      </c>
      <c r="W562" s="2" t="s">
        <v>1285</v>
      </c>
      <c r="X562" s="2" t="s">
        <v>147</v>
      </c>
      <c r="Y562" s="2">
        <v>38.6</v>
      </c>
      <c r="Z562" s="2">
        <v>2.4500000000000002</v>
      </c>
      <c r="AA562" s="2" t="s">
        <v>241</v>
      </c>
      <c r="AB562" s="2" t="s">
        <v>4130</v>
      </c>
      <c r="AC562" s="2">
        <v>2.5925393586546299</v>
      </c>
      <c r="AD562" s="2"/>
      <c r="AE562" s="2">
        <v>0.97056090861473598</v>
      </c>
      <c r="AF562" s="2">
        <v>109084.697544421</v>
      </c>
      <c r="AG562" s="2">
        <v>127690.589174319</v>
      </c>
      <c r="AH562" s="4">
        <v>0.85428924911217696</v>
      </c>
      <c r="AI562" s="4">
        <v>-0.22720346812546099</v>
      </c>
      <c r="AJ562" s="4" t="s">
        <v>62</v>
      </c>
      <c r="AK562" s="2">
        <v>2.5478159784051301E-3</v>
      </c>
      <c r="AL562" s="2">
        <v>0.10427243461803801</v>
      </c>
      <c r="AM562" s="2">
        <v>97565.2940465664</v>
      </c>
      <c r="AN562" s="2">
        <v>103357.626942692</v>
      </c>
      <c r="AO562" s="2">
        <v>115357.410069683</v>
      </c>
      <c r="AP562" s="2">
        <v>113304.82404927901</v>
      </c>
      <c r="AQ562" s="2">
        <v>120470.913234223</v>
      </c>
      <c r="AR562" s="2">
        <v>104452.116924082</v>
      </c>
      <c r="AS562" s="2">
        <v>127472.534206069</v>
      </c>
      <c r="AT562" s="2">
        <v>136156.52626046399</v>
      </c>
      <c r="AU562" s="2">
        <v>113754.622466184</v>
      </c>
      <c r="AV562" s="2">
        <v>130195.933667081</v>
      </c>
      <c r="AW562" s="2">
        <v>128833.60948117</v>
      </c>
      <c r="AX562" s="2">
        <v>129730.308964949</v>
      </c>
    </row>
    <row r="563" spans="1:50" x14ac:dyDescent="0.25">
      <c r="A563" s="2" t="s">
        <v>4131</v>
      </c>
      <c r="B563" s="2">
        <v>219.17506854113699</v>
      </c>
      <c r="C563" s="2">
        <v>7.3238666666666701</v>
      </c>
      <c r="D563" s="2" t="s">
        <v>51</v>
      </c>
      <c r="E563" s="2" t="s">
        <v>4132</v>
      </c>
      <c r="F563" s="2">
        <v>35615</v>
      </c>
      <c r="G563" s="3" t="str">
        <f>HYPERLINK("https://cloud.oebiotech.com/#/lm/network/35615", "https://cloud.oebiotech.com/#/lm/network/35615")</f>
        <v>https://cloud.oebiotech.com/#/lm/network/35615</v>
      </c>
      <c r="H563" s="2" t="s">
        <v>4133</v>
      </c>
      <c r="I563" s="2">
        <v>53420</v>
      </c>
      <c r="J563" s="2" t="s">
        <v>4134</v>
      </c>
      <c r="K563" s="2">
        <v>161937</v>
      </c>
      <c r="L563" s="2" t="s">
        <v>4135</v>
      </c>
      <c r="M563" s="2"/>
      <c r="N563" s="2"/>
      <c r="O563" s="2">
        <v>28283</v>
      </c>
      <c r="P563" s="2"/>
      <c r="Q563" s="2"/>
      <c r="R563" s="2" t="s">
        <v>4136</v>
      </c>
      <c r="S563" s="2" t="s">
        <v>4137</v>
      </c>
      <c r="T563" s="2" t="s">
        <v>4138</v>
      </c>
      <c r="U563" s="2" t="s">
        <v>56</v>
      </c>
      <c r="V563" s="2" t="s">
        <v>177</v>
      </c>
      <c r="W563" s="2" t="s">
        <v>1996</v>
      </c>
      <c r="X563" s="2" t="s">
        <v>59</v>
      </c>
      <c r="Y563" s="2">
        <v>51.2</v>
      </c>
      <c r="Z563" s="2">
        <v>63.6</v>
      </c>
      <c r="AA563" s="2" t="s">
        <v>179</v>
      </c>
      <c r="AB563" s="2" t="s">
        <v>4139</v>
      </c>
      <c r="AC563" s="2">
        <v>3.0772700066520402</v>
      </c>
      <c r="AD563" s="2"/>
      <c r="AE563" s="2">
        <v>0.97019995485100896</v>
      </c>
      <c r="AF563" s="2">
        <v>67064.021031637705</v>
      </c>
      <c r="AG563" s="2">
        <v>44573.052743629698</v>
      </c>
      <c r="AH563" s="5">
        <v>1.50458667072612</v>
      </c>
      <c r="AI563" s="5">
        <v>0.58936721456443197</v>
      </c>
      <c r="AJ563" s="5" t="s">
        <v>139</v>
      </c>
      <c r="AK563" s="2">
        <v>1.9224961054006999E-2</v>
      </c>
      <c r="AL563" s="2">
        <v>0.21823822902034401</v>
      </c>
      <c r="AM563" s="2">
        <v>62986.540789252504</v>
      </c>
      <c r="AN563" s="2">
        <v>94356.093786080499</v>
      </c>
      <c r="AO563" s="2">
        <v>65900.691902738094</v>
      </c>
      <c r="AP563" s="2">
        <v>53166.257506837799</v>
      </c>
      <c r="AQ563" s="2">
        <v>56641.456577570701</v>
      </c>
      <c r="AR563" s="2">
        <v>69333.085627346605</v>
      </c>
      <c r="AS563" s="2">
        <v>63397.747942271999</v>
      </c>
      <c r="AT563" s="2">
        <v>40919.7375879959</v>
      </c>
      <c r="AU563" s="2">
        <v>51653.227038072</v>
      </c>
      <c r="AV563" s="2">
        <v>29237.7726235876</v>
      </c>
      <c r="AW563" s="2">
        <v>30933.869115078302</v>
      </c>
      <c r="AX563" s="2">
        <v>51295.962154772402</v>
      </c>
    </row>
    <row r="564" spans="1:50" x14ac:dyDescent="0.25">
      <c r="A564" s="2" t="s">
        <v>4140</v>
      </c>
      <c r="B564" s="2">
        <v>463.00213858815101</v>
      </c>
      <c r="C564" s="2">
        <v>14.801299999999999</v>
      </c>
      <c r="D564" s="2" t="s">
        <v>51</v>
      </c>
      <c r="E564" s="2" t="s">
        <v>4141</v>
      </c>
      <c r="F564" s="2">
        <v>64709</v>
      </c>
      <c r="G564" s="3" t="str">
        <f>HYPERLINK("https://cloud.oebiotech.com/#/lm/network/64709", "https://cloud.oebiotech.com/#/lm/network/64709")</f>
        <v>https://cloud.oebiotech.com/#/lm/network/64709</v>
      </c>
      <c r="H564" s="2" t="s">
        <v>4142</v>
      </c>
      <c r="I564" s="2">
        <v>96009</v>
      </c>
      <c r="J564" s="2"/>
      <c r="K564" s="2">
        <v>10657183</v>
      </c>
      <c r="L564" s="2"/>
      <c r="M564" s="2"/>
      <c r="N564" s="2"/>
      <c r="O564" s="2">
        <v>143237</v>
      </c>
      <c r="P564" s="2"/>
      <c r="Q564" s="2"/>
      <c r="R564" s="2"/>
      <c r="S564" s="2" t="s">
        <v>4143</v>
      </c>
      <c r="T564" s="2" t="s">
        <v>4144</v>
      </c>
      <c r="U564" s="2" t="s">
        <v>331</v>
      </c>
      <c r="V564" s="2" t="s">
        <v>332</v>
      </c>
      <c r="W564" s="2" t="s">
        <v>1207</v>
      </c>
      <c r="X564" s="2" t="s">
        <v>147</v>
      </c>
      <c r="Y564" s="2">
        <v>38.799999999999997</v>
      </c>
      <c r="Z564" s="2">
        <v>6.58</v>
      </c>
      <c r="AA564" s="2" t="s">
        <v>478</v>
      </c>
      <c r="AB564" s="2" t="s">
        <v>4145</v>
      </c>
      <c r="AC564" s="2">
        <v>2.3643375956384101</v>
      </c>
      <c r="AD564" s="2"/>
      <c r="AE564" s="2">
        <v>0.96967113696961704</v>
      </c>
      <c r="AF564" s="2">
        <v>130374.14639189601</v>
      </c>
      <c r="AG564" s="2">
        <v>152478.690329398</v>
      </c>
      <c r="AH564" s="4">
        <v>0.85503191370708698</v>
      </c>
      <c r="AI564" s="4">
        <v>-0.22594982589736901</v>
      </c>
      <c r="AJ564" s="4" t="s">
        <v>62</v>
      </c>
      <c r="AK564" s="2">
        <v>1.68085530077004E-2</v>
      </c>
      <c r="AL564" s="2">
        <v>0.205334113594069</v>
      </c>
      <c r="AM564" s="2">
        <v>110980.25805455699</v>
      </c>
      <c r="AN564" s="2">
        <v>133215.96390376901</v>
      </c>
      <c r="AO564" s="2">
        <v>139722.10945797301</v>
      </c>
      <c r="AP564" s="2">
        <v>134691.96916671499</v>
      </c>
      <c r="AQ564" s="2">
        <v>144040.67636770499</v>
      </c>
      <c r="AR564" s="2">
        <v>119593.901400656</v>
      </c>
      <c r="AS564" s="2">
        <v>153019.76830662001</v>
      </c>
      <c r="AT564" s="2">
        <v>171765.473902759</v>
      </c>
      <c r="AU564" s="2">
        <v>128352.69289584301</v>
      </c>
      <c r="AV564" s="2">
        <v>157164.380090035</v>
      </c>
      <c r="AW564" s="2">
        <v>149450.30882707401</v>
      </c>
      <c r="AX564" s="2">
        <v>155119.517954059</v>
      </c>
    </row>
    <row r="565" spans="1:50" x14ac:dyDescent="0.25">
      <c r="A565" s="2" t="s">
        <v>4146</v>
      </c>
      <c r="B565" s="2">
        <v>343.22804422032698</v>
      </c>
      <c r="C565" s="2">
        <v>7.2197666666666702</v>
      </c>
      <c r="D565" s="2" t="s">
        <v>51</v>
      </c>
      <c r="E565" s="2" t="s">
        <v>4147</v>
      </c>
      <c r="F565" s="2">
        <v>35213</v>
      </c>
      <c r="G565" s="3" t="str">
        <f>HYPERLINK("https://cloud.oebiotech.com/#/lm/network/35213", "https://cloud.oebiotech.com/#/lm/network/35213")</f>
        <v>https://cloud.oebiotech.com/#/lm/network/35213</v>
      </c>
      <c r="H565" s="2"/>
      <c r="I565" s="2">
        <v>984726</v>
      </c>
      <c r="J565" s="2" t="s">
        <v>4148</v>
      </c>
      <c r="K565" s="2">
        <v>9875131</v>
      </c>
      <c r="L565" s="2"/>
      <c r="M565" s="2"/>
      <c r="N565" s="2"/>
      <c r="O565" s="2"/>
      <c r="P565" s="2"/>
      <c r="Q565" s="2"/>
      <c r="R565" s="2"/>
      <c r="S565" s="2" t="s">
        <v>4149</v>
      </c>
      <c r="T565" s="2" t="s">
        <v>4150</v>
      </c>
      <c r="U565" s="2" t="s">
        <v>610</v>
      </c>
      <c r="V565" s="2" t="s">
        <v>611</v>
      </c>
      <c r="W565" s="2" t="s">
        <v>1122</v>
      </c>
      <c r="X565" s="2" t="s">
        <v>59</v>
      </c>
      <c r="Y565" s="2">
        <v>46.8</v>
      </c>
      <c r="Z565" s="2">
        <v>70</v>
      </c>
      <c r="AA565" s="2" t="s">
        <v>259</v>
      </c>
      <c r="AB565" s="2" t="s">
        <v>2007</v>
      </c>
      <c r="AC565" s="2">
        <v>3.71974001085449</v>
      </c>
      <c r="AD565" s="2"/>
      <c r="AE565" s="2">
        <v>0.96957840190260403</v>
      </c>
      <c r="AF565" s="2">
        <v>53909.093940785897</v>
      </c>
      <c r="AG565" s="2">
        <v>33793.876122007903</v>
      </c>
      <c r="AH565" s="5">
        <v>1.5952326316802199</v>
      </c>
      <c r="AI565" s="5">
        <v>0.67376682655995401</v>
      </c>
      <c r="AJ565" s="5" t="s">
        <v>139</v>
      </c>
      <c r="AK565" s="2">
        <v>4.6296825789552402E-2</v>
      </c>
      <c r="AL565" s="2">
        <v>0.303077969035141</v>
      </c>
      <c r="AM565" s="2">
        <v>85776.013544871093</v>
      </c>
      <c r="AN565" s="2">
        <v>63874.069540337201</v>
      </c>
      <c r="AO565" s="2">
        <v>42775.604061743899</v>
      </c>
      <c r="AP565" s="2">
        <v>44847.643598091301</v>
      </c>
      <c r="AQ565" s="2">
        <v>36171.431639485003</v>
      </c>
      <c r="AR565" s="2">
        <v>50009.801260187</v>
      </c>
      <c r="AS565" s="2">
        <v>42840.783514413102</v>
      </c>
      <c r="AT565" s="2">
        <v>27560.444931307102</v>
      </c>
      <c r="AU565" s="2">
        <v>50667.5440560145</v>
      </c>
      <c r="AV565" s="2">
        <v>17343.273236524401</v>
      </c>
      <c r="AW565" s="2">
        <v>29300.448798730999</v>
      </c>
      <c r="AX565" s="2">
        <v>35050.762195057301</v>
      </c>
    </row>
    <row r="566" spans="1:50" x14ac:dyDescent="0.25">
      <c r="A566" s="2" t="s">
        <v>4151</v>
      </c>
      <c r="B566" s="2">
        <v>459.20057892839299</v>
      </c>
      <c r="C566" s="2">
        <v>6.1474833333333301</v>
      </c>
      <c r="D566" s="2" t="s">
        <v>51</v>
      </c>
      <c r="E566" s="2" t="s">
        <v>4152</v>
      </c>
      <c r="F566" s="2">
        <v>50883</v>
      </c>
      <c r="G566" s="3" t="str">
        <f>HYPERLINK("https://cloud.oebiotech.com/#/lm/network/50883", "https://cloud.oebiotech.com/#/lm/network/50883")</f>
        <v>https://cloud.oebiotech.com/#/lm/network/50883</v>
      </c>
      <c r="H566" s="2" t="s">
        <v>4153</v>
      </c>
      <c r="I566" s="2">
        <v>57958</v>
      </c>
      <c r="J566" s="2"/>
      <c r="K566" s="2">
        <v>443212</v>
      </c>
      <c r="L566" s="2" t="s">
        <v>4154</v>
      </c>
      <c r="M566" s="2" t="s">
        <v>4155</v>
      </c>
      <c r="N566" s="2" t="s">
        <v>4156</v>
      </c>
      <c r="O566" s="2">
        <v>17813</v>
      </c>
      <c r="P566" s="2" t="s">
        <v>4157</v>
      </c>
      <c r="Q566" s="2" t="s">
        <v>4158</v>
      </c>
      <c r="R566" s="2"/>
      <c r="S566" s="2" t="s">
        <v>4159</v>
      </c>
      <c r="T566" s="2" t="s">
        <v>4160</v>
      </c>
      <c r="U566" s="2" t="s">
        <v>56</v>
      </c>
      <c r="V566" s="2" t="s">
        <v>283</v>
      </c>
      <c r="W566" s="2" t="s">
        <v>3462</v>
      </c>
      <c r="X566" s="2" t="s">
        <v>83</v>
      </c>
      <c r="Y566" s="2">
        <v>51.9</v>
      </c>
      <c r="Z566" s="2">
        <v>1.5900000000000001E-2</v>
      </c>
      <c r="AA566" s="2" t="s">
        <v>379</v>
      </c>
      <c r="AB566" s="2" t="s">
        <v>4161</v>
      </c>
      <c r="AC566" s="2">
        <v>-3.8948955002291901</v>
      </c>
      <c r="AD566" s="2"/>
      <c r="AE566" s="2">
        <v>0.96933870902737496</v>
      </c>
      <c r="AF566" s="2">
        <v>40214.541218783503</v>
      </c>
      <c r="AG566" s="2">
        <v>18378.889746433699</v>
      </c>
      <c r="AH566" s="5">
        <v>2.18808327236344</v>
      </c>
      <c r="AI566" s="5">
        <v>1.12966764413582</v>
      </c>
      <c r="AJ566" s="5" t="s">
        <v>139</v>
      </c>
      <c r="AK566" s="2">
        <v>5.91297407886568E-2</v>
      </c>
      <c r="AL566" s="2">
        <v>0.32837652512840398</v>
      </c>
      <c r="AM566" s="2">
        <v>83103.803642804298</v>
      </c>
      <c r="AN566" s="2">
        <v>39203.194408593597</v>
      </c>
      <c r="AO566" s="2">
        <v>28717.757137171298</v>
      </c>
      <c r="AP566" s="2">
        <v>37555.6564243873</v>
      </c>
      <c r="AQ566" s="2">
        <v>16537.210272766599</v>
      </c>
      <c r="AR566" s="2">
        <v>36169.6254269782</v>
      </c>
      <c r="AS566" s="2">
        <v>33497.756262208903</v>
      </c>
      <c r="AT566" s="2">
        <v>19939.845561305301</v>
      </c>
      <c r="AU566" s="2">
        <v>17999.717827626901</v>
      </c>
      <c r="AV566" s="2">
        <v>3694.3865269210401</v>
      </c>
      <c r="AW566" s="2">
        <v>8876.60736913246</v>
      </c>
      <c r="AX566" s="2">
        <v>26265.024931407799</v>
      </c>
    </row>
    <row r="567" spans="1:50" x14ac:dyDescent="0.25">
      <c r="A567" s="2" t="s">
        <v>4162</v>
      </c>
      <c r="B567" s="2">
        <v>203.18004595966801</v>
      </c>
      <c r="C567" s="2">
        <v>9.6451499999999992</v>
      </c>
      <c r="D567" s="2" t="s">
        <v>51</v>
      </c>
      <c r="E567" s="2" t="s">
        <v>4163</v>
      </c>
      <c r="F567" s="2">
        <v>59270</v>
      </c>
      <c r="G567" s="3" t="str">
        <f>HYPERLINK("https://cloud.oebiotech.com/#/lm/network/59270", "https://cloud.oebiotech.com/#/lm/network/59270")</f>
        <v>https://cloud.oebiotech.com/#/lm/network/59270</v>
      </c>
      <c r="H567" s="2" t="s">
        <v>4164</v>
      </c>
      <c r="I567" s="2"/>
      <c r="J567" s="2"/>
      <c r="K567" s="2">
        <v>12305704</v>
      </c>
      <c r="L567" s="2"/>
      <c r="M567" s="2"/>
      <c r="N567" s="2"/>
      <c r="O567" s="2"/>
      <c r="P567" s="2"/>
      <c r="Q567" s="2"/>
      <c r="R567" s="2" t="s">
        <v>4165</v>
      </c>
      <c r="S567" s="2" t="s">
        <v>4166</v>
      </c>
      <c r="T567" s="2" t="s">
        <v>4167</v>
      </c>
      <c r="U567" s="2" t="s">
        <v>56</v>
      </c>
      <c r="V567" s="2" t="s">
        <v>177</v>
      </c>
      <c r="W567" s="2" t="s">
        <v>1996</v>
      </c>
      <c r="X567" s="2" t="s">
        <v>59</v>
      </c>
      <c r="Y567" s="2">
        <v>49.8</v>
      </c>
      <c r="Z567" s="2">
        <v>55.3</v>
      </c>
      <c r="AA567" s="2" t="s">
        <v>156</v>
      </c>
      <c r="AB567" s="2" t="s">
        <v>4168</v>
      </c>
      <c r="AC567" s="2">
        <v>2.8104859515322902</v>
      </c>
      <c r="AD567" s="2"/>
      <c r="AE567" s="2">
        <v>0.96899996966651303</v>
      </c>
      <c r="AF567" s="2">
        <v>78462.176700374403</v>
      </c>
      <c r="AG567" s="2">
        <v>54688.458534727601</v>
      </c>
      <c r="AH567" s="5">
        <v>1.4347117984784701</v>
      </c>
      <c r="AI567" s="5">
        <v>0.52076096082832501</v>
      </c>
      <c r="AJ567" s="5" t="s">
        <v>139</v>
      </c>
      <c r="AK567" s="2">
        <v>4.08716645166445E-2</v>
      </c>
      <c r="AL567" s="2">
        <v>0.29155452793099101</v>
      </c>
      <c r="AM567" s="2">
        <v>87346.601229319902</v>
      </c>
      <c r="AN567" s="2">
        <v>83397.518409534794</v>
      </c>
      <c r="AO567" s="2">
        <v>71510.124395414503</v>
      </c>
      <c r="AP567" s="2">
        <v>91108.763540001193</v>
      </c>
      <c r="AQ567" s="2">
        <v>57531.244994279899</v>
      </c>
      <c r="AR567" s="2">
        <v>79878.807633696095</v>
      </c>
      <c r="AS567" s="2">
        <v>74034.355517941396</v>
      </c>
      <c r="AT567" s="2">
        <v>57090.536507330202</v>
      </c>
      <c r="AU567" s="2">
        <v>81366.640937983597</v>
      </c>
      <c r="AV567" s="2">
        <v>25189.270221736799</v>
      </c>
      <c r="AW567" s="2">
        <v>35574.803697314397</v>
      </c>
      <c r="AX567" s="2">
        <v>54875.144326059301</v>
      </c>
    </row>
    <row r="568" spans="1:50" x14ac:dyDescent="0.25">
      <c r="A568" s="2" t="s">
        <v>4169</v>
      </c>
      <c r="B568" s="2">
        <v>393.26191660849599</v>
      </c>
      <c r="C568" s="2">
        <v>10.153133333333299</v>
      </c>
      <c r="D568" s="2" t="s">
        <v>51</v>
      </c>
      <c r="E568" s="2" t="s">
        <v>4170</v>
      </c>
      <c r="F568" s="2">
        <v>213651</v>
      </c>
      <c r="G568" s="3" t="str">
        <f>HYPERLINK("https://cloud.oebiotech.com/#/lm/network/213651", "https://cloud.oebiotech.com/#/lm/network/213651")</f>
        <v>https://cloud.oebiotech.com/#/lm/network/213651</v>
      </c>
      <c r="H568" s="2" t="s">
        <v>4171</v>
      </c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 t="s">
        <v>4172</v>
      </c>
      <c r="T568" s="2" t="s">
        <v>4173</v>
      </c>
      <c r="U568" s="2" t="s">
        <v>56</v>
      </c>
      <c r="V568" s="2" t="s">
        <v>3215</v>
      </c>
      <c r="W568" s="2" t="s">
        <v>4174</v>
      </c>
      <c r="X568" s="2" t="s">
        <v>69</v>
      </c>
      <c r="Y568" s="2">
        <v>61.2</v>
      </c>
      <c r="Z568" s="2">
        <v>80.2</v>
      </c>
      <c r="AA568" s="2" t="s">
        <v>786</v>
      </c>
      <c r="AB568" s="2" t="s">
        <v>4175</v>
      </c>
      <c r="AC568" s="2">
        <v>2.08390640774667</v>
      </c>
      <c r="AD568" s="2"/>
      <c r="AE568" s="2">
        <v>0.96802735064884604</v>
      </c>
      <c r="AF568" s="2">
        <v>105216.853051941</v>
      </c>
      <c r="AG568" s="2">
        <v>160360.19802332501</v>
      </c>
      <c r="AH568" s="4">
        <v>0.65612823100053896</v>
      </c>
      <c r="AI568" s="4">
        <v>-0.60795029810842105</v>
      </c>
      <c r="AJ568" s="4" t="s">
        <v>62</v>
      </c>
      <c r="AK568" s="2">
        <v>0.23756722403542699</v>
      </c>
      <c r="AL568" s="2">
        <v>0.56163755472588195</v>
      </c>
      <c r="AM568" s="2">
        <v>136035.483179692</v>
      </c>
      <c r="AN568" s="2">
        <v>183091.65298191999</v>
      </c>
      <c r="AO568" s="2">
        <v>76462.510088027106</v>
      </c>
      <c r="AP568" s="2">
        <v>95787.582387762101</v>
      </c>
      <c r="AQ568" s="2">
        <v>55130.3685570616</v>
      </c>
      <c r="AR568" s="2">
        <v>84793.521117180702</v>
      </c>
      <c r="AS568" s="2">
        <v>86865.159946493906</v>
      </c>
      <c r="AT568" s="2">
        <v>126602.00130684199</v>
      </c>
      <c r="AU568" s="2">
        <v>147908.37925619699</v>
      </c>
      <c r="AV568" s="2">
        <v>96960.2276812481</v>
      </c>
      <c r="AW568" s="2">
        <v>153259.150506078</v>
      </c>
      <c r="AX568" s="2">
        <v>350566.26944309298</v>
      </c>
    </row>
    <row r="569" spans="1:50" x14ac:dyDescent="0.25">
      <c r="A569" s="2" t="s">
        <v>4176</v>
      </c>
      <c r="B569" s="2">
        <v>512.26961532360701</v>
      </c>
      <c r="C569" s="2">
        <v>7.7793999999999999</v>
      </c>
      <c r="D569" s="2" t="s">
        <v>51</v>
      </c>
      <c r="E569" s="2" t="s">
        <v>4177</v>
      </c>
      <c r="F569" s="2">
        <v>47951</v>
      </c>
      <c r="G569" s="3" t="str">
        <f>HYPERLINK("https://cloud.oebiotech.com/#/lm/network/47951", "https://cloud.oebiotech.com/#/lm/network/47951")</f>
        <v>https://cloud.oebiotech.com/#/lm/network/47951</v>
      </c>
      <c r="H569" s="2" t="s">
        <v>4178</v>
      </c>
      <c r="I569" s="2">
        <v>6702</v>
      </c>
      <c r="J569" s="2"/>
      <c r="K569" s="2">
        <v>21125002</v>
      </c>
      <c r="L569" s="2"/>
      <c r="M569" s="2"/>
      <c r="N569" s="2"/>
      <c r="O569" s="2">
        <v>72733</v>
      </c>
      <c r="P569" s="2"/>
      <c r="Q569" s="2"/>
      <c r="R569" s="2" t="s">
        <v>4179</v>
      </c>
      <c r="S569" s="2" t="s">
        <v>4180</v>
      </c>
      <c r="T569" s="2" t="s">
        <v>4181</v>
      </c>
      <c r="U569" s="2" t="s">
        <v>56</v>
      </c>
      <c r="V569" s="2" t="s">
        <v>283</v>
      </c>
      <c r="W569" s="2" t="s">
        <v>2042</v>
      </c>
      <c r="X569" s="2" t="s">
        <v>59</v>
      </c>
      <c r="Y569" s="2">
        <v>48.3</v>
      </c>
      <c r="Z569" s="2">
        <v>53.6</v>
      </c>
      <c r="AA569" s="2" t="s">
        <v>156</v>
      </c>
      <c r="AB569" s="2" t="s">
        <v>2662</v>
      </c>
      <c r="AC569" s="2">
        <v>3.7130950793790101</v>
      </c>
      <c r="AD569" s="2"/>
      <c r="AE569" s="2">
        <v>0.96555003818792196</v>
      </c>
      <c r="AF569" s="2">
        <v>19892.481672046899</v>
      </c>
      <c r="AG569" s="2">
        <v>47133.433892811998</v>
      </c>
      <c r="AH569" s="4">
        <v>0.42204609401651499</v>
      </c>
      <c r="AI569" s="4">
        <v>-1.24452752254848</v>
      </c>
      <c r="AJ569" s="4" t="s">
        <v>62</v>
      </c>
      <c r="AK569" s="2">
        <v>2.5455407340712801E-2</v>
      </c>
      <c r="AL569" s="2">
        <v>0.245411442075921</v>
      </c>
      <c r="AM569" s="2">
        <v>11129.488384460599</v>
      </c>
      <c r="AN569" s="2">
        <v>10768.088899029901</v>
      </c>
      <c r="AO569" s="2">
        <v>19506.31880452</v>
      </c>
      <c r="AP569" s="2">
        <v>17634.691354758201</v>
      </c>
      <c r="AQ569" s="2">
        <v>32251.4080835114</v>
      </c>
      <c r="AR569" s="2">
        <v>28064.894506001499</v>
      </c>
      <c r="AS569" s="2">
        <v>56409.168439542402</v>
      </c>
      <c r="AT569" s="2">
        <v>88453.886249835006</v>
      </c>
      <c r="AU569" s="2">
        <v>27524.140749986102</v>
      </c>
      <c r="AV569" s="2">
        <v>27556.989258633501</v>
      </c>
      <c r="AW569" s="2">
        <v>52011.022504798697</v>
      </c>
      <c r="AX569" s="2">
        <v>30845.396154076101</v>
      </c>
    </row>
    <row r="570" spans="1:50" x14ac:dyDescent="0.25">
      <c r="A570" s="2" t="s">
        <v>4182</v>
      </c>
      <c r="B570" s="2">
        <v>345.15694452579299</v>
      </c>
      <c r="C570" s="2">
        <v>5.4438333333333304</v>
      </c>
      <c r="D570" s="2" t="s">
        <v>51</v>
      </c>
      <c r="E570" s="2" t="s">
        <v>4183</v>
      </c>
      <c r="F570" s="2">
        <v>211915</v>
      </c>
      <c r="G570" s="3" t="str">
        <f>HYPERLINK("https://cloud.oebiotech.com/#/lm/network/211915", "https://cloud.oebiotech.com/#/lm/network/211915")</f>
        <v>https://cloud.oebiotech.com/#/lm/network/211915</v>
      </c>
      <c r="H570" s="2" t="s">
        <v>4184</v>
      </c>
      <c r="I570" s="2"/>
      <c r="J570" s="2"/>
      <c r="K570" s="2">
        <v>68811</v>
      </c>
      <c r="L570" s="2"/>
      <c r="M570" s="2"/>
      <c r="N570" s="2"/>
      <c r="O570" s="2"/>
      <c r="P570" s="2"/>
      <c r="Q570" s="2"/>
      <c r="R570" s="2"/>
      <c r="S570" s="2" t="s">
        <v>4185</v>
      </c>
      <c r="T570" s="2" t="s">
        <v>4186</v>
      </c>
      <c r="U570" s="2" t="s">
        <v>266</v>
      </c>
      <c r="V570" s="2" t="s">
        <v>4187</v>
      </c>
      <c r="W570" s="2" t="s">
        <v>240</v>
      </c>
      <c r="X570" s="2" t="s">
        <v>147</v>
      </c>
      <c r="Y570" s="2">
        <v>45.1</v>
      </c>
      <c r="Z570" s="2">
        <v>32.200000000000003</v>
      </c>
      <c r="AA570" s="2" t="s">
        <v>395</v>
      </c>
      <c r="AB570" s="2" t="s">
        <v>4188</v>
      </c>
      <c r="AC570" s="2">
        <v>-1.8166772860520899</v>
      </c>
      <c r="AD570" s="2"/>
      <c r="AE570" s="2">
        <v>0.96538243644470101</v>
      </c>
      <c r="AF570" s="2">
        <v>2750.8302280228299</v>
      </c>
      <c r="AG570" s="2">
        <v>39531.529390566997</v>
      </c>
      <c r="AH570" s="4">
        <v>6.9585727403686806E-2</v>
      </c>
      <c r="AI570" s="4">
        <v>-3.8450647617965301</v>
      </c>
      <c r="AJ570" s="4" t="s">
        <v>62</v>
      </c>
      <c r="AK570" s="2">
        <v>0.102159579166974</v>
      </c>
      <c r="AL570" s="2">
        <v>0.40647423480565198</v>
      </c>
      <c r="AM570" s="2">
        <v>7700.8905367242796</v>
      </c>
      <c r="AN570" s="2">
        <v>969.141638011841</v>
      </c>
      <c r="AO570" s="2">
        <v>2017.4303485641799</v>
      </c>
      <c r="AP570" s="2">
        <v>8.559877937157E-6</v>
      </c>
      <c r="AQ570" s="2">
        <v>3031.7621130652801</v>
      </c>
      <c r="AR570" s="2">
        <v>2785.7567232115398</v>
      </c>
      <c r="AS570" s="2">
        <v>601.50799780288196</v>
      </c>
      <c r="AT570" s="2">
        <v>3780.1387850124502</v>
      </c>
      <c r="AU570" s="2">
        <v>104886.049313891</v>
      </c>
      <c r="AV570" s="2">
        <v>100886.783279393</v>
      </c>
      <c r="AW570" s="2">
        <v>26094.510882402199</v>
      </c>
      <c r="AX570" s="2">
        <v>940.18608490076701</v>
      </c>
    </row>
    <row r="571" spans="1:50" x14ac:dyDescent="0.25">
      <c r="A571" s="2" t="s">
        <v>4189</v>
      </c>
      <c r="B571" s="2">
        <v>693.47237075158205</v>
      </c>
      <c r="C571" s="2">
        <v>14.33135</v>
      </c>
      <c r="D571" s="2" t="s">
        <v>51</v>
      </c>
      <c r="E571" s="2" t="s">
        <v>4190</v>
      </c>
      <c r="F571" s="2">
        <v>252225</v>
      </c>
      <c r="G571" s="3" t="str">
        <f>HYPERLINK("https://cloud.oebiotech.com/#/lm/network/252225", "https://cloud.oebiotech.com/#/lm/network/252225")</f>
        <v>https://cloud.oebiotech.com/#/lm/network/252225</v>
      </c>
      <c r="H571" s="2" t="s">
        <v>4191</v>
      </c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 t="s">
        <v>4192</v>
      </c>
      <c r="T571" s="2" t="s">
        <v>4193</v>
      </c>
      <c r="U571" s="2" t="s">
        <v>56</v>
      </c>
      <c r="V571" s="2" t="s">
        <v>145</v>
      </c>
      <c r="W571" s="2" t="s">
        <v>187</v>
      </c>
      <c r="X571" s="2" t="s">
        <v>147</v>
      </c>
      <c r="Y571" s="2">
        <v>36.299999999999997</v>
      </c>
      <c r="Z571" s="2">
        <v>0.126</v>
      </c>
      <c r="AA571" s="2" t="s">
        <v>395</v>
      </c>
      <c r="AB571" s="2" t="s">
        <v>4194</v>
      </c>
      <c r="AC571" s="2">
        <v>3.2749381979541901</v>
      </c>
      <c r="AD571" s="2"/>
      <c r="AE571" s="2">
        <v>0.96408110641516898</v>
      </c>
      <c r="AF571" s="2">
        <v>73824.808749062504</v>
      </c>
      <c r="AG571" s="2">
        <v>52118.888303227803</v>
      </c>
      <c r="AH571" s="5">
        <v>1.4164693674882201</v>
      </c>
      <c r="AI571" s="5">
        <v>0.50229940238619397</v>
      </c>
      <c r="AJ571" s="5" t="s">
        <v>139</v>
      </c>
      <c r="AK571" s="2">
        <v>0.23122966122362301</v>
      </c>
      <c r="AL571" s="2">
        <v>0.55533919412968602</v>
      </c>
      <c r="AM571" s="2">
        <v>128161.11230592801</v>
      </c>
      <c r="AN571" s="2">
        <v>95730.598163483199</v>
      </c>
      <c r="AO571" s="2">
        <v>63208.379778093898</v>
      </c>
      <c r="AP571" s="2">
        <v>44158.792295294501</v>
      </c>
      <c r="AQ571" s="2">
        <v>59762.495201703998</v>
      </c>
      <c r="AR571" s="2">
        <v>51927.474749871202</v>
      </c>
      <c r="AS571" s="2">
        <v>51500.743025926196</v>
      </c>
      <c r="AT571" s="2">
        <v>53518.817222141501</v>
      </c>
      <c r="AU571" s="2">
        <v>85833.952386553297</v>
      </c>
      <c r="AV571" s="2">
        <v>26022.647563678001</v>
      </c>
      <c r="AW571" s="2">
        <v>18415.340533756498</v>
      </c>
      <c r="AX571" s="2">
        <v>77421.829087311198</v>
      </c>
    </row>
    <row r="572" spans="1:50" x14ac:dyDescent="0.25">
      <c r="A572" s="2" t="s">
        <v>4195</v>
      </c>
      <c r="B572" s="2">
        <v>370.36852470397298</v>
      </c>
      <c r="C572" s="2">
        <v>10.753966666666701</v>
      </c>
      <c r="D572" s="2" t="s">
        <v>51</v>
      </c>
      <c r="E572" s="2" t="s">
        <v>4196</v>
      </c>
      <c r="F572" s="2">
        <v>197264</v>
      </c>
      <c r="G572" s="3" t="str">
        <f>HYPERLINK("https://cloud.oebiotech.com/#/lm/network/197264", "https://cloud.oebiotech.com/#/lm/network/197264")</f>
        <v>https://cloud.oebiotech.com/#/lm/network/197264</v>
      </c>
      <c r="H572" s="2" t="s">
        <v>4197</v>
      </c>
      <c r="I572" s="2">
        <v>457135</v>
      </c>
      <c r="J572" s="2"/>
      <c r="K572" s="2">
        <v>90111</v>
      </c>
      <c r="L572" s="2"/>
      <c r="M572" s="2"/>
      <c r="N572" s="2"/>
      <c r="O572" s="2"/>
      <c r="P572" s="2"/>
      <c r="Q572" s="2"/>
      <c r="R572" s="2" t="s">
        <v>4198</v>
      </c>
      <c r="S572" s="2" t="s">
        <v>4199</v>
      </c>
      <c r="T572" s="2" t="s">
        <v>4200</v>
      </c>
      <c r="U572" s="2" t="s">
        <v>119</v>
      </c>
      <c r="V572" s="2" t="s">
        <v>120</v>
      </c>
      <c r="W572" s="2" t="s">
        <v>121</v>
      </c>
      <c r="X572" s="2" t="s">
        <v>59</v>
      </c>
      <c r="Y572" s="2">
        <v>52.9</v>
      </c>
      <c r="Z572" s="2">
        <v>73.099999999999994</v>
      </c>
      <c r="AA572" s="2" t="s">
        <v>122</v>
      </c>
      <c r="AB572" s="2" t="s">
        <v>4201</v>
      </c>
      <c r="AC572" s="2">
        <v>5.3516141005271897E-2</v>
      </c>
      <c r="AD572" s="2"/>
      <c r="AE572" s="2">
        <v>0.96221430655984497</v>
      </c>
      <c r="AF572" s="2">
        <v>11802.9539508822</v>
      </c>
      <c r="AG572" s="2">
        <v>42056.476858871902</v>
      </c>
      <c r="AH572" s="4">
        <v>0.28064533295285699</v>
      </c>
      <c r="AI572" s="4">
        <v>-1.83318002697092</v>
      </c>
      <c r="AJ572" s="4" t="s">
        <v>62</v>
      </c>
      <c r="AK572" s="2">
        <v>5.9121833244320299E-2</v>
      </c>
      <c r="AL572" s="2">
        <v>0.32837652512840398</v>
      </c>
      <c r="AM572" s="2">
        <v>31718.987062223699</v>
      </c>
      <c r="AN572" s="2">
        <v>18118.439405522098</v>
      </c>
      <c r="AO572" s="2">
        <v>3840.6834899129999</v>
      </c>
      <c r="AP572" s="2">
        <v>3108.10105354297</v>
      </c>
      <c r="AQ572" s="2">
        <v>6601.9155674716903</v>
      </c>
      <c r="AR572" s="2">
        <v>7429.5971266200004</v>
      </c>
      <c r="AS572" s="2">
        <v>3444.9297697246002</v>
      </c>
      <c r="AT572" s="2">
        <v>3047.8011899283802</v>
      </c>
      <c r="AU572" s="2">
        <v>49143.693302702603</v>
      </c>
      <c r="AV572" s="2">
        <v>44882.8669293485</v>
      </c>
      <c r="AW572" s="2">
        <v>81968.225700967407</v>
      </c>
      <c r="AX572" s="2">
        <v>69851.344260559898</v>
      </c>
    </row>
    <row r="573" spans="1:50" x14ac:dyDescent="0.25">
      <c r="A573" s="2" t="s">
        <v>4202</v>
      </c>
      <c r="B573" s="2">
        <v>383.133969706936</v>
      </c>
      <c r="C573" s="2">
        <v>4.7092833333333299</v>
      </c>
      <c r="D573" s="2" t="s">
        <v>51</v>
      </c>
      <c r="E573" s="2" t="s">
        <v>4203</v>
      </c>
      <c r="F573" s="2">
        <v>206816</v>
      </c>
      <c r="G573" s="3" t="str">
        <f>HYPERLINK("https://cloud.oebiotech.com/#/lm/network/206816", "https://cloud.oebiotech.com/#/lm/network/206816")</f>
        <v>https://cloud.oebiotech.com/#/lm/network/206816</v>
      </c>
      <c r="H573" s="2" t="s">
        <v>4204</v>
      </c>
      <c r="I573" s="2">
        <v>68784</v>
      </c>
      <c r="J573" s="2"/>
      <c r="K573" s="2">
        <v>50897</v>
      </c>
      <c r="L573" s="2" t="s">
        <v>4205</v>
      </c>
      <c r="M573" s="2"/>
      <c r="N573" s="2"/>
      <c r="O573" s="2">
        <v>132963</v>
      </c>
      <c r="P573" s="2"/>
      <c r="Q573" s="2"/>
      <c r="R573" s="2" t="s">
        <v>4206</v>
      </c>
      <c r="S573" s="2" t="s">
        <v>4207</v>
      </c>
      <c r="T573" s="2" t="s">
        <v>4208</v>
      </c>
      <c r="U573" s="2" t="s">
        <v>610</v>
      </c>
      <c r="V573" s="2" t="s">
        <v>611</v>
      </c>
      <c r="W573" s="2" t="s">
        <v>4209</v>
      </c>
      <c r="X573" s="2" t="s">
        <v>147</v>
      </c>
      <c r="Y573" s="2">
        <v>38.6</v>
      </c>
      <c r="Z573" s="2">
        <v>0</v>
      </c>
      <c r="AA573" s="2" t="s">
        <v>122</v>
      </c>
      <c r="AB573" s="2" t="s">
        <v>4210</v>
      </c>
      <c r="AC573" s="2">
        <v>-1.2350168788120199</v>
      </c>
      <c r="AD573" s="2"/>
      <c r="AE573" s="2">
        <v>0.96074532638555299</v>
      </c>
      <c r="AF573" s="2">
        <v>8420.9585155744498</v>
      </c>
      <c r="AG573" s="2">
        <v>51811.885527998798</v>
      </c>
      <c r="AH573" s="4">
        <v>0.162529474265588</v>
      </c>
      <c r="AI573" s="4">
        <v>-2.6212267243099201</v>
      </c>
      <c r="AJ573" s="4" t="s">
        <v>62</v>
      </c>
      <c r="AK573" s="2">
        <v>0.40246761108266799</v>
      </c>
      <c r="AL573" s="2">
        <v>0.67024796707061796</v>
      </c>
      <c r="AM573" s="2">
        <v>8.559877937157E-6</v>
      </c>
      <c r="AN573" s="2">
        <v>152.17929735499601</v>
      </c>
      <c r="AO573" s="2">
        <v>8.559877937157E-6</v>
      </c>
      <c r="AP573" s="2">
        <v>20.975832141130802</v>
      </c>
      <c r="AQ573" s="2">
        <v>3915.0498960670002</v>
      </c>
      <c r="AR573" s="2">
        <v>46437.546050763798</v>
      </c>
      <c r="AS573" s="2">
        <v>13885.553786826</v>
      </c>
      <c r="AT573" s="2">
        <v>8.559877937157E-6</v>
      </c>
      <c r="AU573" s="2">
        <v>201.085670237682</v>
      </c>
      <c r="AV573" s="2">
        <v>34.008424396243498</v>
      </c>
      <c r="AW573" s="2">
        <v>296750.66526941297</v>
      </c>
      <c r="AX573" s="2">
        <v>8.559877937157E-6</v>
      </c>
    </row>
    <row r="574" spans="1:50" x14ac:dyDescent="0.25">
      <c r="A574" s="2" t="s">
        <v>4211</v>
      </c>
      <c r="B574" s="2">
        <v>353.23123686441897</v>
      </c>
      <c r="C574" s="2">
        <v>7.05525</v>
      </c>
      <c r="D574" s="2" t="s">
        <v>51</v>
      </c>
      <c r="E574" s="2" t="s">
        <v>4212</v>
      </c>
      <c r="F574" s="2">
        <v>2971</v>
      </c>
      <c r="G574" s="3" t="str">
        <f>HYPERLINK("https://cloud.oebiotech.com/#/lm/network/2971", "https://cloud.oebiotech.com/#/lm/network/2971")</f>
        <v>https://cloud.oebiotech.com/#/lm/network/2971</v>
      </c>
      <c r="H574" s="2"/>
      <c r="I574" s="2">
        <v>74943</v>
      </c>
      <c r="J574" s="2" t="s">
        <v>4213</v>
      </c>
      <c r="K574" s="2">
        <v>16061050</v>
      </c>
      <c r="L574" s="2"/>
      <c r="M574" s="2"/>
      <c r="N574" s="2"/>
      <c r="O574" s="2">
        <v>138082</v>
      </c>
      <c r="P574" s="2"/>
      <c r="Q574" s="2"/>
      <c r="R574" s="2"/>
      <c r="S574" s="2" t="s">
        <v>4214</v>
      </c>
      <c r="T574" s="2" t="s">
        <v>4215</v>
      </c>
      <c r="U574" s="2" t="s">
        <v>56</v>
      </c>
      <c r="V574" s="2" t="s">
        <v>145</v>
      </c>
      <c r="W574" s="2" t="s">
        <v>231</v>
      </c>
      <c r="X574" s="2" t="s">
        <v>59</v>
      </c>
      <c r="Y574" s="2">
        <v>50.5</v>
      </c>
      <c r="Z574" s="2">
        <v>61.5</v>
      </c>
      <c r="AA574" s="2" t="s">
        <v>778</v>
      </c>
      <c r="AB574" s="2" t="s">
        <v>2949</v>
      </c>
      <c r="AC574" s="2">
        <v>4.2150969246792904</v>
      </c>
      <c r="AD574" s="2"/>
      <c r="AE574" s="2">
        <v>0.95534886167547095</v>
      </c>
      <c r="AF574" s="2">
        <v>126433.318951662</v>
      </c>
      <c r="AG574" s="2">
        <v>93710.588895909706</v>
      </c>
      <c r="AH574" s="5">
        <v>1.3491892478885099</v>
      </c>
      <c r="AI574" s="5">
        <v>0.43209272622606598</v>
      </c>
      <c r="AJ574" s="5" t="s">
        <v>139</v>
      </c>
      <c r="AK574" s="2">
        <v>0.281760517900986</v>
      </c>
      <c r="AL574" s="2">
        <v>0.60000138164408201</v>
      </c>
      <c r="AM574" s="2">
        <v>123562.80315499799</v>
      </c>
      <c r="AN574" s="2">
        <v>216204.829432253</v>
      </c>
      <c r="AO574" s="2">
        <v>125838.40910295201</v>
      </c>
      <c r="AP574" s="2">
        <v>74605.721013526098</v>
      </c>
      <c r="AQ574" s="2">
        <v>105841.871668024</v>
      </c>
      <c r="AR574" s="2">
        <v>112546.279338219</v>
      </c>
      <c r="AS574" s="2">
        <v>83473.4123484601</v>
      </c>
      <c r="AT574" s="2">
        <v>48080.977835111102</v>
      </c>
      <c r="AU574" s="2">
        <v>169349.932500183</v>
      </c>
      <c r="AV574" s="2">
        <v>37591.066739661197</v>
      </c>
      <c r="AW574" s="2">
        <v>141279.790586433</v>
      </c>
      <c r="AX574" s="2">
        <v>82488.353365609597</v>
      </c>
    </row>
    <row r="575" spans="1:50" x14ac:dyDescent="0.25">
      <c r="A575" s="2" t="s">
        <v>4216</v>
      </c>
      <c r="B575" s="2">
        <v>215.05328472267601</v>
      </c>
      <c r="C575" s="2">
        <v>1.55508333333333</v>
      </c>
      <c r="D575" s="2" t="s">
        <v>51</v>
      </c>
      <c r="E575" s="2" t="s">
        <v>4217</v>
      </c>
      <c r="F575" s="2">
        <v>56944</v>
      </c>
      <c r="G575" s="3" t="str">
        <f>HYPERLINK("https://cloud.oebiotech.com/#/lm/network/56944", "https://cloud.oebiotech.com/#/lm/network/56944")</f>
        <v>https://cloud.oebiotech.com/#/lm/network/56944</v>
      </c>
      <c r="H575" s="2" t="s">
        <v>4218</v>
      </c>
      <c r="I575" s="2">
        <v>88601</v>
      </c>
      <c r="J575" s="2"/>
      <c r="K575" s="2">
        <v>14540699</v>
      </c>
      <c r="L575" s="2"/>
      <c r="M575" s="2"/>
      <c r="N575" s="2"/>
      <c r="O575" s="2">
        <v>174196</v>
      </c>
      <c r="P575" s="2"/>
      <c r="Q575" s="2"/>
      <c r="R575" s="2"/>
      <c r="S575" s="2" t="s">
        <v>4219</v>
      </c>
      <c r="T575" s="2" t="s">
        <v>4220</v>
      </c>
      <c r="U575" s="2" t="s">
        <v>331</v>
      </c>
      <c r="V575" s="2" t="s">
        <v>332</v>
      </c>
      <c r="W575" s="2" t="s">
        <v>511</v>
      </c>
      <c r="X575" s="2" t="s">
        <v>147</v>
      </c>
      <c r="Y575" s="2">
        <v>38.200000000000003</v>
      </c>
      <c r="Z575" s="2">
        <v>4.49</v>
      </c>
      <c r="AA575" s="2" t="s">
        <v>379</v>
      </c>
      <c r="AB575" s="2" t="s">
        <v>4221</v>
      </c>
      <c r="AC575" s="2">
        <v>-1.3878045500515499</v>
      </c>
      <c r="AD575" s="2"/>
      <c r="AE575" s="2">
        <v>0.95302357023059403</v>
      </c>
      <c r="AF575" s="2">
        <v>71669.411876641097</v>
      </c>
      <c r="AG575" s="2">
        <v>44139.610646666501</v>
      </c>
      <c r="AH575" s="5">
        <v>1.6236983250792101</v>
      </c>
      <c r="AI575" s="5">
        <v>0.69928361199293798</v>
      </c>
      <c r="AJ575" s="5" t="s">
        <v>139</v>
      </c>
      <c r="AK575" s="2">
        <v>5.1483552056415097E-2</v>
      </c>
      <c r="AL575" s="2">
        <v>0.3144628071594</v>
      </c>
      <c r="AM575" s="2">
        <v>98152.0856176042</v>
      </c>
      <c r="AN575" s="2">
        <v>58020.7059401683</v>
      </c>
      <c r="AO575" s="2">
        <v>79298.053808145603</v>
      </c>
      <c r="AP575" s="2">
        <v>109191.011987462</v>
      </c>
      <c r="AQ575" s="2">
        <v>34394.185299985802</v>
      </c>
      <c r="AR575" s="2">
        <v>50960.428606480702</v>
      </c>
      <c r="AS575" s="2">
        <v>35807.144178144903</v>
      </c>
      <c r="AT575" s="2">
        <v>32688.8557118114</v>
      </c>
      <c r="AU575" s="2">
        <v>51624.124896084199</v>
      </c>
      <c r="AV575" s="2">
        <v>58865.850730512699</v>
      </c>
      <c r="AW575" s="2">
        <v>41668.7911745323</v>
      </c>
      <c r="AX575" s="2">
        <v>44182.897188913601</v>
      </c>
    </row>
    <row r="576" spans="1:50" x14ac:dyDescent="0.25">
      <c r="A576" s="2" t="s">
        <v>4222</v>
      </c>
      <c r="B576" s="2">
        <v>405.264891967925</v>
      </c>
      <c r="C576" s="2">
        <v>7.7000333333333302</v>
      </c>
      <c r="D576" s="2" t="s">
        <v>51</v>
      </c>
      <c r="E576" s="2" t="s">
        <v>4223</v>
      </c>
      <c r="F576" s="2">
        <v>46211</v>
      </c>
      <c r="G576" s="3" t="str">
        <f>HYPERLINK("https://cloud.oebiotech.com/#/lm/network/46211", "https://cloud.oebiotech.com/#/lm/network/46211")</f>
        <v>https://cloud.oebiotech.com/#/lm/network/46211</v>
      </c>
      <c r="H576" s="2"/>
      <c r="I576" s="2">
        <v>84663</v>
      </c>
      <c r="J576" s="2" t="s">
        <v>4224</v>
      </c>
      <c r="K576" s="2">
        <v>5284101</v>
      </c>
      <c r="L576" s="2"/>
      <c r="M576" s="2"/>
      <c r="N576" s="2"/>
      <c r="O576" s="2"/>
      <c r="P576" s="2"/>
      <c r="Q576" s="2"/>
      <c r="R576" s="2"/>
      <c r="S576" s="2" t="s">
        <v>4225</v>
      </c>
      <c r="T576" s="2" t="s">
        <v>4226</v>
      </c>
      <c r="U576" s="2" t="s">
        <v>56</v>
      </c>
      <c r="V576" s="2" t="s">
        <v>283</v>
      </c>
      <c r="W576" s="2" t="s">
        <v>2042</v>
      </c>
      <c r="X576" s="2" t="s">
        <v>83</v>
      </c>
      <c r="Y576" s="2">
        <v>47.8</v>
      </c>
      <c r="Z576" s="2">
        <v>24</v>
      </c>
      <c r="AA576" s="2" t="s">
        <v>241</v>
      </c>
      <c r="AB576" s="2" t="s">
        <v>4227</v>
      </c>
      <c r="AC576" s="2">
        <v>0.60078841487436396</v>
      </c>
      <c r="AD576" s="2"/>
      <c r="AE576" s="2">
        <v>0.95249977723938795</v>
      </c>
      <c r="AF576" s="2">
        <v>64444.435770583303</v>
      </c>
      <c r="AG576" s="2">
        <v>1639.1766715331401</v>
      </c>
      <c r="AH576" s="5">
        <v>39.315125019627999</v>
      </c>
      <c r="AI576" s="5">
        <v>5.2970125369617502</v>
      </c>
      <c r="AJ576" s="5" t="s">
        <v>139</v>
      </c>
      <c r="AK576" s="2">
        <v>0.26031594678731501</v>
      </c>
      <c r="AL576" s="2">
        <v>0.58239046601091005</v>
      </c>
      <c r="AM576" s="2">
        <v>8.559877937157E-6</v>
      </c>
      <c r="AN576" s="2">
        <v>142.99017327485601</v>
      </c>
      <c r="AO576" s="2">
        <v>8.559877937157E-6</v>
      </c>
      <c r="AP576" s="2">
        <v>8.559877937157E-6</v>
      </c>
      <c r="AQ576" s="2">
        <v>322294.71462715301</v>
      </c>
      <c r="AR576" s="2">
        <v>64228.909797392102</v>
      </c>
      <c r="AS576" s="2">
        <v>8.559877937157E-6</v>
      </c>
      <c r="AT576" s="2">
        <v>245.59830349157201</v>
      </c>
      <c r="AU576" s="2">
        <v>4630.0397577153199</v>
      </c>
      <c r="AV576" s="2">
        <v>4959.4219423123404</v>
      </c>
      <c r="AW576" s="2">
        <v>8.559877937157E-6</v>
      </c>
      <c r="AX576" s="2">
        <v>8.559877937157E-6</v>
      </c>
    </row>
    <row r="577" spans="1:50" x14ac:dyDescent="0.25">
      <c r="A577" s="2" t="s">
        <v>4228</v>
      </c>
      <c r="B577" s="2">
        <v>167.14339620528801</v>
      </c>
      <c r="C577" s="2">
        <v>10.4101833333333</v>
      </c>
      <c r="D577" s="2" t="s">
        <v>51</v>
      </c>
      <c r="E577" s="2" t="s">
        <v>4229</v>
      </c>
      <c r="F577" s="2">
        <v>546</v>
      </c>
      <c r="G577" s="3" t="str">
        <f>HYPERLINK("https://cloud.oebiotech.com/#/lm/network/546", "https://cloud.oebiotech.com/#/lm/network/546")</f>
        <v>https://cloud.oebiotech.com/#/lm/network/546</v>
      </c>
      <c r="H577" s="2" t="s">
        <v>4230</v>
      </c>
      <c r="I577" s="2">
        <v>2980</v>
      </c>
      <c r="J577" s="2" t="s">
        <v>4231</v>
      </c>
      <c r="K577" s="2">
        <v>5634</v>
      </c>
      <c r="L577" s="2" t="s">
        <v>4232</v>
      </c>
      <c r="M577" s="2"/>
      <c r="N577" s="2"/>
      <c r="O577" s="2">
        <v>35045</v>
      </c>
      <c r="P577" s="2"/>
      <c r="Q577" s="2"/>
      <c r="R577" s="2" t="s">
        <v>4233</v>
      </c>
      <c r="S577" s="2" t="s">
        <v>4234</v>
      </c>
      <c r="T577" s="2" t="s">
        <v>4235</v>
      </c>
      <c r="U577" s="2" t="s">
        <v>56</v>
      </c>
      <c r="V577" s="2" t="s">
        <v>145</v>
      </c>
      <c r="W577" s="2" t="s">
        <v>231</v>
      </c>
      <c r="X577" s="2" t="s">
        <v>69</v>
      </c>
      <c r="Y577" s="2">
        <v>52.5</v>
      </c>
      <c r="Z577" s="2">
        <v>46.4</v>
      </c>
      <c r="AA577" s="2" t="s">
        <v>156</v>
      </c>
      <c r="AB577" s="2" t="s">
        <v>4236</v>
      </c>
      <c r="AC577" s="2">
        <v>1.9255054808898699</v>
      </c>
      <c r="AD577" s="2"/>
      <c r="AE577" s="2">
        <v>0.950575493505043</v>
      </c>
      <c r="AF577" s="2">
        <v>60414.946357776898</v>
      </c>
      <c r="AG577" s="2">
        <v>37384.522103859701</v>
      </c>
      <c r="AH577" s="5">
        <v>1.61604169206538</v>
      </c>
      <c r="AI577" s="5">
        <v>0.69246441848578999</v>
      </c>
      <c r="AJ577" s="5" t="s">
        <v>139</v>
      </c>
      <c r="AK577" s="2">
        <v>9.6821386686713508E-3</v>
      </c>
      <c r="AL577" s="2">
        <v>0.16151302423615199</v>
      </c>
      <c r="AM577" s="2">
        <v>56415.279659617197</v>
      </c>
      <c r="AN577" s="2">
        <v>83753.642612727199</v>
      </c>
      <c r="AO577" s="2">
        <v>47458.209351719102</v>
      </c>
      <c r="AP577" s="2">
        <v>60102.578077280901</v>
      </c>
      <c r="AQ577" s="2">
        <v>45237.014283014702</v>
      </c>
      <c r="AR577" s="2">
        <v>69522.954162302398</v>
      </c>
      <c r="AS577" s="2">
        <v>43217.701468605497</v>
      </c>
      <c r="AT577" s="2">
        <v>28333.094492444601</v>
      </c>
      <c r="AU577" s="2">
        <v>42988.867018438097</v>
      </c>
      <c r="AV577" s="2">
        <v>20799.843553835199</v>
      </c>
      <c r="AW577" s="2">
        <v>44740.788890034397</v>
      </c>
      <c r="AX577" s="2">
        <v>44226.837199800502</v>
      </c>
    </row>
    <row r="578" spans="1:50" x14ac:dyDescent="0.25">
      <c r="A578" s="2" t="s">
        <v>4237</v>
      </c>
      <c r="B578" s="2">
        <v>231.09821972706601</v>
      </c>
      <c r="C578" s="2">
        <v>0.74455000000000005</v>
      </c>
      <c r="D578" s="2" t="s">
        <v>51</v>
      </c>
      <c r="E578" s="2" t="s">
        <v>4238</v>
      </c>
      <c r="F578" s="2">
        <v>47912</v>
      </c>
      <c r="G578" s="3" t="str">
        <f>HYPERLINK("https://cloud.oebiotech.com/#/lm/network/47912", "https://cloud.oebiotech.com/#/lm/network/47912")</f>
        <v>https://cloud.oebiotech.com/#/lm/network/47912</v>
      </c>
      <c r="H578" s="2" t="s">
        <v>4239</v>
      </c>
      <c r="I578" s="2">
        <v>85675</v>
      </c>
      <c r="J578" s="2"/>
      <c r="K578" s="2">
        <v>170612</v>
      </c>
      <c r="L578" s="2"/>
      <c r="M578" s="2"/>
      <c r="N578" s="2"/>
      <c r="O578" s="2"/>
      <c r="P578" s="2"/>
      <c r="Q578" s="2"/>
      <c r="R578" s="2" t="s">
        <v>4240</v>
      </c>
      <c r="S578" s="2" t="s">
        <v>4241</v>
      </c>
      <c r="T578" s="2" t="s">
        <v>4242</v>
      </c>
      <c r="U578" s="2" t="s">
        <v>103</v>
      </c>
      <c r="V578" s="2" t="s">
        <v>104</v>
      </c>
      <c r="W578" s="2" t="s">
        <v>105</v>
      </c>
      <c r="X578" s="2" t="s">
        <v>83</v>
      </c>
      <c r="Y578" s="2">
        <v>52.6</v>
      </c>
      <c r="Z578" s="2">
        <v>0</v>
      </c>
      <c r="AA578" s="2" t="s">
        <v>60</v>
      </c>
      <c r="AB578" s="2" t="s">
        <v>4243</v>
      </c>
      <c r="AC578" s="2">
        <v>2.9194571414074</v>
      </c>
      <c r="AD578" s="2"/>
      <c r="AE578" s="2">
        <v>0.94957565829275103</v>
      </c>
      <c r="AF578" s="2">
        <v>24226.195858973599</v>
      </c>
      <c r="AG578" s="2">
        <v>60621.154148445101</v>
      </c>
      <c r="AH578" s="4">
        <v>0.39963270576554999</v>
      </c>
      <c r="AI578" s="4">
        <v>-1.32325343739533</v>
      </c>
      <c r="AJ578" s="4" t="s">
        <v>62</v>
      </c>
      <c r="AK578" s="2">
        <v>0.201194433878221</v>
      </c>
      <c r="AL578" s="2">
        <v>0.524812102806965</v>
      </c>
      <c r="AM578" s="2">
        <v>28771.955681889001</v>
      </c>
      <c r="AN578" s="2">
        <v>38851.918457903499</v>
      </c>
      <c r="AO578" s="2">
        <v>9521.3141188643094</v>
      </c>
      <c r="AP578" s="2">
        <v>28341.005719638499</v>
      </c>
      <c r="AQ578" s="2">
        <v>11582.321734844199</v>
      </c>
      <c r="AR578" s="2">
        <v>28288.6594407019</v>
      </c>
      <c r="AS578" s="2">
        <v>5515.1339209073803</v>
      </c>
      <c r="AT578" s="2">
        <v>10968.553050132599</v>
      </c>
      <c r="AU578" s="2">
        <v>55037.9007698438</v>
      </c>
      <c r="AV578" s="2">
        <v>45902.5542194679</v>
      </c>
      <c r="AW578" s="2">
        <v>63936.434316096696</v>
      </c>
      <c r="AX578" s="2">
        <v>182366.34861422199</v>
      </c>
    </row>
    <row r="579" spans="1:50" x14ac:dyDescent="0.25">
      <c r="A579" s="2" t="s">
        <v>4244</v>
      </c>
      <c r="B579" s="2">
        <v>410.08286135157601</v>
      </c>
      <c r="C579" s="2">
        <v>4.9422166666666696</v>
      </c>
      <c r="D579" s="2" t="s">
        <v>51</v>
      </c>
      <c r="E579" s="2" t="s">
        <v>4245</v>
      </c>
      <c r="F579" s="2">
        <v>212075</v>
      </c>
      <c r="G579" s="3" t="str">
        <f>HYPERLINK("https://cloud.oebiotech.com/#/lm/network/212075", "https://cloud.oebiotech.com/#/lm/network/212075")</f>
        <v>https://cloud.oebiotech.com/#/lm/network/212075</v>
      </c>
      <c r="H579" s="2" t="s">
        <v>4246</v>
      </c>
      <c r="I579" s="2"/>
      <c r="J579" s="2"/>
      <c r="K579" s="2">
        <v>54111122</v>
      </c>
      <c r="L579" s="2"/>
      <c r="M579" s="2"/>
      <c r="N579" s="2"/>
      <c r="O579" s="2"/>
      <c r="P579" s="2"/>
      <c r="Q579" s="2"/>
      <c r="R579" s="2"/>
      <c r="S579" s="2" t="s">
        <v>4247</v>
      </c>
      <c r="T579" s="2" t="s">
        <v>4248</v>
      </c>
      <c r="U579" s="2" t="s">
        <v>266</v>
      </c>
      <c r="V579" s="2" t="s">
        <v>1393</v>
      </c>
      <c r="W579" s="2" t="s">
        <v>1643</v>
      </c>
      <c r="X579" s="2" t="s">
        <v>59</v>
      </c>
      <c r="Y579" s="2">
        <v>51.1</v>
      </c>
      <c r="Z579" s="2">
        <v>61.3</v>
      </c>
      <c r="AA579" s="2" t="s">
        <v>163</v>
      </c>
      <c r="AB579" s="2" t="s">
        <v>4249</v>
      </c>
      <c r="AC579" s="2">
        <v>0.251172606511472</v>
      </c>
      <c r="AD579" s="2"/>
      <c r="AE579" s="2">
        <v>0.94935046232046505</v>
      </c>
      <c r="AF579" s="2">
        <v>29.3347236883872</v>
      </c>
      <c r="AG579" s="2">
        <v>39825.361351236003</v>
      </c>
      <c r="AH579" s="4">
        <v>7.3658399304082401E-4</v>
      </c>
      <c r="AI579" s="4">
        <v>-10.4068623336715</v>
      </c>
      <c r="AJ579" s="4" t="s">
        <v>62</v>
      </c>
      <c r="AK579" s="2">
        <v>0.32328138128879802</v>
      </c>
      <c r="AL579" s="2">
        <v>0.62992073899545697</v>
      </c>
      <c r="AM579" s="2">
        <v>8.559877937157E-6</v>
      </c>
      <c r="AN579" s="2">
        <v>1.5893156410585401</v>
      </c>
      <c r="AO579" s="2">
        <v>169.19154380674101</v>
      </c>
      <c r="AP579" s="2">
        <v>0.15693113090362901</v>
      </c>
      <c r="AQ579" s="2">
        <v>4.1149358128890396</v>
      </c>
      <c r="AR579" s="2">
        <v>0.95560717885273905</v>
      </c>
      <c r="AS579" s="2">
        <v>8.559877937157E-6</v>
      </c>
      <c r="AT579" s="2">
        <v>1.98984159818574</v>
      </c>
      <c r="AU579" s="2">
        <v>7714.3012336288702</v>
      </c>
      <c r="AV579" s="2">
        <v>231235.83397294299</v>
      </c>
      <c r="AW579" s="2">
        <v>3.4571805490435101E-3</v>
      </c>
      <c r="AX579" s="2">
        <v>3.9593505747201697E-2</v>
      </c>
    </row>
    <row r="580" spans="1:50" x14ac:dyDescent="0.25">
      <c r="A580" s="2" t="s">
        <v>4250</v>
      </c>
      <c r="B580" s="2">
        <v>888.59646511727601</v>
      </c>
      <c r="C580" s="2">
        <v>11.0481833333333</v>
      </c>
      <c r="D580" s="2" t="s">
        <v>51</v>
      </c>
      <c r="E580" s="2" t="s">
        <v>4251</v>
      </c>
      <c r="F580" s="2">
        <v>242724</v>
      </c>
      <c r="G580" s="3" t="str">
        <f>HYPERLINK("https://cloud.oebiotech.com/#/lm/network/242724", "https://cloud.oebiotech.com/#/lm/network/242724")</f>
        <v>https://cloud.oebiotech.com/#/lm/network/242724</v>
      </c>
      <c r="H580" s="2" t="s">
        <v>4252</v>
      </c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 t="s">
        <v>4253</v>
      </c>
      <c r="T580" s="2" t="s">
        <v>4254</v>
      </c>
      <c r="U580" s="2" t="s">
        <v>56</v>
      </c>
      <c r="V580" s="2" t="s">
        <v>145</v>
      </c>
      <c r="W580" s="2" t="s">
        <v>187</v>
      </c>
      <c r="X580" s="2" t="s">
        <v>59</v>
      </c>
      <c r="Y580" s="2">
        <v>55</v>
      </c>
      <c r="Z580" s="2">
        <v>94.9</v>
      </c>
      <c r="AA580" s="2" t="s">
        <v>218</v>
      </c>
      <c r="AB580" s="2" t="s">
        <v>4255</v>
      </c>
      <c r="AC580" s="2">
        <v>-0.79699145628670198</v>
      </c>
      <c r="AD580" s="2"/>
      <c r="AE580" s="2">
        <v>0.94825110329172502</v>
      </c>
      <c r="AF580" s="2">
        <v>61722.2631557122</v>
      </c>
      <c r="AG580" s="2">
        <v>28055.002370054899</v>
      </c>
      <c r="AH580" s="5">
        <v>2.2000448384061699</v>
      </c>
      <c r="AI580" s="5">
        <v>1.13753292715313</v>
      </c>
      <c r="AJ580" s="5" t="s">
        <v>139</v>
      </c>
      <c r="AK580" s="2">
        <v>0.19682140253300801</v>
      </c>
      <c r="AL580" s="2">
        <v>0.52027100037331597</v>
      </c>
      <c r="AM580" s="2">
        <v>19300.337415899699</v>
      </c>
      <c r="AN580" s="2">
        <v>163976.12965632501</v>
      </c>
      <c r="AO580" s="2">
        <v>85269.198435562706</v>
      </c>
      <c r="AP580" s="2">
        <v>45444.059627451403</v>
      </c>
      <c r="AQ580" s="2">
        <v>42351.092420433801</v>
      </c>
      <c r="AR580" s="2">
        <v>13992.7613786007</v>
      </c>
      <c r="AS580" s="2">
        <v>11084.704080437299</v>
      </c>
      <c r="AT580" s="2">
        <v>55828.1968046455</v>
      </c>
      <c r="AU580" s="2">
        <v>11201.0018997725</v>
      </c>
      <c r="AV580" s="2">
        <v>51602.467088842401</v>
      </c>
      <c r="AW580" s="2">
        <v>17852.343225656001</v>
      </c>
      <c r="AX580" s="2">
        <v>20761.301120975801</v>
      </c>
    </row>
    <row r="581" spans="1:50" x14ac:dyDescent="0.25">
      <c r="A581" s="2" t="s">
        <v>4256</v>
      </c>
      <c r="B581" s="2">
        <v>638.36764854119599</v>
      </c>
      <c r="C581" s="2">
        <v>11.505183333333299</v>
      </c>
      <c r="D581" s="2" t="s">
        <v>51</v>
      </c>
      <c r="E581" s="2" t="s">
        <v>4257</v>
      </c>
      <c r="F581" s="2">
        <v>27824</v>
      </c>
      <c r="G581" s="3" t="str">
        <f>HYPERLINK("https://cloud.oebiotech.com/#/lm/network/27824", "https://cloud.oebiotech.com/#/lm/network/27824")</f>
        <v>https://cloud.oebiotech.com/#/lm/network/27824</v>
      </c>
      <c r="H581" s="2"/>
      <c r="I581" s="2">
        <v>45370</v>
      </c>
      <c r="J581" s="2" t="s">
        <v>4258</v>
      </c>
      <c r="K581" s="2">
        <v>23557187</v>
      </c>
      <c r="L581" s="2"/>
      <c r="M581" s="2"/>
      <c r="N581" s="2"/>
      <c r="O581" s="2">
        <v>77890</v>
      </c>
      <c r="P581" s="2"/>
      <c r="Q581" s="2"/>
      <c r="R581" s="2" t="s">
        <v>4259</v>
      </c>
      <c r="S581" s="2" t="s">
        <v>4260</v>
      </c>
      <c r="T581" s="2" t="s">
        <v>4261</v>
      </c>
      <c r="U581" s="2" t="s">
        <v>56</v>
      </c>
      <c r="V581" s="2" t="s">
        <v>57</v>
      </c>
      <c r="W581" s="2" t="s">
        <v>58</v>
      </c>
      <c r="X581" s="2" t="s">
        <v>59</v>
      </c>
      <c r="Y581" s="2">
        <v>55.8</v>
      </c>
      <c r="Z581" s="2">
        <v>85.6</v>
      </c>
      <c r="AA581" s="2" t="s">
        <v>218</v>
      </c>
      <c r="AB581" s="2" t="s">
        <v>4262</v>
      </c>
      <c r="AC581" s="2">
        <v>0.29773101660722801</v>
      </c>
      <c r="AD581" s="2"/>
      <c r="AE581" s="2">
        <v>0.942241365387673</v>
      </c>
      <c r="AF581" s="2">
        <v>51323.954316989199</v>
      </c>
      <c r="AG581" s="2">
        <v>25153.367023928298</v>
      </c>
      <c r="AH581" s="5">
        <v>2.0404407198513401</v>
      </c>
      <c r="AI581" s="5">
        <v>1.02888079713421</v>
      </c>
      <c r="AJ581" s="5" t="s">
        <v>139</v>
      </c>
      <c r="AK581" s="2">
        <v>2.1962379466554199E-2</v>
      </c>
      <c r="AL581" s="2">
        <v>0.23037216765535801</v>
      </c>
      <c r="AM581" s="2">
        <v>46637.964863004599</v>
      </c>
      <c r="AN581" s="2">
        <v>36091.6718761347</v>
      </c>
      <c r="AO581" s="2">
        <v>48553.573716982202</v>
      </c>
      <c r="AP581" s="2">
        <v>90702.372228240594</v>
      </c>
      <c r="AQ581" s="2">
        <v>44035.214700741803</v>
      </c>
      <c r="AR581" s="2">
        <v>41922.928516831103</v>
      </c>
      <c r="AS581" s="2">
        <v>18626.032752866398</v>
      </c>
      <c r="AT581" s="2">
        <v>43727.716315220903</v>
      </c>
      <c r="AU581" s="2">
        <v>34295.160048487101</v>
      </c>
      <c r="AV581" s="2">
        <v>30102.1919777843</v>
      </c>
      <c r="AW581" s="2">
        <v>10053.8597051577</v>
      </c>
      <c r="AX581" s="2">
        <v>14115.2413440532</v>
      </c>
    </row>
    <row r="582" spans="1:50" x14ac:dyDescent="0.25">
      <c r="A582" s="2" t="s">
        <v>4263</v>
      </c>
      <c r="B582" s="2">
        <v>611.46864257541199</v>
      </c>
      <c r="C582" s="2">
        <v>13.405099999999999</v>
      </c>
      <c r="D582" s="2" t="s">
        <v>51</v>
      </c>
      <c r="E582" s="2" t="s">
        <v>4264</v>
      </c>
      <c r="F582" s="2">
        <v>251984</v>
      </c>
      <c r="G582" s="3" t="str">
        <f>HYPERLINK("https://cloud.oebiotech.com/#/lm/network/251984", "https://cloud.oebiotech.com/#/lm/network/251984")</f>
        <v>https://cloud.oebiotech.com/#/lm/network/251984</v>
      </c>
      <c r="H582" s="2" t="s">
        <v>4265</v>
      </c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 t="s">
        <v>4266</v>
      </c>
      <c r="T582" s="2" t="s">
        <v>4267</v>
      </c>
      <c r="U582" s="2" t="s">
        <v>56</v>
      </c>
      <c r="V582" s="2" t="s">
        <v>145</v>
      </c>
      <c r="W582" s="2" t="s">
        <v>146</v>
      </c>
      <c r="X582" s="2" t="s">
        <v>147</v>
      </c>
      <c r="Y582" s="2">
        <v>44.3</v>
      </c>
      <c r="Z582" s="2">
        <v>33.700000000000003</v>
      </c>
      <c r="AA582" s="2" t="s">
        <v>156</v>
      </c>
      <c r="AB582" s="2" t="s">
        <v>4268</v>
      </c>
      <c r="AC582" s="2">
        <v>2.6111903761601898</v>
      </c>
      <c r="AD582" s="2"/>
      <c r="AE582" s="2">
        <v>0.94134437996099396</v>
      </c>
      <c r="AF582" s="2">
        <v>136611.914740137</v>
      </c>
      <c r="AG582" s="2">
        <v>228028.43678622501</v>
      </c>
      <c r="AH582" s="4">
        <v>0.59910034320942895</v>
      </c>
      <c r="AI582" s="4">
        <v>-0.73913043490059605</v>
      </c>
      <c r="AJ582" s="4" t="s">
        <v>62</v>
      </c>
      <c r="AK582" s="2">
        <v>0.32142328077274801</v>
      </c>
      <c r="AL582" s="2">
        <v>0.62916085764226803</v>
      </c>
      <c r="AM582" s="2">
        <v>202426.79149365399</v>
      </c>
      <c r="AN582" s="2">
        <v>287127.54211306898</v>
      </c>
      <c r="AO582" s="2">
        <v>111071.40759205099</v>
      </c>
      <c r="AP582" s="2">
        <v>117146.772988386</v>
      </c>
      <c r="AQ582" s="2">
        <v>37570.335592725802</v>
      </c>
      <c r="AR582" s="2">
        <v>64328.638660935998</v>
      </c>
      <c r="AS582" s="2">
        <v>58615.760315334803</v>
      </c>
      <c r="AT582" s="2">
        <v>58304.713179318402</v>
      </c>
      <c r="AU582" s="2">
        <v>565175.64609022799</v>
      </c>
      <c r="AV582" s="2">
        <v>126487.939509741</v>
      </c>
      <c r="AW582" s="2">
        <v>264248.64114723</v>
      </c>
      <c r="AX582" s="2">
        <v>295337.92047549802</v>
      </c>
    </row>
    <row r="583" spans="1:50" x14ac:dyDescent="0.25">
      <c r="A583" s="2" t="s">
        <v>4269</v>
      </c>
      <c r="B583" s="2">
        <v>557.45818356832001</v>
      </c>
      <c r="C583" s="2">
        <v>10.6304833333333</v>
      </c>
      <c r="D583" s="2" t="s">
        <v>51</v>
      </c>
      <c r="E583" s="2" t="s">
        <v>4270</v>
      </c>
      <c r="F583" s="2">
        <v>49133</v>
      </c>
      <c r="G583" s="3" t="str">
        <f>HYPERLINK("https://cloud.oebiotech.com/#/lm/network/49133", "https://cloud.oebiotech.com/#/lm/network/49133")</f>
        <v>https://cloud.oebiotech.com/#/lm/network/49133</v>
      </c>
      <c r="H583" s="2" t="s">
        <v>4271</v>
      </c>
      <c r="I583" s="2">
        <v>58868</v>
      </c>
      <c r="J583" s="2"/>
      <c r="K583" s="2">
        <v>53478158</v>
      </c>
      <c r="L583" s="2"/>
      <c r="M583" s="2"/>
      <c r="N583" s="2"/>
      <c r="O583" s="2"/>
      <c r="P583" s="2"/>
      <c r="Q583" s="2"/>
      <c r="R583" s="2"/>
      <c r="S583" s="2" t="s">
        <v>4272</v>
      </c>
      <c r="T583" s="2" t="s">
        <v>4273</v>
      </c>
      <c r="U583" s="2" t="s">
        <v>56</v>
      </c>
      <c r="V583" s="2" t="s">
        <v>145</v>
      </c>
      <c r="W583" s="2" t="s">
        <v>203</v>
      </c>
      <c r="X583" s="2" t="s">
        <v>147</v>
      </c>
      <c r="Y583" s="2">
        <v>38.4</v>
      </c>
      <c r="Z583" s="2">
        <v>0</v>
      </c>
      <c r="AA583" s="2" t="s">
        <v>156</v>
      </c>
      <c r="AB583" s="2" t="s">
        <v>4274</v>
      </c>
      <c r="AC583" s="2">
        <v>3.0406521183350401</v>
      </c>
      <c r="AD583" s="2"/>
      <c r="AE583" s="2">
        <v>0.94133043585333598</v>
      </c>
      <c r="AF583" s="2">
        <v>92937.671587260498</v>
      </c>
      <c r="AG583" s="2">
        <v>61124.274665727098</v>
      </c>
      <c r="AH583" s="5">
        <v>1.52047074743239</v>
      </c>
      <c r="AI583" s="5">
        <v>0.60451806040672595</v>
      </c>
      <c r="AJ583" s="5" t="s">
        <v>139</v>
      </c>
      <c r="AK583" s="2">
        <v>0.26979621852320401</v>
      </c>
      <c r="AL583" s="2">
        <v>0.59023387803609295</v>
      </c>
      <c r="AM583" s="2">
        <v>56891.6768839254</v>
      </c>
      <c r="AN583" s="2">
        <v>152177.00517763599</v>
      </c>
      <c r="AO583" s="2">
        <v>125244.290277466</v>
      </c>
      <c r="AP583" s="2">
        <v>27510.678452234901</v>
      </c>
      <c r="AQ583" s="2">
        <v>87407.7889435658</v>
      </c>
      <c r="AR583" s="2">
        <v>108394.589788735</v>
      </c>
      <c r="AS583" s="2">
        <v>47743.138878917802</v>
      </c>
      <c r="AT583" s="2">
        <v>30827.7146329387</v>
      </c>
      <c r="AU583" s="2">
        <v>158487.76717481099</v>
      </c>
      <c r="AV583" s="2">
        <v>29114.612048848699</v>
      </c>
      <c r="AW583" s="2">
        <v>48338.991659557898</v>
      </c>
      <c r="AX583" s="2">
        <v>52233.423599288297</v>
      </c>
    </row>
    <row r="584" spans="1:50" x14ac:dyDescent="0.25">
      <c r="A584" s="2" t="s">
        <v>4275</v>
      </c>
      <c r="B584" s="2">
        <v>505.20360784431</v>
      </c>
      <c r="C584" s="2">
        <v>7.3937166666666698</v>
      </c>
      <c r="D584" s="2" t="s">
        <v>51</v>
      </c>
      <c r="E584" s="2" t="s">
        <v>4276</v>
      </c>
      <c r="F584" s="2">
        <v>201141</v>
      </c>
      <c r="G584" s="3" t="str">
        <f>HYPERLINK("https://cloud.oebiotech.com/#/lm/network/201141", "https://cloud.oebiotech.com/#/lm/network/201141")</f>
        <v>https://cloud.oebiotech.com/#/lm/network/201141</v>
      </c>
      <c r="H584" s="2" t="s">
        <v>4277</v>
      </c>
      <c r="I584" s="2"/>
      <c r="J584" s="2"/>
      <c r="K584" s="2">
        <v>4897</v>
      </c>
      <c r="L584" s="2"/>
      <c r="M584" s="2"/>
      <c r="N584" s="2"/>
      <c r="O584" s="2"/>
      <c r="P584" s="2"/>
      <c r="Q584" s="2"/>
      <c r="R584" s="2"/>
      <c r="S584" s="2" t="s">
        <v>4278</v>
      </c>
      <c r="T584" s="2" t="s">
        <v>4279</v>
      </c>
      <c r="U584" s="2" t="s">
        <v>56</v>
      </c>
      <c r="V584" s="2" t="s">
        <v>283</v>
      </c>
      <c r="W584" s="2" t="s">
        <v>3686</v>
      </c>
      <c r="X584" s="2" t="s">
        <v>83</v>
      </c>
      <c r="Y584" s="2">
        <v>44.5</v>
      </c>
      <c r="Z584" s="2">
        <v>21.6</v>
      </c>
      <c r="AA584" s="2" t="s">
        <v>218</v>
      </c>
      <c r="AB584" s="2" t="s">
        <v>4280</v>
      </c>
      <c r="AC584" s="2">
        <v>-9.3718325395519404</v>
      </c>
      <c r="AD584" s="2"/>
      <c r="AE584" s="2">
        <v>0.94052814935260198</v>
      </c>
      <c r="AF584" s="2">
        <v>38821.882965944998</v>
      </c>
      <c r="AG584" s="2">
        <v>18068.6143587763</v>
      </c>
      <c r="AH584" s="5">
        <v>2.14858108071184</v>
      </c>
      <c r="AI584" s="5">
        <v>1.10338422092554</v>
      </c>
      <c r="AJ584" s="5" t="s">
        <v>139</v>
      </c>
      <c r="AK584" s="2">
        <v>2.2211641129003001E-3</v>
      </c>
      <c r="AL584" s="2">
        <v>0.101912249503871</v>
      </c>
      <c r="AM584" s="2">
        <v>29117.9742152824</v>
      </c>
      <c r="AN584" s="2">
        <v>49026.3379531233</v>
      </c>
      <c r="AO584" s="2">
        <v>43138.024863407503</v>
      </c>
      <c r="AP584" s="2">
        <v>33132.035801588099</v>
      </c>
      <c r="AQ584" s="2">
        <v>34072.848029997796</v>
      </c>
      <c r="AR584" s="2">
        <v>44444.0769322708</v>
      </c>
      <c r="AS584" s="2">
        <v>33162.003469183299</v>
      </c>
      <c r="AT584" s="2">
        <v>11414.141323240299</v>
      </c>
      <c r="AU584" s="2">
        <v>22992.875424919701</v>
      </c>
      <c r="AV584" s="2">
        <v>9121.2282449460799</v>
      </c>
      <c r="AW584" s="2">
        <v>9253.1761789190696</v>
      </c>
      <c r="AX584" s="2">
        <v>22468.2615114494</v>
      </c>
    </row>
    <row r="585" spans="1:50" x14ac:dyDescent="0.25">
      <c r="A585" s="2" t="s">
        <v>4281</v>
      </c>
      <c r="B585" s="2">
        <v>302.021090851233</v>
      </c>
      <c r="C585" s="2">
        <v>2.11831666666667</v>
      </c>
      <c r="D585" s="2" t="s">
        <v>51</v>
      </c>
      <c r="E585" s="2" t="s">
        <v>4282</v>
      </c>
      <c r="F585" s="2">
        <v>205453</v>
      </c>
      <c r="G585" s="3" t="str">
        <f>HYPERLINK("https://cloud.oebiotech.com/#/lm/network/205453", "https://cloud.oebiotech.com/#/lm/network/205453")</f>
        <v>https://cloud.oebiotech.com/#/lm/network/205453</v>
      </c>
      <c r="H585" s="2" t="s">
        <v>4283</v>
      </c>
      <c r="I585" s="2"/>
      <c r="J585" s="2"/>
      <c r="K585" s="2">
        <v>119545</v>
      </c>
      <c r="L585" s="2"/>
      <c r="M585" s="2"/>
      <c r="N585" s="2"/>
      <c r="O585" s="2"/>
      <c r="P585" s="2"/>
      <c r="Q585" s="2"/>
      <c r="R585" s="2"/>
      <c r="S585" s="2" t="s">
        <v>4284</v>
      </c>
      <c r="T585" s="2" t="s">
        <v>4285</v>
      </c>
      <c r="U585" s="2" t="s">
        <v>103</v>
      </c>
      <c r="V585" s="2" t="s">
        <v>136</v>
      </c>
      <c r="W585" s="2" t="s">
        <v>137</v>
      </c>
      <c r="X585" s="2" t="s">
        <v>147</v>
      </c>
      <c r="Y585" s="2">
        <v>37.1</v>
      </c>
      <c r="Z585" s="2">
        <v>18.5</v>
      </c>
      <c r="AA585" s="2" t="s">
        <v>218</v>
      </c>
      <c r="AB585" s="2" t="s">
        <v>4286</v>
      </c>
      <c r="AC585" s="2">
        <v>-3.17712425866014</v>
      </c>
      <c r="AD585" s="2"/>
      <c r="AE585" s="2">
        <v>0.93996374345634104</v>
      </c>
      <c r="AF585" s="2">
        <v>14.589881568307201</v>
      </c>
      <c r="AG585" s="2">
        <v>36392.722281746603</v>
      </c>
      <c r="AH585" s="4">
        <v>4.0090107729107702E-4</v>
      </c>
      <c r="AI585" s="4">
        <v>-11.284466085282499</v>
      </c>
      <c r="AJ585" s="4" t="s">
        <v>62</v>
      </c>
      <c r="AK585" s="2">
        <v>8.9446135370164395E-2</v>
      </c>
      <c r="AL585" s="2">
        <v>0.38397809522246301</v>
      </c>
      <c r="AM585" s="2">
        <v>8.559877937157E-6</v>
      </c>
      <c r="AN585" s="2">
        <v>8.559877937157E-6</v>
      </c>
      <c r="AO585" s="2">
        <v>8.559877937157E-6</v>
      </c>
      <c r="AP585" s="2">
        <v>8.559877937157E-6</v>
      </c>
      <c r="AQ585" s="2">
        <v>87.539246610453603</v>
      </c>
      <c r="AR585" s="2">
        <v>8.559877937157E-6</v>
      </c>
      <c r="AS585" s="2">
        <v>78955.800718443599</v>
      </c>
      <c r="AT585" s="2">
        <v>109842.297946292</v>
      </c>
      <c r="AU585" s="2">
        <v>8.559877937157E-6</v>
      </c>
      <c r="AV585" s="2">
        <v>29558.235000064498</v>
      </c>
      <c r="AW585" s="2">
        <v>8.559877937157E-6</v>
      </c>
      <c r="AX585" s="2">
        <v>8.559877937157E-6</v>
      </c>
    </row>
    <row r="586" spans="1:50" x14ac:dyDescent="0.25">
      <c r="A586" s="2" t="s">
        <v>4287</v>
      </c>
      <c r="B586" s="2">
        <v>335.22275678446903</v>
      </c>
      <c r="C586" s="2">
        <v>6.68445</v>
      </c>
      <c r="D586" s="2" t="s">
        <v>51</v>
      </c>
      <c r="E586" s="2" t="s">
        <v>4288</v>
      </c>
      <c r="F586" s="2">
        <v>36029</v>
      </c>
      <c r="G586" s="3" t="str">
        <f>HYPERLINK("https://cloud.oebiotech.com/#/lm/network/36029", "https://cloud.oebiotech.com/#/lm/network/36029")</f>
        <v>https://cloud.oebiotech.com/#/lm/network/36029</v>
      </c>
      <c r="H586" s="2"/>
      <c r="I586" s="2">
        <v>53657</v>
      </c>
      <c r="J586" s="2" t="s">
        <v>4289</v>
      </c>
      <c r="K586" s="2">
        <v>42608227</v>
      </c>
      <c r="L586" s="2"/>
      <c r="M586" s="2"/>
      <c r="N586" s="2"/>
      <c r="O586" s="2"/>
      <c r="P586" s="2"/>
      <c r="Q586" s="2"/>
      <c r="R586" s="2"/>
      <c r="S586" s="2" t="s">
        <v>4290</v>
      </c>
      <c r="T586" s="2" t="s">
        <v>4291</v>
      </c>
      <c r="U586" s="2" t="s">
        <v>331</v>
      </c>
      <c r="V586" s="2" t="s">
        <v>332</v>
      </c>
      <c r="W586" s="2" t="s">
        <v>519</v>
      </c>
      <c r="X586" s="2" t="s">
        <v>69</v>
      </c>
      <c r="Y586" s="2">
        <v>56.3</v>
      </c>
      <c r="Z586" s="2">
        <v>72.8</v>
      </c>
      <c r="AA586" s="2" t="s">
        <v>259</v>
      </c>
      <c r="AB586" s="2" t="s">
        <v>212</v>
      </c>
      <c r="AC586" s="2">
        <v>3.2042667785433601</v>
      </c>
      <c r="AD586" s="2"/>
      <c r="AE586" s="2">
        <v>0.93981078838498999</v>
      </c>
      <c r="AF586" s="2">
        <v>50488.591331551703</v>
      </c>
      <c r="AG586" s="2">
        <v>29200.0769888225</v>
      </c>
      <c r="AH586" s="5">
        <v>1.72905678813375</v>
      </c>
      <c r="AI586" s="5">
        <v>0.78998525279369003</v>
      </c>
      <c r="AJ586" s="5" t="s">
        <v>139</v>
      </c>
      <c r="AK586" s="2">
        <v>8.7940851223936994E-3</v>
      </c>
      <c r="AL586" s="2">
        <v>0.152662232080852</v>
      </c>
      <c r="AM586" s="2">
        <v>44976.125724601603</v>
      </c>
      <c r="AN586" s="2">
        <v>71597.644349599403</v>
      </c>
      <c r="AO586" s="2">
        <v>48713.643586685197</v>
      </c>
      <c r="AP586" s="2">
        <v>49875.039970097801</v>
      </c>
      <c r="AQ586" s="2">
        <v>39114.877700771001</v>
      </c>
      <c r="AR586" s="2">
        <v>48654.216657555</v>
      </c>
      <c r="AS586" s="2">
        <v>47813.607672313403</v>
      </c>
      <c r="AT586" s="2">
        <v>23336.997943008599</v>
      </c>
      <c r="AU586" s="2">
        <v>37075.117054523398</v>
      </c>
      <c r="AV586" s="2">
        <v>16109.377445854199</v>
      </c>
      <c r="AW586" s="2">
        <v>21172.560626029699</v>
      </c>
      <c r="AX586" s="2">
        <v>29692.801191205599</v>
      </c>
    </row>
    <row r="587" spans="1:50" x14ac:dyDescent="0.25">
      <c r="A587" s="2" t="s">
        <v>4292</v>
      </c>
      <c r="B587" s="2">
        <v>581.45558401332005</v>
      </c>
      <c r="C587" s="2">
        <v>12.708216666666701</v>
      </c>
      <c r="D587" s="2" t="s">
        <v>51</v>
      </c>
      <c r="E587" s="2" t="s">
        <v>4293</v>
      </c>
      <c r="F587" s="2">
        <v>78394</v>
      </c>
      <c r="G587" s="3" t="str">
        <f>HYPERLINK("https://cloud.oebiotech.com/#/lm/network/78394", "https://cloud.oebiotech.com/#/lm/network/78394")</f>
        <v>https://cloud.oebiotech.com/#/lm/network/78394</v>
      </c>
      <c r="H587" s="2" t="s">
        <v>4294</v>
      </c>
      <c r="I587" s="2"/>
      <c r="J587" s="2"/>
      <c r="K587" s="2">
        <v>131801733</v>
      </c>
      <c r="L587" s="2"/>
      <c r="M587" s="2"/>
      <c r="N587" s="2"/>
      <c r="O587" s="2"/>
      <c r="P587" s="2"/>
      <c r="Q587" s="2"/>
      <c r="R587" s="2"/>
      <c r="S587" s="2" t="s">
        <v>4295</v>
      </c>
      <c r="T587" s="2" t="s">
        <v>4296</v>
      </c>
      <c r="U587" s="2" t="s">
        <v>56</v>
      </c>
      <c r="V587" s="2" t="s">
        <v>145</v>
      </c>
      <c r="W587" s="2" t="s">
        <v>187</v>
      </c>
      <c r="X587" s="2" t="s">
        <v>69</v>
      </c>
      <c r="Y587" s="2">
        <v>53</v>
      </c>
      <c r="Z587" s="2">
        <v>54.8</v>
      </c>
      <c r="AA587" s="2" t="s">
        <v>379</v>
      </c>
      <c r="AB587" s="2" t="s">
        <v>4297</v>
      </c>
      <c r="AC587" s="2">
        <v>-3.2474553332887401</v>
      </c>
      <c r="AD587" s="2"/>
      <c r="AE587" s="2">
        <v>0.93758696335744895</v>
      </c>
      <c r="AF587" s="2">
        <v>25215.122794462499</v>
      </c>
      <c r="AG587" s="2">
        <v>48100.571624799297</v>
      </c>
      <c r="AH587" s="4">
        <v>0.52421669728062703</v>
      </c>
      <c r="AI587" s="4">
        <v>-0.93176478795832396</v>
      </c>
      <c r="AJ587" s="4" t="s">
        <v>62</v>
      </c>
      <c r="AK587" s="2">
        <v>1.6534027145691702E-2</v>
      </c>
      <c r="AL587" s="2">
        <v>0.20292872315987101</v>
      </c>
      <c r="AM587" s="2">
        <v>17402.013026116099</v>
      </c>
      <c r="AN587" s="2">
        <v>17718.500862806501</v>
      </c>
      <c r="AO587" s="2">
        <v>34572.192792661001</v>
      </c>
      <c r="AP587" s="2">
        <v>17472.939660083699</v>
      </c>
      <c r="AQ587" s="2">
        <v>36778.270369716702</v>
      </c>
      <c r="AR587" s="2">
        <v>27346.820055391199</v>
      </c>
      <c r="AS587" s="2">
        <v>34209.688822170603</v>
      </c>
      <c r="AT587" s="2">
        <v>31876.690473032901</v>
      </c>
      <c r="AU587" s="2">
        <v>72079.615444360301</v>
      </c>
      <c r="AV587" s="2">
        <v>63790.8741862436</v>
      </c>
      <c r="AW587" s="2">
        <v>52685.072538635402</v>
      </c>
      <c r="AX587" s="2">
        <v>33961.488284352999</v>
      </c>
    </row>
    <row r="588" spans="1:50" x14ac:dyDescent="0.25">
      <c r="A588" s="2" t="s">
        <v>4298</v>
      </c>
      <c r="B588" s="2">
        <v>690.48234098658099</v>
      </c>
      <c r="C588" s="2">
        <v>10.3920333333333</v>
      </c>
      <c r="D588" s="2" t="s">
        <v>51</v>
      </c>
      <c r="E588" s="2" t="s">
        <v>4299</v>
      </c>
      <c r="F588" s="2">
        <v>274752</v>
      </c>
      <c r="G588" s="3" t="str">
        <f>HYPERLINK("https://cloud.oebiotech.com/#/lm/network/274752", "https://cloud.oebiotech.com/#/lm/network/274752")</f>
        <v>https://cloud.oebiotech.com/#/lm/network/274752</v>
      </c>
      <c r="H588" s="2"/>
      <c r="I588" s="2">
        <v>65421</v>
      </c>
      <c r="J588" s="2"/>
      <c r="K588" s="2">
        <v>145740432</v>
      </c>
      <c r="L588" s="2"/>
      <c r="M588" s="2"/>
      <c r="N588" s="2"/>
      <c r="O588" s="2"/>
      <c r="P588" s="2"/>
      <c r="Q588" s="2"/>
      <c r="R588" s="2"/>
      <c r="S588" s="2" t="s">
        <v>4300</v>
      </c>
      <c r="T588" s="2" t="s">
        <v>4301</v>
      </c>
      <c r="U588" s="2" t="s">
        <v>103</v>
      </c>
      <c r="V588" s="2" t="s">
        <v>1372</v>
      </c>
      <c r="W588" s="2" t="s">
        <v>1373</v>
      </c>
      <c r="X588" s="2" t="s">
        <v>147</v>
      </c>
      <c r="Y588" s="2">
        <v>37.6</v>
      </c>
      <c r="Z588" s="2">
        <v>11.9</v>
      </c>
      <c r="AA588" s="2" t="s">
        <v>259</v>
      </c>
      <c r="AB588" s="2" t="s">
        <v>4302</v>
      </c>
      <c r="AC588" s="2">
        <v>3.3578894212938399</v>
      </c>
      <c r="AD588" s="2"/>
      <c r="AE588" s="2">
        <v>0.93682819743927603</v>
      </c>
      <c r="AF588" s="2">
        <v>72636.993695234094</v>
      </c>
      <c r="AG588" s="2">
        <v>93255.2814412468</v>
      </c>
      <c r="AH588" s="4">
        <v>0.77890487887270299</v>
      </c>
      <c r="AI588" s="4">
        <v>-0.36048094010198101</v>
      </c>
      <c r="AJ588" s="4" t="s">
        <v>62</v>
      </c>
      <c r="AK588" s="2">
        <v>4.65085495743277E-2</v>
      </c>
      <c r="AL588" s="2">
        <v>0.303077969035141</v>
      </c>
      <c r="AM588" s="2">
        <v>46022.185384245699</v>
      </c>
      <c r="AN588" s="2">
        <v>63218.633670967603</v>
      </c>
      <c r="AO588" s="2">
        <v>64495.395710969198</v>
      </c>
      <c r="AP588" s="2">
        <v>75681.651805429006</v>
      </c>
      <c r="AQ588" s="2">
        <v>99117.771707694206</v>
      </c>
      <c r="AR588" s="2">
        <v>87286.323892099099</v>
      </c>
      <c r="AS588" s="2">
        <v>83582.634614594703</v>
      </c>
      <c r="AT588" s="2">
        <v>105625.797472719</v>
      </c>
      <c r="AU588" s="2">
        <v>82817.028949606</v>
      </c>
      <c r="AV588" s="2">
        <v>81508.136549895193</v>
      </c>
      <c r="AW588" s="2">
        <v>103841.63938220299</v>
      </c>
      <c r="AX588" s="2">
        <v>102156.451678463</v>
      </c>
    </row>
    <row r="589" spans="1:50" x14ac:dyDescent="0.25">
      <c r="A589" s="2" t="s">
        <v>4303</v>
      </c>
      <c r="B589" s="2">
        <v>358.99517915405198</v>
      </c>
      <c r="C589" s="2">
        <v>7.7000333333333302</v>
      </c>
      <c r="D589" s="2" t="s">
        <v>51</v>
      </c>
      <c r="E589" s="2" t="s">
        <v>4304</v>
      </c>
      <c r="F589" s="2">
        <v>202277</v>
      </c>
      <c r="G589" s="3" t="str">
        <f>HYPERLINK("https://cloud.oebiotech.com/#/lm/network/202277", "https://cloud.oebiotech.com/#/lm/network/202277")</f>
        <v>https://cloud.oebiotech.com/#/lm/network/202277</v>
      </c>
      <c r="H589" s="2" t="s">
        <v>4305</v>
      </c>
      <c r="I589" s="2">
        <v>2424</v>
      </c>
      <c r="J589" s="2"/>
      <c r="K589" s="2">
        <v>105015</v>
      </c>
      <c r="L589" s="2"/>
      <c r="M589" s="2"/>
      <c r="N589" s="2"/>
      <c r="O589" s="2"/>
      <c r="P589" s="2"/>
      <c r="Q589" s="2"/>
      <c r="R589" s="2" t="s">
        <v>4306</v>
      </c>
      <c r="S589" s="2" t="s">
        <v>4307</v>
      </c>
      <c r="T589" s="2" t="s">
        <v>4308</v>
      </c>
      <c r="U589" s="2" t="s">
        <v>1357</v>
      </c>
      <c r="V589" s="2" t="s">
        <v>4309</v>
      </c>
      <c r="W589" s="2" t="s">
        <v>4310</v>
      </c>
      <c r="X589" s="2" t="s">
        <v>147</v>
      </c>
      <c r="Y589" s="2">
        <v>41.3</v>
      </c>
      <c r="Z589" s="2">
        <v>13.4</v>
      </c>
      <c r="AA589" s="2" t="s">
        <v>478</v>
      </c>
      <c r="AB589" s="2" t="s">
        <v>4311</v>
      </c>
      <c r="AC589" s="2">
        <v>1.3543777418634699</v>
      </c>
      <c r="AD589" s="2"/>
      <c r="AE589" s="2">
        <v>0.93447142268573502</v>
      </c>
      <c r="AF589" s="2">
        <v>193754.53562940299</v>
      </c>
      <c r="AG589" s="2">
        <v>219478.007759356</v>
      </c>
      <c r="AH589" s="4">
        <v>0.88279704015649196</v>
      </c>
      <c r="AI589" s="4">
        <v>-0.17984630233226101</v>
      </c>
      <c r="AJ589" s="4" t="s">
        <v>62</v>
      </c>
      <c r="AK589" s="2">
        <v>0.135214358805158</v>
      </c>
      <c r="AL589" s="2">
        <v>0.45560025438491702</v>
      </c>
      <c r="AM589" s="2">
        <v>163219.024915524</v>
      </c>
      <c r="AN589" s="2">
        <v>170177.49649217899</v>
      </c>
      <c r="AO589" s="2">
        <v>207693.641076361</v>
      </c>
      <c r="AP589" s="2">
        <v>200674.931853299</v>
      </c>
      <c r="AQ589" s="2">
        <v>241137.81647560501</v>
      </c>
      <c r="AR589" s="2">
        <v>179624.30296345201</v>
      </c>
      <c r="AS589" s="2">
        <v>225594.63543218101</v>
      </c>
      <c r="AT589" s="2">
        <v>247605.09677673099</v>
      </c>
      <c r="AU589" s="2">
        <v>178141.85080436099</v>
      </c>
      <c r="AV589" s="2">
        <v>234713.03478512901</v>
      </c>
      <c r="AW589" s="2">
        <v>198986.13644027</v>
      </c>
      <c r="AX589" s="2">
        <v>231827.292317466</v>
      </c>
    </row>
    <row r="590" spans="1:50" x14ac:dyDescent="0.25">
      <c r="A590" s="2" t="s">
        <v>4312</v>
      </c>
      <c r="B590" s="2">
        <v>447.02657416505201</v>
      </c>
      <c r="C590" s="2">
        <v>8.6046999999999993</v>
      </c>
      <c r="D590" s="2" t="s">
        <v>51</v>
      </c>
      <c r="E590" s="2" t="s">
        <v>4313</v>
      </c>
      <c r="F590" s="2">
        <v>209407</v>
      </c>
      <c r="G590" s="3" t="str">
        <f>HYPERLINK("https://cloud.oebiotech.com/#/lm/network/209407", "https://cloud.oebiotech.com/#/lm/network/209407")</f>
        <v>https://cloud.oebiotech.com/#/lm/network/209407</v>
      </c>
      <c r="H590" s="2" t="s">
        <v>4314</v>
      </c>
      <c r="I590" s="2"/>
      <c r="J590" s="2"/>
      <c r="K590" s="2">
        <v>76054794</v>
      </c>
      <c r="L590" s="2"/>
      <c r="M590" s="2"/>
      <c r="N590" s="2"/>
      <c r="O590" s="2"/>
      <c r="P590" s="2"/>
      <c r="Q590" s="2"/>
      <c r="R590" s="2"/>
      <c r="S590" s="2" t="s">
        <v>4315</v>
      </c>
      <c r="T590" s="2" t="s">
        <v>4316</v>
      </c>
      <c r="U590" s="2" t="s">
        <v>103</v>
      </c>
      <c r="V590" s="2" t="s">
        <v>377</v>
      </c>
      <c r="W590" s="2" t="s">
        <v>378</v>
      </c>
      <c r="X590" s="2" t="s">
        <v>147</v>
      </c>
      <c r="Y590" s="2">
        <v>40.200000000000003</v>
      </c>
      <c r="Z590" s="2">
        <v>6.17</v>
      </c>
      <c r="AA590" s="2" t="s">
        <v>478</v>
      </c>
      <c r="AB590" s="2" t="s">
        <v>4317</v>
      </c>
      <c r="AC590" s="2">
        <v>0.41722724662350802</v>
      </c>
      <c r="AD590" s="2"/>
      <c r="AE590" s="2">
        <v>0.93398854300562095</v>
      </c>
      <c r="AF590" s="2">
        <v>95565.891283848803</v>
      </c>
      <c r="AG590" s="2">
        <v>115012.18919299</v>
      </c>
      <c r="AH590" s="4">
        <v>0.830919678639361</v>
      </c>
      <c r="AI590" s="4">
        <v>-0.26721907015318502</v>
      </c>
      <c r="AJ590" s="4" t="s">
        <v>62</v>
      </c>
      <c r="AK590" s="2">
        <v>3.7740105030991998E-3</v>
      </c>
      <c r="AL590" s="2">
        <v>0.1120315017845</v>
      </c>
      <c r="AM590" s="2">
        <v>93116.697154957801</v>
      </c>
      <c r="AN590" s="2">
        <v>87269.640631229195</v>
      </c>
      <c r="AO590" s="2">
        <v>96637.444004317993</v>
      </c>
      <c r="AP590" s="2">
        <v>103337.199804035</v>
      </c>
      <c r="AQ590" s="2">
        <v>102630.559278411</v>
      </c>
      <c r="AR590" s="2">
        <v>90403.806830141897</v>
      </c>
      <c r="AS590" s="2">
        <v>124441.88700206899</v>
      </c>
      <c r="AT590" s="2">
        <v>129931.48965179401</v>
      </c>
      <c r="AU590" s="2">
        <v>103117.060371332</v>
      </c>
      <c r="AV590" s="2">
        <v>118521.37104853</v>
      </c>
      <c r="AW590" s="2">
        <v>106576.723658513</v>
      </c>
      <c r="AX590" s="2">
        <v>107484.603425703</v>
      </c>
    </row>
    <row r="591" spans="1:50" x14ac:dyDescent="0.25">
      <c r="A591" s="2" t="s">
        <v>4318</v>
      </c>
      <c r="B591" s="2">
        <v>278.23362082040899</v>
      </c>
      <c r="C591" s="2">
        <v>5.3260166666666704</v>
      </c>
      <c r="D591" s="2" t="s">
        <v>51</v>
      </c>
      <c r="E591" s="2" t="s">
        <v>4319</v>
      </c>
      <c r="F591" s="2">
        <v>2285</v>
      </c>
      <c r="G591" s="3" t="str">
        <f>HYPERLINK("https://cloud.oebiotech.com/#/lm/network/2285", "https://cloud.oebiotech.com/#/lm/network/2285")</f>
        <v>https://cloud.oebiotech.com/#/lm/network/2285</v>
      </c>
      <c r="H591" s="2"/>
      <c r="I591" s="2"/>
      <c r="J591" s="2" t="s">
        <v>4320</v>
      </c>
      <c r="K591" s="2">
        <v>54294489</v>
      </c>
      <c r="L591" s="2"/>
      <c r="M591" s="2"/>
      <c r="N591" s="2"/>
      <c r="O591" s="2"/>
      <c r="P591" s="2"/>
      <c r="Q591" s="2"/>
      <c r="R591" s="2"/>
      <c r="S591" s="2" t="s">
        <v>4321</v>
      </c>
      <c r="T591" s="2" t="s">
        <v>4322</v>
      </c>
      <c r="U591" s="2" t="s">
        <v>331</v>
      </c>
      <c r="V591" s="2" t="s">
        <v>332</v>
      </c>
      <c r="W591" s="2" t="s">
        <v>333</v>
      </c>
      <c r="X591" s="2" t="s">
        <v>147</v>
      </c>
      <c r="Y591" s="2">
        <v>45.8</v>
      </c>
      <c r="Z591" s="2">
        <v>37.6</v>
      </c>
      <c r="AA591" s="2" t="s">
        <v>512</v>
      </c>
      <c r="AB591" s="2" t="s">
        <v>4323</v>
      </c>
      <c r="AC591" s="2">
        <v>3.98124192359758</v>
      </c>
      <c r="AD591" s="2"/>
      <c r="AE591" s="2">
        <v>0.93118798779468004</v>
      </c>
      <c r="AF591" s="2">
        <v>4988.8097231946504</v>
      </c>
      <c r="AG591" s="2">
        <v>47889.417292383703</v>
      </c>
      <c r="AH591" s="4">
        <v>0.104173531549486</v>
      </c>
      <c r="AI591" s="4">
        <v>-3.2629393312155601</v>
      </c>
      <c r="AJ591" s="4" t="s">
        <v>62</v>
      </c>
      <c r="AK591" s="2">
        <v>0.32079479236476299</v>
      </c>
      <c r="AL591" s="2">
        <v>0.62866285719097004</v>
      </c>
      <c r="AM591" s="2">
        <v>177.86838295710501</v>
      </c>
      <c r="AN591" s="2">
        <v>161.28839802037399</v>
      </c>
      <c r="AO591" s="2">
        <v>5066.0215853873497</v>
      </c>
      <c r="AP591" s="2">
        <v>13642.9234183767</v>
      </c>
      <c r="AQ591" s="2">
        <v>10554.7589789102</v>
      </c>
      <c r="AR591" s="2">
        <v>329.99757551614999</v>
      </c>
      <c r="AS591" s="2">
        <v>8632.16499491996</v>
      </c>
      <c r="AT591" s="2">
        <v>22604.138914118801</v>
      </c>
      <c r="AU591" s="2">
        <v>2985.1183956069499</v>
      </c>
      <c r="AV591" s="2">
        <v>511.642161387035</v>
      </c>
      <c r="AW591" s="2">
        <v>433.41173052127601</v>
      </c>
      <c r="AX591" s="2">
        <v>252170.02755774799</v>
      </c>
    </row>
    <row r="592" spans="1:50" x14ac:dyDescent="0.25">
      <c r="A592" s="2" t="s">
        <v>4324</v>
      </c>
      <c r="B592" s="2">
        <v>408.992437589107</v>
      </c>
      <c r="C592" s="2">
        <v>13.862733333333299</v>
      </c>
      <c r="D592" s="2" t="s">
        <v>51</v>
      </c>
      <c r="E592" s="2" t="s">
        <v>4325</v>
      </c>
      <c r="F592" s="2">
        <v>209759</v>
      </c>
      <c r="G592" s="3" t="str">
        <f>HYPERLINK("https://cloud.oebiotech.com/#/lm/network/209759", "https://cloud.oebiotech.com/#/lm/network/209759")</f>
        <v>https://cloud.oebiotech.com/#/lm/network/209759</v>
      </c>
      <c r="H592" s="2" t="s">
        <v>4326</v>
      </c>
      <c r="I592" s="2"/>
      <c r="J592" s="2"/>
      <c r="K592" s="2">
        <v>102051890</v>
      </c>
      <c r="L592" s="2"/>
      <c r="M592" s="2"/>
      <c r="N592" s="2"/>
      <c r="O592" s="2"/>
      <c r="P592" s="2"/>
      <c r="Q592" s="2"/>
      <c r="R592" s="2"/>
      <c r="S592" s="2" t="s">
        <v>4327</v>
      </c>
      <c r="T592" s="2" t="s">
        <v>4328</v>
      </c>
      <c r="U592" s="2" t="s">
        <v>610</v>
      </c>
      <c r="V592" s="2" t="s">
        <v>611</v>
      </c>
      <c r="W592" s="2" t="s">
        <v>1122</v>
      </c>
      <c r="X592" s="2" t="s">
        <v>147</v>
      </c>
      <c r="Y592" s="2">
        <v>38.1</v>
      </c>
      <c r="Z592" s="2">
        <v>29.6</v>
      </c>
      <c r="AA592" s="2" t="s">
        <v>218</v>
      </c>
      <c r="AB592" s="2" t="s">
        <v>4329</v>
      </c>
      <c r="AC592" s="2">
        <v>4.5931378207271303</v>
      </c>
      <c r="AD592" s="2"/>
      <c r="AE592" s="2">
        <v>0.93104145556398898</v>
      </c>
      <c r="AF592" s="2">
        <v>81921.870605638804</v>
      </c>
      <c r="AG592" s="2">
        <v>99353.4495225258</v>
      </c>
      <c r="AH592" s="4">
        <v>0.82454983696429296</v>
      </c>
      <c r="AI592" s="4">
        <v>-0.27832140005016298</v>
      </c>
      <c r="AJ592" s="4" t="s">
        <v>62</v>
      </c>
      <c r="AK592" s="2">
        <v>6.4999005821994001E-3</v>
      </c>
      <c r="AL592" s="2">
        <v>0.13578099011431899</v>
      </c>
      <c r="AM592" s="2">
        <v>68548.908767491797</v>
      </c>
      <c r="AN592" s="2">
        <v>79300.109149385797</v>
      </c>
      <c r="AO592" s="2">
        <v>81905.933561148602</v>
      </c>
      <c r="AP592" s="2">
        <v>88565.097573472594</v>
      </c>
      <c r="AQ592" s="2">
        <v>95833.247972236204</v>
      </c>
      <c r="AR592" s="2">
        <v>77377.926610097697</v>
      </c>
      <c r="AS592" s="2">
        <v>98100.293216325896</v>
      </c>
      <c r="AT592" s="2">
        <v>107952.666089152</v>
      </c>
      <c r="AU592" s="2">
        <v>85056.366240893607</v>
      </c>
      <c r="AV592" s="2">
        <v>105683.94366482001</v>
      </c>
      <c r="AW592" s="2">
        <v>97096.0895393393</v>
      </c>
      <c r="AX592" s="2">
        <v>102231.338384624</v>
      </c>
    </row>
    <row r="593" spans="1:50" x14ac:dyDescent="0.25">
      <c r="A593" s="2" t="s">
        <v>4330</v>
      </c>
      <c r="B593" s="2">
        <v>474.30119396899698</v>
      </c>
      <c r="C593" s="2">
        <v>8.5905500000000004</v>
      </c>
      <c r="D593" s="2" t="s">
        <v>51</v>
      </c>
      <c r="E593" s="2" t="s">
        <v>4331</v>
      </c>
      <c r="F593" s="2">
        <v>8671</v>
      </c>
      <c r="G593" s="3" t="str">
        <f>HYPERLINK("https://cloud.oebiotech.com/#/lm/network/8671", "https://cloud.oebiotech.com/#/lm/network/8671")</f>
        <v>https://cloud.oebiotech.com/#/lm/network/8671</v>
      </c>
      <c r="H593" s="2" t="s">
        <v>4332</v>
      </c>
      <c r="I593" s="2">
        <v>75476</v>
      </c>
      <c r="J593" s="2" t="s">
        <v>4333</v>
      </c>
      <c r="K593" s="2">
        <v>52922060</v>
      </c>
      <c r="L593" s="2"/>
      <c r="M593" s="2"/>
      <c r="N593" s="2"/>
      <c r="O593" s="2"/>
      <c r="P593" s="2"/>
      <c r="Q593" s="2"/>
      <c r="R593" s="2"/>
      <c r="S593" s="2" t="s">
        <v>4334</v>
      </c>
      <c r="T593" s="2" t="s">
        <v>4335</v>
      </c>
      <c r="U593" s="2" t="s">
        <v>103</v>
      </c>
      <c r="V593" s="2" t="s">
        <v>104</v>
      </c>
      <c r="W593" s="2" t="s">
        <v>105</v>
      </c>
      <c r="X593" s="2" t="s">
        <v>147</v>
      </c>
      <c r="Y593" s="2">
        <v>39.200000000000003</v>
      </c>
      <c r="Z593" s="2">
        <v>0</v>
      </c>
      <c r="AA593" s="2" t="s">
        <v>163</v>
      </c>
      <c r="AB593" s="2" t="s">
        <v>4336</v>
      </c>
      <c r="AC593" s="2">
        <v>-0.36560949359578199</v>
      </c>
      <c r="AD593" s="2"/>
      <c r="AE593" s="2">
        <v>0.92926814331906604</v>
      </c>
      <c r="AF593" s="2">
        <v>120555.23153054201</v>
      </c>
      <c r="AG593" s="2">
        <v>141129.66845634801</v>
      </c>
      <c r="AH593" s="4">
        <v>0.85421607553645396</v>
      </c>
      <c r="AI593" s="4">
        <v>-0.227327046499331</v>
      </c>
      <c r="AJ593" s="4" t="s">
        <v>62</v>
      </c>
      <c r="AK593" s="2">
        <v>2.9334861419753901E-3</v>
      </c>
      <c r="AL593" s="2">
        <v>0.110133297462436</v>
      </c>
      <c r="AM593" s="2">
        <v>111964.58367970699</v>
      </c>
      <c r="AN593" s="2">
        <v>115812.50759000301</v>
      </c>
      <c r="AO593" s="2">
        <v>138562.11672932099</v>
      </c>
      <c r="AP593" s="2">
        <v>113619.25847145</v>
      </c>
      <c r="AQ593" s="2">
        <v>121343.375757455</v>
      </c>
      <c r="AR593" s="2">
        <v>122029.546955318</v>
      </c>
      <c r="AS593" s="2">
        <v>136409.77248867301</v>
      </c>
      <c r="AT593" s="2">
        <v>133515.75009295699</v>
      </c>
      <c r="AU593" s="2">
        <v>155762.16626340899</v>
      </c>
      <c r="AV593" s="2">
        <v>137424.83225834399</v>
      </c>
      <c r="AW593" s="2">
        <v>136735.95587633899</v>
      </c>
      <c r="AX593" s="2">
        <v>146929.533758365</v>
      </c>
    </row>
    <row r="594" spans="1:50" x14ac:dyDescent="0.25">
      <c r="A594" s="2" t="s">
        <v>4337</v>
      </c>
      <c r="B594" s="2">
        <v>841.57486113364496</v>
      </c>
      <c r="C594" s="2">
        <v>8.6046999999999993</v>
      </c>
      <c r="D594" s="2" t="s">
        <v>51</v>
      </c>
      <c r="E594" s="2" t="s">
        <v>4338</v>
      </c>
      <c r="F594" s="2">
        <v>243723</v>
      </c>
      <c r="G594" s="3" t="str">
        <f>HYPERLINK("https://cloud.oebiotech.com/#/lm/network/243723", "https://cloud.oebiotech.com/#/lm/network/243723")</f>
        <v>https://cloud.oebiotech.com/#/lm/network/243723</v>
      </c>
      <c r="H594" s="2" t="s">
        <v>4339</v>
      </c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 t="s">
        <v>4340</v>
      </c>
      <c r="T594" s="2" t="s">
        <v>4341</v>
      </c>
      <c r="U594" s="2" t="s">
        <v>56</v>
      </c>
      <c r="V594" s="2" t="s">
        <v>344</v>
      </c>
      <c r="W594" s="2" t="s">
        <v>1239</v>
      </c>
      <c r="X594" s="2" t="s">
        <v>147</v>
      </c>
      <c r="Y594" s="2">
        <v>36.6</v>
      </c>
      <c r="Z594" s="2">
        <v>0.28100000000000003</v>
      </c>
      <c r="AA594" s="2" t="s">
        <v>218</v>
      </c>
      <c r="AB594" s="2" t="s">
        <v>4342</v>
      </c>
      <c r="AC594" s="2">
        <v>4.5244687561451498</v>
      </c>
      <c r="AD594" s="2"/>
      <c r="AE594" s="2">
        <v>0.92813454610431401</v>
      </c>
      <c r="AF594" s="2">
        <v>75726.657350714202</v>
      </c>
      <c r="AG594" s="2">
        <v>11972.0875692184</v>
      </c>
      <c r="AH594" s="5">
        <v>6.3252675786815997</v>
      </c>
      <c r="AI594" s="5">
        <v>2.6611265116285501</v>
      </c>
      <c r="AJ594" s="5" t="s">
        <v>139</v>
      </c>
      <c r="AK594" s="2">
        <v>0.29626758907322798</v>
      </c>
      <c r="AL594" s="2">
        <v>0.60778876168892604</v>
      </c>
      <c r="AM594" s="2">
        <v>8.559877937157E-6</v>
      </c>
      <c r="AN594" s="2">
        <v>4432.8432382965402</v>
      </c>
      <c r="AO594" s="2">
        <v>1425.0568863389001</v>
      </c>
      <c r="AP594" s="2">
        <v>6800.10468663953</v>
      </c>
      <c r="AQ594" s="2">
        <v>355427.26659098</v>
      </c>
      <c r="AR594" s="2">
        <v>86274.672693470493</v>
      </c>
      <c r="AS594" s="2">
        <v>2036.19640049754</v>
      </c>
      <c r="AT594" s="2">
        <v>38572.035155475503</v>
      </c>
      <c r="AU594" s="2">
        <v>8630.0184013864091</v>
      </c>
      <c r="AV594" s="2">
        <v>15580.6954700231</v>
      </c>
      <c r="AW594" s="2">
        <v>3207.8894133878498</v>
      </c>
      <c r="AX594" s="2">
        <v>3805.69057454007</v>
      </c>
    </row>
    <row r="595" spans="1:50" x14ac:dyDescent="0.25">
      <c r="A595" s="2" t="s">
        <v>4343</v>
      </c>
      <c r="B595" s="2">
        <v>415.13533615132297</v>
      </c>
      <c r="C595" s="2">
        <v>4.8935333333333304</v>
      </c>
      <c r="D595" s="2" t="s">
        <v>51</v>
      </c>
      <c r="E595" s="2" t="s">
        <v>4344</v>
      </c>
      <c r="F595" s="2">
        <v>256234</v>
      </c>
      <c r="G595" s="3" t="str">
        <f>HYPERLINK("https://cloud.oebiotech.com/#/lm/network/256234", "https://cloud.oebiotech.com/#/lm/network/256234")</f>
        <v>https://cloud.oebiotech.com/#/lm/network/256234</v>
      </c>
      <c r="H595" s="2" t="s">
        <v>4345</v>
      </c>
      <c r="I595" s="2"/>
      <c r="J595" s="2"/>
      <c r="K595" s="2">
        <v>12444709</v>
      </c>
      <c r="L595" s="2"/>
      <c r="M595" s="2"/>
      <c r="N595" s="2"/>
      <c r="O595" s="2"/>
      <c r="P595" s="2"/>
      <c r="Q595" s="2"/>
      <c r="R595" s="2"/>
      <c r="S595" s="2" t="s">
        <v>4346</v>
      </c>
      <c r="T595" s="2" t="s">
        <v>4347</v>
      </c>
      <c r="U595" s="2" t="s">
        <v>540</v>
      </c>
      <c r="V595" s="2" t="s">
        <v>1826</v>
      </c>
      <c r="W595" s="2" t="s">
        <v>4348</v>
      </c>
      <c r="X595" s="2" t="s">
        <v>147</v>
      </c>
      <c r="Y595" s="2">
        <v>44.3</v>
      </c>
      <c r="Z595" s="2">
        <v>29.4</v>
      </c>
      <c r="AA595" s="2" t="s">
        <v>60</v>
      </c>
      <c r="AB595" s="2" t="s">
        <v>4349</v>
      </c>
      <c r="AC595" s="2">
        <v>-2.5558133447205802</v>
      </c>
      <c r="AD595" s="2"/>
      <c r="AE595" s="2">
        <v>0.926980055312012</v>
      </c>
      <c r="AF595" s="2">
        <v>12041.889984195201</v>
      </c>
      <c r="AG595" s="2">
        <v>37564.454607945503</v>
      </c>
      <c r="AH595" s="4">
        <v>0.32056608061728897</v>
      </c>
      <c r="AI595" s="4">
        <v>-1.64130631416745</v>
      </c>
      <c r="AJ595" s="4" t="s">
        <v>62</v>
      </c>
      <c r="AK595" s="2">
        <v>4.2235907303485497E-2</v>
      </c>
      <c r="AL595" s="2">
        <v>0.29293759539812297</v>
      </c>
      <c r="AM595" s="2">
        <v>16043.725512822301</v>
      </c>
      <c r="AN595" s="2">
        <v>9663.7098339181703</v>
      </c>
      <c r="AO595" s="2">
        <v>12531.5697742514</v>
      </c>
      <c r="AP595" s="2">
        <v>766.69538939374502</v>
      </c>
      <c r="AQ595" s="2">
        <v>6063.5373522870996</v>
      </c>
      <c r="AR595" s="2">
        <v>27182.1020424983</v>
      </c>
      <c r="AS595" s="2">
        <v>19122.867937188799</v>
      </c>
      <c r="AT595" s="2">
        <v>26546.427595712099</v>
      </c>
      <c r="AU595" s="2">
        <v>38609.384438470697</v>
      </c>
      <c r="AV595" s="2">
        <v>38085.8048038095</v>
      </c>
      <c r="AW595" s="2">
        <v>85729.216432618006</v>
      </c>
      <c r="AX595" s="2">
        <v>17293.026439874</v>
      </c>
    </row>
    <row r="596" spans="1:50" x14ac:dyDescent="0.25">
      <c r="A596" s="2" t="s">
        <v>4350</v>
      </c>
      <c r="B596" s="2">
        <v>591.50016575673999</v>
      </c>
      <c r="C596" s="2">
        <v>14.459250000000001</v>
      </c>
      <c r="D596" s="2" t="s">
        <v>51</v>
      </c>
      <c r="E596" s="2" t="s">
        <v>4351</v>
      </c>
      <c r="F596" s="2">
        <v>252353</v>
      </c>
      <c r="G596" s="3" t="str">
        <f>HYPERLINK("https://cloud.oebiotech.com/#/lm/network/252353", "https://cloud.oebiotech.com/#/lm/network/252353")</f>
        <v>https://cloud.oebiotech.com/#/lm/network/252353</v>
      </c>
      <c r="H596" s="2" t="s">
        <v>4352</v>
      </c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 t="s">
        <v>4353</v>
      </c>
      <c r="T596" s="2" t="s">
        <v>4354</v>
      </c>
      <c r="U596" s="2" t="s">
        <v>56</v>
      </c>
      <c r="V596" s="2" t="s">
        <v>3215</v>
      </c>
      <c r="W596" s="2" t="s">
        <v>3216</v>
      </c>
      <c r="X596" s="2" t="s">
        <v>59</v>
      </c>
      <c r="Y596" s="2">
        <v>55.7</v>
      </c>
      <c r="Z596" s="2">
        <v>85</v>
      </c>
      <c r="AA596" s="2" t="s">
        <v>84</v>
      </c>
      <c r="AB596" s="2" t="s">
        <v>3348</v>
      </c>
      <c r="AC596" s="2">
        <v>3.06344083701764</v>
      </c>
      <c r="AD596" s="2"/>
      <c r="AE596" s="2">
        <v>0.92670904830412004</v>
      </c>
      <c r="AF596" s="2">
        <v>957861.11963181396</v>
      </c>
      <c r="AG596" s="2">
        <v>1142269.78959739</v>
      </c>
      <c r="AH596" s="4">
        <v>0.83855944397288795</v>
      </c>
      <c r="AI596" s="4">
        <v>-0.254015037412404</v>
      </c>
      <c r="AJ596" s="4" t="s">
        <v>62</v>
      </c>
      <c r="AK596" s="2">
        <v>0.53009970315432697</v>
      </c>
      <c r="AL596" s="2">
        <v>0.75763166529302906</v>
      </c>
      <c r="AM596" s="2">
        <v>804504.64303501195</v>
      </c>
      <c r="AN596" s="2">
        <v>2002333.20933494</v>
      </c>
      <c r="AO596" s="2">
        <v>966782.45148342196</v>
      </c>
      <c r="AP596" s="2">
        <v>567581.24226220697</v>
      </c>
      <c r="AQ596" s="2">
        <v>1001995.5266899</v>
      </c>
      <c r="AR596" s="2">
        <v>403969.64498540602</v>
      </c>
      <c r="AS596" s="2">
        <v>475556.96510955202</v>
      </c>
      <c r="AT596" s="2">
        <v>1224220.20274947</v>
      </c>
      <c r="AU596" s="2">
        <v>1268138.9141499901</v>
      </c>
      <c r="AV596" s="2">
        <v>1720215.77280406</v>
      </c>
      <c r="AW596" s="2">
        <v>964356.33855325298</v>
      </c>
      <c r="AX596" s="2">
        <v>1201130.54421801</v>
      </c>
    </row>
    <row r="597" spans="1:50" x14ac:dyDescent="0.25">
      <c r="A597" s="2" t="s">
        <v>4355</v>
      </c>
      <c r="B597" s="2">
        <v>379.15845031614799</v>
      </c>
      <c r="C597" s="2">
        <v>10.9667166666667</v>
      </c>
      <c r="D597" s="2" t="s">
        <v>51</v>
      </c>
      <c r="E597" s="2" t="s">
        <v>4356</v>
      </c>
      <c r="F597" s="2">
        <v>208824</v>
      </c>
      <c r="G597" s="3" t="str">
        <f>HYPERLINK("https://cloud.oebiotech.com/#/lm/network/208824", "https://cloud.oebiotech.com/#/lm/network/208824")</f>
        <v>https://cloud.oebiotech.com/#/lm/network/208824</v>
      </c>
      <c r="H597" s="2" t="s">
        <v>4357</v>
      </c>
      <c r="I597" s="2"/>
      <c r="J597" s="2"/>
      <c r="K597" s="2">
        <v>18319735</v>
      </c>
      <c r="L597" s="2"/>
      <c r="M597" s="2"/>
      <c r="N597" s="2"/>
      <c r="O597" s="2"/>
      <c r="P597" s="2"/>
      <c r="Q597" s="2"/>
      <c r="R597" s="2"/>
      <c r="S597" s="2" t="s">
        <v>4358</v>
      </c>
      <c r="T597" s="2" t="s">
        <v>4359</v>
      </c>
      <c r="U597" s="2" t="s">
        <v>610</v>
      </c>
      <c r="V597" s="2" t="s">
        <v>611</v>
      </c>
      <c r="W597" s="2" t="s">
        <v>1267</v>
      </c>
      <c r="X597" s="2" t="s">
        <v>147</v>
      </c>
      <c r="Y597" s="2">
        <v>38.9</v>
      </c>
      <c r="Z597" s="2">
        <v>0</v>
      </c>
      <c r="AA597" s="2" t="s">
        <v>156</v>
      </c>
      <c r="AB597" s="2" t="s">
        <v>4360</v>
      </c>
      <c r="AC597" s="2">
        <v>-0.65241455265519999</v>
      </c>
      <c r="AD597" s="2"/>
      <c r="AE597" s="2">
        <v>0.92378248924620598</v>
      </c>
      <c r="AF597" s="2">
        <v>48474.7800499765</v>
      </c>
      <c r="AG597" s="2">
        <v>31845.281658180102</v>
      </c>
      <c r="AH597" s="5">
        <v>1.5221966183340301</v>
      </c>
      <c r="AI597" s="5">
        <v>0.60615472019153804</v>
      </c>
      <c r="AJ597" s="5" t="s">
        <v>139</v>
      </c>
      <c r="AK597" s="2">
        <v>1.7178073559287501E-4</v>
      </c>
      <c r="AL597" s="2">
        <v>3.9225470277496198E-2</v>
      </c>
      <c r="AM597" s="2">
        <v>49394.306552616501</v>
      </c>
      <c r="AN597" s="2">
        <v>49790.2639275908</v>
      </c>
      <c r="AO597" s="2">
        <v>49327.096830848903</v>
      </c>
      <c r="AP597" s="2">
        <v>45942.619293435098</v>
      </c>
      <c r="AQ597" s="2">
        <v>48511.105528209497</v>
      </c>
      <c r="AR597" s="2">
        <v>47883.288167158098</v>
      </c>
      <c r="AS597" s="2">
        <v>38787.297286974899</v>
      </c>
      <c r="AT597" s="2">
        <v>27889.852389809301</v>
      </c>
      <c r="AU597" s="2">
        <v>40627.525114893797</v>
      </c>
      <c r="AV597" s="2">
        <v>26732.952628894702</v>
      </c>
      <c r="AW597" s="2">
        <v>33358.011903535698</v>
      </c>
      <c r="AX597" s="2">
        <v>23676.050624971998</v>
      </c>
    </row>
    <row r="598" spans="1:50" x14ac:dyDescent="0.25">
      <c r="A598" s="2" t="s">
        <v>4361</v>
      </c>
      <c r="B598" s="2">
        <v>391.21262772212998</v>
      </c>
      <c r="C598" s="2">
        <v>5.4257166666666699</v>
      </c>
      <c r="D598" s="2" t="s">
        <v>51</v>
      </c>
      <c r="E598" s="2" t="s">
        <v>4362</v>
      </c>
      <c r="F598" s="2">
        <v>83766</v>
      </c>
      <c r="G598" s="3" t="str">
        <f>HYPERLINK("https://cloud.oebiotech.com/#/lm/network/83766", "https://cloud.oebiotech.com/#/lm/network/83766")</f>
        <v>https://cloud.oebiotech.com/#/lm/network/83766</v>
      </c>
      <c r="H598" s="2" t="s">
        <v>4363</v>
      </c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 t="s">
        <v>4364</v>
      </c>
      <c r="T598" s="2" t="s">
        <v>4365</v>
      </c>
      <c r="U598" s="2" t="s">
        <v>56</v>
      </c>
      <c r="V598" s="2" t="s">
        <v>145</v>
      </c>
      <c r="W598" s="2" t="s">
        <v>187</v>
      </c>
      <c r="X598" s="2" t="s">
        <v>83</v>
      </c>
      <c r="Y598" s="2">
        <v>39.200000000000003</v>
      </c>
      <c r="Z598" s="2">
        <v>0</v>
      </c>
      <c r="AA598" s="2" t="s">
        <v>95</v>
      </c>
      <c r="AB598" s="2" t="s">
        <v>533</v>
      </c>
      <c r="AC598" s="2">
        <v>9.5548845596538605</v>
      </c>
      <c r="AD598" s="2"/>
      <c r="AE598" s="2">
        <v>0.92179670427289195</v>
      </c>
      <c r="AF598" s="2">
        <v>45547.876903950601</v>
      </c>
      <c r="AG598" s="2">
        <v>24698.358926903202</v>
      </c>
      <c r="AH598" s="5">
        <v>1.8441661261281901</v>
      </c>
      <c r="AI598" s="5">
        <v>0.88296862244080399</v>
      </c>
      <c r="AJ598" s="5" t="s">
        <v>139</v>
      </c>
      <c r="AK598" s="2">
        <v>0.119535429577433</v>
      </c>
      <c r="AL598" s="2">
        <v>0.43766036031086097</v>
      </c>
      <c r="AM598" s="2">
        <v>99546.630179400498</v>
      </c>
      <c r="AN598" s="2">
        <v>42592.375023933899</v>
      </c>
      <c r="AO598" s="2">
        <v>33094.610875033599</v>
      </c>
      <c r="AP598" s="2">
        <v>46466.187619098397</v>
      </c>
      <c r="AQ598" s="2">
        <v>17380.9233781369</v>
      </c>
      <c r="AR598" s="2">
        <v>34206.534348100402</v>
      </c>
      <c r="AS598" s="2">
        <v>33510.776649394502</v>
      </c>
      <c r="AT598" s="2">
        <v>21203.802191990999</v>
      </c>
      <c r="AU598" s="2">
        <v>36637.553667739201</v>
      </c>
      <c r="AV598" s="2">
        <v>9564.1610469129701</v>
      </c>
      <c r="AW598" s="2">
        <v>19496.645057826099</v>
      </c>
      <c r="AX598" s="2">
        <v>27777.214947555301</v>
      </c>
    </row>
    <row r="599" spans="1:50" x14ac:dyDescent="0.25">
      <c r="A599" s="2" t="s">
        <v>4366</v>
      </c>
      <c r="B599" s="2">
        <v>399.21544821371901</v>
      </c>
      <c r="C599" s="2">
        <v>8.0870666666666704</v>
      </c>
      <c r="D599" s="2" t="s">
        <v>51</v>
      </c>
      <c r="E599" s="2" t="s">
        <v>4367</v>
      </c>
      <c r="F599" s="2">
        <v>54991</v>
      </c>
      <c r="G599" s="3" t="str">
        <f>HYPERLINK("https://cloud.oebiotech.com/#/lm/network/54991", "https://cloud.oebiotech.com/#/lm/network/54991")</f>
        <v>https://cloud.oebiotech.com/#/lm/network/54991</v>
      </c>
      <c r="H599" s="2" t="s">
        <v>4368</v>
      </c>
      <c r="I599" s="2">
        <v>86766</v>
      </c>
      <c r="J599" s="2"/>
      <c r="K599" s="2">
        <v>4220856</v>
      </c>
      <c r="L599" s="2"/>
      <c r="M599" s="2"/>
      <c r="N599" s="2"/>
      <c r="O599" s="2"/>
      <c r="P599" s="2"/>
      <c r="Q599" s="2"/>
      <c r="R599" s="2" t="s">
        <v>4369</v>
      </c>
      <c r="S599" s="2" t="s">
        <v>4370</v>
      </c>
      <c r="T599" s="2" t="s">
        <v>4371</v>
      </c>
      <c r="U599" s="2" t="s">
        <v>56</v>
      </c>
      <c r="V599" s="2" t="s">
        <v>177</v>
      </c>
      <c r="W599" s="2" t="s">
        <v>806</v>
      </c>
      <c r="X599" s="2" t="s">
        <v>59</v>
      </c>
      <c r="Y599" s="2">
        <v>51.2</v>
      </c>
      <c r="Z599" s="2">
        <v>65.3</v>
      </c>
      <c r="AA599" s="2" t="s">
        <v>60</v>
      </c>
      <c r="AB599" s="2" t="s">
        <v>2471</v>
      </c>
      <c r="AC599" s="2">
        <v>-2.8936494249214002</v>
      </c>
      <c r="AD599" s="2"/>
      <c r="AE599" s="2">
        <v>0.92136066852916698</v>
      </c>
      <c r="AF599" s="2">
        <v>47983.296183443497</v>
      </c>
      <c r="AG599" s="2">
        <v>27295.414497236899</v>
      </c>
      <c r="AH599" s="5">
        <v>1.7579251704824199</v>
      </c>
      <c r="AI599" s="5">
        <v>0.81387366065675903</v>
      </c>
      <c r="AJ599" s="5" t="s">
        <v>139</v>
      </c>
      <c r="AK599" s="2">
        <v>0.110774373486397</v>
      </c>
      <c r="AL599" s="2">
        <v>0.42261842103963698</v>
      </c>
      <c r="AM599" s="2">
        <v>102799.97909643</v>
      </c>
      <c r="AN599" s="2">
        <v>38354.120046514603</v>
      </c>
      <c r="AO599" s="2">
        <v>32505.443105493199</v>
      </c>
      <c r="AP599" s="2">
        <v>40457.608951358503</v>
      </c>
      <c r="AQ599" s="2">
        <v>29624.735768493501</v>
      </c>
      <c r="AR599" s="2">
        <v>44157.890132371198</v>
      </c>
      <c r="AS599" s="2">
        <v>41428.014137280101</v>
      </c>
      <c r="AT599" s="2">
        <v>30030.348887054999</v>
      </c>
      <c r="AU599" s="2">
        <v>30698.9290313657</v>
      </c>
      <c r="AV599" s="2">
        <v>12637.126341691701</v>
      </c>
      <c r="AW599" s="2">
        <v>24779.8507196481</v>
      </c>
      <c r="AX599" s="2">
        <v>24198.217866380699</v>
      </c>
    </row>
    <row r="600" spans="1:50" x14ac:dyDescent="0.25">
      <c r="A600" s="2" t="s">
        <v>4372</v>
      </c>
      <c r="B600" s="2">
        <v>337.22895127569399</v>
      </c>
      <c r="C600" s="2">
        <v>9.6639666666666706</v>
      </c>
      <c r="D600" s="2" t="s">
        <v>51</v>
      </c>
      <c r="E600" s="2" t="s">
        <v>4373</v>
      </c>
      <c r="F600" s="2">
        <v>210435</v>
      </c>
      <c r="G600" s="3" t="str">
        <f>HYPERLINK("https://cloud.oebiotech.com/#/lm/network/210435", "https://cloud.oebiotech.com/#/lm/network/210435")</f>
        <v>https://cloud.oebiotech.com/#/lm/network/210435</v>
      </c>
      <c r="H600" s="2" t="s">
        <v>4374</v>
      </c>
      <c r="I600" s="2"/>
      <c r="J600" s="2"/>
      <c r="K600" s="2">
        <v>4853</v>
      </c>
      <c r="L600" s="2"/>
      <c r="M600" s="2"/>
      <c r="N600" s="2"/>
      <c r="O600" s="2"/>
      <c r="P600" s="2"/>
      <c r="Q600" s="2"/>
      <c r="R600" s="2"/>
      <c r="S600" s="2" t="s">
        <v>4375</v>
      </c>
      <c r="T600" s="2" t="s">
        <v>4376</v>
      </c>
      <c r="U600" s="2" t="s">
        <v>610</v>
      </c>
      <c r="V600" s="2" t="s">
        <v>611</v>
      </c>
      <c r="W600" s="2" t="s">
        <v>3953</v>
      </c>
      <c r="X600" s="2" t="s">
        <v>147</v>
      </c>
      <c r="Y600" s="2">
        <v>40.5</v>
      </c>
      <c r="Z600" s="2">
        <v>19.3</v>
      </c>
      <c r="AA600" s="2" t="s">
        <v>163</v>
      </c>
      <c r="AB600" s="2" t="s">
        <v>4377</v>
      </c>
      <c r="AC600" s="2">
        <v>1.22434235825962</v>
      </c>
      <c r="AD600" s="2"/>
      <c r="AE600" s="2">
        <v>0.92055400732556303</v>
      </c>
      <c r="AF600" s="2">
        <v>59229.737164505699</v>
      </c>
      <c r="AG600" s="2">
        <v>38841.889488450499</v>
      </c>
      <c r="AH600" s="5">
        <v>1.5248933031982801</v>
      </c>
      <c r="AI600" s="5">
        <v>0.60870830081855598</v>
      </c>
      <c r="AJ600" s="5" t="s">
        <v>139</v>
      </c>
      <c r="AK600" s="2">
        <v>2.90024433957599E-2</v>
      </c>
      <c r="AL600" s="2">
        <v>0.25815218356915498</v>
      </c>
      <c r="AM600" s="2">
        <v>70827.694457001606</v>
      </c>
      <c r="AN600" s="2">
        <v>57649.309501861797</v>
      </c>
      <c r="AO600" s="2">
        <v>52483.195387830201</v>
      </c>
      <c r="AP600" s="2">
        <v>65662.080310828198</v>
      </c>
      <c r="AQ600" s="2">
        <v>44807.985389181798</v>
      </c>
      <c r="AR600" s="2">
        <v>63948.157940330399</v>
      </c>
      <c r="AS600" s="2">
        <v>54022.545466145799</v>
      </c>
      <c r="AT600" s="2">
        <v>37222.220188731902</v>
      </c>
      <c r="AU600" s="2">
        <v>63028.8007047508</v>
      </c>
      <c r="AV600" s="2">
        <v>18149.4020397692</v>
      </c>
      <c r="AW600" s="2">
        <v>24147.260369301301</v>
      </c>
      <c r="AX600" s="2">
        <v>36481.1081620041</v>
      </c>
    </row>
    <row r="601" spans="1:50" x14ac:dyDescent="0.25">
      <c r="A601" s="2" t="s">
        <v>4378</v>
      </c>
      <c r="B601" s="2">
        <v>426.32201690654603</v>
      </c>
      <c r="C601" s="2">
        <v>8.59643333333333</v>
      </c>
      <c r="D601" s="2" t="s">
        <v>51</v>
      </c>
      <c r="E601" s="2" t="s">
        <v>4379</v>
      </c>
      <c r="F601" s="2">
        <v>46996</v>
      </c>
      <c r="G601" s="3" t="str">
        <f>HYPERLINK("https://cloud.oebiotech.com/#/lm/network/46996", "https://cloud.oebiotech.com/#/lm/network/46996")</f>
        <v>https://cloud.oebiotech.com/#/lm/network/46996</v>
      </c>
      <c r="H601" s="2" t="s">
        <v>4380</v>
      </c>
      <c r="I601" s="2">
        <v>5315</v>
      </c>
      <c r="J601" s="2"/>
      <c r="K601" s="2">
        <v>53477683</v>
      </c>
      <c r="L601" s="2"/>
      <c r="M601" s="2"/>
      <c r="N601" s="2"/>
      <c r="O601" s="2">
        <v>89219</v>
      </c>
      <c r="P601" s="2"/>
      <c r="Q601" s="2"/>
      <c r="R601" s="2" t="s">
        <v>4381</v>
      </c>
      <c r="S601" s="2" t="s">
        <v>4382</v>
      </c>
      <c r="T601" s="2" t="s">
        <v>4383</v>
      </c>
      <c r="U601" s="2" t="s">
        <v>56</v>
      </c>
      <c r="V601" s="2" t="s">
        <v>283</v>
      </c>
      <c r="W601" s="2" t="s">
        <v>2042</v>
      </c>
      <c r="X601" s="2" t="s">
        <v>69</v>
      </c>
      <c r="Y601" s="2">
        <v>60.2</v>
      </c>
      <c r="Z601" s="2">
        <v>96.1</v>
      </c>
      <c r="AA601" s="2" t="s">
        <v>512</v>
      </c>
      <c r="AB601" s="2" t="s">
        <v>2044</v>
      </c>
      <c r="AC601" s="2">
        <v>1.51117982644145</v>
      </c>
      <c r="AD601" s="2"/>
      <c r="AE601" s="2">
        <v>0.919981086678344</v>
      </c>
      <c r="AF601" s="2">
        <v>85128.344543471307</v>
      </c>
      <c r="AG601" s="2">
        <v>20412.673927133299</v>
      </c>
      <c r="AH601" s="5">
        <v>4.1703671379532299</v>
      </c>
      <c r="AI601" s="5">
        <v>2.06017439680882</v>
      </c>
      <c r="AJ601" s="5" t="s">
        <v>139</v>
      </c>
      <c r="AK601" s="2">
        <v>0.31573103099426397</v>
      </c>
      <c r="AL601" s="2">
        <v>0.62462350250347998</v>
      </c>
      <c r="AM601" s="2">
        <v>6111.8809078934901</v>
      </c>
      <c r="AN601" s="2">
        <v>11417.754441654401</v>
      </c>
      <c r="AO601" s="2">
        <v>8476.9136346578998</v>
      </c>
      <c r="AP601" s="2">
        <v>11033.595881621701</v>
      </c>
      <c r="AQ601" s="2">
        <v>382152.32619809301</v>
      </c>
      <c r="AR601" s="2">
        <v>91577.596196907194</v>
      </c>
      <c r="AS601" s="2">
        <v>10817.9683164822</v>
      </c>
      <c r="AT601" s="2">
        <v>52910.882478356703</v>
      </c>
      <c r="AU601" s="2">
        <v>14498.2528633889</v>
      </c>
      <c r="AV601" s="2">
        <v>19686.204511076201</v>
      </c>
      <c r="AW601" s="2">
        <v>10263.435386479599</v>
      </c>
      <c r="AX601" s="2">
        <v>14299.300007016</v>
      </c>
    </row>
    <row r="602" spans="1:50" x14ac:dyDescent="0.25">
      <c r="A602" s="2" t="s">
        <v>4384</v>
      </c>
      <c r="B602" s="2">
        <v>629.45511159027296</v>
      </c>
      <c r="C602" s="2">
        <v>12.55655</v>
      </c>
      <c r="D602" s="2" t="s">
        <v>51</v>
      </c>
      <c r="E602" s="2" t="s">
        <v>4385</v>
      </c>
      <c r="F602" s="2">
        <v>36823</v>
      </c>
      <c r="G602" s="3" t="str">
        <f>HYPERLINK("https://cloud.oebiotech.com/#/lm/network/36823", "https://cloud.oebiotech.com/#/lm/network/36823")</f>
        <v>https://cloud.oebiotech.com/#/lm/network/36823</v>
      </c>
      <c r="H602" s="2"/>
      <c r="I602" s="2"/>
      <c r="J602" s="2" t="s">
        <v>4386</v>
      </c>
      <c r="K602" s="2">
        <v>87443186</v>
      </c>
      <c r="L602" s="2"/>
      <c r="M602" s="2"/>
      <c r="N602" s="2"/>
      <c r="O602" s="2"/>
      <c r="P602" s="2"/>
      <c r="Q602" s="2"/>
      <c r="R602" s="2"/>
      <c r="S602" s="2" t="s">
        <v>4387</v>
      </c>
      <c r="T602" s="2" t="s">
        <v>4388</v>
      </c>
      <c r="U602" s="2" t="s">
        <v>56</v>
      </c>
      <c r="V602" s="2" t="s">
        <v>177</v>
      </c>
      <c r="W602" s="2" t="s">
        <v>928</v>
      </c>
      <c r="X602" s="2" t="s">
        <v>147</v>
      </c>
      <c r="Y602" s="2">
        <v>42.8</v>
      </c>
      <c r="Z602" s="2">
        <v>21.6</v>
      </c>
      <c r="AA602" s="2" t="s">
        <v>218</v>
      </c>
      <c r="AB602" s="2" t="s">
        <v>4389</v>
      </c>
      <c r="AC602" s="2">
        <v>-4.1447589550910102</v>
      </c>
      <c r="AD602" s="2"/>
      <c r="AE602" s="2">
        <v>0.91924322035607198</v>
      </c>
      <c r="AF602" s="2">
        <v>50966.609474783399</v>
      </c>
      <c r="AG602" s="2">
        <v>77317.102248162497</v>
      </c>
      <c r="AH602" s="4">
        <v>0.65918933835876703</v>
      </c>
      <c r="AI602" s="4">
        <v>-0.601235186136441</v>
      </c>
      <c r="AJ602" s="4" t="s">
        <v>62</v>
      </c>
      <c r="AK602" s="2">
        <v>0.14165431515377899</v>
      </c>
      <c r="AL602" s="2">
        <v>0.46310664596254802</v>
      </c>
      <c r="AM602" s="2">
        <v>41407.116963688</v>
      </c>
      <c r="AN602" s="2">
        <v>44475.878534786003</v>
      </c>
      <c r="AO602" s="2">
        <v>43882.549734149099</v>
      </c>
      <c r="AP602" s="2">
        <v>30607.077449870099</v>
      </c>
      <c r="AQ602" s="2">
        <v>68008.917792893</v>
      </c>
      <c r="AR602" s="2">
        <v>77418.1163733141</v>
      </c>
      <c r="AS602" s="2">
        <v>40068.913793607899</v>
      </c>
      <c r="AT602" s="2">
        <v>22625.404156876899</v>
      </c>
      <c r="AU602" s="2">
        <v>96837.856320968596</v>
      </c>
      <c r="AV602" s="2">
        <v>108443.83679188701</v>
      </c>
      <c r="AW602" s="2">
        <v>100419.46664680001</v>
      </c>
      <c r="AX602" s="2">
        <v>95507.135778834505</v>
      </c>
    </row>
    <row r="603" spans="1:50" x14ac:dyDescent="0.25">
      <c r="A603" s="2" t="s">
        <v>4390</v>
      </c>
      <c r="B603" s="2">
        <v>433.22107177762302</v>
      </c>
      <c r="C603" s="2">
        <v>5.9617833333333303</v>
      </c>
      <c r="D603" s="2" t="s">
        <v>51</v>
      </c>
      <c r="E603" s="2" t="s">
        <v>4391</v>
      </c>
      <c r="F603" s="2">
        <v>204882</v>
      </c>
      <c r="G603" s="3" t="str">
        <f>HYPERLINK("https://cloud.oebiotech.com/#/lm/network/204882", "https://cloud.oebiotech.com/#/lm/network/204882")</f>
        <v>https://cloud.oebiotech.com/#/lm/network/204882</v>
      </c>
      <c r="H603" s="2" t="s">
        <v>4392</v>
      </c>
      <c r="I603" s="2"/>
      <c r="J603" s="2"/>
      <c r="K603" s="2">
        <v>24820800</v>
      </c>
      <c r="L603" s="2"/>
      <c r="M603" s="2"/>
      <c r="N603" s="2"/>
      <c r="O603" s="2"/>
      <c r="P603" s="2"/>
      <c r="Q603" s="2"/>
      <c r="R603" s="2"/>
      <c r="S603" s="2" t="s">
        <v>4393</v>
      </c>
      <c r="T603" s="2" t="s">
        <v>4394</v>
      </c>
      <c r="U603" s="2" t="s">
        <v>266</v>
      </c>
      <c r="V603" s="2" t="s">
        <v>1585</v>
      </c>
      <c r="W603" s="2" t="s">
        <v>4395</v>
      </c>
      <c r="X603" s="2" t="s">
        <v>59</v>
      </c>
      <c r="Y603" s="2">
        <v>52.8</v>
      </c>
      <c r="Z603" s="2">
        <v>73.3</v>
      </c>
      <c r="AA603" s="2" t="s">
        <v>95</v>
      </c>
      <c r="AB603" s="2" t="s">
        <v>4396</v>
      </c>
      <c r="AC603" s="2">
        <v>0.14688681943001</v>
      </c>
      <c r="AD603" s="2"/>
      <c r="AE603" s="2">
        <v>0.91658351968305996</v>
      </c>
      <c r="AF603" s="2">
        <v>48806.497256896502</v>
      </c>
      <c r="AG603" s="2">
        <v>28445.231674013201</v>
      </c>
      <c r="AH603" s="5">
        <v>1.7158059324749599</v>
      </c>
      <c r="AI603" s="5">
        <v>0.77888638495338802</v>
      </c>
      <c r="AJ603" s="5" t="s">
        <v>139</v>
      </c>
      <c r="AK603" s="2">
        <v>8.3068869153008498E-2</v>
      </c>
      <c r="AL603" s="2">
        <v>0.37259997232052</v>
      </c>
      <c r="AM603" s="2">
        <v>91780.467188118899</v>
      </c>
      <c r="AN603" s="2">
        <v>52961.727340662597</v>
      </c>
      <c r="AO603" s="2">
        <v>31969.740180822399</v>
      </c>
      <c r="AP603" s="2">
        <v>41469.818234052902</v>
      </c>
      <c r="AQ603" s="2">
        <v>25992.089922907799</v>
      </c>
      <c r="AR603" s="2">
        <v>48665.1406748144</v>
      </c>
      <c r="AS603" s="2">
        <v>41390.106156653397</v>
      </c>
      <c r="AT603" s="2">
        <v>26409.887208536598</v>
      </c>
      <c r="AU603" s="2">
        <v>29923.956588822399</v>
      </c>
      <c r="AV603" s="2">
        <v>10118.743402296401</v>
      </c>
      <c r="AW603" s="2">
        <v>24139.226099174299</v>
      </c>
      <c r="AX603" s="2">
        <v>38689.470588596203</v>
      </c>
    </row>
    <row r="604" spans="1:50" x14ac:dyDescent="0.25">
      <c r="A604" s="2" t="s">
        <v>4397</v>
      </c>
      <c r="B604" s="2">
        <v>449.21601564663501</v>
      </c>
      <c r="C604" s="2">
        <v>4.7497999999999996</v>
      </c>
      <c r="D604" s="2" t="s">
        <v>51</v>
      </c>
      <c r="E604" s="2" t="s">
        <v>4398</v>
      </c>
      <c r="F604" s="2">
        <v>255048</v>
      </c>
      <c r="G604" s="3" t="str">
        <f>HYPERLINK("https://cloud.oebiotech.com/#/lm/network/255048", "https://cloud.oebiotech.com/#/lm/network/255048")</f>
        <v>https://cloud.oebiotech.com/#/lm/network/255048</v>
      </c>
      <c r="H604" s="2" t="s">
        <v>4399</v>
      </c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 t="s">
        <v>4400</v>
      </c>
      <c r="T604" s="2" t="s">
        <v>4401</v>
      </c>
      <c r="U604" s="2" t="s">
        <v>56</v>
      </c>
      <c r="V604" s="2" t="s">
        <v>177</v>
      </c>
      <c r="W604" s="2" t="s">
        <v>394</v>
      </c>
      <c r="X604" s="2" t="s">
        <v>59</v>
      </c>
      <c r="Y604" s="2">
        <v>47.8</v>
      </c>
      <c r="Z604" s="2">
        <v>49.4</v>
      </c>
      <c r="AA604" s="2" t="s">
        <v>60</v>
      </c>
      <c r="AB604" s="2" t="s">
        <v>3278</v>
      </c>
      <c r="AC604" s="2">
        <v>3.34780583610757</v>
      </c>
      <c r="AD604" s="2"/>
      <c r="AE604" s="2">
        <v>0.915594147512381</v>
      </c>
      <c r="AF604" s="2">
        <v>41062.0840554678</v>
      </c>
      <c r="AG604" s="2">
        <v>22067.494200887999</v>
      </c>
      <c r="AH604" s="5">
        <v>1.8607497381291001</v>
      </c>
      <c r="AI604" s="5">
        <v>0.89588403291515495</v>
      </c>
      <c r="AJ604" s="5" t="s">
        <v>139</v>
      </c>
      <c r="AK604" s="2">
        <v>4.0818351938218603E-2</v>
      </c>
      <c r="AL604" s="2">
        <v>0.29155452793099101</v>
      </c>
      <c r="AM604" s="2">
        <v>72995.821858111798</v>
      </c>
      <c r="AN604" s="2">
        <v>42062.424152240303</v>
      </c>
      <c r="AO604" s="2">
        <v>28550.338668532298</v>
      </c>
      <c r="AP604" s="2">
        <v>40828.331213955003</v>
      </c>
      <c r="AQ604" s="2">
        <v>20407.576877520401</v>
      </c>
      <c r="AR604" s="2">
        <v>41528.011562446802</v>
      </c>
      <c r="AS604" s="2">
        <v>31856.006919413299</v>
      </c>
      <c r="AT604" s="2">
        <v>17887.365392419899</v>
      </c>
      <c r="AU604" s="2">
        <v>32155.9807494548</v>
      </c>
      <c r="AV604" s="2">
        <v>10716.8607501145</v>
      </c>
      <c r="AW604" s="2">
        <v>18065.418266862001</v>
      </c>
      <c r="AX604" s="2">
        <v>21723.333127063699</v>
      </c>
    </row>
    <row r="605" spans="1:50" x14ac:dyDescent="0.25">
      <c r="A605" s="2" t="s">
        <v>4402</v>
      </c>
      <c r="B605" s="2">
        <v>419.15320328508898</v>
      </c>
      <c r="C605" s="2">
        <v>10.9866666666667</v>
      </c>
      <c r="D605" s="2" t="s">
        <v>51</v>
      </c>
      <c r="E605" s="2" t="s">
        <v>4403</v>
      </c>
      <c r="F605" s="2">
        <v>211685</v>
      </c>
      <c r="G605" s="3" t="str">
        <f>HYPERLINK("https://cloud.oebiotech.com/#/lm/network/211685", "https://cloud.oebiotech.com/#/lm/network/211685")</f>
        <v>https://cloud.oebiotech.com/#/lm/network/211685</v>
      </c>
      <c r="H605" s="2" t="s">
        <v>4404</v>
      </c>
      <c r="I605" s="2"/>
      <c r="J605" s="2"/>
      <c r="K605" s="2">
        <v>136174278</v>
      </c>
      <c r="L605" s="2"/>
      <c r="M605" s="2"/>
      <c r="N605" s="2"/>
      <c r="O605" s="2"/>
      <c r="P605" s="2"/>
      <c r="Q605" s="2"/>
      <c r="R605" s="2"/>
      <c r="S605" s="2" t="s">
        <v>4405</v>
      </c>
      <c r="T605" s="2" t="s">
        <v>4406</v>
      </c>
      <c r="U605" s="2" t="s">
        <v>266</v>
      </c>
      <c r="V605" s="2" t="s">
        <v>1393</v>
      </c>
      <c r="W605" s="2" t="s">
        <v>1394</v>
      </c>
      <c r="X605" s="2" t="s">
        <v>147</v>
      </c>
      <c r="Y605" s="2">
        <v>40.799999999999997</v>
      </c>
      <c r="Z605" s="2">
        <v>19.7</v>
      </c>
      <c r="AA605" s="2" t="s">
        <v>478</v>
      </c>
      <c r="AB605" s="2" t="s">
        <v>4407</v>
      </c>
      <c r="AC605" s="2">
        <v>4.4121844806654202</v>
      </c>
      <c r="AD605" s="2"/>
      <c r="AE605" s="2">
        <v>0.91542394713257402</v>
      </c>
      <c r="AF605" s="2">
        <v>51367.239053926598</v>
      </c>
      <c r="AG605" s="2">
        <v>35369.182150534099</v>
      </c>
      <c r="AH605" s="5">
        <v>1.4523162801815299</v>
      </c>
      <c r="AI605" s="5">
        <v>0.53835567245252403</v>
      </c>
      <c r="AJ605" s="5" t="s">
        <v>139</v>
      </c>
      <c r="AK605" s="2">
        <v>1.36671705308332E-3</v>
      </c>
      <c r="AL605" s="2">
        <v>9.6009314101857798E-2</v>
      </c>
      <c r="AM605" s="2">
        <v>62737.412856965697</v>
      </c>
      <c r="AN605" s="2">
        <v>54280.959279972201</v>
      </c>
      <c r="AO605" s="2">
        <v>47797.691395572801</v>
      </c>
      <c r="AP605" s="2">
        <v>46365.722361736996</v>
      </c>
      <c r="AQ605" s="2">
        <v>45998.789223178501</v>
      </c>
      <c r="AR605" s="2">
        <v>51022.8592061335</v>
      </c>
      <c r="AS605" s="2">
        <v>41274.079197534003</v>
      </c>
      <c r="AT605" s="2">
        <v>36307.821822163904</v>
      </c>
      <c r="AU605" s="2">
        <v>36129.184571927202</v>
      </c>
      <c r="AV605" s="2">
        <v>32622.746124526799</v>
      </c>
      <c r="AW605" s="2">
        <v>41282.904480837999</v>
      </c>
      <c r="AX605" s="2">
        <v>24598.356706214901</v>
      </c>
    </row>
    <row r="606" spans="1:50" x14ac:dyDescent="0.25">
      <c r="A606" s="2" t="s">
        <v>4408</v>
      </c>
      <c r="B606" s="2">
        <v>326.08648942882297</v>
      </c>
      <c r="C606" s="2">
        <v>5.5480499999999999</v>
      </c>
      <c r="D606" s="2" t="s">
        <v>51</v>
      </c>
      <c r="E606" s="2" t="s">
        <v>4409</v>
      </c>
      <c r="F606" s="2">
        <v>52989</v>
      </c>
      <c r="G606" s="3" t="str">
        <f>HYPERLINK("https://cloud.oebiotech.com/#/lm/network/52989", "https://cloud.oebiotech.com/#/lm/network/52989")</f>
        <v>https://cloud.oebiotech.com/#/lm/network/52989</v>
      </c>
      <c r="H606" s="2" t="s">
        <v>4410</v>
      </c>
      <c r="I606" s="2">
        <v>1293</v>
      </c>
      <c r="J606" s="2"/>
      <c r="K606" s="2">
        <v>4192</v>
      </c>
      <c r="L606" s="2" t="s">
        <v>4411</v>
      </c>
      <c r="M606" s="2"/>
      <c r="N606" s="2"/>
      <c r="O606" s="2">
        <v>6931</v>
      </c>
      <c r="P606" s="2"/>
      <c r="Q606" s="2"/>
      <c r="R606" s="2" t="s">
        <v>4412</v>
      </c>
      <c r="S606" s="2" t="s">
        <v>4413</v>
      </c>
      <c r="T606" s="2" t="s">
        <v>4414</v>
      </c>
      <c r="U606" s="2" t="s">
        <v>266</v>
      </c>
      <c r="V606" s="2" t="s">
        <v>4415</v>
      </c>
      <c r="W606" s="2" t="s">
        <v>4416</v>
      </c>
      <c r="X606" s="2" t="s">
        <v>59</v>
      </c>
      <c r="Y606" s="2">
        <v>50.1</v>
      </c>
      <c r="Z606" s="2">
        <v>67.400000000000006</v>
      </c>
      <c r="AA606" s="2" t="s">
        <v>259</v>
      </c>
      <c r="AB606" s="2" t="s">
        <v>4417</v>
      </c>
      <c r="AC606" s="2">
        <v>3.1058542301936098</v>
      </c>
      <c r="AD606" s="2"/>
      <c r="AE606" s="2">
        <v>0.91471908257572099</v>
      </c>
      <c r="AF606" s="2">
        <v>4821.0283449019698</v>
      </c>
      <c r="AG606" s="2">
        <v>31466.177700795201</v>
      </c>
      <c r="AH606" s="4">
        <v>0.15321302735731199</v>
      </c>
      <c r="AI606" s="4">
        <v>-2.70638912331157</v>
      </c>
      <c r="AJ606" s="4" t="s">
        <v>62</v>
      </c>
      <c r="AK606" s="2">
        <v>0.12976573049959</v>
      </c>
      <c r="AL606" s="2">
        <v>0.44843954713391498</v>
      </c>
      <c r="AM606" s="2">
        <v>13.0193355903487</v>
      </c>
      <c r="AN606" s="2">
        <v>873.764220086416</v>
      </c>
      <c r="AO606" s="2">
        <v>16744.906844201199</v>
      </c>
      <c r="AP606" s="2">
        <v>5759.6767283980598</v>
      </c>
      <c r="AQ606" s="2">
        <v>917.001873211511</v>
      </c>
      <c r="AR606" s="2">
        <v>4617.8010679242698</v>
      </c>
      <c r="AS606" s="2">
        <v>1012.92170265877</v>
      </c>
      <c r="AT606" s="2">
        <v>310.73015148986701</v>
      </c>
      <c r="AU606" s="2">
        <v>31231.9659871935</v>
      </c>
      <c r="AV606" s="2">
        <v>57319.341038583101</v>
      </c>
      <c r="AW606" s="2">
        <v>96383.250582126493</v>
      </c>
      <c r="AX606" s="2">
        <v>2538.8567427194698</v>
      </c>
    </row>
    <row r="607" spans="1:50" x14ac:dyDescent="0.25">
      <c r="A607" s="2" t="s">
        <v>4418</v>
      </c>
      <c r="B607" s="2">
        <v>277.21700569940299</v>
      </c>
      <c r="C607" s="2">
        <v>10.21335</v>
      </c>
      <c r="D607" s="2" t="s">
        <v>51</v>
      </c>
      <c r="E607" s="2" t="s">
        <v>4419</v>
      </c>
      <c r="F607" s="2">
        <v>58581</v>
      </c>
      <c r="G607" s="3" t="str">
        <f>HYPERLINK("https://cloud.oebiotech.com/#/lm/network/58581", "https://cloud.oebiotech.com/#/lm/network/58581")</f>
        <v>https://cloud.oebiotech.com/#/lm/network/58581</v>
      </c>
      <c r="H607" s="2" t="s">
        <v>4420</v>
      </c>
      <c r="I607" s="2">
        <v>90049</v>
      </c>
      <c r="J607" s="2"/>
      <c r="K607" s="2">
        <v>13917179</v>
      </c>
      <c r="L607" s="2"/>
      <c r="M607" s="2"/>
      <c r="N607" s="2"/>
      <c r="O607" s="2"/>
      <c r="P607" s="2"/>
      <c r="Q607" s="2"/>
      <c r="R607" s="2" t="s">
        <v>4421</v>
      </c>
      <c r="S607" s="2" t="s">
        <v>4422</v>
      </c>
      <c r="T607" s="2" t="s">
        <v>4423</v>
      </c>
      <c r="U607" s="2" t="s">
        <v>56</v>
      </c>
      <c r="V607" s="2" t="s">
        <v>145</v>
      </c>
      <c r="W607" s="2" t="s">
        <v>203</v>
      </c>
      <c r="X607" s="2" t="s">
        <v>83</v>
      </c>
      <c r="Y607" s="2">
        <v>52</v>
      </c>
      <c r="Z607" s="2">
        <v>40.799999999999997</v>
      </c>
      <c r="AA607" s="2" t="s">
        <v>156</v>
      </c>
      <c r="AB607" s="2" t="s">
        <v>1722</v>
      </c>
      <c r="AC607" s="2">
        <v>2.7160967830203901</v>
      </c>
      <c r="AD607" s="2"/>
      <c r="AE607" s="2">
        <v>0.91447391308181603</v>
      </c>
      <c r="AF607" s="2">
        <v>99794.595209096602</v>
      </c>
      <c r="AG607" s="2">
        <v>178445.00681495099</v>
      </c>
      <c r="AH607" s="4">
        <v>0.55924565775373303</v>
      </c>
      <c r="AI607" s="4">
        <v>-0.83844594532219197</v>
      </c>
      <c r="AJ607" s="4" t="s">
        <v>62</v>
      </c>
      <c r="AK607" s="2">
        <v>0.32320574892327503</v>
      </c>
      <c r="AL607" s="2">
        <v>0.62992073899545697</v>
      </c>
      <c r="AM607" s="2">
        <v>108746.464523057</v>
      </c>
      <c r="AN607" s="2">
        <v>143972.50525588999</v>
      </c>
      <c r="AO607" s="2">
        <v>112177.863663433</v>
      </c>
      <c r="AP607" s="2">
        <v>59006.523572887098</v>
      </c>
      <c r="AQ607" s="2">
        <v>109115.192988656</v>
      </c>
      <c r="AR607" s="2">
        <v>65749.021250656704</v>
      </c>
      <c r="AS607" s="2">
        <v>92750.023692136805</v>
      </c>
      <c r="AT607" s="2">
        <v>42204.012461026301</v>
      </c>
      <c r="AU607" s="2">
        <v>542144.98795488395</v>
      </c>
      <c r="AV607" s="2">
        <v>145465.53429149999</v>
      </c>
      <c r="AW607" s="2">
        <v>152095.300156262</v>
      </c>
      <c r="AX607" s="2">
        <v>96010.182333896795</v>
      </c>
    </row>
    <row r="608" spans="1:50" x14ac:dyDescent="0.25">
      <c r="A608" s="2" t="s">
        <v>4424</v>
      </c>
      <c r="B608" s="2">
        <v>559.47343584239604</v>
      </c>
      <c r="C608" s="2">
        <v>13.510733333333301</v>
      </c>
      <c r="D608" s="2" t="s">
        <v>51</v>
      </c>
      <c r="E608" s="2" t="s">
        <v>4425</v>
      </c>
      <c r="F608" s="2">
        <v>209380</v>
      </c>
      <c r="G608" s="3" t="str">
        <f>HYPERLINK("https://cloud.oebiotech.com/#/lm/network/209380", "https://cloud.oebiotech.com/#/lm/network/209380")</f>
        <v>https://cloud.oebiotech.com/#/lm/network/209380</v>
      </c>
      <c r="H608" s="2" t="s">
        <v>4426</v>
      </c>
      <c r="I608" s="2"/>
      <c r="J608" s="2"/>
      <c r="K608" s="2">
        <v>53801146</v>
      </c>
      <c r="L608" s="2"/>
      <c r="M608" s="2"/>
      <c r="N608" s="2"/>
      <c r="O608" s="2"/>
      <c r="P608" s="2"/>
      <c r="Q608" s="2"/>
      <c r="R608" s="2"/>
      <c r="S608" s="2" t="s">
        <v>4427</v>
      </c>
      <c r="T608" s="2" t="s">
        <v>4428</v>
      </c>
      <c r="U608" s="2" t="s">
        <v>56</v>
      </c>
      <c r="V608" s="2" t="s">
        <v>145</v>
      </c>
      <c r="W608" s="2" t="s">
        <v>231</v>
      </c>
      <c r="X608" s="2" t="s">
        <v>69</v>
      </c>
      <c r="Y608" s="2">
        <v>59.6</v>
      </c>
      <c r="Z608" s="2">
        <v>58.4</v>
      </c>
      <c r="AA608" s="2" t="s">
        <v>163</v>
      </c>
      <c r="AB608" s="2" t="s">
        <v>4429</v>
      </c>
      <c r="AC608" s="2">
        <v>0.44915691758252702</v>
      </c>
      <c r="AD608" s="2"/>
      <c r="AE608" s="2">
        <v>0.91329431892091695</v>
      </c>
      <c r="AF608" s="2">
        <v>41653.939749911297</v>
      </c>
      <c r="AG608" s="2">
        <v>25292.212577273302</v>
      </c>
      <c r="AH608" s="5">
        <v>1.6469077042053699</v>
      </c>
      <c r="AI608" s="5">
        <v>0.71975970599550398</v>
      </c>
      <c r="AJ608" s="5" t="s">
        <v>139</v>
      </c>
      <c r="AK608" s="2">
        <v>5.7824140322631001E-2</v>
      </c>
      <c r="AL608" s="2">
        <v>0.32737047658688001</v>
      </c>
      <c r="AM608" s="2">
        <v>61501.626219140897</v>
      </c>
      <c r="AN608" s="2">
        <v>60403.933995696898</v>
      </c>
      <c r="AO608" s="2">
        <v>29428.1451382128</v>
      </c>
      <c r="AP608" s="2">
        <v>27937.831787453</v>
      </c>
      <c r="AQ608" s="2">
        <v>36330.369826362803</v>
      </c>
      <c r="AR608" s="2">
        <v>34321.731532601501</v>
      </c>
      <c r="AS608" s="2">
        <v>19445.070490225899</v>
      </c>
      <c r="AT608" s="2">
        <v>42441.665603547299</v>
      </c>
      <c r="AU608" s="2">
        <v>34290.700129991099</v>
      </c>
      <c r="AV608" s="2">
        <v>16917.963928396999</v>
      </c>
      <c r="AW608" s="2">
        <v>23478.806551318699</v>
      </c>
      <c r="AX608" s="2">
        <v>15179.0687601595</v>
      </c>
    </row>
    <row r="609" spans="1:50" x14ac:dyDescent="0.25">
      <c r="A609" s="2" t="s">
        <v>4430</v>
      </c>
      <c r="B609" s="2">
        <v>339.30159957796599</v>
      </c>
      <c r="C609" s="2">
        <v>11.0475666666667</v>
      </c>
      <c r="D609" s="2" t="s">
        <v>51</v>
      </c>
      <c r="E609" s="2" t="s">
        <v>4431</v>
      </c>
      <c r="F609" s="2">
        <v>9019</v>
      </c>
      <c r="G609" s="3" t="str">
        <f>HYPERLINK("https://cloud.oebiotech.com/#/lm/network/9019", "https://cloud.oebiotech.com/#/lm/network/9019")</f>
        <v>https://cloud.oebiotech.com/#/lm/network/9019</v>
      </c>
      <c r="H609" s="2" t="s">
        <v>4432</v>
      </c>
      <c r="I609" s="2"/>
      <c r="J609" s="2" t="s">
        <v>4433</v>
      </c>
      <c r="K609" s="2">
        <v>5283449</v>
      </c>
      <c r="L609" s="2" t="s">
        <v>4434</v>
      </c>
      <c r="M609" s="2"/>
      <c r="N609" s="2"/>
      <c r="O609" s="2">
        <v>613508</v>
      </c>
      <c r="P609" s="2"/>
      <c r="Q609" s="2"/>
      <c r="R609" s="2"/>
      <c r="S609" s="2" t="s">
        <v>4435</v>
      </c>
      <c r="T609" s="2" t="s">
        <v>4436</v>
      </c>
      <c r="U609" s="2" t="s">
        <v>119</v>
      </c>
      <c r="V609" s="2" t="s">
        <v>120</v>
      </c>
      <c r="W609" s="2" t="s">
        <v>1887</v>
      </c>
      <c r="X609" s="2" t="s">
        <v>147</v>
      </c>
      <c r="Y609" s="2">
        <v>41.3</v>
      </c>
      <c r="Z609" s="2">
        <v>39.700000000000003</v>
      </c>
      <c r="AA609" s="2" t="s">
        <v>512</v>
      </c>
      <c r="AB609" s="2" t="s">
        <v>4437</v>
      </c>
      <c r="AC609" s="2">
        <v>3.0961234093396901</v>
      </c>
      <c r="AD609" s="2"/>
      <c r="AE609" s="2">
        <v>0.913282276960516</v>
      </c>
      <c r="AF609" s="2">
        <v>90326.254603149297</v>
      </c>
      <c r="AG609" s="2">
        <v>35723.917335597303</v>
      </c>
      <c r="AH609" s="5">
        <v>2.5284532419725201</v>
      </c>
      <c r="AI609" s="5">
        <v>1.3382550993281199</v>
      </c>
      <c r="AJ609" s="5" t="s">
        <v>139</v>
      </c>
      <c r="AK609" s="2">
        <v>0.275049228482875</v>
      </c>
      <c r="AL609" s="2">
        <v>0.59510469005205202</v>
      </c>
      <c r="AM609" s="2">
        <v>10942.6653690938</v>
      </c>
      <c r="AN609" s="2">
        <v>31389.563240947002</v>
      </c>
      <c r="AO609" s="2">
        <v>147868.06915065699</v>
      </c>
      <c r="AP609" s="2">
        <v>30774.372182046802</v>
      </c>
      <c r="AQ609" s="2">
        <v>301844.54728139198</v>
      </c>
      <c r="AR609" s="2">
        <v>19138.310394759101</v>
      </c>
      <c r="AS609" s="2">
        <v>50844.5232336677</v>
      </c>
      <c r="AT609" s="2">
        <v>27127.085414907</v>
      </c>
      <c r="AU609" s="2">
        <v>43822.1392535618</v>
      </c>
      <c r="AV609" s="2">
        <v>36106.529489409899</v>
      </c>
      <c r="AW609" s="2">
        <v>19354.869592025902</v>
      </c>
      <c r="AX609" s="2">
        <v>37088.357030011801</v>
      </c>
    </row>
    <row r="610" spans="1:50" x14ac:dyDescent="0.25">
      <c r="A610" s="2" t="s">
        <v>4438</v>
      </c>
      <c r="B610" s="2">
        <v>592.36234530344802</v>
      </c>
      <c r="C610" s="2">
        <v>11.4638333333333</v>
      </c>
      <c r="D610" s="2" t="s">
        <v>51</v>
      </c>
      <c r="E610" s="2" t="s">
        <v>4439</v>
      </c>
      <c r="F610" s="2">
        <v>210525</v>
      </c>
      <c r="G610" s="3" t="str">
        <f>HYPERLINK("https://cloud.oebiotech.com/#/lm/network/210525", "https://cloud.oebiotech.com/#/lm/network/210525")</f>
        <v>https://cloud.oebiotech.com/#/lm/network/210525</v>
      </c>
      <c r="H610" s="2" t="s">
        <v>4440</v>
      </c>
      <c r="I610" s="2"/>
      <c r="J610" s="2"/>
      <c r="K610" s="2">
        <v>9985914</v>
      </c>
      <c r="L610" s="2"/>
      <c r="M610" s="2"/>
      <c r="N610" s="2"/>
      <c r="O610" s="2"/>
      <c r="P610" s="2"/>
      <c r="Q610" s="2"/>
      <c r="R610" s="2"/>
      <c r="S610" s="2" t="s">
        <v>4441</v>
      </c>
      <c r="T610" s="2" t="s">
        <v>4442</v>
      </c>
      <c r="U610" s="2" t="s">
        <v>56</v>
      </c>
      <c r="V610" s="2" t="s">
        <v>57</v>
      </c>
      <c r="W610" s="2" t="s">
        <v>58</v>
      </c>
      <c r="X610" s="2" t="s">
        <v>83</v>
      </c>
      <c r="Y610" s="2">
        <v>42.2</v>
      </c>
      <c r="Z610" s="2">
        <v>1.55</v>
      </c>
      <c r="AA610" s="2" t="s">
        <v>163</v>
      </c>
      <c r="AB610" s="2" t="s">
        <v>4262</v>
      </c>
      <c r="AC610" s="2">
        <v>0.59445054961435295</v>
      </c>
      <c r="AD610" s="2"/>
      <c r="AE610" s="2">
        <v>0.91320474677946495</v>
      </c>
      <c r="AF610" s="2">
        <v>170350.91331118799</v>
      </c>
      <c r="AG610" s="2">
        <v>222438.41007057799</v>
      </c>
      <c r="AH610" s="4">
        <v>0.765834071809529</v>
      </c>
      <c r="AI610" s="4">
        <v>-0.38489624804850298</v>
      </c>
      <c r="AJ610" s="4" t="s">
        <v>62</v>
      </c>
      <c r="AK610" s="2">
        <v>0.34912002715446</v>
      </c>
      <c r="AL610" s="2">
        <v>0.64215371721394598</v>
      </c>
      <c r="AM610" s="2">
        <v>219763.94158847799</v>
      </c>
      <c r="AN610" s="2">
        <v>197758.387526534</v>
      </c>
      <c r="AO610" s="2">
        <v>193356.87237686699</v>
      </c>
      <c r="AP610" s="2">
        <v>147824.646284963</v>
      </c>
      <c r="AQ610" s="2">
        <v>128855.103515219</v>
      </c>
      <c r="AR610" s="2">
        <v>134546.52857507</v>
      </c>
      <c r="AS610" s="2">
        <v>74861.423812939</v>
      </c>
      <c r="AT610" s="2">
        <v>65534.7197491236</v>
      </c>
      <c r="AU610" s="2">
        <v>289258.51741771499</v>
      </c>
      <c r="AV610" s="2">
        <v>371518.92741596699</v>
      </c>
      <c r="AW610" s="2">
        <v>274096.26271299901</v>
      </c>
      <c r="AX610" s="2">
        <v>259360.60931472501</v>
      </c>
    </row>
    <row r="611" spans="1:50" x14ac:dyDescent="0.25">
      <c r="A611" s="2" t="s">
        <v>4443</v>
      </c>
      <c r="B611" s="2">
        <v>517.39007487806805</v>
      </c>
      <c r="C611" s="2">
        <v>11.948033333333299</v>
      </c>
      <c r="D611" s="2" t="s">
        <v>51</v>
      </c>
      <c r="E611" s="2" t="s">
        <v>4444</v>
      </c>
      <c r="F611" s="2">
        <v>44610</v>
      </c>
      <c r="G611" s="3" t="str">
        <f>HYPERLINK("https://cloud.oebiotech.com/#/lm/network/44610", "https://cloud.oebiotech.com/#/lm/network/44610")</f>
        <v>https://cloud.oebiotech.com/#/lm/network/44610</v>
      </c>
      <c r="H611" s="2"/>
      <c r="I611" s="2"/>
      <c r="J611" s="2" t="s">
        <v>4445</v>
      </c>
      <c r="K611" s="2"/>
      <c r="L611" s="2"/>
      <c r="M611" s="2"/>
      <c r="N611" s="2"/>
      <c r="O611" s="2"/>
      <c r="P611" s="2"/>
      <c r="Q611" s="2"/>
      <c r="R611" s="2"/>
      <c r="S611" s="2" t="s">
        <v>4446</v>
      </c>
      <c r="T611" s="2" t="s">
        <v>4447</v>
      </c>
      <c r="U611" s="2" t="s">
        <v>56</v>
      </c>
      <c r="V611" s="2" t="s">
        <v>283</v>
      </c>
      <c r="W611" s="2" t="s">
        <v>4007</v>
      </c>
      <c r="X611" s="2" t="s">
        <v>69</v>
      </c>
      <c r="Y611" s="2">
        <v>62</v>
      </c>
      <c r="Z611" s="2">
        <v>72.599999999999994</v>
      </c>
      <c r="AA611" s="2" t="s">
        <v>218</v>
      </c>
      <c r="AB611" s="2" t="s">
        <v>4448</v>
      </c>
      <c r="AC611" s="2">
        <v>0.47943639515319297</v>
      </c>
      <c r="AD611" s="2"/>
      <c r="AE611" s="2">
        <v>0.91146937045550303</v>
      </c>
      <c r="AF611" s="2">
        <v>72177.579759016298</v>
      </c>
      <c r="AG611" s="2">
        <v>42182.956928526299</v>
      </c>
      <c r="AH611" s="5">
        <v>1.71106022466163</v>
      </c>
      <c r="AI611" s="5">
        <v>0.77489053965876198</v>
      </c>
      <c r="AJ611" s="5" t="s">
        <v>139</v>
      </c>
      <c r="AK611" s="2">
        <v>7.7515804743512995E-2</v>
      </c>
      <c r="AL611" s="2">
        <v>0.361870085436303</v>
      </c>
      <c r="AM611" s="2">
        <v>55840.729383894002</v>
      </c>
      <c r="AN611" s="2">
        <v>96485.316697967399</v>
      </c>
      <c r="AO611" s="2">
        <v>61037.785085246702</v>
      </c>
      <c r="AP611" s="2">
        <v>55114.0458220812</v>
      </c>
      <c r="AQ611" s="2">
        <v>118171.892751764</v>
      </c>
      <c r="AR611" s="2">
        <v>46415.7088131442</v>
      </c>
      <c r="AS611" s="2">
        <v>43194.8823442664</v>
      </c>
      <c r="AT611" s="2">
        <v>46481.811984345797</v>
      </c>
      <c r="AU611" s="2">
        <v>17205.032906827601</v>
      </c>
      <c r="AV611" s="2">
        <v>13631.381910915699</v>
      </c>
      <c r="AW611" s="2">
        <v>54007.640097577903</v>
      </c>
      <c r="AX611" s="2">
        <v>78576.992327224696</v>
      </c>
    </row>
    <row r="612" spans="1:50" x14ac:dyDescent="0.25">
      <c r="A612" s="2" t="s">
        <v>4449</v>
      </c>
      <c r="B612" s="2">
        <v>342.15736586420502</v>
      </c>
      <c r="C612" s="2">
        <v>2.5478000000000001</v>
      </c>
      <c r="D612" s="2" t="s">
        <v>51</v>
      </c>
      <c r="E612" s="2" t="s">
        <v>4450</v>
      </c>
      <c r="F612" s="2">
        <v>257533</v>
      </c>
      <c r="G612" s="3" t="str">
        <f>HYPERLINK("https://cloud.oebiotech.com/#/lm/network/257533", "https://cloud.oebiotech.com/#/lm/network/257533")</f>
        <v>https://cloud.oebiotech.com/#/lm/network/257533</v>
      </c>
      <c r="H612" s="2" t="s">
        <v>4451</v>
      </c>
      <c r="I612" s="2">
        <v>85802</v>
      </c>
      <c r="J612" s="2"/>
      <c r="K612" s="2">
        <v>6539217</v>
      </c>
      <c r="L612" s="2"/>
      <c r="M612" s="2"/>
      <c r="N612" s="2"/>
      <c r="O612" s="2"/>
      <c r="P612" s="2"/>
      <c r="Q612" s="2"/>
      <c r="R612" s="2"/>
      <c r="S612" s="2" t="s">
        <v>4452</v>
      </c>
      <c r="T612" s="2" t="s">
        <v>4453</v>
      </c>
      <c r="U612" s="2" t="s">
        <v>103</v>
      </c>
      <c r="V612" s="2" t="s">
        <v>104</v>
      </c>
      <c r="W612" s="2" t="s">
        <v>105</v>
      </c>
      <c r="X612" s="2" t="s">
        <v>69</v>
      </c>
      <c r="Y612" s="2">
        <v>57.4</v>
      </c>
      <c r="Z612" s="2">
        <v>93.5</v>
      </c>
      <c r="AA612" s="2" t="s">
        <v>259</v>
      </c>
      <c r="AB612" s="2" t="s">
        <v>4454</v>
      </c>
      <c r="AC612" s="2">
        <v>3.8104786968819702</v>
      </c>
      <c r="AD612" s="2"/>
      <c r="AE612" s="2">
        <v>0.91129182194453195</v>
      </c>
      <c r="AF612" s="2">
        <v>43723.305297737097</v>
      </c>
      <c r="AG612" s="2">
        <v>12659.845370141</v>
      </c>
      <c r="AH612" s="5">
        <v>3.4536997901144302</v>
      </c>
      <c r="AI612" s="5">
        <v>1.78814268329055</v>
      </c>
      <c r="AJ612" s="5" t="s">
        <v>139</v>
      </c>
      <c r="AK612" s="2">
        <v>0.22102368214871801</v>
      </c>
      <c r="AL612" s="2">
        <v>0.54675733371539204</v>
      </c>
      <c r="AM612" s="2">
        <v>21192.735262741899</v>
      </c>
      <c r="AN612" s="2">
        <v>158652.783096</v>
      </c>
      <c r="AO612" s="2">
        <v>15821.3221657748</v>
      </c>
      <c r="AP612" s="2">
        <v>37520.325601004297</v>
      </c>
      <c r="AQ612" s="2">
        <v>12383.0532401252</v>
      </c>
      <c r="AR612" s="2">
        <v>16769.612420776401</v>
      </c>
      <c r="AS612" s="2">
        <v>14938.698718718601</v>
      </c>
      <c r="AT612" s="2">
        <v>33322.803392308197</v>
      </c>
      <c r="AU612" s="2">
        <v>8488.7247058750308</v>
      </c>
      <c r="AV612" s="2">
        <v>648.68292268651305</v>
      </c>
      <c r="AW612" s="2">
        <v>1172.88184962841</v>
      </c>
      <c r="AX612" s="2">
        <v>17387.280631629299</v>
      </c>
    </row>
    <row r="613" spans="1:50" x14ac:dyDescent="0.25">
      <c r="A613" s="2" t="s">
        <v>4455</v>
      </c>
      <c r="B613" s="2">
        <v>334.99425754512401</v>
      </c>
      <c r="C613" s="2">
        <v>9.5426500000000001</v>
      </c>
      <c r="D613" s="2" t="s">
        <v>51</v>
      </c>
      <c r="E613" s="2" t="s">
        <v>4456</v>
      </c>
      <c r="F613" s="2">
        <v>82524</v>
      </c>
      <c r="G613" s="3" t="str">
        <f>HYPERLINK("https://cloud.oebiotech.com/#/lm/network/82524", "https://cloud.oebiotech.com/#/lm/network/82524")</f>
        <v>https://cloud.oebiotech.com/#/lm/network/82524</v>
      </c>
      <c r="H613" s="2" t="s">
        <v>4457</v>
      </c>
      <c r="I613" s="2">
        <v>2423</v>
      </c>
      <c r="J613" s="2"/>
      <c r="K613" s="2">
        <v>13529</v>
      </c>
      <c r="L613" s="2"/>
      <c r="M613" s="2"/>
      <c r="N613" s="2"/>
      <c r="O613" s="2">
        <v>63104</v>
      </c>
      <c r="P613" s="2"/>
      <c r="Q613" s="2"/>
      <c r="R613" s="2" t="s">
        <v>4458</v>
      </c>
      <c r="S613" s="2" t="s">
        <v>4459</v>
      </c>
      <c r="T613" s="2" t="s">
        <v>4460</v>
      </c>
      <c r="U613" s="2" t="s">
        <v>1357</v>
      </c>
      <c r="V613" s="2" t="s">
        <v>1358</v>
      </c>
      <c r="W613" s="2" t="s">
        <v>1359</v>
      </c>
      <c r="X613" s="2" t="s">
        <v>147</v>
      </c>
      <c r="Y613" s="2">
        <v>40.200000000000003</v>
      </c>
      <c r="Z613" s="2">
        <v>4.09</v>
      </c>
      <c r="AA613" s="2" t="s">
        <v>478</v>
      </c>
      <c r="AB613" s="2" t="s">
        <v>1360</v>
      </c>
      <c r="AC613" s="2">
        <v>-1.29174920861635</v>
      </c>
      <c r="AD613" s="2"/>
      <c r="AE613" s="2">
        <v>0.91095644408690102</v>
      </c>
      <c r="AF613" s="2">
        <v>81637.831437527595</v>
      </c>
      <c r="AG613" s="2">
        <v>97884.901646169397</v>
      </c>
      <c r="AH613" s="4">
        <v>0.83401862866071896</v>
      </c>
      <c r="AI613" s="4">
        <v>-0.261848486785421</v>
      </c>
      <c r="AJ613" s="4" t="s">
        <v>62</v>
      </c>
      <c r="AK613" s="2">
        <v>1.3836025015783299E-3</v>
      </c>
      <c r="AL613" s="2">
        <v>9.6009314101857798E-2</v>
      </c>
      <c r="AM613" s="2">
        <v>73103.893743713998</v>
      </c>
      <c r="AN613" s="2">
        <v>80637.015107592597</v>
      </c>
      <c r="AO613" s="2">
        <v>82221.131677608995</v>
      </c>
      <c r="AP613" s="2">
        <v>82192.484826115906</v>
      </c>
      <c r="AQ613" s="2">
        <v>91728.251149350297</v>
      </c>
      <c r="AR613" s="2">
        <v>79944.212120783704</v>
      </c>
      <c r="AS613" s="2">
        <v>96814.235054942401</v>
      </c>
      <c r="AT613" s="2">
        <v>104492.593044269</v>
      </c>
      <c r="AU613" s="2">
        <v>86283.237683607993</v>
      </c>
      <c r="AV613" s="2">
        <v>104817.38453994101</v>
      </c>
      <c r="AW613" s="2">
        <v>95673.071412839796</v>
      </c>
      <c r="AX613" s="2">
        <v>99228.888141416304</v>
      </c>
    </row>
    <row r="614" spans="1:50" x14ac:dyDescent="0.25">
      <c r="A614" s="2" t="s">
        <v>4461</v>
      </c>
      <c r="B614" s="2">
        <v>632.31848335696498</v>
      </c>
      <c r="C614" s="2">
        <v>10.2658666666667</v>
      </c>
      <c r="D614" s="2" t="s">
        <v>51</v>
      </c>
      <c r="E614" s="2" t="s">
        <v>4462</v>
      </c>
      <c r="F614" s="2">
        <v>208800</v>
      </c>
      <c r="G614" s="3" t="str">
        <f>HYPERLINK("https://cloud.oebiotech.com/#/lm/network/208800", "https://cloud.oebiotech.com/#/lm/network/208800")</f>
        <v>https://cloud.oebiotech.com/#/lm/network/208800</v>
      </c>
      <c r="H614" s="2" t="s">
        <v>4463</v>
      </c>
      <c r="I614" s="2"/>
      <c r="J614" s="2"/>
      <c r="K614" s="2">
        <v>92029512</v>
      </c>
      <c r="L614" s="2"/>
      <c r="M614" s="2"/>
      <c r="N614" s="2"/>
      <c r="O614" s="2"/>
      <c r="P614" s="2"/>
      <c r="Q614" s="2"/>
      <c r="R614" s="2"/>
      <c r="S614" s="2" t="s">
        <v>4464</v>
      </c>
      <c r="T614" s="2" t="s">
        <v>4465</v>
      </c>
      <c r="U614" s="2" t="s">
        <v>540</v>
      </c>
      <c r="V614" s="2" t="s">
        <v>563</v>
      </c>
      <c r="W614" s="2" t="s">
        <v>4466</v>
      </c>
      <c r="X614" s="2" t="s">
        <v>83</v>
      </c>
      <c r="Y614" s="2">
        <v>40.9</v>
      </c>
      <c r="Z614" s="2">
        <v>0</v>
      </c>
      <c r="AA614" s="2" t="s">
        <v>379</v>
      </c>
      <c r="AB614" s="2" t="s">
        <v>4467</v>
      </c>
      <c r="AC614" s="2">
        <v>-6.7670807104713804</v>
      </c>
      <c r="AD614" s="2"/>
      <c r="AE614" s="2">
        <v>0.91000762610655395</v>
      </c>
      <c r="AF614" s="2">
        <v>117040.552240901</v>
      </c>
      <c r="AG614" s="2">
        <v>140157.76514125499</v>
      </c>
      <c r="AH614" s="4">
        <v>0.83506291729854898</v>
      </c>
      <c r="AI614" s="4">
        <v>-0.26004319424080002</v>
      </c>
      <c r="AJ614" s="4" t="s">
        <v>62</v>
      </c>
      <c r="AK614" s="2">
        <v>0.117505995765582</v>
      </c>
      <c r="AL614" s="2">
        <v>0.436261987215596</v>
      </c>
      <c r="AM614" s="2">
        <v>103860.831928388</v>
      </c>
      <c r="AN614" s="2">
        <v>125651.75245632</v>
      </c>
      <c r="AO614" s="2">
        <v>142060.72404221899</v>
      </c>
      <c r="AP614" s="2">
        <v>106211.105078412</v>
      </c>
      <c r="AQ614" s="2">
        <v>111610.88899433899</v>
      </c>
      <c r="AR614" s="2">
        <v>112848.010945731</v>
      </c>
      <c r="AS614" s="2">
        <v>126697.979845397</v>
      </c>
      <c r="AT614" s="2">
        <v>101777.276564766</v>
      </c>
      <c r="AU614" s="2">
        <v>115076.300371808</v>
      </c>
      <c r="AV614" s="2">
        <v>175907.914339827</v>
      </c>
      <c r="AW614" s="2">
        <v>163661.73975281499</v>
      </c>
      <c r="AX614" s="2">
        <v>157825.37997291901</v>
      </c>
    </row>
    <row r="615" spans="1:50" x14ac:dyDescent="0.25">
      <c r="A615" s="2" t="s">
        <v>4468</v>
      </c>
      <c r="B615" s="2">
        <v>600.33083013322198</v>
      </c>
      <c r="C615" s="2">
        <v>7.2609000000000004</v>
      </c>
      <c r="D615" s="2" t="s">
        <v>51</v>
      </c>
      <c r="E615" s="2" t="s">
        <v>4469</v>
      </c>
      <c r="F615" s="2">
        <v>241966</v>
      </c>
      <c r="G615" s="3" t="str">
        <f>HYPERLINK("https://cloud.oebiotech.com/#/lm/network/241966", "https://cloud.oebiotech.com/#/lm/network/241966")</f>
        <v>https://cloud.oebiotech.com/#/lm/network/241966</v>
      </c>
      <c r="H615" s="2" t="s">
        <v>4470</v>
      </c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 t="s">
        <v>4471</v>
      </c>
      <c r="T615" s="2" t="s">
        <v>4472</v>
      </c>
      <c r="U615" s="2" t="s">
        <v>56</v>
      </c>
      <c r="V615" s="2" t="s">
        <v>57</v>
      </c>
      <c r="W615" s="2" t="s">
        <v>58</v>
      </c>
      <c r="X615" s="2" t="s">
        <v>59</v>
      </c>
      <c r="Y615" s="2">
        <v>57</v>
      </c>
      <c r="Z615" s="2">
        <v>94.9</v>
      </c>
      <c r="AA615" s="2" t="s">
        <v>259</v>
      </c>
      <c r="AB615" s="2" t="s">
        <v>4473</v>
      </c>
      <c r="AC615" s="2">
        <v>2.0604720415190401</v>
      </c>
      <c r="AD615" s="2"/>
      <c r="AE615" s="2">
        <v>0.90854155348303101</v>
      </c>
      <c r="AF615" s="2">
        <v>64312.714492052699</v>
      </c>
      <c r="AG615" s="2">
        <v>42184.923386170303</v>
      </c>
      <c r="AH615" s="5">
        <v>1.52454264058559</v>
      </c>
      <c r="AI615" s="5">
        <v>0.60837650226701501</v>
      </c>
      <c r="AJ615" s="5" t="s">
        <v>139</v>
      </c>
      <c r="AK615" s="2">
        <v>0.104704813098452</v>
      </c>
      <c r="AL615" s="2">
        <v>0.41109376366773598</v>
      </c>
      <c r="AM615" s="2">
        <v>108164.70266194</v>
      </c>
      <c r="AN615" s="2">
        <v>65946.137247982595</v>
      </c>
      <c r="AO615" s="2">
        <v>35627.157006342502</v>
      </c>
      <c r="AP615" s="2">
        <v>60383.131761793302</v>
      </c>
      <c r="AQ615" s="2">
        <v>41753.212623244399</v>
      </c>
      <c r="AR615" s="2">
        <v>74001.9456510132</v>
      </c>
      <c r="AS615" s="2">
        <v>58091.504832157501</v>
      </c>
      <c r="AT615" s="2">
        <v>43706.718545091499</v>
      </c>
      <c r="AU615" s="2">
        <v>44907.166299985001</v>
      </c>
      <c r="AV615" s="2">
        <v>19155.050382925401</v>
      </c>
      <c r="AW615" s="2">
        <v>28622.1244047812</v>
      </c>
      <c r="AX615" s="2">
        <v>58626.975852081101</v>
      </c>
    </row>
    <row r="616" spans="1:50" x14ac:dyDescent="0.25">
      <c r="A616" s="2" t="s">
        <v>4474</v>
      </c>
      <c r="B616" s="2">
        <v>597.30414290297097</v>
      </c>
      <c r="C616" s="2">
        <v>12.257566666666699</v>
      </c>
      <c r="D616" s="2" t="s">
        <v>51</v>
      </c>
      <c r="E616" s="2" t="s">
        <v>4475</v>
      </c>
      <c r="F616" s="2">
        <v>28023</v>
      </c>
      <c r="G616" s="3" t="str">
        <f>HYPERLINK("https://cloud.oebiotech.com/#/lm/network/28023", "https://cloud.oebiotech.com/#/lm/network/28023")</f>
        <v>https://cloud.oebiotech.com/#/lm/network/28023</v>
      </c>
      <c r="H616" s="2"/>
      <c r="I616" s="2"/>
      <c r="J616" s="2" t="s">
        <v>4476</v>
      </c>
      <c r="K616" s="2">
        <v>134812469</v>
      </c>
      <c r="L616" s="2"/>
      <c r="M616" s="2"/>
      <c r="N616" s="2"/>
      <c r="O616" s="2"/>
      <c r="P616" s="2"/>
      <c r="Q616" s="2"/>
      <c r="R616" s="2"/>
      <c r="S616" s="2" t="s">
        <v>4477</v>
      </c>
      <c r="T616" s="2" t="s">
        <v>4478</v>
      </c>
      <c r="U616" s="2" t="s">
        <v>56</v>
      </c>
      <c r="V616" s="2" t="s">
        <v>57</v>
      </c>
      <c r="W616" s="2" t="s">
        <v>570</v>
      </c>
      <c r="X616" s="2" t="s">
        <v>83</v>
      </c>
      <c r="Y616" s="2">
        <v>41.1</v>
      </c>
      <c r="Z616" s="2">
        <v>0</v>
      </c>
      <c r="AA616" s="2" t="s">
        <v>163</v>
      </c>
      <c r="AB616" s="2" t="s">
        <v>4479</v>
      </c>
      <c r="AC616" s="2">
        <v>-0.65913008828173603</v>
      </c>
      <c r="AD616" s="2"/>
      <c r="AE616" s="2">
        <v>0.90820027292539496</v>
      </c>
      <c r="AF616" s="2">
        <v>74647.902318550798</v>
      </c>
      <c r="AG616" s="2">
        <v>50560.205416579804</v>
      </c>
      <c r="AH616" s="5">
        <v>1.4764161202175801</v>
      </c>
      <c r="AI616" s="5">
        <v>0.562099394816858</v>
      </c>
      <c r="AJ616" s="5" t="s">
        <v>139</v>
      </c>
      <c r="AK616" s="2">
        <v>7.3854529867376603E-2</v>
      </c>
      <c r="AL616" s="2">
        <v>0.357063797901152</v>
      </c>
      <c r="AM616" s="2">
        <v>89553.070699357602</v>
      </c>
      <c r="AN616" s="2">
        <v>66181.935876753807</v>
      </c>
      <c r="AO616" s="2">
        <v>84028.589365748107</v>
      </c>
      <c r="AP616" s="2">
        <v>67226.133476293398</v>
      </c>
      <c r="AQ616" s="2">
        <v>57742.597059761902</v>
      </c>
      <c r="AR616" s="2">
        <v>83155.087433389795</v>
      </c>
      <c r="AS616" s="2">
        <v>26312.2898065923</v>
      </c>
      <c r="AT616" s="2">
        <v>23887.612562953698</v>
      </c>
      <c r="AU616" s="2">
        <v>86234.298535315305</v>
      </c>
      <c r="AV616" s="2">
        <v>41575.439317610297</v>
      </c>
      <c r="AW616" s="2">
        <v>80379.1486511556</v>
      </c>
      <c r="AX616" s="2">
        <v>44972.443625851898</v>
      </c>
    </row>
    <row r="617" spans="1:50" x14ac:dyDescent="0.25">
      <c r="A617" s="2" t="s">
        <v>4480</v>
      </c>
      <c r="B617" s="2">
        <v>358.36895022992201</v>
      </c>
      <c r="C617" s="2">
        <v>10.311249999999999</v>
      </c>
      <c r="D617" s="2" t="s">
        <v>51</v>
      </c>
      <c r="E617" s="2" t="s">
        <v>4481</v>
      </c>
      <c r="F617" s="2">
        <v>317</v>
      </c>
      <c r="G617" s="3" t="str">
        <f>HYPERLINK("https://cloud.oebiotech.com/#/lm/network/317", "https://cloud.oebiotech.com/#/lm/network/317")</f>
        <v>https://cloud.oebiotech.com/#/lm/network/317</v>
      </c>
      <c r="H617" s="2"/>
      <c r="I617" s="2">
        <v>73673</v>
      </c>
      <c r="J617" s="2" t="s">
        <v>4482</v>
      </c>
      <c r="K617" s="2">
        <v>5312319</v>
      </c>
      <c r="L617" s="2"/>
      <c r="M617" s="2"/>
      <c r="N617" s="2"/>
      <c r="O617" s="2"/>
      <c r="P617" s="2"/>
      <c r="Q617" s="2"/>
      <c r="R617" s="2"/>
      <c r="S617" s="2" t="s">
        <v>4483</v>
      </c>
      <c r="T617" s="2" t="s">
        <v>4484</v>
      </c>
      <c r="U617" s="2" t="s">
        <v>56</v>
      </c>
      <c r="V617" s="2" t="s">
        <v>145</v>
      </c>
      <c r="W617" s="2" t="s">
        <v>231</v>
      </c>
      <c r="X617" s="2" t="s">
        <v>147</v>
      </c>
      <c r="Y617" s="2">
        <v>47.4</v>
      </c>
      <c r="Z617" s="2">
        <v>44.7</v>
      </c>
      <c r="AA617" s="2" t="s">
        <v>512</v>
      </c>
      <c r="AB617" s="2" t="s">
        <v>4485</v>
      </c>
      <c r="AC617" s="2">
        <v>2.9208052686258901</v>
      </c>
      <c r="AD617" s="2"/>
      <c r="AE617" s="2">
        <v>0.90659002416005596</v>
      </c>
      <c r="AF617" s="2">
        <v>49443.089667147397</v>
      </c>
      <c r="AG617" s="2">
        <v>71923.893025189303</v>
      </c>
      <c r="AH617" s="4">
        <v>0.68743622720521202</v>
      </c>
      <c r="AI617" s="4">
        <v>-0.54070221258051399</v>
      </c>
      <c r="AJ617" s="4" t="s">
        <v>62</v>
      </c>
      <c r="AK617" s="2">
        <v>1.8696168839504299E-2</v>
      </c>
      <c r="AL617" s="2">
        <v>0.21553233864104299</v>
      </c>
      <c r="AM617" s="2">
        <v>60279.274667481201</v>
      </c>
      <c r="AN617" s="2">
        <v>37782.696030192601</v>
      </c>
      <c r="AO617" s="2">
        <v>40790.662230007001</v>
      </c>
      <c r="AP617" s="2">
        <v>33229.4935867721</v>
      </c>
      <c r="AQ617" s="2">
        <v>62737.368559871204</v>
      </c>
      <c r="AR617" s="2">
        <v>61839.042928560499</v>
      </c>
      <c r="AS617" s="2">
        <v>66087.864237457703</v>
      </c>
      <c r="AT617" s="2">
        <v>65503.493130309304</v>
      </c>
      <c r="AU617" s="2">
        <v>65993.850153438296</v>
      </c>
      <c r="AV617" s="2">
        <v>83436.431290398294</v>
      </c>
      <c r="AW617" s="2">
        <v>55988.182526291697</v>
      </c>
      <c r="AX617" s="2">
        <v>94533.536813240498</v>
      </c>
    </row>
    <row r="618" spans="1:50" x14ac:dyDescent="0.25">
      <c r="A618" s="2" t="s">
        <v>4486</v>
      </c>
      <c r="B618" s="2">
        <v>409.22433137706503</v>
      </c>
      <c r="C618" s="2">
        <v>6.7265666666666704</v>
      </c>
      <c r="D618" s="2" t="s">
        <v>51</v>
      </c>
      <c r="E618" s="2" t="s">
        <v>4487</v>
      </c>
      <c r="F618" s="2">
        <v>212255</v>
      </c>
      <c r="G618" s="3" t="str">
        <f>HYPERLINK("https://cloud.oebiotech.com/#/lm/network/212255", "https://cloud.oebiotech.com/#/lm/network/212255")</f>
        <v>https://cloud.oebiotech.com/#/lm/network/212255</v>
      </c>
      <c r="H618" s="2" t="s">
        <v>4488</v>
      </c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 t="s">
        <v>4489</v>
      </c>
      <c r="T618" s="2" t="s">
        <v>4490</v>
      </c>
      <c r="U618" s="2" t="s">
        <v>266</v>
      </c>
      <c r="V618" s="2" t="s">
        <v>4491</v>
      </c>
      <c r="W618" s="2" t="s">
        <v>240</v>
      </c>
      <c r="X618" s="2" t="s">
        <v>83</v>
      </c>
      <c r="Y618" s="2">
        <v>53.6</v>
      </c>
      <c r="Z618" s="2">
        <v>0</v>
      </c>
      <c r="AA618" s="2" t="s">
        <v>218</v>
      </c>
      <c r="AB618" s="2" t="s">
        <v>4492</v>
      </c>
      <c r="AC618" s="2">
        <v>3.1694230413104298</v>
      </c>
      <c r="AD618" s="2"/>
      <c r="AE618" s="2">
        <v>0.906392571088107</v>
      </c>
      <c r="AF618" s="2">
        <v>57457.131850926096</v>
      </c>
      <c r="AG618" s="2">
        <v>84779.586645980497</v>
      </c>
      <c r="AH618" s="4">
        <v>0.67772366113146398</v>
      </c>
      <c r="AI618" s="4">
        <v>-0.56123095424363001</v>
      </c>
      <c r="AJ618" s="4" t="s">
        <v>62</v>
      </c>
      <c r="AK618" s="2">
        <v>6.9810123823010703E-2</v>
      </c>
      <c r="AL618" s="2">
        <v>0.34931101666430697</v>
      </c>
      <c r="AM618" s="2">
        <v>86188.513628496206</v>
      </c>
      <c r="AN618" s="2">
        <v>60677.382730289602</v>
      </c>
      <c r="AO618" s="2">
        <v>48773.5912478475</v>
      </c>
      <c r="AP618" s="2">
        <v>50271.674857361599</v>
      </c>
      <c r="AQ618" s="2">
        <v>43223.066787572701</v>
      </c>
      <c r="AR618" s="2">
        <v>55608.561853988896</v>
      </c>
      <c r="AS618" s="2">
        <v>52888.599682254899</v>
      </c>
      <c r="AT618" s="2">
        <v>66151.689299440302</v>
      </c>
      <c r="AU618" s="2">
        <v>56250.808932366701</v>
      </c>
      <c r="AV618" s="2">
        <v>111155.18066499</v>
      </c>
      <c r="AW618" s="2">
        <v>112723.955238453</v>
      </c>
      <c r="AX618" s="2">
        <v>109507.286058378</v>
      </c>
    </row>
    <row r="619" spans="1:50" x14ac:dyDescent="0.25">
      <c r="A619" s="2" t="s">
        <v>4493</v>
      </c>
      <c r="B619" s="2">
        <v>541.26571841985196</v>
      </c>
      <c r="C619" s="2">
        <v>5.3641833333333304</v>
      </c>
      <c r="D619" s="2" t="s">
        <v>51</v>
      </c>
      <c r="E619" s="2" t="s">
        <v>4494</v>
      </c>
      <c r="F619" s="2">
        <v>50888</v>
      </c>
      <c r="G619" s="3" t="str">
        <f>HYPERLINK("https://cloud.oebiotech.com/#/lm/network/50888", "https://cloud.oebiotech.com/#/lm/network/50888")</f>
        <v>https://cloud.oebiotech.com/#/lm/network/50888</v>
      </c>
      <c r="H619" s="2" t="s">
        <v>4495</v>
      </c>
      <c r="I619" s="2">
        <v>61643</v>
      </c>
      <c r="J619" s="2"/>
      <c r="K619" s="2">
        <v>53480447</v>
      </c>
      <c r="L619" s="2" t="s">
        <v>3258</v>
      </c>
      <c r="M619" s="2" t="s">
        <v>3259</v>
      </c>
      <c r="N619" s="2" t="s">
        <v>3260</v>
      </c>
      <c r="O619" s="2">
        <v>88773</v>
      </c>
      <c r="P619" s="2"/>
      <c r="Q619" s="2"/>
      <c r="R619" s="2" t="s">
        <v>4496</v>
      </c>
      <c r="S619" s="2" t="s">
        <v>4497</v>
      </c>
      <c r="T619" s="2" t="s">
        <v>4498</v>
      </c>
      <c r="U619" s="2" t="s">
        <v>56</v>
      </c>
      <c r="V619" s="2" t="s">
        <v>283</v>
      </c>
      <c r="W619" s="2" t="s">
        <v>3462</v>
      </c>
      <c r="X619" s="2" t="s">
        <v>59</v>
      </c>
      <c r="Y619" s="2">
        <v>51.1</v>
      </c>
      <c r="Z619" s="2">
        <v>59.4</v>
      </c>
      <c r="AA619" s="2" t="s">
        <v>163</v>
      </c>
      <c r="AB619" s="2" t="s">
        <v>4499</v>
      </c>
      <c r="AC619" s="2">
        <v>0.52130550752319604</v>
      </c>
      <c r="AD619" s="2"/>
      <c r="AE619" s="2">
        <v>0.90586030918453098</v>
      </c>
      <c r="AF619" s="2">
        <v>36872.123563656198</v>
      </c>
      <c r="AG619" s="2">
        <v>128382.759254932</v>
      </c>
      <c r="AH619" s="4">
        <v>0.28720463540153701</v>
      </c>
      <c r="AI619" s="4">
        <v>-1.79984906084881</v>
      </c>
      <c r="AJ619" s="4" t="s">
        <v>62</v>
      </c>
      <c r="AK619" s="2">
        <v>0.32508867852690998</v>
      </c>
      <c r="AL619" s="2">
        <v>0.62992073899545697</v>
      </c>
      <c r="AM619" s="2">
        <v>34498.463188052403</v>
      </c>
      <c r="AN619" s="2">
        <v>85097.689414114604</v>
      </c>
      <c r="AO619" s="2">
        <v>13492.9534433106</v>
      </c>
      <c r="AP619" s="2">
        <v>33842.3276237057</v>
      </c>
      <c r="AQ619" s="2">
        <v>10978.638178355999</v>
      </c>
      <c r="AR619" s="2">
        <v>43322.669534397799</v>
      </c>
      <c r="AS619" s="2">
        <v>34938.781027587502</v>
      </c>
      <c r="AT619" s="2">
        <v>563103.53321918403</v>
      </c>
      <c r="AU619" s="2">
        <v>22708.282734001899</v>
      </c>
      <c r="AV619" s="2">
        <v>95403.5380380508</v>
      </c>
      <c r="AW619" s="2">
        <v>42339.868571956002</v>
      </c>
      <c r="AX619" s="2">
        <v>11802.5519388137</v>
      </c>
    </row>
    <row r="620" spans="1:50" x14ac:dyDescent="0.25">
      <c r="A620" s="2" t="s">
        <v>4500</v>
      </c>
      <c r="B620" s="2">
        <v>283.263914370495</v>
      </c>
      <c r="C620" s="2">
        <v>11.391833333333301</v>
      </c>
      <c r="D620" s="2" t="s">
        <v>51</v>
      </c>
      <c r="E620" s="2" t="s">
        <v>4501</v>
      </c>
      <c r="F620" s="2">
        <v>3088</v>
      </c>
      <c r="G620" s="3" t="str">
        <f>HYPERLINK("https://cloud.oebiotech.com/#/lm/network/3088", "https://cloud.oebiotech.com/#/lm/network/3088")</f>
        <v>https://cloud.oebiotech.com/#/lm/network/3088</v>
      </c>
      <c r="H620" s="2"/>
      <c r="I620" s="2">
        <v>35446</v>
      </c>
      <c r="J620" s="2" t="s">
        <v>4502</v>
      </c>
      <c r="K620" s="2">
        <v>361943</v>
      </c>
      <c r="L620" s="2"/>
      <c r="M620" s="2"/>
      <c r="N620" s="2"/>
      <c r="O620" s="2"/>
      <c r="P620" s="2"/>
      <c r="Q620" s="2"/>
      <c r="R620" s="2"/>
      <c r="S620" s="2" t="s">
        <v>4503</v>
      </c>
      <c r="T620" s="2" t="s">
        <v>4504</v>
      </c>
      <c r="U620" s="2" t="s">
        <v>56</v>
      </c>
      <c r="V620" s="2" t="s">
        <v>145</v>
      </c>
      <c r="W620" s="2" t="s">
        <v>231</v>
      </c>
      <c r="X620" s="2" t="s">
        <v>69</v>
      </c>
      <c r="Y620" s="2">
        <v>67.599999999999994</v>
      </c>
      <c r="Z620" s="2">
        <v>82.5</v>
      </c>
      <c r="AA620" s="2" t="s">
        <v>156</v>
      </c>
      <c r="AB620" s="2" t="s">
        <v>2843</v>
      </c>
      <c r="AC620" s="2">
        <v>2.5231167438956099</v>
      </c>
      <c r="AD620" s="2"/>
      <c r="AE620" s="2">
        <v>0.90579335348391299</v>
      </c>
      <c r="AF620" s="2">
        <v>57386.3508972282</v>
      </c>
      <c r="AG620" s="2">
        <v>21378.807543491501</v>
      </c>
      <c r="AH620" s="5">
        <v>2.6842634127504801</v>
      </c>
      <c r="AI620" s="5">
        <v>1.4245262533644401</v>
      </c>
      <c r="AJ620" s="5" t="s">
        <v>139</v>
      </c>
      <c r="AK620" s="2">
        <v>0.16958925466585201</v>
      </c>
      <c r="AL620" s="2">
        <v>0.49116257804962998</v>
      </c>
      <c r="AM620" s="2">
        <v>66606.095766456507</v>
      </c>
      <c r="AN620" s="2">
        <v>19503.072266883199</v>
      </c>
      <c r="AO620" s="2">
        <v>20734.323357417601</v>
      </c>
      <c r="AP620" s="2">
        <v>18074.493983202301</v>
      </c>
      <c r="AQ620" s="2">
        <v>172013.58418414099</v>
      </c>
      <c r="AR620" s="2">
        <v>47386.535825268496</v>
      </c>
      <c r="AS620" s="2">
        <v>19051.556148282601</v>
      </c>
      <c r="AT620" s="2">
        <v>16261.582273039599</v>
      </c>
      <c r="AU620" s="2">
        <v>28981.1124913434</v>
      </c>
      <c r="AV620" s="2">
        <v>21698.140652549198</v>
      </c>
      <c r="AW620" s="2">
        <v>23577.981886157399</v>
      </c>
      <c r="AX620" s="2">
        <v>18702.471809576899</v>
      </c>
    </row>
    <row r="621" spans="1:50" x14ac:dyDescent="0.25">
      <c r="A621" s="2" t="s">
        <v>4505</v>
      </c>
      <c r="B621" s="2">
        <v>389.26991574441001</v>
      </c>
      <c r="C621" s="2">
        <v>10.1823833333333</v>
      </c>
      <c r="D621" s="2" t="s">
        <v>51</v>
      </c>
      <c r="E621" s="2" t="s">
        <v>4506</v>
      </c>
      <c r="F621" s="2">
        <v>46033</v>
      </c>
      <c r="G621" s="3" t="str">
        <f>HYPERLINK("https://cloud.oebiotech.com/#/lm/network/46033", "https://cloud.oebiotech.com/#/lm/network/46033")</f>
        <v>https://cloud.oebiotech.com/#/lm/network/46033</v>
      </c>
      <c r="H621" s="2"/>
      <c r="I621" s="2">
        <v>84461</v>
      </c>
      <c r="J621" s="2" t="s">
        <v>4507</v>
      </c>
      <c r="K621" s="2">
        <v>5283941</v>
      </c>
      <c r="L621" s="2"/>
      <c r="M621" s="2"/>
      <c r="N621" s="2"/>
      <c r="O621" s="2"/>
      <c r="P621" s="2"/>
      <c r="Q621" s="2"/>
      <c r="R621" s="2"/>
      <c r="S621" s="2" t="s">
        <v>4508</v>
      </c>
      <c r="T621" s="2" t="s">
        <v>4509</v>
      </c>
      <c r="U621" s="2" t="s">
        <v>56</v>
      </c>
      <c r="V621" s="2" t="s">
        <v>283</v>
      </c>
      <c r="W621" s="2" t="s">
        <v>2042</v>
      </c>
      <c r="X621" s="2" t="s">
        <v>69</v>
      </c>
      <c r="Y621" s="2">
        <v>71.599999999999994</v>
      </c>
      <c r="Z621" s="2">
        <v>87.4</v>
      </c>
      <c r="AA621" s="2" t="s">
        <v>241</v>
      </c>
      <c r="AB621" s="2" t="s">
        <v>1124</v>
      </c>
      <c r="AC621" s="2">
        <v>0.46756407628216201</v>
      </c>
      <c r="AD621" s="2"/>
      <c r="AE621" s="2">
        <v>0.90281796917651902</v>
      </c>
      <c r="AF621" s="2">
        <v>73274.602966884995</v>
      </c>
      <c r="AG621" s="2">
        <v>10534.0222077611</v>
      </c>
      <c r="AH621" s="5">
        <v>6.9559947303793104</v>
      </c>
      <c r="AI621" s="5">
        <v>2.7982568397091199</v>
      </c>
      <c r="AJ621" s="5" t="s">
        <v>139</v>
      </c>
      <c r="AK621" s="2">
        <v>0.31105396235834998</v>
      </c>
      <c r="AL621" s="2">
        <v>0.62015055657616003</v>
      </c>
      <c r="AM621" s="2">
        <v>1644.74277054258</v>
      </c>
      <c r="AN621" s="2">
        <v>875.65251428817396</v>
      </c>
      <c r="AO621" s="2">
        <v>8.559877937157E-6</v>
      </c>
      <c r="AP621" s="2">
        <v>188.263163818518</v>
      </c>
      <c r="AQ621" s="2">
        <v>358291.05979859899</v>
      </c>
      <c r="AR621" s="2">
        <v>78647.899545501699</v>
      </c>
      <c r="AS621" s="2">
        <v>8.559877937157E-6</v>
      </c>
      <c r="AT621" s="2">
        <v>563.72746924167097</v>
      </c>
      <c r="AU621" s="2">
        <v>39687.706290846698</v>
      </c>
      <c r="AV621" s="2">
        <v>21662.104072608199</v>
      </c>
      <c r="AW621" s="2">
        <v>1047.53472611389</v>
      </c>
      <c r="AX621" s="2">
        <v>243.060679196341</v>
      </c>
    </row>
    <row r="622" spans="1:50" x14ac:dyDescent="0.25">
      <c r="A622" s="2" t="s">
        <v>4510</v>
      </c>
      <c r="B622" s="2">
        <v>624.38820975527506</v>
      </c>
      <c r="C622" s="2">
        <v>12.332233333333299</v>
      </c>
      <c r="D622" s="2" t="s">
        <v>51</v>
      </c>
      <c r="E622" s="2" t="s">
        <v>4511</v>
      </c>
      <c r="F622" s="2">
        <v>28067</v>
      </c>
      <c r="G622" s="3" t="str">
        <f>HYPERLINK("https://cloud.oebiotech.com/#/lm/network/28067", "https://cloud.oebiotech.com/#/lm/network/28067")</f>
        <v>https://cloud.oebiotech.com/#/lm/network/28067</v>
      </c>
      <c r="H622" s="2"/>
      <c r="I622" s="2"/>
      <c r="J622" s="2" t="s">
        <v>4512</v>
      </c>
      <c r="K622" s="2">
        <v>134812512</v>
      </c>
      <c r="L622" s="2"/>
      <c r="M622" s="2"/>
      <c r="N622" s="2"/>
      <c r="O622" s="2"/>
      <c r="P622" s="2"/>
      <c r="Q622" s="2"/>
      <c r="R622" s="2"/>
      <c r="S622" s="2" t="s">
        <v>4513</v>
      </c>
      <c r="T622" s="2" t="s">
        <v>4514</v>
      </c>
      <c r="U622" s="2" t="s">
        <v>56</v>
      </c>
      <c r="V622" s="2" t="s">
        <v>57</v>
      </c>
      <c r="W622" s="2" t="s">
        <v>702</v>
      </c>
      <c r="X622" s="2" t="s">
        <v>147</v>
      </c>
      <c r="Y622" s="2">
        <v>37.6</v>
      </c>
      <c r="Z622" s="2">
        <v>0</v>
      </c>
      <c r="AA622" s="2" t="s">
        <v>512</v>
      </c>
      <c r="AB622" s="2" t="s">
        <v>4515</v>
      </c>
      <c r="AC622" s="2">
        <v>1.81352332454354</v>
      </c>
      <c r="AD622" s="2"/>
      <c r="AE622" s="2">
        <v>0.90254431337897401</v>
      </c>
      <c r="AF622" s="2">
        <v>20775.622701722801</v>
      </c>
      <c r="AG622" s="2">
        <v>2167.3815351110602</v>
      </c>
      <c r="AH622" s="5">
        <v>9.5855862778023599</v>
      </c>
      <c r="AI622" s="5">
        <v>3.2608666733343599</v>
      </c>
      <c r="AJ622" s="5" t="s">
        <v>139</v>
      </c>
      <c r="AK622" s="2">
        <v>1.12667307244428E-2</v>
      </c>
      <c r="AL622" s="2">
        <v>0.17151430848978699</v>
      </c>
      <c r="AM622" s="2">
        <v>34633.870217431897</v>
      </c>
      <c r="AN622" s="2">
        <v>31224.247657984401</v>
      </c>
      <c r="AO622" s="2">
        <v>3528.0900810226299</v>
      </c>
      <c r="AP622" s="2">
        <v>26372.977242755402</v>
      </c>
      <c r="AQ622" s="2">
        <v>1278.1808732212301</v>
      </c>
      <c r="AR622" s="2">
        <v>27616.370137921502</v>
      </c>
      <c r="AS622" s="2">
        <v>1147.9147562302901</v>
      </c>
      <c r="AT622" s="2">
        <v>6272.7824422753702</v>
      </c>
      <c r="AU622" s="2">
        <v>749.74894008209105</v>
      </c>
      <c r="AV622" s="2">
        <v>796.43622310236503</v>
      </c>
      <c r="AW622" s="2">
        <v>849.00650012694302</v>
      </c>
      <c r="AX622" s="2">
        <v>3188.4003488493299</v>
      </c>
    </row>
    <row r="623" spans="1:50" x14ac:dyDescent="0.25">
      <c r="A623" s="2" t="s">
        <v>4516</v>
      </c>
      <c r="B623" s="2">
        <v>327.23261216932798</v>
      </c>
      <c r="C623" s="2">
        <v>11.0475666666667</v>
      </c>
      <c r="D623" s="2" t="s">
        <v>51</v>
      </c>
      <c r="E623" s="2" t="s">
        <v>4517</v>
      </c>
      <c r="F623" s="2">
        <v>4847</v>
      </c>
      <c r="G623" s="3" t="str">
        <f>HYPERLINK("https://cloud.oebiotech.com/#/lm/network/4847", "https://cloud.oebiotech.com/#/lm/network/4847")</f>
        <v>https://cloud.oebiotech.com/#/lm/network/4847</v>
      </c>
      <c r="H623" s="2" t="s">
        <v>4518</v>
      </c>
      <c r="I623" s="2"/>
      <c r="J623" s="2" t="s">
        <v>4519</v>
      </c>
      <c r="K623" s="2">
        <v>6439179</v>
      </c>
      <c r="L623" s="2"/>
      <c r="M623" s="2"/>
      <c r="N623" s="2"/>
      <c r="O623" s="2">
        <v>72637</v>
      </c>
      <c r="P623" s="2" t="s">
        <v>4520</v>
      </c>
      <c r="Q623" s="2" t="s">
        <v>4521</v>
      </c>
      <c r="R623" s="2" t="s">
        <v>4522</v>
      </c>
      <c r="S623" s="2" t="s">
        <v>4523</v>
      </c>
      <c r="T623" s="2" t="s">
        <v>4524</v>
      </c>
      <c r="U623" s="2" t="s">
        <v>56</v>
      </c>
      <c r="V623" s="2" t="s">
        <v>145</v>
      </c>
      <c r="W623" s="2" t="s">
        <v>231</v>
      </c>
      <c r="X623" s="2" t="s">
        <v>69</v>
      </c>
      <c r="Y623" s="2">
        <v>72.400000000000006</v>
      </c>
      <c r="Z623" s="2">
        <v>90.4</v>
      </c>
      <c r="AA623" s="2" t="s">
        <v>179</v>
      </c>
      <c r="AB623" s="2" t="s">
        <v>2918</v>
      </c>
      <c r="AC623" s="2">
        <v>2.1948206595731001</v>
      </c>
      <c r="AD623" s="2"/>
      <c r="AE623" s="2">
        <v>0.90238888380981497</v>
      </c>
      <c r="AF623" s="2">
        <v>134489.37244586201</v>
      </c>
      <c r="AG623" s="2">
        <v>104497.330269618</v>
      </c>
      <c r="AH623" s="5">
        <v>1.2870125207874701</v>
      </c>
      <c r="AI623" s="5">
        <v>0.36402608898217997</v>
      </c>
      <c r="AJ623" s="5" t="s">
        <v>139</v>
      </c>
      <c r="AK623" s="2">
        <v>0.41757883408030699</v>
      </c>
      <c r="AL623" s="2">
        <v>0.67996860612583199</v>
      </c>
      <c r="AM623" s="2">
        <v>287097.43587840401</v>
      </c>
      <c r="AN623" s="2">
        <v>97826.786287560506</v>
      </c>
      <c r="AO623" s="2">
        <v>74674.354902568695</v>
      </c>
      <c r="AP623" s="2">
        <v>126300.12761231</v>
      </c>
      <c r="AQ623" s="2">
        <v>88632.687783518093</v>
      </c>
      <c r="AR623" s="2">
        <v>132404.842210812</v>
      </c>
      <c r="AS623" s="2">
        <v>78399.648661137093</v>
      </c>
      <c r="AT623" s="2">
        <v>63144.125243162998</v>
      </c>
      <c r="AU623" s="2">
        <v>161847.22322270999</v>
      </c>
      <c r="AV623" s="2">
        <v>106966.05221851201</v>
      </c>
      <c r="AW623" s="2">
        <v>136985.41246184701</v>
      </c>
      <c r="AX623" s="2">
        <v>79641.519810339101</v>
      </c>
    </row>
    <row r="624" spans="1:50" x14ac:dyDescent="0.25">
      <c r="A624" s="2" t="s">
        <v>4525</v>
      </c>
      <c r="B624" s="2">
        <v>423.06193022650598</v>
      </c>
      <c r="C624" s="2">
        <v>4.8192833333333303</v>
      </c>
      <c r="D624" s="2" t="s">
        <v>51</v>
      </c>
      <c r="E624" s="2" t="s">
        <v>4526</v>
      </c>
      <c r="F624" s="2">
        <v>53336</v>
      </c>
      <c r="G624" s="3" t="str">
        <f>HYPERLINK("https://cloud.oebiotech.com/#/lm/network/53336", "https://cloud.oebiotech.com/#/lm/network/53336")</f>
        <v>https://cloud.oebiotech.com/#/lm/network/53336</v>
      </c>
      <c r="H624" s="2" t="s">
        <v>4527</v>
      </c>
      <c r="I624" s="2">
        <v>1628</v>
      </c>
      <c r="J624" s="2"/>
      <c r="K624" s="2">
        <v>5479529</v>
      </c>
      <c r="L624" s="2" t="s">
        <v>4528</v>
      </c>
      <c r="M624" s="2"/>
      <c r="N624" s="2"/>
      <c r="O624" s="2">
        <v>3515</v>
      </c>
      <c r="P624" s="2"/>
      <c r="Q624" s="2"/>
      <c r="R624" s="2" t="s">
        <v>4529</v>
      </c>
      <c r="S624" s="2" t="s">
        <v>4530</v>
      </c>
      <c r="T624" s="2" t="s">
        <v>4531</v>
      </c>
      <c r="U624" s="2" t="s">
        <v>266</v>
      </c>
      <c r="V624" s="2" t="s">
        <v>267</v>
      </c>
      <c r="W624" s="2" t="s">
        <v>268</v>
      </c>
      <c r="X624" s="2" t="s">
        <v>69</v>
      </c>
      <c r="Y624" s="2">
        <v>54.4</v>
      </c>
      <c r="Z624" s="2">
        <v>62.2</v>
      </c>
      <c r="AA624" s="2" t="s">
        <v>667</v>
      </c>
      <c r="AB624" s="2" t="s">
        <v>4532</v>
      </c>
      <c r="AC624" s="2">
        <v>0.75971078654081203</v>
      </c>
      <c r="AD624" s="2"/>
      <c r="AE624" s="2">
        <v>0.90201126237704998</v>
      </c>
      <c r="AF624" s="2">
        <v>29478.851194504401</v>
      </c>
      <c r="AG624" s="2">
        <v>149474.11575913601</v>
      </c>
      <c r="AH624" s="4">
        <v>0.19721709705248799</v>
      </c>
      <c r="AI624" s="4">
        <v>-2.3421434683051698</v>
      </c>
      <c r="AJ624" s="4" t="s">
        <v>62</v>
      </c>
      <c r="AK624" s="2">
        <v>0.43579303317560403</v>
      </c>
      <c r="AL624" s="2">
        <v>0.69327525133000001</v>
      </c>
      <c r="AM624" s="2">
        <v>2549.3140315361202</v>
      </c>
      <c r="AN624" s="2">
        <v>14103.600553414701</v>
      </c>
      <c r="AO624" s="2">
        <v>156798.742692792</v>
      </c>
      <c r="AP624" s="2">
        <v>180.482605648103</v>
      </c>
      <c r="AQ624" s="2">
        <v>194.648749968902</v>
      </c>
      <c r="AR624" s="2">
        <v>3046.3185336664301</v>
      </c>
      <c r="AS624" s="2">
        <v>175.165586983541</v>
      </c>
      <c r="AT624" s="2">
        <v>1185.13327664607</v>
      </c>
      <c r="AU624" s="2">
        <v>877367.62965628202</v>
      </c>
      <c r="AV624" s="2">
        <v>9097.3039943946205</v>
      </c>
      <c r="AW624" s="2">
        <v>6133.7078035641498</v>
      </c>
      <c r="AX624" s="2">
        <v>2885.7542369456801</v>
      </c>
    </row>
    <row r="625" spans="1:50" x14ac:dyDescent="0.25">
      <c r="A625" s="2" t="s">
        <v>4533</v>
      </c>
      <c r="B625" s="2">
        <v>907.70193737842703</v>
      </c>
      <c r="C625" s="2">
        <v>15.024316666666699</v>
      </c>
      <c r="D625" s="2" t="s">
        <v>51</v>
      </c>
      <c r="E625" s="2" t="s">
        <v>4534</v>
      </c>
      <c r="F625" s="2">
        <v>134624</v>
      </c>
      <c r="G625" s="3" t="str">
        <f>HYPERLINK("https://cloud.oebiotech.com/#/lm/network/134624", "https://cloud.oebiotech.com/#/lm/network/134624")</f>
        <v>https://cloud.oebiotech.com/#/lm/network/134624</v>
      </c>
      <c r="H625" s="2" t="s">
        <v>4535</v>
      </c>
      <c r="I625" s="2"/>
      <c r="J625" s="2"/>
      <c r="K625" s="2">
        <v>131821628</v>
      </c>
      <c r="L625" s="2"/>
      <c r="M625" s="2"/>
      <c r="N625" s="2"/>
      <c r="O625" s="2"/>
      <c r="P625" s="2"/>
      <c r="Q625" s="2"/>
      <c r="R625" s="2"/>
      <c r="S625" s="2" t="s">
        <v>4536</v>
      </c>
      <c r="T625" s="2" t="s">
        <v>4537</v>
      </c>
      <c r="U625" s="2" t="s">
        <v>56</v>
      </c>
      <c r="V625" s="2" t="s">
        <v>57</v>
      </c>
      <c r="W625" s="2" t="s">
        <v>155</v>
      </c>
      <c r="X625" s="2" t="s">
        <v>59</v>
      </c>
      <c r="Y625" s="2">
        <v>48.2</v>
      </c>
      <c r="Z625" s="2">
        <v>57.4</v>
      </c>
      <c r="AA625" s="2" t="s">
        <v>122</v>
      </c>
      <c r="AB625" s="2" t="s">
        <v>4538</v>
      </c>
      <c r="AC625" s="2">
        <v>-1.1770983525979599</v>
      </c>
      <c r="AD625" s="2"/>
      <c r="AE625" s="2">
        <v>0.90061821015474797</v>
      </c>
      <c r="AF625" s="2">
        <v>79370.934613734993</v>
      </c>
      <c r="AG625" s="2">
        <v>103778.537943877</v>
      </c>
      <c r="AH625" s="4">
        <v>0.76481068423471799</v>
      </c>
      <c r="AI625" s="4">
        <v>-0.386825417299901</v>
      </c>
      <c r="AJ625" s="4" t="s">
        <v>62</v>
      </c>
      <c r="AK625" s="2">
        <v>0.21483740678151</v>
      </c>
      <c r="AL625" s="2">
        <v>0.53954008018395805</v>
      </c>
      <c r="AM625" s="2">
        <v>30262.778544016001</v>
      </c>
      <c r="AN625" s="2">
        <v>78033.588341082504</v>
      </c>
      <c r="AO625" s="2">
        <v>84900.298233433597</v>
      </c>
      <c r="AP625" s="2">
        <v>91209.944994973805</v>
      </c>
      <c r="AQ625" s="2">
        <v>119629.02084277599</v>
      </c>
      <c r="AR625" s="2">
        <v>72189.976726127905</v>
      </c>
      <c r="AS625" s="2">
        <v>132552.973955019</v>
      </c>
      <c r="AT625" s="2">
        <v>136244.295549854</v>
      </c>
      <c r="AU625" s="2">
        <v>44864.069468284601</v>
      </c>
      <c r="AV625" s="2">
        <v>85664.194382963105</v>
      </c>
      <c r="AW625" s="2">
        <v>103710.546849766</v>
      </c>
      <c r="AX625" s="2">
        <v>119635.14745737299</v>
      </c>
    </row>
    <row r="626" spans="1:50" x14ac:dyDescent="0.25">
      <c r="A626" s="2" t="s">
        <v>4539</v>
      </c>
      <c r="B626" s="2">
        <v>295.06729655947203</v>
      </c>
      <c r="C626" s="2">
        <v>1.00901666666667</v>
      </c>
      <c r="D626" s="2" t="s">
        <v>51</v>
      </c>
      <c r="E626" s="2" t="s">
        <v>4540</v>
      </c>
      <c r="F626" s="2">
        <v>82990</v>
      </c>
      <c r="G626" s="3" t="str">
        <f>HYPERLINK("https://cloud.oebiotech.com/#/lm/network/82990", "https://cloud.oebiotech.com/#/lm/network/82990")</f>
        <v>https://cloud.oebiotech.com/#/lm/network/82990</v>
      </c>
      <c r="H626" s="2" t="s">
        <v>4541</v>
      </c>
      <c r="I626" s="2"/>
      <c r="J626" s="2"/>
      <c r="K626" s="2">
        <v>131770061</v>
      </c>
      <c r="L626" s="2"/>
      <c r="M626" s="2"/>
      <c r="N626" s="2"/>
      <c r="O626" s="2"/>
      <c r="P626" s="2"/>
      <c r="Q626" s="2"/>
      <c r="R626" s="2"/>
      <c r="S626" s="2" t="s">
        <v>4542</v>
      </c>
      <c r="T626" s="2" t="s">
        <v>4543</v>
      </c>
      <c r="U626" s="2" t="s">
        <v>331</v>
      </c>
      <c r="V626" s="2" t="s">
        <v>332</v>
      </c>
      <c r="W626" s="2" t="s">
        <v>333</v>
      </c>
      <c r="X626" s="2" t="s">
        <v>147</v>
      </c>
      <c r="Y626" s="2">
        <v>43.1</v>
      </c>
      <c r="Z626" s="2">
        <v>24.4</v>
      </c>
      <c r="AA626" s="2" t="s">
        <v>60</v>
      </c>
      <c r="AB626" s="2" t="s">
        <v>4544</v>
      </c>
      <c r="AC626" s="2">
        <v>3.8558520893677102</v>
      </c>
      <c r="AD626" s="2"/>
      <c r="AE626" s="2">
        <v>0.90033594437515896</v>
      </c>
      <c r="AF626" s="2">
        <v>283322.46195119701</v>
      </c>
      <c r="AG626" s="2">
        <v>218841.96843062001</v>
      </c>
      <c r="AH626" s="5">
        <v>1.2946440940144399</v>
      </c>
      <c r="AI626" s="5">
        <v>0.37255554627386001</v>
      </c>
      <c r="AJ626" s="5" t="s">
        <v>139</v>
      </c>
      <c r="AK626" s="2">
        <v>0.52340808152555596</v>
      </c>
      <c r="AL626" s="2">
        <v>0.753042437774049</v>
      </c>
      <c r="AM626" s="2">
        <v>385166.24788224202</v>
      </c>
      <c r="AN626" s="2">
        <v>248250.68588123401</v>
      </c>
      <c r="AO626" s="2">
        <v>257790.74962878201</v>
      </c>
      <c r="AP626" s="2">
        <v>567207.26915617904</v>
      </c>
      <c r="AQ626" s="2">
        <v>209737.287527929</v>
      </c>
      <c r="AR626" s="2">
        <v>31782.531630813301</v>
      </c>
      <c r="AS626" s="2">
        <v>29083.8473099082</v>
      </c>
      <c r="AT626" s="2">
        <v>394214.69346531201</v>
      </c>
      <c r="AU626" s="2">
        <v>87651.774795433797</v>
      </c>
      <c r="AV626" s="2">
        <v>404549.26561277302</v>
      </c>
      <c r="AW626" s="2">
        <v>151425.636151869</v>
      </c>
      <c r="AX626" s="2">
        <v>246126.59324842101</v>
      </c>
    </row>
    <row r="627" spans="1:50" x14ac:dyDescent="0.25">
      <c r="A627" s="2" t="s">
        <v>4545</v>
      </c>
      <c r="B627" s="2">
        <v>255.08731017065301</v>
      </c>
      <c r="C627" s="2">
        <v>4.9007166666666704</v>
      </c>
      <c r="D627" s="2" t="s">
        <v>51</v>
      </c>
      <c r="E627" s="2" t="s">
        <v>4546</v>
      </c>
      <c r="F627" s="2">
        <v>2669</v>
      </c>
      <c r="G627" s="3" t="str">
        <f>HYPERLINK("https://cloud.oebiotech.com/#/lm/network/2669", "https://cloud.oebiotech.com/#/lm/network/2669")</f>
        <v>https://cloud.oebiotech.com/#/lm/network/2669</v>
      </c>
      <c r="H627" s="2"/>
      <c r="I627" s="2"/>
      <c r="J627" s="2" t="s">
        <v>4547</v>
      </c>
      <c r="K627" s="2">
        <v>129725053</v>
      </c>
      <c r="L627" s="2"/>
      <c r="M627" s="2"/>
      <c r="N627" s="2"/>
      <c r="O627" s="2"/>
      <c r="P627" s="2"/>
      <c r="Q627" s="2"/>
      <c r="R627" s="2"/>
      <c r="S627" s="2" t="s">
        <v>4548</v>
      </c>
      <c r="T627" s="2" t="s">
        <v>4549</v>
      </c>
      <c r="U627" s="2" t="s">
        <v>56</v>
      </c>
      <c r="V627" s="2" t="s">
        <v>145</v>
      </c>
      <c r="W627" s="2" t="s">
        <v>231</v>
      </c>
      <c r="X627" s="2" t="s">
        <v>69</v>
      </c>
      <c r="Y627" s="2">
        <v>64.3</v>
      </c>
      <c r="Z627" s="2">
        <v>97</v>
      </c>
      <c r="AA627" s="2" t="s">
        <v>163</v>
      </c>
      <c r="AB627" s="2" t="s">
        <v>4550</v>
      </c>
      <c r="AC627" s="2">
        <v>-0.39683692016593303</v>
      </c>
      <c r="AD627" s="2"/>
      <c r="AE627" s="2">
        <v>0.90023844422986798</v>
      </c>
      <c r="AF627" s="2">
        <v>52879.252118753699</v>
      </c>
      <c r="AG627" s="2">
        <v>86597.107540835103</v>
      </c>
      <c r="AH627" s="4">
        <v>0.61063531589456799</v>
      </c>
      <c r="AI627" s="4">
        <v>-0.71161706513207401</v>
      </c>
      <c r="AJ627" s="4" t="s">
        <v>62</v>
      </c>
      <c r="AK627" s="2">
        <v>0.101081502337378</v>
      </c>
      <c r="AL627" s="2">
        <v>0.40439412356941501</v>
      </c>
      <c r="AM627" s="2">
        <v>68852.088616646404</v>
      </c>
      <c r="AN627" s="2">
        <v>40932.750684168401</v>
      </c>
      <c r="AO627" s="2">
        <v>86190.694369321194</v>
      </c>
      <c r="AP627" s="2">
        <v>82127.551763408395</v>
      </c>
      <c r="AQ627" s="2">
        <v>10365.9741985648</v>
      </c>
      <c r="AR627" s="2">
        <v>28806.453080413299</v>
      </c>
      <c r="AS627" s="2">
        <v>122469.775124012</v>
      </c>
      <c r="AT627" s="2">
        <v>114125.810791472</v>
      </c>
      <c r="AU627" s="2">
        <v>64688.639340441099</v>
      </c>
      <c r="AV627" s="2">
        <v>37376.447567716299</v>
      </c>
      <c r="AW627" s="2">
        <v>71336.531706881404</v>
      </c>
      <c r="AX627" s="2">
        <v>109585.440714488</v>
      </c>
    </row>
    <row r="628" spans="1:50" x14ac:dyDescent="0.25">
      <c r="A628" s="2" t="s">
        <v>4551</v>
      </c>
      <c r="B628" s="2">
        <v>450.25251516662303</v>
      </c>
      <c r="C628" s="2">
        <v>3.8572500000000001</v>
      </c>
      <c r="D628" s="2" t="s">
        <v>51</v>
      </c>
      <c r="E628" s="2" t="s">
        <v>4552</v>
      </c>
      <c r="F628" s="2">
        <v>210386</v>
      </c>
      <c r="G628" s="3" t="str">
        <f>HYPERLINK("https://cloud.oebiotech.com/#/lm/network/210386", "https://cloud.oebiotech.com/#/lm/network/210386")</f>
        <v>https://cloud.oebiotech.com/#/lm/network/210386</v>
      </c>
      <c r="H628" s="2" t="s">
        <v>4553</v>
      </c>
      <c r="I628" s="2"/>
      <c r="J628" s="2"/>
      <c r="K628" s="2"/>
      <c r="L628" s="2"/>
      <c r="M628" s="2"/>
      <c r="N628" s="2"/>
      <c r="O628" s="2">
        <v>133017</v>
      </c>
      <c r="P628" s="2"/>
      <c r="Q628" s="2"/>
      <c r="R628" s="2"/>
      <c r="S628" s="2" t="s">
        <v>4554</v>
      </c>
      <c r="T628" s="2" t="s">
        <v>4555</v>
      </c>
      <c r="U628" s="2" t="s">
        <v>610</v>
      </c>
      <c r="V628" s="2" t="s">
        <v>4556</v>
      </c>
      <c r="W628" s="2" t="s">
        <v>240</v>
      </c>
      <c r="X628" s="2" t="s">
        <v>147</v>
      </c>
      <c r="Y628" s="2">
        <v>36.6</v>
      </c>
      <c r="Z628" s="2">
        <v>0.98399999999999999</v>
      </c>
      <c r="AA628" s="2" t="s">
        <v>4557</v>
      </c>
      <c r="AB628" s="2" t="s">
        <v>4558</v>
      </c>
      <c r="AC628" s="2">
        <v>-0.49402131119059101</v>
      </c>
      <c r="AD628" s="2"/>
      <c r="AE628" s="2">
        <v>0.89922659798726401</v>
      </c>
      <c r="AF628" s="2">
        <v>4231.2246328991696</v>
      </c>
      <c r="AG628" s="2">
        <v>42196.067284290002</v>
      </c>
      <c r="AH628" s="4">
        <v>0.10027533145190699</v>
      </c>
      <c r="AI628" s="4">
        <v>-3.3179613600165898</v>
      </c>
      <c r="AJ628" s="4" t="s">
        <v>62</v>
      </c>
      <c r="AK628" s="2">
        <v>0.38053785541680402</v>
      </c>
      <c r="AL628" s="2">
        <v>0.65913977412323299</v>
      </c>
      <c r="AM628" s="2">
        <v>5352.2451742703797</v>
      </c>
      <c r="AN628" s="2">
        <v>141.15747174663301</v>
      </c>
      <c r="AO628" s="2">
        <v>771.95369429217999</v>
      </c>
      <c r="AP628" s="2">
        <v>77.525960545504304</v>
      </c>
      <c r="AQ628" s="2">
        <v>10619.1873187399</v>
      </c>
      <c r="AR628" s="2">
        <v>8425.2781778003991</v>
      </c>
      <c r="AS628" s="2">
        <v>8.559877937157E-6</v>
      </c>
      <c r="AT628" s="2">
        <v>137.18979368487899</v>
      </c>
      <c r="AU628" s="2">
        <v>301.02852309039201</v>
      </c>
      <c r="AV628" s="2">
        <v>248894.48591226499</v>
      </c>
      <c r="AW628" s="2">
        <v>1298.4161053014</v>
      </c>
      <c r="AX628" s="2">
        <v>2545.2833628387202</v>
      </c>
    </row>
    <row r="629" spans="1:50" x14ac:dyDescent="0.25">
      <c r="A629" s="2" t="s">
        <v>4559</v>
      </c>
      <c r="B629" s="2">
        <v>341.21235834394002</v>
      </c>
      <c r="C629" s="2">
        <v>7.6753666666666698</v>
      </c>
      <c r="D629" s="2" t="s">
        <v>51</v>
      </c>
      <c r="E629" s="2" t="s">
        <v>4560</v>
      </c>
      <c r="F629" s="2">
        <v>5412</v>
      </c>
      <c r="G629" s="3" t="str">
        <f>HYPERLINK("https://cloud.oebiotech.com/#/lm/network/5412", "https://cloud.oebiotech.com/#/lm/network/5412")</f>
        <v>https://cloud.oebiotech.com/#/lm/network/5412</v>
      </c>
      <c r="H629" s="2"/>
      <c r="I629" s="2"/>
      <c r="J629" s="2" t="s">
        <v>4561</v>
      </c>
      <c r="K629" s="2">
        <v>131840827</v>
      </c>
      <c r="L629" s="2"/>
      <c r="M629" s="2"/>
      <c r="N629" s="2"/>
      <c r="O629" s="2"/>
      <c r="P629" s="2"/>
      <c r="Q629" s="2"/>
      <c r="R629" s="2"/>
      <c r="S629" s="2" t="s">
        <v>4562</v>
      </c>
      <c r="T629" s="2" t="s">
        <v>4563</v>
      </c>
      <c r="U629" s="2" t="s">
        <v>56</v>
      </c>
      <c r="V629" s="2" t="s">
        <v>145</v>
      </c>
      <c r="W629" s="2" t="s">
        <v>231</v>
      </c>
      <c r="X629" s="2" t="s">
        <v>59</v>
      </c>
      <c r="Y629" s="2">
        <v>55.5</v>
      </c>
      <c r="Z629" s="2">
        <v>85.6</v>
      </c>
      <c r="AA629" s="2" t="s">
        <v>156</v>
      </c>
      <c r="AB629" s="2" t="s">
        <v>232</v>
      </c>
      <c r="AC629" s="2">
        <v>3.4536678805752801</v>
      </c>
      <c r="AD629" s="2"/>
      <c r="AE629" s="2">
        <v>0.89905285075219898</v>
      </c>
      <c r="AF629" s="2">
        <v>63490.179169667601</v>
      </c>
      <c r="AG629" s="2">
        <v>40153.681032886598</v>
      </c>
      <c r="AH629" s="5">
        <v>1.5811795465942</v>
      </c>
      <c r="AI629" s="5">
        <v>0.661001198356444</v>
      </c>
      <c r="AJ629" s="5" t="s">
        <v>139</v>
      </c>
      <c r="AK629" s="2">
        <v>0.26007044212401798</v>
      </c>
      <c r="AL629" s="2">
        <v>0.58239046601091005</v>
      </c>
      <c r="AM629" s="2">
        <v>151122.17660386299</v>
      </c>
      <c r="AN629" s="2">
        <v>43202.476113965698</v>
      </c>
      <c r="AO629" s="2">
        <v>39342.966753550303</v>
      </c>
      <c r="AP629" s="2">
        <v>70344.417528210295</v>
      </c>
      <c r="AQ629" s="2">
        <v>29420.4628489512</v>
      </c>
      <c r="AR629" s="2">
        <v>47508.575169464799</v>
      </c>
      <c r="AS629" s="2">
        <v>57428.6291764579</v>
      </c>
      <c r="AT629" s="2">
        <v>49698.236638217102</v>
      </c>
      <c r="AU629" s="2">
        <v>49036.367255021098</v>
      </c>
      <c r="AV629" s="2">
        <v>15352.4544258928</v>
      </c>
      <c r="AW629" s="2">
        <v>25168.1849920042</v>
      </c>
      <c r="AX629" s="2">
        <v>44238.213709726399</v>
      </c>
    </row>
    <row r="630" spans="1:50" x14ac:dyDescent="0.25">
      <c r="A630" s="2" t="s">
        <v>4564</v>
      </c>
      <c r="B630" s="2">
        <v>387.006958795667</v>
      </c>
      <c r="C630" s="2">
        <v>9.7466666666666697</v>
      </c>
      <c r="D630" s="2" t="s">
        <v>51</v>
      </c>
      <c r="E630" s="2" t="s">
        <v>4565</v>
      </c>
      <c r="F630" s="2">
        <v>59570</v>
      </c>
      <c r="G630" s="3" t="str">
        <f>HYPERLINK("https://cloud.oebiotech.com/#/lm/network/59570", "https://cloud.oebiotech.com/#/lm/network/59570")</f>
        <v>https://cloud.oebiotech.com/#/lm/network/59570</v>
      </c>
      <c r="H630" s="2" t="s">
        <v>4566</v>
      </c>
      <c r="I630" s="2">
        <v>90974</v>
      </c>
      <c r="J630" s="2"/>
      <c r="K630" s="2">
        <v>85798858</v>
      </c>
      <c r="L630" s="2"/>
      <c r="M630" s="2"/>
      <c r="N630" s="2"/>
      <c r="O630" s="2">
        <v>173932</v>
      </c>
      <c r="P630" s="2"/>
      <c r="Q630" s="2"/>
      <c r="R630" s="2" t="s">
        <v>4567</v>
      </c>
      <c r="S630" s="2" t="s">
        <v>4568</v>
      </c>
      <c r="T630" s="2" t="s">
        <v>4569</v>
      </c>
      <c r="U630" s="2" t="s">
        <v>56</v>
      </c>
      <c r="V630" s="2" t="s">
        <v>145</v>
      </c>
      <c r="W630" s="2" t="s">
        <v>231</v>
      </c>
      <c r="X630" s="2" t="s">
        <v>147</v>
      </c>
      <c r="Y630" s="2">
        <v>37</v>
      </c>
      <c r="Z630" s="2">
        <v>0</v>
      </c>
      <c r="AA630" s="2" t="s">
        <v>478</v>
      </c>
      <c r="AB630" s="2" t="s">
        <v>4570</v>
      </c>
      <c r="AC630" s="2">
        <v>-9.5695172461130296E-2</v>
      </c>
      <c r="AD630" s="2"/>
      <c r="AE630" s="2">
        <v>0.89803089789888801</v>
      </c>
      <c r="AF630" s="2">
        <v>80277.229106265106</v>
      </c>
      <c r="AG630" s="2">
        <v>95676.920807040398</v>
      </c>
      <c r="AH630" s="4">
        <v>0.83904486504291698</v>
      </c>
      <c r="AI630" s="4">
        <v>-0.25318013899654301</v>
      </c>
      <c r="AJ630" s="4" t="s">
        <v>62</v>
      </c>
      <c r="AK630" s="2">
        <v>3.2153586766469999E-3</v>
      </c>
      <c r="AL630" s="2">
        <v>0.1120315017845</v>
      </c>
      <c r="AM630" s="2">
        <v>69695.202675235501</v>
      </c>
      <c r="AN630" s="2">
        <v>77491.237178930402</v>
      </c>
      <c r="AO630" s="2">
        <v>80497.941950677094</v>
      </c>
      <c r="AP630" s="2">
        <v>81985.668897325406</v>
      </c>
      <c r="AQ630" s="2">
        <v>92041.202310219494</v>
      </c>
      <c r="AR630" s="2">
        <v>79952.121625202504</v>
      </c>
      <c r="AS630" s="2">
        <v>101755.13270190899</v>
      </c>
      <c r="AT630" s="2">
        <v>99398.619869128495</v>
      </c>
      <c r="AU630" s="2">
        <v>84467.678125731996</v>
      </c>
      <c r="AV630" s="2">
        <v>101167.03102611301</v>
      </c>
      <c r="AW630" s="2">
        <v>92219.815754943396</v>
      </c>
      <c r="AX630" s="2">
        <v>95053.247364416195</v>
      </c>
    </row>
    <row r="631" spans="1:50" x14ac:dyDescent="0.25">
      <c r="A631" s="2" t="s">
        <v>4571</v>
      </c>
      <c r="B631" s="2">
        <v>589.303683536314</v>
      </c>
      <c r="C631" s="2">
        <v>5.5183</v>
      </c>
      <c r="D631" s="2" t="s">
        <v>51</v>
      </c>
      <c r="E631" s="2" t="s">
        <v>4572</v>
      </c>
      <c r="F631" s="2">
        <v>208572</v>
      </c>
      <c r="G631" s="3" t="str">
        <f>HYPERLINK("https://cloud.oebiotech.com/#/lm/network/208572", "https://cloud.oebiotech.com/#/lm/network/208572")</f>
        <v>https://cloud.oebiotech.com/#/lm/network/208572</v>
      </c>
      <c r="H631" s="2" t="s">
        <v>4573</v>
      </c>
      <c r="I631" s="2"/>
      <c r="J631" s="2"/>
      <c r="K631" s="2">
        <v>23447013</v>
      </c>
      <c r="L631" s="2"/>
      <c r="M631" s="2"/>
      <c r="N631" s="2"/>
      <c r="O631" s="2"/>
      <c r="P631" s="2"/>
      <c r="Q631" s="2"/>
      <c r="R631" s="2"/>
      <c r="S631" s="2" t="s">
        <v>4574</v>
      </c>
      <c r="T631" s="2" t="s">
        <v>4575</v>
      </c>
      <c r="U631" s="2" t="s">
        <v>56</v>
      </c>
      <c r="V631" s="2" t="s">
        <v>283</v>
      </c>
      <c r="W631" s="2" t="s">
        <v>1338</v>
      </c>
      <c r="X631" s="2" t="s">
        <v>59</v>
      </c>
      <c r="Y631" s="2">
        <v>49.4</v>
      </c>
      <c r="Z631" s="2">
        <v>57.2</v>
      </c>
      <c r="AA631" s="2" t="s">
        <v>218</v>
      </c>
      <c r="AB631" s="2" t="s">
        <v>4576</v>
      </c>
      <c r="AC631" s="2">
        <v>3.4214337200890399</v>
      </c>
      <c r="AD631" s="2"/>
      <c r="AE631" s="2">
        <v>0.89768322643129905</v>
      </c>
      <c r="AF631" s="2">
        <v>57089.325125841802</v>
      </c>
      <c r="AG631" s="2">
        <v>2135.7093072207799</v>
      </c>
      <c r="AH631" s="5">
        <v>26.730849995748098</v>
      </c>
      <c r="AI631" s="5">
        <v>4.7404338084561397</v>
      </c>
      <c r="AJ631" s="5" t="s">
        <v>139</v>
      </c>
      <c r="AK631" s="2">
        <v>0.247547982911414</v>
      </c>
      <c r="AL631" s="2">
        <v>0.57119796911972998</v>
      </c>
      <c r="AM631" s="2">
        <v>8.559877937157E-6</v>
      </c>
      <c r="AN631" s="2">
        <v>8.559877937157E-6</v>
      </c>
      <c r="AO631" s="2">
        <v>8.559877937157E-6</v>
      </c>
      <c r="AP631" s="2">
        <v>8.559877937157E-6</v>
      </c>
      <c r="AQ631" s="2">
        <v>273529.47914365999</v>
      </c>
      <c r="AR631" s="2">
        <v>69006.4715771513</v>
      </c>
      <c r="AS631" s="2">
        <v>8.559877937157E-6</v>
      </c>
      <c r="AT631" s="2">
        <v>8.559877937157E-6</v>
      </c>
      <c r="AU631" s="2">
        <v>5235.9614544912001</v>
      </c>
      <c r="AV631" s="2">
        <v>6901.0349834484896</v>
      </c>
      <c r="AW631" s="2">
        <v>677.25937970537302</v>
      </c>
      <c r="AX631" s="2">
        <v>8.559877937157E-6</v>
      </c>
    </row>
    <row r="632" spans="1:50" x14ac:dyDescent="0.25">
      <c r="A632" s="2" t="s">
        <v>4577</v>
      </c>
      <c r="B632" s="2">
        <v>599.50477474217098</v>
      </c>
      <c r="C632" s="2">
        <v>14.687799999999999</v>
      </c>
      <c r="D632" s="2" t="s">
        <v>51</v>
      </c>
      <c r="E632" s="2" t="s">
        <v>4578</v>
      </c>
      <c r="F632" s="2">
        <v>78597</v>
      </c>
      <c r="G632" s="3" t="str">
        <f>HYPERLINK("https://cloud.oebiotech.com/#/lm/network/78597", "https://cloud.oebiotech.com/#/lm/network/78597")</f>
        <v>https://cloud.oebiotech.com/#/lm/network/78597</v>
      </c>
      <c r="H632" s="2" t="s">
        <v>4579</v>
      </c>
      <c r="I632" s="2"/>
      <c r="J632" s="2"/>
      <c r="K632" s="2">
        <v>100997184</v>
      </c>
      <c r="L632" s="2"/>
      <c r="M632" s="2"/>
      <c r="N632" s="2"/>
      <c r="O632" s="2"/>
      <c r="P632" s="2"/>
      <c r="Q632" s="2"/>
      <c r="R632" s="2"/>
      <c r="S632" s="2" t="s">
        <v>4580</v>
      </c>
      <c r="T632" s="2" t="s">
        <v>4581</v>
      </c>
      <c r="U632" s="2" t="s">
        <v>56</v>
      </c>
      <c r="V632" s="2" t="s">
        <v>145</v>
      </c>
      <c r="W632" s="2" t="s">
        <v>203</v>
      </c>
      <c r="X632" s="2" t="s">
        <v>59</v>
      </c>
      <c r="Y632" s="2">
        <v>48.6</v>
      </c>
      <c r="Z632" s="2">
        <v>50.7</v>
      </c>
      <c r="AA632" s="2" t="s">
        <v>156</v>
      </c>
      <c r="AB632" s="2" t="s">
        <v>4582</v>
      </c>
      <c r="AC632" s="2">
        <v>2.2509303896796999</v>
      </c>
      <c r="AD632" s="2"/>
      <c r="AE632" s="2">
        <v>0.89740052717205399</v>
      </c>
      <c r="AF632" s="2">
        <v>74682.353249975495</v>
      </c>
      <c r="AG632" s="2">
        <v>107862.164074345</v>
      </c>
      <c r="AH632" s="4">
        <v>0.69238693559402598</v>
      </c>
      <c r="AI632" s="4">
        <v>-0.530349591632157</v>
      </c>
      <c r="AJ632" s="4" t="s">
        <v>62</v>
      </c>
      <c r="AK632" s="2">
        <v>0.16768894207650301</v>
      </c>
      <c r="AL632" s="2">
        <v>0.49066991084681899</v>
      </c>
      <c r="AM632" s="2">
        <v>50108.569470073198</v>
      </c>
      <c r="AN632" s="2">
        <v>127286.334395495</v>
      </c>
      <c r="AO632" s="2">
        <v>81586.4561010451</v>
      </c>
      <c r="AP632" s="2">
        <v>59639.5569562733</v>
      </c>
      <c r="AQ632" s="2">
        <v>85696.478683617097</v>
      </c>
      <c r="AR632" s="2">
        <v>43776.723893349103</v>
      </c>
      <c r="AS632" s="2">
        <v>61633.785727812603</v>
      </c>
      <c r="AT632" s="2">
        <v>105071.80688790001</v>
      </c>
      <c r="AU632" s="2">
        <v>87250.919123298401</v>
      </c>
      <c r="AV632" s="2">
        <v>191947.789366443</v>
      </c>
      <c r="AW632" s="2">
        <v>85502.430548157296</v>
      </c>
      <c r="AX632" s="2">
        <v>115766.252792456</v>
      </c>
    </row>
    <row r="633" spans="1:50" x14ac:dyDescent="0.25">
      <c r="A633" s="2" t="s">
        <v>4583</v>
      </c>
      <c r="B633" s="2">
        <v>329.06200318707198</v>
      </c>
      <c r="C633" s="2">
        <v>7.2455166666666697</v>
      </c>
      <c r="D633" s="2" t="s">
        <v>51</v>
      </c>
      <c r="E633" s="2" t="s">
        <v>4584</v>
      </c>
      <c r="F633" s="2">
        <v>203313</v>
      </c>
      <c r="G633" s="3" t="str">
        <f>HYPERLINK("https://cloud.oebiotech.com/#/lm/network/203313", "https://cloud.oebiotech.com/#/lm/network/203313")</f>
        <v>https://cloud.oebiotech.com/#/lm/network/203313</v>
      </c>
      <c r="H633" s="2" t="s">
        <v>4585</v>
      </c>
      <c r="I633" s="2"/>
      <c r="J633" s="2"/>
      <c r="K633" s="2">
        <v>11330</v>
      </c>
      <c r="L633" s="2"/>
      <c r="M633" s="2"/>
      <c r="N633" s="2"/>
      <c r="O633" s="2"/>
      <c r="P633" s="2"/>
      <c r="Q633" s="2"/>
      <c r="R633" s="2"/>
      <c r="S633" s="2" t="s">
        <v>4586</v>
      </c>
      <c r="T633" s="2" t="s">
        <v>4587</v>
      </c>
      <c r="U633" s="2" t="s">
        <v>103</v>
      </c>
      <c r="V633" s="2" t="s">
        <v>104</v>
      </c>
      <c r="W633" s="2" t="s">
        <v>105</v>
      </c>
      <c r="X633" s="2" t="s">
        <v>147</v>
      </c>
      <c r="Y633" s="2">
        <v>38.1</v>
      </c>
      <c r="Z633" s="2">
        <v>8.58</v>
      </c>
      <c r="AA633" s="2" t="s">
        <v>163</v>
      </c>
      <c r="AB633" s="2" t="s">
        <v>4588</v>
      </c>
      <c r="AC633" s="2">
        <v>-4.6033942773718497</v>
      </c>
      <c r="AD633" s="2"/>
      <c r="AE633" s="2">
        <v>0.89708612668120202</v>
      </c>
      <c r="AF633" s="2">
        <v>30609.153758057098</v>
      </c>
      <c r="AG633" s="2">
        <v>60119.015285587098</v>
      </c>
      <c r="AH633" s="4">
        <v>0.50914263336903498</v>
      </c>
      <c r="AI633" s="4">
        <v>-0.97385821927806804</v>
      </c>
      <c r="AJ633" s="4" t="s">
        <v>62</v>
      </c>
      <c r="AK633" s="2">
        <v>0.1530548837313</v>
      </c>
      <c r="AL633" s="2">
        <v>0.47401504679850298</v>
      </c>
      <c r="AM633" s="2">
        <v>52712.078139253601</v>
      </c>
      <c r="AN633" s="2">
        <v>24203.943505649</v>
      </c>
      <c r="AO633" s="2">
        <v>16348.269863961301</v>
      </c>
      <c r="AP633" s="2">
        <v>55999.313206900297</v>
      </c>
      <c r="AQ633" s="2">
        <v>6295.0625617025198</v>
      </c>
      <c r="AR633" s="2">
        <v>28096.255270875801</v>
      </c>
      <c r="AS633" s="2">
        <v>129614.10057151</v>
      </c>
      <c r="AT633" s="2">
        <v>34442.381824993899</v>
      </c>
      <c r="AU633" s="2">
        <v>65358.1928881571</v>
      </c>
      <c r="AV633" s="2">
        <v>41542.325406092103</v>
      </c>
      <c r="AW633" s="2">
        <v>81102.355815713294</v>
      </c>
      <c r="AX633" s="2">
        <v>8654.7352070564593</v>
      </c>
    </row>
    <row r="634" spans="1:50" x14ac:dyDescent="0.25">
      <c r="A634" s="2" t="s">
        <v>4589</v>
      </c>
      <c r="B634" s="2">
        <v>713.352381959171</v>
      </c>
      <c r="C634" s="2">
        <v>11.74925</v>
      </c>
      <c r="D634" s="2" t="s">
        <v>51</v>
      </c>
      <c r="E634" s="2" t="s">
        <v>4590</v>
      </c>
      <c r="F634" s="2">
        <v>34997</v>
      </c>
      <c r="G634" s="3" t="str">
        <f>HYPERLINK("https://cloud.oebiotech.com/#/lm/network/34997", "https://cloud.oebiotech.com/#/lm/network/34997")</f>
        <v>https://cloud.oebiotech.com/#/lm/network/34997</v>
      </c>
      <c r="H634" s="2"/>
      <c r="I634" s="2"/>
      <c r="J634" s="2" t="s">
        <v>4591</v>
      </c>
      <c r="K634" s="2">
        <v>42608136</v>
      </c>
      <c r="L634" s="2"/>
      <c r="M634" s="2"/>
      <c r="N634" s="2"/>
      <c r="O634" s="2"/>
      <c r="P634" s="2"/>
      <c r="Q634" s="2"/>
      <c r="R634" s="2"/>
      <c r="S634" s="2" t="s">
        <v>4592</v>
      </c>
      <c r="T634" s="2" t="s">
        <v>4593</v>
      </c>
      <c r="U634" s="2" t="s">
        <v>331</v>
      </c>
      <c r="V634" s="2" t="s">
        <v>332</v>
      </c>
      <c r="W634" s="2" t="s">
        <v>1207</v>
      </c>
      <c r="X634" s="2" t="s">
        <v>83</v>
      </c>
      <c r="Y634" s="2">
        <v>58.1</v>
      </c>
      <c r="Z634" s="2">
        <v>33.299999999999997</v>
      </c>
      <c r="AA634" s="2" t="s">
        <v>218</v>
      </c>
      <c r="AB634" s="2" t="s">
        <v>4594</v>
      </c>
      <c r="AC634" s="2">
        <v>-2.79607564733623</v>
      </c>
      <c r="AD634" s="2"/>
      <c r="AE634" s="2">
        <v>0.89601125339732302</v>
      </c>
      <c r="AF634" s="2">
        <v>21128.8943915358</v>
      </c>
      <c r="AG634" s="2">
        <v>5320.3252233533804</v>
      </c>
      <c r="AH634" s="5">
        <v>3.9713539124997999</v>
      </c>
      <c r="AI634" s="5">
        <v>1.9896309342839</v>
      </c>
      <c r="AJ634" s="5" t="s">
        <v>139</v>
      </c>
      <c r="AK634" s="2">
        <v>2.31629971590331E-2</v>
      </c>
      <c r="AL634" s="2">
        <v>0.235803353043047</v>
      </c>
      <c r="AM634" s="2">
        <v>40813.322416621697</v>
      </c>
      <c r="AN634" s="2">
        <v>30693.521052536002</v>
      </c>
      <c r="AO634" s="2">
        <v>20935.037640931299</v>
      </c>
      <c r="AP634" s="2">
        <v>10928.634921218299</v>
      </c>
      <c r="AQ634" s="2">
        <v>5038.2481098172602</v>
      </c>
      <c r="AR634" s="2">
        <v>18364.602208090499</v>
      </c>
      <c r="AS634" s="2">
        <v>487.07281516567099</v>
      </c>
      <c r="AT634" s="2">
        <v>176.01020224292401</v>
      </c>
      <c r="AU634" s="2">
        <v>16485.796425128501</v>
      </c>
      <c r="AV634" s="2">
        <v>1330.85816606257</v>
      </c>
      <c r="AW634" s="2">
        <v>7528.2573121682299</v>
      </c>
      <c r="AX634" s="2">
        <v>5913.9564193523902</v>
      </c>
    </row>
    <row r="635" spans="1:50" x14ac:dyDescent="0.25">
      <c r="A635" s="2" t="s">
        <v>4595</v>
      </c>
      <c r="B635" s="2">
        <v>544.203339449797</v>
      </c>
      <c r="C635" s="2">
        <v>4.4143166666666698</v>
      </c>
      <c r="D635" s="2" t="s">
        <v>51</v>
      </c>
      <c r="E635" s="2" t="s">
        <v>4596</v>
      </c>
      <c r="F635" s="2">
        <v>212729</v>
      </c>
      <c r="G635" s="3" t="str">
        <f>HYPERLINK("https://cloud.oebiotech.com/#/lm/network/212729", "https://cloud.oebiotech.com/#/lm/network/212729")</f>
        <v>https://cloud.oebiotech.com/#/lm/network/212729</v>
      </c>
      <c r="H635" s="2" t="s">
        <v>4597</v>
      </c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 t="s">
        <v>4598</v>
      </c>
      <c r="T635" s="2" t="s">
        <v>4599</v>
      </c>
      <c r="U635" s="2" t="s">
        <v>103</v>
      </c>
      <c r="V635" s="2" t="s">
        <v>104</v>
      </c>
      <c r="W635" s="2" t="s">
        <v>105</v>
      </c>
      <c r="X635" s="2" t="s">
        <v>147</v>
      </c>
      <c r="Y635" s="2">
        <v>40.6</v>
      </c>
      <c r="Z635" s="2">
        <v>17.7</v>
      </c>
      <c r="AA635" s="2" t="s">
        <v>218</v>
      </c>
      <c r="AB635" s="2" t="s">
        <v>4600</v>
      </c>
      <c r="AC635" s="2">
        <v>-3.1283858129172999</v>
      </c>
      <c r="AD635" s="2"/>
      <c r="AE635" s="2">
        <v>0.89465353064423403</v>
      </c>
      <c r="AF635" s="2">
        <v>34759.713106585601</v>
      </c>
      <c r="AG635" s="2">
        <v>70248.651966048696</v>
      </c>
      <c r="AH635" s="4">
        <v>0.49480968152079302</v>
      </c>
      <c r="AI635" s="4">
        <v>-1.01505436630834</v>
      </c>
      <c r="AJ635" s="4" t="s">
        <v>62</v>
      </c>
      <c r="AK635" s="2">
        <v>0.41949655014732101</v>
      </c>
      <c r="AL635" s="2">
        <v>0.68072239494470299</v>
      </c>
      <c r="AM635" s="2">
        <v>1700.84223700447</v>
      </c>
      <c r="AN635" s="2">
        <v>1284.5097703046799</v>
      </c>
      <c r="AO635" s="2">
        <v>100445.950152106</v>
      </c>
      <c r="AP635" s="2">
        <v>32287.936320111701</v>
      </c>
      <c r="AQ635" s="2">
        <v>22609.532058169199</v>
      </c>
      <c r="AR635" s="2">
        <v>50229.508101817701</v>
      </c>
      <c r="AS635" s="2">
        <v>214814.404320917</v>
      </c>
      <c r="AT635" s="2">
        <v>24891.268563581099</v>
      </c>
      <c r="AU635" s="2">
        <v>8.559877937157E-6</v>
      </c>
      <c r="AV635" s="2">
        <v>11202.2995216176</v>
      </c>
      <c r="AW635" s="2">
        <v>8.559877937157E-6</v>
      </c>
      <c r="AX635" s="2">
        <v>170583.93937305699</v>
      </c>
    </row>
    <row r="636" spans="1:50" x14ac:dyDescent="0.25">
      <c r="A636" s="2" t="s">
        <v>4601</v>
      </c>
      <c r="B636" s="2">
        <v>361.19963239225098</v>
      </c>
      <c r="C636" s="2">
        <v>10.905533333333301</v>
      </c>
      <c r="D636" s="2" t="s">
        <v>51</v>
      </c>
      <c r="E636" s="2" t="s">
        <v>4602</v>
      </c>
      <c r="F636" s="2">
        <v>4229</v>
      </c>
      <c r="G636" s="3" t="str">
        <f>HYPERLINK("https://cloud.oebiotech.com/#/lm/network/4229", "https://cloud.oebiotech.com/#/lm/network/4229")</f>
        <v>https://cloud.oebiotech.com/#/lm/network/4229</v>
      </c>
      <c r="H636" s="2"/>
      <c r="I636" s="2">
        <v>75107</v>
      </c>
      <c r="J636" s="2" t="s">
        <v>4603</v>
      </c>
      <c r="K636" s="2">
        <v>52921958</v>
      </c>
      <c r="L636" s="2"/>
      <c r="M636" s="2"/>
      <c r="N636" s="2"/>
      <c r="O636" s="2"/>
      <c r="P636" s="2"/>
      <c r="Q636" s="2"/>
      <c r="R636" s="2"/>
      <c r="S636" s="2" t="s">
        <v>4604</v>
      </c>
      <c r="T636" s="2" t="s">
        <v>4605</v>
      </c>
      <c r="U636" s="2" t="s">
        <v>56</v>
      </c>
      <c r="V636" s="2" t="s">
        <v>145</v>
      </c>
      <c r="W636" s="2" t="s">
        <v>231</v>
      </c>
      <c r="X636" s="2" t="s">
        <v>69</v>
      </c>
      <c r="Y636" s="2">
        <v>59.7</v>
      </c>
      <c r="Z636" s="2">
        <v>50.7</v>
      </c>
      <c r="AA636" s="2" t="s">
        <v>218</v>
      </c>
      <c r="AB636" s="2" t="s">
        <v>708</v>
      </c>
      <c r="AC636" s="2">
        <v>-7.6382195520251299</v>
      </c>
      <c r="AD636" s="2"/>
      <c r="AE636" s="2">
        <v>0.89460235010488798</v>
      </c>
      <c r="AF636" s="2">
        <v>72721.425826329505</v>
      </c>
      <c r="AG636" s="2">
        <v>46181.177455459299</v>
      </c>
      <c r="AH636" s="5">
        <v>1.57469839084263</v>
      </c>
      <c r="AI636" s="5">
        <v>0.65507552911782996</v>
      </c>
      <c r="AJ636" s="5" t="s">
        <v>139</v>
      </c>
      <c r="AK636" s="2">
        <v>0.12931939747353999</v>
      </c>
      <c r="AL636" s="2">
        <v>0.44843954713391498</v>
      </c>
      <c r="AM636" s="2">
        <v>55646.240135732602</v>
      </c>
      <c r="AN636" s="2">
        <v>132200.28505204499</v>
      </c>
      <c r="AO636" s="2">
        <v>69278.939398124901</v>
      </c>
      <c r="AP636" s="2">
        <v>32283.579350322801</v>
      </c>
      <c r="AQ636" s="2">
        <v>50574.001567311403</v>
      </c>
      <c r="AR636" s="2">
        <v>96345.509454440195</v>
      </c>
      <c r="AS636" s="2">
        <v>48530.420339475801</v>
      </c>
      <c r="AT636" s="2">
        <v>30503.413304408401</v>
      </c>
      <c r="AU636" s="2">
        <v>60107.000350191702</v>
      </c>
      <c r="AV636" s="2">
        <v>36570.701484090197</v>
      </c>
      <c r="AW636" s="2">
        <v>32943.935945782701</v>
      </c>
      <c r="AX636" s="2">
        <v>68431.593308807001</v>
      </c>
    </row>
    <row r="637" spans="1:50" x14ac:dyDescent="0.25">
      <c r="A637" s="2" t="s">
        <v>4606</v>
      </c>
      <c r="B637" s="2">
        <v>278.17599616855898</v>
      </c>
      <c r="C637" s="2">
        <v>5.5685333333333302</v>
      </c>
      <c r="D637" s="2" t="s">
        <v>51</v>
      </c>
      <c r="E637" s="2" t="s">
        <v>4607</v>
      </c>
      <c r="F637" s="2">
        <v>199782</v>
      </c>
      <c r="G637" s="3" t="str">
        <f>HYPERLINK("https://cloud.oebiotech.com/#/lm/network/199782", "https://cloud.oebiotech.com/#/lm/network/199782")</f>
        <v>https://cloud.oebiotech.com/#/lm/network/199782</v>
      </c>
      <c r="H637" s="2" t="s">
        <v>4608</v>
      </c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 t="s">
        <v>4609</v>
      </c>
      <c r="T637" s="2" t="s">
        <v>4610</v>
      </c>
      <c r="U637" s="2" t="s">
        <v>266</v>
      </c>
      <c r="V637" s="2" t="s">
        <v>4611</v>
      </c>
      <c r="W637" s="2" t="s">
        <v>240</v>
      </c>
      <c r="X637" s="2" t="s">
        <v>147</v>
      </c>
      <c r="Y637" s="2">
        <v>38.9</v>
      </c>
      <c r="Z637" s="2">
        <v>1.55</v>
      </c>
      <c r="AA637" s="2" t="s">
        <v>60</v>
      </c>
      <c r="AB637" s="2" t="s">
        <v>4612</v>
      </c>
      <c r="AC637" s="2">
        <v>3.3414252667211999</v>
      </c>
      <c r="AD637" s="2"/>
      <c r="AE637" s="2">
        <v>0.89401382168024102</v>
      </c>
      <c r="AF637" s="2">
        <v>72899.860157507501</v>
      </c>
      <c r="AG637" s="2">
        <v>37929.427624923301</v>
      </c>
      <c r="AH637" s="5">
        <v>1.9219868245416201</v>
      </c>
      <c r="AI637" s="5">
        <v>0.94259844629188005</v>
      </c>
      <c r="AJ637" s="5" t="s">
        <v>139</v>
      </c>
      <c r="AK637" s="2">
        <v>4.6470779827872399E-2</v>
      </c>
      <c r="AL637" s="2">
        <v>0.303077969035141</v>
      </c>
      <c r="AM637" s="2">
        <v>39316.697374399802</v>
      </c>
      <c r="AN637" s="2">
        <v>97331.176887007998</v>
      </c>
      <c r="AO637" s="2">
        <v>56668.307711080801</v>
      </c>
      <c r="AP637" s="2">
        <v>118966.812712532</v>
      </c>
      <c r="AQ637" s="2">
        <v>64221.800482582403</v>
      </c>
      <c r="AR637" s="2">
        <v>60894.365777441802</v>
      </c>
      <c r="AS637" s="2">
        <v>59994.693007625501</v>
      </c>
      <c r="AT637" s="2">
        <v>40461.705824964098</v>
      </c>
      <c r="AU637" s="2">
        <v>12136.5769821672</v>
      </c>
      <c r="AV637" s="2">
        <v>9323.2281574163699</v>
      </c>
      <c r="AW637" s="2">
        <v>66269.363336420603</v>
      </c>
      <c r="AX637" s="2">
        <v>39390.9984409463</v>
      </c>
    </row>
    <row r="638" spans="1:50" x14ac:dyDescent="0.25">
      <c r="A638" s="2" t="s">
        <v>4613</v>
      </c>
      <c r="B638" s="2">
        <v>291.20736368143702</v>
      </c>
      <c r="C638" s="2">
        <v>5.4257166666666699</v>
      </c>
      <c r="D638" s="2" t="s">
        <v>51</v>
      </c>
      <c r="E638" s="2" t="s">
        <v>4614</v>
      </c>
      <c r="F638" s="2">
        <v>82810</v>
      </c>
      <c r="G638" s="3" t="str">
        <f>HYPERLINK("https://cloud.oebiotech.com/#/lm/network/82810", "https://cloud.oebiotech.com/#/lm/network/82810")</f>
        <v>https://cloud.oebiotech.com/#/lm/network/82810</v>
      </c>
      <c r="H638" s="2" t="s">
        <v>4615</v>
      </c>
      <c r="I638" s="2"/>
      <c r="J638" s="2"/>
      <c r="K638" s="2">
        <v>93486072</v>
      </c>
      <c r="L638" s="2"/>
      <c r="M638" s="2"/>
      <c r="N638" s="2"/>
      <c r="O638" s="2"/>
      <c r="P638" s="2"/>
      <c r="Q638" s="2"/>
      <c r="R638" s="2"/>
      <c r="S638" s="2" t="s">
        <v>4616</v>
      </c>
      <c r="T638" s="2" t="s">
        <v>4617</v>
      </c>
      <c r="U638" s="2" t="s">
        <v>103</v>
      </c>
      <c r="V638" s="2" t="s">
        <v>104</v>
      </c>
      <c r="W638" s="2" t="s">
        <v>105</v>
      </c>
      <c r="X638" s="2" t="s">
        <v>59</v>
      </c>
      <c r="Y638" s="2">
        <v>48.8</v>
      </c>
      <c r="Z638" s="2">
        <v>50.7</v>
      </c>
      <c r="AA638" s="2" t="s">
        <v>259</v>
      </c>
      <c r="AB638" s="2" t="s">
        <v>4618</v>
      </c>
      <c r="AC638" s="2">
        <v>2.2714272786930301</v>
      </c>
      <c r="AD638" s="2"/>
      <c r="AE638" s="2">
        <v>0.89302759865334402</v>
      </c>
      <c r="AF638" s="2">
        <v>66867.301218219</v>
      </c>
      <c r="AG638" s="2">
        <v>33853.294813814398</v>
      </c>
      <c r="AH638" s="5">
        <v>1.97520807312772</v>
      </c>
      <c r="AI638" s="5">
        <v>0.98200463823039297</v>
      </c>
      <c r="AJ638" s="5" t="s">
        <v>139</v>
      </c>
      <c r="AK638" s="2">
        <v>0.62221528258243697</v>
      </c>
      <c r="AL638" s="2">
        <v>0.81300123375368705</v>
      </c>
      <c r="AM638" s="2">
        <v>370505.653577869</v>
      </c>
      <c r="AN638" s="2">
        <v>13.4827255961335</v>
      </c>
      <c r="AO638" s="2">
        <v>105.513412846268</v>
      </c>
      <c r="AP638" s="2">
        <v>30572.827904661899</v>
      </c>
      <c r="AQ638" s="2">
        <v>6.3296797808444403</v>
      </c>
      <c r="AR638" s="2">
        <v>8.559877937157E-6</v>
      </c>
      <c r="AS638" s="2">
        <v>42984.697429312997</v>
      </c>
      <c r="AT638" s="2">
        <v>8.559877937157E-6</v>
      </c>
      <c r="AU638" s="2">
        <v>102.672432770735</v>
      </c>
      <c r="AV638" s="2">
        <v>3.6357599360284101</v>
      </c>
      <c r="AW638" s="2">
        <v>19357.773412912</v>
      </c>
      <c r="AX638" s="2">
        <v>140670.98983939501</v>
      </c>
    </row>
    <row r="639" spans="1:50" x14ac:dyDescent="0.25">
      <c r="A639" s="2" t="s">
        <v>4619</v>
      </c>
      <c r="B639" s="2">
        <v>509.02359946587399</v>
      </c>
      <c r="C639" s="2">
        <v>14.8427666666667</v>
      </c>
      <c r="D639" s="2" t="s">
        <v>51</v>
      </c>
      <c r="E639" s="2" t="s">
        <v>4620</v>
      </c>
      <c r="F639" s="2">
        <v>211928</v>
      </c>
      <c r="G639" s="3" t="str">
        <f>HYPERLINK("https://cloud.oebiotech.com/#/lm/network/211928", "https://cloud.oebiotech.com/#/lm/network/211928")</f>
        <v>https://cloud.oebiotech.com/#/lm/network/211928</v>
      </c>
      <c r="H639" s="2" t="s">
        <v>4621</v>
      </c>
      <c r="I639" s="2"/>
      <c r="J639" s="2"/>
      <c r="K639" s="2">
        <v>4312</v>
      </c>
      <c r="L639" s="2"/>
      <c r="M639" s="2"/>
      <c r="N639" s="2"/>
      <c r="O639" s="2"/>
      <c r="P639" s="2"/>
      <c r="Q639" s="2"/>
      <c r="R639" s="2"/>
      <c r="S639" s="2" t="s">
        <v>4622</v>
      </c>
      <c r="T639" s="2" t="s">
        <v>4623</v>
      </c>
      <c r="U639" s="2" t="s">
        <v>103</v>
      </c>
      <c r="V639" s="2" t="s">
        <v>104</v>
      </c>
      <c r="W639" s="2" t="s">
        <v>105</v>
      </c>
      <c r="X639" s="2" t="s">
        <v>147</v>
      </c>
      <c r="Y639" s="2">
        <v>39.5</v>
      </c>
      <c r="Z639" s="2">
        <v>4.37</v>
      </c>
      <c r="AA639" s="2" t="s">
        <v>478</v>
      </c>
      <c r="AB639" s="2" t="s">
        <v>4624</v>
      </c>
      <c r="AC639" s="2">
        <v>4.0587392123280903</v>
      </c>
      <c r="AD639" s="2"/>
      <c r="AE639" s="2">
        <v>0.89221920343296701</v>
      </c>
      <c r="AF639" s="2">
        <v>86678.672357418007</v>
      </c>
      <c r="AG639" s="2">
        <v>104127.913677235</v>
      </c>
      <c r="AH639" s="4">
        <v>0.83242494059850103</v>
      </c>
      <c r="AI639" s="4">
        <v>-0.26460790403475598</v>
      </c>
      <c r="AJ639" s="4" t="s">
        <v>62</v>
      </c>
      <c r="AK639" s="2">
        <v>3.4677854348661502E-3</v>
      </c>
      <c r="AL639" s="2">
        <v>0.1120315017845</v>
      </c>
      <c r="AM639" s="2">
        <v>72768.800340160495</v>
      </c>
      <c r="AN639" s="2">
        <v>87113.370697556296</v>
      </c>
      <c r="AO639" s="2">
        <v>90364.399143053597</v>
      </c>
      <c r="AP639" s="2">
        <v>86960.204010541405</v>
      </c>
      <c r="AQ639" s="2">
        <v>98553.2637934831</v>
      </c>
      <c r="AR639" s="2">
        <v>84311.9961597129</v>
      </c>
      <c r="AS639" s="2">
        <v>106447.18411494</v>
      </c>
      <c r="AT639" s="2">
        <v>117166.29189521899</v>
      </c>
      <c r="AU639" s="2">
        <v>97237.410127712996</v>
      </c>
      <c r="AV639" s="2">
        <v>98658.488568644694</v>
      </c>
      <c r="AW639" s="2">
        <v>99442.687837132893</v>
      </c>
      <c r="AX639" s="2">
        <v>105815.419519759</v>
      </c>
    </row>
    <row r="640" spans="1:50" x14ac:dyDescent="0.25">
      <c r="A640" s="2" t="s">
        <v>4625</v>
      </c>
      <c r="B640" s="2">
        <v>723.33276254716395</v>
      </c>
      <c r="C640" s="2">
        <v>4.3002500000000001</v>
      </c>
      <c r="D640" s="2" t="s">
        <v>51</v>
      </c>
      <c r="E640" s="2" t="s">
        <v>4626</v>
      </c>
      <c r="F640" s="2">
        <v>206237</v>
      </c>
      <c r="G640" s="3" t="str">
        <f>HYPERLINK("https://cloud.oebiotech.com/#/lm/network/206237", "https://cloud.oebiotech.com/#/lm/network/206237")</f>
        <v>https://cloud.oebiotech.com/#/lm/network/206237</v>
      </c>
      <c r="H640" s="2" t="s">
        <v>4627</v>
      </c>
      <c r="I640" s="2"/>
      <c r="J640" s="2"/>
      <c r="K640" s="2">
        <v>14019942</v>
      </c>
      <c r="L640" s="2"/>
      <c r="M640" s="2"/>
      <c r="N640" s="2"/>
      <c r="O640" s="2"/>
      <c r="P640" s="2"/>
      <c r="Q640" s="2"/>
      <c r="R640" s="2"/>
      <c r="S640" s="2" t="s">
        <v>4628</v>
      </c>
      <c r="T640" s="2" t="s">
        <v>4629</v>
      </c>
      <c r="U640" s="2" t="s">
        <v>103</v>
      </c>
      <c r="V640" s="2" t="s">
        <v>104</v>
      </c>
      <c r="W640" s="2" t="s">
        <v>105</v>
      </c>
      <c r="X640" s="2" t="s">
        <v>59</v>
      </c>
      <c r="Y640" s="2">
        <v>48</v>
      </c>
      <c r="Z640" s="2">
        <v>47.3</v>
      </c>
      <c r="AA640" s="2" t="s">
        <v>95</v>
      </c>
      <c r="AB640" s="2" t="s">
        <v>4630</v>
      </c>
      <c r="AC640" s="2">
        <v>0.49990263076743602</v>
      </c>
      <c r="AD640" s="2"/>
      <c r="AE640" s="2">
        <v>0.89156756218726496</v>
      </c>
      <c r="AF640" s="2">
        <v>3081.54837901154</v>
      </c>
      <c r="AG640" s="2">
        <v>40291.740630512002</v>
      </c>
      <c r="AH640" s="4">
        <v>7.6480894863051901E-2</v>
      </c>
      <c r="AI640" s="4">
        <v>-3.7087567861352699</v>
      </c>
      <c r="AJ640" s="4" t="s">
        <v>62</v>
      </c>
      <c r="AK640" s="2">
        <v>0.37496923621127898</v>
      </c>
      <c r="AL640" s="2">
        <v>0.65669391014347001</v>
      </c>
      <c r="AM640" s="2">
        <v>4359.9988181447397</v>
      </c>
      <c r="AN640" s="2">
        <v>223.696600005877</v>
      </c>
      <c r="AO640" s="2">
        <v>16.505947583013299</v>
      </c>
      <c r="AP640" s="2">
        <v>313.21544461837902</v>
      </c>
      <c r="AQ640" s="2">
        <v>10883.9839994016</v>
      </c>
      <c r="AR640" s="2">
        <v>2691.88946431566</v>
      </c>
      <c r="AS640" s="2">
        <v>477.994134781448</v>
      </c>
      <c r="AT640" s="2">
        <v>8.6715199739962792</v>
      </c>
      <c r="AU640" s="2">
        <v>8.559877937157E-6</v>
      </c>
      <c r="AV640" s="2">
        <v>240465.02252758099</v>
      </c>
      <c r="AW640" s="2">
        <v>8.559877937157E-6</v>
      </c>
      <c r="AX640" s="2">
        <v>798.75558361587105</v>
      </c>
    </row>
    <row r="641" spans="1:50" x14ac:dyDescent="0.25">
      <c r="A641" s="2" t="s">
        <v>4631</v>
      </c>
      <c r="B641" s="2">
        <v>261.05503249814598</v>
      </c>
      <c r="C641" s="2">
        <v>4.1742499999999998</v>
      </c>
      <c r="D641" s="2" t="s">
        <v>51</v>
      </c>
      <c r="E641" s="2" t="s">
        <v>4632</v>
      </c>
      <c r="F641" s="2">
        <v>201921</v>
      </c>
      <c r="G641" s="3" t="str">
        <f>HYPERLINK("https://cloud.oebiotech.com/#/lm/network/201921", "https://cloud.oebiotech.com/#/lm/network/201921")</f>
        <v>https://cloud.oebiotech.com/#/lm/network/201921</v>
      </c>
      <c r="H641" s="2" t="s">
        <v>4633</v>
      </c>
      <c r="I641" s="2"/>
      <c r="J641" s="2"/>
      <c r="K641" s="2">
        <v>323398</v>
      </c>
      <c r="L641" s="2"/>
      <c r="M641" s="2"/>
      <c r="N641" s="2"/>
      <c r="O641" s="2"/>
      <c r="P641" s="2"/>
      <c r="Q641" s="2"/>
      <c r="R641" s="2"/>
      <c r="S641" s="2" t="s">
        <v>4634</v>
      </c>
      <c r="T641" s="2" t="s">
        <v>4635</v>
      </c>
      <c r="U641" s="2" t="s">
        <v>295</v>
      </c>
      <c r="V641" s="2" t="s">
        <v>1818</v>
      </c>
      <c r="W641" s="2" t="s">
        <v>240</v>
      </c>
      <c r="X641" s="2" t="s">
        <v>59</v>
      </c>
      <c r="Y641" s="2">
        <v>50.3</v>
      </c>
      <c r="Z641" s="2">
        <v>61.7</v>
      </c>
      <c r="AA641" s="2" t="s">
        <v>259</v>
      </c>
      <c r="AB641" s="2" t="s">
        <v>4636</v>
      </c>
      <c r="AC641" s="2">
        <v>4.08993437015517</v>
      </c>
      <c r="AD641" s="2"/>
      <c r="AE641" s="2">
        <v>0.88990805088775105</v>
      </c>
      <c r="AF641" s="2">
        <v>168.67593584200401</v>
      </c>
      <c r="AG641" s="2">
        <v>36714.858131848101</v>
      </c>
      <c r="AH641" s="4">
        <v>4.5942145612074999E-3</v>
      </c>
      <c r="AI641" s="4">
        <v>-7.7659660489385001</v>
      </c>
      <c r="AJ641" s="4" t="s">
        <v>62</v>
      </c>
      <c r="AK641" s="2">
        <v>0.34281030449150801</v>
      </c>
      <c r="AL641" s="2">
        <v>0.63815037094278604</v>
      </c>
      <c r="AM641" s="2">
        <v>74.554057134655494</v>
      </c>
      <c r="AN641" s="2">
        <v>40.098569431028203</v>
      </c>
      <c r="AO641" s="2">
        <v>8.559877937157E-6</v>
      </c>
      <c r="AP641" s="2">
        <v>8.559877937157E-6</v>
      </c>
      <c r="AQ641" s="2">
        <v>8.559877937157E-6</v>
      </c>
      <c r="AR641" s="2">
        <v>897.40296280670702</v>
      </c>
      <c r="AS641" s="2">
        <v>8.559877937157E-6</v>
      </c>
      <c r="AT641" s="2">
        <v>8.559877937157E-6</v>
      </c>
      <c r="AU641" s="2">
        <v>3.9587295331362302</v>
      </c>
      <c r="AV641" s="2">
        <v>8.559877937157E-6</v>
      </c>
      <c r="AW641" s="2">
        <v>220206.27182918301</v>
      </c>
      <c r="AX641" s="2">
        <v>78.918206692801604</v>
      </c>
    </row>
    <row r="642" spans="1:50" x14ac:dyDescent="0.25">
      <c r="A642" s="2" t="s">
        <v>4637</v>
      </c>
      <c r="B642" s="2">
        <v>415.19742577658798</v>
      </c>
      <c r="C642" s="2">
        <v>5.6483833333333298</v>
      </c>
      <c r="D642" s="2" t="s">
        <v>51</v>
      </c>
      <c r="E642" s="2" t="s">
        <v>4638</v>
      </c>
      <c r="F642" s="2">
        <v>57110</v>
      </c>
      <c r="G642" s="3" t="str">
        <f>HYPERLINK("https://cloud.oebiotech.com/#/lm/network/57110", "https://cloud.oebiotech.com/#/lm/network/57110")</f>
        <v>https://cloud.oebiotech.com/#/lm/network/57110</v>
      </c>
      <c r="H642" s="2" t="s">
        <v>4639</v>
      </c>
      <c r="I642" s="2">
        <v>88762</v>
      </c>
      <c r="J642" s="2"/>
      <c r="K642" s="2">
        <v>85225214</v>
      </c>
      <c r="L642" s="2"/>
      <c r="M642" s="2"/>
      <c r="N642" s="2"/>
      <c r="O642" s="2">
        <v>168282</v>
      </c>
      <c r="P642" s="2"/>
      <c r="Q642" s="2"/>
      <c r="R642" s="2" t="s">
        <v>4640</v>
      </c>
      <c r="S642" s="2" t="s">
        <v>4641</v>
      </c>
      <c r="T642" s="2" t="s">
        <v>4642</v>
      </c>
      <c r="U642" s="2" t="s">
        <v>331</v>
      </c>
      <c r="V642" s="2" t="s">
        <v>332</v>
      </c>
      <c r="W642" s="2" t="s">
        <v>333</v>
      </c>
      <c r="X642" s="2" t="s">
        <v>147</v>
      </c>
      <c r="Y642" s="2">
        <v>44.4</v>
      </c>
      <c r="Z642" s="2">
        <v>31.2</v>
      </c>
      <c r="AA642" s="2" t="s">
        <v>218</v>
      </c>
      <c r="AB642" s="2" t="s">
        <v>4643</v>
      </c>
      <c r="AC642" s="2">
        <v>0.18802735582362101</v>
      </c>
      <c r="AD642" s="2"/>
      <c r="AE642" s="2">
        <v>0.88609196281904901</v>
      </c>
      <c r="AF642" s="2">
        <v>35395.699162990299</v>
      </c>
      <c r="AG642" s="2">
        <v>16487.662452421198</v>
      </c>
      <c r="AH642" s="5">
        <v>2.1467991151039301</v>
      </c>
      <c r="AI642" s="5">
        <v>1.1021871985546099</v>
      </c>
      <c r="AJ642" s="5" t="s">
        <v>139</v>
      </c>
      <c r="AK642" s="2">
        <v>8.5012698552667902E-3</v>
      </c>
      <c r="AL642" s="2">
        <v>0.15035952907186401</v>
      </c>
      <c r="AM642" s="2">
        <v>30863.364398371399</v>
      </c>
      <c r="AN642" s="2">
        <v>51455.458578338999</v>
      </c>
      <c r="AO642" s="2">
        <v>28152.3928668029</v>
      </c>
      <c r="AP642" s="2">
        <v>35267.520008227402</v>
      </c>
      <c r="AQ642" s="2">
        <v>22657.5098890683</v>
      </c>
      <c r="AR642" s="2">
        <v>43977.9492371327</v>
      </c>
      <c r="AS642" s="2">
        <v>23786.082271315099</v>
      </c>
      <c r="AT642" s="2">
        <v>9432.1232773444208</v>
      </c>
      <c r="AU642" s="2">
        <v>31729.981338725702</v>
      </c>
      <c r="AV642" s="2">
        <v>7343.5813998210797</v>
      </c>
      <c r="AW642" s="2">
        <v>13055.604406725</v>
      </c>
      <c r="AX642" s="2">
        <v>13578.6020205962</v>
      </c>
    </row>
    <row r="643" spans="1:50" x14ac:dyDescent="0.25">
      <c r="A643" s="2" t="s">
        <v>4644</v>
      </c>
      <c r="B643" s="2">
        <v>335.22276265529098</v>
      </c>
      <c r="C643" s="2">
        <v>7.3238666666666701</v>
      </c>
      <c r="D643" s="2" t="s">
        <v>51</v>
      </c>
      <c r="E643" s="2" t="s">
        <v>4645</v>
      </c>
      <c r="F643" s="2">
        <v>4175</v>
      </c>
      <c r="G643" s="3" t="str">
        <f>HYPERLINK("https://cloud.oebiotech.com/#/lm/network/4175", "https://cloud.oebiotech.com/#/lm/network/4175")</f>
        <v>https://cloud.oebiotech.com/#/lm/network/4175</v>
      </c>
      <c r="H643" s="2" t="s">
        <v>4646</v>
      </c>
      <c r="I643" s="2">
        <v>36377</v>
      </c>
      <c r="J643" s="2" t="s">
        <v>4647</v>
      </c>
      <c r="K643" s="2">
        <v>5283213</v>
      </c>
      <c r="L643" s="2"/>
      <c r="M643" s="2"/>
      <c r="N643" s="2"/>
      <c r="O643" s="2">
        <v>131888</v>
      </c>
      <c r="P643" s="2"/>
      <c r="Q643" s="2"/>
      <c r="R643" s="2" t="s">
        <v>4648</v>
      </c>
      <c r="S643" s="2" t="s">
        <v>4649</v>
      </c>
      <c r="T643" s="2" t="s">
        <v>4650</v>
      </c>
      <c r="U643" s="2" t="s">
        <v>56</v>
      </c>
      <c r="V643" s="2" t="s">
        <v>145</v>
      </c>
      <c r="W643" s="2" t="s">
        <v>187</v>
      </c>
      <c r="X643" s="2" t="s">
        <v>69</v>
      </c>
      <c r="Y643" s="2">
        <v>56.4</v>
      </c>
      <c r="Z643" s="2">
        <v>79.599999999999994</v>
      </c>
      <c r="AA643" s="2" t="s">
        <v>156</v>
      </c>
      <c r="AB643" s="2" t="s">
        <v>380</v>
      </c>
      <c r="AC643" s="2">
        <v>3.0570837684651599</v>
      </c>
      <c r="AD643" s="2"/>
      <c r="AE643" s="2">
        <v>0.88582809655722505</v>
      </c>
      <c r="AF643" s="2">
        <v>46086.411506742203</v>
      </c>
      <c r="AG643" s="2">
        <v>26457.50315801</v>
      </c>
      <c r="AH643" s="5">
        <v>1.74190327906243</v>
      </c>
      <c r="AI643" s="5">
        <v>0.800664519062533</v>
      </c>
      <c r="AJ643" s="5" t="s">
        <v>139</v>
      </c>
      <c r="AK643" s="2">
        <v>1.90987657682434E-2</v>
      </c>
      <c r="AL643" s="2">
        <v>0.21722101985835399</v>
      </c>
      <c r="AM643" s="2">
        <v>40745.660420681401</v>
      </c>
      <c r="AN643" s="2">
        <v>70548.735058994498</v>
      </c>
      <c r="AO643" s="2">
        <v>44862.560432199301</v>
      </c>
      <c r="AP643" s="2">
        <v>35877.266735178702</v>
      </c>
      <c r="AQ643" s="2">
        <v>35554.939999063703</v>
      </c>
      <c r="AR643" s="2">
        <v>48929.306394335297</v>
      </c>
      <c r="AS643" s="2">
        <v>43865.724570630198</v>
      </c>
      <c r="AT643" s="2">
        <v>19779.404967032398</v>
      </c>
      <c r="AU643" s="2">
        <v>32931.498423839999</v>
      </c>
      <c r="AV643" s="2">
        <v>13450.1169981984</v>
      </c>
      <c r="AW643" s="2">
        <v>18656.3354778133</v>
      </c>
      <c r="AX643" s="2">
        <v>30061.9385105459</v>
      </c>
    </row>
    <row r="644" spans="1:50" x14ac:dyDescent="0.25">
      <c r="A644" s="2" t="s">
        <v>4651</v>
      </c>
      <c r="B644" s="2">
        <v>477.04251583976298</v>
      </c>
      <c r="C644" s="2">
        <v>5.7232000000000003</v>
      </c>
      <c r="D644" s="2" t="s">
        <v>51</v>
      </c>
      <c r="E644" s="2" t="s">
        <v>4652</v>
      </c>
      <c r="F644" s="2">
        <v>199130</v>
      </c>
      <c r="G644" s="3" t="str">
        <f>HYPERLINK("https://cloud.oebiotech.com/#/lm/network/199130", "https://cloud.oebiotech.com/#/lm/network/199130")</f>
        <v>https://cloud.oebiotech.com/#/lm/network/199130</v>
      </c>
      <c r="H644" s="2" t="s">
        <v>4653</v>
      </c>
      <c r="I644" s="2"/>
      <c r="J644" s="2"/>
      <c r="K644" s="2">
        <v>6868</v>
      </c>
      <c r="L644" s="2"/>
      <c r="M644" s="2"/>
      <c r="N644" s="2"/>
      <c r="O644" s="2">
        <v>87316</v>
      </c>
      <c r="P644" s="2"/>
      <c r="Q644" s="2"/>
      <c r="R644" s="2"/>
      <c r="S644" s="2" t="s">
        <v>4654</v>
      </c>
      <c r="T644" s="2" t="s">
        <v>4655</v>
      </c>
      <c r="U644" s="2" t="s">
        <v>610</v>
      </c>
      <c r="V644" s="2" t="s">
        <v>813</v>
      </c>
      <c r="W644" s="2" t="s">
        <v>814</v>
      </c>
      <c r="X644" s="2" t="s">
        <v>147</v>
      </c>
      <c r="Y644" s="2">
        <v>38.6</v>
      </c>
      <c r="Z644" s="2">
        <v>1.1599999999999999</v>
      </c>
      <c r="AA644" s="2" t="s">
        <v>478</v>
      </c>
      <c r="AB644" s="2" t="s">
        <v>4656</v>
      </c>
      <c r="AC644" s="2">
        <v>-1.3916346409715099</v>
      </c>
      <c r="AD644" s="2"/>
      <c r="AE644" s="2">
        <v>0.885464359941876</v>
      </c>
      <c r="AF644" s="2">
        <v>9475.1819219478202</v>
      </c>
      <c r="AG644" s="2">
        <v>32626.982069685098</v>
      </c>
      <c r="AH644" s="4">
        <v>0.29040938882151601</v>
      </c>
      <c r="AI644" s="4">
        <v>-1.78383999903551</v>
      </c>
      <c r="AJ644" s="4" t="s">
        <v>62</v>
      </c>
      <c r="AK644" s="2">
        <v>4.4437208893424E-2</v>
      </c>
      <c r="AL644" s="2">
        <v>0.297793096711781</v>
      </c>
      <c r="AM644" s="2">
        <v>13531.9712358753</v>
      </c>
      <c r="AN644" s="2">
        <v>2674.6295384336399</v>
      </c>
      <c r="AO644" s="2">
        <v>13798.0433759677</v>
      </c>
      <c r="AP644" s="2">
        <v>418.15790116893402</v>
      </c>
      <c r="AQ644" s="2">
        <v>9592.1271290521599</v>
      </c>
      <c r="AR644" s="2">
        <v>16836.162351189199</v>
      </c>
      <c r="AS644" s="2">
        <v>10873.573078854</v>
      </c>
      <c r="AT644" s="2">
        <v>12762.775326061401</v>
      </c>
      <c r="AU644" s="2">
        <v>41862.145582030404</v>
      </c>
      <c r="AV644" s="2">
        <v>34714.669776222298</v>
      </c>
      <c r="AW644" s="2">
        <v>74346.878778062397</v>
      </c>
      <c r="AX644" s="2">
        <v>21201.849876880398</v>
      </c>
    </row>
    <row r="645" spans="1:50" x14ac:dyDescent="0.25">
      <c r="A645" s="2" t="s">
        <v>4657</v>
      </c>
      <c r="B645" s="2">
        <v>874.583248319885</v>
      </c>
      <c r="C645" s="2">
        <v>12.737633333333299</v>
      </c>
      <c r="D645" s="2" t="s">
        <v>51</v>
      </c>
      <c r="E645" s="2" t="s">
        <v>4658</v>
      </c>
      <c r="F645" s="2">
        <v>236241</v>
      </c>
      <c r="G645" s="3" t="str">
        <f>HYPERLINK("https://cloud.oebiotech.com/#/lm/network/236241", "https://cloud.oebiotech.com/#/lm/network/236241")</f>
        <v>https://cloud.oebiotech.com/#/lm/network/236241</v>
      </c>
      <c r="H645" s="2" t="s">
        <v>4659</v>
      </c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 t="s">
        <v>4660</v>
      </c>
      <c r="T645" s="2" t="s">
        <v>4661</v>
      </c>
      <c r="U645" s="2" t="s">
        <v>56</v>
      </c>
      <c r="V645" s="2" t="s">
        <v>57</v>
      </c>
      <c r="W645" s="2" t="s">
        <v>82</v>
      </c>
      <c r="X645" s="2" t="s">
        <v>83</v>
      </c>
      <c r="Y645" s="2">
        <v>36.299999999999997</v>
      </c>
      <c r="Z645" s="2">
        <v>0</v>
      </c>
      <c r="AA645" s="2" t="s">
        <v>259</v>
      </c>
      <c r="AB645" s="2" t="s">
        <v>4662</v>
      </c>
      <c r="AC645" s="2">
        <v>3.2717633363301202</v>
      </c>
      <c r="AD645" s="2"/>
      <c r="AE645" s="2">
        <v>0.88215178365288305</v>
      </c>
      <c r="AF645" s="2">
        <v>38324.954801211403</v>
      </c>
      <c r="AG645" s="2">
        <v>14520.180459723901</v>
      </c>
      <c r="AH645" s="5">
        <v>2.6394268933170002</v>
      </c>
      <c r="AI645" s="5">
        <v>1.40022470688384</v>
      </c>
      <c r="AJ645" s="5" t="s">
        <v>139</v>
      </c>
      <c r="AK645" s="2">
        <v>4.0685835283283497E-2</v>
      </c>
      <c r="AL645" s="2">
        <v>0.29155452793099101</v>
      </c>
      <c r="AM645" s="2">
        <v>20995.668204224199</v>
      </c>
      <c r="AN645" s="2">
        <v>75271.294538251706</v>
      </c>
      <c r="AO645" s="2">
        <v>26131.365369805299</v>
      </c>
      <c r="AP645" s="2">
        <v>58733.595522157098</v>
      </c>
      <c r="AQ645" s="2">
        <v>24676.0004574907</v>
      </c>
      <c r="AR645" s="2">
        <v>24141.804715339498</v>
      </c>
      <c r="AS645" s="2">
        <v>2545.2778222561601</v>
      </c>
      <c r="AT645" s="2">
        <v>28759.9328257294</v>
      </c>
      <c r="AU645" s="2">
        <v>13058.1590239832</v>
      </c>
      <c r="AV645" s="2">
        <v>22897.552065358799</v>
      </c>
      <c r="AW645" s="2">
        <v>10771.1069848801</v>
      </c>
      <c r="AX645" s="2">
        <v>9089.0540361359399</v>
      </c>
    </row>
    <row r="646" spans="1:50" x14ac:dyDescent="0.25">
      <c r="A646" s="2" t="s">
        <v>4663</v>
      </c>
      <c r="B646" s="2">
        <v>466.31795542825802</v>
      </c>
      <c r="C646" s="2">
        <v>7.3238666666666701</v>
      </c>
      <c r="D646" s="2" t="s">
        <v>51</v>
      </c>
      <c r="E646" s="2" t="s">
        <v>4664</v>
      </c>
      <c r="F646" s="2">
        <v>46727</v>
      </c>
      <c r="G646" s="3" t="str">
        <f>HYPERLINK("https://cloud.oebiotech.com/#/lm/network/46727", "https://cloud.oebiotech.com/#/lm/network/46727")</f>
        <v>https://cloud.oebiotech.com/#/lm/network/46727</v>
      </c>
      <c r="H646" s="2" t="s">
        <v>4665</v>
      </c>
      <c r="I646" s="2">
        <v>202</v>
      </c>
      <c r="J646" s="2" t="s">
        <v>4666</v>
      </c>
      <c r="K646" s="2">
        <v>10140</v>
      </c>
      <c r="L646" s="2" t="s">
        <v>4667</v>
      </c>
      <c r="M646" s="2" t="s">
        <v>3331</v>
      </c>
      <c r="N646" s="2" t="s">
        <v>3332</v>
      </c>
      <c r="O646" s="2">
        <v>17687</v>
      </c>
      <c r="P646" s="2"/>
      <c r="Q646" s="2"/>
      <c r="R646" s="2" t="s">
        <v>4668</v>
      </c>
      <c r="S646" s="2" t="s">
        <v>4669</v>
      </c>
      <c r="T646" s="2" t="s">
        <v>4670</v>
      </c>
      <c r="U646" s="2" t="s">
        <v>56</v>
      </c>
      <c r="V646" s="2" t="s">
        <v>283</v>
      </c>
      <c r="W646" s="2" t="s">
        <v>2042</v>
      </c>
      <c r="X646" s="2" t="s">
        <v>69</v>
      </c>
      <c r="Y646" s="2">
        <v>59.7</v>
      </c>
      <c r="Z646" s="2">
        <v>95.6</v>
      </c>
      <c r="AA646" s="2" t="s">
        <v>196</v>
      </c>
      <c r="AB646" s="2" t="s">
        <v>4671</v>
      </c>
      <c r="AC646" s="2">
        <v>3.52646296106952</v>
      </c>
      <c r="AD646" s="2"/>
      <c r="AE646" s="2">
        <v>0.87841907547605702</v>
      </c>
      <c r="AF646" s="2">
        <v>14585.7905748065</v>
      </c>
      <c r="AG646" s="2">
        <v>42230.733257217697</v>
      </c>
      <c r="AH646" s="4">
        <v>0.34538331328437599</v>
      </c>
      <c r="AI646" s="4">
        <v>-1.5337297121462301</v>
      </c>
      <c r="AJ646" s="4" t="s">
        <v>62</v>
      </c>
      <c r="AK646" s="2">
        <v>0.154184994569874</v>
      </c>
      <c r="AL646" s="2">
        <v>0.47517092828514201</v>
      </c>
      <c r="AM646" s="2">
        <v>3538.2359676691799</v>
      </c>
      <c r="AN646" s="2">
        <v>16297.1660196598</v>
      </c>
      <c r="AO646" s="2">
        <v>2090.6833682424799</v>
      </c>
      <c r="AP646" s="2">
        <v>48239.160579234202</v>
      </c>
      <c r="AQ646" s="2">
        <v>8716.4799507234293</v>
      </c>
      <c r="AR646" s="2">
        <v>8633.0175633101408</v>
      </c>
      <c r="AS646" s="2">
        <v>4006.8239624448001</v>
      </c>
      <c r="AT646" s="2">
        <v>22898.424865854999</v>
      </c>
      <c r="AU646" s="2">
        <v>79245.175815867595</v>
      </c>
      <c r="AV646" s="2">
        <v>105681.137928747</v>
      </c>
      <c r="AW646" s="2">
        <v>18347.1956588992</v>
      </c>
      <c r="AX646" s="2">
        <v>23205.641311492898</v>
      </c>
    </row>
    <row r="647" spans="1:50" x14ac:dyDescent="0.25">
      <c r="A647" s="2" t="s">
        <v>4672</v>
      </c>
      <c r="B647" s="2">
        <v>394.257290612269</v>
      </c>
      <c r="C647" s="2">
        <v>9.4819833333333303</v>
      </c>
      <c r="D647" s="2" t="s">
        <v>51</v>
      </c>
      <c r="E647" s="2" t="s">
        <v>4673</v>
      </c>
      <c r="F647" s="2">
        <v>198440</v>
      </c>
      <c r="G647" s="3" t="str">
        <f>HYPERLINK("https://cloud.oebiotech.com/#/lm/network/198440", "https://cloud.oebiotech.com/#/lm/network/198440")</f>
        <v>https://cloud.oebiotech.com/#/lm/network/198440</v>
      </c>
      <c r="H647" s="2" t="s">
        <v>4674</v>
      </c>
      <c r="I647" s="2"/>
      <c r="J647" s="2"/>
      <c r="K647" s="2">
        <v>145453483</v>
      </c>
      <c r="L647" s="2"/>
      <c r="M647" s="2"/>
      <c r="N647" s="2"/>
      <c r="O647" s="2">
        <v>166739</v>
      </c>
      <c r="P647" s="2"/>
      <c r="Q647" s="2"/>
      <c r="R647" s="2"/>
      <c r="S647" s="2" t="s">
        <v>4675</v>
      </c>
      <c r="T647" s="2" t="s">
        <v>4676</v>
      </c>
      <c r="U647" s="2" t="s">
        <v>103</v>
      </c>
      <c r="V647" s="2" t="s">
        <v>104</v>
      </c>
      <c r="W647" s="2" t="s">
        <v>105</v>
      </c>
      <c r="X647" s="2" t="s">
        <v>147</v>
      </c>
      <c r="Y647" s="2">
        <v>41.6</v>
      </c>
      <c r="Z647" s="2">
        <v>22.1</v>
      </c>
      <c r="AA647" s="2" t="s">
        <v>60</v>
      </c>
      <c r="AB647" s="2" t="s">
        <v>4677</v>
      </c>
      <c r="AC647" s="2">
        <v>2.41508849417797</v>
      </c>
      <c r="AD647" s="2"/>
      <c r="AE647" s="2">
        <v>0.87828406977890905</v>
      </c>
      <c r="AF647" s="2">
        <v>66899.057570155899</v>
      </c>
      <c r="AG647" s="2">
        <v>48223.174888383699</v>
      </c>
      <c r="AH647" s="5">
        <v>1.38728023870263</v>
      </c>
      <c r="AI647" s="5">
        <v>0.47225924991705098</v>
      </c>
      <c r="AJ647" s="5" t="s">
        <v>139</v>
      </c>
      <c r="AK647" s="2">
        <v>2.96590351946261E-2</v>
      </c>
      <c r="AL647" s="2">
        <v>0.25908320162100301</v>
      </c>
      <c r="AM647" s="2">
        <v>76792.620510853201</v>
      </c>
      <c r="AN647" s="2">
        <v>92703.596037480296</v>
      </c>
      <c r="AO647" s="2">
        <v>58188.7633251839</v>
      </c>
      <c r="AP647" s="2">
        <v>59106.5915439448</v>
      </c>
      <c r="AQ647" s="2">
        <v>46037.796746487198</v>
      </c>
      <c r="AR647" s="2">
        <v>68564.977256985803</v>
      </c>
      <c r="AS647" s="2">
        <v>51411.9639834763</v>
      </c>
      <c r="AT647" s="2">
        <v>43309.181848175402</v>
      </c>
      <c r="AU647" s="2">
        <v>47567.105998881998</v>
      </c>
      <c r="AV647" s="2">
        <v>37465.314234128702</v>
      </c>
      <c r="AW647" s="2">
        <v>60001.011514276201</v>
      </c>
      <c r="AX647" s="2">
        <v>49584.471751363897</v>
      </c>
    </row>
    <row r="648" spans="1:50" x14ac:dyDescent="0.25">
      <c r="A648" s="2" t="s">
        <v>4678</v>
      </c>
      <c r="B648" s="2">
        <v>761.30062453429196</v>
      </c>
      <c r="C648" s="2">
        <v>4.9007166666666704</v>
      </c>
      <c r="D648" s="2" t="s">
        <v>51</v>
      </c>
      <c r="E648" s="2" t="s">
        <v>4679</v>
      </c>
      <c r="F648" s="2">
        <v>46810</v>
      </c>
      <c r="G648" s="3" t="str">
        <f>HYPERLINK("https://cloud.oebiotech.com/#/lm/network/46810", "https://cloud.oebiotech.com/#/lm/network/46810")</f>
        <v>https://cloud.oebiotech.com/#/lm/network/46810</v>
      </c>
      <c r="H648" s="2"/>
      <c r="I648" s="2"/>
      <c r="J648" s="2" t="s">
        <v>4680</v>
      </c>
      <c r="K648" s="2">
        <v>101383561</v>
      </c>
      <c r="L648" s="2"/>
      <c r="M648" s="2"/>
      <c r="N648" s="2"/>
      <c r="O648" s="2"/>
      <c r="P648" s="2"/>
      <c r="Q648" s="2"/>
      <c r="R648" s="2"/>
      <c r="S648" s="2" t="s">
        <v>4681</v>
      </c>
      <c r="T648" s="2" t="s">
        <v>4682</v>
      </c>
      <c r="U648" s="2" t="s">
        <v>56</v>
      </c>
      <c r="V648" s="2" t="s">
        <v>283</v>
      </c>
      <c r="W648" s="2" t="s">
        <v>2042</v>
      </c>
      <c r="X648" s="2" t="s">
        <v>147</v>
      </c>
      <c r="Y648" s="2">
        <v>37.1</v>
      </c>
      <c r="Z648" s="2">
        <v>0</v>
      </c>
      <c r="AA648" s="2" t="s">
        <v>379</v>
      </c>
      <c r="AB648" s="2" t="s">
        <v>4683</v>
      </c>
      <c r="AC648" s="2">
        <v>1.49833271348776</v>
      </c>
      <c r="AD648" s="2"/>
      <c r="AE648" s="2">
        <v>0.876907813187909</v>
      </c>
      <c r="AF648" s="2">
        <v>3937.9783055036601</v>
      </c>
      <c r="AG648" s="2">
        <v>28544.4180708651</v>
      </c>
      <c r="AH648" s="4">
        <v>0.13795966327732201</v>
      </c>
      <c r="AI648" s="4">
        <v>-2.8576815822047901</v>
      </c>
      <c r="AJ648" s="4" t="s">
        <v>62</v>
      </c>
      <c r="AK648" s="2">
        <v>0.104764167833802</v>
      </c>
      <c r="AL648" s="2">
        <v>0.41109376366773598</v>
      </c>
      <c r="AM648" s="2">
        <v>3679.3242249176801</v>
      </c>
      <c r="AN648" s="2">
        <v>628.04466294352005</v>
      </c>
      <c r="AO648" s="2">
        <v>2785.8074226507201</v>
      </c>
      <c r="AP648" s="2">
        <v>8.559877937157E-6</v>
      </c>
      <c r="AQ648" s="2">
        <v>8.559877937157E-6</v>
      </c>
      <c r="AR648" s="2">
        <v>16534.6935053903</v>
      </c>
      <c r="AS648" s="2">
        <v>1823.16205034533</v>
      </c>
      <c r="AT648" s="2">
        <v>8904.2492122787608</v>
      </c>
      <c r="AU648" s="2">
        <v>30034.226025063101</v>
      </c>
      <c r="AV648" s="2">
        <v>41513.130586370396</v>
      </c>
      <c r="AW648" s="2">
        <v>87663.730327392201</v>
      </c>
      <c r="AX648" s="2">
        <v>1328.0102237405899</v>
      </c>
    </row>
    <row r="649" spans="1:50" x14ac:dyDescent="0.25">
      <c r="A649" s="2" t="s">
        <v>4684</v>
      </c>
      <c r="B649" s="2">
        <v>319.16039999999998</v>
      </c>
      <c r="C649" s="2">
        <v>19.355</v>
      </c>
      <c r="D649" s="2" t="s">
        <v>125</v>
      </c>
      <c r="E649" s="2" t="s">
        <v>4685</v>
      </c>
      <c r="F649" s="2">
        <v>257704</v>
      </c>
      <c r="G649" s="3" t="str">
        <f>HYPERLINK("https://cloud.oebiotech.com/#/lm/network/257704", "https://cloud.oebiotech.com/#/lm/network/257704")</f>
        <v>https://cloud.oebiotech.com/#/lm/network/257704</v>
      </c>
      <c r="H649" s="2"/>
      <c r="I649" s="2">
        <v>136</v>
      </c>
      <c r="J649" s="2"/>
      <c r="K649" s="2">
        <v>18950</v>
      </c>
      <c r="L649" s="2" t="s">
        <v>4686</v>
      </c>
      <c r="M649" s="2" t="s">
        <v>4687</v>
      </c>
      <c r="N649" s="2" t="s">
        <v>4688</v>
      </c>
      <c r="O649" s="2"/>
      <c r="P649" s="2"/>
      <c r="Q649" s="2"/>
      <c r="R649" s="2" t="s">
        <v>4689</v>
      </c>
      <c r="S649" s="2" t="s">
        <v>2375</v>
      </c>
      <c r="T649" s="2" t="s">
        <v>4690</v>
      </c>
      <c r="U649" s="2" t="s">
        <v>331</v>
      </c>
      <c r="V649" s="2" t="s">
        <v>332</v>
      </c>
      <c r="W649" s="2" t="s">
        <v>333</v>
      </c>
      <c r="X649" s="2" t="s">
        <v>69</v>
      </c>
      <c r="Y649" s="2">
        <v>96</v>
      </c>
      <c r="Z649" s="2">
        <v>94.6</v>
      </c>
      <c r="AA649" s="2"/>
      <c r="AB649" s="2" t="s">
        <v>1085</v>
      </c>
      <c r="AC649" s="2"/>
      <c r="AD649" s="2">
        <v>649361.61203239497</v>
      </c>
      <c r="AE649" s="2">
        <v>0.87576294861586601</v>
      </c>
      <c r="AF649" s="2">
        <v>832570.41476434795</v>
      </c>
      <c r="AG649" s="2">
        <v>1153866.4132359601</v>
      </c>
      <c r="AH649" s="4">
        <v>0.72154835708359299</v>
      </c>
      <c r="AI649" s="4">
        <v>-0.47083200968318001</v>
      </c>
      <c r="AJ649" s="4" t="s">
        <v>62</v>
      </c>
      <c r="AK649" s="2">
        <v>0.17149035352140901</v>
      </c>
      <c r="AL649" s="2">
        <v>0.49209194241498699</v>
      </c>
      <c r="AM649" s="2">
        <v>1001190.00625557</v>
      </c>
      <c r="AN649" s="2">
        <v>951407.41041145602</v>
      </c>
      <c r="AO649" s="2">
        <v>618991.88614664797</v>
      </c>
      <c r="AP649" s="2">
        <v>475463.63886451302</v>
      </c>
      <c r="AQ649" s="2">
        <v>345259.37038537202</v>
      </c>
      <c r="AR649" s="2">
        <v>1603110.1765225299</v>
      </c>
      <c r="AS649" s="2">
        <v>1538905.7775544301</v>
      </c>
      <c r="AT649" s="2">
        <v>1214907.1282864001</v>
      </c>
      <c r="AU649" s="2">
        <v>1013814.8281566</v>
      </c>
      <c r="AV649" s="2">
        <v>952827.66693427705</v>
      </c>
      <c r="AW649" s="2">
        <v>816127.04339648294</v>
      </c>
      <c r="AX649" s="2">
        <v>1386616.0350875999</v>
      </c>
    </row>
    <row r="650" spans="1:50" x14ac:dyDescent="0.25">
      <c r="A650" s="2" t="s">
        <v>4691</v>
      </c>
      <c r="B650" s="2">
        <v>339.19663595712802</v>
      </c>
      <c r="C650" s="2">
        <v>6.1476333333333297</v>
      </c>
      <c r="D650" s="2" t="s">
        <v>51</v>
      </c>
      <c r="E650" s="2" t="s">
        <v>4692</v>
      </c>
      <c r="F650" s="2">
        <v>213005</v>
      </c>
      <c r="G650" s="3" t="str">
        <f>HYPERLINK("https://cloud.oebiotech.com/#/lm/network/213005", "https://cloud.oebiotech.com/#/lm/network/213005")</f>
        <v>https://cloud.oebiotech.com/#/lm/network/213005</v>
      </c>
      <c r="H650" s="2" t="s">
        <v>4693</v>
      </c>
      <c r="I650" s="2"/>
      <c r="J650" s="2"/>
      <c r="K650" s="2">
        <v>496847</v>
      </c>
      <c r="L650" s="2"/>
      <c r="M650" s="2"/>
      <c r="N650" s="2"/>
      <c r="O650" s="2"/>
      <c r="P650" s="2"/>
      <c r="Q650" s="2"/>
      <c r="R650" s="2"/>
      <c r="S650" s="2" t="s">
        <v>4694</v>
      </c>
      <c r="T650" s="2" t="s">
        <v>4695</v>
      </c>
      <c r="U650" s="2" t="s">
        <v>56</v>
      </c>
      <c r="V650" s="2" t="s">
        <v>283</v>
      </c>
      <c r="W650" s="2" t="s">
        <v>492</v>
      </c>
      <c r="X650" s="2" t="s">
        <v>59</v>
      </c>
      <c r="Y650" s="2">
        <v>49.6</v>
      </c>
      <c r="Z650" s="2">
        <v>56.4</v>
      </c>
      <c r="AA650" s="2" t="s">
        <v>156</v>
      </c>
      <c r="AB650" s="2" t="s">
        <v>4696</v>
      </c>
      <c r="AC650" s="2">
        <v>3.2701712087581201</v>
      </c>
      <c r="AD650" s="2"/>
      <c r="AE650" s="2">
        <v>0.87529036558291096</v>
      </c>
      <c r="AF650" s="2">
        <v>38305.118406437097</v>
      </c>
      <c r="AG650" s="2">
        <v>19756.5167148207</v>
      </c>
      <c r="AH650" s="5">
        <v>1.93885991945644</v>
      </c>
      <c r="AI650" s="5">
        <v>0.95520857404508897</v>
      </c>
      <c r="AJ650" s="5" t="s">
        <v>139</v>
      </c>
      <c r="AK650" s="2">
        <v>9.3832451224426697E-2</v>
      </c>
      <c r="AL650" s="2">
        <v>0.39417622961029303</v>
      </c>
      <c r="AM650" s="2">
        <v>81938.997815263807</v>
      </c>
      <c r="AN650" s="2">
        <v>34137.482535052099</v>
      </c>
      <c r="AO650" s="2">
        <v>25620.536712034798</v>
      </c>
      <c r="AP650" s="2">
        <v>37005.982589758503</v>
      </c>
      <c r="AQ650" s="2">
        <v>17663.142947080501</v>
      </c>
      <c r="AR650" s="2">
        <v>33464.567839433199</v>
      </c>
      <c r="AS650" s="2">
        <v>31239.9940058022</v>
      </c>
      <c r="AT650" s="2">
        <v>23970.5669025143</v>
      </c>
      <c r="AU650" s="2">
        <v>19941.259099778301</v>
      </c>
      <c r="AV650" s="2">
        <v>6250.7390250363096</v>
      </c>
      <c r="AW650" s="2">
        <v>10112.473189620199</v>
      </c>
      <c r="AX650" s="2">
        <v>27024.068066172898</v>
      </c>
    </row>
    <row r="651" spans="1:50" x14ac:dyDescent="0.25">
      <c r="A651" s="2" t="s">
        <v>4697</v>
      </c>
      <c r="B651" s="2">
        <v>297.24336059379198</v>
      </c>
      <c r="C651" s="2">
        <v>10.8035333333333</v>
      </c>
      <c r="D651" s="2" t="s">
        <v>51</v>
      </c>
      <c r="E651" s="2" t="s">
        <v>4698</v>
      </c>
      <c r="F651" s="2">
        <v>3097</v>
      </c>
      <c r="G651" s="3" t="str">
        <f>HYPERLINK("https://cloud.oebiotech.com/#/lm/network/3097", "https://cloud.oebiotech.com/#/lm/network/3097")</f>
        <v>https://cloud.oebiotech.com/#/lm/network/3097</v>
      </c>
      <c r="H651" s="2"/>
      <c r="I651" s="2">
        <v>35468</v>
      </c>
      <c r="J651" s="2" t="s">
        <v>4699</v>
      </c>
      <c r="K651" s="2">
        <v>316306</v>
      </c>
      <c r="L651" s="2"/>
      <c r="M651" s="2"/>
      <c r="N651" s="2"/>
      <c r="O651" s="2"/>
      <c r="P651" s="2"/>
      <c r="Q651" s="2"/>
      <c r="R651" s="2"/>
      <c r="S651" s="2" t="s">
        <v>4700</v>
      </c>
      <c r="T651" s="2" t="s">
        <v>4701</v>
      </c>
      <c r="U651" s="2" t="s">
        <v>56</v>
      </c>
      <c r="V651" s="2" t="s">
        <v>145</v>
      </c>
      <c r="W651" s="2" t="s">
        <v>231</v>
      </c>
      <c r="X651" s="2" t="s">
        <v>69</v>
      </c>
      <c r="Y651" s="2">
        <v>55.3</v>
      </c>
      <c r="Z651" s="2">
        <v>57.6</v>
      </c>
      <c r="AA651" s="2" t="s">
        <v>379</v>
      </c>
      <c r="AB651" s="2" t="s">
        <v>4702</v>
      </c>
      <c r="AC651" s="2">
        <v>-0.49933057920762403</v>
      </c>
      <c r="AD651" s="2"/>
      <c r="AE651" s="2">
        <v>0.87472141558404004</v>
      </c>
      <c r="AF651" s="2">
        <v>147056.07665861101</v>
      </c>
      <c r="AG651" s="2">
        <v>109183.690663371</v>
      </c>
      <c r="AH651" s="5">
        <v>1.34686852738845</v>
      </c>
      <c r="AI651" s="5">
        <v>0.42960903109582799</v>
      </c>
      <c r="AJ651" s="5" t="s">
        <v>139</v>
      </c>
      <c r="AK651" s="2">
        <v>0.50000402163612001</v>
      </c>
      <c r="AL651" s="2">
        <v>0.73772066252204804</v>
      </c>
      <c r="AM651" s="2">
        <v>259869.93695836799</v>
      </c>
      <c r="AN651" s="2">
        <v>65001.105732516902</v>
      </c>
      <c r="AO651" s="2">
        <v>88260.605053833904</v>
      </c>
      <c r="AP651" s="2">
        <v>44924.322910542702</v>
      </c>
      <c r="AQ651" s="2">
        <v>305239.246290532</v>
      </c>
      <c r="AR651" s="2">
        <v>119041.243005873</v>
      </c>
      <c r="AS651" s="2">
        <v>61296.749084428797</v>
      </c>
      <c r="AT651" s="2">
        <v>40787.951782477103</v>
      </c>
      <c r="AU651" s="2">
        <v>238616.036723856</v>
      </c>
      <c r="AV651" s="2">
        <v>113117.65640861999</v>
      </c>
      <c r="AW651" s="2">
        <v>149756.13840726999</v>
      </c>
      <c r="AX651" s="2">
        <v>51527.611573575603</v>
      </c>
    </row>
    <row r="652" spans="1:50" x14ac:dyDescent="0.25">
      <c r="A652" s="2" t="s">
        <v>4703</v>
      </c>
      <c r="B652" s="2">
        <v>411.202858685916</v>
      </c>
      <c r="C652" s="2">
        <v>7.2658333333333296</v>
      </c>
      <c r="D652" s="2" t="s">
        <v>51</v>
      </c>
      <c r="E652" s="2" t="s">
        <v>4704</v>
      </c>
      <c r="F652" s="2">
        <v>3916</v>
      </c>
      <c r="G652" s="3" t="str">
        <f>HYPERLINK("https://cloud.oebiotech.com/#/lm/network/3916", "https://cloud.oebiotech.com/#/lm/network/3916")</f>
        <v>https://cloud.oebiotech.com/#/lm/network/3916</v>
      </c>
      <c r="H652" s="2"/>
      <c r="I652" s="2">
        <v>36263</v>
      </c>
      <c r="J652" s="2" t="s">
        <v>4705</v>
      </c>
      <c r="K652" s="2">
        <v>16061115</v>
      </c>
      <c r="L652" s="2"/>
      <c r="M652" s="2"/>
      <c r="N652" s="2"/>
      <c r="O652" s="2"/>
      <c r="P652" s="2"/>
      <c r="Q652" s="2"/>
      <c r="R652" s="2" t="s">
        <v>4706</v>
      </c>
      <c r="S652" s="2" t="s">
        <v>4707</v>
      </c>
      <c r="T652" s="2" t="s">
        <v>4708</v>
      </c>
      <c r="U652" s="2" t="s">
        <v>56</v>
      </c>
      <c r="V652" s="2" t="s">
        <v>145</v>
      </c>
      <c r="W652" s="2" t="s">
        <v>231</v>
      </c>
      <c r="X652" s="2" t="s">
        <v>59</v>
      </c>
      <c r="Y652" s="2">
        <v>47.7</v>
      </c>
      <c r="Z652" s="2">
        <v>45.9</v>
      </c>
      <c r="AA652" s="2" t="s">
        <v>218</v>
      </c>
      <c r="AB652" s="2" t="s">
        <v>4056</v>
      </c>
      <c r="AC652" s="2">
        <v>1.1390814519199799</v>
      </c>
      <c r="AD652" s="2"/>
      <c r="AE652" s="2">
        <v>0.87196808689546701</v>
      </c>
      <c r="AF652" s="2">
        <v>33312.146189875399</v>
      </c>
      <c r="AG652" s="2">
        <v>17712.724799565702</v>
      </c>
      <c r="AH652" s="5">
        <v>1.8806901008642201</v>
      </c>
      <c r="AI652" s="5">
        <v>0.91126214190738097</v>
      </c>
      <c r="AJ652" s="5" t="s">
        <v>139</v>
      </c>
      <c r="AK652" s="2">
        <v>1.3211490989751601E-3</v>
      </c>
      <c r="AL652" s="2">
        <v>9.5654417080677304E-2</v>
      </c>
      <c r="AM652" s="2">
        <v>33897.806021810698</v>
      </c>
      <c r="AN652" s="2">
        <v>38993.9520768898</v>
      </c>
      <c r="AO652" s="2">
        <v>28529.286886437101</v>
      </c>
      <c r="AP652" s="2">
        <v>32743.543271902199</v>
      </c>
      <c r="AQ652" s="2">
        <v>31319.773094839999</v>
      </c>
      <c r="AR652" s="2">
        <v>34388.515787372497</v>
      </c>
      <c r="AS652" s="2">
        <v>25579.896936433099</v>
      </c>
      <c r="AT652" s="2">
        <v>15537.2821269043</v>
      </c>
      <c r="AU652" s="2">
        <v>27404.311902021698</v>
      </c>
      <c r="AV652" s="2">
        <v>8059.2472996859397</v>
      </c>
      <c r="AW652" s="2">
        <v>10113.906836530099</v>
      </c>
      <c r="AX652" s="2">
        <v>19581.7036958188</v>
      </c>
    </row>
    <row r="653" spans="1:50" x14ac:dyDescent="0.25">
      <c r="A653" s="2" t="s">
        <v>4709</v>
      </c>
      <c r="B653" s="2">
        <v>373.20029445639199</v>
      </c>
      <c r="C653" s="2">
        <v>8.6161333333333303</v>
      </c>
      <c r="D653" s="2" t="s">
        <v>51</v>
      </c>
      <c r="E653" s="2" t="s">
        <v>4710</v>
      </c>
      <c r="F653" s="2">
        <v>3879</v>
      </c>
      <c r="G653" s="3" t="str">
        <f>HYPERLINK("https://cloud.oebiotech.com/#/lm/network/3879", "https://cloud.oebiotech.com/#/lm/network/3879")</f>
        <v>https://cloud.oebiotech.com/#/lm/network/3879</v>
      </c>
      <c r="H653" s="2" t="s">
        <v>4711</v>
      </c>
      <c r="I653" s="2"/>
      <c r="J653" s="2" t="s">
        <v>4712</v>
      </c>
      <c r="K653" s="2">
        <v>53481459</v>
      </c>
      <c r="L653" s="2"/>
      <c r="M653" s="2"/>
      <c r="N653" s="2"/>
      <c r="O653" s="2"/>
      <c r="P653" s="2"/>
      <c r="Q653" s="2"/>
      <c r="R653" s="2"/>
      <c r="S653" s="2" t="s">
        <v>4713</v>
      </c>
      <c r="T653" s="2" t="s">
        <v>4714</v>
      </c>
      <c r="U653" s="2" t="s">
        <v>56</v>
      </c>
      <c r="V653" s="2" t="s">
        <v>145</v>
      </c>
      <c r="W653" s="2" t="s">
        <v>187</v>
      </c>
      <c r="X653" s="2" t="s">
        <v>83</v>
      </c>
      <c r="Y653" s="2">
        <v>45.4</v>
      </c>
      <c r="Z653" s="2">
        <v>6.1699999999999998E-2</v>
      </c>
      <c r="AA653" s="2" t="s">
        <v>95</v>
      </c>
      <c r="AB653" s="2" t="s">
        <v>950</v>
      </c>
      <c r="AC653" s="2">
        <v>4.9962019055611</v>
      </c>
      <c r="AD653" s="2"/>
      <c r="AE653" s="2">
        <v>0.86863593085930901</v>
      </c>
      <c r="AF653" s="2">
        <v>28777.713878470098</v>
      </c>
      <c r="AG653" s="2">
        <v>12633.5553044931</v>
      </c>
      <c r="AH653" s="5">
        <v>2.2778792813955802</v>
      </c>
      <c r="AI653" s="5">
        <v>1.18769129193331</v>
      </c>
      <c r="AJ653" s="5" t="s">
        <v>139</v>
      </c>
      <c r="AK653" s="2">
        <v>5.5449931679661798E-3</v>
      </c>
      <c r="AL653" s="2">
        <v>0.12710665806260699</v>
      </c>
      <c r="AM653" s="2">
        <v>34995.370534931797</v>
      </c>
      <c r="AN653" s="2">
        <v>42612.965934858003</v>
      </c>
      <c r="AO653" s="2">
        <v>23310.812552614501</v>
      </c>
      <c r="AP653" s="2">
        <v>26862.479248275598</v>
      </c>
      <c r="AQ653" s="2">
        <v>17302.992964418299</v>
      </c>
      <c r="AR653" s="2">
        <v>27581.6620357225</v>
      </c>
      <c r="AS653" s="2">
        <v>24311.3387512066</v>
      </c>
      <c r="AT653" s="2">
        <v>9928.8071029402709</v>
      </c>
      <c r="AU653" s="2">
        <v>14634.529563267701</v>
      </c>
      <c r="AV653" s="2">
        <v>4675.9291497796003</v>
      </c>
      <c r="AW653" s="2">
        <v>8041.7685112870704</v>
      </c>
      <c r="AX653" s="2">
        <v>14208.9587484775</v>
      </c>
    </row>
    <row r="654" spans="1:50" x14ac:dyDescent="0.25">
      <c r="A654" s="2" t="s">
        <v>4715</v>
      </c>
      <c r="B654" s="2">
        <v>437.21644903760802</v>
      </c>
      <c r="C654" s="2">
        <v>5.9535</v>
      </c>
      <c r="D654" s="2" t="s">
        <v>51</v>
      </c>
      <c r="E654" s="2" t="s">
        <v>4716</v>
      </c>
      <c r="F654" s="2">
        <v>83521</v>
      </c>
      <c r="G654" s="3" t="str">
        <f>HYPERLINK("https://cloud.oebiotech.com/#/lm/network/83521", "https://cloud.oebiotech.com/#/lm/network/83521")</f>
        <v>https://cloud.oebiotech.com/#/lm/network/83521</v>
      </c>
      <c r="H654" s="2" t="s">
        <v>4717</v>
      </c>
      <c r="I654" s="2"/>
      <c r="J654" s="2"/>
      <c r="K654" s="2">
        <v>134819275</v>
      </c>
      <c r="L654" s="2"/>
      <c r="M654" s="2"/>
      <c r="N654" s="2"/>
      <c r="O654" s="2"/>
      <c r="P654" s="2"/>
      <c r="Q654" s="2"/>
      <c r="R654" s="2"/>
      <c r="S654" s="2" t="s">
        <v>4718</v>
      </c>
      <c r="T654" s="2" t="s">
        <v>4719</v>
      </c>
      <c r="U654" s="2" t="s">
        <v>56</v>
      </c>
      <c r="V654" s="2" t="s">
        <v>145</v>
      </c>
      <c r="W654" s="2" t="s">
        <v>187</v>
      </c>
      <c r="X654" s="2" t="s">
        <v>147</v>
      </c>
      <c r="Y654" s="2">
        <v>46.3</v>
      </c>
      <c r="Z654" s="2">
        <v>44.7</v>
      </c>
      <c r="AA654" s="2" t="s">
        <v>218</v>
      </c>
      <c r="AB654" s="2" t="s">
        <v>636</v>
      </c>
      <c r="AC654" s="2">
        <v>-4.1878957160254</v>
      </c>
      <c r="AD654" s="2"/>
      <c r="AE654" s="2">
        <v>0.867015453941829</v>
      </c>
      <c r="AF654" s="2">
        <v>28559.733166083999</v>
      </c>
      <c r="AG654" s="2">
        <v>13352.453949987999</v>
      </c>
      <c r="AH654" s="5">
        <v>2.1389126877393001</v>
      </c>
      <c r="AI654" s="5">
        <v>1.0968775916490601</v>
      </c>
      <c r="AJ654" s="5" t="s">
        <v>139</v>
      </c>
      <c r="AK654" s="2">
        <v>4.8195112195509298E-3</v>
      </c>
      <c r="AL654" s="2">
        <v>0.123740271492219</v>
      </c>
      <c r="AM654" s="2">
        <v>36761.557741433397</v>
      </c>
      <c r="AN654" s="2">
        <v>38377.775028288997</v>
      </c>
      <c r="AO654" s="2">
        <v>23510.188830397099</v>
      </c>
      <c r="AP654" s="2">
        <v>27908.680730990302</v>
      </c>
      <c r="AQ654" s="2">
        <v>15165.813786161199</v>
      </c>
      <c r="AR654" s="2">
        <v>29634.3828792329</v>
      </c>
      <c r="AS654" s="2">
        <v>18222.597743139599</v>
      </c>
      <c r="AT654" s="2">
        <v>11284.6336583088</v>
      </c>
      <c r="AU654" s="2">
        <v>20382.5393768254</v>
      </c>
      <c r="AV654" s="2">
        <v>4047.5763391431101</v>
      </c>
      <c r="AW654" s="2">
        <v>13052.862820386999</v>
      </c>
      <c r="AX654" s="2">
        <v>13124.513762123999</v>
      </c>
    </row>
    <row r="655" spans="1:50" x14ac:dyDescent="0.25">
      <c r="A655" s="2" t="s">
        <v>4720</v>
      </c>
      <c r="B655" s="2">
        <v>380.28078073031799</v>
      </c>
      <c r="C655" s="2">
        <v>9.5639333333333294</v>
      </c>
      <c r="D655" s="2" t="s">
        <v>51</v>
      </c>
      <c r="E655" s="2" t="s">
        <v>4721</v>
      </c>
      <c r="F655" s="2">
        <v>198474</v>
      </c>
      <c r="G655" s="3" t="str">
        <f>HYPERLINK("https://cloud.oebiotech.com/#/lm/network/198474", "https://cloud.oebiotech.com/#/lm/network/198474")</f>
        <v>https://cloud.oebiotech.com/#/lm/network/198474</v>
      </c>
      <c r="H655" s="2" t="s">
        <v>4722</v>
      </c>
      <c r="I655" s="2"/>
      <c r="J655" s="2"/>
      <c r="K655" s="2">
        <v>76128877</v>
      </c>
      <c r="L655" s="2"/>
      <c r="M655" s="2"/>
      <c r="N655" s="2"/>
      <c r="O655" s="2"/>
      <c r="P655" s="2"/>
      <c r="Q655" s="2"/>
      <c r="R655" s="2"/>
      <c r="S655" s="2" t="s">
        <v>4723</v>
      </c>
      <c r="T655" s="2" t="s">
        <v>4724</v>
      </c>
      <c r="U655" s="2" t="s">
        <v>103</v>
      </c>
      <c r="V655" s="2" t="s">
        <v>104</v>
      </c>
      <c r="W655" s="2" t="s">
        <v>105</v>
      </c>
      <c r="X655" s="2" t="s">
        <v>147</v>
      </c>
      <c r="Y655" s="2">
        <v>39.700000000000003</v>
      </c>
      <c r="Z655" s="2">
        <v>7.3</v>
      </c>
      <c r="AA655" s="2" t="s">
        <v>3354</v>
      </c>
      <c r="AB655" s="2" t="s">
        <v>4725</v>
      </c>
      <c r="AC655" s="2">
        <v>3.13536582803403</v>
      </c>
      <c r="AD655" s="2"/>
      <c r="AE655" s="2">
        <v>0.86646831600540797</v>
      </c>
      <c r="AF655" s="2">
        <v>34768.424075547598</v>
      </c>
      <c r="AG655" s="2">
        <v>17602.9868691013</v>
      </c>
      <c r="AH655" s="5">
        <v>1.9751434420812399</v>
      </c>
      <c r="AI655" s="5">
        <v>0.98195743084143305</v>
      </c>
      <c r="AJ655" s="5" t="s">
        <v>139</v>
      </c>
      <c r="AK655" s="2">
        <v>2.40104366538458E-2</v>
      </c>
      <c r="AL655" s="2">
        <v>0.24042609427542799</v>
      </c>
      <c r="AM655" s="2">
        <v>38893.888204379102</v>
      </c>
      <c r="AN655" s="2">
        <v>56179.109797686498</v>
      </c>
      <c r="AO655" s="2">
        <v>31277.6524866127</v>
      </c>
      <c r="AP655" s="2">
        <v>21069.200038723298</v>
      </c>
      <c r="AQ655" s="2">
        <v>30991.566577516602</v>
      </c>
      <c r="AR655" s="2">
        <v>30199.127348367401</v>
      </c>
      <c r="AS655" s="2">
        <v>35767.600344139399</v>
      </c>
      <c r="AT655" s="2">
        <v>14351.244591262501</v>
      </c>
      <c r="AU655" s="2">
        <v>23270.382241204101</v>
      </c>
      <c r="AV655" s="2">
        <v>9386.0365870445494</v>
      </c>
      <c r="AW655" s="2">
        <v>7898.4664419486999</v>
      </c>
      <c r="AX655" s="2">
        <v>14944.1910090086</v>
      </c>
    </row>
    <row r="656" spans="1:50" x14ac:dyDescent="0.25">
      <c r="A656" s="2" t="s">
        <v>4726</v>
      </c>
      <c r="B656" s="2">
        <v>395.15352723097902</v>
      </c>
      <c r="C656" s="2">
        <v>9.6451499999999992</v>
      </c>
      <c r="D656" s="2" t="s">
        <v>51</v>
      </c>
      <c r="E656" s="2" t="s">
        <v>4727</v>
      </c>
      <c r="F656" s="2">
        <v>63187</v>
      </c>
      <c r="G656" s="3" t="str">
        <f>HYPERLINK("https://cloud.oebiotech.com/#/lm/network/63187", "https://cloud.oebiotech.com/#/lm/network/63187")</f>
        <v>https://cloud.oebiotech.com/#/lm/network/63187</v>
      </c>
      <c r="H656" s="2" t="s">
        <v>4728</v>
      </c>
      <c r="I656" s="2">
        <v>94494</v>
      </c>
      <c r="J656" s="2"/>
      <c r="K656" s="2">
        <v>74029762</v>
      </c>
      <c r="L656" s="2"/>
      <c r="M656" s="2"/>
      <c r="N656" s="2"/>
      <c r="O656" s="2">
        <v>169299</v>
      </c>
      <c r="P656" s="2"/>
      <c r="Q656" s="2"/>
      <c r="R656" s="2" t="s">
        <v>4729</v>
      </c>
      <c r="S656" s="2" t="s">
        <v>4730</v>
      </c>
      <c r="T656" s="2" t="s">
        <v>4731</v>
      </c>
      <c r="U656" s="2" t="s">
        <v>56</v>
      </c>
      <c r="V656" s="2" t="s">
        <v>145</v>
      </c>
      <c r="W656" s="2" t="s">
        <v>3263</v>
      </c>
      <c r="X656" s="2" t="s">
        <v>147</v>
      </c>
      <c r="Y656" s="2">
        <v>37.6</v>
      </c>
      <c r="Z656" s="2">
        <v>0</v>
      </c>
      <c r="AA656" s="2" t="s">
        <v>179</v>
      </c>
      <c r="AB656" s="2" t="s">
        <v>4732</v>
      </c>
      <c r="AC656" s="2">
        <v>-3.1989292435886099</v>
      </c>
      <c r="AD656" s="2"/>
      <c r="AE656" s="2">
        <v>0.866222864875412</v>
      </c>
      <c r="AF656" s="2">
        <v>41125.495210922301</v>
      </c>
      <c r="AG656" s="2">
        <v>24780.214620938801</v>
      </c>
      <c r="AH656" s="5">
        <v>1.6596101300983901</v>
      </c>
      <c r="AI656" s="5">
        <v>0.73084436841891698</v>
      </c>
      <c r="AJ656" s="5" t="s">
        <v>139</v>
      </c>
      <c r="AK656" s="2">
        <v>1.39013864728412E-2</v>
      </c>
      <c r="AL656" s="2">
        <v>0.18716372873247</v>
      </c>
      <c r="AM656" s="2">
        <v>52294.394083079402</v>
      </c>
      <c r="AN656" s="2">
        <v>42495.979497813401</v>
      </c>
      <c r="AO656" s="2">
        <v>36327.922064328697</v>
      </c>
      <c r="AP656" s="2">
        <v>47356.761520912602</v>
      </c>
      <c r="AQ656" s="2">
        <v>29950.064841416901</v>
      </c>
      <c r="AR656" s="2">
        <v>38327.8492579827</v>
      </c>
      <c r="AS656" s="2">
        <v>36742.335740388196</v>
      </c>
      <c r="AT656" s="2">
        <v>26582.510346105399</v>
      </c>
      <c r="AU656" s="2">
        <v>37102.604157669397</v>
      </c>
      <c r="AV656" s="2">
        <v>11131.509839808299</v>
      </c>
      <c r="AW656" s="2">
        <v>15248.4485640783</v>
      </c>
      <c r="AX656" s="2">
        <v>21873.8790775831</v>
      </c>
    </row>
    <row r="657" spans="1:50" x14ac:dyDescent="0.25">
      <c r="A657" s="2" t="s">
        <v>4733</v>
      </c>
      <c r="B657" s="2">
        <v>383.20776466202301</v>
      </c>
      <c r="C657" s="2">
        <v>7.5631000000000004</v>
      </c>
      <c r="D657" s="2" t="s">
        <v>51</v>
      </c>
      <c r="E657" s="2" t="s">
        <v>4734</v>
      </c>
      <c r="F657" s="2">
        <v>210409</v>
      </c>
      <c r="G657" s="3" t="str">
        <f>HYPERLINK("https://cloud.oebiotech.com/#/lm/network/210409", "https://cloud.oebiotech.com/#/lm/network/210409")</f>
        <v>https://cloud.oebiotech.com/#/lm/network/210409</v>
      </c>
      <c r="H657" s="2" t="s">
        <v>4735</v>
      </c>
      <c r="I657" s="2">
        <v>72641</v>
      </c>
      <c r="J657" s="2"/>
      <c r="K657" s="2">
        <v>5794</v>
      </c>
      <c r="L657" s="2" t="s">
        <v>4736</v>
      </c>
      <c r="M657" s="2"/>
      <c r="N657" s="2"/>
      <c r="O657" s="2">
        <v>32687</v>
      </c>
      <c r="P657" s="2"/>
      <c r="Q657" s="2"/>
      <c r="R657" s="2" t="s">
        <v>4737</v>
      </c>
      <c r="S657" s="2" t="s">
        <v>4738</v>
      </c>
      <c r="T657" s="2" t="s">
        <v>4739</v>
      </c>
      <c r="U657" s="2" t="s">
        <v>266</v>
      </c>
      <c r="V657" s="2" t="s">
        <v>4740</v>
      </c>
      <c r="W657" s="2" t="s">
        <v>240</v>
      </c>
      <c r="X657" s="2" t="s">
        <v>147</v>
      </c>
      <c r="Y657" s="2">
        <v>38.4</v>
      </c>
      <c r="Z657" s="2">
        <v>0</v>
      </c>
      <c r="AA657" s="2" t="s">
        <v>218</v>
      </c>
      <c r="AB657" s="2" t="s">
        <v>1047</v>
      </c>
      <c r="AC657" s="2">
        <v>0.70291415895065101</v>
      </c>
      <c r="AD657" s="2"/>
      <c r="AE657" s="2">
        <v>0.86453383547696505</v>
      </c>
      <c r="AF657" s="2">
        <v>30693.113365558798</v>
      </c>
      <c r="AG657" s="2">
        <v>14214.107654612901</v>
      </c>
      <c r="AH657" s="5">
        <v>2.1593415577936699</v>
      </c>
      <c r="AI657" s="5">
        <v>1.1105914623327</v>
      </c>
      <c r="AJ657" s="5" t="s">
        <v>139</v>
      </c>
      <c r="AK657" s="2">
        <v>1.27769417782814E-3</v>
      </c>
      <c r="AL657" s="2">
        <v>9.4480288960798894E-2</v>
      </c>
      <c r="AM657" s="2">
        <v>23991.423719922001</v>
      </c>
      <c r="AN657" s="2">
        <v>41629.279353270998</v>
      </c>
      <c r="AO657" s="2">
        <v>34681.442276308699</v>
      </c>
      <c r="AP657" s="2">
        <v>27452.164049166699</v>
      </c>
      <c r="AQ657" s="2">
        <v>26974.2538448532</v>
      </c>
      <c r="AR657" s="2">
        <v>29430.116949831401</v>
      </c>
      <c r="AS657" s="2">
        <v>21326.112303506801</v>
      </c>
      <c r="AT657" s="2">
        <v>7549.2918898930702</v>
      </c>
      <c r="AU657" s="2">
        <v>20159.270515506199</v>
      </c>
      <c r="AV657" s="2">
        <v>5841.7413503316102</v>
      </c>
      <c r="AW657" s="2">
        <v>13372.650583410499</v>
      </c>
      <c r="AX657" s="2">
        <v>17035.5792850295</v>
      </c>
    </row>
    <row r="658" spans="1:50" x14ac:dyDescent="0.25">
      <c r="A658" s="2" t="s">
        <v>4741</v>
      </c>
      <c r="B658" s="2">
        <v>547.92439549260996</v>
      </c>
      <c r="C658" s="2">
        <v>13.3257833333333</v>
      </c>
      <c r="D658" s="2" t="s">
        <v>51</v>
      </c>
      <c r="E658" s="2" t="s">
        <v>4742</v>
      </c>
      <c r="F658" s="2">
        <v>207985</v>
      </c>
      <c r="G658" s="3" t="str">
        <f>HYPERLINK("https://cloud.oebiotech.com/#/lm/network/207985", "https://cloud.oebiotech.com/#/lm/network/207985")</f>
        <v>https://cloud.oebiotech.com/#/lm/network/207985</v>
      </c>
      <c r="H658" s="2" t="s">
        <v>4743</v>
      </c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 t="s">
        <v>4744</v>
      </c>
      <c r="T658" s="2" t="s">
        <v>4745</v>
      </c>
      <c r="U658" s="2" t="s">
        <v>610</v>
      </c>
      <c r="V658" s="2" t="s">
        <v>611</v>
      </c>
      <c r="W658" s="2" t="s">
        <v>4746</v>
      </c>
      <c r="X658" s="2" t="s">
        <v>147</v>
      </c>
      <c r="Y658" s="2">
        <v>37.5</v>
      </c>
      <c r="Z658" s="2">
        <v>0</v>
      </c>
      <c r="AA658" s="2" t="s">
        <v>298</v>
      </c>
      <c r="AB658" s="2" t="s">
        <v>4747</v>
      </c>
      <c r="AC658" s="2">
        <v>3.3204908169448601</v>
      </c>
      <c r="AD658" s="2"/>
      <c r="AE658" s="2">
        <v>0.86442081636058898</v>
      </c>
      <c r="AF658" s="2">
        <v>109350.89051691099</v>
      </c>
      <c r="AG658" s="2">
        <v>133293.40462926499</v>
      </c>
      <c r="AH658" s="4">
        <v>0.82037735341109796</v>
      </c>
      <c r="AI658" s="4">
        <v>-0.28564042824323899</v>
      </c>
      <c r="AJ658" s="4" t="s">
        <v>62</v>
      </c>
      <c r="AK658" s="2">
        <v>3.8691305219195997E-2</v>
      </c>
      <c r="AL658" s="2">
        <v>0.28874678820895799</v>
      </c>
      <c r="AM658" s="2">
        <v>126563.669070426</v>
      </c>
      <c r="AN658" s="2">
        <v>99510.5054457402</v>
      </c>
      <c r="AO658" s="2">
        <v>108086.99645377</v>
      </c>
      <c r="AP658" s="2">
        <v>95836.1176781049</v>
      </c>
      <c r="AQ658" s="2">
        <v>121974.931475166</v>
      </c>
      <c r="AR658" s="2">
        <v>104133.122978258</v>
      </c>
      <c r="AS658" s="2">
        <v>99455.617309090405</v>
      </c>
      <c r="AT658" s="2">
        <v>124984.495481766</v>
      </c>
      <c r="AU658" s="2">
        <v>128330.91281676</v>
      </c>
      <c r="AV658" s="2">
        <v>161063.551676798</v>
      </c>
      <c r="AW658" s="2">
        <v>149219.77601496401</v>
      </c>
      <c r="AX658" s="2">
        <v>136706.07447620999</v>
      </c>
    </row>
    <row r="659" spans="1:50" x14ac:dyDescent="0.25">
      <c r="A659" s="2" t="s">
        <v>4748</v>
      </c>
      <c r="B659" s="2">
        <v>556.443203013671</v>
      </c>
      <c r="C659" s="2">
        <v>11.819000000000001</v>
      </c>
      <c r="D659" s="2" t="s">
        <v>51</v>
      </c>
      <c r="E659" s="2" t="s">
        <v>4749</v>
      </c>
      <c r="F659" s="2">
        <v>201491</v>
      </c>
      <c r="G659" s="3" t="str">
        <f>HYPERLINK("https://cloud.oebiotech.com/#/lm/network/201491", "https://cloud.oebiotech.com/#/lm/network/201491")</f>
        <v>https://cloud.oebiotech.com/#/lm/network/201491</v>
      </c>
      <c r="H659" s="2" t="s">
        <v>4750</v>
      </c>
      <c r="I659" s="2"/>
      <c r="J659" s="2"/>
      <c r="K659" s="2">
        <v>123921</v>
      </c>
      <c r="L659" s="2"/>
      <c r="M659" s="2"/>
      <c r="N659" s="2"/>
      <c r="O659" s="2">
        <v>41527</v>
      </c>
      <c r="P659" s="2"/>
      <c r="Q659" s="2"/>
      <c r="R659" s="2"/>
      <c r="S659" s="2" t="s">
        <v>4751</v>
      </c>
      <c r="T659" s="2" t="s">
        <v>4752</v>
      </c>
      <c r="U659" s="2" t="s">
        <v>331</v>
      </c>
      <c r="V659" s="2" t="s">
        <v>332</v>
      </c>
      <c r="W659" s="2" t="s">
        <v>511</v>
      </c>
      <c r="X659" s="2" t="s">
        <v>59</v>
      </c>
      <c r="Y659" s="2">
        <v>53.2</v>
      </c>
      <c r="Z659" s="2">
        <v>78</v>
      </c>
      <c r="AA659" s="2" t="s">
        <v>526</v>
      </c>
      <c r="AB659" s="2" t="s">
        <v>4753</v>
      </c>
      <c r="AC659" s="2">
        <v>2.4034698034427202</v>
      </c>
      <c r="AD659" s="2"/>
      <c r="AE659" s="2">
        <v>0.86436736549238802</v>
      </c>
      <c r="AF659" s="2">
        <v>48532.8220578318</v>
      </c>
      <c r="AG659" s="2">
        <v>69693.105664341303</v>
      </c>
      <c r="AH659" s="4">
        <v>0.69637909797817699</v>
      </c>
      <c r="AI659" s="4">
        <v>-0.52205519416110402</v>
      </c>
      <c r="AJ659" s="4" t="s">
        <v>62</v>
      </c>
      <c r="AK659" s="2">
        <v>1.72687753277878E-2</v>
      </c>
      <c r="AL659" s="2">
        <v>0.20718933084220301</v>
      </c>
      <c r="AM659" s="2">
        <v>44217.239964386798</v>
      </c>
      <c r="AN659" s="2">
        <v>52172.768659024601</v>
      </c>
      <c r="AO659" s="2">
        <v>39494.566751627499</v>
      </c>
      <c r="AP659" s="2">
        <v>57570.641399632499</v>
      </c>
      <c r="AQ659" s="2">
        <v>53327.527267657701</v>
      </c>
      <c r="AR659" s="2">
        <v>44414.188304661599</v>
      </c>
      <c r="AS659" s="2">
        <v>67172.078895816099</v>
      </c>
      <c r="AT659" s="2">
        <v>101547.002319871</v>
      </c>
      <c r="AU659" s="2">
        <v>53417.866617124098</v>
      </c>
      <c r="AV659" s="2">
        <v>62512.878972525497</v>
      </c>
      <c r="AW659" s="2">
        <v>61072.614362071101</v>
      </c>
      <c r="AX659" s="2">
        <v>72436.192818640106</v>
      </c>
    </row>
    <row r="660" spans="1:50" x14ac:dyDescent="0.25">
      <c r="A660" s="2" t="s">
        <v>4754</v>
      </c>
      <c r="B660" s="2">
        <v>341.21208401365197</v>
      </c>
      <c r="C660" s="2">
        <v>9.8490833333333292</v>
      </c>
      <c r="D660" s="2" t="s">
        <v>51</v>
      </c>
      <c r="E660" s="2" t="s">
        <v>4755</v>
      </c>
      <c r="F660" s="2">
        <v>5297</v>
      </c>
      <c r="G660" s="3" t="str">
        <f>HYPERLINK("https://cloud.oebiotech.com/#/lm/network/5297", "https://cloud.oebiotech.com/#/lm/network/5297")</f>
        <v>https://cloud.oebiotech.com/#/lm/network/5297</v>
      </c>
      <c r="H660" s="2"/>
      <c r="I660" s="2"/>
      <c r="J660" s="2" t="s">
        <v>4756</v>
      </c>
      <c r="K660" s="2">
        <v>131840715</v>
      </c>
      <c r="L660" s="2"/>
      <c r="M660" s="2"/>
      <c r="N660" s="2"/>
      <c r="O660" s="2"/>
      <c r="P660" s="2"/>
      <c r="Q660" s="2"/>
      <c r="R660" s="2"/>
      <c r="S660" s="2" t="s">
        <v>4757</v>
      </c>
      <c r="T660" s="2" t="s">
        <v>4758</v>
      </c>
      <c r="U660" s="2" t="s">
        <v>56</v>
      </c>
      <c r="V660" s="2" t="s">
        <v>145</v>
      </c>
      <c r="W660" s="2" t="s">
        <v>187</v>
      </c>
      <c r="X660" s="2" t="s">
        <v>69</v>
      </c>
      <c r="Y660" s="2">
        <v>59.6</v>
      </c>
      <c r="Z660" s="2">
        <v>92.3</v>
      </c>
      <c r="AA660" s="2" t="s">
        <v>156</v>
      </c>
      <c r="AB660" s="2" t="s">
        <v>232</v>
      </c>
      <c r="AC660" s="2">
        <v>2.68784081877665</v>
      </c>
      <c r="AD660" s="2"/>
      <c r="AE660" s="2">
        <v>0.86381692160549906</v>
      </c>
      <c r="AF660" s="2">
        <v>61035.067843005199</v>
      </c>
      <c r="AG660" s="2">
        <v>41880.549356290401</v>
      </c>
      <c r="AH660" s="5">
        <v>1.4573607266648201</v>
      </c>
      <c r="AI660" s="5">
        <v>0.54335801821093799</v>
      </c>
      <c r="AJ660" s="5" t="s">
        <v>139</v>
      </c>
      <c r="AK660" s="2">
        <v>0.128860339323421</v>
      </c>
      <c r="AL660" s="2">
        <v>0.44773421075434799</v>
      </c>
      <c r="AM660" s="2">
        <v>115129.821708402</v>
      </c>
      <c r="AN660" s="2">
        <v>51840.626435445003</v>
      </c>
      <c r="AO660" s="2">
        <v>47741.757722999399</v>
      </c>
      <c r="AP660" s="2">
        <v>61457.4944602295</v>
      </c>
      <c r="AQ660" s="2">
        <v>37227.339557508501</v>
      </c>
      <c r="AR660" s="2">
        <v>52813.367173446903</v>
      </c>
      <c r="AS660" s="2">
        <v>47185.7043239864</v>
      </c>
      <c r="AT660" s="2">
        <v>36241.186834089996</v>
      </c>
      <c r="AU660" s="2">
        <v>50648.785730860902</v>
      </c>
      <c r="AV660" s="2">
        <v>35037.775544213197</v>
      </c>
      <c r="AW660" s="2">
        <v>38847.735297812898</v>
      </c>
      <c r="AX660" s="2">
        <v>43322.108406779102</v>
      </c>
    </row>
    <row r="661" spans="1:50" x14ac:dyDescent="0.25">
      <c r="A661" s="2" t="s">
        <v>4759</v>
      </c>
      <c r="B661" s="2">
        <v>415.22579447209398</v>
      </c>
      <c r="C661" s="2">
        <v>12.1338666666667</v>
      </c>
      <c r="D661" s="2" t="s">
        <v>51</v>
      </c>
      <c r="E661" s="2" t="s">
        <v>4760</v>
      </c>
      <c r="F661" s="2">
        <v>48979</v>
      </c>
      <c r="G661" s="3" t="str">
        <f>HYPERLINK("https://cloud.oebiotech.com/#/lm/network/48979", "https://cloud.oebiotech.com/#/lm/network/48979")</f>
        <v>https://cloud.oebiotech.com/#/lm/network/48979</v>
      </c>
      <c r="H661" s="2" t="s">
        <v>4761</v>
      </c>
      <c r="I661" s="2">
        <v>58642</v>
      </c>
      <c r="J661" s="2"/>
      <c r="K661" s="2">
        <v>53477947</v>
      </c>
      <c r="L661" s="2"/>
      <c r="M661" s="2"/>
      <c r="N661" s="2"/>
      <c r="O661" s="2">
        <v>137248</v>
      </c>
      <c r="P661" s="2"/>
      <c r="Q661" s="2"/>
      <c r="R661" s="2"/>
      <c r="S661" s="2" t="s">
        <v>4762</v>
      </c>
      <c r="T661" s="2" t="s">
        <v>4763</v>
      </c>
      <c r="U661" s="2" t="s">
        <v>56</v>
      </c>
      <c r="V661" s="2" t="s">
        <v>145</v>
      </c>
      <c r="W661" s="2" t="s">
        <v>203</v>
      </c>
      <c r="X661" s="2" t="s">
        <v>147</v>
      </c>
      <c r="Y661" s="2">
        <v>41.5</v>
      </c>
      <c r="Z661" s="2">
        <v>15.6</v>
      </c>
      <c r="AA661" s="2" t="s">
        <v>163</v>
      </c>
      <c r="AB661" s="2" t="s">
        <v>4764</v>
      </c>
      <c r="AC661" s="2">
        <v>0.70962730741604696</v>
      </c>
      <c r="AD661" s="2"/>
      <c r="AE661" s="2">
        <v>0.86314047281238204</v>
      </c>
      <c r="AF661" s="2">
        <v>520.20363783084804</v>
      </c>
      <c r="AG661" s="2">
        <v>22451.2133643538</v>
      </c>
      <c r="AH661" s="4">
        <v>2.3170401946149801E-2</v>
      </c>
      <c r="AI661" s="4">
        <v>-5.4315731183520004</v>
      </c>
      <c r="AJ661" s="4" t="s">
        <v>62</v>
      </c>
      <c r="AK661" s="2">
        <v>3.3617887232911502E-2</v>
      </c>
      <c r="AL661" s="2">
        <v>0.27023848021491997</v>
      </c>
      <c r="AM661" s="2">
        <v>2878.5098865721202</v>
      </c>
      <c r="AN661" s="2">
        <v>108.169015805315</v>
      </c>
      <c r="AO661" s="2">
        <v>8.559877937157E-6</v>
      </c>
      <c r="AP661" s="2">
        <v>8.559877937157E-6</v>
      </c>
      <c r="AQ661" s="2">
        <v>134.54289892801799</v>
      </c>
      <c r="AR661" s="2">
        <v>8.559877937157E-6</v>
      </c>
      <c r="AS661" s="2">
        <v>8.559877937157E-6</v>
      </c>
      <c r="AT661" s="2">
        <v>8.559877937157E-6</v>
      </c>
      <c r="AU661" s="2">
        <v>47944.580871483202</v>
      </c>
      <c r="AV661" s="2">
        <v>46562.416900742297</v>
      </c>
      <c r="AW661" s="2">
        <v>28013.655469735699</v>
      </c>
      <c r="AX661" s="2">
        <v>12186.6269270418</v>
      </c>
    </row>
    <row r="662" spans="1:50" x14ac:dyDescent="0.25">
      <c r="A662" s="2" t="s">
        <v>4765</v>
      </c>
      <c r="B662" s="2">
        <v>246.17088019487801</v>
      </c>
      <c r="C662" s="2">
        <v>4.0687333333333298</v>
      </c>
      <c r="D662" s="2" t="s">
        <v>51</v>
      </c>
      <c r="E662" s="2" t="s">
        <v>4766</v>
      </c>
      <c r="F662" s="2">
        <v>8358</v>
      </c>
      <c r="G662" s="3" t="str">
        <f>HYPERLINK("https://cloud.oebiotech.com/#/lm/network/8358", "https://cloud.oebiotech.com/#/lm/network/8358")</f>
        <v>https://cloud.oebiotech.com/#/lm/network/8358</v>
      </c>
      <c r="H662" s="2" t="s">
        <v>4767</v>
      </c>
      <c r="I662" s="2"/>
      <c r="J662" s="2" t="s">
        <v>4768</v>
      </c>
      <c r="K662" s="2">
        <v>6426851</v>
      </c>
      <c r="L662" s="2"/>
      <c r="M662" s="2"/>
      <c r="N662" s="2"/>
      <c r="O662" s="2">
        <v>73025</v>
      </c>
      <c r="P662" s="2"/>
      <c r="Q662" s="2"/>
      <c r="R662" s="2" t="s">
        <v>4769</v>
      </c>
      <c r="S662" s="2" t="s">
        <v>4770</v>
      </c>
      <c r="T662" s="2" t="s">
        <v>4771</v>
      </c>
      <c r="U662" s="2" t="s">
        <v>56</v>
      </c>
      <c r="V662" s="2" t="s">
        <v>145</v>
      </c>
      <c r="W662" s="2" t="s">
        <v>1188</v>
      </c>
      <c r="X662" s="2" t="s">
        <v>69</v>
      </c>
      <c r="Y662" s="2">
        <v>52.7</v>
      </c>
      <c r="Z662" s="2">
        <v>61.3</v>
      </c>
      <c r="AA662" s="2" t="s">
        <v>60</v>
      </c>
      <c r="AB662" s="2" t="s">
        <v>4772</v>
      </c>
      <c r="AC662" s="2">
        <v>3.6528484893281998</v>
      </c>
      <c r="AD662" s="2"/>
      <c r="AE662" s="2">
        <v>0.86178221577594705</v>
      </c>
      <c r="AF662" s="2">
        <v>69029.131191584296</v>
      </c>
      <c r="AG662" s="2">
        <v>39472.945133721398</v>
      </c>
      <c r="AH662" s="5">
        <v>1.7487707329092399</v>
      </c>
      <c r="AI662" s="5">
        <v>0.806341161657671</v>
      </c>
      <c r="AJ662" s="5" t="s">
        <v>139</v>
      </c>
      <c r="AK662" s="2">
        <v>3.8431398228539998E-2</v>
      </c>
      <c r="AL662" s="2">
        <v>0.28772662204645899</v>
      </c>
      <c r="AM662" s="2">
        <v>49144.0128195695</v>
      </c>
      <c r="AN662" s="2">
        <v>69921.035391113299</v>
      </c>
      <c r="AO662" s="2">
        <v>70489.875509606296</v>
      </c>
      <c r="AP662" s="2">
        <v>111654.614871635</v>
      </c>
      <c r="AQ662" s="2">
        <v>40581.1808810863</v>
      </c>
      <c r="AR662" s="2">
        <v>72384.067676495601</v>
      </c>
      <c r="AS662" s="2">
        <v>31412.9309741176</v>
      </c>
      <c r="AT662" s="2">
        <v>35268.538304533402</v>
      </c>
      <c r="AU662" s="2">
        <v>32175.141882819898</v>
      </c>
      <c r="AV662" s="2">
        <v>17341.8319750595</v>
      </c>
      <c r="AW662" s="2">
        <v>66849.154738468802</v>
      </c>
      <c r="AX662" s="2">
        <v>53790.072927329202</v>
      </c>
    </row>
    <row r="663" spans="1:50" x14ac:dyDescent="0.25">
      <c r="A663" s="2" t="s">
        <v>4773</v>
      </c>
      <c r="B663" s="2">
        <v>241.15539355716999</v>
      </c>
      <c r="C663" s="2">
        <v>0.74455000000000005</v>
      </c>
      <c r="D663" s="2" t="s">
        <v>51</v>
      </c>
      <c r="E663" s="2" t="s">
        <v>4774</v>
      </c>
      <c r="F663" s="2">
        <v>53273</v>
      </c>
      <c r="G663" s="3" t="str">
        <f>HYPERLINK("https://cloud.oebiotech.com/#/lm/network/53273", "https://cloud.oebiotech.com/#/lm/network/53273")</f>
        <v>https://cloud.oebiotech.com/#/lm/network/53273</v>
      </c>
      <c r="H663" s="2" t="s">
        <v>4775</v>
      </c>
      <c r="I663" s="2"/>
      <c r="J663" s="2"/>
      <c r="K663" s="2">
        <v>5282054</v>
      </c>
      <c r="L663" s="2" t="s">
        <v>4776</v>
      </c>
      <c r="M663" s="2"/>
      <c r="N663" s="2"/>
      <c r="O663" s="2">
        <v>171741</v>
      </c>
      <c r="P663" s="2"/>
      <c r="Q663" s="2"/>
      <c r="R663" s="2" t="s">
        <v>4777</v>
      </c>
      <c r="S663" s="2" t="s">
        <v>4778</v>
      </c>
      <c r="T663" s="2" t="s">
        <v>4779</v>
      </c>
      <c r="U663" s="2" t="s">
        <v>266</v>
      </c>
      <c r="V663" s="2" t="s">
        <v>1593</v>
      </c>
      <c r="W663" s="2" t="s">
        <v>4780</v>
      </c>
      <c r="X663" s="2" t="s">
        <v>147</v>
      </c>
      <c r="Y663" s="2">
        <v>41</v>
      </c>
      <c r="Z663" s="2">
        <v>11.7</v>
      </c>
      <c r="AA663" s="2" t="s">
        <v>512</v>
      </c>
      <c r="AB663" s="2" t="s">
        <v>4781</v>
      </c>
      <c r="AC663" s="2">
        <v>3.2476504141604901</v>
      </c>
      <c r="AD663" s="2"/>
      <c r="AE663" s="2">
        <v>0.859694679848929</v>
      </c>
      <c r="AF663" s="2">
        <v>152691.08385637199</v>
      </c>
      <c r="AG663" s="2">
        <v>116870.84348613401</v>
      </c>
      <c r="AH663" s="5">
        <v>1.3064942401522699</v>
      </c>
      <c r="AI663" s="5">
        <v>0.385700764365491</v>
      </c>
      <c r="AJ663" s="5" t="s">
        <v>139</v>
      </c>
      <c r="AK663" s="2">
        <v>0.38358277858823397</v>
      </c>
      <c r="AL663" s="2">
        <v>0.66067042543613197</v>
      </c>
      <c r="AM663" s="2">
        <v>174034.079100414</v>
      </c>
      <c r="AN663" s="2">
        <v>214224.65871385101</v>
      </c>
      <c r="AO663" s="2">
        <v>80160.737591094105</v>
      </c>
      <c r="AP663" s="2">
        <v>143777.18499855101</v>
      </c>
      <c r="AQ663" s="2">
        <v>98385.184228397295</v>
      </c>
      <c r="AR663" s="2">
        <v>205564.65850592201</v>
      </c>
      <c r="AS663" s="2">
        <v>209650.202339404</v>
      </c>
      <c r="AT663" s="2">
        <v>199878.89882813001</v>
      </c>
      <c r="AU663" s="2">
        <v>69387.626720171902</v>
      </c>
      <c r="AV663" s="2">
        <v>21229.077202976699</v>
      </c>
      <c r="AW663" s="2">
        <v>58167.301121338001</v>
      </c>
      <c r="AX663" s="2">
        <v>142911.95470478499</v>
      </c>
    </row>
    <row r="664" spans="1:50" x14ac:dyDescent="0.25">
      <c r="A664" s="2" t="s">
        <v>4782</v>
      </c>
      <c r="B664" s="2">
        <v>383.23022127513002</v>
      </c>
      <c r="C664" s="2">
        <v>4.2766000000000002</v>
      </c>
      <c r="D664" s="2" t="s">
        <v>51</v>
      </c>
      <c r="E664" s="2" t="s">
        <v>4783</v>
      </c>
      <c r="F664" s="2">
        <v>55223</v>
      </c>
      <c r="G664" s="3" t="str">
        <f>HYPERLINK("https://cloud.oebiotech.com/#/lm/network/55223", "https://cloud.oebiotech.com/#/lm/network/55223")</f>
        <v>https://cloud.oebiotech.com/#/lm/network/55223</v>
      </c>
      <c r="H664" s="2" t="s">
        <v>4784</v>
      </c>
      <c r="I664" s="2">
        <v>86951</v>
      </c>
      <c r="J664" s="2"/>
      <c r="K664" s="2">
        <v>131751013</v>
      </c>
      <c r="L664" s="2"/>
      <c r="M664" s="2"/>
      <c r="N664" s="2"/>
      <c r="O664" s="2">
        <v>168656</v>
      </c>
      <c r="P664" s="2"/>
      <c r="Q664" s="2"/>
      <c r="R664" s="2" t="s">
        <v>4785</v>
      </c>
      <c r="S664" s="2" t="s">
        <v>4786</v>
      </c>
      <c r="T664" s="2" t="s">
        <v>4787</v>
      </c>
      <c r="U664" s="2" t="s">
        <v>103</v>
      </c>
      <c r="V664" s="2" t="s">
        <v>104</v>
      </c>
      <c r="W664" s="2" t="s">
        <v>105</v>
      </c>
      <c r="X664" s="2" t="s">
        <v>147</v>
      </c>
      <c r="Y664" s="2">
        <v>46</v>
      </c>
      <c r="Z664" s="2">
        <v>35.799999999999997</v>
      </c>
      <c r="AA664" s="2" t="s">
        <v>379</v>
      </c>
      <c r="AB664" s="2" t="s">
        <v>4788</v>
      </c>
      <c r="AC664" s="2">
        <v>0.56574124151820804</v>
      </c>
      <c r="AD664" s="2"/>
      <c r="AE664" s="2">
        <v>0.85488889274062696</v>
      </c>
      <c r="AF664" s="2">
        <v>62915.561610322999</v>
      </c>
      <c r="AG664" s="2">
        <v>31229.672228812298</v>
      </c>
      <c r="AH664" s="5">
        <v>2.0146084515186602</v>
      </c>
      <c r="AI664" s="5">
        <v>1.0104994715360001</v>
      </c>
      <c r="AJ664" s="5" t="s">
        <v>139</v>
      </c>
      <c r="AK664" s="2">
        <v>7.5396151532581598E-2</v>
      </c>
      <c r="AL664" s="2">
        <v>0.35933708527399399</v>
      </c>
      <c r="AM664" s="2">
        <v>42345.929575277398</v>
      </c>
      <c r="AN664" s="2">
        <v>33031.044098920102</v>
      </c>
      <c r="AO664" s="2">
        <v>101332.629546759</v>
      </c>
      <c r="AP664" s="2">
        <v>69377.255639809897</v>
      </c>
      <c r="AQ664" s="2">
        <v>40493.896096019103</v>
      </c>
      <c r="AR664" s="2">
        <v>90912.6147051523</v>
      </c>
      <c r="AS664" s="2">
        <v>2208.9480955877498</v>
      </c>
      <c r="AT664" s="2">
        <v>20586.023284737301</v>
      </c>
      <c r="AU664" s="2">
        <v>17379.469016127601</v>
      </c>
      <c r="AV664" s="2">
        <v>54235.432030283897</v>
      </c>
      <c r="AW664" s="2">
        <v>20109.973916512401</v>
      </c>
      <c r="AX664" s="2">
        <v>72858.187029624998</v>
      </c>
    </row>
    <row r="665" spans="1:50" x14ac:dyDescent="0.25">
      <c r="A665" s="2" t="s">
        <v>4789</v>
      </c>
      <c r="B665" s="2">
        <v>468.34632465234102</v>
      </c>
      <c r="C665" s="2">
        <v>12.0971666666667</v>
      </c>
      <c r="D665" s="2" t="s">
        <v>51</v>
      </c>
      <c r="E665" s="2" t="s">
        <v>4790</v>
      </c>
      <c r="F665" s="2">
        <v>21238</v>
      </c>
      <c r="G665" s="3" t="str">
        <f>HYPERLINK("https://cloud.oebiotech.com/#/lm/network/21238", "https://cloud.oebiotech.com/#/lm/network/21238")</f>
        <v>https://cloud.oebiotech.com/#/lm/network/21238</v>
      </c>
      <c r="H665" s="2"/>
      <c r="I665" s="2">
        <v>46717</v>
      </c>
      <c r="J665" s="2" t="s">
        <v>4791</v>
      </c>
      <c r="K665" s="2">
        <v>42607467</v>
      </c>
      <c r="L665" s="2"/>
      <c r="M665" s="2"/>
      <c r="N665" s="2"/>
      <c r="O665" s="2">
        <v>138426</v>
      </c>
      <c r="P665" s="2"/>
      <c r="Q665" s="2"/>
      <c r="R665" s="2"/>
      <c r="S665" s="2" t="s">
        <v>4792</v>
      </c>
      <c r="T665" s="2" t="s">
        <v>4793</v>
      </c>
      <c r="U665" s="2" t="s">
        <v>56</v>
      </c>
      <c r="V665" s="2" t="s">
        <v>57</v>
      </c>
      <c r="W665" s="2" t="s">
        <v>155</v>
      </c>
      <c r="X665" s="2" t="s">
        <v>69</v>
      </c>
      <c r="Y665" s="2">
        <v>63.1</v>
      </c>
      <c r="Z665" s="2">
        <v>84</v>
      </c>
      <c r="AA665" s="2" t="s">
        <v>60</v>
      </c>
      <c r="AB665" s="2" t="s">
        <v>4794</v>
      </c>
      <c r="AC665" s="2">
        <v>3.1524635730202499</v>
      </c>
      <c r="AD665" s="2"/>
      <c r="AE665" s="2">
        <v>0.85342091496400296</v>
      </c>
      <c r="AF665" s="2">
        <v>120539.617590479</v>
      </c>
      <c r="AG665" s="2">
        <v>166297.60572688599</v>
      </c>
      <c r="AH665" s="4">
        <v>0.72484277247168205</v>
      </c>
      <c r="AI665" s="4">
        <v>-0.464260004552768</v>
      </c>
      <c r="AJ665" s="4" t="s">
        <v>62</v>
      </c>
      <c r="AK665" s="2">
        <v>0.13499364342515599</v>
      </c>
      <c r="AL665" s="2">
        <v>0.45558053561409101</v>
      </c>
      <c r="AM665" s="2">
        <v>246820.88060168701</v>
      </c>
      <c r="AN665" s="2">
        <v>79502.203194242102</v>
      </c>
      <c r="AO665" s="2">
        <v>104315.259043709</v>
      </c>
      <c r="AP665" s="2">
        <v>69951.631664886896</v>
      </c>
      <c r="AQ665" s="2">
        <v>86152.8738397017</v>
      </c>
      <c r="AR665" s="2">
        <v>136494.85719864699</v>
      </c>
      <c r="AS665" s="2">
        <v>198553.23032155301</v>
      </c>
      <c r="AT665" s="2">
        <v>139156.85541696899</v>
      </c>
      <c r="AU665" s="2">
        <v>171800.024523006</v>
      </c>
      <c r="AV665" s="2">
        <v>166050.829520272</v>
      </c>
      <c r="AW665" s="2">
        <v>159625.647943763</v>
      </c>
      <c r="AX665" s="2">
        <v>162599.04663575499</v>
      </c>
    </row>
    <row r="666" spans="1:50" x14ac:dyDescent="0.25">
      <c r="A666" s="2" t="s">
        <v>4795</v>
      </c>
      <c r="B666" s="2">
        <v>586.29263474809795</v>
      </c>
      <c r="C666" s="2">
        <v>4.2174666666666702</v>
      </c>
      <c r="D666" s="2" t="s">
        <v>51</v>
      </c>
      <c r="E666" s="2" t="s">
        <v>4796</v>
      </c>
      <c r="F666" s="2">
        <v>52828</v>
      </c>
      <c r="G666" s="3" t="str">
        <f>HYPERLINK("https://cloud.oebiotech.com/#/lm/network/52828", "https://cloud.oebiotech.com/#/lm/network/52828")</f>
        <v>https://cloud.oebiotech.com/#/lm/network/52828</v>
      </c>
      <c r="H666" s="2" t="s">
        <v>4797</v>
      </c>
      <c r="I666" s="2">
        <v>943</v>
      </c>
      <c r="J666" s="2"/>
      <c r="K666" s="2">
        <v>37768</v>
      </c>
      <c r="L666" s="2" t="s">
        <v>4798</v>
      </c>
      <c r="M666" s="2"/>
      <c r="N666" s="2"/>
      <c r="O666" s="2">
        <v>2637</v>
      </c>
      <c r="P666" s="2"/>
      <c r="Q666" s="2"/>
      <c r="R666" s="2" t="s">
        <v>4799</v>
      </c>
      <c r="S666" s="2" t="s">
        <v>4800</v>
      </c>
      <c r="T666" s="2" t="s">
        <v>4801</v>
      </c>
      <c r="U666" s="2" t="s">
        <v>331</v>
      </c>
      <c r="V666" s="2" t="s">
        <v>332</v>
      </c>
      <c r="W666" s="2" t="s">
        <v>333</v>
      </c>
      <c r="X666" s="2" t="s">
        <v>147</v>
      </c>
      <c r="Y666" s="2">
        <v>44.1</v>
      </c>
      <c r="Z666" s="2">
        <v>30.5</v>
      </c>
      <c r="AA666" s="2" t="s">
        <v>3769</v>
      </c>
      <c r="AB666" s="2" t="s">
        <v>4802</v>
      </c>
      <c r="AC666" s="2">
        <v>-0.64607962905969396</v>
      </c>
      <c r="AD666" s="2"/>
      <c r="AE666" s="2">
        <v>0.85151732317982398</v>
      </c>
      <c r="AF666" s="2">
        <v>52367.174121673597</v>
      </c>
      <c r="AG666" s="2">
        <v>25472.582158387399</v>
      </c>
      <c r="AH666" s="5">
        <v>2.0558251140797901</v>
      </c>
      <c r="AI666" s="5">
        <v>1.03971754187557</v>
      </c>
      <c r="AJ666" s="5" t="s">
        <v>139</v>
      </c>
      <c r="AK666" s="2">
        <v>0.16839868473213901</v>
      </c>
      <c r="AL666" s="2">
        <v>0.49098458663462602</v>
      </c>
      <c r="AM666" s="2">
        <v>32959.958977206203</v>
      </c>
      <c r="AN666" s="2">
        <v>123522.191613038</v>
      </c>
      <c r="AO666" s="2">
        <v>38887.540435527299</v>
      </c>
      <c r="AP666" s="2">
        <v>76484.722363526598</v>
      </c>
      <c r="AQ666" s="2">
        <v>19365.867740817099</v>
      </c>
      <c r="AR666" s="2">
        <v>22982.763599926198</v>
      </c>
      <c r="AS666" s="2">
        <v>1966.7553476636399</v>
      </c>
      <c r="AT666" s="2">
        <v>21957.202884078899</v>
      </c>
      <c r="AU666" s="2">
        <v>56417.348731896796</v>
      </c>
      <c r="AV666" s="2">
        <v>34430.056313769601</v>
      </c>
      <c r="AW666" s="2">
        <v>18619.627976687199</v>
      </c>
      <c r="AX666" s="2">
        <v>19444.501696228101</v>
      </c>
    </row>
    <row r="667" spans="1:50" x14ac:dyDescent="0.25">
      <c r="A667" s="2" t="s">
        <v>4803</v>
      </c>
      <c r="B667" s="2">
        <v>416.37474768562402</v>
      </c>
      <c r="C667" s="2">
        <v>9.9705999999999992</v>
      </c>
      <c r="D667" s="2" t="s">
        <v>51</v>
      </c>
      <c r="E667" s="2" t="s">
        <v>4804</v>
      </c>
      <c r="F667" s="2">
        <v>1996</v>
      </c>
      <c r="G667" s="3" t="str">
        <f>HYPERLINK("https://cloud.oebiotech.com/#/lm/network/1996", "https://cloud.oebiotech.com/#/lm/network/1996")</f>
        <v>https://cloud.oebiotech.com/#/lm/network/1996</v>
      </c>
      <c r="H667" s="2"/>
      <c r="I667" s="2"/>
      <c r="J667" s="2" t="s">
        <v>4805</v>
      </c>
      <c r="K667" s="2">
        <v>134695209</v>
      </c>
      <c r="L667" s="2"/>
      <c r="M667" s="2"/>
      <c r="N667" s="2"/>
      <c r="O667" s="2"/>
      <c r="P667" s="2"/>
      <c r="Q667" s="2"/>
      <c r="R667" s="2"/>
      <c r="S667" s="2" t="s">
        <v>4806</v>
      </c>
      <c r="T667" s="2" t="s">
        <v>4807</v>
      </c>
      <c r="U667" s="2" t="s">
        <v>56</v>
      </c>
      <c r="V667" s="2" t="s">
        <v>145</v>
      </c>
      <c r="W667" s="2" t="s">
        <v>231</v>
      </c>
      <c r="X667" s="2" t="s">
        <v>147</v>
      </c>
      <c r="Y667" s="2">
        <v>44.2</v>
      </c>
      <c r="Z667" s="2">
        <v>29.7</v>
      </c>
      <c r="AA667" s="2" t="s">
        <v>512</v>
      </c>
      <c r="AB667" s="2" t="s">
        <v>4808</v>
      </c>
      <c r="AC667" s="2">
        <v>3.2941794665719999</v>
      </c>
      <c r="AD667" s="2"/>
      <c r="AE667" s="2">
        <v>0.84956798791079302</v>
      </c>
      <c r="AF667" s="2">
        <v>5137.6203664754603</v>
      </c>
      <c r="AG667" s="2">
        <v>42112.114997582903</v>
      </c>
      <c r="AH667" s="4">
        <v>0.12199863072111999</v>
      </c>
      <c r="AI667" s="4">
        <v>-3.0350631394183401</v>
      </c>
      <c r="AJ667" s="4" t="s">
        <v>62</v>
      </c>
      <c r="AK667" s="2">
        <v>0.35662277793168701</v>
      </c>
      <c r="AL667" s="2">
        <v>0.64439059109587704</v>
      </c>
      <c r="AM667" s="2">
        <v>8.559877937157E-6</v>
      </c>
      <c r="AN667" s="2">
        <v>8.559877937157E-6</v>
      </c>
      <c r="AO667" s="2">
        <v>1981.1022018629601</v>
      </c>
      <c r="AP667" s="2">
        <v>18566.017237327898</v>
      </c>
      <c r="AQ667" s="2">
        <v>10278.602733982299</v>
      </c>
      <c r="AR667" s="2">
        <v>8.559877937157E-6</v>
      </c>
      <c r="AS667" s="2">
        <v>2305.8919838305201</v>
      </c>
      <c r="AT667" s="2">
        <v>14952.166055072399</v>
      </c>
      <c r="AU667" s="2">
        <v>2993.47752633852</v>
      </c>
      <c r="AV667" s="2">
        <v>8.559877937157E-6</v>
      </c>
      <c r="AW667" s="2">
        <v>8.559877937157E-6</v>
      </c>
      <c r="AX667" s="2">
        <v>232421.154403136</v>
      </c>
    </row>
    <row r="668" spans="1:50" x14ac:dyDescent="0.25">
      <c r="A668" s="2" t="s">
        <v>4809</v>
      </c>
      <c r="B668" s="2">
        <v>357.20726696172198</v>
      </c>
      <c r="C668" s="2">
        <v>9.8698333333333306</v>
      </c>
      <c r="D668" s="2" t="s">
        <v>51</v>
      </c>
      <c r="E668" s="2" t="s">
        <v>4810</v>
      </c>
      <c r="F668" s="2">
        <v>5401</v>
      </c>
      <c r="G668" s="3" t="str">
        <f>HYPERLINK("https://cloud.oebiotech.com/#/lm/network/5401", "https://cloud.oebiotech.com/#/lm/network/5401")</f>
        <v>https://cloud.oebiotech.com/#/lm/network/5401</v>
      </c>
      <c r="H668" s="2"/>
      <c r="I668" s="2"/>
      <c r="J668" s="2" t="s">
        <v>4811</v>
      </c>
      <c r="K668" s="2">
        <v>131840816</v>
      </c>
      <c r="L668" s="2"/>
      <c r="M668" s="2"/>
      <c r="N668" s="2"/>
      <c r="O668" s="2"/>
      <c r="P668" s="2"/>
      <c r="Q668" s="2"/>
      <c r="R668" s="2"/>
      <c r="S668" s="2" t="s">
        <v>4812</v>
      </c>
      <c r="T668" s="2" t="s">
        <v>4813</v>
      </c>
      <c r="U668" s="2" t="s">
        <v>56</v>
      </c>
      <c r="V668" s="2" t="s">
        <v>145</v>
      </c>
      <c r="W668" s="2" t="s">
        <v>187</v>
      </c>
      <c r="X668" s="2" t="s">
        <v>83</v>
      </c>
      <c r="Y668" s="2">
        <v>64.400000000000006</v>
      </c>
      <c r="Z668" s="2">
        <v>33.5</v>
      </c>
      <c r="AA668" s="2" t="s">
        <v>163</v>
      </c>
      <c r="AB668" s="2" t="s">
        <v>232</v>
      </c>
      <c r="AC668" s="2">
        <v>0.373947497492505</v>
      </c>
      <c r="AD668" s="2"/>
      <c r="AE668" s="2">
        <v>0.847873976122274</v>
      </c>
      <c r="AF668" s="2">
        <v>55213.9036937778</v>
      </c>
      <c r="AG668" s="2">
        <v>35992.291052728797</v>
      </c>
      <c r="AH668" s="5">
        <v>1.5340480441461599</v>
      </c>
      <c r="AI668" s="5">
        <v>0.61734366665179896</v>
      </c>
      <c r="AJ668" s="5" t="s">
        <v>139</v>
      </c>
      <c r="AK668" s="2">
        <v>0.166209838593394</v>
      </c>
      <c r="AL668" s="2">
        <v>0.48826710130083201</v>
      </c>
      <c r="AM668" s="2">
        <v>116520.803734375</v>
      </c>
      <c r="AN668" s="2">
        <v>41295.272584864797</v>
      </c>
      <c r="AO668" s="2">
        <v>43502.164196485297</v>
      </c>
      <c r="AP668" s="2">
        <v>47493.017793238301</v>
      </c>
      <c r="AQ668" s="2">
        <v>29884.4123823601</v>
      </c>
      <c r="AR668" s="2">
        <v>52587.751471343399</v>
      </c>
      <c r="AS668" s="2">
        <v>39338.650272579602</v>
      </c>
      <c r="AT668" s="2">
        <v>27531.823095125401</v>
      </c>
      <c r="AU668" s="2">
        <v>44781.6758449107</v>
      </c>
      <c r="AV668" s="2">
        <v>34634.916251719398</v>
      </c>
      <c r="AW668" s="2">
        <v>36853.255667281897</v>
      </c>
      <c r="AX668" s="2">
        <v>32813.425184755703</v>
      </c>
    </row>
    <row r="669" spans="1:50" x14ac:dyDescent="0.25">
      <c r="A669" s="2" t="s">
        <v>4814</v>
      </c>
      <c r="B669" s="2">
        <v>213.02220248641601</v>
      </c>
      <c r="C669" s="2">
        <v>5.8859166666666702</v>
      </c>
      <c r="D669" s="2" t="s">
        <v>51</v>
      </c>
      <c r="E669" s="2" t="s">
        <v>4815</v>
      </c>
      <c r="F669" s="2">
        <v>144439</v>
      </c>
      <c r="G669" s="3" t="str">
        <f>HYPERLINK("https://cloud.oebiotech.com/#/lm/network/144439", "https://cloud.oebiotech.com/#/lm/network/144439")</f>
        <v>https://cloud.oebiotech.com/#/lm/network/144439</v>
      </c>
      <c r="H669" s="2" t="s">
        <v>4816</v>
      </c>
      <c r="I669" s="2"/>
      <c r="J669" s="2"/>
      <c r="K669" s="2">
        <v>66633409</v>
      </c>
      <c r="L669" s="2"/>
      <c r="M669" s="2"/>
      <c r="N669" s="2"/>
      <c r="O669" s="2">
        <v>133096</v>
      </c>
      <c r="P669" s="2"/>
      <c r="Q669" s="2"/>
      <c r="R669" s="2" t="s">
        <v>4817</v>
      </c>
      <c r="S669" s="2" t="s">
        <v>4818</v>
      </c>
      <c r="T669" s="2" t="s">
        <v>4819</v>
      </c>
      <c r="U669" s="2" t="s">
        <v>103</v>
      </c>
      <c r="V669" s="2" t="s">
        <v>4820</v>
      </c>
      <c r="W669" s="2" t="s">
        <v>4821</v>
      </c>
      <c r="X669" s="2" t="s">
        <v>69</v>
      </c>
      <c r="Y669" s="2">
        <v>52.4</v>
      </c>
      <c r="Z669" s="2">
        <v>52.6</v>
      </c>
      <c r="AA669" s="2" t="s">
        <v>163</v>
      </c>
      <c r="AB669" s="2" t="s">
        <v>4822</v>
      </c>
      <c r="AC669" s="2">
        <v>-2.3402353448773998</v>
      </c>
      <c r="AD669" s="2"/>
      <c r="AE669" s="2">
        <v>0.84756690536558799</v>
      </c>
      <c r="AF669" s="2">
        <v>20671.066384814301</v>
      </c>
      <c r="AG669" s="2">
        <v>56444.585081073499</v>
      </c>
      <c r="AH669" s="4">
        <v>0.36621876757750399</v>
      </c>
      <c r="AI669" s="4">
        <v>-1.4492223682054</v>
      </c>
      <c r="AJ669" s="4" t="s">
        <v>62</v>
      </c>
      <c r="AK669" s="2">
        <v>0.400558928844646</v>
      </c>
      <c r="AL669" s="2">
        <v>0.66895031239118496</v>
      </c>
      <c r="AM669" s="2">
        <v>9801.7138092702407</v>
      </c>
      <c r="AN669" s="2">
        <v>29988.0633953326</v>
      </c>
      <c r="AO669" s="2">
        <v>18501.451999144301</v>
      </c>
      <c r="AP669" s="2">
        <v>37964.988781246997</v>
      </c>
      <c r="AQ669" s="2">
        <v>11030.9675371309</v>
      </c>
      <c r="AR669" s="2">
        <v>16739.212786760701</v>
      </c>
      <c r="AS669" s="2">
        <v>5315.7942764813297</v>
      </c>
      <c r="AT669" s="2">
        <v>12604.3715735394</v>
      </c>
      <c r="AU669" s="2">
        <v>37329.435240985498</v>
      </c>
      <c r="AV669" s="2">
        <v>12560.996675177599</v>
      </c>
      <c r="AW669" s="2">
        <v>257666.60558004101</v>
      </c>
      <c r="AX669" s="2">
        <v>13190.3071402163</v>
      </c>
    </row>
    <row r="670" spans="1:50" x14ac:dyDescent="0.25">
      <c r="A670" s="2" t="s">
        <v>4823</v>
      </c>
      <c r="B670" s="2">
        <v>415.135387902079</v>
      </c>
      <c r="C670" s="2">
        <v>5.3466166666666703</v>
      </c>
      <c r="D670" s="2" t="s">
        <v>51</v>
      </c>
      <c r="E670" s="2" t="s">
        <v>4824</v>
      </c>
      <c r="F670" s="2">
        <v>62830</v>
      </c>
      <c r="G670" s="3" t="str">
        <f>HYPERLINK("https://cloud.oebiotech.com/#/lm/network/62830", "https://cloud.oebiotech.com/#/lm/network/62830")</f>
        <v>https://cloud.oebiotech.com/#/lm/network/62830</v>
      </c>
      <c r="H670" s="2" t="s">
        <v>4825</v>
      </c>
      <c r="I670" s="2">
        <v>94123</v>
      </c>
      <c r="J670" s="2"/>
      <c r="K670" s="2">
        <v>131752678</v>
      </c>
      <c r="L670" s="2"/>
      <c r="M670" s="2"/>
      <c r="N670" s="2"/>
      <c r="O670" s="2">
        <v>168171</v>
      </c>
      <c r="P670" s="2"/>
      <c r="Q670" s="2"/>
      <c r="R670" s="2" t="s">
        <v>4826</v>
      </c>
      <c r="S670" s="2" t="s">
        <v>4827</v>
      </c>
      <c r="T670" s="2" t="s">
        <v>4828</v>
      </c>
      <c r="U670" s="2" t="s">
        <v>540</v>
      </c>
      <c r="V670" s="2" t="s">
        <v>1826</v>
      </c>
      <c r="W670" s="2" t="s">
        <v>4829</v>
      </c>
      <c r="X670" s="2" t="s">
        <v>147</v>
      </c>
      <c r="Y670" s="2">
        <v>42</v>
      </c>
      <c r="Z670" s="2">
        <v>19</v>
      </c>
      <c r="AA670" s="2" t="s">
        <v>95</v>
      </c>
      <c r="AB670" s="2" t="s">
        <v>4349</v>
      </c>
      <c r="AC670" s="2">
        <v>-2.42384563994014</v>
      </c>
      <c r="AD670" s="2"/>
      <c r="AE670" s="2">
        <v>0.84408215519041396</v>
      </c>
      <c r="AF670" s="2">
        <v>4615.7152746286802</v>
      </c>
      <c r="AG670" s="2">
        <v>27852.025204908699</v>
      </c>
      <c r="AH670" s="4">
        <v>0.16572278822350001</v>
      </c>
      <c r="AI670" s="4">
        <v>-2.5931560964526699</v>
      </c>
      <c r="AJ670" s="4" t="s">
        <v>62</v>
      </c>
      <c r="AK670" s="2">
        <v>0.117012047622976</v>
      </c>
      <c r="AL670" s="2">
        <v>0.43527601925915399</v>
      </c>
      <c r="AM670" s="2">
        <v>4220.3888586187304</v>
      </c>
      <c r="AN670" s="2">
        <v>2975.6374529924901</v>
      </c>
      <c r="AO670" s="2">
        <v>5861.2996488751796</v>
      </c>
      <c r="AP670" s="2">
        <v>8.559877937157E-6</v>
      </c>
      <c r="AQ670" s="2">
        <v>2339.6822049319899</v>
      </c>
      <c r="AR670" s="2">
        <v>12297.283473793799</v>
      </c>
      <c r="AS670" s="2">
        <v>8085.8063502441901</v>
      </c>
      <c r="AT670" s="2">
        <v>8668.8222956950503</v>
      </c>
      <c r="AU670" s="2">
        <v>23529.562543724802</v>
      </c>
      <c r="AV670" s="2">
        <v>27788.924022209099</v>
      </c>
      <c r="AW670" s="2">
        <v>92516.837295606107</v>
      </c>
      <c r="AX670" s="2">
        <v>6522.1987219727698</v>
      </c>
    </row>
    <row r="671" spans="1:50" x14ac:dyDescent="0.25">
      <c r="A671" s="2" t="s">
        <v>4830</v>
      </c>
      <c r="B671" s="2">
        <v>361.29698130855297</v>
      </c>
      <c r="C671" s="2">
        <v>8.5796666666666699</v>
      </c>
      <c r="D671" s="2" t="s">
        <v>51</v>
      </c>
      <c r="E671" s="2" t="s">
        <v>4831</v>
      </c>
      <c r="F671" s="2">
        <v>211862</v>
      </c>
      <c r="G671" s="3" t="str">
        <f>HYPERLINK("https://cloud.oebiotech.com/#/lm/network/211862", "https://cloud.oebiotech.com/#/lm/network/211862")</f>
        <v>https://cloud.oebiotech.com/#/lm/network/211862</v>
      </c>
      <c r="H671" s="2" t="s">
        <v>4832</v>
      </c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 t="s">
        <v>4833</v>
      </c>
      <c r="T671" s="2" t="s">
        <v>4834</v>
      </c>
      <c r="U671" s="2" t="s">
        <v>266</v>
      </c>
      <c r="V671" s="2" t="s">
        <v>1393</v>
      </c>
      <c r="W671" s="2" t="s">
        <v>4835</v>
      </c>
      <c r="X671" s="2" t="s">
        <v>147</v>
      </c>
      <c r="Y671" s="2">
        <v>36.799999999999997</v>
      </c>
      <c r="Z671" s="2">
        <v>0</v>
      </c>
      <c r="AA671" s="2" t="s">
        <v>512</v>
      </c>
      <c r="AB671" s="2" t="s">
        <v>4836</v>
      </c>
      <c r="AC671" s="2">
        <v>2.3104376398977902</v>
      </c>
      <c r="AD671" s="2"/>
      <c r="AE671" s="2">
        <v>0.84116733815429801</v>
      </c>
      <c r="AF671" s="2">
        <v>74650.036549311102</v>
      </c>
      <c r="AG671" s="2">
        <v>88162.388414520203</v>
      </c>
      <c r="AH671" s="4">
        <v>0.84673337340094501</v>
      </c>
      <c r="AI671" s="4">
        <v>-0.24002034189247601</v>
      </c>
      <c r="AJ671" s="4" t="s">
        <v>62</v>
      </c>
      <c r="AK671" s="2">
        <v>5.6436435829193797E-3</v>
      </c>
      <c r="AL671" s="2">
        <v>0.12769622484368501</v>
      </c>
      <c r="AM671" s="2">
        <v>60213.3942299068</v>
      </c>
      <c r="AN671" s="2">
        <v>77733.181371556595</v>
      </c>
      <c r="AO671" s="2">
        <v>73359.015860547705</v>
      </c>
      <c r="AP671" s="2">
        <v>81573.636338046097</v>
      </c>
      <c r="AQ671" s="2">
        <v>81390.5278218249</v>
      </c>
      <c r="AR671" s="2">
        <v>73630.463673984297</v>
      </c>
      <c r="AS671" s="2">
        <v>93719.454167748103</v>
      </c>
      <c r="AT671" s="2">
        <v>91655.667556234897</v>
      </c>
      <c r="AU671" s="2">
        <v>80035.662749594994</v>
      </c>
      <c r="AV671" s="2">
        <v>84992.908592126594</v>
      </c>
      <c r="AW671" s="2">
        <v>87137.310335570495</v>
      </c>
      <c r="AX671" s="2">
        <v>91433.327085846002</v>
      </c>
    </row>
    <row r="672" spans="1:50" x14ac:dyDescent="0.25">
      <c r="A672" s="2" t="s">
        <v>4837</v>
      </c>
      <c r="B672" s="2">
        <v>536.37270814642204</v>
      </c>
      <c r="C672" s="2">
        <v>11.777900000000001</v>
      </c>
      <c r="D672" s="2" t="s">
        <v>51</v>
      </c>
      <c r="E672" s="2" t="s">
        <v>4838</v>
      </c>
      <c r="F672" s="2">
        <v>21229</v>
      </c>
      <c r="G672" s="3" t="str">
        <f>HYPERLINK("https://cloud.oebiotech.com/#/lm/network/21229", "https://cloud.oebiotech.com/#/lm/network/21229")</f>
        <v>https://cloud.oebiotech.com/#/lm/network/21229</v>
      </c>
      <c r="H672" s="2" t="s">
        <v>4839</v>
      </c>
      <c r="I672" s="2">
        <v>62305</v>
      </c>
      <c r="J672" s="2" t="s">
        <v>4840</v>
      </c>
      <c r="K672" s="2">
        <v>53480953</v>
      </c>
      <c r="L672" s="2"/>
      <c r="M672" s="2"/>
      <c r="N672" s="2"/>
      <c r="O672" s="2"/>
      <c r="P672" s="2"/>
      <c r="Q672" s="2"/>
      <c r="R672" s="2"/>
      <c r="S672" s="2" t="s">
        <v>4841</v>
      </c>
      <c r="T672" s="2" t="s">
        <v>4842</v>
      </c>
      <c r="U672" s="2" t="s">
        <v>56</v>
      </c>
      <c r="V672" s="2" t="s">
        <v>57</v>
      </c>
      <c r="W672" s="2" t="s">
        <v>155</v>
      </c>
      <c r="X672" s="2" t="s">
        <v>83</v>
      </c>
      <c r="Y672" s="2">
        <v>44.3</v>
      </c>
      <c r="Z672" s="2">
        <v>1.09E-3</v>
      </c>
      <c r="AA672" s="2" t="s">
        <v>4843</v>
      </c>
      <c r="AB672" s="2" t="s">
        <v>4844</v>
      </c>
      <c r="AC672" s="2">
        <v>3.06709372866748</v>
      </c>
      <c r="AD672" s="2"/>
      <c r="AE672" s="2">
        <v>0.84097969938316197</v>
      </c>
      <c r="AF672" s="2">
        <v>153510.89913207499</v>
      </c>
      <c r="AG672" s="2">
        <v>200351.92069987801</v>
      </c>
      <c r="AH672" s="4">
        <v>0.76620627641514005</v>
      </c>
      <c r="AI672" s="4">
        <v>-0.38419525117215098</v>
      </c>
      <c r="AJ672" s="4" t="s">
        <v>62</v>
      </c>
      <c r="AK672" s="2">
        <v>0.32896748549520499</v>
      </c>
      <c r="AL672" s="2">
        <v>0.63135842857913305</v>
      </c>
      <c r="AM672" s="2">
        <v>171521.742752889</v>
      </c>
      <c r="AN672" s="2">
        <v>177044.370078001</v>
      </c>
      <c r="AO672" s="2">
        <v>162390.58653103799</v>
      </c>
      <c r="AP672" s="2">
        <v>117959.83628908401</v>
      </c>
      <c r="AQ672" s="2">
        <v>171372.45030699199</v>
      </c>
      <c r="AR672" s="2">
        <v>120776.408834445</v>
      </c>
      <c r="AS672" s="2">
        <v>101731.896043799</v>
      </c>
      <c r="AT672" s="2">
        <v>60991.614630102602</v>
      </c>
      <c r="AU672" s="2">
        <v>337049.83894511301</v>
      </c>
      <c r="AV672" s="2">
        <v>218756.957640996</v>
      </c>
      <c r="AW672" s="2">
        <v>302134.53848617303</v>
      </c>
      <c r="AX672" s="2">
        <v>181446.67845308399</v>
      </c>
    </row>
    <row r="673" spans="1:50" x14ac:dyDescent="0.25">
      <c r="A673" s="2" t="s">
        <v>4845</v>
      </c>
      <c r="B673" s="2">
        <v>463.01307872640803</v>
      </c>
      <c r="C673" s="2">
        <v>13.077016666666699</v>
      </c>
      <c r="D673" s="2" t="s">
        <v>51</v>
      </c>
      <c r="E673" s="2" t="s">
        <v>4846</v>
      </c>
      <c r="F673" s="2">
        <v>211287</v>
      </c>
      <c r="G673" s="3" t="str">
        <f>HYPERLINK("https://cloud.oebiotech.com/#/lm/network/211287", "https://cloud.oebiotech.com/#/lm/network/211287")</f>
        <v>https://cloud.oebiotech.com/#/lm/network/211287</v>
      </c>
      <c r="H673" s="2" t="s">
        <v>4847</v>
      </c>
      <c r="I673" s="2"/>
      <c r="J673" s="2"/>
      <c r="K673" s="2">
        <v>22011568</v>
      </c>
      <c r="L673" s="2"/>
      <c r="M673" s="2"/>
      <c r="N673" s="2"/>
      <c r="O673" s="2"/>
      <c r="P673" s="2"/>
      <c r="Q673" s="2"/>
      <c r="R673" s="2"/>
      <c r="S673" s="2" t="s">
        <v>4848</v>
      </c>
      <c r="T673" s="2" t="s">
        <v>4849</v>
      </c>
      <c r="U673" s="2" t="s">
        <v>103</v>
      </c>
      <c r="V673" s="2" t="s">
        <v>104</v>
      </c>
      <c r="W673" s="2" t="s">
        <v>4850</v>
      </c>
      <c r="X673" s="2" t="s">
        <v>147</v>
      </c>
      <c r="Y673" s="2">
        <v>36.9</v>
      </c>
      <c r="Z673" s="2">
        <v>8.08</v>
      </c>
      <c r="AA673" s="2" t="s">
        <v>218</v>
      </c>
      <c r="AB673" s="2" t="s">
        <v>4851</v>
      </c>
      <c r="AC673" s="2">
        <v>-2.03240804140759</v>
      </c>
      <c r="AD673" s="2"/>
      <c r="AE673" s="2">
        <v>0.83754376447471801</v>
      </c>
      <c r="AF673" s="2">
        <v>51207.385279254297</v>
      </c>
      <c r="AG673" s="2">
        <v>67661.009692126798</v>
      </c>
      <c r="AH673" s="4">
        <v>0.75682265919854996</v>
      </c>
      <c r="AI673" s="4">
        <v>-0.40197281141089802</v>
      </c>
      <c r="AJ673" s="4" t="s">
        <v>62</v>
      </c>
      <c r="AK673" s="2">
        <v>1.4272609843381299E-2</v>
      </c>
      <c r="AL673" s="2">
        <v>0.189933441289907</v>
      </c>
      <c r="AM673" s="2">
        <v>47394.702233933203</v>
      </c>
      <c r="AN673" s="2">
        <v>51068.758039326298</v>
      </c>
      <c r="AO673" s="2">
        <v>45987.629326201801</v>
      </c>
      <c r="AP673" s="2">
        <v>49787.677749751201</v>
      </c>
      <c r="AQ673" s="2">
        <v>57962.571956523498</v>
      </c>
      <c r="AR673" s="2">
        <v>55042.972369789801</v>
      </c>
      <c r="AS673" s="2">
        <v>79850.012531775501</v>
      </c>
      <c r="AT673" s="2">
        <v>80137.005988587203</v>
      </c>
      <c r="AU673" s="2">
        <v>45703.215793694297</v>
      </c>
      <c r="AV673" s="2">
        <v>70581.393460943698</v>
      </c>
      <c r="AW673" s="2">
        <v>62431.589378569101</v>
      </c>
      <c r="AX673" s="2">
        <v>67262.840999191205</v>
      </c>
    </row>
    <row r="674" spans="1:50" x14ac:dyDescent="0.25">
      <c r="A674" s="2" t="s">
        <v>4852</v>
      </c>
      <c r="B674" s="2">
        <v>684.96333999945602</v>
      </c>
      <c r="C674" s="2">
        <v>11.0279666666667</v>
      </c>
      <c r="D674" s="2" t="s">
        <v>51</v>
      </c>
      <c r="E674" s="2" t="s">
        <v>4853</v>
      </c>
      <c r="F674" s="2">
        <v>81738</v>
      </c>
      <c r="G674" s="3" t="str">
        <f>HYPERLINK("https://cloud.oebiotech.com/#/lm/network/81738", "https://cloud.oebiotech.com/#/lm/network/81738")</f>
        <v>https://cloud.oebiotech.com/#/lm/network/81738</v>
      </c>
      <c r="H674" s="2" t="s">
        <v>4854</v>
      </c>
      <c r="I674" s="2">
        <v>96250</v>
      </c>
      <c r="J674" s="2"/>
      <c r="K674" s="2">
        <v>193491</v>
      </c>
      <c r="L674" s="2" t="s">
        <v>4855</v>
      </c>
      <c r="M674" s="2"/>
      <c r="N674" s="2"/>
      <c r="O674" s="2">
        <v>40096</v>
      </c>
      <c r="P674" s="2"/>
      <c r="Q674" s="2"/>
      <c r="R674" s="2"/>
      <c r="S674" s="2" t="s">
        <v>4856</v>
      </c>
      <c r="T674" s="2" t="s">
        <v>4857</v>
      </c>
      <c r="U674" s="2" t="s">
        <v>295</v>
      </c>
      <c r="V674" s="2" t="s">
        <v>1023</v>
      </c>
      <c r="W674" s="2" t="s">
        <v>4858</v>
      </c>
      <c r="X674" s="2" t="s">
        <v>147</v>
      </c>
      <c r="Y674" s="2">
        <v>37.1</v>
      </c>
      <c r="Z674" s="2">
        <v>0</v>
      </c>
      <c r="AA674" s="2" t="s">
        <v>512</v>
      </c>
      <c r="AB674" s="2" t="s">
        <v>4859</v>
      </c>
      <c r="AC674" s="2">
        <v>1.6612676049005599</v>
      </c>
      <c r="AD674" s="2"/>
      <c r="AE674" s="2">
        <v>0.83689893166979901</v>
      </c>
      <c r="AF674" s="2">
        <v>87052.281962104506</v>
      </c>
      <c r="AG674" s="2">
        <v>107068.29397776</v>
      </c>
      <c r="AH674" s="4">
        <v>0.81305378770849301</v>
      </c>
      <c r="AI674" s="4">
        <v>-0.29857729769966601</v>
      </c>
      <c r="AJ674" s="4" t="s">
        <v>62</v>
      </c>
      <c r="AK674" s="2">
        <v>0.13888111965699501</v>
      </c>
      <c r="AL674" s="2">
        <v>0.45923352345858398</v>
      </c>
      <c r="AM674" s="2">
        <v>63187.183407169498</v>
      </c>
      <c r="AN674" s="2">
        <v>72022.245780469093</v>
      </c>
      <c r="AO674" s="2">
        <v>84913.899129144207</v>
      </c>
      <c r="AP674" s="2">
        <v>90219.315868043996</v>
      </c>
      <c r="AQ674" s="2">
        <v>120535.32143715701</v>
      </c>
      <c r="AR674" s="2">
        <v>91435.726150643299</v>
      </c>
      <c r="AS674" s="2">
        <v>143353.05162849199</v>
      </c>
      <c r="AT674" s="2">
        <v>125874.670851795</v>
      </c>
      <c r="AU674" s="2">
        <v>79353.970063730201</v>
      </c>
      <c r="AV674" s="2">
        <v>95499.160097231303</v>
      </c>
      <c r="AW674" s="2">
        <v>99268.574376573</v>
      </c>
      <c r="AX674" s="2">
        <v>99060.336848741004</v>
      </c>
    </row>
    <row r="675" spans="1:50" x14ac:dyDescent="0.25">
      <c r="A675" s="2" t="s">
        <v>4860</v>
      </c>
      <c r="B675" s="2">
        <v>441.210423852026</v>
      </c>
      <c r="C675" s="2">
        <v>0.74455000000000005</v>
      </c>
      <c r="D675" s="2" t="s">
        <v>51</v>
      </c>
      <c r="E675" s="2" t="s">
        <v>4861</v>
      </c>
      <c r="F675" s="2">
        <v>59952</v>
      </c>
      <c r="G675" s="3" t="str">
        <f>HYPERLINK("https://cloud.oebiotech.com/#/lm/network/59952", "https://cloud.oebiotech.com/#/lm/network/59952")</f>
        <v>https://cloud.oebiotech.com/#/lm/network/59952</v>
      </c>
      <c r="H675" s="2" t="s">
        <v>4862</v>
      </c>
      <c r="I675" s="2">
        <v>91313</v>
      </c>
      <c r="J675" s="2"/>
      <c r="K675" s="2">
        <v>75069422</v>
      </c>
      <c r="L675" s="2"/>
      <c r="M675" s="2"/>
      <c r="N675" s="2"/>
      <c r="O675" s="2"/>
      <c r="P675" s="2"/>
      <c r="Q675" s="2"/>
      <c r="R675" s="2" t="s">
        <v>4863</v>
      </c>
      <c r="S675" s="2" t="s">
        <v>4864</v>
      </c>
      <c r="T675" s="2" t="s">
        <v>4865</v>
      </c>
      <c r="U675" s="2" t="s">
        <v>56</v>
      </c>
      <c r="V675" s="2" t="s">
        <v>177</v>
      </c>
      <c r="W675" s="2" t="s">
        <v>1996</v>
      </c>
      <c r="X675" s="2" t="s">
        <v>147</v>
      </c>
      <c r="Y675" s="2">
        <v>39.6</v>
      </c>
      <c r="Z675" s="2">
        <v>16.3</v>
      </c>
      <c r="AA675" s="2" t="s">
        <v>3769</v>
      </c>
      <c r="AB675" s="2" t="s">
        <v>4866</v>
      </c>
      <c r="AC675" s="2">
        <v>-3.37384512485932</v>
      </c>
      <c r="AD675" s="2"/>
      <c r="AE675" s="2">
        <v>0.834687328174603</v>
      </c>
      <c r="AF675" s="2">
        <v>83554.609030445994</v>
      </c>
      <c r="AG675" s="2">
        <v>132725.62876213301</v>
      </c>
      <c r="AH675" s="4">
        <v>0.62952882431011203</v>
      </c>
      <c r="AI675" s="4">
        <v>-0.66765565858370801</v>
      </c>
      <c r="AJ675" s="4" t="s">
        <v>62</v>
      </c>
      <c r="AK675" s="2">
        <v>0.55153727007123698</v>
      </c>
      <c r="AL675" s="2">
        <v>0.772464442654621</v>
      </c>
      <c r="AM675" s="2">
        <v>147069.49212305699</v>
      </c>
      <c r="AN675" s="2">
        <v>93418.810686490906</v>
      </c>
      <c r="AO675" s="2">
        <v>43734.232166225702</v>
      </c>
      <c r="AP675" s="2">
        <v>17870.193656211501</v>
      </c>
      <c r="AQ675" s="2">
        <v>96669.597916594794</v>
      </c>
      <c r="AR675" s="2">
        <v>102565.327634096</v>
      </c>
      <c r="AS675" s="2">
        <v>8.559877937157E-6</v>
      </c>
      <c r="AT675" s="2">
        <v>4031.2512578558799</v>
      </c>
      <c r="AU675" s="2">
        <v>58988.830412859897</v>
      </c>
      <c r="AV675" s="2">
        <v>506924.006744524</v>
      </c>
      <c r="AW675" s="2">
        <v>119009.946699896</v>
      </c>
      <c r="AX675" s="2">
        <v>107399.73744910301</v>
      </c>
    </row>
    <row r="676" spans="1:50" x14ac:dyDescent="0.25">
      <c r="A676" s="2" t="s">
        <v>4867</v>
      </c>
      <c r="B676" s="2">
        <v>679.51605615029098</v>
      </c>
      <c r="C676" s="2">
        <v>14.716366666666699</v>
      </c>
      <c r="D676" s="2" t="s">
        <v>51</v>
      </c>
      <c r="E676" s="2" t="s">
        <v>4868</v>
      </c>
      <c r="F676" s="2">
        <v>250849</v>
      </c>
      <c r="G676" s="3" t="str">
        <f>HYPERLINK("https://cloud.oebiotech.com/#/lm/network/250849", "https://cloud.oebiotech.com/#/lm/network/250849")</f>
        <v>https://cloud.oebiotech.com/#/lm/network/250849</v>
      </c>
      <c r="H676" s="2" t="s">
        <v>4869</v>
      </c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 t="s">
        <v>4870</v>
      </c>
      <c r="T676" s="2" t="s">
        <v>4871</v>
      </c>
      <c r="U676" s="2" t="s">
        <v>56</v>
      </c>
      <c r="V676" s="2" t="s">
        <v>145</v>
      </c>
      <c r="W676" s="2" t="s">
        <v>187</v>
      </c>
      <c r="X676" s="2" t="s">
        <v>147</v>
      </c>
      <c r="Y676" s="2">
        <v>40.6</v>
      </c>
      <c r="Z676" s="2">
        <v>8.5500000000000007</v>
      </c>
      <c r="AA676" s="2" t="s">
        <v>163</v>
      </c>
      <c r="AB676" s="2" t="s">
        <v>4872</v>
      </c>
      <c r="AC676" s="2">
        <v>0.90124363833121901</v>
      </c>
      <c r="AD676" s="2"/>
      <c r="AE676" s="2">
        <v>0.83428808148205202</v>
      </c>
      <c r="AF676" s="2">
        <v>90902.066960034499</v>
      </c>
      <c r="AG676" s="2">
        <v>134664.27620438099</v>
      </c>
      <c r="AH676" s="4">
        <v>0.67502733109463997</v>
      </c>
      <c r="AI676" s="4">
        <v>-0.56698217844768295</v>
      </c>
      <c r="AJ676" s="4" t="s">
        <v>62</v>
      </c>
      <c r="AK676" s="2">
        <v>0.14447919135164899</v>
      </c>
      <c r="AL676" s="2">
        <v>0.46795150714190697</v>
      </c>
      <c r="AM676" s="2">
        <v>127461.806921354</v>
      </c>
      <c r="AN676" s="2">
        <v>85806.717511041104</v>
      </c>
      <c r="AO676" s="2">
        <v>73701.965200126098</v>
      </c>
      <c r="AP676" s="2">
        <v>81021.718890005897</v>
      </c>
      <c r="AQ676" s="2">
        <v>75404.078672921096</v>
      </c>
      <c r="AR676" s="2">
        <v>102016.114564759</v>
      </c>
      <c r="AS676" s="2">
        <v>94617.874934005595</v>
      </c>
      <c r="AT676" s="2">
        <v>103283.641406015</v>
      </c>
      <c r="AU676" s="2">
        <v>264101.64232093102</v>
      </c>
      <c r="AV676" s="2">
        <v>102460.180249041</v>
      </c>
      <c r="AW676" s="2">
        <v>114974.319511525</v>
      </c>
      <c r="AX676" s="2">
        <v>128547.998804766</v>
      </c>
    </row>
    <row r="677" spans="1:50" x14ac:dyDescent="0.25">
      <c r="A677" s="2" t="s">
        <v>4873</v>
      </c>
      <c r="B677" s="2">
        <v>595.92486307004697</v>
      </c>
      <c r="C677" s="2">
        <v>10.252599999999999</v>
      </c>
      <c r="D677" s="2" t="s">
        <v>51</v>
      </c>
      <c r="E677" s="2" t="s">
        <v>4874</v>
      </c>
      <c r="F677" s="2">
        <v>210193</v>
      </c>
      <c r="G677" s="3" t="str">
        <f>HYPERLINK("https://cloud.oebiotech.com/#/lm/network/210193", "https://cloud.oebiotech.com/#/lm/network/210193")</f>
        <v>https://cloud.oebiotech.com/#/lm/network/210193</v>
      </c>
      <c r="H677" s="2" t="s">
        <v>4875</v>
      </c>
      <c r="I677" s="2"/>
      <c r="J677" s="2"/>
      <c r="K677" s="2"/>
      <c r="L677" s="2"/>
      <c r="M677" s="2"/>
      <c r="N677" s="2"/>
      <c r="O677" s="2">
        <v>83505</v>
      </c>
      <c r="P677" s="2"/>
      <c r="Q677" s="2"/>
      <c r="R677" s="2"/>
      <c r="S677" s="2" t="s">
        <v>4876</v>
      </c>
      <c r="T677" s="2" t="s">
        <v>4877</v>
      </c>
      <c r="U677" s="2" t="s">
        <v>1357</v>
      </c>
      <c r="V677" s="2" t="s">
        <v>4878</v>
      </c>
      <c r="W677" s="2" t="s">
        <v>4879</v>
      </c>
      <c r="X677" s="2" t="s">
        <v>147</v>
      </c>
      <c r="Y677" s="2">
        <v>36.5</v>
      </c>
      <c r="Z677" s="2">
        <v>0</v>
      </c>
      <c r="AA677" s="2" t="s">
        <v>395</v>
      </c>
      <c r="AB677" s="2" t="s">
        <v>4880</v>
      </c>
      <c r="AC677" s="2">
        <v>4.9314921424241698</v>
      </c>
      <c r="AD677" s="2"/>
      <c r="AE677" s="2">
        <v>0.83350873293181904</v>
      </c>
      <c r="AF677" s="2">
        <v>63037.795148626799</v>
      </c>
      <c r="AG677" s="2">
        <v>78853.180420918899</v>
      </c>
      <c r="AH677" s="4">
        <v>0.79943249989576304</v>
      </c>
      <c r="AI677" s="4">
        <v>-0.322951870033232</v>
      </c>
      <c r="AJ677" s="4" t="s">
        <v>62</v>
      </c>
      <c r="AK677" s="2">
        <v>2.9463125483299601E-2</v>
      </c>
      <c r="AL677" s="2">
        <v>0.25908320162100301</v>
      </c>
      <c r="AM677" s="2">
        <v>46489.172201276699</v>
      </c>
      <c r="AN677" s="2">
        <v>51824.747053768297</v>
      </c>
      <c r="AO677" s="2">
        <v>59909.002942745799</v>
      </c>
      <c r="AP677" s="2">
        <v>62442.545646736697</v>
      </c>
      <c r="AQ677" s="2">
        <v>88525.921844660101</v>
      </c>
      <c r="AR677" s="2">
        <v>69035.381202573102</v>
      </c>
      <c r="AS677" s="2">
        <v>78668.178293226694</v>
      </c>
      <c r="AT677" s="2">
        <v>82688.179096103195</v>
      </c>
      <c r="AU677" s="2">
        <v>77524.0334092946</v>
      </c>
      <c r="AV677" s="2">
        <v>72581.078767262006</v>
      </c>
      <c r="AW677" s="2">
        <v>82547.176654962794</v>
      </c>
      <c r="AX677" s="2">
        <v>79110.436304663905</v>
      </c>
    </row>
    <row r="678" spans="1:50" x14ac:dyDescent="0.25">
      <c r="A678" s="2" t="s">
        <v>4881</v>
      </c>
      <c r="B678" s="2">
        <v>409.22125220914302</v>
      </c>
      <c r="C678" s="2">
        <v>5.2228500000000002</v>
      </c>
      <c r="D678" s="2" t="s">
        <v>51</v>
      </c>
      <c r="E678" s="2" t="s">
        <v>4882</v>
      </c>
      <c r="F678" s="2">
        <v>28264</v>
      </c>
      <c r="G678" s="3" t="str">
        <f>HYPERLINK("https://cloud.oebiotech.com/#/lm/network/28264", "https://cloud.oebiotech.com/#/lm/network/28264")</f>
        <v>https://cloud.oebiotech.com/#/lm/network/28264</v>
      </c>
      <c r="H678" s="2"/>
      <c r="I678" s="2">
        <v>40995</v>
      </c>
      <c r="J678" s="2" t="s">
        <v>4883</v>
      </c>
      <c r="K678" s="2">
        <v>443564</v>
      </c>
      <c r="L678" s="2" t="s">
        <v>4884</v>
      </c>
      <c r="M678" s="2"/>
      <c r="N678" s="2"/>
      <c r="O678" s="2">
        <v>29658</v>
      </c>
      <c r="P678" s="2"/>
      <c r="Q678" s="2"/>
      <c r="R678" s="2"/>
      <c r="S678" s="2" t="s">
        <v>4885</v>
      </c>
      <c r="T678" s="2" t="s">
        <v>4886</v>
      </c>
      <c r="U678" s="2" t="s">
        <v>540</v>
      </c>
      <c r="V678" s="2" t="s">
        <v>563</v>
      </c>
      <c r="W678" s="2" t="s">
        <v>240</v>
      </c>
      <c r="X678" s="2" t="s">
        <v>59</v>
      </c>
      <c r="Y678" s="2">
        <v>50.5</v>
      </c>
      <c r="Z678" s="2">
        <v>62.1</v>
      </c>
      <c r="AA678" s="2" t="s">
        <v>95</v>
      </c>
      <c r="AB678" s="2" t="s">
        <v>402</v>
      </c>
      <c r="AC678" s="2">
        <v>4.0859073343976897</v>
      </c>
      <c r="AD678" s="2"/>
      <c r="AE678" s="2">
        <v>0.83338004621822803</v>
      </c>
      <c r="AF678" s="2">
        <v>33240.9788253593</v>
      </c>
      <c r="AG678" s="2">
        <v>16951.413335628</v>
      </c>
      <c r="AH678" s="5">
        <v>1.9609561850217101</v>
      </c>
      <c r="AI678" s="5">
        <v>0.97155730077326596</v>
      </c>
      <c r="AJ678" s="5" t="s">
        <v>139</v>
      </c>
      <c r="AK678" s="2">
        <v>6.4062310660707002E-3</v>
      </c>
      <c r="AL678" s="2">
        <v>0.135351579499152</v>
      </c>
      <c r="AM678" s="2">
        <v>31607.500156132599</v>
      </c>
      <c r="AN678" s="2">
        <v>44872.697214846703</v>
      </c>
      <c r="AO678" s="2">
        <v>29933.970874211202</v>
      </c>
      <c r="AP678" s="2">
        <v>38618.623109327003</v>
      </c>
      <c r="AQ678" s="2">
        <v>19690.7047559282</v>
      </c>
      <c r="AR678" s="2">
        <v>34722.376841710298</v>
      </c>
      <c r="AS678" s="2">
        <v>25934.312192977599</v>
      </c>
      <c r="AT678" s="2">
        <v>13453.901483256401</v>
      </c>
      <c r="AU678" s="2">
        <v>26119.157511977501</v>
      </c>
      <c r="AV678" s="2">
        <v>5631.3833790519402</v>
      </c>
      <c r="AW678" s="2">
        <v>14524.5990784532</v>
      </c>
      <c r="AX678" s="2">
        <v>16045.1263680516</v>
      </c>
    </row>
    <row r="679" spans="1:50" x14ac:dyDescent="0.25">
      <c r="A679" s="2" t="s">
        <v>4887</v>
      </c>
      <c r="B679" s="2">
        <v>379.162365860661</v>
      </c>
      <c r="C679" s="2">
        <v>3.7954166666666702</v>
      </c>
      <c r="D679" s="2" t="s">
        <v>51</v>
      </c>
      <c r="E679" s="2" t="s">
        <v>4888</v>
      </c>
      <c r="F679" s="2">
        <v>200291</v>
      </c>
      <c r="G679" s="3" t="str">
        <f>HYPERLINK("https://cloud.oebiotech.com/#/lm/network/200291", "https://cloud.oebiotech.com/#/lm/network/200291")</f>
        <v>https://cloud.oebiotech.com/#/lm/network/200291</v>
      </c>
      <c r="H679" s="2" t="s">
        <v>4889</v>
      </c>
      <c r="I679" s="2"/>
      <c r="J679" s="2"/>
      <c r="K679" s="2">
        <v>14707744</v>
      </c>
      <c r="L679" s="2"/>
      <c r="M679" s="2"/>
      <c r="N679" s="2"/>
      <c r="O679" s="2"/>
      <c r="P679" s="2"/>
      <c r="Q679" s="2"/>
      <c r="R679" s="2"/>
      <c r="S679" s="2" t="s">
        <v>4890</v>
      </c>
      <c r="T679" s="2" t="s">
        <v>4891</v>
      </c>
      <c r="U679" s="2" t="s">
        <v>238</v>
      </c>
      <c r="V679" s="2" t="s">
        <v>4892</v>
      </c>
      <c r="W679" s="2" t="s">
        <v>240</v>
      </c>
      <c r="X679" s="2" t="s">
        <v>147</v>
      </c>
      <c r="Y679" s="2">
        <v>40.4</v>
      </c>
      <c r="Z679" s="2">
        <v>12.3</v>
      </c>
      <c r="AA679" s="2" t="s">
        <v>60</v>
      </c>
      <c r="AB679" s="2" t="s">
        <v>4893</v>
      </c>
      <c r="AC679" s="2">
        <v>-1.29733604645713</v>
      </c>
      <c r="AD679" s="2"/>
      <c r="AE679" s="2">
        <v>0.83310526621280501</v>
      </c>
      <c r="AF679" s="2">
        <v>8083.7236269877103</v>
      </c>
      <c r="AG679" s="2">
        <v>41976.999629566402</v>
      </c>
      <c r="AH679" s="4">
        <v>0.192575069641089</v>
      </c>
      <c r="AI679" s="4">
        <v>-2.3765071478491202</v>
      </c>
      <c r="AJ679" s="4" t="s">
        <v>62</v>
      </c>
      <c r="AK679" s="2">
        <v>0.387042352567598</v>
      </c>
      <c r="AL679" s="2">
        <v>0.66316607422621299</v>
      </c>
      <c r="AM679" s="2">
        <v>6554.3985046363296</v>
      </c>
      <c r="AN679" s="2">
        <v>4495.7038052750504</v>
      </c>
      <c r="AO679" s="2">
        <v>12131.8120681988</v>
      </c>
      <c r="AP679" s="2">
        <v>2111.4995387597401</v>
      </c>
      <c r="AQ679" s="2">
        <v>3960.79528244217</v>
      </c>
      <c r="AR679" s="2">
        <v>19248.132562614199</v>
      </c>
      <c r="AS679" s="2">
        <v>5042.5625719725303</v>
      </c>
      <c r="AT679" s="2">
        <v>367.13428843028498</v>
      </c>
      <c r="AU679" s="2">
        <v>7116.7511132851596</v>
      </c>
      <c r="AV679" s="2">
        <v>4561.0798969059197</v>
      </c>
      <c r="AW679" s="2">
        <v>228828.980268946</v>
      </c>
      <c r="AX679" s="2">
        <v>5945.4896378584299</v>
      </c>
    </row>
    <row r="680" spans="1:50" x14ac:dyDescent="0.25">
      <c r="A680" s="2" t="s">
        <v>4894</v>
      </c>
      <c r="B680" s="2">
        <v>583.33653283085505</v>
      </c>
      <c r="C680" s="2">
        <v>11.109966666666701</v>
      </c>
      <c r="D680" s="2" t="s">
        <v>51</v>
      </c>
      <c r="E680" s="2" t="s">
        <v>4895</v>
      </c>
      <c r="F680" s="2">
        <v>212448</v>
      </c>
      <c r="G680" s="3" t="str">
        <f>HYPERLINK("https://cloud.oebiotech.com/#/lm/network/212448", "https://cloud.oebiotech.com/#/lm/network/212448")</f>
        <v>https://cloud.oebiotech.com/#/lm/network/212448</v>
      </c>
      <c r="H680" s="2" t="s">
        <v>4896</v>
      </c>
      <c r="I680" s="2">
        <v>45306</v>
      </c>
      <c r="J680" s="2"/>
      <c r="K680" s="2">
        <v>3035905</v>
      </c>
      <c r="L680" s="2" t="s">
        <v>4897</v>
      </c>
      <c r="M680" s="2"/>
      <c r="N680" s="2"/>
      <c r="O680" s="2"/>
      <c r="P680" s="2"/>
      <c r="Q680" s="2"/>
      <c r="R680" s="2" t="s">
        <v>4898</v>
      </c>
      <c r="S680" s="2" t="s">
        <v>4899</v>
      </c>
      <c r="T680" s="2" t="s">
        <v>4900</v>
      </c>
      <c r="U680" s="2" t="s">
        <v>266</v>
      </c>
      <c r="V680" s="2" t="s">
        <v>1742</v>
      </c>
      <c r="W680" s="2" t="s">
        <v>240</v>
      </c>
      <c r="X680" s="2" t="s">
        <v>147</v>
      </c>
      <c r="Y680" s="2">
        <v>38.5</v>
      </c>
      <c r="Z680" s="2">
        <v>1.81</v>
      </c>
      <c r="AA680" s="2" t="s">
        <v>478</v>
      </c>
      <c r="AB680" s="2" t="s">
        <v>4901</v>
      </c>
      <c r="AC680" s="2">
        <v>-0.90069308991705999</v>
      </c>
      <c r="AD680" s="2"/>
      <c r="AE680" s="2">
        <v>0.83256660486564205</v>
      </c>
      <c r="AF680" s="2">
        <v>172844.01042159999</v>
      </c>
      <c r="AG680" s="2">
        <v>211164.81820962499</v>
      </c>
      <c r="AH680" s="4">
        <v>0.81852655137853503</v>
      </c>
      <c r="AI680" s="4">
        <v>-0.28889887926202401</v>
      </c>
      <c r="AJ680" s="4" t="s">
        <v>62</v>
      </c>
      <c r="AK680" s="2">
        <v>0.27356432589606799</v>
      </c>
      <c r="AL680" s="2">
        <v>0.59362258875912</v>
      </c>
      <c r="AM680" s="2">
        <v>212288.833997551</v>
      </c>
      <c r="AN680" s="2">
        <v>173169.819611454</v>
      </c>
      <c r="AO680" s="2">
        <v>173844.97480508499</v>
      </c>
      <c r="AP680" s="2">
        <v>150986.69425662101</v>
      </c>
      <c r="AQ680" s="2">
        <v>160832.55490929101</v>
      </c>
      <c r="AR680" s="2">
        <v>165941.18494959699</v>
      </c>
      <c r="AS680" s="2">
        <v>151222.03524669301</v>
      </c>
      <c r="AT680" s="2">
        <v>97148.857342665797</v>
      </c>
      <c r="AU680" s="2">
        <v>291972.12404584797</v>
      </c>
      <c r="AV680" s="2">
        <v>279764.068735159</v>
      </c>
      <c r="AW680" s="2">
        <v>258555.085377443</v>
      </c>
      <c r="AX680" s="2">
        <v>188326.73850994199</v>
      </c>
    </row>
    <row r="681" spans="1:50" x14ac:dyDescent="0.25">
      <c r="A681" s="2" t="s">
        <v>4902</v>
      </c>
      <c r="B681" s="2">
        <v>211.108478061325</v>
      </c>
      <c r="C681" s="2">
        <v>1.98553333333333</v>
      </c>
      <c r="D681" s="2" t="s">
        <v>51</v>
      </c>
      <c r="E681" s="2" t="s">
        <v>4903</v>
      </c>
      <c r="F681" s="2">
        <v>53895</v>
      </c>
      <c r="G681" s="3" t="str">
        <f>HYPERLINK("https://cloud.oebiotech.com/#/lm/network/53895", "https://cloud.oebiotech.com/#/lm/network/53895")</f>
        <v>https://cloud.oebiotech.com/#/lm/network/53895</v>
      </c>
      <c r="H681" s="2" t="s">
        <v>4904</v>
      </c>
      <c r="I681" s="2">
        <v>85777</v>
      </c>
      <c r="J681" s="2"/>
      <c r="K681" s="2">
        <v>61156945</v>
      </c>
      <c r="L681" s="2"/>
      <c r="M681" s="2"/>
      <c r="N681" s="2"/>
      <c r="O681" s="2">
        <v>169724</v>
      </c>
      <c r="P681" s="2"/>
      <c r="Q681" s="2"/>
      <c r="R681" s="2"/>
      <c r="S681" s="2" t="s">
        <v>4905</v>
      </c>
      <c r="T681" s="2" t="s">
        <v>4906</v>
      </c>
      <c r="U681" s="2" t="s">
        <v>103</v>
      </c>
      <c r="V681" s="2" t="s">
        <v>104</v>
      </c>
      <c r="W681" s="2" t="s">
        <v>105</v>
      </c>
      <c r="X681" s="2" t="s">
        <v>147</v>
      </c>
      <c r="Y681" s="2">
        <v>39.5</v>
      </c>
      <c r="Z681" s="2">
        <v>7.82</v>
      </c>
      <c r="AA681" s="2" t="s">
        <v>156</v>
      </c>
      <c r="AB681" s="2" t="s">
        <v>4907</v>
      </c>
      <c r="AC681" s="2">
        <v>3.3286879693721501</v>
      </c>
      <c r="AD681" s="2"/>
      <c r="AE681" s="2">
        <v>0.83216396072063104</v>
      </c>
      <c r="AF681" s="2">
        <v>12337.794261696399</v>
      </c>
      <c r="AG681" s="2">
        <v>39928.144029822201</v>
      </c>
      <c r="AH681" s="4">
        <v>0.30899994381109602</v>
      </c>
      <c r="AI681" s="4">
        <v>-1.69432151909901</v>
      </c>
      <c r="AJ681" s="4" t="s">
        <v>62</v>
      </c>
      <c r="AK681" s="2">
        <v>0.26735940871113001</v>
      </c>
      <c r="AL681" s="2">
        <v>0.58823162872384205</v>
      </c>
      <c r="AM681" s="2">
        <v>16572.845118261801</v>
      </c>
      <c r="AN681" s="2">
        <v>11763.9018469278</v>
      </c>
      <c r="AO681" s="2">
        <v>10230.3938223859</v>
      </c>
      <c r="AP681" s="2">
        <v>10523.7470770576</v>
      </c>
      <c r="AQ681" s="2">
        <v>12091.688223101601</v>
      </c>
      <c r="AR681" s="2">
        <v>12844.1894824437</v>
      </c>
      <c r="AS681" s="2">
        <v>8452.8582231228193</v>
      </c>
      <c r="AT681" s="2">
        <v>11567.7801241872</v>
      </c>
      <c r="AU681" s="2">
        <v>6765.1755409029402</v>
      </c>
      <c r="AV681" s="2">
        <v>151404.343530882</v>
      </c>
      <c r="AW681" s="2">
        <v>7963.8639510969697</v>
      </c>
      <c r="AX681" s="2">
        <v>53414.842808741399</v>
      </c>
    </row>
    <row r="682" spans="1:50" x14ac:dyDescent="0.25">
      <c r="A682" s="2" t="s">
        <v>4908</v>
      </c>
      <c r="B682" s="2">
        <v>407.01317813974703</v>
      </c>
      <c r="C682" s="2">
        <v>9.8278499999999998</v>
      </c>
      <c r="D682" s="2" t="s">
        <v>51</v>
      </c>
      <c r="E682" s="2" t="s">
        <v>4909</v>
      </c>
      <c r="F682" s="2">
        <v>82029</v>
      </c>
      <c r="G682" s="3" t="str">
        <f>HYPERLINK("https://cloud.oebiotech.com/#/lm/network/82029", "https://cloud.oebiotech.com/#/lm/network/82029")</f>
        <v>https://cloud.oebiotech.com/#/lm/network/82029</v>
      </c>
      <c r="H682" s="2" t="s">
        <v>4910</v>
      </c>
      <c r="I682" s="2"/>
      <c r="J682" s="2"/>
      <c r="K682" s="2">
        <v>22473</v>
      </c>
      <c r="L682" s="2"/>
      <c r="M682" s="2"/>
      <c r="N682" s="2"/>
      <c r="O682" s="2">
        <v>133460</v>
      </c>
      <c r="P682" s="2"/>
      <c r="Q682" s="2"/>
      <c r="R682" s="2"/>
      <c r="S682" s="2" t="s">
        <v>4911</v>
      </c>
      <c r="T682" s="2" t="s">
        <v>4912</v>
      </c>
      <c r="U682" s="2" t="s">
        <v>103</v>
      </c>
      <c r="V682" s="2" t="s">
        <v>4820</v>
      </c>
      <c r="W682" s="2" t="s">
        <v>4821</v>
      </c>
      <c r="X682" s="2" t="s">
        <v>147</v>
      </c>
      <c r="Y682" s="2">
        <v>36.6</v>
      </c>
      <c r="Z682" s="2">
        <v>0</v>
      </c>
      <c r="AA682" s="2" t="s">
        <v>478</v>
      </c>
      <c r="AB682" s="2" t="s">
        <v>4913</v>
      </c>
      <c r="AC682" s="2">
        <v>4.8180733996431204</v>
      </c>
      <c r="AD682" s="2"/>
      <c r="AE682" s="2">
        <v>0.83183547212610898</v>
      </c>
      <c r="AF682" s="2">
        <v>63942.287135898798</v>
      </c>
      <c r="AG682" s="2">
        <v>77030.767042741398</v>
      </c>
      <c r="AH682" s="4">
        <v>0.83008763369083105</v>
      </c>
      <c r="AI682" s="4">
        <v>-0.26866444274430501</v>
      </c>
      <c r="AJ682" s="4" t="s">
        <v>62</v>
      </c>
      <c r="AK682" s="2">
        <v>3.3905067144460602E-3</v>
      </c>
      <c r="AL682" s="2">
        <v>0.1120315017845</v>
      </c>
      <c r="AM682" s="2">
        <v>57390.2012642263</v>
      </c>
      <c r="AN682" s="2">
        <v>62501.6944290014</v>
      </c>
      <c r="AO682" s="2">
        <v>58846.434138099998</v>
      </c>
      <c r="AP682" s="2">
        <v>66699.217161933295</v>
      </c>
      <c r="AQ682" s="2">
        <v>72516.565267557904</v>
      </c>
      <c r="AR682" s="2">
        <v>65699.610554574203</v>
      </c>
      <c r="AS682" s="2">
        <v>75732.378585473503</v>
      </c>
      <c r="AT682" s="2">
        <v>79561.910503006904</v>
      </c>
      <c r="AU682" s="2">
        <v>65916.817447313704</v>
      </c>
      <c r="AV682" s="2">
        <v>84997.814939245101</v>
      </c>
      <c r="AW682" s="2">
        <v>77415.947067603003</v>
      </c>
      <c r="AX682" s="2">
        <v>78559.733713806199</v>
      </c>
    </row>
    <row r="683" spans="1:50" x14ac:dyDescent="0.25">
      <c r="A683" s="2" t="s">
        <v>4914</v>
      </c>
      <c r="B683" s="2">
        <v>559.473479814558</v>
      </c>
      <c r="C683" s="2">
        <v>14.465633333333299</v>
      </c>
      <c r="D683" s="2" t="s">
        <v>51</v>
      </c>
      <c r="E683" s="2" t="s">
        <v>4915</v>
      </c>
      <c r="F683" s="2">
        <v>57118</v>
      </c>
      <c r="G683" s="3" t="str">
        <f>HYPERLINK("https://cloud.oebiotech.com/#/lm/network/57118", "https://cloud.oebiotech.com/#/lm/network/57118")</f>
        <v>https://cloud.oebiotech.com/#/lm/network/57118</v>
      </c>
      <c r="H683" s="2" t="s">
        <v>4916</v>
      </c>
      <c r="I683" s="2"/>
      <c r="J683" s="2"/>
      <c r="K683" s="2">
        <v>131751334</v>
      </c>
      <c r="L683" s="2"/>
      <c r="M683" s="2"/>
      <c r="N683" s="2"/>
      <c r="O683" s="2"/>
      <c r="P683" s="2"/>
      <c r="Q683" s="2"/>
      <c r="R683" s="2" t="s">
        <v>4917</v>
      </c>
      <c r="S683" s="2" t="s">
        <v>4918</v>
      </c>
      <c r="T683" s="2" t="s">
        <v>4919</v>
      </c>
      <c r="U683" s="2" t="s">
        <v>56</v>
      </c>
      <c r="V683" s="2" t="s">
        <v>145</v>
      </c>
      <c r="W683" s="2" t="s">
        <v>146</v>
      </c>
      <c r="X683" s="2" t="s">
        <v>83</v>
      </c>
      <c r="Y683" s="2">
        <v>47.5</v>
      </c>
      <c r="Z683" s="2">
        <v>27.1</v>
      </c>
      <c r="AA683" s="2" t="s">
        <v>218</v>
      </c>
      <c r="AB683" s="2" t="s">
        <v>4920</v>
      </c>
      <c r="AC683" s="2">
        <v>0.57479393403939405</v>
      </c>
      <c r="AD683" s="2"/>
      <c r="AE683" s="2">
        <v>0.83181795761831101</v>
      </c>
      <c r="AF683" s="2">
        <v>112489.604346024</v>
      </c>
      <c r="AG683" s="2">
        <v>88313.737582965798</v>
      </c>
      <c r="AH683" s="5">
        <v>1.2737497859871001</v>
      </c>
      <c r="AI683" s="5">
        <v>0.34908190399236499</v>
      </c>
      <c r="AJ683" s="5" t="s">
        <v>139</v>
      </c>
      <c r="AK683" s="2">
        <v>0.38275827749451302</v>
      </c>
      <c r="AL683" s="2">
        <v>0.66023025420912795</v>
      </c>
      <c r="AM683" s="2">
        <v>121856.59856403799</v>
      </c>
      <c r="AN683" s="2">
        <v>126216.82124262401</v>
      </c>
      <c r="AO683" s="2">
        <v>95300.608399427598</v>
      </c>
      <c r="AP683" s="2">
        <v>87750.9363792933</v>
      </c>
      <c r="AQ683" s="2">
        <v>142575.323528874</v>
      </c>
      <c r="AR683" s="2">
        <v>101237.337961885</v>
      </c>
      <c r="AS683" s="2">
        <v>117195.484897699</v>
      </c>
      <c r="AT683" s="2">
        <v>199841.83460780501</v>
      </c>
      <c r="AU683" s="2">
        <v>73010.344729004893</v>
      </c>
      <c r="AV683" s="2">
        <v>38962.936694156102</v>
      </c>
      <c r="AW683" s="2">
        <v>48119.268519567697</v>
      </c>
      <c r="AX683" s="2">
        <v>52752.556049562299</v>
      </c>
    </row>
    <row r="684" spans="1:50" x14ac:dyDescent="0.25">
      <c r="A684" s="2" t="s">
        <v>4921</v>
      </c>
      <c r="B684" s="2">
        <v>279.23271125680799</v>
      </c>
      <c r="C684" s="2">
        <v>10.311249999999999</v>
      </c>
      <c r="D684" s="2" t="s">
        <v>51</v>
      </c>
      <c r="E684" s="2" t="s">
        <v>4922</v>
      </c>
      <c r="F684" s="2">
        <v>2991</v>
      </c>
      <c r="G684" s="3" t="str">
        <f>HYPERLINK("https://cloud.oebiotech.com/#/lm/network/2991", "https://cloud.oebiotech.com/#/lm/network/2991")</f>
        <v>https://cloud.oebiotech.com/#/lm/network/2991</v>
      </c>
      <c r="H684" s="2" t="s">
        <v>4923</v>
      </c>
      <c r="I684" s="2">
        <v>45660</v>
      </c>
      <c r="J684" s="2" t="s">
        <v>4924</v>
      </c>
      <c r="K684" s="2">
        <v>16061059</v>
      </c>
      <c r="L684" s="2" t="s">
        <v>4925</v>
      </c>
      <c r="M684" s="2" t="s">
        <v>4926</v>
      </c>
      <c r="N684" s="2" t="s">
        <v>4927</v>
      </c>
      <c r="O684" s="2">
        <v>78730</v>
      </c>
      <c r="P684" s="2"/>
      <c r="Q684" s="2"/>
      <c r="R684" s="2" t="s">
        <v>4928</v>
      </c>
      <c r="S684" s="2" t="s">
        <v>4929</v>
      </c>
      <c r="T684" s="2" t="s">
        <v>4930</v>
      </c>
      <c r="U684" s="2" t="s">
        <v>56</v>
      </c>
      <c r="V684" s="2" t="s">
        <v>145</v>
      </c>
      <c r="W684" s="2" t="s">
        <v>203</v>
      </c>
      <c r="X684" s="2" t="s">
        <v>69</v>
      </c>
      <c r="Y684" s="2">
        <v>70.8</v>
      </c>
      <c r="Z684" s="2">
        <v>63.6</v>
      </c>
      <c r="AA684" s="2" t="s">
        <v>156</v>
      </c>
      <c r="AB684" s="2" t="s">
        <v>1772</v>
      </c>
      <c r="AC684" s="2">
        <v>2.8849442833195602</v>
      </c>
      <c r="AD684" s="2"/>
      <c r="AE684" s="2">
        <v>0.83106787487269096</v>
      </c>
      <c r="AF684" s="2">
        <v>95267.311795861402</v>
      </c>
      <c r="AG684" s="2">
        <v>74731.894453204004</v>
      </c>
      <c r="AH684" s="5">
        <v>1.2747878598944999</v>
      </c>
      <c r="AI684" s="5">
        <v>0.35025718516862903</v>
      </c>
      <c r="AJ684" s="5" t="s">
        <v>139</v>
      </c>
      <c r="AK684" s="2">
        <v>0.307524185790361</v>
      </c>
      <c r="AL684" s="2">
        <v>0.61756871527620305</v>
      </c>
      <c r="AM684" s="2">
        <v>105517.249399244</v>
      </c>
      <c r="AN684" s="2">
        <v>151440.40659017101</v>
      </c>
      <c r="AO684" s="2">
        <v>95502.736031045497</v>
      </c>
      <c r="AP684" s="2">
        <v>49009.893130576696</v>
      </c>
      <c r="AQ684" s="2">
        <v>83232.321175321806</v>
      </c>
      <c r="AR684" s="2">
        <v>86901.264448809103</v>
      </c>
      <c r="AS684" s="2">
        <v>78266.404327293596</v>
      </c>
      <c r="AT684" s="2">
        <v>56885.4245231116</v>
      </c>
      <c r="AU684" s="2">
        <v>130899.391229393</v>
      </c>
      <c r="AV684" s="2">
        <v>39653.245941261601</v>
      </c>
      <c r="AW684" s="2">
        <v>54195.454344248697</v>
      </c>
      <c r="AX684" s="2">
        <v>88491.446353915395</v>
      </c>
    </row>
    <row r="685" spans="1:50" x14ac:dyDescent="0.25">
      <c r="A685" s="2" t="s">
        <v>4931</v>
      </c>
      <c r="B685" s="2">
        <v>165.05481055454601</v>
      </c>
      <c r="C685" s="2">
        <v>4.8192833333333303</v>
      </c>
      <c r="D685" s="2" t="s">
        <v>51</v>
      </c>
      <c r="E685" s="2" t="s">
        <v>4932</v>
      </c>
      <c r="F685" s="2">
        <v>258366</v>
      </c>
      <c r="G685" s="3" t="str">
        <f>HYPERLINK("https://cloud.oebiotech.com/#/lm/network/258366", "https://cloud.oebiotech.com/#/lm/network/258366")</f>
        <v>https://cloud.oebiotech.com/#/lm/network/258366</v>
      </c>
      <c r="H685" s="2"/>
      <c r="I685" s="2">
        <v>5462</v>
      </c>
      <c r="J685" s="2"/>
      <c r="K685" s="2">
        <v>1303</v>
      </c>
      <c r="L685" s="2"/>
      <c r="M685" s="2"/>
      <c r="N685" s="2"/>
      <c r="O685" s="2"/>
      <c r="P685" s="2"/>
      <c r="Q685" s="2"/>
      <c r="R685" s="2"/>
      <c r="S685" s="2" t="s">
        <v>4933</v>
      </c>
      <c r="T685" s="2" t="s">
        <v>4934</v>
      </c>
      <c r="U685" s="2" t="s">
        <v>610</v>
      </c>
      <c r="V685" s="2" t="s">
        <v>611</v>
      </c>
      <c r="W685" s="2" t="s">
        <v>240</v>
      </c>
      <c r="X685" s="2" t="s">
        <v>69</v>
      </c>
      <c r="Y685" s="2">
        <v>68.2</v>
      </c>
      <c r="Z685" s="2">
        <v>69.099999999999994</v>
      </c>
      <c r="AA685" s="2" t="s">
        <v>269</v>
      </c>
      <c r="AB685" s="2" t="s">
        <v>4935</v>
      </c>
      <c r="AC685" s="2">
        <v>-5.46294398030828</v>
      </c>
      <c r="AD685" s="2"/>
      <c r="AE685" s="2">
        <v>0.82964511077792902</v>
      </c>
      <c r="AF685" s="2">
        <v>40715.901818196202</v>
      </c>
      <c r="AG685" s="2">
        <v>18016.351733895601</v>
      </c>
      <c r="AH685" s="5">
        <v>2.2599415475217501</v>
      </c>
      <c r="AI685" s="5">
        <v>1.17628545839663</v>
      </c>
      <c r="AJ685" s="5" t="s">
        <v>139</v>
      </c>
      <c r="AK685" s="2">
        <v>0.113997885826571</v>
      </c>
      <c r="AL685" s="2">
        <v>0.42835315311351202</v>
      </c>
      <c r="AM685" s="2">
        <v>60492.586123750298</v>
      </c>
      <c r="AN685" s="2">
        <v>18432.656309475999</v>
      </c>
      <c r="AO685" s="2">
        <v>10588.844873247899</v>
      </c>
      <c r="AP685" s="2">
        <v>33443.337391630201</v>
      </c>
      <c r="AQ685" s="2">
        <v>89456.440601912502</v>
      </c>
      <c r="AR685" s="2">
        <v>31881.545609160301</v>
      </c>
      <c r="AS685" s="2">
        <v>22695.4956278229</v>
      </c>
      <c r="AT685" s="2">
        <v>42608.012430689902</v>
      </c>
      <c r="AU685" s="2">
        <v>12461.7340173878</v>
      </c>
      <c r="AV685" s="2">
        <v>8246.2220692815099</v>
      </c>
      <c r="AW685" s="2">
        <v>12178.5547644545</v>
      </c>
      <c r="AX685" s="2">
        <v>9908.0914937368198</v>
      </c>
    </row>
    <row r="686" spans="1:50" x14ac:dyDescent="0.25">
      <c r="A686" s="2" t="s">
        <v>4936</v>
      </c>
      <c r="B686" s="2">
        <v>174.10499999999999</v>
      </c>
      <c r="C686" s="2">
        <v>20.463000000000001</v>
      </c>
      <c r="D686" s="2" t="s">
        <v>125</v>
      </c>
      <c r="E686" s="2" t="s">
        <v>4937</v>
      </c>
      <c r="F686" s="2">
        <v>47179</v>
      </c>
      <c r="G686" s="3" t="str">
        <f>HYPERLINK("https://cloud.oebiotech.com/#/lm/network/47179", "https://cloud.oebiotech.com/#/lm/network/47179")</f>
        <v>https://cloud.oebiotech.com/#/lm/network/47179</v>
      </c>
      <c r="H686" s="2" t="s">
        <v>4938</v>
      </c>
      <c r="I686" s="2">
        <v>23672</v>
      </c>
      <c r="J686" s="2"/>
      <c r="K686" s="2">
        <v>3013625</v>
      </c>
      <c r="L686" s="2"/>
      <c r="M686" s="2"/>
      <c r="N686" s="2"/>
      <c r="O686" s="2">
        <v>70744</v>
      </c>
      <c r="P686" s="2"/>
      <c r="Q686" s="2"/>
      <c r="R686" s="2" t="s">
        <v>2903</v>
      </c>
      <c r="S686" s="2" t="s">
        <v>4939</v>
      </c>
      <c r="T686" s="2" t="s">
        <v>4940</v>
      </c>
      <c r="U686" s="2" t="s">
        <v>103</v>
      </c>
      <c r="V686" s="2" t="s">
        <v>104</v>
      </c>
      <c r="W686" s="2" t="s">
        <v>105</v>
      </c>
      <c r="X686" s="2" t="s">
        <v>69</v>
      </c>
      <c r="Y686" s="2">
        <v>86.9</v>
      </c>
      <c r="Z686" s="2">
        <v>84.5</v>
      </c>
      <c r="AA686" s="2"/>
      <c r="AB686" s="2" t="s">
        <v>2906</v>
      </c>
      <c r="AC686" s="2"/>
      <c r="AD686" s="2">
        <v>690284.45720250497</v>
      </c>
      <c r="AE686" s="2">
        <v>0.82888769955992403</v>
      </c>
      <c r="AF686" s="2">
        <v>20518.8670347154</v>
      </c>
      <c r="AG686" s="2">
        <v>231119.97213482199</v>
      </c>
      <c r="AH686" s="4">
        <v>8.8780155367731997E-2</v>
      </c>
      <c r="AI686" s="4">
        <v>-3.4936189563532101</v>
      </c>
      <c r="AJ686" s="4" t="s">
        <v>62</v>
      </c>
      <c r="AK686" s="2">
        <v>0.16949658645417301</v>
      </c>
      <c r="AL686" s="2">
        <v>0.49116257804962998</v>
      </c>
      <c r="AM686" s="2">
        <v>2299.8352172700202</v>
      </c>
      <c r="AN686" s="2">
        <v>2299.8352172700202</v>
      </c>
      <c r="AO686" s="2">
        <v>5513.3058247293202</v>
      </c>
      <c r="AP686" s="2">
        <v>9587.3269959617992</v>
      </c>
      <c r="AQ686" s="2">
        <v>44190.311359276799</v>
      </c>
      <c r="AR686" s="2">
        <v>59222.587593784403</v>
      </c>
      <c r="AS686" s="2">
        <v>2299.8352172700202</v>
      </c>
      <c r="AT686" s="2">
        <v>2299.8352172700202</v>
      </c>
      <c r="AU686" s="2">
        <v>729469.12207752001</v>
      </c>
      <c r="AV686" s="2">
        <v>625773.02702373604</v>
      </c>
      <c r="AW686" s="2">
        <v>2299.8352172700202</v>
      </c>
      <c r="AX686" s="2">
        <v>24578.178055865799</v>
      </c>
    </row>
    <row r="687" spans="1:50" x14ac:dyDescent="0.25">
      <c r="A687" s="2" t="s">
        <v>4941</v>
      </c>
      <c r="B687" s="2">
        <v>353.00425593045401</v>
      </c>
      <c r="C687" s="2">
        <v>9.2956333333333294</v>
      </c>
      <c r="D687" s="2" t="s">
        <v>51</v>
      </c>
      <c r="E687" s="2" t="s">
        <v>4942</v>
      </c>
      <c r="F687" s="2">
        <v>47750</v>
      </c>
      <c r="G687" s="3" t="str">
        <f>HYPERLINK("https://cloud.oebiotech.com/#/lm/network/47750", "https://cloud.oebiotech.com/#/lm/network/47750")</f>
        <v>https://cloud.oebiotech.com/#/lm/network/47750</v>
      </c>
      <c r="H687" s="2" t="s">
        <v>4943</v>
      </c>
      <c r="I687" s="2">
        <v>6415</v>
      </c>
      <c r="J687" s="2"/>
      <c r="K687" s="2">
        <v>22833574</v>
      </c>
      <c r="L687" s="2"/>
      <c r="M687" s="2"/>
      <c r="N687" s="2"/>
      <c r="O687" s="2"/>
      <c r="P687" s="2"/>
      <c r="Q687" s="2"/>
      <c r="R687" s="2" t="s">
        <v>4944</v>
      </c>
      <c r="S687" s="2" t="s">
        <v>4945</v>
      </c>
      <c r="T687" s="2" t="s">
        <v>4946</v>
      </c>
      <c r="U687" s="2" t="s">
        <v>331</v>
      </c>
      <c r="V687" s="2" t="s">
        <v>1284</v>
      </c>
      <c r="W687" s="2" t="s">
        <v>4947</v>
      </c>
      <c r="X687" s="2" t="s">
        <v>147</v>
      </c>
      <c r="Y687" s="2">
        <v>40.9</v>
      </c>
      <c r="Z687" s="2">
        <v>10.6</v>
      </c>
      <c r="AA687" s="2" t="s">
        <v>218</v>
      </c>
      <c r="AB687" s="2" t="s">
        <v>4948</v>
      </c>
      <c r="AC687" s="2">
        <v>-0.54169076769587099</v>
      </c>
      <c r="AD687" s="2"/>
      <c r="AE687" s="2">
        <v>0.82864998248812805</v>
      </c>
      <c r="AF687" s="2">
        <v>62914.812036719399</v>
      </c>
      <c r="AG687" s="2">
        <v>75942.181265168998</v>
      </c>
      <c r="AH687" s="4">
        <v>0.82845674154444304</v>
      </c>
      <c r="AI687" s="4">
        <v>-0.27150172681738699</v>
      </c>
      <c r="AJ687" s="4" t="s">
        <v>62</v>
      </c>
      <c r="AK687" s="2">
        <v>5.1872598403602296E-4</v>
      </c>
      <c r="AL687" s="2">
        <v>6.2396646922794598E-2</v>
      </c>
      <c r="AM687" s="2">
        <v>57710.225837227299</v>
      </c>
      <c r="AN687" s="2">
        <v>58972.029317132001</v>
      </c>
      <c r="AO687" s="2">
        <v>62971.444369504898</v>
      </c>
      <c r="AP687" s="2">
        <v>63966.009297081102</v>
      </c>
      <c r="AQ687" s="2">
        <v>71561.198934336804</v>
      </c>
      <c r="AR687" s="2">
        <v>62307.964465034202</v>
      </c>
      <c r="AS687" s="2">
        <v>73817.431296948402</v>
      </c>
      <c r="AT687" s="2">
        <v>80239.534299582301</v>
      </c>
      <c r="AU687" s="2">
        <v>69407.253873388894</v>
      </c>
      <c r="AV687" s="2">
        <v>79668.764458435893</v>
      </c>
      <c r="AW687" s="2">
        <v>75020.636187996701</v>
      </c>
      <c r="AX687" s="2">
        <v>77499.467474661797</v>
      </c>
    </row>
    <row r="688" spans="1:50" x14ac:dyDescent="0.25">
      <c r="A688" s="2" t="s">
        <v>4949</v>
      </c>
      <c r="B688" s="2">
        <v>375.215770688058</v>
      </c>
      <c r="C688" s="2">
        <v>7.82046666666667</v>
      </c>
      <c r="D688" s="2" t="s">
        <v>51</v>
      </c>
      <c r="E688" s="2" t="s">
        <v>4950</v>
      </c>
      <c r="F688" s="2">
        <v>3636</v>
      </c>
      <c r="G688" s="3" t="str">
        <f>HYPERLINK("https://cloud.oebiotech.com/#/lm/network/3636", "https://cloud.oebiotech.com/#/lm/network/3636")</f>
        <v>https://cloud.oebiotech.com/#/lm/network/3636</v>
      </c>
      <c r="H688" s="2" t="s">
        <v>4951</v>
      </c>
      <c r="I688" s="2">
        <v>36087</v>
      </c>
      <c r="J688" s="2" t="s">
        <v>4952</v>
      </c>
      <c r="K688" s="2">
        <v>448457</v>
      </c>
      <c r="L688" s="2" t="s">
        <v>4953</v>
      </c>
      <c r="M688" s="2" t="s">
        <v>4954</v>
      </c>
      <c r="N688" s="2" t="s">
        <v>4955</v>
      </c>
      <c r="O688" s="2">
        <v>15555</v>
      </c>
      <c r="P688" s="2" t="s">
        <v>4956</v>
      </c>
      <c r="Q688" s="2" t="s">
        <v>4957</v>
      </c>
      <c r="R688" s="2" t="s">
        <v>4958</v>
      </c>
      <c r="S688" s="2" t="s">
        <v>4959</v>
      </c>
      <c r="T688" s="2" t="s">
        <v>4960</v>
      </c>
      <c r="U688" s="2" t="s">
        <v>56</v>
      </c>
      <c r="V688" s="2" t="s">
        <v>145</v>
      </c>
      <c r="W688" s="2" t="s">
        <v>187</v>
      </c>
      <c r="X688" s="2" t="s">
        <v>69</v>
      </c>
      <c r="Y688" s="2">
        <v>62.7</v>
      </c>
      <c r="Z688" s="2">
        <v>76</v>
      </c>
      <c r="AA688" s="2" t="s">
        <v>95</v>
      </c>
      <c r="AB688" s="2" t="s">
        <v>380</v>
      </c>
      <c r="AC688" s="2">
        <v>4.4740837081633904</v>
      </c>
      <c r="AD688" s="2"/>
      <c r="AE688" s="2">
        <v>0.82645417520159203</v>
      </c>
      <c r="AF688" s="2">
        <v>27797.114385917499</v>
      </c>
      <c r="AG688" s="2">
        <v>13684.1079139503</v>
      </c>
      <c r="AH688" s="5">
        <v>2.03134282195917</v>
      </c>
      <c r="AI688" s="5">
        <v>1.0224337383062601</v>
      </c>
      <c r="AJ688" s="5" t="s">
        <v>139</v>
      </c>
      <c r="AK688" s="2">
        <v>5.2194927529011304E-3</v>
      </c>
      <c r="AL688" s="2">
        <v>0.123740271492219</v>
      </c>
      <c r="AM688" s="2">
        <v>37201.680172699402</v>
      </c>
      <c r="AN688" s="2">
        <v>36091.109968649602</v>
      </c>
      <c r="AO688" s="2">
        <v>22877.941008853901</v>
      </c>
      <c r="AP688" s="2">
        <v>26543.668524288601</v>
      </c>
      <c r="AQ688" s="2">
        <v>17342.9083173744</v>
      </c>
      <c r="AR688" s="2">
        <v>26725.378323639001</v>
      </c>
      <c r="AS688" s="2">
        <v>23473.970810289298</v>
      </c>
      <c r="AT688" s="2">
        <v>12571.031488938401</v>
      </c>
      <c r="AU688" s="2">
        <v>14558.1506144096</v>
      </c>
      <c r="AV688" s="2">
        <v>5643.63644879802</v>
      </c>
      <c r="AW688" s="2">
        <v>10138.740116602499</v>
      </c>
      <c r="AX688" s="2">
        <v>15719.1180046637</v>
      </c>
    </row>
    <row r="689" spans="1:50" x14ac:dyDescent="0.25">
      <c r="A689" s="2" t="s">
        <v>4961</v>
      </c>
      <c r="B689" s="2">
        <v>326.18322330699698</v>
      </c>
      <c r="C689" s="2">
        <v>0.74455000000000005</v>
      </c>
      <c r="D689" s="2" t="s">
        <v>51</v>
      </c>
      <c r="E689" s="2" t="s">
        <v>4962</v>
      </c>
      <c r="F689" s="2">
        <v>53632</v>
      </c>
      <c r="G689" s="3" t="str">
        <f>HYPERLINK("https://cloud.oebiotech.com/#/lm/network/53632", "https://cloud.oebiotech.com/#/lm/network/53632")</f>
        <v>https://cloud.oebiotech.com/#/lm/network/53632</v>
      </c>
      <c r="H689" s="2" t="s">
        <v>4963</v>
      </c>
      <c r="I689" s="2">
        <v>85542</v>
      </c>
      <c r="J689" s="2"/>
      <c r="K689" s="2">
        <v>6918537</v>
      </c>
      <c r="L689" s="2"/>
      <c r="M689" s="2"/>
      <c r="N689" s="2"/>
      <c r="O689" s="2">
        <v>334541</v>
      </c>
      <c r="P689" s="2"/>
      <c r="Q689" s="2"/>
      <c r="R689" s="2" t="s">
        <v>4964</v>
      </c>
      <c r="S689" s="2" t="s">
        <v>4965</v>
      </c>
      <c r="T689" s="2" t="s">
        <v>4966</v>
      </c>
      <c r="U689" s="2" t="s">
        <v>103</v>
      </c>
      <c r="V689" s="2" t="s">
        <v>104</v>
      </c>
      <c r="W689" s="2" t="s">
        <v>105</v>
      </c>
      <c r="X689" s="2" t="s">
        <v>147</v>
      </c>
      <c r="Y689" s="2">
        <v>37.9</v>
      </c>
      <c r="Z689" s="2">
        <v>0</v>
      </c>
      <c r="AA689" s="2" t="s">
        <v>95</v>
      </c>
      <c r="AB689" s="2" t="s">
        <v>4967</v>
      </c>
      <c r="AC689" s="2">
        <v>-2.2244067069637299</v>
      </c>
      <c r="AD689" s="2"/>
      <c r="AE689" s="2">
        <v>0.82495934551468197</v>
      </c>
      <c r="AF689" s="2">
        <v>55476.577609100903</v>
      </c>
      <c r="AG689" s="2">
        <v>31845.6385050926</v>
      </c>
      <c r="AH689" s="5">
        <v>1.7420463276385401</v>
      </c>
      <c r="AI689" s="5">
        <v>0.80078299119604401</v>
      </c>
      <c r="AJ689" s="5" t="s">
        <v>139</v>
      </c>
      <c r="AK689" s="2">
        <v>0.23259067227028801</v>
      </c>
      <c r="AL689" s="2">
        <v>0.55726021842966</v>
      </c>
      <c r="AM689" s="2">
        <v>80797.131447772699</v>
      </c>
      <c r="AN689" s="2">
        <v>77401.520260775695</v>
      </c>
      <c r="AO689" s="2">
        <v>28456.080735449501</v>
      </c>
      <c r="AP689" s="2">
        <v>6784.9431074651102</v>
      </c>
      <c r="AQ689" s="2">
        <v>30068.994391612399</v>
      </c>
      <c r="AR689" s="2">
        <v>109350.79571152999</v>
      </c>
      <c r="AS689" s="2">
        <v>4987.1469618040201</v>
      </c>
      <c r="AT689" s="2">
        <v>9492.3954159978002</v>
      </c>
      <c r="AU689" s="2">
        <v>62505.839670474197</v>
      </c>
      <c r="AV689" s="2">
        <v>42957.0161155678</v>
      </c>
      <c r="AW689" s="2">
        <v>23488.305699746401</v>
      </c>
      <c r="AX689" s="2">
        <v>47643.127166965402</v>
      </c>
    </row>
    <row r="690" spans="1:50" x14ac:dyDescent="0.25">
      <c r="A690" s="2" t="s">
        <v>4968</v>
      </c>
      <c r="B690" s="2">
        <v>450.32280517254401</v>
      </c>
      <c r="C690" s="2">
        <v>9.0315999999999992</v>
      </c>
      <c r="D690" s="2" t="s">
        <v>51</v>
      </c>
      <c r="E690" s="2" t="s">
        <v>4969</v>
      </c>
      <c r="F690" s="2">
        <v>46732</v>
      </c>
      <c r="G690" s="3" t="str">
        <f>HYPERLINK("https://cloud.oebiotech.com/#/lm/network/46732", "https://cloud.oebiotech.com/#/lm/network/46732")</f>
        <v>https://cloud.oebiotech.com/#/lm/network/46732</v>
      </c>
      <c r="H690" s="2" t="s">
        <v>4970</v>
      </c>
      <c r="I690" s="2">
        <v>43193</v>
      </c>
      <c r="J690" s="2" t="s">
        <v>4971</v>
      </c>
      <c r="K690" s="2">
        <v>12544</v>
      </c>
      <c r="L690" s="2" t="s">
        <v>4972</v>
      </c>
      <c r="M690" s="2" t="s">
        <v>3331</v>
      </c>
      <c r="N690" s="2" t="s">
        <v>3332</v>
      </c>
      <c r="O690" s="2">
        <v>36274</v>
      </c>
      <c r="P690" s="2"/>
      <c r="Q690" s="2"/>
      <c r="R690" s="2" t="s">
        <v>4973</v>
      </c>
      <c r="S690" s="2" t="s">
        <v>4974</v>
      </c>
      <c r="T690" s="2" t="s">
        <v>4975</v>
      </c>
      <c r="U690" s="2" t="s">
        <v>56</v>
      </c>
      <c r="V690" s="2" t="s">
        <v>283</v>
      </c>
      <c r="W690" s="2" t="s">
        <v>2042</v>
      </c>
      <c r="X690" s="2" t="s">
        <v>69</v>
      </c>
      <c r="Y690" s="2">
        <v>67.900000000000006</v>
      </c>
      <c r="Z690" s="2">
        <v>97.3</v>
      </c>
      <c r="AA690" s="2" t="s">
        <v>196</v>
      </c>
      <c r="AB690" s="2" t="s">
        <v>4976</v>
      </c>
      <c r="AC690" s="2">
        <v>3.12756457038205</v>
      </c>
      <c r="AD690" s="2"/>
      <c r="AE690" s="2">
        <v>0.82479902036050301</v>
      </c>
      <c r="AF690" s="2">
        <v>9604.8240020867106</v>
      </c>
      <c r="AG690" s="2">
        <v>32672.7420613213</v>
      </c>
      <c r="AH690" s="4">
        <v>0.29397055147866202</v>
      </c>
      <c r="AI690" s="4">
        <v>-1.76625645466792</v>
      </c>
      <c r="AJ690" s="4" t="s">
        <v>62</v>
      </c>
      <c r="AK690" s="2">
        <v>8.1419150828013404E-2</v>
      </c>
      <c r="AL690" s="2">
        <v>0.36927845566532902</v>
      </c>
      <c r="AM690" s="2">
        <v>264.73347502016799</v>
      </c>
      <c r="AN690" s="2">
        <v>20141.923955865001</v>
      </c>
      <c r="AO690" s="2">
        <v>8538.6661146872593</v>
      </c>
      <c r="AP690" s="2">
        <v>21.266871849908899</v>
      </c>
      <c r="AQ690" s="2">
        <v>19001.070044749598</v>
      </c>
      <c r="AR690" s="2">
        <v>9661.2835503483002</v>
      </c>
      <c r="AS690" s="2">
        <v>1137.31837246687</v>
      </c>
      <c r="AT690" s="2">
        <v>57129.186789130297</v>
      </c>
      <c r="AU690" s="2">
        <v>407.46807885939398</v>
      </c>
      <c r="AV690" s="2">
        <v>65093.127069994604</v>
      </c>
      <c r="AW690" s="2">
        <v>27067.755538566002</v>
      </c>
      <c r="AX690" s="2">
        <v>45201.596518910599</v>
      </c>
    </row>
    <row r="691" spans="1:50" x14ac:dyDescent="0.25">
      <c r="A691" s="2" t="s">
        <v>4977</v>
      </c>
      <c r="B691" s="2">
        <v>477.21068259508399</v>
      </c>
      <c r="C691" s="2">
        <v>5.9741666666666697</v>
      </c>
      <c r="D691" s="2" t="s">
        <v>51</v>
      </c>
      <c r="E691" s="2" t="s">
        <v>4978</v>
      </c>
      <c r="F691" s="2">
        <v>197138</v>
      </c>
      <c r="G691" s="3" t="str">
        <f>HYPERLINK("https://cloud.oebiotech.com/#/lm/network/197138", "https://cloud.oebiotech.com/#/lm/network/197138")</f>
        <v>https://cloud.oebiotech.com/#/lm/network/197138</v>
      </c>
      <c r="H691" s="2" t="s">
        <v>4979</v>
      </c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 t="s">
        <v>4980</v>
      </c>
      <c r="T691" s="2" t="s">
        <v>4981</v>
      </c>
      <c r="U691" s="2" t="s">
        <v>56</v>
      </c>
      <c r="V691" s="2" t="s">
        <v>177</v>
      </c>
      <c r="W691" s="2" t="s">
        <v>394</v>
      </c>
      <c r="X691" s="2" t="s">
        <v>59</v>
      </c>
      <c r="Y691" s="2">
        <v>50.2</v>
      </c>
      <c r="Z691" s="2">
        <v>68.2</v>
      </c>
      <c r="AA691" s="2" t="s">
        <v>379</v>
      </c>
      <c r="AB691" s="2" t="s">
        <v>1517</v>
      </c>
      <c r="AC691" s="2">
        <v>-4.6825687054396701</v>
      </c>
      <c r="AD691" s="2"/>
      <c r="AE691" s="2">
        <v>0.82293741181276003</v>
      </c>
      <c r="AF691" s="2">
        <v>26514.168910680099</v>
      </c>
      <c r="AG691" s="2">
        <v>11199.252809223201</v>
      </c>
      <c r="AH691" s="5">
        <v>2.3674944536339302</v>
      </c>
      <c r="AI691" s="5">
        <v>1.24336104587351</v>
      </c>
      <c r="AJ691" s="5" t="s">
        <v>139</v>
      </c>
      <c r="AK691" s="2">
        <v>4.7141339916233399E-2</v>
      </c>
      <c r="AL691" s="2">
        <v>0.30522279231324101</v>
      </c>
      <c r="AM691" s="2">
        <v>51417.842976402499</v>
      </c>
      <c r="AN691" s="2">
        <v>28723.361428678501</v>
      </c>
      <c r="AO691" s="2">
        <v>14548.8704126515</v>
      </c>
      <c r="AP691" s="2">
        <v>22302.236411727201</v>
      </c>
      <c r="AQ691" s="2">
        <v>9785.4612362588796</v>
      </c>
      <c r="AR691" s="2">
        <v>32307.2409983621</v>
      </c>
      <c r="AS691" s="2">
        <v>21012.930523694198</v>
      </c>
      <c r="AT691" s="2">
        <v>14602.363062487</v>
      </c>
      <c r="AU691" s="2">
        <v>14487.9772339518</v>
      </c>
      <c r="AV691" s="2">
        <v>1794.4855609485501</v>
      </c>
      <c r="AW691" s="2">
        <v>3042.7622631035001</v>
      </c>
      <c r="AX691" s="2">
        <v>12254.998211154099</v>
      </c>
    </row>
    <row r="692" spans="1:50" x14ac:dyDescent="0.25">
      <c r="A692" s="2" t="s">
        <v>4982</v>
      </c>
      <c r="B692" s="2">
        <v>245.13930032955</v>
      </c>
      <c r="C692" s="2">
        <v>5.0589333333333304</v>
      </c>
      <c r="D692" s="2" t="s">
        <v>51</v>
      </c>
      <c r="E692" s="2" t="s">
        <v>4983</v>
      </c>
      <c r="F692" s="2">
        <v>56170</v>
      </c>
      <c r="G692" s="3" t="str">
        <f>HYPERLINK("https://cloud.oebiotech.com/#/lm/network/56170", "https://cloud.oebiotech.com/#/lm/network/56170")</f>
        <v>https://cloud.oebiotech.com/#/lm/network/56170</v>
      </c>
      <c r="H692" s="2" t="s">
        <v>4984</v>
      </c>
      <c r="I692" s="2">
        <v>87864</v>
      </c>
      <c r="J692" s="2"/>
      <c r="K692" s="2">
        <v>4462283</v>
      </c>
      <c r="L692" s="2"/>
      <c r="M692" s="2"/>
      <c r="N692" s="2"/>
      <c r="O692" s="2">
        <v>165499</v>
      </c>
      <c r="P692" s="2"/>
      <c r="Q692" s="2"/>
      <c r="R692" s="2" t="s">
        <v>4985</v>
      </c>
      <c r="S692" s="2" t="s">
        <v>4986</v>
      </c>
      <c r="T692" s="2" t="s">
        <v>4987</v>
      </c>
      <c r="U692" s="2" t="s">
        <v>56</v>
      </c>
      <c r="V692" s="2" t="s">
        <v>145</v>
      </c>
      <c r="W692" s="2" t="s">
        <v>3263</v>
      </c>
      <c r="X692" s="2" t="s">
        <v>69</v>
      </c>
      <c r="Y692" s="2">
        <v>58.9</v>
      </c>
      <c r="Z692" s="2">
        <v>76.900000000000006</v>
      </c>
      <c r="AA692" s="2" t="s">
        <v>379</v>
      </c>
      <c r="AB692" s="2" t="s">
        <v>4988</v>
      </c>
      <c r="AC692" s="2">
        <v>-0.55662855741634099</v>
      </c>
      <c r="AD692" s="2"/>
      <c r="AE692" s="2">
        <v>0.82244318278545203</v>
      </c>
      <c r="AF692" s="2">
        <v>30159.723632949601</v>
      </c>
      <c r="AG692" s="2">
        <v>14594.214909991901</v>
      </c>
      <c r="AH692" s="5">
        <v>2.0665533445242499</v>
      </c>
      <c r="AI692" s="5">
        <v>1.04722660488705</v>
      </c>
      <c r="AJ692" s="5" t="s">
        <v>139</v>
      </c>
      <c r="AK692" s="2">
        <v>1.1536298372463E-2</v>
      </c>
      <c r="AL692" s="2">
        <v>0.17165665021883</v>
      </c>
      <c r="AM692" s="2">
        <v>33192.119644502498</v>
      </c>
      <c r="AN692" s="2">
        <v>44983.407985371297</v>
      </c>
      <c r="AO692" s="2">
        <v>20139.406245040202</v>
      </c>
      <c r="AP692" s="2">
        <v>22919.389625886099</v>
      </c>
      <c r="AQ692" s="2">
        <v>22114.400187513202</v>
      </c>
      <c r="AR692" s="2">
        <v>37609.618109384297</v>
      </c>
      <c r="AS692" s="2">
        <v>22341.3239930901</v>
      </c>
      <c r="AT692" s="2">
        <v>9195.1474582482406</v>
      </c>
      <c r="AU692" s="2">
        <v>21884.469834081399</v>
      </c>
      <c r="AV692" s="2">
        <v>5613.2392268734402</v>
      </c>
      <c r="AW692" s="2">
        <v>9883.6951613687907</v>
      </c>
      <c r="AX692" s="2">
        <v>18647.413786289701</v>
      </c>
    </row>
    <row r="693" spans="1:50" x14ac:dyDescent="0.25">
      <c r="A693" s="2" t="s">
        <v>4989</v>
      </c>
      <c r="B693" s="2">
        <v>395.15302992136401</v>
      </c>
      <c r="C693" s="2">
        <v>10.644133333333301</v>
      </c>
      <c r="D693" s="2" t="s">
        <v>51</v>
      </c>
      <c r="E693" s="2" t="s">
        <v>4990</v>
      </c>
      <c r="F693" s="2">
        <v>55560</v>
      </c>
      <c r="G693" s="3" t="str">
        <f>HYPERLINK("https://cloud.oebiotech.com/#/lm/network/55560", "https://cloud.oebiotech.com/#/lm/network/55560")</f>
        <v>https://cloud.oebiotech.com/#/lm/network/55560</v>
      </c>
      <c r="H693" s="2" t="s">
        <v>4991</v>
      </c>
      <c r="I693" s="2">
        <v>87217</v>
      </c>
      <c r="J693" s="2"/>
      <c r="K693" s="2">
        <v>131751084</v>
      </c>
      <c r="L693" s="2"/>
      <c r="M693" s="2"/>
      <c r="N693" s="2"/>
      <c r="O693" s="2">
        <v>175310</v>
      </c>
      <c r="P693" s="2"/>
      <c r="Q693" s="2"/>
      <c r="R693" s="2"/>
      <c r="S693" s="2" t="s">
        <v>4992</v>
      </c>
      <c r="T693" s="2" t="s">
        <v>4993</v>
      </c>
      <c r="U693" s="2" t="s">
        <v>610</v>
      </c>
      <c r="V693" s="2" t="s">
        <v>611</v>
      </c>
      <c r="W693" s="2" t="s">
        <v>612</v>
      </c>
      <c r="X693" s="2" t="s">
        <v>83</v>
      </c>
      <c r="Y693" s="2">
        <v>41.6</v>
      </c>
      <c r="Z693" s="2">
        <v>0</v>
      </c>
      <c r="AA693" s="2" t="s">
        <v>379</v>
      </c>
      <c r="AB693" s="2" t="s">
        <v>4994</v>
      </c>
      <c r="AC693" s="2">
        <v>7.2865882785407097</v>
      </c>
      <c r="AD693" s="2"/>
      <c r="AE693" s="2">
        <v>0.82200785835053602</v>
      </c>
      <c r="AF693" s="2">
        <v>54799.566827437797</v>
      </c>
      <c r="AG693" s="2">
        <v>39759.260373548001</v>
      </c>
      <c r="AH693" s="5">
        <v>1.37828436224875</v>
      </c>
      <c r="AI693" s="5">
        <v>0.46287356996005502</v>
      </c>
      <c r="AJ693" s="5" t="s">
        <v>139</v>
      </c>
      <c r="AK693" s="2">
        <v>4.4259099342491101E-2</v>
      </c>
      <c r="AL693" s="2">
        <v>0.297793096711781</v>
      </c>
      <c r="AM693" s="2">
        <v>55428.845777503899</v>
      </c>
      <c r="AN693" s="2">
        <v>68644.073659228001</v>
      </c>
      <c r="AO693" s="2">
        <v>64413.780930418201</v>
      </c>
      <c r="AP693" s="2">
        <v>35878.118342513102</v>
      </c>
      <c r="AQ693" s="2">
        <v>53782.287443019603</v>
      </c>
      <c r="AR693" s="2">
        <v>50650.294811943902</v>
      </c>
      <c r="AS693" s="2">
        <v>37744.160168737399</v>
      </c>
      <c r="AT693" s="2">
        <v>33360.8145681553</v>
      </c>
      <c r="AU693" s="2">
        <v>62190.474462014499</v>
      </c>
      <c r="AV693" s="2">
        <v>37302.681400217203</v>
      </c>
      <c r="AW693" s="2">
        <v>33225.822190171799</v>
      </c>
      <c r="AX693" s="2">
        <v>34731.609451992001</v>
      </c>
    </row>
    <row r="694" spans="1:50" x14ac:dyDescent="0.25">
      <c r="A694" s="2" t="s">
        <v>4995</v>
      </c>
      <c r="B694" s="2">
        <v>506.32528421646498</v>
      </c>
      <c r="C694" s="2">
        <v>11.109966666666701</v>
      </c>
      <c r="D694" s="2" t="s">
        <v>51</v>
      </c>
      <c r="E694" s="2" t="s">
        <v>4996</v>
      </c>
      <c r="F694" s="2">
        <v>19876</v>
      </c>
      <c r="G694" s="3" t="str">
        <f>HYPERLINK("https://cloud.oebiotech.com/#/lm/network/19876", "https://cloud.oebiotech.com/#/lm/network/19876")</f>
        <v>https://cloud.oebiotech.com/#/lm/network/19876</v>
      </c>
      <c r="H694" s="2"/>
      <c r="I694" s="2">
        <v>76568</v>
      </c>
      <c r="J694" s="2" t="s">
        <v>4997</v>
      </c>
      <c r="K694" s="2">
        <v>24779451</v>
      </c>
      <c r="L694" s="2"/>
      <c r="M694" s="2"/>
      <c r="N694" s="2"/>
      <c r="O694" s="2"/>
      <c r="P694" s="2"/>
      <c r="Q694" s="2"/>
      <c r="R694" s="2"/>
      <c r="S694" s="2" t="s">
        <v>4998</v>
      </c>
      <c r="T694" s="2" t="s">
        <v>4999</v>
      </c>
      <c r="U694" s="2" t="s">
        <v>56</v>
      </c>
      <c r="V694" s="2" t="s">
        <v>57</v>
      </c>
      <c r="W694" s="2" t="s">
        <v>58</v>
      </c>
      <c r="X694" s="2" t="s">
        <v>59</v>
      </c>
      <c r="Y694" s="2">
        <v>54.6</v>
      </c>
      <c r="Z694" s="2">
        <v>76.599999999999994</v>
      </c>
      <c r="AA694" s="2" t="s">
        <v>163</v>
      </c>
      <c r="AB694" s="2" t="s">
        <v>3666</v>
      </c>
      <c r="AC694" s="2">
        <v>0.140092043128796</v>
      </c>
      <c r="AD694" s="2"/>
      <c r="AE694" s="2">
        <v>0.82174386541839795</v>
      </c>
      <c r="AF694" s="2">
        <v>131134.904695551</v>
      </c>
      <c r="AG694" s="2">
        <v>168494.762368264</v>
      </c>
      <c r="AH694" s="4">
        <v>0.77827288428670305</v>
      </c>
      <c r="AI694" s="4">
        <v>-0.361652001655421</v>
      </c>
      <c r="AJ694" s="4" t="s">
        <v>62</v>
      </c>
      <c r="AK694" s="2">
        <v>0.27458080032995102</v>
      </c>
      <c r="AL694" s="2">
        <v>0.59452451187415001</v>
      </c>
      <c r="AM694" s="2">
        <v>158880.619483249</v>
      </c>
      <c r="AN694" s="2">
        <v>123521.355284032</v>
      </c>
      <c r="AO694" s="2">
        <v>156393.459643204</v>
      </c>
      <c r="AP694" s="2">
        <v>109751.053686357</v>
      </c>
      <c r="AQ694" s="2">
        <v>111903.352319422</v>
      </c>
      <c r="AR694" s="2">
        <v>126359.587757043</v>
      </c>
      <c r="AS694" s="2">
        <v>102976.526736067</v>
      </c>
      <c r="AT694" s="2">
        <v>67410.041799751401</v>
      </c>
      <c r="AU694" s="2">
        <v>244885.90942062499</v>
      </c>
      <c r="AV694" s="2">
        <v>226511.098413809</v>
      </c>
      <c r="AW694" s="2">
        <v>233539.81878025699</v>
      </c>
      <c r="AX694" s="2">
        <v>135645.17905907301</v>
      </c>
    </row>
    <row r="695" spans="1:50" x14ac:dyDescent="0.25">
      <c r="A695" s="2" t="s">
        <v>5000</v>
      </c>
      <c r="B695" s="2">
        <v>336.25208159110599</v>
      </c>
      <c r="C695" s="2">
        <v>8.72068333333333</v>
      </c>
      <c r="D695" s="2" t="s">
        <v>51</v>
      </c>
      <c r="E695" s="2" t="s">
        <v>5001</v>
      </c>
      <c r="F695" s="2">
        <v>211284</v>
      </c>
      <c r="G695" s="3" t="str">
        <f>HYPERLINK("https://cloud.oebiotech.com/#/lm/network/211284", "https://cloud.oebiotech.com/#/lm/network/211284")</f>
        <v>https://cloud.oebiotech.com/#/lm/network/211284</v>
      </c>
      <c r="H695" s="2" t="s">
        <v>5002</v>
      </c>
      <c r="I695" s="2"/>
      <c r="J695" s="2"/>
      <c r="K695" s="2">
        <v>73866844</v>
      </c>
      <c r="L695" s="2"/>
      <c r="M695" s="2"/>
      <c r="N695" s="2"/>
      <c r="O695" s="2"/>
      <c r="P695" s="2"/>
      <c r="Q695" s="2"/>
      <c r="R695" s="2"/>
      <c r="S695" s="2" t="s">
        <v>5003</v>
      </c>
      <c r="T695" s="2" t="s">
        <v>5004</v>
      </c>
      <c r="U695" s="2" t="s">
        <v>56</v>
      </c>
      <c r="V695" s="2" t="s">
        <v>145</v>
      </c>
      <c r="W695" s="2" t="s">
        <v>187</v>
      </c>
      <c r="X695" s="2" t="s">
        <v>147</v>
      </c>
      <c r="Y695" s="2">
        <v>39.9</v>
      </c>
      <c r="Z695" s="2">
        <v>8.57</v>
      </c>
      <c r="AA695" s="2" t="s">
        <v>512</v>
      </c>
      <c r="AB695" s="2" t="s">
        <v>180</v>
      </c>
      <c r="AC695" s="2">
        <v>-3.89278373495348</v>
      </c>
      <c r="AD695" s="2"/>
      <c r="AE695" s="2">
        <v>0.81876884780387305</v>
      </c>
      <c r="AF695" s="2">
        <v>56062.176671018598</v>
      </c>
      <c r="AG695" s="2">
        <v>11841.563532988301</v>
      </c>
      <c r="AH695" s="5">
        <v>4.7343559416659904</v>
      </c>
      <c r="AI695" s="5">
        <v>2.2431681758596298</v>
      </c>
      <c r="AJ695" s="5" t="s">
        <v>139</v>
      </c>
      <c r="AK695" s="2">
        <v>0.28803381480742302</v>
      </c>
      <c r="AL695" s="2">
        <v>0.602556997361406</v>
      </c>
      <c r="AM695" s="2">
        <v>1930.1098620344701</v>
      </c>
      <c r="AN695" s="2">
        <v>449.27521093585</v>
      </c>
      <c r="AO695" s="2">
        <v>97815.185435412699</v>
      </c>
      <c r="AP695" s="2">
        <v>355.79983834632799</v>
      </c>
      <c r="AQ695" s="2">
        <v>232285.34045075401</v>
      </c>
      <c r="AR695" s="2">
        <v>3537.34922862846</v>
      </c>
      <c r="AS695" s="2">
        <v>48043.377115018797</v>
      </c>
      <c r="AT695" s="2">
        <v>361.28246801686703</v>
      </c>
      <c r="AU695" s="2">
        <v>20914.1173335946</v>
      </c>
      <c r="AV695" s="2">
        <v>1722.7325771395101</v>
      </c>
      <c r="AW695" s="2">
        <v>4.0112123921617604</v>
      </c>
      <c r="AX695" s="2">
        <v>3.86049176807991</v>
      </c>
    </row>
    <row r="696" spans="1:50" x14ac:dyDescent="0.25">
      <c r="A696" s="2" t="s">
        <v>5005</v>
      </c>
      <c r="B696" s="2">
        <v>349.20219228400401</v>
      </c>
      <c r="C696" s="2">
        <v>7.8539833333333302</v>
      </c>
      <c r="D696" s="2" t="s">
        <v>51</v>
      </c>
      <c r="E696" s="2" t="s">
        <v>5006</v>
      </c>
      <c r="F696" s="2">
        <v>47916</v>
      </c>
      <c r="G696" s="3" t="str">
        <f>HYPERLINK("https://cloud.oebiotech.com/#/lm/network/47916", "https://cloud.oebiotech.com/#/lm/network/47916")</f>
        <v>https://cloud.oebiotech.com/#/lm/network/47916</v>
      </c>
      <c r="H696" s="2" t="s">
        <v>5007</v>
      </c>
      <c r="I696" s="2"/>
      <c r="J696" s="2"/>
      <c r="K696" s="2">
        <v>53477750</v>
      </c>
      <c r="L696" s="2"/>
      <c r="M696" s="2"/>
      <c r="N696" s="2"/>
      <c r="O696" s="2"/>
      <c r="P696" s="2"/>
      <c r="Q696" s="2"/>
      <c r="R696" s="2" t="s">
        <v>5008</v>
      </c>
      <c r="S696" s="2" t="s">
        <v>5009</v>
      </c>
      <c r="T696" s="2" t="s">
        <v>5010</v>
      </c>
      <c r="U696" s="2" t="s">
        <v>56</v>
      </c>
      <c r="V696" s="2" t="s">
        <v>145</v>
      </c>
      <c r="W696" s="2" t="s">
        <v>187</v>
      </c>
      <c r="X696" s="2" t="s">
        <v>83</v>
      </c>
      <c r="Y696" s="2">
        <v>46</v>
      </c>
      <c r="Z696" s="2">
        <v>0</v>
      </c>
      <c r="AA696" s="2" t="s">
        <v>163</v>
      </c>
      <c r="AB696" s="2" t="s">
        <v>950</v>
      </c>
      <c r="AC696" s="2">
        <v>0.41305611816549098</v>
      </c>
      <c r="AD696" s="2"/>
      <c r="AE696" s="2">
        <v>0.81801157200548003</v>
      </c>
      <c r="AF696" s="2">
        <v>20248.625095928201</v>
      </c>
      <c r="AG696" s="2">
        <v>7838.9373562683904</v>
      </c>
      <c r="AH696" s="5">
        <v>2.5830829072433401</v>
      </c>
      <c r="AI696" s="5">
        <v>1.3690939492822001</v>
      </c>
      <c r="AJ696" s="5" t="s">
        <v>139</v>
      </c>
      <c r="AK696" s="2">
        <v>2.19053808577117E-4</v>
      </c>
      <c r="AL696" s="2">
        <v>4.4123176315239501E-2</v>
      </c>
      <c r="AM696" s="2">
        <v>23508.422056275402</v>
      </c>
      <c r="AN696" s="2">
        <v>21632.924558760598</v>
      </c>
      <c r="AO696" s="2">
        <v>23979.541619004602</v>
      </c>
      <c r="AP696" s="2">
        <v>17866.754287026401</v>
      </c>
      <c r="AQ696" s="2">
        <v>14098.2034364789</v>
      </c>
      <c r="AR696" s="2">
        <v>20405.9046180234</v>
      </c>
      <c r="AS696" s="2">
        <v>13725.2034115844</v>
      </c>
      <c r="AT696" s="2">
        <v>7285.1080706653302</v>
      </c>
      <c r="AU696" s="2">
        <v>10249.700144325099</v>
      </c>
      <c r="AV696" s="2">
        <v>3233.5249532934599</v>
      </c>
      <c r="AW696" s="2">
        <v>4151.2794100812298</v>
      </c>
      <c r="AX696" s="2">
        <v>8388.8081476608404</v>
      </c>
    </row>
    <row r="697" spans="1:50" x14ac:dyDescent="0.25">
      <c r="A697" s="2" t="s">
        <v>5011</v>
      </c>
      <c r="B697" s="2">
        <v>400.34338708710902</v>
      </c>
      <c r="C697" s="2">
        <v>10.0932166666667</v>
      </c>
      <c r="D697" s="2" t="s">
        <v>51</v>
      </c>
      <c r="E697" s="2" t="s">
        <v>5012</v>
      </c>
      <c r="F697" s="2">
        <v>8286</v>
      </c>
      <c r="G697" s="3" t="str">
        <f>HYPERLINK("https://cloud.oebiotech.com/#/lm/network/8286", "https://cloud.oebiotech.com/#/lm/network/8286")</f>
        <v>https://cloud.oebiotech.com/#/lm/network/8286</v>
      </c>
      <c r="H697" s="2" t="s">
        <v>5013</v>
      </c>
      <c r="I697" s="2">
        <v>961</v>
      </c>
      <c r="J697" s="2" t="s">
        <v>5014</v>
      </c>
      <c r="K697" s="2">
        <v>11953816</v>
      </c>
      <c r="L697" s="2" t="s">
        <v>5015</v>
      </c>
      <c r="M697" s="2" t="s">
        <v>5016</v>
      </c>
      <c r="N697" s="2" t="s">
        <v>5017</v>
      </c>
      <c r="O697" s="2">
        <v>17490</v>
      </c>
      <c r="P697" s="2" t="s">
        <v>5018</v>
      </c>
      <c r="Q697" s="2" t="s">
        <v>5019</v>
      </c>
      <c r="R697" s="2" t="s">
        <v>5020</v>
      </c>
      <c r="S697" s="2" t="s">
        <v>5021</v>
      </c>
      <c r="T697" s="2" t="s">
        <v>5022</v>
      </c>
      <c r="U697" s="2" t="s">
        <v>56</v>
      </c>
      <c r="V697" s="2" t="s">
        <v>145</v>
      </c>
      <c r="W697" s="2" t="s">
        <v>1188</v>
      </c>
      <c r="X697" s="2" t="s">
        <v>59</v>
      </c>
      <c r="Y697" s="2">
        <v>50.2</v>
      </c>
      <c r="Z697" s="2">
        <v>58.3</v>
      </c>
      <c r="AA697" s="2" t="s">
        <v>60</v>
      </c>
      <c r="AB697" s="2" t="s">
        <v>5023</v>
      </c>
      <c r="AC697" s="2">
        <v>3.1345345672565399</v>
      </c>
      <c r="AD697" s="2"/>
      <c r="AE697" s="2">
        <v>0.81744393016231598</v>
      </c>
      <c r="AF697" s="2">
        <v>403347.98506184702</v>
      </c>
      <c r="AG697" s="2">
        <v>371572.819265117</v>
      </c>
      <c r="AH697" s="5">
        <v>1.0855153126097199</v>
      </c>
      <c r="AI697" s="5">
        <v>0.118380077192379</v>
      </c>
      <c r="AJ697" s="5" t="s">
        <v>139</v>
      </c>
      <c r="AK697" s="2">
        <v>0.78646963349140198</v>
      </c>
      <c r="AL697" s="2">
        <v>0.90579760595838199</v>
      </c>
      <c r="AM697" s="2">
        <v>845403.33048213599</v>
      </c>
      <c r="AN697" s="2">
        <v>224085.37542329001</v>
      </c>
      <c r="AO697" s="2">
        <v>388683.33709479001</v>
      </c>
      <c r="AP697" s="2">
        <v>456443.221183246</v>
      </c>
      <c r="AQ697" s="2">
        <v>247387.32513730199</v>
      </c>
      <c r="AR697" s="2">
        <v>258085.32105031799</v>
      </c>
      <c r="AS697" s="2">
        <v>246392.070601001</v>
      </c>
      <c r="AT697" s="2">
        <v>227283.82452662301</v>
      </c>
      <c r="AU697" s="2">
        <v>584926.28795064497</v>
      </c>
      <c r="AV697" s="2">
        <v>351480.60177342303</v>
      </c>
      <c r="AW697" s="2">
        <v>531799.88550503599</v>
      </c>
      <c r="AX697" s="2">
        <v>287554.24523397599</v>
      </c>
    </row>
    <row r="698" spans="1:50" x14ac:dyDescent="0.25">
      <c r="A698" s="2" t="s">
        <v>5024</v>
      </c>
      <c r="B698" s="2">
        <v>380.21028714571401</v>
      </c>
      <c r="C698" s="2">
        <v>13.5068</v>
      </c>
      <c r="D698" s="2" t="s">
        <v>51</v>
      </c>
      <c r="E698" s="2" t="s">
        <v>5025</v>
      </c>
      <c r="F698" s="2">
        <v>204571</v>
      </c>
      <c r="G698" s="3" t="str">
        <f>HYPERLINK("https://cloud.oebiotech.com/#/lm/network/204571", "https://cloud.oebiotech.com/#/lm/network/204571")</f>
        <v>https://cloud.oebiotech.com/#/lm/network/204571</v>
      </c>
      <c r="H698" s="2" t="s">
        <v>5026</v>
      </c>
      <c r="I698" s="2"/>
      <c r="J698" s="2"/>
      <c r="K698" s="2">
        <v>23635044</v>
      </c>
      <c r="L698" s="2"/>
      <c r="M698" s="2"/>
      <c r="N698" s="2"/>
      <c r="O698" s="2">
        <v>61106</v>
      </c>
      <c r="P698" s="2"/>
      <c r="Q698" s="2"/>
      <c r="R698" s="2"/>
      <c r="S698" s="2" t="s">
        <v>5027</v>
      </c>
      <c r="T698" s="2" t="s">
        <v>5028</v>
      </c>
      <c r="U698" s="2" t="s">
        <v>266</v>
      </c>
      <c r="V698" s="2" t="s">
        <v>1742</v>
      </c>
      <c r="W698" s="2" t="s">
        <v>5029</v>
      </c>
      <c r="X698" s="2" t="s">
        <v>147</v>
      </c>
      <c r="Y698" s="2">
        <v>38.4</v>
      </c>
      <c r="Z698" s="2">
        <v>0</v>
      </c>
      <c r="AA698" s="2" t="s">
        <v>5030</v>
      </c>
      <c r="AB698" s="2" t="s">
        <v>5031</v>
      </c>
      <c r="AC698" s="2">
        <v>0.773991951559311</v>
      </c>
      <c r="AD698" s="2"/>
      <c r="AE698" s="2">
        <v>0.81712524882086002</v>
      </c>
      <c r="AF698" s="2">
        <v>127213.107388738</v>
      </c>
      <c r="AG698" s="2">
        <v>152425.08427362601</v>
      </c>
      <c r="AH698" s="4">
        <v>0.83459430575332105</v>
      </c>
      <c r="AI698" s="4">
        <v>-0.26085301743183698</v>
      </c>
      <c r="AJ698" s="4" t="s">
        <v>62</v>
      </c>
      <c r="AK698" s="2">
        <v>5.4984673456609803E-2</v>
      </c>
      <c r="AL698" s="2">
        <v>0.32146783116299599</v>
      </c>
      <c r="AM698" s="2">
        <v>123099.397288073</v>
      </c>
      <c r="AN698" s="2">
        <v>120752.19230106199</v>
      </c>
      <c r="AO698" s="2">
        <v>139853.341176432</v>
      </c>
      <c r="AP698" s="2">
        <v>104523.81397533001</v>
      </c>
      <c r="AQ698" s="2">
        <v>162291.261238518</v>
      </c>
      <c r="AR698" s="2">
        <v>112758.638353014</v>
      </c>
      <c r="AS698" s="2">
        <v>128959.207209674</v>
      </c>
      <c r="AT698" s="2">
        <v>143700.128597153</v>
      </c>
      <c r="AU698" s="2">
        <v>185848.25101507499</v>
      </c>
      <c r="AV698" s="2">
        <v>158124.24658271301</v>
      </c>
      <c r="AW698" s="2">
        <v>154840.359374678</v>
      </c>
      <c r="AX698" s="2">
        <v>143078.31286246199</v>
      </c>
    </row>
    <row r="699" spans="1:50" x14ac:dyDescent="0.25">
      <c r="A699" s="2" t="s">
        <v>5032</v>
      </c>
      <c r="B699" s="2">
        <v>415.16034112578501</v>
      </c>
      <c r="C699" s="2">
        <v>4.9338333333333297</v>
      </c>
      <c r="D699" s="2" t="s">
        <v>51</v>
      </c>
      <c r="E699" s="2" t="s">
        <v>5033</v>
      </c>
      <c r="F699" s="2">
        <v>35346</v>
      </c>
      <c r="G699" s="3" t="str">
        <f>HYPERLINK("https://cloud.oebiotech.com/#/lm/network/35346", "https://cloud.oebiotech.com/#/lm/network/35346")</f>
        <v>https://cloud.oebiotech.com/#/lm/network/35346</v>
      </c>
      <c r="H699" s="2"/>
      <c r="I699" s="2"/>
      <c r="J699" s="2" t="s">
        <v>5034</v>
      </c>
      <c r="K699" s="2"/>
      <c r="L699" s="2"/>
      <c r="M699" s="2"/>
      <c r="N699" s="2"/>
      <c r="O699" s="2"/>
      <c r="P699" s="2"/>
      <c r="Q699" s="2"/>
      <c r="R699" s="2"/>
      <c r="S699" s="2" t="s">
        <v>5035</v>
      </c>
      <c r="T699" s="2" t="s">
        <v>5036</v>
      </c>
      <c r="U699" s="2" t="s">
        <v>56</v>
      </c>
      <c r="V699" s="2" t="s">
        <v>177</v>
      </c>
      <c r="W699" s="2" t="s">
        <v>394</v>
      </c>
      <c r="X699" s="2" t="s">
        <v>83</v>
      </c>
      <c r="Y699" s="2">
        <v>41.5</v>
      </c>
      <c r="Z699" s="2">
        <v>0</v>
      </c>
      <c r="AA699" s="2" t="s">
        <v>156</v>
      </c>
      <c r="AB699" s="2" t="s">
        <v>5037</v>
      </c>
      <c r="AC699" s="2">
        <v>1.08214375123032</v>
      </c>
      <c r="AD699" s="2"/>
      <c r="AE699" s="2">
        <v>0.81623769509654198</v>
      </c>
      <c r="AF699" s="2">
        <v>1859.7377044918001</v>
      </c>
      <c r="AG699" s="2">
        <v>32279.745083769401</v>
      </c>
      <c r="AH699" s="4">
        <v>5.7613147181478003E-2</v>
      </c>
      <c r="AI699" s="4">
        <v>-4.1174581210029597</v>
      </c>
      <c r="AJ699" s="4" t="s">
        <v>62</v>
      </c>
      <c r="AK699" s="2">
        <v>0.35338009696517497</v>
      </c>
      <c r="AL699" s="2">
        <v>0.644232435870006</v>
      </c>
      <c r="AM699" s="2">
        <v>49.075497646835998</v>
      </c>
      <c r="AN699" s="2">
        <v>12.5566584746689</v>
      </c>
      <c r="AO699" s="2">
        <v>1.0698380799034</v>
      </c>
      <c r="AP699" s="2">
        <v>39.582614686535699</v>
      </c>
      <c r="AQ699" s="2">
        <v>5.4197856671337998</v>
      </c>
      <c r="AR699" s="2">
        <v>11050.7218323957</v>
      </c>
      <c r="AS699" s="2">
        <v>5423.2314318817498</v>
      </c>
      <c r="AT699" s="2">
        <v>8.17086212921906</v>
      </c>
      <c r="AU699" s="2">
        <v>15.331225362640099</v>
      </c>
      <c r="AV699" s="2">
        <v>8.559877937157E-6</v>
      </c>
      <c r="AW699" s="2">
        <v>188226.25049909699</v>
      </c>
      <c r="AX699" s="2">
        <v>5.4864755857697602</v>
      </c>
    </row>
    <row r="700" spans="1:50" x14ac:dyDescent="0.25">
      <c r="A700" s="2" t="s">
        <v>5038</v>
      </c>
      <c r="B700" s="2">
        <v>578.34700722893604</v>
      </c>
      <c r="C700" s="2">
        <v>7.2826500000000003</v>
      </c>
      <c r="D700" s="2" t="s">
        <v>51</v>
      </c>
      <c r="E700" s="2" t="s">
        <v>5039</v>
      </c>
      <c r="F700" s="2">
        <v>22454</v>
      </c>
      <c r="G700" s="3" t="str">
        <f>HYPERLINK("https://cloud.oebiotech.com/#/lm/network/22454", "https://cloud.oebiotech.com/#/lm/network/22454")</f>
        <v>https://cloud.oebiotech.com/#/lm/network/22454</v>
      </c>
      <c r="H700" s="2"/>
      <c r="I700" s="2">
        <v>78851</v>
      </c>
      <c r="J700" s="2" t="s">
        <v>5040</v>
      </c>
      <c r="K700" s="2">
        <v>52926292</v>
      </c>
      <c r="L700" s="2"/>
      <c r="M700" s="2"/>
      <c r="N700" s="2"/>
      <c r="O700" s="2"/>
      <c r="P700" s="2"/>
      <c r="Q700" s="2"/>
      <c r="R700" s="2"/>
      <c r="S700" s="2" t="s">
        <v>5041</v>
      </c>
      <c r="T700" s="2" t="s">
        <v>5042</v>
      </c>
      <c r="U700" s="2" t="s">
        <v>56</v>
      </c>
      <c r="V700" s="2" t="s">
        <v>57</v>
      </c>
      <c r="W700" s="2" t="s">
        <v>82</v>
      </c>
      <c r="X700" s="2" t="s">
        <v>59</v>
      </c>
      <c r="Y700" s="2">
        <v>56.3</v>
      </c>
      <c r="Z700" s="2">
        <v>89.4</v>
      </c>
      <c r="AA700" s="2" t="s">
        <v>179</v>
      </c>
      <c r="AB700" s="2" t="s">
        <v>5043</v>
      </c>
      <c r="AC700" s="2">
        <v>3.05179730190972</v>
      </c>
      <c r="AD700" s="2"/>
      <c r="AE700" s="2">
        <v>0.81524179519804696</v>
      </c>
      <c r="AF700" s="2">
        <v>48165.013822594097</v>
      </c>
      <c r="AG700" s="2">
        <v>28830.887056949199</v>
      </c>
      <c r="AH700" s="5">
        <v>1.67060464450693</v>
      </c>
      <c r="AI700" s="5">
        <v>0.74037035404841101</v>
      </c>
      <c r="AJ700" s="5" t="s">
        <v>139</v>
      </c>
      <c r="AK700" s="2">
        <v>0.170576481268537</v>
      </c>
      <c r="AL700" s="2">
        <v>0.49169783309187098</v>
      </c>
      <c r="AM700" s="2">
        <v>94584.491010690806</v>
      </c>
      <c r="AN700" s="2">
        <v>54613.491430221497</v>
      </c>
      <c r="AO700" s="2">
        <v>18673.0090064836</v>
      </c>
      <c r="AP700" s="2">
        <v>40950.489167850101</v>
      </c>
      <c r="AQ700" s="2">
        <v>34069.365928056199</v>
      </c>
      <c r="AR700" s="2">
        <v>46099.236392262297</v>
      </c>
      <c r="AS700" s="2">
        <v>28780.159542372701</v>
      </c>
      <c r="AT700" s="2">
        <v>14975.806354127501</v>
      </c>
      <c r="AU700" s="2">
        <v>41711.596489470103</v>
      </c>
      <c r="AV700" s="2">
        <v>10240.5334034641</v>
      </c>
      <c r="AW700" s="2">
        <v>17114.164136177202</v>
      </c>
      <c r="AX700" s="2">
        <v>60163.062416083703</v>
      </c>
    </row>
    <row r="701" spans="1:50" x14ac:dyDescent="0.25">
      <c r="A701" s="2" t="s">
        <v>5044</v>
      </c>
      <c r="B701" s="2">
        <v>315.16743964427701</v>
      </c>
      <c r="C701" s="2">
        <v>3.6690166666666699</v>
      </c>
      <c r="D701" s="2" t="s">
        <v>51</v>
      </c>
      <c r="E701" s="2" t="s">
        <v>5045</v>
      </c>
      <c r="F701" s="2">
        <v>198233</v>
      </c>
      <c r="G701" s="3" t="str">
        <f>HYPERLINK("https://cloud.oebiotech.com/#/lm/network/198233", "https://cloud.oebiotech.com/#/lm/network/198233")</f>
        <v>https://cloud.oebiotech.com/#/lm/network/198233</v>
      </c>
      <c r="H701" s="2" t="s">
        <v>5046</v>
      </c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 t="s">
        <v>5047</v>
      </c>
      <c r="T701" s="2" t="s">
        <v>5048</v>
      </c>
      <c r="U701" s="2" t="s">
        <v>56</v>
      </c>
      <c r="V701" s="2" t="s">
        <v>145</v>
      </c>
      <c r="W701" s="2" t="s">
        <v>1188</v>
      </c>
      <c r="X701" s="2" t="s">
        <v>83</v>
      </c>
      <c r="Y701" s="2">
        <v>37.700000000000003</v>
      </c>
      <c r="Z701" s="2">
        <v>0.84699999999999998</v>
      </c>
      <c r="AA701" s="2" t="s">
        <v>122</v>
      </c>
      <c r="AB701" s="2" t="s">
        <v>5049</v>
      </c>
      <c r="AC701" s="2">
        <v>-2.3732713591412802</v>
      </c>
      <c r="AD701" s="2"/>
      <c r="AE701" s="2">
        <v>0.814728510924842</v>
      </c>
      <c r="AF701" s="2">
        <v>16353.994802069599</v>
      </c>
      <c r="AG701" s="2">
        <v>4331.1910545582896</v>
      </c>
      <c r="AH701" s="5">
        <v>3.7758654827424598</v>
      </c>
      <c r="AI701" s="5">
        <v>1.9168073688212599</v>
      </c>
      <c r="AJ701" s="5" t="s">
        <v>139</v>
      </c>
      <c r="AK701" s="2">
        <v>3.3008708487589598E-4</v>
      </c>
      <c r="AL701" s="2">
        <v>5.3199942447790097E-2</v>
      </c>
      <c r="AM701" s="2">
        <v>16090.142734384601</v>
      </c>
      <c r="AN701" s="2">
        <v>16950.942680816301</v>
      </c>
      <c r="AO701" s="2">
        <v>19253.160409751199</v>
      </c>
      <c r="AP701" s="2">
        <v>12141.944396951099</v>
      </c>
      <c r="AQ701" s="2">
        <v>13181.516745959099</v>
      </c>
      <c r="AR701" s="2">
        <v>20506.261844555</v>
      </c>
      <c r="AS701" s="2">
        <v>143.34408408714299</v>
      </c>
      <c r="AT701" s="2">
        <v>8666.0555153125806</v>
      </c>
      <c r="AU701" s="2">
        <v>9820.2363910783606</v>
      </c>
      <c r="AV701" s="2">
        <v>912.89152628599004</v>
      </c>
      <c r="AW701" s="2">
        <v>237.77966730924999</v>
      </c>
      <c r="AX701" s="2">
        <v>6206.8391432764101</v>
      </c>
    </row>
    <row r="702" spans="1:50" x14ac:dyDescent="0.25">
      <c r="A702" s="2" t="s">
        <v>5050</v>
      </c>
      <c r="B702" s="2">
        <v>864.62528585062103</v>
      </c>
      <c r="C702" s="2">
        <v>10.6304833333333</v>
      </c>
      <c r="D702" s="2" t="s">
        <v>51</v>
      </c>
      <c r="E702" s="2" t="s">
        <v>5051</v>
      </c>
      <c r="F702" s="2">
        <v>19648</v>
      </c>
      <c r="G702" s="3" t="str">
        <f>HYPERLINK("https://cloud.oebiotech.com/#/lm/network/19648", "https://cloud.oebiotech.com/#/lm/network/19648")</f>
        <v>https://cloud.oebiotech.com/#/lm/network/19648</v>
      </c>
      <c r="H702" s="2"/>
      <c r="I702" s="2">
        <v>76468</v>
      </c>
      <c r="J702" s="2" t="s">
        <v>5052</v>
      </c>
      <c r="K702" s="2">
        <v>52923850</v>
      </c>
      <c r="L702" s="2"/>
      <c r="M702" s="2"/>
      <c r="N702" s="2"/>
      <c r="O702" s="2">
        <v>86445</v>
      </c>
      <c r="P702" s="2"/>
      <c r="Q702" s="2"/>
      <c r="R702" s="2"/>
      <c r="S702" s="2" t="s">
        <v>5053</v>
      </c>
      <c r="T702" s="2" t="s">
        <v>5054</v>
      </c>
      <c r="U702" s="2" t="s">
        <v>56</v>
      </c>
      <c r="V702" s="2" t="s">
        <v>57</v>
      </c>
      <c r="W702" s="2" t="s">
        <v>58</v>
      </c>
      <c r="X702" s="2" t="s">
        <v>147</v>
      </c>
      <c r="Y702" s="2">
        <v>36</v>
      </c>
      <c r="Z702" s="2">
        <v>0</v>
      </c>
      <c r="AA702" s="2" t="s">
        <v>395</v>
      </c>
      <c r="AB702" s="2" t="s">
        <v>5055</v>
      </c>
      <c r="AC702" s="2">
        <v>1.1952221224197801</v>
      </c>
      <c r="AD702" s="2"/>
      <c r="AE702" s="2">
        <v>0.81217127000592404</v>
      </c>
      <c r="AF702" s="2">
        <v>131610.75615148901</v>
      </c>
      <c r="AG702" s="2">
        <v>152905.11885246899</v>
      </c>
      <c r="AH702" s="4">
        <v>0.86073479514098705</v>
      </c>
      <c r="AI702" s="4">
        <v>-0.21635930403953599</v>
      </c>
      <c r="AJ702" s="4" t="s">
        <v>62</v>
      </c>
      <c r="AK702" s="2">
        <v>0.19812973805442399</v>
      </c>
      <c r="AL702" s="2">
        <v>0.52140791437460898</v>
      </c>
      <c r="AM702" s="2">
        <v>96605.854789012999</v>
      </c>
      <c r="AN702" s="2">
        <v>97951.310862086306</v>
      </c>
      <c r="AO702" s="2">
        <v>132054.541529632</v>
      </c>
      <c r="AP702" s="2">
        <v>132358.58427921499</v>
      </c>
      <c r="AQ702" s="2">
        <v>170912.63192324099</v>
      </c>
      <c r="AR702" s="2">
        <v>159781.613525744</v>
      </c>
      <c r="AS702" s="2">
        <v>180720.699025651</v>
      </c>
      <c r="AT702" s="2">
        <v>166831.082016234</v>
      </c>
      <c r="AU702" s="2">
        <v>154406.98534496201</v>
      </c>
      <c r="AV702" s="2">
        <v>114463.46568257399</v>
      </c>
      <c r="AW702" s="2">
        <v>149248.75453228399</v>
      </c>
      <c r="AX702" s="2">
        <v>151759.72651311199</v>
      </c>
    </row>
    <row r="703" spans="1:50" x14ac:dyDescent="0.25">
      <c r="A703" s="2" t="s">
        <v>5056</v>
      </c>
      <c r="B703" s="2">
        <v>281.24833392610299</v>
      </c>
      <c r="C703" s="2">
        <v>12.717266666666699</v>
      </c>
      <c r="D703" s="2" t="s">
        <v>51</v>
      </c>
      <c r="E703" s="2" t="s">
        <v>5057</v>
      </c>
      <c r="F703" s="2">
        <v>1056</v>
      </c>
      <c r="G703" s="3" t="str">
        <f>HYPERLINK("https://cloud.oebiotech.com/#/lm/network/1056", "https://cloud.oebiotech.com/#/lm/network/1056")</f>
        <v>https://cloud.oebiotech.com/#/lm/network/1056</v>
      </c>
      <c r="H703" s="2"/>
      <c r="I703" s="2">
        <v>74228</v>
      </c>
      <c r="J703" s="2" t="s">
        <v>5058</v>
      </c>
      <c r="K703" s="2">
        <v>3378049</v>
      </c>
      <c r="L703" s="2"/>
      <c r="M703" s="2"/>
      <c r="N703" s="2"/>
      <c r="O703" s="2"/>
      <c r="P703" s="2"/>
      <c r="Q703" s="2"/>
      <c r="R703" s="2"/>
      <c r="S703" s="2" t="s">
        <v>5059</v>
      </c>
      <c r="T703" s="2" t="s">
        <v>5060</v>
      </c>
      <c r="U703" s="2" t="s">
        <v>56</v>
      </c>
      <c r="V703" s="2" t="s">
        <v>145</v>
      </c>
      <c r="W703" s="2" t="s">
        <v>231</v>
      </c>
      <c r="X703" s="2" t="s">
        <v>69</v>
      </c>
      <c r="Y703" s="2">
        <v>75.599999999999994</v>
      </c>
      <c r="Z703" s="2">
        <v>92.4</v>
      </c>
      <c r="AA703" s="2" t="s">
        <v>179</v>
      </c>
      <c r="AB703" s="2" t="s">
        <v>598</v>
      </c>
      <c r="AC703" s="2">
        <v>2.9518557773846901</v>
      </c>
      <c r="AD703" s="2"/>
      <c r="AE703" s="2">
        <v>0.80973243009825502</v>
      </c>
      <c r="AF703" s="2">
        <v>44668.4929769339</v>
      </c>
      <c r="AG703" s="2">
        <v>71840.410184103894</v>
      </c>
      <c r="AH703" s="4">
        <v>0.62177391335131404</v>
      </c>
      <c r="AI703" s="4">
        <v>-0.68553800549718402</v>
      </c>
      <c r="AJ703" s="4" t="s">
        <v>62</v>
      </c>
      <c r="AK703" s="2">
        <v>8.4728510200293095E-2</v>
      </c>
      <c r="AL703" s="2">
        <v>0.37683388396156398</v>
      </c>
      <c r="AM703" s="2">
        <v>55300.227966275699</v>
      </c>
      <c r="AN703" s="2">
        <v>55692.301182192503</v>
      </c>
      <c r="AO703" s="2">
        <v>43792.544572883402</v>
      </c>
      <c r="AP703" s="2">
        <v>35115.103455673001</v>
      </c>
      <c r="AQ703" s="2">
        <v>44014.439631463298</v>
      </c>
      <c r="AR703" s="2">
        <v>34096.3410531154</v>
      </c>
      <c r="AS703" s="2">
        <v>14355.320010493801</v>
      </c>
      <c r="AT703" s="2">
        <v>54933.966777102403</v>
      </c>
      <c r="AU703" s="2">
        <v>96532.981814371393</v>
      </c>
      <c r="AV703" s="2">
        <v>87346.259115144203</v>
      </c>
      <c r="AW703" s="2">
        <v>106055.170939099</v>
      </c>
      <c r="AX703" s="2">
        <v>71818.762448412599</v>
      </c>
    </row>
    <row r="704" spans="1:50" x14ac:dyDescent="0.25">
      <c r="A704" s="2" t="s">
        <v>5061</v>
      </c>
      <c r="B704" s="2">
        <v>411.11930112170597</v>
      </c>
      <c r="C704" s="2">
        <v>6.9221166666666702</v>
      </c>
      <c r="D704" s="2" t="s">
        <v>51</v>
      </c>
      <c r="E704" s="2" t="s">
        <v>5062</v>
      </c>
      <c r="F704" s="2">
        <v>198651</v>
      </c>
      <c r="G704" s="3" t="str">
        <f>HYPERLINK("https://cloud.oebiotech.com/#/lm/network/198651", "https://cloud.oebiotech.com/#/lm/network/198651")</f>
        <v>https://cloud.oebiotech.com/#/lm/network/198651</v>
      </c>
      <c r="H704" s="2" t="s">
        <v>5063</v>
      </c>
      <c r="I704" s="2"/>
      <c r="J704" s="2"/>
      <c r="K704" s="2">
        <v>83870</v>
      </c>
      <c r="L704" s="2"/>
      <c r="M704" s="2"/>
      <c r="N704" s="2"/>
      <c r="O704" s="2"/>
      <c r="P704" s="2"/>
      <c r="Q704" s="2"/>
      <c r="R704" s="2"/>
      <c r="S704" s="2" t="s">
        <v>5064</v>
      </c>
      <c r="T704" s="2" t="s">
        <v>5065</v>
      </c>
      <c r="U704" s="2" t="s">
        <v>266</v>
      </c>
      <c r="V704" s="2" t="s">
        <v>5066</v>
      </c>
      <c r="W704" s="2" t="s">
        <v>5067</v>
      </c>
      <c r="X704" s="2" t="s">
        <v>147</v>
      </c>
      <c r="Y704" s="2">
        <v>39.799999999999997</v>
      </c>
      <c r="Z704" s="2">
        <v>7.89</v>
      </c>
      <c r="AA704" s="2" t="s">
        <v>163</v>
      </c>
      <c r="AB704" s="2" t="s">
        <v>5068</v>
      </c>
      <c r="AC704" s="2">
        <v>-1.14875792163188</v>
      </c>
      <c r="AD704" s="2"/>
      <c r="AE704" s="2">
        <v>0.80953043177350004</v>
      </c>
      <c r="AF704" s="2">
        <v>65573.601083567497</v>
      </c>
      <c r="AG704" s="2">
        <v>95040.209547158796</v>
      </c>
      <c r="AH704" s="4">
        <v>0.68995640262167102</v>
      </c>
      <c r="AI704" s="4">
        <v>-0.53542289199463999</v>
      </c>
      <c r="AJ704" s="4" t="s">
        <v>62</v>
      </c>
      <c r="AK704" s="2">
        <v>0.170310348125984</v>
      </c>
      <c r="AL704" s="2">
        <v>0.491550366774546</v>
      </c>
      <c r="AM704" s="2">
        <v>70802.211096633997</v>
      </c>
      <c r="AN704" s="2">
        <v>47781.612449578301</v>
      </c>
      <c r="AO704" s="2">
        <v>94625.115465506693</v>
      </c>
      <c r="AP704" s="2">
        <v>6768.2236389179498</v>
      </c>
      <c r="AQ704" s="2">
        <v>69252.464221905</v>
      </c>
      <c r="AR704" s="2">
        <v>104211.979628863</v>
      </c>
      <c r="AS704" s="2">
        <v>97089.655609918394</v>
      </c>
      <c r="AT704" s="2">
        <v>88045.252437169707</v>
      </c>
      <c r="AU704" s="2">
        <v>84537.327398614099</v>
      </c>
      <c r="AV704" s="2">
        <v>121656.728256353</v>
      </c>
      <c r="AW704" s="2">
        <v>138672.55807122699</v>
      </c>
      <c r="AX704" s="2">
        <v>40239.735509670398</v>
      </c>
    </row>
    <row r="705" spans="1:50" x14ac:dyDescent="0.25">
      <c r="A705" s="2" t="s">
        <v>5069</v>
      </c>
      <c r="B705" s="2">
        <v>337.23840596299698</v>
      </c>
      <c r="C705" s="2">
        <v>8.2944666666666702</v>
      </c>
      <c r="D705" s="2" t="s">
        <v>51</v>
      </c>
      <c r="E705" s="2" t="s">
        <v>5070</v>
      </c>
      <c r="F705" s="2">
        <v>3739</v>
      </c>
      <c r="G705" s="3" t="str">
        <f>HYPERLINK("https://cloud.oebiotech.com/#/lm/network/3739", "https://cloud.oebiotech.com/#/lm/network/3739")</f>
        <v>https://cloud.oebiotech.com/#/lm/network/3739</v>
      </c>
      <c r="H705" s="2" t="s">
        <v>5071</v>
      </c>
      <c r="I705" s="2">
        <v>416</v>
      </c>
      <c r="J705" s="2" t="s">
        <v>5072</v>
      </c>
      <c r="K705" s="2">
        <v>5280723</v>
      </c>
      <c r="L705" s="2" t="s">
        <v>5073</v>
      </c>
      <c r="M705" s="2"/>
      <c r="N705" s="2"/>
      <c r="O705" s="2">
        <v>15544</v>
      </c>
      <c r="P705" s="2" t="s">
        <v>5074</v>
      </c>
      <c r="Q705" s="2" t="s">
        <v>5075</v>
      </c>
      <c r="R705" s="2" t="s">
        <v>5076</v>
      </c>
      <c r="S705" s="2" t="s">
        <v>5077</v>
      </c>
      <c r="T705" s="2" t="s">
        <v>5078</v>
      </c>
      <c r="U705" s="2" t="s">
        <v>56</v>
      </c>
      <c r="V705" s="2" t="s">
        <v>145</v>
      </c>
      <c r="W705" s="2" t="s">
        <v>187</v>
      </c>
      <c r="X705" s="2" t="s">
        <v>69</v>
      </c>
      <c r="Y705" s="2">
        <v>54.4</v>
      </c>
      <c r="Z705" s="2">
        <v>65.599999999999994</v>
      </c>
      <c r="AA705" s="2" t="s">
        <v>156</v>
      </c>
      <c r="AB705" s="2" t="s">
        <v>550</v>
      </c>
      <c r="AC705" s="2">
        <v>3.02061577406766</v>
      </c>
      <c r="AD705" s="2"/>
      <c r="AE705" s="2">
        <v>0.80885598953190396</v>
      </c>
      <c r="AF705" s="2">
        <v>23300.8516826671</v>
      </c>
      <c r="AG705" s="2">
        <v>9413.3242795015994</v>
      </c>
      <c r="AH705" s="5">
        <v>2.4753053215649801</v>
      </c>
      <c r="AI705" s="5">
        <v>1.3076064883196199</v>
      </c>
      <c r="AJ705" s="5" t="s">
        <v>139</v>
      </c>
      <c r="AK705" s="2">
        <v>5.0243435497996397E-2</v>
      </c>
      <c r="AL705" s="2">
        <v>0.31056432836569098</v>
      </c>
      <c r="AM705" s="2">
        <v>46865.096937709503</v>
      </c>
      <c r="AN705" s="2">
        <v>29905.388302736199</v>
      </c>
      <c r="AO705" s="2">
        <v>15262.3931995742</v>
      </c>
      <c r="AP705" s="2">
        <v>10872.720818703199</v>
      </c>
      <c r="AQ705" s="2">
        <v>16909.569644596399</v>
      </c>
      <c r="AR705" s="2">
        <v>19989.941192683102</v>
      </c>
      <c r="AS705" s="2">
        <v>8977.9744268152899</v>
      </c>
      <c r="AT705" s="2">
        <v>1043.8972123830899</v>
      </c>
      <c r="AU705" s="2">
        <v>22907.128899503899</v>
      </c>
      <c r="AV705" s="2">
        <v>3651.88222524707</v>
      </c>
      <c r="AW705" s="2">
        <v>7442.9699249775504</v>
      </c>
      <c r="AX705" s="2">
        <v>12456.092988082701</v>
      </c>
    </row>
    <row r="706" spans="1:50" x14ac:dyDescent="0.25">
      <c r="A706" s="2" t="s">
        <v>5079</v>
      </c>
      <c r="B706" s="2">
        <v>373.202058528029</v>
      </c>
      <c r="C706" s="2">
        <v>8.2316333333333294</v>
      </c>
      <c r="D706" s="2" t="s">
        <v>51</v>
      </c>
      <c r="E706" s="2" t="s">
        <v>5080</v>
      </c>
      <c r="F706" s="2">
        <v>266916</v>
      </c>
      <c r="G706" s="3" t="str">
        <f>HYPERLINK("https://cloud.oebiotech.com/#/lm/network/266916", "https://cloud.oebiotech.com/#/lm/network/266916")</f>
        <v>https://cloud.oebiotech.com/#/lm/network/266916</v>
      </c>
      <c r="H706" s="2"/>
      <c r="I706" s="2">
        <v>44295</v>
      </c>
      <c r="J706" s="2"/>
      <c r="K706" s="2">
        <v>6710737</v>
      </c>
      <c r="L706" s="2"/>
      <c r="M706" s="2"/>
      <c r="N706" s="2"/>
      <c r="O706" s="2"/>
      <c r="P706" s="2"/>
      <c r="Q706" s="2"/>
      <c r="R706" s="2" t="s">
        <v>5081</v>
      </c>
      <c r="S706" s="2" t="s">
        <v>5082</v>
      </c>
      <c r="T706" s="2" t="s">
        <v>5083</v>
      </c>
      <c r="U706" s="2" t="s">
        <v>56</v>
      </c>
      <c r="V706" s="2" t="s">
        <v>177</v>
      </c>
      <c r="W706" s="2" t="s">
        <v>178</v>
      </c>
      <c r="X706" s="2" t="s">
        <v>147</v>
      </c>
      <c r="Y706" s="2">
        <v>38.6</v>
      </c>
      <c r="Z706" s="2">
        <v>0</v>
      </c>
      <c r="AA706" s="2" t="s">
        <v>218</v>
      </c>
      <c r="AB706" s="2" t="s">
        <v>5084</v>
      </c>
      <c r="AC706" s="2">
        <v>3.3215299596666102E-2</v>
      </c>
      <c r="AD706" s="2"/>
      <c r="AE706" s="2">
        <v>0.80833161536670295</v>
      </c>
      <c r="AF706" s="2">
        <v>29330.236081855601</v>
      </c>
      <c r="AG706" s="2">
        <v>12975.3265801412</v>
      </c>
      <c r="AH706" s="5">
        <v>2.2604622627954201</v>
      </c>
      <c r="AI706" s="5">
        <v>1.1766178328383301</v>
      </c>
      <c r="AJ706" s="5" t="s">
        <v>139</v>
      </c>
      <c r="AK706" s="2">
        <v>0.13667896317165501</v>
      </c>
      <c r="AL706" s="2">
        <v>0.45714014015627302</v>
      </c>
      <c r="AM706" s="2">
        <v>77639.407309577102</v>
      </c>
      <c r="AN706" s="2">
        <v>20703.7742272451</v>
      </c>
      <c r="AO706" s="2">
        <v>21474.225637597199</v>
      </c>
      <c r="AP706" s="2">
        <v>21057.711881542898</v>
      </c>
      <c r="AQ706" s="2">
        <v>14060.0955592307</v>
      </c>
      <c r="AR706" s="2">
        <v>21046.201875940598</v>
      </c>
      <c r="AS706" s="2">
        <v>23804.344276574699</v>
      </c>
      <c r="AT706" s="2">
        <v>12585.788045143199</v>
      </c>
      <c r="AU706" s="2">
        <v>12190.7997907234</v>
      </c>
      <c r="AV706" s="2">
        <v>4719.8666356104604</v>
      </c>
      <c r="AW706" s="2">
        <v>7977.1550803228502</v>
      </c>
      <c r="AX706" s="2">
        <v>16574.005652472799</v>
      </c>
    </row>
    <row r="707" spans="1:50" x14ac:dyDescent="0.25">
      <c r="A707" s="2" t="s">
        <v>5085</v>
      </c>
      <c r="B707" s="2">
        <v>299.20150727941501</v>
      </c>
      <c r="C707" s="2">
        <v>9.5437499999999993</v>
      </c>
      <c r="D707" s="2" t="s">
        <v>51</v>
      </c>
      <c r="E707" s="2" t="s">
        <v>5086</v>
      </c>
      <c r="F707" s="2">
        <v>35921</v>
      </c>
      <c r="G707" s="3" t="str">
        <f>HYPERLINK("https://cloud.oebiotech.com/#/lm/network/35921", "https://cloud.oebiotech.com/#/lm/network/35921")</f>
        <v>https://cloud.oebiotech.com/#/lm/network/35921</v>
      </c>
      <c r="H707" s="2"/>
      <c r="I707" s="2"/>
      <c r="J707" s="2" t="s">
        <v>5087</v>
      </c>
      <c r="K707" s="2"/>
      <c r="L707" s="2"/>
      <c r="M707" s="2"/>
      <c r="N707" s="2"/>
      <c r="O707" s="2"/>
      <c r="P707" s="2"/>
      <c r="Q707" s="2"/>
      <c r="R707" s="2"/>
      <c r="S707" s="2" t="s">
        <v>5088</v>
      </c>
      <c r="T707" s="2" t="s">
        <v>5089</v>
      </c>
      <c r="U707" s="2" t="s">
        <v>56</v>
      </c>
      <c r="V707" s="2" t="s">
        <v>177</v>
      </c>
      <c r="W707" s="2" t="s">
        <v>178</v>
      </c>
      <c r="X707" s="2" t="s">
        <v>69</v>
      </c>
      <c r="Y707" s="2">
        <v>54.1</v>
      </c>
      <c r="Z707" s="2">
        <v>63.8</v>
      </c>
      <c r="AA707" s="2" t="s">
        <v>156</v>
      </c>
      <c r="AB707" s="2" t="s">
        <v>708</v>
      </c>
      <c r="AC707" s="2">
        <v>3.00683495927762</v>
      </c>
      <c r="AD707" s="2"/>
      <c r="AE707" s="2">
        <v>0.80534103759082698</v>
      </c>
      <c r="AF707" s="2">
        <v>25301.813508552699</v>
      </c>
      <c r="AG707" s="2">
        <v>11985.0632042053</v>
      </c>
      <c r="AH707" s="5">
        <v>2.1111122300694101</v>
      </c>
      <c r="AI707" s="5">
        <v>1.0780032766768799</v>
      </c>
      <c r="AJ707" s="5" t="s">
        <v>139</v>
      </c>
      <c r="AK707" s="2">
        <v>4.5922883353056096E-3</v>
      </c>
      <c r="AL707" s="2">
        <v>0.12174388396289799</v>
      </c>
      <c r="AM707" s="2">
        <v>27735.987363364799</v>
      </c>
      <c r="AN707" s="2">
        <v>38204.891287368002</v>
      </c>
      <c r="AO707" s="2">
        <v>24840.267843057602</v>
      </c>
      <c r="AP707" s="2">
        <v>18223.239025529601</v>
      </c>
      <c r="AQ707" s="2">
        <v>20809.971364761099</v>
      </c>
      <c r="AR707" s="2">
        <v>21996.5241672351</v>
      </c>
      <c r="AS707" s="2">
        <v>20958.423014739401</v>
      </c>
      <c r="AT707" s="2">
        <v>9276.9523502663596</v>
      </c>
      <c r="AU707" s="2">
        <v>14665.4828023788</v>
      </c>
      <c r="AV707" s="2">
        <v>5368.5264958950002</v>
      </c>
      <c r="AW707" s="2">
        <v>8847.4927657865701</v>
      </c>
      <c r="AX707" s="2">
        <v>12793.501796165599</v>
      </c>
    </row>
    <row r="708" spans="1:50" x14ac:dyDescent="0.25">
      <c r="A708" s="2" t="s">
        <v>5090</v>
      </c>
      <c r="B708" s="2">
        <v>293.17598838151099</v>
      </c>
      <c r="C708" s="2">
        <v>8.9855999999999998</v>
      </c>
      <c r="D708" s="2" t="s">
        <v>51</v>
      </c>
      <c r="E708" s="2" t="s">
        <v>5091</v>
      </c>
      <c r="F708" s="2">
        <v>59602</v>
      </c>
      <c r="G708" s="3" t="str">
        <f>HYPERLINK("https://cloud.oebiotech.com/#/lm/network/59602", "https://cloud.oebiotech.com/#/lm/network/59602")</f>
        <v>https://cloud.oebiotech.com/#/lm/network/59602</v>
      </c>
      <c r="H708" s="2" t="s">
        <v>5092</v>
      </c>
      <c r="I708" s="2"/>
      <c r="J708" s="2"/>
      <c r="K708" s="2">
        <v>315114</v>
      </c>
      <c r="L708" s="2" t="s">
        <v>5093</v>
      </c>
      <c r="M708" s="2"/>
      <c r="N708" s="2"/>
      <c r="O708" s="2"/>
      <c r="P708" s="2"/>
      <c r="Q708" s="2"/>
      <c r="R708" s="2" t="s">
        <v>5094</v>
      </c>
      <c r="S708" s="2" t="s">
        <v>5095</v>
      </c>
      <c r="T708" s="2" t="s">
        <v>5096</v>
      </c>
      <c r="U708" s="2" t="s">
        <v>56</v>
      </c>
      <c r="V708" s="2" t="s">
        <v>177</v>
      </c>
      <c r="W708" s="2" t="s">
        <v>1996</v>
      </c>
      <c r="X708" s="2" t="s">
        <v>83</v>
      </c>
      <c r="Y708" s="2">
        <v>55</v>
      </c>
      <c r="Z708" s="2">
        <v>0</v>
      </c>
      <c r="AA708" s="2" t="s">
        <v>163</v>
      </c>
      <c r="AB708" s="2" t="s">
        <v>3027</v>
      </c>
      <c r="AC708" s="2">
        <v>0.52858728520388898</v>
      </c>
      <c r="AD708" s="2"/>
      <c r="AE708" s="2">
        <v>0.80492220021592198</v>
      </c>
      <c r="AF708" s="2">
        <v>15616.3268163993</v>
      </c>
      <c r="AG708" s="2">
        <v>40537.272239023499</v>
      </c>
      <c r="AH708" s="4">
        <v>0.38523378495522398</v>
      </c>
      <c r="AI708" s="4">
        <v>-1.3761938619812</v>
      </c>
      <c r="AJ708" s="4" t="s">
        <v>62</v>
      </c>
      <c r="AK708" s="2">
        <v>8.2902716196992202E-2</v>
      </c>
      <c r="AL708" s="2">
        <v>0.37259997232052</v>
      </c>
      <c r="AM708" s="2">
        <v>6738.2128761720096</v>
      </c>
      <c r="AN708" s="2">
        <v>7687.8178615873003</v>
      </c>
      <c r="AO708" s="2">
        <v>22274.035889639799</v>
      </c>
      <c r="AP708" s="2">
        <v>3219.1737065299599</v>
      </c>
      <c r="AQ708" s="2">
        <v>41361.252646786903</v>
      </c>
      <c r="AR708" s="2">
        <v>12417.4679176801</v>
      </c>
      <c r="AS708" s="2">
        <v>11162.596715800501</v>
      </c>
      <c r="AT708" s="2">
        <v>20096.794845415599</v>
      </c>
      <c r="AU708" s="2">
        <v>89244.814824860296</v>
      </c>
      <c r="AV708" s="2">
        <v>29221.466588151899</v>
      </c>
      <c r="AW708" s="2">
        <v>38127.877095329502</v>
      </c>
      <c r="AX708" s="2">
        <v>55370.083364583203</v>
      </c>
    </row>
    <row r="709" spans="1:50" x14ac:dyDescent="0.25">
      <c r="A709" s="2" t="s">
        <v>5097</v>
      </c>
      <c r="B709" s="2">
        <v>405.22658119428502</v>
      </c>
      <c r="C709" s="2">
        <v>9.5210666666666697</v>
      </c>
      <c r="D709" s="2" t="s">
        <v>51</v>
      </c>
      <c r="E709" s="2" t="s">
        <v>5098</v>
      </c>
      <c r="F709" s="2">
        <v>5955</v>
      </c>
      <c r="G709" s="3" t="str">
        <f>HYPERLINK("https://cloud.oebiotech.com/#/lm/network/5955", "https://cloud.oebiotech.com/#/lm/network/5955")</f>
        <v>https://cloud.oebiotech.com/#/lm/network/5955</v>
      </c>
      <c r="H709" s="2" t="s">
        <v>5099</v>
      </c>
      <c r="I709" s="2"/>
      <c r="J709" s="2" t="s">
        <v>5100</v>
      </c>
      <c r="K709" s="2">
        <v>25073195</v>
      </c>
      <c r="L709" s="2"/>
      <c r="M709" s="2"/>
      <c r="N709" s="2"/>
      <c r="O709" s="2">
        <v>138645</v>
      </c>
      <c r="P709" s="2" t="s">
        <v>1290</v>
      </c>
      <c r="Q709" s="2" t="s">
        <v>1291</v>
      </c>
      <c r="R709" s="2"/>
      <c r="S709" s="2" t="s">
        <v>5101</v>
      </c>
      <c r="T709" s="2" t="s">
        <v>5102</v>
      </c>
      <c r="U709" s="2" t="s">
        <v>56</v>
      </c>
      <c r="V709" s="2" t="s">
        <v>145</v>
      </c>
      <c r="W709" s="2" t="s">
        <v>231</v>
      </c>
      <c r="X709" s="2" t="s">
        <v>83</v>
      </c>
      <c r="Y709" s="2">
        <v>59.3</v>
      </c>
      <c r="Z709" s="2">
        <v>34.9</v>
      </c>
      <c r="AA709" s="2" t="s">
        <v>218</v>
      </c>
      <c r="AB709" s="2" t="s">
        <v>1865</v>
      </c>
      <c r="AC709" s="2">
        <v>-4.6669625453568404</v>
      </c>
      <c r="AD709" s="2"/>
      <c r="AE709" s="2">
        <v>0.80481689707023496</v>
      </c>
      <c r="AF709" s="2">
        <v>44802.231337499201</v>
      </c>
      <c r="AG709" s="2">
        <v>27666.027234193101</v>
      </c>
      <c r="AH709" s="5">
        <v>1.6193951866759899</v>
      </c>
      <c r="AI709" s="5">
        <v>0.69545509452629495</v>
      </c>
      <c r="AJ709" s="5" t="s">
        <v>139</v>
      </c>
      <c r="AK709" s="2">
        <v>0.200406192952469</v>
      </c>
      <c r="AL709" s="2">
        <v>0.524812102806965</v>
      </c>
      <c r="AM709" s="2">
        <v>93054.3168170094</v>
      </c>
      <c r="AN709" s="2">
        <v>40901.0437807087</v>
      </c>
      <c r="AO709" s="2">
        <v>29615.710739735601</v>
      </c>
      <c r="AP709" s="2">
        <v>30492.807753658199</v>
      </c>
      <c r="AQ709" s="2">
        <v>38675.682327801798</v>
      </c>
      <c r="AR709" s="2">
        <v>36073.826606081398</v>
      </c>
      <c r="AS709" s="2">
        <v>19725.402621480702</v>
      </c>
      <c r="AT709" s="2">
        <v>8472.83433016052</v>
      </c>
      <c r="AU709" s="2">
        <v>63491.3970224527</v>
      </c>
      <c r="AV709" s="2">
        <v>19025.305521923801</v>
      </c>
      <c r="AW709" s="2">
        <v>25943.2469720175</v>
      </c>
      <c r="AX709" s="2">
        <v>29337.976937123502</v>
      </c>
    </row>
    <row r="710" spans="1:50" x14ac:dyDescent="0.25">
      <c r="A710" s="2" t="s">
        <v>5103</v>
      </c>
      <c r="B710" s="2">
        <v>383.207733569396</v>
      </c>
      <c r="C710" s="2">
        <v>4.9007166666666704</v>
      </c>
      <c r="D710" s="2" t="s">
        <v>51</v>
      </c>
      <c r="E710" s="2" t="s">
        <v>5104</v>
      </c>
      <c r="F710" s="2">
        <v>262492</v>
      </c>
      <c r="G710" s="3" t="str">
        <f>HYPERLINK("https://cloud.oebiotech.com/#/lm/network/262492", "https://cloud.oebiotech.com/#/lm/network/262492")</f>
        <v>https://cloud.oebiotech.com/#/lm/network/262492</v>
      </c>
      <c r="H710" s="2"/>
      <c r="I710" s="2">
        <v>19855</v>
      </c>
      <c r="J710" s="2"/>
      <c r="K710" s="2">
        <v>54431100</v>
      </c>
      <c r="L710" s="2"/>
      <c r="M710" s="2"/>
      <c r="N710" s="2"/>
      <c r="O710" s="2"/>
      <c r="P710" s="2"/>
      <c r="Q710" s="2"/>
      <c r="R710" s="2"/>
      <c r="S710" s="2" t="s">
        <v>5105</v>
      </c>
      <c r="T710" s="2" t="s">
        <v>5106</v>
      </c>
      <c r="U710" s="2" t="s">
        <v>103</v>
      </c>
      <c r="V710" s="2" t="s">
        <v>104</v>
      </c>
      <c r="W710" s="2" t="s">
        <v>105</v>
      </c>
      <c r="X710" s="2" t="s">
        <v>83</v>
      </c>
      <c r="Y710" s="2">
        <v>38.799999999999997</v>
      </c>
      <c r="Z710" s="2">
        <v>0</v>
      </c>
      <c r="AA710" s="2" t="s">
        <v>379</v>
      </c>
      <c r="AB710" s="2" t="s">
        <v>5107</v>
      </c>
      <c r="AC710" s="2">
        <v>-2.8112756527869802</v>
      </c>
      <c r="AD710" s="2"/>
      <c r="AE710" s="2">
        <v>0.80348578572626606</v>
      </c>
      <c r="AF710" s="2">
        <v>25204.803086392902</v>
      </c>
      <c r="AG710" s="2">
        <v>9680.4806697963304</v>
      </c>
      <c r="AH710" s="5">
        <v>2.6036726838403199</v>
      </c>
      <c r="AI710" s="5">
        <v>1.3805480940177099</v>
      </c>
      <c r="AJ710" s="5" t="s">
        <v>139</v>
      </c>
      <c r="AK710" s="2">
        <v>0.114357377073424</v>
      </c>
      <c r="AL710" s="2">
        <v>0.42835315311351202</v>
      </c>
      <c r="AM710" s="2">
        <v>55062.530733682797</v>
      </c>
      <c r="AN710" s="2">
        <v>46088.596314142698</v>
      </c>
      <c r="AO710" s="2">
        <v>14967.000400573699</v>
      </c>
      <c r="AP710" s="2">
        <v>18476.093397919602</v>
      </c>
      <c r="AQ710" s="2">
        <v>6189.8761374997002</v>
      </c>
      <c r="AR710" s="2">
        <v>10444.7215345389</v>
      </c>
      <c r="AS710" s="2">
        <v>21402.834100018801</v>
      </c>
      <c r="AT710" s="2">
        <v>4191.2130599451102</v>
      </c>
      <c r="AU710" s="2">
        <v>18042.260460710499</v>
      </c>
      <c r="AV710" s="2">
        <v>2147.6703620307198</v>
      </c>
      <c r="AW710" s="2">
        <v>1670.1341592086401</v>
      </c>
      <c r="AX710" s="2">
        <v>10628.771876864201</v>
      </c>
    </row>
    <row r="711" spans="1:50" x14ac:dyDescent="0.25">
      <c r="A711" s="2" t="s">
        <v>5108</v>
      </c>
      <c r="B711" s="2">
        <v>650.44012432268096</v>
      </c>
      <c r="C711" s="2">
        <v>12.2135333333333</v>
      </c>
      <c r="D711" s="2" t="s">
        <v>51</v>
      </c>
      <c r="E711" s="2" t="s">
        <v>5109</v>
      </c>
      <c r="F711" s="2">
        <v>215907</v>
      </c>
      <c r="G711" s="3" t="str">
        <f>HYPERLINK("https://cloud.oebiotech.com/#/lm/network/215907", "https://cloud.oebiotech.com/#/lm/network/215907")</f>
        <v>https://cloud.oebiotech.com/#/lm/network/215907</v>
      </c>
      <c r="H711" s="2" t="s">
        <v>5110</v>
      </c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 t="s">
        <v>5111</v>
      </c>
      <c r="T711" s="2" t="s">
        <v>5112</v>
      </c>
      <c r="U711" s="2" t="s">
        <v>56</v>
      </c>
      <c r="V711" s="2" t="s">
        <v>57</v>
      </c>
      <c r="W711" s="2" t="s">
        <v>702</v>
      </c>
      <c r="X711" s="2" t="s">
        <v>83</v>
      </c>
      <c r="Y711" s="2">
        <v>52.3</v>
      </c>
      <c r="Z711" s="2">
        <v>0</v>
      </c>
      <c r="AA711" s="2" t="s">
        <v>512</v>
      </c>
      <c r="AB711" s="2" t="s">
        <v>5113</v>
      </c>
      <c r="AC711" s="2">
        <v>1.54747333721556</v>
      </c>
      <c r="AD711" s="2"/>
      <c r="AE711" s="2">
        <v>0.80267511884246801</v>
      </c>
      <c r="AF711" s="2">
        <v>40887.515591664298</v>
      </c>
      <c r="AG711" s="2">
        <v>23973.628367058402</v>
      </c>
      <c r="AH711" s="5">
        <v>1.70552053972135</v>
      </c>
      <c r="AI711" s="5">
        <v>0.77021212954861595</v>
      </c>
      <c r="AJ711" s="5" t="s">
        <v>139</v>
      </c>
      <c r="AK711" s="2">
        <v>2.0000552002092501E-2</v>
      </c>
      <c r="AL711" s="2">
        <v>0.22102032801678201</v>
      </c>
      <c r="AM711" s="2">
        <v>35685.484417647203</v>
      </c>
      <c r="AN711" s="2">
        <v>46569.987407793698</v>
      </c>
      <c r="AO711" s="2">
        <v>30360.555653201802</v>
      </c>
      <c r="AP711" s="2">
        <v>59315.583569839197</v>
      </c>
      <c r="AQ711" s="2">
        <v>34271.052972314799</v>
      </c>
      <c r="AR711" s="2">
        <v>39122.4295291893</v>
      </c>
      <c r="AS711" s="2">
        <v>16466.119731713999</v>
      </c>
      <c r="AT711" s="2">
        <v>31500.199039773601</v>
      </c>
      <c r="AU711" s="2">
        <v>41534.0213983547</v>
      </c>
      <c r="AV711" s="2">
        <v>20573.2642774794</v>
      </c>
      <c r="AW711" s="2">
        <v>12793.0007927063</v>
      </c>
      <c r="AX711" s="2">
        <v>20975.164962322098</v>
      </c>
    </row>
    <row r="712" spans="1:50" x14ac:dyDescent="0.25">
      <c r="A712" s="2" t="s">
        <v>5114</v>
      </c>
      <c r="B712" s="2">
        <v>314.12459451529003</v>
      </c>
      <c r="C712" s="2">
        <v>0.73424999999999996</v>
      </c>
      <c r="D712" s="2" t="s">
        <v>51</v>
      </c>
      <c r="E712" s="2" t="s">
        <v>5115</v>
      </c>
      <c r="F712" s="2">
        <v>82622</v>
      </c>
      <c r="G712" s="3" t="str">
        <f>HYPERLINK("https://cloud.oebiotech.com/#/lm/network/82622", "https://cloud.oebiotech.com/#/lm/network/82622")</f>
        <v>https://cloud.oebiotech.com/#/lm/network/82622</v>
      </c>
      <c r="H712" s="2" t="s">
        <v>5116</v>
      </c>
      <c r="I712" s="2"/>
      <c r="J712" s="2"/>
      <c r="K712" s="2">
        <v>105108</v>
      </c>
      <c r="L712" s="2"/>
      <c r="M712" s="2"/>
      <c r="N712" s="2"/>
      <c r="O712" s="2"/>
      <c r="P712" s="2"/>
      <c r="Q712" s="2"/>
      <c r="R712" s="2"/>
      <c r="S712" s="2" t="s">
        <v>5117</v>
      </c>
      <c r="T712" s="2" t="s">
        <v>5118</v>
      </c>
      <c r="U712" s="2" t="s">
        <v>119</v>
      </c>
      <c r="V712" s="2" t="s">
        <v>120</v>
      </c>
      <c r="W712" s="2" t="s">
        <v>1887</v>
      </c>
      <c r="X712" s="2" t="s">
        <v>147</v>
      </c>
      <c r="Y712" s="2">
        <v>37.9</v>
      </c>
      <c r="Z712" s="2">
        <v>0</v>
      </c>
      <c r="AA712" s="2" t="s">
        <v>2589</v>
      </c>
      <c r="AB712" s="2" t="s">
        <v>5119</v>
      </c>
      <c r="AC712" s="2">
        <v>-0.57846224571581295</v>
      </c>
      <c r="AD712" s="2"/>
      <c r="AE712" s="2">
        <v>0.80011989127917404</v>
      </c>
      <c r="AF712" s="2">
        <v>2017.78579550995</v>
      </c>
      <c r="AG712" s="2">
        <v>26423.721710510399</v>
      </c>
      <c r="AH712" s="4">
        <v>7.6362664488225498E-2</v>
      </c>
      <c r="AI712" s="4">
        <v>-3.7109887468431899</v>
      </c>
      <c r="AJ712" s="4" t="s">
        <v>62</v>
      </c>
      <c r="AK712" s="2">
        <v>0.22985800732563899</v>
      </c>
      <c r="AL712" s="2">
        <v>0.55475797238248803</v>
      </c>
      <c r="AM712" s="2">
        <v>7145.1089164854502</v>
      </c>
      <c r="AN712" s="2">
        <v>8.559877937157E-6</v>
      </c>
      <c r="AO712" s="2">
        <v>2584.01440785661</v>
      </c>
      <c r="AP712" s="2">
        <v>1941.4617205310301</v>
      </c>
      <c r="AQ712" s="2">
        <v>8.559877937157E-6</v>
      </c>
      <c r="AR712" s="2">
        <v>436.12971106683699</v>
      </c>
      <c r="AS712" s="2">
        <v>25748.240167354899</v>
      </c>
      <c r="AT712" s="2">
        <v>8.559877937157E-6</v>
      </c>
      <c r="AU712" s="2">
        <v>3217.1914793646301</v>
      </c>
      <c r="AV712" s="2">
        <v>0.14397606853323699</v>
      </c>
      <c r="AW712" s="2">
        <v>119612.44880876799</v>
      </c>
      <c r="AX712" s="2">
        <v>9964.3058229465605</v>
      </c>
    </row>
    <row r="713" spans="1:50" x14ac:dyDescent="0.25">
      <c r="A713" s="2" t="s">
        <v>5120</v>
      </c>
      <c r="B713" s="2">
        <v>761.42258308205396</v>
      </c>
      <c r="C713" s="2">
        <v>9.6639666666666706</v>
      </c>
      <c r="D713" s="2" t="s">
        <v>51</v>
      </c>
      <c r="E713" s="2" t="s">
        <v>5121</v>
      </c>
      <c r="F713" s="2">
        <v>220648</v>
      </c>
      <c r="G713" s="3" t="str">
        <f>HYPERLINK("https://cloud.oebiotech.com/#/lm/network/220648", "https://cloud.oebiotech.com/#/lm/network/220648")</f>
        <v>https://cloud.oebiotech.com/#/lm/network/220648</v>
      </c>
      <c r="H713" s="2" t="s">
        <v>5122</v>
      </c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 t="s">
        <v>5123</v>
      </c>
      <c r="T713" s="2" t="s">
        <v>5124</v>
      </c>
      <c r="U713" s="2" t="s">
        <v>56</v>
      </c>
      <c r="V713" s="2" t="s">
        <v>145</v>
      </c>
      <c r="W713" s="2" t="s">
        <v>187</v>
      </c>
      <c r="X713" s="2" t="s">
        <v>147</v>
      </c>
      <c r="Y713" s="2">
        <v>42.7</v>
      </c>
      <c r="Z713" s="2">
        <v>23.2</v>
      </c>
      <c r="AA713" s="2" t="s">
        <v>218</v>
      </c>
      <c r="AB713" s="2" t="s">
        <v>5125</v>
      </c>
      <c r="AC713" s="2">
        <v>-2.8883881349391398</v>
      </c>
      <c r="AD713" s="2"/>
      <c r="AE713" s="2">
        <v>0.79826014765980802</v>
      </c>
      <c r="AF713" s="2">
        <v>30592.105534183302</v>
      </c>
      <c r="AG713" s="2">
        <v>14982.297931364999</v>
      </c>
      <c r="AH713" s="5">
        <v>2.04188340629242</v>
      </c>
      <c r="AI713" s="5">
        <v>1.0299004891510199</v>
      </c>
      <c r="AJ713" s="5" t="s">
        <v>139</v>
      </c>
      <c r="AK713" s="2">
        <v>2.07227308306271E-2</v>
      </c>
      <c r="AL713" s="2">
        <v>0.224553420023335</v>
      </c>
      <c r="AM713" s="2">
        <v>38336.298070516299</v>
      </c>
      <c r="AN713" s="2">
        <v>28494.607696204199</v>
      </c>
      <c r="AO713" s="2">
        <v>23906.4886713165</v>
      </c>
      <c r="AP713" s="2">
        <v>41264.475012982599</v>
      </c>
      <c r="AQ713" s="2">
        <v>16491.501961565798</v>
      </c>
      <c r="AR713" s="2">
        <v>35059.261792514299</v>
      </c>
      <c r="AS713" s="2">
        <v>22793.603389162701</v>
      </c>
      <c r="AT713" s="2">
        <v>15203.9094843776</v>
      </c>
      <c r="AU713" s="2">
        <v>30241.636358943899</v>
      </c>
      <c r="AV713" s="2">
        <v>1935.19972203426</v>
      </c>
      <c r="AW713" s="2">
        <v>7298.8669309925699</v>
      </c>
      <c r="AX713" s="2">
        <v>12420.571702678701</v>
      </c>
    </row>
    <row r="714" spans="1:50" x14ac:dyDescent="0.25">
      <c r="A714" s="2" t="s">
        <v>5126</v>
      </c>
      <c r="B714" s="2">
        <v>685.35407387191003</v>
      </c>
      <c r="C714" s="2">
        <v>3.9009</v>
      </c>
      <c r="D714" s="2" t="s">
        <v>51</v>
      </c>
      <c r="E714" s="2" t="s">
        <v>5127</v>
      </c>
      <c r="F714" s="2">
        <v>57923</v>
      </c>
      <c r="G714" s="3" t="str">
        <f>HYPERLINK("https://cloud.oebiotech.com/#/lm/network/57923", "https://cloud.oebiotech.com/#/lm/network/57923")</f>
        <v>https://cloud.oebiotech.com/#/lm/network/57923</v>
      </c>
      <c r="H714" s="2" t="s">
        <v>5128</v>
      </c>
      <c r="I714" s="2">
        <v>89501</v>
      </c>
      <c r="J714" s="2"/>
      <c r="K714" s="2">
        <v>85228887</v>
      </c>
      <c r="L714" s="2"/>
      <c r="M714" s="2"/>
      <c r="N714" s="2"/>
      <c r="O714" s="2"/>
      <c r="P714" s="2"/>
      <c r="Q714" s="2"/>
      <c r="R714" s="2" t="s">
        <v>5129</v>
      </c>
      <c r="S714" s="2" t="s">
        <v>5130</v>
      </c>
      <c r="T714" s="2" t="s">
        <v>5131</v>
      </c>
      <c r="U714" s="2" t="s">
        <v>56</v>
      </c>
      <c r="V714" s="2" t="s">
        <v>283</v>
      </c>
      <c r="W714" s="2" t="s">
        <v>1338</v>
      </c>
      <c r="X714" s="2" t="s">
        <v>147</v>
      </c>
      <c r="Y714" s="2">
        <v>47</v>
      </c>
      <c r="Z714" s="2">
        <v>43</v>
      </c>
      <c r="AA714" s="2" t="s">
        <v>95</v>
      </c>
      <c r="AB714" s="2" t="s">
        <v>5132</v>
      </c>
      <c r="AC714" s="2">
        <v>-2.65616502435656</v>
      </c>
      <c r="AD714" s="2"/>
      <c r="AE714" s="2">
        <v>0.79815699429769504</v>
      </c>
      <c r="AF714" s="2">
        <v>10339.2085223535</v>
      </c>
      <c r="AG714" s="2">
        <v>44586.553311690601</v>
      </c>
      <c r="AH714" s="4">
        <v>0.23189073284215</v>
      </c>
      <c r="AI714" s="4">
        <v>-2.1084829288483302</v>
      </c>
      <c r="AJ714" s="4" t="s">
        <v>62</v>
      </c>
      <c r="AK714" s="2">
        <v>0.45596435717261502</v>
      </c>
      <c r="AL714" s="2">
        <v>0.70767999469069398</v>
      </c>
      <c r="AM714" s="2">
        <v>21223.450369911301</v>
      </c>
      <c r="AN714" s="2">
        <v>8.559877937157E-6</v>
      </c>
      <c r="AO714" s="2">
        <v>8.559877937157E-6</v>
      </c>
      <c r="AP714" s="2">
        <v>8.559877937157E-6</v>
      </c>
      <c r="AQ714" s="2">
        <v>25028.341875020498</v>
      </c>
      <c r="AR714" s="2">
        <v>15783.458863509701</v>
      </c>
      <c r="AS714" s="2">
        <v>112.04214978802899</v>
      </c>
      <c r="AT714" s="2">
        <v>8.559877937157E-6</v>
      </c>
      <c r="AU714" s="2">
        <v>8.559877937157E-6</v>
      </c>
      <c r="AV714" s="2">
        <v>264068.64652626001</v>
      </c>
      <c r="AW714" s="2">
        <v>20.312337039766799</v>
      </c>
      <c r="AX714" s="2">
        <v>3318.3188399359401</v>
      </c>
    </row>
    <row r="715" spans="1:50" x14ac:dyDescent="0.25">
      <c r="A715" s="2" t="s">
        <v>5133</v>
      </c>
      <c r="B715" s="2">
        <v>351.21753321788998</v>
      </c>
      <c r="C715" s="2">
        <v>9.0315999999999992</v>
      </c>
      <c r="D715" s="2" t="s">
        <v>51</v>
      </c>
      <c r="E715" s="2" t="s">
        <v>5134</v>
      </c>
      <c r="F715" s="2">
        <v>4084</v>
      </c>
      <c r="G715" s="3" t="str">
        <f>HYPERLINK("https://cloud.oebiotech.com/#/lm/network/4084", "https://cloud.oebiotech.com/#/lm/network/4084")</f>
        <v>https://cloud.oebiotech.com/#/lm/network/4084</v>
      </c>
      <c r="H715" s="2"/>
      <c r="I715" s="2">
        <v>45983</v>
      </c>
      <c r="J715" s="2" t="s">
        <v>5135</v>
      </c>
      <c r="K715" s="2">
        <v>46174067</v>
      </c>
      <c r="L715" s="2" t="s">
        <v>5136</v>
      </c>
      <c r="M715" s="2"/>
      <c r="N715" s="2"/>
      <c r="O715" s="2">
        <v>132908</v>
      </c>
      <c r="P715" s="2" t="s">
        <v>5137</v>
      </c>
      <c r="Q715" s="2" t="s">
        <v>5138</v>
      </c>
      <c r="R715" s="2"/>
      <c r="S715" s="2" t="s">
        <v>5139</v>
      </c>
      <c r="T715" s="2" t="s">
        <v>5140</v>
      </c>
      <c r="U715" s="2" t="s">
        <v>56</v>
      </c>
      <c r="V715" s="2" t="s">
        <v>145</v>
      </c>
      <c r="W715" s="2" t="s">
        <v>187</v>
      </c>
      <c r="X715" s="2" t="s">
        <v>69</v>
      </c>
      <c r="Y715" s="2">
        <v>56.9</v>
      </c>
      <c r="Z715" s="2">
        <v>75.2</v>
      </c>
      <c r="AA715" s="2" t="s">
        <v>259</v>
      </c>
      <c r="AB715" s="2" t="s">
        <v>950</v>
      </c>
      <c r="AC715" s="2">
        <v>2.6633385398931302</v>
      </c>
      <c r="AD715" s="2"/>
      <c r="AE715" s="2">
        <v>0.79802522103950402</v>
      </c>
      <c r="AF715" s="2">
        <v>30062.623318304199</v>
      </c>
      <c r="AG715" s="2">
        <v>15412.196851852999</v>
      </c>
      <c r="AH715" s="5">
        <v>1.9505735364838499</v>
      </c>
      <c r="AI715" s="5">
        <v>0.96389838888836499</v>
      </c>
      <c r="AJ715" s="5" t="s">
        <v>139</v>
      </c>
      <c r="AK715" s="2">
        <v>5.02129276832882E-3</v>
      </c>
      <c r="AL715" s="2">
        <v>0.123740271492219</v>
      </c>
      <c r="AM715" s="2">
        <v>22072.847546437501</v>
      </c>
      <c r="AN715" s="2">
        <v>45468.908748132701</v>
      </c>
      <c r="AO715" s="2">
        <v>33511.023279517103</v>
      </c>
      <c r="AP715" s="2">
        <v>23925.078600182202</v>
      </c>
      <c r="AQ715" s="2">
        <v>28243.156104210499</v>
      </c>
      <c r="AR715" s="2">
        <v>27154.7256313455</v>
      </c>
      <c r="AS715" s="2">
        <v>22887.640903190098</v>
      </c>
      <c r="AT715" s="2">
        <v>12323.014350904899</v>
      </c>
      <c r="AU715" s="2">
        <v>19566.8522128287</v>
      </c>
      <c r="AV715" s="2">
        <v>7870.4488558881103</v>
      </c>
      <c r="AW715" s="2">
        <v>15185.5391310002</v>
      </c>
      <c r="AX715" s="2">
        <v>14639.6856573061</v>
      </c>
    </row>
    <row r="716" spans="1:50" x14ac:dyDescent="0.25">
      <c r="A716" s="2" t="s">
        <v>5141</v>
      </c>
      <c r="B716" s="2">
        <v>421.22073288313402</v>
      </c>
      <c r="C716" s="2">
        <v>7.8409500000000003</v>
      </c>
      <c r="D716" s="2" t="s">
        <v>51</v>
      </c>
      <c r="E716" s="2" t="s">
        <v>5142</v>
      </c>
      <c r="F716" s="2">
        <v>257950</v>
      </c>
      <c r="G716" s="3" t="str">
        <f>HYPERLINK("https://cloud.oebiotech.com/#/lm/network/257950", "https://cloud.oebiotech.com/#/lm/network/257950")</f>
        <v>https://cloud.oebiotech.com/#/lm/network/257950</v>
      </c>
      <c r="H716" s="2"/>
      <c r="I716" s="2">
        <v>1671</v>
      </c>
      <c r="J716" s="2"/>
      <c r="K716" s="2">
        <v>12313812</v>
      </c>
      <c r="L716" s="2"/>
      <c r="M716" s="2"/>
      <c r="N716" s="2"/>
      <c r="O716" s="2"/>
      <c r="P716" s="2"/>
      <c r="Q716" s="2"/>
      <c r="R716" s="2" t="s">
        <v>5143</v>
      </c>
      <c r="S716" s="2" t="s">
        <v>5144</v>
      </c>
      <c r="T716" s="2" t="s">
        <v>5145</v>
      </c>
      <c r="U716" s="2" t="s">
        <v>56</v>
      </c>
      <c r="V716" s="2" t="s">
        <v>283</v>
      </c>
      <c r="W716" s="2" t="s">
        <v>1338</v>
      </c>
      <c r="X716" s="2" t="s">
        <v>147</v>
      </c>
      <c r="Y716" s="2">
        <v>37.200000000000003</v>
      </c>
      <c r="Z716" s="2">
        <v>0</v>
      </c>
      <c r="AA716" s="2" t="s">
        <v>156</v>
      </c>
      <c r="AB716" s="2" t="s">
        <v>5146</v>
      </c>
      <c r="AC716" s="2">
        <v>-3.0735640252824701</v>
      </c>
      <c r="AD716" s="2"/>
      <c r="AE716" s="2">
        <v>0.79745744941562402</v>
      </c>
      <c r="AF716" s="2">
        <v>20679.305164498099</v>
      </c>
      <c r="AG716" s="2">
        <v>5457.98320697482</v>
      </c>
      <c r="AH716" s="5">
        <v>3.7888180267890501</v>
      </c>
      <c r="AI716" s="5">
        <v>1.9217478502838099</v>
      </c>
      <c r="AJ716" s="5" t="s">
        <v>139</v>
      </c>
      <c r="AK716" s="2">
        <v>7.9327996618614501E-3</v>
      </c>
      <c r="AL716" s="2">
        <v>0.14763959746856301</v>
      </c>
      <c r="AM716" s="2">
        <v>16039.203359945401</v>
      </c>
      <c r="AN716" s="2">
        <v>40200.986383919699</v>
      </c>
      <c r="AO716" s="2">
        <v>19371.3303272376</v>
      </c>
      <c r="AP716" s="2">
        <v>16032.9922137747</v>
      </c>
      <c r="AQ716" s="2">
        <v>9927.2667739451899</v>
      </c>
      <c r="AR716" s="2">
        <v>22504.051928166002</v>
      </c>
      <c r="AS716" s="2">
        <v>11836.861120494899</v>
      </c>
      <c r="AT716" s="2">
        <v>2243.92503748838</v>
      </c>
      <c r="AU716" s="2">
        <v>4866.4888235567296</v>
      </c>
      <c r="AV716" s="2">
        <v>1703.2042246428</v>
      </c>
      <c r="AW716" s="2">
        <v>2518.8001746999598</v>
      </c>
      <c r="AX716" s="2">
        <v>9578.6198609661806</v>
      </c>
    </row>
    <row r="717" spans="1:50" x14ac:dyDescent="0.25">
      <c r="A717" s="2" t="s">
        <v>5147</v>
      </c>
      <c r="B717" s="2">
        <v>337.15168152214397</v>
      </c>
      <c r="C717" s="2">
        <v>3.6894833333333299</v>
      </c>
      <c r="D717" s="2" t="s">
        <v>51</v>
      </c>
      <c r="E717" s="2" t="s">
        <v>5148</v>
      </c>
      <c r="F717" s="2">
        <v>54090</v>
      </c>
      <c r="G717" s="3" t="str">
        <f>HYPERLINK("https://cloud.oebiotech.com/#/lm/network/54090", "https://cloud.oebiotech.com/#/lm/network/54090")</f>
        <v>https://cloud.oebiotech.com/#/lm/network/54090</v>
      </c>
      <c r="H717" s="2" t="s">
        <v>5149</v>
      </c>
      <c r="I717" s="2"/>
      <c r="J717" s="2"/>
      <c r="K717" s="2">
        <v>14717801</v>
      </c>
      <c r="L717" s="2"/>
      <c r="M717" s="2"/>
      <c r="N717" s="2"/>
      <c r="O717" s="2"/>
      <c r="P717" s="2"/>
      <c r="Q717" s="2"/>
      <c r="R717" s="2"/>
      <c r="S717" s="2" t="s">
        <v>5150</v>
      </c>
      <c r="T717" s="2" t="s">
        <v>5151</v>
      </c>
      <c r="U717" s="2" t="s">
        <v>103</v>
      </c>
      <c r="V717" s="2" t="s">
        <v>104</v>
      </c>
      <c r="W717" s="2" t="s">
        <v>105</v>
      </c>
      <c r="X717" s="2" t="s">
        <v>69</v>
      </c>
      <c r="Y717" s="2">
        <v>57.5</v>
      </c>
      <c r="Z717" s="2">
        <v>72.7</v>
      </c>
      <c r="AA717" s="2" t="s">
        <v>512</v>
      </c>
      <c r="AB717" s="2" t="s">
        <v>5152</v>
      </c>
      <c r="AC717" s="2">
        <v>3.2443753732648699</v>
      </c>
      <c r="AD717" s="2"/>
      <c r="AE717" s="2">
        <v>0.79745101780603</v>
      </c>
      <c r="AF717" s="2">
        <v>32141.2181304148</v>
      </c>
      <c r="AG717" s="2">
        <v>11319.480698544599</v>
      </c>
      <c r="AH717" s="5">
        <v>2.83946048289542</v>
      </c>
      <c r="AI717" s="5">
        <v>1.50561683374639</v>
      </c>
      <c r="AJ717" s="5" t="s">
        <v>139</v>
      </c>
      <c r="AK717" s="2">
        <v>4.6037016680687902E-2</v>
      </c>
      <c r="AL717" s="2">
        <v>0.303077969035141</v>
      </c>
      <c r="AM717" s="2">
        <v>17411.4452434011</v>
      </c>
      <c r="AN717" s="2">
        <v>24817.5695586402</v>
      </c>
      <c r="AO717" s="2">
        <v>70312.482370841506</v>
      </c>
      <c r="AP717" s="2">
        <v>16720.179639071899</v>
      </c>
      <c r="AQ717" s="2">
        <v>23773.656764021202</v>
      </c>
      <c r="AR717" s="2">
        <v>39811.975206513001</v>
      </c>
      <c r="AS717" s="2">
        <v>5156.0035947568304</v>
      </c>
      <c r="AT717" s="2">
        <v>6588.6475254913703</v>
      </c>
      <c r="AU717" s="2">
        <v>5302.36393920314</v>
      </c>
      <c r="AV717" s="2">
        <v>10185.659795851499</v>
      </c>
      <c r="AW717" s="2">
        <v>29119.425478271402</v>
      </c>
      <c r="AX717" s="2">
        <v>11564.783857693201</v>
      </c>
    </row>
    <row r="718" spans="1:50" x14ac:dyDescent="0.25">
      <c r="A718" s="2" t="s">
        <v>5153</v>
      </c>
      <c r="B718" s="2">
        <v>299.20154647733102</v>
      </c>
      <c r="C718" s="2">
        <v>9.0934000000000008</v>
      </c>
      <c r="D718" s="2" t="s">
        <v>51</v>
      </c>
      <c r="E718" s="2" t="s">
        <v>5154</v>
      </c>
      <c r="F718" s="2">
        <v>209678</v>
      </c>
      <c r="G718" s="3" t="str">
        <f>HYPERLINK("https://cloud.oebiotech.com/#/lm/network/209678", "https://cloud.oebiotech.com/#/lm/network/209678")</f>
        <v>https://cloud.oebiotech.com/#/lm/network/209678</v>
      </c>
      <c r="H718" s="2" t="s">
        <v>5155</v>
      </c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 t="s">
        <v>5156</v>
      </c>
      <c r="T718" s="2" t="s">
        <v>5157</v>
      </c>
      <c r="U718" s="2" t="s">
        <v>56</v>
      </c>
      <c r="V718" s="2" t="s">
        <v>283</v>
      </c>
      <c r="W718" s="2" t="s">
        <v>5158</v>
      </c>
      <c r="X718" s="2" t="s">
        <v>83</v>
      </c>
      <c r="Y718" s="2">
        <v>48.5</v>
      </c>
      <c r="Z718" s="2">
        <v>39.700000000000003</v>
      </c>
      <c r="AA718" s="2" t="s">
        <v>179</v>
      </c>
      <c r="AB718" s="2" t="s">
        <v>5159</v>
      </c>
      <c r="AC718" s="2">
        <v>3.3199017446436199</v>
      </c>
      <c r="AD718" s="2"/>
      <c r="AE718" s="2">
        <v>0.79703942047534004</v>
      </c>
      <c r="AF718" s="2">
        <v>47029.119700510397</v>
      </c>
      <c r="AG718" s="2">
        <v>31081.531381054301</v>
      </c>
      <c r="AH718" s="5">
        <v>1.5130888862566401</v>
      </c>
      <c r="AI718" s="5">
        <v>0.59749674102126704</v>
      </c>
      <c r="AJ718" s="5" t="s">
        <v>139</v>
      </c>
      <c r="AK718" s="2">
        <v>0.20624101724622401</v>
      </c>
      <c r="AL718" s="2">
        <v>0.531216017089299</v>
      </c>
      <c r="AM718" s="2">
        <v>90262.752473856497</v>
      </c>
      <c r="AN718" s="2">
        <v>57638.805144771301</v>
      </c>
      <c r="AO718" s="2">
        <v>37835.131548476398</v>
      </c>
      <c r="AP718" s="2">
        <v>40568.684438209202</v>
      </c>
      <c r="AQ718" s="2">
        <v>25217.193365062401</v>
      </c>
      <c r="AR718" s="2">
        <v>30652.151232686901</v>
      </c>
      <c r="AS718" s="2">
        <v>41067.608197592403</v>
      </c>
      <c r="AT718" s="2">
        <v>21352.231679958601</v>
      </c>
      <c r="AU718" s="2">
        <v>59141.313703698303</v>
      </c>
      <c r="AV718" s="2">
        <v>16899.234905309298</v>
      </c>
      <c r="AW718" s="2">
        <v>19488.602017674799</v>
      </c>
      <c r="AX718" s="2">
        <v>28540.1977820926</v>
      </c>
    </row>
    <row r="719" spans="1:50" x14ac:dyDescent="0.25">
      <c r="A719" s="2" t="s">
        <v>5160</v>
      </c>
      <c r="B719" s="2">
        <v>432.01430460599698</v>
      </c>
      <c r="C719" s="2">
        <v>5.9233833333333301</v>
      </c>
      <c r="D719" s="2" t="s">
        <v>51</v>
      </c>
      <c r="E719" s="2" t="s">
        <v>5161</v>
      </c>
      <c r="F719" s="2">
        <v>201474</v>
      </c>
      <c r="G719" s="3" t="str">
        <f>HYPERLINK("https://cloud.oebiotech.com/#/lm/network/201474", "https://cloud.oebiotech.com/#/lm/network/201474")</f>
        <v>https://cloud.oebiotech.com/#/lm/network/201474</v>
      </c>
      <c r="H719" s="2" t="s">
        <v>5162</v>
      </c>
      <c r="I719" s="2"/>
      <c r="J719" s="2"/>
      <c r="K719" s="2">
        <v>114771</v>
      </c>
      <c r="L719" s="2"/>
      <c r="M719" s="2"/>
      <c r="N719" s="2"/>
      <c r="O719" s="2">
        <v>125553</v>
      </c>
      <c r="P719" s="2"/>
      <c r="Q719" s="2"/>
      <c r="R719" s="2"/>
      <c r="S719" s="2" t="s">
        <v>5163</v>
      </c>
      <c r="T719" s="2" t="s">
        <v>5164</v>
      </c>
      <c r="U719" s="2" t="s">
        <v>610</v>
      </c>
      <c r="V719" s="2" t="s">
        <v>611</v>
      </c>
      <c r="W719" s="2" t="s">
        <v>1409</v>
      </c>
      <c r="X719" s="2" t="s">
        <v>59</v>
      </c>
      <c r="Y719" s="2">
        <v>40.1</v>
      </c>
      <c r="Z719" s="2">
        <v>66</v>
      </c>
      <c r="AA719" s="2" t="s">
        <v>218</v>
      </c>
      <c r="AB719" s="2" t="s">
        <v>5165</v>
      </c>
      <c r="AC719" s="2">
        <v>-2.03970943095938</v>
      </c>
      <c r="AD719" s="2"/>
      <c r="AE719" s="2">
        <v>0.79638189569526197</v>
      </c>
      <c r="AF719" s="2">
        <v>23771.0626226645</v>
      </c>
      <c r="AG719" s="2">
        <v>3895.3617245369001</v>
      </c>
      <c r="AH719" s="5">
        <v>6.1024018572987702</v>
      </c>
      <c r="AI719" s="5">
        <v>2.60937718785536</v>
      </c>
      <c r="AJ719" s="5" t="s">
        <v>139</v>
      </c>
      <c r="AK719" s="2">
        <v>0.294077996382617</v>
      </c>
      <c r="AL719" s="2">
        <v>0.60634549190129605</v>
      </c>
      <c r="AM719" s="2">
        <v>106602.05799704599</v>
      </c>
      <c r="AN719" s="2">
        <v>8.559877937157E-6</v>
      </c>
      <c r="AO719" s="2">
        <v>8.559877937157E-6</v>
      </c>
      <c r="AP719" s="2">
        <v>8.559877937157E-6</v>
      </c>
      <c r="AQ719" s="2">
        <v>35153.180532365601</v>
      </c>
      <c r="AR719" s="2">
        <v>871.137180895847</v>
      </c>
      <c r="AS719" s="2">
        <v>23372.170304422001</v>
      </c>
      <c r="AT719" s="2">
        <v>8.559877937157E-6</v>
      </c>
      <c r="AU719" s="2">
        <v>8.559877937157E-6</v>
      </c>
      <c r="AV719" s="2">
        <v>8.559877937157E-6</v>
      </c>
      <c r="AW719" s="2">
        <v>8.559877937157E-6</v>
      </c>
      <c r="AX719" s="2">
        <v>8.559877937157E-6</v>
      </c>
    </row>
    <row r="720" spans="1:50" x14ac:dyDescent="0.25">
      <c r="A720" s="2" t="s">
        <v>5166</v>
      </c>
      <c r="B720" s="2">
        <v>394.10822586287901</v>
      </c>
      <c r="C720" s="2">
        <v>5.0999999999999996</v>
      </c>
      <c r="D720" s="2" t="s">
        <v>51</v>
      </c>
      <c r="E720" s="2" t="s">
        <v>5167</v>
      </c>
      <c r="F720" s="2">
        <v>52937</v>
      </c>
      <c r="G720" s="3" t="str">
        <f>HYPERLINK("https://cloud.oebiotech.com/#/lm/network/52937", "https://cloud.oebiotech.com/#/lm/network/52937")</f>
        <v>https://cloud.oebiotech.com/#/lm/network/52937</v>
      </c>
      <c r="H720" s="2" t="s">
        <v>5168</v>
      </c>
      <c r="I720" s="2">
        <v>3929</v>
      </c>
      <c r="J720" s="2"/>
      <c r="K720" s="2">
        <v>2165</v>
      </c>
      <c r="L720" s="2" t="s">
        <v>5169</v>
      </c>
      <c r="M720" s="2"/>
      <c r="N720" s="2"/>
      <c r="O720" s="2">
        <v>2674</v>
      </c>
      <c r="P720" s="2"/>
      <c r="Q720" s="2"/>
      <c r="R720" s="2" t="s">
        <v>5170</v>
      </c>
      <c r="S720" s="2" t="s">
        <v>5171</v>
      </c>
      <c r="T720" s="2" t="s">
        <v>5172</v>
      </c>
      <c r="U720" s="2" t="s">
        <v>266</v>
      </c>
      <c r="V720" s="2" t="s">
        <v>1393</v>
      </c>
      <c r="W720" s="2" t="s">
        <v>4835</v>
      </c>
      <c r="X720" s="2" t="s">
        <v>147</v>
      </c>
      <c r="Y720" s="2">
        <v>38.299999999999997</v>
      </c>
      <c r="Z720" s="2">
        <v>19.2</v>
      </c>
      <c r="AA720" s="2" t="s">
        <v>395</v>
      </c>
      <c r="AB720" s="2" t="s">
        <v>5173</v>
      </c>
      <c r="AC720" s="2">
        <v>-0.20345659624486001</v>
      </c>
      <c r="AD720" s="2"/>
      <c r="AE720" s="2">
        <v>0.79155056118491496</v>
      </c>
      <c r="AF720" s="2">
        <v>2251.2900084939702</v>
      </c>
      <c r="AG720" s="2">
        <v>30304.186479901</v>
      </c>
      <c r="AH720" s="4">
        <v>7.4289735841848906E-2</v>
      </c>
      <c r="AI720" s="4">
        <v>-3.7506932935866999</v>
      </c>
      <c r="AJ720" s="4" t="s">
        <v>62</v>
      </c>
      <c r="AK720" s="2">
        <v>0.32589760791606298</v>
      </c>
      <c r="AL720" s="2">
        <v>0.62992073899545697</v>
      </c>
      <c r="AM720" s="2">
        <v>1274.88982167074</v>
      </c>
      <c r="AN720" s="2">
        <v>518.89328228770796</v>
      </c>
      <c r="AO720" s="2">
        <v>1094.81816269053</v>
      </c>
      <c r="AP720" s="2">
        <v>8.559877937157E-6</v>
      </c>
      <c r="AQ720" s="2">
        <v>2474.8034559364</v>
      </c>
      <c r="AR720" s="2">
        <v>8144.3353198185896</v>
      </c>
      <c r="AS720" s="2">
        <v>2472.1395824698002</v>
      </c>
      <c r="AT720" s="2">
        <v>2899.6935403979801</v>
      </c>
      <c r="AU720" s="2">
        <v>4723.1334023361496</v>
      </c>
      <c r="AV720" s="2">
        <v>4195.6791512622704</v>
      </c>
      <c r="AW720" s="2">
        <v>165917.07136508499</v>
      </c>
      <c r="AX720" s="2">
        <v>1617.4018378548899</v>
      </c>
    </row>
    <row r="721" spans="1:50" x14ac:dyDescent="0.25">
      <c r="A721" s="2" t="s">
        <v>5174</v>
      </c>
      <c r="B721" s="2">
        <v>330.20362928193202</v>
      </c>
      <c r="C721" s="2">
        <v>4.4732000000000003</v>
      </c>
      <c r="D721" s="2" t="s">
        <v>51</v>
      </c>
      <c r="E721" s="2" t="s">
        <v>5175</v>
      </c>
      <c r="F721" s="2">
        <v>265777</v>
      </c>
      <c r="G721" s="3" t="str">
        <f>HYPERLINK("https://cloud.oebiotech.com/#/lm/network/265777", "https://cloud.oebiotech.com/#/lm/network/265777")</f>
        <v>https://cloud.oebiotech.com/#/lm/network/265777</v>
      </c>
      <c r="H721" s="2"/>
      <c r="I721" s="2">
        <v>23286</v>
      </c>
      <c r="J721" s="2"/>
      <c r="K721" s="2">
        <v>71464623</v>
      </c>
      <c r="L721" s="2"/>
      <c r="M721" s="2"/>
      <c r="N721" s="2"/>
      <c r="O721" s="2"/>
      <c r="P721" s="2"/>
      <c r="Q721" s="2"/>
      <c r="R721" s="2"/>
      <c r="S721" s="2" t="s">
        <v>5176</v>
      </c>
      <c r="T721" s="2" t="s">
        <v>5177</v>
      </c>
      <c r="U721" s="2" t="s">
        <v>103</v>
      </c>
      <c r="V721" s="2" t="s">
        <v>104</v>
      </c>
      <c r="W721" s="2" t="s">
        <v>105</v>
      </c>
      <c r="X721" s="2" t="s">
        <v>83</v>
      </c>
      <c r="Y721" s="2">
        <v>44</v>
      </c>
      <c r="Z721" s="2">
        <v>0</v>
      </c>
      <c r="AA721" s="2" t="s">
        <v>163</v>
      </c>
      <c r="AB721" s="2" t="s">
        <v>3032</v>
      </c>
      <c r="AC721" s="2">
        <v>0.55756559210179901</v>
      </c>
      <c r="AD721" s="2"/>
      <c r="AE721" s="2">
        <v>0.79093022115446299</v>
      </c>
      <c r="AF721" s="2">
        <v>40233.050724499197</v>
      </c>
      <c r="AG721" s="2">
        <v>17744.065361002002</v>
      </c>
      <c r="AH721" s="5">
        <v>2.2674088437998901</v>
      </c>
      <c r="AI721" s="5">
        <v>1.1810445515293799</v>
      </c>
      <c r="AJ721" s="5" t="s">
        <v>139</v>
      </c>
      <c r="AK721" s="2">
        <v>0.133498325805923</v>
      </c>
      <c r="AL721" s="2">
        <v>0.45370802433151702</v>
      </c>
      <c r="AM721" s="2">
        <v>48893.850308349502</v>
      </c>
      <c r="AN721" s="2">
        <v>6508.6562096541302</v>
      </c>
      <c r="AO721" s="2">
        <v>38556.488666457102</v>
      </c>
      <c r="AP721" s="2">
        <v>8403.4205923926202</v>
      </c>
      <c r="AQ721" s="2">
        <v>55398.182775462199</v>
      </c>
      <c r="AR721" s="2">
        <v>83637.705794679394</v>
      </c>
      <c r="AS721" s="2">
        <v>39108.822639655598</v>
      </c>
      <c r="AT721" s="2">
        <v>36046.7830576829</v>
      </c>
      <c r="AU721" s="2">
        <v>14675.051996669399</v>
      </c>
      <c r="AV721" s="2">
        <v>13677.425692852799</v>
      </c>
      <c r="AW721" s="2">
        <v>1122.63562794583</v>
      </c>
      <c r="AX721" s="2">
        <v>1833.67315120536</v>
      </c>
    </row>
    <row r="722" spans="1:50" x14ac:dyDescent="0.25">
      <c r="A722" s="2" t="s">
        <v>5178</v>
      </c>
      <c r="B722" s="2">
        <v>688.42002193440703</v>
      </c>
      <c r="C722" s="2">
        <v>12.2734166666667</v>
      </c>
      <c r="D722" s="2" t="s">
        <v>51</v>
      </c>
      <c r="E722" s="2" t="s">
        <v>5179</v>
      </c>
      <c r="F722" s="2">
        <v>27924</v>
      </c>
      <c r="G722" s="3" t="str">
        <f>HYPERLINK("https://cloud.oebiotech.com/#/lm/network/27924", "https://cloud.oebiotech.com/#/lm/network/27924")</f>
        <v>https://cloud.oebiotech.com/#/lm/network/27924</v>
      </c>
      <c r="H722" s="2"/>
      <c r="I722" s="2"/>
      <c r="J722" s="2" t="s">
        <v>5180</v>
      </c>
      <c r="K722" s="2">
        <v>134812381</v>
      </c>
      <c r="L722" s="2"/>
      <c r="M722" s="2"/>
      <c r="N722" s="2"/>
      <c r="O722" s="2"/>
      <c r="P722" s="2"/>
      <c r="Q722" s="2"/>
      <c r="R722" s="2"/>
      <c r="S722" s="2" t="s">
        <v>5181</v>
      </c>
      <c r="T722" s="2" t="s">
        <v>5182</v>
      </c>
      <c r="U722" s="2" t="s">
        <v>56</v>
      </c>
      <c r="V722" s="2" t="s">
        <v>57</v>
      </c>
      <c r="W722" s="2" t="s">
        <v>155</v>
      </c>
      <c r="X722" s="2" t="s">
        <v>83</v>
      </c>
      <c r="Y722" s="2">
        <v>44.2</v>
      </c>
      <c r="Z722" s="2">
        <v>0</v>
      </c>
      <c r="AA722" s="2" t="s">
        <v>156</v>
      </c>
      <c r="AB722" s="2" t="s">
        <v>5183</v>
      </c>
      <c r="AC722" s="2">
        <v>2.28470710575133</v>
      </c>
      <c r="AD722" s="2"/>
      <c r="AE722" s="2">
        <v>0.79059355817365995</v>
      </c>
      <c r="AF722" s="2">
        <v>17724.922247927701</v>
      </c>
      <c r="AG722" s="2">
        <v>2422.8456172865299</v>
      </c>
      <c r="AH722" s="5">
        <v>7.3157456345810399</v>
      </c>
      <c r="AI722" s="5">
        <v>2.8710049140548999</v>
      </c>
      <c r="AJ722" s="5" t="s">
        <v>139</v>
      </c>
      <c r="AK722" s="2">
        <v>5.1149325270382802E-3</v>
      </c>
      <c r="AL722" s="2">
        <v>0.123740271492219</v>
      </c>
      <c r="AM722" s="2">
        <v>16395.4312543817</v>
      </c>
      <c r="AN722" s="2">
        <v>27431.708486690499</v>
      </c>
      <c r="AO722" s="2">
        <v>9454.89952333158</v>
      </c>
      <c r="AP722" s="2">
        <v>26135.548214935101</v>
      </c>
      <c r="AQ722" s="2">
        <v>2562.3376223513501</v>
      </c>
      <c r="AR722" s="2">
        <v>24369.608385876199</v>
      </c>
      <c r="AS722" s="2">
        <v>3804.1115786410001</v>
      </c>
      <c r="AT722" s="2">
        <v>7145.4374081821497</v>
      </c>
      <c r="AU722" s="2">
        <v>0.343166097241909</v>
      </c>
      <c r="AV722" s="2">
        <v>68.787573924000299</v>
      </c>
      <c r="AW722" s="2">
        <v>8.559877937157E-6</v>
      </c>
      <c r="AX722" s="2">
        <v>3518.3939683149201</v>
      </c>
    </row>
    <row r="723" spans="1:50" x14ac:dyDescent="0.25">
      <c r="A723" s="2" t="s">
        <v>5184</v>
      </c>
      <c r="B723" s="2">
        <v>279.13523172690998</v>
      </c>
      <c r="C723" s="2">
        <v>2.9643999999999999</v>
      </c>
      <c r="D723" s="2" t="s">
        <v>51</v>
      </c>
      <c r="E723" s="2" t="s">
        <v>5185</v>
      </c>
      <c r="F723" s="2">
        <v>54040</v>
      </c>
      <c r="G723" s="3" t="str">
        <f>HYPERLINK("https://cloud.oebiotech.com/#/lm/network/54040", "https://cloud.oebiotech.com/#/lm/network/54040")</f>
        <v>https://cloud.oebiotech.com/#/lm/network/54040</v>
      </c>
      <c r="H723" s="2" t="s">
        <v>5186</v>
      </c>
      <c r="I723" s="2"/>
      <c r="J723" s="2"/>
      <c r="K723" s="2">
        <v>22395834</v>
      </c>
      <c r="L723" s="2"/>
      <c r="M723" s="2"/>
      <c r="N723" s="2"/>
      <c r="O723" s="2"/>
      <c r="P723" s="2"/>
      <c r="Q723" s="2"/>
      <c r="R723" s="2"/>
      <c r="S723" s="2" t="s">
        <v>5187</v>
      </c>
      <c r="T723" s="2" t="s">
        <v>5188</v>
      </c>
      <c r="U723" s="2" t="s">
        <v>103</v>
      </c>
      <c r="V723" s="2" t="s">
        <v>104</v>
      </c>
      <c r="W723" s="2" t="s">
        <v>105</v>
      </c>
      <c r="X723" s="2" t="s">
        <v>83</v>
      </c>
      <c r="Y723" s="2">
        <v>42.5</v>
      </c>
      <c r="Z723" s="2">
        <v>0.64500000000000002</v>
      </c>
      <c r="AA723" s="2" t="s">
        <v>259</v>
      </c>
      <c r="AB723" s="2" t="s">
        <v>5189</v>
      </c>
      <c r="AC723" s="2">
        <v>4.6677647639971198</v>
      </c>
      <c r="AD723" s="2"/>
      <c r="AE723" s="2">
        <v>0.79034120151730403</v>
      </c>
      <c r="AF723" s="2">
        <v>89570.012786196894</v>
      </c>
      <c r="AG723" s="2">
        <v>143648.32710180301</v>
      </c>
      <c r="AH723" s="4">
        <v>0.62353676226747201</v>
      </c>
      <c r="AI723" s="4">
        <v>-0.68145347440341597</v>
      </c>
      <c r="AJ723" s="4" t="s">
        <v>62</v>
      </c>
      <c r="AK723" s="2">
        <v>0.68648832496595402</v>
      </c>
      <c r="AL723" s="2">
        <v>0.84892338790311805</v>
      </c>
      <c r="AM723" s="2">
        <v>198656.56795062101</v>
      </c>
      <c r="AN723" s="2">
        <v>887.66072574541204</v>
      </c>
      <c r="AO723" s="2">
        <v>542.37973079213305</v>
      </c>
      <c r="AP723" s="2">
        <v>439.07379421844399</v>
      </c>
      <c r="AQ723" s="2">
        <v>251568.19340199899</v>
      </c>
      <c r="AR723" s="2">
        <v>85326.201113805204</v>
      </c>
      <c r="AS723" s="2">
        <v>8.559877937157E-6</v>
      </c>
      <c r="AT723" s="2">
        <v>1108.90549588474</v>
      </c>
      <c r="AU723" s="2">
        <v>4158.2914369850796</v>
      </c>
      <c r="AV723" s="2">
        <v>746893.54271285597</v>
      </c>
      <c r="AW723" s="2">
        <v>104.89042441067301</v>
      </c>
      <c r="AX723" s="2">
        <v>109624.33253212</v>
      </c>
    </row>
    <row r="724" spans="1:50" x14ac:dyDescent="0.25">
      <c r="A724" s="2" t="s">
        <v>5190</v>
      </c>
      <c r="B724" s="2">
        <v>362.32774189929</v>
      </c>
      <c r="C724" s="2">
        <v>7.9849666666666703</v>
      </c>
      <c r="D724" s="2" t="s">
        <v>51</v>
      </c>
      <c r="E724" s="2" t="s">
        <v>5191</v>
      </c>
      <c r="F724" s="2">
        <v>10470</v>
      </c>
      <c r="G724" s="3" t="str">
        <f>HYPERLINK("https://cloud.oebiotech.com/#/lm/network/10470", "https://cloud.oebiotech.com/#/lm/network/10470")</f>
        <v>https://cloud.oebiotech.com/#/lm/network/10470</v>
      </c>
      <c r="H724" s="2"/>
      <c r="I724" s="2"/>
      <c r="J724" s="2" t="s">
        <v>5192</v>
      </c>
      <c r="K724" s="2">
        <v>51041883</v>
      </c>
      <c r="L724" s="2"/>
      <c r="M724" s="2"/>
      <c r="N724" s="2"/>
      <c r="O724" s="2"/>
      <c r="P724" s="2"/>
      <c r="Q724" s="2"/>
      <c r="R724" s="2"/>
      <c r="S724" s="2" t="s">
        <v>5193</v>
      </c>
      <c r="T724" s="2" t="s">
        <v>5194</v>
      </c>
      <c r="U724" s="2" t="s">
        <v>56</v>
      </c>
      <c r="V724" s="2" t="s">
        <v>3215</v>
      </c>
      <c r="W724" s="2" t="s">
        <v>4174</v>
      </c>
      <c r="X724" s="2" t="s">
        <v>59</v>
      </c>
      <c r="Y724" s="2">
        <v>53.1</v>
      </c>
      <c r="Z724" s="2">
        <v>73.8</v>
      </c>
      <c r="AA724" s="2" t="s">
        <v>512</v>
      </c>
      <c r="AB724" s="2" t="s">
        <v>5195</v>
      </c>
      <c r="AC724" s="2">
        <v>3.6498258502927601</v>
      </c>
      <c r="AD724" s="2"/>
      <c r="AE724" s="2">
        <v>0.7902176491813</v>
      </c>
      <c r="AF724" s="2">
        <v>7759.9058980257496</v>
      </c>
      <c r="AG724" s="2">
        <v>38518.321425697701</v>
      </c>
      <c r="AH724" s="4">
        <v>0.201460126267306</v>
      </c>
      <c r="AI724" s="4">
        <v>-2.3114337714139501</v>
      </c>
      <c r="AJ724" s="4" t="s">
        <v>62</v>
      </c>
      <c r="AK724" s="2">
        <v>0.30476386820331802</v>
      </c>
      <c r="AL724" s="2">
        <v>0.61439154007575403</v>
      </c>
      <c r="AM724" s="2">
        <v>8.559877937157E-6</v>
      </c>
      <c r="AN724" s="2">
        <v>8.559877937157E-6</v>
      </c>
      <c r="AO724" s="2">
        <v>4187.1707729243399</v>
      </c>
      <c r="AP724" s="2">
        <v>32742.8741217151</v>
      </c>
      <c r="AQ724" s="2">
        <v>9494.6555855284496</v>
      </c>
      <c r="AR724" s="2">
        <v>134.734890866852</v>
      </c>
      <c r="AS724" s="2">
        <v>6816.7237185266404</v>
      </c>
      <c r="AT724" s="2">
        <v>51982.184783154902</v>
      </c>
      <c r="AU724" s="2">
        <v>293.79045678672099</v>
      </c>
      <c r="AV724" s="2">
        <v>8.559877937157E-6</v>
      </c>
      <c r="AW724" s="2">
        <v>8.559877937157E-6</v>
      </c>
      <c r="AX724" s="2">
        <v>172017.22957859799</v>
      </c>
    </row>
    <row r="725" spans="1:50" x14ac:dyDescent="0.25">
      <c r="A725" s="2" t="s">
        <v>5196</v>
      </c>
      <c r="B725" s="2">
        <v>246.07479342540799</v>
      </c>
      <c r="C725" s="2">
        <v>4.8803666666666699</v>
      </c>
      <c r="D725" s="2" t="s">
        <v>51</v>
      </c>
      <c r="E725" s="2" t="s">
        <v>5197</v>
      </c>
      <c r="F725" s="2">
        <v>81782</v>
      </c>
      <c r="G725" s="3" t="str">
        <f>HYPERLINK("https://cloud.oebiotech.com/#/lm/network/81782", "https://cloud.oebiotech.com/#/lm/network/81782")</f>
        <v>https://cloud.oebiotech.com/#/lm/network/81782</v>
      </c>
      <c r="H725" s="2" t="s">
        <v>5198</v>
      </c>
      <c r="I725" s="2"/>
      <c r="J725" s="2"/>
      <c r="K725" s="2">
        <v>124202120</v>
      </c>
      <c r="L725" s="2"/>
      <c r="M725" s="2"/>
      <c r="N725" s="2"/>
      <c r="O725" s="2">
        <v>89911</v>
      </c>
      <c r="P725" s="2"/>
      <c r="Q725" s="2"/>
      <c r="R725" s="2"/>
      <c r="S725" s="2" t="s">
        <v>5199</v>
      </c>
      <c r="T725" s="2" t="s">
        <v>5200</v>
      </c>
      <c r="U725" s="2" t="s">
        <v>103</v>
      </c>
      <c r="V725" s="2" t="s">
        <v>104</v>
      </c>
      <c r="W725" s="2" t="s">
        <v>105</v>
      </c>
      <c r="X725" s="2" t="s">
        <v>83</v>
      </c>
      <c r="Y725" s="2">
        <v>39.6</v>
      </c>
      <c r="Z725" s="2">
        <v>0</v>
      </c>
      <c r="AA725" s="2" t="s">
        <v>379</v>
      </c>
      <c r="AB725" s="2" t="s">
        <v>5201</v>
      </c>
      <c r="AC725" s="2">
        <v>-9.0082349306242406</v>
      </c>
      <c r="AD725" s="2"/>
      <c r="AE725" s="2">
        <v>0.78986231516752203</v>
      </c>
      <c r="AF725" s="2">
        <v>35849.904673026998</v>
      </c>
      <c r="AG725" s="2">
        <v>60492.988191895398</v>
      </c>
      <c r="AH725" s="4">
        <v>0.59262909214046799</v>
      </c>
      <c r="AI725" s="4">
        <v>-0.754798645002974</v>
      </c>
      <c r="AJ725" s="4" t="s">
        <v>62</v>
      </c>
      <c r="AK725" s="2">
        <v>0.13766531172837401</v>
      </c>
      <c r="AL725" s="2">
        <v>0.458819266663407</v>
      </c>
      <c r="AM725" s="2">
        <v>20888.2190869806</v>
      </c>
      <c r="AN725" s="2">
        <v>45218.172431113802</v>
      </c>
      <c r="AO725" s="2">
        <v>46247.726762678503</v>
      </c>
      <c r="AP725" s="2">
        <v>35272.706422247698</v>
      </c>
      <c r="AQ725" s="2">
        <v>27543.7274819913</v>
      </c>
      <c r="AR725" s="2">
        <v>39928.875853150297</v>
      </c>
      <c r="AS725" s="2">
        <v>64161.663798914502</v>
      </c>
      <c r="AT725" s="2">
        <v>103617.339955117</v>
      </c>
      <c r="AU725" s="2">
        <v>24859.326638968399</v>
      </c>
      <c r="AV725" s="2">
        <v>103633.628876302</v>
      </c>
      <c r="AW725" s="2">
        <v>30873.5716297992</v>
      </c>
      <c r="AX725" s="2">
        <v>35812.3982522714</v>
      </c>
    </row>
    <row r="726" spans="1:50" x14ac:dyDescent="0.25">
      <c r="A726" s="2" t="s">
        <v>5202</v>
      </c>
      <c r="B726" s="2">
        <v>158.11799999999999</v>
      </c>
      <c r="C726" s="2">
        <v>10.654</v>
      </c>
      <c r="D726" s="2" t="s">
        <v>125</v>
      </c>
      <c r="E726" s="2" t="s">
        <v>5203</v>
      </c>
      <c r="F726" s="2">
        <v>2489</v>
      </c>
      <c r="G726" s="3" t="str">
        <f>HYPERLINK("https://cloud.oebiotech.com/#/lm/network/2489", "https://cloud.oebiotech.com/#/lm/network/2489")</f>
        <v>https://cloud.oebiotech.com/#/lm/network/2489</v>
      </c>
      <c r="H726" s="2" t="s">
        <v>5204</v>
      </c>
      <c r="I726" s="2">
        <v>23</v>
      </c>
      <c r="J726" s="2" t="s">
        <v>5205</v>
      </c>
      <c r="K726" s="2">
        <v>6306</v>
      </c>
      <c r="L726" s="2" t="s">
        <v>5206</v>
      </c>
      <c r="M726" s="2" t="s">
        <v>5207</v>
      </c>
      <c r="N726" s="2" t="s">
        <v>5208</v>
      </c>
      <c r="O726" s="2">
        <v>17191</v>
      </c>
      <c r="P726" s="2"/>
      <c r="Q726" s="2"/>
      <c r="R726" s="2" t="s">
        <v>5209</v>
      </c>
      <c r="S726" s="2" t="s">
        <v>5210</v>
      </c>
      <c r="T726" s="2" t="s">
        <v>5211</v>
      </c>
      <c r="U726" s="2" t="s">
        <v>103</v>
      </c>
      <c r="V726" s="2" t="s">
        <v>104</v>
      </c>
      <c r="W726" s="2" t="s">
        <v>105</v>
      </c>
      <c r="X726" s="2" t="s">
        <v>69</v>
      </c>
      <c r="Y726" s="2">
        <v>96.9</v>
      </c>
      <c r="Z726" s="2">
        <v>95.6</v>
      </c>
      <c r="AA726" s="2"/>
      <c r="AB726" s="2" t="s">
        <v>5212</v>
      </c>
      <c r="AC726" s="2"/>
      <c r="AD726" s="2">
        <v>360437.151335312</v>
      </c>
      <c r="AE726" s="2">
        <v>0.78669964853075003</v>
      </c>
      <c r="AF726" s="2">
        <v>1961241.29250475</v>
      </c>
      <c r="AG726" s="2">
        <v>2150197.8450859999</v>
      </c>
      <c r="AH726" s="4">
        <v>0.91212131803913699</v>
      </c>
      <c r="AI726" s="4">
        <v>-0.13270236995656401</v>
      </c>
      <c r="AJ726" s="4" t="s">
        <v>62</v>
      </c>
      <c r="AK726" s="2">
        <v>0.66350727603354698</v>
      </c>
      <c r="AL726" s="2">
        <v>0.83663677386975799</v>
      </c>
      <c r="AM726" s="2">
        <v>1536025.9114023801</v>
      </c>
      <c r="AN726" s="2">
        <v>1698705.8814228899</v>
      </c>
      <c r="AO726" s="2">
        <v>2816972.0030875802</v>
      </c>
      <c r="AP726" s="2">
        <v>2968238.5595792602</v>
      </c>
      <c r="AQ726" s="2">
        <v>963939.96946998802</v>
      </c>
      <c r="AR726" s="2">
        <v>1783565.43006641</v>
      </c>
      <c r="AS726" s="2">
        <v>1118380.2269582499</v>
      </c>
      <c r="AT726" s="2">
        <v>1535846.75816065</v>
      </c>
      <c r="AU726" s="2">
        <v>2639576.4450839502</v>
      </c>
      <c r="AV726" s="2">
        <v>2839130.7704855702</v>
      </c>
      <c r="AW726" s="2">
        <v>2238590.5860299598</v>
      </c>
      <c r="AX726" s="2">
        <v>2529662.2837975998</v>
      </c>
    </row>
    <row r="727" spans="1:50" x14ac:dyDescent="0.25">
      <c r="A727" s="2" t="s">
        <v>5213</v>
      </c>
      <c r="B727" s="2">
        <v>439.13908310322699</v>
      </c>
      <c r="C727" s="2">
        <v>3.1026833333333301</v>
      </c>
      <c r="D727" s="2" t="s">
        <v>51</v>
      </c>
      <c r="E727" s="2" t="s">
        <v>5214</v>
      </c>
      <c r="F727" s="2">
        <v>64531</v>
      </c>
      <c r="G727" s="3" t="str">
        <f>HYPERLINK("https://cloud.oebiotech.com/#/lm/network/64531", "https://cloud.oebiotech.com/#/lm/network/64531")</f>
        <v>https://cloud.oebiotech.com/#/lm/network/64531</v>
      </c>
      <c r="H727" s="2" t="s">
        <v>5215</v>
      </c>
      <c r="I727" s="2">
        <v>95838</v>
      </c>
      <c r="J727" s="2"/>
      <c r="K727" s="2">
        <v>131753146</v>
      </c>
      <c r="L727" s="2"/>
      <c r="M727" s="2"/>
      <c r="N727" s="2"/>
      <c r="O727" s="2">
        <v>174118</v>
      </c>
      <c r="P727" s="2"/>
      <c r="Q727" s="2"/>
      <c r="R727" s="2" t="s">
        <v>5216</v>
      </c>
      <c r="S727" s="2" t="s">
        <v>5217</v>
      </c>
      <c r="T727" s="2" t="s">
        <v>5218</v>
      </c>
      <c r="U727" s="2" t="s">
        <v>610</v>
      </c>
      <c r="V727" s="2" t="s">
        <v>895</v>
      </c>
      <c r="W727" s="2" t="s">
        <v>5219</v>
      </c>
      <c r="X727" s="2" t="s">
        <v>147</v>
      </c>
      <c r="Y727" s="2">
        <v>39.4</v>
      </c>
      <c r="Z727" s="2">
        <v>1.1000000000000001</v>
      </c>
      <c r="AA727" s="2" t="s">
        <v>478</v>
      </c>
      <c r="AB727" s="2" t="s">
        <v>5220</v>
      </c>
      <c r="AC727" s="2">
        <v>-1.7225852507169701</v>
      </c>
      <c r="AD727" s="2"/>
      <c r="AE727" s="2">
        <v>0.78228056997749496</v>
      </c>
      <c r="AF727" s="2">
        <v>8.559877937157E-6</v>
      </c>
      <c r="AG727" s="2">
        <v>21473.189507389401</v>
      </c>
      <c r="AH727" s="4">
        <v>3.9863095020007802E-10</v>
      </c>
      <c r="AI727" s="4">
        <v>-31.224227221720401</v>
      </c>
      <c r="AJ727" s="4" t="s">
        <v>62</v>
      </c>
      <c r="AK727" s="2">
        <v>6.0219732730819597E-2</v>
      </c>
      <c r="AL727" s="2">
        <v>0.33165542970582201</v>
      </c>
      <c r="AM727" s="2">
        <v>8.559877937157E-6</v>
      </c>
      <c r="AN727" s="2">
        <v>8.559877937157E-6</v>
      </c>
      <c r="AO727" s="2">
        <v>8.559877937157E-6</v>
      </c>
      <c r="AP727" s="2">
        <v>8.559877937157E-6</v>
      </c>
      <c r="AQ727" s="2">
        <v>8.559877937157E-6</v>
      </c>
      <c r="AR727" s="2">
        <v>8.559877937157E-6</v>
      </c>
      <c r="AS727" s="2">
        <v>29895.608091879501</v>
      </c>
      <c r="AT727" s="2">
        <v>55011.629207363701</v>
      </c>
      <c r="AU727" s="2">
        <v>8.559877937157E-6</v>
      </c>
      <c r="AV727" s="2">
        <v>43931.899719413799</v>
      </c>
      <c r="AW727" s="2">
        <v>8.559877937157E-6</v>
      </c>
      <c r="AX727" s="2">
        <v>8.559877937157E-6</v>
      </c>
    </row>
    <row r="728" spans="1:50" x14ac:dyDescent="0.25">
      <c r="A728" s="2" t="s">
        <v>5221</v>
      </c>
      <c r="B728" s="2">
        <v>306.26489668665198</v>
      </c>
      <c r="C728" s="2">
        <v>6.6227666666666698</v>
      </c>
      <c r="D728" s="2" t="s">
        <v>51</v>
      </c>
      <c r="E728" s="2" t="s">
        <v>5222</v>
      </c>
      <c r="F728" s="2">
        <v>93669</v>
      </c>
      <c r="G728" s="3" t="str">
        <f>HYPERLINK("https://cloud.oebiotech.com/#/lm/network/93669", "https://cloud.oebiotech.com/#/lm/network/93669")</f>
        <v>https://cloud.oebiotech.com/#/lm/network/93669</v>
      </c>
      <c r="H728" s="2" t="s">
        <v>5223</v>
      </c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 t="s">
        <v>5224</v>
      </c>
      <c r="T728" s="2" t="s">
        <v>5225</v>
      </c>
      <c r="U728" s="2" t="s">
        <v>56</v>
      </c>
      <c r="V728" s="2" t="s">
        <v>3215</v>
      </c>
      <c r="W728" s="2" t="s">
        <v>4174</v>
      </c>
      <c r="X728" s="2" t="s">
        <v>59</v>
      </c>
      <c r="Y728" s="2">
        <v>52.6</v>
      </c>
      <c r="Z728" s="2">
        <v>70.8</v>
      </c>
      <c r="AA728" s="2" t="s">
        <v>512</v>
      </c>
      <c r="AB728" s="2" t="s">
        <v>5226</v>
      </c>
      <c r="AC728" s="2">
        <v>3.50987739891172</v>
      </c>
      <c r="AD728" s="2"/>
      <c r="AE728" s="2">
        <v>0.78158656605864996</v>
      </c>
      <c r="AF728" s="2">
        <v>5381.08422027293</v>
      </c>
      <c r="AG728" s="2">
        <v>36858.591584295697</v>
      </c>
      <c r="AH728" s="4">
        <v>0.145992670608869</v>
      </c>
      <c r="AI728" s="4">
        <v>-2.77603215277975</v>
      </c>
      <c r="AJ728" s="4" t="s">
        <v>62</v>
      </c>
      <c r="AK728" s="2">
        <v>0.35658941763664498</v>
      </c>
      <c r="AL728" s="2">
        <v>0.64439059109587704</v>
      </c>
      <c r="AM728" s="2">
        <v>8.559877937157E-6</v>
      </c>
      <c r="AN728" s="2">
        <v>80.037022430310699</v>
      </c>
      <c r="AO728" s="2">
        <v>7301.0751153048404</v>
      </c>
      <c r="AP728" s="2">
        <v>9996.0682696421009</v>
      </c>
      <c r="AQ728" s="2">
        <v>14909.324897140599</v>
      </c>
      <c r="AR728" s="2">
        <v>8.559877937157E-6</v>
      </c>
      <c r="AS728" s="2">
        <v>7227.4759486015</v>
      </c>
      <c r="AT728" s="2">
        <v>11576.163199181299</v>
      </c>
      <c r="AU728" s="2">
        <v>3347.58936162592</v>
      </c>
      <c r="AV728" s="2">
        <v>68.586966463866304</v>
      </c>
      <c r="AW728" s="2">
        <v>8.559877937157E-6</v>
      </c>
      <c r="AX728" s="2">
        <v>198931.73402134201</v>
      </c>
    </row>
    <row r="729" spans="1:50" x14ac:dyDescent="0.25">
      <c r="A729" s="2" t="s">
        <v>5227</v>
      </c>
      <c r="B729" s="2">
        <v>172.99058761901</v>
      </c>
      <c r="C729" s="2">
        <v>3.7574999999999998</v>
      </c>
      <c r="D729" s="2" t="s">
        <v>51</v>
      </c>
      <c r="E729" s="2" t="s">
        <v>5228</v>
      </c>
      <c r="F729" s="2">
        <v>82031</v>
      </c>
      <c r="G729" s="3" t="str">
        <f>HYPERLINK("https://cloud.oebiotech.com/#/lm/network/82031", "https://cloud.oebiotech.com/#/lm/network/82031")</f>
        <v>https://cloud.oebiotech.com/#/lm/network/82031</v>
      </c>
      <c r="H729" s="2" t="s">
        <v>5229</v>
      </c>
      <c r="I729" s="2"/>
      <c r="J729" s="2"/>
      <c r="K729" s="2">
        <v>74426</v>
      </c>
      <c r="L729" s="2" t="s">
        <v>5230</v>
      </c>
      <c r="M729" s="2"/>
      <c r="N729" s="2"/>
      <c r="O729" s="2">
        <v>27905</v>
      </c>
      <c r="P729" s="2" t="s">
        <v>5231</v>
      </c>
      <c r="Q729" s="2" t="s">
        <v>5232</v>
      </c>
      <c r="R729" s="2" t="s">
        <v>5233</v>
      </c>
      <c r="S729" s="2" t="s">
        <v>5234</v>
      </c>
      <c r="T729" s="2" t="s">
        <v>5235</v>
      </c>
      <c r="U729" s="2" t="s">
        <v>103</v>
      </c>
      <c r="V729" s="2" t="s">
        <v>4820</v>
      </c>
      <c r="W729" s="2" t="s">
        <v>4821</v>
      </c>
      <c r="X729" s="2" t="s">
        <v>69</v>
      </c>
      <c r="Y729" s="2">
        <v>58.2</v>
      </c>
      <c r="Z729" s="2">
        <v>87.1</v>
      </c>
      <c r="AA729" s="2" t="s">
        <v>163</v>
      </c>
      <c r="AB729" s="2" t="s">
        <v>5236</v>
      </c>
      <c r="AC729" s="2">
        <v>-4.6875048246488502</v>
      </c>
      <c r="AD729" s="2"/>
      <c r="AE729" s="2">
        <v>0.78047795052362501</v>
      </c>
      <c r="AF729" s="2">
        <v>138872.981321784</v>
      </c>
      <c r="AG729" s="2">
        <v>155294.09013925801</v>
      </c>
      <c r="AH729" s="4">
        <v>0.89425799267217199</v>
      </c>
      <c r="AI729" s="4">
        <v>-0.16123698713292201</v>
      </c>
      <c r="AJ729" s="4" t="s">
        <v>62</v>
      </c>
      <c r="AK729" s="2">
        <v>0.79437519565453796</v>
      </c>
      <c r="AL729" s="2">
        <v>0.90923569242355795</v>
      </c>
      <c r="AM729" s="2">
        <v>58890.681087961697</v>
      </c>
      <c r="AN729" s="2">
        <v>31049.502249844201</v>
      </c>
      <c r="AO729" s="2">
        <v>80122.416909314095</v>
      </c>
      <c r="AP729" s="2">
        <v>265218.205972881</v>
      </c>
      <c r="AQ729" s="2">
        <v>159510.522994592</v>
      </c>
      <c r="AR729" s="2">
        <v>238446.558716111</v>
      </c>
      <c r="AS729" s="2">
        <v>127283.261742045</v>
      </c>
      <c r="AT729" s="2">
        <v>121769.039849896</v>
      </c>
      <c r="AU729" s="2">
        <v>39790.917190191598</v>
      </c>
      <c r="AV729" s="2">
        <v>165775.01980474801</v>
      </c>
      <c r="AW729" s="2">
        <v>372512.565048741</v>
      </c>
      <c r="AX729" s="2">
        <v>104633.737199925</v>
      </c>
    </row>
    <row r="730" spans="1:50" x14ac:dyDescent="0.25">
      <c r="A730" s="2" t="s">
        <v>5237</v>
      </c>
      <c r="B730" s="2">
        <v>538.35245224985397</v>
      </c>
      <c r="C730" s="2">
        <v>9.1141833333333295</v>
      </c>
      <c r="D730" s="2" t="s">
        <v>51</v>
      </c>
      <c r="E730" s="2" t="s">
        <v>5238</v>
      </c>
      <c r="F730" s="2">
        <v>198851</v>
      </c>
      <c r="G730" s="3" t="str">
        <f>HYPERLINK("https://cloud.oebiotech.com/#/lm/network/198851", "https://cloud.oebiotech.com/#/lm/network/198851")</f>
        <v>https://cloud.oebiotech.com/#/lm/network/198851</v>
      </c>
      <c r="H730" s="2" t="s">
        <v>5239</v>
      </c>
      <c r="I730" s="2"/>
      <c r="J730" s="2"/>
      <c r="K730" s="2">
        <v>53462072</v>
      </c>
      <c r="L730" s="2"/>
      <c r="M730" s="2"/>
      <c r="N730" s="2"/>
      <c r="O730" s="2"/>
      <c r="P730" s="2"/>
      <c r="Q730" s="2"/>
      <c r="R730" s="2"/>
      <c r="S730" s="2" t="s">
        <v>5240</v>
      </c>
      <c r="T730" s="2" t="s">
        <v>5241</v>
      </c>
      <c r="U730" s="2" t="s">
        <v>56</v>
      </c>
      <c r="V730" s="2" t="s">
        <v>283</v>
      </c>
      <c r="W730" s="2" t="s">
        <v>2042</v>
      </c>
      <c r="X730" s="2" t="s">
        <v>69</v>
      </c>
      <c r="Y730" s="2">
        <v>69.900000000000006</v>
      </c>
      <c r="Z730" s="2">
        <v>89.3</v>
      </c>
      <c r="AA730" s="2" t="s">
        <v>156</v>
      </c>
      <c r="AB730" s="2" t="s">
        <v>5242</v>
      </c>
      <c r="AC730" s="2">
        <v>-0.44618900525646799</v>
      </c>
      <c r="AD730" s="2"/>
      <c r="AE730" s="2">
        <v>0.78031517079480295</v>
      </c>
      <c r="AF730" s="2">
        <v>48890.378368024598</v>
      </c>
      <c r="AG730" s="2">
        <v>30648.996609639002</v>
      </c>
      <c r="AH730" s="5">
        <v>1.59517060185418</v>
      </c>
      <c r="AI730" s="5">
        <v>0.67371072699141998</v>
      </c>
      <c r="AJ730" s="5" t="s">
        <v>139</v>
      </c>
      <c r="AK730" s="2">
        <v>6.08602825490039E-2</v>
      </c>
      <c r="AL730" s="2">
        <v>0.33240800137390702</v>
      </c>
      <c r="AM730" s="2">
        <v>39554.875284340997</v>
      </c>
      <c r="AN730" s="2">
        <v>73039.408120787499</v>
      </c>
      <c r="AO730" s="2">
        <v>54341.476094020501</v>
      </c>
      <c r="AP730" s="2">
        <v>46111.278907691703</v>
      </c>
      <c r="AQ730" s="2">
        <v>31633.167854574</v>
      </c>
      <c r="AR730" s="2">
        <v>48662.0639467328</v>
      </c>
      <c r="AS730" s="2">
        <v>38721.759137801302</v>
      </c>
      <c r="AT730" s="2">
        <v>13673.136447765201</v>
      </c>
      <c r="AU730" s="2">
        <v>54315.086362759102</v>
      </c>
      <c r="AV730" s="2">
        <v>13155.665960860601</v>
      </c>
      <c r="AW730" s="2">
        <v>34206.850934775597</v>
      </c>
      <c r="AX730" s="2">
        <v>29821.480813872498</v>
      </c>
    </row>
    <row r="731" spans="1:50" x14ac:dyDescent="0.25">
      <c r="A731" s="2" t="s">
        <v>5243</v>
      </c>
      <c r="B731" s="2">
        <v>467.32412824895903</v>
      </c>
      <c r="C731" s="2">
        <v>5.4257166666666699</v>
      </c>
      <c r="D731" s="2" t="s">
        <v>51</v>
      </c>
      <c r="E731" s="2" t="s">
        <v>5244</v>
      </c>
      <c r="F731" s="2">
        <v>58205</v>
      </c>
      <c r="G731" s="3" t="str">
        <f>HYPERLINK("https://cloud.oebiotech.com/#/lm/network/58205", "https://cloud.oebiotech.com/#/lm/network/58205")</f>
        <v>https://cloud.oebiotech.com/#/lm/network/58205</v>
      </c>
      <c r="H731" s="2" t="s">
        <v>5245</v>
      </c>
      <c r="I731" s="2"/>
      <c r="J731" s="2"/>
      <c r="K731" s="2"/>
      <c r="L731" s="2"/>
      <c r="M731" s="2"/>
      <c r="N731" s="2"/>
      <c r="O731" s="2"/>
      <c r="P731" s="2"/>
      <c r="Q731" s="2"/>
      <c r="R731" s="2" t="s">
        <v>5246</v>
      </c>
      <c r="S731" s="2" t="s">
        <v>5247</v>
      </c>
      <c r="T731" s="2" t="s">
        <v>5248</v>
      </c>
      <c r="U731" s="2" t="s">
        <v>56</v>
      </c>
      <c r="V731" s="2" t="s">
        <v>283</v>
      </c>
      <c r="W731" s="2" t="s">
        <v>5249</v>
      </c>
      <c r="X731" s="2" t="s">
        <v>147</v>
      </c>
      <c r="Y731" s="2">
        <v>41</v>
      </c>
      <c r="Z731" s="2">
        <v>13.9</v>
      </c>
      <c r="AA731" s="2" t="s">
        <v>95</v>
      </c>
      <c r="AB731" s="2" t="s">
        <v>5250</v>
      </c>
      <c r="AC731" s="2">
        <v>-0.64300646267819905</v>
      </c>
      <c r="AD731" s="2"/>
      <c r="AE731" s="2">
        <v>0.77670059284895498</v>
      </c>
      <c r="AF731" s="2">
        <v>27837.817766774999</v>
      </c>
      <c r="AG731" s="2">
        <v>12440.140667842301</v>
      </c>
      <c r="AH731" s="5">
        <v>2.2377413977910798</v>
      </c>
      <c r="AI731" s="5">
        <v>1.1620433224264199</v>
      </c>
      <c r="AJ731" s="5" t="s">
        <v>139</v>
      </c>
      <c r="AK731" s="2">
        <v>4.7194630847827997E-2</v>
      </c>
      <c r="AL731" s="2">
        <v>0.30522279231324101</v>
      </c>
      <c r="AM731" s="2">
        <v>45501.0002600894</v>
      </c>
      <c r="AN731" s="2">
        <v>17182.873306242502</v>
      </c>
      <c r="AO731" s="2">
        <v>23656.257145510099</v>
      </c>
      <c r="AP731" s="2">
        <v>19946.044141041399</v>
      </c>
      <c r="AQ731" s="2">
        <v>17471.5556888992</v>
      </c>
      <c r="AR731" s="2">
        <v>43269.176058867597</v>
      </c>
      <c r="AS731" s="2">
        <v>180.745983976693</v>
      </c>
      <c r="AT731" s="2">
        <v>4477.6805299051202</v>
      </c>
      <c r="AU731" s="2">
        <v>25269.211885394001</v>
      </c>
      <c r="AV731" s="2">
        <v>9762.2573960489408</v>
      </c>
      <c r="AW731" s="2">
        <v>10303.581182778</v>
      </c>
      <c r="AX731" s="2">
        <v>24647.367028951001</v>
      </c>
    </row>
    <row r="732" spans="1:50" x14ac:dyDescent="0.25">
      <c r="A732" s="2" t="s">
        <v>5251</v>
      </c>
      <c r="B732" s="2">
        <v>651.24651793900898</v>
      </c>
      <c r="C732" s="2">
        <v>4.6687166666666702</v>
      </c>
      <c r="D732" s="2" t="s">
        <v>51</v>
      </c>
      <c r="E732" s="2" t="s">
        <v>5252</v>
      </c>
      <c r="F732" s="2">
        <v>47245</v>
      </c>
      <c r="G732" s="3" t="str">
        <f>HYPERLINK("https://cloud.oebiotech.com/#/lm/network/47245", "https://cloud.oebiotech.com/#/lm/network/47245")</f>
        <v>https://cloud.oebiotech.com/#/lm/network/47245</v>
      </c>
      <c r="H732" s="2" t="s">
        <v>5253</v>
      </c>
      <c r="I732" s="2">
        <v>5788</v>
      </c>
      <c r="J732" s="2"/>
      <c r="K732" s="2">
        <v>123914</v>
      </c>
      <c r="L732" s="2"/>
      <c r="M732" s="2"/>
      <c r="N732" s="2"/>
      <c r="O732" s="2"/>
      <c r="P732" s="2"/>
      <c r="Q732" s="2"/>
      <c r="R732" s="2" t="s">
        <v>5254</v>
      </c>
      <c r="S732" s="2" t="s">
        <v>5255</v>
      </c>
      <c r="T732" s="2" t="s">
        <v>5256</v>
      </c>
      <c r="U732" s="2" t="s">
        <v>331</v>
      </c>
      <c r="V732" s="2" t="s">
        <v>332</v>
      </c>
      <c r="W732" s="2" t="s">
        <v>333</v>
      </c>
      <c r="X732" s="2" t="s">
        <v>147</v>
      </c>
      <c r="Y732" s="2">
        <v>43.1</v>
      </c>
      <c r="Z732" s="2">
        <v>23.5</v>
      </c>
      <c r="AA732" s="2" t="s">
        <v>512</v>
      </c>
      <c r="AB732" s="2" t="s">
        <v>5257</v>
      </c>
      <c r="AC732" s="2">
        <v>1.6809259205956499</v>
      </c>
      <c r="AD732" s="2"/>
      <c r="AE732" s="2">
        <v>0.77473578884824001</v>
      </c>
      <c r="AF732" s="2">
        <v>121.77052302287601</v>
      </c>
      <c r="AG732" s="2">
        <v>27808.984462354401</v>
      </c>
      <c r="AH732" s="4">
        <v>4.3788194850380002E-3</v>
      </c>
      <c r="AI732" s="4">
        <v>-7.8352423081321803</v>
      </c>
      <c r="AJ732" s="4" t="s">
        <v>62</v>
      </c>
      <c r="AK732" s="2">
        <v>0.34264479516123098</v>
      </c>
      <c r="AL732" s="2">
        <v>0.63815037094278604</v>
      </c>
      <c r="AM732" s="2">
        <v>8.559877937157E-6</v>
      </c>
      <c r="AN732" s="2">
        <v>39.412625542265197</v>
      </c>
      <c r="AO732" s="2">
        <v>47.0707056084022</v>
      </c>
      <c r="AP732" s="2">
        <v>0.10726054068431699</v>
      </c>
      <c r="AQ732" s="2">
        <v>8.559877937157E-6</v>
      </c>
      <c r="AR732" s="2">
        <v>644.03252932615101</v>
      </c>
      <c r="AS732" s="2">
        <v>8.559877937157E-6</v>
      </c>
      <c r="AT732" s="2">
        <v>8.559877937157E-6</v>
      </c>
      <c r="AU732" s="2">
        <v>8.559877937157E-6</v>
      </c>
      <c r="AV732" s="2">
        <v>8.559877937157E-6</v>
      </c>
      <c r="AW732" s="2">
        <v>166771.384764922</v>
      </c>
      <c r="AX732" s="2">
        <v>82.521974964999501</v>
      </c>
    </row>
    <row r="733" spans="1:50" x14ac:dyDescent="0.25">
      <c r="A733" s="2" t="s">
        <v>5258</v>
      </c>
      <c r="B733" s="2">
        <v>752.91505445445102</v>
      </c>
      <c r="C733" s="2">
        <v>0.61653333333333304</v>
      </c>
      <c r="D733" s="2" t="s">
        <v>51</v>
      </c>
      <c r="E733" s="2" t="s">
        <v>5259</v>
      </c>
      <c r="F733" s="2">
        <v>210200</v>
      </c>
      <c r="G733" s="3" t="str">
        <f>HYPERLINK("https://cloud.oebiotech.com/#/lm/network/210200", "https://cloud.oebiotech.com/#/lm/network/210200")</f>
        <v>https://cloud.oebiotech.com/#/lm/network/210200</v>
      </c>
      <c r="H733" s="2" t="s">
        <v>5260</v>
      </c>
      <c r="I733" s="2">
        <v>336983</v>
      </c>
      <c r="J733" s="2"/>
      <c r="K733" s="2">
        <v>67822</v>
      </c>
      <c r="L733" s="2"/>
      <c r="M733" s="2"/>
      <c r="N733" s="2"/>
      <c r="O733" s="2"/>
      <c r="P733" s="2"/>
      <c r="Q733" s="2"/>
      <c r="R733" s="2"/>
      <c r="S733" s="2" t="s">
        <v>5261</v>
      </c>
      <c r="T733" s="2" t="s">
        <v>5262</v>
      </c>
      <c r="U733" s="2" t="s">
        <v>56</v>
      </c>
      <c r="V733" s="2" t="s">
        <v>145</v>
      </c>
      <c r="W733" s="2" t="s">
        <v>231</v>
      </c>
      <c r="X733" s="2" t="s">
        <v>147</v>
      </c>
      <c r="Y733" s="2">
        <v>36.299999999999997</v>
      </c>
      <c r="Z733" s="2">
        <v>0</v>
      </c>
      <c r="AA733" s="2" t="s">
        <v>395</v>
      </c>
      <c r="AB733" s="2" t="s">
        <v>5263</v>
      </c>
      <c r="AC733" s="2">
        <v>-3.7044889922858699</v>
      </c>
      <c r="AD733" s="2"/>
      <c r="AE733" s="2">
        <v>0.77458390510234398</v>
      </c>
      <c r="AF733" s="2">
        <v>26312.287387796401</v>
      </c>
      <c r="AG733" s="2">
        <v>41160.448478074897</v>
      </c>
      <c r="AH733" s="4">
        <v>0.63926143569140803</v>
      </c>
      <c r="AI733" s="4">
        <v>-0.64552203094532601</v>
      </c>
      <c r="AJ733" s="4" t="s">
        <v>62</v>
      </c>
      <c r="AK733" s="2">
        <v>1.54637050062057E-2</v>
      </c>
      <c r="AL733" s="2">
        <v>0.19701291120567199</v>
      </c>
      <c r="AM733" s="2">
        <v>23611.466284167502</v>
      </c>
      <c r="AN733" s="2">
        <v>33749.780295958502</v>
      </c>
      <c r="AO733" s="2">
        <v>28189.2516388576</v>
      </c>
      <c r="AP733" s="2">
        <v>18473.589674601601</v>
      </c>
      <c r="AQ733" s="2">
        <v>17953.4511152753</v>
      </c>
      <c r="AR733" s="2">
        <v>35896.185317918098</v>
      </c>
      <c r="AS733" s="2">
        <v>34038.235151951601</v>
      </c>
      <c r="AT733" s="2">
        <v>25020.002067069501</v>
      </c>
      <c r="AU733" s="2">
        <v>43976.477335615797</v>
      </c>
      <c r="AV733" s="2">
        <v>43581.211367006203</v>
      </c>
      <c r="AW733" s="2">
        <v>51226.912981024798</v>
      </c>
      <c r="AX733" s="2">
        <v>49119.851965781803</v>
      </c>
    </row>
    <row r="734" spans="1:50" x14ac:dyDescent="0.25">
      <c r="A734" s="2" t="s">
        <v>5264</v>
      </c>
      <c r="B734" s="2">
        <v>312.36316119264302</v>
      </c>
      <c r="C734" s="2">
        <v>10.691333333333301</v>
      </c>
      <c r="D734" s="2" t="s">
        <v>51</v>
      </c>
      <c r="E734" s="2" t="s">
        <v>5265</v>
      </c>
      <c r="F734" s="2">
        <v>9155</v>
      </c>
      <c r="G734" s="3" t="str">
        <f>HYPERLINK("https://cloud.oebiotech.com/#/lm/network/9155", "https://cloud.oebiotech.com/#/lm/network/9155")</f>
        <v>https://cloud.oebiotech.com/#/lm/network/9155</v>
      </c>
      <c r="H734" s="2"/>
      <c r="I734" s="2">
        <v>97456</v>
      </c>
      <c r="J734" s="2" t="s">
        <v>5266</v>
      </c>
      <c r="K734" s="2">
        <v>22171964</v>
      </c>
      <c r="L734" s="2"/>
      <c r="M734" s="2"/>
      <c r="N734" s="2"/>
      <c r="O734" s="2"/>
      <c r="P734" s="2"/>
      <c r="Q734" s="2"/>
      <c r="R734" s="2"/>
      <c r="S734" s="2" t="s">
        <v>5267</v>
      </c>
      <c r="T734" s="2" t="s">
        <v>5268</v>
      </c>
      <c r="U734" s="2" t="s">
        <v>1491</v>
      </c>
      <c r="V734" s="2" t="s">
        <v>1492</v>
      </c>
      <c r="W734" s="2" t="s">
        <v>1493</v>
      </c>
      <c r="X734" s="2" t="s">
        <v>147</v>
      </c>
      <c r="Y734" s="2">
        <v>39</v>
      </c>
      <c r="Z734" s="2">
        <v>3.64</v>
      </c>
      <c r="AA734" s="2" t="s">
        <v>512</v>
      </c>
      <c r="AB734" s="2" t="s">
        <v>5269</v>
      </c>
      <c r="AC734" s="2">
        <v>2.3250053977602398</v>
      </c>
      <c r="AD734" s="2"/>
      <c r="AE734" s="2">
        <v>0.77438929884508001</v>
      </c>
      <c r="AF734" s="2">
        <v>43339.095145588202</v>
      </c>
      <c r="AG734" s="2">
        <v>55811.1533654288</v>
      </c>
      <c r="AH734" s="4">
        <v>0.77653107904474505</v>
      </c>
      <c r="AI734" s="4">
        <v>-0.364884428244584</v>
      </c>
      <c r="AJ734" s="4" t="s">
        <v>62</v>
      </c>
      <c r="AK734" s="2">
        <v>1.2545993726583601E-2</v>
      </c>
      <c r="AL734" s="2">
        <v>0.17776984428335699</v>
      </c>
      <c r="AM734" s="2">
        <v>33329.912187484799</v>
      </c>
      <c r="AN734" s="2">
        <v>43996.312411286897</v>
      </c>
      <c r="AO734" s="2">
        <v>43056.928222245602</v>
      </c>
      <c r="AP734" s="2">
        <v>47893.696780247599</v>
      </c>
      <c r="AQ734" s="2">
        <v>53512.340744477799</v>
      </c>
      <c r="AR734" s="2">
        <v>38245.380527786401</v>
      </c>
      <c r="AS734" s="2">
        <v>58343.773323357302</v>
      </c>
      <c r="AT734" s="2">
        <v>57170.157759773501</v>
      </c>
      <c r="AU734" s="2">
        <v>45645.602049283298</v>
      </c>
      <c r="AV734" s="2">
        <v>57205.8180440055</v>
      </c>
      <c r="AW734" s="2">
        <v>50190.869501479501</v>
      </c>
      <c r="AX734" s="2">
        <v>66310.699514673601</v>
      </c>
    </row>
    <row r="735" spans="1:50" x14ac:dyDescent="0.25">
      <c r="A735" s="2" t="s">
        <v>5270</v>
      </c>
      <c r="B735" s="2">
        <v>215.01696445421399</v>
      </c>
      <c r="C735" s="2">
        <v>1.00901666666667</v>
      </c>
      <c r="D735" s="2" t="s">
        <v>51</v>
      </c>
      <c r="E735" s="2" t="s">
        <v>5271</v>
      </c>
      <c r="F735" s="2">
        <v>204216</v>
      </c>
      <c r="G735" s="3" t="str">
        <f>HYPERLINK("https://cloud.oebiotech.com/#/lm/network/204216", "https://cloud.oebiotech.com/#/lm/network/204216")</f>
        <v>https://cloud.oebiotech.com/#/lm/network/204216</v>
      </c>
      <c r="H735" s="2" t="s">
        <v>5272</v>
      </c>
      <c r="I735" s="2"/>
      <c r="J735" s="2"/>
      <c r="K735" s="2">
        <v>97676</v>
      </c>
      <c r="L735" s="2"/>
      <c r="M735" s="2"/>
      <c r="N735" s="2"/>
      <c r="O735" s="2"/>
      <c r="P735" s="2"/>
      <c r="Q735" s="2"/>
      <c r="R735" s="2"/>
      <c r="S735" s="2" t="s">
        <v>5273</v>
      </c>
      <c r="T735" s="2" t="s">
        <v>5274</v>
      </c>
      <c r="U735" s="2" t="s">
        <v>119</v>
      </c>
      <c r="V735" s="2" t="s">
        <v>120</v>
      </c>
      <c r="W735" s="2" t="s">
        <v>1887</v>
      </c>
      <c r="X735" s="2" t="s">
        <v>147</v>
      </c>
      <c r="Y735" s="2">
        <v>37.5</v>
      </c>
      <c r="Z735" s="2">
        <v>0</v>
      </c>
      <c r="AA735" s="2" t="s">
        <v>60</v>
      </c>
      <c r="AB735" s="2" t="s">
        <v>5275</v>
      </c>
      <c r="AC735" s="2">
        <v>0.70931883069510104</v>
      </c>
      <c r="AD735" s="2"/>
      <c r="AE735" s="2">
        <v>0.77418441631844603</v>
      </c>
      <c r="AF735" s="2">
        <v>28026.880974491502</v>
      </c>
      <c r="AG735" s="2">
        <v>49314.034051475501</v>
      </c>
      <c r="AH735" s="4">
        <v>0.56833478569682905</v>
      </c>
      <c r="AI735" s="4">
        <v>-0.81518707470056095</v>
      </c>
      <c r="AJ735" s="4" t="s">
        <v>62</v>
      </c>
      <c r="AK735" s="2">
        <v>4.8801224492588099E-2</v>
      </c>
      <c r="AL735" s="2">
        <v>0.30691247078395001</v>
      </c>
      <c r="AM735" s="2">
        <v>31531.013722682201</v>
      </c>
      <c r="AN735" s="2">
        <v>16374.936213781401</v>
      </c>
      <c r="AO735" s="2">
        <v>28937.023372464198</v>
      </c>
      <c r="AP735" s="2">
        <v>34090.5245698004</v>
      </c>
      <c r="AQ735" s="2">
        <v>30115.075893991201</v>
      </c>
      <c r="AR735" s="2">
        <v>27112.712074229399</v>
      </c>
      <c r="AS735" s="2">
        <v>71054.293879523597</v>
      </c>
      <c r="AT735" s="2">
        <v>79028.976710716102</v>
      </c>
      <c r="AU735" s="2">
        <v>46197.977261440799</v>
      </c>
      <c r="AV735" s="2">
        <v>30115.949656852099</v>
      </c>
      <c r="AW735" s="2">
        <v>48049.110780037401</v>
      </c>
      <c r="AX735" s="2">
        <v>21437.896020282999</v>
      </c>
    </row>
    <row r="736" spans="1:50" x14ac:dyDescent="0.25">
      <c r="A736" s="2" t="s">
        <v>5276</v>
      </c>
      <c r="B736" s="2">
        <v>305.24807684537097</v>
      </c>
      <c r="C736" s="2">
        <v>10.753966666666701</v>
      </c>
      <c r="D736" s="2" t="s">
        <v>51</v>
      </c>
      <c r="E736" s="2" t="s">
        <v>5277</v>
      </c>
      <c r="F736" s="2">
        <v>36111</v>
      </c>
      <c r="G736" s="3" t="str">
        <f>HYPERLINK("https://cloud.oebiotech.com/#/lm/network/36111", "https://cloud.oebiotech.com/#/lm/network/36111")</f>
        <v>https://cloud.oebiotech.com/#/lm/network/36111</v>
      </c>
      <c r="H736" s="2"/>
      <c r="I736" s="2">
        <v>53672</v>
      </c>
      <c r="J736" s="2" t="s">
        <v>5278</v>
      </c>
      <c r="K736" s="2">
        <v>11779825</v>
      </c>
      <c r="L736" s="2"/>
      <c r="M736" s="2"/>
      <c r="N736" s="2"/>
      <c r="O736" s="2"/>
      <c r="P736" s="2"/>
      <c r="Q736" s="2"/>
      <c r="R736" s="2"/>
      <c r="S736" s="2" t="s">
        <v>5279</v>
      </c>
      <c r="T736" s="2" t="s">
        <v>5280</v>
      </c>
      <c r="U736" s="2" t="s">
        <v>56</v>
      </c>
      <c r="V736" s="2" t="s">
        <v>177</v>
      </c>
      <c r="W736" s="2" t="s">
        <v>178</v>
      </c>
      <c r="X736" s="2" t="s">
        <v>69</v>
      </c>
      <c r="Y736" s="2">
        <v>58.5</v>
      </c>
      <c r="Z736" s="2">
        <v>59</v>
      </c>
      <c r="AA736" s="2" t="s">
        <v>259</v>
      </c>
      <c r="AB736" s="2" t="s">
        <v>1794</v>
      </c>
      <c r="AC736" s="2">
        <v>1.87400597941208</v>
      </c>
      <c r="AD736" s="2"/>
      <c r="AE736" s="2">
        <v>0.77322401413701503</v>
      </c>
      <c r="AF736" s="2">
        <v>24780.514112088498</v>
      </c>
      <c r="AG736" s="2">
        <v>12109.7700059486</v>
      </c>
      <c r="AH736" s="5">
        <v>2.0463240920278198</v>
      </c>
      <c r="AI736" s="5">
        <v>1.0330346538483299</v>
      </c>
      <c r="AJ736" s="5" t="s">
        <v>139</v>
      </c>
      <c r="AK736" s="2">
        <v>1.07685013993877E-2</v>
      </c>
      <c r="AL736" s="2">
        <v>0.16592979635359201</v>
      </c>
      <c r="AM736" s="2">
        <v>34297.176319250597</v>
      </c>
      <c r="AN736" s="2">
        <v>33784.140498712601</v>
      </c>
      <c r="AO736" s="2">
        <v>14662.8839655473</v>
      </c>
      <c r="AP736" s="2">
        <v>16033.8140085427</v>
      </c>
      <c r="AQ736" s="2">
        <v>29156.690522513702</v>
      </c>
      <c r="AR736" s="2">
        <v>20748.379357964001</v>
      </c>
      <c r="AS736" s="2">
        <v>17488.8512910012</v>
      </c>
      <c r="AT736" s="2">
        <v>7721.39907118666</v>
      </c>
      <c r="AU736" s="2">
        <v>16315.301931976999</v>
      </c>
      <c r="AV736" s="2">
        <v>7529.0859147809397</v>
      </c>
      <c r="AW736" s="2">
        <v>8638.9282006472895</v>
      </c>
      <c r="AX736" s="2">
        <v>14965.053626098599</v>
      </c>
    </row>
    <row r="737" spans="1:50" x14ac:dyDescent="0.25">
      <c r="A737" s="2" t="s">
        <v>5281</v>
      </c>
      <c r="B737" s="2">
        <v>620.32101392494803</v>
      </c>
      <c r="C737" s="2">
        <v>7.6376666666666697</v>
      </c>
      <c r="D737" s="2" t="s">
        <v>51</v>
      </c>
      <c r="E737" s="2" t="s">
        <v>5282</v>
      </c>
      <c r="F737" s="2">
        <v>241993</v>
      </c>
      <c r="G737" s="3" t="str">
        <f>HYPERLINK("https://cloud.oebiotech.com/#/lm/network/241993", "https://cloud.oebiotech.com/#/lm/network/241993")</f>
        <v>https://cloud.oebiotech.com/#/lm/network/241993</v>
      </c>
      <c r="H737" s="2" t="s">
        <v>5283</v>
      </c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 t="s">
        <v>5284</v>
      </c>
      <c r="T737" s="2" t="s">
        <v>5285</v>
      </c>
      <c r="U737" s="2" t="s">
        <v>56</v>
      </c>
      <c r="V737" s="2" t="s">
        <v>57</v>
      </c>
      <c r="W737" s="2" t="s">
        <v>58</v>
      </c>
      <c r="X737" s="2" t="s">
        <v>59</v>
      </c>
      <c r="Y737" s="2">
        <v>56.7</v>
      </c>
      <c r="Z737" s="2">
        <v>94.2</v>
      </c>
      <c r="AA737" s="2" t="s">
        <v>218</v>
      </c>
      <c r="AB737" s="2" t="s">
        <v>2334</v>
      </c>
      <c r="AC737" s="2">
        <v>0.85559101798411796</v>
      </c>
      <c r="AD737" s="2"/>
      <c r="AE737" s="2">
        <v>0.77013301776173404</v>
      </c>
      <c r="AF737" s="2">
        <v>29425.483153712401</v>
      </c>
      <c r="AG737" s="2">
        <v>14458.5738896605</v>
      </c>
      <c r="AH737" s="5">
        <v>2.03515805765291</v>
      </c>
      <c r="AI737" s="5">
        <v>1.02514084369891</v>
      </c>
      <c r="AJ737" s="5" t="s">
        <v>139</v>
      </c>
      <c r="AK737" s="2">
        <v>2.8603722477104701E-2</v>
      </c>
      <c r="AL737" s="2">
        <v>0.25769393072317198</v>
      </c>
      <c r="AM737" s="2">
        <v>38857.158492798502</v>
      </c>
      <c r="AN737" s="2">
        <v>37623.803247743803</v>
      </c>
      <c r="AO737" s="2">
        <v>17804.088812304301</v>
      </c>
      <c r="AP737" s="2">
        <v>18603.735933778498</v>
      </c>
      <c r="AQ737" s="2">
        <v>26519.4162190194</v>
      </c>
      <c r="AR737" s="2">
        <v>37144.696216630102</v>
      </c>
      <c r="AS737" s="2">
        <v>23203.519083810901</v>
      </c>
      <c r="AT737" s="2">
        <v>9201.8919070937809</v>
      </c>
      <c r="AU737" s="2">
        <v>14638.994566826699</v>
      </c>
      <c r="AV737" s="2">
        <v>2565.3666491928002</v>
      </c>
      <c r="AW737" s="2">
        <v>6878.0347266622302</v>
      </c>
      <c r="AX737" s="2">
        <v>30263.636404376299</v>
      </c>
    </row>
    <row r="738" spans="1:50" x14ac:dyDescent="0.25">
      <c r="A738" s="2" t="s">
        <v>5286</v>
      </c>
      <c r="B738" s="2">
        <v>343.22781630352102</v>
      </c>
      <c r="C738" s="2">
        <v>10.76145</v>
      </c>
      <c r="D738" s="2" t="s">
        <v>51</v>
      </c>
      <c r="E738" s="2" t="s">
        <v>5287</v>
      </c>
      <c r="F738" s="2">
        <v>4845</v>
      </c>
      <c r="G738" s="3" t="str">
        <f>HYPERLINK("https://cloud.oebiotech.com/#/lm/network/4845", "https://cloud.oebiotech.com/#/lm/network/4845")</f>
        <v>https://cloud.oebiotech.com/#/lm/network/4845</v>
      </c>
      <c r="H738" s="2"/>
      <c r="I738" s="2">
        <v>965971</v>
      </c>
      <c r="J738" s="2" t="s">
        <v>5288</v>
      </c>
      <c r="K738" s="2">
        <v>11566378</v>
      </c>
      <c r="L738" s="2"/>
      <c r="M738" s="2"/>
      <c r="N738" s="2"/>
      <c r="O738" s="2">
        <v>72647</v>
      </c>
      <c r="P738" s="2"/>
      <c r="Q738" s="2"/>
      <c r="R738" s="2"/>
      <c r="S738" s="2" t="s">
        <v>5289</v>
      </c>
      <c r="T738" s="2" t="s">
        <v>5290</v>
      </c>
      <c r="U738" s="2" t="s">
        <v>56</v>
      </c>
      <c r="V738" s="2" t="s">
        <v>145</v>
      </c>
      <c r="W738" s="2" t="s">
        <v>231</v>
      </c>
      <c r="X738" s="2" t="s">
        <v>69</v>
      </c>
      <c r="Y738" s="2">
        <v>72.3</v>
      </c>
      <c r="Z738" s="2">
        <v>75.099999999999994</v>
      </c>
      <c r="AA738" s="2" t="s">
        <v>298</v>
      </c>
      <c r="AB738" s="2" t="s">
        <v>2918</v>
      </c>
      <c r="AC738" s="2">
        <v>-0.15149353553136399</v>
      </c>
      <c r="AD738" s="2"/>
      <c r="AE738" s="2">
        <v>0.76976121378867701</v>
      </c>
      <c r="AF738" s="2">
        <v>863347.96970236697</v>
      </c>
      <c r="AG738" s="2">
        <v>804204.46341550699</v>
      </c>
      <c r="AH738" s="5">
        <v>1.0735428724626499</v>
      </c>
      <c r="AI738" s="5">
        <v>0.102379807083222</v>
      </c>
      <c r="AJ738" s="5" t="s">
        <v>139</v>
      </c>
      <c r="AK738" s="2">
        <v>0.78340493742848705</v>
      </c>
      <c r="AL738" s="2">
        <v>0.90505450739695004</v>
      </c>
      <c r="AM738" s="2">
        <v>1523964.4488125499</v>
      </c>
      <c r="AN738" s="2">
        <v>622113.20226543397</v>
      </c>
      <c r="AO738" s="2">
        <v>643279.850509407</v>
      </c>
      <c r="AP738" s="2">
        <v>501168.37032979197</v>
      </c>
      <c r="AQ738" s="2">
        <v>859670.95718381996</v>
      </c>
      <c r="AR738" s="2">
        <v>1029890.9891132</v>
      </c>
      <c r="AS738" s="2">
        <v>510694.13977913198</v>
      </c>
      <c r="AT738" s="2">
        <v>510822.73384283797</v>
      </c>
      <c r="AU738" s="2">
        <v>696553.11773696204</v>
      </c>
      <c r="AV738" s="2">
        <v>1229913.64808763</v>
      </c>
      <c r="AW738" s="2">
        <v>1264834.8236932801</v>
      </c>
      <c r="AX738" s="2">
        <v>612408.317353199</v>
      </c>
    </row>
    <row r="739" spans="1:50" x14ac:dyDescent="0.25">
      <c r="A739" s="2" t="s">
        <v>5291</v>
      </c>
      <c r="B739" s="2">
        <v>745.36134895155203</v>
      </c>
      <c r="C739" s="2">
        <v>6.88723333333333</v>
      </c>
      <c r="D739" s="2" t="s">
        <v>51</v>
      </c>
      <c r="E739" s="2" t="s">
        <v>5292</v>
      </c>
      <c r="F739" s="2">
        <v>198745</v>
      </c>
      <c r="G739" s="3" t="str">
        <f>HYPERLINK("https://cloud.oebiotech.com/#/lm/network/198745", "https://cloud.oebiotech.com/#/lm/network/198745")</f>
        <v>https://cloud.oebiotech.com/#/lm/network/198745</v>
      </c>
      <c r="H739" s="2" t="s">
        <v>5293</v>
      </c>
      <c r="I739" s="2">
        <v>422173</v>
      </c>
      <c r="J739" s="2"/>
      <c r="K739" s="2">
        <v>66570720</v>
      </c>
      <c r="L739" s="2"/>
      <c r="M739" s="2"/>
      <c r="N739" s="2"/>
      <c r="O739" s="2"/>
      <c r="P739" s="2"/>
      <c r="Q739" s="2"/>
      <c r="R739" s="2"/>
      <c r="S739" s="2" t="s">
        <v>5294</v>
      </c>
      <c r="T739" s="2" t="s">
        <v>5295</v>
      </c>
      <c r="U739" s="2" t="s">
        <v>266</v>
      </c>
      <c r="V739" s="2" t="s">
        <v>445</v>
      </c>
      <c r="W739" s="2" t="s">
        <v>5296</v>
      </c>
      <c r="X739" s="2" t="s">
        <v>147</v>
      </c>
      <c r="Y739" s="2">
        <v>38.299999999999997</v>
      </c>
      <c r="Z739" s="2">
        <v>0</v>
      </c>
      <c r="AA739" s="2" t="s">
        <v>478</v>
      </c>
      <c r="AB739" s="2" t="s">
        <v>5297</v>
      </c>
      <c r="AC739" s="2">
        <v>0.32176533260034801</v>
      </c>
      <c r="AD739" s="2"/>
      <c r="AE739" s="2">
        <v>0.76959318622293305</v>
      </c>
      <c r="AF739" s="2">
        <v>9073.3375415397695</v>
      </c>
      <c r="AG739" s="2">
        <v>33501.025827674101</v>
      </c>
      <c r="AH739" s="4">
        <v>0.27083760324869099</v>
      </c>
      <c r="AI739" s="4">
        <v>-1.8845000374582701</v>
      </c>
      <c r="AJ739" s="4" t="s">
        <v>62</v>
      </c>
      <c r="AK739" s="2">
        <v>0.12117109400666699</v>
      </c>
      <c r="AL739" s="2">
        <v>0.43811984477319199</v>
      </c>
      <c r="AM739" s="2">
        <v>23873.495325775501</v>
      </c>
      <c r="AN739" s="2">
        <v>3366.27553765947</v>
      </c>
      <c r="AO739" s="2">
        <v>10901.048301745999</v>
      </c>
      <c r="AP739" s="2">
        <v>8.559877937157E-6</v>
      </c>
      <c r="AQ739" s="2">
        <v>1638.72251793237</v>
      </c>
      <c r="AR739" s="2">
        <v>14660.4835575654</v>
      </c>
      <c r="AS739" s="2">
        <v>7163.0881892325497</v>
      </c>
      <c r="AT739" s="2">
        <v>8.559877937157E-6</v>
      </c>
      <c r="AU739" s="2">
        <v>69292.7610931987</v>
      </c>
      <c r="AV739" s="2">
        <v>59714.600665477097</v>
      </c>
      <c r="AW739" s="2">
        <v>64272.430210661703</v>
      </c>
      <c r="AX739" s="2">
        <v>563.27479891482301</v>
      </c>
    </row>
    <row r="740" spans="1:50" x14ac:dyDescent="0.25">
      <c r="A740" s="2" t="s">
        <v>5298</v>
      </c>
      <c r="B740" s="2">
        <v>584.33551084774399</v>
      </c>
      <c r="C740" s="2">
        <v>9.21756666666667</v>
      </c>
      <c r="D740" s="2" t="s">
        <v>51</v>
      </c>
      <c r="E740" s="2" t="s">
        <v>5299</v>
      </c>
      <c r="F740" s="2">
        <v>241917</v>
      </c>
      <c r="G740" s="3" t="str">
        <f>HYPERLINK("https://cloud.oebiotech.com/#/lm/network/241917", "https://cloud.oebiotech.com/#/lm/network/241917")</f>
        <v>https://cloud.oebiotech.com/#/lm/network/241917</v>
      </c>
      <c r="H740" s="2" t="s">
        <v>5300</v>
      </c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 t="s">
        <v>5301</v>
      </c>
      <c r="T740" s="2" t="s">
        <v>5302</v>
      </c>
      <c r="U740" s="2" t="s">
        <v>56</v>
      </c>
      <c r="V740" s="2" t="s">
        <v>57</v>
      </c>
      <c r="W740" s="2" t="s">
        <v>58</v>
      </c>
      <c r="X740" s="2" t="s">
        <v>59</v>
      </c>
      <c r="Y740" s="2">
        <v>53.3</v>
      </c>
      <c r="Z740" s="2">
        <v>75.900000000000006</v>
      </c>
      <c r="AA740" s="2" t="s">
        <v>156</v>
      </c>
      <c r="AB740" s="2" t="s">
        <v>5303</v>
      </c>
      <c r="AC740" s="2">
        <v>1.3806200631566501</v>
      </c>
      <c r="AD740" s="2"/>
      <c r="AE740" s="2">
        <v>0.76945665507151295</v>
      </c>
      <c r="AF740" s="2">
        <v>285236.75451863301</v>
      </c>
      <c r="AG740" s="2">
        <v>264331.970472085</v>
      </c>
      <c r="AH740" s="5">
        <v>1.07908534109292</v>
      </c>
      <c r="AI740" s="5">
        <v>0.109808967052805</v>
      </c>
      <c r="AJ740" s="5" t="s">
        <v>139</v>
      </c>
      <c r="AK740" s="2">
        <v>0.80364927360645799</v>
      </c>
      <c r="AL740" s="2">
        <v>0.91191772215306</v>
      </c>
      <c r="AM740" s="2">
        <v>597949.45272935799</v>
      </c>
      <c r="AN740" s="2">
        <v>253956.582204787</v>
      </c>
      <c r="AO740" s="2">
        <v>145210.842388085</v>
      </c>
      <c r="AP740" s="2">
        <v>213548.466358437</v>
      </c>
      <c r="AQ740" s="2">
        <v>203583.27172927401</v>
      </c>
      <c r="AR740" s="2">
        <v>297171.91170185601</v>
      </c>
      <c r="AS740" s="2">
        <v>179701.96798370499</v>
      </c>
      <c r="AT740" s="2">
        <v>152549.95961530699</v>
      </c>
      <c r="AU740" s="2">
        <v>487311.94773579499</v>
      </c>
      <c r="AV740" s="2">
        <v>250180.15390240299</v>
      </c>
      <c r="AW740" s="2">
        <v>234322.81735929701</v>
      </c>
      <c r="AX740" s="2">
        <v>281924.97623600101</v>
      </c>
    </row>
    <row r="741" spans="1:50" x14ac:dyDescent="0.25">
      <c r="A741" s="2" t="s">
        <v>5304</v>
      </c>
      <c r="B741" s="2">
        <v>465.19300918201401</v>
      </c>
      <c r="C741" s="2">
        <v>7.6020666666666701</v>
      </c>
      <c r="D741" s="2" t="s">
        <v>51</v>
      </c>
      <c r="E741" s="2" t="s">
        <v>5305</v>
      </c>
      <c r="F741" s="2">
        <v>207954</v>
      </c>
      <c r="G741" s="3" t="str">
        <f>HYPERLINK("https://cloud.oebiotech.com/#/lm/network/207954", "https://cloud.oebiotech.com/#/lm/network/207954")</f>
        <v>https://cloud.oebiotech.com/#/lm/network/207954</v>
      </c>
      <c r="H741" s="2" t="s">
        <v>5306</v>
      </c>
      <c r="I741" s="2"/>
      <c r="J741" s="2"/>
      <c r="K741" s="2">
        <v>499988</v>
      </c>
      <c r="L741" s="2"/>
      <c r="M741" s="2"/>
      <c r="N741" s="2"/>
      <c r="O741" s="2"/>
      <c r="P741" s="2"/>
      <c r="Q741" s="2"/>
      <c r="R741" s="2"/>
      <c r="S741" s="2" t="s">
        <v>5307</v>
      </c>
      <c r="T741" s="2" t="s">
        <v>5308</v>
      </c>
      <c r="U741" s="2" t="s">
        <v>56</v>
      </c>
      <c r="V741" s="2" t="s">
        <v>283</v>
      </c>
      <c r="W741" s="2" t="s">
        <v>3686</v>
      </c>
      <c r="X741" s="2" t="s">
        <v>147</v>
      </c>
      <c r="Y741" s="2">
        <v>38.700000000000003</v>
      </c>
      <c r="Z741" s="2">
        <v>0.2</v>
      </c>
      <c r="AA741" s="2" t="s">
        <v>218</v>
      </c>
      <c r="AB741" s="2" t="s">
        <v>5309</v>
      </c>
      <c r="AC741" s="2">
        <v>-2.51201958459925E-2</v>
      </c>
      <c r="AD741" s="2"/>
      <c r="AE741" s="2">
        <v>0.768305288177898</v>
      </c>
      <c r="AF741" s="2">
        <v>11173.931429459401</v>
      </c>
      <c r="AG741" s="2">
        <v>27935.209672544199</v>
      </c>
      <c r="AH741" s="4">
        <v>0.39999454310312699</v>
      </c>
      <c r="AI741" s="4">
        <v>-1.32194777661676</v>
      </c>
      <c r="AJ741" s="4" t="s">
        <v>62</v>
      </c>
      <c r="AK741" s="2">
        <v>3.6725336407258002E-2</v>
      </c>
      <c r="AL741" s="2">
        <v>0.27963408806095602</v>
      </c>
      <c r="AM741" s="2">
        <v>6869.1932193902803</v>
      </c>
      <c r="AN741" s="2">
        <v>19699.590817392302</v>
      </c>
      <c r="AO741" s="2">
        <v>12092.761772908099</v>
      </c>
      <c r="AP741" s="2">
        <v>14289.6846158716</v>
      </c>
      <c r="AQ741" s="2">
        <v>8230.8686355542795</v>
      </c>
      <c r="AR741" s="2">
        <v>5861.4895156396897</v>
      </c>
      <c r="AS741" s="2">
        <v>34535.581303629202</v>
      </c>
      <c r="AT741" s="2">
        <v>37760.414079779803</v>
      </c>
      <c r="AU741" s="2">
        <v>14987.7905506235</v>
      </c>
      <c r="AV741" s="2">
        <v>52141.812323897</v>
      </c>
      <c r="AW741" s="2">
        <v>18355.9506544096</v>
      </c>
      <c r="AX741" s="2">
        <v>9829.7091229261005</v>
      </c>
    </row>
    <row r="742" spans="1:50" x14ac:dyDescent="0.25">
      <c r="A742" s="2" t="s">
        <v>5310</v>
      </c>
      <c r="B742" s="2">
        <v>687.48252056765102</v>
      </c>
      <c r="C742" s="2">
        <v>13.6885833333333</v>
      </c>
      <c r="D742" s="2" t="s">
        <v>51</v>
      </c>
      <c r="E742" s="2" t="s">
        <v>5311</v>
      </c>
      <c r="F742" s="2">
        <v>252321</v>
      </c>
      <c r="G742" s="3" t="str">
        <f>HYPERLINK("https://cloud.oebiotech.com/#/lm/network/252321", "https://cloud.oebiotech.com/#/lm/network/252321")</f>
        <v>https://cloud.oebiotech.com/#/lm/network/252321</v>
      </c>
      <c r="H742" s="2" t="s">
        <v>5312</v>
      </c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 t="s">
        <v>5313</v>
      </c>
      <c r="T742" s="2" t="s">
        <v>5314</v>
      </c>
      <c r="U742" s="2" t="s">
        <v>56</v>
      </c>
      <c r="V742" s="2" t="s">
        <v>145</v>
      </c>
      <c r="W742" s="2" t="s">
        <v>187</v>
      </c>
      <c r="X742" s="2" t="s">
        <v>59</v>
      </c>
      <c r="Y742" s="2">
        <v>51.2</v>
      </c>
      <c r="Z742" s="2">
        <v>63.6</v>
      </c>
      <c r="AA742" s="2" t="s">
        <v>526</v>
      </c>
      <c r="AB742" s="2" t="s">
        <v>5315</v>
      </c>
      <c r="AC742" s="2">
        <v>2.8303607187789002</v>
      </c>
      <c r="AD742" s="2"/>
      <c r="AE742" s="2">
        <v>0.76793249751767501</v>
      </c>
      <c r="AF742" s="2">
        <v>186579.44381260499</v>
      </c>
      <c r="AG742" s="2">
        <v>149897.39432858201</v>
      </c>
      <c r="AH742" s="5">
        <v>1.2447143904557401</v>
      </c>
      <c r="AI742" s="5">
        <v>0.315814742499548</v>
      </c>
      <c r="AJ742" s="5" t="s">
        <v>139</v>
      </c>
      <c r="AK742" s="2">
        <v>0.65107656295373995</v>
      </c>
      <c r="AL742" s="2">
        <v>0.83038202534685202</v>
      </c>
      <c r="AM742" s="2">
        <v>210451.13681618101</v>
      </c>
      <c r="AN742" s="2">
        <v>390310.028143264</v>
      </c>
      <c r="AO742" s="2">
        <v>256945.328665354</v>
      </c>
      <c r="AP742" s="2">
        <v>115799.522001306</v>
      </c>
      <c r="AQ742" s="2">
        <v>43323.137059025503</v>
      </c>
      <c r="AR742" s="2">
        <v>102647.510190499</v>
      </c>
      <c r="AS742" s="2">
        <v>53098.520087864403</v>
      </c>
      <c r="AT742" s="2">
        <v>30507.125218062301</v>
      </c>
      <c r="AU742" s="2">
        <v>210033.329050017</v>
      </c>
      <c r="AV742" s="2">
        <v>105582.199843045</v>
      </c>
      <c r="AW742" s="2">
        <v>81461.409592572396</v>
      </c>
      <c r="AX742" s="2">
        <v>418701.78217993199</v>
      </c>
    </row>
    <row r="743" spans="1:50" x14ac:dyDescent="0.25">
      <c r="A743" s="2" t="s">
        <v>5316</v>
      </c>
      <c r="B743" s="2">
        <v>175.00216601864699</v>
      </c>
      <c r="C743" s="2">
        <v>0.75593333333333301</v>
      </c>
      <c r="D743" s="2" t="s">
        <v>51</v>
      </c>
      <c r="E743" s="2" t="s">
        <v>5317</v>
      </c>
      <c r="F743" s="2">
        <v>52794</v>
      </c>
      <c r="G743" s="3" t="str">
        <f>HYPERLINK("https://cloud.oebiotech.com/#/lm/network/52794", "https://cloud.oebiotech.com/#/lm/network/52794")</f>
        <v>https://cloud.oebiotech.com/#/lm/network/52794</v>
      </c>
      <c r="H743" s="2" t="s">
        <v>5318</v>
      </c>
      <c r="I743" s="2">
        <v>865</v>
      </c>
      <c r="J743" s="2"/>
      <c r="K743" s="2">
        <v>2094</v>
      </c>
      <c r="L743" s="2" t="s">
        <v>5319</v>
      </c>
      <c r="M743" s="2"/>
      <c r="N743" s="2"/>
      <c r="O743" s="2">
        <v>40279</v>
      </c>
      <c r="P743" s="2"/>
      <c r="Q743" s="2"/>
      <c r="R743" s="2" t="s">
        <v>5320</v>
      </c>
      <c r="S743" s="2" t="s">
        <v>5321</v>
      </c>
      <c r="T743" s="2" t="s">
        <v>5322</v>
      </c>
      <c r="U743" s="2" t="s">
        <v>266</v>
      </c>
      <c r="V743" s="2" t="s">
        <v>5323</v>
      </c>
      <c r="W743" s="2" t="s">
        <v>5324</v>
      </c>
      <c r="X743" s="2" t="s">
        <v>147</v>
      </c>
      <c r="Y743" s="2">
        <v>39.299999999999997</v>
      </c>
      <c r="Z743" s="2">
        <v>7.98</v>
      </c>
      <c r="AA743" s="2" t="s">
        <v>395</v>
      </c>
      <c r="AB743" s="2" t="s">
        <v>5325</v>
      </c>
      <c r="AC743" s="2">
        <v>3.6546387091054102</v>
      </c>
      <c r="AD743" s="2"/>
      <c r="AE743" s="2">
        <v>0.76772526818557696</v>
      </c>
      <c r="AF743" s="2">
        <v>67448.141740184001</v>
      </c>
      <c r="AG743" s="2">
        <v>40415.008943623099</v>
      </c>
      <c r="AH743" s="5">
        <v>1.6688884526605099</v>
      </c>
      <c r="AI743" s="5">
        <v>0.73888752919328204</v>
      </c>
      <c r="AJ743" s="5" t="s">
        <v>139</v>
      </c>
      <c r="AK743" s="2">
        <v>0.30350633985854503</v>
      </c>
      <c r="AL743" s="2">
        <v>0.61289698630618406</v>
      </c>
      <c r="AM743" s="2">
        <v>96655.779241506796</v>
      </c>
      <c r="AN743" s="2">
        <v>81608.126692137303</v>
      </c>
      <c r="AO743" s="2">
        <v>37369.196394440602</v>
      </c>
      <c r="AP743" s="2">
        <v>148961.327846247</v>
      </c>
      <c r="AQ743" s="2">
        <v>35610.383891912003</v>
      </c>
      <c r="AR743" s="2">
        <v>4484.0363748602404</v>
      </c>
      <c r="AS743" s="2">
        <v>4102.74017242027</v>
      </c>
      <c r="AT743" s="2">
        <v>96290.511002689207</v>
      </c>
      <c r="AU743" s="2">
        <v>19897.225647116298</v>
      </c>
      <c r="AV743" s="2">
        <v>31822.522413668601</v>
      </c>
      <c r="AW743" s="2">
        <v>51153.065883258998</v>
      </c>
      <c r="AX743" s="2">
        <v>39223.988542585401</v>
      </c>
    </row>
    <row r="744" spans="1:50" x14ac:dyDescent="0.25">
      <c r="A744" s="2" t="s">
        <v>5326</v>
      </c>
      <c r="B744" s="2">
        <v>425.30253037817602</v>
      </c>
      <c r="C744" s="2">
        <v>10.331950000000001</v>
      </c>
      <c r="D744" s="2" t="s">
        <v>51</v>
      </c>
      <c r="E744" s="2" t="s">
        <v>5327</v>
      </c>
      <c r="F744" s="2">
        <v>45218</v>
      </c>
      <c r="G744" s="3" t="str">
        <f>HYPERLINK("https://cloud.oebiotech.com/#/lm/network/45218", "https://cloud.oebiotech.com/#/lm/network/45218")</f>
        <v>https://cloud.oebiotech.com/#/lm/network/45218</v>
      </c>
      <c r="H744" s="2"/>
      <c r="I744" s="2"/>
      <c r="J744" s="2" t="s">
        <v>5328</v>
      </c>
      <c r="K744" s="2">
        <v>9547305</v>
      </c>
      <c r="L744" s="2"/>
      <c r="M744" s="2"/>
      <c r="N744" s="2"/>
      <c r="O744" s="2"/>
      <c r="P744" s="2"/>
      <c r="Q744" s="2"/>
      <c r="R744" s="2"/>
      <c r="S744" s="2" t="s">
        <v>5329</v>
      </c>
      <c r="T744" s="2" t="s">
        <v>5330</v>
      </c>
      <c r="U744" s="2" t="s">
        <v>56</v>
      </c>
      <c r="V744" s="2" t="s">
        <v>283</v>
      </c>
      <c r="W744" s="2" t="s">
        <v>420</v>
      </c>
      <c r="X744" s="2" t="s">
        <v>83</v>
      </c>
      <c r="Y744" s="2">
        <v>39.1</v>
      </c>
      <c r="Z744" s="2">
        <v>0</v>
      </c>
      <c r="AA744" s="2" t="s">
        <v>95</v>
      </c>
      <c r="AB744" s="2" t="s">
        <v>5331</v>
      </c>
      <c r="AC744" s="2">
        <v>-0.212539390551574</v>
      </c>
      <c r="AD744" s="2"/>
      <c r="AE744" s="2">
        <v>0.76634054249684902</v>
      </c>
      <c r="AF744" s="2">
        <v>19882.4370918739</v>
      </c>
      <c r="AG744" s="2">
        <v>7182.5621689229401</v>
      </c>
      <c r="AH744" s="5">
        <v>2.76815384597713</v>
      </c>
      <c r="AI744" s="5">
        <v>1.4689241260166901</v>
      </c>
      <c r="AJ744" s="5" t="s">
        <v>139</v>
      </c>
      <c r="AK744" s="2">
        <v>2.0255611941223502E-2</v>
      </c>
      <c r="AL744" s="2">
        <v>0.22228754819194799</v>
      </c>
      <c r="AM744" s="2">
        <v>33466.205738627999</v>
      </c>
      <c r="AN744" s="2">
        <v>12488.396401029</v>
      </c>
      <c r="AO744" s="2">
        <v>22562.3700151585</v>
      </c>
      <c r="AP744" s="2">
        <v>27857.262110672898</v>
      </c>
      <c r="AQ744" s="2">
        <v>11122.907673175099</v>
      </c>
      <c r="AR744" s="2">
        <v>11797.4806125799</v>
      </c>
      <c r="AS744" s="2">
        <v>3340.8319038252098</v>
      </c>
      <c r="AT744" s="2">
        <v>8508.3493592333798</v>
      </c>
      <c r="AU744" s="2">
        <v>18971.079405162898</v>
      </c>
      <c r="AV744" s="2">
        <v>4740.0238893167198</v>
      </c>
      <c r="AW744" s="2">
        <v>3865.4547978220398</v>
      </c>
      <c r="AX744" s="2">
        <v>3669.6336581773899</v>
      </c>
    </row>
    <row r="745" spans="1:50" x14ac:dyDescent="0.25">
      <c r="A745" s="2" t="s">
        <v>5332</v>
      </c>
      <c r="B745" s="2">
        <v>616.36246530210894</v>
      </c>
      <c r="C745" s="2">
        <v>11.1923833333333</v>
      </c>
      <c r="D745" s="2" t="s">
        <v>51</v>
      </c>
      <c r="E745" s="2" t="s">
        <v>5333</v>
      </c>
      <c r="F745" s="2">
        <v>19874</v>
      </c>
      <c r="G745" s="3" t="str">
        <f>HYPERLINK("https://cloud.oebiotech.com/#/lm/network/19874", "https://cloud.oebiotech.com/#/lm/network/19874")</f>
        <v>https://cloud.oebiotech.com/#/lm/network/19874</v>
      </c>
      <c r="H745" s="2" t="s">
        <v>5334</v>
      </c>
      <c r="I745" s="2">
        <v>61710</v>
      </c>
      <c r="J745" s="2" t="s">
        <v>5335</v>
      </c>
      <c r="K745" s="2">
        <v>52924039</v>
      </c>
      <c r="L745" s="2" t="s">
        <v>691</v>
      </c>
      <c r="M745" s="2" t="s">
        <v>692</v>
      </c>
      <c r="N745" s="2" t="s">
        <v>693</v>
      </c>
      <c r="O745" s="2">
        <v>133657</v>
      </c>
      <c r="P745" s="2"/>
      <c r="Q745" s="2"/>
      <c r="R745" s="2"/>
      <c r="S745" s="2" t="s">
        <v>5336</v>
      </c>
      <c r="T745" s="2" t="s">
        <v>5337</v>
      </c>
      <c r="U745" s="2" t="s">
        <v>56</v>
      </c>
      <c r="V745" s="2" t="s">
        <v>57</v>
      </c>
      <c r="W745" s="2" t="s">
        <v>58</v>
      </c>
      <c r="X745" s="2" t="s">
        <v>69</v>
      </c>
      <c r="Y745" s="2">
        <v>62.4</v>
      </c>
      <c r="Z745" s="2">
        <v>95.7</v>
      </c>
      <c r="AA745" s="2" t="s">
        <v>218</v>
      </c>
      <c r="AB745" s="2" t="s">
        <v>5338</v>
      </c>
      <c r="AC745" s="2">
        <v>0.82736886271531795</v>
      </c>
      <c r="AD745" s="2"/>
      <c r="AE745" s="2">
        <v>0.765144819627536</v>
      </c>
      <c r="AF745" s="2">
        <v>40242.246944952502</v>
      </c>
      <c r="AG745" s="2">
        <v>58439.435549521098</v>
      </c>
      <c r="AH745" s="4">
        <v>0.688614572788806</v>
      </c>
      <c r="AI745" s="4">
        <v>-0.53823138265847703</v>
      </c>
      <c r="AJ745" s="4" t="s">
        <v>62</v>
      </c>
      <c r="AK745" s="2">
        <v>0.18353258976936801</v>
      </c>
      <c r="AL745" s="2">
        <v>0.50704187317856497</v>
      </c>
      <c r="AM745" s="2">
        <v>41047.268853691698</v>
      </c>
      <c r="AN745" s="2">
        <v>37979.133484749298</v>
      </c>
      <c r="AO745" s="2">
        <v>24036.500855277602</v>
      </c>
      <c r="AP745" s="2">
        <v>47575.150603235197</v>
      </c>
      <c r="AQ745" s="2">
        <v>42651.554383421899</v>
      </c>
      <c r="AR745" s="2">
        <v>48163.873489339101</v>
      </c>
      <c r="AS745" s="2">
        <v>23378.626907747999</v>
      </c>
      <c r="AT745" s="2">
        <v>25280.5067652615</v>
      </c>
      <c r="AU745" s="2">
        <v>56746.901235903802</v>
      </c>
      <c r="AV745" s="2">
        <v>90229.366129943199</v>
      </c>
      <c r="AW745" s="2">
        <v>91752.842605609505</v>
      </c>
      <c r="AX745" s="2">
        <v>63248.369652660898</v>
      </c>
    </row>
    <row r="746" spans="1:50" x14ac:dyDescent="0.25">
      <c r="A746" s="2" t="s">
        <v>5339</v>
      </c>
      <c r="B746" s="2">
        <v>257.10062737062901</v>
      </c>
      <c r="C746" s="2">
        <v>5.0589333333333304</v>
      </c>
      <c r="D746" s="2" t="s">
        <v>51</v>
      </c>
      <c r="E746" s="2" t="s">
        <v>5340</v>
      </c>
      <c r="F746" s="2">
        <v>200439</v>
      </c>
      <c r="G746" s="3" t="str">
        <f>HYPERLINK("https://cloud.oebiotech.com/#/lm/network/200439", "https://cloud.oebiotech.com/#/lm/network/200439")</f>
        <v>https://cloud.oebiotech.com/#/lm/network/200439</v>
      </c>
      <c r="H746" s="2" t="s">
        <v>5341</v>
      </c>
      <c r="I746" s="2"/>
      <c r="J746" s="2"/>
      <c r="K746" s="2">
        <v>124266</v>
      </c>
      <c r="L746" s="2"/>
      <c r="M746" s="2"/>
      <c r="N746" s="2"/>
      <c r="O746" s="2"/>
      <c r="P746" s="2"/>
      <c r="Q746" s="2"/>
      <c r="R746" s="2"/>
      <c r="S746" s="2" t="s">
        <v>5342</v>
      </c>
      <c r="T746" s="2" t="s">
        <v>5343</v>
      </c>
      <c r="U746" s="2" t="s">
        <v>103</v>
      </c>
      <c r="V746" s="2" t="s">
        <v>104</v>
      </c>
      <c r="W746" s="2" t="s">
        <v>105</v>
      </c>
      <c r="X746" s="2" t="s">
        <v>147</v>
      </c>
      <c r="Y746" s="2">
        <v>41.4</v>
      </c>
      <c r="Z746" s="2">
        <v>12.3</v>
      </c>
      <c r="AA746" s="2" t="s">
        <v>478</v>
      </c>
      <c r="AB746" s="2" t="s">
        <v>5344</v>
      </c>
      <c r="AC746" s="2">
        <v>0.97186815768449397</v>
      </c>
      <c r="AD746" s="2"/>
      <c r="AE746" s="2">
        <v>0.765090645432706</v>
      </c>
      <c r="AF746" s="2">
        <v>41769.356275455997</v>
      </c>
      <c r="AG746" s="2">
        <v>25855.814172747199</v>
      </c>
      <c r="AH746" s="5">
        <v>1.615472481214</v>
      </c>
      <c r="AI746" s="5">
        <v>0.69195617520604003</v>
      </c>
      <c r="AJ746" s="5" t="s">
        <v>139</v>
      </c>
      <c r="AK746" s="2">
        <v>3.1235992687026998E-2</v>
      </c>
      <c r="AL746" s="2">
        <v>0.26161747766708798</v>
      </c>
      <c r="AM746" s="2">
        <v>39341.815157317302</v>
      </c>
      <c r="AN746" s="2">
        <v>63294.010683426197</v>
      </c>
      <c r="AO746" s="2">
        <v>24759.407219363398</v>
      </c>
      <c r="AP746" s="2">
        <v>34084.1292909041</v>
      </c>
      <c r="AQ746" s="2">
        <v>40152.706848619302</v>
      </c>
      <c r="AR746" s="2">
        <v>48984.0684531058</v>
      </c>
      <c r="AS746" s="2">
        <v>36548.758625620001</v>
      </c>
      <c r="AT746" s="2">
        <v>19851.210930636698</v>
      </c>
      <c r="AU746" s="2">
        <v>35587.9710980296</v>
      </c>
      <c r="AV746" s="2">
        <v>17689.658709833999</v>
      </c>
      <c r="AW746" s="2">
        <v>20713.393957177101</v>
      </c>
      <c r="AX746" s="2">
        <v>24743.891715185699</v>
      </c>
    </row>
    <row r="747" spans="1:50" x14ac:dyDescent="0.25">
      <c r="A747" s="2" t="s">
        <v>5345</v>
      </c>
      <c r="B747" s="2">
        <v>334.311426697169</v>
      </c>
      <c r="C747" s="2">
        <v>13.283716666666701</v>
      </c>
      <c r="D747" s="2" t="s">
        <v>51</v>
      </c>
      <c r="E747" s="2" t="s">
        <v>5346</v>
      </c>
      <c r="F747" s="2">
        <v>9014</v>
      </c>
      <c r="G747" s="3" t="str">
        <f>HYPERLINK("https://cloud.oebiotech.com/#/lm/network/9014", "https://cloud.oebiotech.com/#/lm/network/9014")</f>
        <v>https://cloud.oebiotech.com/#/lm/network/9014</v>
      </c>
      <c r="H747" s="2"/>
      <c r="I747" s="2">
        <v>36738</v>
      </c>
      <c r="J747" s="2" t="s">
        <v>5347</v>
      </c>
      <c r="K747" s="2">
        <v>5283444</v>
      </c>
      <c r="L747" s="2"/>
      <c r="M747" s="2"/>
      <c r="N747" s="2"/>
      <c r="O747" s="2">
        <v>73733</v>
      </c>
      <c r="P747" s="2"/>
      <c r="Q747" s="2"/>
      <c r="R747" s="2"/>
      <c r="S747" s="2" t="s">
        <v>5348</v>
      </c>
      <c r="T747" s="2" t="s">
        <v>5349</v>
      </c>
      <c r="U747" s="2" t="s">
        <v>119</v>
      </c>
      <c r="V747" s="2" t="s">
        <v>120</v>
      </c>
      <c r="W747" s="2" t="s">
        <v>1887</v>
      </c>
      <c r="X747" s="2" t="s">
        <v>147</v>
      </c>
      <c r="Y747" s="2">
        <v>38.1</v>
      </c>
      <c r="Z747" s="2">
        <v>4.92</v>
      </c>
      <c r="AA747" s="2" t="s">
        <v>156</v>
      </c>
      <c r="AB747" s="2" t="s">
        <v>5350</v>
      </c>
      <c r="AC747" s="2">
        <v>2.80486726222107</v>
      </c>
      <c r="AD747" s="2"/>
      <c r="AE747" s="2">
        <v>0.76481553810792402</v>
      </c>
      <c r="AF747" s="2">
        <v>16657.214986272102</v>
      </c>
      <c r="AG747" s="2">
        <v>31846.5370575829</v>
      </c>
      <c r="AH747" s="4">
        <v>0.52304635057034998</v>
      </c>
      <c r="AI747" s="4">
        <v>-0.93498929607286096</v>
      </c>
      <c r="AJ747" s="4" t="s">
        <v>62</v>
      </c>
      <c r="AK747" s="2">
        <v>4.3025358860305098E-2</v>
      </c>
      <c r="AL747" s="2">
        <v>0.29564994855744298</v>
      </c>
      <c r="AM747" s="2">
        <v>19002.005918389699</v>
      </c>
      <c r="AN747" s="2">
        <v>22422.760137772199</v>
      </c>
      <c r="AO747" s="2">
        <v>15153.4826404506</v>
      </c>
      <c r="AP747" s="2">
        <v>10355.6709198388</v>
      </c>
      <c r="AQ747" s="2">
        <v>21925.152959156101</v>
      </c>
      <c r="AR747" s="2">
        <v>11084.2173420254</v>
      </c>
      <c r="AS747" s="2">
        <v>44950.291663805801</v>
      </c>
      <c r="AT747" s="2">
        <v>23204.491052783502</v>
      </c>
      <c r="AU747" s="2">
        <v>12622.033902643499</v>
      </c>
      <c r="AV747" s="2">
        <v>40763.595105011103</v>
      </c>
      <c r="AW747" s="2">
        <v>49562.820682748898</v>
      </c>
      <c r="AX747" s="2">
        <v>19975.989938504601</v>
      </c>
    </row>
    <row r="748" spans="1:50" x14ac:dyDescent="0.25">
      <c r="A748" s="2" t="s">
        <v>5351</v>
      </c>
      <c r="B748" s="2">
        <v>329.24870086442098</v>
      </c>
      <c r="C748" s="2">
        <v>12.9738333333333</v>
      </c>
      <c r="D748" s="2" t="s">
        <v>51</v>
      </c>
      <c r="E748" s="2" t="s">
        <v>5352</v>
      </c>
      <c r="F748" s="2">
        <v>4874</v>
      </c>
      <c r="G748" s="3" t="str">
        <f>HYPERLINK("https://cloud.oebiotech.com/#/lm/network/4874", "https://cloud.oebiotech.com/#/lm/network/4874")</f>
        <v>https://cloud.oebiotech.com/#/lm/network/4874</v>
      </c>
      <c r="H748" s="2" t="s">
        <v>5353</v>
      </c>
      <c r="I748" s="2">
        <v>73870</v>
      </c>
      <c r="J748" s="2" t="s">
        <v>5354</v>
      </c>
      <c r="K748" s="2">
        <v>6441454</v>
      </c>
      <c r="L748" s="2"/>
      <c r="M748" s="2"/>
      <c r="N748" s="2"/>
      <c r="O748" s="2">
        <v>65136</v>
      </c>
      <c r="P748" s="2" t="s">
        <v>5355</v>
      </c>
      <c r="Q748" s="2" t="s">
        <v>5356</v>
      </c>
      <c r="R748" s="2" t="s">
        <v>5357</v>
      </c>
      <c r="S748" s="2" t="s">
        <v>5358</v>
      </c>
      <c r="T748" s="2" t="s">
        <v>5359</v>
      </c>
      <c r="U748" s="2" t="s">
        <v>56</v>
      </c>
      <c r="V748" s="2" t="s">
        <v>145</v>
      </c>
      <c r="W748" s="2" t="s">
        <v>231</v>
      </c>
      <c r="X748" s="2" t="s">
        <v>69</v>
      </c>
      <c r="Y748" s="2">
        <v>73.400000000000006</v>
      </c>
      <c r="Z748" s="2">
        <v>77.599999999999994</v>
      </c>
      <c r="AA748" s="2" t="s">
        <v>241</v>
      </c>
      <c r="AB748" s="2" t="s">
        <v>2382</v>
      </c>
      <c r="AC748" s="2">
        <v>0.29361148909982299</v>
      </c>
      <c r="AD748" s="2"/>
      <c r="AE748" s="2">
        <v>0.76396688876076302</v>
      </c>
      <c r="AF748" s="2">
        <v>92579.008298970206</v>
      </c>
      <c r="AG748" s="2">
        <v>121123.235448179</v>
      </c>
      <c r="AH748" s="4">
        <v>0.76433731279065198</v>
      </c>
      <c r="AI748" s="4">
        <v>-0.387718634513667</v>
      </c>
      <c r="AJ748" s="4" t="s">
        <v>62</v>
      </c>
      <c r="AK748" s="2">
        <v>0.430723513142866</v>
      </c>
      <c r="AL748" s="2">
        <v>0.68853136713225505</v>
      </c>
      <c r="AM748" s="2">
        <v>98853.319969132499</v>
      </c>
      <c r="AN748" s="2">
        <v>44696.311573887397</v>
      </c>
      <c r="AO748" s="2">
        <v>43232.310343193603</v>
      </c>
      <c r="AP748" s="2">
        <v>63388.582934862599</v>
      </c>
      <c r="AQ748" s="2">
        <v>131368.80578679001</v>
      </c>
      <c r="AR748" s="2">
        <v>173934.71918595501</v>
      </c>
      <c r="AS748" s="2">
        <v>42231.474563865297</v>
      </c>
      <c r="AT748" s="2">
        <v>44403.666034668997</v>
      </c>
      <c r="AU748" s="2">
        <v>162742.70612294099</v>
      </c>
      <c r="AV748" s="2">
        <v>196321.29343654701</v>
      </c>
      <c r="AW748" s="2">
        <v>174150.76408791999</v>
      </c>
      <c r="AX748" s="2">
        <v>106889.508443129</v>
      </c>
    </row>
    <row r="749" spans="1:50" x14ac:dyDescent="0.25">
      <c r="A749" s="2" t="s">
        <v>5360</v>
      </c>
      <c r="B749" s="2">
        <v>605.45820044294601</v>
      </c>
      <c r="C749" s="2">
        <v>10.9667166666667</v>
      </c>
      <c r="D749" s="2" t="s">
        <v>51</v>
      </c>
      <c r="E749" s="2" t="s">
        <v>5361</v>
      </c>
      <c r="F749" s="2">
        <v>36998</v>
      </c>
      <c r="G749" s="3" t="str">
        <f>HYPERLINK("https://cloud.oebiotech.com/#/lm/network/36998", "https://cloud.oebiotech.com/#/lm/network/36998")</f>
        <v>https://cloud.oebiotech.com/#/lm/network/36998</v>
      </c>
      <c r="H749" s="2"/>
      <c r="I749" s="2"/>
      <c r="J749" s="2" t="s">
        <v>5362</v>
      </c>
      <c r="K749" s="2">
        <v>10984899</v>
      </c>
      <c r="L749" s="2"/>
      <c r="M749" s="2"/>
      <c r="N749" s="2"/>
      <c r="O749" s="2"/>
      <c r="P749" s="2"/>
      <c r="Q749" s="2"/>
      <c r="R749" s="2"/>
      <c r="S749" s="2" t="s">
        <v>5363</v>
      </c>
      <c r="T749" s="2" t="s">
        <v>5364</v>
      </c>
      <c r="U749" s="2" t="s">
        <v>56</v>
      </c>
      <c r="V749" s="2" t="s">
        <v>177</v>
      </c>
      <c r="W749" s="2" t="s">
        <v>928</v>
      </c>
      <c r="X749" s="2" t="s">
        <v>59</v>
      </c>
      <c r="Y749" s="2">
        <v>55.5</v>
      </c>
      <c r="Z749" s="2">
        <v>90.6</v>
      </c>
      <c r="AA749" s="2" t="s">
        <v>259</v>
      </c>
      <c r="AB749" s="2" t="s">
        <v>5365</v>
      </c>
      <c r="AC749" s="2">
        <v>2.9177118963633899</v>
      </c>
      <c r="AD749" s="2"/>
      <c r="AE749" s="2">
        <v>0.76366233478562595</v>
      </c>
      <c r="AF749" s="2">
        <v>61175.390142412303</v>
      </c>
      <c r="AG749" s="2">
        <v>40958.846796418999</v>
      </c>
      <c r="AH749" s="5">
        <v>1.4935818492761099</v>
      </c>
      <c r="AI749" s="5">
        <v>0.57877630046032202</v>
      </c>
      <c r="AJ749" s="5" t="s">
        <v>139</v>
      </c>
      <c r="AK749" s="2">
        <v>0.112583281904473</v>
      </c>
      <c r="AL749" s="2">
        <v>0.42668564976798301</v>
      </c>
      <c r="AM749" s="2">
        <v>69351.451321918794</v>
      </c>
      <c r="AN749" s="2">
        <v>51316.448687419899</v>
      </c>
      <c r="AO749" s="2">
        <v>51574.854356151904</v>
      </c>
      <c r="AP749" s="2">
        <v>65003.669018604298</v>
      </c>
      <c r="AQ749" s="2">
        <v>55021.8909882597</v>
      </c>
      <c r="AR749" s="2">
        <v>74784.026482119298</v>
      </c>
      <c r="AS749" s="2">
        <v>31042.124359473401</v>
      </c>
      <c r="AT749" s="2">
        <v>17613.4175209524</v>
      </c>
      <c r="AU749" s="2">
        <v>88829.600075071605</v>
      </c>
      <c r="AV749" s="2">
        <v>42031.980147332302</v>
      </c>
      <c r="AW749" s="2">
        <v>48919.136495345701</v>
      </c>
      <c r="AX749" s="2">
        <v>17316.822180338899</v>
      </c>
    </row>
    <row r="750" spans="1:50" x14ac:dyDescent="0.25">
      <c r="A750" s="2" t="s">
        <v>5366</v>
      </c>
      <c r="B750" s="2">
        <v>664.45653883233297</v>
      </c>
      <c r="C750" s="2">
        <v>12.737633333333299</v>
      </c>
      <c r="D750" s="2" t="s">
        <v>51</v>
      </c>
      <c r="E750" s="2" t="s">
        <v>5367</v>
      </c>
      <c r="F750" s="2">
        <v>22340</v>
      </c>
      <c r="G750" s="3" t="str">
        <f>HYPERLINK("https://cloud.oebiotech.com/#/lm/network/22340", "https://cloud.oebiotech.com/#/lm/network/22340")</f>
        <v>https://cloud.oebiotech.com/#/lm/network/22340</v>
      </c>
      <c r="H750" s="2"/>
      <c r="I750" s="2">
        <v>78741</v>
      </c>
      <c r="J750" s="2" t="s">
        <v>5368</v>
      </c>
      <c r="K750" s="2">
        <v>52926183</v>
      </c>
      <c r="L750" s="2"/>
      <c r="M750" s="2"/>
      <c r="N750" s="2"/>
      <c r="O750" s="2"/>
      <c r="P750" s="2"/>
      <c r="Q750" s="2"/>
      <c r="R750" s="2"/>
      <c r="S750" s="2" t="s">
        <v>5369</v>
      </c>
      <c r="T750" s="2" t="s">
        <v>5370</v>
      </c>
      <c r="U750" s="2" t="s">
        <v>56</v>
      </c>
      <c r="V750" s="2" t="s">
        <v>57</v>
      </c>
      <c r="W750" s="2" t="s">
        <v>82</v>
      </c>
      <c r="X750" s="2" t="s">
        <v>69</v>
      </c>
      <c r="Y750" s="2">
        <v>53.5</v>
      </c>
      <c r="Z750" s="2">
        <v>53.2</v>
      </c>
      <c r="AA750" s="2" t="s">
        <v>259</v>
      </c>
      <c r="AB750" s="2" t="s">
        <v>5371</v>
      </c>
      <c r="AC750" s="2">
        <v>2.6272957881422001</v>
      </c>
      <c r="AD750" s="2"/>
      <c r="AE750" s="2">
        <v>0.76224983609550301</v>
      </c>
      <c r="AF750" s="2">
        <v>52445.246865931098</v>
      </c>
      <c r="AG750" s="2">
        <v>34057.446209826798</v>
      </c>
      <c r="AH750" s="5">
        <v>1.5399054451357801</v>
      </c>
      <c r="AI750" s="5">
        <v>0.62284176778917999</v>
      </c>
      <c r="AJ750" s="5" t="s">
        <v>139</v>
      </c>
      <c r="AK750" s="2">
        <v>0.248800109567832</v>
      </c>
      <c r="AL750" s="2">
        <v>0.57191113874481303</v>
      </c>
      <c r="AM750" s="2">
        <v>109939.216449474</v>
      </c>
      <c r="AN750" s="2">
        <v>40015.686273867497</v>
      </c>
      <c r="AO750" s="2">
        <v>17947.709612816601</v>
      </c>
      <c r="AP750" s="2">
        <v>66105.041038781899</v>
      </c>
      <c r="AQ750" s="2">
        <v>36594.355754397802</v>
      </c>
      <c r="AR750" s="2">
        <v>44069.472066249</v>
      </c>
      <c r="AS750" s="2">
        <v>7090.5673852713999</v>
      </c>
      <c r="AT750" s="2">
        <v>30838.937732063601</v>
      </c>
      <c r="AU750" s="2">
        <v>60654.962251406498</v>
      </c>
      <c r="AV750" s="2">
        <v>41703.347686415502</v>
      </c>
      <c r="AW750" s="2">
        <v>25162.049453875501</v>
      </c>
      <c r="AX750" s="2">
        <v>38894.812749928598</v>
      </c>
    </row>
    <row r="751" spans="1:50" x14ac:dyDescent="0.25">
      <c r="A751" s="2" t="s">
        <v>5372</v>
      </c>
      <c r="B751" s="2">
        <v>333.20636975468301</v>
      </c>
      <c r="C751" s="2">
        <v>9.5221499999999999</v>
      </c>
      <c r="D751" s="2" t="s">
        <v>51</v>
      </c>
      <c r="E751" s="2" t="s">
        <v>5373</v>
      </c>
      <c r="F751" s="2">
        <v>3913</v>
      </c>
      <c r="G751" s="3" t="str">
        <f>HYPERLINK("https://cloud.oebiotech.com/#/lm/network/3913", "https://cloud.oebiotech.com/#/lm/network/3913")</f>
        <v>https://cloud.oebiotech.com/#/lm/network/3913</v>
      </c>
      <c r="H751" s="2"/>
      <c r="I751" s="2">
        <v>36260</v>
      </c>
      <c r="J751" s="2" t="s">
        <v>5374</v>
      </c>
      <c r="K751" s="2">
        <v>5283139</v>
      </c>
      <c r="L751" s="2"/>
      <c r="M751" s="2"/>
      <c r="N751" s="2"/>
      <c r="O751" s="2"/>
      <c r="P751" s="2"/>
      <c r="Q751" s="2"/>
      <c r="R751" s="2"/>
      <c r="S751" s="2" t="s">
        <v>5375</v>
      </c>
      <c r="T751" s="2" t="s">
        <v>5376</v>
      </c>
      <c r="U751" s="2" t="s">
        <v>56</v>
      </c>
      <c r="V751" s="2" t="s">
        <v>145</v>
      </c>
      <c r="W751" s="2" t="s">
        <v>187</v>
      </c>
      <c r="X751" s="2" t="s">
        <v>69</v>
      </c>
      <c r="Y751" s="2">
        <v>70.5</v>
      </c>
      <c r="Z751" s="2">
        <v>65.3</v>
      </c>
      <c r="AA751" s="2" t="s">
        <v>179</v>
      </c>
      <c r="AB751" s="2" t="s">
        <v>950</v>
      </c>
      <c r="AC751" s="2">
        <v>0.95355765724672703</v>
      </c>
      <c r="AD751" s="2"/>
      <c r="AE751" s="2">
        <v>0.76044906203996698</v>
      </c>
      <c r="AF751" s="2">
        <v>49866.219138652603</v>
      </c>
      <c r="AG751" s="2">
        <v>34370.704461980997</v>
      </c>
      <c r="AH751" s="5">
        <v>1.4508349456093299</v>
      </c>
      <c r="AI751" s="5">
        <v>0.536883400386438</v>
      </c>
      <c r="AJ751" s="5" t="s">
        <v>139</v>
      </c>
      <c r="AK751" s="2">
        <v>9.2238303765885696E-2</v>
      </c>
      <c r="AL751" s="2">
        <v>0.39077178500044701</v>
      </c>
      <c r="AM751" s="2">
        <v>50395.662750399701</v>
      </c>
      <c r="AN751" s="2">
        <v>72998.347032417805</v>
      </c>
      <c r="AO751" s="2">
        <v>48222.198175285703</v>
      </c>
      <c r="AP751" s="2">
        <v>44523.145202027197</v>
      </c>
      <c r="AQ751" s="2">
        <v>40964.192527563697</v>
      </c>
      <c r="AR751" s="2">
        <v>42093.769144221202</v>
      </c>
      <c r="AS751" s="2">
        <v>39743.598560602702</v>
      </c>
      <c r="AT751" s="2">
        <v>23429.063445232299</v>
      </c>
      <c r="AU751" s="2">
        <v>64331.903854112701</v>
      </c>
      <c r="AV751" s="2">
        <v>17068.031508395001</v>
      </c>
      <c r="AW751" s="2">
        <v>30122.6732689606</v>
      </c>
      <c r="AX751" s="2">
        <v>31528.956134582699</v>
      </c>
    </row>
    <row r="752" spans="1:50" x14ac:dyDescent="0.25">
      <c r="A752" s="2" t="s">
        <v>5377</v>
      </c>
      <c r="B752" s="2">
        <v>258.05631192515699</v>
      </c>
      <c r="C752" s="2">
        <v>0.70636666666666703</v>
      </c>
      <c r="D752" s="2" t="s">
        <v>51</v>
      </c>
      <c r="E752" s="2" t="s">
        <v>5378</v>
      </c>
      <c r="F752" s="2">
        <v>274655</v>
      </c>
      <c r="G752" s="3" t="str">
        <f>HYPERLINK("https://cloud.oebiotech.com/#/lm/network/274655", "https://cloud.oebiotech.com/#/lm/network/274655")</f>
        <v>https://cloud.oebiotech.com/#/lm/network/274655</v>
      </c>
      <c r="H752" s="2"/>
      <c r="I752" s="2">
        <v>64815</v>
      </c>
      <c r="J752" s="2"/>
      <c r="K752" s="2">
        <v>4882</v>
      </c>
      <c r="L752" s="2"/>
      <c r="M752" s="2"/>
      <c r="N752" s="2"/>
      <c r="O752" s="2"/>
      <c r="P752" s="2"/>
      <c r="Q752" s="2"/>
      <c r="R752" s="2" t="s">
        <v>5379</v>
      </c>
      <c r="S752" s="2" t="s">
        <v>5380</v>
      </c>
      <c r="T752" s="2" t="s">
        <v>5381</v>
      </c>
      <c r="U752" s="2" t="s">
        <v>610</v>
      </c>
      <c r="V752" s="2" t="s">
        <v>813</v>
      </c>
      <c r="W752" s="2" t="s">
        <v>5382</v>
      </c>
      <c r="X752" s="2" t="s">
        <v>147</v>
      </c>
      <c r="Y752" s="2">
        <v>37.1</v>
      </c>
      <c r="Z752" s="2">
        <v>0</v>
      </c>
      <c r="AA752" s="2" t="s">
        <v>379</v>
      </c>
      <c r="AB752" s="2" t="s">
        <v>5383</v>
      </c>
      <c r="AC752" s="2">
        <v>0.93776033535019598</v>
      </c>
      <c r="AD752" s="2"/>
      <c r="AE752" s="2">
        <v>0.75931702176431104</v>
      </c>
      <c r="AF752" s="2">
        <v>56206.112344923502</v>
      </c>
      <c r="AG752" s="2">
        <v>20585.9106756324</v>
      </c>
      <c r="AH752" s="5">
        <v>2.7303194515195601</v>
      </c>
      <c r="AI752" s="5">
        <v>1.4490697585300101</v>
      </c>
      <c r="AJ752" s="5" t="s">
        <v>139</v>
      </c>
      <c r="AK752" s="2">
        <v>0.21267448374692299</v>
      </c>
      <c r="AL752" s="2">
        <v>0.53706865589344099</v>
      </c>
      <c r="AM752" s="2">
        <v>31529.477864944402</v>
      </c>
      <c r="AN752" s="2">
        <v>12499.0821000052</v>
      </c>
      <c r="AO752" s="2">
        <v>15469.906107127101</v>
      </c>
      <c r="AP752" s="2">
        <v>38882.139486587301</v>
      </c>
      <c r="AQ752" s="2">
        <v>185811.79246234699</v>
      </c>
      <c r="AR752" s="2">
        <v>53044.276048529799</v>
      </c>
      <c r="AS752" s="2">
        <v>13057.9147250477</v>
      </c>
      <c r="AT752" s="2">
        <v>16842.355669469802</v>
      </c>
      <c r="AU752" s="2">
        <v>31111.496692357501</v>
      </c>
      <c r="AV752" s="2">
        <v>22575.3036639815</v>
      </c>
      <c r="AW752" s="2">
        <v>21844.603729053</v>
      </c>
      <c r="AX752" s="2">
        <v>18083.7895738851</v>
      </c>
    </row>
    <row r="753" spans="1:50" x14ac:dyDescent="0.25">
      <c r="A753" s="2" t="s">
        <v>5384</v>
      </c>
      <c r="B753" s="2">
        <v>481.29938403582599</v>
      </c>
      <c r="C753" s="2">
        <v>13.470750000000001</v>
      </c>
      <c r="D753" s="2" t="s">
        <v>51</v>
      </c>
      <c r="E753" s="2" t="s">
        <v>5385</v>
      </c>
      <c r="F753" s="2">
        <v>212757</v>
      </c>
      <c r="G753" s="3" t="str">
        <f>HYPERLINK("https://cloud.oebiotech.com/#/lm/network/212757", "https://cloud.oebiotech.com/#/lm/network/212757")</f>
        <v>https://cloud.oebiotech.com/#/lm/network/212757</v>
      </c>
      <c r="H753" s="2" t="s">
        <v>5386</v>
      </c>
      <c r="I753" s="2"/>
      <c r="J753" s="2"/>
      <c r="K753" s="2">
        <v>11705729</v>
      </c>
      <c r="L753" s="2"/>
      <c r="M753" s="2"/>
      <c r="N753" s="2"/>
      <c r="O753" s="2"/>
      <c r="P753" s="2"/>
      <c r="Q753" s="2"/>
      <c r="R753" s="2"/>
      <c r="S753" s="2" t="s">
        <v>5387</v>
      </c>
      <c r="T753" s="2" t="s">
        <v>5388</v>
      </c>
      <c r="U753" s="2" t="s">
        <v>56</v>
      </c>
      <c r="V753" s="2" t="s">
        <v>283</v>
      </c>
      <c r="W753" s="2" t="s">
        <v>1108</v>
      </c>
      <c r="X753" s="2" t="s">
        <v>147</v>
      </c>
      <c r="Y753" s="2">
        <v>37.200000000000003</v>
      </c>
      <c r="Z753" s="2">
        <v>0.437</v>
      </c>
      <c r="AA753" s="2" t="s">
        <v>163</v>
      </c>
      <c r="AB753" s="2" t="s">
        <v>5389</v>
      </c>
      <c r="AC753" s="2">
        <v>0.13455094082562699</v>
      </c>
      <c r="AD753" s="2"/>
      <c r="AE753" s="2">
        <v>0.75887249028349402</v>
      </c>
      <c r="AF753" s="2">
        <v>43770.766592380001</v>
      </c>
      <c r="AG753" s="2">
        <v>4459.45498505453</v>
      </c>
      <c r="AH753" s="5">
        <v>9.8152726597922406</v>
      </c>
      <c r="AI753" s="5">
        <v>3.2950283450695799</v>
      </c>
      <c r="AJ753" s="5" t="s">
        <v>139</v>
      </c>
      <c r="AK753" s="2">
        <v>0.26794144058055402</v>
      </c>
      <c r="AL753" s="2">
        <v>0.58906821370217599</v>
      </c>
      <c r="AM753" s="2">
        <v>2693.12550587024</v>
      </c>
      <c r="AN753" s="2">
        <v>4532.6304257350303</v>
      </c>
      <c r="AO753" s="2">
        <v>2010.32081249512</v>
      </c>
      <c r="AP753" s="2">
        <v>1797.095829379</v>
      </c>
      <c r="AQ753" s="2">
        <v>207696.373816776</v>
      </c>
      <c r="AR753" s="2">
        <v>43895.053164024299</v>
      </c>
      <c r="AS753" s="2">
        <v>1204.10820214506</v>
      </c>
      <c r="AT753" s="2">
        <v>10319.8015306832</v>
      </c>
      <c r="AU753" s="2">
        <v>7095.1682010883396</v>
      </c>
      <c r="AV753" s="2">
        <v>6571.7663119404297</v>
      </c>
      <c r="AW753" s="2">
        <v>1565.8856559102901</v>
      </c>
      <c r="AX753" s="2">
        <v>8.559877937157E-6</v>
      </c>
    </row>
    <row r="754" spans="1:50" x14ac:dyDescent="0.25">
      <c r="A754" s="2" t="s">
        <v>5390</v>
      </c>
      <c r="B754" s="2">
        <v>295.15102362203203</v>
      </c>
      <c r="C754" s="2">
        <v>0.59993333333333299</v>
      </c>
      <c r="D754" s="2" t="s">
        <v>51</v>
      </c>
      <c r="E754" s="2" t="s">
        <v>5391</v>
      </c>
      <c r="F754" s="2">
        <v>210706</v>
      </c>
      <c r="G754" s="3" t="str">
        <f>HYPERLINK("https://cloud.oebiotech.com/#/lm/network/210706", "https://cloud.oebiotech.com/#/lm/network/210706")</f>
        <v>https://cloud.oebiotech.com/#/lm/network/210706</v>
      </c>
      <c r="H754" s="2" t="s">
        <v>5392</v>
      </c>
      <c r="I754" s="2"/>
      <c r="J754" s="2"/>
      <c r="K754" s="2">
        <v>1599</v>
      </c>
      <c r="L754" s="2"/>
      <c r="M754" s="2"/>
      <c r="N754" s="2"/>
      <c r="O754" s="2"/>
      <c r="P754" s="2"/>
      <c r="Q754" s="2"/>
      <c r="R754" s="2"/>
      <c r="S754" s="2" t="s">
        <v>5393</v>
      </c>
      <c r="T754" s="2" t="s">
        <v>5394</v>
      </c>
      <c r="U754" s="2" t="s">
        <v>295</v>
      </c>
      <c r="V754" s="2" t="s">
        <v>5395</v>
      </c>
      <c r="W754" s="2" t="s">
        <v>5396</v>
      </c>
      <c r="X754" s="2" t="s">
        <v>147</v>
      </c>
      <c r="Y754" s="2">
        <v>45.4</v>
      </c>
      <c r="Z754" s="2">
        <v>33.799999999999997</v>
      </c>
      <c r="AA754" s="2" t="s">
        <v>2589</v>
      </c>
      <c r="AB754" s="2" t="s">
        <v>5397</v>
      </c>
      <c r="AC754" s="2">
        <v>-0.99024515247038103</v>
      </c>
      <c r="AD754" s="2"/>
      <c r="AE754" s="2">
        <v>0.75655108362897605</v>
      </c>
      <c r="AF754" s="2">
        <v>23070.7875851504</v>
      </c>
      <c r="AG754" s="2">
        <v>43563.507032769303</v>
      </c>
      <c r="AH754" s="4">
        <v>0.52958976805508495</v>
      </c>
      <c r="AI754" s="4">
        <v>-0.91705284607831195</v>
      </c>
      <c r="AJ754" s="4" t="s">
        <v>62</v>
      </c>
      <c r="AK754" s="2">
        <v>0.32585152305555098</v>
      </c>
      <c r="AL754" s="2">
        <v>0.62992073899545697</v>
      </c>
      <c r="AM754" s="2">
        <v>3876.7426411300698</v>
      </c>
      <c r="AN754" s="2">
        <v>30949.577311729099</v>
      </c>
      <c r="AO754" s="2">
        <v>21936.020610929001</v>
      </c>
      <c r="AP754" s="2">
        <v>12890.0438115959</v>
      </c>
      <c r="AQ754" s="2">
        <v>24406.736168336301</v>
      </c>
      <c r="AR754" s="2">
        <v>44365.604967181796</v>
      </c>
      <c r="AS754" s="2">
        <v>32140.7980046511</v>
      </c>
      <c r="AT754" s="2">
        <v>18009.370498886801</v>
      </c>
      <c r="AU754" s="2">
        <v>10942.7423291163</v>
      </c>
      <c r="AV754" s="2">
        <v>135535.16086902999</v>
      </c>
      <c r="AW754" s="2">
        <v>43658.787613176297</v>
      </c>
      <c r="AX754" s="2">
        <v>21094.182881755602</v>
      </c>
    </row>
    <row r="755" spans="1:50" x14ac:dyDescent="0.25">
      <c r="A755" s="2" t="s">
        <v>5398</v>
      </c>
      <c r="B755" s="2">
        <v>260.06950298765503</v>
      </c>
      <c r="C755" s="2">
        <v>3.1026833333333301</v>
      </c>
      <c r="D755" s="2" t="s">
        <v>51</v>
      </c>
      <c r="E755" s="2" t="s">
        <v>5399</v>
      </c>
      <c r="F755" s="2">
        <v>202112</v>
      </c>
      <c r="G755" s="3" t="str">
        <f>HYPERLINK("https://cloud.oebiotech.com/#/lm/network/202112", "https://cloud.oebiotech.com/#/lm/network/202112")</f>
        <v>https://cloud.oebiotech.com/#/lm/network/202112</v>
      </c>
      <c r="H755" s="2" t="s">
        <v>5400</v>
      </c>
      <c r="I755" s="2"/>
      <c r="J755" s="2"/>
      <c r="K755" s="2">
        <v>352938</v>
      </c>
      <c r="L755" s="2"/>
      <c r="M755" s="2"/>
      <c r="N755" s="2"/>
      <c r="O755" s="2"/>
      <c r="P755" s="2"/>
      <c r="Q755" s="2"/>
      <c r="R755" s="2"/>
      <c r="S755" s="2" t="s">
        <v>5401</v>
      </c>
      <c r="T755" s="2" t="s">
        <v>5402</v>
      </c>
      <c r="U755" s="2" t="s">
        <v>295</v>
      </c>
      <c r="V755" s="2" t="s">
        <v>1818</v>
      </c>
      <c r="W755" s="2" t="s">
        <v>240</v>
      </c>
      <c r="X755" s="2" t="s">
        <v>147</v>
      </c>
      <c r="Y755" s="2">
        <v>39.9</v>
      </c>
      <c r="Z755" s="2">
        <v>9.6</v>
      </c>
      <c r="AA755" s="2" t="s">
        <v>163</v>
      </c>
      <c r="AB755" s="2" t="s">
        <v>5403</v>
      </c>
      <c r="AC755" s="2">
        <v>2.60729579723378</v>
      </c>
      <c r="AD755" s="2"/>
      <c r="AE755" s="2">
        <v>0.75654071923696498</v>
      </c>
      <c r="AF755" s="2">
        <v>8.559877937157E-6</v>
      </c>
      <c r="AG755" s="2">
        <v>19287.976285432898</v>
      </c>
      <c r="AH755" s="4">
        <v>4.4379347063080801E-10</v>
      </c>
      <c r="AI755" s="4">
        <v>-31.069392507021099</v>
      </c>
      <c r="AJ755" s="4" t="s">
        <v>62</v>
      </c>
      <c r="AK755" s="2">
        <v>5.6234945978503398E-2</v>
      </c>
      <c r="AL755" s="2">
        <v>0.32510032444738302</v>
      </c>
      <c r="AM755" s="2">
        <v>8.559877937157E-6</v>
      </c>
      <c r="AN755" s="2">
        <v>8.559877937157E-6</v>
      </c>
      <c r="AO755" s="2">
        <v>8.559877937157E-6</v>
      </c>
      <c r="AP755" s="2">
        <v>8.559877937157E-6</v>
      </c>
      <c r="AQ755" s="2">
        <v>8.559877937157E-6</v>
      </c>
      <c r="AR755" s="2">
        <v>8.559877937157E-6</v>
      </c>
      <c r="AS755" s="2">
        <v>28535.806224112901</v>
      </c>
      <c r="AT755" s="2">
        <v>46015.921583907599</v>
      </c>
      <c r="AU755" s="2">
        <v>8.559877937157E-6</v>
      </c>
      <c r="AV755" s="2">
        <v>41176.129878897496</v>
      </c>
      <c r="AW755" s="2">
        <v>8.559877937157E-6</v>
      </c>
      <c r="AX755" s="2">
        <v>8.559877937157E-6</v>
      </c>
    </row>
    <row r="756" spans="1:50" x14ac:dyDescent="0.25">
      <c r="A756" s="2" t="s">
        <v>5404</v>
      </c>
      <c r="B756" s="2">
        <v>211.13346295807199</v>
      </c>
      <c r="C756" s="2">
        <v>8.74888333333333</v>
      </c>
      <c r="D756" s="2" t="s">
        <v>51</v>
      </c>
      <c r="E756" s="2" t="s">
        <v>5405</v>
      </c>
      <c r="F756" s="2">
        <v>256101</v>
      </c>
      <c r="G756" s="3" t="str">
        <f>HYPERLINK("https://cloud.oebiotech.com/#/lm/network/256101", "https://cloud.oebiotech.com/#/lm/network/256101")</f>
        <v>https://cloud.oebiotech.com/#/lm/network/256101</v>
      </c>
      <c r="H756" s="2" t="s">
        <v>5406</v>
      </c>
      <c r="I756" s="2"/>
      <c r="J756" s="2"/>
      <c r="K756" s="2">
        <v>549663</v>
      </c>
      <c r="L756" s="2"/>
      <c r="M756" s="2"/>
      <c r="N756" s="2"/>
      <c r="O756" s="2"/>
      <c r="P756" s="2"/>
      <c r="Q756" s="2"/>
      <c r="R756" s="2"/>
      <c r="S756" s="2" t="s">
        <v>5407</v>
      </c>
      <c r="T756" s="2" t="s">
        <v>5408</v>
      </c>
      <c r="U756" s="2" t="s">
        <v>56</v>
      </c>
      <c r="V756" s="2" t="s">
        <v>177</v>
      </c>
      <c r="W756" s="2" t="s">
        <v>584</v>
      </c>
      <c r="X756" s="2" t="s">
        <v>83</v>
      </c>
      <c r="Y756" s="2">
        <v>44.8</v>
      </c>
      <c r="Z756" s="2">
        <v>0</v>
      </c>
      <c r="AA756" s="2" t="s">
        <v>218</v>
      </c>
      <c r="AB756" s="2" t="s">
        <v>5409</v>
      </c>
      <c r="AC756" s="2">
        <v>-3.0403372047820501</v>
      </c>
      <c r="AD756" s="2"/>
      <c r="AE756" s="2">
        <v>0.75645793643745396</v>
      </c>
      <c r="AF756" s="2">
        <v>32712.726761504498</v>
      </c>
      <c r="AG756" s="2">
        <v>18424.882423632698</v>
      </c>
      <c r="AH756" s="5">
        <v>1.7754646140669801</v>
      </c>
      <c r="AI756" s="5">
        <v>0.82819660698303399</v>
      </c>
      <c r="AJ756" s="5" t="s">
        <v>139</v>
      </c>
      <c r="AK756" s="2">
        <v>3.4670003621705303E-2</v>
      </c>
      <c r="AL756" s="2">
        <v>0.271975767980906</v>
      </c>
      <c r="AM756" s="2">
        <v>38223.236247001303</v>
      </c>
      <c r="AN756" s="2">
        <v>49116.9937393199</v>
      </c>
      <c r="AO756" s="2">
        <v>22996.077583603801</v>
      </c>
      <c r="AP756" s="2">
        <v>21515.035539013901</v>
      </c>
      <c r="AQ756" s="2">
        <v>22029.352832397199</v>
      </c>
      <c r="AR756" s="2">
        <v>42395.664627691003</v>
      </c>
      <c r="AS756" s="2">
        <v>23534.256306916501</v>
      </c>
      <c r="AT756" s="2">
        <v>10881.776602732099</v>
      </c>
      <c r="AU756" s="2">
        <v>25442.763502590002</v>
      </c>
      <c r="AV756" s="2">
        <v>9410.8557968991208</v>
      </c>
      <c r="AW756" s="2">
        <v>14489.4452600853</v>
      </c>
      <c r="AX756" s="2">
        <v>26790.197072573301</v>
      </c>
    </row>
    <row r="757" spans="1:50" x14ac:dyDescent="0.25">
      <c r="A757" s="2" t="s">
        <v>5410</v>
      </c>
      <c r="B757" s="2">
        <v>394.26004177702703</v>
      </c>
      <c r="C757" s="2">
        <v>8.5193666666666701</v>
      </c>
      <c r="D757" s="2" t="s">
        <v>51</v>
      </c>
      <c r="E757" s="2" t="s">
        <v>5411</v>
      </c>
      <c r="F757" s="2">
        <v>5963</v>
      </c>
      <c r="G757" s="3" t="str">
        <f>HYPERLINK("https://cloud.oebiotech.com/#/lm/network/5963", "https://cloud.oebiotech.com/#/lm/network/5963")</f>
        <v>https://cloud.oebiotech.com/#/lm/network/5963</v>
      </c>
      <c r="H757" s="2" t="s">
        <v>5412</v>
      </c>
      <c r="I757" s="2">
        <v>36430</v>
      </c>
      <c r="J757" s="2" t="s">
        <v>5413</v>
      </c>
      <c r="K757" s="2">
        <v>44251266</v>
      </c>
      <c r="L757" s="2" t="s">
        <v>2576</v>
      </c>
      <c r="M757" s="2" t="s">
        <v>2577</v>
      </c>
      <c r="N757" s="2" t="s">
        <v>2578</v>
      </c>
      <c r="O757" s="2">
        <v>81564</v>
      </c>
      <c r="P757" s="2" t="s">
        <v>1290</v>
      </c>
      <c r="Q757" s="2" t="s">
        <v>1291</v>
      </c>
      <c r="R757" s="2" t="s">
        <v>5414</v>
      </c>
      <c r="S757" s="2" t="s">
        <v>5415</v>
      </c>
      <c r="T757" s="2" t="s">
        <v>5416</v>
      </c>
      <c r="U757" s="2" t="s">
        <v>56</v>
      </c>
      <c r="V757" s="2" t="s">
        <v>145</v>
      </c>
      <c r="W757" s="2" t="s">
        <v>231</v>
      </c>
      <c r="X757" s="2" t="s">
        <v>147</v>
      </c>
      <c r="Y757" s="2">
        <v>36.799999999999997</v>
      </c>
      <c r="Z757" s="2">
        <v>0</v>
      </c>
      <c r="AA757" s="2" t="s">
        <v>512</v>
      </c>
      <c r="AB757" s="2" t="s">
        <v>1366</v>
      </c>
      <c r="AC757" s="2">
        <v>3.30154315077182</v>
      </c>
      <c r="AD757" s="2"/>
      <c r="AE757" s="2">
        <v>0.75590389650058598</v>
      </c>
      <c r="AF757" s="2">
        <v>31479.4902132764</v>
      </c>
      <c r="AG757" s="2">
        <v>19298.058262927902</v>
      </c>
      <c r="AH757" s="5">
        <v>1.6312257836711599</v>
      </c>
      <c r="AI757" s="5">
        <v>0.70595648434192804</v>
      </c>
      <c r="AJ757" s="5" t="s">
        <v>139</v>
      </c>
      <c r="AK757" s="2">
        <v>2.43518442218126E-2</v>
      </c>
      <c r="AL757" s="2">
        <v>0.24217236037671899</v>
      </c>
      <c r="AM757" s="2">
        <v>52512.373025448302</v>
      </c>
      <c r="AN757" s="2">
        <v>30228.148929070001</v>
      </c>
      <c r="AO757" s="2">
        <v>28810.107826020201</v>
      </c>
      <c r="AP757" s="2">
        <v>30417.150306985</v>
      </c>
      <c r="AQ757" s="2">
        <v>21875.091116181698</v>
      </c>
      <c r="AR757" s="2">
        <v>25034.070075953299</v>
      </c>
      <c r="AS757" s="2">
        <v>24658.535798478599</v>
      </c>
      <c r="AT757" s="2">
        <v>18506.495076993499</v>
      </c>
      <c r="AU757" s="2">
        <v>18057.5189055839</v>
      </c>
      <c r="AV757" s="2">
        <v>15967.6935339544</v>
      </c>
      <c r="AW757" s="2">
        <v>17514.2804485784</v>
      </c>
      <c r="AX757" s="2">
        <v>21083.825813978801</v>
      </c>
    </row>
    <row r="758" spans="1:50" x14ac:dyDescent="0.25">
      <c r="A758" s="2" t="s">
        <v>5417</v>
      </c>
      <c r="B758" s="2">
        <v>175.1242</v>
      </c>
      <c r="C758" s="2">
        <v>10.029</v>
      </c>
      <c r="D758" s="2" t="s">
        <v>125</v>
      </c>
      <c r="E758" s="2" t="s">
        <v>5418</v>
      </c>
      <c r="F758" s="2">
        <v>83427</v>
      </c>
      <c r="G758" s="3" t="str">
        <f>HYPERLINK("https://cloud.oebiotech.com/#/lm/network/83427", "https://cloud.oebiotech.com/#/lm/network/83427")</f>
        <v>https://cloud.oebiotech.com/#/lm/network/83427</v>
      </c>
      <c r="H758" s="2" t="s">
        <v>5419</v>
      </c>
      <c r="I758" s="2"/>
      <c r="J758" s="2"/>
      <c r="K758" s="2">
        <v>70610</v>
      </c>
      <c r="L758" s="2"/>
      <c r="M758" s="2"/>
      <c r="N758" s="2"/>
      <c r="O758" s="2"/>
      <c r="P758" s="2"/>
      <c r="Q758" s="2"/>
      <c r="R758" s="2"/>
      <c r="S758" s="2" t="s">
        <v>5420</v>
      </c>
      <c r="T758" s="2" t="s">
        <v>5421</v>
      </c>
      <c r="U758" s="2" t="s">
        <v>56</v>
      </c>
      <c r="V758" s="2" t="s">
        <v>145</v>
      </c>
      <c r="W758" s="2" t="s">
        <v>1188</v>
      </c>
      <c r="X758" s="2" t="s">
        <v>59</v>
      </c>
      <c r="Y758" s="2">
        <v>79</v>
      </c>
      <c r="Z758" s="2">
        <v>65.099999999999994</v>
      </c>
      <c r="AA758" s="2"/>
      <c r="AB758" s="2" t="s">
        <v>5422</v>
      </c>
      <c r="AC758" s="2"/>
      <c r="AD758" s="2">
        <v>338960.89020771498</v>
      </c>
      <c r="AE758" s="2">
        <v>0.75586766939654504</v>
      </c>
      <c r="AF758" s="2">
        <v>144981.24098147399</v>
      </c>
      <c r="AG758" s="2">
        <v>30408.992754928298</v>
      </c>
      <c r="AH758" s="5">
        <v>4.7677094124723096</v>
      </c>
      <c r="AI758" s="5">
        <v>2.2532963075365</v>
      </c>
      <c r="AJ758" s="5" t="s">
        <v>139</v>
      </c>
      <c r="AK758" s="2">
        <v>1.3338652573075999E-2</v>
      </c>
      <c r="AL758" s="2">
        <v>0.183105049682736</v>
      </c>
      <c r="AM758" s="2">
        <v>239705.236016985</v>
      </c>
      <c r="AN758" s="2">
        <v>229260.61957822001</v>
      </c>
      <c r="AO758" s="2">
        <v>99705.621080733006</v>
      </c>
      <c r="AP758" s="2">
        <v>56951.690451439201</v>
      </c>
      <c r="AQ758" s="2">
        <v>30418.901941107</v>
      </c>
      <c r="AR758" s="2">
        <v>213845.376820359</v>
      </c>
      <c r="AS758" s="2">
        <v>30956.617478488999</v>
      </c>
      <c r="AT758" s="2">
        <v>32367.705712204399</v>
      </c>
      <c r="AU758" s="2">
        <v>28583.081796900799</v>
      </c>
      <c r="AV758" s="2">
        <v>30448.745042520401</v>
      </c>
      <c r="AW758" s="2">
        <v>30459.595839521</v>
      </c>
      <c r="AX758" s="2">
        <v>29638.210659934201</v>
      </c>
    </row>
    <row r="759" spans="1:50" x14ac:dyDescent="0.25">
      <c r="A759" s="2" t="s">
        <v>5423</v>
      </c>
      <c r="B759" s="2">
        <v>487.29107536041698</v>
      </c>
      <c r="C759" s="2">
        <v>11.0881833333333</v>
      </c>
      <c r="D759" s="2" t="s">
        <v>51</v>
      </c>
      <c r="E759" s="2" t="s">
        <v>5424</v>
      </c>
      <c r="F759" s="2">
        <v>18019</v>
      </c>
      <c r="G759" s="3" t="str">
        <f>HYPERLINK("https://cloud.oebiotech.com/#/lm/network/18019", "https://cloud.oebiotech.com/#/lm/network/18019")</f>
        <v>https://cloud.oebiotech.com/#/lm/network/18019</v>
      </c>
      <c r="H759" s="2"/>
      <c r="I759" s="2"/>
      <c r="J759" s="2" t="s">
        <v>5425</v>
      </c>
      <c r="K759" s="2"/>
      <c r="L759" s="2"/>
      <c r="M759" s="2"/>
      <c r="N759" s="2"/>
      <c r="O759" s="2"/>
      <c r="P759" s="2"/>
      <c r="Q759" s="2"/>
      <c r="R759" s="2"/>
      <c r="S759" s="2" t="s">
        <v>5426</v>
      </c>
      <c r="T759" s="2" t="s">
        <v>5427</v>
      </c>
      <c r="U759" s="2" t="s">
        <v>56</v>
      </c>
      <c r="V759" s="2" t="s">
        <v>3215</v>
      </c>
      <c r="W759" s="2" t="s">
        <v>5428</v>
      </c>
      <c r="X759" s="2" t="s">
        <v>147</v>
      </c>
      <c r="Y759" s="2">
        <v>40.799999999999997</v>
      </c>
      <c r="Z759" s="2">
        <v>13.4</v>
      </c>
      <c r="AA759" s="2" t="s">
        <v>163</v>
      </c>
      <c r="AB759" s="2" t="s">
        <v>5429</v>
      </c>
      <c r="AC759" s="2">
        <v>-0.371073617568146</v>
      </c>
      <c r="AD759" s="2"/>
      <c r="AE759" s="2">
        <v>0.75574359479503095</v>
      </c>
      <c r="AF759" s="2">
        <v>16285.1677270129</v>
      </c>
      <c r="AG759" s="2">
        <v>31447.0114644067</v>
      </c>
      <c r="AH759" s="4">
        <v>0.51786058415901504</v>
      </c>
      <c r="AI759" s="4">
        <v>-0.94936433986008895</v>
      </c>
      <c r="AJ759" s="4" t="s">
        <v>62</v>
      </c>
      <c r="AK759" s="2">
        <v>0.13328931178439801</v>
      </c>
      <c r="AL759" s="2">
        <v>0.45370418977862098</v>
      </c>
      <c r="AM759" s="2">
        <v>8.559877937157E-6</v>
      </c>
      <c r="AN759" s="2">
        <v>21463.311431028302</v>
      </c>
      <c r="AO759" s="2">
        <v>14045.149513173399</v>
      </c>
      <c r="AP759" s="2">
        <v>4858.2806718495103</v>
      </c>
      <c r="AQ759" s="2">
        <v>16552.244764606301</v>
      </c>
      <c r="AR759" s="2">
        <v>40792.019972859998</v>
      </c>
      <c r="AS759" s="2">
        <v>42723.176576046397</v>
      </c>
      <c r="AT759" s="2">
        <v>23220.211455385601</v>
      </c>
      <c r="AU759" s="2">
        <v>6428.5597140893497</v>
      </c>
      <c r="AV759" s="2">
        <v>54988.735855829502</v>
      </c>
      <c r="AW759" s="2">
        <v>21219.9712829903</v>
      </c>
      <c r="AX759" s="2">
        <v>40101.413902099099</v>
      </c>
    </row>
    <row r="760" spans="1:50" x14ac:dyDescent="0.25">
      <c r="A760" s="2" t="s">
        <v>5430</v>
      </c>
      <c r="B760" s="2">
        <v>389.26976631883002</v>
      </c>
      <c r="C760" s="2">
        <v>9.6834500000000006</v>
      </c>
      <c r="D760" s="2" t="s">
        <v>51</v>
      </c>
      <c r="E760" s="2" t="s">
        <v>5431</v>
      </c>
      <c r="F760" s="2">
        <v>46246</v>
      </c>
      <c r="G760" s="3" t="str">
        <f>HYPERLINK("https://cloud.oebiotech.com/#/lm/network/46246", "https://cloud.oebiotech.com/#/lm/network/46246")</f>
        <v>https://cloud.oebiotech.com/#/lm/network/46246</v>
      </c>
      <c r="H760" s="2"/>
      <c r="I760" s="2">
        <v>84698</v>
      </c>
      <c r="J760" s="2" t="s">
        <v>5432</v>
      </c>
      <c r="K760" s="2">
        <v>5284136</v>
      </c>
      <c r="L760" s="2"/>
      <c r="M760" s="2"/>
      <c r="N760" s="2"/>
      <c r="O760" s="2"/>
      <c r="P760" s="2"/>
      <c r="Q760" s="2"/>
      <c r="R760" s="2"/>
      <c r="S760" s="2" t="s">
        <v>5433</v>
      </c>
      <c r="T760" s="2" t="s">
        <v>5434</v>
      </c>
      <c r="U760" s="2" t="s">
        <v>56</v>
      </c>
      <c r="V760" s="2" t="s">
        <v>283</v>
      </c>
      <c r="W760" s="2" t="s">
        <v>2042</v>
      </c>
      <c r="X760" s="2" t="s">
        <v>69</v>
      </c>
      <c r="Y760" s="2">
        <v>67.2</v>
      </c>
      <c r="Z760" s="2">
        <v>93.4</v>
      </c>
      <c r="AA760" s="2" t="s">
        <v>4062</v>
      </c>
      <c r="AB760" s="2" t="s">
        <v>5435</v>
      </c>
      <c r="AC760" s="2">
        <v>2.9110650382273899</v>
      </c>
      <c r="AD760" s="2"/>
      <c r="AE760" s="2">
        <v>0.75431617078614599</v>
      </c>
      <c r="AF760" s="2">
        <v>43519.337040636703</v>
      </c>
      <c r="AG760" s="2">
        <v>3282.9840993191501</v>
      </c>
      <c r="AH760" s="5">
        <v>13.256030405283401</v>
      </c>
      <c r="AI760" s="5">
        <v>3.72857691166478</v>
      </c>
      <c r="AJ760" s="5" t="s">
        <v>139</v>
      </c>
      <c r="AK760" s="2">
        <v>0.28944776128587502</v>
      </c>
      <c r="AL760" s="2">
        <v>0.60369237994034897</v>
      </c>
      <c r="AM760" s="2">
        <v>6943.0078579044202</v>
      </c>
      <c r="AN760" s="2">
        <v>1490.7253391542099</v>
      </c>
      <c r="AO760" s="2">
        <v>192.492810766585</v>
      </c>
      <c r="AP760" s="2">
        <v>720.91993193954795</v>
      </c>
      <c r="AQ760" s="2">
        <v>221679.747189646</v>
      </c>
      <c r="AR760" s="2">
        <v>30089.129114409599</v>
      </c>
      <c r="AS760" s="2">
        <v>854.99091390894205</v>
      </c>
      <c r="AT760" s="2">
        <v>723.27700125286003</v>
      </c>
      <c r="AU760" s="2">
        <v>9616.8877582951409</v>
      </c>
      <c r="AV760" s="2">
        <v>6973.8301112591598</v>
      </c>
      <c r="AW760" s="2">
        <v>732.48832656439299</v>
      </c>
      <c r="AX760" s="2">
        <v>796.43048463439902</v>
      </c>
    </row>
    <row r="761" spans="1:50" x14ac:dyDescent="0.25">
      <c r="A761" s="2" t="s">
        <v>5436</v>
      </c>
      <c r="B761" s="2">
        <v>517.35175329568096</v>
      </c>
      <c r="C761" s="2">
        <v>14.626300000000001</v>
      </c>
      <c r="D761" s="2" t="s">
        <v>51</v>
      </c>
      <c r="E761" s="2" t="s">
        <v>5437</v>
      </c>
      <c r="F761" s="2">
        <v>250266</v>
      </c>
      <c r="G761" s="3" t="str">
        <f>HYPERLINK("https://cloud.oebiotech.com/#/lm/network/250266", "https://cloud.oebiotech.com/#/lm/network/250266")</f>
        <v>https://cloud.oebiotech.com/#/lm/network/250266</v>
      </c>
      <c r="H761" s="2" t="s">
        <v>5438</v>
      </c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 t="s">
        <v>5439</v>
      </c>
      <c r="T761" s="2" t="s">
        <v>5440</v>
      </c>
      <c r="U761" s="2" t="s">
        <v>56</v>
      </c>
      <c r="V761" s="2" t="s">
        <v>145</v>
      </c>
      <c r="W761" s="2" t="s">
        <v>203</v>
      </c>
      <c r="X761" s="2" t="s">
        <v>147</v>
      </c>
      <c r="Y761" s="2">
        <v>39</v>
      </c>
      <c r="Z761" s="2">
        <v>5.3</v>
      </c>
      <c r="AA761" s="2" t="s">
        <v>60</v>
      </c>
      <c r="AB761" s="2" t="s">
        <v>5441</v>
      </c>
      <c r="AC761" s="2">
        <v>3.6275025062070099</v>
      </c>
      <c r="AD761" s="2"/>
      <c r="AE761" s="2">
        <v>0.75378374368964796</v>
      </c>
      <c r="AF761" s="2">
        <v>21841.508573020601</v>
      </c>
      <c r="AG761" s="2">
        <v>10444.2206280642</v>
      </c>
      <c r="AH761" s="5">
        <v>2.0912530815685102</v>
      </c>
      <c r="AI761" s="5">
        <v>1.0643676661502199</v>
      </c>
      <c r="AJ761" s="5" t="s">
        <v>139</v>
      </c>
      <c r="AK761" s="2">
        <v>6.1878944796436401E-3</v>
      </c>
      <c r="AL761" s="2">
        <v>0.13318820653882399</v>
      </c>
      <c r="AM761" s="2">
        <v>30330.3135698275</v>
      </c>
      <c r="AN761" s="2">
        <v>27297.1394817894</v>
      </c>
      <c r="AO761" s="2">
        <v>18728.4567388465</v>
      </c>
      <c r="AP761" s="2">
        <v>17258.510788740001</v>
      </c>
      <c r="AQ761" s="2">
        <v>13349.9667787254</v>
      </c>
      <c r="AR761" s="2">
        <v>24084.6640801951</v>
      </c>
      <c r="AS761" s="2">
        <v>14407.574676112899</v>
      </c>
      <c r="AT761" s="2">
        <v>10716.7729173149</v>
      </c>
      <c r="AU761" s="2">
        <v>10641.741976498301</v>
      </c>
      <c r="AV761" s="2">
        <v>6225.8031523479804</v>
      </c>
      <c r="AW761" s="2">
        <v>3878.7119387358498</v>
      </c>
      <c r="AX761" s="2">
        <v>16794.719107375298</v>
      </c>
    </row>
    <row r="762" spans="1:50" x14ac:dyDescent="0.25">
      <c r="A762" s="2" t="s">
        <v>5442</v>
      </c>
      <c r="B762" s="2">
        <v>683.25548686443994</v>
      </c>
      <c r="C762" s="2">
        <v>8.62388333333333</v>
      </c>
      <c r="D762" s="2" t="s">
        <v>51</v>
      </c>
      <c r="E762" s="2" t="s">
        <v>5443</v>
      </c>
      <c r="F762" s="2">
        <v>63806</v>
      </c>
      <c r="G762" s="3" t="str">
        <f>HYPERLINK("https://cloud.oebiotech.com/#/lm/network/63806", "https://cloud.oebiotech.com/#/lm/network/63806")</f>
        <v>https://cloud.oebiotech.com/#/lm/network/63806</v>
      </c>
      <c r="H762" s="2" t="s">
        <v>5444</v>
      </c>
      <c r="I762" s="2">
        <v>95141</v>
      </c>
      <c r="J762" s="2"/>
      <c r="K762" s="2">
        <v>127870</v>
      </c>
      <c r="L762" s="2"/>
      <c r="M762" s="2"/>
      <c r="N762" s="2"/>
      <c r="O762" s="2"/>
      <c r="P762" s="2"/>
      <c r="Q762" s="2"/>
      <c r="R762" s="2" t="s">
        <v>5445</v>
      </c>
      <c r="S762" s="2" t="s">
        <v>5446</v>
      </c>
      <c r="T762" s="2" t="s">
        <v>5447</v>
      </c>
      <c r="U762" s="2" t="s">
        <v>56</v>
      </c>
      <c r="V762" s="2" t="s">
        <v>177</v>
      </c>
      <c r="W762" s="2" t="s">
        <v>806</v>
      </c>
      <c r="X762" s="2" t="s">
        <v>147</v>
      </c>
      <c r="Y762" s="2">
        <v>41.6</v>
      </c>
      <c r="Z762" s="2">
        <v>23.5</v>
      </c>
      <c r="AA762" s="2" t="s">
        <v>478</v>
      </c>
      <c r="AB762" s="2" t="s">
        <v>5448</v>
      </c>
      <c r="AC762" s="2">
        <v>-0.25140569689585401</v>
      </c>
      <c r="AD762" s="2"/>
      <c r="AE762" s="2">
        <v>0.75319851492034895</v>
      </c>
      <c r="AF762" s="2">
        <v>38915.697925673703</v>
      </c>
      <c r="AG762" s="2">
        <v>51275.046215337898</v>
      </c>
      <c r="AH762" s="4">
        <v>0.75895978254687402</v>
      </c>
      <c r="AI762" s="4">
        <v>-0.39790465596261798</v>
      </c>
      <c r="AJ762" s="4" t="s">
        <v>62</v>
      </c>
      <c r="AK762" s="2">
        <v>5.1519079514908001E-3</v>
      </c>
      <c r="AL762" s="2">
        <v>0.123740271492219</v>
      </c>
      <c r="AM762" s="2">
        <v>37710.244040293299</v>
      </c>
      <c r="AN762" s="2">
        <v>32909.435413844098</v>
      </c>
      <c r="AO762" s="2">
        <v>45348.192596923698</v>
      </c>
      <c r="AP762" s="2">
        <v>42014.422101814598</v>
      </c>
      <c r="AQ762" s="2">
        <v>39598.240660520903</v>
      </c>
      <c r="AR762" s="2">
        <v>35913.652740645797</v>
      </c>
      <c r="AS762" s="2">
        <v>60850.098639009797</v>
      </c>
      <c r="AT762" s="2">
        <v>55626.499402043097</v>
      </c>
      <c r="AU762" s="2">
        <v>40506.962295701604</v>
      </c>
      <c r="AV762" s="2">
        <v>48179.762938701002</v>
      </c>
      <c r="AW762" s="2">
        <v>54901.1966899615</v>
      </c>
      <c r="AX762" s="2">
        <v>47585.757326610197</v>
      </c>
    </row>
    <row r="763" spans="1:50" x14ac:dyDescent="0.25">
      <c r="A763" s="2" t="s">
        <v>5449</v>
      </c>
      <c r="B763" s="2">
        <v>371.24420274917401</v>
      </c>
      <c r="C763" s="2">
        <v>6.0580999999999996</v>
      </c>
      <c r="D763" s="2" t="s">
        <v>51</v>
      </c>
      <c r="E763" s="2" t="s">
        <v>5450</v>
      </c>
      <c r="F763" s="2">
        <v>2068</v>
      </c>
      <c r="G763" s="3" t="str">
        <f>HYPERLINK("https://cloud.oebiotech.com/#/lm/network/2068", "https://cloud.oebiotech.com/#/lm/network/2068")</f>
        <v>https://cloud.oebiotech.com/#/lm/network/2068</v>
      </c>
      <c r="H763" s="2"/>
      <c r="I763" s="2">
        <v>35727</v>
      </c>
      <c r="J763" s="2" t="s">
        <v>5451</v>
      </c>
      <c r="K763" s="2">
        <v>15016</v>
      </c>
      <c r="L763" s="2"/>
      <c r="M763" s="2"/>
      <c r="N763" s="2"/>
      <c r="O763" s="2"/>
      <c r="P763" s="2"/>
      <c r="Q763" s="2"/>
      <c r="R763" s="2"/>
      <c r="S763" s="2" t="s">
        <v>5452</v>
      </c>
      <c r="T763" s="2" t="s">
        <v>5453</v>
      </c>
      <c r="U763" s="2" t="s">
        <v>56</v>
      </c>
      <c r="V763" s="2" t="s">
        <v>145</v>
      </c>
      <c r="W763" s="2" t="s">
        <v>231</v>
      </c>
      <c r="X763" s="2" t="s">
        <v>83</v>
      </c>
      <c r="Y763" s="2">
        <v>46.9</v>
      </c>
      <c r="Z763" s="2">
        <v>8.3299999999999999E-2</v>
      </c>
      <c r="AA763" s="2" t="s">
        <v>478</v>
      </c>
      <c r="AB763" s="2" t="s">
        <v>5454</v>
      </c>
      <c r="AC763" s="2">
        <v>0.77987472597783203</v>
      </c>
      <c r="AD763" s="2"/>
      <c r="AE763" s="2">
        <v>0.75216942189686797</v>
      </c>
      <c r="AF763" s="2">
        <v>30294.206744217801</v>
      </c>
      <c r="AG763" s="2">
        <v>15903.597159078299</v>
      </c>
      <c r="AH763" s="5">
        <v>1.90486507179446</v>
      </c>
      <c r="AI763" s="5">
        <v>0.92968881023981598</v>
      </c>
      <c r="AJ763" s="5" t="s">
        <v>139</v>
      </c>
      <c r="AK763" s="2">
        <v>0.19432809178348501</v>
      </c>
      <c r="AL763" s="2">
        <v>0.51806281136890397</v>
      </c>
      <c r="AM763" s="2">
        <v>69051.093179959993</v>
      </c>
      <c r="AN763" s="2">
        <v>31477.1589999065</v>
      </c>
      <c r="AO763" s="2">
        <v>17431.9750674352</v>
      </c>
      <c r="AP763" s="2">
        <v>16593.2283575888</v>
      </c>
      <c r="AQ763" s="2">
        <v>20939.017521760299</v>
      </c>
      <c r="AR763" s="2">
        <v>26272.7673386561</v>
      </c>
      <c r="AS763" s="2">
        <v>11447.404595230801</v>
      </c>
      <c r="AT763" s="2">
        <v>1994.9674984081</v>
      </c>
      <c r="AU763" s="2">
        <v>46159.281051187798</v>
      </c>
      <c r="AV763" s="2">
        <v>6797.9166645584601</v>
      </c>
      <c r="AW763" s="2">
        <v>10390.879984536001</v>
      </c>
      <c r="AX763" s="2">
        <v>18631.133160548601</v>
      </c>
    </row>
    <row r="764" spans="1:50" x14ac:dyDescent="0.25">
      <c r="A764" s="2" t="s">
        <v>5455</v>
      </c>
      <c r="B764" s="2">
        <v>276.16053683707503</v>
      </c>
      <c r="C764" s="2">
        <v>5.5806833333333303</v>
      </c>
      <c r="D764" s="2" t="s">
        <v>51</v>
      </c>
      <c r="E764" s="2" t="s">
        <v>5456</v>
      </c>
      <c r="F764" s="2">
        <v>198303</v>
      </c>
      <c r="G764" s="3" t="str">
        <f>HYPERLINK("https://cloud.oebiotech.com/#/lm/network/198303", "https://cloud.oebiotech.com/#/lm/network/198303")</f>
        <v>https://cloud.oebiotech.com/#/lm/network/198303</v>
      </c>
      <c r="H764" s="2" t="s">
        <v>5457</v>
      </c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 t="s">
        <v>5458</v>
      </c>
      <c r="T764" s="2" t="s">
        <v>5459</v>
      </c>
      <c r="U764" s="2" t="s">
        <v>56</v>
      </c>
      <c r="V764" s="2" t="s">
        <v>145</v>
      </c>
      <c r="W764" s="2" t="s">
        <v>1188</v>
      </c>
      <c r="X764" s="2" t="s">
        <v>83</v>
      </c>
      <c r="Y764" s="2">
        <v>40.9</v>
      </c>
      <c r="Z764" s="2">
        <v>0</v>
      </c>
      <c r="AA764" s="2" t="s">
        <v>379</v>
      </c>
      <c r="AB764" s="2" t="s">
        <v>5460</v>
      </c>
      <c r="AC764" s="2">
        <v>6.6645417824139297E-2</v>
      </c>
      <c r="AD764" s="2"/>
      <c r="AE764" s="2">
        <v>0.751701876000333</v>
      </c>
      <c r="AF764" s="2">
        <v>30509.747424375499</v>
      </c>
      <c r="AG764" s="2">
        <v>8982.7818240216293</v>
      </c>
      <c r="AH764" s="5">
        <v>3.3964698266172801</v>
      </c>
      <c r="AI764" s="5">
        <v>1.7640360377037301</v>
      </c>
      <c r="AJ764" s="5" t="s">
        <v>139</v>
      </c>
      <c r="AK764" s="2">
        <v>2.1145785722546301E-2</v>
      </c>
      <c r="AL764" s="2">
        <v>0.226887413522771</v>
      </c>
      <c r="AM764" s="2">
        <v>10067.2130759723</v>
      </c>
      <c r="AN764" s="2">
        <v>34585.991772978603</v>
      </c>
      <c r="AO764" s="2">
        <v>21311.758675305598</v>
      </c>
      <c r="AP764" s="2">
        <v>64043.243805598599</v>
      </c>
      <c r="AQ764" s="2">
        <v>22403.2571627822</v>
      </c>
      <c r="AR764" s="2">
        <v>30647.020053616001</v>
      </c>
      <c r="AS764" s="2">
        <v>9007.6047329432204</v>
      </c>
      <c r="AT764" s="2">
        <v>15180.3145678162</v>
      </c>
      <c r="AU764" s="2">
        <v>2155.0871119717899</v>
      </c>
      <c r="AV764" s="2">
        <v>2403.58678533395</v>
      </c>
      <c r="AW764" s="2">
        <v>12796.693098998199</v>
      </c>
      <c r="AX764" s="2">
        <v>12353.4046470664</v>
      </c>
    </row>
    <row r="765" spans="1:50" x14ac:dyDescent="0.25">
      <c r="A765" s="2" t="s">
        <v>5461</v>
      </c>
      <c r="B765" s="2">
        <v>375.14780788598102</v>
      </c>
      <c r="C765" s="2">
        <v>9.4228166666666695</v>
      </c>
      <c r="D765" s="2" t="s">
        <v>51</v>
      </c>
      <c r="E765" s="2" t="s">
        <v>5462</v>
      </c>
      <c r="F765" s="2">
        <v>199301</v>
      </c>
      <c r="G765" s="3" t="str">
        <f>HYPERLINK("https://cloud.oebiotech.com/#/lm/network/199301", "https://cloud.oebiotech.com/#/lm/network/199301")</f>
        <v>https://cloud.oebiotech.com/#/lm/network/199301</v>
      </c>
      <c r="H765" s="2" t="s">
        <v>5463</v>
      </c>
      <c r="I765" s="2"/>
      <c r="J765" s="2"/>
      <c r="K765" s="2">
        <v>53805115</v>
      </c>
      <c r="L765" s="2"/>
      <c r="M765" s="2"/>
      <c r="N765" s="2"/>
      <c r="O765" s="2"/>
      <c r="P765" s="2"/>
      <c r="Q765" s="2"/>
      <c r="R765" s="2"/>
      <c r="S765" s="2" t="s">
        <v>5464</v>
      </c>
      <c r="T765" s="2" t="s">
        <v>5465</v>
      </c>
      <c r="U765" s="2" t="s">
        <v>610</v>
      </c>
      <c r="V765" s="2" t="s">
        <v>4556</v>
      </c>
      <c r="W765" s="2" t="s">
        <v>240</v>
      </c>
      <c r="X765" s="2" t="s">
        <v>147</v>
      </c>
      <c r="Y765" s="2">
        <v>40.700000000000003</v>
      </c>
      <c r="Z765" s="2">
        <v>19.2</v>
      </c>
      <c r="AA765" s="2" t="s">
        <v>512</v>
      </c>
      <c r="AB765" s="2" t="s">
        <v>5466</v>
      </c>
      <c r="AC765" s="2">
        <v>-2.0445151204427301</v>
      </c>
      <c r="AD765" s="2"/>
      <c r="AE765" s="2">
        <v>0.75104213662478703</v>
      </c>
      <c r="AF765" s="2">
        <v>29991.575736344799</v>
      </c>
      <c r="AG765" s="2">
        <v>17338.2415293134</v>
      </c>
      <c r="AH765" s="5">
        <v>1.7297933983465801</v>
      </c>
      <c r="AI765" s="5">
        <v>0.79059973671746797</v>
      </c>
      <c r="AJ765" s="5" t="s">
        <v>139</v>
      </c>
      <c r="AK765" s="2">
        <v>1.20256636758082E-2</v>
      </c>
      <c r="AL765" s="2">
        <v>0.17463872408012501</v>
      </c>
      <c r="AM765" s="2">
        <v>32292.126824441399</v>
      </c>
      <c r="AN765" s="2">
        <v>34639.101961456101</v>
      </c>
      <c r="AO765" s="2">
        <v>30955.4753357958</v>
      </c>
      <c r="AP765" s="2">
        <v>33790.344187190101</v>
      </c>
      <c r="AQ765" s="2">
        <v>20417.2943878197</v>
      </c>
      <c r="AR765" s="2">
        <v>27855.1117213658</v>
      </c>
      <c r="AS765" s="2">
        <v>24928.579052510901</v>
      </c>
      <c r="AT765" s="2">
        <v>14976.792587181701</v>
      </c>
      <c r="AU765" s="2">
        <v>30112.457252192798</v>
      </c>
      <c r="AV765" s="2">
        <v>6727.6763635972202</v>
      </c>
      <c r="AW765" s="2">
        <v>11654.98184439</v>
      </c>
      <c r="AX765" s="2">
        <v>15628.962076008</v>
      </c>
    </row>
    <row r="766" spans="1:50" x14ac:dyDescent="0.25">
      <c r="A766" s="2" t="s">
        <v>5467</v>
      </c>
      <c r="B766" s="2">
        <v>308.29561769381002</v>
      </c>
      <c r="C766" s="2">
        <v>12.9385666666667</v>
      </c>
      <c r="D766" s="2" t="s">
        <v>51</v>
      </c>
      <c r="E766" s="2" t="s">
        <v>5468</v>
      </c>
      <c r="F766" s="2">
        <v>35832</v>
      </c>
      <c r="G766" s="3" t="str">
        <f>HYPERLINK("https://cloud.oebiotech.com/#/lm/network/35832", "https://cloud.oebiotech.com/#/lm/network/35832")</f>
        <v>https://cloud.oebiotech.com/#/lm/network/35832</v>
      </c>
      <c r="H766" s="2"/>
      <c r="I766" s="2">
        <v>53578</v>
      </c>
      <c r="J766" s="2" t="s">
        <v>5469</v>
      </c>
      <c r="K766" s="2">
        <v>5281365</v>
      </c>
      <c r="L766" s="2" t="s">
        <v>5470</v>
      </c>
      <c r="M766" s="2"/>
      <c r="N766" s="2"/>
      <c r="O766" s="2">
        <v>46762</v>
      </c>
      <c r="P766" s="2"/>
      <c r="Q766" s="2"/>
      <c r="R766" s="2" t="s">
        <v>5471</v>
      </c>
      <c r="S766" s="2" t="s">
        <v>5472</v>
      </c>
      <c r="T766" s="2" t="s">
        <v>5473</v>
      </c>
      <c r="U766" s="2" t="s">
        <v>56</v>
      </c>
      <c r="V766" s="2" t="s">
        <v>177</v>
      </c>
      <c r="W766" s="2" t="s">
        <v>178</v>
      </c>
      <c r="X766" s="2" t="s">
        <v>69</v>
      </c>
      <c r="Y766" s="2">
        <v>70.599999999999994</v>
      </c>
      <c r="Z766" s="2">
        <v>94.4</v>
      </c>
      <c r="AA766" s="2" t="s">
        <v>512</v>
      </c>
      <c r="AB766" s="2" t="s">
        <v>5474</v>
      </c>
      <c r="AC766" s="2">
        <v>2.84727871584407</v>
      </c>
      <c r="AD766" s="2"/>
      <c r="AE766" s="2">
        <v>0.74859818737663997</v>
      </c>
      <c r="AF766" s="2">
        <v>9913.5863906002396</v>
      </c>
      <c r="AG766" s="2">
        <v>37994.925041983799</v>
      </c>
      <c r="AH766" s="4">
        <v>0.26091869847475402</v>
      </c>
      <c r="AI766" s="4">
        <v>-1.93832775774554</v>
      </c>
      <c r="AJ766" s="4" t="s">
        <v>62</v>
      </c>
      <c r="AK766" s="2">
        <v>0.39620337850729198</v>
      </c>
      <c r="AL766" s="2">
        <v>0.66752996494649497</v>
      </c>
      <c r="AM766" s="2">
        <v>2263.8710472950002</v>
      </c>
      <c r="AN766" s="2">
        <v>2347.1060448107701</v>
      </c>
      <c r="AO766" s="2">
        <v>41812.188597657201</v>
      </c>
      <c r="AP766" s="2">
        <v>1241.0648821417799</v>
      </c>
      <c r="AQ766" s="2">
        <v>8706.1340692090707</v>
      </c>
      <c r="AR766" s="2">
        <v>3111.1537024875902</v>
      </c>
      <c r="AS766" s="2">
        <v>192850.58434385699</v>
      </c>
      <c r="AT766" s="2">
        <v>3274.3955288002398</v>
      </c>
      <c r="AU766" s="2">
        <v>10753.9687365226</v>
      </c>
      <c r="AV766" s="2">
        <v>7204.6979844843099</v>
      </c>
      <c r="AW766" s="2">
        <v>11766.150502263001</v>
      </c>
      <c r="AX766" s="2">
        <v>2119.7531559754998</v>
      </c>
    </row>
    <row r="767" spans="1:50" x14ac:dyDescent="0.25">
      <c r="A767" s="2" t="s">
        <v>5475</v>
      </c>
      <c r="B767" s="2">
        <v>432.15128513753001</v>
      </c>
      <c r="C767" s="2">
        <v>4.9007166666666704</v>
      </c>
      <c r="D767" s="2" t="s">
        <v>51</v>
      </c>
      <c r="E767" s="2" t="s">
        <v>5476</v>
      </c>
      <c r="F767" s="2">
        <v>212024</v>
      </c>
      <c r="G767" s="3" t="str">
        <f>HYPERLINK("https://cloud.oebiotech.com/#/lm/network/212024", "https://cloud.oebiotech.com/#/lm/network/212024")</f>
        <v>https://cloud.oebiotech.com/#/lm/network/212024</v>
      </c>
      <c r="H767" s="2" t="s">
        <v>5477</v>
      </c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 t="s">
        <v>5478</v>
      </c>
      <c r="T767" s="2" t="s">
        <v>5479</v>
      </c>
      <c r="U767" s="2" t="s">
        <v>103</v>
      </c>
      <c r="V767" s="2" t="s">
        <v>104</v>
      </c>
      <c r="W767" s="2" t="s">
        <v>105</v>
      </c>
      <c r="X767" s="2" t="s">
        <v>59</v>
      </c>
      <c r="Y767" s="2">
        <v>48</v>
      </c>
      <c r="Z767" s="2">
        <v>49.6</v>
      </c>
      <c r="AA767" s="2" t="s">
        <v>379</v>
      </c>
      <c r="AB767" s="2" t="s">
        <v>5480</v>
      </c>
      <c r="AC767" s="2">
        <v>-2.6298820342224301</v>
      </c>
      <c r="AD767" s="2"/>
      <c r="AE767" s="2">
        <v>0.74776124439028602</v>
      </c>
      <c r="AF767" s="2">
        <v>8620.5407815653198</v>
      </c>
      <c r="AG767" s="2">
        <v>25174.315509018499</v>
      </c>
      <c r="AH767" s="4">
        <v>0.34243396919678298</v>
      </c>
      <c r="AI767" s="4">
        <v>-1.5461022717671</v>
      </c>
      <c r="AJ767" s="4" t="s">
        <v>62</v>
      </c>
      <c r="AK767" s="2">
        <v>6.6139507748194104E-2</v>
      </c>
      <c r="AL767" s="2">
        <v>0.34192828169447498</v>
      </c>
      <c r="AM767" s="2">
        <v>8167.4233134091101</v>
      </c>
      <c r="AN767" s="2">
        <v>4056.57449408205</v>
      </c>
      <c r="AO767" s="2">
        <v>8236.8996957716899</v>
      </c>
      <c r="AP767" s="2">
        <v>8.559877937157E-6</v>
      </c>
      <c r="AQ767" s="2">
        <v>3573.8449250538001</v>
      </c>
      <c r="AR767" s="2">
        <v>27688.502252515402</v>
      </c>
      <c r="AS767" s="2">
        <v>8723.7771461647408</v>
      </c>
      <c r="AT767" s="2">
        <v>19262.279181641701</v>
      </c>
      <c r="AU767" s="2">
        <v>21549.649879214299</v>
      </c>
      <c r="AV767" s="2">
        <v>49872.471228793002</v>
      </c>
      <c r="AW767" s="2">
        <v>41927.039725038201</v>
      </c>
      <c r="AX767" s="2">
        <v>9710.6758932588109</v>
      </c>
    </row>
    <row r="768" spans="1:50" x14ac:dyDescent="0.25">
      <c r="A768" s="2" t="s">
        <v>5481</v>
      </c>
      <c r="B768" s="2">
        <v>283.20646324945602</v>
      </c>
      <c r="C768" s="2">
        <v>9.6451499999999992</v>
      </c>
      <c r="D768" s="2" t="s">
        <v>51</v>
      </c>
      <c r="E768" s="2" t="s">
        <v>5482</v>
      </c>
      <c r="F768" s="2">
        <v>37403</v>
      </c>
      <c r="G768" s="3" t="str">
        <f>HYPERLINK("https://cloud.oebiotech.com/#/lm/network/37403", "https://cloud.oebiotech.com/#/lm/network/37403")</f>
        <v>https://cloud.oebiotech.com/#/lm/network/37403</v>
      </c>
      <c r="H768" s="2"/>
      <c r="I768" s="2">
        <v>41528</v>
      </c>
      <c r="J768" s="2" t="s">
        <v>5483</v>
      </c>
      <c r="K768" s="2">
        <v>16061324</v>
      </c>
      <c r="L768" s="2"/>
      <c r="M768" s="2"/>
      <c r="N768" s="2"/>
      <c r="O768" s="2"/>
      <c r="P768" s="2"/>
      <c r="Q768" s="2"/>
      <c r="R768" s="2"/>
      <c r="S768" s="2" t="s">
        <v>5484</v>
      </c>
      <c r="T768" s="2" t="s">
        <v>5485</v>
      </c>
      <c r="U768" s="2" t="s">
        <v>56</v>
      </c>
      <c r="V768" s="2" t="s">
        <v>177</v>
      </c>
      <c r="W768" s="2" t="s">
        <v>3987</v>
      </c>
      <c r="X768" s="2" t="s">
        <v>147</v>
      </c>
      <c r="Y768" s="2">
        <v>46.8</v>
      </c>
      <c r="Z768" s="2">
        <v>42.2</v>
      </c>
      <c r="AA768" s="2" t="s">
        <v>179</v>
      </c>
      <c r="AB768" s="2" t="s">
        <v>5486</v>
      </c>
      <c r="AC768" s="2">
        <v>2.9105911884209701</v>
      </c>
      <c r="AD768" s="2"/>
      <c r="AE768" s="2">
        <v>0.74399283374563396</v>
      </c>
      <c r="AF768" s="2">
        <v>39736.506223380202</v>
      </c>
      <c r="AG768" s="2">
        <v>26881.6084245784</v>
      </c>
      <c r="AH768" s="5">
        <v>1.47820419060372</v>
      </c>
      <c r="AI768" s="5">
        <v>0.56384556882393499</v>
      </c>
      <c r="AJ768" s="5" t="s">
        <v>139</v>
      </c>
      <c r="AK768" s="2">
        <v>2.9857107193646499E-2</v>
      </c>
      <c r="AL768" s="2">
        <v>0.25908320162100301</v>
      </c>
      <c r="AM768" s="2">
        <v>47890.460241177003</v>
      </c>
      <c r="AN768" s="2">
        <v>42363.395246155102</v>
      </c>
      <c r="AO768" s="2">
        <v>36700.273156868498</v>
      </c>
      <c r="AP768" s="2">
        <v>45728.977766830198</v>
      </c>
      <c r="AQ768" s="2">
        <v>28288.9670058837</v>
      </c>
      <c r="AR768" s="2">
        <v>37446.9639233665</v>
      </c>
      <c r="AS768" s="2">
        <v>36054.525501484699</v>
      </c>
      <c r="AT768" s="2">
        <v>27584.885348981599</v>
      </c>
      <c r="AU768" s="2">
        <v>40585.123258751999</v>
      </c>
      <c r="AV768" s="2">
        <v>13851.781151519899</v>
      </c>
      <c r="AW768" s="2">
        <v>18314.692670072898</v>
      </c>
      <c r="AX768" s="2">
        <v>24898.642616659399</v>
      </c>
    </row>
    <row r="769" spans="1:50" x14ac:dyDescent="0.25">
      <c r="A769" s="2" t="s">
        <v>5487</v>
      </c>
      <c r="B769" s="2">
        <v>373.274864896358</v>
      </c>
      <c r="C769" s="2">
        <v>10.1716</v>
      </c>
      <c r="D769" s="2" t="s">
        <v>51</v>
      </c>
      <c r="E769" s="2" t="s">
        <v>5488</v>
      </c>
      <c r="F769" s="2">
        <v>46159</v>
      </c>
      <c r="G769" s="3" t="str">
        <f>HYPERLINK("https://cloud.oebiotech.com/#/lm/network/46159", "https://cloud.oebiotech.com/#/lm/network/46159")</f>
        <v>https://cloud.oebiotech.com/#/lm/network/46159</v>
      </c>
      <c r="H769" s="2"/>
      <c r="I769" s="2">
        <v>84612</v>
      </c>
      <c r="J769" s="2" t="s">
        <v>5489</v>
      </c>
      <c r="K769" s="2">
        <v>5284052</v>
      </c>
      <c r="L769" s="2"/>
      <c r="M769" s="2"/>
      <c r="N769" s="2"/>
      <c r="O769" s="2"/>
      <c r="P769" s="2"/>
      <c r="Q769" s="2"/>
      <c r="R769" s="2"/>
      <c r="S769" s="2" t="s">
        <v>5490</v>
      </c>
      <c r="T769" s="2" t="s">
        <v>5491</v>
      </c>
      <c r="U769" s="2" t="s">
        <v>56</v>
      </c>
      <c r="V769" s="2" t="s">
        <v>283</v>
      </c>
      <c r="W769" s="2" t="s">
        <v>2042</v>
      </c>
      <c r="X769" s="2" t="s">
        <v>69</v>
      </c>
      <c r="Y769" s="2">
        <v>70.8</v>
      </c>
      <c r="Z769" s="2">
        <v>73.5</v>
      </c>
      <c r="AA769" s="2" t="s">
        <v>179</v>
      </c>
      <c r="AB769" s="2" t="s">
        <v>2554</v>
      </c>
      <c r="AC769" s="2">
        <v>3.0715934076297899</v>
      </c>
      <c r="AD769" s="2"/>
      <c r="AE769" s="2">
        <v>0.74356526795896505</v>
      </c>
      <c r="AF769" s="2">
        <v>51176.861714046499</v>
      </c>
      <c r="AG769" s="2">
        <v>7139.2660118623899</v>
      </c>
      <c r="AH769" s="5">
        <v>7.1683645950455697</v>
      </c>
      <c r="AI769" s="5">
        <v>2.84164401715101</v>
      </c>
      <c r="AJ769" s="5" t="s">
        <v>139</v>
      </c>
      <c r="AK769" s="2">
        <v>0.33103693018969099</v>
      </c>
      <c r="AL769" s="2">
        <v>0.63296819791825998</v>
      </c>
      <c r="AM769" s="2">
        <v>55.4382612493106</v>
      </c>
      <c r="AN769" s="2">
        <v>492.03071483052702</v>
      </c>
      <c r="AO769" s="2">
        <v>8.559877937157E-6</v>
      </c>
      <c r="AP769" s="2">
        <v>8.559877937157E-6</v>
      </c>
      <c r="AQ769" s="2">
        <v>262358.99406577798</v>
      </c>
      <c r="AR769" s="2">
        <v>44154.707225301703</v>
      </c>
      <c r="AS769" s="2">
        <v>8.559877937157E-6</v>
      </c>
      <c r="AT769" s="2">
        <v>420.50110115323503</v>
      </c>
      <c r="AU769" s="2">
        <v>28522.115605272</v>
      </c>
      <c r="AV769" s="2">
        <v>12887.3313515031</v>
      </c>
      <c r="AW769" s="2">
        <v>674.59449230388395</v>
      </c>
      <c r="AX769" s="2">
        <v>331.05351238221999</v>
      </c>
    </row>
    <row r="770" spans="1:50" x14ac:dyDescent="0.25">
      <c r="A770" s="2" t="s">
        <v>5492</v>
      </c>
      <c r="B770" s="2">
        <v>337.23864147863299</v>
      </c>
      <c r="C770" s="2">
        <v>10.078099999999999</v>
      </c>
      <c r="D770" s="2" t="s">
        <v>51</v>
      </c>
      <c r="E770" s="2" t="s">
        <v>5493</v>
      </c>
      <c r="F770" s="2">
        <v>267536</v>
      </c>
      <c r="G770" s="3" t="str">
        <f>HYPERLINK("https://cloud.oebiotech.com/#/lm/network/267536", "https://cloud.oebiotech.com/#/lm/network/267536")</f>
        <v>https://cloud.oebiotech.com/#/lm/network/267536</v>
      </c>
      <c r="H770" s="2"/>
      <c r="I770" s="2">
        <v>45638</v>
      </c>
      <c r="J770" s="2"/>
      <c r="K770" s="2">
        <v>6610251</v>
      </c>
      <c r="L770" s="2"/>
      <c r="M770" s="2"/>
      <c r="N770" s="2"/>
      <c r="O770" s="2"/>
      <c r="P770" s="2"/>
      <c r="Q770" s="2"/>
      <c r="R770" s="2"/>
      <c r="S770" s="2" t="s">
        <v>5494</v>
      </c>
      <c r="T770" s="2" t="s">
        <v>5495</v>
      </c>
      <c r="U770" s="2" t="s">
        <v>56</v>
      </c>
      <c r="V770" s="2" t="s">
        <v>145</v>
      </c>
      <c r="W770" s="2" t="s">
        <v>187</v>
      </c>
      <c r="X770" s="2" t="s">
        <v>69</v>
      </c>
      <c r="Y770" s="2">
        <v>65.099999999999994</v>
      </c>
      <c r="Z770" s="2">
        <v>74.2</v>
      </c>
      <c r="AA770" s="2" t="s">
        <v>163</v>
      </c>
      <c r="AB770" s="2" t="s">
        <v>2182</v>
      </c>
      <c r="AC770" s="2">
        <v>0.61594872295631997</v>
      </c>
      <c r="AD770" s="2"/>
      <c r="AE770" s="2">
        <v>0.74336264339598002</v>
      </c>
      <c r="AF770" s="2">
        <v>80863.799019058701</v>
      </c>
      <c r="AG770" s="2">
        <v>60863.902607677403</v>
      </c>
      <c r="AH770" s="5">
        <v>1.3286002959800101</v>
      </c>
      <c r="AI770" s="5">
        <v>0.40990714092686098</v>
      </c>
      <c r="AJ770" s="5" t="s">
        <v>139</v>
      </c>
      <c r="AK770" s="2">
        <v>0.35084457667306501</v>
      </c>
      <c r="AL770" s="2">
        <v>0.64273559662805702</v>
      </c>
      <c r="AM770" s="2">
        <v>129016.342876166</v>
      </c>
      <c r="AN770" s="2">
        <v>70593.5064661941</v>
      </c>
      <c r="AO770" s="2">
        <v>56640.655995397399</v>
      </c>
      <c r="AP770" s="2">
        <v>75230.500632112904</v>
      </c>
      <c r="AQ770" s="2">
        <v>74151.8448615534</v>
      </c>
      <c r="AR770" s="2">
        <v>79549.943282928696</v>
      </c>
      <c r="AS770" s="2">
        <v>45278.614042821202</v>
      </c>
      <c r="AT770" s="2">
        <v>25431.351266631598</v>
      </c>
      <c r="AU770" s="2">
        <v>142653.511375815</v>
      </c>
      <c r="AV770" s="2">
        <v>27775.848578323999</v>
      </c>
      <c r="AW770" s="2">
        <v>70821.744692917899</v>
      </c>
      <c r="AX770" s="2">
        <v>53222.345689554597</v>
      </c>
    </row>
    <row r="771" spans="1:50" x14ac:dyDescent="0.25">
      <c r="A771" s="2" t="s">
        <v>5496</v>
      </c>
      <c r="B771" s="2">
        <v>755.535110392246</v>
      </c>
      <c r="C771" s="2">
        <v>11.147883333333301</v>
      </c>
      <c r="D771" s="2" t="s">
        <v>51</v>
      </c>
      <c r="E771" s="2" t="s">
        <v>5497</v>
      </c>
      <c r="F771" s="2">
        <v>243389</v>
      </c>
      <c r="G771" s="3" t="str">
        <f>HYPERLINK("https://cloud.oebiotech.com/#/lm/network/243389", "https://cloud.oebiotech.com/#/lm/network/243389")</f>
        <v>https://cloud.oebiotech.com/#/lm/network/243389</v>
      </c>
      <c r="H771" s="2" t="s">
        <v>5498</v>
      </c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 t="s">
        <v>5499</v>
      </c>
      <c r="T771" s="2" t="s">
        <v>5500</v>
      </c>
      <c r="U771" s="2" t="s">
        <v>56</v>
      </c>
      <c r="V771" s="2" t="s">
        <v>145</v>
      </c>
      <c r="W771" s="2" t="s">
        <v>187</v>
      </c>
      <c r="X771" s="2" t="s">
        <v>83</v>
      </c>
      <c r="Y771" s="2">
        <v>43.5</v>
      </c>
      <c r="Z771" s="2">
        <v>0</v>
      </c>
      <c r="AA771" s="2" t="s">
        <v>156</v>
      </c>
      <c r="AB771" s="2" t="s">
        <v>5501</v>
      </c>
      <c r="AC771" s="2">
        <v>2.2393205218537799</v>
      </c>
      <c r="AD771" s="2"/>
      <c r="AE771" s="2">
        <v>0.74289663924720395</v>
      </c>
      <c r="AF771" s="2">
        <v>56621.805944977903</v>
      </c>
      <c r="AG771" s="2">
        <v>73725.719447506795</v>
      </c>
      <c r="AH771" s="4">
        <v>0.76800614994734595</v>
      </c>
      <c r="AI771" s="4">
        <v>-0.38081023125471503</v>
      </c>
      <c r="AJ771" s="4" t="s">
        <v>62</v>
      </c>
      <c r="AK771" s="2">
        <v>0.172806324948614</v>
      </c>
      <c r="AL771" s="2">
        <v>0.49363214140836398</v>
      </c>
      <c r="AM771" s="2">
        <v>28772.8519317153</v>
      </c>
      <c r="AN771" s="2">
        <v>33435.3645217753</v>
      </c>
      <c r="AO771" s="2">
        <v>65331.932547998302</v>
      </c>
      <c r="AP771" s="2">
        <v>53739.106886662397</v>
      </c>
      <c r="AQ771" s="2">
        <v>93027.643701669702</v>
      </c>
      <c r="AR771" s="2">
        <v>65423.936080046296</v>
      </c>
      <c r="AS771" s="2">
        <v>76127.345735719005</v>
      </c>
      <c r="AT771" s="2">
        <v>92418.257606667597</v>
      </c>
      <c r="AU771" s="2">
        <v>53745.101450836301</v>
      </c>
      <c r="AV771" s="2">
        <v>58456.954143395902</v>
      </c>
      <c r="AW771" s="2">
        <v>71216.275217200106</v>
      </c>
      <c r="AX771" s="2">
        <v>90390.382531221898</v>
      </c>
    </row>
    <row r="772" spans="1:50" x14ac:dyDescent="0.25">
      <c r="A772" s="2" t="s">
        <v>5502</v>
      </c>
      <c r="B772" s="2">
        <v>464.30196945781603</v>
      </c>
      <c r="C772" s="2">
        <v>7.3330166666666701</v>
      </c>
      <c r="D772" s="2" t="s">
        <v>51</v>
      </c>
      <c r="E772" s="2" t="s">
        <v>5503</v>
      </c>
      <c r="F772" s="2">
        <v>209126</v>
      </c>
      <c r="G772" s="3" t="str">
        <f>HYPERLINK("https://cloud.oebiotech.com/#/lm/network/209126", "https://cloud.oebiotech.com/#/lm/network/209126")</f>
        <v>https://cloud.oebiotech.com/#/lm/network/209126</v>
      </c>
      <c r="H772" s="2" t="s">
        <v>5504</v>
      </c>
      <c r="I772" s="2">
        <v>88551</v>
      </c>
      <c r="J772" s="2"/>
      <c r="K772" s="2">
        <v>755</v>
      </c>
      <c r="L772" s="2"/>
      <c r="M772" s="2"/>
      <c r="N772" s="2"/>
      <c r="O772" s="2">
        <v>36273</v>
      </c>
      <c r="P772" s="2"/>
      <c r="Q772" s="2"/>
      <c r="R772" s="2" t="s">
        <v>5505</v>
      </c>
      <c r="S772" s="2" t="s">
        <v>5506</v>
      </c>
      <c r="T772" s="2" t="s">
        <v>5507</v>
      </c>
      <c r="U772" s="2" t="s">
        <v>56</v>
      </c>
      <c r="V772" s="2" t="s">
        <v>283</v>
      </c>
      <c r="W772" s="2" t="s">
        <v>2042</v>
      </c>
      <c r="X772" s="2" t="s">
        <v>69</v>
      </c>
      <c r="Y772" s="2">
        <v>70</v>
      </c>
      <c r="Z772" s="2">
        <v>80.7</v>
      </c>
      <c r="AA772" s="2" t="s">
        <v>163</v>
      </c>
      <c r="AB772" s="2" t="s">
        <v>4671</v>
      </c>
      <c r="AC772" s="2">
        <v>0.44656051919177597</v>
      </c>
      <c r="AD772" s="2"/>
      <c r="AE772" s="2">
        <v>0.74227321358601195</v>
      </c>
      <c r="AF772" s="2">
        <v>11888.7835616462</v>
      </c>
      <c r="AG772" s="2">
        <v>33195.596668097402</v>
      </c>
      <c r="AH772" s="4">
        <v>0.358143391140547</v>
      </c>
      <c r="AI772" s="4">
        <v>-1.4813907748021</v>
      </c>
      <c r="AJ772" s="4" t="s">
        <v>62</v>
      </c>
      <c r="AK772" s="2">
        <v>0.20263112619060999</v>
      </c>
      <c r="AL772" s="2">
        <v>0.527178350654537</v>
      </c>
      <c r="AM772" s="2">
        <v>2278.4881110695201</v>
      </c>
      <c r="AN772" s="2">
        <v>12304.1855642051</v>
      </c>
      <c r="AO772" s="2">
        <v>2123.0617466377898</v>
      </c>
      <c r="AP772" s="2">
        <v>36331.369712667802</v>
      </c>
      <c r="AQ772" s="2">
        <v>7956.8924820081102</v>
      </c>
      <c r="AR772" s="2">
        <v>10338.703753289001</v>
      </c>
      <c r="AS772" s="2">
        <v>1244.1676673459101</v>
      </c>
      <c r="AT772" s="2">
        <v>16308.3099693122</v>
      </c>
      <c r="AU772" s="2">
        <v>62534.997747490001</v>
      </c>
      <c r="AV772" s="2">
        <v>92791.396323307898</v>
      </c>
      <c r="AW772" s="2">
        <v>12943.0236334906</v>
      </c>
      <c r="AX772" s="2">
        <v>13351.684667637501</v>
      </c>
    </row>
    <row r="773" spans="1:50" x14ac:dyDescent="0.25">
      <c r="A773" s="2" t="s">
        <v>5508</v>
      </c>
      <c r="B773" s="2">
        <v>349.20215350894301</v>
      </c>
      <c r="C773" s="2">
        <v>10.121033333333299</v>
      </c>
      <c r="D773" s="2" t="s">
        <v>51</v>
      </c>
      <c r="E773" s="2" t="s">
        <v>5509</v>
      </c>
      <c r="F773" s="2">
        <v>3740</v>
      </c>
      <c r="G773" s="3" t="str">
        <f>HYPERLINK("https://cloud.oebiotech.com/#/lm/network/3740", "https://cloud.oebiotech.com/#/lm/network/3740")</f>
        <v>https://cloud.oebiotech.com/#/lm/network/3740</v>
      </c>
      <c r="H773" s="2" t="s">
        <v>5510</v>
      </c>
      <c r="I773" s="2">
        <v>3494</v>
      </c>
      <c r="J773" s="2" t="s">
        <v>5511</v>
      </c>
      <c r="K773" s="2">
        <v>5280937</v>
      </c>
      <c r="L773" s="2" t="s">
        <v>5512</v>
      </c>
      <c r="M773" s="2"/>
      <c r="N773" s="2"/>
      <c r="O773" s="2">
        <v>28031</v>
      </c>
      <c r="P773" s="2"/>
      <c r="Q773" s="2"/>
      <c r="R773" s="2" t="s">
        <v>5513</v>
      </c>
      <c r="S773" s="2" t="s">
        <v>5514</v>
      </c>
      <c r="T773" s="2" t="s">
        <v>5515</v>
      </c>
      <c r="U773" s="2" t="s">
        <v>56</v>
      </c>
      <c r="V773" s="2" t="s">
        <v>145</v>
      </c>
      <c r="W773" s="2" t="s">
        <v>187</v>
      </c>
      <c r="X773" s="2" t="s">
        <v>147</v>
      </c>
      <c r="Y773" s="2">
        <v>42.7</v>
      </c>
      <c r="Z773" s="2">
        <v>23.5</v>
      </c>
      <c r="AA773" s="2" t="s">
        <v>298</v>
      </c>
      <c r="AB773" s="2" t="s">
        <v>950</v>
      </c>
      <c r="AC773" s="2">
        <v>0.302336446755953</v>
      </c>
      <c r="AD773" s="2"/>
      <c r="AE773" s="2">
        <v>0.74076145687558104</v>
      </c>
      <c r="AF773" s="2">
        <v>26357.259691573399</v>
      </c>
      <c r="AG773" s="2">
        <v>12840.9943793518</v>
      </c>
      <c r="AH773" s="5">
        <v>2.05258712159829</v>
      </c>
      <c r="AI773" s="5">
        <v>1.0374434581688901</v>
      </c>
      <c r="AJ773" s="5" t="s">
        <v>139</v>
      </c>
      <c r="AK773" s="2">
        <v>8.7164242125989805E-3</v>
      </c>
      <c r="AL773" s="2">
        <v>0.15175780220000001</v>
      </c>
      <c r="AM773" s="2">
        <v>20637.141270655899</v>
      </c>
      <c r="AN773" s="2">
        <v>38716.391712866702</v>
      </c>
      <c r="AO773" s="2">
        <v>32198.1715432731</v>
      </c>
      <c r="AP773" s="2">
        <v>19840.219829454501</v>
      </c>
      <c r="AQ773" s="2">
        <v>17220.044016078798</v>
      </c>
      <c r="AR773" s="2">
        <v>29531.589777111501</v>
      </c>
      <c r="AS773" s="2">
        <v>23769.927076637199</v>
      </c>
      <c r="AT773" s="2">
        <v>10077.1001768605</v>
      </c>
      <c r="AU773" s="2">
        <v>11654.6497777651</v>
      </c>
      <c r="AV773" s="2">
        <v>11242.751312754201</v>
      </c>
      <c r="AW773" s="2">
        <v>7179.6524075780999</v>
      </c>
      <c r="AX773" s="2">
        <v>13121.885524515499</v>
      </c>
    </row>
    <row r="774" spans="1:50" x14ac:dyDescent="0.25">
      <c r="A774" s="2" t="s">
        <v>5516</v>
      </c>
      <c r="B774" s="2">
        <v>365.19709738339401</v>
      </c>
      <c r="C774" s="2">
        <v>6.18488333333333</v>
      </c>
      <c r="D774" s="2" t="s">
        <v>51</v>
      </c>
      <c r="E774" s="2" t="s">
        <v>5517</v>
      </c>
      <c r="F774" s="2">
        <v>3878</v>
      </c>
      <c r="G774" s="3" t="str">
        <f>HYPERLINK("https://cloud.oebiotech.com/#/lm/network/3878", "https://cloud.oebiotech.com/#/lm/network/3878")</f>
        <v>https://cloud.oebiotech.com/#/lm/network/3878</v>
      </c>
      <c r="H774" s="2" t="s">
        <v>5518</v>
      </c>
      <c r="I774" s="2"/>
      <c r="J774" s="2" t="s">
        <v>5519</v>
      </c>
      <c r="K774" s="2">
        <v>53481458</v>
      </c>
      <c r="L774" s="2"/>
      <c r="M774" s="2"/>
      <c r="N774" s="2"/>
      <c r="O774" s="2"/>
      <c r="P774" s="2"/>
      <c r="Q774" s="2"/>
      <c r="R774" s="2"/>
      <c r="S774" s="2" t="s">
        <v>5520</v>
      </c>
      <c r="T774" s="2" t="s">
        <v>5521</v>
      </c>
      <c r="U774" s="2" t="s">
        <v>56</v>
      </c>
      <c r="V774" s="2" t="s">
        <v>145</v>
      </c>
      <c r="W774" s="2" t="s">
        <v>187</v>
      </c>
      <c r="X774" s="2" t="s">
        <v>83</v>
      </c>
      <c r="Y774" s="2">
        <v>46.9</v>
      </c>
      <c r="Z774" s="2">
        <v>32.4</v>
      </c>
      <c r="AA774" s="2" t="s">
        <v>163</v>
      </c>
      <c r="AB774" s="2" t="s">
        <v>4056</v>
      </c>
      <c r="AC774" s="2">
        <v>0.36901794026594598</v>
      </c>
      <c r="AD774" s="2"/>
      <c r="AE774" s="2">
        <v>0.73978810940328399</v>
      </c>
      <c r="AF774" s="2">
        <v>26272.081419466402</v>
      </c>
      <c r="AG774" s="2">
        <v>13384.799520307501</v>
      </c>
      <c r="AH774" s="5">
        <v>1.9628296546097801</v>
      </c>
      <c r="AI774" s="5">
        <v>0.97293497305193699</v>
      </c>
      <c r="AJ774" s="5" t="s">
        <v>139</v>
      </c>
      <c r="AK774" s="2">
        <v>7.5041896896072505E-2</v>
      </c>
      <c r="AL774" s="2">
        <v>0.35900382100884998</v>
      </c>
      <c r="AM774" s="2">
        <v>44369.299834543497</v>
      </c>
      <c r="AN774" s="2">
        <v>39418.5076162552</v>
      </c>
      <c r="AO774" s="2">
        <v>22681.626342605701</v>
      </c>
      <c r="AP774" s="2">
        <v>25772.029356059898</v>
      </c>
      <c r="AQ774" s="2">
        <v>11079.976077769101</v>
      </c>
      <c r="AR774" s="2">
        <v>14311.0492895648</v>
      </c>
      <c r="AS774" s="2">
        <v>20958.498963408099</v>
      </c>
      <c r="AT774" s="2">
        <v>6200.6701060001296</v>
      </c>
      <c r="AU774" s="2">
        <v>26529.661636330799</v>
      </c>
      <c r="AV774" s="2">
        <v>5191.4011094998496</v>
      </c>
      <c r="AW774" s="2">
        <v>8269.6353209112804</v>
      </c>
      <c r="AX774" s="2">
        <v>13158.929985695</v>
      </c>
    </row>
    <row r="775" spans="1:50" x14ac:dyDescent="0.25">
      <c r="A775" s="2" t="s">
        <v>5522</v>
      </c>
      <c r="B775" s="2">
        <v>391.21018790351297</v>
      </c>
      <c r="C775" s="2">
        <v>8.59643333333333</v>
      </c>
      <c r="D775" s="2" t="s">
        <v>51</v>
      </c>
      <c r="E775" s="2" t="s">
        <v>5523</v>
      </c>
      <c r="F775" s="2">
        <v>3821</v>
      </c>
      <c r="G775" s="3" t="str">
        <f>HYPERLINK("https://cloud.oebiotech.com/#/lm/network/3821", "https://cloud.oebiotech.com/#/lm/network/3821")</f>
        <v>https://cloud.oebiotech.com/#/lm/network/3821</v>
      </c>
      <c r="H775" s="2"/>
      <c r="I775" s="2">
        <v>74985</v>
      </c>
      <c r="J775" s="2" t="s">
        <v>5524</v>
      </c>
      <c r="K775" s="2">
        <v>56935878</v>
      </c>
      <c r="L775" s="2"/>
      <c r="M775" s="2"/>
      <c r="N775" s="2"/>
      <c r="O775" s="2"/>
      <c r="P775" s="2"/>
      <c r="Q775" s="2"/>
      <c r="R775" s="2"/>
      <c r="S775" s="2" t="s">
        <v>5525</v>
      </c>
      <c r="T775" s="2" t="s">
        <v>5526</v>
      </c>
      <c r="U775" s="2" t="s">
        <v>56</v>
      </c>
      <c r="V775" s="2" t="s">
        <v>145</v>
      </c>
      <c r="W775" s="2" t="s">
        <v>187</v>
      </c>
      <c r="X775" s="2" t="s">
        <v>83</v>
      </c>
      <c r="Y775" s="2">
        <v>52.2</v>
      </c>
      <c r="Z775" s="2">
        <v>0</v>
      </c>
      <c r="AA775" s="2" t="s">
        <v>95</v>
      </c>
      <c r="AB775" s="2" t="s">
        <v>533</v>
      </c>
      <c r="AC775" s="2">
        <v>2.9289018495704799</v>
      </c>
      <c r="AD775" s="2"/>
      <c r="AE775" s="2">
        <v>0.73759006593680398</v>
      </c>
      <c r="AF775" s="2">
        <v>22335.119289015998</v>
      </c>
      <c r="AG775" s="2">
        <v>10656.1169821127</v>
      </c>
      <c r="AH775" s="5">
        <v>2.09599043690188</v>
      </c>
      <c r="AI775" s="5">
        <v>1.0676321344966899</v>
      </c>
      <c r="AJ775" s="5" t="s">
        <v>139</v>
      </c>
      <c r="AK775" s="2">
        <v>3.0928120457500499E-3</v>
      </c>
      <c r="AL775" s="2">
        <v>0.111523607056318</v>
      </c>
      <c r="AM775" s="2">
        <v>20297.7911273094</v>
      </c>
      <c r="AN775" s="2">
        <v>31631.0552954542</v>
      </c>
      <c r="AO775" s="2">
        <v>23596.871174432301</v>
      </c>
      <c r="AP775" s="2">
        <v>21436.417460078101</v>
      </c>
      <c r="AQ775" s="2">
        <v>17577.9696940801</v>
      </c>
      <c r="AR775" s="2">
        <v>19470.6109827416</v>
      </c>
      <c r="AS775" s="2">
        <v>16985.9515235701</v>
      </c>
      <c r="AT775" s="2">
        <v>7975.4048061575504</v>
      </c>
      <c r="AU775" s="2">
        <v>16845.7857549984</v>
      </c>
      <c r="AV775" s="2">
        <v>3538.1117095949498</v>
      </c>
      <c r="AW775" s="2">
        <v>11420.518575813299</v>
      </c>
      <c r="AX775" s="2">
        <v>7170.92952254188</v>
      </c>
    </row>
    <row r="776" spans="1:50" x14ac:dyDescent="0.25">
      <c r="A776" s="2" t="s">
        <v>5527</v>
      </c>
      <c r="B776" s="2">
        <v>650.40534729902299</v>
      </c>
      <c r="C776" s="2">
        <v>11.548883333333301</v>
      </c>
      <c r="D776" s="2" t="s">
        <v>51</v>
      </c>
      <c r="E776" s="2" t="s">
        <v>5528</v>
      </c>
      <c r="F776" s="2">
        <v>20111</v>
      </c>
      <c r="G776" s="3" t="str">
        <f>HYPERLINK("https://cloud.oebiotech.com/#/lm/network/20111", "https://cloud.oebiotech.com/#/lm/network/20111")</f>
        <v>https://cloud.oebiotech.com/#/lm/network/20111</v>
      </c>
      <c r="H776" s="2"/>
      <c r="I776" s="2">
        <v>76657</v>
      </c>
      <c r="J776" s="2" t="s">
        <v>5529</v>
      </c>
      <c r="K776" s="2">
        <v>52924127</v>
      </c>
      <c r="L776" s="2"/>
      <c r="M776" s="2"/>
      <c r="N776" s="2"/>
      <c r="O776" s="2"/>
      <c r="P776" s="2"/>
      <c r="Q776" s="2"/>
      <c r="R776" s="2"/>
      <c r="S776" s="2" t="s">
        <v>5530</v>
      </c>
      <c r="T776" s="2" t="s">
        <v>5531</v>
      </c>
      <c r="U776" s="2" t="s">
        <v>56</v>
      </c>
      <c r="V776" s="2" t="s">
        <v>57</v>
      </c>
      <c r="W776" s="2" t="s">
        <v>155</v>
      </c>
      <c r="X776" s="2" t="s">
        <v>59</v>
      </c>
      <c r="Y776" s="2">
        <v>51.6</v>
      </c>
      <c r="Z776" s="2">
        <v>70.900000000000006</v>
      </c>
      <c r="AA776" s="2" t="s">
        <v>218</v>
      </c>
      <c r="AB776" s="2" t="s">
        <v>5532</v>
      </c>
      <c r="AC776" s="2">
        <v>2.46101689314595</v>
      </c>
      <c r="AD776" s="2"/>
      <c r="AE776" s="2">
        <v>0.73574938066151496</v>
      </c>
      <c r="AF776" s="2">
        <v>14494.6957365281</v>
      </c>
      <c r="AG776" s="2">
        <v>2141.3656339286399</v>
      </c>
      <c r="AH776" s="5">
        <v>6.7689027538634203</v>
      </c>
      <c r="AI776" s="5">
        <v>2.7589219903947702</v>
      </c>
      <c r="AJ776" s="5" t="s">
        <v>139</v>
      </c>
      <c r="AK776" s="2">
        <v>2.2624302333144899E-2</v>
      </c>
      <c r="AL776" s="2">
        <v>0.23319528290257199</v>
      </c>
      <c r="AM776" s="2">
        <v>31028.575582633101</v>
      </c>
      <c r="AN776" s="2">
        <v>17306.235811244998</v>
      </c>
      <c r="AO776" s="2">
        <v>2440.1184166345502</v>
      </c>
      <c r="AP776" s="2">
        <v>17549.315980655199</v>
      </c>
      <c r="AQ776" s="2">
        <v>1430.1705763161899</v>
      </c>
      <c r="AR776" s="2">
        <v>17213.758051684501</v>
      </c>
      <c r="AS776" s="2">
        <v>2445.3283712143598</v>
      </c>
      <c r="AT776" s="2">
        <v>4341.4775336922203</v>
      </c>
      <c r="AU776" s="2">
        <v>1554.9252113436801</v>
      </c>
      <c r="AV776" s="2">
        <v>37.954616781197601</v>
      </c>
      <c r="AW776" s="2">
        <v>226.85644485743299</v>
      </c>
      <c r="AX776" s="2">
        <v>4241.65162568297</v>
      </c>
    </row>
    <row r="777" spans="1:50" x14ac:dyDescent="0.25">
      <c r="A777" s="2" t="s">
        <v>5533</v>
      </c>
      <c r="B777" s="2">
        <v>437.29096355094799</v>
      </c>
      <c r="C777" s="2">
        <v>8.8941333333333308</v>
      </c>
      <c r="D777" s="2" t="s">
        <v>51</v>
      </c>
      <c r="E777" s="2" t="s">
        <v>5534</v>
      </c>
      <c r="F777" s="2">
        <v>45888</v>
      </c>
      <c r="G777" s="3" t="str">
        <f>HYPERLINK("https://cloud.oebiotech.com/#/lm/network/45888", "https://cloud.oebiotech.com/#/lm/network/45888")</f>
        <v>https://cloud.oebiotech.com/#/lm/network/45888</v>
      </c>
      <c r="H777" s="2" t="s">
        <v>5535</v>
      </c>
      <c r="I777" s="2">
        <v>5775</v>
      </c>
      <c r="J777" s="2" t="s">
        <v>5536</v>
      </c>
      <c r="K777" s="2">
        <v>5283821</v>
      </c>
      <c r="L777" s="2" t="s">
        <v>5537</v>
      </c>
      <c r="M777" s="2"/>
      <c r="N777" s="2"/>
      <c r="O777" s="2">
        <v>52030</v>
      </c>
      <c r="P777" s="2"/>
      <c r="Q777" s="2"/>
      <c r="R777" s="2" t="s">
        <v>5538</v>
      </c>
      <c r="S777" s="2" t="s">
        <v>5539</v>
      </c>
      <c r="T777" s="2" t="s">
        <v>5540</v>
      </c>
      <c r="U777" s="2" t="s">
        <v>56</v>
      </c>
      <c r="V777" s="2" t="s">
        <v>283</v>
      </c>
      <c r="W777" s="2" t="s">
        <v>2042</v>
      </c>
      <c r="X777" s="2" t="s">
        <v>69</v>
      </c>
      <c r="Y777" s="2">
        <v>51.2</v>
      </c>
      <c r="Z777" s="2">
        <v>45.5</v>
      </c>
      <c r="AA777" s="2" t="s">
        <v>241</v>
      </c>
      <c r="AB777" s="2" t="s">
        <v>3336</v>
      </c>
      <c r="AC777" s="2">
        <v>0.25725668279298602</v>
      </c>
      <c r="AD777" s="2"/>
      <c r="AE777" s="2">
        <v>0.735342201405913</v>
      </c>
      <c r="AF777" s="2">
        <v>52618.965853395297</v>
      </c>
      <c r="AG777" s="2">
        <v>9758.2696349563594</v>
      </c>
      <c r="AH777" s="5">
        <v>5.39224348391667</v>
      </c>
      <c r="AI777" s="5">
        <v>2.4308856421258902</v>
      </c>
      <c r="AJ777" s="5" t="s">
        <v>139</v>
      </c>
      <c r="AK777" s="2">
        <v>0.33819770941564598</v>
      </c>
      <c r="AL777" s="2">
        <v>0.63815037094278604</v>
      </c>
      <c r="AM777" s="2">
        <v>8.559877937157E-6</v>
      </c>
      <c r="AN777" s="2">
        <v>526.68977457872097</v>
      </c>
      <c r="AO777" s="2">
        <v>8.559877937157E-6</v>
      </c>
      <c r="AP777" s="2">
        <v>1878.706527754</v>
      </c>
      <c r="AQ777" s="2">
        <v>259097.22090198999</v>
      </c>
      <c r="AR777" s="2">
        <v>54211.1778989292</v>
      </c>
      <c r="AS777" s="2">
        <v>8.559877937157E-6</v>
      </c>
      <c r="AT777" s="2">
        <v>10276.931722118101</v>
      </c>
      <c r="AU777" s="2">
        <v>36569.973816785103</v>
      </c>
      <c r="AV777" s="2">
        <v>11702.7122451553</v>
      </c>
      <c r="AW777" s="2">
        <v>8.559877937157E-6</v>
      </c>
      <c r="AX777" s="2">
        <v>8.559877937157E-6</v>
      </c>
    </row>
    <row r="778" spans="1:50" x14ac:dyDescent="0.25">
      <c r="A778" s="2" t="s">
        <v>5541</v>
      </c>
      <c r="B778" s="2">
        <v>311.159011229258</v>
      </c>
      <c r="C778" s="2">
        <v>4.2455333333333298</v>
      </c>
      <c r="D778" s="2" t="s">
        <v>51</v>
      </c>
      <c r="E778" s="2" t="s">
        <v>5542</v>
      </c>
      <c r="F778" s="2">
        <v>52756</v>
      </c>
      <c r="G778" s="3" t="str">
        <f>HYPERLINK("https://cloud.oebiotech.com/#/lm/network/52756", "https://cloud.oebiotech.com/#/lm/network/52756")</f>
        <v>https://cloud.oebiotech.com/#/lm/network/52756</v>
      </c>
      <c r="H778" s="2" t="s">
        <v>5543</v>
      </c>
      <c r="I778" s="2">
        <v>44158</v>
      </c>
      <c r="J778" s="2"/>
      <c r="K778" s="2">
        <v>3290</v>
      </c>
      <c r="L778" s="2"/>
      <c r="M778" s="2"/>
      <c r="N778" s="2"/>
      <c r="O778" s="2">
        <v>313639</v>
      </c>
      <c r="P778" s="2"/>
      <c r="Q778" s="2"/>
      <c r="R778" s="2" t="s">
        <v>5544</v>
      </c>
      <c r="S778" s="2" t="s">
        <v>5545</v>
      </c>
      <c r="T778" s="2" t="s">
        <v>5546</v>
      </c>
      <c r="U778" s="2" t="s">
        <v>266</v>
      </c>
      <c r="V778" s="2" t="s">
        <v>5547</v>
      </c>
      <c r="W778" s="2" t="s">
        <v>5548</v>
      </c>
      <c r="X778" s="2" t="s">
        <v>147</v>
      </c>
      <c r="Y778" s="2">
        <v>37</v>
      </c>
      <c r="Z778" s="2">
        <v>0</v>
      </c>
      <c r="AA778" s="2" t="s">
        <v>163</v>
      </c>
      <c r="AB778" s="2" t="s">
        <v>5549</v>
      </c>
      <c r="AC778" s="2">
        <v>0.85813945565904504</v>
      </c>
      <c r="AD778" s="2"/>
      <c r="AE778" s="2">
        <v>0.73452512022906402</v>
      </c>
      <c r="AF778" s="2">
        <v>22387.644425172399</v>
      </c>
      <c r="AG778" s="2">
        <v>9272.4669519231393</v>
      </c>
      <c r="AH778" s="5">
        <v>2.4144215925761898</v>
      </c>
      <c r="AI778" s="5">
        <v>1.2716776132980201</v>
      </c>
      <c r="AJ778" s="5" t="s">
        <v>139</v>
      </c>
      <c r="AK778" s="2">
        <v>2.1494873539627701E-2</v>
      </c>
      <c r="AL778" s="2">
        <v>0.22861090756966099</v>
      </c>
      <c r="AM778" s="2">
        <v>23739.223738811001</v>
      </c>
      <c r="AN778" s="2">
        <v>14841.475437537099</v>
      </c>
      <c r="AO778" s="2">
        <v>37566.476392332203</v>
      </c>
      <c r="AP778" s="2">
        <v>18344.784446048699</v>
      </c>
      <c r="AQ778" s="2">
        <v>15122.7465898966</v>
      </c>
      <c r="AR778" s="2">
        <v>24711.159946408701</v>
      </c>
      <c r="AS778" s="2">
        <v>21651.1308184105</v>
      </c>
      <c r="AT778" s="2">
        <v>16462.8774693788</v>
      </c>
      <c r="AU778" s="2">
        <v>8474.7520593989502</v>
      </c>
      <c r="AV778" s="2">
        <v>2153.9965545145801</v>
      </c>
      <c r="AW778" s="2">
        <v>1355.00049306549</v>
      </c>
      <c r="AX778" s="2">
        <v>5537.0443167705298</v>
      </c>
    </row>
    <row r="779" spans="1:50" x14ac:dyDescent="0.25">
      <c r="A779" s="2" t="s">
        <v>5550</v>
      </c>
      <c r="B779" s="2">
        <v>331.038984041638</v>
      </c>
      <c r="C779" s="2">
        <v>5.7101499999999996</v>
      </c>
      <c r="D779" s="2" t="s">
        <v>51</v>
      </c>
      <c r="E779" s="2" t="s">
        <v>5551</v>
      </c>
      <c r="F779" s="2">
        <v>202009</v>
      </c>
      <c r="G779" s="3" t="str">
        <f>HYPERLINK("https://cloud.oebiotech.com/#/lm/network/202009", "https://cloud.oebiotech.com/#/lm/network/202009")</f>
        <v>https://cloud.oebiotech.com/#/lm/network/202009</v>
      </c>
      <c r="H779" s="2" t="s">
        <v>5552</v>
      </c>
      <c r="I779" s="2"/>
      <c r="J779" s="2"/>
      <c r="K779" s="2">
        <v>4668801</v>
      </c>
      <c r="L779" s="2"/>
      <c r="M779" s="2"/>
      <c r="N779" s="2"/>
      <c r="O779" s="2"/>
      <c r="P779" s="2"/>
      <c r="Q779" s="2"/>
      <c r="R779" s="2"/>
      <c r="S779" s="2" t="s">
        <v>5553</v>
      </c>
      <c r="T779" s="2" t="s">
        <v>5554</v>
      </c>
      <c r="U779" s="2" t="s">
        <v>266</v>
      </c>
      <c r="V779" s="2" t="s">
        <v>445</v>
      </c>
      <c r="W779" s="2" t="s">
        <v>5555</v>
      </c>
      <c r="X779" s="2" t="s">
        <v>147</v>
      </c>
      <c r="Y779" s="2">
        <v>37.799999999999997</v>
      </c>
      <c r="Z779" s="2">
        <v>1.43</v>
      </c>
      <c r="AA779" s="2" t="s">
        <v>218</v>
      </c>
      <c r="AB779" s="2" t="s">
        <v>5556</v>
      </c>
      <c r="AC779" s="2">
        <v>-1.5103325064428901</v>
      </c>
      <c r="AD779" s="2"/>
      <c r="AE779" s="2">
        <v>0.733755446172903</v>
      </c>
      <c r="AF779" s="2">
        <v>6246.6909527818198</v>
      </c>
      <c r="AG779" s="2">
        <v>23023.7375938593</v>
      </c>
      <c r="AH779" s="4">
        <v>0.27131524268448498</v>
      </c>
      <c r="AI779" s="4">
        <v>-1.88195799335095</v>
      </c>
      <c r="AJ779" s="4" t="s">
        <v>62</v>
      </c>
      <c r="AK779" s="2">
        <v>5.5012854381270598E-2</v>
      </c>
      <c r="AL779" s="2">
        <v>0.32146783116299599</v>
      </c>
      <c r="AM779" s="2">
        <v>9857.0131690147009</v>
      </c>
      <c r="AN779" s="2">
        <v>1162.46307368157</v>
      </c>
      <c r="AO779" s="2">
        <v>8932.0379681943305</v>
      </c>
      <c r="AP779" s="2">
        <v>8.559877937157E-6</v>
      </c>
      <c r="AQ779" s="2">
        <v>5516.8777393793398</v>
      </c>
      <c r="AR779" s="2">
        <v>12011.753757861101</v>
      </c>
      <c r="AS779" s="2">
        <v>5733.3175402942397</v>
      </c>
      <c r="AT779" s="2">
        <v>9143.3563242502696</v>
      </c>
      <c r="AU779" s="2">
        <v>30901.779751062801</v>
      </c>
      <c r="AV779" s="2">
        <v>22966.9568206318</v>
      </c>
      <c r="AW779" s="2">
        <v>55256.4126577887</v>
      </c>
      <c r="AX779" s="2">
        <v>14140.6024691278</v>
      </c>
    </row>
    <row r="780" spans="1:50" x14ac:dyDescent="0.25">
      <c r="A780" s="2" t="s">
        <v>5557</v>
      </c>
      <c r="B780" s="2">
        <v>231.17108744665501</v>
      </c>
      <c r="C780" s="2">
        <v>3.5042</v>
      </c>
      <c r="D780" s="2" t="s">
        <v>51</v>
      </c>
      <c r="E780" s="2" t="s">
        <v>5558</v>
      </c>
      <c r="F780" s="2">
        <v>266188</v>
      </c>
      <c r="G780" s="3" t="str">
        <f>HYPERLINK("https://cloud.oebiotech.com/#/lm/network/266188", "https://cloud.oebiotech.com/#/lm/network/266188")</f>
        <v>https://cloud.oebiotech.com/#/lm/network/266188</v>
      </c>
      <c r="H780" s="2"/>
      <c r="I780" s="2">
        <v>23890</v>
      </c>
      <c r="J780" s="2"/>
      <c r="K780" s="2">
        <v>6993115</v>
      </c>
      <c r="L780" s="2"/>
      <c r="M780" s="2"/>
      <c r="N780" s="2"/>
      <c r="O780" s="2"/>
      <c r="P780" s="2"/>
      <c r="Q780" s="2"/>
      <c r="R780" s="2"/>
      <c r="S780" s="2" t="s">
        <v>5559</v>
      </c>
      <c r="T780" s="2" t="s">
        <v>5560</v>
      </c>
      <c r="U780" s="2" t="s">
        <v>103</v>
      </c>
      <c r="V780" s="2" t="s">
        <v>104</v>
      </c>
      <c r="W780" s="2" t="s">
        <v>105</v>
      </c>
      <c r="X780" s="2" t="s">
        <v>69</v>
      </c>
      <c r="Y780" s="2">
        <v>56</v>
      </c>
      <c r="Z780" s="2">
        <v>77.400000000000006</v>
      </c>
      <c r="AA780" s="2" t="s">
        <v>259</v>
      </c>
      <c r="AB780" s="2" t="s">
        <v>5561</v>
      </c>
      <c r="AC780" s="2">
        <v>3.3386803812013799</v>
      </c>
      <c r="AD780" s="2"/>
      <c r="AE780" s="2">
        <v>0.73221749224186605</v>
      </c>
      <c r="AF780" s="2">
        <v>50639.6604703919</v>
      </c>
      <c r="AG780" s="2">
        <v>25323.118845569901</v>
      </c>
      <c r="AH780" s="5">
        <v>1.9997402681404299</v>
      </c>
      <c r="AI780" s="5">
        <v>0.99981263090042205</v>
      </c>
      <c r="AJ780" s="5" t="s">
        <v>139</v>
      </c>
      <c r="AK780" s="2">
        <v>0.26844589533465102</v>
      </c>
      <c r="AL780" s="2">
        <v>0.58943426152186396</v>
      </c>
      <c r="AM780" s="2">
        <v>47481.510025936303</v>
      </c>
      <c r="AN780" s="2">
        <v>17882.1698639571</v>
      </c>
      <c r="AO780" s="2">
        <v>28550.987767648101</v>
      </c>
      <c r="AP780" s="2">
        <v>17634.333651366302</v>
      </c>
      <c r="AQ780" s="2">
        <v>139710.95117186001</v>
      </c>
      <c r="AR780" s="2">
        <v>52578.010341583496</v>
      </c>
      <c r="AS780" s="2">
        <v>9594.3108169319294</v>
      </c>
      <c r="AT780" s="2">
        <v>17008.260088063598</v>
      </c>
      <c r="AU780" s="2">
        <v>78105.571720315304</v>
      </c>
      <c r="AV780" s="2">
        <v>19695.7299913145</v>
      </c>
      <c r="AW780" s="2">
        <v>12267.3965706497</v>
      </c>
      <c r="AX780" s="2">
        <v>15267.4438861445</v>
      </c>
    </row>
    <row r="781" spans="1:50" x14ac:dyDescent="0.25">
      <c r="A781" s="2" t="s">
        <v>5562</v>
      </c>
      <c r="B781" s="2">
        <v>504.30974247695599</v>
      </c>
      <c r="C781" s="2">
        <v>10.429866666666699</v>
      </c>
      <c r="D781" s="2" t="s">
        <v>51</v>
      </c>
      <c r="E781" s="2" t="s">
        <v>5563</v>
      </c>
      <c r="F781" s="2">
        <v>210037</v>
      </c>
      <c r="G781" s="3" t="str">
        <f>HYPERLINK("https://cloud.oebiotech.com/#/lm/network/210037", "https://cloud.oebiotech.com/#/lm/network/210037")</f>
        <v>https://cloud.oebiotech.com/#/lm/network/210037</v>
      </c>
      <c r="H781" s="2" t="s">
        <v>5564</v>
      </c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 t="s">
        <v>5565</v>
      </c>
      <c r="T781" s="2" t="s">
        <v>5566</v>
      </c>
      <c r="U781" s="2" t="s">
        <v>56</v>
      </c>
      <c r="V781" s="2" t="s">
        <v>57</v>
      </c>
      <c r="W781" s="2" t="s">
        <v>58</v>
      </c>
      <c r="X781" s="2" t="s">
        <v>69</v>
      </c>
      <c r="Y781" s="2">
        <v>71.8</v>
      </c>
      <c r="Z781" s="2">
        <v>94.8</v>
      </c>
      <c r="AA781" s="2" t="s">
        <v>163</v>
      </c>
      <c r="AB781" s="2" t="s">
        <v>5567</v>
      </c>
      <c r="AC781" s="2">
        <v>0.35502057639795997</v>
      </c>
      <c r="AD781" s="2"/>
      <c r="AE781" s="2">
        <v>0.73125809069234604</v>
      </c>
      <c r="AF781" s="2">
        <v>102874.65536914799</v>
      </c>
      <c r="AG781" s="2">
        <v>119111.33744448</v>
      </c>
      <c r="AH781" s="4">
        <v>0.86368483115303596</v>
      </c>
      <c r="AI781" s="4">
        <v>-0.211423143012299</v>
      </c>
      <c r="AJ781" s="4" t="s">
        <v>62</v>
      </c>
      <c r="AK781" s="2">
        <v>0.14608037524026399</v>
      </c>
      <c r="AL781" s="2">
        <v>0.46813495501649</v>
      </c>
      <c r="AM781" s="2">
        <v>94000.668208756004</v>
      </c>
      <c r="AN781" s="2">
        <v>111545.494946372</v>
      </c>
      <c r="AO781" s="2">
        <v>113842.27952746001</v>
      </c>
      <c r="AP781" s="2">
        <v>94462.919679507002</v>
      </c>
      <c r="AQ781" s="2">
        <v>99005.124631644998</v>
      </c>
      <c r="AR781" s="2">
        <v>104391.445221146</v>
      </c>
      <c r="AS781" s="2">
        <v>103663.751941397</v>
      </c>
      <c r="AT781" s="2">
        <v>83413.5520586231</v>
      </c>
      <c r="AU781" s="2">
        <v>117387.85415657899</v>
      </c>
      <c r="AV781" s="2">
        <v>149528.22426553199</v>
      </c>
      <c r="AW781" s="2">
        <v>138349.659878351</v>
      </c>
      <c r="AX781" s="2">
        <v>122324.982366396</v>
      </c>
    </row>
    <row r="782" spans="1:50" x14ac:dyDescent="0.25">
      <c r="A782" s="2" t="s">
        <v>5568</v>
      </c>
      <c r="B782" s="2">
        <v>230.24864102269299</v>
      </c>
      <c r="C782" s="2">
        <v>7.9026166666666704</v>
      </c>
      <c r="D782" s="2" t="s">
        <v>51</v>
      </c>
      <c r="E782" s="2" t="s">
        <v>5569</v>
      </c>
      <c r="F782" s="2">
        <v>6158</v>
      </c>
      <c r="G782" s="3" t="str">
        <f>HYPERLINK("https://cloud.oebiotech.com/#/lm/network/6158", "https://cloud.oebiotech.com/#/lm/network/6158")</f>
        <v>https://cloud.oebiotech.com/#/lm/network/6158</v>
      </c>
      <c r="H782" s="2"/>
      <c r="I782" s="2">
        <v>46132</v>
      </c>
      <c r="J782" s="2" t="s">
        <v>5570</v>
      </c>
      <c r="K782" s="2">
        <v>6431333</v>
      </c>
      <c r="L782" s="2"/>
      <c r="M782" s="2"/>
      <c r="N782" s="2"/>
      <c r="O782" s="2"/>
      <c r="P782" s="2"/>
      <c r="Q782" s="2"/>
      <c r="R782" s="2"/>
      <c r="S782" s="2" t="s">
        <v>5571</v>
      </c>
      <c r="T782" s="2" t="s">
        <v>5572</v>
      </c>
      <c r="U782" s="2" t="s">
        <v>56</v>
      </c>
      <c r="V782" s="2" t="s">
        <v>145</v>
      </c>
      <c r="W782" s="2" t="s">
        <v>146</v>
      </c>
      <c r="X782" s="2" t="s">
        <v>147</v>
      </c>
      <c r="Y782" s="2">
        <v>42</v>
      </c>
      <c r="Z782" s="2">
        <v>17.2</v>
      </c>
      <c r="AA782" s="2" t="s">
        <v>512</v>
      </c>
      <c r="AB782" s="2" t="s">
        <v>5573</v>
      </c>
      <c r="AC782" s="2">
        <v>3.7696622942687901</v>
      </c>
      <c r="AD782" s="2"/>
      <c r="AE782" s="2">
        <v>0.73096255688590805</v>
      </c>
      <c r="AF782" s="2">
        <v>7633.5288890042302</v>
      </c>
      <c r="AG782" s="2">
        <v>32881.549380171702</v>
      </c>
      <c r="AH782" s="4">
        <v>0.232152347833324</v>
      </c>
      <c r="AI782" s="4">
        <v>-2.1068562234578398</v>
      </c>
      <c r="AJ782" s="4" t="s">
        <v>62</v>
      </c>
      <c r="AK782" s="2">
        <v>0.11227329633540301</v>
      </c>
      <c r="AL782" s="2">
        <v>0.426193452904917</v>
      </c>
      <c r="AM782" s="2">
        <v>3760.10690575443</v>
      </c>
      <c r="AN782" s="2">
        <v>1792.79027537195</v>
      </c>
      <c r="AO782" s="2">
        <v>17466.010563905202</v>
      </c>
      <c r="AP782" s="2">
        <v>7092.6963132411202</v>
      </c>
      <c r="AQ782" s="2">
        <v>13113.5919696329</v>
      </c>
      <c r="AR782" s="2">
        <v>2575.9773061197998</v>
      </c>
      <c r="AS782" s="2">
        <v>34140.928818253597</v>
      </c>
      <c r="AT782" s="2">
        <v>87723.475326036496</v>
      </c>
      <c r="AU782" s="2">
        <v>11316.956204837799</v>
      </c>
      <c r="AV782" s="2">
        <v>2050.7711644124302</v>
      </c>
      <c r="AW782" s="2">
        <v>2091.4554682516</v>
      </c>
      <c r="AX782" s="2">
        <v>59965.709299237998</v>
      </c>
    </row>
    <row r="783" spans="1:50" x14ac:dyDescent="0.25">
      <c r="A783" s="2" t="s">
        <v>5574</v>
      </c>
      <c r="B783" s="2">
        <v>309.207212683004</v>
      </c>
      <c r="C783" s="2">
        <v>10.121033333333299</v>
      </c>
      <c r="D783" s="2" t="s">
        <v>51</v>
      </c>
      <c r="E783" s="2" t="s">
        <v>5575</v>
      </c>
      <c r="F783" s="2">
        <v>2943</v>
      </c>
      <c r="G783" s="3" t="str">
        <f>HYPERLINK("https://cloud.oebiotech.com/#/lm/network/2943", "https://cloud.oebiotech.com/#/lm/network/2943")</f>
        <v>https://cloud.oebiotech.com/#/lm/network/2943</v>
      </c>
      <c r="H783" s="2"/>
      <c r="I783" s="2"/>
      <c r="J783" s="2" t="s">
        <v>5576</v>
      </c>
      <c r="K783" s="2"/>
      <c r="L783" s="2"/>
      <c r="M783" s="2"/>
      <c r="N783" s="2"/>
      <c r="O783" s="2"/>
      <c r="P783" s="2"/>
      <c r="Q783" s="2"/>
      <c r="R783" s="2"/>
      <c r="S783" s="2" t="s">
        <v>5577</v>
      </c>
      <c r="T783" s="2" t="s">
        <v>5578</v>
      </c>
      <c r="U783" s="2" t="s">
        <v>56</v>
      </c>
      <c r="V783" s="2" t="s">
        <v>145</v>
      </c>
      <c r="W783" s="2" t="s">
        <v>231</v>
      </c>
      <c r="X783" s="2" t="s">
        <v>69</v>
      </c>
      <c r="Y783" s="2">
        <v>60.2</v>
      </c>
      <c r="Z783" s="2">
        <v>71.7</v>
      </c>
      <c r="AA783" s="2" t="s">
        <v>163</v>
      </c>
      <c r="AB783" s="2" t="s">
        <v>5579</v>
      </c>
      <c r="AC783" s="2">
        <v>0.25683740598838101</v>
      </c>
      <c r="AD783" s="2"/>
      <c r="AE783" s="2">
        <v>0.73077698745848296</v>
      </c>
      <c r="AF783" s="2">
        <v>66011.932451155299</v>
      </c>
      <c r="AG783" s="2">
        <v>50430.177405285998</v>
      </c>
      <c r="AH783" s="5">
        <v>1.3089768041195899</v>
      </c>
      <c r="AI783" s="5">
        <v>0.388439532059214</v>
      </c>
      <c r="AJ783" s="5" t="s">
        <v>139</v>
      </c>
      <c r="AK783" s="2">
        <v>0.11289015510669501</v>
      </c>
      <c r="AL783" s="2">
        <v>0.42668564976798301</v>
      </c>
      <c r="AM783" s="2">
        <v>59817.981941862301</v>
      </c>
      <c r="AN783" s="2">
        <v>87668.389464571403</v>
      </c>
      <c r="AO783" s="2">
        <v>88159.204083857607</v>
      </c>
      <c r="AP783" s="2">
        <v>45314.805846437099</v>
      </c>
      <c r="AQ783" s="2">
        <v>54350.916161401998</v>
      </c>
      <c r="AR783" s="2">
        <v>60760.297208801399</v>
      </c>
      <c r="AS783" s="2">
        <v>63816.222724706902</v>
      </c>
      <c r="AT783" s="2">
        <v>48625.895947219302</v>
      </c>
      <c r="AU783" s="2">
        <v>58253.927912628897</v>
      </c>
      <c r="AV783" s="2">
        <v>61030.375652374503</v>
      </c>
      <c r="AW783" s="2">
        <v>38252.598914075803</v>
      </c>
      <c r="AX783" s="2">
        <v>32602.043280710299</v>
      </c>
    </row>
    <row r="784" spans="1:50" x14ac:dyDescent="0.25">
      <c r="A784" s="2" t="s">
        <v>5580</v>
      </c>
      <c r="B784" s="2">
        <v>233.150318290229</v>
      </c>
      <c r="C784" s="2">
        <v>2.3306499999999999</v>
      </c>
      <c r="D784" s="2" t="s">
        <v>51</v>
      </c>
      <c r="E784" s="2" t="s">
        <v>5581</v>
      </c>
      <c r="F784" s="2">
        <v>54076</v>
      </c>
      <c r="G784" s="3" t="str">
        <f>HYPERLINK("https://cloud.oebiotech.com/#/lm/network/54076", "https://cloud.oebiotech.com/#/lm/network/54076")</f>
        <v>https://cloud.oebiotech.com/#/lm/network/54076</v>
      </c>
      <c r="H784" s="2" t="s">
        <v>5582</v>
      </c>
      <c r="I784" s="2">
        <v>24000</v>
      </c>
      <c r="J784" s="2"/>
      <c r="K784" s="2">
        <v>7021827</v>
      </c>
      <c r="L784" s="2"/>
      <c r="M784" s="2"/>
      <c r="N784" s="2"/>
      <c r="O784" s="2">
        <v>74860</v>
      </c>
      <c r="P784" s="2"/>
      <c r="Q784" s="2"/>
      <c r="R784" s="2" t="s">
        <v>5583</v>
      </c>
      <c r="S784" s="2" t="s">
        <v>5584</v>
      </c>
      <c r="T784" s="2" t="s">
        <v>5585</v>
      </c>
      <c r="U784" s="2" t="s">
        <v>103</v>
      </c>
      <c r="V784" s="2" t="s">
        <v>104</v>
      </c>
      <c r="W784" s="2" t="s">
        <v>105</v>
      </c>
      <c r="X784" s="2" t="s">
        <v>59</v>
      </c>
      <c r="Y784" s="2">
        <v>47.2</v>
      </c>
      <c r="Z784" s="2">
        <v>46.9</v>
      </c>
      <c r="AA784" s="2" t="s">
        <v>259</v>
      </c>
      <c r="AB784" s="2" t="s">
        <v>5586</v>
      </c>
      <c r="AC784" s="2">
        <v>3.16499391092922</v>
      </c>
      <c r="AD784" s="2"/>
      <c r="AE784" s="2">
        <v>0.73038496033136102</v>
      </c>
      <c r="AF784" s="2">
        <v>38028.018410691999</v>
      </c>
      <c r="AG784" s="2">
        <v>22374.132719126599</v>
      </c>
      <c r="AH784" s="5">
        <v>1.6996421219126701</v>
      </c>
      <c r="AI784" s="5">
        <v>0.76523100324812698</v>
      </c>
      <c r="AJ784" s="5" t="s">
        <v>139</v>
      </c>
      <c r="AK784" s="2">
        <v>7.4414368800607394E-2</v>
      </c>
      <c r="AL784" s="2">
        <v>0.35818559707798497</v>
      </c>
      <c r="AM784" s="2">
        <v>36429.478262316901</v>
      </c>
      <c r="AN784" s="2">
        <v>25061.772403578001</v>
      </c>
      <c r="AO784" s="2">
        <v>42821.626317454196</v>
      </c>
      <c r="AP784" s="2">
        <v>36272.539212463402</v>
      </c>
      <c r="AQ784" s="2">
        <v>54431.979375687602</v>
      </c>
      <c r="AR784" s="2">
        <v>33150.714892651798</v>
      </c>
      <c r="AS784" s="2">
        <v>11234.400920956399</v>
      </c>
      <c r="AT784" s="2">
        <v>17593.6236481325</v>
      </c>
      <c r="AU784" s="2">
        <v>54961.867981483898</v>
      </c>
      <c r="AV784" s="2">
        <v>12602.3629417711</v>
      </c>
      <c r="AW784" s="2">
        <v>23137.149475291</v>
      </c>
      <c r="AX784" s="2">
        <v>14715.3913471246</v>
      </c>
    </row>
    <row r="785" spans="1:50" x14ac:dyDescent="0.25">
      <c r="A785" s="2" t="s">
        <v>5587</v>
      </c>
      <c r="B785" s="2">
        <v>447.34834909890901</v>
      </c>
      <c r="C785" s="2">
        <v>13.3257833333333</v>
      </c>
      <c r="D785" s="2" t="s">
        <v>51</v>
      </c>
      <c r="E785" s="2" t="s">
        <v>5588</v>
      </c>
      <c r="F785" s="2">
        <v>207021</v>
      </c>
      <c r="G785" s="3" t="str">
        <f>HYPERLINK("https://cloud.oebiotech.com/#/lm/network/207021", "https://cloud.oebiotech.com/#/lm/network/207021")</f>
        <v>https://cloud.oebiotech.com/#/lm/network/207021</v>
      </c>
      <c r="H785" s="2" t="s">
        <v>5589</v>
      </c>
      <c r="I785" s="2"/>
      <c r="J785" s="2"/>
      <c r="K785" s="2">
        <v>620829</v>
      </c>
      <c r="L785" s="2"/>
      <c r="M785" s="2"/>
      <c r="N785" s="2"/>
      <c r="O785" s="2"/>
      <c r="P785" s="2"/>
      <c r="Q785" s="2"/>
      <c r="R785" s="2"/>
      <c r="S785" s="2" t="s">
        <v>5590</v>
      </c>
      <c r="T785" s="2" t="s">
        <v>5591</v>
      </c>
      <c r="U785" s="2" t="s">
        <v>56</v>
      </c>
      <c r="V785" s="2" t="s">
        <v>283</v>
      </c>
      <c r="W785" s="2" t="s">
        <v>1749</v>
      </c>
      <c r="X785" s="2" t="s">
        <v>83</v>
      </c>
      <c r="Y785" s="2">
        <v>58.8</v>
      </c>
      <c r="Z785" s="2">
        <v>0</v>
      </c>
      <c r="AA785" s="2" t="s">
        <v>218</v>
      </c>
      <c r="AB785" s="2" t="s">
        <v>5592</v>
      </c>
      <c r="AC785" s="2">
        <v>0.90844977782556402</v>
      </c>
      <c r="AD785" s="2"/>
      <c r="AE785" s="2">
        <v>0.72824092865412005</v>
      </c>
      <c r="AF785" s="2">
        <v>290832.69810368097</v>
      </c>
      <c r="AG785" s="2">
        <v>245362.22495835801</v>
      </c>
      <c r="AH785" s="5">
        <v>1.1853197783523499</v>
      </c>
      <c r="AI785" s="5">
        <v>0.24527632528933299</v>
      </c>
      <c r="AJ785" s="5" t="s">
        <v>139</v>
      </c>
      <c r="AK785" s="2">
        <v>0.38898963560734101</v>
      </c>
      <c r="AL785" s="2">
        <v>0.66405236170887005</v>
      </c>
      <c r="AM785" s="2">
        <v>165278.50658289401</v>
      </c>
      <c r="AN785" s="2">
        <v>314770.492328981</v>
      </c>
      <c r="AO785" s="2">
        <v>350586.45821631601</v>
      </c>
      <c r="AP785" s="2">
        <v>407005.66059786</v>
      </c>
      <c r="AQ785" s="2">
        <v>311393.458710454</v>
      </c>
      <c r="AR785" s="2">
        <v>195961.612185579</v>
      </c>
      <c r="AS785" s="2">
        <v>172804.209352092</v>
      </c>
      <c r="AT785" s="2">
        <v>344707.57987892203</v>
      </c>
      <c r="AU785" s="2">
        <v>226786.70807652199</v>
      </c>
      <c r="AV785" s="2">
        <v>141087.26794762499</v>
      </c>
      <c r="AW785" s="2">
        <v>330040.45271005301</v>
      </c>
      <c r="AX785" s="2">
        <v>256747.13178493601</v>
      </c>
    </row>
    <row r="786" spans="1:50" x14ac:dyDescent="0.25">
      <c r="A786" s="2" t="s">
        <v>5593</v>
      </c>
      <c r="B786" s="2">
        <v>456.33628457088997</v>
      </c>
      <c r="C786" s="2">
        <v>10.192183333333301</v>
      </c>
      <c r="D786" s="2" t="s">
        <v>51</v>
      </c>
      <c r="E786" s="2" t="s">
        <v>5594</v>
      </c>
      <c r="F786" s="2">
        <v>256222</v>
      </c>
      <c r="G786" s="3" t="str">
        <f>HYPERLINK("https://cloud.oebiotech.com/#/lm/network/256222", "https://cloud.oebiotech.com/#/lm/network/256222")</f>
        <v>https://cloud.oebiotech.com/#/lm/network/256222</v>
      </c>
      <c r="H786" s="2" t="s">
        <v>5595</v>
      </c>
      <c r="I786" s="2"/>
      <c r="J786" s="2"/>
      <c r="K786" s="2">
        <v>9911040</v>
      </c>
      <c r="L786" s="2"/>
      <c r="M786" s="2"/>
      <c r="N786" s="2"/>
      <c r="O786" s="2"/>
      <c r="P786" s="2"/>
      <c r="Q786" s="2"/>
      <c r="R786" s="2"/>
      <c r="S786" s="2" t="s">
        <v>5596</v>
      </c>
      <c r="T786" s="2" t="s">
        <v>5597</v>
      </c>
      <c r="U786" s="2" t="s">
        <v>56</v>
      </c>
      <c r="V786" s="2" t="s">
        <v>145</v>
      </c>
      <c r="W786" s="2" t="s">
        <v>231</v>
      </c>
      <c r="X786" s="2" t="s">
        <v>147</v>
      </c>
      <c r="Y786" s="2">
        <v>36.5</v>
      </c>
      <c r="Z786" s="2">
        <v>0</v>
      </c>
      <c r="AA786" s="2" t="s">
        <v>148</v>
      </c>
      <c r="AB786" s="2" t="s">
        <v>5598</v>
      </c>
      <c r="AC786" s="2">
        <v>0.58888006708240903</v>
      </c>
      <c r="AD786" s="2"/>
      <c r="AE786" s="2">
        <v>0.72799289034409298</v>
      </c>
      <c r="AF786" s="2">
        <v>147129.927789426</v>
      </c>
      <c r="AG786" s="2">
        <v>164067.11473999399</v>
      </c>
      <c r="AH786" s="4">
        <v>0.89676671661222696</v>
      </c>
      <c r="AI786" s="4">
        <v>-0.15719536120160599</v>
      </c>
      <c r="AJ786" s="4" t="s">
        <v>62</v>
      </c>
      <c r="AK786" s="2">
        <v>0.190290051554593</v>
      </c>
      <c r="AL786" s="2">
        <v>0.51422486849322602</v>
      </c>
      <c r="AM786" s="2">
        <v>116210.086089045</v>
      </c>
      <c r="AN786" s="2">
        <v>129748.382577825</v>
      </c>
      <c r="AO786" s="2">
        <v>147303.44495784299</v>
      </c>
      <c r="AP786" s="2">
        <v>144965.16676421399</v>
      </c>
      <c r="AQ786" s="2">
        <v>187313.65978108201</v>
      </c>
      <c r="AR786" s="2">
        <v>157238.82656654701</v>
      </c>
      <c r="AS786" s="2">
        <v>182199.93119815999</v>
      </c>
      <c r="AT786" s="2">
        <v>183595.009215167</v>
      </c>
      <c r="AU786" s="2">
        <v>151803.046156906</v>
      </c>
      <c r="AV786" s="2">
        <v>141602.22169827</v>
      </c>
      <c r="AW786" s="2">
        <v>164812.48108017299</v>
      </c>
      <c r="AX786" s="2">
        <v>160389.99909128901</v>
      </c>
    </row>
    <row r="787" spans="1:50" x14ac:dyDescent="0.25">
      <c r="A787" s="2" t="s">
        <v>5599</v>
      </c>
      <c r="B787" s="2">
        <v>573.118263955923</v>
      </c>
      <c r="C787" s="2">
        <v>5.3584666666666703</v>
      </c>
      <c r="D787" s="2" t="s">
        <v>51</v>
      </c>
      <c r="E787" s="2" t="s">
        <v>5600</v>
      </c>
      <c r="F787" s="2">
        <v>60319</v>
      </c>
      <c r="G787" s="3" t="str">
        <f>HYPERLINK("https://cloud.oebiotech.com/#/lm/network/60319", "https://cloud.oebiotech.com/#/lm/network/60319")</f>
        <v>https://cloud.oebiotech.com/#/lm/network/60319</v>
      </c>
      <c r="H787" s="2" t="s">
        <v>5601</v>
      </c>
      <c r="I787" s="2">
        <v>91684</v>
      </c>
      <c r="J787" s="2"/>
      <c r="K787" s="2">
        <v>5319933</v>
      </c>
      <c r="L787" s="2"/>
      <c r="M787" s="2"/>
      <c r="N787" s="2"/>
      <c r="O787" s="2"/>
      <c r="P787" s="2"/>
      <c r="Q787" s="2"/>
      <c r="R787" s="2" t="s">
        <v>5602</v>
      </c>
      <c r="S787" s="2" t="s">
        <v>5603</v>
      </c>
      <c r="T787" s="2" t="s">
        <v>5604</v>
      </c>
      <c r="U787" s="2" t="s">
        <v>540</v>
      </c>
      <c r="V787" s="2" t="s">
        <v>5605</v>
      </c>
      <c r="W787" s="2" t="s">
        <v>240</v>
      </c>
      <c r="X787" s="2" t="s">
        <v>147</v>
      </c>
      <c r="Y787" s="2">
        <v>39.799999999999997</v>
      </c>
      <c r="Z787" s="2">
        <v>20.7</v>
      </c>
      <c r="AA787" s="2" t="s">
        <v>379</v>
      </c>
      <c r="AB787" s="2" t="s">
        <v>5606</v>
      </c>
      <c r="AC787" s="2">
        <v>-1.4217815010361301</v>
      </c>
      <c r="AD787" s="2"/>
      <c r="AE787" s="2">
        <v>0.72782788665221598</v>
      </c>
      <c r="AF787" s="2">
        <v>3542.5072115840899</v>
      </c>
      <c r="AG787" s="2">
        <v>18404.7646732963</v>
      </c>
      <c r="AH787" s="4">
        <v>0.19247772381050701</v>
      </c>
      <c r="AI787" s="4">
        <v>-2.37723660808114</v>
      </c>
      <c r="AJ787" s="4" t="s">
        <v>62</v>
      </c>
      <c r="AK787" s="2">
        <v>6.6943453296788497E-2</v>
      </c>
      <c r="AL787" s="2">
        <v>0.34192828169447498</v>
      </c>
      <c r="AM787" s="2">
        <v>3021.4210615471202</v>
      </c>
      <c r="AN787" s="2">
        <v>2828.3830858993101</v>
      </c>
      <c r="AO787" s="2">
        <v>4561.8315004550996</v>
      </c>
      <c r="AP787" s="2">
        <v>8.559877937157E-6</v>
      </c>
      <c r="AQ787" s="2">
        <v>1144.21724794703</v>
      </c>
      <c r="AR787" s="2">
        <v>9699.1903650960994</v>
      </c>
      <c r="AS787" s="2">
        <v>6802.7249812909804</v>
      </c>
      <c r="AT787" s="2">
        <v>5969.5404816206601</v>
      </c>
      <c r="AU787" s="2">
        <v>14277.3065126361</v>
      </c>
      <c r="AV787" s="2">
        <v>33110.102262135799</v>
      </c>
      <c r="AW787" s="2">
        <v>46324.109018241099</v>
      </c>
      <c r="AX787" s="2">
        <v>3944.8047838530501</v>
      </c>
    </row>
    <row r="788" spans="1:50" x14ac:dyDescent="0.25">
      <c r="A788" s="2" t="s">
        <v>5607</v>
      </c>
      <c r="B788" s="2">
        <v>361.222991595949</v>
      </c>
      <c r="C788" s="2">
        <v>11.75825</v>
      </c>
      <c r="D788" s="2" t="s">
        <v>51</v>
      </c>
      <c r="E788" s="2" t="s">
        <v>5608</v>
      </c>
      <c r="F788" s="2">
        <v>299753</v>
      </c>
      <c r="G788" s="3" t="str">
        <f>HYPERLINK("https://cloud.oebiotech.com/#/lm/network/299753", "https://cloud.oebiotech.com/#/lm/network/299753")</f>
        <v>https://cloud.oebiotech.com/#/lm/network/299753</v>
      </c>
      <c r="H788" s="2"/>
      <c r="I788" s="2">
        <v>324874</v>
      </c>
      <c r="J788" s="2"/>
      <c r="K788" s="2">
        <v>6507</v>
      </c>
      <c r="L788" s="2"/>
      <c r="M788" s="2"/>
      <c r="N788" s="2"/>
      <c r="O788" s="2"/>
      <c r="P788" s="2"/>
      <c r="Q788" s="2"/>
      <c r="R788" s="2"/>
      <c r="S788" s="2" t="s">
        <v>5609</v>
      </c>
      <c r="T788" s="2" t="s">
        <v>5610</v>
      </c>
      <c r="U788" s="2" t="s">
        <v>103</v>
      </c>
      <c r="V788" s="2" t="s">
        <v>104</v>
      </c>
      <c r="W788" s="2" t="s">
        <v>1139</v>
      </c>
      <c r="X788" s="2" t="s">
        <v>59</v>
      </c>
      <c r="Y788" s="2">
        <v>56.9</v>
      </c>
      <c r="Z788" s="2">
        <v>92.2</v>
      </c>
      <c r="AA788" s="2" t="s">
        <v>179</v>
      </c>
      <c r="AB788" s="2" t="s">
        <v>5611</v>
      </c>
      <c r="AC788" s="2">
        <v>2.5312696208741201</v>
      </c>
      <c r="AD788" s="2"/>
      <c r="AE788" s="2">
        <v>0.72750195921920302</v>
      </c>
      <c r="AF788" s="2">
        <v>2578.51485180998</v>
      </c>
      <c r="AG788" s="2">
        <v>66916.387925872899</v>
      </c>
      <c r="AH788" s="4">
        <v>3.85333837006617E-2</v>
      </c>
      <c r="AI788" s="4">
        <v>-4.6977473120091799</v>
      </c>
      <c r="AJ788" s="4" t="s">
        <v>62</v>
      </c>
      <c r="AK788" s="2">
        <v>0.34184741450719602</v>
      </c>
      <c r="AL788" s="2">
        <v>0.63815037094278604</v>
      </c>
      <c r="AM788" s="2">
        <v>2189.64855164662</v>
      </c>
      <c r="AN788" s="2">
        <v>3303.0024300974201</v>
      </c>
      <c r="AO788" s="2">
        <v>3001.1353941779198</v>
      </c>
      <c r="AP788" s="2">
        <v>3181.93415529816</v>
      </c>
      <c r="AQ788" s="2">
        <v>2921.61137473694</v>
      </c>
      <c r="AR788" s="2">
        <v>873.75720490284198</v>
      </c>
      <c r="AS788" s="2">
        <v>4013.6815969387699</v>
      </c>
      <c r="AT788" s="2">
        <v>389263.28371069499</v>
      </c>
      <c r="AU788" s="2">
        <v>1973.1093438498699</v>
      </c>
      <c r="AV788" s="2">
        <v>2075.2081305353399</v>
      </c>
      <c r="AW788" s="2">
        <v>2124.94314976654</v>
      </c>
      <c r="AX788" s="2">
        <v>2048.1016234518402</v>
      </c>
    </row>
    <row r="789" spans="1:50" x14ac:dyDescent="0.25">
      <c r="A789" s="2" t="s">
        <v>5612</v>
      </c>
      <c r="B789" s="2">
        <v>361.15195701142602</v>
      </c>
      <c r="C789" s="2">
        <v>4.6885500000000002</v>
      </c>
      <c r="D789" s="2" t="s">
        <v>51</v>
      </c>
      <c r="E789" s="2" t="s">
        <v>5613</v>
      </c>
      <c r="F789" s="2">
        <v>8775</v>
      </c>
      <c r="G789" s="3" t="str">
        <f>HYPERLINK("https://cloud.oebiotech.com/#/lm/network/8775", "https://cloud.oebiotech.com/#/lm/network/8775")</f>
        <v>https://cloud.oebiotech.com/#/lm/network/8775</v>
      </c>
      <c r="H789" s="2"/>
      <c r="I789" s="2"/>
      <c r="J789" s="2" t="s">
        <v>5614</v>
      </c>
      <c r="K789" s="2">
        <v>444107</v>
      </c>
      <c r="L789" s="2"/>
      <c r="M789" s="2"/>
      <c r="N789" s="2"/>
      <c r="O789" s="2">
        <v>43012</v>
      </c>
      <c r="P789" s="2"/>
      <c r="Q789" s="2"/>
      <c r="R789" s="2"/>
      <c r="S789" s="2" t="s">
        <v>5615</v>
      </c>
      <c r="T789" s="2" t="s">
        <v>5616</v>
      </c>
      <c r="U789" s="2" t="s">
        <v>610</v>
      </c>
      <c r="V789" s="2" t="s">
        <v>611</v>
      </c>
      <c r="W789" s="2" t="s">
        <v>5617</v>
      </c>
      <c r="X789" s="2" t="s">
        <v>147</v>
      </c>
      <c r="Y789" s="2">
        <v>39.4</v>
      </c>
      <c r="Z789" s="2">
        <v>0.76300000000000001</v>
      </c>
      <c r="AA789" s="2" t="s">
        <v>512</v>
      </c>
      <c r="AB789" s="2" t="s">
        <v>5618</v>
      </c>
      <c r="AC789" s="2">
        <v>-0.998419787527003</v>
      </c>
      <c r="AD789" s="2"/>
      <c r="AE789" s="2">
        <v>0.72727523116632797</v>
      </c>
      <c r="AF789" s="2">
        <v>1987.7213364089901</v>
      </c>
      <c r="AG789" s="2">
        <v>26320.381632835099</v>
      </c>
      <c r="AH789" s="4">
        <v>7.5520232348351604E-2</v>
      </c>
      <c r="AI789" s="4">
        <v>-3.7269929864189999</v>
      </c>
      <c r="AJ789" s="4" t="s">
        <v>62</v>
      </c>
      <c r="AK789" s="2">
        <v>0.36223565039240901</v>
      </c>
      <c r="AL789" s="2">
        <v>0.64679490417435603</v>
      </c>
      <c r="AM789" s="2">
        <v>48.796215908538898</v>
      </c>
      <c r="AN789" s="2">
        <v>8.559877937157E-6</v>
      </c>
      <c r="AO789" s="2">
        <v>8.559877937157E-6</v>
      </c>
      <c r="AP789" s="2">
        <v>23.218750419603101</v>
      </c>
      <c r="AQ789" s="2">
        <v>463.24405398346499</v>
      </c>
      <c r="AR789" s="2">
        <v>11391.068981022599</v>
      </c>
      <c r="AS789" s="2">
        <v>4226.4758335059796</v>
      </c>
      <c r="AT789" s="2">
        <v>26.674367218423399</v>
      </c>
      <c r="AU789" s="2">
        <v>126.239455873068</v>
      </c>
      <c r="AV789" s="2">
        <v>8.559877937157E-6</v>
      </c>
      <c r="AW789" s="2">
        <v>153362.91375758001</v>
      </c>
      <c r="AX789" s="2">
        <v>179.98637427341501</v>
      </c>
    </row>
    <row r="790" spans="1:50" x14ac:dyDescent="0.25">
      <c r="A790" s="2" t="s">
        <v>5619</v>
      </c>
      <c r="B790" s="2">
        <v>363.21536477207502</v>
      </c>
      <c r="C790" s="2">
        <v>10.644133333333301</v>
      </c>
      <c r="D790" s="2" t="s">
        <v>51</v>
      </c>
      <c r="E790" s="2" t="s">
        <v>5620</v>
      </c>
      <c r="F790" s="2">
        <v>4066</v>
      </c>
      <c r="G790" s="3" t="str">
        <f>HYPERLINK("https://cloud.oebiotech.com/#/lm/network/4066", "https://cloud.oebiotech.com/#/lm/network/4066")</f>
        <v>https://cloud.oebiotech.com/#/lm/network/4066</v>
      </c>
      <c r="H790" s="2" t="s">
        <v>5621</v>
      </c>
      <c r="I790" s="2">
        <v>45645</v>
      </c>
      <c r="J790" s="2" t="s">
        <v>5622</v>
      </c>
      <c r="K790" s="2">
        <v>5283191</v>
      </c>
      <c r="L790" s="2"/>
      <c r="M790" s="2"/>
      <c r="N790" s="2"/>
      <c r="O790" s="2">
        <v>88345</v>
      </c>
      <c r="P790" s="2"/>
      <c r="Q790" s="2"/>
      <c r="R790" s="2" t="s">
        <v>5623</v>
      </c>
      <c r="S790" s="2" t="s">
        <v>5624</v>
      </c>
      <c r="T790" s="2" t="s">
        <v>5625</v>
      </c>
      <c r="U790" s="2" t="s">
        <v>56</v>
      </c>
      <c r="V790" s="2" t="s">
        <v>145</v>
      </c>
      <c r="W790" s="2" t="s">
        <v>187</v>
      </c>
      <c r="X790" s="2" t="s">
        <v>69</v>
      </c>
      <c r="Y790" s="2">
        <v>55.5</v>
      </c>
      <c r="Z790" s="2">
        <v>46.5</v>
      </c>
      <c r="AA790" s="2" t="s">
        <v>218</v>
      </c>
      <c r="AB790" s="2" t="s">
        <v>180</v>
      </c>
      <c r="AC790" s="2">
        <v>-7.3311621170884598</v>
      </c>
      <c r="AD790" s="2"/>
      <c r="AE790" s="2">
        <v>0.72723709617719801</v>
      </c>
      <c r="AF790" s="2">
        <v>393302.05343342997</v>
      </c>
      <c r="AG790" s="2">
        <v>362399.34924702399</v>
      </c>
      <c r="AH790" s="5">
        <v>1.0852725156670799</v>
      </c>
      <c r="AI790" s="5">
        <v>0.118057353854811</v>
      </c>
      <c r="AJ790" s="5" t="s">
        <v>139</v>
      </c>
      <c r="AK790" s="2">
        <v>0.58487322368804395</v>
      </c>
      <c r="AL790" s="2">
        <v>0.79113001819417295</v>
      </c>
      <c r="AM790" s="2">
        <v>377089.52229637199</v>
      </c>
      <c r="AN790" s="2">
        <v>425327.385874136</v>
      </c>
      <c r="AO790" s="2">
        <v>454718.17120146198</v>
      </c>
      <c r="AP790" s="2">
        <v>236938.86499575901</v>
      </c>
      <c r="AQ790" s="2">
        <v>414285.719279946</v>
      </c>
      <c r="AR790" s="2">
        <v>451452.65695290198</v>
      </c>
      <c r="AS790" s="2">
        <v>293903.13337842299</v>
      </c>
      <c r="AT790" s="2">
        <v>240496.03897645601</v>
      </c>
      <c r="AU790" s="2">
        <v>551102.19706342404</v>
      </c>
      <c r="AV790" s="2">
        <v>392094.17756315501</v>
      </c>
      <c r="AW790" s="2">
        <v>339762.34779546299</v>
      </c>
      <c r="AX790" s="2">
        <v>357038.20070522302</v>
      </c>
    </row>
    <row r="791" spans="1:50" x14ac:dyDescent="0.25">
      <c r="A791" s="2" t="s">
        <v>5626</v>
      </c>
      <c r="B791" s="2">
        <v>604.43529258911099</v>
      </c>
      <c r="C791" s="2">
        <v>12.078716666666701</v>
      </c>
      <c r="D791" s="2" t="s">
        <v>51</v>
      </c>
      <c r="E791" s="2" t="s">
        <v>5627</v>
      </c>
      <c r="F791" s="2">
        <v>18550</v>
      </c>
      <c r="G791" s="3" t="str">
        <f>HYPERLINK("https://cloud.oebiotech.com/#/lm/network/18550", "https://cloud.oebiotech.com/#/lm/network/18550")</f>
        <v>https://cloud.oebiotech.com/#/lm/network/18550</v>
      </c>
      <c r="H791" s="2"/>
      <c r="I791" s="2">
        <v>39962</v>
      </c>
      <c r="J791" s="2" t="s">
        <v>5628</v>
      </c>
      <c r="K791" s="2">
        <v>24779227</v>
      </c>
      <c r="L791" s="2"/>
      <c r="M791" s="2"/>
      <c r="N791" s="2"/>
      <c r="O791" s="2"/>
      <c r="P791" s="2"/>
      <c r="Q791" s="2"/>
      <c r="R791" s="2"/>
      <c r="S791" s="2" t="s">
        <v>5629</v>
      </c>
      <c r="T791" s="2" t="s">
        <v>5630</v>
      </c>
      <c r="U791" s="2" t="s">
        <v>56</v>
      </c>
      <c r="V791" s="2" t="s">
        <v>57</v>
      </c>
      <c r="W791" s="2" t="s">
        <v>58</v>
      </c>
      <c r="X791" s="2" t="s">
        <v>147</v>
      </c>
      <c r="Y791" s="2">
        <v>42.6</v>
      </c>
      <c r="Z791" s="2">
        <v>28.9</v>
      </c>
      <c r="AA791" s="2" t="s">
        <v>156</v>
      </c>
      <c r="AB791" s="2" t="s">
        <v>5631</v>
      </c>
      <c r="AC791" s="2">
        <v>2.6168307804752402</v>
      </c>
      <c r="AD791" s="2"/>
      <c r="AE791" s="2">
        <v>0.72548776694499195</v>
      </c>
      <c r="AF791" s="2">
        <v>27714.109762800599</v>
      </c>
      <c r="AG791" s="2">
        <v>11153.813593409101</v>
      </c>
      <c r="AH791" s="5">
        <v>2.4847205425037102</v>
      </c>
      <c r="AI791" s="5">
        <v>1.3130836004331801</v>
      </c>
      <c r="AJ791" s="5" t="s">
        <v>139</v>
      </c>
      <c r="AK791" s="2">
        <v>0.124340842697134</v>
      </c>
      <c r="AL791" s="2">
        <v>0.44128813217080598</v>
      </c>
      <c r="AM791" s="2">
        <v>22762.310644426801</v>
      </c>
      <c r="AN791" s="2">
        <v>66070.535841206103</v>
      </c>
      <c r="AO791" s="2">
        <v>34203.205002194001</v>
      </c>
      <c r="AP791" s="2">
        <v>11706.2108395379</v>
      </c>
      <c r="AQ791" s="2">
        <v>11403.650353352699</v>
      </c>
      <c r="AR791" s="2">
        <v>20138.7458960863</v>
      </c>
      <c r="AS791" s="2">
        <v>20597.825695982701</v>
      </c>
      <c r="AT791" s="2">
        <v>2234.7490977042698</v>
      </c>
      <c r="AU791" s="2">
        <v>12257.740669140099</v>
      </c>
      <c r="AV791" s="2">
        <v>654.200819292093</v>
      </c>
      <c r="AW791" s="2">
        <v>8.559877937157E-6</v>
      </c>
      <c r="AX791" s="2">
        <v>31178.365269775499</v>
      </c>
    </row>
    <row r="792" spans="1:50" x14ac:dyDescent="0.25">
      <c r="A792" s="2" t="s">
        <v>5632</v>
      </c>
      <c r="B792" s="2">
        <v>129.03749953975699</v>
      </c>
      <c r="C792" s="2">
        <v>0.77381666666666704</v>
      </c>
      <c r="D792" s="2" t="s">
        <v>51</v>
      </c>
      <c r="E792" s="2" t="s">
        <v>5633</v>
      </c>
      <c r="F792" s="2">
        <v>7531</v>
      </c>
      <c r="G792" s="3" t="str">
        <f>HYPERLINK("https://cloud.oebiotech.com/#/lm/network/7531", "https://cloud.oebiotech.com/#/lm/network/7531")</f>
        <v>https://cloud.oebiotech.com/#/lm/network/7531</v>
      </c>
      <c r="H792" s="2" t="s">
        <v>5634</v>
      </c>
      <c r="I792" s="2">
        <v>88317</v>
      </c>
      <c r="J792" s="2" t="s">
        <v>5635</v>
      </c>
      <c r="K792" s="2">
        <v>9833996</v>
      </c>
      <c r="L792" s="2"/>
      <c r="M792" s="2"/>
      <c r="N792" s="2"/>
      <c r="O792" s="2"/>
      <c r="P792" s="2"/>
      <c r="Q792" s="2"/>
      <c r="R792" s="2" t="s">
        <v>5636</v>
      </c>
      <c r="S792" s="2" t="s">
        <v>5637</v>
      </c>
      <c r="T792" s="2" t="s">
        <v>5638</v>
      </c>
      <c r="U792" s="2" t="s">
        <v>56</v>
      </c>
      <c r="V792" s="2" t="s">
        <v>145</v>
      </c>
      <c r="W792" s="2" t="s">
        <v>1188</v>
      </c>
      <c r="X792" s="2" t="s">
        <v>147</v>
      </c>
      <c r="Y792" s="2">
        <v>38.200000000000003</v>
      </c>
      <c r="Z792" s="2">
        <v>0</v>
      </c>
      <c r="AA792" s="2" t="s">
        <v>379</v>
      </c>
      <c r="AB792" s="2" t="s">
        <v>5639</v>
      </c>
      <c r="AC792" s="2">
        <v>-3.1066949158450599</v>
      </c>
      <c r="AD792" s="2"/>
      <c r="AE792" s="2">
        <v>0.72534660667853201</v>
      </c>
      <c r="AF792" s="2">
        <v>70735.651001276899</v>
      </c>
      <c r="AG792" s="2">
        <v>53388.1697730753</v>
      </c>
      <c r="AH792" s="5">
        <v>1.3249311842293201</v>
      </c>
      <c r="AI792" s="5">
        <v>0.40591742929900199</v>
      </c>
      <c r="AJ792" s="5" t="s">
        <v>139</v>
      </c>
      <c r="AK792" s="2">
        <v>0.27704085568193199</v>
      </c>
      <c r="AL792" s="2">
        <v>0.59615496925829403</v>
      </c>
      <c r="AM792" s="2">
        <v>132057.349828312</v>
      </c>
      <c r="AN792" s="2">
        <v>33746.251851317204</v>
      </c>
      <c r="AO792" s="2">
        <v>71221.705977646794</v>
      </c>
      <c r="AP792" s="2">
        <v>88736.458261252497</v>
      </c>
      <c r="AQ792" s="2">
        <v>51556.634332231602</v>
      </c>
      <c r="AR792" s="2">
        <v>47095.505756901497</v>
      </c>
      <c r="AS792" s="2">
        <v>49946.643364178301</v>
      </c>
      <c r="AT792" s="2">
        <v>51090.445067888599</v>
      </c>
      <c r="AU792" s="2">
        <v>71597.532207453798</v>
      </c>
      <c r="AV792" s="2">
        <v>43651.797400238102</v>
      </c>
      <c r="AW792" s="2">
        <v>53420.263379381802</v>
      </c>
      <c r="AX792" s="2">
        <v>50622.337219311303</v>
      </c>
    </row>
    <row r="793" spans="1:50" x14ac:dyDescent="0.25">
      <c r="A793" s="2" t="s">
        <v>5640</v>
      </c>
      <c r="B793" s="2">
        <v>389.13739906788902</v>
      </c>
      <c r="C793" s="2">
        <v>6.9037166666666696</v>
      </c>
      <c r="D793" s="2" t="s">
        <v>51</v>
      </c>
      <c r="E793" s="2" t="s">
        <v>5641</v>
      </c>
      <c r="F793" s="2">
        <v>82688</v>
      </c>
      <c r="G793" s="3" t="str">
        <f>HYPERLINK("https://cloud.oebiotech.com/#/lm/network/82688", "https://cloud.oebiotech.com/#/lm/network/82688")</f>
        <v>https://cloud.oebiotech.com/#/lm/network/82688</v>
      </c>
      <c r="H793" s="2" t="s">
        <v>5642</v>
      </c>
      <c r="I793" s="2"/>
      <c r="J793" s="2"/>
      <c r="K793" s="2">
        <v>131769970</v>
      </c>
      <c r="L793" s="2"/>
      <c r="M793" s="2"/>
      <c r="N793" s="2"/>
      <c r="O793" s="2"/>
      <c r="P793" s="2"/>
      <c r="Q793" s="2"/>
      <c r="R793" s="2"/>
      <c r="S793" s="2" t="s">
        <v>5643</v>
      </c>
      <c r="T793" s="2" t="s">
        <v>5644</v>
      </c>
      <c r="U793" s="2" t="s">
        <v>295</v>
      </c>
      <c r="V793" s="2" t="s">
        <v>5645</v>
      </c>
      <c r="W793" s="2" t="s">
        <v>5646</v>
      </c>
      <c r="X793" s="2" t="s">
        <v>147</v>
      </c>
      <c r="Y793" s="2">
        <v>37.799999999999997</v>
      </c>
      <c r="Z793" s="2">
        <v>0.73399999999999999</v>
      </c>
      <c r="AA793" s="2" t="s">
        <v>379</v>
      </c>
      <c r="AB793" s="2" t="s">
        <v>5647</v>
      </c>
      <c r="AC793" s="2">
        <v>4.8375262301888799</v>
      </c>
      <c r="AD793" s="2"/>
      <c r="AE793" s="2">
        <v>0.72487691126378495</v>
      </c>
      <c r="AF793" s="2">
        <v>30130.1745252865</v>
      </c>
      <c r="AG793" s="2">
        <v>51502.664757962601</v>
      </c>
      <c r="AH793" s="4">
        <v>0.585021661828249</v>
      </c>
      <c r="AI793" s="4">
        <v>-0.77343804996293497</v>
      </c>
      <c r="AJ793" s="4" t="s">
        <v>62</v>
      </c>
      <c r="AK793" s="2">
        <v>0.19992638503407101</v>
      </c>
      <c r="AL793" s="2">
        <v>0.52427692047141194</v>
      </c>
      <c r="AM793" s="2">
        <v>31683.9701282924</v>
      </c>
      <c r="AN793" s="2">
        <v>16889.617332148599</v>
      </c>
      <c r="AO793" s="2">
        <v>41833.055489926301</v>
      </c>
      <c r="AP793" s="2">
        <v>1475.2424628450599</v>
      </c>
      <c r="AQ793" s="2">
        <v>23003.277031711001</v>
      </c>
      <c r="AR793" s="2">
        <v>65895.884706795594</v>
      </c>
      <c r="AS793" s="2">
        <v>38031.651849795002</v>
      </c>
      <c r="AT793" s="2">
        <v>32647.282598164202</v>
      </c>
      <c r="AU793" s="2">
        <v>50381.051205876996</v>
      </c>
      <c r="AV793" s="2">
        <v>93447.298740962797</v>
      </c>
      <c r="AW793" s="2">
        <v>82438.556559161399</v>
      </c>
      <c r="AX793" s="2">
        <v>12070.1475938153</v>
      </c>
    </row>
    <row r="794" spans="1:50" x14ac:dyDescent="0.25">
      <c r="A794" s="2" t="s">
        <v>5648</v>
      </c>
      <c r="B794" s="2">
        <v>315.08078608157001</v>
      </c>
      <c r="C794" s="2">
        <v>7.82046666666667</v>
      </c>
      <c r="D794" s="2" t="s">
        <v>51</v>
      </c>
      <c r="E794" s="2" t="s">
        <v>5649</v>
      </c>
      <c r="F794" s="2">
        <v>48465</v>
      </c>
      <c r="G794" s="3" t="str">
        <f>HYPERLINK("https://cloud.oebiotech.com/#/lm/network/48465", "https://cloud.oebiotech.com/#/lm/network/48465")</f>
        <v>https://cloud.oebiotech.com/#/lm/network/48465</v>
      </c>
      <c r="H794" s="2" t="s">
        <v>5650</v>
      </c>
      <c r="I794" s="2">
        <v>43886</v>
      </c>
      <c r="J794" s="2"/>
      <c r="K794" s="2">
        <v>119607</v>
      </c>
      <c r="L794" s="2"/>
      <c r="M794" s="2"/>
      <c r="N794" s="2"/>
      <c r="O794" s="2">
        <v>63634</v>
      </c>
      <c r="P794" s="2" t="s">
        <v>5651</v>
      </c>
      <c r="Q794" s="2" t="s">
        <v>5652</v>
      </c>
      <c r="R794" s="2" t="s">
        <v>5653</v>
      </c>
      <c r="S794" s="2" t="s">
        <v>5654</v>
      </c>
      <c r="T794" s="2" t="s">
        <v>5655</v>
      </c>
      <c r="U794" s="2" t="s">
        <v>610</v>
      </c>
      <c r="V794" s="2" t="s">
        <v>611</v>
      </c>
      <c r="W794" s="2" t="s">
        <v>5656</v>
      </c>
      <c r="X794" s="2" t="s">
        <v>59</v>
      </c>
      <c r="Y794" s="2">
        <v>53</v>
      </c>
      <c r="Z794" s="2">
        <v>74.5</v>
      </c>
      <c r="AA794" s="2" t="s">
        <v>259</v>
      </c>
      <c r="AB794" s="2" t="s">
        <v>5657</v>
      </c>
      <c r="AC794" s="2">
        <v>3.1723002427934399</v>
      </c>
      <c r="AD794" s="2"/>
      <c r="AE794" s="2">
        <v>0.72427512890352896</v>
      </c>
      <c r="AF794" s="2">
        <v>52361.5374199215</v>
      </c>
      <c r="AG794" s="2">
        <v>18853.739948998798</v>
      </c>
      <c r="AH794" s="5">
        <v>2.7772493712952699</v>
      </c>
      <c r="AI794" s="5">
        <v>1.4736567236381</v>
      </c>
      <c r="AJ794" s="5" t="s">
        <v>139</v>
      </c>
      <c r="AK794" s="2">
        <v>0.30634766683811099</v>
      </c>
      <c r="AL794" s="2">
        <v>0.61611995190307001</v>
      </c>
      <c r="AM794" s="2">
        <v>8.559877937157E-6</v>
      </c>
      <c r="AN794" s="2">
        <v>76633.383306476797</v>
      </c>
      <c r="AO794" s="2">
        <v>138014.114610864</v>
      </c>
      <c r="AP794" s="2">
        <v>8.559877937157E-6</v>
      </c>
      <c r="AQ794" s="2">
        <v>8.559877937157E-6</v>
      </c>
      <c r="AR794" s="2">
        <v>99521.726576508401</v>
      </c>
      <c r="AS794" s="2">
        <v>112884.111304622</v>
      </c>
      <c r="AT794" s="2">
        <v>8.559877937157E-6</v>
      </c>
      <c r="AU794" s="2">
        <v>78.947212518092599</v>
      </c>
      <c r="AV794" s="2">
        <v>64.870811455620498</v>
      </c>
      <c r="AW794" s="2">
        <v>8.559877937157E-6</v>
      </c>
      <c r="AX794" s="2">
        <v>94.5103482773672</v>
      </c>
    </row>
    <row r="795" spans="1:50" x14ac:dyDescent="0.25">
      <c r="A795" s="2" t="s">
        <v>5658</v>
      </c>
      <c r="B795" s="2">
        <v>537.25139898300802</v>
      </c>
      <c r="C795" s="2">
        <v>8.5905500000000004</v>
      </c>
      <c r="D795" s="2" t="s">
        <v>51</v>
      </c>
      <c r="E795" s="2" t="s">
        <v>5659</v>
      </c>
      <c r="F795" s="2">
        <v>204157</v>
      </c>
      <c r="G795" s="3" t="str">
        <f>HYPERLINK("https://cloud.oebiotech.com/#/lm/network/204157", "https://cloud.oebiotech.com/#/lm/network/204157")</f>
        <v>https://cloud.oebiotech.com/#/lm/network/204157</v>
      </c>
      <c r="H795" s="2" t="s">
        <v>5660</v>
      </c>
      <c r="I795" s="2">
        <v>433013</v>
      </c>
      <c r="J795" s="2"/>
      <c r="K795" s="2">
        <v>61791</v>
      </c>
      <c r="L795" s="2"/>
      <c r="M795" s="2"/>
      <c r="N795" s="2"/>
      <c r="O795" s="2"/>
      <c r="P795" s="2"/>
      <c r="Q795" s="2"/>
      <c r="R795" s="2"/>
      <c r="S795" s="2" t="s">
        <v>5661</v>
      </c>
      <c r="T795" s="2" t="s">
        <v>5662</v>
      </c>
      <c r="U795" s="2" t="s">
        <v>610</v>
      </c>
      <c r="V795" s="2" t="s">
        <v>611</v>
      </c>
      <c r="W795" s="2" t="s">
        <v>5663</v>
      </c>
      <c r="X795" s="2" t="s">
        <v>147</v>
      </c>
      <c r="Y795" s="2">
        <v>37.6</v>
      </c>
      <c r="Z795" s="2">
        <v>3.71</v>
      </c>
      <c r="AA795" s="2" t="s">
        <v>218</v>
      </c>
      <c r="AB795" s="2" t="s">
        <v>5664</v>
      </c>
      <c r="AC795" s="2">
        <v>1.3607415151470701</v>
      </c>
      <c r="AD795" s="2"/>
      <c r="AE795" s="2">
        <v>0.72314442143185498</v>
      </c>
      <c r="AF795" s="2">
        <v>45911.621912012997</v>
      </c>
      <c r="AG795" s="2">
        <v>58242.495014465298</v>
      </c>
      <c r="AH795" s="4">
        <v>0.78828391367180095</v>
      </c>
      <c r="AI795" s="4">
        <v>-0.343212760795579</v>
      </c>
      <c r="AJ795" s="4" t="s">
        <v>62</v>
      </c>
      <c r="AK795" s="2">
        <v>5.6916564512624604E-3</v>
      </c>
      <c r="AL795" s="2">
        <v>0.12769622484368501</v>
      </c>
      <c r="AM795" s="2">
        <v>44434.806956025903</v>
      </c>
      <c r="AN795" s="2">
        <v>43598.538767755701</v>
      </c>
      <c r="AO795" s="2">
        <v>57912.443187939898</v>
      </c>
      <c r="AP795" s="2">
        <v>47352.201631115102</v>
      </c>
      <c r="AQ795" s="2">
        <v>41333.1998813436</v>
      </c>
      <c r="AR795" s="2">
        <v>40838.541047898099</v>
      </c>
      <c r="AS795" s="2">
        <v>66254.716750216205</v>
      </c>
      <c r="AT795" s="2">
        <v>61735.599647606701</v>
      </c>
      <c r="AU795" s="2">
        <v>49264.194344601099</v>
      </c>
      <c r="AV795" s="2">
        <v>57417.058859408797</v>
      </c>
      <c r="AW795" s="2">
        <v>59854.551862745502</v>
      </c>
      <c r="AX795" s="2">
        <v>54928.848622213402</v>
      </c>
    </row>
    <row r="796" spans="1:50" x14ac:dyDescent="0.25">
      <c r="A796" s="2" t="s">
        <v>5665</v>
      </c>
      <c r="B796" s="2">
        <v>378.26535634463397</v>
      </c>
      <c r="C796" s="2">
        <v>9.5221499999999999</v>
      </c>
      <c r="D796" s="2" t="s">
        <v>51</v>
      </c>
      <c r="E796" s="2" t="s">
        <v>5666</v>
      </c>
      <c r="F796" s="2">
        <v>8720</v>
      </c>
      <c r="G796" s="3" t="str">
        <f>HYPERLINK("https://cloud.oebiotech.com/#/lm/network/8720", "https://cloud.oebiotech.com/#/lm/network/8720")</f>
        <v>https://cloud.oebiotech.com/#/lm/network/8720</v>
      </c>
      <c r="H796" s="2"/>
      <c r="I796" s="2">
        <v>75524</v>
      </c>
      <c r="J796" s="2" t="s">
        <v>5667</v>
      </c>
      <c r="K796" s="2">
        <v>53477509</v>
      </c>
      <c r="L796" s="2"/>
      <c r="M796" s="2"/>
      <c r="N796" s="2"/>
      <c r="O796" s="2"/>
      <c r="P796" s="2"/>
      <c r="Q796" s="2"/>
      <c r="R796" s="2"/>
      <c r="S796" s="2" t="s">
        <v>5668</v>
      </c>
      <c r="T796" s="2" t="s">
        <v>5669</v>
      </c>
      <c r="U796" s="2" t="s">
        <v>103</v>
      </c>
      <c r="V796" s="2" t="s">
        <v>104</v>
      </c>
      <c r="W796" s="2" t="s">
        <v>105</v>
      </c>
      <c r="X796" s="2" t="s">
        <v>147</v>
      </c>
      <c r="Y796" s="2">
        <v>37.4</v>
      </c>
      <c r="Z796" s="2">
        <v>1.69</v>
      </c>
      <c r="AA796" s="2" t="s">
        <v>179</v>
      </c>
      <c r="AB796" s="2" t="s">
        <v>5670</v>
      </c>
      <c r="AC796" s="2">
        <v>3.9000168847558001</v>
      </c>
      <c r="AD796" s="2"/>
      <c r="AE796" s="2">
        <v>0.72256732479786301</v>
      </c>
      <c r="AF796" s="2">
        <v>47460.307446343402</v>
      </c>
      <c r="AG796" s="2">
        <v>34714.157359950601</v>
      </c>
      <c r="AH796" s="5">
        <v>1.36717440536517</v>
      </c>
      <c r="AI796" s="5">
        <v>0.45119729393595098</v>
      </c>
      <c r="AJ796" s="5" t="s">
        <v>139</v>
      </c>
      <c r="AK796" s="2">
        <v>0.13335250314362401</v>
      </c>
      <c r="AL796" s="2">
        <v>0.45370418977862098</v>
      </c>
      <c r="AM796" s="2">
        <v>83461.669016363507</v>
      </c>
      <c r="AN796" s="2">
        <v>41147.550572391403</v>
      </c>
      <c r="AO796" s="2">
        <v>39608.737009996003</v>
      </c>
      <c r="AP796" s="2">
        <v>39513.825923187404</v>
      </c>
      <c r="AQ796" s="2">
        <v>39310.196986606999</v>
      </c>
      <c r="AR796" s="2">
        <v>41719.865169514997</v>
      </c>
      <c r="AS796" s="2">
        <v>44802.1876023238</v>
      </c>
      <c r="AT796" s="2">
        <v>32952.852914842799</v>
      </c>
      <c r="AU796" s="2">
        <v>41078.453739127101</v>
      </c>
      <c r="AV796" s="2">
        <v>24134.3940864221</v>
      </c>
      <c r="AW796" s="2">
        <v>32455.214136529099</v>
      </c>
      <c r="AX796" s="2">
        <v>32861.8416804589</v>
      </c>
    </row>
    <row r="797" spans="1:50" x14ac:dyDescent="0.25">
      <c r="A797" s="2" t="s">
        <v>5671</v>
      </c>
      <c r="B797" s="2">
        <v>457.28522796635701</v>
      </c>
      <c r="C797" s="2">
        <v>8.5796666666666699</v>
      </c>
      <c r="D797" s="2" t="s">
        <v>51</v>
      </c>
      <c r="E797" s="2" t="s">
        <v>5672</v>
      </c>
      <c r="F797" s="2">
        <v>36207</v>
      </c>
      <c r="G797" s="3" t="str">
        <f>HYPERLINK("https://cloud.oebiotech.com/#/lm/network/36207", "https://cloud.oebiotech.com/#/lm/network/36207")</f>
        <v>https://cloud.oebiotech.com/#/lm/network/36207</v>
      </c>
      <c r="H797" s="2"/>
      <c r="I797" s="2"/>
      <c r="J797" s="2" t="s">
        <v>5673</v>
      </c>
      <c r="K797" s="2">
        <v>87443926</v>
      </c>
      <c r="L797" s="2"/>
      <c r="M797" s="2"/>
      <c r="N797" s="2"/>
      <c r="O797" s="2"/>
      <c r="P797" s="2"/>
      <c r="Q797" s="2"/>
      <c r="R797" s="2"/>
      <c r="S797" s="2" t="s">
        <v>5674</v>
      </c>
      <c r="T797" s="2" t="s">
        <v>5675</v>
      </c>
      <c r="U797" s="2" t="s">
        <v>56</v>
      </c>
      <c r="V797" s="2" t="s">
        <v>177</v>
      </c>
      <c r="W797" s="2" t="s">
        <v>3270</v>
      </c>
      <c r="X797" s="2" t="s">
        <v>147</v>
      </c>
      <c r="Y797" s="2">
        <v>38.4</v>
      </c>
      <c r="Z797" s="2">
        <v>0</v>
      </c>
      <c r="AA797" s="2" t="s">
        <v>395</v>
      </c>
      <c r="AB797" s="2" t="s">
        <v>5676</v>
      </c>
      <c r="AC797" s="2">
        <v>-3.5763706972303702</v>
      </c>
      <c r="AD797" s="2"/>
      <c r="AE797" s="2">
        <v>0.72206336013924999</v>
      </c>
      <c r="AF797" s="2">
        <v>29085.3829407591</v>
      </c>
      <c r="AG797" s="2">
        <v>40198.477605631299</v>
      </c>
      <c r="AH797" s="4">
        <v>0.72354438956873801</v>
      </c>
      <c r="AI797" s="4">
        <v>-0.46684656583431</v>
      </c>
      <c r="AJ797" s="4" t="s">
        <v>62</v>
      </c>
      <c r="AK797" s="2">
        <v>3.5510851705065698E-4</v>
      </c>
      <c r="AL797" s="2">
        <v>5.3653951083964202E-2</v>
      </c>
      <c r="AM797" s="2">
        <v>24786.791382850501</v>
      </c>
      <c r="AN797" s="2">
        <v>31828.5625558063</v>
      </c>
      <c r="AO797" s="2">
        <v>31969.838258002699</v>
      </c>
      <c r="AP797" s="2">
        <v>30372.986004570001</v>
      </c>
      <c r="AQ797" s="2">
        <v>30829.829956945701</v>
      </c>
      <c r="AR797" s="2">
        <v>24724.289486379501</v>
      </c>
      <c r="AS797" s="2">
        <v>41893.107178261504</v>
      </c>
      <c r="AT797" s="2">
        <v>44170.383435146403</v>
      </c>
      <c r="AU797" s="2">
        <v>39093.349600535599</v>
      </c>
      <c r="AV797" s="2">
        <v>34135.658535064002</v>
      </c>
      <c r="AW797" s="2">
        <v>38046.350584094202</v>
      </c>
      <c r="AX797" s="2">
        <v>43852.016300686402</v>
      </c>
    </row>
    <row r="798" spans="1:50" x14ac:dyDescent="0.25">
      <c r="A798" s="2" t="s">
        <v>5677</v>
      </c>
      <c r="B798" s="2">
        <v>302.30635167241297</v>
      </c>
      <c r="C798" s="2">
        <v>9.1347333333333296</v>
      </c>
      <c r="D798" s="2" t="s">
        <v>51</v>
      </c>
      <c r="E798" s="2" t="s">
        <v>5678</v>
      </c>
      <c r="F798" s="2">
        <v>38923</v>
      </c>
      <c r="G798" s="3" t="str">
        <f>HYPERLINK("https://cloud.oebiotech.com/#/lm/network/38923", "https://cloud.oebiotech.com/#/lm/network/38923")</f>
        <v>https://cloud.oebiotech.com/#/lm/network/38923</v>
      </c>
      <c r="H798" s="2" t="s">
        <v>5679</v>
      </c>
      <c r="I798" s="2">
        <v>395</v>
      </c>
      <c r="J798" s="2" t="s">
        <v>5680</v>
      </c>
      <c r="K798" s="2">
        <v>91486</v>
      </c>
      <c r="L798" s="2" t="s">
        <v>5681</v>
      </c>
      <c r="M798" s="2" t="s">
        <v>5682</v>
      </c>
      <c r="N798" s="2" t="s">
        <v>5683</v>
      </c>
      <c r="O798" s="2">
        <v>16566</v>
      </c>
      <c r="P798" s="2" t="s">
        <v>2206</v>
      </c>
      <c r="Q798" s="2" t="s">
        <v>2207</v>
      </c>
      <c r="R798" s="2" t="s">
        <v>5684</v>
      </c>
      <c r="S798" s="2" t="s">
        <v>5685</v>
      </c>
      <c r="T798" s="2" t="s">
        <v>5686</v>
      </c>
      <c r="U798" s="2" t="s">
        <v>119</v>
      </c>
      <c r="V798" s="2" t="s">
        <v>120</v>
      </c>
      <c r="W798" s="2" t="s">
        <v>1887</v>
      </c>
      <c r="X798" s="2" t="s">
        <v>59</v>
      </c>
      <c r="Y798" s="2">
        <v>54.9</v>
      </c>
      <c r="Z798" s="2">
        <v>81.900000000000006</v>
      </c>
      <c r="AA798" s="2" t="s">
        <v>60</v>
      </c>
      <c r="AB798" s="2" t="s">
        <v>5687</v>
      </c>
      <c r="AC798" s="2">
        <v>3.3048526717822302</v>
      </c>
      <c r="AD798" s="2"/>
      <c r="AE798" s="2">
        <v>0.72195387489648699</v>
      </c>
      <c r="AF798" s="2">
        <v>16465.980274877998</v>
      </c>
      <c r="AG798" s="2">
        <v>44759.4192200533</v>
      </c>
      <c r="AH798" s="4">
        <v>0.36787743366207198</v>
      </c>
      <c r="AI798" s="4">
        <v>-1.4427029136630101</v>
      </c>
      <c r="AJ798" s="4" t="s">
        <v>62</v>
      </c>
      <c r="AK798" s="2">
        <v>0.28663033984128999</v>
      </c>
      <c r="AL798" s="2">
        <v>0.60110361272968504</v>
      </c>
      <c r="AM798" s="2">
        <v>733.79900759657198</v>
      </c>
      <c r="AN798" s="2">
        <v>952.06980987627003</v>
      </c>
      <c r="AO798" s="2">
        <v>9004.6252262307407</v>
      </c>
      <c r="AP798" s="2">
        <v>69228.541129209902</v>
      </c>
      <c r="AQ798" s="2">
        <v>17864.406180757702</v>
      </c>
      <c r="AR798" s="2">
        <v>1012.44029559695</v>
      </c>
      <c r="AS798" s="2">
        <v>35971.608051493597</v>
      </c>
      <c r="AT798" s="2">
        <v>130039.291609297</v>
      </c>
      <c r="AU798" s="2">
        <v>4575.8928504266196</v>
      </c>
      <c r="AV798" s="2">
        <v>968.67683853605297</v>
      </c>
      <c r="AW798" s="2">
        <v>1188.5193630758199</v>
      </c>
      <c r="AX798" s="2">
        <v>95812.526607490901</v>
      </c>
    </row>
    <row r="799" spans="1:50" x14ac:dyDescent="0.25">
      <c r="A799" s="2" t="s">
        <v>5688</v>
      </c>
      <c r="B799" s="2">
        <v>564.36751908327597</v>
      </c>
      <c r="C799" s="2">
        <v>9.4819833333333303</v>
      </c>
      <c r="D799" s="2" t="s">
        <v>51</v>
      </c>
      <c r="E799" s="2" t="s">
        <v>5689</v>
      </c>
      <c r="F799" s="2">
        <v>22455</v>
      </c>
      <c r="G799" s="3" t="str">
        <f>HYPERLINK("https://cloud.oebiotech.com/#/lm/network/22455", "https://cloud.oebiotech.com/#/lm/network/22455")</f>
        <v>https://cloud.oebiotech.com/#/lm/network/22455</v>
      </c>
      <c r="H799" s="2"/>
      <c r="I799" s="2">
        <v>78852</v>
      </c>
      <c r="J799" s="2" t="s">
        <v>5690</v>
      </c>
      <c r="K799" s="2">
        <v>52926293</v>
      </c>
      <c r="L799" s="2"/>
      <c r="M799" s="2"/>
      <c r="N799" s="2"/>
      <c r="O799" s="2"/>
      <c r="P799" s="2"/>
      <c r="Q799" s="2"/>
      <c r="R799" s="2"/>
      <c r="S799" s="2" t="s">
        <v>5691</v>
      </c>
      <c r="T799" s="2" t="s">
        <v>5692</v>
      </c>
      <c r="U799" s="2" t="s">
        <v>56</v>
      </c>
      <c r="V799" s="2" t="s">
        <v>57</v>
      </c>
      <c r="W799" s="2" t="s">
        <v>82</v>
      </c>
      <c r="X799" s="2" t="s">
        <v>59</v>
      </c>
      <c r="Y799" s="2">
        <v>57.1</v>
      </c>
      <c r="Z799" s="2">
        <v>93.8</v>
      </c>
      <c r="AA799" s="2" t="s">
        <v>156</v>
      </c>
      <c r="AB799" s="2" t="s">
        <v>5693</v>
      </c>
      <c r="AC799" s="2">
        <v>2.6460403023005798</v>
      </c>
      <c r="AD799" s="2"/>
      <c r="AE799" s="2">
        <v>0.72083661895543105</v>
      </c>
      <c r="AF799" s="2">
        <v>96911.350058039505</v>
      </c>
      <c r="AG799" s="2">
        <v>77297.336995904596</v>
      </c>
      <c r="AH799" s="5">
        <v>1.2537475911126701</v>
      </c>
      <c r="AI799" s="5">
        <v>0.326246928918695</v>
      </c>
      <c r="AJ799" s="5" t="s">
        <v>139</v>
      </c>
      <c r="AK799" s="2">
        <v>0.51337081647764204</v>
      </c>
      <c r="AL799" s="2">
        <v>0.74666402190782999</v>
      </c>
      <c r="AM799" s="2">
        <v>115868.23399635599</v>
      </c>
      <c r="AN799" s="2">
        <v>156742.82974136999</v>
      </c>
      <c r="AO799" s="2">
        <v>107558.410237776</v>
      </c>
      <c r="AP799" s="2">
        <v>62235.670068797401</v>
      </c>
      <c r="AQ799" s="2">
        <v>62224.518630696803</v>
      </c>
      <c r="AR799" s="2">
        <v>76838.4376732409</v>
      </c>
      <c r="AS799" s="2">
        <v>42254.858101216902</v>
      </c>
      <c r="AT799" s="2">
        <v>26741.254772674401</v>
      </c>
      <c r="AU799" s="2">
        <v>194294.38458162901</v>
      </c>
      <c r="AV799" s="2">
        <v>56693.777813374298</v>
      </c>
      <c r="AW799" s="2">
        <v>59300.281219697797</v>
      </c>
      <c r="AX799" s="2">
        <v>84499.465486835295</v>
      </c>
    </row>
    <row r="800" spans="1:50" x14ac:dyDescent="0.25">
      <c r="A800" s="2" t="s">
        <v>5694</v>
      </c>
      <c r="B800" s="2">
        <v>182.08175879353101</v>
      </c>
      <c r="C800" s="2">
        <v>1.08738333333333</v>
      </c>
      <c r="D800" s="2" t="s">
        <v>51</v>
      </c>
      <c r="E800" s="2" t="s">
        <v>5695</v>
      </c>
      <c r="F800" s="2">
        <v>47967</v>
      </c>
      <c r="G800" s="3" t="str">
        <f>HYPERLINK("https://cloud.oebiotech.com/#/lm/network/47967", "https://cloud.oebiotech.com/#/lm/network/47967")</f>
        <v>https://cloud.oebiotech.com/#/lm/network/47967</v>
      </c>
      <c r="H800" s="2" t="s">
        <v>5696</v>
      </c>
      <c r="I800" s="2">
        <v>306</v>
      </c>
      <c r="J800" s="2"/>
      <c r="K800" s="2">
        <v>637540</v>
      </c>
      <c r="L800" s="2" t="s">
        <v>5697</v>
      </c>
      <c r="M800" s="2" t="s">
        <v>5698</v>
      </c>
      <c r="N800" s="2" t="s">
        <v>5699</v>
      </c>
      <c r="O800" s="2">
        <v>18125</v>
      </c>
      <c r="P800" s="2"/>
      <c r="Q800" s="2"/>
      <c r="R800" s="2" t="s">
        <v>5700</v>
      </c>
      <c r="S800" s="2" t="s">
        <v>5701</v>
      </c>
      <c r="T800" s="2" t="s">
        <v>5702</v>
      </c>
      <c r="U800" s="2" t="s">
        <v>540</v>
      </c>
      <c r="V800" s="2" t="s">
        <v>3291</v>
      </c>
      <c r="W800" s="2" t="s">
        <v>3292</v>
      </c>
      <c r="X800" s="2" t="s">
        <v>59</v>
      </c>
      <c r="Y800" s="2">
        <v>53.5</v>
      </c>
      <c r="Z800" s="2">
        <v>73.2</v>
      </c>
      <c r="AA800" s="2" t="s">
        <v>1544</v>
      </c>
      <c r="AB800" s="2" t="s">
        <v>5703</v>
      </c>
      <c r="AC800" s="2">
        <v>3.5913308670122301</v>
      </c>
      <c r="AD800" s="2"/>
      <c r="AE800" s="2">
        <v>0.72070581338838902</v>
      </c>
      <c r="AF800" s="2">
        <v>803701.82709404104</v>
      </c>
      <c r="AG800" s="2">
        <v>749644.56817444402</v>
      </c>
      <c r="AH800" s="5">
        <v>1.0721105190573701</v>
      </c>
      <c r="AI800" s="5">
        <v>0.100453634412717</v>
      </c>
      <c r="AJ800" s="5" t="s">
        <v>139</v>
      </c>
      <c r="AK800" s="2">
        <v>0.54848556834054996</v>
      </c>
      <c r="AL800" s="2">
        <v>0.77110141565769696</v>
      </c>
      <c r="AM800" s="2">
        <v>798285.062456068</v>
      </c>
      <c r="AN800" s="2">
        <v>844800.97023502598</v>
      </c>
      <c r="AO800" s="2">
        <v>664506.34382555401</v>
      </c>
      <c r="AP800" s="2">
        <v>958822.98690121097</v>
      </c>
      <c r="AQ800" s="2">
        <v>937707.65120709001</v>
      </c>
      <c r="AR800" s="2">
        <v>618087.94793929497</v>
      </c>
      <c r="AS800" s="2">
        <v>692119.42627009703</v>
      </c>
      <c r="AT800" s="2">
        <v>781023.13596911205</v>
      </c>
      <c r="AU800" s="2">
        <v>737976.41341317596</v>
      </c>
      <c r="AV800" s="2">
        <v>525410.16945882502</v>
      </c>
      <c r="AW800" s="2">
        <v>738007.72648553702</v>
      </c>
      <c r="AX800" s="2">
        <v>1023330.53744992</v>
      </c>
    </row>
    <row r="801" spans="1:50" x14ac:dyDescent="0.25">
      <c r="A801" s="2" t="s">
        <v>5704</v>
      </c>
      <c r="B801" s="2">
        <v>494.36201814363102</v>
      </c>
      <c r="C801" s="2">
        <v>11.6971333333333</v>
      </c>
      <c r="D801" s="2" t="s">
        <v>51</v>
      </c>
      <c r="E801" s="2" t="s">
        <v>5705</v>
      </c>
      <c r="F801" s="2">
        <v>8334</v>
      </c>
      <c r="G801" s="3" t="str">
        <f>HYPERLINK("https://cloud.oebiotech.com/#/lm/network/8334", "https://cloud.oebiotech.com/#/lm/network/8334")</f>
        <v>https://cloud.oebiotech.com/#/lm/network/8334</v>
      </c>
      <c r="H801" s="2" t="s">
        <v>5706</v>
      </c>
      <c r="I801" s="2">
        <v>58411</v>
      </c>
      <c r="J801" s="2" t="s">
        <v>5707</v>
      </c>
      <c r="K801" s="2">
        <v>53477833</v>
      </c>
      <c r="L801" s="2"/>
      <c r="M801" s="2"/>
      <c r="N801" s="2"/>
      <c r="O801" s="2">
        <v>73100</v>
      </c>
      <c r="P801" s="2"/>
      <c r="Q801" s="2"/>
      <c r="R801" s="2"/>
      <c r="S801" s="2" t="s">
        <v>5708</v>
      </c>
      <c r="T801" s="2" t="s">
        <v>5709</v>
      </c>
      <c r="U801" s="2" t="s">
        <v>56</v>
      </c>
      <c r="V801" s="2" t="s">
        <v>145</v>
      </c>
      <c r="W801" s="2" t="s">
        <v>1188</v>
      </c>
      <c r="X801" s="2" t="s">
        <v>83</v>
      </c>
      <c r="Y801" s="2">
        <v>50</v>
      </c>
      <c r="Z801" s="2">
        <v>0.17100000000000001</v>
      </c>
      <c r="AA801" s="2" t="s">
        <v>395</v>
      </c>
      <c r="AB801" s="2" t="s">
        <v>5710</v>
      </c>
      <c r="AC801" s="2">
        <v>3.0761719309475501</v>
      </c>
      <c r="AD801" s="2"/>
      <c r="AE801" s="2">
        <v>0.72005798227060303</v>
      </c>
      <c r="AF801" s="2">
        <v>114321.932710772</v>
      </c>
      <c r="AG801" s="2">
        <v>89786.4031141382</v>
      </c>
      <c r="AH801" s="5">
        <v>1.2732655362688301</v>
      </c>
      <c r="AI801" s="5">
        <v>0.34853332097488798</v>
      </c>
      <c r="AJ801" s="5" t="s">
        <v>139</v>
      </c>
      <c r="AK801" s="2">
        <v>0.31108013806869</v>
      </c>
      <c r="AL801" s="2">
        <v>0.62015055657616003</v>
      </c>
      <c r="AM801" s="2">
        <v>149131.796397353</v>
      </c>
      <c r="AN801" s="2">
        <v>105859.395914712</v>
      </c>
      <c r="AO801" s="2">
        <v>68533.893365568205</v>
      </c>
      <c r="AP801" s="2">
        <v>54180.995431625699</v>
      </c>
      <c r="AQ801" s="2">
        <v>190685.52438121801</v>
      </c>
      <c r="AR801" s="2">
        <v>117539.99077415701</v>
      </c>
      <c r="AS801" s="2">
        <v>107637.829411862</v>
      </c>
      <c r="AT801" s="2">
        <v>68308.665765038604</v>
      </c>
      <c r="AU801" s="2">
        <v>99211.779185217005</v>
      </c>
      <c r="AV801" s="2">
        <v>73548.265064707506</v>
      </c>
      <c r="AW801" s="2">
        <v>125330.90044112899</v>
      </c>
      <c r="AX801" s="2">
        <v>64680.978816875097</v>
      </c>
    </row>
    <row r="802" spans="1:50" x14ac:dyDescent="0.25">
      <c r="A802" s="2" t="s">
        <v>5711</v>
      </c>
      <c r="B802" s="2">
        <v>177.12789451863799</v>
      </c>
      <c r="C802" s="2">
        <v>5.3466166666666703</v>
      </c>
      <c r="D802" s="2" t="s">
        <v>51</v>
      </c>
      <c r="E802" s="2" t="s">
        <v>5712</v>
      </c>
      <c r="F802" s="2">
        <v>59256</v>
      </c>
      <c r="G802" s="3" t="str">
        <f>HYPERLINK("https://cloud.oebiotech.com/#/lm/network/59256", "https://cloud.oebiotech.com/#/lm/network/59256")</f>
        <v>https://cloud.oebiotech.com/#/lm/network/59256</v>
      </c>
      <c r="H802" s="2" t="s">
        <v>5713</v>
      </c>
      <c r="I802" s="2">
        <v>90672</v>
      </c>
      <c r="J802" s="2"/>
      <c r="K802" s="2">
        <v>71587096</v>
      </c>
      <c r="L802" s="2"/>
      <c r="M802" s="2"/>
      <c r="N802" s="2"/>
      <c r="O802" s="2"/>
      <c r="P802" s="2"/>
      <c r="Q802" s="2"/>
      <c r="R802" s="2" t="s">
        <v>5714</v>
      </c>
      <c r="S802" s="2" t="s">
        <v>5715</v>
      </c>
      <c r="T802" s="2" t="s">
        <v>5716</v>
      </c>
      <c r="U802" s="2" t="s">
        <v>56</v>
      </c>
      <c r="V802" s="2" t="s">
        <v>145</v>
      </c>
      <c r="W802" s="2" t="s">
        <v>1188</v>
      </c>
      <c r="X802" s="2" t="s">
        <v>59</v>
      </c>
      <c r="Y802" s="2">
        <v>48.2</v>
      </c>
      <c r="Z802" s="2">
        <v>47</v>
      </c>
      <c r="AA802" s="2" t="s">
        <v>156</v>
      </c>
      <c r="AB802" s="2" t="s">
        <v>5717</v>
      </c>
      <c r="AC802" s="2">
        <v>2.5907922370664198</v>
      </c>
      <c r="AD802" s="2"/>
      <c r="AE802" s="2">
        <v>0.71980763071891696</v>
      </c>
      <c r="AF802" s="2">
        <v>5626.3943446938501</v>
      </c>
      <c r="AG802" s="2">
        <v>22426.6354487194</v>
      </c>
      <c r="AH802" s="4">
        <v>0.25088000193159299</v>
      </c>
      <c r="AI802" s="4">
        <v>-1.9949306192139</v>
      </c>
      <c r="AJ802" s="4" t="s">
        <v>62</v>
      </c>
      <c r="AK802" s="2">
        <v>9.5137335707946497E-2</v>
      </c>
      <c r="AL802" s="2">
        <v>0.39518270427574997</v>
      </c>
      <c r="AM802" s="2">
        <v>6399.7425651967096</v>
      </c>
      <c r="AN802" s="2">
        <v>3980.9430895365799</v>
      </c>
      <c r="AO802" s="2">
        <v>5241.9142775271603</v>
      </c>
      <c r="AP802" s="2">
        <v>1082.0854394717601</v>
      </c>
      <c r="AQ802" s="2">
        <v>3494.24227245458</v>
      </c>
      <c r="AR802" s="2">
        <v>13559.4384239763</v>
      </c>
      <c r="AS802" s="2">
        <v>6905.7739641526296</v>
      </c>
      <c r="AT802" s="2">
        <v>9237.4470794775207</v>
      </c>
      <c r="AU802" s="2">
        <v>25246.191740567301</v>
      </c>
      <c r="AV802" s="2">
        <v>27012.359508399601</v>
      </c>
      <c r="AW802" s="2">
        <v>62495.397674681</v>
      </c>
      <c r="AX802" s="2">
        <v>3662.6427250382699</v>
      </c>
    </row>
    <row r="803" spans="1:50" x14ac:dyDescent="0.25">
      <c r="A803" s="2" t="s">
        <v>5718</v>
      </c>
      <c r="B803" s="2">
        <v>527.27468227854001</v>
      </c>
      <c r="C803" s="2">
        <v>8.5905500000000004</v>
      </c>
      <c r="D803" s="2" t="s">
        <v>51</v>
      </c>
      <c r="E803" s="2" t="s">
        <v>5719</v>
      </c>
      <c r="F803" s="2">
        <v>205060</v>
      </c>
      <c r="G803" s="3" t="str">
        <f>HYPERLINK("https://cloud.oebiotech.com/#/lm/network/205060", "https://cloud.oebiotech.com/#/lm/network/205060")</f>
        <v>https://cloud.oebiotech.com/#/lm/network/205060</v>
      </c>
      <c r="H803" s="2" t="s">
        <v>5720</v>
      </c>
      <c r="I803" s="2"/>
      <c r="J803" s="2"/>
      <c r="K803" s="2">
        <v>10052339</v>
      </c>
      <c r="L803" s="2"/>
      <c r="M803" s="2"/>
      <c r="N803" s="2"/>
      <c r="O803" s="2"/>
      <c r="P803" s="2"/>
      <c r="Q803" s="2"/>
      <c r="R803" s="2"/>
      <c r="S803" s="2" t="s">
        <v>5721</v>
      </c>
      <c r="T803" s="2" t="s">
        <v>5722</v>
      </c>
      <c r="U803" s="2" t="s">
        <v>266</v>
      </c>
      <c r="V803" s="2" t="s">
        <v>5066</v>
      </c>
      <c r="W803" s="2" t="s">
        <v>240</v>
      </c>
      <c r="X803" s="2" t="s">
        <v>147</v>
      </c>
      <c r="Y803" s="2">
        <v>43.3</v>
      </c>
      <c r="Z803" s="2">
        <v>27.3</v>
      </c>
      <c r="AA803" s="2" t="s">
        <v>218</v>
      </c>
      <c r="AB803" s="2" t="s">
        <v>5723</v>
      </c>
      <c r="AC803" s="2">
        <v>-3.30290264267075</v>
      </c>
      <c r="AD803" s="2"/>
      <c r="AE803" s="2">
        <v>0.71925231488683705</v>
      </c>
      <c r="AF803" s="2">
        <v>36601.466094882802</v>
      </c>
      <c r="AG803" s="2">
        <v>46584.896459318697</v>
      </c>
      <c r="AH803" s="4">
        <v>0.78569383806285398</v>
      </c>
      <c r="AI803" s="4">
        <v>-0.34796084901380803</v>
      </c>
      <c r="AJ803" s="4" t="s">
        <v>62</v>
      </c>
      <c r="AK803" s="2">
        <v>1.6468146641401599E-4</v>
      </c>
      <c r="AL803" s="2">
        <v>3.9225470277496198E-2</v>
      </c>
      <c r="AM803" s="2">
        <v>33193.682599858897</v>
      </c>
      <c r="AN803" s="2">
        <v>35031.8444696144</v>
      </c>
      <c r="AO803" s="2">
        <v>42615.147118632602</v>
      </c>
      <c r="AP803" s="2">
        <v>36553.407064989602</v>
      </c>
      <c r="AQ803" s="2">
        <v>38753.542157630996</v>
      </c>
      <c r="AR803" s="2">
        <v>33461.1731585702</v>
      </c>
      <c r="AS803" s="2">
        <v>49876.592375127002</v>
      </c>
      <c r="AT803" s="2">
        <v>46266.573850114903</v>
      </c>
      <c r="AU803" s="2">
        <v>44232.4058323797</v>
      </c>
      <c r="AV803" s="2">
        <v>44978.094544000902</v>
      </c>
      <c r="AW803" s="2">
        <v>45752.498692839101</v>
      </c>
      <c r="AX803" s="2">
        <v>48403.213461450701</v>
      </c>
    </row>
    <row r="804" spans="1:50" x14ac:dyDescent="0.25">
      <c r="A804" s="2" t="s">
        <v>5724</v>
      </c>
      <c r="B804" s="2">
        <v>247.14492439483601</v>
      </c>
      <c r="C804" s="2">
        <v>5.0177166666666704</v>
      </c>
      <c r="D804" s="2" t="s">
        <v>51</v>
      </c>
      <c r="E804" s="2" t="s">
        <v>5725</v>
      </c>
      <c r="F804" s="2">
        <v>209489</v>
      </c>
      <c r="G804" s="3" t="str">
        <f>HYPERLINK("https://cloud.oebiotech.com/#/lm/network/209489", "https://cloud.oebiotech.com/#/lm/network/209489")</f>
        <v>https://cloud.oebiotech.com/#/lm/network/209489</v>
      </c>
      <c r="H804" s="2" t="s">
        <v>5726</v>
      </c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 t="s">
        <v>5727</v>
      </c>
      <c r="T804" s="2" t="s">
        <v>5728</v>
      </c>
      <c r="U804" s="2" t="s">
        <v>103</v>
      </c>
      <c r="V804" s="2" t="s">
        <v>104</v>
      </c>
      <c r="W804" s="2" t="s">
        <v>105</v>
      </c>
      <c r="X804" s="2" t="s">
        <v>83</v>
      </c>
      <c r="Y804" s="2">
        <v>48.7</v>
      </c>
      <c r="Z804" s="2">
        <v>24.9</v>
      </c>
      <c r="AA804" s="2" t="s">
        <v>60</v>
      </c>
      <c r="AB804" s="2" t="s">
        <v>5729</v>
      </c>
      <c r="AC804" s="2">
        <v>3.33203634628528</v>
      </c>
      <c r="AD804" s="2"/>
      <c r="AE804" s="2">
        <v>0.71512117726692104</v>
      </c>
      <c r="AF804" s="2">
        <v>6893.2811994584899</v>
      </c>
      <c r="AG804" s="2">
        <v>27922.547362152902</v>
      </c>
      <c r="AH804" s="4">
        <v>0.246871501731316</v>
      </c>
      <c r="AI804" s="4">
        <v>-2.0181677901356401</v>
      </c>
      <c r="AJ804" s="4" t="s">
        <v>62</v>
      </c>
      <c r="AK804" s="2">
        <v>0.27060677207462103</v>
      </c>
      <c r="AL804" s="2">
        <v>0.59065897272317103</v>
      </c>
      <c r="AM804" s="2">
        <v>18317.272595256502</v>
      </c>
      <c r="AN804" s="2">
        <v>1044.81220442116</v>
      </c>
      <c r="AO804" s="2">
        <v>1025.78302282872</v>
      </c>
      <c r="AP804" s="2">
        <v>18545.376423657399</v>
      </c>
      <c r="AQ804" s="2">
        <v>1206.66940520201</v>
      </c>
      <c r="AR804" s="2">
        <v>1219.7735453851201</v>
      </c>
      <c r="AS804" s="2">
        <v>63700.021276879801</v>
      </c>
      <c r="AT804" s="2">
        <v>1198.24346998486</v>
      </c>
      <c r="AU804" s="2">
        <v>1185.1659597075</v>
      </c>
      <c r="AV804" s="2">
        <v>740.516987619887</v>
      </c>
      <c r="AW804" s="2">
        <v>850.10539322640204</v>
      </c>
      <c r="AX804" s="2">
        <v>99861.231085499006</v>
      </c>
    </row>
    <row r="805" spans="1:50" x14ac:dyDescent="0.25">
      <c r="A805" s="2" t="s">
        <v>5730</v>
      </c>
      <c r="B805" s="2">
        <v>235.16983833986799</v>
      </c>
      <c r="C805" s="2">
        <v>10.7341</v>
      </c>
      <c r="D805" s="2" t="s">
        <v>51</v>
      </c>
      <c r="E805" s="2" t="s">
        <v>5731</v>
      </c>
      <c r="F805" s="2">
        <v>57503</v>
      </c>
      <c r="G805" s="3" t="str">
        <f>HYPERLINK("https://cloud.oebiotech.com/#/lm/network/57503", "https://cloud.oebiotech.com/#/lm/network/57503")</f>
        <v>https://cloud.oebiotech.com/#/lm/network/57503</v>
      </c>
      <c r="H805" s="2" t="s">
        <v>5732</v>
      </c>
      <c r="I805" s="2">
        <v>89117</v>
      </c>
      <c r="J805" s="2"/>
      <c r="K805" s="2">
        <v>14191393</v>
      </c>
      <c r="L805" s="2"/>
      <c r="M805" s="2"/>
      <c r="N805" s="2"/>
      <c r="O805" s="2"/>
      <c r="P805" s="2"/>
      <c r="Q805" s="2"/>
      <c r="R805" s="2" t="s">
        <v>5733</v>
      </c>
      <c r="S805" s="2" t="s">
        <v>5734</v>
      </c>
      <c r="T805" s="2" t="s">
        <v>5735</v>
      </c>
      <c r="U805" s="2" t="s">
        <v>56</v>
      </c>
      <c r="V805" s="2" t="s">
        <v>177</v>
      </c>
      <c r="W805" s="2" t="s">
        <v>806</v>
      </c>
      <c r="X805" s="2" t="s">
        <v>69</v>
      </c>
      <c r="Y805" s="2">
        <v>73.900000000000006</v>
      </c>
      <c r="Z805" s="2">
        <v>82.7</v>
      </c>
      <c r="AA805" s="2" t="s">
        <v>259</v>
      </c>
      <c r="AB805" s="2" t="s">
        <v>4027</v>
      </c>
      <c r="AC805" s="2">
        <v>2.48530187529088</v>
      </c>
      <c r="AD805" s="2"/>
      <c r="AE805" s="2">
        <v>0.71453767103099397</v>
      </c>
      <c r="AF805" s="2">
        <v>29689.785914828401</v>
      </c>
      <c r="AG805" s="2">
        <v>40744.578509687599</v>
      </c>
      <c r="AH805" s="4">
        <v>0.72868064907750196</v>
      </c>
      <c r="AI805" s="4">
        <v>-0.45664141604999903</v>
      </c>
      <c r="AJ805" s="4" t="s">
        <v>62</v>
      </c>
      <c r="AK805" s="2">
        <v>8.5283921304890008E-3</v>
      </c>
      <c r="AL805" s="2">
        <v>0.15035952907186401</v>
      </c>
      <c r="AM805" s="2">
        <v>20815.7180239958</v>
      </c>
      <c r="AN805" s="2">
        <v>31983.730009817798</v>
      </c>
      <c r="AO805" s="2">
        <v>35388.390355527597</v>
      </c>
      <c r="AP805" s="2">
        <v>28585.3903966937</v>
      </c>
      <c r="AQ805" s="2">
        <v>36362.031514250499</v>
      </c>
      <c r="AR805" s="2">
        <v>25003.4551886851</v>
      </c>
      <c r="AS805" s="2">
        <v>34586.004969487003</v>
      </c>
      <c r="AT805" s="2">
        <v>40741.635327126998</v>
      </c>
      <c r="AU805" s="2">
        <v>33339.722518666596</v>
      </c>
      <c r="AV805" s="2">
        <v>44022.856323768698</v>
      </c>
      <c r="AW805" s="2">
        <v>44530.042912240897</v>
      </c>
      <c r="AX805" s="2">
        <v>47247.209006835699</v>
      </c>
    </row>
    <row r="806" spans="1:50" x14ac:dyDescent="0.25">
      <c r="A806" s="2" t="s">
        <v>5736</v>
      </c>
      <c r="B806" s="2">
        <v>981.57478848272297</v>
      </c>
      <c r="C806" s="2">
        <v>8.6046999999999993</v>
      </c>
      <c r="D806" s="2" t="s">
        <v>51</v>
      </c>
      <c r="E806" s="2" t="s">
        <v>5737</v>
      </c>
      <c r="F806" s="2">
        <v>230989</v>
      </c>
      <c r="G806" s="3" t="str">
        <f>HYPERLINK("https://cloud.oebiotech.com/#/lm/network/230989", "https://cloud.oebiotech.com/#/lm/network/230989")</f>
        <v>https://cloud.oebiotech.com/#/lm/network/230989</v>
      </c>
      <c r="H806" s="2" t="s">
        <v>5738</v>
      </c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 t="s">
        <v>5739</v>
      </c>
      <c r="T806" s="2" t="s">
        <v>5740</v>
      </c>
      <c r="U806" s="2" t="s">
        <v>56</v>
      </c>
      <c r="V806" s="2" t="s">
        <v>145</v>
      </c>
      <c r="W806" s="2" t="s">
        <v>187</v>
      </c>
      <c r="X806" s="2" t="s">
        <v>147</v>
      </c>
      <c r="Y806" s="2">
        <v>37.1</v>
      </c>
      <c r="Z806" s="2">
        <v>2.59</v>
      </c>
      <c r="AA806" s="2" t="s">
        <v>379</v>
      </c>
      <c r="AB806" s="2" t="s">
        <v>5741</v>
      </c>
      <c r="AC806" s="2">
        <v>3.80396566913574</v>
      </c>
      <c r="AD806" s="2"/>
      <c r="AE806" s="2">
        <v>0.71346171528823199</v>
      </c>
      <c r="AF806" s="2">
        <v>41685.202058153198</v>
      </c>
      <c r="AG806" s="2">
        <v>53900.8745319218</v>
      </c>
      <c r="AH806" s="4">
        <v>0.77336782418003103</v>
      </c>
      <c r="AI806" s="4">
        <v>-0.37077335226847502</v>
      </c>
      <c r="AJ806" s="4" t="s">
        <v>62</v>
      </c>
      <c r="AK806" s="2">
        <v>1.4765123910656601E-4</v>
      </c>
      <c r="AL806" s="2">
        <v>3.9225470277496198E-2</v>
      </c>
      <c r="AM806" s="2">
        <v>44554.352277701597</v>
      </c>
      <c r="AN806" s="2">
        <v>43625.700160348199</v>
      </c>
      <c r="AO806" s="2">
        <v>44981.3821871732</v>
      </c>
      <c r="AP806" s="2">
        <v>41532.811498747003</v>
      </c>
      <c r="AQ806" s="2">
        <v>33355.929693040103</v>
      </c>
      <c r="AR806" s="2">
        <v>42061.036531909303</v>
      </c>
      <c r="AS806" s="2">
        <v>52165.704685913202</v>
      </c>
      <c r="AT806" s="2">
        <v>57636.3445317972</v>
      </c>
      <c r="AU806" s="2">
        <v>56908.756465089798</v>
      </c>
      <c r="AV806" s="2">
        <v>51618.795982090902</v>
      </c>
      <c r="AW806" s="2">
        <v>52023.704531887401</v>
      </c>
      <c r="AX806" s="2">
        <v>53051.940994752396</v>
      </c>
    </row>
    <row r="807" spans="1:50" x14ac:dyDescent="0.25">
      <c r="A807" s="2" t="s">
        <v>5742</v>
      </c>
      <c r="B807" s="2">
        <v>263.13999645040298</v>
      </c>
      <c r="C807" s="2">
        <v>4.1970666666666698</v>
      </c>
      <c r="D807" s="2" t="s">
        <v>51</v>
      </c>
      <c r="E807" s="2" t="s">
        <v>5743</v>
      </c>
      <c r="F807" s="2">
        <v>51195</v>
      </c>
      <c r="G807" s="3" t="str">
        <f>HYPERLINK("https://cloud.oebiotech.com/#/lm/network/51195", "https://cloud.oebiotech.com/#/lm/network/51195")</f>
        <v>https://cloud.oebiotech.com/#/lm/network/51195</v>
      </c>
      <c r="H807" s="2" t="s">
        <v>5744</v>
      </c>
      <c r="I807" s="2"/>
      <c r="J807" s="2"/>
      <c r="K807" s="2">
        <v>7020641</v>
      </c>
      <c r="L807" s="2"/>
      <c r="M807" s="2"/>
      <c r="N807" s="2"/>
      <c r="O807" s="2">
        <v>74750</v>
      </c>
      <c r="P807" s="2"/>
      <c r="Q807" s="2"/>
      <c r="R807" s="2" t="s">
        <v>5745</v>
      </c>
      <c r="S807" s="2" t="s">
        <v>5746</v>
      </c>
      <c r="T807" s="2" t="s">
        <v>5747</v>
      </c>
      <c r="U807" s="2" t="s">
        <v>103</v>
      </c>
      <c r="V807" s="2" t="s">
        <v>104</v>
      </c>
      <c r="W807" s="2" t="s">
        <v>105</v>
      </c>
      <c r="X807" s="2" t="s">
        <v>69</v>
      </c>
      <c r="Y807" s="2">
        <v>60.4</v>
      </c>
      <c r="Z807" s="2">
        <v>85.4</v>
      </c>
      <c r="AA807" s="2" t="s">
        <v>259</v>
      </c>
      <c r="AB807" s="2" t="s">
        <v>5748</v>
      </c>
      <c r="AC807" s="2">
        <v>3.7293189059456902</v>
      </c>
      <c r="AD807" s="2"/>
      <c r="AE807" s="2">
        <v>0.71192752430355799</v>
      </c>
      <c r="AF807" s="2">
        <v>134538.512760201</v>
      </c>
      <c r="AG807" s="2">
        <v>96505.722087535003</v>
      </c>
      <c r="AH807" s="5">
        <v>1.3940988145570099</v>
      </c>
      <c r="AI807" s="5">
        <v>0.47933282391717302</v>
      </c>
      <c r="AJ807" s="5" t="s">
        <v>139</v>
      </c>
      <c r="AK807" s="2">
        <v>0.241001624238458</v>
      </c>
      <c r="AL807" s="2">
        <v>0.56509741038851602</v>
      </c>
      <c r="AM807" s="2">
        <v>48512.735130291898</v>
      </c>
      <c r="AN807" s="2">
        <v>199897.16048651899</v>
      </c>
      <c r="AO807" s="2">
        <v>99886.613554980097</v>
      </c>
      <c r="AP807" s="2">
        <v>97806.374144643894</v>
      </c>
      <c r="AQ807" s="2">
        <v>208676.60811068799</v>
      </c>
      <c r="AR807" s="2">
        <v>152451.585134083</v>
      </c>
      <c r="AS807" s="2">
        <v>36064.112698480603</v>
      </c>
      <c r="AT807" s="2">
        <v>81921.365955732996</v>
      </c>
      <c r="AU807" s="2">
        <v>79281.280388791201</v>
      </c>
      <c r="AV807" s="2">
        <v>140683.39332907001</v>
      </c>
      <c r="AW807" s="2">
        <v>138166.18380811001</v>
      </c>
      <c r="AX807" s="2">
        <v>102917.99634502501</v>
      </c>
    </row>
    <row r="808" spans="1:50" x14ac:dyDescent="0.25">
      <c r="A808" s="2" t="s">
        <v>5749</v>
      </c>
      <c r="B808" s="2">
        <v>443.21506389777301</v>
      </c>
      <c r="C808" s="2">
        <v>3.78085</v>
      </c>
      <c r="D808" s="2" t="s">
        <v>51</v>
      </c>
      <c r="E808" s="2" t="s">
        <v>5750</v>
      </c>
      <c r="F808" s="2">
        <v>211165</v>
      </c>
      <c r="G808" s="3" t="str">
        <f>HYPERLINK("https://cloud.oebiotech.com/#/lm/network/211165", "https://cloud.oebiotech.com/#/lm/network/211165")</f>
        <v>https://cloud.oebiotech.com/#/lm/network/211165</v>
      </c>
      <c r="H808" s="2" t="s">
        <v>5751</v>
      </c>
      <c r="I808" s="2"/>
      <c r="J808" s="2"/>
      <c r="K808" s="2">
        <v>3584802</v>
      </c>
      <c r="L808" s="2"/>
      <c r="M808" s="2"/>
      <c r="N808" s="2"/>
      <c r="O808" s="2"/>
      <c r="P808" s="2"/>
      <c r="Q808" s="2"/>
      <c r="R808" s="2"/>
      <c r="S808" s="2" t="s">
        <v>5752</v>
      </c>
      <c r="T808" s="2" t="s">
        <v>5753</v>
      </c>
      <c r="U808" s="2" t="s">
        <v>103</v>
      </c>
      <c r="V808" s="2" t="s">
        <v>104</v>
      </c>
      <c r="W808" s="2" t="s">
        <v>105</v>
      </c>
      <c r="X808" s="2" t="s">
        <v>147</v>
      </c>
      <c r="Y808" s="2">
        <v>43.3</v>
      </c>
      <c r="Z808" s="2">
        <v>28.8</v>
      </c>
      <c r="AA808" s="2" t="s">
        <v>379</v>
      </c>
      <c r="AB808" s="2" t="s">
        <v>5754</v>
      </c>
      <c r="AC808" s="2">
        <v>-2.1873784930611402</v>
      </c>
      <c r="AD808" s="2"/>
      <c r="AE808" s="2">
        <v>0.71164594820407201</v>
      </c>
      <c r="AF808" s="2">
        <v>3447.57923887878</v>
      </c>
      <c r="AG808" s="2">
        <v>18803.6067641068</v>
      </c>
      <c r="AH808" s="4">
        <v>0.183346699499145</v>
      </c>
      <c r="AI808" s="4">
        <v>-2.4473537991627001</v>
      </c>
      <c r="AJ808" s="4" t="s">
        <v>62</v>
      </c>
      <c r="AK808" s="2">
        <v>8.2371091878843797E-2</v>
      </c>
      <c r="AL808" s="2">
        <v>0.371271417145418</v>
      </c>
      <c r="AM808" s="2">
        <v>2142.7358028236599</v>
      </c>
      <c r="AN808" s="2">
        <v>588.14812933055998</v>
      </c>
      <c r="AO808" s="2">
        <v>1974.8304229518101</v>
      </c>
      <c r="AP808" s="2">
        <v>9936.9307384111999</v>
      </c>
      <c r="AQ808" s="2">
        <v>2358.7477921653899</v>
      </c>
      <c r="AR808" s="2">
        <v>3684.0825475900701</v>
      </c>
      <c r="AS808" s="2">
        <v>8.559877937157E-6</v>
      </c>
      <c r="AT808" s="2">
        <v>7150.5780526004701</v>
      </c>
      <c r="AU808" s="2">
        <v>18702.9298357345</v>
      </c>
      <c r="AV808" s="2">
        <v>2948.81198074238</v>
      </c>
      <c r="AW808" s="2">
        <v>38469.700341375203</v>
      </c>
      <c r="AX808" s="2">
        <v>45549.620365628201</v>
      </c>
    </row>
    <row r="809" spans="1:50" x14ac:dyDescent="0.25">
      <c r="A809" s="2" t="s">
        <v>5755</v>
      </c>
      <c r="B809" s="2">
        <v>593.47900780807004</v>
      </c>
      <c r="C809" s="2">
        <v>14.465633333333299</v>
      </c>
      <c r="D809" s="2" t="s">
        <v>51</v>
      </c>
      <c r="E809" s="2" t="s">
        <v>5756</v>
      </c>
      <c r="F809" s="2">
        <v>55779</v>
      </c>
      <c r="G809" s="3" t="str">
        <f>HYPERLINK("https://cloud.oebiotech.com/#/lm/network/55779", "https://cloud.oebiotech.com/#/lm/network/55779")</f>
        <v>https://cloud.oebiotech.com/#/lm/network/55779</v>
      </c>
      <c r="H809" s="2" t="s">
        <v>5757</v>
      </c>
      <c r="I809" s="2"/>
      <c r="J809" s="2"/>
      <c r="K809" s="2">
        <v>131751148</v>
      </c>
      <c r="L809" s="2"/>
      <c r="M809" s="2"/>
      <c r="N809" s="2"/>
      <c r="O809" s="2"/>
      <c r="P809" s="2"/>
      <c r="Q809" s="2"/>
      <c r="R809" s="2" t="s">
        <v>5758</v>
      </c>
      <c r="S809" s="2" t="s">
        <v>5759</v>
      </c>
      <c r="T809" s="2" t="s">
        <v>5760</v>
      </c>
      <c r="U809" s="2" t="s">
        <v>56</v>
      </c>
      <c r="V809" s="2" t="s">
        <v>145</v>
      </c>
      <c r="W809" s="2" t="s">
        <v>146</v>
      </c>
      <c r="X809" s="2" t="s">
        <v>69</v>
      </c>
      <c r="Y809" s="2">
        <v>68.7</v>
      </c>
      <c r="Z809" s="2">
        <v>69.2</v>
      </c>
      <c r="AA809" s="2" t="s">
        <v>218</v>
      </c>
      <c r="AB809" s="2" t="s">
        <v>5761</v>
      </c>
      <c r="AC809" s="2">
        <v>0.62793002646877905</v>
      </c>
      <c r="AD809" s="2"/>
      <c r="AE809" s="2">
        <v>0.711529848625851</v>
      </c>
      <c r="AF809" s="2">
        <v>796043.203398076</v>
      </c>
      <c r="AG809" s="2">
        <v>690725.43220995704</v>
      </c>
      <c r="AH809" s="5">
        <v>1.15247414714579</v>
      </c>
      <c r="AI809" s="5">
        <v>0.204734387788755</v>
      </c>
      <c r="AJ809" s="5" t="s">
        <v>139</v>
      </c>
      <c r="AK809" s="2">
        <v>0.56928465973572495</v>
      </c>
      <c r="AL809" s="2">
        <v>0.78311574344879098</v>
      </c>
      <c r="AM809" s="2">
        <v>224245.850535506</v>
      </c>
      <c r="AN809" s="2">
        <v>803989.97971711098</v>
      </c>
      <c r="AO809" s="2">
        <v>1118947.2299713199</v>
      </c>
      <c r="AP809" s="2">
        <v>929762.76732066402</v>
      </c>
      <c r="AQ809" s="2">
        <v>990003.35259272903</v>
      </c>
      <c r="AR809" s="2">
        <v>709310.04025112896</v>
      </c>
      <c r="AS809" s="2">
        <v>308157.33850233699</v>
      </c>
      <c r="AT809" s="2">
        <v>1070635.16284544</v>
      </c>
      <c r="AU809" s="2">
        <v>424210.133365852</v>
      </c>
      <c r="AV809" s="2">
        <v>552955.07283760398</v>
      </c>
      <c r="AW809" s="2">
        <v>933981.61917034094</v>
      </c>
      <c r="AX809" s="2">
        <v>854413.266538169</v>
      </c>
    </row>
    <row r="810" spans="1:50" x14ac:dyDescent="0.25">
      <c r="A810" s="2" t="s">
        <v>5762</v>
      </c>
      <c r="B810" s="2">
        <v>388.27038968621702</v>
      </c>
      <c r="C810" s="2">
        <v>6.7885833333333299</v>
      </c>
      <c r="D810" s="2" t="s">
        <v>51</v>
      </c>
      <c r="E810" s="2" t="s">
        <v>5763</v>
      </c>
      <c r="F810" s="2">
        <v>3873</v>
      </c>
      <c r="G810" s="3" t="str">
        <f>HYPERLINK("https://cloud.oebiotech.com/#/lm/network/3873", "https://cloud.oebiotech.com/#/lm/network/3873")</f>
        <v>https://cloud.oebiotech.com/#/lm/network/3873</v>
      </c>
      <c r="H810" s="2" t="s">
        <v>5764</v>
      </c>
      <c r="I810" s="2"/>
      <c r="J810" s="2" t="s">
        <v>5765</v>
      </c>
      <c r="K810" s="2">
        <v>53481447</v>
      </c>
      <c r="L810" s="2"/>
      <c r="M810" s="2"/>
      <c r="N810" s="2"/>
      <c r="O810" s="2"/>
      <c r="P810" s="2"/>
      <c r="Q810" s="2"/>
      <c r="R810" s="2"/>
      <c r="S810" s="2" t="s">
        <v>5766</v>
      </c>
      <c r="T810" s="2" t="s">
        <v>5767</v>
      </c>
      <c r="U810" s="2" t="s">
        <v>56</v>
      </c>
      <c r="V810" s="2" t="s">
        <v>145</v>
      </c>
      <c r="W810" s="2" t="s">
        <v>187</v>
      </c>
      <c r="X810" s="2" t="s">
        <v>83</v>
      </c>
      <c r="Y810" s="2">
        <v>47.2</v>
      </c>
      <c r="Z810" s="2">
        <v>20.9</v>
      </c>
      <c r="AA810" s="2" t="s">
        <v>512</v>
      </c>
      <c r="AB810" s="2" t="s">
        <v>312</v>
      </c>
      <c r="AC810" s="2">
        <v>2.7694490927947601</v>
      </c>
      <c r="AD810" s="2"/>
      <c r="AE810" s="2">
        <v>0.709546594612397</v>
      </c>
      <c r="AF810" s="2">
        <v>27914.081350804601</v>
      </c>
      <c r="AG810" s="2">
        <v>16082.049621578301</v>
      </c>
      <c r="AH810" s="5">
        <v>1.7357290897393101</v>
      </c>
      <c r="AI810" s="5">
        <v>0.79554179145232695</v>
      </c>
      <c r="AJ810" s="5" t="s">
        <v>139</v>
      </c>
      <c r="AK810" s="2">
        <v>1.0112343318978E-2</v>
      </c>
      <c r="AL810" s="2">
        <v>0.163143973599924</v>
      </c>
      <c r="AM810" s="2">
        <v>24357.0293613494</v>
      </c>
      <c r="AN810" s="2">
        <v>39657.250474427798</v>
      </c>
      <c r="AO810" s="2">
        <v>23731.064184305</v>
      </c>
      <c r="AP810" s="2">
        <v>25079.334326233398</v>
      </c>
      <c r="AQ810" s="2">
        <v>25548.2751659815</v>
      </c>
      <c r="AR810" s="2">
        <v>29111.534592530199</v>
      </c>
      <c r="AS810" s="2">
        <v>23360.123600066199</v>
      </c>
      <c r="AT810" s="2">
        <v>13533.142005433199</v>
      </c>
      <c r="AU810" s="2">
        <v>24387.770084854499</v>
      </c>
      <c r="AV810" s="2">
        <v>7562.4530390121099</v>
      </c>
      <c r="AW810" s="2">
        <v>10251.5409451223</v>
      </c>
      <c r="AX810" s="2">
        <v>17397.268054981501</v>
      </c>
    </row>
    <row r="811" spans="1:50" x14ac:dyDescent="0.25">
      <c r="A811" s="2" t="s">
        <v>5768</v>
      </c>
      <c r="B811" s="2">
        <v>636.31589297468099</v>
      </c>
      <c r="C811" s="2">
        <v>6.18488333333333</v>
      </c>
      <c r="D811" s="2" t="s">
        <v>51</v>
      </c>
      <c r="E811" s="2" t="s">
        <v>5769</v>
      </c>
      <c r="F811" s="2">
        <v>27868</v>
      </c>
      <c r="G811" s="3" t="str">
        <f>HYPERLINK("https://cloud.oebiotech.com/#/lm/network/27868", "https://cloud.oebiotech.com/#/lm/network/27868")</f>
        <v>https://cloud.oebiotech.com/#/lm/network/27868</v>
      </c>
      <c r="H811" s="2"/>
      <c r="I811" s="2"/>
      <c r="J811" s="2" t="s">
        <v>5770</v>
      </c>
      <c r="K811" s="2">
        <v>129626807</v>
      </c>
      <c r="L811" s="2"/>
      <c r="M811" s="2"/>
      <c r="N811" s="2"/>
      <c r="O811" s="2">
        <v>137585</v>
      </c>
      <c r="P811" s="2"/>
      <c r="Q811" s="2"/>
      <c r="R811" s="2"/>
      <c r="S811" s="2" t="s">
        <v>5771</v>
      </c>
      <c r="T811" s="2" t="s">
        <v>5772</v>
      </c>
      <c r="U811" s="2" t="s">
        <v>56</v>
      </c>
      <c r="V811" s="2" t="s">
        <v>145</v>
      </c>
      <c r="W811" s="2" t="s">
        <v>187</v>
      </c>
      <c r="X811" s="2" t="s">
        <v>59</v>
      </c>
      <c r="Y811" s="2">
        <v>56.2</v>
      </c>
      <c r="Z811" s="2">
        <v>93.1</v>
      </c>
      <c r="AA811" s="2" t="s">
        <v>218</v>
      </c>
      <c r="AB811" s="2" t="s">
        <v>5773</v>
      </c>
      <c r="AC811" s="2">
        <v>0.77229405027249598</v>
      </c>
      <c r="AD811" s="2"/>
      <c r="AE811" s="2">
        <v>0.70929418841234004</v>
      </c>
      <c r="AF811" s="2">
        <v>25011.7416931999</v>
      </c>
      <c r="AG811" s="2">
        <v>8500.2490415020693</v>
      </c>
      <c r="AH811" s="5">
        <v>2.9424716347816702</v>
      </c>
      <c r="AI811" s="5">
        <v>1.55702850785265</v>
      </c>
      <c r="AJ811" s="5" t="s">
        <v>139</v>
      </c>
      <c r="AK811" s="2">
        <v>8.4798731509625996E-2</v>
      </c>
      <c r="AL811" s="2">
        <v>0.37683388396156398</v>
      </c>
      <c r="AM811" s="2">
        <v>17604.416750121902</v>
      </c>
      <c r="AN811" s="2">
        <v>61029.770587617699</v>
      </c>
      <c r="AO811" s="2">
        <v>13461.0150751158</v>
      </c>
      <c r="AP811" s="2">
        <v>12956.4018657097</v>
      </c>
      <c r="AQ811" s="2">
        <v>12693.090882070501</v>
      </c>
      <c r="AR811" s="2">
        <v>32325.754998563902</v>
      </c>
      <c r="AS811" s="2">
        <v>20823.5970575752</v>
      </c>
      <c r="AT811" s="2">
        <v>4079.0720969445802</v>
      </c>
      <c r="AU811" s="2">
        <v>5439.5184005975298</v>
      </c>
      <c r="AV811" s="2">
        <v>1359.04466731307</v>
      </c>
      <c r="AW811" s="2">
        <v>578.29319044214105</v>
      </c>
      <c r="AX811" s="2">
        <v>18721.968836139898</v>
      </c>
    </row>
    <row r="812" spans="1:50" x14ac:dyDescent="0.25">
      <c r="A812" s="2" t="s">
        <v>5774</v>
      </c>
      <c r="B812" s="2">
        <v>473.231199134718</v>
      </c>
      <c r="C812" s="2">
        <v>9.99465</v>
      </c>
      <c r="D812" s="2" t="s">
        <v>51</v>
      </c>
      <c r="E812" s="2" t="s">
        <v>5775</v>
      </c>
      <c r="F812" s="2">
        <v>219643</v>
      </c>
      <c r="G812" s="3" t="str">
        <f>HYPERLINK("https://cloud.oebiotech.com/#/lm/network/219643", "https://cloud.oebiotech.com/#/lm/network/219643")</f>
        <v>https://cloud.oebiotech.com/#/lm/network/219643</v>
      </c>
      <c r="H812" s="2" t="s">
        <v>5776</v>
      </c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 t="s">
        <v>5777</v>
      </c>
      <c r="T812" s="2" t="s">
        <v>5778</v>
      </c>
      <c r="U812" s="2" t="s">
        <v>56</v>
      </c>
      <c r="V812" s="2" t="s">
        <v>57</v>
      </c>
      <c r="W812" s="2" t="s">
        <v>702</v>
      </c>
      <c r="X812" s="2" t="s">
        <v>147</v>
      </c>
      <c r="Y812" s="2">
        <v>38.4</v>
      </c>
      <c r="Z812" s="2">
        <v>0.18099999999999999</v>
      </c>
      <c r="AA812" s="2" t="s">
        <v>379</v>
      </c>
      <c r="AB812" s="2" t="s">
        <v>5779</v>
      </c>
      <c r="AC812" s="2">
        <v>0.44841917098188</v>
      </c>
      <c r="AD812" s="2"/>
      <c r="AE812" s="2">
        <v>0.70864150425613803</v>
      </c>
      <c r="AF812" s="2">
        <v>90278.154947409406</v>
      </c>
      <c r="AG812" s="2">
        <v>138468.89597864801</v>
      </c>
      <c r="AH812" s="4">
        <v>0.65197425247999796</v>
      </c>
      <c r="AI812" s="4">
        <v>-0.61711310367163397</v>
      </c>
      <c r="AJ812" s="4" t="s">
        <v>62</v>
      </c>
      <c r="AK812" s="2">
        <v>0.35402460020785598</v>
      </c>
      <c r="AL812" s="2">
        <v>0.644232435870006</v>
      </c>
      <c r="AM812" s="2">
        <v>102418.817638536</v>
      </c>
      <c r="AN812" s="2">
        <v>76848.164938250295</v>
      </c>
      <c r="AO812" s="2">
        <v>147987.761201065</v>
      </c>
      <c r="AP812" s="2">
        <v>81580.733953741801</v>
      </c>
      <c r="AQ812" s="2">
        <v>61128.103534996</v>
      </c>
      <c r="AR812" s="2">
        <v>71705.348417867193</v>
      </c>
      <c r="AS812" s="2">
        <v>95648.008587349701</v>
      </c>
      <c r="AT812" s="2">
        <v>46508.627966977001</v>
      </c>
      <c r="AU812" s="2">
        <v>365937.03198765701</v>
      </c>
      <c r="AV812" s="2">
        <v>129926.507467188</v>
      </c>
      <c r="AW812" s="2">
        <v>136300.30977239599</v>
      </c>
      <c r="AX812" s="2">
        <v>56492.8900903182</v>
      </c>
    </row>
    <row r="813" spans="1:50" x14ac:dyDescent="0.25">
      <c r="A813" s="2" t="s">
        <v>5780</v>
      </c>
      <c r="B813" s="2">
        <v>595.29857614035598</v>
      </c>
      <c r="C813" s="2">
        <v>3.9009</v>
      </c>
      <c r="D813" s="2" t="s">
        <v>51</v>
      </c>
      <c r="E813" s="2" t="s">
        <v>5781</v>
      </c>
      <c r="F813" s="2">
        <v>201058</v>
      </c>
      <c r="G813" s="3" t="str">
        <f>HYPERLINK("https://cloud.oebiotech.com/#/lm/network/201058", "https://cloud.oebiotech.com/#/lm/network/201058")</f>
        <v>https://cloud.oebiotech.com/#/lm/network/201058</v>
      </c>
      <c r="H813" s="2" t="s">
        <v>5782</v>
      </c>
      <c r="I813" s="2"/>
      <c r="J813" s="2"/>
      <c r="K813" s="2">
        <v>4278577</v>
      </c>
      <c r="L813" s="2"/>
      <c r="M813" s="2"/>
      <c r="N813" s="2"/>
      <c r="O813" s="2"/>
      <c r="P813" s="2"/>
      <c r="Q813" s="2"/>
      <c r="R813" s="2"/>
      <c r="S813" s="2" t="s">
        <v>5783</v>
      </c>
      <c r="T813" s="2" t="s">
        <v>5784</v>
      </c>
      <c r="U813" s="2" t="s">
        <v>103</v>
      </c>
      <c r="V813" s="2" t="s">
        <v>104</v>
      </c>
      <c r="W813" s="2" t="s">
        <v>105</v>
      </c>
      <c r="X813" s="2" t="s">
        <v>59</v>
      </c>
      <c r="Y813" s="2">
        <v>50.1</v>
      </c>
      <c r="Z813" s="2">
        <v>59.5</v>
      </c>
      <c r="AA813" s="2" t="s">
        <v>60</v>
      </c>
      <c r="AB813" s="2" t="s">
        <v>5785</v>
      </c>
      <c r="AC813" s="2">
        <v>3.9741283513165699</v>
      </c>
      <c r="AD813" s="2"/>
      <c r="AE813" s="2">
        <v>0.706534898948874</v>
      </c>
      <c r="AF813" s="2">
        <v>28983.029661033201</v>
      </c>
      <c r="AG813" s="2">
        <v>50631.876150652199</v>
      </c>
      <c r="AH813" s="4">
        <v>0.57242653965252699</v>
      </c>
      <c r="AI813" s="4">
        <v>-0.80483753299490302</v>
      </c>
      <c r="AJ813" s="4" t="s">
        <v>62</v>
      </c>
      <c r="AK813" s="2">
        <v>0.41013655910277802</v>
      </c>
      <c r="AL813" s="2">
        <v>0.67525811186721996</v>
      </c>
      <c r="AM813" s="2">
        <v>16698.449405379</v>
      </c>
      <c r="AN813" s="2">
        <v>215.00417027531401</v>
      </c>
      <c r="AO813" s="2">
        <v>335.11138300091199</v>
      </c>
      <c r="AP813" s="2">
        <v>49870.002165489903</v>
      </c>
      <c r="AQ813" s="2">
        <v>99130.567932576596</v>
      </c>
      <c r="AR813" s="2">
        <v>7649.0429094772899</v>
      </c>
      <c r="AS813" s="2">
        <v>8.559877937157E-6</v>
      </c>
      <c r="AT813" s="2">
        <v>66118.730645211093</v>
      </c>
      <c r="AU813" s="2">
        <v>202.72623049216699</v>
      </c>
      <c r="AV813" s="2">
        <v>35663.7695159371</v>
      </c>
      <c r="AW813" s="2">
        <v>120795.355333631</v>
      </c>
      <c r="AX813" s="2">
        <v>81010.675170082206</v>
      </c>
    </row>
    <row r="814" spans="1:50" x14ac:dyDescent="0.25">
      <c r="A814" s="2" t="s">
        <v>5786</v>
      </c>
      <c r="B814" s="2">
        <v>399.236483018299</v>
      </c>
      <c r="C814" s="2">
        <v>3.4208666666666701</v>
      </c>
      <c r="D814" s="2" t="s">
        <v>51</v>
      </c>
      <c r="E814" s="2" t="s">
        <v>5787</v>
      </c>
      <c r="F814" s="2">
        <v>207197</v>
      </c>
      <c r="G814" s="3" t="str">
        <f>HYPERLINK("https://cloud.oebiotech.com/#/lm/network/207197", "https://cloud.oebiotech.com/#/lm/network/207197")</f>
        <v>https://cloud.oebiotech.com/#/lm/network/207197</v>
      </c>
      <c r="H814" s="2" t="s">
        <v>5788</v>
      </c>
      <c r="I814" s="2"/>
      <c r="J814" s="2"/>
      <c r="K814" s="2">
        <v>18220317</v>
      </c>
      <c r="L814" s="2"/>
      <c r="M814" s="2"/>
      <c r="N814" s="2"/>
      <c r="O814" s="2"/>
      <c r="P814" s="2"/>
      <c r="Q814" s="2"/>
      <c r="R814" s="2"/>
      <c r="S814" s="2" t="s">
        <v>5789</v>
      </c>
      <c r="T814" s="2" t="s">
        <v>5790</v>
      </c>
      <c r="U814" s="2" t="s">
        <v>103</v>
      </c>
      <c r="V814" s="2" t="s">
        <v>104</v>
      </c>
      <c r="W814" s="2" t="s">
        <v>105</v>
      </c>
      <c r="X814" s="2" t="s">
        <v>147</v>
      </c>
      <c r="Y814" s="2">
        <v>42.2</v>
      </c>
      <c r="Z814" s="2">
        <v>21.5</v>
      </c>
      <c r="AA814" s="2" t="s">
        <v>156</v>
      </c>
      <c r="AB814" s="2" t="s">
        <v>5791</v>
      </c>
      <c r="AC814" s="2">
        <v>3.4559428720246301</v>
      </c>
      <c r="AD814" s="2"/>
      <c r="AE814" s="2">
        <v>0.70525616885788101</v>
      </c>
      <c r="AF814" s="2">
        <v>17685.538909884799</v>
      </c>
      <c r="AG814" s="2">
        <v>4542.3929853442596</v>
      </c>
      <c r="AH814" s="5">
        <v>3.8934409609529599</v>
      </c>
      <c r="AI814" s="5">
        <v>1.96104574981058</v>
      </c>
      <c r="AJ814" s="5" t="s">
        <v>139</v>
      </c>
      <c r="AK814" s="2">
        <v>2.1405087417439701E-2</v>
      </c>
      <c r="AL814" s="2">
        <v>0.22856475539089899</v>
      </c>
      <c r="AM814" s="2">
        <v>10735.1632009681</v>
      </c>
      <c r="AN814" s="2">
        <v>15592.600939805499</v>
      </c>
      <c r="AO814" s="2">
        <v>39844.710048098197</v>
      </c>
      <c r="AP814" s="2">
        <v>7637.6540662278003</v>
      </c>
      <c r="AQ814" s="2">
        <v>15145.2335540442</v>
      </c>
      <c r="AR814" s="2">
        <v>17157.871650164801</v>
      </c>
      <c r="AS814" s="2">
        <v>818.44974635400797</v>
      </c>
      <c r="AT814" s="2">
        <v>2295.3248068849002</v>
      </c>
      <c r="AU814" s="2">
        <v>5815.8779790066401</v>
      </c>
      <c r="AV814" s="2">
        <v>4507.1706629999198</v>
      </c>
      <c r="AW814" s="2">
        <v>9660.7350251930602</v>
      </c>
      <c r="AX814" s="2">
        <v>4156.7996916270404</v>
      </c>
    </row>
    <row r="815" spans="1:50" x14ac:dyDescent="0.25">
      <c r="A815" s="2" t="s">
        <v>5792</v>
      </c>
      <c r="B815" s="2">
        <v>389.81311652859603</v>
      </c>
      <c r="C815" s="2">
        <v>9.1509999999999998</v>
      </c>
      <c r="D815" s="2" t="s">
        <v>51</v>
      </c>
      <c r="E815" s="2" t="s">
        <v>5793</v>
      </c>
      <c r="F815" s="2">
        <v>200944</v>
      </c>
      <c r="G815" s="3" t="str">
        <f>HYPERLINK("https://cloud.oebiotech.com/#/lm/network/200944", "https://cloud.oebiotech.com/#/lm/network/200944")</f>
        <v>https://cloud.oebiotech.com/#/lm/network/200944</v>
      </c>
      <c r="H815" s="2" t="s">
        <v>5794</v>
      </c>
      <c r="I815" s="2">
        <v>72202</v>
      </c>
      <c r="J815" s="2"/>
      <c r="K815" s="2">
        <v>9370</v>
      </c>
      <c r="L815" s="2" t="s">
        <v>5795</v>
      </c>
      <c r="M815" s="2"/>
      <c r="N815" s="2"/>
      <c r="O815" s="2"/>
      <c r="P815" s="2"/>
      <c r="Q815" s="2"/>
      <c r="R815" s="2" t="s">
        <v>5796</v>
      </c>
      <c r="S815" s="2" t="s">
        <v>5797</v>
      </c>
      <c r="T815" s="2" t="s">
        <v>5798</v>
      </c>
      <c r="U815" s="2" t="s">
        <v>610</v>
      </c>
      <c r="V815" s="2" t="s">
        <v>895</v>
      </c>
      <c r="W815" s="2" t="s">
        <v>5799</v>
      </c>
      <c r="X815" s="2" t="s">
        <v>147</v>
      </c>
      <c r="Y815" s="2">
        <v>41.4</v>
      </c>
      <c r="Z815" s="2">
        <v>9.3800000000000008</v>
      </c>
      <c r="AA815" s="2" t="s">
        <v>163</v>
      </c>
      <c r="AB815" s="2" t="s">
        <v>5800</v>
      </c>
      <c r="AC815" s="2">
        <v>0.39404537080635998</v>
      </c>
      <c r="AD815" s="2"/>
      <c r="AE815" s="2">
        <v>0.70501072366443196</v>
      </c>
      <c r="AF815" s="2">
        <v>38960.839055021097</v>
      </c>
      <c r="AG815" s="2">
        <v>32.301298133987302</v>
      </c>
      <c r="AH815" s="5">
        <v>1206.1694515622801</v>
      </c>
      <c r="AI815" s="5">
        <v>10.2362168865564</v>
      </c>
      <c r="AJ815" s="5" t="s">
        <v>139</v>
      </c>
      <c r="AK815" s="2">
        <v>0.33354143767311301</v>
      </c>
      <c r="AL815" s="2">
        <v>0.63450213499924102</v>
      </c>
      <c r="AM815" s="2">
        <v>8.559877937157E-6</v>
      </c>
      <c r="AN815" s="2">
        <v>8.559877937157E-6</v>
      </c>
      <c r="AO815" s="2">
        <v>8.559877937157E-6</v>
      </c>
      <c r="AP815" s="2">
        <v>379.52064688939799</v>
      </c>
      <c r="AQ815" s="2">
        <v>230508.28427375801</v>
      </c>
      <c r="AR815" s="2">
        <v>2877.2293837994998</v>
      </c>
      <c r="AS815" s="2">
        <v>8.559877937157E-6</v>
      </c>
      <c r="AT815" s="2">
        <v>8.559877937157E-6</v>
      </c>
      <c r="AU815" s="2">
        <v>8.559877937157E-6</v>
      </c>
      <c r="AV815" s="2">
        <v>193.80774600453401</v>
      </c>
      <c r="AW815" s="2">
        <v>8.559877937157E-6</v>
      </c>
      <c r="AX815" s="2">
        <v>8.559877937157E-6</v>
      </c>
    </row>
    <row r="816" spans="1:50" x14ac:dyDescent="0.25">
      <c r="A816" s="2" t="s">
        <v>5801</v>
      </c>
      <c r="B816" s="2">
        <v>337.23808377727698</v>
      </c>
      <c r="C816" s="2">
        <v>9.3362833333333306</v>
      </c>
      <c r="D816" s="2" t="s">
        <v>51</v>
      </c>
      <c r="E816" s="2" t="s">
        <v>5802</v>
      </c>
      <c r="F816" s="2">
        <v>198715</v>
      </c>
      <c r="G816" s="3" t="str">
        <f>HYPERLINK("https://cloud.oebiotech.com/#/lm/network/198715", "https://cloud.oebiotech.com/#/lm/network/198715")</f>
        <v>https://cloud.oebiotech.com/#/lm/network/198715</v>
      </c>
      <c r="H816" s="2" t="s">
        <v>5803</v>
      </c>
      <c r="I816" s="2"/>
      <c r="J816" s="2"/>
      <c r="K816" s="2">
        <v>574933</v>
      </c>
      <c r="L816" s="2"/>
      <c r="M816" s="2"/>
      <c r="N816" s="2"/>
      <c r="O816" s="2"/>
      <c r="P816" s="2"/>
      <c r="Q816" s="2"/>
      <c r="R816" s="2"/>
      <c r="S816" s="2" t="s">
        <v>5804</v>
      </c>
      <c r="T816" s="2" t="s">
        <v>5805</v>
      </c>
      <c r="U816" s="2" t="s">
        <v>56</v>
      </c>
      <c r="V816" s="2" t="s">
        <v>177</v>
      </c>
      <c r="W816" s="2" t="s">
        <v>584</v>
      </c>
      <c r="X816" s="2" t="s">
        <v>147</v>
      </c>
      <c r="Y816" s="2">
        <v>43.9</v>
      </c>
      <c r="Z816" s="2">
        <v>27.5</v>
      </c>
      <c r="AA816" s="2" t="s">
        <v>163</v>
      </c>
      <c r="AB816" s="2" t="s">
        <v>2182</v>
      </c>
      <c r="AC816" s="2">
        <v>-1.03285668750307</v>
      </c>
      <c r="AD816" s="2"/>
      <c r="AE816" s="2">
        <v>0.70455744072865101</v>
      </c>
      <c r="AF816" s="2">
        <v>29085.269592907302</v>
      </c>
      <c r="AG816" s="2">
        <v>16871.930522360999</v>
      </c>
      <c r="AH816" s="5">
        <v>1.7238850974616999</v>
      </c>
      <c r="AI816" s="5">
        <v>0.78566361732341705</v>
      </c>
      <c r="AJ816" s="5" t="s">
        <v>139</v>
      </c>
      <c r="AK816" s="2">
        <v>0.11949489263805201</v>
      </c>
      <c r="AL816" s="2">
        <v>0.43766036031086097</v>
      </c>
      <c r="AM816" s="2">
        <v>58181.776938037598</v>
      </c>
      <c r="AN816" s="2">
        <v>25694.2428201127</v>
      </c>
      <c r="AO816" s="2">
        <v>19455.212383361999</v>
      </c>
      <c r="AP816" s="2">
        <v>21617.6463800212</v>
      </c>
      <c r="AQ816" s="2">
        <v>22332.054589906002</v>
      </c>
      <c r="AR816" s="2">
        <v>27230.684446004401</v>
      </c>
      <c r="AS816" s="2">
        <v>17221.861560754001</v>
      </c>
      <c r="AT816" s="2">
        <v>7079.5871195152904</v>
      </c>
      <c r="AU816" s="2">
        <v>35131.716060412196</v>
      </c>
      <c r="AV816" s="2">
        <v>9285.9764198776993</v>
      </c>
      <c r="AW816" s="2">
        <v>15729.2583538451</v>
      </c>
      <c r="AX816" s="2">
        <v>16783.183619761501</v>
      </c>
    </row>
    <row r="817" spans="1:50" x14ac:dyDescent="0.25">
      <c r="A817" s="2" t="s">
        <v>5806</v>
      </c>
      <c r="B817" s="2">
        <v>557.45786935736305</v>
      </c>
      <c r="C817" s="2">
        <v>12.708216666666701</v>
      </c>
      <c r="D817" s="2" t="s">
        <v>51</v>
      </c>
      <c r="E817" s="2" t="s">
        <v>5807</v>
      </c>
      <c r="F817" s="2">
        <v>10970</v>
      </c>
      <c r="G817" s="3" t="str">
        <f>HYPERLINK("https://cloud.oebiotech.com/#/lm/network/10970", "https://cloud.oebiotech.com/#/lm/network/10970")</f>
        <v>https://cloud.oebiotech.com/#/lm/network/10970</v>
      </c>
      <c r="H817" s="2"/>
      <c r="I817" s="2">
        <v>98424</v>
      </c>
      <c r="J817" s="2" t="s">
        <v>5808</v>
      </c>
      <c r="K817" s="2">
        <v>56936373</v>
      </c>
      <c r="L817" s="2"/>
      <c r="M817" s="2"/>
      <c r="N817" s="2"/>
      <c r="O817" s="2"/>
      <c r="P817" s="2"/>
      <c r="Q817" s="2"/>
      <c r="R817" s="2"/>
      <c r="S817" s="2" t="s">
        <v>5809</v>
      </c>
      <c r="T817" s="2" t="s">
        <v>5810</v>
      </c>
      <c r="U817" s="2" t="s">
        <v>56</v>
      </c>
      <c r="V817" s="2" t="s">
        <v>145</v>
      </c>
      <c r="W817" s="2" t="s">
        <v>203</v>
      </c>
      <c r="X817" s="2" t="s">
        <v>83</v>
      </c>
      <c r="Y817" s="2">
        <v>41.5</v>
      </c>
      <c r="Z817" s="2">
        <v>0</v>
      </c>
      <c r="AA817" s="2" t="s">
        <v>379</v>
      </c>
      <c r="AB817" s="2" t="s">
        <v>5811</v>
      </c>
      <c r="AC817" s="2">
        <v>0.58168500765557596</v>
      </c>
      <c r="AD817" s="2"/>
      <c r="AE817" s="2">
        <v>0.70413387303048902</v>
      </c>
      <c r="AF817" s="2">
        <v>40493.220154691</v>
      </c>
      <c r="AG817" s="2">
        <v>26165.105345243799</v>
      </c>
      <c r="AH817" s="5">
        <v>1.54760394121829</v>
      </c>
      <c r="AI817" s="5">
        <v>0.63003630794962195</v>
      </c>
      <c r="AJ817" s="5" t="s">
        <v>139</v>
      </c>
      <c r="AK817" s="2">
        <v>2.4108240225080201E-2</v>
      </c>
      <c r="AL817" s="2">
        <v>0.240960643461787</v>
      </c>
      <c r="AM817" s="2">
        <v>23287.385258406401</v>
      </c>
      <c r="AN817" s="2">
        <v>52098.374458218903</v>
      </c>
      <c r="AO817" s="2">
        <v>45881.316317858</v>
      </c>
      <c r="AP817" s="2">
        <v>44553.227758533198</v>
      </c>
      <c r="AQ817" s="2">
        <v>48450.412809488102</v>
      </c>
      <c r="AR817" s="2">
        <v>28688.6043256413</v>
      </c>
      <c r="AS817" s="2">
        <v>25160.4225464398</v>
      </c>
      <c r="AT817" s="2">
        <v>38683.0056072687</v>
      </c>
      <c r="AU817" s="2">
        <v>24225.0539452925</v>
      </c>
      <c r="AV817" s="2">
        <v>22335.460900686499</v>
      </c>
      <c r="AW817" s="2">
        <v>24349.365025184201</v>
      </c>
      <c r="AX817" s="2">
        <v>22237.3240465909</v>
      </c>
    </row>
    <row r="818" spans="1:50" x14ac:dyDescent="0.25">
      <c r="A818" s="2" t="s">
        <v>5812</v>
      </c>
      <c r="B818" s="2">
        <v>540.99367119026601</v>
      </c>
      <c r="C818" s="2">
        <v>13.964549999999999</v>
      </c>
      <c r="D818" s="2" t="s">
        <v>51</v>
      </c>
      <c r="E818" s="2" t="s">
        <v>5813</v>
      </c>
      <c r="F818" s="2">
        <v>293032</v>
      </c>
      <c r="G818" s="3" t="str">
        <f>HYPERLINK("https://cloud.oebiotech.com/#/lm/network/293032", "https://cloud.oebiotech.com/#/lm/network/293032")</f>
        <v>https://cloud.oebiotech.com/#/lm/network/293032</v>
      </c>
      <c r="H818" s="2"/>
      <c r="I818" s="2">
        <v>316843</v>
      </c>
      <c r="J818" s="2"/>
      <c r="K818" s="2">
        <v>35969</v>
      </c>
      <c r="L818" s="2"/>
      <c r="M818" s="2"/>
      <c r="N818" s="2"/>
      <c r="O818" s="2"/>
      <c r="P818" s="2"/>
      <c r="Q818" s="2"/>
      <c r="R818" s="2"/>
      <c r="S818" s="2" t="s">
        <v>5814</v>
      </c>
      <c r="T818" s="2" t="s">
        <v>5815</v>
      </c>
      <c r="U818" s="2" t="s">
        <v>266</v>
      </c>
      <c r="V818" s="2" t="s">
        <v>5816</v>
      </c>
      <c r="W818" s="2" t="s">
        <v>240</v>
      </c>
      <c r="X818" s="2" t="s">
        <v>147</v>
      </c>
      <c r="Y818" s="2">
        <v>36.5</v>
      </c>
      <c r="Z818" s="2">
        <v>0</v>
      </c>
      <c r="AA818" s="2" t="s">
        <v>478</v>
      </c>
      <c r="AB818" s="2" t="s">
        <v>5817</v>
      </c>
      <c r="AC818" s="2">
        <v>-0.72726320757643204</v>
      </c>
      <c r="AD818" s="2"/>
      <c r="AE818" s="2">
        <v>0.70327518982737003</v>
      </c>
      <c r="AF818" s="2">
        <v>27279.3495029804</v>
      </c>
      <c r="AG818" s="2">
        <v>36114.196738707898</v>
      </c>
      <c r="AH818" s="4">
        <v>0.75536359566158695</v>
      </c>
      <c r="AI818" s="4">
        <v>-0.40475683933812201</v>
      </c>
      <c r="AJ818" s="4" t="s">
        <v>62</v>
      </c>
      <c r="AK818" s="2">
        <v>3.33285861069699E-4</v>
      </c>
      <c r="AL818" s="2">
        <v>5.3199942447790097E-2</v>
      </c>
      <c r="AM818" s="2">
        <v>22196.099301882299</v>
      </c>
      <c r="AN818" s="2">
        <v>25189.980205908701</v>
      </c>
      <c r="AO818" s="2">
        <v>27561.519797723799</v>
      </c>
      <c r="AP818" s="2">
        <v>31124.975413526601</v>
      </c>
      <c r="AQ818" s="2">
        <v>30613.750379226502</v>
      </c>
      <c r="AR818" s="2">
        <v>26989.771919614501</v>
      </c>
      <c r="AS818" s="2">
        <v>35920.394019027299</v>
      </c>
      <c r="AT818" s="2">
        <v>38343.519337063801</v>
      </c>
      <c r="AU818" s="2">
        <v>32568.936607912001</v>
      </c>
      <c r="AV818" s="2">
        <v>37210.4923106524</v>
      </c>
      <c r="AW818" s="2">
        <v>34409.3471857025</v>
      </c>
      <c r="AX818" s="2">
        <v>38232.490971889703</v>
      </c>
    </row>
    <row r="819" spans="1:50" x14ac:dyDescent="0.25">
      <c r="A819" s="2" t="s">
        <v>5818</v>
      </c>
      <c r="B819" s="2">
        <v>204.066078970929</v>
      </c>
      <c r="C819" s="2">
        <v>4.9830666666666703</v>
      </c>
      <c r="D819" s="2" t="s">
        <v>51</v>
      </c>
      <c r="E819" s="2" t="s">
        <v>5819</v>
      </c>
      <c r="F819" s="2">
        <v>199357</v>
      </c>
      <c r="G819" s="3" t="str">
        <f>HYPERLINK("https://cloud.oebiotech.com/#/lm/network/199357", "https://cloud.oebiotech.com/#/lm/network/199357")</f>
        <v>https://cloud.oebiotech.com/#/lm/network/199357</v>
      </c>
      <c r="H819" s="2" t="s">
        <v>5820</v>
      </c>
      <c r="I819" s="2"/>
      <c r="J819" s="2"/>
      <c r="K819" s="2">
        <v>14535</v>
      </c>
      <c r="L819" s="2"/>
      <c r="M819" s="2"/>
      <c r="N819" s="2"/>
      <c r="O819" s="2"/>
      <c r="P819" s="2"/>
      <c r="Q819" s="2"/>
      <c r="R819" s="2"/>
      <c r="S819" s="2" t="s">
        <v>5821</v>
      </c>
      <c r="T819" s="2" t="s">
        <v>5822</v>
      </c>
      <c r="U819" s="2" t="s">
        <v>610</v>
      </c>
      <c r="V819" s="2" t="s">
        <v>813</v>
      </c>
      <c r="W819" s="2" t="s">
        <v>5823</v>
      </c>
      <c r="X819" s="2" t="s">
        <v>69</v>
      </c>
      <c r="Y819" s="2">
        <v>60.9</v>
      </c>
      <c r="Z819" s="2">
        <v>65.099999999999994</v>
      </c>
      <c r="AA819" s="2" t="s">
        <v>241</v>
      </c>
      <c r="AB819" s="2" t="s">
        <v>5824</v>
      </c>
      <c r="AC819" s="2">
        <v>-3.3810110239217499</v>
      </c>
      <c r="AD819" s="2"/>
      <c r="AE819" s="2">
        <v>0.70241204503671595</v>
      </c>
      <c r="AF819" s="2">
        <v>42871.810065553698</v>
      </c>
      <c r="AG819" s="2">
        <v>29163.792381020001</v>
      </c>
      <c r="AH819" s="5">
        <v>1.47003549831383</v>
      </c>
      <c r="AI819" s="5">
        <v>0.55585099358066403</v>
      </c>
      <c r="AJ819" s="5" t="s">
        <v>139</v>
      </c>
      <c r="AK819" s="2">
        <v>0.110911004348204</v>
      </c>
      <c r="AL819" s="2">
        <v>0.42261842103963698</v>
      </c>
      <c r="AM819" s="2">
        <v>54910.151330951499</v>
      </c>
      <c r="AN819" s="2">
        <v>41563.035384564297</v>
      </c>
      <c r="AO819" s="2">
        <v>27425.455494466201</v>
      </c>
      <c r="AP819" s="2">
        <v>44163.229555912199</v>
      </c>
      <c r="AQ819" s="2">
        <v>47277.129660124498</v>
      </c>
      <c r="AR819" s="2">
        <v>41891.858967303298</v>
      </c>
      <c r="AS819" s="2">
        <v>39433.163558859997</v>
      </c>
      <c r="AT819" s="2">
        <v>59050.603282777403</v>
      </c>
      <c r="AU819" s="2">
        <v>23056.694959852099</v>
      </c>
      <c r="AV819" s="2">
        <v>19078.220968277699</v>
      </c>
      <c r="AW819" s="2">
        <v>19566.462852015899</v>
      </c>
      <c r="AX819" s="2">
        <v>14797.6086643367</v>
      </c>
    </row>
    <row r="820" spans="1:50" x14ac:dyDescent="0.25">
      <c r="A820" s="2" t="s">
        <v>5825</v>
      </c>
      <c r="B820" s="2">
        <v>626.35542297578297</v>
      </c>
      <c r="C820" s="2">
        <v>7.3032833333333302</v>
      </c>
      <c r="D820" s="2" t="s">
        <v>51</v>
      </c>
      <c r="E820" s="2" t="s">
        <v>5826</v>
      </c>
      <c r="F820" s="2">
        <v>46659</v>
      </c>
      <c r="G820" s="3" t="str">
        <f>HYPERLINK("https://cloud.oebiotech.com/#/lm/network/46659", "https://cloud.oebiotech.com/#/lm/network/46659")</f>
        <v>https://cloud.oebiotech.com/#/lm/network/46659</v>
      </c>
      <c r="H820" s="2" t="s">
        <v>5827</v>
      </c>
      <c r="I820" s="2">
        <v>57966</v>
      </c>
      <c r="J820" s="2" t="s">
        <v>5828</v>
      </c>
      <c r="K820" s="2">
        <v>44263370</v>
      </c>
      <c r="L820" s="2"/>
      <c r="M820" s="2"/>
      <c r="N820" s="2"/>
      <c r="O820" s="2"/>
      <c r="P820" s="2"/>
      <c r="Q820" s="2"/>
      <c r="R820" s="2"/>
      <c r="S820" s="2" t="s">
        <v>5829</v>
      </c>
      <c r="T820" s="2" t="s">
        <v>5830</v>
      </c>
      <c r="U820" s="2" t="s">
        <v>56</v>
      </c>
      <c r="V820" s="2" t="s">
        <v>283</v>
      </c>
      <c r="W820" s="2" t="s">
        <v>3462</v>
      </c>
      <c r="X820" s="2" t="s">
        <v>69</v>
      </c>
      <c r="Y820" s="2">
        <v>66.900000000000006</v>
      </c>
      <c r="Z820" s="2">
        <v>93.8</v>
      </c>
      <c r="AA820" s="2" t="s">
        <v>5831</v>
      </c>
      <c r="AB820" s="2" t="s">
        <v>5832</v>
      </c>
      <c r="AC820" s="2">
        <v>3.0944270827474698</v>
      </c>
      <c r="AD820" s="2"/>
      <c r="AE820" s="2">
        <v>0.70191258492479802</v>
      </c>
      <c r="AF820" s="2">
        <v>4005.3283004796099</v>
      </c>
      <c r="AG820" s="2">
        <v>50926.8206473424</v>
      </c>
      <c r="AH820" s="4">
        <v>7.8648701206298993E-2</v>
      </c>
      <c r="AI820" s="4">
        <v>-3.6684332484020801</v>
      </c>
      <c r="AJ820" s="4" t="s">
        <v>62</v>
      </c>
      <c r="AK820" s="2">
        <v>0.292258184596842</v>
      </c>
      <c r="AL820" s="2">
        <v>0.60553329689908297</v>
      </c>
      <c r="AM820" s="2">
        <v>500.55662076138498</v>
      </c>
      <c r="AN820" s="2">
        <v>1021.61227909678</v>
      </c>
      <c r="AO820" s="2">
        <v>12.1312114549893</v>
      </c>
      <c r="AP820" s="2">
        <v>1182.79131725197</v>
      </c>
      <c r="AQ820" s="2">
        <v>8721.7780516013609</v>
      </c>
      <c r="AR820" s="2">
        <v>12593.1003227112</v>
      </c>
      <c r="AS820" s="2">
        <v>4131.3102348786597</v>
      </c>
      <c r="AT820" s="2">
        <v>261249.453777021</v>
      </c>
      <c r="AU820" s="2">
        <v>258.88859584165499</v>
      </c>
      <c r="AV820" s="2">
        <v>9052.8516819485703</v>
      </c>
      <c r="AW820" s="2">
        <v>19385.360738115101</v>
      </c>
      <c r="AX820" s="2">
        <v>11483.0588562495</v>
      </c>
    </row>
    <row r="821" spans="1:50" x14ac:dyDescent="0.25">
      <c r="A821" s="2" t="s">
        <v>5833</v>
      </c>
      <c r="B821" s="2">
        <v>236.11119942953201</v>
      </c>
      <c r="C821" s="2">
        <v>9.4819833333333303</v>
      </c>
      <c r="D821" s="2" t="s">
        <v>51</v>
      </c>
      <c r="E821" s="2" t="s">
        <v>5834</v>
      </c>
      <c r="F821" s="2">
        <v>209879</v>
      </c>
      <c r="G821" s="3" t="str">
        <f>HYPERLINK("https://cloud.oebiotech.com/#/lm/network/209879", "https://cloud.oebiotech.com/#/lm/network/209879")</f>
        <v>https://cloud.oebiotech.com/#/lm/network/209879</v>
      </c>
      <c r="H821" s="2" t="s">
        <v>5835</v>
      </c>
      <c r="I821" s="2">
        <v>440766</v>
      </c>
      <c r="J821" s="2"/>
      <c r="K821" s="2">
        <v>28434</v>
      </c>
      <c r="L821" s="2"/>
      <c r="M821" s="2"/>
      <c r="N821" s="2"/>
      <c r="O821" s="2"/>
      <c r="P821" s="2"/>
      <c r="Q821" s="2"/>
      <c r="R821" s="2"/>
      <c r="S821" s="2" t="s">
        <v>5836</v>
      </c>
      <c r="T821" s="2" t="s">
        <v>5837</v>
      </c>
      <c r="U821" s="2" t="s">
        <v>119</v>
      </c>
      <c r="V821" s="2" t="s">
        <v>120</v>
      </c>
      <c r="W821" s="2" t="s">
        <v>1887</v>
      </c>
      <c r="X821" s="2" t="s">
        <v>147</v>
      </c>
      <c r="Y821" s="2">
        <v>38.6</v>
      </c>
      <c r="Z821" s="2">
        <v>0</v>
      </c>
      <c r="AA821" s="2" t="s">
        <v>95</v>
      </c>
      <c r="AB821" s="2" t="s">
        <v>5838</v>
      </c>
      <c r="AC821" s="2">
        <v>-2.7964876001889398</v>
      </c>
      <c r="AD821" s="2"/>
      <c r="AE821" s="2">
        <v>0.70137949244885001</v>
      </c>
      <c r="AF821" s="2">
        <v>4210.56452878046</v>
      </c>
      <c r="AG821" s="2">
        <v>20280.906912426199</v>
      </c>
      <c r="AH821" s="4">
        <v>0.207612240762302</v>
      </c>
      <c r="AI821" s="4">
        <v>-2.2680365877693398</v>
      </c>
      <c r="AJ821" s="4" t="s">
        <v>62</v>
      </c>
      <c r="AK821" s="2">
        <v>5.3364886391403202E-2</v>
      </c>
      <c r="AL821" s="2">
        <v>0.31809972942345399</v>
      </c>
      <c r="AM821" s="2">
        <v>6247.2093608237501</v>
      </c>
      <c r="AN821" s="2">
        <v>2274.0874206356898</v>
      </c>
      <c r="AO821" s="2">
        <v>6341.1842310899701</v>
      </c>
      <c r="AP821" s="2">
        <v>630.18754495337703</v>
      </c>
      <c r="AQ821" s="2">
        <v>2918.8909640850902</v>
      </c>
      <c r="AR821" s="2">
        <v>6851.8276510948899</v>
      </c>
      <c r="AS821" s="2">
        <v>8074.5186117719904</v>
      </c>
      <c r="AT821" s="2">
        <v>3399.6491765531</v>
      </c>
      <c r="AU821" s="2">
        <v>39664.637194240597</v>
      </c>
      <c r="AV821" s="2">
        <v>11173.4104641836</v>
      </c>
      <c r="AW821" s="2">
        <v>45692.881315084</v>
      </c>
      <c r="AX821" s="2">
        <v>13680.3447127238</v>
      </c>
    </row>
    <row r="822" spans="1:50" x14ac:dyDescent="0.25">
      <c r="A822" s="2" t="s">
        <v>5839</v>
      </c>
      <c r="B822" s="2">
        <v>252.23288544376899</v>
      </c>
      <c r="C822" s="2">
        <v>11.0475666666667</v>
      </c>
      <c r="D822" s="2" t="s">
        <v>51</v>
      </c>
      <c r="E822" s="2" t="s">
        <v>5840</v>
      </c>
      <c r="F822" s="2">
        <v>6687</v>
      </c>
      <c r="G822" s="3" t="str">
        <f>HYPERLINK("https://cloud.oebiotech.com/#/lm/network/6687", "https://cloud.oebiotech.com/#/lm/network/6687")</f>
        <v>https://cloud.oebiotech.com/#/lm/network/6687</v>
      </c>
      <c r="H822" s="2"/>
      <c r="I822" s="2">
        <v>46488</v>
      </c>
      <c r="J822" s="2" t="s">
        <v>5841</v>
      </c>
      <c r="K822" s="2">
        <v>25067736</v>
      </c>
      <c r="L822" s="2"/>
      <c r="M822" s="2"/>
      <c r="N822" s="2"/>
      <c r="O822" s="2"/>
      <c r="P822" s="2"/>
      <c r="Q822" s="2"/>
      <c r="R822" s="2"/>
      <c r="S822" s="2" t="s">
        <v>5842</v>
      </c>
      <c r="T822" s="2" t="s">
        <v>5843</v>
      </c>
      <c r="U822" s="2" t="s">
        <v>56</v>
      </c>
      <c r="V822" s="2" t="s">
        <v>145</v>
      </c>
      <c r="W822" s="2" t="s">
        <v>1543</v>
      </c>
      <c r="X822" s="2" t="s">
        <v>69</v>
      </c>
      <c r="Y822" s="2">
        <v>61.4</v>
      </c>
      <c r="Z822" s="2">
        <v>86.6</v>
      </c>
      <c r="AA822" s="2" t="s">
        <v>512</v>
      </c>
      <c r="AB822" s="2" t="s">
        <v>5844</v>
      </c>
      <c r="AC822" s="2">
        <v>2.9652657395006798</v>
      </c>
      <c r="AD822" s="2"/>
      <c r="AE822" s="2">
        <v>0.700577993670915</v>
      </c>
      <c r="AF822" s="2">
        <v>2378.61896043552</v>
      </c>
      <c r="AG822" s="2">
        <v>26214.788392905299</v>
      </c>
      <c r="AH822" s="4">
        <v>9.0735768101003103E-2</v>
      </c>
      <c r="AI822" s="4">
        <v>-3.4621848155397799</v>
      </c>
      <c r="AJ822" s="4" t="s">
        <v>62</v>
      </c>
      <c r="AK822" s="2">
        <v>0.38282423933235699</v>
      </c>
      <c r="AL822" s="2">
        <v>0.66023025420912795</v>
      </c>
      <c r="AM822" s="2">
        <v>8.559877937157E-6</v>
      </c>
      <c r="AN822" s="2">
        <v>8.559877937157E-6</v>
      </c>
      <c r="AO822" s="2">
        <v>13232.450140180699</v>
      </c>
      <c r="AP822" s="2">
        <v>8.559877937157E-6</v>
      </c>
      <c r="AQ822" s="2">
        <v>1039.26358819292</v>
      </c>
      <c r="AR822" s="2">
        <v>8.559877937157E-6</v>
      </c>
      <c r="AS822" s="2">
        <v>156324.17389257401</v>
      </c>
      <c r="AT822" s="2">
        <v>8.559877937157E-6</v>
      </c>
      <c r="AU822" s="2">
        <v>757.70583795456298</v>
      </c>
      <c r="AV822" s="2">
        <v>206.850601223582</v>
      </c>
      <c r="AW822" s="2">
        <v>8.559877937157E-6</v>
      </c>
      <c r="AX822" s="2">
        <v>8.559877937157E-6</v>
      </c>
    </row>
    <row r="823" spans="1:50" x14ac:dyDescent="0.25">
      <c r="A823" s="2" t="s">
        <v>5845</v>
      </c>
      <c r="B823" s="2">
        <v>311.22289386052302</v>
      </c>
      <c r="C823" s="2">
        <v>10.514200000000001</v>
      </c>
      <c r="D823" s="2" t="s">
        <v>51</v>
      </c>
      <c r="E823" s="2" t="s">
        <v>5846</v>
      </c>
      <c r="F823" s="2">
        <v>3231</v>
      </c>
      <c r="G823" s="3" t="str">
        <f>HYPERLINK("https://cloud.oebiotech.com/#/lm/network/3231", "https://cloud.oebiotech.com/#/lm/network/3231")</f>
        <v>https://cloud.oebiotech.com/#/lm/network/3231</v>
      </c>
      <c r="H823" s="2"/>
      <c r="I823" s="2">
        <v>74805</v>
      </c>
      <c r="J823" s="2" t="s">
        <v>5847</v>
      </c>
      <c r="K823" s="2">
        <v>5283015</v>
      </c>
      <c r="L823" s="2"/>
      <c r="M823" s="2"/>
      <c r="N823" s="2"/>
      <c r="O823" s="2"/>
      <c r="P823" s="2"/>
      <c r="Q823" s="2"/>
      <c r="R823" s="2"/>
      <c r="S823" s="2" t="s">
        <v>5848</v>
      </c>
      <c r="T823" s="2" t="s">
        <v>5849</v>
      </c>
      <c r="U823" s="2" t="s">
        <v>103</v>
      </c>
      <c r="V823" s="2" t="s">
        <v>377</v>
      </c>
      <c r="W823" s="2" t="s">
        <v>378</v>
      </c>
      <c r="X823" s="2" t="s">
        <v>69</v>
      </c>
      <c r="Y823" s="2">
        <v>64.5</v>
      </c>
      <c r="Z823" s="2">
        <v>84.4</v>
      </c>
      <c r="AA823" s="2" t="s">
        <v>163</v>
      </c>
      <c r="AB823" s="2" t="s">
        <v>714</v>
      </c>
      <c r="AC823" s="2">
        <v>0.35482824291938397</v>
      </c>
      <c r="AD823" s="2"/>
      <c r="AE823" s="2">
        <v>0.70026640201711099</v>
      </c>
      <c r="AF823" s="2">
        <v>105014.690205387</v>
      </c>
      <c r="AG823" s="2">
        <v>78504.955149761707</v>
      </c>
      <c r="AH823" s="5">
        <v>1.3376823157857201</v>
      </c>
      <c r="AI823" s="5">
        <v>0.41973553312492701</v>
      </c>
      <c r="AJ823" s="5" t="s">
        <v>139</v>
      </c>
      <c r="AK823" s="2">
        <v>0.29975653462444102</v>
      </c>
      <c r="AL823" s="2">
        <v>0.61037838979491599</v>
      </c>
      <c r="AM823" s="2">
        <v>81534.104111627501</v>
      </c>
      <c r="AN823" s="2">
        <v>90273.762827661601</v>
      </c>
      <c r="AO823" s="2">
        <v>200682.830397843</v>
      </c>
      <c r="AP823" s="2">
        <v>59741.349083740897</v>
      </c>
      <c r="AQ823" s="2">
        <v>99115.850782470894</v>
      </c>
      <c r="AR823" s="2">
        <v>98740.244028978894</v>
      </c>
      <c r="AS823" s="2">
        <v>136492.76432799301</v>
      </c>
      <c r="AT823" s="2">
        <v>75967.701877465995</v>
      </c>
      <c r="AU823" s="2">
        <v>59455.918042787598</v>
      </c>
      <c r="AV823" s="2">
        <v>96542.262139564802</v>
      </c>
      <c r="AW823" s="2">
        <v>55938.265597687401</v>
      </c>
      <c r="AX823" s="2">
        <v>46632.8189130713</v>
      </c>
    </row>
    <row r="824" spans="1:50" x14ac:dyDescent="0.25">
      <c r="A824" s="2" t="s">
        <v>5850</v>
      </c>
      <c r="B824" s="2">
        <v>407.24177922522699</v>
      </c>
      <c r="C824" s="2">
        <v>8.8874666666666702</v>
      </c>
      <c r="D824" s="2" t="s">
        <v>51</v>
      </c>
      <c r="E824" s="2" t="s">
        <v>5851</v>
      </c>
      <c r="F824" s="2">
        <v>211684</v>
      </c>
      <c r="G824" s="3" t="str">
        <f>HYPERLINK("https://cloud.oebiotech.com/#/lm/network/211684", "https://cloud.oebiotech.com/#/lm/network/211684")</f>
        <v>https://cloud.oebiotech.com/#/lm/network/211684</v>
      </c>
      <c r="H824" s="2" t="s">
        <v>5852</v>
      </c>
      <c r="I824" s="2"/>
      <c r="J824" s="2"/>
      <c r="K824" s="2">
        <v>44282877</v>
      </c>
      <c r="L824" s="2"/>
      <c r="M824" s="2"/>
      <c r="N824" s="2"/>
      <c r="O824" s="2"/>
      <c r="P824" s="2"/>
      <c r="Q824" s="2"/>
      <c r="R824" s="2"/>
      <c r="S824" s="2" t="s">
        <v>5853</v>
      </c>
      <c r="T824" s="2" t="s">
        <v>5854</v>
      </c>
      <c r="U824" s="2" t="s">
        <v>295</v>
      </c>
      <c r="V824" s="2" t="s">
        <v>5395</v>
      </c>
      <c r="W824" s="2" t="s">
        <v>240</v>
      </c>
      <c r="X824" s="2" t="s">
        <v>59</v>
      </c>
      <c r="Y824" s="2">
        <v>50.2</v>
      </c>
      <c r="Z824" s="2">
        <v>64.099999999999994</v>
      </c>
      <c r="AA824" s="2" t="s">
        <v>259</v>
      </c>
      <c r="AB824" s="2" t="s">
        <v>5855</v>
      </c>
      <c r="AC824" s="2">
        <v>4.0600460377010696</v>
      </c>
      <c r="AD824" s="2"/>
      <c r="AE824" s="2">
        <v>0.69811178496688497</v>
      </c>
      <c r="AF824" s="2">
        <v>19446.499003434299</v>
      </c>
      <c r="AG824" s="2">
        <v>7663.5870550987001</v>
      </c>
      <c r="AH824" s="5">
        <v>2.53751916219132</v>
      </c>
      <c r="AI824" s="5">
        <v>1.34341871691614</v>
      </c>
      <c r="AJ824" s="5" t="s">
        <v>139</v>
      </c>
      <c r="AK824" s="2">
        <v>1.2243790840365699E-4</v>
      </c>
      <c r="AL824" s="2">
        <v>3.9225470277496198E-2</v>
      </c>
      <c r="AM824" s="2">
        <v>12756.2220654911</v>
      </c>
      <c r="AN824" s="2">
        <v>18028.670431398699</v>
      </c>
      <c r="AO824" s="2">
        <v>17188.4011040064</v>
      </c>
      <c r="AP824" s="2">
        <v>22448.207675300699</v>
      </c>
      <c r="AQ824" s="2">
        <v>21823.5028290064</v>
      </c>
      <c r="AR824" s="2">
        <v>24433.989915402399</v>
      </c>
      <c r="AS824" s="2">
        <v>11455.168226673601</v>
      </c>
      <c r="AT824" s="2">
        <v>6970.6336426744501</v>
      </c>
      <c r="AU824" s="2">
        <v>7606.57051583053</v>
      </c>
      <c r="AV824" s="2">
        <v>5074.0015158430097</v>
      </c>
      <c r="AW824" s="2">
        <v>6962.4312363773397</v>
      </c>
      <c r="AX824" s="2">
        <v>7912.7171931932498</v>
      </c>
    </row>
    <row r="825" spans="1:50" x14ac:dyDescent="0.25">
      <c r="A825" s="2" t="s">
        <v>5856</v>
      </c>
      <c r="B825" s="2">
        <v>429.22635949153499</v>
      </c>
      <c r="C825" s="2">
        <v>9.5834499999999991</v>
      </c>
      <c r="D825" s="2" t="s">
        <v>51</v>
      </c>
      <c r="E825" s="2" t="s">
        <v>5857</v>
      </c>
      <c r="F825" s="2">
        <v>115515</v>
      </c>
      <c r="G825" s="3" t="str">
        <f>HYPERLINK("https://cloud.oebiotech.com/#/lm/network/115515", "https://cloud.oebiotech.com/#/lm/network/115515")</f>
        <v>https://cloud.oebiotech.com/#/lm/network/115515</v>
      </c>
      <c r="H825" s="2" t="s">
        <v>5858</v>
      </c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 t="s">
        <v>5859</v>
      </c>
      <c r="T825" s="2" t="s">
        <v>5860</v>
      </c>
      <c r="U825" s="2" t="s">
        <v>103</v>
      </c>
      <c r="V825" s="2" t="s">
        <v>104</v>
      </c>
      <c r="W825" s="2" t="s">
        <v>105</v>
      </c>
      <c r="X825" s="2" t="s">
        <v>147</v>
      </c>
      <c r="Y825" s="2">
        <v>39.6</v>
      </c>
      <c r="Z825" s="2">
        <v>9.06</v>
      </c>
      <c r="AA825" s="2" t="s">
        <v>478</v>
      </c>
      <c r="AB825" s="2" t="s">
        <v>5861</v>
      </c>
      <c r="AC825" s="2">
        <v>4.9272705405205501</v>
      </c>
      <c r="AD825" s="2"/>
      <c r="AE825" s="2">
        <v>0.69734014288062895</v>
      </c>
      <c r="AF825" s="2">
        <v>30636.7795487646</v>
      </c>
      <c r="AG825" s="2">
        <v>19016.106065087599</v>
      </c>
      <c r="AH825" s="5">
        <v>1.6110963750361</v>
      </c>
      <c r="AI825" s="5">
        <v>0.68804279797242396</v>
      </c>
      <c r="AJ825" s="5" t="s">
        <v>139</v>
      </c>
      <c r="AK825" s="2">
        <v>8.2421379113636797E-2</v>
      </c>
      <c r="AL825" s="2">
        <v>0.371271417145418</v>
      </c>
      <c r="AM825" s="2">
        <v>49520.228366572599</v>
      </c>
      <c r="AN825" s="2">
        <v>40243.793261715997</v>
      </c>
      <c r="AO825" s="2">
        <v>22577.405316021999</v>
      </c>
      <c r="AP825" s="2">
        <v>19941.6976750904</v>
      </c>
      <c r="AQ825" s="2">
        <v>23176.6186386025</v>
      </c>
      <c r="AR825" s="2">
        <v>28360.934034584101</v>
      </c>
      <c r="AS825" s="2">
        <v>27513.444100142799</v>
      </c>
      <c r="AT825" s="2">
        <v>8739.8555342117706</v>
      </c>
      <c r="AU825" s="2">
        <v>31899.593784751502</v>
      </c>
      <c r="AV825" s="2">
        <v>12335.1582119996</v>
      </c>
      <c r="AW825" s="2">
        <v>17144.686205796101</v>
      </c>
      <c r="AX825" s="2">
        <v>16463.8985536238</v>
      </c>
    </row>
    <row r="826" spans="1:50" x14ac:dyDescent="0.25">
      <c r="A826" s="2" t="s">
        <v>5862</v>
      </c>
      <c r="B826" s="2">
        <v>406.35415615354299</v>
      </c>
      <c r="C826" s="2">
        <v>9.1758500000000005</v>
      </c>
      <c r="D826" s="2" t="s">
        <v>51</v>
      </c>
      <c r="E826" s="2" t="s">
        <v>5863</v>
      </c>
      <c r="F826" s="2">
        <v>203438</v>
      </c>
      <c r="G826" s="3" t="str">
        <f>HYPERLINK("https://cloud.oebiotech.com/#/lm/network/203438", "https://cloud.oebiotech.com/#/lm/network/203438")</f>
        <v>https://cloud.oebiotech.com/#/lm/network/203438</v>
      </c>
      <c r="H826" s="2" t="s">
        <v>5864</v>
      </c>
      <c r="I826" s="2"/>
      <c r="J826" s="2"/>
      <c r="K826" s="2">
        <v>15875284</v>
      </c>
      <c r="L826" s="2"/>
      <c r="M826" s="2"/>
      <c r="N826" s="2"/>
      <c r="O826" s="2"/>
      <c r="P826" s="2"/>
      <c r="Q826" s="2"/>
      <c r="R826" s="2"/>
      <c r="S826" s="2" t="s">
        <v>5865</v>
      </c>
      <c r="T826" s="2" t="s">
        <v>5866</v>
      </c>
      <c r="U826" s="2" t="s">
        <v>119</v>
      </c>
      <c r="V826" s="2" t="s">
        <v>120</v>
      </c>
      <c r="W826" s="2" t="s">
        <v>1887</v>
      </c>
      <c r="X826" s="2" t="s">
        <v>147</v>
      </c>
      <c r="Y826" s="2">
        <v>40.4</v>
      </c>
      <c r="Z826" s="2">
        <v>11.4</v>
      </c>
      <c r="AA826" s="2" t="s">
        <v>60</v>
      </c>
      <c r="AB826" s="2" t="s">
        <v>5867</v>
      </c>
      <c r="AC826" s="2">
        <v>3.5922735713152201</v>
      </c>
      <c r="AD826" s="2"/>
      <c r="AE826" s="2">
        <v>0.69709194080856396</v>
      </c>
      <c r="AF826" s="2">
        <v>4664.5039065388401</v>
      </c>
      <c r="AG826" s="2">
        <v>30218.043669074101</v>
      </c>
      <c r="AH826" s="4">
        <v>0.1543615449637</v>
      </c>
      <c r="AI826" s="4">
        <v>-2.6956147062718601</v>
      </c>
      <c r="AJ826" s="4" t="s">
        <v>62</v>
      </c>
      <c r="AK826" s="2">
        <v>0.37204472126719401</v>
      </c>
      <c r="AL826" s="2">
        <v>0.65427414400572603</v>
      </c>
      <c r="AM826" s="2">
        <v>8.559877937157E-6</v>
      </c>
      <c r="AN826" s="2">
        <v>8.559877937157E-6</v>
      </c>
      <c r="AO826" s="2">
        <v>5597.7498307064197</v>
      </c>
      <c r="AP826" s="2">
        <v>7394.0953256537596</v>
      </c>
      <c r="AQ826" s="2">
        <v>14995.1782571932</v>
      </c>
      <c r="AR826" s="2">
        <v>8.559877937157E-6</v>
      </c>
      <c r="AS826" s="2">
        <v>4618.6752311744303</v>
      </c>
      <c r="AT826" s="2">
        <v>7259.4320878334802</v>
      </c>
      <c r="AU826" s="2">
        <v>3163.6220230367198</v>
      </c>
      <c r="AV826" s="2">
        <v>8.559877937157E-6</v>
      </c>
      <c r="AW826" s="2">
        <v>8.559877937157E-6</v>
      </c>
      <c r="AX826" s="2">
        <v>166266.53265528</v>
      </c>
    </row>
    <row r="827" spans="1:50" x14ac:dyDescent="0.25">
      <c r="A827" s="2" t="s">
        <v>5868</v>
      </c>
      <c r="B827" s="2">
        <v>717.43271004956796</v>
      </c>
      <c r="C827" s="2">
        <v>9.6451499999999992</v>
      </c>
      <c r="D827" s="2" t="s">
        <v>51</v>
      </c>
      <c r="E827" s="2" t="s">
        <v>5869</v>
      </c>
      <c r="F827" s="2">
        <v>220661</v>
      </c>
      <c r="G827" s="3" t="str">
        <f>HYPERLINK("https://cloud.oebiotech.com/#/lm/network/220661", "https://cloud.oebiotech.com/#/lm/network/220661")</f>
        <v>https://cloud.oebiotech.com/#/lm/network/220661</v>
      </c>
      <c r="H827" s="2" t="s">
        <v>5870</v>
      </c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 t="s">
        <v>5871</v>
      </c>
      <c r="T827" s="2" t="s">
        <v>5872</v>
      </c>
      <c r="U827" s="2" t="s">
        <v>56</v>
      </c>
      <c r="V827" s="2" t="s">
        <v>57</v>
      </c>
      <c r="W827" s="2" t="s">
        <v>702</v>
      </c>
      <c r="X827" s="2" t="s">
        <v>147</v>
      </c>
      <c r="Y827" s="2">
        <v>38.299999999999997</v>
      </c>
      <c r="Z827" s="2">
        <v>0</v>
      </c>
      <c r="AA827" s="2" t="s">
        <v>60</v>
      </c>
      <c r="AB827" s="2" t="s">
        <v>5125</v>
      </c>
      <c r="AC827" s="2">
        <v>-1.41802713045225</v>
      </c>
      <c r="AD827" s="2"/>
      <c r="AE827" s="2">
        <v>0.69529605625715796</v>
      </c>
      <c r="AF827" s="2">
        <v>25462.744873501299</v>
      </c>
      <c r="AG827" s="2">
        <v>14053.5966103664</v>
      </c>
      <c r="AH827" s="5">
        <v>1.81183120445617</v>
      </c>
      <c r="AI827" s="5">
        <v>0.85744855591549496</v>
      </c>
      <c r="AJ827" s="5" t="s">
        <v>139</v>
      </c>
      <c r="AK827" s="2">
        <v>4.7383176377082101E-2</v>
      </c>
      <c r="AL827" s="2">
        <v>0.30528532168455502</v>
      </c>
      <c r="AM827" s="2">
        <v>38203.593125649597</v>
      </c>
      <c r="AN827" s="2">
        <v>22418.0095574433</v>
      </c>
      <c r="AO827" s="2">
        <v>18580.470081842399</v>
      </c>
      <c r="AP827" s="2">
        <v>29892.950728179199</v>
      </c>
      <c r="AQ827" s="2">
        <v>17432.105479140999</v>
      </c>
      <c r="AR827" s="2">
        <v>26249.340268752301</v>
      </c>
      <c r="AS827" s="2">
        <v>18457.004650729501</v>
      </c>
      <c r="AT827" s="2">
        <v>14475.989828158499</v>
      </c>
      <c r="AU827" s="2">
        <v>29807.689862891799</v>
      </c>
      <c r="AV827" s="2">
        <v>4019.5668360946502</v>
      </c>
      <c r="AW827" s="2">
        <v>4483.5197461692496</v>
      </c>
      <c r="AX827" s="2">
        <v>13077.808738154699</v>
      </c>
    </row>
    <row r="828" spans="1:50" x14ac:dyDescent="0.25">
      <c r="A828" s="2" t="s">
        <v>5873</v>
      </c>
      <c r="B828" s="2">
        <v>512.41717314897801</v>
      </c>
      <c r="C828" s="2">
        <v>11.859116666666701</v>
      </c>
      <c r="D828" s="2" t="s">
        <v>51</v>
      </c>
      <c r="E828" s="2" t="s">
        <v>5874</v>
      </c>
      <c r="F828" s="2">
        <v>206187</v>
      </c>
      <c r="G828" s="3" t="str">
        <f>HYPERLINK("https://cloud.oebiotech.com/#/lm/network/206187", "https://cloud.oebiotech.com/#/lm/network/206187")</f>
        <v>https://cloud.oebiotech.com/#/lm/network/206187</v>
      </c>
      <c r="H828" s="2" t="s">
        <v>5875</v>
      </c>
      <c r="I828" s="2">
        <v>347359</v>
      </c>
      <c r="J828" s="2"/>
      <c r="K828" s="2">
        <v>76459</v>
      </c>
      <c r="L828" s="2"/>
      <c r="M828" s="2"/>
      <c r="N828" s="2"/>
      <c r="O828" s="2"/>
      <c r="P828" s="2"/>
      <c r="Q828" s="2"/>
      <c r="R828" s="2"/>
      <c r="S828" s="2" t="s">
        <v>5876</v>
      </c>
      <c r="T828" s="2" t="s">
        <v>5877</v>
      </c>
      <c r="U828" s="2" t="s">
        <v>331</v>
      </c>
      <c r="V828" s="2" t="s">
        <v>332</v>
      </c>
      <c r="W828" s="2" t="s">
        <v>511</v>
      </c>
      <c r="X828" s="2" t="s">
        <v>59</v>
      </c>
      <c r="Y828" s="2">
        <v>48.3</v>
      </c>
      <c r="Z828" s="2">
        <v>53.4</v>
      </c>
      <c r="AA828" s="2" t="s">
        <v>512</v>
      </c>
      <c r="AB828" s="2" t="s">
        <v>5878</v>
      </c>
      <c r="AC828" s="2">
        <v>2.99147442809429</v>
      </c>
      <c r="AD828" s="2"/>
      <c r="AE828" s="2">
        <v>0.69512643140361896</v>
      </c>
      <c r="AF828" s="2">
        <v>31582.246117284201</v>
      </c>
      <c r="AG828" s="2">
        <v>46507.246316677803</v>
      </c>
      <c r="AH828" s="4">
        <v>0.67908226391719595</v>
      </c>
      <c r="AI828" s="4">
        <v>-0.55834174198355702</v>
      </c>
      <c r="AJ828" s="4" t="s">
        <v>62</v>
      </c>
      <c r="AK828" s="2">
        <v>5.03648017447582E-2</v>
      </c>
      <c r="AL828" s="2">
        <v>0.31082726399026001</v>
      </c>
      <c r="AM828" s="2">
        <v>21977.673935775601</v>
      </c>
      <c r="AN828" s="2">
        <v>31061.559005413001</v>
      </c>
      <c r="AO828" s="2">
        <v>28728.002566774601</v>
      </c>
      <c r="AP828" s="2">
        <v>37899.307150009197</v>
      </c>
      <c r="AQ828" s="2">
        <v>38585.977752012703</v>
      </c>
      <c r="AR828" s="2">
        <v>31240.956293720199</v>
      </c>
      <c r="AS828" s="2">
        <v>39428.4911121408</v>
      </c>
      <c r="AT828" s="2">
        <v>73740.879689854395</v>
      </c>
      <c r="AU828" s="2">
        <v>31160.485398392899</v>
      </c>
      <c r="AV828" s="2">
        <v>41002.444691362703</v>
      </c>
      <c r="AW828" s="2">
        <v>39655.875582756104</v>
      </c>
      <c r="AX828" s="2">
        <v>54055.301425559701</v>
      </c>
    </row>
    <row r="829" spans="1:50" x14ac:dyDescent="0.25">
      <c r="A829" s="2" t="s">
        <v>5879</v>
      </c>
      <c r="B829" s="2">
        <v>526.24831116973098</v>
      </c>
      <c r="C829" s="2">
        <v>6.63723333333333</v>
      </c>
      <c r="D829" s="2" t="s">
        <v>51</v>
      </c>
      <c r="E829" s="2" t="s">
        <v>5880</v>
      </c>
      <c r="F829" s="2">
        <v>46735</v>
      </c>
      <c r="G829" s="3" t="str">
        <f>HYPERLINK("https://cloud.oebiotech.com/#/lm/network/46735", "https://cloud.oebiotech.com/#/lm/network/46735")</f>
        <v>https://cloud.oebiotech.com/#/lm/network/46735</v>
      </c>
      <c r="H829" s="2" t="s">
        <v>5881</v>
      </c>
      <c r="I829" s="2">
        <v>57987</v>
      </c>
      <c r="J829" s="2" t="s">
        <v>5882</v>
      </c>
      <c r="K829" s="2">
        <v>20849201</v>
      </c>
      <c r="L829" s="2"/>
      <c r="M829" s="2"/>
      <c r="N829" s="2"/>
      <c r="O829" s="2"/>
      <c r="P829" s="2"/>
      <c r="Q829" s="2"/>
      <c r="R829" s="2"/>
      <c r="S829" s="2" t="s">
        <v>5883</v>
      </c>
      <c r="T829" s="2" t="s">
        <v>5884</v>
      </c>
      <c r="U829" s="2" t="s">
        <v>56</v>
      </c>
      <c r="V829" s="2" t="s">
        <v>283</v>
      </c>
      <c r="W829" s="2" t="s">
        <v>2042</v>
      </c>
      <c r="X829" s="2" t="s">
        <v>147</v>
      </c>
      <c r="Y829" s="2">
        <v>43.6</v>
      </c>
      <c r="Z829" s="2">
        <v>33.299999999999997</v>
      </c>
      <c r="AA829" s="2" t="s">
        <v>379</v>
      </c>
      <c r="AB829" s="2" t="s">
        <v>5885</v>
      </c>
      <c r="AC829" s="2">
        <v>0.54896135462678697</v>
      </c>
      <c r="AD829" s="2"/>
      <c r="AE829" s="2">
        <v>0.69331617246828903</v>
      </c>
      <c r="AF829" s="2">
        <v>3956.78604986863</v>
      </c>
      <c r="AG829" s="2">
        <v>16036.237416153401</v>
      </c>
      <c r="AH829" s="4">
        <v>0.246740301180808</v>
      </c>
      <c r="AI829" s="4">
        <v>-2.0189347182638602</v>
      </c>
      <c r="AJ829" s="4" t="s">
        <v>62</v>
      </c>
      <c r="AK829" s="2">
        <v>5.9459644455946703E-3</v>
      </c>
      <c r="AL829" s="2">
        <v>0.130262697097769</v>
      </c>
      <c r="AM829" s="2">
        <v>1218.5048286152801</v>
      </c>
      <c r="AN829" s="2">
        <v>1038.33434516123</v>
      </c>
      <c r="AO829" s="2">
        <v>6370.3788557794396</v>
      </c>
      <c r="AP829" s="2">
        <v>7187.4215155513202</v>
      </c>
      <c r="AQ829" s="2">
        <v>4707.8759123980099</v>
      </c>
      <c r="AR829" s="2">
        <v>3218.2008417064999</v>
      </c>
      <c r="AS829" s="2">
        <v>11296.5675382112</v>
      </c>
      <c r="AT829" s="2">
        <v>26955.5288130302</v>
      </c>
      <c r="AU829" s="2">
        <v>14807.8856923892</v>
      </c>
      <c r="AV829" s="2">
        <v>19095.797919815501</v>
      </c>
      <c r="AW829" s="2">
        <v>20514.242432970001</v>
      </c>
      <c r="AX829" s="2">
        <v>3547.40210050413</v>
      </c>
    </row>
    <row r="830" spans="1:50" x14ac:dyDescent="0.25">
      <c r="A830" s="2" t="s">
        <v>5886</v>
      </c>
      <c r="B830" s="2">
        <v>202.10040000000001</v>
      </c>
      <c r="C830" s="2">
        <v>22.451000000000001</v>
      </c>
      <c r="D830" s="2" t="s">
        <v>125</v>
      </c>
      <c r="E830" s="2" t="s">
        <v>5887</v>
      </c>
      <c r="F830" s="2">
        <v>47303</v>
      </c>
      <c r="G830" s="3" t="str">
        <f>HYPERLINK("https://cloud.oebiotech.com/#/lm/network/47303", "https://cloud.oebiotech.com/#/lm/network/47303")</f>
        <v>https://cloud.oebiotech.com/#/lm/network/47303</v>
      </c>
      <c r="H830" s="2" t="s">
        <v>5888</v>
      </c>
      <c r="I830" s="2">
        <v>33</v>
      </c>
      <c r="J830" s="2"/>
      <c r="K830" s="2">
        <v>6305</v>
      </c>
      <c r="L830" s="2" t="s">
        <v>5889</v>
      </c>
      <c r="M830" s="2" t="s">
        <v>5890</v>
      </c>
      <c r="N830" s="2" t="s">
        <v>5891</v>
      </c>
      <c r="O830" s="2">
        <v>16828</v>
      </c>
      <c r="P830" s="2"/>
      <c r="Q830" s="2"/>
      <c r="R830" s="2" t="s">
        <v>5892</v>
      </c>
      <c r="S830" s="2" t="s">
        <v>5893</v>
      </c>
      <c r="T830" s="2" t="s">
        <v>5894</v>
      </c>
      <c r="U830" s="2" t="s">
        <v>266</v>
      </c>
      <c r="V830" s="2" t="s">
        <v>445</v>
      </c>
      <c r="W830" s="2" t="s">
        <v>3768</v>
      </c>
      <c r="X830" s="2" t="s">
        <v>69</v>
      </c>
      <c r="Y830" s="2">
        <v>93.6</v>
      </c>
      <c r="Z830" s="2">
        <v>89.6</v>
      </c>
      <c r="AA830" s="2"/>
      <c r="AB830" s="2" t="s">
        <v>5895</v>
      </c>
      <c r="AC830" s="2"/>
      <c r="AD830" s="2">
        <v>776702.20108695701</v>
      </c>
      <c r="AE830" s="2">
        <v>0.69301518100513604</v>
      </c>
      <c r="AF830" s="2">
        <v>1011008.8181663</v>
      </c>
      <c r="AG830" s="2">
        <v>816993.91267686698</v>
      </c>
      <c r="AH830" s="5">
        <v>1.23747411391811</v>
      </c>
      <c r="AI830" s="5">
        <v>0.30739834651542097</v>
      </c>
      <c r="AJ830" s="5" t="s">
        <v>139</v>
      </c>
      <c r="AK830" s="2">
        <v>0.34461334207608801</v>
      </c>
      <c r="AL830" s="2">
        <v>0.63883639734105901</v>
      </c>
      <c r="AM830" s="2">
        <v>1233338.0350166601</v>
      </c>
      <c r="AN830" s="2">
        <v>1233695.9919675901</v>
      </c>
      <c r="AO830" s="2">
        <v>841433.71491198801</v>
      </c>
      <c r="AP830" s="2">
        <v>1426246.31030254</v>
      </c>
      <c r="AQ830" s="2">
        <v>380952.03155697498</v>
      </c>
      <c r="AR830" s="2">
        <v>950386.82524203102</v>
      </c>
      <c r="AS830" s="2">
        <v>689715.335118733</v>
      </c>
      <c r="AT830" s="2">
        <v>1007004.25376044</v>
      </c>
      <c r="AU830" s="2">
        <v>573956.36717388802</v>
      </c>
      <c r="AV830" s="2">
        <v>549962.71170423098</v>
      </c>
      <c r="AW830" s="2">
        <v>754251.41813708795</v>
      </c>
      <c r="AX830" s="2">
        <v>1327073.39016682</v>
      </c>
    </row>
    <row r="831" spans="1:50" x14ac:dyDescent="0.25">
      <c r="A831" s="2" t="s">
        <v>5896</v>
      </c>
      <c r="B831" s="2">
        <v>382.29626625886698</v>
      </c>
      <c r="C831" s="2">
        <v>9.2380666666666702</v>
      </c>
      <c r="D831" s="2" t="s">
        <v>51</v>
      </c>
      <c r="E831" s="2" t="s">
        <v>5897</v>
      </c>
      <c r="F831" s="2">
        <v>46566</v>
      </c>
      <c r="G831" s="3" t="str">
        <f>HYPERLINK("https://cloud.oebiotech.com/#/lm/network/46566", "https://cloud.oebiotech.com/#/lm/network/46566")</f>
        <v>https://cloud.oebiotech.com/#/lm/network/46566</v>
      </c>
      <c r="H831" s="2"/>
      <c r="I831" s="2"/>
      <c r="J831" s="2" t="s">
        <v>5898</v>
      </c>
      <c r="K831" s="2">
        <v>44457463</v>
      </c>
      <c r="L831" s="2"/>
      <c r="M831" s="2"/>
      <c r="N831" s="2"/>
      <c r="O831" s="2"/>
      <c r="P831" s="2"/>
      <c r="Q831" s="2"/>
      <c r="R831" s="2"/>
      <c r="S831" s="2" t="s">
        <v>5899</v>
      </c>
      <c r="T831" s="2" t="s">
        <v>5900</v>
      </c>
      <c r="U831" s="2" t="s">
        <v>56</v>
      </c>
      <c r="V831" s="2" t="s">
        <v>283</v>
      </c>
      <c r="W831" s="2" t="s">
        <v>2042</v>
      </c>
      <c r="X831" s="2" t="s">
        <v>83</v>
      </c>
      <c r="Y831" s="2">
        <v>42</v>
      </c>
      <c r="Z831" s="2">
        <v>0</v>
      </c>
      <c r="AA831" s="2" t="s">
        <v>512</v>
      </c>
      <c r="AB831" s="2" t="s">
        <v>5901</v>
      </c>
      <c r="AC831" s="2">
        <v>2.9679132246275701</v>
      </c>
      <c r="AD831" s="2"/>
      <c r="AE831" s="2">
        <v>0.69301499303312597</v>
      </c>
      <c r="AF831" s="2">
        <v>20303.4069406171</v>
      </c>
      <c r="AG831" s="2">
        <v>10442.0469859732</v>
      </c>
      <c r="AH831" s="5">
        <v>1.94438954046949</v>
      </c>
      <c r="AI831" s="5">
        <v>0.95931727851428705</v>
      </c>
      <c r="AJ831" s="5" t="s">
        <v>139</v>
      </c>
      <c r="AK831" s="2">
        <v>5.7179349268043703E-3</v>
      </c>
      <c r="AL831" s="2">
        <v>0.12769622484368501</v>
      </c>
      <c r="AM831" s="2">
        <v>22947.175908528199</v>
      </c>
      <c r="AN831" s="2">
        <v>27959.1339314996</v>
      </c>
      <c r="AO831" s="2">
        <v>17972.096323338199</v>
      </c>
      <c r="AP831" s="2">
        <v>14397.2070202594</v>
      </c>
      <c r="AQ831" s="2">
        <v>18647.688632736499</v>
      </c>
      <c r="AR831" s="2">
        <v>19897.139827340801</v>
      </c>
      <c r="AS831" s="2">
        <v>17071.321458310798</v>
      </c>
      <c r="AT831" s="2">
        <v>8611.1935503765399</v>
      </c>
      <c r="AU831" s="2">
        <v>14382.332103045799</v>
      </c>
      <c r="AV831" s="2">
        <v>3518.4746900832201</v>
      </c>
      <c r="AW831" s="2">
        <v>6636.2178906958598</v>
      </c>
      <c r="AX831" s="2">
        <v>12432.742223326701</v>
      </c>
    </row>
    <row r="832" spans="1:50" x14ac:dyDescent="0.25">
      <c r="A832" s="2" t="s">
        <v>5902</v>
      </c>
      <c r="B832" s="2">
        <v>622.33671855133002</v>
      </c>
      <c r="C832" s="2">
        <v>7.2863499999999997</v>
      </c>
      <c r="D832" s="2" t="s">
        <v>51</v>
      </c>
      <c r="E832" s="2" t="s">
        <v>5903</v>
      </c>
      <c r="F832" s="2">
        <v>241961</v>
      </c>
      <c r="G832" s="3" t="str">
        <f>HYPERLINK("https://cloud.oebiotech.com/#/lm/network/241961", "https://cloud.oebiotech.com/#/lm/network/241961")</f>
        <v>https://cloud.oebiotech.com/#/lm/network/241961</v>
      </c>
      <c r="H832" s="2" t="s">
        <v>5904</v>
      </c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 t="s">
        <v>5905</v>
      </c>
      <c r="T832" s="2" t="s">
        <v>5906</v>
      </c>
      <c r="U832" s="2" t="s">
        <v>56</v>
      </c>
      <c r="V832" s="2" t="s">
        <v>57</v>
      </c>
      <c r="W832" s="2" t="s">
        <v>58</v>
      </c>
      <c r="X832" s="2" t="s">
        <v>59</v>
      </c>
      <c r="Y832" s="2">
        <v>56.2</v>
      </c>
      <c r="Z832" s="2">
        <v>88.5</v>
      </c>
      <c r="AA832" s="2" t="s">
        <v>218</v>
      </c>
      <c r="AB832" s="2" t="s">
        <v>5043</v>
      </c>
      <c r="AC832" s="2">
        <v>0.94711049679307002</v>
      </c>
      <c r="AD832" s="2"/>
      <c r="AE832" s="2">
        <v>0.69084762157339397</v>
      </c>
      <c r="AF832" s="2">
        <v>28383.529755453499</v>
      </c>
      <c r="AG832" s="2">
        <v>15371.785227038899</v>
      </c>
      <c r="AH832" s="5">
        <v>1.8464693161030601</v>
      </c>
      <c r="AI832" s="5">
        <v>0.88476928860701898</v>
      </c>
      <c r="AJ832" s="5" t="s">
        <v>139</v>
      </c>
      <c r="AK832" s="2">
        <v>9.5311872347833004E-2</v>
      </c>
      <c r="AL832" s="2">
        <v>0.39518270427574997</v>
      </c>
      <c r="AM832" s="2">
        <v>51289.625265763199</v>
      </c>
      <c r="AN832" s="2">
        <v>27023.910678595599</v>
      </c>
      <c r="AO832" s="2">
        <v>9594.3587926349101</v>
      </c>
      <c r="AP832" s="2">
        <v>20416.0537703427</v>
      </c>
      <c r="AQ832" s="2">
        <v>35242.102362962898</v>
      </c>
      <c r="AR832" s="2">
        <v>26735.127662421801</v>
      </c>
      <c r="AS832" s="2">
        <v>13974.9512948422</v>
      </c>
      <c r="AT832" s="2">
        <v>7313.3389980667498</v>
      </c>
      <c r="AU832" s="2">
        <v>24556.608849558499</v>
      </c>
      <c r="AV832" s="2">
        <v>6185.71462789418</v>
      </c>
      <c r="AW832" s="2">
        <v>9515.0864477977702</v>
      </c>
      <c r="AX832" s="2">
        <v>30685.011144073698</v>
      </c>
    </row>
    <row r="833" spans="1:50" x14ac:dyDescent="0.25">
      <c r="A833" s="2" t="s">
        <v>5907</v>
      </c>
      <c r="B833" s="2">
        <v>658.51154382944799</v>
      </c>
      <c r="C833" s="2">
        <v>12.1557</v>
      </c>
      <c r="D833" s="2" t="s">
        <v>51</v>
      </c>
      <c r="E833" s="2" t="s">
        <v>5908</v>
      </c>
      <c r="F833" s="2">
        <v>21096</v>
      </c>
      <c r="G833" s="3" t="str">
        <f>HYPERLINK("https://cloud.oebiotech.com/#/lm/network/21096", "https://cloud.oebiotech.com/#/lm/network/21096")</f>
        <v>https://cloud.oebiotech.com/#/lm/network/21096</v>
      </c>
      <c r="H833" s="2" t="s">
        <v>5909</v>
      </c>
      <c r="I833" s="2">
        <v>62174</v>
      </c>
      <c r="J833" s="2" t="s">
        <v>5910</v>
      </c>
      <c r="K833" s="2">
        <v>52925069</v>
      </c>
      <c r="L833" s="2"/>
      <c r="M833" s="2"/>
      <c r="N833" s="2"/>
      <c r="O833" s="2"/>
      <c r="P833" s="2"/>
      <c r="Q833" s="2"/>
      <c r="R833" s="2"/>
      <c r="S833" s="2" t="s">
        <v>5911</v>
      </c>
      <c r="T833" s="2" t="s">
        <v>5912</v>
      </c>
      <c r="U833" s="2" t="s">
        <v>56</v>
      </c>
      <c r="V833" s="2" t="s">
        <v>57</v>
      </c>
      <c r="W833" s="2" t="s">
        <v>155</v>
      </c>
      <c r="X833" s="2" t="s">
        <v>83</v>
      </c>
      <c r="Y833" s="2">
        <v>39.4</v>
      </c>
      <c r="Z833" s="2">
        <v>0</v>
      </c>
      <c r="AA833" s="2" t="s">
        <v>156</v>
      </c>
      <c r="AB833" s="2" t="s">
        <v>5913</v>
      </c>
      <c r="AC833" s="2">
        <v>-8.0800910498894307</v>
      </c>
      <c r="AD833" s="2"/>
      <c r="AE833" s="2">
        <v>0.69060954718048695</v>
      </c>
      <c r="AF833" s="2">
        <v>34051.863079213697</v>
      </c>
      <c r="AG833" s="2">
        <v>44708.040675462602</v>
      </c>
      <c r="AH833" s="4">
        <v>0.76164963985779499</v>
      </c>
      <c r="AI833" s="4">
        <v>-0.392800586773423</v>
      </c>
      <c r="AJ833" s="4" t="s">
        <v>62</v>
      </c>
      <c r="AK833" s="2">
        <v>2.43975224578394E-2</v>
      </c>
      <c r="AL833" s="2">
        <v>0.24222088767925101</v>
      </c>
      <c r="AM833" s="2">
        <v>24480.6931362785</v>
      </c>
      <c r="AN833" s="2">
        <v>30121.133491710199</v>
      </c>
      <c r="AO833" s="2">
        <v>29989.783121953798</v>
      </c>
      <c r="AP833" s="2">
        <v>32773.5496909012</v>
      </c>
      <c r="AQ833" s="2">
        <v>47175.807804973701</v>
      </c>
      <c r="AR833" s="2">
        <v>39770.211229465</v>
      </c>
      <c r="AS833" s="2">
        <v>40192.950219557802</v>
      </c>
      <c r="AT833" s="2">
        <v>49362.108848791599</v>
      </c>
      <c r="AU833" s="2">
        <v>37015.261010369701</v>
      </c>
      <c r="AV833" s="2">
        <v>48376.941358129698</v>
      </c>
      <c r="AW833" s="2">
        <v>42559.061444469997</v>
      </c>
      <c r="AX833" s="2">
        <v>50741.921171456699</v>
      </c>
    </row>
    <row r="834" spans="1:50" x14ac:dyDescent="0.25">
      <c r="A834" s="2" t="s">
        <v>5914</v>
      </c>
      <c r="B834" s="2">
        <v>223.09720622154799</v>
      </c>
      <c r="C834" s="2">
        <v>7.2403166666666703</v>
      </c>
      <c r="D834" s="2" t="s">
        <v>51</v>
      </c>
      <c r="E834" s="2" t="s">
        <v>5915</v>
      </c>
      <c r="F834" s="2">
        <v>55078</v>
      </c>
      <c r="G834" s="3" t="str">
        <f>HYPERLINK("https://cloud.oebiotech.com/#/lm/network/55078", "https://cloud.oebiotech.com/#/lm/network/55078")</f>
        <v>https://cloud.oebiotech.com/#/lm/network/55078</v>
      </c>
      <c r="H834" s="2" t="s">
        <v>5916</v>
      </c>
      <c r="I834" s="2">
        <v>86836</v>
      </c>
      <c r="J834" s="2"/>
      <c r="K834" s="2">
        <v>64860</v>
      </c>
      <c r="L834" s="2"/>
      <c r="M834" s="2"/>
      <c r="N834" s="2"/>
      <c r="O834" s="2">
        <v>583580</v>
      </c>
      <c r="P834" s="2"/>
      <c r="Q834" s="2"/>
      <c r="R834" s="2" t="s">
        <v>5917</v>
      </c>
      <c r="S834" s="2" t="s">
        <v>5918</v>
      </c>
      <c r="T834" s="2" t="s">
        <v>5919</v>
      </c>
      <c r="U834" s="2" t="s">
        <v>540</v>
      </c>
      <c r="V834" s="2" t="s">
        <v>1916</v>
      </c>
      <c r="W834" s="2" t="s">
        <v>240</v>
      </c>
      <c r="X834" s="2" t="s">
        <v>59</v>
      </c>
      <c r="Y834" s="2">
        <v>51.4</v>
      </c>
      <c r="Z834" s="2">
        <v>63.6</v>
      </c>
      <c r="AA834" s="2" t="s">
        <v>904</v>
      </c>
      <c r="AB834" s="2" t="s">
        <v>5920</v>
      </c>
      <c r="AC834" s="2">
        <v>3.0023378070657198</v>
      </c>
      <c r="AD834" s="2"/>
      <c r="AE834" s="2">
        <v>0.690445768530902</v>
      </c>
      <c r="AF834" s="2">
        <v>70794.574656042299</v>
      </c>
      <c r="AG834" s="2">
        <v>103611.93716899199</v>
      </c>
      <c r="AH834" s="4">
        <v>0.68326658675028695</v>
      </c>
      <c r="AI834" s="4">
        <v>-0.54947951733327804</v>
      </c>
      <c r="AJ834" s="4" t="s">
        <v>62</v>
      </c>
      <c r="AK834" s="2">
        <v>0.40939462601568</v>
      </c>
      <c r="AL834" s="2">
        <v>0.67518883530669505</v>
      </c>
      <c r="AM834" s="2">
        <v>134028.37248805101</v>
      </c>
      <c r="AN834" s="2">
        <v>66102.292419024103</v>
      </c>
      <c r="AO834" s="2">
        <v>38121.101429078102</v>
      </c>
      <c r="AP834" s="2">
        <v>122680.37527927999</v>
      </c>
      <c r="AQ834" s="2">
        <v>8282.1870914331394</v>
      </c>
      <c r="AR834" s="2">
        <v>55553.119229387499</v>
      </c>
      <c r="AS834" s="2">
        <v>234919.71048409899</v>
      </c>
      <c r="AT834" s="2">
        <v>61875.326302640402</v>
      </c>
      <c r="AU834" s="2">
        <v>122633.57836561</v>
      </c>
      <c r="AV834" s="2">
        <v>48027.241012238301</v>
      </c>
      <c r="AW834" s="2">
        <v>139640.36887311001</v>
      </c>
      <c r="AX834" s="2">
        <v>14575.3979762538</v>
      </c>
    </row>
    <row r="835" spans="1:50" x14ac:dyDescent="0.25">
      <c r="A835" s="2" t="s">
        <v>5921</v>
      </c>
      <c r="B835" s="2">
        <v>427.11416981210601</v>
      </c>
      <c r="C835" s="2">
        <v>4.9007166666666704</v>
      </c>
      <c r="D835" s="2" t="s">
        <v>51</v>
      </c>
      <c r="E835" s="2" t="s">
        <v>5922</v>
      </c>
      <c r="F835" s="2">
        <v>289936</v>
      </c>
      <c r="G835" s="3" t="str">
        <f>HYPERLINK("https://cloud.oebiotech.com/#/lm/network/289936", "https://cloud.oebiotech.com/#/lm/network/289936")</f>
        <v>https://cloud.oebiotech.com/#/lm/network/289936</v>
      </c>
      <c r="H835" s="2"/>
      <c r="I835" s="2">
        <v>985328</v>
      </c>
      <c r="J835" s="2"/>
      <c r="K835" s="2">
        <v>25067253</v>
      </c>
      <c r="L835" s="2"/>
      <c r="M835" s="2"/>
      <c r="N835" s="2"/>
      <c r="O835" s="2"/>
      <c r="P835" s="2"/>
      <c r="Q835" s="2"/>
      <c r="R835" s="2"/>
      <c r="S835" s="2" t="s">
        <v>5923</v>
      </c>
      <c r="T835" s="2" t="s">
        <v>5924</v>
      </c>
      <c r="U835" s="2" t="s">
        <v>540</v>
      </c>
      <c r="V835" s="2" t="s">
        <v>1826</v>
      </c>
      <c r="W835" s="2" t="s">
        <v>240</v>
      </c>
      <c r="X835" s="2" t="s">
        <v>147</v>
      </c>
      <c r="Y835" s="2">
        <v>37.9</v>
      </c>
      <c r="Z835" s="2">
        <v>0</v>
      </c>
      <c r="AA835" s="2" t="s">
        <v>379</v>
      </c>
      <c r="AB835" s="2" t="s">
        <v>5925</v>
      </c>
      <c r="AC835" s="2">
        <v>-1.16413630226389</v>
      </c>
      <c r="AD835" s="2"/>
      <c r="AE835" s="2">
        <v>0.69015240018777302</v>
      </c>
      <c r="AF835" s="2">
        <v>7925.2516330344697</v>
      </c>
      <c r="AG835" s="2">
        <v>21560.3176372981</v>
      </c>
      <c r="AH835" s="4">
        <v>0.36758510548676898</v>
      </c>
      <c r="AI835" s="4">
        <v>-1.44384978494083</v>
      </c>
      <c r="AJ835" s="4" t="s">
        <v>62</v>
      </c>
      <c r="AK835" s="2">
        <v>2.7636102121257899E-2</v>
      </c>
      <c r="AL835" s="2">
        <v>0.25505404741882998</v>
      </c>
      <c r="AM835" s="2">
        <v>7051.0571357311901</v>
      </c>
      <c r="AN835" s="2">
        <v>4940.93560389707</v>
      </c>
      <c r="AO835" s="2">
        <v>9539.1254999984594</v>
      </c>
      <c r="AP835" s="2">
        <v>198.58575364376</v>
      </c>
      <c r="AQ835" s="2">
        <v>3905.8848738071401</v>
      </c>
      <c r="AR835" s="2">
        <v>21915.9209311292</v>
      </c>
      <c r="AS835" s="2">
        <v>9036.7461325500008</v>
      </c>
      <c r="AT835" s="2">
        <v>21870.840502017902</v>
      </c>
      <c r="AU835" s="2">
        <v>22961.401794808098</v>
      </c>
      <c r="AV835" s="2">
        <v>30336.477511871701</v>
      </c>
      <c r="AW835" s="2">
        <v>35209.067715748897</v>
      </c>
      <c r="AX835" s="2">
        <v>9947.3721667919199</v>
      </c>
    </row>
    <row r="836" spans="1:50" x14ac:dyDescent="0.25">
      <c r="A836" s="2" t="s">
        <v>5926</v>
      </c>
      <c r="B836" s="2">
        <v>898.38974449134105</v>
      </c>
      <c r="C836" s="2">
        <v>4.3206499999999997</v>
      </c>
      <c r="D836" s="2" t="s">
        <v>51</v>
      </c>
      <c r="E836" s="2" t="s">
        <v>5927</v>
      </c>
      <c r="F836" s="2">
        <v>256539</v>
      </c>
      <c r="G836" s="3" t="str">
        <f>HYPERLINK("https://cloud.oebiotech.com/#/lm/network/256539", "https://cloud.oebiotech.com/#/lm/network/256539")</f>
        <v>https://cloud.oebiotech.com/#/lm/network/256539</v>
      </c>
      <c r="H836" s="2" t="s">
        <v>5928</v>
      </c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 t="s">
        <v>5929</v>
      </c>
      <c r="T836" s="2" t="s">
        <v>5930</v>
      </c>
      <c r="U836" s="2" t="s">
        <v>103</v>
      </c>
      <c r="V836" s="2" t="s">
        <v>104</v>
      </c>
      <c r="W836" s="2" t="s">
        <v>105</v>
      </c>
      <c r="X836" s="2" t="s">
        <v>147</v>
      </c>
      <c r="Y836" s="2">
        <v>37.799999999999997</v>
      </c>
      <c r="Z836" s="2">
        <v>16.3</v>
      </c>
      <c r="AA836" s="2" t="s">
        <v>259</v>
      </c>
      <c r="AB836" s="2" t="s">
        <v>5931</v>
      </c>
      <c r="AC836" s="2">
        <v>-4.88019359828888</v>
      </c>
      <c r="AD836" s="2"/>
      <c r="AE836" s="2">
        <v>0.68856126457514499</v>
      </c>
      <c r="AF836" s="2">
        <v>25375.062386913702</v>
      </c>
      <c r="AG836" s="2">
        <v>5383.4908122131101</v>
      </c>
      <c r="AH836" s="5">
        <v>4.7134959958225</v>
      </c>
      <c r="AI836" s="5">
        <v>2.2367975024996198</v>
      </c>
      <c r="AJ836" s="5" t="s">
        <v>139</v>
      </c>
      <c r="AK836" s="2">
        <v>0.19315335859732</v>
      </c>
      <c r="AL836" s="2">
        <v>0.51702050946451295</v>
      </c>
      <c r="AM836" s="2">
        <v>51161.924437029498</v>
      </c>
      <c r="AN836" s="2">
        <v>508.65766201114002</v>
      </c>
      <c r="AO836" s="2">
        <v>1305.0282562698601</v>
      </c>
      <c r="AP836" s="2">
        <v>347.50145818671399</v>
      </c>
      <c r="AQ836" s="2">
        <v>78923.044091762</v>
      </c>
      <c r="AR836" s="2">
        <v>20004.218416223099</v>
      </c>
      <c r="AS836" s="2">
        <v>175.247769603965</v>
      </c>
      <c r="AT836" s="2">
        <v>8.559877937157E-6</v>
      </c>
      <c r="AU836" s="2">
        <v>8.559877937157E-6</v>
      </c>
      <c r="AV836" s="2">
        <v>30753.684850278201</v>
      </c>
      <c r="AW836" s="2">
        <v>8.559877937157E-6</v>
      </c>
      <c r="AX836" s="2">
        <v>1372.01222771685</v>
      </c>
    </row>
    <row r="837" spans="1:50" x14ac:dyDescent="0.25">
      <c r="A837" s="2" t="s">
        <v>5932</v>
      </c>
      <c r="B837" s="2">
        <v>203.18005651606401</v>
      </c>
      <c r="C837" s="2">
        <v>10.011466666666699</v>
      </c>
      <c r="D837" s="2" t="s">
        <v>51</v>
      </c>
      <c r="E837" s="2" t="s">
        <v>5933</v>
      </c>
      <c r="F837" s="2">
        <v>61640</v>
      </c>
      <c r="G837" s="3" t="str">
        <f>HYPERLINK("https://cloud.oebiotech.com/#/lm/network/61640", "https://cloud.oebiotech.com/#/lm/network/61640")</f>
        <v>https://cloud.oebiotech.com/#/lm/network/61640</v>
      </c>
      <c r="H837" s="2" t="s">
        <v>5934</v>
      </c>
      <c r="I837" s="2"/>
      <c r="J837" s="2"/>
      <c r="K837" s="2">
        <v>102115341</v>
      </c>
      <c r="L837" s="2"/>
      <c r="M837" s="2"/>
      <c r="N837" s="2"/>
      <c r="O837" s="2"/>
      <c r="P837" s="2"/>
      <c r="Q837" s="2"/>
      <c r="R837" s="2" t="s">
        <v>5935</v>
      </c>
      <c r="S837" s="2" t="s">
        <v>5936</v>
      </c>
      <c r="T837" s="2" t="s">
        <v>5937</v>
      </c>
      <c r="U837" s="2" t="s">
        <v>56</v>
      </c>
      <c r="V837" s="2" t="s">
        <v>177</v>
      </c>
      <c r="W837" s="2" t="s">
        <v>1996</v>
      </c>
      <c r="X837" s="2" t="s">
        <v>69</v>
      </c>
      <c r="Y837" s="2">
        <v>66.099999999999994</v>
      </c>
      <c r="Z837" s="2">
        <v>53.2</v>
      </c>
      <c r="AA837" s="2" t="s">
        <v>786</v>
      </c>
      <c r="AB837" s="2" t="s">
        <v>4168</v>
      </c>
      <c r="AC837" s="2">
        <v>2.8584297487897099</v>
      </c>
      <c r="AD837" s="2"/>
      <c r="AE837" s="2">
        <v>0.68850389049418403</v>
      </c>
      <c r="AF837" s="2">
        <v>17530.8776214188</v>
      </c>
      <c r="AG837" s="2">
        <v>8347.2261694225708</v>
      </c>
      <c r="AH837" s="5">
        <v>2.1002039798127998</v>
      </c>
      <c r="AI837" s="5">
        <v>1.07052945473572</v>
      </c>
      <c r="AJ837" s="5" t="s">
        <v>139</v>
      </c>
      <c r="AK837" s="2">
        <v>2.0732336348286999E-3</v>
      </c>
      <c r="AL837" s="2">
        <v>0.10089723213391601</v>
      </c>
      <c r="AM837" s="2">
        <v>19656.155552783301</v>
      </c>
      <c r="AN837" s="2">
        <v>25433.7766443211</v>
      </c>
      <c r="AO837" s="2">
        <v>15793.377673543</v>
      </c>
      <c r="AP837" s="2">
        <v>12070.084206603</v>
      </c>
      <c r="AQ837" s="2">
        <v>15856.318590451099</v>
      </c>
      <c r="AR837" s="2">
        <v>16375.5530608114</v>
      </c>
      <c r="AS837" s="2">
        <v>11780.750263920499</v>
      </c>
      <c r="AT837" s="2">
        <v>6694.9771492232503</v>
      </c>
      <c r="AU837" s="2">
        <v>10946.776965470501</v>
      </c>
      <c r="AV837" s="2">
        <v>5164.7874474787204</v>
      </c>
      <c r="AW837" s="2">
        <v>5208.22650474292</v>
      </c>
      <c r="AX837" s="2">
        <v>10287.8386856995</v>
      </c>
    </row>
    <row r="838" spans="1:50" x14ac:dyDescent="0.25">
      <c r="A838" s="2" t="s">
        <v>5938</v>
      </c>
      <c r="B838" s="2">
        <v>397.22088104033497</v>
      </c>
      <c r="C838" s="2">
        <v>7.0694833333333298</v>
      </c>
      <c r="D838" s="2" t="s">
        <v>51</v>
      </c>
      <c r="E838" s="2" t="s">
        <v>5939</v>
      </c>
      <c r="F838" s="2">
        <v>202984</v>
      </c>
      <c r="G838" s="3" t="str">
        <f>HYPERLINK("https://cloud.oebiotech.com/#/lm/network/202984", "https://cloud.oebiotech.com/#/lm/network/202984")</f>
        <v>https://cloud.oebiotech.com/#/lm/network/202984</v>
      </c>
      <c r="H838" s="2" t="s">
        <v>5940</v>
      </c>
      <c r="I838" s="2"/>
      <c r="J838" s="2"/>
      <c r="K838" s="2">
        <v>158</v>
      </c>
      <c r="L838" s="2"/>
      <c r="M838" s="2"/>
      <c r="N838" s="2"/>
      <c r="O838" s="2"/>
      <c r="P838" s="2"/>
      <c r="Q838" s="2"/>
      <c r="R838" s="2"/>
      <c r="S838" s="2" t="s">
        <v>5941</v>
      </c>
      <c r="T838" s="2" t="s">
        <v>5942</v>
      </c>
      <c r="U838" s="2" t="s">
        <v>56</v>
      </c>
      <c r="V838" s="2" t="s">
        <v>145</v>
      </c>
      <c r="W838" s="2" t="s">
        <v>187</v>
      </c>
      <c r="X838" s="2" t="s">
        <v>69</v>
      </c>
      <c r="Y838" s="2">
        <v>51.8</v>
      </c>
      <c r="Z838" s="2">
        <v>48.3</v>
      </c>
      <c r="AA838" s="2" t="s">
        <v>218</v>
      </c>
      <c r="AB838" s="2" t="s">
        <v>380</v>
      </c>
      <c r="AC838" s="2">
        <v>-6.5184296227034304</v>
      </c>
      <c r="AD838" s="2"/>
      <c r="AE838" s="2">
        <v>0.68598636630296395</v>
      </c>
      <c r="AF838" s="2">
        <v>77758.158644926094</v>
      </c>
      <c r="AG838" s="2">
        <v>58870.147051363703</v>
      </c>
      <c r="AH838" s="5">
        <v>1.3208419299017999</v>
      </c>
      <c r="AI838" s="5">
        <v>0.40145782419877801</v>
      </c>
      <c r="AJ838" s="5" t="s">
        <v>139</v>
      </c>
      <c r="AK838" s="2">
        <v>0.2844340471133</v>
      </c>
      <c r="AL838" s="2">
        <v>0.60000138164408201</v>
      </c>
      <c r="AM838" s="2">
        <v>60079.095331141601</v>
      </c>
      <c r="AN838" s="2">
        <v>129492.838565774</v>
      </c>
      <c r="AO838" s="2">
        <v>95866.809024441696</v>
      </c>
      <c r="AP838" s="2">
        <v>42189.221033450303</v>
      </c>
      <c r="AQ838" s="2">
        <v>75121.857784701904</v>
      </c>
      <c r="AR838" s="2">
        <v>63799.130130046899</v>
      </c>
      <c r="AS838" s="2">
        <v>52868.068002678403</v>
      </c>
      <c r="AT838" s="2">
        <v>31640.159885199599</v>
      </c>
      <c r="AU838" s="2">
        <v>93775.289394619802</v>
      </c>
      <c r="AV838" s="2">
        <v>31007.570395525101</v>
      </c>
      <c r="AW838" s="2">
        <v>87251.477798659806</v>
      </c>
      <c r="AX838" s="2">
        <v>56678.3168314996</v>
      </c>
    </row>
    <row r="839" spans="1:50" x14ac:dyDescent="0.25">
      <c r="A839" s="2" t="s">
        <v>5943</v>
      </c>
      <c r="B839" s="2">
        <v>219.17506395549401</v>
      </c>
      <c r="C839" s="2">
        <v>6.68445</v>
      </c>
      <c r="D839" s="2" t="s">
        <v>51</v>
      </c>
      <c r="E839" s="2" t="s">
        <v>5944</v>
      </c>
      <c r="F839" s="2">
        <v>61389</v>
      </c>
      <c r="G839" s="3" t="str">
        <f>HYPERLINK("https://cloud.oebiotech.com/#/lm/network/61389", "https://cloud.oebiotech.com/#/lm/network/61389")</f>
        <v>https://cloud.oebiotech.com/#/lm/network/61389</v>
      </c>
      <c r="H839" s="2" t="s">
        <v>5945</v>
      </c>
      <c r="I839" s="2"/>
      <c r="J839" s="2"/>
      <c r="K839" s="2">
        <v>3504251</v>
      </c>
      <c r="L839" s="2"/>
      <c r="M839" s="2"/>
      <c r="N839" s="2"/>
      <c r="O839" s="2"/>
      <c r="P839" s="2"/>
      <c r="Q839" s="2"/>
      <c r="R839" s="2" t="s">
        <v>5946</v>
      </c>
      <c r="S839" s="2" t="s">
        <v>5947</v>
      </c>
      <c r="T839" s="2" t="s">
        <v>5948</v>
      </c>
      <c r="U839" s="2" t="s">
        <v>56</v>
      </c>
      <c r="V839" s="2" t="s">
        <v>177</v>
      </c>
      <c r="W839" s="2" t="s">
        <v>1996</v>
      </c>
      <c r="X839" s="2" t="s">
        <v>83</v>
      </c>
      <c r="Y839" s="2">
        <v>48.7</v>
      </c>
      <c r="Z839" s="2">
        <v>29.5</v>
      </c>
      <c r="AA839" s="2" t="s">
        <v>156</v>
      </c>
      <c r="AB839" s="2" t="s">
        <v>4139</v>
      </c>
      <c r="AC839" s="2">
        <v>3.0578539283686399</v>
      </c>
      <c r="AD839" s="2"/>
      <c r="AE839" s="2">
        <v>0.68437273014747901</v>
      </c>
      <c r="AF839" s="2">
        <v>32180.127161433698</v>
      </c>
      <c r="AG839" s="2">
        <v>21409.322299597799</v>
      </c>
      <c r="AH839" s="5">
        <v>1.5030894818206499</v>
      </c>
      <c r="AI839" s="5">
        <v>0.58793089823377398</v>
      </c>
      <c r="AJ839" s="5" t="s">
        <v>139</v>
      </c>
      <c r="AK839" s="2">
        <v>1.44279710630641E-2</v>
      </c>
      <c r="AL839" s="2">
        <v>0.19035303155869299</v>
      </c>
      <c r="AM839" s="2">
        <v>32118.817705924699</v>
      </c>
      <c r="AN839" s="2">
        <v>43902.765797787797</v>
      </c>
      <c r="AO839" s="2">
        <v>30055.510953764599</v>
      </c>
      <c r="AP839" s="2">
        <v>27736.374639231301</v>
      </c>
      <c r="AQ839" s="2">
        <v>26032.292445053499</v>
      </c>
      <c r="AR839" s="2">
        <v>33235.001426840303</v>
      </c>
      <c r="AS839" s="2">
        <v>28641.4243879282</v>
      </c>
      <c r="AT839" s="2">
        <v>18484.7937920931</v>
      </c>
      <c r="AU839" s="2">
        <v>26917.236996362601</v>
      </c>
      <c r="AV839" s="2">
        <v>14425.002027954801</v>
      </c>
      <c r="AW839" s="2">
        <v>14788.930881410401</v>
      </c>
      <c r="AX839" s="2">
        <v>25198.5457118378</v>
      </c>
    </row>
    <row r="840" spans="1:50" x14ac:dyDescent="0.25">
      <c r="A840" s="2" t="s">
        <v>5949</v>
      </c>
      <c r="B840" s="2">
        <v>298.275093630691</v>
      </c>
      <c r="C840" s="2">
        <v>8.8669333333333302</v>
      </c>
      <c r="D840" s="2" t="s">
        <v>51</v>
      </c>
      <c r="E840" s="2" t="s">
        <v>5950</v>
      </c>
      <c r="F840" s="2">
        <v>211948</v>
      </c>
      <c r="G840" s="3" t="str">
        <f>HYPERLINK("https://cloud.oebiotech.com/#/lm/network/211948", "https://cloud.oebiotech.com/#/lm/network/211948")</f>
        <v>https://cloud.oebiotech.com/#/lm/network/211948</v>
      </c>
      <c r="H840" s="2" t="s">
        <v>5951</v>
      </c>
      <c r="I840" s="2">
        <v>68865</v>
      </c>
      <c r="J840" s="2"/>
      <c r="K840" s="2">
        <v>86160</v>
      </c>
      <c r="L840" s="2" t="s">
        <v>5952</v>
      </c>
      <c r="M840" s="2"/>
      <c r="N840" s="2"/>
      <c r="O840" s="2">
        <v>9242</v>
      </c>
      <c r="P840" s="2"/>
      <c r="Q840" s="2"/>
      <c r="R840" s="2" t="s">
        <v>5953</v>
      </c>
      <c r="S840" s="2" t="s">
        <v>5954</v>
      </c>
      <c r="T840" s="2" t="s">
        <v>5955</v>
      </c>
      <c r="U840" s="2" t="s">
        <v>331</v>
      </c>
      <c r="V840" s="2" t="s">
        <v>332</v>
      </c>
      <c r="W840" s="2" t="s">
        <v>511</v>
      </c>
      <c r="X840" s="2" t="s">
        <v>69</v>
      </c>
      <c r="Y840" s="2">
        <v>51.5</v>
      </c>
      <c r="Z840" s="2">
        <v>51.6</v>
      </c>
      <c r="AA840" s="2" t="s">
        <v>179</v>
      </c>
      <c r="AB840" s="2" t="s">
        <v>1889</v>
      </c>
      <c r="AC840" s="2">
        <v>3.4912489142962801</v>
      </c>
      <c r="AD840" s="2"/>
      <c r="AE840" s="2">
        <v>0.68435549412225605</v>
      </c>
      <c r="AF840" s="2">
        <v>5954.1499400909397</v>
      </c>
      <c r="AG840" s="2">
        <v>18980.097332029</v>
      </c>
      <c r="AH840" s="4">
        <v>0.31370492131477501</v>
      </c>
      <c r="AI840" s="4">
        <v>-1.67251993293336</v>
      </c>
      <c r="AJ840" s="4" t="s">
        <v>62</v>
      </c>
      <c r="AK840" s="2">
        <v>5.9067544771609103E-2</v>
      </c>
      <c r="AL840" s="2">
        <v>0.32837652512840398</v>
      </c>
      <c r="AM840" s="2">
        <v>1954.7105321420299</v>
      </c>
      <c r="AN840" s="2">
        <v>7052.5925573387303</v>
      </c>
      <c r="AO840" s="2">
        <v>2674.16612957185</v>
      </c>
      <c r="AP840" s="2">
        <v>8491.9758964469802</v>
      </c>
      <c r="AQ840" s="2">
        <v>11793.121339523001</v>
      </c>
      <c r="AR840" s="2">
        <v>3758.3331855230599</v>
      </c>
      <c r="AS840" s="2">
        <v>4612.1107434143496</v>
      </c>
      <c r="AT840" s="2">
        <v>6962.7078118148902</v>
      </c>
      <c r="AU840" s="2">
        <v>24192.611556875199</v>
      </c>
      <c r="AV840" s="2">
        <v>13291.2967686065</v>
      </c>
      <c r="AW840" s="2">
        <v>44200.305609292001</v>
      </c>
      <c r="AX840" s="2">
        <v>20621.5515021713</v>
      </c>
    </row>
    <row r="841" spans="1:50" x14ac:dyDescent="0.25">
      <c r="A841" s="2" t="s">
        <v>5956</v>
      </c>
      <c r="B841" s="2">
        <v>892.65820504887199</v>
      </c>
      <c r="C841" s="2">
        <v>11.513666666666699</v>
      </c>
      <c r="D841" s="2" t="s">
        <v>51</v>
      </c>
      <c r="E841" s="2" t="s">
        <v>5957</v>
      </c>
      <c r="F841" s="2">
        <v>19799</v>
      </c>
      <c r="G841" s="3" t="str">
        <f>HYPERLINK("https://cloud.oebiotech.com/#/lm/network/19799", "https://cloud.oebiotech.com/#/lm/network/19799")</f>
        <v>https://cloud.oebiotech.com/#/lm/network/19799</v>
      </c>
      <c r="H841" s="2" t="s">
        <v>5958</v>
      </c>
      <c r="I841" s="2">
        <v>62117</v>
      </c>
      <c r="J841" s="2" t="s">
        <v>5959</v>
      </c>
      <c r="K841" s="2">
        <v>53480785</v>
      </c>
      <c r="L841" s="2"/>
      <c r="M841" s="2"/>
      <c r="N841" s="2"/>
      <c r="O841" s="2">
        <v>89909</v>
      </c>
      <c r="P841" s="2"/>
      <c r="Q841" s="2"/>
      <c r="R841" s="2"/>
      <c r="S841" s="2" t="s">
        <v>5960</v>
      </c>
      <c r="T841" s="2" t="s">
        <v>5961</v>
      </c>
      <c r="U841" s="2" t="s">
        <v>56</v>
      </c>
      <c r="V841" s="2" t="s">
        <v>57</v>
      </c>
      <c r="W841" s="2" t="s">
        <v>58</v>
      </c>
      <c r="X841" s="2" t="s">
        <v>147</v>
      </c>
      <c r="Y841" s="2">
        <v>36.1</v>
      </c>
      <c r="Z841" s="2">
        <v>0</v>
      </c>
      <c r="AA841" s="2" t="s">
        <v>395</v>
      </c>
      <c r="AB841" s="2" t="s">
        <v>5962</v>
      </c>
      <c r="AC841" s="2">
        <v>3.0525260702982902</v>
      </c>
      <c r="AD841" s="2"/>
      <c r="AE841" s="2">
        <v>0.68429137220953096</v>
      </c>
      <c r="AF841" s="2">
        <v>50341.895695396001</v>
      </c>
      <c r="AG841" s="2">
        <v>62831.482732061297</v>
      </c>
      <c r="AH841" s="4">
        <v>0.80122087696185795</v>
      </c>
      <c r="AI841" s="4">
        <v>-0.319728081753541</v>
      </c>
      <c r="AJ841" s="4" t="s">
        <v>62</v>
      </c>
      <c r="AK841" s="2">
        <v>9.2531661306985799E-2</v>
      </c>
      <c r="AL841" s="2">
        <v>0.39156127810376001</v>
      </c>
      <c r="AM841" s="2">
        <v>35149.791121997703</v>
      </c>
      <c r="AN841" s="2">
        <v>37678.486968851503</v>
      </c>
      <c r="AO841" s="2">
        <v>52369.680500140101</v>
      </c>
      <c r="AP841" s="2">
        <v>51811.2302926052</v>
      </c>
      <c r="AQ841" s="2">
        <v>70901.444719624196</v>
      </c>
      <c r="AR841" s="2">
        <v>54140.740569157402</v>
      </c>
      <c r="AS841" s="2">
        <v>78450.926250100703</v>
      </c>
      <c r="AT841" s="2">
        <v>66070.424619232203</v>
      </c>
      <c r="AU841" s="2">
        <v>62810.542420916798</v>
      </c>
      <c r="AV841" s="2">
        <v>56360.2260652888</v>
      </c>
      <c r="AW841" s="2">
        <v>65176.952993865401</v>
      </c>
      <c r="AX841" s="2">
        <v>48119.824042963897</v>
      </c>
    </row>
    <row r="842" spans="1:50" x14ac:dyDescent="0.25">
      <c r="A842" s="2" t="s">
        <v>5963</v>
      </c>
      <c r="B842" s="2">
        <v>501.39536309370902</v>
      </c>
      <c r="C842" s="2">
        <v>11.940049999999999</v>
      </c>
      <c r="D842" s="2" t="s">
        <v>51</v>
      </c>
      <c r="E842" s="2" t="s">
        <v>5964</v>
      </c>
      <c r="F842" s="2">
        <v>44400</v>
      </c>
      <c r="G842" s="3" t="str">
        <f>HYPERLINK("https://cloud.oebiotech.com/#/lm/network/44400", "https://cloud.oebiotech.com/#/lm/network/44400")</f>
        <v>https://cloud.oebiotech.com/#/lm/network/44400</v>
      </c>
      <c r="H842" s="2"/>
      <c r="I842" s="2">
        <v>84147</v>
      </c>
      <c r="J842" s="2" t="s">
        <v>5965</v>
      </c>
      <c r="K842" s="2">
        <v>21636159</v>
      </c>
      <c r="L842" s="2"/>
      <c r="M842" s="2"/>
      <c r="N842" s="2"/>
      <c r="O842" s="2"/>
      <c r="P842" s="2"/>
      <c r="Q842" s="2"/>
      <c r="R842" s="2"/>
      <c r="S842" s="2" t="s">
        <v>5966</v>
      </c>
      <c r="T842" s="2" t="s">
        <v>5967</v>
      </c>
      <c r="U842" s="2" t="s">
        <v>56</v>
      </c>
      <c r="V842" s="2" t="s">
        <v>283</v>
      </c>
      <c r="W842" s="2" t="s">
        <v>5968</v>
      </c>
      <c r="X842" s="2" t="s">
        <v>69</v>
      </c>
      <c r="Y842" s="2">
        <v>63.8</v>
      </c>
      <c r="Z842" s="2">
        <v>88</v>
      </c>
      <c r="AA842" s="2" t="s">
        <v>179</v>
      </c>
      <c r="AB842" s="2" t="s">
        <v>5969</v>
      </c>
      <c r="AC842" s="2">
        <v>2.9446809325119099</v>
      </c>
      <c r="AD842" s="2"/>
      <c r="AE842" s="2">
        <v>0.68363070836083595</v>
      </c>
      <c r="AF842" s="2">
        <v>34035.826225540703</v>
      </c>
      <c r="AG842" s="2">
        <v>17365.597425055901</v>
      </c>
      <c r="AH842" s="5">
        <v>1.95995711477408</v>
      </c>
      <c r="AI842" s="5">
        <v>0.97082208751413601</v>
      </c>
      <c r="AJ842" s="5" t="s">
        <v>139</v>
      </c>
      <c r="AK842" s="2">
        <v>9.1508876872753206E-2</v>
      </c>
      <c r="AL842" s="2">
        <v>0.38940149641808502</v>
      </c>
      <c r="AM842" s="2">
        <v>23598.978551158401</v>
      </c>
      <c r="AN842" s="2">
        <v>55307.347675787198</v>
      </c>
      <c r="AO842" s="2">
        <v>26354.5613302493</v>
      </c>
      <c r="AP842" s="2">
        <v>25459.5203460263</v>
      </c>
      <c r="AQ842" s="2">
        <v>56619.9070470734</v>
      </c>
      <c r="AR842" s="2">
        <v>16874.642402949699</v>
      </c>
      <c r="AS842" s="2">
        <v>11683.1770793461</v>
      </c>
      <c r="AT842" s="2">
        <v>21681.298873689</v>
      </c>
      <c r="AU842" s="2">
        <v>5220.0905452700399</v>
      </c>
      <c r="AV842" s="2">
        <v>2395.89985286202</v>
      </c>
      <c r="AW842" s="2">
        <v>25862.623206178301</v>
      </c>
      <c r="AX842" s="2">
        <v>37350.494992989901</v>
      </c>
    </row>
    <row r="843" spans="1:50" x14ac:dyDescent="0.25">
      <c r="A843" s="2" t="s">
        <v>5970</v>
      </c>
      <c r="B843" s="2">
        <v>312.10885128560602</v>
      </c>
      <c r="C843" s="2">
        <v>0.73733333333333295</v>
      </c>
      <c r="D843" s="2" t="s">
        <v>51</v>
      </c>
      <c r="E843" s="2" t="s">
        <v>5971</v>
      </c>
      <c r="F843" s="2">
        <v>50896</v>
      </c>
      <c r="G843" s="3" t="str">
        <f>HYPERLINK("https://cloud.oebiotech.com/#/lm/network/50896", "https://cloud.oebiotech.com/#/lm/network/50896")</f>
        <v>https://cloud.oebiotech.com/#/lm/network/50896</v>
      </c>
      <c r="H843" s="2" t="s">
        <v>5972</v>
      </c>
      <c r="I843" s="2">
        <v>61650</v>
      </c>
      <c r="J843" s="2"/>
      <c r="K843" s="2">
        <v>193088</v>
      </c>
      <c r="L843" s="2" t="s">
        <v>3258</v>
      </c>
      <c r="M843" s="2" t="s">
        <v>3259</v>
      </c>
      <c r="N843" s="2" t="s">
        <v>3260</v>
      </c>
      <c r="O843" s="2"/>
      <c r="P843" s="2"/>
      <c r="Q843" s="2"/>
      <c r="R843" s="2" t="s">
        <v>5973</v>
      </c>
      <c r="S843" s="2" t="s">
        <v>5974</v>
      </c>
      <c r="T843" s="2" t="s">
        <v>5975</v>
      </c>
      <c r="U843" s="2" t="s">
        <v>331</v>
      </c>
      <c r="V843" s="2" t="s">
        <v>332</v>
      </c>
      <c r="W843" s="2" t="s">
        <v>333</v>
      </c>
      <c r="X843" s="2" t="s">
        <v>147</v>
      </c>
      <c r="Y843" s="2">
        <v>38.5</v>
      </c>
      <c r="Z843" s="2">
        <v>0</v>
      </c>
      <c r="AA843" s="2" t="s">
        <v>163</v>
      </c>
      <c r="AB843" s="2" t="s">
        <v>5976</v>
      </c>
      <c r="AC843" s="2">
        <v>-7.7394424488472294E-2</v>
      </c>
      <c r="AD843" s="2"/>
      <c r="AE843" s="2">
        <v>0.68231388222882405</v>
      </c>
      <c r="AF843" s="2">
        <v>2094.1195410986402</v>
      </c>
      <c r="AG843" s="2">
        <v>16273.707180056999</v>
      </c>
      <c r="AH843" s="4">
        <v>0.128681161454406</v>
      </c>
      <c r="AI843" s="4">
        <v>-2.9581272322037999</v>
      </c>
      <c r="AJ843" s="4" t="s">
        <v>62</v>
      </c>
      <c r="AK843" s="2">
        <v>0.13108306357677399</v>
      </c>
      <c r="AL843" s="2">
        <v>0.45089232239589</v>
      </c>
      <c r="AM843" s="2">
        <v>6518.14680669667</v>
      </c>
      <c r="AN843" s="2">
        <v>8.559877937157E-6</v>
      </c>
      <c r="AO843" s="2">
        <v>3128.30627409623</v>
      </c>
      <c r="AP843" s="2">
        <v>2918.2641401193</v>
      </c>
      <c r="AQ843" s="2">
        <v>8.559877937157E-6</v>
      </c>
      <c r="AR843" s="2">
        <v>8.559877937157E-6</v>
      </c>
      <c r="AS843" s="2">
        <v>38858.876358301102</v>
      </c>
      <c r="AT843" s="2">
        <v>8.559877937157E-6</v>
      </c>
      <c r="AU843" s="2">
        <v>8.559877937157E-6</v>
      </c>
      <c r="AV843" s="2">
        <v>782.32682455099803</v>
      </c>
      <c r="AW843" s="2">
        <v>46205.4268094094</v>
      </c>
      <c r="AX843" s="2">
        <v>11795.613070960801</v>
      </c>
    </row>
    <row r="844" spans="1:50" x14ac:dyDescent="0.25">
      <c r="A844" s="2" t="s">
        <v>5977</v>
      </c>
      <c r="B844" s="2">
        <v>244.19155215357799</v>
      </c>
      <c r="C844" s="2">
        <v>5.1816500000000003</v>
      </c>
      <c r="D844" s="2" t="s">
        <v>51</v>
      </c>
      <c r="E844" s="2" t="s">
        <v>5978</v>
      </c>
      <c r="F844" s="2">
        <v>63758</v>
      </c>
      <c r="G844" s="3" t="str">
        <f>HYPERLINK("https://cloud.oebiotech.com/#/lm/network/63758", "https://cloud.oebiotech.com/#/lm/network/63758")</f>
        <v>https://cloud.oebiotech.com/#/lm/network/63758</v>
      </c>
      <c r="H844" s="2" t="s">
        <v>5979</v>
      </c>
      <c r="I844" s="2"/>
      <c r="J844" s="2"/>
      <c r="K844" s="2">
        <v>23136584</v>
      </c>
      <c r="L844" s="2"/>
      <c r="M844" s="2"/>
      <c r="N844" s="2"/>
      <c r="O844" s="2">
        <v>138758</v>
      </c>
      <c r="P844" s="2"/>
      <c r="Q844" s="2"/>
      <c r="R844" s="2" t="s">
        <v>5980</v>
      </c>
      <c r="S844" s="2" t="s">
        <v>5981</v>
      </c>
      <c r="T844" s="2" t="s">
        <v>5982</v>
      </c>
      <c r="U844" s="2" t="s">
        <v>56</v>
      </c>
      <c r="V844" s="2" t="s">
        <v>177</v>
      </c>
      <c r="W844" s="2" t="s">
        <v>1996</v>
      </c>
      <c r="X844" s="2" t="s">
        <v>69</v>
      </c>
      <c r="Y844" s="2">
        <v>62</v>
      </c>
      <c r="Z844" s="2">
        <v>95.2</v>
      </c>
      <c r="AA844" s="2" t="s">
        <v>512</v>
      </c>
      <c r="AB844" s="2" t="s">
        <v>5983</v>
      </c>
      <c r="AC844" s="2">
        <v>3.67912444073152</v>
      </c>
      <c r="AD844" s="2"/>
      <c r="AE844" s="2">
        <v>0.682298381616529</v>
      </c>
      <c r="AF844" s="2">
        <v>33269.7880899718</v>
      </c>
      <c r="AG844" s="2">
        <v>17560.708681964799</v>
      </c>
      <c r="AH844" s="5">
        <v>1.8945583969592601</v>
      </c>
      <c r="AI844" s="5">
        <v>0.92186160947189699</v>
      </c>
      <c r="AJ844" s="5" t="s">
        <v>139</v>
      </c>
      <c r="AK844" s="2">
        <v>2.3713217879039301E-2</v>
      </c>
      <c r="AL844" s="2">
        <v>0.23922264176586699</v>
      </c>
      <c r="AM844" s="2">
        <v>27168.252499512</v>
      </c>
      <c r="AN844" s="2">
        <v>43747.067425524001</v>
      </c>
      <c r="AO844" s="2">
        <v>30935.497570763499</v>
      </c>
      <c r="AP844" s="2">
        <v>44325.995654031103</v>
      </c>
      <c r="AQ844" s="2">
        <v>25687.7805271709</v>
      </c>
      <c r="AR844" s="2">
        <v>27754.1348628292</v>
      </c>
      <c r="AS844" s="2">
        <v>19308.5719780773</v>
      </c>
      <c r="AT844" s="2">
        <v>15823.4104568978</v>
      </c>
      <c r="AU844" s="2">
        <v>3546.4925367549899</v>
      </c>
      <c r="AV844" s="2">
        <v>5782.3730104538399</v>
      </c>
      <c r="AW844" s="2">
        <v>32265.3570975045</v>
      </c>
      <c r="AX844" s="2">
        <v>28638.047012100498</v>
      </c>
    </row>
    <row r="845" spans="1:50" x14ac:dyDescent="0.25">
      <c r="A845" s="2" t="s">
        <v>5984</v>
      </c>
      <c r="B845" s="2">
        <v>515.03888467412003</v>
      </c>
      <c r="C845" s="2">
        <v>3.6478999999999999</v>
      </c>
      <c r="D845" s="2" t="s">
        <v>51</v>
      </c>
      <c r="E845" s="2" t="s">
        <v>5985</v>
      </c>
      <c r="F845" s="2">
        <v>55358</v>
      </c>
      <c r="G845" s="3" t="str">
        <f>HYPERLINK("https://cloud.oebiotech.com/#/lm/network/55358", "https://cloud.oebiotech.com/#/lm/network/55358")</f>
        <v>https://cloud.oebiotech.com/#/lm/network/55358</v>
      </c>
      <c r="H845" s="2" t="s">
        <v>5986</v>
      </c>
      <c r="I845" s="2">
        <v>87066</v>
      </c>
      <c r="J845" s="2"/>
      <c r="K845" s="2">
        <v>3556303</v>
      </c>
      <c r="L845" s="2" t="s">
        <v>5987</v>
      </c>
      <c r="M845" s="2"/>
      <c r="N845" s="2"/>
      <c r="O845" s="2"/>
      <c r="P845" s="2"/>
      <c r="Q845" s="2"/>
      <c r="R845" s="2" t="s">
        <v>5988</v>
      </c>
      <c r="S845" s="2" t="s">
        <v>5989</v>
      </c>
      <c r="T845" s="2" t="s">
        <v>5990</v>
      </c>
      <c r="U845" s="2" t="s">
        <v>610</v>
      </c>
      <c r="V845" s="2" t="s">
        <v>5991</v>
      </c>
      <c r="W845" s="2" t="s">
        <v>5992</v>
      </c>
      <c r="X845" s="2" t="s">
        <v>147</v>
      </c>
      <c r="Y845" s="2">
        <v>36.6</v>
      </c>
      <c r="Z845" s="2">
        <v>0</v>
      </c>
      <c r="AA845" s="2" t="s">
        <v>163</v>
      </c>
      <c r="AB845" s="2" t="s">
        <v>5993</v>
      </c>
      <c r="AC845" s="2">
        <v>-3.8191297237040902</v>
      </c>
      <c r="AD845" s="2"/>
      <c r="AE845" s="2">
        <v>0.68173994968314999</v>
      </c>
      <c r="AF845" s="2">
        <v>14189.5782280517</v>
      </c>
      <c r="AG845" s="2">
        <v>24675.265874066001</v>
      </c>
      <c r="AH845" s="4">
        <v>0.57505269853911101</v>
      </c>
      <c r="AI845" s="4">
        <v>-0.79823392241767999</v>
      </c>
      <c r="AJ845" s="4" t="s">
        <v>62</v>
      </c>
      <c r="AK845" s="2">
        <v>3.3963761385670199E-2</v>
      </c>
      <c r="AL845" s="2">
        <v>0.27081853690800001</v>
      </c>
      <c r="AM845" s="2">
        <v>11578.4382649738</v>
      </c>
      <c r="AN845" s="2">
        <v>7961.10636428408</v>
      </c>
      <c r="AO845" s="2">
        <v>8094.0842105721904</v>
      </c>
      <c r="AP845" s="2">
        <v>12714.2258711048</v>
      </c>
      <c r="AQ845" s="2">
        <v>21311.620940247401</v>
      </c>
      <c r="AR845" s="2">
        <v>23477.9937171278</v>
      </c>
      <c r="AS845" s="2">
        <v>22167.277914791601</v>
      </c>
      <c r="AT845" s="2">
        <v>21932.924587793001</v>
      </c>
      <c r="AU845" s="2">
        <v>16708.0480674356</v>
      </c>
      <c r="AV845" s="2">
        <v>40302.581949623898</v>
      </c>
      <c r="AW845" s="2">
        <v>22791.5912871691</v>
      </c>
      <c r="AX845" s="2">
        <v>24149.1714375827</v>
      </c>
    </row>
    <row r="846" spans="1:50" x14ac:dyDescent="0.25">
      <c r="A846" s="2" t="s">
        <v>5994</v>
      </c>
      <c r="B846" s="2">
        <v>656.31843857609499</v>
      </c>
      <c r="C846" s="2">
        <v>10.40935</v>
      </c>
      <c r="D846" s="2" t="s">
        <v>51</v>
      </c>
      <c r="E846" s="2" t="s">
        <v>5995</v>
      </c>
      <c r="F846" s="2">
        <v>27963</v>
      </c>
      <c r="G846" s="3" t="str">
        <f>HYPERLINK("https://cloud.oebiotech.com/#/lm/network/27963", "https://cloud.oebiotech.com/#/lm/network/27963")</f>
        <v>https://cloud.oebiotech.com/#/lm/network/27963</v>
      </c>
      <c r="H846" s="2"/>
      <c r="I846" s="2"/>
      <c r="J846" s="2" t="s">
        <v>5996</v>
      </c>
      <c r="K846" s="2">
        <v>134812410</v>
      </c>
      <c r="L846" s="2"/>
      <c r="M846" s="2"/>
      <c r="N846" s="2"/>
      <c r="O846" s="2"/>
      <c r="P846" s="2"/>
      <c r="Q846" s="2"/>
      <c r="R846" s="2"/>
      <c r="S846" s="2" t="s">
        <v>5997</v>
      </c>
      <c r="T846" s="2" t="s">
        <v>5998</v>
      </c>
      <c r="U846" s="2" t="s">
        <v>56</v>
      </c>
      <c r="V846" s="2" t="s">
        <v>57</v>
      </c>
      <c r="W846" s="2" t="s">
        <v>82</v>
      </c>
      <c r="X846" s="2" t="s">
        <v>147</v>
      </c>
      <c r="Y846" s="2">
        <v>42.2</v>
      </c>
      <c r="Z846" s="2">
        <v>21.1</v>
      </c>
      <c r="AA846" s="2" t="s">
        <v>379</v>
      </c>
      <c r="AB846" s="2" t="s">
        <v>5999</v>
      </c>
      <c r="AC846" s="2">
        <v>-3.084535574632</v>
      </c>
      <c r="AD846" s="2"/>
      <c r="AE846" s="2">
        <v>0.68171274410918503</v>
      </c>
      <c r="AF846" s="2">
        <v>180461.40215494801</v>
      </c>
      <c r="AG846" s="2">
        <v>199261.235941986</v>
      </c>
      <c r="AH846" s="4">
        <v>0.90565232771861404</v>
      </c>
      <c r="AI846" s="4">
        <v>-0.142970776780345</v>
      </c>
      <c r="AJ846" s="4" t="s">
        <v>62</v>
      </c>
      <c r="AK846" s="2">
        <v>0.47004077823442703</v>
      </c>
      <c r="AL846" s="2">
        <v>0.71696923889129505</v>
      </c>
      <c r="AM846" s="2">
        <v>202677.841372036</v>
      </c>
      <c r="AN846" s="2">
        <v>180412.580877912</v>
      </c>
      <c r="AO846" s="2">
        <v>150567.26465147501</v>
      </c>
      <c r="AP846" s="2">
        <v>215978.44499358401</v>
      </c>
      <c r="AQ846" s="2">
        <v>162126.440039929</v>
      </c>
      <c r="AR846" s="2">
        <v>171005.84099475099</v>
      </c>
      <c r="AS846" s="2">
        <v>158599.85487480499</v>
      </c>
      <c r="AT846" s="2">
        <v>129945.11808753001</v>
      </c>
      <c r="AU846" s="2">
        <v>160055.48838940999</v>
      </c>
      <c r="AV846" s="2">
        <v>263569.80680643802</v>
      </c>
      <c r="AW846" s="2">
        <v>241467.82058985101</v>
      </c>
      <c r="AX846" s="2">
        <v>241929.32690388401</v>
      </c>
    </row>
    <row r="847" spans="1:50" x14ac:dyDescent="0.25">
      <c r="A847" s="2" t="s">
        <v>6000</v>
      </c>
      <c r="B847" s="2">
        <v>335.16764633433098</v>
      </c>
      <c r="C847" s="2">
        <v>12.698066666666699</v>
      </c>
      <c r="D847" s="2" t="s">
        <v>51</v>
      </c>
      <c r="E847" s="2" t="s">
        <v>6001</v>
      </c>
      <c r="F847" s="2">
        <v>211110</v>
      </c>
      <c r="G847" s="3" t="str">
        <f>HYPERLINK("https://cloud.oebiotech.com/#/lm/network/211110", "https://cloud.oebiotech.com/#/lm/network/211110")</f>
        <v>https://cloud.oebiotech.com/#/lm/network/211110</v>
      </c>
      <c r="H847" s="2" t="s">
        <v>6002</v>
      </c>
      <c r="I847" s="2"/>
      <c r="J847" s="2"/>
      <c r="K847" s="2">
        <v>92008635</v>
      </c>
      <c r="L847" s="2"/>
      <c r="M847" s="2"/>
      <c r="N847" s="2"/>
      <c r="O847" s="2"/>
      <c r="P847" s="2"/>
      <c r="Q847" s="2"/>
      <c r="R847" s="2"/>
      <c r="S847" s="2" t="s">
        <v>6003</v>
      </c>
      <c r="T847" s="2" t="s">
        <v>6004</v>
      </c>
      <c r="U847" s="2" t="s">
        <v>56</v>
      </c>
      <c r="V847" s="2" t="s">
        <v>177</v>
      </c>
      <c r="W847" s="2" t="s">
        <v>1996</v>
      </c>
      <c r="X847" s="2" t="s">
        <v>147</v>
      </c>
      <c r="Y847" s="2">
        <v>37.6</v>
      </c>
      <c r="Z847" s="2">
        <v>0</v>
      </c>
      <c r="AA847" s="2" t="s">
        <v>259</v>
      </c>
      <c r="AB847" s="2" t="s">
        <v>6005</v>
      </c>
      <c r="AC847" s="2">
        <v>0.31185584268563699</v>
      </c>
      <c r="AD847" s="2"/>
      <c r="AE847" s="2">
        <v>0.68147786955345602</v>
      </c>
      <c r="AF847" s="2">
        <v>51264.723951062202</v>
      </c>
      <c r="AG847" s="2">
        <v>69281.463758946906</v>
      </c>
      <c r="AH847" s="4">
        <v>0.73994862651039095</v>
      </c>
      <c r="AI847" s="4">
        <v>-0.43450298475594001</v>
      </c>
      <c r="AJ847" s="4" t="s">
        <v>62</v>
      </c>
      <c r="AK847" s="2">
        <v>4.9451667481731701E-2</v>
      </c>
      <c r="AL847" s="2">
        <v>0.30904689456741202</v>
      </c>
      <c r="AM847" s="2">
        <v>42327.492762501999</v>
      </c>
      <c r="AN847" s="2">
        <v>55612.343207788501</v>
      </c>
      <c r="AO847" s="2">
        <v>69106.004847313307</v>
      </c>
      <c r="AP847" s="2">
        <v>48270.150561142204</v>
      </c>
      <c r="AQ847" s="2">
        <v>50798.558132801001</v>
      </c>
      <c r="AR847" s="2">
        <v>41473.794194825998</v>
      </c>
      <c r="AS847" s="2">
        <v>46856.074375308897</v>
      </c>
      <c r="AT847" s="2">
        <v>67728.768749923707</v>
      </c>
      <c r="AU847" s="2">
        <v>98615.842844841405</v>
      </c>
      <c r="AV847" s="2">
        <v>65946.642713230205</v>
      </c>
      <c r="AW847" s="2">
        <v>73220.016712557306</v>
      </c>
      <c r="AX847" s="2">
        <v>63321.437157819899</v>
      </c>
    </row>
    <row r="848" spans="1:50" x14ac:dyDescent="0.25">
      <c r="A848" s="2" t="s">
        <v>6006</v>
      </c>
      <c r="B848" s="2">
        <v>414.30158579344698</v>
      </c>
      <c r="C848" s="2">
        <v>6.1879499999999998</v>
      </c>
      <c r="D848" s="2" t="s">
        <v>51</v>
      </c>
      <c r="E848" s="2" t="s">
        <v>6007</v>
      </c>
      <c r="F848" s="2">
        <v>8687</v>
      </c>
      <c r="G848" s="3" t="str">
        <f>HYPERLINK("https://cloud.oebiotech.com/#/lm/network/8687", "https://cloud.oebiotech.com/#/lm/network/8687")</f>
        <v>https://cloud.oebiotech.com/#/lm/network/8687</v>
      </c>
      <c r="H848" s="2"/>
      <c r="I848" s="2">
        <v>75492</v>
      </c>
      <c r="J848" s="2" t="s">
        <v>6008</v>
      </c>
      <c r="K848" s="2">
        <v>6437024</v>
      </c>
      <c r="L848" s="2"/>
      <c r="M848" s="2"/>
      <c r="N848" s="2"/>
      <c r="O848" s="2"/>
      <c r="P848" s="2"/>
      <c r="Q848" s="2"/>
      <c r="R848" s="2"/>
      <c r="S848" s="2" t="s">
        <v>6009</v>
      </c>
      <c r="T848" s="2" t="s">
        <v>6010</v>
      </c>
      <c r="U848" s="2" t="s">
        <v>103</v>
      </c>
      <c r="V848" s="2" t="s">
        <v>104</v>
      </c>
      <c r="W848" s="2" t="s">
        <v>105</v>
      </c>
      <c r="X848" s="2" t="s">
        <v>59</v>
      </c>
      <c r="Y848" s="2">
        <v>46.8</v>
      </c>
      <c r="Z848" s="2">
        <v>45.1</v>
      </c>
      <c r="AA848" s="2" t="s">
        <v>259</v>
      </c>
      <c r="AB848" s="2" t="s">
        <v>6011</v>
      </c>
      <c r="AC848" s="2">
        <v>-4.97435065121475</v>
      </c>
      <c r="AD848" s="2"/>
      <c r="AE848" s="2">
        <v>0.680994805004842</v>
      </c>
      <c r="AF848" s="2">
        <v>7824.3011339943596</v>
      </c>
      <c r="AG848" s="2">
        <v>24599.164664920601</v>
      </c>
      <c r="AH848" s="4">
        <v>0.31807182237989201</v>
      </c>
      <c r="AI848" s="4">
        <v>-1.65257552405799</v>
      </c>
      <c r="AJ848" s="4" t="s">
        <v>62</v>
      </c>
      <c r="AK848" s="2">
        <v>7.0252907460715802E-2</v>
      </c>
      <c r="AL848" s="2">
        <v>0.34954547296639299</v>
      </c>
      <c r="AM848" s="2">
        <v>8045.5364797795501</v>
      </c>
      <c r="AN848" s="2">
        <v>3980.3129679962999</v>
      </c>
      <c r="AO848" s="2">
        <v>1215.2873262743999</v>
      </c>
      <c r="AP848" s="2">
        <v>18395.648651605901</v>
      </c>
      <c r="AQ848" s="2">
        <v>2674.9848013801802</v>
      </c>
      <c r="AR848" s="2">
        <v>12634.036576929801</v>
      </c>
      <c r="AS848" s="2">
        <v>45477.495356761603</v>
      </c>
      <c r="AT848" s="2">
        <v>48790.088070815502</v>
      </c>
      <c r="AU848" s="2">
        <v>23291.127564366401</v>
      </c>
      <c r="AV848" s="2">
        <v>20603.3006268147</v>
      </c>
      <c r="AW848" s="2">
        <v>6584.2076392714898</v>
      </c>
      <c r="AX848" s="2">
        <v>2848.7687314940699</v>
      </c>
    </row>
    <row r="849" spans="1:50" x14ac:dyDescent="0.25">
      <c r="A849" s="2" t="s">
        <v>6012</v>
      </c>
      <c r="B849" s="2">
        <v>393.22630168985899</v>
      </c>
      <c r="C849" s="2">
        <v>7.9645666666666699</v>
      </c>
      <c r="D849" s="2" t="s">
        <v>51</v>
      </c>
      <c r="E849" s="2" t="s">
        <v>6013</v>
      </c>
      <c r="F849" s="2">
        <v>209068</v>
      </c>
      <c r="G849" s="3" t="str">
        <f>HYPERLINK("https://cloud.oebiotech.com/#/lm/network/209068", "https://cloud.oebiotech.com/#/lm/network/209068")</f>
        <v>https://cloud.oebiotech.com/#/lm/network/209068</v>
      </c>
      <c r="H849" s="2" t="s">
        <v>6014</v>
      </c>
      <c r="I849" s="2"/>
      <c r="J849" s="2"/>
      <c r="K849" s="2">
        <v>129887389</v>
      </c>
      <c r="L849" s="2"/>
      <c r="M849" s="2"/>
      <c r="N849" s="2"/>
      <c r="O849" s="2"/>
      <c r="P849" s="2"/>
      <c r="Q849" s="2"/>
      <c r="R849" s="2"/>
      <c r="S849" s="2" t="s">
        <v>6015</v>
      </c>
      <c r="T849" s="2" t="s">
        <v>6016</v>
      </c>
      <c r="U849" s="2" t="s">
        <v>103</v>
      </c>
      <c r="V849" s="2" t="s">
        <v>104</v>
      </c>
      <c r="W849" s="2" t="s">
        <v>105</v>
      </c>
      <c r="X849" s="2" t="s">
        <v>147</v>
      </c>
      <c r="Y849" s="2">
        <v>38.4</v>
      </c>
      <c r="Z849" s="2">
        <v>0</v>
      </c>
      <c r="AA849" s="2" t="s">
        <v>95</v>
      </c>
      <c r="AB849" s="2" t="s">
        <v>6017</v>
      </c>
      <c r="AC849" s="2">
        <v>0.55313085245320404</v>
      </c>
      <c r="AD849" s="2"/>
      <c r="AE849" s="2">
        <v>0.67981185849404602</v>
      </c>
      <c r="AF849" s="2">
        <v>27814.154200234902</v>
      </c>
      <c r="AG849" s="2">
        <v>15594.6917235454</v>
      </c>
      <c r="AH849" s="5">
        <v>1.7835655037823099</v>
      </c>
      <c r="AI849" s="5">
        <v>0.83476420164521603</v>
      </c>
      <c r="AJ849" s="5" t="s">
        <v>139</v>
      </c>
      <c r="AK849" s="2">
        <v>1.2015282725970401E-2</v>
      </c>
      <c r="AL849" s="2">
        <v>0.17463872408012501</v>
      </c>
      <c r="AM849" s="2">
        <v>19073.195626615001</v>
      </c>
      <c r="AN849" s="2">
        <v>41004.555762820797</v>
      </c>
      <c r="AO849" s="2">
        <v>30521.939645566101</v>
      </c>
      <c r="AP849" s="2">
        <v>23323.733339046401</v>
      </c>
      <c r="AQ849" s="2">
        <v>25756.013134802499</v>
      </c>
      <c r="AR849" s="2">
        <v>27205.4876925588</v>
      </c>
      <c r="AS849" s="2">
        <v>22824.142550199402</v>
      </c>
      <c r="AT849" s="2">
        <v>10009.0287160684</v>
      </c>
      <c r="AU849" s="2">
        <v>20689.984025578098</v>
      </c>
      <c r="AV849" s="2">
        <v>10233.338136177401</v>
      </c>
      <c r="AW849" s="2">
        <v>20213.0270707036</v>
      </c>
      <c r="AX849" s="2">
        <v>9598.6298425452605</v>
      </c>
    </row>
    <row r="850" spans="1:50" x14ac:dyDescent="0.25">
      <c r="A850" s="2" t="s">
        <v>6018</v>
      </c>
      <c r="B850" s="2">
        <v>369.01569868317199</v>
      </c>
      <c r="C850" s="2">
        <v>9.6639666666666706</v>
      </c>
      <c r="D850" s="2" t="s">
        <v>51</v>
      </c>
      <c r="E850" s="2" t="s">
        <v>6019</v>
      </c>
      <c r="F850" s="2">
        <v>206242</v>
      </c>
      <c r="G850" s="3" t="str">
        <f>HYPERLINK("https://cloud.oebiotech.com/#/lm/network/206242", "https://cloud.oebiotech.com/#/lm/network/206242")</f>
        <v>https://cloud.oebiotech.com/#/lm/network/206242</v>
      </c>
      <c r="H850" s="2" t="s">
        <v>6020</v>
      </c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 t="s">
        <v>6021</v>
      </c>
      <c r="T850" s="2" t="s">
        <v>6022</v>
      </c>
      <c r="U850" s="2" t="s">
        <v>295</v>
      </c>
      <c r="V850" s="2" t="s">
        <v>1818</v>
      </c>
      <c r="W850" s="2" t="s">
        <v>1819</v>
      </c>
      <c r="X850" s="2" t="s">
        <v>147</v>
      </c>
      <c r="Y850" s="2">
        <v>36.299999999999997</v>
      </c>
      <c r="Z850" s="2">
        <v>0</v>
      </c>
      <c r="AA850" s="2" t="s">
        <v>218</v>
      </c>
      <c r="AB850" s="2" t="s">
        <v>6023</v>
      </c>
      <c r="AC850" s="2">
        <v>-1.89057414445581</v>
      </c>
      <c r="AD850" s="2"/>
      <c r="AE850" s="2">
        <v>0.67951259075283899</v>
      </c>
      <c r="AF850" s="2">
        <v>45376.796037755303</v>
      </c>
      <c r="AG850" s="2">
        <v>54139.882066306403</v>
      </c>
      <c r="AH850" s="4">
        <v>0.83813991286832301</v>
      </c>
      <c r="AI850" s="4">
        <v>-0.25473699803607303</v>
      </c>
      <c r="AJ850" s="4" t="s">
        <v>62</v>
      </c>
      <c r="AK850" s="2">
        <v>1.11135762049555E-3</v>
      </c>
      <c r="AL850" s="2">
        <v>9.03853451079734E-2</v>
      </c>
      <c r="AM850" s="2">
        <v>40948.9626603918</v>
      </c>
      <c r="AN850" s="2">
        <v>42116.775835995497</v>
      </c>
      <c r="AO850" s="2">
        <v>46630.845775543698</v>
      </c>
      <c r="AP850" s="2">
        <v>45714.736570432702</v>
      </c>
      <c r="AQ850" s="2">
        <v>50055.044344456102</v>
      </c>
      <c r="AR850" s="2">
        <v>46794.411039712199</v>
      </c>
      <c r="AS850" s="2">
        <v>56323.515447764403</v>
      </c>
      <c r="AT850" s="2">
        <v>57430.6720980791</v>
      </c>
      <c r="AU850" s="2">
        <v>48445.185593609604</v>
      </c>
      <c r="AV850" s="2">
        <v>56655.053578619103</v>
      </c>
      <c r="AW850" s="2">
        <v>52840.319169582501</v>
      </c>
      <c r="AX850" s="2">
        <v>53144.546510183704</v>
      </c>
    </row>
    <row r="851" spans="1:50" x14ac:dyDescent="0.25">
      <c r="A851" s="2" t="s">
        <v>6024</v>
      </c>
      <c r="B851" s="2">
        <v>538.38826082835897</v>
      </c>
      <c r="C851" s="2">
        <v>11.5544166666667</v>
      </c>
      <c r="D851" s="2" t="s">
        <v>51</v>
      </c>
      <c r="E851" s="2" t="s">
        <v>6025</v>
      </c>
      <c r="F851" s="2">
        <v>19551</v>
      </c>
      <c r="G851" s="3" t="str">
        <f>HYPERLINK("https://cloud.oebiotech.com/#/lm/network/19551", "https://cloud.oebiotech.com/#/lm/network/19551")</f>
        <v>https://cloud.oebiotech.com/#/lm/network/19551</v>
      </c>
      <c r="H851" s="2"/>
      <c r="I851" s="2">
        <v>40105</v>
      </c>
      <c r="J851" s="2" t="s">
        <v>6026</v>
      </c>
      <c r="K851" s="2">
        <v>24779315</v>
      </c>
      <c r="L851" s="2"/>
      <c r="M851" s="2"/>
      <c r="N851" s="2"/>
      <c r="O851" s="2"/>
      <c r="P851" s="2"/>
      <c r="Q851" s="2"/>
      <c r="R851" s="2"/>
      <c r="S851" s="2" t="s">
        <v>6027</v>
      </c>
      <c r="T851" s="2" t="s">
        <v>6028</v>
      </c>
      <c r="U851" s="2" t="s">
        <v>56</v>
      </c>
      <c r="V851" s="2" t="s">
        <v>57</v>
      </c>
      <c r="W851" s="2" t="s">
        <v>58</v>
      </c>
      <c r="X851" s="2" t="s">
        <v>83</v>
      </c>
      <c r="Y851" s="2">
        <v>51.7</v>
      </c>
      <c r="Z851" s="2">
        <v>0</v>
      </c>
      <c r="AA851" s="2" t="s">
        <v>259</v>
      </c>
      <c r="AB851" s="2" t="s">
        <v>2157</v>
      </c>
      <c r="AC851" s="2">
        <v>2.8743725662407398</v>
      </c>
      <c r="AD851" s="2"/>
      <c r="AE851" s="2">
        <v>0.67950375603631696</v>
      </c>
      <c r="AF851" s="2">
        <v>14091.0760001244</v>
      </c>
      <c r="AG851" s="2">
        <v>2017.2208665547901</v>
      </c>
      <c r="AH851" s="5">
        <v>6.9853907590151696</v>
      </c>
      <c r="AI851" s="5">
        <v>2.8043408214794399</v>
      </c>
      <c r="AJ851" s="5" t="s">
        <v>139</v>
      </c>
      <c r="AK851" s="2">
        <v>0.14857631827387</v>
      </c>
      <c r="AL851" s="2">
        <v>0.47024664296044399</v>
      </c>
      <c r="AM851" s="2">
        <v>41416.238967534002</v>
      </c>
      <c r="AN851" s="2">
        <v>33376.316695232097</v>
      </c>
      <c r="AO851" s="2">
        <v>8.559877937157E-6</v>
      </c>
      <c r="AP851" s="2">
        <v>9753.9003123005805</v>
      </c>
      <c r="AQ851" s="2">
        <v>8.559877937157E-6</v>
      </c>
      <c r="AR851" s="2">
        <v>8.559877937157E-6</v>
      </c>
      <c r="AS851" s="2">
        <v>563.75743640968699</v>
      </c>
      <c r="AT851" s="2">
        <v>8.559877937157E-6</v>
      </c>
      <c r="AU851" s="2">
        <v>656.65574026126899</v>
      </c>
      <c r="AV851" s="2">
        <v>1764.78783498758</v>
      </c>
      <c r="AW851" s="2">
        <v>8482.6376673810591</v>
      </c>
      <c r="AX851" s="2">
        <v>635.48651172924497</v>
      </c>
    </row>
    <row r="852" spans="1:50" x14ac:dyDescent="0.25">
      <c r="A852" s="2" t="s">
        <v>6029</v>
      </c>
      <c r="B852" s="2">
        <v>419.20554242925402</v>
      </c>
      <c r="C852" s="2">
        <v>9.5024499999999996</v>
      </c>
      <c r="D852" s="2" t="s">
        <v>51</v>
      </c>
      <c r="E852" s="2" t="s">
        <v>6030</v>
      </c>
      <c r="F852" s="2">
        <v>54534</v>
      </c>
      <c r="G852" s="3" t="str">
        <f>HYPERLINK("https://cloud.oebiotech.com/#/lm/network/54534", "https://cloud.oebiotech.com/#/lm/network/54534")</f>
        <v>https://cloud.oebiotech.com/#/lm/network/54534</v>
      </c>
      <c r="H852" s="2" t="s">
        <v>6031</v>
      </c>
      <c r="I852" s="2">
        <v>86382</v>
      </c>
      <c r="J852" s="2"/>
      <c r="K852" s="2">
        <v>131750888</v>
      </c>
      <c r="L852" s="2"/>
      <c r="M852" s="2"/>
      <c r="N852" s="2"/>
      <c r="O852" s="2">
        <v>168841</v>
      </c>
      <c r="P852" s="2"/>
      <c r="Q852" s="2"/>
      <c r="R852" s="2" t="s">
        <v>6032</v>
      </c>
      <c r="S852" s="2" t="s">
        <v>6033</v>
      </c>
      <c r="T852" s="2" t="s">
        <v>6034</v>
      </c>
      <c r="U852" s="2" t="s">
        <v>56</v>
      </c>
      <c r="V852" s="2" t="s">
        <v>177</v>
      </c>
      <c r="W852" s="2" t="s">
        <v>394</v>
      </c>
      <c r="X852" s="2" t="s">
        <v>147</v>
      </c>
      <c r="Y852" s="2">
        <v>43.8</v>
      </c>
      <c r="Z852" s="2">
        <v>30</v>
      </c>
      <c r="AA852" s="2" t="s">
        <v>526</v>
      </c>
      <c r="AB852" s="2" t="s">
        <v>6035</v>
      </c>
      <c r="AC852" s="2">
        <v>3.8322295906991499</v>
      </c>
      <c r="AD852" s="2"/>
      <c r="AE852" s="2">
        <v>0.67947387603696197</v>
      </c>
      <c r="AF852" s="2">
        <v>16421.504656891801</v>
      </c>
      <c r="AG852" s="2">
        <v>6062.1414772895696</v>
      </c>
      <c r="AH852" s="5">
        <v>2.7088619951235402</v>
      </c>
      <c r="AI852" s="5">
        <v>1.4376868963002001</v>
      </c>
      <c r="AJ852" s="5" t="s">
        <v>139</v>
      </c>
      <c r="AK852" s="2">
        <v>7.6891497780826297E-3</v>
      </c>
      <c r="AL852" s="2">
        <v>0.145710627008557</v>
      </c>
      <c r="AM852" s="2">
        <v>14570.7858061514</v>
      </c>
      <c r="AN852" s="2">
        <v>28652.311945543301</v>
      </c>
      <c r="AO852" s="2">
        <v>18746.742950088901</v>
      </c>
      <c r="AP852" s="2">
        <v>11185.0483854827</v>
      </c>
      <c r="AQ852" s="2">
        <v>12632.537401019001</v>
      </c>
      <c r="AR852" s="2">
        <v>12741.601453065299</v>
      </c>
      <c r="AS852" s="2">
        <v>13330.985556155099</v>
      </c>
      <c r="AT852" s="2">
        <v>3886.8971133099799</v>
      </c>
      <c r="AU852" s="2">
        <v>6764.7222506589196</v>
      </c>
      <c r="AV852" s="2">
        <v>1785.0676778801201</v>
      </c>
      <c r="AW852" s="2">
        <v>5147.0203801160897</v>
      </c>
      <c r="AX852" s="2">
        <v>5458.1558856172196</v>
      </c>
    </row>
    <row r="853" spans="1:50" x14ac:dyDescent="0.25">
      <c r="A853" s="2" t="s">
        <v>6036</v>
      </c>
      <c r="B853" s="2">
        <v>169.05002988541901</v>
      </c>
      <c r="C853" s="2">
        <v>5.9389500000000002</v>
      </c>
      <c r="D853" s="2" t="s">
        <v>51</v>
      </c>
      <c r="E853" s="2" t="s">
        <v>6037</v>
      </c>
      <c r="F853" s="2">
        <v>310703</v>
      </c>
      <c r="G853" s="3" t="str">
        <f>HYPERLINK("https://cloud.oebiotech.com/#/lm/network/310703", "https://cloud.oebiotech.com/#/lm/network/310703")</f>
        <v>https://cloud.oebiotech.com/#/lm/network/310703</v>
      </c>
      <c r="H853" s="2"/>
      <c r="I853" s="2">
        <v>337901</v>
      </c>
      <c r="J853" s="2"/>
      <c r="K853" s="2">
        <v>10706</v>
      </c>
      <c r="L853" s="2"/>
      <c r="M853" s="2"/>
      <c r="N853" s="2"/>
      <c r="O853" s="2"/>
      <c r="P853" s="2"/>
      <c r="Q853" s="2"/>
      <c r="R853" s="2"/>
      <c r="S853" s="2" t="s">
        <v>6038</v>
      </c>
      <c r="T853" s="2" t="s">
        <v>6039</v>
      </c>
      <c r="U853" s="2" t="s">
        <v>331</v>
      </c>
      <c r="V853" s="2" t="s">
        <v>332</v>
      </c>
      <c r="W853" s="2" t="s">
        <v>1207</v>
      </c>
      <c r="X853" s="2" t="s">
        <v>147</v>
      </c>
      <c r="Y853" s="2">
        <v>46.7</v>
      </c>
      <c r="Z853" s="2">
        <v>39.6</v>
      </c>
      <c r="AA853" s="2" t="s">
        <v>259</v>
      </c>
      <c r="AB853" s="2" t="s">
        <v>6040</v>
      </c>
      <c r="AC853" s="2">
        <v>2.9440131446317901</v>
      </c>
      <c r="AD853" s="2"/>
      <c r="AE853" s="2">
        <v>0.67941844581449196</v>
      </c>
      <c r="AF853" s="2">
        <v>10732.606387292701</v>
      </c>
      <c r="AG853" s="2">
        <v>22923.0894025737</v>
      </c>
      <c r="AH853" s="4">
        <v>0.46820069488921801</v>
      </c>
      <c r="AI853" s="4">
        <v>-1.0948010192317901</v>
      </c>
      <c r="AJ853" s="4" t="s">
        <v>62</v>
      </c>
      <c r="AK853" s="2">
        <v>0.20919039245476301</v>
      </c>
      <c r="AL853" s="2">
        <v>0.53413913919887801</v>
      </c>
      <c r="AM853" s="2">
        <v>952.13350412938905</v>
      </c>
      <c r="AN853" s="2">
        <v>7936.0626596073198</v>
      </c>
      <c r="AO853" s="2">
        <v>1572.3344215223599</v>
      </c>
      <c r="AP853" s="2">
        <v>27556.8681563016</v>
      </c>
      <c r="AQ853" s="2">
        <v>6606.3274452798296</v>
      </c>
      <c r="AR853" s="2">
        <v>19771.9121369155</v>
      </c>
      <c r="AS853" s="2">
        <v>59004.358165409198</v>
      </c>
      <c r="AT853" s="2">
        <v>1873.51555512645</v>
      </c>
      <c r="AU853" s="2">
        <v>19215.5409634028</v>
      </c>
      <c r="AV853" s="2">
        <v>26879.247346934899</v>
      </c>
      <c r="AW853" s="2">
        <v>12612.468828765601</v>
      </c>
      <c r="AX853" s="2">
        <v>17953.4055558031</v>
      </c>
    </row>
    <row r="854" spans="1:50" x14ac:dyDescent="0.25">
      <c r="A854" s="2" t="s">
        <v>6041</v>
      </c>
      <c r="B854" s="2">
        <v>526.315154298631</v>
      </c>
      <c r="C854" s="2">
        <v>10.308716666666699</v>
      </c>
      <c r="D854" s="2" t="s">
        <v>51</v>
      </c>
      <c r="E854" s="2" t="s">
        <v>6042</v>
      </c>
      <c r="F854" s="2">
        <v>19829</v>
      </c>
      <c r="G854" s="3" t="str">
        <f>HYPERLINK("https://cloud.oebiotech.com/#/lm/network/19829", "https://cloud.oebiotech.com/#/lm/network/19829")</f>
        <v>https://cloud.oebiotech.com/#/lm/network/19829</v>
      </c>
      <c r="H854" s="2" t="s">
        <v>6043</v>
      </c>
      <c r="I854" s="2">
        <v>40282</v>
      </c>
      <c r="J854" s="2" t="s">
        <v>6044</v>
      </c>
      <c r="K854" s="2">
        <v>24779458</v>
      </c>
      <c r="L854" s="2" t="s">
        <v>691</v>
      </c>
      <c r="M854" s="2" t="s">
        <v>692</v>
      </c>
      <c r="N854" s="2" t="s">
        <v>693</v>
      </c>
      <c r="O854" s="2">
        <v>131924</v>
      </c>
      <c r="P854" s="2"/>
      <c r="Q854" s="2"/>
      <c r="R854" s="2"/>
      <c r="S854" s="2" t="s">
        <v>6045</v>
      </c>
      <c r="T854" s="2" t="s">
        <v>6046</v>
      </c>
      <c r="U854" s="2" t="s">
        <v>56</v>
      </c>
      <c r="V854" s="2" t="s">
        <v>57</v>
      </c>
      <c r="W854" s="2" t="s">
        <v>58</v>
      </c>
      <c r="X854" s="2" t="s">
        <v>69</v>
      </c>
      <c r="Y854" s="2">
        <v>66.599999999999994</v>
      </c>
      <c r="Z854" s="2">
        <v>96.8</v>
      </c>
      <c r="AA854" s="2" t="s">
        <v>218</v>
      </c>
      <c r="AB854" s="2" t="s">
        <v>197</v>
      </c>
      <c r="AC854" s="2">
        <v>0.232523655804735</v>
      </c>
      <c r="AD854" s="2"/>
      <c r="AE854" s="2">
        <v>0.679347666242759</v>
      </c>
      <c r="AF854" s="2">
        <v>261959.383065854</v>
      </c>
      <c r="AG854" s="2">
        <v>321409.20750724402</v>
      </c>
      <c r="AH854" s="4">
        <v>0.81503384765338305</v>
      </c>
      <c r="AI854" s="4">
        <v>-0.29506812041764102</v>
      </c>
      <c r="AJ854" s="4" t="s">
        <v>62</v>
      </c>
      <c r="AK854" s="2">
        <v>0.50403217620609098</v>
      </c>
      <c r="AL854" s="2">
        <v>0.74088611788451697</v>
      </c>
      <c r="AM854" s="2">
        <v>464004.57685696002</v>
      </c>
      <c r="AN854" s="2">
        <v>242044.304167283</v>
      </c>
      <c r="AO854" s="2">
        <v>208707.832236455</v>
      </c>
      <c r="AP854" s="2">
        <v>194027.98202605901</v>
      </c>
      <c r="AQ854" s="2">
        <v>198371.71868009301</v>
      </c>
      <c r="AR854" s="2">
        <v>264599.88442827202</v>
      </c>
      <c r="AS854" s="2">
        <v>110969.449070324</v>
      </c>
      <c r="AT854" s="2">
        <v>113753.718867894</v>
      </c>
      <c r="AU854" s="2">
        <v>456061.51388202101</v>
      </c>
      <c r="AV854" s="2">
        <v>554303.284379569</v>
      </c>
      <c r="AW854" s="2">
        <v>405622.76055944798</v>
      </c>
      <c r="AX854" s="2">
        <v>287744.51828420802</v>
      </c>
    </row>
    <row r="855" spans="1:50" x14ac:dyDescent="0.25">
      <c r="A855" s="2" t="s">
        <v>6047</v>
      </c>
      <c r="B855" s="2">
        <v>294.24356925020402</v>
      </c>
      <c r="C855" s="2">
        <v>10.132949999999999</v>
      </c>
      <c r="D855" s="2" t="s">
        <v>51</v>
      </c>
      <c r="E855" s="2" t="s">
        <v>6048</v>
      </c>
      <c r="F855" s="2">
        <v>8896</v>
      </c>
      <c r="G855" s="3" t="str">
        <f>HYPERLINK("https://cloud.oebiotech.com/#/lm/network/8896", "https://cloud.oebiotech.com/#/lm/network/8896")</f>
        <v>https://cloud.oebiotech.com/#/lm/network/8896</v>
      </c>
      <c r="H855" s="2"/>
      <c r="I855" s="2"/>
      <c r="J855" s="2" t="s">
        <v>6049</v>
      </c>
      <c r="K855" s="2">
        <v>5316694</v>
      </c>
      <c r="L855" s="2"/>
      <c r="M855" s="2"/>
      <c r="N855" s="2"/>
      <c r="O855" s="2"/>
      <c r="P855" s="2"/>
      <c r="Q855" s="2"/>
      <c r="R855" s="2"/>
      <c r="S855" s="2" t="s">
        <v>6050</v>
      </c>
      <c r="T855" s="2" t="s">
        <v>6051</v>
      </c>
      <c r="U855" s="2" t="s">
        <v>56</v>
      </c>
      <c r="V855" s="2" t="s">
        <v>145</v>
      </c>
      <c r="W855" s="2" t="s">
        <v>1617</v>
      </c>
      <c r="X855" s="2" t="s">
        <v>83</v>
      </c>
      <c r="Y855" s="2">
        <v>46</v>
      </c>
      <c r="Z855" s="2">
        <v>17.7</v>
      </c>
      <c r="AA855" s="2" t="s">
        <v>106</v>
      </c>
      <c r="AB855" s="2" t="s">
        <v>6052</v>
      </c>
      <c r="AC855" s="2">
        <v>2.7744941216377601</v>
      </c>
      <c r="AD855" s="2"/>
      <c r="AE855" s="2">
        <v>0.67850469609490005</v>
      </c>
      <c r="AF855" s="2">
        <v>162071.21597905501</v>
      </c>
      <c r="AG855" s="2">
        <v>117899.31246971901</v>
      </c>
      <c r="AH855" s="5">
        <v>1.3746578549445001</v>
      </c>
      <c r="AI855" s="5">
        <v>0.45907258416579899</v>
      </c>
      <c r="AJ855" s="5" t="s">
        <v>139</v>
      </c>
      <c r="AK855" s="2">
        <v>0.76087478099555605</v>
      </c>
      <c r="AL855" s="2">
        <v>0.89152062866139503</v>
      </c>
      <c r="AM855" s="2">
        <v>7400.2302408203004</v>
      </c>
      <c r="AN855" s="2">
        <v>4095.6339830840202</v>
      </c>
      <c r="AO855" s="2">
        <v>441379.66710567399</v>
      </c>
      <c r="AP855" s="2">
        <v>4582.2869226714201</v>
      </c>
      <c r="AQ855" s="2">
        <v>501586.559842552</v>
      </c>
      <c r="AR855" s="2">
        <v>13382.9177795294</v>
      </c>
      <c r="AS855" s="2">
        <v>61452.545317820703</v>
      </c>
      <c r="AT855" s="2">
        <v>3771.4022401226898</v>
      </c>
      <c r="AU855" s="2">
        <v>623475.99140296702</v>
      </c>
      <c r="AV855" s="2">
        <v>10447.701203026299</v>
      </c>
      <c r="AW855" s="2">
        <v>3175.9755557450999</v>
      </c>
      <c r="AX855" s="2">
        <v>5072.25909862964</v>
      </c>
    </row>
    <row r="856" spans="1:50" x14ac:dyDescent="0.25">
      <c r="A856" s="2" t="s">
        <v>6053</v>
      </c>
      <c r="B856" s="2">
        <v>678.43705262896401</v>
      </c>
      <c r="C856" s="2">
        <v>11.7381666666667</v>
      </c>
      <c r="D856" s="2" t="s">
        <v>51</v>
      </c>
      <c r="E856" s="2" t="s">
        <v>6054</v>
      </c>
      <c r="F856" s="2">
        <v>21355</v>
      </c>
      <c r="G856" s="3" t="str">
        <f>HYPERLINK("https://cloud.oebiotech.com/#/lm/network/21355", "https://cloud.oebiotech.com/#/lm/network/21355")</f>
        <v>https://cloud.oebiotech.com/#/lm/network/21355</v>
      </c>
      <c r="H856" s="2" t="s">
        <v>6055</v>
      </c>
      <c r="I856" s="2">
        <v>77758</v>
      </c>
      <c r="J856" s="2" t="s">
        <v>6056</v>
      </c>
      <c r="K856" s="2">
        <v>52925204</v>
      </c>
      <c r="L856" s="2"/>
      <c r="M856" s="2"/>
      <c r="N856" s="2"/>
      <c r="O856" s="2"/>
      <c r="P856" s="2"/>
      <c r="Q856" s="2"/>
      <c r="R856" s="2"/>
      <c r="S856" s="2" t="s">
        <v>6057</v>
      </c>
      <c r="T856" s="2" t="s">
        <v>6058</v>
      </c>
      <c r="U856" s="2" t="s">
        <v>56</v>
      </c>
      <c r="V856" s="2" t="s">
        <v>57</v>
      </c>
      <c r="W856" s="2" t="s">
        <v>82</v>
      </c>
      <c r="X856" s="2" t="s">
        <v>83</v>
      </c>
      <c r="Y856" s="2">
        <v>52.5</v>
      </c>
      <c r="Z856" s="2">
        <v>0</v>
      </c>
      <c r="AA856" s="2" t="s">
        <v>259</v>
      </c>
      <c r="AB856" s="2" t="s">
        <v>6059</v>
      </c>
      <c r="AC856" s="2">
        <v>4.4171771103606696</v>
      </c>
      <c r="AD856" s="2"/>
      <c r="AE856" s="2">
        <v>0.67755832515728798</v>
      </c>
      <c r="AF856" s="2">
        <v>18366.401386009798</v>
      </c>
      <c r="AG856" s="2">
        <v>6914.6366757114602</v>
      </c>
      <c r="AH856" s="5">
        <v>2.6561628972530298</v>
      </c>
      <c r="AI856" s="5">
        <v>1.40934362705102</v>
      </c>
      <c r="AJ856" s="5" t="s">
        <v>139</v>
      </c>
      <c r="AK856" s="2">
        <v>9.0898590499114001E-3</v>
      </c>
      <c r="AL856" s="2">
        <v>0.15552303509891599</v>
      </c>
      <c r="AM856" s="2">
        <v>22175.688051509998</v>
      </c>
      <c r="AN856" s="2">
        <v>20117.3797226557</v>
      </c>
      <c r="AO856" s="2">
        <v>7184.6347078919998</v>
      </c>
      <c r="AP856" s="2">
        <v>28022.523706968699</v>
      </c>
      <c r="AQ856" s="2">
        <v>15653.6047386716</v>
      </c>
      <c r="AR856" s="2">
        <v>17044.5773883607</v>
      </c>
      <c r="AS856" s="2">
        <v>1827.46067253808</v>
      </c>
      <c r="AT856" s="2">
        <v>4117.6997557962904</v>
      </c>
      <c r="AU856" s="2">
        <v>16337.5703710897</v>
      </c>
      <c r="AV856" s="2">
        <v>8972.7744055080693</v>
      </c>
      <c r="AW856" s="2">
        <v>5120.9966559914401</v>
      </c>
      <c r="AX856" s="2">
        <v>5111.3181933451597</v>
      </c>
    </row>
    <row r="857" spans="1:50" x14ac:dyDescent="0.25">
      <c r="A857" s="2" t="s">
        <v>6060</v>
      </c>
      <c r="B857" s="2">
        <v>441.14301870670403</v>
      </c>
      <c r="C857" s="2">
        <v>10.840299999999999</v>
      </c>
      <c r="D857" s="2" t="s">
        <v>51</v>
      </c>
      <c r="E857" s="2" t="s">
        <v>6061</v>
      </c>
      <c r="F857" s="2">
        <v>207204</v>
      </c>
      <c r="G857" s="3" t="str">
        <f>HYPERLINK("https://cloud.oebiotech.com/#/lm/network/207204", "https://cloud.oebiotech.com/#/lm/network/207204")</f>
        <v>https://cloud.oebiotech.com/#/lm/network/207204</v>
      </c>
      <c r="H857" s="2" t="s">
        <v>6062</v>
      </c>
      <c r="I857" s="2"/>
      <c r="J857" s="2"/>
      <c r="K857" s="2">
        <v>11502129</v>
      </c>
      <c r="L857" s="2"/>
      <c r="M857" s="2"/>
      <c r="N857" s="2"/>
      <c r="O857" s="2"/>
      <c r="P857" s="2"/>
      <c r="Q857" s="2"/>
      <c r="R857" s="2"/>
      <c r="S857" s="2" t="s">
        <v>6063</v>
      </c>
      <c r="T857" s="2" t="s">
        <v>6064</v>
      </c>
      <c r="U857" s="2" t="s">
        <v>266</v>
      </c>
      <c r="V857" s="2" t="s">
        <v>6065</v>
      </c>
      <c r="W857" s="2" t="s">
        <v>240</v>
      </c>
      <c r="X857" s="2" t="s">
        <v>147</v>
      </c>
      <c r="Y857" s="2">
        <v>37.700000000000003</v>
      </c>
      <c r="Z857" s="2">
        <v>12.9</v>
      </c>
      <c r="AA857" s="2" t="s">
        <v>218</v>
      </c>
      <c r="AB857" s="2" t="s">
        <v>6066</v>
      </c>
      <c r="AC857" s="2">
        <v>-3.21834153153908</v>
      </c>
      <c r="AD857" s="2"/>
      <c r="AE857" s="2">
        <v>0.67688088012551795</v>
      </c>
      <c r="AF857" s="2">
        <v>24015.4112878245</v>
      </c>
      <c r="AG857" s="2">
        <v>12082.711687646701</v>
      </c>
      <c r="AH857" s="5">
        <v>1.98758456782328</v>
      </c>
      <c r="AI857" s="5">
        <v>0.99101624554601098</v>
      </c>
      <c r="AJ857" s="5" t="s">
        <v>139</v>
      </c>
      <c r="AK857" s="2">
        <v>4.61400209954815E-2</v>
      </c>
      <c r="AL857" s="2">
        <v>0.303077969035141</v>
      </c>
      <c r="AM857" s="2">
        <v>23621.9685500085</v>
      </c>
      <c r="AN857" s="2">
        <v>41563.127313817102</v>
      </c>
      <c r="AO857" s="2">
        <v>21064.309036962899</v>
      </c>
      <c r="AP857" s="2">
        <v>10375.7880882353</v>
      </c>
      <c r="AQ857" s="2">
        <v>12745.865412192699</v>
      </c>
      <c r="AR857" s="2">
        <v>34721.409325730398</v>
      </c>
      <c r="AS857" s="2">
        <v>9368.9897565737101</v>
      </c>
      <c r="AT857" s="2">
        <v>6803.6106754032999</v>
      </c>
      <c r="AU857" s="2">
        <v>17392.2352206672</v>
      </c>
      <c r="AV857" s="2">
        <v>10339.791693520699</v>
      </c>
      <c r="AW857" s="2">
        <v>12828.875522780399</v>
      </c>
      <c r="AX857" s="2">
        <v>15762.7672569348</v>
      </c>
    </row>
    <row r="858" spans="1:50" x14ac:dyDescent="0.25">
      <c r="A858" s="2" t="s">
        <v>6067</v>
      </c>
      <c r="B858" s="2">
        <v>299.20148502321302</v>
      </c>
      <c r="C858" s="2">
        <v>7.3238666666666701</v>
      </c>
      <c r="D858" s="2" t="s">
        <v>51</v>
      </c>
      <c r="E858" s="2" t="s">
        <v>6068</v>
      </c>
      <c r="F858" s="2">
        <v>48628</v>
      </c>
      <c r="G858" s="3" t="str">
        <f>HYPERLINK("https://cloud.oebiotech.com/#/lm/network/48628", "https://cloud.oebiotech.com/#/lm/network/48628")</f>
        <v>https://cloud.oebiotech.com/#/lm/network/48628</v>
      </c>
      <c r="H858" s="2" t="s">
        <v>6069</v>
      </c>
      <c r="I858" s="2">
        <v>58328</v>
      </c>
      <c r="J858" s="2"/>
      <c r="K858" s="2">
        <v>13241205</v>
      </c>
      <c r="L858" s="2"/>
      <c r="M858" s="2"/>
      <c r="N858" s="2"/>
      <c r="O858" s="2"/>
      <c r="P858" s="2"/>
      <c r="Q858" s="2"/>
      <c r="R858" s="2" t="s">
        <v>6070</v>
      </c>
      <c r="S858" s="2" t="s">
        <v>6071</v>
      </c>
      <c r="T858" s="2" t="s">
        <v>6072</v>
      </c>
      <c r="U858" s="2" t="s">
        <v>56</v>
      </c>
      <c r="V858" s="2" t="s">
        <v>283</v>
      </c>
      <c r="W858" s="2" t="s">
        <v>284</v>
      </c>
      <c r="X858" s="2" t="s">
        <v>83</v>
      </c>
      <c r="Y858" s="2">
        <v>47.8</v>
      </c>
      <c r="Z858" s="2">
        <v>37.700000000000003</v>
      </c>
      <c r="AA858" s="2" t="s">
        <v>156</v>
      </c>
      <c r="AB858" s="2" t="s">
        <v>708</v>
      </c>
      <c r="AC858" s="2">
        <v>2.9364493452857898</v>
      </c>
      <c r="AD858" s="2"/>
      <c r="AE858" s="2">
        <v>0.67523010022545304</v>
      </c>
      <c r="AF858" s="2">
        <v>20698.377564630198</v>
      </c>
      <c r="AG858" s="2">
        <v>11425.5224705613</v>
      </c>
      <c r="AH858" s="5">
        <v>1.81159134017382</v>
      </c>
      <c r="AI858" s="5">
        <v>0.85725754810071697</v>
      </c>
      <c r="AJ858" s="5" t="s">
        <v>139</v>
      </c>
      <c r="AK858" s="2">
        <v>5.5945581559633598E-3</v>
      </c>
      <c r="AL858" s="2">
        <v>0.12753292626186699</v>
      </c>
      <c r="AM858" s="2">
        <v>25024.1381924136</v>
      </c>
      <c r="AN858" s="2">
        <v>26856.957102557099</v>
      </c>
      <c r="AO858" s="2">
        <v>16309.5993122416</v>
      </c>
      <c r="AP858" s="2">
        <v>20052.6897064533</v>
      </c>
      <c r="AQ858" s="2">
        <v>14621.1300837979</v>
      </c>
      <c r="AR858" s="2">
        <v>21325.750990318</v>
      </c>
      <c r="AS858" s="2">
        <v>16681.020571002598</v>
      </c>
      <c r="AT858" s="2">
        <v>11905.6977055221</v>
      </c>
      <c r="AU858" s="2">
        <v>15778.925787984101</v>
      </c>
      <c r="AV858" s="2">
        <v>5203.3641679277398</v>
      </c>
      <c r="AW858" s="2">
        <v>8427.1592033379493</v>
      </c>
      <c r="AX858" s="2">
        <v>10556.9673875932</v>
      </c>
    </row>
    <row r="859" spans="1:50" x14ac:dyDescent="0.25">
      <c r="A859" s="2" t="s">
        <v>6073</v>
      </c>
      <c r="B859" s="2">
        <v>421.22672944834898</v>
      </c>
      <c r="C859" s="2">
        <v>13.510733333333301</v>
      </c>
      <c r="D859" s="2" t="s">
        <v>51</v>
      </c>
      <c r="E859" s="2" t="s">
        <v>6074</v>
      </c>
      <c r="F859" s="2">
        <v>7443</v>
      </c>
      <c r="G859" s="3" t="str">
        <f>HYPERLINK("https://cloud.oebiotech.com/#/lm/network/7443", "https://cloud.oebiotech.com/#/lm/network/7443")</f>
        <v>https://cloud.oebiotech.com/#/lm/network/7443</v>
      </c>
      <c r="H859" s="2" t="s">
        <v>6075</v>
      </c>
      <c r="I859" s="2">
        <v>4003</v>
      </c>
      <c r="J859" s="2" t="s">
        <v>6076</v>
      </c>
      <c r="K859" s="2">
        <v>11339</v>
      </c>
      <c r="L859" s="2" t="s">
        <v>6077</v>
      </c>
      <c r="M859" s="2"/>
      <c r="N859" s="2"/>
      <c r="O859" s="2">
        <v>534</v>
      </c>
      <c r="P859" s="2"/>
      <c r="Q859" s="2"/>
      <c r="R859" s="2"/>
      <c r="S859" s="2" t="s">
        <v>6078</v>
      </c>
      <c r="T859" s="2" t="s">
        <v>6079</v>
      </c>
      <c r="U859" s="2" t="s">
        <v>56</v>
      </c>
      <c r="V859" s="2" t="s">
        <v>145</v>
      </c>
      <c r="W859" s="2" t="s">
        <v>1188</v>
      </c>
      <c r="X859" s="2" t="s">
        <v>147</v>
      </c>
      <c r="Y859" s="2">
        <v>38</v>
      </c>
      <c r="Z859" s="2">
        <v>0.50600000000000001</v>
      </c>
      <c r="AA859" s="2" t="s">
        <v>163</v>
      </c>
      <c r="AB859" s="2" t="s">
        <v>6080</v>
      </c>
      <c r="AC859" s="2">
        <v>0.42944159958621902</v>
      </c>
      <c r="AD859" s="2"/>
      <c r="AE859" s="2">
        <v>0.67511622045138797</v>
      </c>
      <c r="AF859" s="2">
        <v>50633.418728518402</v>
      </c>
      <c r="AG859" s="2">
        <v>37319.061737360302</v>
      </c>
      <c r="AH859" s="5">
        <v>1.35677094683838</v>
      </c>
      <c r="AI859" s="5">
        <v>0.44017718225066199</v>
      </c>
      <c r="AJ859" s="5" t="s">
        <v>139</v>
      </c>
      <c r="AK859" s="2">
        <v>0.26297258998574302</v>
      </c>
      <c r="AL859" s="2">
        <v>0.58556532572808595</v>
      </c>
      <c r="AM859" s="2">
        <v>92030.887186423904</v>
      </c>
      <c r="AN859" s="2">
        <v>20390.5022940052</v>
      </c>
      <c r="AO859" s="2">
        <v>55617.599070666402</v>
      </c>
      <c r="AP859" s="2">
        <v>27380.938043486902</v>
      </c>
      <c r="AQ859" s="2">
        <v>46218.000911369403</v>
      </c>
      <c r="AR859" s="2">
        <v>62162.5848651583</v>
      </c>
      <c r="AS859" s="2">
        <v>26342.546548549501</v>
      </c>
      <c r="AT859" s="2">
        <v>45449.041734195402</v>
      </c>
      <c r="AU859" s="2">
        <v>41120.207822172102</v>
      </c>
      <c r="AV859" s="2">
        <v>26273.089297865001</v>
      </c>
      <c r="AW859" s="2">
        <v>47819.298817674302</v>
      </c>
      <c r="AX859" s="2">
        <v>36910.186203705503</v>
      </c>
    </row>
    <row r="860" spans="1:50" x14ac:dyDescent="0.25">
      <c r="A860" s="2" t="s">
        <v>6081</v>
      </c>
      <c r="B860" s="2">
        <v>369.153188896632</v>
      </c>
      <c r="C860" s="2">
        <v>9.5221499999999999</v>
      </c>
      <c r="D860" s="2" t="s">
        <v>51</v>
      </c>
      <c r="E860" s="2" t="s">
        <v>6082</v>
      </c>
      <c r="F860" s="2">
        <v>61583</v>
      </c>
      <c r="G860" s="3" t="str">
        <f>HYPERLINK("https://cloud.oebiotech.com/#/lm/network/61583", "https://cloud.oebiotech.com/#/lm/network/61583")</f>
        <v>https://cloud.oebiotech.com/#/lm/network/61583</v>
      </c>
      <c r="H860" s="2" t="s">
        <v>6083</v>
      </c>
      <c r="I860" s="2">
        <v>92890</v>
      </c>
      <c r="J860" s="2"/>
      <c r="K860" s="2">
        <v>14020067</v>
      </c>
      <c r="L860" s="2"/>
      <c r="M860" s="2"/>
      <c r="N860" s="2"/>
      <c r="O860" s="2"/>
      <c r="P860" s="2"/>
      <c r="Q860" s="2"/>
      <c r="R860" s="2" t="s">
        <v>6084</v>
      </c>
      <c r="S860" s="2" t="s">
        <v>6085</v>
      </c>
      <c r="T860" s="2" t="s">
        <v>6086</v>
      </c>
      <c r="U860" s="2" t="s">
        <v>56</v>
      </c>
      <c r="V860" s="2" t="s">
        <v>177</v>
      </c>
      <c r="W860" s="2" t="s">
        <v>394</v>
      </c>
      <c r="X860" s="2" t="s">
        <v>59</v>
      </c>
      <c r="Y860" s="2">
        <v>47.9</v>
      </c>
      <c r="Z860" s="2">
        <v>46.3</v>
      </c>
      <c r="AA860" s="2" t="s">
        <v>1339</v>
      </c>
      <c r="AB860" s="2" t="s">
        <v>3842</v>
      </c>
      <c r="AC860" s="2">
        <v>3.4678089141129802</v>
      </c>
      <c r="AD860" s="2"/>
      <c r="AE860" s="2">
        <v>0.67444077700325</v>
      </c>
      <c r="AF860" s="2">
        <v>197.43489491305601</v>
      </c>
      <c r="AG860" s="2">
        <v>54892.248294866498</v>
      </c>
      <c r="AH860" s="4">
        <v>3.5967718766498498E-3</v>
      </c>
      <c r="AI860" s="4">
        <v>-8.1190816244555801</v>
      </c>
      <c r="AJ860" s="4" t="s">
        <v>62</v>
      </c>
      <c r="AK860" s="2">
        <v>0.33875745945128</v>
      </c>
      <c r="AL860" s="2">
        <v>0.63815037094278604</v>
      </c>
      <c r="AM860" s="2">
        <v>33.183556201432403</v>
      </c>
      <c r="AN860" s="2">
        <v>309.63023483995897</v>
      </c>
      <c r="AO860" s="2">
        <v>170.331263607061</v>
      </c>
      <c r="AP860" s="2">
        <v>245.399756006275</v>
      </c>
      <c r="AQ860" s="2">
        <v>311.22367891906401</v>
      </c>
      <c r="AR860" s="2">
        <v>114.84087990454699</v>
      </c>
      <c r="AS860" s="2">
        <v>127.639571894903</v>
      </c>
      <c r="AT860" s="2">
        <v>327101.20860156103</v>
      </c>
      <c r="AU860" s="2">
        <v>442.433809047399</v>
      </c>
      <c r="AV860" s="2">
        <v>576.47082908033303</v>
      </c>
      <c r="AW860" s="2">
        <v>666.23861126962197</v>
      </c>
      <c r="AX860" s="2">
        <v>439.49834634556299</v>
      </c>
    </row>
    <row r="861" spans="1:50" x14ac:dyDescent="0.25">
      <c r="A861" s="2" t="s">
        <v>6087</v>
      </c>
      <c r="B861" s="2">
        <v>685.46499473390998</v>
      </c>
      <c r="C861" s="2">
        <v>11.0279666666667</v>
      </c>
      <c r="D861" s="2" t="s">
        <v>51</v>
      </c>
      <c r="E861" s="2" t="s">
        <v>6088</v>
      </c>
      <c r="F861" s="2">
        <v>39694</v>
      </c>
      <c r="G861" s="3" t="str">
        <f>HYPERLINK("https://cloud.oebiotech.com/#/lm/network/39694", "https://cloud.oebiotech.com/#/lm/network/39694")</f>
        <v>https://cloud.oebiotech.com/#/lm/network/39694</v>
      </c>
      <c r="H861" s="2"/>
      <c r="I861" s="2">
        <v>103054</v>
      </c>
      <c r="J861" s="2" t="s">
        <v>6089</v>
      </c>
      <c r="K861" s="2">
        <v>70698998</v>
      </c>
      <c r="L861" s="2"/>
      <c r="M861" s="2"/>
      <c r="N861" s="2"/>
      <c r="O861" s="2">
        <v>86516</v>
      </c>
      <c r="P861" s="2"/>
      <c r="Q861" s="2"/>
      <c r="R861" s="2"/>
      <c r="S861" s="2" t="s">
        <v>6090</v>
      </c>
      <c r="T861" s="2" t="s">
        <v>6091</v>
      </c>
      <c r="U861" s="2" t="s">
        <v>103</v>
      </c>
      <c r="V861" s="2" t="s">
        <v>1567</v>
      </c>
      <c r="W861" s="2" t="s">
        <v>1568</v>
      </c>
      <c r="X861" s="2" t="s">
        <v>83</v>
      </c>
      <c r="Y861" s="2">
        <v>44.9</v>
      </c>
      <c r="Z861" s="2">
        <v>0</v>
      </c>
      <c r="AA861" s="2" t="s">
        <v>395</v>
      </c>
      <c r="AB861" s="2" t="s">
        <v>6092</v>
      </c>
      <c r="AC861" s="2">
        <v>-4.8537600536581902</v>
      </c>
      <c r="AD861" s="2"/>
      <c r="AE861" s="2">
        <v>0.67437789147927996</v>
      </c>
      <c r="AF861" s="2">
        <v>52149.602672588997</v>
      </c>
      <c r="AG861" s="2">
        <v>64137.320866046197</v>
      </c>
      <c r="AH861" s="4">
        <v>0.81309293822088202</v>
      </c>
      <c r="AI861" s="4">
        <v>-0.29850783010589599</v>
      </c>
      <c r="AJ861" s="4" t="s">
        <v>62</v>
      </c>
      <c r="AK861" s="2">
        <v>0.13504396227320001</v>
      </c>
      <c r="AL861" s="2">
        <v>0.45558053561409101</v>
      </c>
      <c r="AM861" s="2">
        <v>33922.0037045032</v>
      </c>
      <c r="AN861" s="2">
        <v>39236.029723451298</v>
      </c>
      <c r="AO861" s="2">
        <v>51615.2804963546</v>
      </c>
      <c r="AP861" s="2">
        <v>57886.324265834999</v>
      </c>
      <c r="AQ861" s="2">
        <v>69303.4023089931</v>
      </c>
      <c r="AR861" s="2">
        <v>60934.575536396798</v>
      </c>
      <c r="AS861" s="2">
        <v>79285.617489314405</v>
      </c>
      <c r="AT861" s="2">
        <v>68329.834497022093</v>
      </c>
      <c r="AU861" s="2">
        <v>56825.088988742398</v>
      </c>
      <c r="AV861" s="2">
        <v>44252.112087713598</v>
      </c>
      <c r="AW861" s="2">
        <v>68569.847112250602</v>
      </c>
      <c r="AX861" s="2">
        <v>67561.425021233998</v>
      </c>
    </row>
    <row r="862" spans="1:50" x14ac:dyDescent="0.25">
      <c r="A862" s="2" t="s">
        <v>6093</v>
      </c>
      <c r="B862" s="2">
        <v>233.16562306802501</v>
      </c>
      <c r="C862" s="2">
        <v>5.1213666666666704</v>
      </c>
      <c r="D862" s="2" t="s">
        <v>51</v>
      </c>
      <c r="E862" s="2" t="s">
        <v>6094</v>
      </c>
      <c r="F862" s="2">
        <v>53236</v>
      </c>
      <c r="G862" s="3" t="str">
        <f>HYPERLINK("https://cloud.oebiotech.com/#/lm/network/53236", "https://cloud.oebiotech.com/#/lm/network/53236")</f>
        <v>https://cloud.oebiotech.com/#/lm/network/53236</v>
      </c>
      <c r="H862" s="2" t="s">
        <v>6095</v>
      </c>
      <c r="I862" s="2">
        <v>69205</v>
      </c>
      <c r="J862" s="2"/>
      <c r="K862" s="2">
        <v>77991</v>
      </c>
      <c r="L862" s="2" t="s">
        <v>6096</v>
      </c>
      <c r="M862" s="2"/>
      <c r="N862" s="2"/>
      <c r="O862" s="2">
        <v>8874</v>
      </c>
      <c r="P862" s="2" t="s">
        <v>6097</v>
      </c>
      <c r="Q862" s="2" t="s">
        <v>6098</v>
      </c>
      <c r="R862" s="2" t="s">
        <v>6099</v>
      </c>
      <c r="S862" s="2" t="s">
        <v>6100</v>
      </c>
      <c r="T862" s="2" t="s">
        <v>6101</v>
      </c>
      <c r="U862" s="2" t="s">
        <v>610</v>
      </c>
      <c r="V862" s="2" t="s">
        <v>611</v>
      </c>
      <c r="W862" s="2" t="s">
        <v>5617</v>
      </c>
      <c r="X862" s="2" t="s">
        <v>147</v>
      </c>
      <c r="Y862" s="2">
        <v>45</v>
      </c>
      <c r="Z862" s="2">
        <v>31.8</v>
      </c>
      <c r="AA862" s="2" t="s">
        <v>156</v>
      </c>
      <c r="AB862" s="2" t="s">
        <v>2477</v>
      </c>
      <c r="AC862" s="2">
        <v>3.1313491885450802</v>
      </c>
      <c r="AD862" s="2"/>
      <c r="AE862" s="2">
        <v>0.67408086612873097</v>
      </c>
      <c r="AF862" s="2">
        <v>3709.9917778250201</v>
      </c>
      <c r="AG862" s="2">
        <v>17438.228563860601</v>
      </c>
      <c r="AH862" s="4">
        <v>0.21275049608615099</v>
      </c>
      <c r="AI862" s="4">
        <v>-2.23276559893291</v>
      </c>
      <c r="AJ862" s="4" t="s">
        <v>62</v>
      </c>
      <c r="AK862" s="2">
        <v>0.163947494693681</v>
      </c>
      <c r="AL862" s="2">
        <v>0.484889968085291</v>
      </c>
      <c r="AM862" s="2">
        <v>4247.4504467626002</v>
      </c>
      <c r="AN862" s="2">
        <v>8.559877937157E-6</v>
      </c>
      <c r="AO862" s="2">
        <v>5230.8392108224098</v>
      </c>
      <c r="AP862" s="2">
        <v>12781.6609836855</v>
      </c>
      <c r="AQ862" s="2">
        <v>8.559877937157E-6</v>
      </c>
      <c r="AR862" s="2">
        <v>8.559877937157E-6</v>
      </c>
      <c r="AS862" s="2">
        <v>13991.145027553101</v>
      </c>
      <c r="AT862" s="2">
        <v>8.559877937157E-6</v>
      </c>
      <c r="AU862" s="2">
        <v>8.559877937157E-6</v>
      </c>
      <c r="AV862" s="2">
        <v>2142.92592673229</v>
      </c>
      <c r="AW862" s="2">
        <v>50873.9073434202</v>
      </c>
      <c r="AX862" s="2">
        <v>37621.393068338301</v>
      </c>
    </row>
    <row r="863" spans="1:50" x14ac:dyDescent="0.25">
      <c r="A863" s="2" t="s">
        <v>6102</v>
      </c>
      <c r="B863" s="2">
        <v>321.05920897741498</v>
      </c>
      <c r="C863" s="2">
        <v>5.8543500000000002</v>
      </c>
      <c r="D863" s="2" t="s">
        <v>51</v>
      </c>
      <c r="E863" s="2" t="s">
        <v>6103</v>
      </c>
      <c r="F863" s="2">
        <v>204209</v>
      </c>
      <c r="G863" s="3" t="str">
        <f>HYPERLINK("https://cloud.oebiotech.com/#/lm/network/204209", "https://cloud.oebiotech.com/#/lm/network/204209")</f>
        <v>https://cloud.oebiotech.com/#/lm/network/204209</v>
      </c>
      <c r="H863" s="2" t="s">
        <v>6104</v>
      </c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 t="s">
        <v>6105</v>
      </c>
      <c r="T863" s="2" t="s">
        <v>6106</v>
      </c>
      <c r="U863" s="2" t="s">
        <v>266</v>
      </c>
      <c r="V863" s="2" t="s">
        <v>6107</v>
      </c>
      <c r="W863" s="2" t="s">
        <v>240</v>
      </c>
      <c r="X863" s="2" t="s">
        <v>59</v>
      </c>
      <c r="Y863" s="2">
        <v>50.3</v>
      </c>
      <c r="Z863" s="2">
        <v>65.900000000000006</v>
      </c>
      <c r="AA863" s="2" t="s">
        <v>218</v>
      </c>
      <c r="AB863" s="2" t="s">
        <v>6108</v>
      </c>
      <c r="AC863" s="2">
        <v>2.7954986586942701</v>
      </c>
      <c r="AD863" s="2"/>
      <c r="AE863" s="2">
        <v>0.67401083005576001</v>
      </c>
      <c r="AF863" s="2">
        <v>26636.8497961061</v>
      </c>
      <c r="AG863" s="2">
        <v>36715.806072101601</v>
      </c>
      <c r="AH863" s="4">
        <v>0.72548726681357001</v>
      </c>
      <c r="AI863" s="4">
        <v>-0.46297780143080097</v>
      </c>
      <c r="AJ863" s="4" t="s">
        <v>62</v>
      </c>
      <c r="AK863" s="2">
        <v>3.3799045638876301E-3</v>
      </c>
      <c r="AL863" s="2">
        <v>0.1120315017845</v>
      </c>
      <c r="AM863" s="2">
        <v>20632.168457943299</v>
      </c>
      <c r="AN863" s="2">
        <v>30594.315929107601</v>
      </c>
      <c r="AO863" s="2">
        <v>27323.469171482699</v>
      </c>
      <c r="AP863" s="2">
        <v>25808.416061493601</v>
      </c>
      <c r="AQ863" s="2">
        <v>26973.1771362258</v>
      </c>
      <c r="AR863" s="2">
        <v>28489.552020383599</v>
      </c>
      <c r="AS863" s="2">
        <v>32688.990833774398</v>
      </c>
      <c r="AT863" s="2">
        <v>43473.225550368901</v>
      </c>
      <c r="AU863" s="2">
        <v>29981.9371096617</v>
      </c>
      <c r="AV863" s="2">
        <v>42989.875196506298</v>
      </c>
      <c r="AW863" s="2">
        <v>34279.415293691403</v>
      </c>
      <c r="AX863" s="2">
        <v>36881.392448607097</v>
      </c>
    </row>
    <row r="864" spans="1:50" x14ac:dyDescent="0.25">
      <c r="A864" s="2" t="s">
        <v>6109</v>
      </c>
      <c r="B864" s="2">
        <v>718.43155836651601</v>
      </c>
      <c r="C864" s="2">
        <v>11.5945</v>
      </c>
      <c r="D864" s="2" t="s">
        <v>51</v>
      </c>
      <c r="E864" s="2" t="s">
        <v>6110</v>
      </c>
      <c r="F864" s="2">
        <v>219968</v>
      </c>
      <c r="G864" s="3" t="str">
        <f>HYPERLINK("https://cloud.oebiotech.com/#/lm/network/219968", "https://cloud.oebiotech.com/#/lm/network/219968")</f>
        <v>https://cloud.oebiotech.com/#/lm/network/219968</v>
      </c>
      <c r="H864" s="2" t="s">
        <v>6111</v>
      </c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 t="s">
        <v>6112</v>
      </c>
      <c r="T864" s="2" t="s">
        <v>6113</v>
      </c>
      <c r="U864" s="2" t="s">
        <v>56</v>
      </c>
      <c r="V864" s="2" t="s">
        <v>57</v>
      </c>
      <c r="W864" s="2" t="s">
        <v>702</v>
      </c>
      <c r="X864" s="2" t="s">
        <v>83</v>
      </c>
      <c r="Y864" s="2">
        <v>40</v>
      </c>
      <c r="Z864" s="2">
        <v>0</v>
      </c>
      <c r="AA864" s="2" t="s">
        <v>512</v>
      </c>
      <c r="AB864" s="2" t="s">
        <v>6114</v>
      </c>
      <c r="AC864" s="2">
        <v>3.6885393745455302</v>
      </c>
      <c r="AD864" s="2"/>
      <c r="AE864" s="2">
        <v>0.67364592980147298</v>
      </c>
      <c r="AF864" s="2">
        <v>27043.432421349102</v>
      </c>
      <c r="AG864" s="2">
        <v>11135.3633543461</v>
      </c>
      <c r="AH864" s="5">
        <v>2.4286079906673299</v>
      </c>
      <c r="AI864" s="5">
        <v>1.2801296387751899</v>
      </c>
      <c r="AJ864" s="5" t="s">
        <v>139</v>
      </c>
      <c r="AK864" s="2">
        <v>6.2936612273114603E-2</v>
      </c>
      <c r="AL864" s="2">
        <v>0.33601027492909402</v>
      </c>
      <c r="AM864" s="2">
        <v>23638.8390512773</v>
      </c>
      <c r="AN864" s="2">
        <v>11915.255239546301</v>
      </c>
      <c r="AO864" s="2">
        <v>30535.040464650501</v>
      </c>
      <c r="AP864" s="2">
        <v>56576.751234579198</v>
      </c>
      <c r="AQ864" s="2">
        <v>26027.670399397099</v>
      </c>
      <c r="AR864" s="2">
        <v>13567.0381386439</v>
      </c>
      <c r="AS864" s="2">
        <v>6683.47494408684</v>
      </c>
      <c r="AT864" s="2">
        <v>19415.703887334101</v>
      </c>
      <c r="AU864" s="2">
        <v>24051.385611311402</v>
      </c>
      <c r="AV864" s="2">
        <v>12760.684934123699</v>
      </c>
      <c r="AW864" s="2">
        <v>1258.83020203673</v>
      </c>
      <c r="AX864" s="2">
        <v>2642.1005471837898</v>
      </c>
    </row>
    <row r="865" spans="1:50" x14ac:dyDescent="0.25">
      <c r="A865" s="2" t="s">
        <v>6115</v>
      </c>
      <c r="B865" s="2">
        <v>288.21787593388302</v>
      </c>
      <c r="C865" s="2">
        <v>5.7733833333333298</v>
      </c>
      <c r="D865" s="2" t="s">
        <v>51</v>
      </c>
      <c r="E865" s="2" t="s">
        <v>6116</v>
      </c>
      <c r="F865" s="2">
        <v>63625</v>
      </c>
      <c r="G865" s="3" t="str">
        <f>HYPERLINK("https://cloud.oebiotech.com/#/lm/network/63625", "https://cloud.oebiotech.com/#/lm/network/63625")</f>
        <v>https://cloud.oebiotech.com/#/lm/network/63625</v>
      </c>
      <c r="H865" s="2" t="s">
        <v>6117</v>
      </c>
      <c r="I865" s="2">
        <v>94961</v>
      </c>
      <c r="J865" s="2"/>
      <c r="K865" s="2">
        <v>61014</v>
      </c>
      <c r="L865" s="2"/>
      <c r="M865" s="2"/>
      <c r="N865" s="2"/>
      <c r="O865" s="2"/>
      <c r="P865" s="2"/>
      <c r="Q865" s="2"/>
      <c r="R865" s="2" t="s">
        <v>6118</v>
      </c>
      <c r="S865" s="2" t="s">
        <v>6119</v>
      </c>
      <c r="T865" s="2" t="s">
        <v>6120</v>
      </c>
      <c r="U865" s="2" t="s">
        <v>540</v>
      </c>
      <c r="V865" s="2" t="s">
        <v>563</v>
      </c>
      <c r="W865" s="2" t="s">
        <v>240</v>
      </c>
      <c r="X865" s="2" t="s">
        <v>59</v>
      </c>
      <c r="Y865" s="2">
        <v>47.7</v>
      </c>
      <c r="Z865" s="2">
        <v>46.3</v>
      </c>
      <c r="AA865" s="2" t="s">
        <v>512</v>
      </c>
      <c r="AB865" s="2" t="s">
        <v>6121</v>
      </c>
      <c r="AC865" s="2">
        <v>3.48316304817472</v>
      </c>
      <c r="AD865" s="2"/>
      <c r="AE865" s="2">
        <v>0.67311510775158201</v>
      </c>
      <c r="AF865" s="2">
        <v>77939.9754226574</v>
      </c>
      <c r="AG865" s="2">
        <v>48255.683294541202</v>
      </c>
      <c r="AH865" s="5">
        <v>1.61514603258087</v>
      </c>
      <c r="AI865" s="5">
        <v>0.69166461133137802</v>
      </c>
      <c r="AJ865" s="5" t="s">
        <v>139</v>
      </c>
      <c r="AK865" s="2">
        <v>0.124868939057715</v>
      </c>
      <c r="AL865" s="2">
        <v>0.44206731734385901</v>
      </c>
      <c r="AM865" s="2">
        <v>50584.934901237597</v>
      </c>
      <c r="AN865" s="2">
        <v>54572.644593236902</v>
      </c>
      <c r="AO865" s="2">
        <v>74484.295065124505</v>
      </c>
      <c r="AP865" s="2">
        <v>128663.126320102</v>
      </c>
      <c r="AQ865" s="2">
        <v>92784.675631315506</v>
      </c>
      <c r="AR865" s="2">
        <v>66550.176024928194</v>
      </c>
      <c r="AS865" s="2">
        <v>86770.818849845396</v>
      </c>
      <c r="AT865" s="2">
        <v>54114.028260858999</v>
      </c>
      <c r="AU865" s="2">
        <v>21149.0224225491</v>
      </c>
      <c r="AV865" s="2">
        <v>12178.8309821656</v>
      </c>
      <c r="AW865" s="2">
        <v>84694.480070933496</v>
      </c>
      <c r="AX865" s="2">
        <v>30626.9191808947</v>
      </c>
    </row>
    <row r="866" spans="1:50" x14ac:dyDescent="0.25">
      <c r="A866" s="2" t="s">
        <v>6122</v>
      </c>
      <c r="B866" s="2">
        <v>510.34393957946997</v>
      </c>
      <c r="C866" s="2">
        <v>13.43</v>
      </c>
      <c r="D866" s="2" t="s">
        <v>51</v>
      </c>
      <c r="E866" s="2" t="s">
        <v>6123</v>
      </c>
      <c r="F866" s="2">
        <v>48737</v>
      </c>
      <c r="G866" s="3" t="str">
        <f>HYPERLINK("https://cloud.oebiotech.com/#/lm/network/48737", "https://cloud.oebiotech.com/#/lm/network/48737")</f>
        <v>https://cloud.oebiotech.com/#/lm/network/48737</v>
      </c>
      <c r="H866" s="2" t="s">
        <v>6124</v>
      </c>
      <c r="I866" s="2"/>
      <c r="J866" s="2"/>
      <c r="K866" s="2">
        <v>5280613</v>
      </c>
      <c r="L866" s="2" t="s">
        <v>6125</v>
      </c>
      <c r="M866" s="2" t="s">
        <v>2204</v>
      </c>
      <c r="N866" s="2" t="s">
        <v>2205</v>
      </c>
      <c r="O866" s="2">
        <v>52897</v>
      </c>
      <c r="P866" s="2"/>
      <c r="Q866" s="2"/>
      <c r="R866" s="2" t="s">
        <v>6126</v>
      </c>
      <c r="S866" s="2" t="s">
        <v>6127</v>
      </c>
      <c r="T866" s="2" t="s">
        <v>6128</v>
      </c>
      <c r="U866" s="2" t="s">
        <v>56</v>
      </c>
      <c r="V866" s="2" t="s">
        <v>344</v>
      </c>
      <c r="W866" s="2" t="s">
        <v>1239</v>
      </c>
      <c r="X866" s="2" t="s">
        <v>147</v>
      </c>
      <c r="Y866" s="2">
        <v>38.5</v>
      </c>
      <c r="Z866" s="2">
        <v>0</v>
      </c>
      <c r="AA866" s="2" t="s">
        <v>218</v>
      </c>
      <c r="AB866" s="2" t="s">
        <v>6129</v>
      </c>
      <c r="AC866" s="2">
        <v>5.0899150970658696E-3</v>
      </c>
      <c r="AD866" s="2"/>
      <c r="AE866" s="2">
        <v>0.67273680124528401</v>
      </c>
      <c r="AF866" s="2">
        <v>28230.082817039802</v>
      </c>
      <c r="AG866" s="2">
        <v>12225.1599223509</v>
      </c>
      <c r="AH866" s="5">
        <v>2.3091790206709302</v>
      </c>
      <c r="AI866" s="5">
        <v>1.2073800233599901</v>
      </c>
      <c r="AJ866" s="5" t="s">
        <v>139</v>
      </c>
      <c r="AK866" s="2">
        <v>4.7316270140796098E-2</v>
      </c>
      <c r="AL866" s="2">
        <v>0.30528532168455502</v>
      </c>
      <c r="AM866" s="2">
        <v>11616.2928777611</v>
      </c>
      <c r="AN866" s="2">
        <v>39656.073138999804</v>
      </c>
      <c r="AO866" s="2">
        <v>38222.799926679203</v>
      </c>
      <c r="AP866" s="2">
        <v>46591.401136373199</v>
      </c>
      <c r="AQ866" s="2">
        <v>24250.594111472499</v>
      </c>
      <c r="AR866" s="2">
        <v>9043.3357109530698</v>
      </c>
      <c r="AS866" s="2">
        <v>5615.4591545852199</v>
      </c>
      <c r="AT866" s="2">
        <v>17575.654697502101</v>
      </c>
      <c r="AU866" s="2">
        <v>7548.5687178018397</v>
      </c>
      <c r="AV866" s="2">
        <v>3663.25753660596</v>
      </c>
      <c r="AW866" s="2">
        <v>18134.788302015098</v>
      </c>
      <c r="AX866" s="2">
        <v>20813.231125595201</v>
      </c>
    </row>
    <row r="867" spans="1:50" x14ac:dyDescent="0.25">
      <c r="A867" s="2" t="s">
        <v>6130</v>
      </c>
      <c r="B867" s="2">
        <v>399.25188359619898</v>
      </c>
      <c r="C867" s="2">
        <v>15.1111166666667</v>
      </c>
      <c r="D867" s="2" t="s">
        <v>51</v>
      </c>
      <c r="E867" s="2" t="s">
        <v>6131</v>
      </c>
      <c r="F867" s="2">
        <v>212673</v>
      </c>
      <c r="G867" s="3" t="str">
        <f>HYPERLINK("https://cloud.oebiotech.com/#/lm/network/212673", "https://cloud.oebiotech.com/#/lm/network/212673")</f>
        <v>https://cloud.oebiotech.com/#/lm/network/212673</v>
      </c>
      <c r="H867" s="2" t="s">
        <v>6132</v>
      </c>
      <c r="I867" s="2">
        <v>70068</v>
      </c>
      <c r="J867" s="2"/>
      <c r="K867" s="2">
        <v>6540</v>
      </c>
      <c r="L867" s="2" t="s">
        <v>6133</v>
      </c>
      <c r="M867" s="2"/>
      <c r="N867" s="2"/>
      <c r="O867" s="2">
        <v>35038</v>
      </c>
      <c r="P867" s="2"/>
      <c r="Q867" s="2"/>
      <c r="R867" s="2" t="s">
        <v>6134</v>
      </c>
      <c r="S867" s="2" t="s">
        <v>6135</v>
      </c>
      <c r="T867" s="2" t="s">
        <v>6136</v>
      </c>
      <c r="U867" s="2" t="s">
        <v>103</v>
      </c>
      <c r="V867" s="2" t="s">
        <v>1567</v>
      </c>
      <c r="W867" s="2" t="s">
        <v>1568</v>
      </c>
      <c r="X867" s="2" t="s">
        <v>59</v>
      </c>
      <c r="Y867" s="2">
        <v>51.4</v>
      </c>
      <c r="Z867" s="2">
        <v>92.8</v>
      </c>
      <c r="AA867" s="2" t="s">
        <v>259</v>
      </c>
      <c r="AB867" s="2" t="s">
        <v>6137</v>
      </c>
      <c r="AC867" s="2">
        <v>3.1813376928258301</v>
      </c>
      <c r="AD867" s="2"/>
      <c r="AE867" s="2">
        <v>0.67128866200721604</v>
      </c>
      <c r="AF867" s="2">
        <v>101146.164847237</v>
      </c>
      <c r="AG867" s="2">
        <v>122828.26496255799</v>
      </c>
      <c r="AH867" s="4">
        <v>0.823476297398402</v>
      </c>
      <c r="AI867" s="4">
        <v>-0.28020097027624702</v>
      </c>
      <c r="AJ867" s="4" t="s">
        <v>62</v>
      </c>
      <c r="AK867" s="2">
        <v>0.14462923912284001</v>
      </c>
      <c r="AL867" s="2">
        <v>0.46795150714190697</v>
      </c>
      <c r="AM867" s="2">
        <v>84074.6939169377</v>
      </c>
      <c r="AN867" s="2">
        <v>102376.25154432</v>
      </c>
      <c r="AO867" s="2">
        <v>97750.858235985303</v>
      </c>
      <c r="AP867" s="2">
        <v>103096.95360370399</v>
      </c>
      <c r="AQ867" s="2">
        <v>123335.383212274</v>
      </c>
      <c r="AR867" s="2">
        <v>96242.848570199203</v>
      </c>
      <c r="AS867" s="2">
        <v>146043.35949391199</v>
      </c>
      <c r="AT867" s="2">
        <v>169680.44257651901</v>
      </c>
      <c r="AU867" s="2">
        <v>125814.96717900599</v>
      </c>
      <c r="AV867" s="2">
        <v>86862.022770916403</v>
      </c>
      <c r="AW867" s="2">
        <v>97840.948261584694</v>
      </c>
      <c r="AX867" s="2">
        <v>110727.849493407</v>
      </c>
    </row>
    <row r="868" spans="1:50" x14ac:dyDescent="0.25">
      <c r="A868" s="2" t="s">
        <v>6138</v>
      </c>
      <c r="B868" s="2">
        <v>241.03014266595301</v>
      </c>
      <c r="C868" s="2">
        <v>0.68110000000000004</v>
      </c>
      <c r="D868" s="2" t="s">
        <v>51</v>
      </c>
      <c r="E868" s="2" t="s">
        <v>6139</v>
      </c>
      <c r="F868" s="2">
        <v>256585</v>
      </c>
      <c r="G868" s="3" t="str">
        <f>HYPERLINK("https://cloud.oebiotech.com/#/lm/network/256585", "https://cloud.oebiotech.com/#/lm/network/256585")</f>
        <v>https://cloud.oebiotech.com/#/lm/network/256585</v>
      </c>
      <c r="H868" s="2" t="s">
        <v>6140</v>
      </c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 t="s">
        <v>6141</v>
      </c>
      <c r="T868" s="2" t="s">
        <v>6142</v>
      </c>
      <c r="U868" s="2" t="s">
        <v>103</v>
      </c>
      <c r="V868" s="2" t="s">
        <v>377</v>
      </c>
      <c r="W868" s="2" t="s">
        <v>378</v>
      </c>
      <c r="X868" s="2" t="s">
        <v>147</v>
      </c>
      <c r="Y868" s="2">
        <v>38.6</v>
      </c>
      <c r="Z868" s="2">
        <v>0</v>
      </c>
      <c r="AA868" s="2" t="s">
        <v>60</v>
      </c>
      <c r="AB868" s="2" t="s">
        <v>6143</v>
      </c>
      <c r="AC868" s="2">
        <v>3.09582919978223</v>
      </c>
      <c r="AD868" s="2"/>
      <c r="AE868" s="2">
        <v>0.66962629807589202</v>
      </c>
      <c r="AF868" s="2">
        <v>7090.7333111959697</v>
      </c>
      <c r="AG868" s="2">
        <v>49719.801925519503</v>
      </c>
      <c r="AH868" s="4">
        <v>0.14261386885285501</v>
      </c>
      <c r="AI868" s="4">
        <v>-2.80981380768961</v>
      </c>
      <c r="AJ868" s="4" t="s">
        <v>62</v>
      </c>
      <c r="AK868" s="2">
        <v>0.28042402558652102</v>
      </c>
      <c r="AL868" s="2">
        <v>0.59978920543246905</v>
      </c>
      <c r="AM868" s="2">
        <v>5533.1971535124003</v>
      </c>
      <c r="AN868" s="2">
        <v>9985.5923043393705</v>
      </c>
      <c r="AO868" s="2">
        <v>3451.48483711268</v>
      </c>
      <c r="AP868" s="2">
        <v>9080.7118286985406</v>
      </c>
      <c r="AQ868" s="2">
        <v>10574.5241599291</v>
      </c>
      <c r="AR868" s="2">
        <v>3918.8895835837002</v>
      </c>
      <c r="AS868" s="2">
        <v>29884.813569715101</v>
      </c>
      <c r="AT868" s="2">
        <v>235518.58716527501</v>
      </c>
      <c r="AU868" s="2">
        <v>11650.217448798099</v>
      </c>
      <c r="AV868" s="2">
        <v>7476.4876109982197</v>
      </c>
      <c r="AW868" s="2">
        <v>5721.4656033867004</v>
      </c>
      <c r="AX868" s="2">
        <v>8067.24015494371</v>
      </c>
    </row>
    <row r="869" spans="1:50" x14ac:dyDescent="0.25">
      <c r="A869" s="2" t="s">
        <v>6144</v>
      </c>
      <c r="B869" s="2">
        <v>369.17428520931799</v>
      </c>
      <c r="C869" s="2">
        <v>7.7465999999999999</v>
      </c>
      <c r="D869" s="2" t="s">
        <v>51</v>
      </c>
      <c r="E869" s="2" t="s">
        <v>6145</v>
      </c>
      <c r="F869" s="2">
        <v>46669</v>
      </c>
      <c r="G869" s="3" t="str">
        <f>HYPERLINK("https://cloud.oebiotech.com/#/lm/network/46669", "https://cloud.oebiotech.com/#/lm/network/46669")</f>
        <v>https://cloud.oebiotech.com/#/lm/network/46669</v>
      </c>
      <c r="H869" s="2" t="s">
        <v>6146</v>
      </c>
      <c r="I869" s="2">
        <v>3559</v>
      </c>
      <c r="J869" s="2" t="s">
        <v>6147</v>
      </c>
      <c r="K869" s="2">
        <v>159663</v>
      </c>
      <c r="L869" s="2" t="s">
        <v>6148</v>
      </c>
      <c r="M869" s="2" t="s">
        <v>2681</v>
      </c>
      <c r="N869" s="2" t="s">
        <v>2682</v>
      </c>
      <c r="O869" s="2">
        <v>83037</v>
      </c>
      <c r="P869" s="2"/>
      <c r="Q869" s="2"/>
      <c r="R869" s="2" t="s">
        <v>6149</v>
      </c>
      <c r="S869" s="2" t="s">
        <v>6150</v>
      </c>
      <c r="T869" s="2" t="s">
        <v>6151</v>
      </c>
      <c r="U869" s="2" t="s">
        <v>56</v>
      </c>
      <c r="V869" s="2" t="s">
        <v>283</v>
      </c>
      <c r="W869" s="2" t="s">
        <v>2305</v>
      </c>
      <c r="X869" s="2" t="s">
        <v>83</v>
      </c>
      <c r="Y869" s="2">
        <v>45.2</v>
      </c>
      <c r="Z869" s="2">
        <v>1.91</v>
      </c>
      <c r="AA869" s="2" t="s">
        <v>163</v>
      </c>
      <c r="AB869" s="2" t="s">
        <v>6152</v>
      </c>
      <c r="AC869" s="2">
        <v>0.44999943408106702</v>
      </c>
      <c r="AD869" s="2"/>
      <c r="AE869" s="2">
        <v>0.66765201390221396</v>
      </c>
      <c r="AF869" s="2">
        <v>407830.05780872802</v>
      </c>
      <c r="AG869" s="2">
        <v>291458.22941376799</v>
      </c>
      <c r="AH869" s="5">
        <v>1.39927446423121</v>
      </c>
      <c r="AI869" s="5">
        <v>0.484678971329426</v>
      </c>
      <c r="AJ869" s="5" t="s">
        <v>139</v>
      </c>
      <c r="AK869" s="2">
        <v>0.59081348483338003</v>
      </c>
      <c r="AL869" s="2">
        <v>0.79384060507313303</v>
      </c>
      <c r="AM869" s="2">
        <v>97755.625025807196</v>
      </c>
      <c r="AN869" s="2">
        <v>178822.4010176</v>
      </c>
      <c r="AO869" s="2">
        <v>1038372.83559985</v>
      </c>
      <c r="AP869" s="2">
        <v>949484.64993297402</v>
      </c>
      <c r="AQ869" s="2">
        <v>171913.23458906001</v>
      </c>
      <c r="AR869" s="2">
        <v>10631.600687075699</v>
      </c>
      <c r="AS869" s="2">
        <v>256029.22120719301</v>
      </c>
      <c r="AT869" s="2">
        <v>349454.46898730099</v>
      </c>
      <c r="AU869" s="2">
        <v>125233.86385003501</v>
      </c>
      <c r="AV869" s="2">
        <v>722546.83368720405</v>
      </c>
      <c r="AW869" s="2">
        <v>99950.392858598498</v>
      </c>
      <c r="AX869" s="2">
        <v>195534.595892279</v>
      </c>
    </row>
    <row r="870" spans="1:50" x14ac:dyDescent="0.25">
      <c r="A870" s="2" t="s">
        <v>6153</v>
      </c>
      <c r="B870" s="2">
        <v>319.15501637250202</v>
      </c>
      <c r="C870" s="2">
        <v>6.8908500000000004</v>
      </c>
      <c r="D870" s="2" t="s">
        <v>51</v>
      </c>
      <c r="E870" s="2" t="s">
        <v>6154</v>
      </c>
      <c r="F870" s="2">
        <v>28249</v>
      </c>
      <c r="G870" s="3" t="str">
        <f>HYPERLINK("https://cloud.oebiotech.com/#/lm/network/28249", "https://cloud.oebiotech.com/#/lm/network/28249")</f>
        <v>https://cloud.oebiotech.com/#/lm/network/28249</v>
      </c>
      <c r="H870" s="2"/>
      <c r="I870" s="2">
        <v>40980</v>
      </c>
      <c r="J870" s="2" t="s">
        <v>6155</v>
      </c>
      <c r="K870" s="2">
        <v>5281576</v>
      </c>
      <c r="L870" s="2" t="s">
        <v>6156</v>
      </c>
      <c r="M870" s="2"/>
      <c r="N870" s="2"/>
      <c r="O870" s="2">
        <v>10106</v>
      </c>
      <c r="P870" s="2"/>
      <c r="Q870" s="2"/>
      <c r="R870" s="2"/>
      <c r="S870" s="2" t="s">
        <v>6157</v>
      </c>
      <c r="T870" s="2" t="s">
        <v>6158</v>
      </c>
      <c r="U870" s="2" t="s">
        <v>540</v>
      </c>
      <c r="V870" s="2" t="s">
        <v>563</v>
      </c>
      <c r="W870" s="2" t="s">
        <v>6159</v>
      </c>
      <c r="X870" s="2" t="s">
        <v>59</v>
      </c>
      <c r="Y870" s="2">
        <v>51.1</v>
      </c>
      <c r="Z870" s="2">
        <v>62.5</v>
      </c>
      <c r="AA870" s="2" t="s">
        <v>259</v>
      </c>
      <c r="AB870" s="2" t="s">
        <v>6160</v>
      </c>
      <c r="AC870" s="2">
        <v>3.1939262156256301</v>
      </c>
      <c r="AD870" s="2"/>
      <c r="AE870" s="2">
        <v>0.66668521387722102</v>
      </c>
      <c r="AF870" s="2">
        <v>14537.7373906878</v>
      </c>
      <c r="AG870" s="2">
        <v>30991.1609127638</v>
      </c>
      <c r="AH870" s="4">
        <v>0.46909302402738901</v>
      </c>
      <c r="AI870" s="4">
        <v>-1.0920540484894601</v>
      </c>
      <c r="AJ870" s="4" t="s">
        <v>62</v>
      </c>
      <c r="AK870" s="2">
        <v>0.198914873487373</v>
      </c>
      <c r="AL870" s="2">
        <v>0.52277893045353296</v>
      </c>
      <c r="AM870" s="2">
        <v>10335.7848679938</v>
      </c>
      <c r="AN870" s="2">
        <v>7381.0994795749102</v>
      </c>
      <c r="AO870" s="2">
        <v>26031.7982439761</v>
      </c>
      <c r="AP870" s="2">
        <v>757.08341511567903</v>
      </c>
      <c r="AQ870" s="2">
        <v>9805.9473400203806</v>
      </c>
      <c r="AR870" s="2">
        <v>32914.710997445902</v>
      </c>
      <c r="AS870" s="2">
        <v>18231.1610455234</v>
      </c>
      <c r="AT870" s="2">
        <v>12629.690977664901</v>
      </c>
      <c r="AU870" s="2">
        <v>29903.196349040201</v>
      </c>
      <c r="AV870" s="2">
        <v>76930.919767735293</v>
      </c>
      <c r="AW870" s="2">
        <v>44544.494726851299</v>
      </c>
      <c r="AX870" s="2">
        <v>3707.5026097677801</v>
      </c>
    </row>
    <row r="871" spans="1:50" x14ac:dyDescent="0.25">
      <c r="A871" s="2" t="s">
        <v>6161</v>
      </c>
      <c r="B871" s="2">
        <v>421.29614123590801</v>
      </c>
      <c r="C871" s="2">
        <v>11.3173666666667</v>
      </c>
      <c r="D871" s="2" t="s">
        <v>51</v>
      </c>
      <c r="E871" s="2" t="s">
        <v>6162</v>
      </c>
      <c r="F871" s="2">
        <v>46172</v>
      </c>
      <c r="G871" s="3" t="str">
        <f>HYPERLINK("https://cloud.oebiotech.com/#/lm/network/46172", "https://cloud.oebiotech.com/#/lm/network/46172")</f>
        <v>https://cloud.oebiotech.com/#/lm/network/46172</v>
      </c>
      <c r="H871" s="2"/>
      <c r="I871" s="2">
        <v>57906</v>
      </c>
      <c r="J871" s="2" t="s">
        <v>6163</v>
      </c>
      <c r="K871" s="2">
        <v>44263353</v>
      </c>
      <c r="L871" s="2"/>
      <c r="M871" s="2"/>
      <c r="N871" s="2"/>
      <c r="O871" s="2"/>
      <c r="P871" s="2"/>
      <c r="Q871" s="2"/>
      <c r="R871" s="2"/>
      <c r="S871" s="2" t="s">
        <v>6164</v>
      </c>
      <c r="T871" s="2" t="s">
        <v>6165</v>
      </c>
      <c r="U871" s="2" t="s">
        <v>56</v>
      </c>
      <c r="V871" s="2" t="s">
        <v>283</v>
      </c>
      <c r="W871" s="2" t="s">
        <v>2042</v>
      </c>
      <c r="X871" s="2" t="s">
        <v>147</v>
      </c>
      <c r="Y871" s="2">
        <v>41.3</v>
      </c>
      <c r="Z871" s="2">
        <v>8.93</v>
      </c>
      <c r="AA871" s="2" t="s">
        <v>6166</v>
      </c>
      <c r="AB871" s="2" t="s">
        <v>6167</v>
      </c>
      <c r="AC871" s="2">
        <v>0.51348813645059699</v>
      </c>
      <c r="AD871" s="2"/>
      <c r="AE871" s="2">
        <v>0.66618850749385305</v>
      </c>
      <c r="AF871" s="2">
        <v>37992.466326820402</v>
      </c>
      <c r="AG871" s="2">
        <v>4804.6235343415801</v>
      </c>
      <c r="AH871" s="5">
        <v>7.9074803791108703</v>
      </c>
      <c r="AI871" s="5">
        <v>2.9832180709773102</v>
      </c>
      <c r="AJ871" s="5" t="s">
        <v>139</v>
      </c>
      <c r="AK871" s="2">
        <v>0.29234247158036197</v>
      </c>
      <c r="AL871" s="2">
        <v>0.60553329689908297</v>
      </c>
      <c r="AM871" s="2">
        <v>346.69408124393101</v>
      </c>
      <c r="AN871" s="2">
        <v>1126.56166599774</v>
      </c>
      <c r="AO871" s="2">
        <v>1775.5846301335</v>
      </c>
      <c r="AP871" s="2">
        <v>2589.02897959341</v>
      </c>
      <c r="AQ871" s="2">
        <v>183699.78479850499</v>
      </c>
      <c r="AR871" s="2">
        <v>38417.143805448701</v>
      </c>
      <c r="AS871" s="2">
        <v>1286.19449160063</v>
      </c>
      <c r="AT871" s="2">
        <v>1330.54643449578</v>
      </c>
      <c r="AU871" s="2">
        <v>14859.657095856101</v>
      </c>
      <c r="AV871" s="2">
        <v>9138.0473730277699</v>
      </c>
      <c r="AW871" s="2">
        <v>1192.00399252683</v>
      </c>
      <c r="AX871" s="2">
        <v>1021.2918185424001</v>
      </c>
    </row>
    <row r="872" spans="1:50" x14ac:dyDescent="0.25">
      <c r="A872" s="2" t="s">
        <v>6168</v>
      </c>
      <c r="B872" s="2">
        <v>182.19084195591699</v>
      </c>
      <c r="C872" s="2">
        <v>14.687799999999999</v>
      </c>
      <c r="D872" s="2" t="s">
        <v>51</v>
      </c>
      <c r="E872" s="2" t="s">
        <v>6169</v>
      </c>
      <c r="F872" s="2">
        <v>205863</v>
      </c>
      <c r="G872" s="3" t="str">
        <f>HYPERLINK("https://cloud.oebiotech.com/#/lm/network/205863", "https://cloud.oebiotech.com/#/lm/network/205863")</f>
        <v>https://cloud.oebiotech.com/#/lm/network/205863</v>
      </c>
      <c r="H872" s="2" t="s">
        <v>6170</v>
      </c>
      <c r="I872" s="2">
        <v>70260</v>
      </c>
      <c r="J872" s="2"/>
      <c r="K872" s="2">
        <v>7582</v>
      </c>
      <c r="L872" s="2" t="s">
        <v>6171</v>
      </c>
      <c r="M872" s="2"/>
      <c r="N872" s="2"/>
      <c r="O872" s="2"/>
      <c r="P872" s="2"/>
      <c r="Q872" s="2"/>
      <c r="R872" s="2" t="s">
        <v>6172</v>
      </c>
      <c r="S872" s="2" t="s">
        <v>6173</v>
      </c>
      <c r="T872" s="2" t="s">
        <v>6174</v>
      </c>
      <c r="U872" s="2" t="s">
        <v>119</v>
      </c>
      <c r="V872" s="2" t="s">
        <v>120</v>
      </c>
      <c r="W872" s="2" t="s">
        <v>6175</v>
      </c>
      <c r="X872" s="2" t="s">
        <v>147</v>
      </c>
      <c r="Y872" s="2">
        <v>42.2</v>
      </c>
      <c r="Z872" s="2">
        <v>17.7</v>
      </c>
      <c r="AA872" s="2" t="s">
        <v>259</v>
      </c>
      <c r="AB872" s="2" t="s">
        <v>6176</v>
      </c>
      <c r="AC872" s="2">
        <v>2.8467426031141598</v>
      </c>
      <c r="AD872" s="2"/>
      <c r="AE872" s="2">
        <v>0.665491622340456</v>
      </c>
      <c r="AF872" s="2">
        <v>60780.733631484502</v>
      </c>
      <c r="AG872" s="2">
        <v>71999.310348054598</v>
      </c>
      <c r="AH872" s="4">
        <v>0.84418494201766803</v>
      </c>
      <c r="AI872" s="4">
        <v>-0.24436899915037699</v>
      </c>
      <c r="AJ872" s="4" t="s">
        <v>62</v>
      </c>
      <c r="AK872" s="2">
        <v>3.4165922880931801E-2</v>
      </c>
      <c r="AL872" s="2">
        <v>0.27081853690800001</v>
      </c>
      <c r="AM872" s="2">
        <v>49545.793199227897</v>
      </c>
      <c r="AN872" s="2">
        <v>63138.3093322145</v>
      </c>
      <c r="AO872" s="2">
        <v>61387.944187506597</v>
      </c>
      <c r="AP872" s="2">
        <v>67437.068445430996</v>
      </c>
      <c r="AQ872" s="2">
        <v>68236.109293758404</v>
      </c>
      <c r="AR872" s="2">
        <v>54939.177330768798</v>
      </c>
      <c r="AS872" s="2">
        <v>76267.988163093105</v>
      </c>
      <c r="AT872" s="2">
        <v>84819.701073026707</v>
      </c>
      <c r="AU872" s="2">
        <v>62236.808200336702</v>
      </c>
      <c r="AV872" s="2">
        <v>76200.713249243199</v>
      </c>
      <c r="AW872" s="2">
        <v>66411.514207776403</v>
      </c>
      <c r="AX872" s="2">
        <v>66059.137194851297</v>
      </c>
    </row>
    <row r="873" spans="1:50" x14ac:dyDescent="0.25">
      <c r="A873" s="2" t="s">
        <v>6177</v>
      </c>
      <c r="B873" s="2">
        <v>131.05500000000001</v>
      </c>
      <c r="C873" s="2">
        <v>7.8259999999999996</v>
      </c>
      <c r="D873" s="2" t="s">
        <v>125</v>
      </c>
      <c r="E873" s="2" t="s">
        <v>6178</v>
      </c>
      <c r="F873" s="2">
        <v>1650</v>
      </c>
      <c r="G873" s="3" t="str">
        <f>HYPERLINK("https://cloud.oebiotech.com/#/lm/network/1650", "https://cloud.oebiotech.com/#/lm/network/1650")</f>
        <v>https://cloud.oebiotech.com/#/lm/network/1650</v>
      </c>
      <c r="H873" s="2" t="s">
        <v>6179</v>
      </c>
      <c r="I873" s="2"/>
      <c r="J873" s="2" t="s">
        <v>6180</v>
      </c>
      <c r="K873" s="2">
        <v>11266</v>
      </c>
      <c r="L873" s="2" t="s">
        <v>6181</v>
      </c>
      <c r="M873" s="2" t="s">
        <v>6182</v>
      </c>
      <c r="N873" s="2" t="s">
        <v>6183</v>
      </c>
      <c r="O873" s="2">
        <v>1148</v>
      </c>
      <c r="P873" s="2"/>
      <c r="Q873" s="2"/>
      <c r="R873" s="2"/>
      <c r="S873" s="2" t="s">
        <v>6184</v>
      </c>
      <c r="T873" s="2" t="s">
        <v>6185</v>
      </c>
      <c r="U873" s="2" t="s">
        <v>103</v>
      </c>
      <c r="V873" s="2" t="s">
        <v>377</v>
      </c>
      <c r="W873" s="2" t="s">
        <v>2285</v>
      </c>
      <c r="X873" s="2" t="s">
        <v>69</v>
      </c>
      <c r="Y873" s="2">
        <v>98.3</v>
      </c>
      <c r="Z873" s="2">
        <v>99.7</v>
      </c>
      <c r="AA873" s="2"/>
      <c r="AB873" s="2" t="s">
        <v>6186</v>
      </c>
      <c r="AC873" s="2"/>
      <c r="AD873" s="2">
        <v>260337.78304682899</v>
      </c>
      <c r="AE873" s="2">
        <v>0.66469823925497695</v>
      </c>
      <c r="AF873" s="2">
        <v>1269181.8136108599</v>
      </c>
      <c r="AG873" s="2">
        <v>946114.76078483195</v>
      </c>
      <c r="AH873" s="5">
        <v>1.3414670885781601</v>
      </c>
      <c r="AI873" s="5">
        <v>0.42381166009413701</v>
      </c>
      <c r="AJ873" s="5" t="s">
        <v>139</v>
      </c>
      <c r="AK873" s="2">
        <v>0.159732896952757</v>
      </c>
      <c r="AL873" s="2">
        <v>0.482327607117922</v>
      </c>
      <c r="AM873" s="2">
        <v>1070308.4148761299</v>
      </c>
      <c r="AN873" s="2">
        <v>1047569.3405338899</v>
      </c>
      <c r="AO873" s="2">
        <v>1709979.8090103599</v>
      </c>
      <c r="AP873" s="2">
        <v>1805964.58851244</v>
      </c>
      <c r="AQ873" s="2">
        <v>572023.45418729202</v>
      </c>
      <c r="AR873" s="2">
        <v>1409245.27454502</v>
      </c>
      <c r="AS873" s="2">
        <v>634379.31565493206</v>
      </c>
      <c r="AT873" s="2">
        <v>690415.49551848904</v>
      </c>
      <c r="AU873" s="2">
        <v>1173464.46902163</v>
      </c>
      <c r="AV873" s="2">
        <v>1149152.7073422901</v>
      </c>
      <c r="AW873" s="2">
        <v>926686.18031069997</v>
      </c>
      <c r="AX873" s="2">
        <v>1102590.3968609499</v>
      </c>
    </row>
    <row r="874" spans="1:50" x14ac:dyDescent="0.25">
      <c r="A874" s="2" t="s">
        <v>6187</v>
      </c>
      <c r="B874" s="2">
        <v>419.15311478218302</v>
      </c>
      <c r="C874" s="2">
        <v>10.74095</v>
      </c>
      <c r="D874" s="2" t="s">
        <v>51</v>
      </c>
      <c r="E874" s="2" t="s">
        <v>6188</v>
      </c>
      <c r="F874" s="2">
        <v>63149</v>
      </c>
      <c r="G874" s="3" t="str">
        <f>HYPERLINK("https://cloud.oebiotech.com/#/lm/network/63149", "https://cloud.oebiotech.com/#/lm/network/63149")</f>
        <v>https://cloud.oebiotech.com/#/lm/network/63149</v>
      </c>
      <c r="H874" s="2" t="s">
        <v>6189</v>
      </c>
      <c r="I874" s="2">
        <v>94456</v>
      </c>
      <c r="J874" s="2"/>
      <c r="K874" s="2">
        <v>129847853</v>
      </c>
      <c r="L874" s="2"/>
      <c r="M874" s="2"/>
      <c r="N874" s="2"/>
      <c r="O874" s="2">
        <v>175536</v>
      </c>
      <c r="P874" s="2"/>
      <c r="Q874" s="2"/>
      <c r="R874" s="2"/>
      <c r="S874" s="2" t="s">
        <v>6190</v>
      </c>
      <c r="T874" s="2" t="s">
        <v>6191</v>
      </c>
      <c r="U874" s="2" t="s">
        <v>266</v>
      </c>
      <c r="V874" s="2" t="s">
        <v>1785</v>
      </c>
      <c r="W874" s="2" t="s">
        <v>1786</v>
      </c>
      <c r="X874" s="2" t="s">
        <v>83</v>
      </c>
      <c r="Y874" s="2">
        <v>43.1</v>
      </c>
      <c r="Z874" s="2">
        <v>2.3800000000000002E-3</v>
      </c>
      <c r="AA874" s="2" t="s">
        <v>379</v>
      </c>
      <c r="AB874" s="2" t="s">
        <v>6192</v>
      </c>
      <c r="AC874" s="2">
        <v>7.0811480578261801</v>
      </c>
      <c r="AD874" s="2"/>
      <c r="AE874" s="2">
        <v>0.66336170435109998</v>
      </c>
      <c r="AF874" s="2">
        <v>31105.695148429899</v>
      </c>
      <c r="AG874" s="2">
        <v>20053.332381544202</v>
      </c>
      <c r="AH874" s="5">
        <v>1.5511484354120399</v>
      </c>
      <c r="AI874" s="5">
        <v>0.63333675006596701</v>
      </c>
      <c r="AJ874" s="5" t="s">
        <v>139</v>
      </c>
      <c r="AK874" s="2">
        <v>4.6787794638753002E-3</v>
      </c>
      <c r="AL874" s="2">
        <v>0.12174388396289799</v>
      </c>
      <c r="AM874" s="2">
        <v>30360.069658508201</v>
      </c>
      <c r="AN874" s="2">
        <v>33915.588583794102</v>
      </c>
      <c r="AO874" s="2">
        <v>30411.821254184899</v>
      </c>
      <c r="AP874" s="2">
        <v>21967.968969845999</v>
      </c>
      <c r="AQ874" s="2">
        <v>33918.826223348602</v>
      </c>
      <c r="AR874" s="2">
        <v>36059.8962008979</v>
      </c>
      <c r="AS874" s="2">
        <v>19845.666270336002</v>
      </c>
      <c r="AT874" s="2">
        <v>13350.0336063824</v>
      </c>
      <c r="AU874" s="2">
        <v>19619.490591427599</v>
      </c>
      <c r="AV874" s="2">
        <v>28523.515785484298</v>
      </c>
      <c r="AW874" s="2">
        <v>23791.904633177001</v>
      </c>
      <c r="AX874" s="2">
        <v>15189.383402458199</v>
      </c>
    </row>
    <row r="875" spans="1:50" x14ac:dyDescent="0.25">
      <c r="A875" s="2" t="s">
        <v>6193</v>
      </c>
      <c r="B875" s="2">
        <v>333.20696791791602</v>
      </c>
      <c r="C875" s="2">
        <v>7.5096166666666697</v>
      </c>
      <c r="D875" s="2" t="s">
        <v>51</v>
      </c>
      <c r="E875" s="2" t="s">
        <v>6194</v>
      </c>
      <c r="F875" s="2">
        <v>202699</v>
      </c>
      <c r="G875" s="3" t="str">
        <f>HYPERLINK("https://cloud.oebiotech.com/#/lm/network/202699", "https://cloud.oebiotech.com/#/lm/network/202699")</f>
        <v>https://cloud.oebiotech.com/#/lm/network/202699</v>
      </c>
      <c r="H875" s="2" t="s">
        <v>6195</v>
      </c>
      <c r="I875" s="2"/>
      <c r="J875" s="2"/>
      <c r="K875" s="2">
        <v>5229250</v>
      </c>
      <c r="L875" s="2"/>
      <c r="M875" s="2"/>
      <c r="N875" s="2"/>
      <c r="O875" s="2"/>
      <c r="P875" s="2"/>
      <c r="Q875" s="2"/>
      <c r="R875" s="2"/>
      <c r="S875" s="2" t="s">
        <v>6196</v>
      </c>
      <c r="T875" s="2" t="s">
        <v>6197</v>
      </c>
      <c r="U875" s="2" t="s">
        <v>56</v>
      </c>
      <c r="V875" s="2" t="s">
        <v>145</v>
      </c>
      <c r="W875" s="2" t="s">
        <v>187</v>
      </c>
      <c r="X875" s="2" t="s">
        <v>69</v>
      </c>
      <c r="Y875" s="2">
        <v>71.8</v>
      </c>
      <c r="Z875" s="2">
        <v>72.900000000000006</v>
      </c>
      <c r="AA875" s="2" t="s">
        <v>156</v>
      </c>
      <c r="AB875" s="2" t="s">
        <v>950</v>
      </c>
      <c r="AC875" s="2">
        <v>2.6615739543561001</v>
      </c>
      <c r="AD875" s="2"/>
      <c r="AE875" s="2">
        <v>0.66284445240613199</v>
      </c>
      <c r="AF875" s="2">
        <v>24155.595151379599</v>
      </c>
      <c r="AG875" s="2">
        <v>13622.2115820982</v>
      </c>
      <c r="AH875" s="5">
        <v>1.7732506212958701</v>
      </c>
      <c r="AI875" s="5">
        <v>0.82639645307154297</v>
      </c>
      <c r="AJ875" s="5" t="s">
        <v>139</v>
      </c>
      <c r="AK875" s="2">
        <v>1.1520827567213201E-2</v>
      </c>
      <c r="AL875" s="2">
        <v>0.17165665021883</v>
      </c>
      <c r="AM875" s="2">
        <v>21743.404182025599</v>
      </c>
      <c r="AN875" s="2">
        <v>35646.608285585797</v>
      </c>
      <c r="AO875" s="2">
        <v>24665.5826993788</v>
      </c>
      <c r="AP875" s="2">
        <v>24265.200068305901</v>
      </c>
      <c r="AQ875" s="2">
        <v>16836.663758234201</v>
      </c>
      <c r="AR875" s="2">
        <v>21776.111914747002</v>
      </c>
      <c r="AS875" s="2">
        <v>21412.3985664797</v>
      </c>
      <c r="AT875" s="2">
        <v>13174.458956132299</v>
      </c>
      <c r="AU875" s="2">
        <v>14851.1474517765</v>
      </c>
      <c r="AV875" s="2">
        <v>4660.8008219711801</v>
      </c>
      <c r="AW875" s="2">
        <v>11654.517506472501</v>
      </c>
      <c r="AX875" s="2">
        <v>15979.9461897572</v>
      </c>
    </row>
    <row r="876" spans="1:50" x14ac:dyDescent="0.25">
      <c r="A876" s="2" t="s">
        <v>6198</v>
      </c>
      <c r="B876" s="2">
        <v>377.27291667685802</v>
      </c>
      <c r="C876" s="2">
        <v>12.708216666666701</v>
      </c>
      <c r="D876" s="2" t="s">
        <v>51</v>
      </c>
      <c r="E876" s="2" t="s">
        <v>6199</v>
      </c>
      <c r="F876" s="2">
        <v>2534</v>
      </c>
      <c r="G876" s="3" t="str">
        <f>HYPERLINK("https://cloud.oebiotech.com/#/lm/network/2534", "https://cloud.oebiotech.com/#/lm/network/2534")</f>
        <v>https://cloud.oebiotech.com/#/lm/network/2534</v>
      </c>
      <c r="H876" s="2"/>
      <c r="I876" s="2">
        <v>45894</v>
      </c>
      <c r="J876" s="2" t="s">
        <v>6200</v>
      </c>
      <c r="K876" s="2">
        <v>42607293</v>
      </c>
      <c r="L876" s="2"/>
      <c r="M876" s="2"/>
      <c r="N876" s="2"/>
      <c r="O876" s="2"/>
      <c r="P876" s="2"/>
      <c r="Q876" s="2"/>
      <c r="R876" s="2"/>
      <c r="S876" s="2" t="s">
        <v>6201</v>
      </c>
      <c r="T876" s="2" t="s">
        <v>6202</v>
      </c>
      <c r="U876" s="2" t="s">
        <v>56</v>
      </c>
      <c r="V876" s="2" t="s">
        <v>145</v>
      </c>
      <c r="W876" s="2" t="s">
        <v>231</v>
      </c>
      <c r="X876" s="2" t="s">
        <v>83</v>
      </c>
      <c r="Y876" s="2">
        <v>37.5</v>
      </c>
      <c r="Z876" s="2">
        <v>0</v>
      </c>
      <c r="AA876" s="2" t="s">
        <v>218</v>
      </c>
      <c r="AB876" s="2" t="s">
        <v>3312</v>
      </c>
      <c r="AC876" s="2">
        <v>9.5807582857135607</v>
      </c>
      <c r="AD876" s="2"/>
      <c r="AE876" s="2">
        <v>0.662697959527349</v>
      </c>
      <c r="AF876" s="2">
        <v>47624.263875158103</v>
      </c>
      <c r="AG876" s="2">
        <v>58623.805216437599</v>
      </c>
      <c r="AH876" s="4">
        <v>0.81237073743900701</v>
      </c>
      <c r="AI876" s="4">
        <v>-0.29978982191008002</v>
      </c>
      <c r="AJ876" s="4" t="s">
        <v>62</v>
      </c>
      <c r="AK876" s="2">
        <v>1.52371344076557E-2</v>
      </c>
      <c r="AL876" s="2">
        <v>0.196765027251359</v>
      </c>
      <c r="AM876" s="2">
        <v>43451.800360257999</v>
      </c>
      <c r="AN876" s="2">
        <v>45121.6079919025</v>
      </c>
      <c r="AO876" s="2">
        <v>55411.360516311703</v>
      </c>
      <c r="AP876" s="2">
        <v>44878.626340411698</v>
      </c>
      <c r="AQ876" s="2">
        <v>53682.477067499101</v>
      </c>
      <c r="AR876" s="2">
        <v>43199.710974565802</v>
      </c>
      <c r="AS876" s="2">
        <v>72813.382975538596</v>
      </c>
      <c r="AT876" s="2">
        <v>58914.1011873307</v>
      </c>
      <c r="AU876" s="2">
        <v>55979.625296909398</v>
      </c>
      <c r="AV876" s="2">
        <v>58472.470471857698</v>
      </c>
      <c r="AW876" s="2">
        <v>53065.879796168301</v>
      </c>
      <c r="AX876" s="2">
        <v>52497.371570820898</v>
      </c>
    </row>
    <row r="877" spans="1:50" x14ac:dyDescent="0.25">
      <c r="A877" s="2" t="s">
        <v>6203</v>
      </c>
      <c r="B877" s="2">
        <v>611.46868172471704</v>
      </c>
      <c r="C877" s="2">
        <v>14.056416666666699</v>
      </c>
      <c r="D877" s="2" t="s">
        <v>51</v>
      </c>
      <c r="E877" s="2" t="s">
        <v>6204</v>
      </c>
      <c r="F877" s="2">
        <v>49108</v>
      </c>
      <c r="G877" s="3" t="str">
        <f>HYPERLINK("https://cloud.oebiotech.com/#/lm/network/49108", "https://cloud.oebiotech.com/#/lm/network/49108")</f>
        <v>https://cloud.oebiotech.com/#/lm/network/49108</v>
      </c>
      <c r="H877" s="2" t="s">
        <v>6205</v>
      </c>
      <c r="I877" s="2">
        <v>58832</v>
      </c>
      <c r="J877" s="2"/>
      <c r="K877" s="2">
        <v>53478122</v>
      </c>
      <c r="L877" s="2"/>
      <c r="M877" s="2"/>
      <c r="N877" s="2"/>
      <c r="O877" s="2"/>
      <c r="P877" s="2"/>
      <c r="Q877" s="2"/>
      <c r="R877" s="2"/>
      <c r="S877" s="2" t="s">
        <v>6206</v>
      </c>
      <c r="T877" s="2" t="s">
        <v>6207</v>
      </c>
      <c r="U877" s="2" t="s">
        <v>56</v>
      </c>
      <c r="V877" s="2" t="s">
        <v>145</v>
      </c>
      <c r="W877" s="2" t="s">
        <v>203</v>
      </c>
      <c r="X877" s="2" t="s">
        <v>147</v>
      </c>
      <c r="Y877" s="2">
        <v>46.5</v>
      </c>
      <c r="Z877" s="2">
        <v>44.8</v>
      </c>
      <c r="AA877" s="2" t="s">
        <v>259</v>
      </c>
      <c r="AB877" s="2" t="s">
        <v>6208</v>
      </c>
      <c r="AC877" s="2">
        <v>2.7523626995539301</v>
      </c>
      <c r="AD877" s="2"/>
      <c r="AE877" s="2">
        <v>0.66191405091274602</v>
      </c>
      <c r="AF877" s="2">
        <v>143585.19804265001</v>
      </c>
      <c r="AG877" s="2">
        <v>121562.05434590099</v>
      </c>
      <c r="AH877" s="5">
        <v>1.1811679130897399</v>
      </c>
      <c r="AI877" s="5">
        <v>0.24021407071499101</v>
      </c>
      <c r="AJ877" s="5" t="s">
        <v>139</v>
      </c>
      <c r="AK877" s="2">
        <v>0.72340739850800095</v>
      </c>
      <c r="AL877" s="2">
        <v>0.87187773547340697</v>
      </c>
      <c r="AM877" s="2">
        <v>182936.90419235799</v>
      </c>
      <c r="AN877" s="2">
        <v>350834.32134240097</v>
      </c>
      <c r="AO877" s="2">
        <v>104453.73067112001</v>
      </c>
      <c r="AP877" s="2">
        <v>75304.872787375498</v>
      </c>
      <c r="AQ877" s="2">
        <v>46658.57439835</v>
      </c>
      <c r="AR877" s="2">
        <v>101322.784864295</v>
      </c>
      <c r="AS877" s="2">
        <v>42350.799939436198</v>
      </c>
      <c r="AT877" s="2">
        <v>58644.750717273397</v>
      </c>
      <c r="AU877" s="2">
        <v>205414.247256809</v>
      </c>
      <c r="AV877" s="2">
        <v>71286.223486614093</v>
      </c>
      <c r="AW877" s="2">
        <v>70396.183470911797</v>
      </c>
      <c r="AX877" s="2">
        <v>281280.121204364</v>
      </c>
    </row>
    <row r="878" spans="1:50" x14ac:dyDescent="0.25">
      <c r="A878" s="2" t="s">
        <v>6209</v>
      </c>
      <c r="B878" s="2">
        <v>517.21875945442196</v>
      </c>
      <c r="C878" s="2">
        <v>9.4395166666666697</v>
      </c>
      <c r="D878" s="2" t="s">
        <v>51</v>
      </c>
      <c r="E878" s="2" t="s">
        <v>6210</v>
      </c>
      <c r="F878" s="2">
        <v>45250</v>
      </c>
      <c r="G878" s="3" t="str">
        <f>HYPERLINK("https://cloud.oebiotech.com/#/lm/network/45250", "https://cloud.oebiotech.com/#/lm/network/45250")</f>
        <v>https://cloud.oebiotech.com/#/lm/network/45250</v>
      </c>
      <c r="H878" s="2"/>
      <c r="I878" s="2"/>
      <c r="J878" s="2" t="s">
        <v>6211</v>
      </c>
      <c r="K878" s="2">
        <v>9547330</v>
      </c>
      <c r="L878" s="2"/>
      <c r="M878" s="2"/>
      <c r="N878" s="2"/>
      <c r="O878" s="2"/>
      <c r="P878" s="2"/>
      <c r="Q878" s="2"/>
      <c r="R878" s="2"/>
      <c r="S878" s="2" t="s">
        <v>6212</v>
      </c>
      <c r="T878" s="2" t="s">
        <v>6213</v>
      </c>
      <c r="U878" s="2" t="s">
        <v>56</v>
      </c>
      <c r="V878" s="2" t="s">
        <v>283</v>
      </c>
      <c r="W878" s="2" t="s">
        <v>420</v>
      </c>
      <c r="X878" s="2" t="s">
        <v>147</v>
      </c>
      <c r="Y878" s="2">
        <v>43.5</v>
      </c>
      <c r="Z878" s="2">
        <v>34.799999999999997</v>
      </c>
      <c r="AA878" s="2" t="s">
        <v>163</v>
      </c>
      <c r="AB878" s="2" t="s">
        <v>6214</v>
      </c>
      <c r="AC878" s="2">
        <v>0.91018570778706498</v>
      </c>
      <c r="AD878" s="2"/>
      <c r="AE878" s="2">
        <v>0.66158401516269605</v>
      </c>
      <c r="AF878" s="2">
        <v>2305.7292130839301</v>
      </c>
      <c r="AG878" s="2">
        <v>20117.736793753898</v>
      </c>
      <c r="AH878" s="4">
        <v>0.114611759599112</v>
      </c>
      <c r="AI878" s="4">
        <v>-3.1251730172416798</v>
      </c>
      <c r="AJ878" s="4" t="s">
        <v>62</v>
      </c>
      <c r="AK878" s="2">
        <v>8.7173330724093404E-2</v>
      </c>
      <c r="AL878" s="2">
        <v>0.38018166893268901</v>
      </c>
      <c r="AM878" s="2">
        <v>4279.1964459178298</v>
      </c>
      <c r="AN878" s="2">
        <v>3009.36298718645</v>
      </c>
      <c r="AO878" s="2">
        <v>29.390872230577799</v>
      </c>
      <c r="AP878" s="2">
        <v>8.559877937157E-6</v>
      </c>
      <c r="AQ878" s="2">
        <v>5355.8918081297197</v>
      </c>
      <c r="AR878" s="2">
        <v>1160.5331564790999</v>
      </c>
      <c r="AS878" s="2">
        <v>1218.0941459665401</v>
      </c>
      <c r="AT878" s="2">
        <v>699.36426281364595</v>
      </c>
      <c r="AU878" s="2">
        <v>61043.419903868897</v>
      </c>
      <c r="AV878" s="2">
        <v>31017.037051448198</v>
      </c>
      <c r="AW878" s="2">
        <v>14499.7328960389</v>
      </c>
      <c r="AX878" s="2">
        <v>12228.772502387101</v>
      </c>
    </row>
    <row r="879" spans="1:50" x14ac:dyDescent="0.25">
      <c r="A879" s="2" t="s">
        <v>6215</v>
      </c>
      <c r="B879" s="2">
        <v>435.21077139649799</v>
      </c>
      <c r="C879" s="2">
        <v>14.00545</v>
      </c>
      <c r="D879" s="2" t="s">
        <v>51</v>
      </c>
      <c r="E879" s="2" t="s">
        <v>6216</v>
      </c>
      <c r="F879" s="2">
        <v>8777</v>
      </c>
      <c r="G879" s="3" t="str">
        <f>HYPERLINK("https://cloud.oebiotech.com/#/lm/network/8777", "https://cloud.oebiotech.com/#/lm/network/8777")</f>
        <v>https://cloud.oebiotech.com/#/lm/network/8777</v>
      </c>
      <c r="H879" s="2"/>
      <c r="I879" s="2"/>
      <c r="J879" s="2" t="s">
        <v>6217</v>
      </c>
      <c r="K879" s="2">
        <v>24883441</v>
      </c>
      <c r="L879" s="2"/>
      <c r="M879" s="2"/>
      <c r="N879" s="2"/>
      <c r="O879" s="2">
        <v>50431</v>
      </c>
      <c r="P879" s="2"/>
      <c r="Q879" s="2"/>
      <c r="R879" s="2"/>
      <c r="S879" s="2" t="s">
        <v>6218</v>
      </c>
      <c r="T879" s="2" t="s">
        <v>6219</v>
      </c>
      <c r="U879" s="2" t="s">
        <v>56</v>
      </c>
      <c r="V879" s="2" t="s">
        <v>145</v>
      </c>
      <c r="W879" s="2" t="s">
        <v>1617</v>
      </c>
      <c r="X879" s="2" t="s">
        <v>147</v>
      </c>
      <c r="Y879" s="2">
        <v>38.700000000000003</v>
      </c>
      <c r="Z879" s="2">
        <v>0</v>
      </c>
      <c r="AA879" s="2" t="s">
        <v>218</v>
      </c>
      <c r="AB879" s="2" t="s">
        <v>6220</v>
      </c>
      <c r="AC879" s="2">
        <v>2.8682097357654199</v>
      </c>
      <c r="AD879" s="2"/>
      <c r="AE879" s="2">
        <v>0.65879283607988903</v>
      </c>
      <c r="AF879" s="2">
        <v>19716.481613725198</v>
      </c>
      <c r="AG879" s="2">
        <v>28050.3263267166</v>
      </c>
      <c r="AH879" s="4">
        <v>0.70289669303940305</v>
      </c>
      <c r="AI879" s="4">
        <v>-0.50861542748383404</v>
      </c>
      <c r="AJ879" s="4" t="s">
        <v>62</v>
      </c>
      <c r="AK879" s="2">
        <v>3.1937467099339299E-4</v>
      </c>
      <c r="AL879" s="2">
        <v>5.3199942447790097E-2</v>
      </c>
      <c r="AM879" s="2">
        <v>16311.207164961599</v>
      </c>
      <c r="AN879" s="2">
        <v>19397.702266516899</v>
      </c>
      <c r="AO879" s="2">
        <v>21087.4483809823</v>
      </c>
      <c r="AP879" s="2">
        <v>20502.018184452601</v>
      </c>
      <c r="AQ879" s="2">
        <v>22306.106715587201</v>
      </c>
      <c r="AR879" s="2">
        <v>18694.406969850701</v>
      </c>
      <c r="AS879" s="2">
        <v>24592.964335992601</v>
      </c>
      <c r="AT879" s="2">
        <v>30418.072313076798</v>
      </c>
      <c r="AU879" s="2">
        <v>23671.651211607299</v>
      </c>
      <c r="AV879" s="2">
        <v>29413.056171602901</v>
      </c>
      <c r="AW879" s="2">
        <v>28764.735518624799</v>
      </c>
      <c r="AX879" s="2">
        <v>31441.4784093954</v>
      </c>
    </row>
    <row r="880" spans="1:50" x14ac:dyDescent="0.25">
      <c r="A880" s="2" t="s">
        <v>6221</v>
      </c>
      <c r="B880" s="2">
        <v>473.22930466993898</v>
      </c>
      <c r="C880" s="2">
        <v>9.4429666666666705</v>
      </c>
      <c r="D880" s="2" t="s">
        <v>51</v>
      </c>
      <c r="E880" s="2" t="s">
        <v>6222</v>
      </c>
      <c r="F880" s="2">
        <v>219675</v>
      </c>
      <c r="G880" s="3" t="str">
        <f>HYPERLINK("https://cloud.oebiotech.com/#/lm/network/219675", "https://cloud.oebiotech.com/#/lm/network/219675")</f>
        <v>https://cloud.oebiotech.com/#/lm/network/219675</v>
      </c>
      <c r="H880" s="2" t="s">
        <v>6223</v>
      </c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 t="s">
        <v>6224</v>
      </c>
      <c r="T880" s="2" t="s">
        <v>6225</v>
      </c>
      <c r="U880" s="2" t="s">
        <v>56</v>
      </c>
      <c r="V880" s="2" t="s">
        <v>57</v>
      </c>
      <c r="W880" s="2" t="s">
        <v>702</v>
      </c>
      <c r="X880" s="2" t="s">
        <v>59</v>
      </c>
      <c r="Y880" s="2">
        <v>53.3</v>
      </c>
      <c r="Z880" s="2">
        <v>76.3</v>
      </c>
      <c r="AA880" s="2" t="s">
        <v>156</v>
      </c>
      <c r="AB880" s="2" t="s">
        <v>6226</v>
      </c>
      <c r="AC880" s="2">
        <v>-1.1760461501224699</v>
      </c>
      <c r="AD880" s="2"/>
      <c r="AE880" s="2">
        <v>0.65796634545410604</v>
      </c>
      <c r="AF880" s="2">
        <v>5676.7193588426699</v>
      </c>
      <c r="AG880" s="2">
        <v>30594.931257320499</v>
      </c>
      <c r="AH880" s="4">
        <v>0.185544439080391</v>
      </c>
      <c r="AI880" s="4">
        <v>-2.4301633319622198</v>
      </c>
      <c r="AJ880" s="4" t="s">
        <v>62</v>
      </c>
      <c r="AK880" s="2">
        <v>0.15948576964113401</v>
      </c>
      <c r="AL880" s="2">
        <v>0.482327607117922</v>
      </c>
      <c r="AM880" s="2">
        <v>11768.312000042</v>
      </c>
      <c r="AN880" s="2">
        <v>11152.394933834799</v>
      </c>
      <c r="AO880" s="2">
        <v>2436.4673558480399</v>
      </c>
      <c r="AP880" s="2">
        <v>257.67879658344702</v>
      </c>
      <c r="AQ880" s="2">
        <v>6635.3902967423701</v>
      </c>
      <c r="AR880" s="2">
        <v>1810.0727700053801</v>
      </c>
      <c r="AS880" s="2">
        <v>6032.8235870776098</v>
      </c>
      <c r="AT880" s="2">
        <v>3196.92316369337</v>
      </c>
      <c r="AU880" s="2">
        <v>109556.218865387</v>
      </c>
      <c r="AV880" s="2">
        <v>29833.338567843501</v>
      </c>
      <c r="AW880" s="2">
        <v>19251.394256155399</v>
      </c>
      <c r="AX880" s="2">
        <v>15698.8891037664</v>
      </c>
    </row>
    <row r="881" spans="1:50" x14ac:dyDescent="0.25">
      <c r="A881" s="2" t="s">
        <v>6227</v>
      </c>
      <c r="B881" s="2">
        <v>555.18015541936302</v>
      </c>
      <c r="C881" s="2">
        <v>8.1461000000000006</v>
      </c>
      <c r="D881" s="2" t="s">
        <v>51</v>
      </c>
      <c r="E881" s="2" t="s">
        <v>6228</v>
      </c>
      <c r="F881" s="2">
        <v>53993</v>
      </c>
      <c r="G881" s="3" t="str">
        <f>HYPERLINK("https://cloud.oebiotech.com/#/lm/network/53993", "https://cloud.oebiotech.com/#/lm/network/53993")</f>
        <v>https://cloud.oebiotech.com/#/lm/network/53993</v>
      </c>
      <c r="H881" s="2" t="s">
        <v>6229</v>
      </c>
      <c r="I881" s="2"/>
      <c r="J881" s="2"/>
      <c r="K881" s="2">
        <v>14843111</v>
      </c>
      <c r="L881" s="2"/>
      <c r="M881" s="2"/>
      <c r="N881" s="2"/>
      <c r="O881" s="2"/>
      <c r="P881" s="2"/>
      <c r="Q881" s="2"/>
      <c r="R881" s="2"/>
      <c r="S881" s="2" t="s">
        <v>6230</v>
      </c>
      <c r="T881" s="2" t="s">
        <v>6231</v>
      </c>
      <c r="U881" s="2" t="s">
        <v>103</v>
      </c>
      <c r="V881" s="2" t="s">
        <v>104</v>
      </c>
      <c r="W881" s="2" t="s">
        <v>105</v>
      </c>
      <c r="X881" s="2" t="s">
        <v>147</v>
      </c>
      <c r="Y881" s="2">
        <v>41.3</v>
      </c>
      <c r="Z881" s="2">
        <v>18.2</v>
      </c>
      <c r="AA881" s="2" t="s">
        <v>478</v>
      </c>
      <c r="AB881" s="2" t="s">
        <v>6232</v>
      </c>
      <c r="AC881" s="2">
        <v>0.26336819775980302</v>
      </c>
      <c r="AD881" s="2"/>
      <c r="AE881" s="2">
        <v>0.65786428500660099</v>
      </c>
      <c r="AF881" s="2">
        <v>14724.6250592286</v>
      </c>
      <c r="AG881" s="2">
        <v>5599.2368168072999</v>
      </c>
      <c r="AH881" s="5">
        <v>2.6297557222494099</v>
      </c>
      <c r="AI881" s="5">
        <v>1.3949287939407999</v>
      </c>
      <c r="AJ881" s="5" t="s">
        <v>139</v>
      </c>
      <c r="AK881" s="2">
        <v>2.3479483505708799E-3</v>
      </c>
      <c r="AL881" s="2">
        <v>0.101912249503871</v>
      </c>
      <c r="AM881" s="2">
        <v>13894.687501648101</v>
      </c>
      <c r="AN881" s="2">
        <v>21972.675046037799</v>
      </c>
      <c r="AO881" s="2">
        <v>15736.3237559277</v>
      </c>
      <c r="AP881" s="2">
        <v>10741.609784927899</v>
      </c>
      <c r="AQ881" s="2">
        <v>11831.436702966201</v>
      </c>
      <c r="AR881" s="2">
        <v>14171.017563863599</v>
      </c>
      <c r="AS881" s="2">
        <v>11764.458581209199</v>
      </c>
      <c r="AT881" s="2">
        <v>3393.84863282487</v>
      </c>
      <c r="AU881" s="2">
        <v>7196.5797216492701</v>
      </c>
      <c r="AV881" s="2">
        <v>836.72552966654803</v>
      </c>
      <c r="AW881" s="2">
        <v>3530.9774272460299</v>
      </c>
      <c r="AX881" s="2">
        <v>6872.8310082478802</v>
      </c>
    </row>
    <row r="882" spans="1:50" x14ac:dyDescent="0.25">
      <c r="A882" s="2" t="s">
        <v>6233</v>
      </c>
      <c r="B882" s="2">
        <v>289.15746252476799</v>
      </c>
      <c r="C882" s="2">
        <v>11.349600000000001</v>
      </c>
      <c r="D882" s="2" t="s">
        <v>51</v>
      </c>
      <c r="E882" s="2" t="s">
        <v>6234</v>
      </c>
      <c r="F882" s="2">
        <v>201952</v>
      </c>
      <c r="G882" s="3" t="str">
        <f>HYPERLINK("https://cloud.oebiotech.com/#/lm/network/201952", "https://cloud.oebiotech.com/#/lm/network/201952")</f>
        <v>https://cloud.oebiotech.com/#/lm/network/201952</v>
      </c>
      <c r="H882" s="2" t="s">
        <v>6235</v>
      </c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 t="s">
        <v>6236</v>
      </c>
      <c r="T882" s="2" t="s">
        <v>6237</v>
      </c>
      <c r="U882" s="2" t="s">
        <v>56</v>
      </c>
      <c r="V882" s="2" t="s">
        <v>145</v>
      </c>
      <c r="W882" s="2" t="s">
        <v>231</v>
      </c>
      <c r="X882" s="2" t="s">
        <v>83</v>
      </c>
      <c r="Y882" s="2">
        <v>36.200000000000003</v>
      </c>
      <c r="Z882" s="2">
        <v>2.29E-2</v>
      </c>
      <c r="AA882" s="2" t="s">
        <v>395</v>
      </c>
      <c r="AB882" s="2" t="s">
        <v>6238</v>
      </c>
      <c r="AC882" s="2">
        <v>4.0943219075530299</v>
      </c>
      <c r="AD882" s="2"/>
      <c r="AE882" s="2">
        <v>0.65770503067974795</v>
      </c>
      <c r="AF882" s="2">
        <v>81404.122537647097</v>
      </c>
      <c r="AG882" s="2">
        <v>68288.134535297402</v>
      </c>
      <c r="AH882" s="5">
        <v>1.19206833063466</v>
      </c>
      <c r="AI882" s="5">
        <v>0.253466934996674</v>
      </c>
      <c r="AJ882" s="5" t="s">
        <v>139</v>
      </c>
      <c r="AK882" s="2">
        <v>0.47910489329549999</v>
      </c>
      <c r="AL882" s="2">
        <v>0.72414606708131002</v>
      </c>
      <c r="AM882" s="2">
        <v>142147.814781339</v>
      </c>
      <c r="AN882" s="2">
        <v>103506.181976835</v>
      </c>
      <c r="AO882" s="2">
        <v>70480.029380192005</v>
      </c>
      <c r="AP882" s="2">
        <v>66557.067241901401</v>
      </c>
      <c r="AQ882" s="2">
        <v>45222.935051955901</v>
      </c>
      <c r="AR882" s="2">
        <v>60510.706793659003</v>
      </c>
      <c r="AS882" s="2">
        <v>63382.456989077902</v>
      </c>
      <c r="AT882" s="2">
        <v>42458.210869469403</v>
      </c>
      <c r="AU882" s="2">
        <v>115344.656683737</v>
      </c>
      <c r="AV882" s="2">
        <v>48960.178326273301</v>
      </c>
      <c r="AW882" s="2">
        <v>70359.283418313498</v>
      </c>
      <c r="AX882" s="2">
        <v>69224.020924913595</v>
      </c>
    </row>
    <row r="883" spans="1:50" x14ac:dyDescent="0.25">
      <c r="A883" s="2" t="s">
        <v>6239</v>
      </c>
      <c r="B883" s="2">
        <v>495.34525416121301</v>
      </c>
      <c r="C883" s="2">
        <v>10.906883333333299</v>
      </c>
      <c r="D883" s="2" t="s">
        <v>51</v>
      </c>
      <c r="E883" s="2" t="s">
        <v>6240</v>
      </c>
      <c r="F883" s="2">
        <v>59597</v>
      </c>
      <c r="G883" s="3" t="str">
        <f>HYPERLINK("https://cloud.oebiotech.com/#/lm/network/59597", "https://cloud.oebiotech.com/#/lm/network/59597")</f>
        <v>https://cloud.oebiotech.com/#/lm/network/59597</v>
      </c>
      <c r="H883" s="2" t="s">
        <v>6241</v>
      </c>
      <c r="I883" s="2"/>
      <c r="J883" s="2"/>
      <c r="K883" s="2">
        <v>75049017</v>
      </c>
      <c r="L883" s="2"/>
      <c r="M883" s="2"/>
      <c r="N883" s="2"/>
      <c r="O883" s="2"/>
      <c r="P883" s="2"/>
      <c r="Q883" s="2"/>
      <c r="R883" s="2" t="s">
        <v>6242</v>
      </c>
      <c r="S883" s="2" t="s">
        <v>6243</v>
      </c>
      <c r="T883" s="2" t="s">
        <v>6244</v>
      </c>
      <c r="U883" s="2" t="s">
        <v>56</v>
      </c>
      <c r="V883" s="2" t="s">
        <v>177</v>
      </c>
      <c r="W883" s="2" t="s">
        <v>959</v>
      </c>
      <c r="X883" s="2" t="s">
        <v>83</v>
      </c>
      <c r="Y883" s="2">
        <v>45.9</v>
      </c>
      <c r="Z883" s="2">
        <v>0</v>
      </c>
      <c r="AA883" s="2" t="s">
        <v>95</v>
      </c>
      <c r="AB883" s="2" t="s">
        <v>6245</v>
      </c>
      <c r="AC883" s="2">
        <v>1.63746162817008</v>
      </c>
      <c r="AD883" s="2"/>
      <c r="AE883" s="2">
        <v>0.65655582422532599</v>
      </c>
      <c r="AF883" s="2">
        <v>44013.055720327502</v>
      </c>
      <c r="AG883" s="2">
        <v>57006.488368827399</v>
      </c>
      <c r="AH883" s="4">
        <v>0.77207098664921403</v>
      </c>
      <c r="AI883" s="4">
        <v>-0.37319459534918697</v>
      </c>
      <c r="AJ883" s="4" t="s">
        <v>62</v>
      </c>
      <c r="AK883" s="2">
        <v>6.6613010693990102E-2</v>
      </c>
      <c r="AL883" s="2">
        <v>0.34192828169447498</v>
      </c>
      <c r="AM883" s="2">
        <v>30517.973072697601</v>
      </c>
      <c r="AN883" s="2">
        <v>46580.272294227601</v>
      </c>
      <c r="AO883" s="2">
        <v>41625.070695569499</v>
      </c>
      <c r="AP883" s="2">
        <v>46127.483225334603</v>
      </c>
      <c r="AQ883" s="2">
        <v>54798.926976845098</v>
      </c>
      <c r="AR883" s="2">
        <v>44428.608057290803</v>
      </c>
      <c r="AS883" s="2">
        <v>70821.764462812105</v>
      </c>
      <c r="AT883" s="2">
        <v>71988.109721815999</v>
      </c>
      <c r="AU883" s="2">
        <v>50253.370219415898</v>
      </c>
      <c r="AV883" s="2">
        <v>36553.885993548101</v>
      </c>
      <c r="AW883" s="2">
        <v>56152.731549862503</v>
      </c>
      <c r="AX883" s="2">
        <v>56269.068265509901</v>
      </c>
    </row>
    <row r="884" spans="1:50" x14ac:dyDescent="0.25">
      <c r="A884" s="2" t="s">
        <v>6246</v>
      </c>
      <c r="B884" s="2">
        <v>394.18970754499901</v>
      </c>
      <c r="C884" s="2">
        <v>10.6304833333333</v>
      </c>
      <c r="D884" s="2" t="s">
        <v>51</v>
      </c>
      <c r="E884" s="2" t="s">
        <v>6247</v>
      </c>
      <c r="F884" s="2">
        <v>203575</v>
      </c>
      <c r="G884" s="3" t="str">
        <f>HYPERLINK("https://cloud.oebiotech.com/#/lm/network/203575", "https://cloud.oebiotech.com/#/lm/network/203575")</f>
        <v>https://cloud.oebiotech.com/#/lm/network/203575</v>
      </c>
      <c r="H884" s="2" t="s">
        <v>6248</v>
      </c>
      <c r="I884" s="2"/>
      <c r="J884" s="2"/>
      <c r="K884" s="2">
        <v>14300409</v>
      </c>
      <c r="L884" s="2"/>
      <c r="M884" s="2"/>
      <c r="N884" s="2"/>
      <c r="O884" s="2"/>
      <c r="P884" s="2"/>
      <c r="Q884" s="2"/>
      <c r="R884" s="2"/>
      <c r="S884" s="2" t="s">
        <v>6249</v>
      </c>
      <c r="T884" s="2" t="s">
        <v>6250</v>
      </c>
      <c r="U884" s="2" t="s">
        <v>266</v>
      </c>
      <c r="V884" s="2" t="s">
        <v>1393</v>
      </c>
      <c r="W884" s="2" t="s">
        <v>1643</v>
      </c>
      <c r="X884" s="2" t="s">
        <v>147</v>
      </c>
      <c r="Y884" s="2">
        <v>38.4</v>
      </c>
      <c r="Z884" s="2">
        <v>0</v>
      </c>
      <c r="AA884" s="2" t="s">
        <v>512</v>
      </c>
      <c r="AB884" s="2" t="s">
        <v>6251</v>
      </c>
      <c r="AC884" s="2">
        <v>3.1865191160769202</v>
      </c>
      <c r="AD884" s="2"/>
      <c r="AE884" s="2">
        <v>0.65653654733092004</v>
      </c>
      <c r="AF884" s="2">
        <v>55572.822383355502</v>
      </c>
      <c r="AG884" s="2">
        <v>42175.166018813703</v>
      </c>
      <c r="AH884" s="5">
        <v>1.3176669502276599</v>
      </c>
      <c r="AI884" s="5">
        <v>0.39798576490335402</v>
      </c>
      <c r="AJ884" s="5" t="s">
        <v>139</v>
      </c>
      <c r="AK884" s="2">
        <v>0.154536573983487</v>
      </c>
      <c r="AL884" s="2">
        <v>0.47517092828514201</v>
      </c>
      <c r="AM884" s="2">
        <v>38658.692390613302</v>
      </c>
      <c r="AN884" s="2">
        <v>82553.635590296501</v>
      </c>
      <c r="AO884" s="2">
        <v>69325.218278001004</v>
      </c>
      <c r="AP884" s="2">
        <v>36708.842313031098</v>
      </c>
      <c r="AQ884" s="2">
        <v>55760.245866755598</v>
      </c>
      <c r="AR884" s="2">
        <v>50430.299861435502</v>
      </c>
      <c r="AS884" s="2">
        <v>49479.755929388899</v>
      </c>
      <c r="AT884" s="2">
        <v>43167.667206176302</v>
      </c>
      <c r="AU884" s="2">
        <v>60734.133654305399</v>
      </c>
      <c r="AV884" s="2">
        <v>30487.415083588501</v>
      </c>
      <c r="AW884" s="2">
        <v>30462.7025488258</v>
      </c>
      <c r="AX884" s="2">
        <v>38719.321690597302</v>
      </c>
    </row>
    <row r="885" spans="1:50" x14ac:dyDescent="0.25">
      <c r="A885" s="2" t="s">
        <v>6252</v>
      </c>
      <c r="B885" s="2">
        <v>217.1105</v>
      </c>
      <c r="C885" s="2">
        <v>18.937000000000001</v>
      </c>
      <c r="D885" s="2" t="s">
        <v>125</v>
      </c>
      <c r="E885" s="2" t="s">
        <v>6253</v>
      </c>
      <c r="F885" s="2">
        <v>199749</v>
      </c>
      <c r="G885" s="3" t="str">
        <f>HYPERLINK("https://cloud.oebiotech.com/#/lm/network/199749", "https://cloud.oebiotech.com/#/lm/network/199749")</f>
        <v>https://cloud.oebiotech.com/#/lm/network/199749</v>
      </c>
      <c r="H885" s="2" t="s">
        <v>6254</v>
      </c>
      <c r="I885" s="2"/>
      <c r="J885" s="2"/>
      <c r="K885" s="2">
        <v>219984</v>
      </c>
      <c r="L885" s="2"/>
      <c r="M885" s="2"/>
      <c r="N885" s="2"/>
      <c r="O885" s="2">
        <v>144042</v>
      </c>
      <c r="P885" s="2"/>
      <c r="Q885" s="2"/>
      <c r="R885" s="2"/>
      <c r="S885" s="2" t="s">
        <v>6255</v>
      </c>
      <c r="T885" s="2" t="s">
        <v>6256</v>
      </c>
      <c r="U885" s="2" t="s">
        <v>331</v>
      </c>
      <c r="V885" s="2" t="s">
        <v>332</v>
      </c>
      <c r="W885" s="2" t="s">
        <v>333</v>
      </c>
      <c r="X885" s="2" t="s">
        <v>69</v>
      </c>
      <c r="Y885" s="2">
        <v>97</v>
      </c>
      <c r="Z885" s="2">
        <v>98.1</v>
      </c>
      <c r="AA885" s="2"/>
      <c r="AB885" s="2" t="s">
        <v>6257</v>
      </c>
      <c r="AC885" s="2"/>
      <c r="AD885" s="2">
        <v>635482.01311222499</v>
      </c>
      <c r="AE885" s="2">
        <v>0.65632936190838598</v>
      </c>
      <c r="AF885" s="2">
        <v>2101300.1619322798</v>
      </c>
      <c r="AG885" s="2">
        <v>1727024.62006866</v>
      </c>
      <c r="AH885" s="5">
        <v>1.21671696947131</v>
      </c>
      <c r="AI885" s="5">
        <v>0.28299360993447198</v>
      </c>
      <c r="AJ885" s="5" t="s">
        <v>139</v>
      </c>
      <c r="AK885" s="2">
        <v>0.34665582205471102</v>
      </c>
      <c r="AL885" s="2">
        <v>0.63995510433420999</v>
      </c>
      <c r="AM885" s="2">
        <v>1935465.0753860101</v>
      </c>
      <c r="AN885" s="2">
        <v>1899014.3265336601</v>
      </c>
      <c r="AO885" s="2">
        <v>2161183.9304393302</v>
      </c>
      <c r="AP885" s="2">
        <v>2485255.6207309202</v>
      </c>
      <c r="AQ885" s="2">
        <v>2408642.3879705998</v>
      </c>
      <c r="AR885" s="2">
        <v>1718239.6305331599</v>
      </c>
      <c r="AS885" s="2">
        <v>1691972.7809431499</v>
      </c>
      <c r="AT885" s="2">
        <v>1004389.4740623099</v>
      </c>
      <c r="AU885" s="2">
        <v>1487846.4505998299</v>
      </c>
      <c r="AV885" s="2">
        <v>1413688.1551387501</v>
      </c>
      <c r="AW885" s="2">
        <v>3457107.0465211901</v>
      </c>
      <c r="AX885" s="2">
        <v>1307143.8131467099</v>
      </c>
    </row>
    <row r="886" spans="1:50" x14ac:dyDescent="0.25">
      <c r="A886" s="2" t="s">
        <v>6258</v>
      </c>
      <c r="B886" s="2">
        <v>288.20404803781099</v>
      </c>
      <c r="C886" s="2">
        <v>1.2111499999999999</v>
      </c>
      <c r="D886" s="2" t="s">
        <v>51</v>
      </c>
      <c r="E886" s="2" t="s">
        <v>6259</v>
      </c>
      <c r="F886" s="2">
        <v>53752</v>
      </c>
      <c r="G886" s="3" t="str">
        <f>HYPERLINK("https://cloud.oebiotech.com/#/lm/network/53752", "https://cloud.oebiotech.com/#/lm/network/53752")</f>
        <v>https://cloud.oebiotech.com/#/lm/network/53752</v>
      </c>
      <c r="H886" s="2" t="s">
        <v>6260</v>
      </c>
      <c r="I886" s="2">
        <v>24022</v>
      </c>
      <c r="J886" s="2"/>
      <c r="K886" s="2">
        <v>6992563</v>
      </c>
      <c r="L886" s="2"/>
      <c r="M886" s="2"/>
      <c r="N886" s="2"/>
      <c r="O886" s="2">
        <v>73815</v>
      </c>
      <c r="P886" s="2"/>
      <c r="Q886" s="2"/>
      <c r="R886" s="2" t="s">
        <v>6261</v>
      </c>
      <c r="S886" s="2" t="s">
        <v>6262</v>
      </c>
      <c r="T886" s="2" t="s">
        <v>6263</v>
      </c>
      <c r="U886" s="2" t="s">
        <v>103</v>
      </c>
      <c r="V886" s="2" t="s">
        <v>104</v>
      </c>
      <c r="W886" s="2" t="s">
        <v>105</v>
      </c>
      <c r="X886" s="2" t="s">
        <v>69</v>
      </c>
      <c r="Y886" s="2">
        <v>56.2</v>
      </c>
      <c r="Z886" s="2">
        <v>81.599999999999994</v>
      </c>
      <c r="AA886" s="2" t="s">
        <v>259</v>
      </c>
      <c r="AB886" s="2" t="s">
        <v>6264</v>
      </c>
      <c r="AC886" s="2">
        <v>3.5930943210772499</v>
      </c>
      <c r="AD886" s="2"/>
      <c r="AE886" s="2">
        <v>0.65617846471973396</v>
      </c>
      <c r="AF886" s="2">
        <v>24896.0365339583</v>
      </c>
      <c r="AG886" s="2">
        <v>13393.7225738289</v>
      </c>
      <c r="AH886" s="5">
        <v>1.8587839487286899</v>
      </c>
      <c r="AI886" s="5">
        <v>0.894359091821882</v>
      </c>
      <c r="AJ886" s="5" t="s">
        <v>139</v>
      </c>
      <c r="AK886" s="2">
        <v>0.12059607853040499</v>
      </c>
      <c r="AL886" s="2">
        <v>0.43792729332499802</v>
      </c>
      <c r="AM886" s="2">
        <v>36682.959053404498</v>
      </c>
      <c r="AN886" s="2">
        <v>24681.342885137001</v>
      </c>
      <c r="AO886" s="2">
        <v>18460.682937505801</v>
      </c>
      <c r="AP886" s="2">
        <v>10618.7270760551</v>
      </c>
      <c r="AQ886" s="2">
        <v>23251.905465166899</v>
      </c>
      <c r="AR886" s="2">
        <v>35680.601786480402</v>
      </c>
      <c r="AS886" s="2">
        <v>4092.4942763689401</v>
      </c>
      <c r="AT886" s="2">
        <v>4455.9628901530396</v>
      </c>
      <c r="AU886" s="2">
        <v>39432.7580790098</v>
      </c>
      <c r="AV886" s="2">
        <v>12432.2087752015</v>
      </c>
      <c r="AW886" s="2">
        <v>11800.8823890314</v>
      </c>
      <c r="AX886" s="2">
        <v>8148.0290332087698</v>
      </c>
    </row>
    <row r="887" spans="1:50" x14ac:dyDescent="0.25">
      <c r="A887" s="2" t="s">
        <v>6265</v>
      </c>
      <c r="B887" s="2">
        <v>269.08777139474802</v>
      </c>
      <c r="C887" s="2">
        <v>0.84524999999999995</v>
      </c>
      <c r="D887" s="2" t="s">
        <v>51</v>
      </c>
      <c r="E887" s="2" t="s">
        <v>6266</v>
      </c>
      <c r="F887" s="2">
        <v>54819</v>
      </c>
      <c r="G887" s="3" t="str">
        <f>HYPERLINK("https://cloud.oebiotech.com/#/lm/network/54819", "https://cloud.oebiotech.com/#/lm/network/54819")</f>
        <v>https://cloud.oebiotech.com/#/lm/network/54819</v>
      </c>
      <c r="H887" s="2" t="s">
        <v>6267</v>
      </c>
      <c r="I887" s="2"/>
      <c r="J887" s="2"/>
      <c r="K887" s="2">
        <v>18618148</v>
      </c>
      <c r="L887" s="2"/>
      <c r="M887" s="2"/>
      <c r="N887" s="2"/>
      <c r="O887" s="2">
        <v>169540</v>
      </c>
      <c r="P887" s="2"/>
      <c r="Q887" s="2"/>
      <c r="R887" s="2"/>
      <c r="S887" s="2" t="s">
        <v>6268</v>
      </c>
      <c r="T887" s="2" t="s">
        <v>6269</v>
      </c>
      <c r="U887" s="2" t="s">
        <v>331</v>
      </c>
      <c r="V887" s="2" t="s">
        <v>332</v>
      </c>
      <c r="W887" s="2" t="s">
        <v>333</v>
      </c>
      <c r="X887" s="2" t="s">
        <v>83</v>
      </c>
      <c r="Y887" s="2">
        <v>39.299999999999997</v>
      </c>
      <c r="Z887" s="2">
        <v>0</v>
      </c>
      <c r="AA887" s="2" t="s">
        <v>163</v>
      </c>
      <c r="AB887" s="2" t="s">
        <v>6270</v>
      </c>
      <c r="AC887" s="2">
        <v>-0.12709062097476501</v>
      </c>
      <c r="AD887" s="2"/>
      <c r="AE887" s="2">
        <v>0.65479437306803701</v>
      </c>
      <c r="AF887" s="2">
        <v>27297.7203352326</v>
      </c>
      <c r="AG887" s="2">
        <v>41683.8177702744</v>
      </c>
      <c r="AH887" s="4">
        <v>0.65487572385222503</v>
      </c>
      <c r="AI887" s="4">
        <v>-0.61070694334147102</v>
      </c>
      <c r="AJ887" s="4" t="s">
        <v>62</v>
      </c>
      <c r="AK887" s="2">
        <v>0.31722886621108998</v>
      </c>
      <c r="AL887" s="2">
        <v>0.62571022548014599</v>
      </c>
      <c r="AM887" s="2">
        <v>8.559877937157E-6</v>
      </c>
      <c r="AN887" s="2">
        <v>40029.922128164697</v>
      </c>
      <c r="AO887" s="2">
        <v>22828.044185419199</v>
      </c>
      <c r="AP887" s="2">
        <v>17882.793125809301</v>
      </c>
      <c r="AQ887" s="2">
        <v>27058.572619158698</v>
      </c>
      <c r="AR887" s="2">
        <v>55986.989944284098</v>
      </c>
      <c r="AS887" s="2">
        <v>60891.017106567902</v>
      </c>
      <c r="AT887" s="2">
        <v>42823.8549929246</v>
      </c>
      <c r="AU887" s="2">
        <v>7092.8040129695401</v>
      </c>
      <c r="AV887" s="2">
        <v>84012.338429681899</v>
      </c>
      <c r="AW887" s="2">
        <v>29913.347063020101</v>
      </c>
      <c r="AX887" s="2">
        <v>25369.545016482101</v>
      </c>
    </row>
    <row r="888" spans="1:50" x14ac:dyDescent="0.25">
      <c r="A888" s="2" t="s">
        <v>6271</v>
      </c>
      <c r="B888" s="2">
        <v>513.19525809805305</v>
      </c>
      <c r="C888" s="2">
        <v>2.8037999999999998</v>
      </c>
      <c r="D888" s="2" t="s">
        <v>51</v>
      </c>
      <c r="E888" s="2" t="s">
        <v>6272</v>
      </c>
      <c r="F888" s="2">
        <v>203988</v>
      </c>
      <c r="G888" s="3" t="str">
        <f>HYPERLINK("https://cloud.oebiotech.com/#/lm/network/203988", "https://cloud.oebiotech.com/#/lm/network/203988")</f>
        <v>https://cloud.oebiotech.com/#/lm/network/203988</v>
      </c>
      <c r="H888" s="2" t="s">
        <v>6273</v>
      </c>
      <c r="I888" s="2">
        <v>1290</v>
      </c>
      <c r="J888" s="2"/>
      <c r="K888" s="2">
        <v>2327</v>
      </c>
      <c r="L888" s="2"/>
      <c r="M888" s="2"/>
      <c r="N888" s="2"/>
      <c r="O888" s="2">
        <v>64187</v>
      </c>
      <c r="P888" s="2"/>
      <c r="Q888" s="2"/>
      <c r="R888" s="2" t="s">
        <v>6274</v>
      </c>
      <c r="S888" s="2" t="s">
        <v>6275</v>
      </c>
      <c r="T888" s="2" t="s">
        <v>6276</v>
      </c>
      <c r="U888" s="2" t="s">
        <v>103</v>
      </c>
      <c r="V888" s="2" t="s">
        <v>104</v>
      </c>
      <c r="W888" s="2" t="s">
        <v>105</v>
      </c>
      <c r="X888" s="2" t="s">
        <v>147</v>
      </c>
      <c r="Y888" s="2">
        <v>38.799999999999997</v>
      </c>
      <c r="Z888" s="2">
        <v>0</v>
      </c>
      <c r="AA888" s="2" t="s">
        <v>478</v>
      </c>
      <c r="AB888" s="2" t="s">
        <v>6277</v>
      </c>
      <c r="AC888" s="2">
        <v>0.37600675438287501</v>
      </c>
      <c r="AD888" s="2"/>
      <c r="AE888" s="2">
        <v>0.654460107342686</v>
      </c>
      <c r="AF888" s="2">
        <v>3745.13187078178</v>
      </c>
      <c r="AG888" s="2">
        <v>15417.6787250916</v>
      </c>
      <c r="AH888" s="4">
        <v>0.242911526278384</v>
      </c>
      <c r="AI888" s="4">
        <v>-2.0414971466586098</v>
      </c>
      <c r="AJ888" s="4" t="s">
        <v>62</v>
      </c>
      <c r="AK888" s="2">
        <v>8.8293651139177295E-2</v>
      </c>
      <c r="AL888" s="2">
        <v>0.38072356452622402</v>
      </c>
      <c r="AM888" s="2">
        <v>552.00156015460504</v>
      </c>
      <c r="AN888" s="2">
        <v>8.559877937157E-6</v>
      </c>
      <c r="AO888" s="2">
        <v>3674.4099273060301</v>
      </c>
      <c r="AP888" s="2">
        <v>3635.2800182006899</v>
      </c>
      <c r="AQ888" s="2">
        <v>13095.6132987814</v>
      </c>
      <c r="AR888" s="2">
        <v>1513.4864116880599</v>
      </c>
      <c r="AS888" s="2">
        <v>8676.0901708226193</v>
      </c>
      <c r="AT888" s="2">
        <v>3236.5147063352701</v>
      </c>
      <c r="AU888" s="2">
        <v>7410.2275578301596</v>
      </c>
      <c r="AV888" s="2">
        <v>23182.340114981402</v>
      </c>
      <c r="AW888" s="2">
        <v>8757.6655536668804</v>
      </c>
      <c r="AX888" s="2">
        <v>41243.234246913402</v>
      </c>
    </row>
    <row r="889" spans="1:50" x14ac:dyDescent="0.25">
      <c r="A889" s="2" t="s">
        <v>6278</v>
      </c>
      <c r="B889" s="2">
        <v>369.17444508875099</v>
      </c>
      <c r="C889" s="2">
        <v>7.4274333333333296</v>
      </c>
      <c r="D889" s="2" t="s">
        <v>51</v>
      </c>
      <c r="E889" s="2" t="s">
        <v>6279</v>
      </c>
      <c r="F889" s="2">
        <v>46686</v>
      </c>
      <c r="G889" s="3" t="str">
        <f>HYPERLINK("https://cloud.oebiotech.com/#/lm/network/46686", "https://cloud.oebiotech.com/#/lm/network/46686")</f>
        <v>https://cloud.oebiotech.com/#/lm/network/46686</v>
      </c>
      <c r="H889" s="2" t="s">
        <v>6280</v>
      </c>
      <c r="I889" s="2">
        <v>57975</v>
      </c>
      <c r="J889" s="2" t="s">
        <v>6281</v>
      </c>
      <c r="K889" s="2">
        <v>18665256</v>
      </c>
      <c r="L889" s="2"/>
      <c r="M889" s="2"/>
      <c r="N889" s="2"/>
      <c r="O889" s="2">
        <v>138026</v>
      </c>
      <c r="P889" s="2"/>
      <c r="Q889" s="2"/>
      <c r="R889" s="2"/>
      <c r="S889" s="2" t="s">
        <v>6282</v>
      </c>
      <c r="T889" s="2" t="s">
        <v>6283</v>
      </c>
      <c r="U889" s="2" t="s">
        <v>56</v>
      </c>
      <c r="V889" s="2" t="s">
        <v>283</v>
      </c>
      <c r="W889" s="2" t="s">
        <v>2305</v>
      </c>
      <c r="X889" s="2" t="s">
        <v>83</v>
      </c>
      <c r="Y889" s="2">
        <v>42.4</v>
      </c>
      <c r="Z889" s="2">
        <v>3.58</v>
      </c>
      <c r="AA889" s="2" t="s">
        <v>163</v>
      </c>
      <c r="AB889" s="2" t="s">
        <v>6152</v>
      </c>
      <c r="AC889" s="2">
        <v>0.88189426848067598</v>
      </c>
      <c r="AD889" s="2"/>
      <c r="AE889" s="2">
        <v>0.65360851961361799</v>
      </c>
      <c r="AF889" s="2">
        <v>126248.546512359</v>
      </c>
      <c r="AG889" s="2">
        <v>73854.511072022899</v>
      </c>
      <c r="AH889" s="5">
        <v>1.7094222773912999</v>
      </c>
      <c r="AI889" s="5">
        <v>0.77350882898879203</v>
      </c>
      <c r="AJ889" s="5" t="s">
        <v>139</v>
      </c>
      <c r="AK889" s="2">
        <v>0.40018870316993299</v>
      </c>
      <c r="AL889" s="2">
        <v>0.66855529949520398</v>
      </c>
      <c r="AM889" s="2">
        <v>23364.767556196701</v>
      </c>
      <c r="AN889" s="2">
        <v>51029.753540091602</v>
      </c>
      <c r="AO889" s="2">
        <v>285550.63325496699</v>
      </c>
      <c r="AP889" s="2">
        <v>328298.72138627101</v>
      </c>
      <c r="AQ889" s="2">
        <v>59833.558862407597</v>
      </c>
      <c r="AR889" s="2">
        <v>9413.8444742179199</v>
      </c>
      <c r="AS889" s="2">
        <v>48381.717592613502</v>
      </c>
      <c r="AT889" s="2">
        <v>103914.857673412</v>
      </c>
      <c r="AU889" s="2">
        <v>51943.6458776902</v>
      </c>
      <c r="AV889" s="2">
        <v>131215.626599504</v>
      </c>
      <c r="AW889" s="2">
        <v>49820.930379027101</v>
      </c>
      <c r="AX889" s="2">
        <v>57850.288309890399</v>
      </c>
    </row>
    <row r="890" spans="1:50" x14ac:dyDescent="0.25">
      <c r="A890" s="2" t="s">
        <v>6284</v>
      </c>
      <c r="B890" s="2">
        <v>551.22291597751496</v>
      </c>
      <c r="C890" s="2">
        <v>8.5905500000000004</v>
      </c>
      <c r="D890" s="2" t="s">
        <v>51</v>
      </c>
      <c r="E890" s="2" t="s">
        <v>6285</v>
      </c>
      <c r="F890" s="2">
        <v>208999</v>
      </c>
      <c r="G890" s="3" t="str">
        <f>HYPERLINK("https://cloud.oebiotech.com/#/lm/network/208999", "https://cloud.oebiotech.com/#/lm/network/208999")</f>
        <v>https://cloud.oebiotech.com/#/lm/network/208999</v>
      </c>
      <c r="H890" s="2" t="s">
        <v>6286</v>
      </c>
      <c r="I890" s="2"/>
      <c r="J890" s="2"/>
      <c r="K890" s="2">
        <v>54175099</v>
      </c>
      <c r="L890" s="2"/>
      <c r="M890" s="2"/>
      <c r="N890" s="2"/>
      <c r="O890" s="2"/>
      <c r="P890" s="2"/>
      <c r="Q890" s="2"/>
      <c r="R890" s="2"/>
      <c r="S890" s="2" t="s">
        <v>6287</v>
      </c>
      <c r="T890" s="2" t="s">
        <v>6288</v>
      </c>
      <c r="U890" s="2" t="s">
        <v>103</v>
      </c>
      <c r="V890" s="2" t="s">
        <v>104</v>
      </c>
      <c r="W890" s="2" t="s">
        <v>105</v>
      </c>
      <c r="X890" s="2" t="s">
        <v>147</v>
      </c>
      <c r="Y890" s="2">
        <v>38.200000000000003</v>
      </c>
      <c r="Z890" s="2">
        <v>14.3</v>
      </c>
      <c r="AA890" s="2" t="s">
        <v>218</v>
      </c>
      <c r="AB890" s="2" t="s">
        <v>6289</v>
      </c>
      <c r="AC890" s="2">
        <v>4.5536956466764602</v>
      </c>
      <c r="AD890" s="2"/>
      <c r="AE890" s="2">
        <v>0.65293202111666704</v>
      </c>
      <c r="AF890" s="2">
        <v>27369.524142737799</v>
      </c>
      <c r="AG890" s="2">
        <v>35066.05388064</v>
      </c>
      <c r="AH890" s="4">
        <v>0.78051337729360604</v>
      </c>
      <c r="AI890" s="4">
        <v>-0.35750473598365601</v>
      </c>
      <c r="AJ890" s="4" t="s">
        <v>62</v>
      </c>
      <c r="AK890" s="2">
        <v>6.5692806109858505E-4</v>
      </c>
      <c r="AL890" s="2">
        <v>6.2906159657133795E-2</v>
      </c>
      <c r="AM890" s="2">
        <v>24980.962802084599</v>
      </c>
      <c r="AN890" s="2">
        <v>22107.645363145301</v>
      </c>
      <c r="AO890" s="2">
        <v>30158.973934363501</v>
      </c>
      <c r="AP890" s="2">
        <v>28068.538768486698</v>
      </c>
      <c r="AQ890" s="2">
        <v>29315.118738566001</v>
      </c>
      <c r="AR890" s="2">
        <v>29585.905249781001</v>
      </c>
      <c r="AS890" s="2">
        <v>35979.050138393097</v>
      </c>
      <c r="AT890" s="2">
        <v>33877.261797000298</v>
      </c>
      <c r="AU890" s="2">
        <v>31828.445893760301</v>
      </c>
      <c r="AV890" s="2">
        <v>36077.895618042101</v>
      </c>
      <c r="AW890" s="2">
        <v>38298.730388802702</v>
      </c>
      <c r="AX890" s="2">
        <v>34334.939447841301</v>
      </c>
    </row>
    <row r="891" spans="1:50" x14ac:dyDescent="0.25">
      <c r="A891" s="2" t="s">
        <v>6290</v>
      </c>
      <c r="B891" s="2">
        <v>575.46856063816301</v>
      </c>
      <c r="C891" s="2">
        <v>14.465633333333299</v>
      </c>
      <c r="D891" s="2" t="s">
        <v>51</v>
      </c>
      <c r="E891" s="2" t="s">
        <v>6291</v>
      </c>
      <c r="F891" s="2">
        <v>64037</v>
      </c>
      <c r="G891" s="3" t="str">
        <f>HYPERLINK("https://cloud.oebiotech.com/#/lm/network/64037", "https://cloud.oebiotech.com/#/lm/network/64037")</f>
        <v>https://cloud.oebiotech.com/#/lm/network/64037</v>
      </c>
      <c r="H891" s="2" t="s">
        <v>6292</v>
      </c>
      <c r="I891" s="2">
        <v>67012</v>
      </c>
      <c r="J891" s="2"/>
      <c r="K891" s="2">
        <v>5281161</v>
      </c>
      <c r="L891" s="2" t="s">
        <v>6293</v>
      </c>
      <c r="M891" s="2"/>
      <c r="N891" s="2"/>
      <c r="O891" s="2"/>
      <c r="P891" s="2"/>
      <c r="Q891" s="2"/>
      <c r="R891" s="2" t="s">
        <v>6294</v>
      </c>
      <c r="S891" s="2" t="s">
        <v>6295</v>
      </c>
      <c r="T891" s="2" t="s">
        <v>6296</v>
      </c>
      <c r="U891" s="2" t="s">
        <v>56</v>
      </c>
      <c r="V891" s="2" t="s">
        <v>145</v>
      </c>
      <c r="W891" s="2" t="s">
        <v>146</v>
      </c>
      <c r="X891" s="2" t="s">
        <v>147</v>
      </c>
      <c r="Y891" s="2">
        <v>38.200000000000003</v>
      </c>
      <c r="Z891" s="2">
        <v>0</v>
      </c>
      <c r="AA891" s="2" t="s">
        <v>218</v>
      </c>
      <c r="AB891" s="2" t="s">
        <v>6297</v>
      </c>
      <c r="AC891" s="2">
        <v>0.87077729949522498</v>
      </c>
      <c r="AD891" s="2"/>
      <c r="AE891" s="2">
        <v>0.65203808903764204</v>
      </c>
      <c r="AF891" s="2">
        <v>203917.78880182799</v>
      </c>
      <c r="AG891" s="2">
        <v>164409.92065598199</v>
      </c>
      <c r="AH891" s="5">
        <v>1.24030099879748</v>
      </c>
      <c r="AI891" s="5">
        <v>0.31069027930238502</v>
      </c>
      <c r="AJ891" s="5" t="s">
        <v>139</v>
      </c>
      <c r="AK891" s="2">
        <v>0.417998734064783</v>
      </c>
      <c r="AL891" s="2">
        <v>0.680092760795456</v>
      </c>
      <c r="AM891" s="2">
        <v>53749.8807384225</v>
      </c>
      <c r="AN891" s="2">
        <v>202011.47709319001</v>
      </c>
      <c r="AO891" s="2">
        <v>269757.64588650397</v>
      </c>
      <c r="AP891" s="2">
        <v>258517.89673546801</v>
      </c>
      <c r="AQ891" s="2">
        <v>251141.369744453</v>
      </c>
      <c r="AR891" s="2">
        <v>188328.46261292801</v>
      </c>
      <c r="AS891" s="2">
        <v>147023.10200496099</v>
      </c>
      <c r="AT891" s="2">
        <v>321009.97106866899</v>
      </c>
      <c r="AU891" s="2">
        <v>114571.56522378699</v>
      </c>
      <c r="AV891" s="2">
        <v>89856.690488527194</v>
      </c>
      <c r="AW891" s="2">
        <v>144805.29253306999</v>
      </c>
      <c r="AX891" s="2">
        <v>169192.90261687501</v>
      </c>
    </row>
    <row r="892" spans="1:50" x14ac:dyDescent="0.25">
      <c r="A892" s="2" t="s">
        <v>6298</v>
      </c>
      <c r="B892" s="2">
        <v>355.24930509724197</v>
      </c>
      <c r="C892" s="2">
        <v>8.1572999999999993</v>
      </c>
      <c r="D892" s="2" t="s">
        <v>51</v>
      </c>
      <c r="E892" s="2" t="s">
        <v>6299</v>
      </c>
      <c r="F892" s="2">
        <v>3702</v>
      </c>
      <c r="G892" s="3" t="str">
        <f>HYPERLINK("https://cloud.oebiotech.com/#/lm/network/3702", "https://cloud.oebiotech.com/#/lm/network/3702")</f>
        <v>https://cloud.oebiotech.com/#/lm/network/3702</v>
      </c>
      <c r="H892" s="2"/>
      <c r="I892" s="2"/>
      <c r="J892" s="2" t="s">
        <v>6300</v>
      </c>
      <c r="K892" s="2">
        <v>5283080</v>
      </c>
      <c r="L892" s="2"/>
      <c r="M892" s="2"/>
      <c r="N892" s="2"/>
      <c r="O892" s="2">
        <v>88346</v>
      </c>
      <c r="P892" s="2"/>
      <c r="Q892" s="2"/>
      <c r="R892" s="2"/>
      <c r="S892" s="2" t="s">
        <v>6301</v>
      </c>
      <c r="T892" s="2" t="s">
        <v>6302</v>
      </c>
      <c r="U892" s="2" t="s">
        <v>56</v>
      </c>
      <c r="V892" s="2" t="s">
        <v>145</v>
      </c>
      <c r="W892" s="2" t="s">
        <v>187</v>
      </c>
      <c r="X892" s="2" t="s">
        <v>83</v>
      </c>
      <c r="Y892" s="2">
        <v>44.2</v>
      </c>
      <c r="Z892" s="2">
        <v>0</v>
      </c>
      <c r="AA892" s="2" t="s">
        <v>163</v>
      </c>
      <c r="AB892" s="2" t="s">
        <v>6303</v>
      </c>
      <c r="AC892" s="2">
        <v>0.86251651885839897</v>
      </c>
      <c r="AD892" s="2"/>
      <c r="AE892" s="2">
        <v>0.65128343298244196</v>
      </c>
      <c r="AF892" s="2">
        <v>25497.901420234699</v>
      </c>
      <c r="AG892" s="2">
        <v>14082.146469805301</v>
      </c>
      <c r="AH892" s="5">
        <v>1.81065446769119</v>
      </c>
      <c r="AI892" s="5">
        <v>0.85651125898259595</v>
      </c>
      <c r="AJ892" s="5" t="s">
        <v>139</v>
      </c>
      <c r="AK892" s="2">
        <v>0.20982906494156001</v>
      </c>
      <c r="AL892" s="2">
        <v>0.53413913919887801</v>
      </c>
      <c r="AM892" s="2">
        <v>57889.9598030177</v>
      </c>
      <c r="AN892" s="2">
        <v>27070.386302205799</v>
      </c>
      <c r="AO892" s="2">
        <v>13915.557795679601</v>
      </c>
      <c r="AP892" s="2">
        <v>14502.6378489895</v>
      </c>
      <c r="AQ892" s="2">
        <v>19840.233638343099</v>
      </c>
      <c r="AR892" s="2">
        <v>19768.6331331726</v>
      </c>
      <c r="AS892" s="2">
        <v>9212.5272859413199</v>
      </c>
      <c r="AT892" s="2">
        <v>2124.62310365241</v>
      </c>
      <c r="AU892" s="2">
        <v>34462.520161505199</v>
      </c>
      <c r="AV892" s="2">
        <v>4499.4029891970004</v>
      </c>
      <c r="AW892" s="2">
        <v>24611.721537473801</v>
      </c>
      <c r="AX892" s="2">
        <v>9582.0837410623208</v>
      </c>
    </row>
    <row r="893" spans="1:50" x14ac:dyDescent="0.25">
      <c r="A893" s="2" t="s">
        <v>6304</v>
      </c>
      <c r="B893" s="2">
        <v>605.406127670057</v>
      </c>
      <c r="C893" s="2">
        <v>15.0309333333333</v>
      </c>
      <c r="D893" s="2" t="s">
        <v>51</v>
      </c>
      <c r="E893" s="2" t="s">
        <v>6305</v>
      </c>
      <c r="F893" s="2">
        <v>256967</v>
      </c>
      <c r="G893" s="3" t="str">
        <f>HYPERLINK("https://cloud.oebiotech.com/#/lm/network/256967", "https://cloud.oebiotech.com/#/lm/network/256967")</f>
        <v>https://cloud.oebiotech.com/#/lm/network/256967</v>
      </c>
      <c r="H893" s="2" t="s">
        <v>6306</v>
      </c>
      <c r="I893" s="2"/>
      <c r="J893" s="2"/>
      <c r="K893" s="2">
        <v>75967394</v>
      </c>
      <c r="L893" s="2"/>
      <c r="M893" s="2"/>
      <c r="N893" s="2"/>
      <c r="O893" s="2"/>
      <c r="P893" s="2"/>
      <c r="Q893" s="2"/>
      <c r="R893" s="2"/>
      <c r="S893" s="2" t="s">
        <v>6307</v>
      </c>
      <c r="T893" s="2" t="s">
        <v>6308</v>
      </c>
      <c r="U893" s="2" t="s">
        <v>56</v>
      </c>
      <c r="V893" s="2" t="s">
        <v>283</v>
      </c>
      <c r="W893" s="2" t="s">
        <v>3462</v>
      </c>
      <c r="X893" s="2" t="s">
        <v>147</v>
      </c>
      <c r="Y893" s="2">
        <v>40.9</v>
      </c>
      <c r="Z893" s="2">
        <v>11</v>
      </c>
      <c r="AA893" s="2" t="s">
        <v>218</v>
      </c>
      <c r="AB893" s="2" t="s">
        <v>6309</v>
      </c>
      <c r="AC893" s="2">
        <v>0.41984930223752198</v>
      </c>
      <c r="AD893" s="2"/>
      <c r="AE893" s="2">
        <v>0.65056231814009102</v>
      </c>
      <c r="AF893" s="2">
        <v>28328.8556936405</v>
      </c>
      <c r="AG893" s="2">
        <v>14259.0270921436</v>
      </c>
      <c r="AH893" s="5">
        <v>1.9867313183835</v>
      </c>
      <c r="AI893" s="5">
        <v>0.99039677855367003</v>
      </c>
      <c r="AJ893" s="5" t="s">
        <v>139</v>
      </c>
      <c r="AK893" s="2">
        <v>0.414586367205942</v>
      </c>
      <c r="AL893" s="2">
        <v>0.67751149521103105</v>
      </c>
      <c r="AM893" s="2">
        <v>107785.068327951</v>
      </c>
      <c r="AN893" s="2">
        <v>12262.9487442463</v>
      </c>
      <c r="AO893" s="2">
        <v>11687.8045008592</v>
      </c>
      <c r="AP893" s="2">
        <v>19588.855591020401</v>
      </c>
      <c r="AQ893" s="2">
        <v>9473.7775223830995</v>
      </c>
      <c r="AR893" s="2">
        <v>9174.6794753828799</v>
      </c>
      <c r="AS893" s="2">
        <v>6801.6156371035504</v>
      </c>
      <c r="AT893" s="2">
        <v>11812.680776819299</v>
      </c>
      <c r="AU893" s="2">
        <v>13258.838486230299</v>
      </c>
      <c r="AV893" s="2">
        <v>32977.665749277701</v>
      </c>
      <c r="AW893" s="2">
        <v>17644.590813813498</v>
      </c>
      <c r="AX893" s="2">
        <v>3058.7710896172198</v>
      </c>
    </row>
    <row r="894" spans="1:50" x14ac:dyDescent="0.25">
      <c r="A894" s="2" t="s">
        <v>6310</v>
      </c>
      <c r="B894" s="2">
        <v>539.24992556052302</v>
      </c>
      <c r="C894" s="2">
        <v>5.5183</v>
      </c>
      <c r="D894" s="2" t="s">
        <v>51</v>
      </c>
      <c r="E894" s="2" t="s">
        <v>6311</v>
      </c>
      <c r="F894" s="2">
        <v>50918</v>
      </c>
      <c r="G894" s="3" t="str">
        <f>HYPERLINK("https://cloud.oebiotech.com/#/lm/network/50918", "https://cloud.oebiotech.com/#/lm/network/50918")</f>
        <v>https://cloud.oebiotech.com/#/lm/network/50918</v>
      </c>
      <c r="H894" s="2" t="s">
        <v>6312</v>
      </c>
      <c r="I894" s="2">
        <v>61672</v>
      </c>
      <c r="J894" s="2"/>
      <c r="K894" s="2">
        <v>167918</v>
      </c>
      <c r="L894" s="2" t="s">
        <v>3258</v>
      </c>
      <c r="M894" s="2" t="s">
        <v>3259</v>
      </c>
      <c r="N894" s="2" t="s">
        <v>3260</v>
      </c>
      <c r="O894" s="2">
        <v>88728</v>
      </c>
      <c r="P894" s="2"/>
      <c r="Q894" s="2"/>
      <c r="R894" s="2" t="s">
        <v>6313</v>
      </c>
      <c r="S894" s="2" t="s">
        <v>6314</v>
      </c>
      <c r="T894" s="2" t="s">
        <v>6315</v>
      </c>
      <c r="U894" s="2" t="s">
        <v>56</v>
      </c>
      <c r="V894" s="2" t="s">
        <v>283</v>
      </c>
      <c r="W894" s="2" t="s">
        <v>3462</v>
      </c>
      <c r="X894" s="2" t="s">
        <v>69</v>
      </c>
      <c r="Y894" s="2">
        <v>54.1</v>
      </c>
      <c r="Z894" s="2">
        <v>67.400000000000006</v>
      </c>
      <c r="AA894" s="2" t="s">
        <v>163</v>
      </c>
      <c r="AB894" s="2" t="s">
        <v>6316</v>
      </c>
      <c r="AC894" s="2">
        <v>0.25894073865192602</v>
      </c>
      <c r="AD894" s="2"/>
      <c r="AE894" s="2">
        <v>0.65009372491029305</v>
      </c>
      <c r="AF894" s="2">
        <v>12497.408996018899</v>
      </c>
      <c r="AG894" s="2">
        <v>51493.8778482731</v>
      </c>
      <c r="AH894" s="4">
        <v>0.24269698686982999</v>
      </c>
      <c r="AI894" s="4">
        <v>-2.0427718976259199</v>
      </c>
      <c r="AJ894" s="4" t="s">
        <v>62</v>
      </c>
      <c r="AK894" s="2">
        <v>0.24696400461670601</v>
      </c>
      <c r="AL894" s="2">
        <v>0.57119796911972998</v>
      </c>
      <c r="AM894" s="2">
        <v>13837.517199596001</v>
      </c>
      <c r="AN894" s="2">
        <v>24753.245635706298</v>
      </c>
      <c r="AO894" s="2">
        <v>8521.2359681596899</v>
      </c>
      <c r="AP894" s="2">
        <v>6017.4069495801596</v>
      </c>
      <c r="AQ894" s="2">
        <v>6868.0880046092898</v>
      </c>
      <c r="AR894" s="2">
        <v>14986.9602184622</v>
      </c>
      <c r="AS894" s="2">
        <v>10981.1063880354</v>
      </c>
      <c r="AT894" s="2">
        <v>208110.587590785</v>
      </c>
      <c r="AU894" s="2">
        <v>26737.876607492599</v>
      </c>
      <c r="AV894" s="2">
        <v>35146.005357002403</v>
      </c>
      <c r="AW894" s="2">
        <v>19498.7007657104</v>
      </c>
      <c r="AX894" s="2">
        <v>8488.9903806126204</v>
      </c>
    </row>
    <row r="895" spans="1:50" x14ac:dyDescent="0.25">
      <c r="A895" s="2" t="s">
        <v>6317</v>
      </c>
      <c r="B895" s="2">
        <v>291.160183675035</v>
      </c>
      <c r="C895" s="2">
        <v>10.3901166666667</v>
      </c>
      <c r="D895" s="2" t="s">
        <v>51</v>
      </c>
      <c r="E895" s="2" t="s">
        <v>6318</v>
      </c>
      <c r="F895" s="2">
        <v>60371</v>
      </c>
      <c r="G895" s="3" t="str">
        <f>HYPERLINK("https://cloud.oebiotech.com/#/lm/network/60371", "https://cloud.oebiotech.com/#/lm/network/60371")</f>
        <v>https://cloud.oebiotech.com/#/lm/network/60371</v>
      </c>
      <c r="H895" s="2" t="s">
        <v>6319</v>
      </c>
      <c r="I895" s="2"/>
      <c r="J895" s="2"/>
      <c r="K895" s="2">
        <v>131752039</v>
      </c>
      <c r="L895" s="2"/>
      <c r="M895" s="2"/>
      <c r="N895" s="2"/>
      <c r="O895" s="2"/>
      <c r="P895" s="2"/>
      <c r="Q895" s="2"/>
      <c r="R895" s="2"/>
      <c r="S895" s="2" t="s">
        <v>6320</v>
      </c>
      <c r="T895" s="2" t="s">
        <v>6321</v>
      </c>
      <c r="U895" s="2" t="s">
        <v>56</v>
      </c>
      <c r="V895" s="2" t="s">
        <v>177</v>
      </c>
      <c r="W895" s="2" t="s">
        <v>806</v>
      </c>
      <c r="X895" s="2" t="s">
        <v>69</v>
      </c>
      <c r="Y895" s="2">
        <v>70.8</v>
      </c>
      <c r="Z895" s="2">
        <v>81.5</v>
      </c>
      <c r="AA895" s="2" t="s">
        <v>163</v>
      </c>
      <c r="AB895" s="2" t="s">
        <v>6322</v>
      </c>
      <c r="AC895" s="2">
        <v>2.9404896939228499E-3</v>
      </c>
      <c r="AD895" s="2"/>
      <c r="AE895" s="2">
        <v>0.64987210911381699</v>
      </c>
      <c r="AF895" s="2">
        <v>29685.9818736341</v>
      </c>
      <c r="AG895" s="2">
        <v>36785.000700648598</v>
      </c>
      <c r="AH895" s="4">
        <v>0.80701322028548195</v>
      </c>
      <c r="AI895" s="4">
        <v>-0.30933578732720701</v>
      </c>
      <c r="AJ895" s="4" t="s">
        <v>62</v>
      </c>
      <c r="AK895" s="2">
        <v>1.2824705054628101E-4</v>
      </c>
      <c r="AL895" s="2">
        <v>3.9225470277496198E-2</v>
      </c>
      <c r="AM895" s="2">
        <v>26699.025903010101</v>
      </c>
      <c r="AN895" s="2">
        <v>28108.260997642399</v>
      </c>
      <c r="AO895" s="2">
        <v>29695.922715719302</v>
      </c>
      <c r="AP895" s="2">
        <v>32532.094889355601</v>
      </c>
      <c r="AQ895" s="2">
        <v>31506.294524142999</v>
      </c>
      <c r="AR895" s="2">
        <v>29574.2922119342</v>
      </c>
      <c r="AS895" s="2">
        <v>36774.905028314701</v>
      </c>
      <c r="AT895" s="2">
        <v>35659.9472376821</v>
      </c>
      <c r="AU895" s="2">
        <v>33617.778916605203</v>
      </c>
      <c r="AV895" s="2">
        <v>38562.734652298597</v>
      </c>
      <c r="AW895" s="2">
        <v>37271.206537615901</v>
      </c>
      <c r="AX895" s="2">
        <v>38823.431831374903</v>
      </c>
    </row>
    <row r="896" spans="1:50" x14ac:dyDescent="0.25">
      <c r="A896" s="2" t="s">
        <v>6323</v>
      </c>
      <c r="B896" s="2">
        <v>205.159357284403</v>
      </c>
      <c r="C896" s="2">
        <v>9.3200333333333294</v>
      </c>
      <c r="D896" s="2" t="s">
        <v>51</v>
      </c>
      <c r="E896" s="2" t="s">
        <v>6324</v>
      </c>
      <c r="F896" s="2">
        <v>5996</v>
      </c>
      <c r="G896" s="3" t="str">
        <f>HYPERLINK("https://cloud.oebiotech.com/#/lm/network/5996", "https://cloud.oebiotech.com/#/lm/network/5996")</f>
        <v>https://cloud.oebiotech.com/#/lm/network/5996</v>
      </c>
      <c r="H896" s="2"/>
      <c r="I896" s="2">
        <v>36473</v>
      </c>
      <c r="J896" s="2" t="s">
        <v>6325</v>
      </c>
      <c r="K896" s="2">
        <v>5283270</v>
      </c>
      <c r="L896" s="2"/>
      <c r="M896" s="2"/>
      <c r="N896" s="2"/>
      <c r="O896" s="2">
        <v>137714</v>
      </c>
      <c r="P896" s="2"/>
      <c r="Q896" s="2"/>
      <c r="R896" s="2"/>
      <c r="S896" s="2" t="s">
        <v>6326</v>
      </c>
      <c r="T896" s="2" t="s">
        <v>6327</v>
      </c>
      <c r="U896" s="2" t="s">
        <v>56</v>
      </c>
      <c r="V896" s="2" t="s">
        <v>145</v>
      </c>
      <c r="W896" s="2" t="s">
        <v>146</v>
      </c>
      <c r="X896" s="2" t="s">
        <v>147</v>
      </c>
      <c r="Y896" s="2">
        <v>46.5</v>
      </c>
      <c r="Z896" s="2">
        <v>43.5</v>
      </c>
      <c r="AA896" s="2" t="s">
        <v>179</v>
      </c>
      <c r="AB896" s="2" t="s">
        <v>6328</v>
      </c>
      <c r="AC896" s="2">
        <v>3.2602832680422602</v>
      </c>
      <c r="AD896" s="2"/>
      <c r="AE896" s="2">
        <v>0.64890856954234399</v>
      </c>
      <c r="AF896" s="2">
        <v>37797.828988311703</v>
      </c>
      <c r="AG896" s="2">
        <v>27652.242799732601</v>
      </c>
      <c r="AH896" s="5">
        <v>1.3668992154472599</v>
      </c>
      <c r="AI896" s="5">
        <v>0.450906873715961</v>
      </c>
      <c r="AJ896" s="5" t="s">
        <v>139</v>
      </c>
      <c r="AK896" s="2">
        <v>2.93191616184337E-2</v>
      </c>
      <c r="AL896" s="2">
        <v>0.25908320162100301</v>
      </c>
      <c r="AM896" s="2">
        <v>42482.6498061569</v>
      </c>
      <c r="AN896" s="2">
        <v>45866.4163064698</v>
      </c>
      <c r="AO896" s="2">
        <v>30550.194826163999</v>
      </c>
      <c r="AP896" s="2">
        <v>36727.087157870199</v>
      </c>
      <c r="AQ896" s="2">
        <v>30756.8176114706</v>
      </c>
      <c r="AR896" s="2">
        <v>40403.8082217384</v>
      </c>
      <c r="AS896" s="2">
        <v>30865.8095320756</v>
      </c>
      <c r="AT896" s="2">
        <v>22794.3860513861</v>
      </c>
      <c r="AU896" s="2">
        <v>38278.882505919901</v>
      </c>
      <c r="AV896" s="2">
        <v>17875.461969016498</v>
      </c>
      <c r="AW896" s="2">
        <v>23663.909758104601</v>
      </c>
      <c r="AX896" s="2">
        <v>32435.006981893199</v>
      </c>
    </row>
    <row r="897" spans="1:50" x14ac:dyDescent="0.25">
      <c r="A897" s="2" t="s">
        <v>6329</v>
      </c>
      <c r="B897" s="2">
        <v>184.073729717589</v>
      </c>
      <c r="C897" s="2">
        <v>10.6119166666667</v>
      </c>
      <c r="D897" s="2" t="s">
        <v>51</v>
      </c>
      <c r="E897" s="2" t="s">
        <v>6330</v>
      </c>
      <c r="F897" s="2">
        <v>47656</v>
      </c>
      <c r="G897" s="3" t="str">
        <f>HYPERLINK("https://cloud.oebiotech.com/#/lm/network/47656", "https://cloud.oebiotech.com/#/lm/network/47656")</f>
        <v>https://cloud.oebiotech.com/#/lm/network/47656</v>
      </c>
      <c r="H897" s="2" t="s">
        <v>6331</v>
      </c>
      <c r="I897" s="2">
        <v>6326</v>
      </c>
      <c r="J897" s="2"/>
      <c r="K897" s="2">
        <v>1014</v>
      </c>
      <c r="L897" s="2" t="s">
        <v>6332</v>
      </c>
      <c r="M897" s="2" t="s">
        <v>6333</v>
      </c>
      <c r="N897" s="2" t="s">
        <v>6334</v>
      </c>
      <c r="O897" s="2">
        <v>18132</v>
      </c>
      <c r="P897" s="2" t="s">
        <v>6335</v>
      </c>
      <c r="Q897" s="2" t="s">
        <v>6336</v>
      </c>
      <c r="R897" s="2" t="s">
        <v>6337</v>
      </c>
      <c r="S897" s="2" t="s">
        <v>6338</v>
      </c>
      <c r="T897" s="2" t="s">
        <v>6339</v>
      </c>
      <c r="U897" s="2" t="s">
        <v>119</v>
      </c>
      <c r="V897" s="2" t="s">
        <v>120</v>
      </c>
      <c r="W897" s="2" t="s">
        <v>121</v>
      </c>
      <c r="X897" s="2" t="s">
        <v>147</v>
      </c>
      <c r="Y897" s="2">
        <v>46.7</v>
      </c>
      <c r="Z897" s="2">
        <v>37.4</v>
      </c>
      <c r="AA897" s="2" t="s">
        <v>122</v>
      </c>
      <c r="AB897" s="2" t="s">
        <v>6340</v>
      </c>
      <c r="AC897" s="2">
        <v>-0.76043656540008397</v>
      </c>
      <c r="AD897" s="2"/>
      <c r="AE897" s="2">
        <v>0.648750273071102</v>
      </c>
      <c r="AF897" s="2">
        <v>82506.381869996796</v>
      </c>
      <c r="AG897" s="2">
        <v>101557.789444137</v>
      </c>
      <c r="AH897" s="4">
        <v>0.81240820937108105</v>
      </c>
      <c r="AI897" s="4">
        <v>-0.299723276770889</v>
      </c>
      <c r="AJ897" s="4" t="s">
        <v>62</v>
      </c>
      <c r="AK897" s="2">
        <v>0.163246930583518</v>
      </c>
      <c r="AL897" s="2">
        <v>0.48434324587146799</v>
      </c>
      <c r="AM897" s="2">
        <v>108333.27543438</v>
      </c>
      <c r="AN897" s="2">
        <v>80702.212560218002</v>
      </c>
      <c r="AO897" s="2">
        <v>74775.315366290495</v>
      </c>
      <c r="AP897" s="2">
        <v>81952.353254675705</v>
      </c>
      <c r="AQ897" s="2">
        <v>71635.043089556406</v>
      </c>
      <c r="AR897" s="2">
        <v>77640.091514860105</v>
      </c>
      <c r="AS897" s="2">
        <v>69826.748790791899</v>
      </c>
      <c r="AT897" s="2">
        <v>61887.596734428997</v>
      </c>
      <c r="AU897" s="2">
        <v>123137.242893977</v>
      </c>
      <c r="AV897" s="2">
        <v>118752.721390502</v>
      </c>
      <c r="AW897" s="2">
        <v>123400.93099254199</v>
      </c>
      <c r="AX897" s="2">
        <v>112341.495862581</v>
      </c>
    </row>
    <row r="898" spans="1:50" x14ac:dyDescent="0.25">
      <c r="A898" s="2" t="s">
        <v>6341</v>
      </c>
      <c r="B898" s="2">
        <v>388.25290868885003</v>
      </c>
      <c r="C898" s="2">
        <v>14.131683333333299</v>
      </c>
      <c r="D898" s="2" t="s">
        <v>51</v>
      </c>
      <c r="E898" s="2" t="s">
        <v>6342</v>
      </c>
      <c r="F898" s="2">
        <v>8658</v>
      </c>
      <c r="G898" s="3" t="str">
        <f>HYPERLINK("https://cloud.oebiotech.com/#/lm/network/8658", "https://cloud.oebiotech.com/#/lm/network/8658")</f>
        <v>https://cloud.oebiotech.com/#/lm/network/8658</v>
      </c>
      <c r="H898" s="2" t="s">
        <v>6343</v>
      </c>
      <c r="I898" s="2">
        <v>44908</v>
      </c>
      <c r="J898" s="2" t="s">
        <v>6344</v>
      </c>
      <c r="K898" s="2">
        <v>6437033</v>
      </c>
      <c r="L898" s="2"/>
      <c r="M898" s="2"/>
      <c r="N898" s="2"/>
      <c r="O898" s="2">
        <v>146206</v>
      </c>
      <c r="P898" s="2"/>
      <c r="Q898" s="2"/>
      <c r="R898" s="2" t="s">
        <v>6345</v>
      </c>
      <c r="S898" s="2" t="s">
        <v>6346</v>
      </c>
      <c r="T898" s="2" t="s">
        <v>6347</v>
      </c>
      <c r="U898" s="2" t="s">
        <v>56</v>
      </c>
      <c r="V898" s="2" t="s">
        <v>145</v>
      </c>
      <c r="W898" s="2" t="s">
        <v>1617</v>
      </c>
      <c r="X898" s="2" t="s">
        <v>147</v>
      </c>
      <c r="Y898" s="2">
        <v>38.299999999999997</v>
      </c>
      <c r="Z898" s="2">
        <v>0.92600000000000005</v>
      </c>
      <c r="AA898" s="2" t="s">
        <v>163</v>
      </c>
      <c r="AB898" s="2" t="s">
        <v>6348</v>
      </c>
      <c r="AC898" s="2">
        <v>0.52763471945047602</v>
      </c>
      <c r="AD898" s="2"/>
      <c r="AE898" s="2">
        <v>0.64857342162825504</v>
      </c>
      <c r="AF898" s="2">
        <v>21932.8254109175</v>
      </c>
      <c r="AG898" s="2">
        <v>62521.9195079075</v>
      </c>
      <c r="AH898" s="4">
        <v>0.35080217599754798</v>
      </c>
      <c r="AI898" s="4">
        <v>-1.5112703981562099</v>
      </c>
      <c r="AJ898" s="4" t="s">
        <v>62</v>
      </c>
      <c r="AK898" s="2">
        <v>0.35056030521515402</v>
      </c>
      <c r="AL898" s="2">
        <v>0.64273559662805702</v>
      </c>
      <c r="AM898" s="2">
        <v>18995.234336023201</v>
      </c>
      <c r="AN898" s="2">
        <v>20856.632991222901</v>
      </c>
      <c r="AO898" s="2">
        <v>24483.517568245999</v>
      </c>
      <c r="AP898" s="2">
        <v>20670.904148492999</v>
      </c>
      <c r="AQ898" s="2">
        <v>23761.399601658199</v>
      </c>
      <c r="AR898" s="2">
        <v>22829.263819861699</v>
      </c>
      <c r="AS898" s="2">
        <v>14731.558693978899</v>
      </c>
      <c r="AT898" s="2">
        <v>10566.460209254899</v>
      </c>
      <c r="AU898" s="2">
        <v>266749.498325516</v>
      </c>
      <c r="AV898" s="2">
        <v>19307.8471939718</v>
      </c>
      <c r="AW898" s="2">
        <v>55171.187994884698</v>
      </c>
      <c r="AX898" s="2">
        <v>8604.9646298388197</v>
      </c>
    </row>
    <row r="899" spans="1:50" x14ac:dyDescent="0.25">
      <c r="A899" s="2" t="s">
        <v>6349</v>
      </c>
      <c r="B899" s="2">
        <v>218.13939319929901</v>
      </c>
      <c r="C899" s="2">
        <v>0.76721666666666699</v>
      </c>
      <c r="D899" s="2" t="s">
        <v>51</v>
      </c>
      <c r="E899" s="2" t="s">
        <v>6350</v>
      </c>
      <c r="F899" s="2">
        <v>58896</v>
      </c>
      <c r="G899" s="3" t="str">
        <f>HYPERLINK("https://cloud.oebiotech.com/#/lm/network/58896", "https://cloud.oebiotech.com/#/lm/network/58896")</f>
        <v>https://cloud.oebiotech.com/#/lm/network/58896</v>
      </c>
      <c r="H899" s="2" t="s">
        <v>6351</v>
      </c>
      <c r="I899" s="2">
        <v>90339</v>
      </c>
      <c r="J899" s="2"/>
      <c r="K899" s="2">
        <v>15560389</v>
      </c>
      <c r="L899" s="2"/>
      <c r="M899" s="2"/>
      <c r="N899" s="2"/>
      <c r="O899" s="2">
        <v>172073</v>
      </c>
      <c r="P899" s="2"/>
      <c r="Q899" s="2"/>
      <c r="R899" s="2" t="s">
        <v>6352</v>
      </c>
      <c r="S899" s="2" t="s">
        <v>6353</v>
      </c>
      <c r="T899" s="2" t="s">
        <v>6354</v>
      </c>
      <c r="U899" s="2" t="s">
        <v>56</v>
      </c>
      <c r="V899" s="2" t="s">
        <v>177</v>
      </c>
      <c r="W899" s="2" t="s">
        <v>584</v>
      </c>
      <c r="X899" s="2" t="s">
        <v>147</v>
      </c>
      <c r="Y899" s="2">
        <v>41.1</v>
      </c>
      <c r="Z899" s="2">
        <v>16.600000000000001</v>
      </c>
      <c r="AA899" s="2" t="s">
        <v>512</v>
      </c>
      <c r="AB899" s="2" t="s">
        <v>6355</v>
      </c>
      <c r="AC899" s="2">
        <v>3.54153288930942</v>
      </c>
      <c r="AD899" s="2"/>
      <c r="AE899" s="2">
        <v>0.64849919883470797</v>
      </c>
      <c r="AF899" s="2">
        <v>46666.713312612497</v>
      </c>
      <c r="AG899" s="2">
        <v>31593.7301904132</v>
      </c>
      <c r="AH899" s="5">
        <v>1.47708779657722</v>
      </c>
      <c r="AI899" s="5">
        <v>0.56275558095856204</v>
      </c>
      <c r="AJ899" s="5" t="s">
        <v>139</v>
      </c>
      <c r="AK899" s="2">
        <v>0.13644943110871399</v>
      </c>
      <c r="AL899" s="2">
        <v>0.45714014015627302</v>
      </c>
      <c r="AM899" s="2">
        <v>49856.8656686822</v>
      </c>
      <c r="AN899" s="2">
        <v>41697.525869574398</v>
      </c>
      <c r="AO899" s="2">
        <v>49279.810127182798</v>
      </c>
      <c r="AP899" s="2">
        <v>78873.385541576106</v>
      </c>
      <c r="AQ899" s="2">
        <v>24121.771406548101</v>
      </c>
      <c r="AR899" s="2">
        <v>36170.921262111697</v>
      </c>
      <c r="AS899" s="2">
        <v>23812.726907426098</v>
      </c>
      <c r="AT899" s="2">
        <v>48309.798397864302</v>
      </c>
      <c r="AU899" s="2">
        <v>38481.683764461202</v>
      </c>
      <c r="AV899" s="2">
        <v>10310.0266354005</v>
      </c>
      <c r="AW899" s="2">
        <v>39150.715977743697</v>
      </c>
      <c r="AX899" s="2">
        <v>29497.4294595834</v>
      </c>
    </row>
    <row r="900" spans="1:50" x14ac:dyDescent="0.25">
      <c r="A900" s="2" t="s">
        <v>6356</v>
      </c>
      <c r="B900" s="2">
        <v>614.34638424226</v>
      </c>
      <c r="C900" s="2">
        <v>10.8570333333333</v>
      </c>
      <c r="D900" s="2" t="s">
        <v>51</v>
      </c>
      <c r="E900" s="2" t="s">
        <v>6357</v>
      </c>
      <c r="F900" s="2">
        <v>19891</v>
      </c>
      <c r="G900" s="3" t="str">
        <f>HYPERLINK("https://cloud.oebiotech.com/#/lm/network/19891", "https://cloud.oebiotech.com/#/lm/network/19891")</f>
        <v>https://cloud.oebiotech.com/#/lm/network/19891</v>
      </c>
      <c r="H900" s="2" t="s">
        <v>6358</v>
      </c>
      <c r="I900" s="2">
        <v>61711</v>
      </c>
      <c r="J900" s="2" t="s">
        <v>6359</v>
      </c>
      <c r="K900" s="2">
        <v>53480473</v>
      </c>
      <c r="L900" s="2" t="s">
        <v>691</v>
      </c>
      <c r="M900" s="2" t="s">
        <v>692</v>
      </c>
      <c r="N900" s="2" t="s">
        <v>693</v>
      </c>
      <c r="O900" s="2">
        <v>74348</v>
      </c>
      <c r="P900" s="2"/>
      <c r="Q900" s="2"/>
      <c r="R900" s="2"/>
      <c r="S900" s="2" t="s">
        <v>6360</v>
      </c>
      <c r="T900" s="2" t="s">
        <v>6361</v>
      </c>
      <c r="U900" s="2" t="s">
        <v>56</v>
      </c>
      <c r="V900" s="2" t="s">
        <v>57</v>
      </c>
      <c r="W900" s="2" t="s">
        <v>58</v>
      </c>
      <c r="X900" s="2" t="s">
        <v>69</v>
      </c>
      <c r="Y900" s="2">
        <v>66.099999999999994</v>
      </c>
      <c r="Z900" s="2">
        <v>95.1</v>
      </c>
      <c r="AA900" s="2" t="s">
        <v>218</v>
      </c>
      <c r="AB900" s="2" t="s">
        <v>3679</v>
      </c>
      <c r="AC900" s="2">
        <v>7.3299440053389397E-2</v>
      </c>
      <c r="AD900" s="2"/>
      <c r="AE900" s="2">
        <v>0.64636139905210099</v>
      </c>
      <c r="AF900" s="2">
        <v>30911.790113835599</v>
      </c>
      <c r="AG900" s="2">
        <v>47787.188977262602</v>
      </c>
      <c r="AH900" s="4">
        <v>0.64686353760091697</v>
      </c>
      <c r="AI900" s="4">
        <v>-0.62846670166680496</v>
      </c>
      <c r="AJ900" s="4" t="s">
        <v>62</v>
      </c>
      <c r="AK900" s="2">
        <v>0.32621614056708198</v>
      </c>
      <c r="AL900" s="2">
        <v>0.62992073899545697</v>
      </c>
      <c r="AM900" s="2">
        <v>46784.7252463853</v>
      </c>
      <c r="AN900" s="2">
        <v>15999.3747300292</v>
      </c>
      <c r="AO900" s="2">
        <v>6529.1990088960601</v>
      </c>
      <c r="AP900" s="2">
        <v>29836.604182933599</v>
      </c>
      <c r="AQ900" s="2">
        <v>27532.277170072299</v>
      </c>
      <c r="AR900" s="2">
        <v>58788.560344697296</v>
      </c>
      <c r="AS900" s="2">
        <v>11909.849847853</v>
      </c>
      <c r="AT900" s="2">
        <v>15940.422458925401</v>
      </c>
      <c r="AU900" s="2">
        <v>35031.945764577598</v>
      </c>
      <c r="AV900" s="2">
        <v>104143.340453358</v>
      </c>
      <c r="AW900" s="2">
        <v>70485.061412737195</v>
      </c>
      <c r="AX900" s="2">
        <v>49212.513926124302</v>
      </c>
    </row>
    <row r="901" spans="1:50" x14ac:dyDescent="0.25">
      <c r="A901" s="2" t="s">
        <v>6362</v>
      </c>
      <c r="B901" s="2">
        <v>198.032108541779</v>
      </c>
      <c r="C901" s="2">
        <v>3.6478999999999999</v>
      </c>
      <c r="D901" s="2" t="s">
        <v>51</v>
      </c>
      <c r="E901" s="2" t="s">
        <v>6363</v>
      </c>
      <c r="F901" s="2">
        <v>374550</v>
      </c>
      <c r="G901" s="3" t="str">
        <f>HYPERLINK("https://cloud.oebiotech.com/#/lm/network/374550", "https://cloud.oebiotech.com/#/lm/network/374550")</f>
        <v>https://cloud.oebiotech.com/#/lm/network/374550</v>
      </c>
      <c r="H901" s="2"/>
      <c r="I901" s="2">
        <v>450710</v>
      </c>
      <c r="J901" s="2"/>
      <c r="K901" s="2">
        <v>2761491</v>
      </c>
      <c r="L901" s="2"/>
      <c r="M901" s="2"/>
      <c r="N901" s="2"/>
      <c r="O901" s="2"/>
      <c r="P901" s="2"/>
      <c r="Q901" s="2"/>
      <c r="R901" s="2"/>
      <c r="S901" s="2" t="s">
        <v>6364</v>
      </c>
      <c r="T901" s="2" t="s">
        <v>6365</v>
      </c>
      <c r="U901" s="2" t="s">
        <v>103</v>
      </c>
      <c r="V901" s="2" t="s">
        <v>104</v>
      </c>
      <c r="W901" s="2" t="s">
        <v>105</v>
      </c>
      <c r="X901" s="2" t="s">
        <v>69</v>
      </c>
      <c r="Y901" s="2">
        <v>51.4</v>
      </c>
      <c r="Z901" s="2">
        <v>78.2</v>
      </c>
      <c r="AA901" s="2" t="s">
        <v>163</v>
      </c>
      <c r="AB901" s="2" t="s">
        <v>1851</v>
      </c>
      <c r="AC901" s="2">
        <v>-3.1214370035468701</v>
      </c>
      <c r="AD901" s="2"/>
      <c r="AE901" s="2">
        <v>0.64606418333734905</v>
      </c>
      <c r="AF901" s="2">
        <v>60229.583073178401</v>
      </c>
      <c r="AG901" s="2">
        <v>71133.987205435697</v>
      </c>
      <c r="AH901" s="4">
        <v>0.84670613077310997</v>
      </c>
      <c r="AI901" s="4">
        <v>-0.240066759616859</v>
      </c>
      <c r="AJ901" s="4" t="s">
        <v>62</v>
      </c>
      <c r="AK901" s="2">
        <v>6.1795663787549603E-2</v>
      </c>
      <c r="AL901" s="2">
        <v>0.33474530648419898</v>
      </c>
      <c r="AM901" s="2">
        <v>48124.042703732302</v>
      </c>
      <c r="AN901" s="2">
        <v>54028.410770976203</v>
      </c>
      <c r="AO901" s="2">
        <v>58482.357017944902</v>
      </c>
      <c r="AP901" s="2">
        <v>63400.237224479199</v>
      </c>
      <c r="AQ901" s="2">
        <v>68282.665578813394</v>
      </c>
      <c r="AR901" s="2">
        <v>69059.785143124202</v>
      </c>
      <c r="AS901" s="2">
        <v>79050.837344247702</v>
      </c>
      <c r="AT901" s="2">
        <v>83846.824401789301</v>
      </c>
      <c r="AU901" s="2">
        <v>61991.8988147891</v>
      </c>
      <c r="AV901" s="2">
        <v>58586.334196465999</v>
      </c>
      <c r="AW901" s="2">
        <v>71664.489767334104</v>
      </c>
      <c r="AX901" s="2">
        <v>71663.5387079879</v>
      </c>
    </row>
    <row r="902" spans="1:50" x14ac:dyDescent="0.25">
      <c r="A902" s="2" t="s">
        <v>6366</v>
      </c>
      <c r="B902" s="2">
        <v>151.075744690135</v>
      </c>
      <c r="C902" s="2">
        <v>9.2380666666666702</v>
      </c>
      <c r="D902" s="2" t="s">
        <v>51</v>
      </c>
      <c r="E902" s="2" t="s">
        <v>6367</v>
      </c>
      <c r="F902" s="2">
        <v>47868</v>
      </c>
      <c r="G902" s="3" t="str">
        <f>HYPERLINK("https://cloud.oebiotech.com/#/lm/network/47868", "https://cloud.oebiotech.com/#/lm/network/47868")</f>
        <v>https://cloud.oebiotech.com/#/lm/network/47868</v>
      </c>
      <c r="H902" s="2" t="s">
        <v>6368</v>
      </c>
      <c r="I902" s="2">
        <v>6557</v>
      </c>
      <c r="J902" s="2"/>
      <c r="K902" s="2">
        <v>12121</v>
      </c>
      <c r="L902" s="2"/>
      <c r="M902" s="2"/>
      <c r="N902" s="2"/>
      <c r="O902" s="2">
        <v>88356</v>
      </c>
      <c r="P902" s="2"/>
      <c r="Q902" s="2"/>
      <c r="R902" s="2" t="s">
        <v>6369</v>
      </c>
      <c r="S902" s="2" t="s">
        <v>6370</v>
      </c>
      <c r="T902" s="2" t="s">
        <v>6371</v>
      </c>
      <c r="U902" s="2" t="s">
        <v>610</v>
      </c>
      <c r="V902" s="2" t="s">
        <v>611</v>
      </c>
      <c r="W902" s="2" t="s">
        <v>6372</v>
      </c>
      <c r="X902" s="2" t="s">
        <v>59</v>
      </c>
      <c r="Y902" s="2">
        <v>47.7</v>
      </c>
      <c r="Z902" s="2">
        <v>46.8</v>
      </c>
      <c r="AA902" s="2" t="s">
        <v>179</v>
      </c>
      <c r="AB902" s="2" t="s">
        <v>6373</v>
      </c>
      <c r="AC902" s="2">
        <v>2.5901465242978001</v>
      </c>
      <c r="AD902" s="2"/>
      <c r="AE902" s="2">
        <v>0.64598563509485296</v>
      </c>
      <c r="AF902" s="2">
        <v>22466.9584858216</v>
      </c>
      <c r="AG902" s="2">
        <v>13579.9960662126</v>
      </c>
      <c r="AH902" s="5">
        <v>1.6544156843844799</v>
      </c>
      <c r="AI902" s="5">
        <v>0.72632176803606396</v>
      </c>
      <c r="AJ902" s="5" t="s">
        <v>139</v>
      </c>
      <c r="AK902" s="2">
        <v>6.5441358436195999E-3</v>
      </c>
      <c r="AL902" s="2">
        <v>0.13578099011431899</v>
      </c>
      <c r="AM902" s="2">
        <v>22842.243617647</v>
      </c>
      <c r="AN902" s="2">
        <v>31343.7277696563</v>
      </c>
      <c r="AO902" s="2">
        <v>20476.5093849267</v>
      </c>
      <c r="AP902" s="2">
        <v>17158.8237310687</v>
      </c>
      <c r="AQ902" s="2">
        <v>21437.754450905799</v>
      </c>
      <c r="AR902" s="2">
        <v>21542.691960725399</v>
      </c>
      <c r="AS902" s="2">
        <v>19854.848683305201</v>
      </c>
      <c r="AT902" s="2">
        <v>12953.5263597664</v>
      </c>
      <c r="AU902" s="2">
        <v>15477.527819471999</v>
      </c>
      <c r="AV902" s="2">
        <v>8076.7714424778296</v>
      </c>
      <c r="AW902" s="2">
        <v>9931.2446445110309</v>
      </c>
      <c r="AX902" s="2">
        <v>15186.0574477432</v>
      </c>
    </row>
    <row r="903" spans="1:50" x14ac:dyDescent="0.25">
      <c r="A903" s="2" t="s">
        <v>6374</v>
      </c>
      <c r="B903" s="2">
        <v>299.25918144692599</v>
      </c>
      <c r="C903" s="2">
        <v>13.2417833333333</v>
      </c>
      <c r="D903" s="2" t="s">
        <v>51</v>
      </c>
      <c r="E903" s="2" t="s">
        <v>6375</v>
      </c>
      <c r="F903" s="2">
        <v>9984</v>
      </c>
      <c r="G903" s="3" t="str">
        <f>HYPERLINK("https://cloud.oebiotech.com/#/lm/network/9984", "https://cloud.oebiotech.com/#/lm/network/9984")</f>
        <v>https://cloud.oebiotech.com/#/lm/network/9984</v>
      </c>
      <c r="H903" s="2"/>
      <c r="I903" s="2">
        <v>98190</v>
      </c>
      <c r="J903" s="2" t="s">
        <v>6376</v>
      </c>
      <c r="K903" s="2">
        <v>522816</v>
      </c>
      <c r="L903" s="2"/>
      <c r="M903" s="2"/>
      <c r="N903" s="2"/>
      <c r="O903" s="2"/>
      <c r="P903" s="2"/>
      <c r="Q903" s="2"/>
      <c r="R903" s="2"/>
      <c r="S903" s="2" t="s">
        <v>6377</v>
      </c>
      <c r="T903" s="2" t="s">
        <v>6378</v>
      </c>
      <c r="U903" s="2" t="s">
        <v>331</v>
      </c>
      <c r="V903" s="2" t="s">
        <v>332</v>
      </c>
      <c r="W903" s="2" t="s">
        <v>1207</v>
      </c>
      <c r="X903" s="2" t="s">
        <v>69</v>
      </c>
      <c r="Y903" s="2">
        <v>68.900000000000006</v>
      </c>
      <c r="Z903" s="2">
        <v>71.099999999999994</v>
      </c>
      <c r="AA903" s="2" t="s">
        <v>218</v>
      </c>
      <c r="AB903" s="2" t="s">
        <v>6379</v>
      </c>
      <c r="AC903" s="2">
        <v>5.06054323962849E-2</v>
      </c>
      <c r="AD903" s="2"/>
      <c r="AE903" s="2">
        <v>0.64564434407634597</v>
      </c>
      <c r="AF903" s="2">
        <v>49175.711451494302</v>
      </c>
      <c r="AG903" s="2">
        <v>66635.926353487201</v>
      </c>
      <c r="AH903" s="4">
        <v>0.73797595595248899</v>
      </c>
      <c r="AI903" s="4">
        <v>-0.43835428238650298</v>
      </c>
      <c r="AJ903" s="4" t="s">
        <v>62</v>
      </c>
      <c r="AK903" s="2">
        <v>5.9561621612047998E-2</v>
      </c>
      <c r="AL903" s="2">
        <v>0.32885706664645697</v>
      </c>
      <c r="AM903" s="2">
        <v>67479.137055533807</v>
      </c>
      <c r="AN903" s="2">
        <v>51898.885976060403</v>
      </c>
      <c r="AO903" s="2">
        <v>34236.6641069822</v>
      </c>
      <c r="AP903" s="2">
        <v>34459.424039558398</v>
      </c>
      <c r="AQ903" s="2">
        <v>51784.202691345003</v>
      </c>
      <c r="AR903" s="2">
        <v>55195.954839486098</v>
      </c>
      <c r="AS903" s="2">
        <v>41247.891209470399</v>
      </c>
      <c r="AT903" s="2">
        <v>56819.435375470297</v>
      </c>
      <c r="AU903" s="2">
        <v>82497.878028267805</v>
      </c>
      <c r="AV903" s="2">
        <v>73836.6866992211</v>
      </c>
      <c r="AW903" s="2">
        <v>79142.757224186804</v>
      </c>
      <c r="AX903" s="2">
        <v>66270.909584306501</v>
      </c>
    </row>
    <row r="904" spans="1:50" x14ac:dyDescent="0.25">
      <c r="A904" s="2" t="s">
        <v>6380</v>
      </c>
      <c r="B904" s="2">
        <v>203.13967422846201</v>
      </c>
      <c r="C904" s="2">
        <v>0.74455000000000005</v>
      </c>
      <c r="D904" s="2" t="s">
        <v>51</v>
      </c>
      <c r="E904" s="2" t="s">
        <v>6381</v>
      </c>
      <c r="F904" s="2">
        <v>53731</v>
      </c>
      <c r="G904" s="3" t="str">
        <f>HYPERLINK("https://cloud.oebiotech.com/#/lm/network/53731", "https://cloud.oebiotech.com/#/lm/network/53731")</f>
        <v>https://cloud.oebiotech.com/#/lm/network/53731</v>
      </c>
      <c r="H904" s="2" t="s">
        <v>6382</v>
      </c>
      <c r="I904" s="2">
        <v>44268</v>
      </c>
      <c r="J904" s="2"/>
      <c r="K904" s="2">
        <v>96801</v>
      </c>
      <c r="L904" s="2"/>
      <c r="M904" s="2"/>
      <c r="N904" s="2"/>
      <c r="O904" s="2">
        <v>73770</v>
      </c>
      <c r="P904" s="2"/>
      <c r="Q904" s="2"/>
      <c r="R904" s="2" t="s">
        <v>6383</v>
      </c>
      <c r="S904" s="2" t="s">
        <v>6384</v>
      </c>
      <c r="T904" s="2" t="s">
        <v>6385</v>
      </c>
      <c r="U904" s="2" t="s">
        <v>103</v>
      </c>
      <c r="V904" s="2" t="s">
        <v>104</v>
      </c>
      <c r="W904" s="2" t="s">
        <v>105</v>
      </c>
      <c r="X904" s="2" t="s">
        <v>147</v>
      </c>
      <c r="Y904" s="2">
        <v>43.9</v>
      </c>
      <c r="Z904" s="2">
        <v>28.6</v>
      </c>
      <c r="AA904" s="2" t="s">
        <v>259</v>
      </c>
      <c r="AB904" s="2" t="s">
        <v>6386</v>
      </c>
      <c r="AC904" s="2">
        <v>3.2421969638140302</v>
      </c>
      <c r="AD904" s="2"/>
      <c r="AE904" s="2">
        <v>0.64531168692580199</v>
      </c>
      <c r="AF904" s="2">
        <v>62588.797961455399</v>
      </c>
      <c r="AG904" s="2">
        <v>46628.441295580596</v>
      </c>
      <c r="AH904" s="5">
        <v>1.3422880161209101</v>
      </c>
      <c r="AI904" s="5">
        <v>0.42469426531375498</v>
      </c>
      <c r="AJ904" s="5" t="s">
        <v>139</v>
      </c>
      <c r="AK904" s="2">
        <v>0.193521815814438</v>
      </c>
      <c r="AL904" s="2">
        <v>0.51725957274568402</v>
      </c>
      <c r="AM904" s="2">
        <v>83418.104485110394</v>
      </c>
      <c r="AN904" s="2">
        <v>57708.014681456902</v>
      </c>
      <c r="AO904" s="2">
        <v>46469.474412019503</v>
      </c>
      <c r="AP904" s="2">
        <v>47946.354078531003</v>
      </c>
      <c r="AQ904" s="2">
        <v>71870.503384383104</v>
      </c>
      <c r="AR904" s="2">
        <v>68120.336727231697</v>
      </c>
      <c r="AS904" s="2">
        <v>19531.944737536302</v>
      </c>
      <c r="AT904" s="2">
        <v>41348.132966291698</v>
      </c>
      <c r="AU904" s="2">
        <v>48513.201743982303</v>
      </c>
      <c r="AV904" s="2">
        <v>91430.423975369704</v>
      </c>
      <c r="AW904" s="2">
        <v>37377.859534539799</v>
      </c>
      <c r="AX904" s="2">
        <v>41569.084815763999</v>
      </c>
    </row>
    <row r="905" spans="1:50" x14ac:dyDescent="0.25">
      <c r="A905" s="2" t="s">
        <v>6387</v>
      </c>
      <c r="B905" s="2">
        <v>469.12969659935402</v>
      </c>
      <c r="C905" s="2">
        <v>6.9221166666666702</v>
      </c>
      <c r="D905" s="2" t="s">
        <v>51</v>
      </c>
      <c r="E905" s="2" t="s">
        <v>6388</v>
      </c>
      <c r="F905" s="2">
        <v>211698</v>
      </c>
      <c r="G905" s="3" t="str">
        <f>HYPERLINK("https://cloud.oebiotech.com/#/lm/network/211698", "https://cloud.oebiotech.com/#/lm/network/211698")</f>
        <v>https://cloud.oebiotech.com/#/lm/network/211698</v>
      </c>
      <c r="H905" s="2" t="s">
        <v>6389</v>
      </c>
      <c r="I905" s="2"/>
      <c r="J905" s="2"/>
      <c r="K905" s="2">
        <v>53888654</v>
      </c>
      <c r="L905" s="2"/>
      <c r="M905" s="2"/>
      <c r="N905" s="2"/>
      <c r="O905" s="2"/>
      <c r="P905" s="2"/>
      <c r="Q905" s="2"/>
      <c r="R905" s="2"/>
      <c r="S905" s="2" t="s">
        <v>6390</v>
      </c>
      <c r="T905" s="2" t="s">
        <v>6391</v>
      </c>
      <c r="U905" s="2" t="s">
        <v>610</v>
      </c>
      <c r="V905" s="2" t="s">
        <v>611</v>
      </c>
      <c r="W905" s="2" t="s">
        <v>1122</v>
      </c>
      <c r="X905" s="2" t="s">
        <v>147</v>
      </c>
      <c r="Y905" s="2">
        <v>39.799999999999997</v>
      </c>
      <c r="Z905" s="2">
        <v>13.5</v>
      </c>
      <c r="AA905" s="2" t="s">
        <v>163</v>
      </c>
      <c r="AB905" s="2" t="s">
        <v>6392</v>
      </c>
      <c r="AC905" s="2">
        <v>0.89333384288768203</v>
      </c>
      <c r="AD905" s="2"/>
      <c r="AE905" s="2">
        <v>0.64398462555910396</v>
      </c>
      <c r="AF905" s="2">
        <v>26735.771321986202</v>
      </c>
      <c r="AG905" s="2">
        <v>42754.219382017698</v>
      </c>
      <c r="AH905" s="4">
        <v>0.62533643950077999</v>
      </c>
      <c r="AI905" s="4">
        <v>-0.67729550670383298</v>
      </c>
      <c r="AJ905" s="4" t="s">
        <v>62</v>
      </c>
      <c r="AK905" s="2">
        <v>0.13757768339352799</v>
      </c>
      <c r="AL905" s="2">
        <v>0.458819266663407</v>
      </c>
      <c r="AM905" s="2">
        <v>27229.820160015701</v>
      </c>
      <c r="AN905" s="2">
        <v>18096.324283184102</v>
      </c>
      <c r="AO905" s="2">
        <v>39662.406460243001</v>
      </c>
      <c r="AP905" s="2">
        <v>1732.01029532298</v>
      </c>
      <c r="AQ905" s="2">
        <v>27003.127243784998</v>
      </c>
      <c r="AR905" s="2">
        <v>46690.939489366399</v>
      </c>
      <c r="AS905" s="2">
        <v>41407.384393191802</v>
      </c>
      <c r="AT905" s="2">
        <v>35081.905898111101</v>
      </c>
      <c r="AU905" s="2">
        <v>39351.694885440302</v>
      </c>
      <c r="AV905" s="2">
        <v>59244.092351210602</v>
      </c>
      <c r="AW905" s="2">
        <v>66572.382189868498</v>
      </c>
      <c r="AX905" s="2">
        <v>14867.8565742839</v>
      </c>
    </row>
    <row r="906" spans="1:50" x14ac:dyDescent="0.25">
      <c r="A906" s="2" t="s">
        <v>6393</v>
      </c>
      <c r="B906" s="2">
        <v>524.33592840753204</v>
      </c>
      <c r="C906" s="2">
        <v>10.7014833333333</v>
      </c>
      <c r="D906" s="2" t="s">
        <v>51</v>
      </c>
      <c r="E906" s="2" t="s">
        <v>6394</v>
      </c>
      <c r="F906" s="2">
        <v>19916</v>
      </c>
      <c r="G906" s="3" t="str">
        <f>HYPERLINK("https://cloud.oebiotech.com/#/lm/network/19916", "https://cloud.oebiotech.com/#/lm/network/19916")</f>
        <v>https://cloud.oebiotech.com/#/lm/network/19916</v>
      </c>
      <c r="H906" s="2"/>
      <c r="I906" s="2"/>
      <c r="J906" s="2" t="s">
        <v>6395</v>
      </c>
      <c r="K906" s="2">
        <v>10600749</v>
      </c>
      <c r="L906" s="2"/>
      <c r="M906" s="2"/>
      <c r="N906" s="2"/>
      <c r="O906" s="2"/>
      <c r="P906" s="2"/>
      <c r="Q906" s="2"/>
      <c r="R906" s="2"/>
      <c r="S906" s="2" t="s">
        <v>6396</v>
      </c>
      <c r="T906" s="2" t="s">
        <v>6397</v>
      </c>
      <c r="U906" s="2" t="s">
        <v>56</v>
      </c>
      <c r="V906" s="2" t="s">
        <v>57</v>
      </c>
      <c r="W906" s="2" t="s">
        <v>58</v>
      </c>
      <c r="X906" s="2" t="s">
        <v>69</v>
      </c>
      <c r="Y906" s="2">
        <v>64.3</v>
      </c>
      <c r="Z906" s="2">
        <v>96</v>
      </c>
      <c r="AA906" s="2" t="s">
        <v>218</v>
      </c>
      <c r="AB906" s="2" t="s">
        <v>1689</v>
      </c>
      <c r="AC906" s="2">
        <v>0.31414577075269501</v>
      </c>
      <c r="AD906" s="2"/>
      <c r="AE906" s="2">
        <v>0.64261770829140397</v>
      </c>
      <c r="AF906" s="2">
        <v>13718.559344142001</v>
      </c>
      <c r="AG906" s="2">
        <v>3557.1021162316001</v>
      </c>
      <c r="AH906" s="5">
        <v>3.8566672802397601</v>
      </c>
      <c r="AI906" s="5">
        <v>1.94735468813593</v>
      </c>
      <c r="AJ906" s="5" t="s">
        <v>139</v>
      </c>
      <c r="AK906" s="2">
        <v>0.139147311600234</v>
      </c>
      <c r="AL906" s="2">
        <v>0.45923352345858398</v>
      </c>
      <c r="AM906" s="2">
        <v>38724.799412491098</v>
      </c>
      <c r="AN906" s="2">
        <v>20218.675710362801</v>
      </c>
      <c r="AO906" s="2">
        <v>558.90824991658599</v>
      </c>
      <c r="AP906" s="2">
        <v>6045.4142478094</v>
      </c>
      <c r="AQ906" s="2">
        <v>8.559877937157E-6</v>
      </c>
      <c r="AR906" s="2">
        <v>16763.558435712399</v>
      </c>
      <c r="AS906" s="2">
        <v>3755.3592101373602</v>
      </c>
      <c r="AT906" s="2">
        <v>477.47470768905799</v>
      </c>
      <c r="AU906" s="2">
        <v>12512.632858339201</v>
      </c>
      <c r="AV906" s="2">
        <v>1490.06271422739</v>
      </c>
      <c r="AW906" s="2">
        <v>2042.2945053583801</v>
      </c>
      <c r="AX906" s="2">
        <v>1064.7887016382001</v>
      </c>
    </row>
    <row r="907" spans="1:50" x14ac:dyDescent="0.25">
      <c r="A907" s="2" t="s">
        <v>6398</v>
      </c>
      <c r="B907" s="2">
        <v>296.25881434223197</v>
      </c>
      <c r="C907" s="2">
        <v>7.7793999999999999</v>
      </c>
      <c r="D907" s="2" t="s">
        <v>51</v>
      </c>
      <c r="E907" s="2" t="s">
        <v>6399</v>
      </c>
      <c r="F907" s="2">
        <v>38956</v>
      </c>
      <c r="G907" s="3" t="str">
        <f>HYPERLINK("https://cloud.oebiotech.com/#/lm/network/38956", "https://cloud.oebiotech.com/#/lm/network/38956")</f>
        <v>https://cloud.oebiotech.com/#/lm/network/38956</v>
      </c>
      <c r="H907" s="2"/>
      <c r="I907" s="2">
        <v>53913</v>
      </c>
      <c r="J907" s="2" t="s">
        <v>6400</v>
      </c>
      <c r="K907" s="2">
        <v>42608349</v>
      </c>
      <c r="L907" s="2"/>
      <c r="M907" s="2"/>
      <c r="N907" s="2"/>
      <c r="O907" s="2"/>
      <c r="P907" s="2"/>
      <c r="Q907" s="2"/>
      <c r="R907" s="2"/>
      <c r="S907" s="2" t="s">
        <v>6401</v>
      </c>
      <c r="T907" s="2" t="s">
        <v>6402</v>
      </c>
      <c r="U907" s="2" t="s">
        <v>119</v>
      </c>
      <c r="V907" s="2" t="s">
        <v>120</v>
      </c>
      <c r="W907" s="2" t="s">
        <v>1887</v>
      </c>
      <c r="X907" s="2" t="s">
        <v>69</v>
      </c>
      <c r="Y907" s="2">
        <v>69.8</v>
      </c>
      <c r="Z907" s="2">
        <v>93</v>
      </c>
      <c r="AA907" s="2" t="s">
        <v>259</v>
      </c>
      <c r="AB907" s="2" t="s">
        <v>6403</v>
      </c>
      <c r="AC907" s="2">
        <v>1.38393374915378</v>
      </c>
      <c r="AD907" s="2"/>
      <c r="AE907" s="2">
        <v>0.64245113343152904</v>
      </c>
      <c r="AF907" s="2">
        <v>39889.374818673801</v>
      </c>
      <c r="AG907" s="2">
        <v>11443.733628555001</v>
      </c>
      <c r="AH907" s="5">
        <v>3.4856958500973598</v>
      </c>
      <c r="AI907" s="5">
        <v>1.80144669031857</v>
      </c>
      <c r="AJ907" s="5" t="s">
        <v>139</v>
      </c>
      <c r="AK907" s="2">
        <v>0.29359136803536401</v>
      </c>
      <c r="AL907" s="2">
        <v>0.60634549190129605</v>
      </c>
      <c r="AM907" s="2">
        <v>1268.3152002798199</v>
      </c>
      <c r="AN907" s="2">
        <v>134.611490223565</v>
      </c>
      <c r="AO907" s="2">
        <v>75930.457518998999</v>
      </c>
      <c r="AP907" s="2">
        <v>9320.0293693350395</v>
      </c>
      <c r="AQ907" s="2">
        <v>149257.51255143099</v>
      </c>
      <c r="AR907" s="2">
        <v>3425.3227817744801</v>
      </c>
      <c r="AS907" s="2">
        <v>41132.928361476799</v>
      </c>
      <c r="AT907" s="2">
        <v>11205.0553848031</v>
      </c>
      <c r="AU907" s="2">
        <v>7693.0182697713099</v>
      </c>
      <c r="AV907" s="2">
        <v>317.87374411686801</v>
      </c>
      <c r="AW907" s="2">
        <v>98.021775912533499</v>
      </c>
      <c r="AX907" s="2">
        <v>8215.5042352494602</v>
      </c>
    </row>
    <row r="908" spans="1:50" x14ac:dyDescent="0.25">
      <c r="A908" s="2" t="s">
        <v>6404</v>
      </c>
      <c r="B908" s="2">
        <v>367.15140910453601</v>
      </c>
      <c r="C908" s="2">
        <v>3.5241333333333298</v>
      </c>
      <c r="D908" s="2" t="s">
        <v>51</v>
      </c>
      <c r="E908" s="2" t="s">
        <v>6405</v>
      </c>
      <c r="F908" s="2">
        <v>197054</v>
      </c>
      <c r="G908" s="3" t="str">
        <f>HYPERLINK("https://cloud.oebiotech.com/#/lm/network/197054", "https://cloud.oebiotech.com/#/lm/network/197054")</f>
        <v>https://cloud.oebiotech.com/#/lm/network/197054</v>
      </c>
      <c r="H908" s="2" t="s">
        <v>6406</v>
      </c>
      <c r="I908" s="2"/>
      <c r="J908" s="2"/>
      <c r="K908" s="2">
        <v>10981970</v>
      </c>
      <c r="L908" s="2"/>
      <c r="M908" s="2"/>
      <c r="N908" s="2"/>
      <c r="O908" s="2">
        <v>19232</v>
      </c>
      <c r="P908" s="2"/>
      <c r="Q908" s="2"/>
      <c r="R908" s="2" t="s">
        <v>6407</v>
      </c>
      <c r="S908" s="2" t="s">
        <v>6408</v>
      </c>
      <c r="T908" s="2" t="s">
        <v>6409</v>
      </c>
      <c r="U908" s="2" t="s">
        <v>266</v>
      </c>
      <c r="V908" s="2" t="s">
        <v>445</v>
      </c>
      <c r="W908" s="2" t="s">
        <v>3768</v>
      </c>
      <c r="X908" s="2" t="s">
        <v>59</v>
      </c>
      <c r="Y908" s="2">
        <v>54.8</v>
      </c>
      <c r="Z908" s="2">
        <v>84</v>
      </c>
      <c r="AA908" s="2" t="s">
        <v>259</v>
      </c>
      <c r="AB908" s="2" t="s">
        <v>6410</v>
      </c>
      <c r="AC908" s="2">
        <v>3.9100068672321799</v>
      </c>
      <c r="AD908" s="2"/>
      <c r="AE908" s="2">
        <v>0.64143382595314902</v>
      </c>
      <c r="AF908" s="2">
        <v>7925.8383433481404</v>
      </c>
      <c r="AG908" s="2">
        <v>17424.817967147101</v>
      </c>
      <c r="AH908" s="4">
        <v>0.45485917604944798</v>
      </c>
      <c r="AI908" s="4">
        <v>-1.13650813740428</v>
      </c>
      <c r="AJ908" s="4" t="s">
        <v>62</v>
      </c>
      <c r="AK908" s="2">
        <v>4.0030284771603503E-2</v>
      </c>
      <c r="AL908" s="2">
        <v>0.29155452793099101</v>
      </c>
      <c r="AM908" s="2">
        <v>8.559877937157E-6</v>
      </c>
      <c r="AN908" s="2">
        <v>16310.154976551399</v>
      </c>
      <c r="AO908" s="2">
        <v>5209.77692848891</v>
      </c>
      <c r="AP908" s="2">
        <v>2756.9003752140802</v>
      </c>
      <c r="AQ908" s="2">
        <v>6766.7822727303801</v>
      </c>
      <c r="AR908" s="2">
        <v>16511.4154985442</v>
      </c>
      <c r="AS908" s="2">
        <v>20287.803505579301</v>
      </c>
      <c r="AT908" s="2">
        <v>12834.646122321201</v>
      </c>
      <c r="AU908" s="2">
        <v>5525.6922961725404</v>
      </c>
      <c r="AV908" s="2">
        <v>22700.6652382092</v>
      </c>
      <c r="AW908" s="2">
        <v>19291.304342342599</v>
      </c>
      <c r="AX908" s="2">
        <v>23908.796298257599</v>
      </c>
    </row>
    <row r="909" spans="1:50" x14ac:dyDescent="0.25">
      <c r="A909" s="2" t="s">
        <v>6411</v>
      </c>
      <c r="B909" s="2">
        <v>396.27563674336699</v>
      </c>
      <c r="C909" s="2">
        <v>9.6834500000000006</v>
      </c>
      <c r="D909" s="2" t="s">
        <v>51</v>
      </c>
      <c r="E909" s="2" t="s">
        <v>6412</v>
      </c>
      <c r="F909" s="2">
        <v>4978</v>
      </c>
      <c r="G909" s="3" t="str">
        <f>HYPERLINK("https://cloud.oebiotech.com/#/lm/network/4978", "https://cloud.oebiotech.com/#/lm/network/4978")</f>
        <v>https://cloud.oebiotech.com/#/lm/network/4978</v>
      </c>
      <c r="H909" s="2"/>
      <c r="I909" s="2"/>
      <c r="J909" s="2" t="s">
        <v>6413</v>
      </c>
      <c r="K909" s="2">
        <v>131840398</v>
      </c>
      <c r="L909" s="2"/>
      <c r="M909" s="2"/>
      <c r="N909" s="2"/>
      <c r="O909" s="2"/>
      <c r="P909" s="2"/>
      <c r="Q909" s="2"/>
      <c r="R909" s="2"/>
      <c r="S909" s="2" t="s">
        <v>6414</v>
      </c>
      <c r="T909" s="2" t="s">
        <v>6415</v>
      </c>
      <c r="U909" s="2" t="s">
        <v>56</v>
      </c>
      <c r="V909" s="2" t="s">
        <v>145</v>
      </c>
      <c r="W909" s="2" t="s">
        <v>231</v>
      </c>
      <c r="X909" s="2" t="s">
        <v>147</v>
      </c>
      <c r="Y909" s="2">
        <v>41.5</v>
      </c>
      <c r="Z909" s="2">
        <v>19.3</v>
      </c>
      <c r="AA909" s="2" t="s">
        <v>512</v>
      </c>
      <c r="AB909" s="2" t="s">
        <v>3507</v>
      </c>
      <c r="AC909" s="2">
        <v>3.13828053133693</v>
      </c>
      <c r="AD909" s="2"/>
      <c r="AE909" s="2">
        <v>0.64050474966573701</v>
      </c>
      <c r="AF909" s="2">
        <v>15676.1244724143</v>
      </c>
      <c r="AG909" s="2">
        <v>6814.3731627617599</v>
      </c>
      <c r="AH909" s="5">
        <v>2.3004499603982702</v>
      </c>
      <c r="AI909" s="5">
        <v>1.2019160751456099</v>
      </c>
      <c r="AJ909" s="5" t="s">
        <v>139</v>
      </c>
      <c r="AK909" s="2">
        <v>1.4417584461304299E-2</v>
      </c>
      <c r="AL909" s="2">
        <v>0.19035303155869299</v>
      </c>
      <c r="AM909" s="2">
        <v>20471.114352717701</v>
      </c>
      <c r="AN909" s="2">
        <v>26655.448254993898</v>
      </c>
      <c r="AO909" s="2">
        <v>11496.9873775082</v>
      </c>
      <c r="AP909" s="2">
        <v>8752.0082177184195</v>
      </c>
      <c r="AQ909" s="2">
        <v>11063.0177033196</v>
      </c>
      <c r="AR909" s="2">
        <v>15618.170928228201</v>
      </c>
      <c r="AS909" s="2">
        <v>9812.2605276565591</v>
      </c>
      <c r="AT909" s="2">
        <v>2835.5932197382299</v>
      </c>
      <c r="AU909" s="2">
        <v>9347.1832093806206</v>
      </c>
      <c r="AV909" s="2">
        <v>4587.6298292709698</v>
      </c>
      <c r="AW909" s="2">
        <v>5886.3617709965602</v>
      </c>
      <c r="AX909" s="2">
        <v>8417.2104195276206</v>
      </c>
    </row>
    <row r="910" spans="1:50" x14ac:dyDescent="0.25">
      <c r="A910" s="2" t="s">
        <v>6416</v>
      </c>
      <c r="B910" s="2">
        <v>343.33305083898898</v>
      </c>
      <c r="C910" s="2">
        <v>10.311249999999999</v>
      </c>
      <c r="D910" s="2" t="s">
        <v>51</v>
      </c>
      <c r="E910" s="2" t="s">
        <v>6417</v>
      </c>
      <c r="F910" s="2">
        <v>9565</v>
      </c>
      <c r="G910" s="3" t="str">
        <f>HYPERLINK("https://cloud.oebiotech.com/#/lm/network/9565", "https://cloud.oebiotech.com/#/lm/network/9565")</f>
        <v>https://cloud.oebiotech.com/#/lm/network/9565</v>
      </c>
      <c r="H910" s="2"/>
      <c r="I910" s="2">
        <v>97848</v>
      </c>
      <c r="J910" s="2" t="s">
        <v>6418</v>
      </c>
      <c r="K910" s="2">
        <v>56936193</v>
      </c>
      <c r="L910" s="2"/>
      <c r="M910" s="2"/>
      <c r="N910" s="2"/>
      <c r="O910" s="2"/>
      <c r="P910" s="2"/>
      <c r="Q910" s="2"/>
      <c r="R910" s="2"/>
      <c r="S910" s="2" t="s">
        <v>6419</v>
      </c>
      <c r="T910" s="2" t="s">
        <v>6420</v>
      </c>
      <c r="U910" s="2" t="s">
        <v>1491</v>
      </c>
      <c r="V910" s="2" t="s">
        <v>1492</v>
      </c>
      <c r="W910" s="2" t="s">
        <v>6421</v>
      </c>
      <c r="X910" s="2" t="s">
        <v>147</v>
      </c>
      <c r="Y910" s="2">
        <v>38.1</v>
      </c>
      <c r="Z910" s="2">
        <v>0</v>
      </c>
      <c r="AA910" s="2" t="s">
        <v>95</v>
      </c>
      <c r="AB910" s="2" t="s">
        <v>6422</v>
      </c>
      <c r="AC910" s="2">
        <v>-1.47107998728606</v>
      </c>
      <c r="AD910" s="2"/>
      <c r="AE910" s="2">
        <v>0.64038312445582202</v>
      </c>
      <c r="AF910" s="2">
        <v>26843.149693371601</v>
      </c>
      <c r="AG910" s="2">
        <v>4634.6385939415404</v>
      </c>
      <c r="AH910" s="5">
        <v>5.7918539168213199</v>
      </c>
      <c r="AI910" s="5">
        <v>2.5340252149668299</v>
      </c>
      <c r="AJ910" s="5" t="s">
        <v>139</v>
      </c>
      <c r="AK910" s="2">
        <v>0.22971800666178699</v>
      </c>
      <c r="AL910" s="2">
        <v>0.55475797238248803</v>
      </c>
      <c r="AM910" s="2">
        <v>512.28549509865604</v>
      </c>
      <c r="AN910" s="2">
        <v>8.559877937157E-6</v>
      </c>
      <c r="AO910" s="2">
        <v>65389.554018699899</v>
      </c>
      <c r="AP910" s="2">
        <v>8.559877937157E-6</v>
      </c>
      <c r="AQ910" s="2">
        <v>94012.745772422699</v>
      </c>
      <c r="AR910" s="2">
        <v>1144.3128568883301</v>
      </c>
      <c r="AS910" s="2">
        <v>16730.4226100862</v>
      </c>
      <c r="AT910" s="2">
        <v>8.559877937157E-6</v>
      </c>
      <c r="AU910" s="2">
        <v>9935.6408167283207</v>
      </c>
      <c r="AV910" s="2">
        <v>224.85101070711099</v>
      </c>
      <c r="AW910" s="2">
        <v>351.84209253594099</v>
      </c>
      <c r="AX910" s="2">
        <v>565.07502503176397</v>
      </c>
    </row>
    <row r="911" spans="1:50" x14ac:dyDescent="0.25">
      <c r="A911" s="2" t="s">
        <v>6423</v>
      </c>
      <c r="B911" s="2">
        <v>131.03387272422901</v>
      </c>
      <c r="C911" s="2">
        <v>1.77308333333333</v>
      </c>
      <c r="D911" s="2" t="s">
        <v>51</v>
      </c>
      <c r="E911" s="2" t="s">
        <v>6424</v>
      </c>
      <c r="F911" s="2">
        <v>47103</v>
      </c>
      <c r="G911" s="3" t="str">
        <f>HYPERLINK("https://cloud.oebiotech.com/#/lm/network/47103", "https://cloud.oebiotech.com/#/lm/network/47103")</f>
        <v>https://cloud.oebiotech.com/#/lm/network/47103</v>
      </c>
      <c r="H911" s="2" t="s">
        <v>6425</v>
      </c>
      <c r="I911" s="2">
        <v>5558</v>
      </c>
      <c r="J911" s="2"/>
      <c r="K911" s="2">
        <v>70615</v>
      </c>
      <c r="L911" s="2"/>
      <c r="M911" s="2"/>
      <c r="N911" s="2"/>
      <c r="O911" s="2"/>
      <c r="P911" s="2"/>
      <c r="Q911" s="2"/>
      <c r="R911" s="2" t="s">
        <v>6426</v>
      </c>
      <c r="S911" s="2" t="s">
        <v>6427</v>
      </c>
      <c r="T911" s="2" t="s">
        <v>6428</v>
      </c>
      <c r="U911" s="2" t="s">
        <v>103</v>
      </c>
      <c r="V911" s="2" t="s">
        <v>104</v>
      </c>
      <c r="W911" s="2" t="s">
        <v>3415</v>
      </c>
      <c r="X911" s="2" t="s">
        <v>83</v>
      </c>
      <c r="Y911" s="2">
        <v>42.1</v>
      </c>
      <c r="Z911" s="2">
        <v>0</v>
      </c>
      <c r="AA911" s="2" t="s">
        <v>163</v>
      </c>
      <c r="AB911" s="2" t="s">
        <v>6429</v>
      </c>
      <c r="AC911" s="2">
        <v>-8.40320804873563</v>
      </c>
      <c r="AD911" s="2"/>
      <c r="AE911" s="2">
        <v>0.64029374129743899</v>
      </c>
      <c r="AF911" s="2">
        <v>25149.1954251963</v>
      </c>
      <c r="AG911" s="2">
        <v>15263.297662671799</v>
      </c>
      <c r="AH911" s="5">
        <v>1.64769081891796</v>
      </c>
      <c r="AI911" s="5">
        <v>0.72044555328502502</v>
      </c>
      <c r="AJ911" s="5" t="s">
        <v>139</v>
      </c>
      <c r="AK911" s="2">
        <v>1.2726492964380399E-2</v>
      </c>
      <c r="AL911" s="2">
        <v>0.17918067258312301</v>
      </c>
      <c r="AM911" s="2">
        <v>22735.783777357701</v>
      </c>
      <c r="AN911" s="2">
        <v>35884.918291649898</v>
      </c>
      <c r="AO911" s="2">
        <v>19542.266788093399</v>
      </c>
      <c r="AP911" s="2">
        <v>16502.616368704301</v>
      </c>
      <c r="AQ911" s="2">
        <v>28500.1599564151</v>
      </c>
      <c r="AR911" s="2">
        <v>27729.4273689574</v>
      </c>
      <c r="AS911" s="2">
        <v>19993.016104300699</v>
      </c>
      <c r="AT911" s="2">
        <v>11950.492054837099</v>
      </c>
      <c r="AU911" s="2">
        <v>19634.654412016</v>
      </c>
      <c r="AV911" s="2">
        <v>11648.4466254445</v>
      </c>
      <c r="AW911" s="2">
        <v>12335.300595970401</v>
      </c>
      <c r="AX911" s="2">
        <v>16017.8761834623</v>
      </c>
    </row>
    <row r="912" spans="1:50" x14ac:dyDescent="0.25">
      <c r="A912" s="2" t="s">
        <v>6430</v>
      </c>
      <c r="B912" s="2">
        <v>321.20472940264898</v>
      </c>
      <c r="C912" s="2">
        <v>12.4242833333333</v>
      </c>
      <c r="D912" s="2" t="s">
        <v>51</v>
      </c>
      <c r="E912" s="2" t="s">
        <v>6431</v>
      </c>
      <c r="F912" s="2">
        <v>1029</v>
      </c>
      <c r="G912" s="3" t="str">
        <f>HYPERLINK("https://cloud.oebiotech.com/#/lm/network/1029", "https://cloud.oebiotech.com/#/lm/network/1029")</f>
        <v>https://cloud.oebiotech.com/#/lm/network/1029</v>
      </c>
      <c r="H912" s="2"/>
      <c r="I912" s="2">
        <v>74201</v>
      </c>
      <c r="J912" s="2" t="s">
        <v>6432</v>
      </c>
      <c r="K912" s="2">
        <v>5312672</v>
      </c>
      <c r="L912" s="2"/>
      <c r="M912" s="2"/>
      <c r="N912" s="2"/>
      <c r="O912" s="2"/>
      <c r="P912" s="2"/>
      <c r="Q912" s="2"/>
      <c r="R912" s="2"/>
      <c r="S912" s="2" t="s">
        <v>6433</v>
      </c>
      <c r="T912" s="2" t="s">
        <v>6434</v>
      </c>
      <c r="U912" s="2" t="s">
        <v>56</v>
      </c>
      <c r="V912" s="2" t="s">
        <v>145</v>
      </c>
      <c r="W912" s="2" t="s">
        <v>231</v>
      </c>
      <c r="X912" s="2" t="s">
        <v>83</v>
      </c>
      <c r="Y912" s="2">
        <v>48.9</v>
      </c>
      <c r="Z912" s="2">
        <v>0</v>
      </c>
      <c r="AA912" s="2" t="s">
        <v>218</v>
      </c>
      <c r="AB912" s="2" t="s">
        <v>6435</v>
      </c>
      <c r="AC912" s="2">
        <v>-8.7021242571269806</v>
      </c>
      <c r="AD912" s="2"/>
      <c r="AE912" s="2">
        <v>0.63821943412575599</v>
      </c>
      <c r="AF912" s="2">
        <v>26758.040154879502</v>
      </c>
      <c r="AG912" s="2">
        <v>46256.267802504299</v>
      </c>
      <c r="AH912" s="4">
        <v>0.57847382476090703</v>
      </c>
      <c r="AI912" s="4">
        <v>-0.78967641427885404</v>
      </c>
      <c r="AJ912" s="4" t="s">
        <v>62</v>
      </c>
      <c r="AK912" s="2">
        <v>0.18500263766334801</v>
      </c>
      <c r="AL912" s="2">
        <v>0.50968012056023204</v>
      </c>
      <c r="AM912" s="2">
        <v>27920.119506101</v>
      </c>
      <c r="AN912" s="2">
        <v>15757.705737833399</v>
      </c>
      <c r="AO912" s="2">
        <v>29136.685640003601</v>
      </c>
      <c r="AP912" s="2">
        <v>15169.2106749207</v>
      </c>
      <c r="AQ912" s="2">
        <v>41562.779837669899</v>
      </c>
      <c r="AR912" s="2">
        <v>31001.739532748401</v>
      </c>
      <c r="AS912" s="2">
        <v>27440.7286454655</v>
      </c>
      <c r="AT912" s="2">
        <v>11666.707745093699</v>
      </c>
      <c r="AU912" s="2">
        <v>101529.87855021701</v>
      </c>
      <c r="AV912" s="2">
        <v>51254.286932416901</v>
      </c>
      <c r="AW912" s="2">
        <v>58217.1854796154</v>
      </c>
      <c r="AX912" s="2">
        <v>27428.8194622175</v>
      </c>
    </row>
    <row r="913" spans="1:50" x14ac:dyDescent="0.25">
      <c r="A913" s="2" t="s">
        <v>6436</v>
      </c>
      <c r="B913" s="2">
        <v>337.16791355094102</v>
      </c>
      <c r="C913" s="2">
        <v>12.698066666666699</v>
      </c>
      <c r="D913" s="2" t="s">
        <v>51</v>
      </c>
      <c r="E913" s="2" t="s">
        <v>6437</v>
      </c>
      <c r="F913" s="2">
        <v>209064</v>
      </c>
      <c r="G913" s="3" t="str">
        <f>HYPERLINK("https://cloud.oebiotech.com/#/lm/network/209064", "https://cloud.oebiotech.com/#/lm/network/209064")</f>
        <v>https://cloud.oebiotech.com/#/lm/network/209064</v>
      </c>
      <c r="H913" s="2" t="s">
        <v>6438</v>
      </c>
      <c r="I913" s="2"/>
      <c r="J913" s="2"/>
      <c r="K913" s="2">
        <v>1974</v>
      </c>
      <c r="L913" s="2"/>
      <c r="M913" s="2"/>
      <c r="N913" s="2"/>
      <c r="O913" s="2">
        <v>114200</v>
      </c>
      <c r="P913" s="2"/>
      <c r="Q913" s="2"/>
      <c r="R913" s="2"/>
      <c r="S913" s="2" t="s">
        <v>6439</v>
      </c>
      <c r="T913" s="2" t="s">
        <v>6440</v>
      </c>
      <c r="U913" s="2" t="s">
        <v>610</v>
      </c>
      <c r="V913" s="2" t="s">
        <v>611</v>
      </c>
      <c r="W913" s="2" t="s">
        <v>1122</v>
      </c>
      <c r="X913" s="2" t="s">
        <v>147</v>
      </c>
      <c r="Y913" s="2">
        <v>39.200000000000003</v>
      </c>
      <c r="Z913" s="2">
        <v>5.47</v>
      </c>
      <c r="AA913" s="2" t="s">
        <v>122</v>
      </c>
      <c r="AB913" s="2" t="s">
        <v>6441</v>
      </c>
      <c r="AC913" s="2">
        <v>0.35546055450791297</v>
      </c>
      <c r="AD913" s="2"/>
      <c r="AE913" s="2">
        <v>0.63802167424523903</v>
      </c>
      <c r="AF913" s="2">
        <v>97347.099877245302</v>
      </c>
      <c r="AG913" s="2">
        <v>129063.92946665701</v>
      </c>
      <c r="AH913" s="4">
        <v>0.75425488964671605</v>
      </c>
      <c r="AI913" s="4">
        <v>-0.40687595085220402</v>
      </c>
      <c r="AJ913" s="4" t="s">
        <v>62</v>
      </c>
      <c r="AK913" s="2">
        <v>0.35182011258252599</v>
      </c>
      <c r="AL913" s="2">
        <v>0.64281346644579596</v>
      </c>
      <c r="AM913" s="2">
        <v>57780.156575992398</v>
      </c>
      <c r="AN913" s="2">
        <v>78489.027841451199</v>
      </c>
      <c r="AO913" s="2">
        <v>172345.93410351899</v>
      </c>
      <c r="AP913" s="2">
        <v>61713.531005033597</v>
      </c>
      <c r="AQ913" s="2">
        <v>156171.354828768</v>
      </c>
      <c r="AR913" s="2">
        <v>57582.594908707601</v>
      </c>
      <c r="AS913" s="2">
        <v>132673.50598869799</v>
      </c>
      <c r="AT913" s="2">
        <v>88417.609825725594</v>
      </c>
      <c r="AU913" s="2">
        <v>246738.71086325901</v>
      </c>
      <c r="AV913" s="2">
        <v>103389.41395607599</v>
      </c>
      <c r="AW913" s="2">
        <v>108845.95023603299</v>
      </c>
      <c r="AX913" s="2">
        <v>94318.385930153003</v>
      </c>
    </row>
    <row r="914" spans="1:50" x14ac:dyDescent="0.25">
      <c r="A914" s="2" t="s">
        <v>6442</v>
      </c>
      <c r="B914" s="2">
        <v>265.07811458889603</v>
      </c>
      <c r="C914" s="2">
        <v>1.1926000000000001</v>
      </c>
      <c r="D914" s="2" t="s">
        <v>51</v>
      </c>
      <c r="E914" s="2" t="s">
        <v>6443</v>
      </c>
      <c r="F914" s="2">
        <v>266508</v>
      </c>
      <c r="G914" s="3" t="str">
        <f>HYPERLINK("https://cloud.oebiotech.com/#/lm/network/266508", "https://cloud.oebiotech.com/#/lm/network/266508")</f>
        <v>https://cloud.oebiotech.com/#/lm/network/266508</v>
      </c>
      <c r="H914" s="2"/>
      <c r="I914" s="2">
        <v>43424</v>
      </c>
      <c r="J914" s="2"/>
      <c r="K914" s="2">
        <v>1863</v>
      </c>
      <c r="L914" s="2"/>
      <c r="M914" s="2"/>
      <c r="N914" s="2"/>
      <c r="O914" s="2"/>
      <c r="P914" s="2"/>
      <c r="Q914" s="2"/>
      <c r="R914" s="2" t="s">
        <v>6444</v>
      </c>
      <c r="S914" s="2" t="s">
        <v>6445</v>
      </c>
      <c r="T914" s="2" t="s">
        <v>6446</v>
      </c>
      <c r="U914" s="2" t="s">
        <v>266</v>
      </c>
      <c r="V914" s="2" t="s">
        <v>445</v>
      </c>
      <c r="W914" s="2" t="s">
        <v>911</v>
      </c>
      <c r="X914" s="2" t="s">
        <v>147</v>
      </c>
      <c r="Y914" s="2">
        <v>36.6</v>
      </c>
      <c r="Z914" s="2">
        <v>0</v>
      </c>
      <c r="AA914" s="2" t="s">
        <v>379</v>
      </c>
      <c r="AB914" s="2" t="s">
        <v>6447</v>
      </c>
      <c r="AC914" s="2">
        <v>3.4942361726817701</v>
      </c>
      <c r="AD914" s="2"/>
      <c r="AE914" s="2">
        <v>0.63736178803556298</v>
      </c>
      <c r="AF914" s="2">
        <v>115034.886748979</v>
      </c>
      <c r="AG914" s="2">
        <v>128650.870386799</v>
      </c>
      <c r="AH914" s="4">
        <v>0.89416329950288997</v>
      </c>
      <c r="AI914" s="4">
        <v>-0.161389762506884</v>
      </c>
      <c r="AJ914" s="4" t="s">
        <v>62</v>
      </c>
      <c r="AK914" s="2">
        <v>0.33772162734933397</v>
      </c>
      <c r="AL914" s="2">
        <v>0.63815037094278604</v>
      </c>
      <c r="AM914" s="2">
        <v>85471.595615304599</v>
      </c>
      <c r="AN914" s="2">
        <v>119546.457589347</v>
      </c>
      <c r="AO914" s="2">
        <v>119963.661641684</v>
      </c>
      <c r="AP914" s="2">
        <v>95024.868623875198</v>
      </c>
      <c r="AQ914" s="2">
        <v>123357.678738102</v>
      </c>
      <c r="AR914" s="2">
        <v>146845.058285559</v>
      </c>
      <c r="AS914" s="2">
        <v>142950.49492531701</v>
      </c>
      <c r="AT914" s="2">
        <v>131682.57427583099</v>
      </c>
      <c r="AU914" s="2">
        <v>84389.297831729593</v>
      </c>
      <c r="AV914" s="2">
        <v>158410.997694697</v>
      </c>
      <c r="AW914" s="2">
        <v>123831.324288284</v>
      </c>
      <c r="AX914" s="2">
        <v>130640.533304934</v>
      </c>
    </row>
    <row r="915" spans="1:50" x14ac:dyDescent="0.25">
      <c r="A915" s="2" t="s">
        <v>6448</v>
      </c>
      <c r="B915" s="2">
        <v>496.37756232350699</v>
      </c>
      <c r="C915" s="2">
        <v>12.550549999999999</v>
      </c>
      <c r="D915" s="2" t="s">
        <v>51</v>
      </c>
      <c r="E915" s="2" t="s">
        <v>6449</v>
      </c>
      <c r="F915" s="2">
        <v>21240</v>
      </c>
      <c r="G915" s="3" t="str">
        <f>HYPERLINK("https://cloud.oebiotech.com/#/lm/network/21240", "https://cloud.oebiotech.com/#/lm/network/21240")</f>
        <v>https://cloud.oebiotech.com/#/lm/network/21240</v>
      </c>
      <c r="H915" s="2"/>
      <c r="I915" s="2">
        <v>77700</v>
      </c>
      <c r="J915" s="2" t="s">
        <v>6450</v>
      </c>
      <c r="K915" s="2">
        <v>52925152</v>
      </c>
      <c r="L915" s="2"/>
      <c r="M915" s="2"/>
      <c r="N915" s="2"/>
      <c r="O915" s="2">
        <v>138541</v>
      </c>
      <c r="P915" s="2"/>
      <c r="Q915" s="2"/>
      <c r="R915" s="2"/>
      <c r="S915" s="2" t="s">
        <v>6451</v>
      </c>
      <c r="T915" s="2" t="s">
        <v>6452</v>
      </c>
      <c r="U915" s="2" t="s">
        <v>56</v>
      </c>
      <c r="V915" s="2" t="s">
        <v>57</v>
      </c>
      <c r="W915" s="2" t="s">
        <v>155</v>
      </c>
      <c r="X915" s="2" t="s">
        <v>147</v>
      </c>
      <c r="Y915" s="2">
        <v>40.4</v>
      </c>
      <c r="Z915" s="2">
        <v>17.8</v>
      </c>
      <c r="AA915" s="2" t="s">
        <v>259</v>
      </c>
      <c r="AB915" s="2" t="s">
        <v>3835</v>
      </c>
      <c r="AC915" s="2">
        <v>2.8479939646507701</v>
      </c>
      <c r="AD915" s="2"/>
      <c r="AE915" s="2">
        <v>0.63709737391569599</v>
      </c>
      <c r="AF915" s="2">
        <v>126519.144221423</v>
      </c>
      <c r="AG915" s="2">
        <v>113940.329650923</v>
      </c>
      <c r="AH915" s="5">
        <v>1.1103982638020999</v>
      </c>
      <c r="AI915" s="5">
        <v>0.151077217259662</v>
      </c>
      <c r="AJ915" s="5" t="s">
        <v>139</v>
      </c>
      <c r="AK915" s="2">
        <v>0.77651566840312203</v>
      </c>
      <c r="AL915" s="2">
        <v>0.90070203511967495</v>
      </c>
      <c r="AM915" s="2">
        <v>278871.71075261902</v>
      </c>
      <c r="AN915" s="2">
        <v>147246.353622553</v>
      </c>
      <c r="AO915" s="2">
        <v>68886.5985056512</v>
      </c>
      <c r="AP915" s="2">
        <v>56652.222589800404</v>
      </c>
      <c r="AQ915" s="2">
        <v>104969.15858956199</v>
      </c>
      <c r="AR915" s="2">
        <v>102488.821268353</v>
      </c>
      <c r="AS915" s="2">
        <v>43745.604444393597</v>
      </c>
      <c r="AT915" s="2">
        <v>59412.3917850898</v>
      </c>
      <c r="AU915" s="2">
        <v>226656.74717539299</v>
      </c>
      <c r="AV915" s="2">
        <v>95176.114895708597</v>
      </c>
      <c r="AW915" s="2">
        <v>156613.14658254699</v>
      </c>
      <c r="AX915" s="2">
        <v>102037.973022404</v>
      </c>
    </row>
    <row r="916" spans="1:50" x14ac:dyDescent="0.25">
      <c r="A916" s="2" t="s">
        <v>6453</v>
      </c>
      <c r="B916" s="2">
        <v>292.22632847988802</v>
      </c>
      <c r="C916" s="2">
        <v>9.9106500000000004</v>
      </c>
      <c r="D916" s="2" t="s">
        <v>51</v>
      </c>
      <c r="E916" s="2" t="s">
        <v>6454</v>
      </c>
      <c r="F916" s="2">
        <v>2525</v>
      </c>
      <c r="G916" s="3" t="str">
        <f>HYPERLINK("https://cloud.oebiotech.com/#/lm/network/2525", "https://cloud.oebiotech.com/#/lm/network/2525")</f>
        <v>https://cloud.oebiotech.com/#/lm/network/2525</v>
      </c>
      <c r="H916" s="2"/>
      <c r="I916" s="2">
        <v>74890</v>
      </c>
      <c r="J916" s="2" t="s">
        <v>6455</v>
      </c>
      <c r="K916" s="2">
        <v>10333573</v>
      </c>
      <c r="L916" s="2"/>
      <c r="M916" s="2"/>
      <c r="N916" s="2"/>
      <c r="O916" s="2"/>
      <c r="P916" s="2"/>
      <c r="Q916" s="2"/>
      <c r="R916" s="2"/>
      <c r="S916" s="2" t="s">
        <v>6456</v>
      </c>
      <c r="T916" s="2" t="s">
        <v>6457</v>
      </c>
      <c r="U916" s="2" t="s">
        <v>56</v>
      </c>
      <c r="V916" s="2" t="s">
        <v>145</v>
      </c>
      <c r="W916" s="2" t="s">
        <v>231</v>
      </c>
      <c r="X916" s="2" t="s">
        <v>69</v>
      </c>
      <c r="Y916" s="2">
        <v>57.1</v>
      </c>
      <c r="Z916" s="2">
        <v>81.2</v>
      </c>
      <c r="AA916" s="2" t="s">
        <v>512</v>
      </c>
      <c r="AB916" s="2" t="s">
        <v>6458</v>
      </c>
      <c r="AC916" s="2">
        <v>-2.83421625862045</v>
      </c>
      <c r="AD916" s="2"/>
      <c r="AE916" s="2">
        <v>0.63685551456505096</v>
      </c>
      <c r="AF916" s="2">
        <v>27361.2093214657</v>
      </c>
      <c r="AG916" s="2">
        <v>5761.8808239510099</v>
      </c>
      <c r="AH916" s="5">
        <v>4.7486593627085298</v>
      </c>
      <c r="AI916" s="5">
        <v>2.24752027054519</v>
      </c>
      <c r="AJ916" s="5" t="s">
        <v>139</v>
      </c>
      <c r="AK916" s="2">
        <v>0.23680840198609299</v>
      </c>
      <c r="AL916" s="2">
        <v>0.561026130323797</v>
      </c>
      <c r="AM916" s="2">
        <v>382.23535323218601</v>
      </c>
      <c r="AN916" s="2">
        <v>102.815387628595</v>
      </c>
      <c r="AO916" s="2">
        <v>76973.2508856645</v>
      </c>
      <c r="AP916" s="2">
        <v>851.96418559922597</v>
      </c>
      <c r="AQ916" s="2">
        <v>84038.734983896298</v>
      </c>
      <c r="AR916" s="2">
        <v>1818.25513277354</v>
      </c>
      <c r="AS916" s="2">
        <v>18876.918502677701</v>
      </c>
      <c r="AT916" s="2">
        <v>232.94239386190799</v>
      </c>
      <c r="AU916" s="2">
        <v>13356.8979349821</v>
      </c>
      <c r="AV916" s="2">
        <v>1107.1898487414701</v>
      </c>
      <c r="AW916" s="2">
        <v>720.83248453341798</v>
      </c>
      <c r="AX916" s="2">
        <v>276.50377890946902</v>
      </c>
    </row>
    <row r="917" spans="1:50" x14ac:dyDescent="0.25">
      <c r="A917" s="2" t="s">
        <v>6459</v>
      </c>
      <c r="B917" s="2">
        <v>401.14461221210098</v>
      </c>
      <c r="C917" s="2">
        <v>4.6687166666666702</v>
      </c>
      <c r="D917" s="2" t="s">
        <v>51</v>
      </c>
      <c r="E917" s="2" t="s">
        <v>6460</v>
      </c>
      <c r="F917" s="2">
        <v>2311</v>
      </c>
      <c r="G917" s="3" t="str">
        <f>HYPERLINK("https://cloud.oebiotech.com/#/lm/network/2311", "https://cloud.oebiotech.com/#/lm/network/2311")</f>
        <v>https://cloud.oebiotech.com/#/lm/network/2311</v>
      </c>
      <c r="H917" s="2"/>
      <c r="I917" s="2">
        <v>74831</v>
      </c>
      <c r="J917" s="2" t="s">
        <v>6461</v>
      </c>
      <c r="K917" s="2">
        <v>5312947</v>
      </c>
      <c r="L917" s="2"/>
      <c r="M917" s="2"/>
      <c r="N917" s="2"/>
      <c r="O917" s="2"/>
      <c r="P917" s="2"/>
      <c r="Q917" s="2"/>
      <c r="R917" s="2"/>
      <c r="S917" s="2" t="s">
        <v>6462</v>
      </c>
      <c r="T917" s="2" t="s">
        <v>6463</v>
      </c>
      <c r="U917" s="2" t="s">
        <v>56</v>
      </c>
      <c r="V917" s="2" t="s">
        <v>145</v>
      </c>
      <c r="W917" s="2" t="s">
        <v>231</v>
      </c>
      <c r="X917" s="2" t="s">
        <v>59</v>
      </c>
      <c r="Y917" s="2">
        <v>38.799999999999997</v>
      </c>
      <c r="Z917" s="2">
        <v>46.9</v>
      </c>
      <c r="AA917" s="2" t="s">
        <v>395</v>
      </c>
      <c r="AB917" s="2" t="s">
        <v>6464</v>
      </c>
      <c r="AC917" s="2">
        <v>-1.62440264908043</v>
      </c>
      <c r="AD917" s="2"/>
      <c r="AE917" s="2">
        <v>0.63668562050420396</v>
      </c>
      <c r="AF917" s="2">
        <v>2883.8193061598199</v>
      </c>
      <c r="AG917" s="2">
        <v>22118.240639362401</v>
      </c>
      <c r="AH917" s="4">
        <v>0.13038194823812799</v>
      </c>
      <c r="AI917" s="4">
        <v>-2.93918395683774</v>
      </c>
      <c r="AJ917" s="4" t="s">
        <v>62</v>
      </c>
      <c r="AK917" s="2">
        <v>0.39522023248795102</v>
      </c>
      <c r="AL917" s="2">
        <v>0.66736513623488802</v>
      </c>
      <c r="AM917" s="2">
        <v>8.559877937157E-6</v>
      </c>
      <c r="AN917" s="2">
        <v>9.8734125343149408</v>
      </c>
      <c r="AO917" s="2">
        <v>44.805288131661001</v>
      </c>
      <c r="AP917" s="2">
        <v>20.885595555434499</v>
      </c>
      <c r="AQ917" s="2">
        <v>833.90525493222106</v>
      </c>
      <c r="AR917" s="2">
        <v>16393.446277245399</v>
      </c>
      <c r="AS917" s="2">
        <v>2792.3889225109201</v>
      </c>
      <c r="AT917" s="2">
        <v>53.171986996129199</v>
      </c>
      <c r="AU917" s="2">
        <v>195.062835841272</v>
      </c>
      <c r="AV917" s="2">
        <v>8.559877937157E-6</v>
      </c>
      <c r="AW917" s="2">
        <v>129507.165968652</v>
      </c>
      <c r="AX917" s="2">
        <v>161.65411361435301</v>
      </c>
    </row>
    <row r="918" spans="1:50" x14ac:dyDescent="0.25">
      <c r="A918" s="2" t="s">
        <v>6465</v>
      </c>
      <c r="B918" s="2">
        <v>313.23845839518901</v>
      </c>
      <c r="C918" s="2">
        <v>10.905533333333301</v>
      </c>
      <c r="D918" s="2" t="s">
        <v>51</v>
      </c>
      <c r="E918" s="2" t="s">
        <v>6466</v>
      </c>
      <c r="F918" s="2">
        <v>2196</v>
      </c>
      <c r="G918" s="3" t="str">
        <f>HYPERLINK("https://cloud.oebiotech.com/#/lm/network/2196", "https://cloud.oebiotech.com/#/lm/network/2196")</f>
        <v>https://cloud.oebiotech.com/#/lm/network/2196</v>
      </c>
      <c r="H918" s="2"/>
      <c r="I918" s="2"/>
      <c r="J918" s="2" t="s">
        <v>6467</v>
      </c>
      <c r="K918" s="2">
        <v>54097868</v>
      </c>
      <c r="L918" s="2"/>
      <c r="M918" s="2"/>
      <c r="N918" s="2"/>
      <c r="O918" s="2"/>
      <c r="P918" s="2"/>
      <c r="Q918" s="2"/>
      <c r="R918" s="2"/>
      <c r="S918" s="2" t="s">
        <v>6468</v>
      </c>
      <c r="T918" s="2" t="s">
        <v>6469</v>
      </c>
      <c r="U918" s="2" t="s">
        <v>56</v>
      </c>
      <c r="V918" s="2" t="s">
        <v>145</v>
      </c>
      <c r="W918" s="2" t="s">
        <v>231</v>
      </c>
      <c r="X918" s="2" t="s">
        <v>69</v>
      </c>
      <c r="Y918" s="2">
        <v>66</v>
      </c>
      <c r="Z918" s="2">
        <v>75.5</v>
      </c>
      <c r="AA918" s="2" t="s">
        <v>163</v>
      </c>
      <c r="AB918" s="2" t="s">
        <v>6470</v>
      </c>
      <c r="AC918" s="2">
        <v>8.0378404721965502E-2</v>
      </c>
      <c r="AD918" s="2"/>
      <c r="AE918" s="2">
        <v>0.63667069152253197</v>
      </c>
      <c r="AF918" s="2">
        <v>24854.450799892598</v>
      </c>
      <c r="AG918" s="2">
        <v>15386.444370511301</v>
      </c>
      <c r="AH918" s="5">
        <v>1.61534726291456</v>
      </c>
      <c r="AI918" s="5">
        <v>0.69184434487563895</v>
      </c>
      <c r="AJ918" s="5" t="s">
        <v>139</v>
      </c>
      <c r="AK918" s="2">
        <v>6.6814532941030499E-2</v>
      </c>
      <c r="AL918" s="2">
        <v>0.34192828169447498</v>
      </c>
      <c r="AM918" s="2">
        <v>38106.337287273898</v>
      </c>
      <c r="AN918" s="2">
        <v>19528.9985554989</v>
      </c>
      <c r="AO918" s="2">
        <v>38011.016761213003</v>
      </c>
      <c r="AP918" s="2">
        <v>10850.477071531501</v>
      </c>
      <c r="AQ918" s="2">
        <v>23846.473776950799</v>
      </c>
      <c r="AR918" s="2">
        <v>18783.4013468874</v>
      </c>
      <c r="AS918" s="2">
        <v>16656.1812897079</v>
      </c>
      <c r="AT918" s="2">
        <v>12810.9838323534</v>
      </c>
      <c r="AU918" s="2">
        <v>15326.6634999161</v>
      </c>
      <c r="AV918" s="2">
        <v>19105.335724094799</v>
      </c>
      <c r="AW918" s="2">
        <v>13900.2220639313</v>
      </c>
      <c r="AX918" s="2">
        <v>14519.279813064501</v>
      </c>
    </row>
    <row r="919" spans="1:50" x14ac:dyDescent="0.25">
      <c r="A919" s="2" t="s">
        <v>6471</v>
      </c>
      <c r="B919" s="2">
        <v>421.222998080438</v>
      </c>
      <c r="C919" s="2">
        <v>8.5486166666666694</v>
      </c>
      <c r="D919" s="2" t="s">
        <v>51</v>
      </c>
      <c r="E919" s="2" t="s">
        <v>6472</v>
      </c>
      <c r="F919" s="2">
        <v>5169</v>
      </c>
      <c r="G919" s="3" t="str">
        <f>HYPERLINK("https://cloud.oebiotech.com/#/lm/network/5169", "https://cloud.oebiotech.com/#/lm/network/5169")</f>
        <v>https://cloud.oebiotech.com/#/lm/network/5169</v>
      </c>
      <c r="H919" s="2"/>
      <c r="I919" s="2"/>
      <c r="J919" s="2" t="s">
        <v>6473</v>
      </c>
      <c r="K919" s="2">
        <v>131840587</v>
      </c>
      <c r="L919" s="2"/>
      <c r="M919" s="2"/>
      <c r="N919" s="2"/>
      <c r="O919" s="2"/>
      <c r="P919" s="2"/>
      <c r="Q919" s="2"/>
      <c r="R919" s="2"/>
      <c r="S919" s="2" t="s">
        <v>6474</v>
      </c>
      <c r="T919" s="2" t="s">
        <v>6475</v>
      </c>
      <c r="U919" s="2" t="s">
        <v>56</v>
      </c>
      <c r="V919" s="2" t="s">
        <v>145</v>
      </c>
      <c r="W919" s="2" t="s">
        <v>187</v>
      </c>
      <c r="X919" s="2" t="s">
        <v>83</v>
      </c>
      <c r="Y919" s="2">
        <v>50</v>
      </c>
      <c r="Z919" s="2">
        <v>0</v>
      </c>
      <c r="AA919" s="2" t="s">
        <v>218</v>
      </c>
      <c r="AB919" s="2" t="s">
        <v>1366</v>
      </c>
      <c r="AC919" s="2">
        <v>-0.47554950970957999</v>
      </c>
      <c r="AD919" s="2"/>
      <c r="AE919" s="2">
        <v>0.636624220300962</v>
      </c>
      <c r="AF919" s="2">
        <v>25523.9856457979</v>
      </c>
      <c r="AG919" s="2">
        <v>14789.7091506957</v>
      </c>
      <c r="AH919" s="5">
        <v>1.7257936167458201</v>
      </c>
      <c r="AI919" s="5">
        <v>0.787259946614152</v>
      </c>
      <c r="AJ919" s="5" t="s">
        <v>139</v>
      </c>
      <c r="AK919" s="2">
        <v>0.100527915438353</v>
      </c>
      <c r="AL919" s="2">
        <v>0.40292733648068202</v>
      </c>
      <c r="AM919" s="2">
        <v>50138.869606132197</v>
      </c>
      <c r="AN919" s="2">
        <v>14607.914739411999</v>
      </c>
      <c r="AO919" s="2">
        <v>25682.097922848101</v>
      </c>
      <c r="AP919" s="2">
        <v>32295.8658102138</v>
      </c>
      <c r="AQ919" s="2">
        <v>11175.6392098459</v>
      </c>
      <c r="AR919" s="2">
        <v>19243.5265863352</v>
      </c>
      <c r="AS919" s="2">
        <v>18384.7712848468</v>
      </c>
      <c r="AT919" s="2">
        <v>15518.7100328706</v>
      </c>
      <c r="AU919" s="2">
        <v>17508.5306203121</v>
      </c>
      <c r="AV919" s="2">
        <v>11197.320634707899</v>
      </c>
      <c r="AW919" s="2">
        <v>13253.6177503731</v>
      </c>
      <c r="AX919" s="2">
        <v>12875.3045810637</v>
      </c>
    </row>
    <row r="920" spans="1:50" x14ac:dyDescent="0.25">
      <c r="A920" s="2" t="s">
        <v>6476</v>
      </c>
      <c r="B920" s="2">
        <v>963.69159985900001</v>
      </c>
      <c r="C920" s="2">
        <v>14.459250000000001</v>
      </c>
      <c r="D920" s="2" t="s">
        <v>51</v>
      </c>
      <c r="E920" s="2" t="s">
        <v>6477</v>
      </c>
      <c r="F920" s="2">
        <v>24434</v>
      </c>
      <c r="G920" s="3" t="str">
        <f>HYPERLINK("https://cloud.oebiotech.com/#/lm/network/24434", "https://cloud.oebiotech.com/#/lm/network/24434")</f>
        <v>https://cloud.oebiotech.com/#/lm/network/24434</v>
      </c>
      <c r="H920" s="2"/>
      <c r="I920" s="2"/>
      <c r="J920" s="2" t="s">
        <v>6478</v>
      </c>
      <c r="K920" s="2">
        <v>52928172</v>
      </c>
      <c r="L920" s="2"/>
      <c r="M920" s="2"/>
      <c r="N920" s="2"/>
      <c r="O920" s="2"/>
      <c r="P920" s="2"/>
      <c r="Q920" s="2"/>
      <c r="R920" s="2"/>
      <c r="S920" s="2" t="s">
        <v>6479</v>
      </c>
      <c r="T920" s="2" t="s">
        <v>6480</v>
      </c>
      <c r="U920" s="2" t="s">
        <v>56</v>
      </c>
      <c r="V920" s="2" t="s">
        <v>57</v>
      </c>
      <c r="W920" s="2" t="s">
        <v>1097</v>
      </c>
      <c r="X920" s="2" t="s">
        <v>59</v>
      </c>
      <c r="Y920" s="2">
        <v>49.3</v>
      </c>
      <c r="Z920" s="2">
        <v>62.5</v>
      </c>
      <c r="AA920" s="2" t="s">
        <v>259</v>
      </c>
      <c r="AB920" s="2" t="s">
        <v>6481</v>
      </c>
      <c r="AC920" s="2">
        <v>2.0708469743086702</v>
      </c>
      <c r="AD920" s="2"/>
      <c r="AE920" s="2">
        <v>0.63589281743395898</v>
      </c>
      <c r="AF920" s="2">
        <v>204771.68230595801</v>
      </c>
      <c r="AG920" s="2">
        <v>251934.51407709499</v>
      </c>
      <c r="AH920" s="4">
        <v>0.81279725827202798</v>
      </c>
      <c r="AI920" s="4">
        <v>-0.29903255926845002</v>
      </c>
      <c r="AJ920" s="4" t="s">
        <v>62</v>
      </c>
      <c r="AK920" s="2">
        <v>0.45213401246927298</v>
      </c>
      <c r="AL920" s="2">
        <v>0.70528155934299797</v>
      </c>
      <c r="AM920" s="2">
        <v>351001.08487328101</v>
      </c>
      <c r="AN920" s="2">
        <v>163196.98876589799</v>
      </c>
      <c r="AO920" s="2">
        <v>267095.78690222098</v>
      </c>
      <c r="AP920" s="2">
        <v>184317.048385573</v>
      </c>
      <c r="AQ920" s="2">
        <v>189058.22564759199</v>
      </c>
      <c r="AR920" s="2">
        <v>73960.959261184194</v>
      </c>
      <c r="AS920" s="2">
        <v>110758.956619958</v>
      </c>
      <c r="AT920" s="2">
        <v>240489.56526179801</v>
      </c>
      <c r="AU920" s="2">
        <v>153633.49428250999</v>
      </c>
      <c r="AV920" s="2">
        <v>423896.44315664802</v>
      </c>
      <c r="AW920" s="2">
        <v>261110.818485403</v>
      </c>
      <c r="AX920" s="2">
        <v>321717.80665625102</v>
      </c>
    </row>
    <row r="921" spans="1:50" x14ac:dyDescent="0.25">
      <c r="A921" s="2" t="s">
        <v>6482</v>
      </c>
      <c r="B921" s="2">
        <v>321.23440682773202</v>
      </c>
      <c r="C921" s="2">
        <v>10.74095</v>
      </c>
      <c r="D921" s="2" t="s">
        <v>51</v>
      </c>
      <c r="E921" s="2" t="s">
        <v>6483</v>
      </c>
      <c r="F921" s="2">
        <v>199524</v>
      </c>
      <c r="G921" s="3" t="str">
        <f>HYPERLINK("https://cloud.oebiotech.com/#/lm/network/199524", "https://cloud.oebiotech.com/#/lm/network/199524")</f>
        <v>https://cloud.oebiotech.com/#/lm/network/199524</v>
      </c>
      <c r="H921" s="2" t="s">
        <v>6484</v>
      </c>
      <c r="I921" s="2">
        <v>349111</v>
      </c>
      <c r="J921" s="2"/>
      <c r="K921" s="2">
        <v>20038</v>
      </c>
      <c r="L921" s="2"/>
      <c r="M921" s="2"/>
      <c r="N921" s="2"/>
      <c r="O921" s="2"/>
      <c r="P921" s="2"/>
      <c r="Q921" s="2"/>
      <c r="R921" s="2"/>
      <c r="S921" s="2" t="s">
        <v>6485</v>
      </c>
      <c r="T921" s="2" t="s">
        <v>6486</v>
      </c>
      <c r="U921" s="2" t="s">
        <v>266</v>
      </c>
      <c r="V921" s="2" t="s">
        <v>1742</v>
      </c>
      <c r="W921" s="2" t="s">
        <v>6487</v>
      </c>
      <c r="X921" s="2" t="s">
        <v>147</v>
      </c>
      <c r="Y921" s="2">
        <v>38.200000000000003</v>
      </c>
      <c r="Z921" s="2">
        <v>0</v>
      </c>
      <c r="AA921" s="2" t="s">
        <v>478</v>
      </c>
      <c r="AB921" s="2" t="s">
        <v>6488</v>
      </c>
      <c r="AC921" s="2">
        <v>2.4338562691862098</v>
      </c>
      <c r="AD921" s="2"/>
      <c r="AE921" s="2">
        <v>0.63566296905501696</v>
      </c>
      <c r="AF921" s="2">
        <v>24901.907652279198</v>
      </c>
      <c r="AG921" s="2">
        <v>15906.8909992845</v>
      </c>
      <c r="AH921" s="5">
        <v>1.5654792412545799</v>
      </c>
      <c r="AI921" s="5">
        <v>0.64660437801498205</v>
      </c>
      <c r="AJ921" s="5" t="s">
        <v>139</v>
      </c>
      <c r="AK921" s="2">
        <v>1.8067205662710001E-2</v>
      </c>
      <c r="AL921" s="2">
        <v>0.212973194719246</v>
      </c>
      <c r="AM921" s="2">
        <v>33103.175625247401</v>
      </c>
      <c r="AN921" s="2">
        <v>27246.137143595599</v>
      </c>
      <c r="AO921" s="2">
        <v>20194.753791143401</v>
      </c>
      <c r="AP921" s="2">
        <v>14593.062154470301</v>
      </c>
      <c r="AQ921" s="2">
        <v>25984.8457825347</v>
      </c>
      <c r="AR921" s="2">
        <v>28289.4714166839</v>
      </c>
      <c r="AS921" s="2">
        <v>14423.0984326489</v>
      </c>
      <c r="AT921" s="2">
        <v>9613.5406836745005</v>
      </c>
      <c r="AU921" s="2">
        <v>21540.345731384601</v>
      </c>
      <c r="AV921" s="2">
        <v>19419.258056676499</v>
      </c>
      <c r="AW921" s="2">
        <v>16624.003712555899</v>
      </c>
      <c r="AX921" s="2">
        <v>13821.099378766699</v>
      </c>
    </row>
    <row r="922" spans="1:50" x14ac:dyDescent="0.25">
      <c r="A922" s="2" t="s">
        <v>6489</v>
      </c>
      <c r="B922" s="2">
        <v>379.21045570411798</v>
      </c>
      <c r="C922" s="2">
        <v>8.53006666666667</v>
      </c>
      <c r="D922" s="2" t="s">
        <v>51</v>
      </c>
      <c r="E922" s="2" t="s">
        <v>6490</v>
      </c>
      <c r="F922" s="2">
        <v>64165</v>
      </c>
      <c r="G922" s="3" t="str">
        <f>HYPERLINK("https://cloud.oebiotech.com/#/lm/network/64165", "https://cloud.oebiotech.com/#/lm/network/64165")</f>
        <v>https://cloud.oebiotech.com/#/lm/network/64165</v>
      </c>
      <c r="H922" s="2" t="s">
        <v>6491</v>
      </c>
      <c r="I922" s="2"/>
      <c r="J922" s="2"/>
      <c r="K922" s="2">
        <v>85140086</v>
      </c>
      <c r="L922" s="2"/>
      <c r="M922" s="2"/>
      <c r="N922" s="2"/>
      <c r="O922" s="2"/>
      <c r="P922" s="2"/>
      <c r="Q922" s="2"/>
      <c r="R922" s="2" t="s">
        <v>6492</v>
      </c>
      <c r="S922" s="2" t="s">
        <v>6493</v>
      </c>
      <c r="T922" s="2" t="s">
        <v>6494</v>
      </c>
      <c r="U922" s="2" t="s">
        <v>56</v>
      </c>
      <c r="V922" s="2" t="s">
        <v>177</v>
      </c>
      <c r="W922" s="2" t="s">
        <v>178</v>
      </c>
      <c r="X922" s="2" t="s">
        <v>69</v>
      </c>
      <c r="Y922" s="2">
        <v>50.7</v>
      </c>
      <c r="Z922" s="2">
        <v>56.9</v>
      </c>
      <c r="AA922" s="2" t="s">
        <v>218</v>
      </c>
      <c r="AB922" s="2" t="s">
        <v>212</v>
      </c>
      <c r="AC922" s="2">
        <v>-6.4527625404568596</v>
      </c>
      <c r="AD922" s="2"/>
      <c r="AE922" s="2">
        <v>0.63533435665011195</v>
      </c>
      <c r="AF922" s="2">
        <v>19301.419213780999</v>
      </c>
      <c r="AG922" s="2">
        <v>9018.3675966609098</v>
      </c>
      <c r="AH922" s="5">
        <v>2.1402342504787</v>
      </c>
      <c r="AI922" s="5">
        <v>1.0977687094809601</v>
      </c>
      <c r="AJ922" s="5" t="s">
        <v>139</v>
      </c>
      <c r="AK922" s="2">
        <v>1.7104614359264799E-2</v>
      </c>
      <c r="AL922" s="2">
        <v>0.20682300499176201</v>
      </c>
      <c r="AM922" s="2">
        <v>15099.105925029</v>
      </c>
      <c r="AN922" s="2">
        <v>31007.239127349501</v>
      </c>
      <c r="AO922" s="2">
        <v>22693.9501762974</v>
      </c>
      <c r="AP922" s="2">
        <v>12090.0643121877</v>
      </c>
      <c r="AQ922" s="2">
        <v>14030.900526305801</v>
      </c>
      <c r="AR922" s="2">
        <v>20887.255215516401</v>
      </c>
      <c r="AS922" s="2">
        <v>13581.2554657737</v>
      </c>
      <c r="AT922" s="2">
        <v>5220.7764903789403</v>
      </c>
      <c r="AU922" s="2">
        <v>8675.9537015684</v>
      </c>
      <c r="AV922" s="2">
        <v>2308.4814652827099</v>
      </c>
      <c r="AW922" s="2">
        <v>7658.4195801383903</v>
      </c>
      <c r="AX922" s="2">
        <v>16665.318876823301</v>
      </c>
    </row>
    <row r="923" spans="1:50" x14ac:dyDescent="0.25">
      <c r="A923" s="2" t="s">
        <v>6495</v>
      </c>
      <c r="B923" s="2">
        <v>835.34364564520297</v>
      </c>
      <c r="C923" s="2">
        <v>0.61688333333333301</v>
      </c>
      <c r="D923" s="2" t="s">
        <v>51</v>
      </c>
      <c r="E923" s="2" t="s">
        <v>6496</v>
      </c>
      <c r="F923" s="2">
        <v>52757</v>
      </c>
      <c r="G923" s="3" t="str">
        <f>HYPERLINK("https://cloud.oebiotech.com/#/lm/network/52757", "https://cloud.oebiotech.com/#/lm/network/52757")</f>
        <v>https://cloud.oebiotech.com/#/lm/network/52757</v>
      </c>
      <c r="H923" s="2" t="s">
        <v>6497</v>
      </c>
      <c r="I923" s="2">
        <v>1541</v>
      </c>
      <c r="J923" s="2"/>
      <c r="K923" s="2">
        <v>4497</v>
      </c>
      <c r="L923" s="2" t="s">
        <v>6498</v>
      </c>
      <c r="M923" s="2"/>
      <c r="N923" s="2"/>
      <c r="O923" s="2">
        <v>7575</v>
      </c>
      <c r="P923" s="2" t="s">
        <v>6499</v>
      </c>
      <c r="Q923" s="2" t="s">
        <v>6500</v>
      </c>
      <c r="R923" s="2" t="s">
        <v>6501</v>
      </c>
      <c r="S923" s="2" t="s">
        <v>6502</v>
      </c>
      <c r="T923" s="2" t="s">
        <v>6503</v>
      </c>
      <c r="U923" s="2" t="s">
        <v>266</v>
      </c>
      <c r="V923" s="2" t="s">
        <v>2143</v>
      </c>
      <c r="W923" s="2" t="s">
        <v>6504</v>
      </c>
      <c r="X923" s="2" t="s">
        <v>147</v>
      </c>
      <c r="Y923" s="2">
        <v>36</v>
      </c>
      <c r="Z923" s="2">
        <v>0</v>
      </c>
      <c r="AA923" s="2" t="s">
        <v>478</v>
      </c>
      <c r="AB923" s="2" t="s">
        <v>6505</v>
      </c>
      <c r="AC923" s="2">
        <v>3.4910306653412699</v>
      </c>
      <c r="AD923" s="2"/>
      <c r="AE923" s="2">
        <v>0.63446965667142996</v>
      </c>
      <c r="AF923" s="2">
        <v>30294.728255636899</v>
      </c>
      <c r="AG923" s="2">
        <v>41321.513082676502</v>
      </c>
      <c r="AH923" s="4">
        <v>0.73314663466032404</v>
      </c>
      <c r="AI923" s="4">
        <v>-0.44782631816513402</v>
      </c>
      <c r="AJ923" s="4" t="s">
        <v>62</v>
      </c>
      <c r="AK923" s="2">
        <v>5.55955366518395E-2</v>
      </c>
      <c r="AL923" s="2">
        <v>0.32359872657055999</v>
      </c>
      <c r="AM923" s="2">
        <v>24094.617528029401</v>
      </c>
      <c r="AN923" s="2">
        <v>39099.550532773101</v>
      </c>
      <c r="AO923" s="2">
        <v>25946.000961418798</v>
      </c>
      <c r="AP923" s="2">
        <v>37976.725243975001</v>
      </c>
      <c r="AQ923" s="2">
        <v>32982.2934486413</v>
      </c>
      <c r="AR923" s="2">
        <v>21669.181818983601</v>
      </c>
      <c r="AS923" s="2">
        <v>29688.620111504799</v>
      </c>
      <c r="AT923" s="2">
        <v>40788.355446411297</v>
      </c>
      <c r="AU923" s="2">
        <v>34377.972921011897</v>
      </c>
      <c r="AV923" s="2">
        <v>50258.551758829402</v>
      </c>
      <c r="AW923" s="2">
        <v>36739.496767522302</v>
      </c>
      <c r="AX923" s="2">
        <v>56076.081490779499</v>
      </c>
    </row>
    <row r="924" spans="1:50" x14ac:dyDescent="0.25">
      <c r="A924" s="2" t="s">
        <v>6506</v>
      </c>
      <c r="B924" s="2">
        <v>638.43997315439697</v>
      </c>
      <c r="C924" s="2">
        <v>11.940049999999999</v>
      </c>
      <c r="D924" s="2" t="s">
        <v>51</v>
      </c>
      <c r="E924" s="2" t="s">
        <v>6507</v>
      </c>
      <c r="F924" s="2">
        <v>22489</v>
      </c>
      <c r="G924" s="3" t="str">
        <f>HYPERLINK("https://cloud.oebiotech.com/#/lm/network/22489", "https://cloud.oebiotech.com/#/lm/network/22489")</f>
        <v>https://cloud.oebiotech.com/#/lm/network/22489</v>
      </c>
      <c r="H924" s="2"/>
      <c r="I924" s="2"/>
      <c r="J924" s="2" t="s">
        <v>6508</v>
      </c>
      <c r="K924" s="2">
        <v>137323962</v>
      </c>
      <c r="L924" s="2"/>
      <c r="M924" s="2"/>
      <c r="N924" s="2"/>
      <c r="O924" s="2"/>
      <c r="P924" s="2"/>
      <c r="Q924" s="2"/>
      <c r="R924" s="2"/>
      <c r="S924" s="2" t="s">
        <v>6509</v>
      </c>
      <c r="T924" s="2" t="s">
        <v>6510</v>
      </c>
      <c r="U924" s="2" t="s">
        <v>56</v>
      </c>
      <c r="V924" s="2" t="s">
        <v>57</v>
      </c>
      <c r="W924" s="2" t="s">
        <v>82</v>
      </c>
      <c r="X924" s="2" t="s">
        <v>147</v>
      </c>
      <c r="Y924" s="2">
        <v>38.299999999999997</v>
      </c>
      <c r="Z924" s="2">
        <v>0</v>
      </c>
      <c r="AA924" s="2" t="s">
        <v>259</v>
      </c>
      <c r="AB924" s="2" t="s">
        <v>6511</v>
      </c>
      <c r="AC924" s="2">
        <v>1.2981137541827199</v>
      </c>
      <c r="AD924" s="2"/>
      <c r="AE924" s="2">
        <v>0.63444057705170998</v>
      </c>
      <c r="AF924" s="2">
        <v>12233.328321748</v>
      </c>
      <c r="AG924" s="2">
        <v>3407.9724167601798</v>
      </c>
      <c r="AH924" s="5">
        <v>3.58962069692386</v>
      </c>
      <c r="AI924" s="5">
        <v>1.8438314073972699</v>
      </c>
      <c r="AJ924" s="5" t="s">
        <v>139</v>
      </c>
      <c r="AK924" s="2">
        <v>4.7455433739327499E-3</v>
      </c>
      <c r="AL924" s="2">
        <v>0.122496917439299</v>
      </c>
      <c r="AM924" s="2">
        <v>16728.7345724119</v>
      </c>
      <c r="AN924" s="2">
        <v>8306.2506738799402</v>
      </c>
      <c r="AO924" s="2">
        <v>10517.754740676901</v>
      </c>
      <c r="AP924" s="2">
        <v>20005.192856044501</v>
      </c>
      <c r="AQ924" s="2">
        <v>8926.7528908410695</v>
      </c>
      <c r="AR924" s="2">
        <v>8915.2841966334709</v>
      </c>
      <c r="AS924" s="2">
        <v>3959.2672530742898</v>
      </c>
      <c r="AT924" s="2">
        <v>9524.6721710175698</v>
      </c>
      <c r="AU924" s="2">
        <v>4307.25179110721</v>
      </c>
      <c r="AV924" s="2">
        <v>1329.10034892874</v>
      </c>
      <c r="AW924" s="2">
        <v>967.48235446147498</v>
      </c>
      <c r="AX924" s="2">
        <v>360.06058197178299</v>
      </c>
    </row>
    <row r="925" spans="1:50" x14ac:dyDescent="0.25">
      <c r="A925" s="2" t="s">
        <v>6512</v>
      </c>
      <c r="B925" s="2">
        <v>577.42418353548896</v>
      </c>
      <c r="C925" s="2">
        <v>12.051083333333301</v>
      </c>
      <c r="D925" s="2" t="s">
        <v>51</v>
      </c>
      <c r="E925" s="2" t="s">
        <v>6513</v>
      </c>
      <c r="F925" s="2">
        <v>25883</v>
      </c>
      <c r="G925" s="3" t="str">
        <f>HYPERLINK("https://cloud.oebiotech.com/#/lm/network/25883", "https://cloud.oebiotech.com/#/lm/network/25883")</f>
        <v>https://cloud.oebiotech.com/#/lm/network/25883</v>
      </c>
      <c r="H925" s="2"/>
      <c r="I925" s="2">
        <v>82148</v>
      </c>
      <c r="J925" s="2" t="s">
        <v>6514</v>
      </c>
      <c r="K925" s="2">
        <v>52929565</v>
      </c>
      <c r="L925" s="2"/>
      <c r="M925" s="2"/>
      <c r="N925" s="2"/>
      <c r="O925" s="2"/>
      <c r="P925" s="2"/>
      <c r="Q925" s="2"/>
      <c r="R925" s="2"/>
      <c r="S925" s="2" t="s">
        <v>6515</v>
      </c>
      <c r="T925" s="2" t="s">
        <v>6516</v>
      </c>
      <c r="U925" s="2" t="s">
        <v>56</v>
      </c>
      <c r="V925" s="2" t="s">
        <v>57</v>
      </c>
      <c r="W925" s="2" t="s">
        <v>702</v>
      </c>
      <c r="X925" s="2" t="s">
        <v>147</v>
      </c>
      <c r="Y925" s="2">
        <v>39</v>
      </c>
      <c r="Z925" s="2">
        <v>0</v>
      </c>
      <c r="AA925" s="2" t="s">
        <v>163</v>
      </c>
      <c r="AB925" s="2" t="s">
        <v>6517</v>
      </c>
      <c r="AC925" s="2">
        <v>0.55145744424634502</v>
      </c>
      <c r="AD925" s="2"/>
      <c r="AE925" s="2">
        <v>0.63375033248240498</v>
      </c>
      <c r="AF925" s="2">
        <v>2373.2784904964001</v>
      </c>
      <c r="AG925" s="2">
        <v>16241.091928886501</v>
      </c>
      <c r="AH925" s="4">
        <v>0.14612801287549301</v>
      </c>
      <c r="AI925" s="4">
        <v>-2.7746953242572201</v>
      </c>
      <c r="AJ925" s="4" t="s">
        <v>62</v>
      </c>
      <c r="AK925" s="2">
        <v>5.3109769458354703E-2</v>
      </c>
      <c r="AL925" s="2">
        <v>0.31731303224527402</v>
      </c>
      <c r="AM925" s="2">
        <v>2554.6335736658002</v>
      </c>
      <c r="AN925" s="2">
        <v>3232.1823072218999</v>
      </c>
      <c r="AO925" s="2">
        <v>6633.66890905937</v>
      </c>
      <c r="AP925" s="2">
        <v>315.16010845683201</v>
      </c>
      <c r="AQ925" s="2">
        <v>895.68750034110406</v>
      </c>
      <c r="AR925" s="2">
        <v>608.33854423336595</v>
      </c>
      <c r="AS925" s="2">
        <v>5382.1453084837904</v>
      </c>
      <c r="AT925" s="2">
        <v>328.167441223678</v>
      </c>
      <c r="AU925" s="2">
        <v>41140.767354687101</v>
      </c>
      <c r="AV925" s="2">
        <v>19100.991603299601</v>
      </c>
      <c r="AW925" s="2">
        <v>25019.3708683726</v>
      </c>
      <c r="AX925" s="2">
        <v>6475.1089972521704</v>
      </c>
    </row>
    <row r="926" spans="1:50" x14ac:dyDescent="0.25">
      <c r="A926" s="2" t="s">
        <v>6518</v>
      </c>
      <c r="B926" s="2">
        <v>367.13999357654501</v>
      </c>
      <c r="C926" s="2">
        <v>6.2990333333333304</v>
      </c>
      <c r="D926" s="2" t="s">
        <v>51</v>
      </c>
      <c r="E926" s="2" t="s">
        <v>6519</v>
      </c>
      <c r="F926" s="2">
        <v>10414</v>
      </c>
      <c r="G926" s="3" t="str">
        <f>HYPERLINK("https://cloud.oebiotech.com/#/lm/network/10414", "https://cloud.oebiotech.com/#/lm/network/10414")</f>
        <v>https://cloud.oebiotech.com/#/lm/network/10414</v>
      </c>
      <c r="H926" s="2"/>
      <c r="I926" s="2"/>
      <c r="J926" s="2" t="s">
        <v>6520</v>
      </c>
      <c r="K926" s="2"/>
      <c r="L926" s="2"/>
      <c r="M926" s="2"/>
      <c r="N926" s="2"/>
      <c r="O926" s="2"/>
      <c r="P926" s="2"/>
      <c r="Q926" s="2"/>
      <c r="R926" s="2"/>
      <c r="S926" s="2" t="s">
        <v>6521</v>
      </c>
      <c r="T926" s="2" t="s">
        <v>6522</v>
      </c>
      <c r="U926" s="2" t="s">
        <v>331</v>
      </c>
      <c r="V926" s="2" t="s">
        <v>332</v>
      </c>
      <c r="W926" s="2" t="s">
        <v>333</v>
      </c>
      <c r="X926" s="2" t="s">
        <v>83</v>
      </c>
      <c r="Y926" s="2">
        <v>42.4</v>
      </c>
      <c r="Z926" s="2">
        <v>0</v>
      </c>
      <c r="AA926" s="2" t="s">
        <v>163</v>
      </c>
      <c r="AB926" s="2" t="s">
        <v>6523</v>
      </c>
      <c r="AC926" s="2">
        <v>0.41364546322029799</v>
      </c>
      <c r="AD926" s="2"/>
      <c r="AE926" s="2">
        <v>0.632567450376468</v>
      </c>
      <c r="AF926" s="2">
        <v>2569.9127628018</v>
      </c>
      <c r="AG926" s="2">
        <v>14947.489984772001</v>
      </c>
      <c r="AH926" s="4">
        <v>0.17192938516232101</v>
      </c>
      <c r="AI926" s="4">
        <v>-2.5401119520207902</v>
      </c>
      <c r="AJ926" s="4" t="s">
        <v>62</v>
      </c>
      <c r="AK926" s="2">
        <v>8.6929346109972994E-2</v>
      </c>
      <c r="AL926" s="2">
        <v>0.38018166893268901</v>
      </c>
      <c r="AM926" s="2">
        <v>2941.43147222481</v>
      </c>
      <c r="AN926" s="2">
        <v>935.94342491665896</v>
      </c>
      <c r="AO926" s="2">
        <v>4121.2692711474101</v>
      </c>
      <c r="AP926" s="2">
        <v>8.559877937157E-6</v>
      </c>
      <c r="AQ926" s="2">
        <v>1841.29408408061</v>
      </c>
      <c r="AR926" s="2">
        <v>5579.5383158814102</v>
      </c>
      <c r="AS926" s="2">
        <v>2223.8170095140599</v>
      </c>
      <c r="AT926" s="2">
        <v>4292.2073800974604</v>
      </c>
      <c r="AU926" s="2">
        <v>15112.9488909542</v>
      </c>
      <c r="AV926" s="2">
        <v>23037.701690476399</v>
      </c>
      <c r="AW926" s="2">
        <v>42501.327532691103</v>
      </c>
      <c r="AX926" s="2">
        <v>2516.9374048988102</v>
      </c>
    </row>
    <row r="927" spans="1:50" x14ac:dyDescent="0.25">
      <c r="A927" s="2" t="s">
        <v>6524</v>
      </c>
      <c r="B927" s="2">
        <v>260.19780289401899</v>
      </c>
      <c r="C927" s="2">
        <v>1.02813333333333</v>
      </c>
      <c r="D927" s="2" t="s">
        <v>51</v>
      </c>
      <c r="E927" s="2" t="s">
        <v>6525</v>
      </c>
      <c r="F927" s="2">
        <v>53976</v>
      </c>
      <c r="G927" s="3" t="str">
        <f>HYPERLINK("https://cloud.oebiotech.com/#/lm/network/53976", "https://cloud.oebiotech.com/#/lm/network/53976")</f>
        <v>https://cloud.oebiotech.com/#/lm/network/53976</v>
      </c>
      <c r="H927" s="2" t="s">
        <v>6526</v>
      </c>
      <c r="I927" s="2">
        <v>23967</v>
      </c>
      <c r="J927" s="2"/>
      <c r="K927" s="2">
        <v>7016103</v>
      </c>
      <c r="L927" s="2"/>
      <c r="M927" s="2"/>
      <c r="N927" s="2"/>
      <c r="O927" s="2">
        <v>74561</v>
      </c>
      <c r="P927" s="2"/>
      <c r="Q927" s="2"/>
      <c r="R927" s="2" t="s">
        <v>6527</v>
      </c>
      <c r="S927" s="2" t="s">
        <v>6528</v>
      </c>
      <c r="T927" s="2" t="s">
        <v>6529</v>
      </c>
      <c r="U927" s="2" t="s">
        <v>103</v>
      </c>
      <c r="V927" s="2" t="s">
        <v>104</v>
      </c>
      <c r="W927" s="2" t="s">
        <v>105</v>
      </c>
      <c r="X927" s="2" t="s">
        <v>69</v>
      </c>
      <c r="Y927" s="2">
        <v>49</v>
      </c>
      <c r="Z927" s="2">
        <v>51.3</v>
      </c>
      <c r="AA927" s="2" t="s">
        <v>259</v>
      </c>
      <c r="AB927" s="2" t="s">
        <v>6530</v>
      </c>
      <c r="AC927" s="2">
        <v>3.6065768818517099</v>
      </c>
      <c r="AD927" s="2"/>
      <c r="AE927" s="2">
        <v>0.63065032014516997</v>
      </c>
      <c r="AF927" s="2">
        <v>18944.540257365301</v>
      </c>
      <c r="AG927" s="2">
        <v>8316.7520991328402</v>
      </c>
      <c r="AH927" s="5">
        <v>2.27787723278905</v>
      </c>
      <c r="AI927" s="5">
        <v>1.18768999444761</v>
      </c>
      <c r="AJ927" s="5" t="s">
        <v>139</v>
      </c>
      <c r="AK927" s="2">
        <v>5.3916622734629598E-2</v>
      </c>
      <c r="AL927" s="2">
        <v>0.31914555251794202</v>
      </c>
      <c r="AM927" s="2">
        <v>21133.909379526202</v>
      </c>
      <c r="AN927" s="2">
        <v>7110.6414425849698</v>
      </c>
      <c r="AO927" s="2">
        <v>23178.594427992699</v>
      </c>
      <c r="AP927" s="2">
        <v>10508.482827464601</v>
      </c>
      <c r="AQ927" s="2">
        <v>29531.807965275999</v>
      </c>
      <c r="AR927" s="2">
        <v>22203.805501347098</v>
      </c>
      <c r="AS927" s="2">
        <v>4761.5357271924204</v>
      </c>
      <c r="AT927" s="2">
        <v>5951.2378839848197</v>
      </c>
      <c r="AU927" s="2">
        <v>25399.124647789798</v>
      </c>
      <c r="AV927" s="2">
        <v>5712.79571711279</v>
      </c>
      <c r="AW927" s="2">
        <v>3500.20227003236</v>
      </c>
      <c r="AX927" s="2">
        <v>4575.61634868486</v>
      </c>
    </row>
    <row r="928" spans="1:50" x14ac:dyDescent="0.25">
      <c r="A928" s="2" t="s">
        <v>6531</v>
      </c>
      <c r="B928" s="2">
        <v>395.24396393414202</v>
      </c>
      <c r="C928" s="2">
        <v>8.94478333333333</v>
      </c>
      <c r="D928" s="2" t="s">
        <v>51</v>
      </c>
      <c r="E928" s="2" t="s">
        <v>6532</v>
      </c>
      <c r="F928" s="2">
        <v>46737</v>
      </c>
      <c r="G928" s="3" t="str">
        <f>HYPERLINK("https://cloud.oebiotech.com/#/lm/network/46737", "https://cloud.oebiotech.com/#/lm/network/46737")</f>
        <v>https://cloud.oebiotech.com/#/lm/network/46737</v>
      </c>
      <c r="H928" s="2" t="s">
        <v>6533</v>
      </c>
      <c r="I928" s="2">
        <v>57990</v>
      </c>
      <c r="J928" s="2" t="s">
        <v>6534</v>
      </c>
      <c r="K928" s="2">
        <v>65555</v>
      </c>
      <c r="L928" s="2" t="s">
        <v>6535</v>
      </c>
      <c r="M928" s="2"/>
      <c r="N928" s="2"/>
      <c r="O928" s="2">
        <v>34352</v>
      </c>
      <c r="P928" s="2"/>
      <c r="Q928" s="2"/>
      <c r="R928" s="2" t="s">
        <v>6536</v>
      </c>
      <c r="S928" s="2" t="s">
        <v>6537</v>
      </c>
      <c r="T928" s="2" t="s">
        <v>6538</v>
      </c>
      <c r="U928" s="2" t="s">
        <v>56</v>
      </c>
      <c r="V928" s="2" t="s">
        <v>283</v>
      </c>
      <c r="W928" s="2" t="s">
        <v>492</v>
      </c>
      <c r="X928" s="2" t="s">
        <v>83</v>
      </c>
      <c r="Y928" s="2">
        <v>42.4</v>
      </c>
      <c r="Z928" s="2">
        <v>0</v>
      </c>
      <c r="AA928" s="2" t="s">
        <v>218</v>
      </c>
      <c r="AB928" s="2" t="s">
        <v>6539</v>
      </c>
      <c r="AC928" s="2">
        <v>0.147026845914073</v>
      </c>
      <c r="AD928" s="2"/>
      <c r="AE928" s="2">
        <v>0.63022842827007797</v>
      </c>
      <c r="AF928" s="2">
        <v>21902.100954566798</v>
      </c>
      <c r="AG928" s="2">
        <v>9906.5579157417997</v>
      </c>
      <c r="AH928" s="5">
        <v>2.2108689154043799</v>
      </c>
      <c r="AI928" s="5">
        <v>1.1446134888799</v>
      </c>
      <c r="AJ928" s="5" t="s">
        <v>139</v>
      </c>
      <c r="AK928" s="2">
        <v>4.1462849147234998E-2</v>
      </c>
      <c r="AL928" s="2">
        <v>0.29243076157332099</v>
      </c>
      <c r="AM928" s="2">
        <v>30037.176841938399</v>
      </c>
      <c r="AN928" s="2">
        <v>17172.1160917819</v>
      </c>
      <c r="AO928" s="2">
        <v>6743.8262123535997</v>
      </c>
      <c r="AP928" s="2">
        <v>14189.999519928</v>
      </c>
      <c r="AQ928" s="2">
        <v>22475.874141762099</v>
      </c>
      <c r="AR928" s="2">
        <v>40793.612919636602</v>
      </c>
      <c r="AS928" s="2">
        <v>14263.7064063866</v>
      </c>
      <c r="AT928" s="2">
        <v>5945.8428985953697</v>
      </c>
      <c r="AU928" s="2">
        <v>11929.741618049</v>
      </c>
      <c r="AV928" s="2">
        <v>7357.6486335843701</v>
      </c>
      <c r="AW928" s="2">
        <v>7819.9239380177696</v>
      </c>
      <c r="AX928" s="2">
        <v>12122.483999817699</v>
      </c>
    </row>
    <row r="929" spans="1:50" x14ac:dyDescent="0.25">
      <c r="A929" s="2" t="s">
        <v>6540</v>
      </c>
      <c r="B929" s="2">
        <v>539.18532442149694</v>
      </c>
      <c r="C929" s="2">
        <v>9.6639666666666706</v>
      </c>
      <c r="D929" s="2" t="s">
        <v>51</v>
      </c>
      <c r="E929" s="2" t="s">
        <v>6541</v>
      </c>
      <c r="F929" s="2">
        <v>202754</v>
      </c>
      <c r="G929" s="3" t="str">
        <f>HYPERLINK("https://cloud.oebiotech.com/#/lm/network/202754", "https://cloud.oebiotech.com/#/lm/network/202754")</f>
        <v>https://cloud.oebiotech.com/#/lm/network/202754</v>
      </c>
      <c r="H929" s="2" t="s">
        <v>6542</v>
      </c>
      <c r="I929" s="2">
        <v>341652</v>
      </c>
      <c r="J929" s="2"/>
      <c r="K929" s="2">
        <v>70088</v>
      </c>
      <c r="L929" s="2"/>
      <c r="M929" s="2"/>
      <c r="N929" s="2"/>
      <c r="O929" s="2"/>
      <c r="P929" s="2"/>
      <c r="Q929" s="2"/>
      <c r="R929" s="2"/>
      <c r="S929" s="2" t="s">
        <v>6543</v>
      </c>
      <c r="T929" s="2" t="s">
        <v>6544</v>
      </c>
      <c r="U929" s="2" t="s">
        <v>103</v>
      </c>
      <c r="V929" s="2" t="s">
        <v>104</v>
      </c>
      <c r="W929" s="2" t="s">
        <v>6545</v>
      </c>
      <c r="X929" s="2" t="s">
        <v>147</v>
      </c>
      <c r="Y929" s="2">
        <v>41.2</v>
      </c>
      <c r="Z929" s="2">
        <v>12</v>
      </c>
      <c r="AA929" s="2" t="s">
        <v>218</v>
      </c>
      <c r="AB929" s="2" t="s">
        <v>6546</v>
      </c>
      <c r="AC929" s="2">
        <v>2.2241330729318101</v>
      </c>
      <c r="AD929" s="2"/>
      <c r="AE929" s="2">
        <v>0.63010580090370205</v>
      </c>
      <c r="AF929" s="2">
        <v>59575.361154279803</v>
      </c>
      <c r="AG929" s="2">
        <v>47183.4513382976</v>
      </c>
      <c r="AH929" s="5">
        <v>1.26263254307393</v>
      </c>
      <c r="AI929" s="5">
        <v>0.33643484069502999</v>
      </c>
      <c r="AJ929" s="5" t="s">
        <v>139</v>
      </c>
      <c r="AK929" s="2">
        <v>9.4727329751494296E-2</v>
      </c>
      <c r="AL929" s="2">
        <v>0.39518270427574997</v>
      </c>
      <c r="AM929" s="2">
        <v>56837.319594724497</v>
      </c>
      <c r="AN929" s="2">
        <v>66878.697413786096</v>
      </c>
      <c r="AO929" s="2">
        <v>51372.964886047601</v>
      </c>
      <c r="AP929" s="2">
        <v>66664.682663676402</v>
      </c>
      <c r="AQ929" s="2">
        <v>48981.053977241798</v>
      </c>
      <c r="AR929" s="2">
        <v>66717.448390202102</v>
      </c>
      <c r="AS929" s="2">
        <v>61529.666308940803</v>
      </c>
      <c r="AT929" s="2">
        <v>56942.004939707098</v>
      </c>
      <c r="AU929" s="2">
        <v>58007.097118399201</v>
      </c>
      <c r="AV929" s="2">
        <v>29054.809221745301</v>
      </c>
      <c r="AW929" s="2">
        <v>30944.925297379701</v>
      </c>
      <c r="AX929" s="2">
        <v>46622.205143613297</v>
      </c>
    </row>
    <row r="930" spans="1:50" x14ac:dyDescent="0.25">
      <c r="A930" s="2" t="s">
        <v>6547</v>
      </c>
      <c r="B930" s="2">
        <v>424.197834456755</v>
      </c>
      <c r="C930" s="2">
        <v>6.1134166666666703</v>
      </c>
      <c r="D930" s="2" t="s">
        <v>51</v>
      </c>
      <c r="E930" s="2" t="s">
        <v>6548</v>
      </c>
      <c r="F930" s="2">
        <v>82713</v>
      </c>
      <c r="G930" s="3" t="str">
        <f>HYPERLINK("https://cloud.oebiotech.com/#/lm/network/82713", "https://cloud.oebiotech.com/#/lm/network/82713")</f>
        <v>https://cloud.oebiotech.com/#/lm/network/82713</v>
      </c>
      <c r="H930" s="2" t="s">
        <v>6549</v>
      </c>
      <c r="I930" s="2"/>
      <c r="J930" s="2"/>
      <c r="K930" s="2">
        <v>29919004</v>
      </c>
      <c r="L930" s="2"/>
      <c r="M930" s="2"/>
      <c r="N930" s="2"/>
      <c r="O930" s="2"/>
      <c r="P930" s="2"/>
      <c r="Q930" s="2"/>
      <c r="R930" s="2" t="s">
        <v>6550</v>
      </c>
      <c r="S930" s="2" t="s">
        <v>6551</v>
      </c>
      <c r="T930" s="2" t="s">
        <v>6552</v>
      </c>
      <c r="U930" s="2" t="s">
        <v>331</v>
      </c>
      <c r="V930" s="2" t="s">
        <v>332</v>
      </c>
      <c r="W930" s="2" t="s">
        <v>333</v>
      </c>
      <c r="X930" s="2" t="s">
        <v>147</v>
      </c>
      <c r="Y930" s="2">
        <v>39.1</v>
      </c>
      <c r="Z930" s="2">
        <v>0</v>
      </c>
      <c r="AA930" s="2" t="s">
        <v>163</v>
      </c>
      <c r="AB930" s="2" t="s">
        <v>6553</v>
      </c>
      <c r="AC930" s="2">
        <v>0.33850334896254702</v>
      </c>
      <c r="AD930" s="2"/>
      <c r="AE930" s="2">
        <v>0.62962611469941798</v>
      </c>
      <c r="AF930" s="2">
        <v>7279.3497706478702</v>
      </c>
      <c r="AG930" s="2">
        <v>20654.188548613602</v>
      </c>
      <c r="AH930" s="4">
        <v>0.35243939763184201</v>
      </c>
      <c r="AI930" s="4">
        <v>-1.50455288915603</v>
      </c>
      <c r="AJ930" s="4" t="s">
        <v>62</v>
      </c>
      <c r="AK930" s="2">
        <v>5.7360419680770401E-2</v>
      </c>
      <c r="AL930" s="2">
        <v>0.32619617973633502</v>
      </c>
      <c r="AM930" s="2">
        <v>3871.5548757554802</v>
      </c>
      <c r="AN930" s="2">
        <v>13811.804454610399</v>
      </c>
      <c r="AO930" s="2">
        <v>1834.4791704613101</v>
      </c>
      <c r="AP930" s="2">
        <v>657.35970630961299</v>
      </c>
      <c r="AQ930" s="2">
        <v>21676.470291031401</v>
      </c>
      <c r="AR930" s="2">
        <v>1824.43012571904</v>
      </c>
      <c r="AS930" s="2">
        <v>23717.621836656901</v>
      </c>
      <c r="AT930" s="2">
        <v>35978.927988593503</v>
      </c>
      <c r="AU930" s="2">
        <v>5217.6135765352201</v>
      </c>
      <c r="AV930" s="2">
        <v>21723.639318450401</v>
      </c>
      <c r="AW930" s="2">
        <v>6239.5256286356698</v>
      </c>
      <c r="AX930" s="2">
        <v>31047.802942810002</v>
      </c>
    </row>
    <row r="931" spans="1:50" x14ac:dyDescent="0.25">
      <c r="A931" s="2" t="s">
        <v>6554</v>
      </c>
      <c r="B931" s="2">
        <v>438.38027840097698</v>
      </c>
      <c r="C931" s="2">
        <v>14.72875</v>
      </c>
      <c r="D931" s="2" t="s">
        <v>51</v>
      </c>
      <c r="E931" s="2" t="s">
        <v>6555</v>
      </c>
      <c r="F931" s="2">
        <v>95</v>
      </c>
      <c r="G931" s="3" t="str">
        <f>HYPERLINK("https://cloud.oebiotech.com/#/lm/network/95", "https://cloud.oebiotech.com/#/lm/network/95")</f>
        <v>https://cloud.oebiotech.com/#/lm/network/95</v>
      </c>
      <c r="H931" s="2"/>
      <c r="I931" s="2"/>
      <c r="J931" s="2" t="s">
        <v>6556</v>
      </c>
      <c r="K931" s="2">
        <v>44256495</v>
      </c>
      <c r="L931" s="2"/>
      <c r="M931" s="2"/>
      <c r="N931" s="2"/>
      <c r="O931" s="2"/>
      <c r="P931" s="2"/>
      <c r="Q931" s="2"/>
      <c r="R931" s="2"/>
      <c r="S931" s="2" t="s">
        <v>6557</v>
      </c>
      <c r="T931" s="2" t="s">
        <v>6558</v>
      </c>
      <c r="U931" s="2" t="s">
        <v>56</v>
      </c>
      <c r="V931" s="2" t="s">
        <v>145</v>
      </c>
      <c r="W931" s="2" t="s">
        <v>231</v>
      </c>
      <c r="X931" s="2" t="s">
        <v>147</v>
      </c>
      <c r="Y931" s="2">
        <v>37.799999999999997</v>
      </c>
      <c r="Z931" s="2">
        <v>0.61199999999999999</v>
      </c>
      <c r="AA931" s="2" t="s">
        <v>395</v>
      </c>
      <c r="AB931" s="2" t="s">
        <v>6559</v>
      </c>
      <c r="AC931" s="2">
        <v>3.9036461747334998</v>
      </c>
      <c r="AD931" s="2"/>
      <c r="AE931" s="2">
        <v>0.62889578764548504</v>
      </c>
      <c r="AF931" s="2">
        <v>118525.266432319</v>
      </c>
      <c r="AG931" s="2">
        <v>132494.86787486801</v>
      </c>
      <c r="AH931" s="4">
        <v>0.89456496189919099</v>
      </c>
      <c r="AI931" s="4">
        <v>-0.160741842563427</v>
      </c>
      <c r="AJ931" s="4" t="s">
        <v>62</v>
      </c>
      <c r="AK931" s="2">
        <v>0.14375912428559201</v>
      </c>
      <c r="AL931" s="2">
        <v>0.46691644728252502</v>
      </c>
      <c r="AM931" s="2">
        <v>102361.400379183</v>
      </c>
      <c r="AN931" s="2">
        <v>129115.595281377</v>
      </c>
      <c r="AO931" s="2">
        <v>120556.317704537</v>
      </c>
      <c r="AP931" s="2">
        <v>119226.42812536399</v>
      </c>
      <c r="AQ931" s="2">
        <v>134524.56080045601</v>
      </c>
      <c r="AR931" s="2">
        <v>105367.296302998</v>
      </c>
      <c r="AS931" s="2">
        <v>136006.914206049</v>
      </c>
      <c r="AT931" s="2">
        <v>153868.21302039101</v>
      </c>
      <c r="AU931" s="2">
        <v>104283.59813904201</v>
      </c>
      <c r="AV931" s="2">
        <v>126303.900123994</v>
      </c>
      <c r="AW931" s="2">
        <v>128010.83068224</v>
      </c>
      <c r="AX931" s="2">
        <v>146495.751077489</v>
      </c>
    </row>
    <row r="932" spans="1:50" x14ac:dyDescent="0.25">
      <c r="A932" s="2" t="s">
        <v>6560</v>
      </c>
      <c r="B932" s="2">
        <v>204.09829999999999</v>
      </c>
      <c r="C932" s="2">
        <v>20.899000000000001</v>
      </c>
      <c r="D932" s="2" t="s">
        <v>125</v>
      </c>
      <c r="E932" s="2" t="s">
        <v>6561</v>
      </c>
      <c r="F932" s="2">
        <v>546253</v>
      </c>
      <c r="G932" s="3" t="str">
        <f>HYPERLINK("https://cloud.oebiotech.com/#/lm/network/546253", "https://cloud.oebiotech.com/#/lm/network/546253")</f>
        <v>https://cloud.oebiotech.com/#/lm/network/546253</v>
      </c>
      <c r="H932" s="2"/>
      <c r="I932" s="2"/>
      <c r="J932" s="2"/>
      <c r="K932" s="2">
        <v>9989541</v>
      </c>
      <c r="L932" s="2"/>
      <c r="M932" s="2"/>
      <c r="N932" s="2"/>
      <c r="O932" s="2"/>
      <c r="P932" s="2"/>
      <c r="Q932" s="2"/>
      <c r="R932" s="2"/>
      <c r="S932" s="2" t="s">
        <v>6562</v>
      </c>
      <c r="T932" s="2" t="s">
        <v>6563</v>
      </c>
      <c r="U932" s="2" t="s">
        <v>240</v>
      </c>
      <c r="V932" s="2" t="s">
        <v>240</v>
      </c>
      <c r="W932" s="2" t="s">
        <v>240</v>
      </c>
      <c r="X932" s="2" t="s">
        <v>69</v>
      </c>
      <c r="Y932" s="2">
        <v>88.9</v>
      </c>
      <c r="Z932" s="2">
        <v>81.599999999999994</v>
      </c>
      <c r="AA932" s="2"/>
      <c r="AB932" s="2" t="s">
        <v>6564</v>
      </c>
      <c r="AC932" s="2"/>
      <c r="AD932" s="2">
        <v>708193.22546972905</v>
      </c>
      <c r="AE932" s="2">
        <v>0.62870501314716898</v>
      </c>
      <c r="AF932" s="2">
        <v>256681.31436592501</v>
      </c>
      <c r="AG932" s="2">
        <v>398698.69645651599</v>
      </c>
      <c r="AH932" s="4">
        <v>0.64379772657200096</v>
      </c>
      <c r="AI932" s="4">
        <v>-0.63532061261835504</v>
      </c>
      <c r="AJ932" s="4" t="s">
        <v>62</v>
      </c>
      <c r="AK932" s="2">
        <v>0.14998392185117801</v>
      </c>
      <c r="AL932" s="2">
        <v>0.47064193659114301</v>
      </c>
      <c r="AM932" s="2">
        <v>377819.61471212597</v>
      </c>
      <c r="AN932" s="2">
        <v>242477.03108716101</v>
      </c>
      <c r="AO932" s="2">
        <v>207131.96715907799</v>
      </c>
      <c r="AP932" s="2">
        <v>117350.480960136</v>
      </c>
      <c r="AQ932" s="2">
        <v>78907.061522194694</v>
      </c>
      <c r="AR932" s="2">
        <v>516401.73075485602</v>
      </c>
      <c r="AS932" s="2">
        <v>517571.31768502702</v>
      </c>
      <c r="AT932" s="2">
        <v>316689.81176426302</v>
      </c>
      <c r="AU932" s="2">
        <v>612108.14792201703</v>
      </c>
      <c r="AV932" s="2">
        <v>441206.76297021401</v>
      </c>
      <c r="AW932" s="2">
        <v>220821.46408294901</v>
      </c>
      <c r="AX932" s="2">
        <v>283794.67431462399</v>
      </c>
    </row>
    <row r="933" spans="1:50" x14ac:dyDescent="0.25">
      <c r="A933" s="2" t="s">
        <v>6565</v>
      </c>
      <c r="B933" s="2">
        <v>661.44541570097601</v>
      </c>
      <c r="C933" s="2">
        <v>10.74095</v>
      </c>
      <c r="D933" s="2" t="s">
        <v>51</v>
      </c>
      <c r="E933" s="2" t="s">
        <v>6566</v>
      </c>
      <c r="F933" s="2">
        <v>25981</v>
      </c>
      <c r="G933" s="3" t="str">
        <f>HYPERLINK("https://cloud.oebiotech.com/#/lm/network/25981", "https://cloud.oebiotech.com/#/lm/network/25981")</f>
        <v>https://cloud.oebiotech.com/#/lm/network/25981</v>
      </c>
      <c r="H933" s="2"/>
      <c r="I933" s="2">
        <v>82246</v>
      </c>
      <c r="J933" s="2" t="s">
        <v>6567</v>
      </c>
      <c r="K933" s="2">
        <v>52929661</v>
      </c>
      <c r="L933" s="2"/>
      <c r="M933" s="2"/>
      <c r="N933" s="2"/>
      <c r="O933" s="2"/>
      <c r="P933" s="2"/>
      <c r="Q933" s="2"/>
      <c r="R933" s="2"/>
      <c r="S933" s="2" t="s">
        <v>6568</v>
      </c>
      <c r="T933" s="2" t="s">
        <v>6569</v>
      </c>
      <c r="U933" s="2" t="s">
        <v>56</v>
      </c>
      <c r="V933" s="2" t="s">
        <v>57</v>
      </c>
      <c r="W933" s="2" t="s">
        <v>702</v>
      </c>
      <c r="X933" s="2" t="s">
        <v>147</v>
      </c>
      <c r="Y933" s="2">
        <v>38.6</v>
      </c>
      <c r="Z933" s="2">
        <v>0</v>
      </c>
      <c r="AA933" s="2" t="s">
        <v>218</v>
      </c>
      <c r="AB933" s="2" t="s">
        <v>6570</v>
      </c>
      <c r="AC933" s="2">
        <v>0.68421072479068001</v>
      </c>
      <c r="AD933" s="2"/>
      <c r="AE933" s="2">
        <v>0.62849938026778296</v>
      </c>
      <c r="AF933" s="2">
        <v>23359.915639572599</v>
      </c>
      <c r="AG933" s="2">
        <v>10348.8173063094</v>
      </c>
      <c r="AH933" s="5">
        <v>2.2572546164604401</v>
      </c>
      <c r="AI933" s="5">
        <v>1.1745691625202499</v>
      </c>
      <c r="AJ933" s="5" t="s">
        <v>139</v>
      </c>
      <c r="AK933" s="2">
        <v>3.2054888944416202E-2</v>
      </c>
      <c r="AL933" s="2">
        <v>0.264686892438107</v>
      </c>
      <c r="AM933" s="2">
        <v>17569.4316722318</v>
      </c>
      <c r="AN933" s="2">
        <v>18458.0283425649</v>
      </c>
      <c r="AO933" s="2">
        <v>21243.096990052702</v>
      </c>
      <c r="AP933" s="2">
        <v>9216.0075330696709</v>
      </c>
      <c r="AQ933" s="2">
        <v>32592.559862119298</v>
      </c>
      <c r="AR933" s="2">
        <v>41080.369437397101</v>
      </c>
      <c r="AS933" s="2">
        <v>7054.1936480393297</v>
      </c>
      <c r="AT933" s="2">
        <v>2263.4091654767099</v>
      </c>
      <c r="AU933" s="2">
        <v>15506.8986753032</v>
      </c>
      <c r="AV933" s="2">
        <v>14472.2411000013</v>
      </c>
      <c r="AW933" s="2">
        <v>15671.1272747845</v>
      </c>
      <c r="AX933" s="2">
        <v>7125.0339742512097</v>
      </c>
    </row>
    <row r="934" spans="1:50" x14ac:dyDescent="0.25">
      <c r="A934" s="2" t="s">
        <v>6571</v>
      </c>
      <c r="B934" s="2">
        <v>650.40359840916199</v>
      </c>
      <c r="C934" s="2">
        <v>11.573966666666699</v>
      </c>
      <c r="D934" s="2" t="s">
        <v>51</v>
      </c>
      <c r="E934" s="2" t="s">
        <v>6572</v>
      </c>
      <c r="F934" s="2">
        <v>21370</v>
      </c>
      <c r="G934" s="3" t="str">
        <f>HYPERLINK("https://cloud.oebiotech.com/#/lm/network/21370", "https://cloud.oebiotech.com/#/lm/network/21370")</f>
        <v>https://cloud.oebiotech.com/#/lm/network/21370</v>
      </c>
      <c r="H934" s="2"/>
      <c r="I934" s="2">
        <v>77773</v>
      </c>
      <c r="J934" s="2" t="s">
        <v>6573</v>
      </c>
      <c r="K934" s="2">
        <v>52925219</v>
      </c>
      <c r="L934" s="2"/>
      <c r="M934" s="2"/>
      <c r="N934" s="2"/>
      <c r="O934" s="2"/>
      <c r="P934" s="2"/>
      <c r="Q934" s="2"/>
      <c r="R934" s="2"/>
      <c r="S934" s="2" t="s">
        <v>6574</v>
      </c>
      <c r="T934" s="2" t="s">
        <v>6575</v>
      </c>
      <c r="U934" s="2" t="s">
        <v>56</v>
      </c>
      <c r="V934" s="2" t="s">
        <v>57</v>
      </c>
      <c r="W934" s="2" t="s">
        <v>82</v>
      </c>
      <c r="X934" s="2" t="s">
        <v>147</v>
      </c>
      <c r="Y934" s="2">
        <v>37.700000000000003</v>
      </c>
      <c r="Z934" s="2">
        <v>0</v>
      </c>
      <c r="AA934" s="2" t="s">
        <v>259</v>
      </c>
      <c r="AB934" s="2" t="s">
        <v>6576</v>
      </c>
      <c r="AC934" s="2">
        <v>1.2907736233965501</v>
      </c>
      <c r="AD934" s="2"/>
      <c r="AE934" s="2">
        <v>0.62812503569006795</v>
      </c>
      <c r="AF934" s="2">
        <v>12361.056441729699</v>
      </c>
      <c r="AG934" s="2">
        <v>1752.8066162540099</v>
      </c>
      <c r="AH934" s="5">
        <v>7.0521507205095704</v>
      </c>
      <c r="AI934" s="5">
        <v>2.8180633086637799</v>
      </c>
      <c r="AJ934" s="5" t="s">
        <v>139</v>
      </c>
      <c r="AK934" s="2">
        <v>3.10175737202751E-2</v>
      </c>
      <c r="AL934" s="2">
        <v>0.26142937464104898</v>
      </c>
      <c r="AM934" s="2">
        <v>16970.555770316001</v>
      </c>
      <c r="AN934" s="2">
        <v>26947.6501022581</v>
      </c>
      <c r="AO934" s="2">
        <v>1417.3572714750301</v>
      </c>
      <c r="AP934" s="2">
        <v>16595.686317556701</v>
      </c>
      <c r="AQ934" s="2">
        <v>43.3538979678655</v>
      </c>
      <c r="AR934" s="2">
        <v>12191.735290804299</v>
      </c>
      <c r="AS934" s="2">
        <v>3586.9195297717001</v>
      </c>
      <c r="AT934" s="2">
        <v>900.51873500079103</v>
      </c>
      <c r="AU934" s="2">
        <v>8.559877937157E-6</v>
      </c>
      <c r="AV934" s="2">
        <v>753.66869842535198</v>
      </c>
      <c r="AW934" s="2">
        <v>1310.6458554394801</v>
      </c>
      <c r="AX934" s="2">
        <v>3965.0868703268702</v>
      </c>
    </row>
    <row r="935" spans="1:50" x14ac:dyDescent="0.25">
      <c r="A935" s="2" t="s">
        <v>6577</v>
      </c>
      <c r="B935" s="2">
        <v>370.25995333780202</v>
      </c>
      <c r="C935" s="2">
        <v>13.510733333333301</v>
      </c>
      <c r="D935" s="2" t="s">
        <v>51</v>
      </c>
      <c r="E935" s="2" t="s">
        <v>6578</v>
      </c>
      <c r="F935" s="2">
        <v>274641</v>
      </c>
      <c r="G935" s="3" t="str">
        <f>HYPERLINK("https://cloud.oebiotech.com/#/lm/network/274641", "https://cloud.oebiotech.com/#/lm/network/274641")</f>
        <v>https://cloud.oebiotech.com/#/lm/network/274641</v>
      </c>
      <c r="H935" s="2"/>
      <c r="I935" s="2">
        <v>64795</v>
      </c>
      <c r="J935" s="2"/>
      <c r="K935" s="2">
        <v>68865575</v>
      </c>
      <c r="L935" s="2"/>
      <c r="M935" s="2"/>
      <c r="N935" s="2"/>
      <c r="O935" s="2"/>
      <c r="P935" s="2"/>
      <c r="Q935" s="2"/>
      <c r="R935" s="2" t="s">
        <v>6579</v>
      </c>
      <c r="S935" s="2" t="s">
        <v>6580</v>
      </c>
      <c r="T935" s="2" t="s">
        <v>6581</v>
      </c>
      <c r="U935" s="2" t="s">
        <v>103</v>
      </c>
      <c r="V935" s="2" t="s">
        <v>104</v>
      </c>
      <c r="W935" s="2" t="s">
        <v>105</v>
      </c>
      <c r="X935" s="2" t="s">
        <v>147</v>
      </c>
      <c r="Y935" s="2">
        <v>38.9</v>
      </c>
      <c r="Z935" s="2">
        <v>0</v>
      </c>
      <c r="AA935" s="2" t="s">
        <v>269</v>
      </c>
      <c r="AB935" s="2" t="s">
        <v>6582</v>
      </c>
      <c r="AC935" s="2">
        <v>0.173650550293387</v>
      </c>
      <c r="AD935" s="2"/>
      <c r="AE935" s="2">
        <v>0.62744381713825903</v>
      </c>
      <c r="AF935" s="2">
        <v>16382.874713712201</v>
      </c>
      <c r="AG935" s="2">
        <v>30669.188695922199</v>
      </c>
      <c r="AH935" s="4">
        <v>0.53418024441874201</v>
      </c>
      <c r="AI935" s="4">
        <v>-0.90460147310029004</v>
      </c>
      <c r="AJ935" s="4" t="s">
        <v>62</v>
      </c>
      <c r="AK935" s="2">
        <v>0.103148914549766</v>
      </c>
      <c r="AL935" s="2">
        <v>0.40799140951496499</v>
      </c>
      <c r="AM935" s="2">
        <v>13857.318599727299</v>
      </c>
      <c r="AN935" s="2">
        <v>7897.7555627064003</v>
      </c>
      <c r="AO935" s="2">
        <v>22807.204433461698</v>
      </c>
      <c r="AP935" s="2">
        <v>9225.2525649155996</v>
      </c>
      <c r="AQ935" s="2">
        <v>25544.878679666501</v>
      </c>
      <c r="AR935" s="2">
        <v>18964.838441795899</v>
      </c>
      <c r="AS935" s="2">
        <v>12893.655592816</v>
      </c>
      <c r="AT935" s="2">
        <v>15118.1630730299</v>
      </c>
      <c r="AU935" s="2">
        <v>53094.617192869599</v>
      </c>
      <c r="AV935" s="2">
        <v>42115.172863524604</v>
      </c>
      <c r="AW935" s="2">
        <v>45401.9793969358</v>
      </c>
      <c r="AX935" s="2">
        <v>15391.544056357099</v>
      </c>
    </row>
    <row r="936" spans="1:50" x14ac:dyDescent="0.25">
      <c r="A936" s="2" t="s">
        <v>6583</v>
      </c>
      <c r="B936" s="2">
        <v>845.439719424435</v>
      </c>
      <c r="C936" s="2">
        <v>4.2577833333333297</v>
      </c>
      <c r="D936" s="2" t="s">
        <v>51</v>
      </c>
      <c r="E936" s="2" t="s">
        <v>6584</v>
      </c>
      <c r="F936" s="2">
        <v>228181</v>
      </c>
      <c r="G936" s="3" t="str">
        <f>HYPERLINK("https://cloud.oebiotech.com/#/lm/network/228181", "https://cloud.oebiotech.com/#/lm/network/228181")</f>
        <v>https://cloud.oebiotech.com/#/lm/network/228181</v>
      </c>
      <c r="H936" s="2" t="s">
        <v>6585</v>
      </c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 t="s">
        <v>6586</v>
      </c>
      <c r="T936" s="2" t="s">
        <v>6587</v>
      </c>
      <c r="U936" s="2" t="s">
        <v>56</v>
      </c>
      <c r="V936" s="2" t="s">
        <v>57</v>
      </c>
      <c r="W936" s="2" t="s">
        <v>6588</v>
      </c>
      <c r="X936" s="2" t="s">
        <v>147</v>
      </c>
      <c r="Y936" s="2">
        <v>41.8</v>
      </c>
      <c r="Z936" s="2">
        <v>25.4</v>
      </c>
      <c r="AA936" s="2" t="s">
        <v>156</v>
      </c>
      <c r="AB936" s="2" t="s">
        <v>6589</v>
      </c>
      <c r="AC936" s="2">
        <v>3.8001861928498299</v>
      </c>
      <c r="AD936" s="2"/>
      <c r="AE936" s="2">
        <v>0.62729449675818205</v>
      </c>
      <c r="AF936" s="2">
        <v>9187.0966299343199</v>
      </c>
      <c r="AG936" s="2">
        <v>25109.671140158302</v>
      </c>
      <c r="AH936" s="4">
        <v>0.365878811341389</v>
      </c>
      <c r="AI936" s="4">
        <v>-1.4505622256925399</v>
      </c>
      <c r="AJ936" s="4" t="s">
        <v>62</v>
      </c>
      <c r="AK936" s="2">
        <v>0.30032819036342701</v>
      </c>
      <c r="AL936" s="2">
        <v>0.61037838979491599</v>
      </c>
      <c r="AM936" s="2">
        <v>13460.306441910399</v>
      </c>
      <c r="AN936" s="2">
        <v>5822.73169149142</v>
      </c>
      <c r="AO936" s="2">
        <v>6325.0993988092296</v>
      </c>
      <c r="AP936" s="2">
        <v>2100.70368487735</v>
      </c>
      <c r="AQ936" s="2">
        <v>7819.0229023442098</v>
      </c>
      <c r="AR936" s="2">
        <v>19594.7156601733</v>
      </c>
      <c r="AS936" s="2">
        <v>8.559877937157E-6</v>
      </c>
      <c r="AT936" s="2">
        <v>548.37098401966296</v>
      </c>
      <c r="AU936" s="2">
        <v>9507.0753969108991</v>
      </c>
      <c r="AV936" s="2">
        <v>91392.765325536893</v>
      </c>
      <c r="AW936" s="2">
        <v>36968.912452968099</v>
      </c>
      <c r="AX936" s="2">
        <v>12240.9026729545</v>
      </c>
    </row>
    <row r="937" spans="1:50" x14ac:dyDescent="0.25">
      <c r="A937" s="2" t="s">
        <v>6590</v>
      </c>
      <c r="B937" s="2">
        <v>353.24900855255203</v>
      </c>
      <c r="C937" s="2">
        <v>7.6753666666666698</v>
      </c>
      <c r="D937" s="2" t="s">
        <v>51</v>
      </c>
      <c r="E937" s="2" t="s">
        <v>6591</v>
      </c>
      <c r="F937" s="2">
        <v>35216</v>
      </c>
      <c r="G937" s="3" t="str">
        <f>HYPERLINK("https://cloud.oebiotech.com/#/lm/network/35216", "https://cloud.oebiotech.com/#/lm/network/35216")</f>
        <v>https://cloud.oebiotech.com/#/lm/network/35216</v>
      </c>
      <c r="H937" s="2"/>
      <c r="I937" s="2"/>
      <c r="J937" s="2" t="s">
        <v>6592</v>
      </c>
      <c r="K937" s="2">
        <v>10067772</v>
      </c>
      <c r="L937" s="2"/>
      <c r="M937" s="2"/>
      <c r="N937" s="2"/>
      <c r="O937" s="2"/>
      <c r="P937" s="2"/>
      <c r="Q937" s="2"/>
      <c r="R937" s="2"/>
      <c r="S937" s="2" t="s">
        <v>6593</v>
      </c>
      <c r="T937" s="2" t="s">
        <v>6594</v>
      </c>
      <c r="U937" s="2" t="s">
        <v>610</v>
      </c>
      <c r="V937" s="2" t="s">
        <v>611</v>
      </c>
      <c r="W937" s="2" t="s">
        <v>1122</v>
      </c>
      <c r="X937" s="2" t="s">
        <v>59</v>
      </c>
      <c r="Y937" s="2">
        <v>50.7</v>
      </c>
      <c r="Z937" s="2">
        <v>70.7</v>
      </c>
      <c r="AA937" s="2" t="s">
        <v>179</v>
      </c>
      <c r="AB937" s="2" t="s">
        <v>6595</v>
      </c>
      <c r="AC937" s="2">
        <v>4.0563140232595396</v>
      </c>
      <c r="AD937" s="2"/>
      <c r="AE937" s="2">
        <v>0.62666341906478595</v>
      </c>
      <c r="AF937" s="2">
        <v>30224.705843978201</v>
      </c>
      <c r="AG937" s="2">
        <v>4302.8444263459796</v>
      </c>
      <c r="AH937" s="5">
        <v>7.0243547870136096</v>
      </c>
      <c r="AI937" s="5">
        <v>2.8123657145399301</v>
      </c>
      <c r="AJ937" s="5" t="s">
        <v>139</v>
      </c>
      <c r="AK937" s="2">
        <v>0.24860757485825399</v>
      </c>
      <c r="AL937" s="2">
        <v>0.57191113874481303</v>
      </c>
      <c r="AM937" s="2">
        <v>3036.85626809715</v>
      </c>
      <c r="AN937" s="2">
        <v>3129.7916731782998</v>
      </c>
      <c r="AO937" s="2">
        <v>12729.0959051272</v>
      </c>
      <c r="AP937" s="2">
        <v>4309.2160020282499</v>
      </c>
      <c r="AQ937" s="2">
        <v>134748.22017244101</v>
      </c>
      <c r="AR937" s="2">
        <v>23395.055042997199</v>
      </c>
      <c r="AS937" s="2">
        <v>5210.4419410458304</v>
      </c>
      <c r="AT937" s="2">
        <v>4352.6441847000697</v>
      </c>
      <c r="AU937" s="2">
        <v>5173.1800475875198</v>
      </c>
      <c r="AV937" s="2">
        <v>5480.2706111820098</v>
      </c>
      <c r="AW937" s="2">
        <v>2260.3177045487</v>
      </c>
      <c r="AX937" s="2">
        <v>3340.2120690117199</v>
      </c>
    </row>
    <row r="938" spans="1:50" x14ac:dyDescent="0.25">
      <c r="A938" s="2" t="s">
        <v>6596</v>
      </c>
      <c r="B938" s="2">
        <v>204.1036</v>
      </c>
      <c r="C938" s="2">
        <v>20.899000000000001</v>
      </c>
      <c r="D938" s="2" t="s">
        <v>125</v>
      </c>
      <c r="E938" s="2" t="s">
        <v>6597</v>
      </c>
      <c r="F938" s="2">
        <v>545783</v>
      </c>
      <c r="G938" s="3" t="str">
        <f>HYPERLINK("https://cloud.oebiotech.com/#/lm/network/545783", "https://cloud.oebiotech.com/#/lm/network/545783")</f>
        <v>https://cloud.oebiotech.com/#/lm/network/545783</v>
      </c>
      <c r="H938" s="2"/>
      <c r="I938" s="2"/>
      <c r="J938" s="2"/>
      <c r="K938" s="2">
        <v>91694274</v>
      </c>
      <c r="L938" s="2"/>
      <c r="M938" s="2"/>
      <c r="N938" s="2"/>
      <c r="O938" s="2"/>
      <c r="P938" s="2"/>
      <c r="Q938" s="2"/>
      <c r="R938" s="2"/>
      <c r="S938" s="2" t="s">
        <v>6598</v>
      </c>
      <c r="T938" s="2" t="s">
        <v>6599</v>
      </c>
      <c r="U938" s="2" t="s">
        <v>331</v>
      </c>
      <c r="V938" s="2" t="s">
        <v>332</v>
      </c>
      <c r="W938" s="2" t="s">
        <v>333</v>
      </c>
      <c r="X938" s="2" t="s">
        <v>69</v>
      </c>
      <c r="Y938" s="2">
        <v>85.3</v>
      </c>
      <c r="Z938" s="2">
        <v>85.2</v>
      </c>
      <c r="AA938" s="2"/>
      <c r="AB938" s="2" t="s">
        <v>6600</v>
      </c>
      <c r="AC938" s="2"/>
      <c r="AD938" s="2">
        <v>708193.22546972905</v>
      </c>
      <c r="AE938" s="2">
        <v>0.62643821035956104</v>
      </c>
      <c r="AF938" s="2">
        <v>256924.080549893</v>
      </c>
      <c r="AG938" s="2">
        <v>398553.13193934102</v>
      </c>
      <c r="AH938" s="4">
        <v>0.64464198110729198</v>
      </c>
      <c r="AI938" s="4">
        <v>-0.63342995060542295</v>
      </c>
      <c r="AJ938" s="4" t="s">
        <v>62</v>
      </c>
      <c r="AK938" s="2">
        <v>0.15069837278331</v>
      </c>
      <c r="AL938" s="2">
        <v>0.47152425089815803</v>
      </c>
      <c r="AM938" s="2">
        <v>379587.02903038799</v>
      </c>
      <c r="AN938" s="2">
        <v>244009.529680579</v>
      </c>
      <c r="AO938" s="2">
        <v>205055.01027671699</v>
      </c>
      <c r="AP938" s="2">
        <v>117584.122034624</v>
      </c>
      <c r="AQ938" s="2">
        <v>78907.061522194694</v>
      </c>
      <c r="AR938" s="2">
        <v>516401.73075485602</v>
      </c>
      <c r="AS938" s="2">
        <v>515496.94366799702</v>
      </c>
      <c r="AT938" s="2">
        <v>316617.92307639099</v>
      </c>
      <c r="AU938" s="2">
        <v>612108.14792201703</v>
      </c>
      <c r="AV938" s="2">
        <v>441206.76297021401</v>
      </c>
      <c r="AW938" s="2">
        <v>222094.33968480601</v>
      </c>
      <c r="AX938" s="2">
        <v>283794.67431462399</v>
      </c>
    </row>
    <row r="939" spans="1:50" x14ac:dyDescent="0.25">
      <c r="A939" s="2" t="s">
        <v>6601</v>
      </c>
      <c r="B939" s="2">
        <v>461.21645382801103</v>
      </c>
      <c r="C939" s="2">
        <v>6.1954000000000002</v>
      </c>
      <c r="D939" s="2" t="s">
        <v>51</v>
      </c>
      <c r="E939" s="2" t="s">
        <v>6602</v>
      </c>
      <c r="F939" s="2">
        <v>50904</v>
      </c>
      <c r="G939" s="3" t="str">
        <f>HYPERLINK("https://cloud.oebiotech.com/#/lm/network/50904", "https://cloud.oebiotech.com/#/lm/network/50904")</f>
        <v>https://cloud.oebiotech.com/#/lm/network/50904</v>
      </c>
      <c r="H939" s="2" t="s">
        <v>6603</v>
      </c>
      <c r="I939" s="2">
        <v>57950</v>
      </c>
      <c r="J939" s="2"/>
      <c r="K939" s="2">
        <v>53478031</v>
      </c>
      <c r="L939" s="2"/>
      <c r="M939" s="2"/>
      <c r="N939" s="2"/>
      <c r="O939" s="2"/>
      <c r="P939" s="2"/>
      <c r="Q939" s="2"/>
      <c r="R939" s="2"/>
      <c r="S939" s="2" t="s">
        <v>6604</v>
      </c>
      <c r="T939" s="2" t="s">
        <v>6605</v>
      </c>
      <c r="U939" s="2" t="s">
        <v>56</v>
      </c>
      <c r="V939" s="2" t="s">
        <v>283</v>
      </c>
      <c r="W939" s="2" t="s">
        <v>3462</v>
      </c>
      <c r="X939" s="2" t="s">
        <v>83</v>
      </c>
      <c r="Y939" s="2">
        <v>47.7</v>
      </c>
      <c r="Z939" s="2">
        <v>0</v>
      </c>
      <c r="AA939" s="2" t="s">
        <v>379</v>
      </c>
      <c r="AB939" s="2" t="s">
        <v>6606</v>
      </c>
      <c r="AC939" s="2">
        <v>-3.4103706892850498</v>
      </c>
      <c r="AD939" s="2"/>
      <c r="AE939" s="2">
        <v>0.62568492226831895</v>
      </c>
      <c r="AF939" s="2">
        <v>16252.7893940637</v>
      </c>
      <c r="AG939" s="2">
        <v>4516.27610631276</v>
      </c>
      <c r="AH939" s="5">
        <v>3.5987147400810802</v>
      </c>
      <c r="AI939" s="5">
        <v>1.8474817484474499</v>
      </c>
      <c r="AJ939" s="5" t="s">
        <v>139</v>
      </c>
      <c r="AK939" s="2">
        <v>3.9347285321444297E-2</v>
      </c>
      <c r="AL939" s="2">
        <v>0.29135565991996598</v>
      </c>
      <c r="AM939" s="2">
        <v>16600.037745422898</v>
      </c>
      <c r="AN939" s="2">
        <v>15176.761346568999</v>
      </c>
      <c r="AO939" s="2">
        <v>7429.9214544210899</v>
      </c>
      <c r="AP939" s="2">
        <v>5836.3263402525999</v>
      </c>
      <c r="AQ939" s="2">
        <v>39028.374508132503</v>
      </c>
      <c r="AR939" s="2">
        <v>13445.3149695842</v>
      </c>
      <c r="AS939" s="2">
        <v>6729.63653488406</v>
      </c>
      <c r="AT939" s="2">
        <v>1948.10908779539</v>
      </c>
      <c r="AU939" s="2">
        <v>6498.3123352499697</v>
      </c>
      <c r="AV939" s="2">
        <v>2094.5896859640402</v>
      </c>
      <c r="AW939" s="2">
        <v>4405.7660373498102</v>
      </c>
      <c r="AX939" s="2">
        <v>5421.2429566332803</v>
      </c>
    </row>
    <row r="940" spans="1:50" x14ac:dyDescent="0.25">
      <c r="A940" s="2" t="s">
        <v>6607</v>
      </c>
      <c r="B940" s="2">
        <v>445.244563275259</v>
      </c>
      <c r="C940" s="2">
        <v>6.69281666666667</v>
      </c>
      <c r="D940" s="2" t="s">
        <v>51</v>
      </c>
      <c r="E940" s="2" t="s">
        <v>6608</v>
      </c>
      <c r="F940" s="2">
        <v>213598</v>
      </c>
      <c r="G940" s="3" t="str">
        <f>HYPERLINK("https://cloud.oebiotech.com/#/lm/network/213598", "https://cloud.oebiotech.com/#/lm/network/213598")</f>
        <v>https://cloud.oebiotech.com/#/lm/network/213598</v>
      </c>
      <c r="H940" s="2" t="s">
        <v>6609</v>
      </c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 t="s">
        <v>6610</v>
      </c>
      <c r="T940" s="2" t="s">
        <v>6611</v>
      </c>
      <c r="U940" s="2" t="s">
        <v>56</v>
      </c>
      <c r="V940" s="2" t="s">
        <v>145</v>
      </c>
      <c r="W940" s="2" t="s">
        <v>187</v>
      </c>
      <c r="X940" s="2" t="s">
        <v>147</v>
      </c>
      <c r="Y940" s="2">
        <v>38.799999999999997</v>
      </c>
      <c r="Z940" s="2">
        <v>5.14</v>
      </c>
      <c r="AA940" s="2" t="s">
        <v>218</v>
      </c>
      <c r="AB940" s="2" t="s">
        <v>6612</v>
      </c>
      <c r="AC940" s="2">
        <v>0.64188961941836098</v>
      </c>
      <c r="AD940" s="2"/>
      <c r="AE940" s="2">
        <v>0.62553886154170701</v>
      </c>
      <c r="AF940" s="2">
        <v>23162.483343285301</v>
      </c>
      <c r="AG940" s="2">
        <v>10162.7339478834</v>
      </c>
      <c r="AH940" s="5">
        <v>2.2791586852580501</v>
      </c>
      <c r="AI940" s="5">
        <v>1.18850137500468</v>
      </c>
      <c r="AJ940" s="5" t="s">
        <v>139</v>
      </c>
      <c r="AK940" s="2">
        <v>2.0133143296831399E-2</v>
      </c>
      <c r="AL940" s="2">
        <v>0.221474660794236</v>
      </c>
      <c r="AM940" s="2">
        <v>14155.207822958</v>
      </c>
      <c r="AN940" s="2">
        <v>21157.597632218301</v>
      </c>
      <c r="AO940" s="2">
        <v>33442.671470217603</v>
      </c>
      <c r="AP940" s="2">
        <v>34068.721739036402</v>
      </c>
      <c r="AQ940" s="2">
        <v>12398.6147595122</v>
      </c>
      <c r="AR940" s="2">
        <v>23752.086635768999</v>
      </c>
      <c r="AS940" s="2">
        <v>18237.675398131702</v>
      </c>
      <c r="AT940" s="2">
        <v>7312.2124700549302</v>
      </c>
      <c r="AU940" s="2">
        <v>8798.8475584887601</v>
      </c>
      <c r="AV940" s="2">
        <v>1417.0162104650501</v>
      </c>
      <c r="AW940" s="2">
        <v>6441.4307738789003</v>
      </c>
      <c r="AX940" s="2">
        <v>18769.221276280899</v>
      </c>
    </row>
    <row r="941" spans="1:50" x14ac:dyDescent="0.25">
      <c r="A941" s="2" t="s">
        <v>6613</v>
      </c>
      <c r="B941" s="2">
        <v>361.23859534084102</v>
      </c>
      <c r="C941" s="2">
        <v>10.3496666666667</v>
      </c>
      <c r="D941" s="2" t="s">
        <v>51</v>
      </c>
      <c r="E941" s="2" t="s">
        <v>6614</v>
      </c>
      <c r="F941" s="2">
        <v>45069</v>
      </c>
      <c r="G941" s="3" t="str">
        <f>HYPERLINK("https://cloud.oebiotech.com/#/lm/network/45069", "https://cloud.oebiotech.com/#/lm/network/45069")</f>
        <v>https://cloud.oebiotech.com/#/lm/network/45069</v>
      </c>
      <c r="H941" s="2" t="s">
        <v>6615</v>
      </c>
      <c r="I941" s="2">
        <v>57888</v>
      </c>
      <c r="J941" s="2" t="s">
        <v>6616</v>
      </c>
      <c r="K941" s="2">
        <v>13908542</v>
      </c>
      <c r="L941" s="2"/>
      <c r="M941" s="2"/>
      <c r="N941" s="2"/>
      <c r="O941" s="2">
        <v>507454</v>
      </c>
      <c r="P941" s="2"/>
      <c r="Q941" s="2"/>
      <c r="R941" s="2" t="s">
        <v>6617</v>
      </c>
      <c r="S941" s="2" t="s">
        <v>6618</v>
      </c>
      <c r="T941" s="2" t="s">
        <v>6619</v>
      </c>
      <c r="U941" s="2" t="s">
        <v>56</v>
      </c>
      <c r="V941" s="2" t="s">
        <v>283</v>
      </c>
      <c r="W941" s="2" t="s">
        <v>3686</v>
      </c>
      <c r="X941" s="2" t="s">
        <v>83</v>
      </c>
      <c r="Y941" s="2">
        <v>49.6</v>
      </c>
      <c r="Z941" s="2">
        <v>33.799999999999997</v>
      </c>
      <c r="AA941" s="2" t="s">
        <v>218</v>
      </c>
      <c r="AB941" s="2" t="s">
        <v>3701</v>
      </c>
      <c r="AC941" s="2">
        <v>0.51291855271311304</v>
      </c>
      <c r="AD941" s="2"/>
      <c r="AE941" s="2">
        <v>0.62455594449795204</v>
      </c>
      <c r="AF941" s="2">
        <v>49188.259972134401</v>
      </c>
      <c r="AG941" s="2">
        <v>34760.350367769803</v>
      </c>
      <c r="AH941" s="5">
        <v>1.41506801432423</v>
      </c>
      <c r="AI941" s="5">
        <v>0.50087139692295501</v>
      </c>
      <c r="AJ941" s="5" t="s">
        <v>139</v>
      </c>
      <c r="AK941" s="2">
        <v>0.35413700850783097</v>
      </c>
      <c r="AL941" s="2">
        <v>0.644232435870006</v>
      </c>
      <c r="AM941" s="2">
        <v>101766.60538021001</v>
      </c>
      <c r="AN941" s="2">
        <v>28969.006179413998</v>
      </c>
      <c r="AO941" s="2">
        <v>21268.111502768799</v>
      </c>
      <c r="AP941" s="2">
        <v>41940.688616564497</v>
      </c>
      <c r="AQ941" s="2">
        <v>39479.395170310301</v>
      </c>
      <c r="AR941" s="2">
        <v>61705.752983539001</v>
      </c>
      <c r="AS941" s="2">
        <v>28776.0058311178</v>
      </c>
      <c r="AT941" s="2">
        <v>14000.017171682201</v>
      </c>
      <c r="AU941" s="2">
        <v>74938.560174488099</v>
      </c>
      <c r="AV941" s="2">
        <v>23751.112703414699</v>
      </c>
      <c r="AW941" s="2">
        <v>42295.702956697503</v>
      </c>
      <c r="AX941" s="2">
        <v>24800.703369218401</v>
      </c>
    </row>
    <row r="942" spans="1:50" x14ac:dyDescent="0.25">
      <c r="A942" s="2" t="s">
        <v>6620</v>
      </c>
      <c r="B942" s="2">
        <v>427.11236532719403</v>
      </c>
      <c r="C942" s="2">
        <v>7.6172500000000003</v>
      </c>
      <c r="D942" s="2" t="s">
        <v>51</v>
      </c>
      <c r="E942" s="2" t="s">
        <v>6621</v>
      </c>
      <c r="F942" s="2">
        <v>209517</v>
      </c>
      <c r="G942" s="3" t="str">
        <f>HYPERLINK("https://cloud.oebiotech.com/#/lm/network/209517", "https://cloud.oebiotech.com/#/lm/network/209517")</f>
        <v>https://cloud.oebiotech.com/#/lm/network/209517</v>
      </c>
      <c r="H942" s="2" t="s">
        <v>6622</v>
      </c>
      <c r="I942" s="2"/>
      <c r="J942" s="2"/>
      <c r="K942" s="2">
        <v>11561383</v>
      </c>
      <c r="L942" s="2"/>
      <c r="M942" s="2"/>
      <c r="N942" s="2"/>
      <c r="O942" s="2"/>
      <c r="P942" s="2"/>
      <c r="Q942" s="2"/>
      <c r="R942" s="2"/>
      <c r="S942" s="2" t="s">
        <v>6623</v>
      </c>
      <c r="T942" s="2" t="s">
        <v>6624</v>
      </c>
      <c r="U942" s="2" t="s">
        <v>540</v>
      </c>
      <c r="V942" s="2" t="s">
        <v>5605</v>
      </c>
      <c r="W942" s="2" t="s">
        <v>240</v>
      </c>
      <c r="X942" s="2" t="s">
        <v>147</v>
      </c>
      <c r="Y942" s="2">
        <v>37.1</v>
      </c>
      <c r="Z942" s="2">
        <v>0</v>
      </c>
      <c r="AA942" s="2" t="s">
        <v>379</v>
      </c>
      <c r="AB942" s="2" t="s">
        <v>6625</v>
      </c>
      <c r="AC942" s="2">
        <v>-2.16218430606069</v>
      </c>
      <c r="AD942" s="2"/>
      <c r="AE942" s="2">
        <v>0.62402103213556204</v>
      </c>
      <c r="AF942" s="2">
        <v>31310.281989740601</v>
      </c>
      <c r="AG942" s="2">
        <v>15617.8287159502</v>
      </c>
      <c r="AH942" s="5">
        <v>2.00477816469866</v>
      </c>
      <c r="AI942" s="5">
        <v>1.0034426065578701</v>
      </c>
      <c r="AJ942" s="5" t="s">
        <v>139</v>
      </c>
      <c r="AK942" s="2">
        <v>6.3772456344506498E-2</v>
      </c>
      <c r="AL942" s="2">
        <v>0.33620514352694297</v>
      </c>
      <c r="AM942" s="2">
        <v>30924.127185345598</v>
      </c>
      <c r="AN942" s="2">
        <v>28487.063384360001</v>
      </c>
      <c r="AO942" s="2">
        <v>34080.858359382197</v>
      </c>
      <c r="AP942" s="2">
        <v>48787.9621677881</v>
      </c>
      <c r="AQ942" s="2">
        <v>25007.328097654699</v>
      </c>
      <c r="AR942" s="2">
        <v>20574.352743913001</v>
      </c>
      <c r="AS942" s="2">
        <v>46739.187593012102</v>
      </c>
      <c r="AT942" s="2">
        <v>13161.071046625701</v>
      </c>
      <c r="AU942" s="2">
        <v>5763.0321070870496</v>
      </c>
      <c r="AV942" s="2">
        <v>7295.44458016101</v>
      </c>
      <c r="AW942" s="2">
        <v>14173.9542798436</v>
      </c>
      <c r="AX942" s="2">
        <v>6574.2826889714697</v>
      </c>
    </row>
    <row r="943" spans="1:50" x14ac:dyDescent="0.25">
      <c r="A943" s="2" t="s">
        <v>6626</v>
      </c>
      <c r="B943" s="2">
        <v>311.18621164588302</v>
      </c>
      <c r="C943" s="2">
        <v>9.21756666666667</v>
      </c>
      <c r="D943" s="2" t="s">
        <v>51</v>
      </c>
      <c r="E943" s="2" t="s">
        <v>6627</v>
      </c>
      <c r="F943" s="2">
        <v>35761</v>
      </c>
      <c r="G943" s="3" t="str">
        <f>HYPERLINK("https://cloud.oebiotech.com/#/lm/network/35761", "https://cloud.oebiotech.com/#/lm/network/35761")</f>
        <v>https://cloud.oebiotech.com/#/lm/network/35761</v>
      </c>
      <c r="H943" s="2"/>
      <c r="I943" s="2">
        <v>53517</v>
      </c>
      <c r="J943" s="2" t="s">
        <v>6628</v>
      </c>
      <c r="K943" s="2">
        <v>185781</v>
      </c>
      <c r="L943" s="2" t="s">
        <v>6629</v>
      </c>
      <c r="M943" s="2"/>
      <c r="N943" s="2"/>
      <c r="O943" s="2">
        <v>3159</v>
      </c>
      <c r="P943" s="2"/>
      <c r="Q943" s="2"/>
      <c r="R943" s="2"/>
      <c r="S943" s="2" t="s">
        <v>6630</v>
      </c>
      <c r="T943" s="2" t="s">
        <v>6631</v>
      </c>
      <c r="U943" s="2" t="s">
        <v>56</v>
      </c>
      <c r="V943" s="2" t="s">
        <v>177</v>
      </c>
      <c r="W943" s="2" t="s">
        <v>584</v>
      </c>
      <c r="X943" s="2" t="s">
        <v>59</v>
      </c>
      <c r="Y943" s="2">
        <v>53.2</v>
      </c>
      <c r="Z943" s="2">
        <v>73.2</v>
      </c>
      <c r="AA943" s="2" t="s">
        <v>60</v>
      </c>
      <c r="AB943" s="2" t="s">
        <v>6632</v>
      </c>
      <c r="AC943" s="2">
        <v>2.9379330350202002</v>
      </c>
      <c r="AD943" s="2"/>
      <c r="AE943" s="2">
        <v>0.62350604536555299</v>
      </c>
      <c r="AF943" s="2">
        <v>44015.405777646003</v>
      </c>
      <c r="AG943" s="2">
        <v>53622.720130893198</v>
      </c>
      <c r="AH943" s="4">
        <v>0.82083500557607503</v>
      </c>
      <c r="AI943" s="4">
        <v>-0.28483583702460502</v>
      </c>
      <c r="AJ943" s="4" t="s">
        <v>62</v>
      </c>
      <c r="AK943" s="2">
        <v>1.52173898550219E-2</v>
      </c>
      <c r="AL943" s="2">
        <v>0.196765027251359</v>
      </c>
      <c r="AM943" s="2">
        <v>38598.376942411902</v>
      </c>
      <c r="AN943" s="2">
        <v>47288.638886607499</v>
      </c>
      <c r="AO943" s="2">
        <v>41843.204643438097</v>
      </c>
      <c r="AP943" s="2">
        <v>45218.167071980803</v>
      </c>
      <c r="AQ943" s="2">
        <v>50261.016992668898</v>
      </c>
      <c r="AR943" s="2">
        <v>40883.0301287689</v>
      </c>
      <c r="AS943" s="2">
        <v>51760.718378979698</v>
      </c>
      <c r="AT943" s="2">
        <v>59071.9329822496</v>
      </c>
      <c r="AU943" s="2">
        <v>46868.308385677803</v>
      </c>
      <c r="AV943" s="2">
        <v>49723.135774854003</v>
      </c>
      <c r="AW943" s="2">
        <v>49738.255708467099</v>
      </c>
      <c r="AX943" s="2">
        <v>64573.969555130701</v>
      </c>
    </row>
    <row r="944" spans="1:50" x14ac:dyDescent="0.25">
      <c r="A944" s="2" t="s">
        <v>6633</v>
      </c>
      <c r="B944" s="2">
        <v>511.52094468881302</v>
      </c>
      <c r="C944" s="2">
        <v>12.411716666666701</v>
      </c>
      <c r="D944" s="2" t="s">
        <v>51</v>
      </c>
      <c r="E944" s="2" t="s">
        <v>6634</v>
      </c>
      <c r="F944" s="2">
        <v>9653</v>
      </c>
      <c r="G944" s="3" t="str">
        <f>HYPERLINK("https://cloud.oebiotech.com/#/lm/network/9653", "https://cloud.oebiotech.com/#/lm/network/9653")</f>
        <v>https://cloud.oebiotech.com/#/lm/network/9653</v>
      </c>
      <c r="H944" s="2"/>
      <c r="I944" s="2">
        <v>97935</v>
      </c>
      <c r="J944" s="2" t="s">
        <v>6635</v>
      </c>
      <c r="K944" s="2">
        <v>56936208</v>
      </c>
      <c r="L944" s="2"/>
      <c r="M944" s="2"/>
      <c r="N944" s="2"/>
      <c r="O944" s="2"/>
      <c r="P944" s="2"/>
      <c r="Q944" s="2"/>
      <c r="R944" s="2"/>
      <c r="S944" s="2" t="s">
        <v>6636</v>
      </c>
      <c r="T944" s="2" t="s">
        <v>6637</v>
      </c>
      <c r="U944" s="2" t="s">
        <v>1491</v>
      </c>
      <c r="V944" s="2" t="s">
        <v>1492</v>
      </c>
      <c r="W944" s="2" t="s">
        <v>6421</v>
      </c>
      <c r="X944" s="2" t="s">
        <v>147</v>
      </c>
      <c r="Y944" s="2">
        <v>37.4</v>
      </c>
      <c r="Z944" s="2">
        <v>5.0299999999999997E-2</v>
      </c>
      <c r="AA944" s="2" t="s">
        <v>95</v>
      </c>
      <c r="AB944" s="2" t="s">
        <v>6638</v>
      </c>
      <c r="AC944" s="2">
        <v>-0.77409845927063003</v>
      </c>
      <c r="AD944" s="2"/>
      <c r="AE944" s="2">
        <v>0.62309892918656895</v>
      </c>
      <c r="AF944" s="2">
        <v>27552.079430217302</v>
      </c>
      <c r="AG944" s="2">
        <v>5838.6687563905898</v>
      </c>
      <c r="AH944" s="5">
        <v>4.7188975055419604</v>
      </c>
      <c r="AI944" s="5">
        <v>2.2384498364774701</v>
      </c>
      <c r="AJ944" s="5" t="s">
        <v>139</v>
      </c>
      <c r="AK944" s="2">
        <v>0.25602622438366401</v>
      </c>
      <c r="AL944" s="2">
        <v>0.57883765962140699</v>
      </c>
      <c r="AM944" s="2">
        <v>8.559877937157E-6</v>
      </c>
      <c r="AN944" s="2">
        <v>8.559877937157E-6</v>
      </c>
      <c r="AO944" s="2">
        <v>85988.9501841686</v>
      </c>
      <c r="AP944" s="2">
        <v>8.559877937157E-6</v>
      </c>
      <c r="AQ944" s="2">
        <v>79323.526362895806</v>
      </c>
      <c r="AR944" s="2">
        <v>8.559877937157E-6</v>
      </c>
      <c r="AS944" s="2">
        <v>27611.820686096002</v>
      </c>
      <c r="AT944" s="2">
        <v>8.559877937157E-6</v>
      </c>
      <c r="AU944" s="2">
        <v>7420.1918180080402</v>
      </c>
      <c r="AV944" s="2">
        <v>8.559877937157E-6</v>
      </c>
      <c r="AW944" s="2">
        <v>8.559877937157E-6</v>
      </c>
      <c r="AX944" s="2">
        <v>8.559877937157E-6</v>
      </c>
    </row>
    <row r="945" spans="1:50" x14ac:dyDescent="0.25">
      <c r="A945" s="2" t="s">
        <v>6639</v>
      </c>
      <c r="B945" s="2">
        <v>907.36424187727198</v>
      </c>
      <c r="C945" s="2">
        <v>4.3064166666666699</v>
      </c>
      <c r="D945" s="2" t="s">
        <v>51</v>
      </c>
      <c r="E945" s="2" t="s">
        <v>6640</v>
      </c>
      <c r="F945" s="2">
        <v>83587</v>
      </c>
      <c r="G945" s="3" t="str">
        <f>HYPERLINK("https://cloud.oebiotech.com/#/lm/network/83587", "https://cloud.oebiotech.com/#/lm/network/83587")</f>
        <v>https://cloud.oebiotech.com/#/lm/network/83587</v>
      </c>
      <c r="H945" s="2" t="s">
        <v>6641</v>
      </c>
      <c r="I945" s="2"/>
      <c r="J945" s="2"/>
      <c r="K945" s="2">
        <v>134819285</v>
      </c>
      <c r="L945" s="2"/>
      <c r="M945" s="2"/>
      <c r="N945" s="2"/>
      <c r="O945" s="2"/>
      <c r="P945" s="2"/>
      <c r="Q945" s="2"/>
      <c r="R945" s="2" t="s">
        <v>6642</v>
      </c>
      <c r="S945" s="2" t="s">
        <v>6643</v>
      </c>
      <c r="T945" s="2" t="s">
        <v>6644</v>
      </c>
      <c r="U945" s="2" t="s">
        <v>331</v>
      </c>
      <c r="V945" s="2" t="s">
        <v>332</v>
      </c>
      <c r="W945" s="2" t="s">
        <v>333</v>
      </c>
      <c r="X945" s="2" t="s">
        <v>147</v>
      </c>
      <c r="Y945" s="2">
        <v>39.299999999999997</v>
      </c>
      <c r="Z945" s="2">
        <v>9.09</v>
      </c>
      <c r="AA945" s="2" t="s">
        <v>478</v>
      </c>
      <c r="AB945" s="2" t="s">
        <v>6645</v>
      </c>
      <c r="AC945" s="2">
        <v>4.0996542318989899</v>
      </c>
      <c r="AD945" s="2"/>
      <c r="AE945" s="2">
        <v>0.62306121207899201</v>
      </c>
      <c r="AF945" s="2">
        <v>17312.2789577894</v>
      </c>
      <c r="AG945" s="2">
        <v>2463.90468754723</v>
      </c>
      <c r="AH945" s="5">
        <v>7.02635903299627</v>
      </c>
      <c r="AI945" s="5">
        <v>2.8127772972960199</v>
      </c>
      <c r="AJ945" s="5" t="s">
        <v>139</v>
      </c>
      <c r="AK945" s="2">
        <v>0.154173419604968</v>
      </c>
      <c r="AL945" s="2">
        <v>0.47517092828514201</v>
      </c>
      <c r="AM945" s="2">
        <v>35043.096741502501</v>
      </c>
      <c r="AN945" s="2">
        <v>8.559877937157E-6</v>
      </c>
      <c r="AO945" s="2">
        <v>8.559877937157E-6</v>
      </c>
      <c r="AP945" s="2">
        <v>8.559877937157E-6</v>
      </c>
      <c r="AQ945" s="2">
        <v>54595.7400627959</v>
      </c>
      <c r="AR945" s="2">
        <v>14234.8369167581</v>
      </c>
      <c r="AS945" s="2">
        <v>8.559877937157E-6</v>
      </c>
      <c r="AT945" s="2">
        <v>8.559877937157E-6</v>
      </c>
      <c r="AU945" s="2">
        <v>8.559877937157E-6</v>
      </c>
      <c r="AV945" s="2">
        <v>14351.743275261</v>
      </c>
      <c r="AW945" s="2">
        <v>8.559877937157E-6</v>
      </c>
      <c r="AX945" s="2">
        <v>431.684815782893</v>
      </c>
    </row>
    <row r="946" spans="1:50" x14ac:dyDescent="0.25">
      <c r="A946" s="2" t="s">
        <v>6646</v>
      </c>
      <c r="B946" s="2">
        <v>381.02440111960499</v>
      </c>
      <c r="C946" s="2">
        <v>0.61653333333333304</v>
      </c>
      <c r="D946" s="2" t="s">
        <v>51</v>
      </c>
      <c r="E946" s="2" t="s">
        <v>6647</v>
      </c>
      <c r="F946" s="2">
        <v>254851</v>
      </c>
      <c r="G946" s="3" t="str">
        <f>HYPERLINK("https://cloud.oebiotech.com/#/lm/network/254851", "https://cloud.oebiotech.com/#/lm/network/254851")</f>
        <v>https://cloud.oebiotech.com/#/lm/network/254851</v>
      </c>
      <c r="H946" s="2" t="s">
        <v>6648</v>
      </c>
      <c r="I946" s="2"/>
      <c r="J946" s="2"/>
      <c r="K946" s="2">
        <v>9008</v>
      </c>
      <c r="L946" s="2"/>
      <c r="M946" s="2"/>
      <c r="N946" s="2"/>
      <c r="O946" s="2">
        <v>63125</v>
      </c>
      <c r="P946" s="2"/>
      <c r="Q946" s="2"/>
      <c r="R946" s="2" t="s">
        <v>6649</v>
      </c>
      <c r="S946" s="2" t="s">
        <v>6650</v>
      </c>
      <c r="T946" s="2" t="s">
        <v>6651</v>
      </c>
      <c r="U946" s="2" t="s">
        <v>103</v>
      </c>
      <c r="V946" s="2" t="s">
        <v>104</v>
      </c>
      <c r="W946" s="2" t="s">
        <v>4850</v>
      </c>
      <c r="X946" s="2" t="s">
        <v>147</v>
      </c>
      <c r="Y946" s="2">
        <v>37.700000000000003</v>
      </c>
      <c r="Z946" s="2">
        <v>0</v>
      </c>
      <c r="AA946" s="2" t="s">
        <v>95</v>
      </c>
      <c r="AB946" s="2" t="s">
        <v>6652</v>
      </c>
      <c r="AC946" s="2">
        <v>-3.6805914801147601</v>
      </c>
      <c r="AD946" s="2"/>
      <c r="AE946" s="2">
        <v>0.62267483299874204</v>
      </c>
      <c r="AF946" s="2">
        <v>27547.767995084901</v>
      </c>
      <c r="AG946" s="2">
        <v>44409.621906086002</v>
      </c>
      <c r="AH946" s="4">
        <v>0.62031079781180798</v>
      </c>
      <c r="AI946" s="4">
        <v>-0.68893685662292503</v>
      </c>
      <c r="AJ946" s="4" t="s">
        <v>62</v>
      </c>
      <c r="AK946" s="2">
        <v>0.28254109938202798</v>
      </c>
      <c r="AL946" s="2">
        <v>0.60000138164408201</v>
      </c>
      <c r="AM946" s="2">
        <v>33511.570929418202</v>
      </c>
      <c r="AN946" s="2">
        <v>26200.806677765799</v>
      </c>
      <c r="AO946" s="2">
        <v>27864.631646425099</v>
      </c>
      <c r="AP946" s="2">
        <v>40360.260497183597</v>
      </c>
      <c r="AQ946" s="2">
        <v>23716.6228569093</v>
      </c>
      <c r="AR946" s="2">
        <v>13632.715362807599</v>
      </c>
      <c r="AS946" s="2">
        <v>11814.8922766221</v>
      </c>
      <c r="AT946" s="2">
        <v>18744.263662417401</v>
      </c>
      <c r="AU946" s="2">
        <v>47864.9414719048</v>
      </c>
      <c r="AV946" s="2">
        <v>107170.67687203101</v>
      </c>
      <c r="AW946" s="2">
        <v>56222.162376052001</v>
      </c>
      <c r="AX946" s="2">
        <v>24640.7947774885</v>
      </c>
    </row>
    <row r="947" spans="1:50" x14ac:dyDescent="0.25">
      <c r="A947" s="2" t="s">
        <v>6653</v>
      </c>
      <c r="B947" s="2">
        <v>144.10220000000001</v>
      </c>
      <c r="C947" s="2">
        <v>9.3379999999999992</v>
      </c>
      <c r="D947" s="2" t="s">
        <v>125</v>
      </c>
      <c r="E947" s="2" t="s">
        <v>6654</v>
      </c>
      <c r="F947" s="2">
        <v>47278</v>
      </c>
      <c r="G947" s="3" t="str">
        <f>HYPERLINK("https://cloud.oebiotech.com/#/lm/network/47278", "https://cloud.oebiotech.com/#/lm/network/47278")</f>
        <v>https://cloud.oebiotech.com/#/lm/network/47278</v>
      </c>
      <c r="H947" s="2" t="s">
        <v>6655</v>
      </c>
      <c r="I947" s="2">
        <v>35</v>
      </c>
      <c r="J947" s="2"/>
      <c r="K947" s="2">
        <v>6287</v>
      </c>
      <c r="L947" s="2" t="s">
        <v>6656</v>
      </c>
      <c r="M947" s="2" t="s">
        <v>6657</v>
      </c>
      <c r="N947" s="2" t="s">
        <v>6658</v>
      </c>
      <c r="O947" s="2">
        <v>16414</v>
      </c>
      <c r="P947" s="2"/>
      <c r="Q947" s="2"/>
      <c r="R947" s="2" t="s">
        <v>6659</v>
      </c>
      <c r="S947" s="2" t="s">
        <v>6660</v>
      </c>
      <c r="T947" s="2" t="s">
        <v>6661</v>
      </c>
      <c r="U947" s="2" t="s">
        <v>103</v>
      </c>
      <c r="V947" s="2" t="s">
        <v>104</v>
      </c>
      <c r="W947" s="2" t="s">
        <v>105</v>
      </c>
      <c r="X947" s="2" t="s">
        <v>69</v>
      </c>
      <c r="Y947" s="2">
        <v>96.8</v>
      </c>
      <c r="Z947" s="2">
        <v>97.4</v>
      </c>
      <c r="AA947" s="2"/>
      <c r="AB947" s="2" t="s">
        <v>2899</v>
      </c>
      <c r="AC947" s="2"/>
      <c r="AD947" s="2">
        <v>314830.72910492</v>
      </c>
      <c r="AE947" s="2">
        <v>0.62258856055394296</v>
      </c>
      <c r="AF947" s="2">
        <v>4495631.2460430199</v>
      </c>
      <c r="AG947" s="2">
        <v>4660748.8270065803</v>
      </c>
      <c r="AH947" s="4">
        <v>0.96457273560703605</v>
      </c>
      <c r="AI947" s="4">
        <v>-5.2038063100245897E-2</v>
      </c>
      <c r="AJ947" s="4" t="s">
        <v>62</v>
      </c>
      <c r="AK947" s="2">
        <v>0.87108625560536601</v>
      </c>
      <c r="AL947" s="2">
        <v>0.94407431535762298</v>
      </c>
      <c r="AM947" s="2">
        <v>2502948.4104331098</v>
      </c>
      <c r="AN947" s="2">
        <v>4661003.3975509601</v>
      </c>
      <c r="AO947" s="2">
        <v>5964413.4013749696</v>
      </c>
      <c r="AP947" s="2">
        <v>7466567.6178294998</v>
      </c>
      <c r="AQ947" s="2">
        <v>2714842.7579133101</v>
      </c>
      <c r="AR947" s="2">
        <v>3664011.8911562902</v>
      </c>
      <c r="AS947" s="2">
        <v>2987666.4079285702</v>
      </c>
      <c r="AT947" s="2">
        <v>4707662.1526019704</v>
      </c>
      <c r="AU947" s="2">
        <v>3059535.9555623801</v>
      </c>
      <c r="AV947" s="2">
        <v>4662701.2879520198</v>
      </c>
      <c r="AW947" s="2">
        <v>6056433.9700696804</v>
      </c>
      <c r="AX947" s="2">
        <v>6490493.1879248796</v>
      </c>
    </row>
    <row r="948" spans="1:50" x14ac:dyDescent="0.25">
      <c r="A948" s="2" t="s">
        <v>6662</v>
      </c>
      <c r="B948" s="2">
        <v>323.07899414805098</v>
      </c>
      <c r="C948" s="2">
        <v>0.70238333333333303</v>
      </c>
      <c r="D948" s="2" t="s">
        <v>51</v>
      </c>
      <c r="E948" s="2" t="s">
        <v>6663</v>
      </c>
      <c r="F948" s="2">
        <v>204076</v>
      </c>
      <c r="G948" s="3" t="str">
        <f>HYPERLINK("https://cloud.oebiotech.com/#/lm/network/204076", "https://cloud.oebiotech.com/#/lm/network/204076")</f>
        <v>https://cloud.oebiotech.com/#/lm/network/204076</v>
      </c>
      <c r="H948" s="2" t="s">
        <v>6664</v>
      </c>
      <c r="I948" s="2"/>
      <c r="J948" s="2"/>
      <c r="K948" s="2">
        <v>64048</v>
      </c>
      <c r="L948" s="2"/>
      <c r="M948" s="2"/>
      <c r="N948" s="2"/>
      <c r="O948" s="2"/>
      <c r="P948" s="2"/>
      <c r="Q948" s="2"/>
      <c r="R948" s="2"/>
      <c r="S948" s="2" t="s">
        <v>6665</v>
      </c>
      <c r="T948" s="2" t="s">
        <v>6666</v>
      </c>
      <c r="U948" s="2" t="s">
        <v>266</v>
      </c>
      <c r="V948" s="2" t="s">
        <v>6667</v>
      </c>
      <c r="W948" s="2" t="s">
        <v>6668</v>
      </c>
      <c r="X948" s="2" t="s">
        <v>147</v>
      </c>
      <c r="Y948" s="2">
        <v>41.7</v>
      </c>
      <c r="Z948" s="2">
        <v>12.8</v>
      </c>
      <c r="AA948" s="2" t="s">
        <v>478</v>
      </c>
      <c r="AB948" s="2" t="s">
        <v>6669</v>
      </c>
      <c r="AC948" s="2">
        <v>1.28267792221998</v>
      </c>
      <c r="AD948" s="2"/>
      <c r="AE948" s="2">
        <v>0.62240803121692101</v>
      </c>
      <c r="AF948" s="2">
        <v>52970.747938387802</v>
      </c>
      <c r="AG948" s="2">
        <v>75777.464727636601</v>
      </c>
      <c r="AH948" s="4">
        <v>0.69903035326898399</v>
      </c>
      <c r="AI948" s="4">
        <v>-0.51657299327822503</v>
      </c>
      <c r="AJ948" s="4" t="s">
        <v>62</v>
      </c>
      <c r="AK948" s="2">
        <v>0.403774585284779</v>
      </c>
      <c r="AL948" s="2">
        <v>0.67054817142258205</v>
      </c>
      <c r="AM948" s="2">
        <v>36240.055868222502</v>
      </c>
      <c r="AN948" s="2">
        <v>33768.386398004201</v>
      </c>
      <c r="AO948" s="2">
        <v>51850.025392641001</v>
      </c>
      <c r="AP948" s="2">
        <v>126474.737511592</v>
      </c>
      <c r="AQ948" s="2">
        <v>36543.038960214399</v>
      </c>
      <c r="AR948" s="2">
        <v>32948.243499652803</v>
      </c>
      <c r="AS948" s="2">
        <v>76632.080024639799</v>
      </c>
      <c r="AT948" s="2">
        <v>38091.627553053499</v>
      </c>
      <c r="AU948" s="2">
        <v>175802.45539905099</v>
      </c>
      <c r="AV948" s="2">
        <v>32830.653482465597</v>
      </c>
      <c r="AW948" s="2">
        <v>78564.006753858397</v>
      </c>
      <c r="AX948" s="2">
        <v>52743.965152751502</v>
      </c>
    </row>
    <row r="949" spans="1:50" x14ac:dyDescent="0.25">
      <c r="A949" s="2" t="s">
        <v>6670</v>
      </c>
      <c r="B949" s="2">
        <v>331.13010278388401</v>
      </c>
      <c r="C949" s="2">
        <v>5.6952833333333297</v>
      </c>
      <c r="D949" s="2" t="s">
        <v>51</v>
      </c>
      <c r="E949" s="2" t="s">
        <v>6671</v>
      </c>
      <c r="F949" s="2">
        <v>205304</v>
      </c>
      <c r="G949" s="3" t="str">
        <f>HYPERLINK("https://cloud.oebiotech.com/#/lm/network/205304", "https://cloud.oebiotech.com/#/lm/network/205304")</f>
        <v>https://cloud.oebiotech.com/#/lm/network/205304</v>
      </c>
      <c r="H949" s="2" t="s">
        <v>6672</v>
      </c>
      <c r="I949" s="2"/>
      <c r="J949" s="2"/>
      <c r="K949" s="2">
        <v>443423</v>
      </c>
      <c r="L949" s="2" t="s">
        <v>6673</v>
      </c>
      <c r="M949" s="2"/>
      <c r="N949" s="2"/>
      <c r="O949" s="2"/>
      <c r="P949" s="2"/>
      <c r="Q949" s="2"/>
      <c r="R949" s="2"/>
      <c r="S949" s="2" t="s">
        <v>6674</v>
      </c>
      <c r="T949" s="2" t="s">
        <v>6675</v>
      </c>
      <c r="U949" s="2" t="s">
        <v>266</v>
      </c>
      <c r="V949" s="2" t="s">
        <v>1785</v>
      </c>
      <c r="W949" s="2" t="s">
        <v>1786</v>
      </c>
      <c r="X949" s="2" t="s">
        <v>59</v>
      </c>
      <c r="Y949" s="2">
        <v>53</v>
      </c>
      <c r="Z949" s="2">
        <v>69.7</v>
      </c>
      <c r="AA949" s="2" t="s">
        <v>218</v>
      </c>
      <c r="AB949" s="2" t="s">
        <v>6676</v>
      </c>
      <c r="AC949" s="2">
        <v>0.55033511021221004</v>
      </c>
      <c r="AD949" s="2"/>
      <c r="AE949" s="2">
        <v>0.62210130555461896</v>
      </c>
      <c r="AF949" s="2">
        <v>52423.092851819201</v>
      </c>
      <c r="AG949" s="2">
        <v>69432.674853474906</v>
      </c>
      <c r="AH949" s="4">
        <v>0.75502049953352202</v>
      </c>
      <c r="AI949" s="4">
        <v>-0.40541227935844099</v>
      </c>
      <c r="AJ949" s="4" t="s">
        <v>62</v>
      </c>
      <c r="AK949" s="2">
        <v>0.47977355770584101</v>
      </c>
      <c r="AL949" s="2">
        <v>0.72460331012454304</v>
      </c>
      <c r="AM949" s="2">
        <v>43583.455288778103</v>
      </c>
      <c r="AN949" s="2">
        <v>74812.440769007502</v>
      </c>
      <c r="AO949" s="2">
        <v>41081.8615819759</v>
      </c>
      <c r="AP949" s="2">
        <v>54728.225495958097</v>
      </c>
      <c r="AQ949" s="2">
        <v>50926.685371202002</v>
      </c>
      <c r="AR949" s="2">
        <v>49405.888603993699</v>
      </c>
      <c r="AS949" s="2">
        <v>166414.76479979299</v>
      </c>
      <c r="AT949" s="2">
        <v>45690.793446363699</v>
      </c>
      <c r="AU949" s="2">
        <v>16349.849657454301</v>
      </c>
      <c r="AV949" s="2">
        <v>72089.015324278007</v>
      </c>
      <c r="AW949" s="2">
        <v>92153.923392237193</v>
      </c>
      <c r="AX949" s="2">
        <v>23897.702500723201</v>
      </c>
    </row>
    <row r="950" spans="1:50" x14ac:dyDescent="0.25">
      <c r="A950" s="2" t="s">
        <v>6677</v>
      </c>
      <c r="B950" s="2">
        <v>371.25700856841701</v>
      </c>
      <c r="C950" s="2">
        <v>12.1557</v>
      </c>
      <c r="D950" s="2" t="s">
        <v>51</v>
      </c>
      <c r="E950" s="2" t="s">
        <v>6678</v>
      </c>
      <c r="F950" s="2">
        <v>60475</v>
      </c>
      <c r="G950" s="3" t="str">
        <f>HYPERLINK("https://cloud.oebiotech.com/#/lm/network/60475", "https://cloud.oebiotech.com/#/lm/network/60475")</f>
        <v>https://cloud.oebiotech.com/#/lm/network/60475</v>
      </c>
      <c r="H950" s="2" t="s">
        <v>6679</v>
      </c>
      <c r="I950" s="2">
        <v>91816</v>
      </c>
      <c r="J950" s="2"/>
      <c r="K950" s="2">
        <v>630219</v>
      </c>
      <c r="L950" s="2"/>
      <c r="M950" s="2"/>
      <c r="N950" s="2"/>
      <c r="O950" s="2"/>
      <c r="P950" s="2"/>
      <c r="Q950" s="2"/>
      <c r="R950" s="2" t="s">
        <v>6680</v>
      </c>
      <c r="S950" s="2" t="s">
        <v>6681</v>
      </c>
      <c r="T950" s="2" t="s">
        <v>6682</v>
      </c>
      <c r="U950" s="2" t="s">
        <v>56</v>
      </c>
      <c r="V950" s="2" t="s">
        <v>177</v>
      </c>
      <c r="W950" s="2" t="s">
        <v>178</v>
      </c>
      <c r="X950" s="2" t="s">
        <v>83</v>
      </c>
      <c r="Y950" s="2">
        <v>54.1</v>
      </c>
      <c r="Z950" s="2">
        <v>0</v>
      </c>
      <c r="AA950" s="2" t="s">
        <v>95</v>
      </c>
      <c r="AB950" s="2" t="s">
        <v>6683</v>
      </c>
      <c r="AC950" s="2">
        <v>3.8558845864092102</v>
      </c>
      <c r="AD950" s="2"/>
      <c r="AE950" s="2">
        <v>0.62137999180331105</v>
      </c>
      <c r="AF950" s="2">
        <v>7193.3357316673801</v>
      </c>
      <c r="AG950" s="2">
        <v>17317.5229374587</v>
      </c>
      <c r="AH950" s="4">
        <v>0.41537902144814298</v>
      </c>
      <c r="AI950" s="4">
        <v>-1.2674997396027201</v>
      </c>
      <c r="AJ950" s="4" t="s">
        <v>62</v>
      </c>
      <c r="AK950" s="2">
        <v>5.8768623144681002E-2</v>
      </c>
      <c r="AL950" s="2">
        <v>0.32837652512840398</v>
      </c>
      <c r="AM950" s="2">
        <v>8.559877937157E-6</v>
      </c>
      <c r="AN950" s="2">
        <v>1434.1630618036299</v>
      </c>
      <c r="AO950" s="2">
        <v>9966.6781841989596</v>
      </c>
      <c r="AP950" s="2">
        <v>2972.1005985837901</v>
      </c>
      <c r="AQ950" s="2">
        <v>16312.949564414999</v>
      </c>
      <c r="AR950" s="2">
        <v>12474.122972443</v>
      </c>
      <c r="AS950" s="2">
        <v>6456.5574858261298</v>
      </c>
      <c r="AT950" s="2">
        <v>12797.4556231238</v>
      </c>
      <c r="AU950" s="2">
        <v>13618.3678757655</v>
      </c>
      <c r="AV950" s="2">
        <v>20302.137672366502</v>
      </c>
      <c r="AW950" s="2">
        <v>16305.533611880999</v>
      </c>
      <c r="AX950" s="2">
        <v>34425.085355789401</v>
      </c>
    </row>
    <row r="951" spans="1:50" x14ac:dyDescent="0.25">
      <c r="A951" s="2" t="s">
        <v>6684</v>
      </c>
      <c r="B951" s="2">
        <v>103.021</v>
      </c>
      <c r="C951" s="2">
        <v>19.164999999999999</v>
      </c>
      <c r="D951" s="2" t="s">
        <v>125</v>
      </c>
      <c r="E951" s="2" t="s">
        <v>6685</v>
      </c>
      <c r="F951" s="2">
        <v>273269</v>
      </c>
      <c r="G951" s="3" t="str">
        <f>HYPERLINK("https://cloud.oebiotech.com/#/lm/network/273269", "https://cloud.oebiotech.com/#/lm/network/273269")</f>
        <v>https://cloud.oebiotech.com/#/lm/network/273269</v>
      </c>
      <c r="H951" s="2" t="s">
        <v>6686</v>
      </c>
      <c r="I951" s="2">
        <v>58151</v>
      </c>
      <c r="J951" s="2"/>
      <c r="K951" s="2">
        <v>439312</v>
      </c>
      <c r="L951" s="2" t="s">
        <v>6687</v>
      </c>
      <c r="M951" s="2" t="s">
        <v>6688</v>
      </c>
      <c r="N951" s="2" t="s">
        <v>6689</v>
      </c>
      <c r="O951" s="2"/>
      <c r="P951" s="2"/>
      <c r="Q951" s="2"/>
      <c r="R951" s="2" t="s">
        <v>6690</v>
      </c>
      <c r="S951" s="2" t="s">
        <v>6691</v>
      </c>
      <c r="T951" s="2" t="s">
        <v>6692</v>
      </c>
      <c r="U951" s="2" t="s">
        <v>331</v>
      </c>
      <c r="V951" s="2" t="s">
        <v>332</v>
      </c>
      <c r="W951" s="2" t="s">
        <v>333</v>
      </c>
      <c r="X951" s="2" t="s">
        <v>69</v>
      </c>
      <c r="Y951" s="2">
        <v>94.3</v>
      </c>
      <c r="Z951" s="2">
        <v>90.5</v>
      </c>
      <c r="AA951" s="2"/>
      <c r="AB951" s="2" t="s">
        <v>1085</v>
      </c>
      <c r="AC951" s="2"/>
      <c r="AD951" s="2">
        <v>643052.70343231806</v>
      </c>
      <c r="AE951" s="2">
        <v>0.6207304822652</v>
      </c>
      <c r="AF951" s="2">
        <v>301977.32410269801</v>
      </c>
      <c r="AG951" s="2">
        <v>437362.14735271601</v>
      </c>
      <c r="AH951" s="4">
        <v>0.69045143922609598</v>
      </c>
      <c r="AI951" s="4">
        <v>-0.53438814434510196</v>
      </c>
      <c r="AJ951" s="4" t="s">
        <v>62</v>
      </c>
      <c r="AK951" s="2">
        <v>6.35317869166869E-2</v>
      </c>
      <c r="AL951" s="2">
        <v>0.33601027492909402</v>
      </c>
      <c r="AM951" s="2">
        <v>345796.894607433</v>
      </c>
      <c r="AN951" s="2">
        <v>347338.35779197997</v>
      </c>
      <c r="AO951" s="2">
        <v>262102.18940258099</v>
      </c>
      <c r="AP951" s="2">
        <v>355919.47065358801</v>
      </c>
      <c r="AQ951" s="2">
        <v>161941.79474844001</v>
      </c>
      <c r="AR951" s="2">
        <v>338765.23741216899</v>
      </c>
      <c r="AS951" s="2">
        <v>680316.10131015501</v>
      </c>
      <c r="AT951" s="2">
        <v>464215.41657345899</v>
      </c>
      <c r="AU951" s="2">
        <v>333047.19396368699</v>
      </c>
      <c r="AV951" s="2">
        <v>332587.89202059899</v>
      </c>
      <c r="AW951" s="2">
        <v>324997.86879209301</v>
      </c>
      <c r="AX951" s="2">
        <v>489008.41145630297</v>
      </c>
    </row>
    <row r="952" spans="1:50" x14ac:dyDescent="0.25">
      <c r="A952" s="2" t="s">
        <v>6693</v>
      </c>
      <c r="B952" s="2">
        <v>286.14066320150499</v>
      </c>
      <c r="C952" s="2">
        <v>3.62381666666667</v>
      </c>
      <c r="D952" s="2" t="s">
        <v>51</v>
      </c>
      <c r="E952" s="2" t="s">
        <v>6694</v>
      </c>
      <c r="F952" s="2">
        <v>47840</v>
      </c>
      <c r="G952" s="3" t="str">
        <f>HYPERLINK("https://cloud.oebiotech.com/#/lm/network/47840", "https://cloud.oebiotech.com/#/lm/network/47840")</f>
        <v>https://cloud.oebiotech.com/#/lm/network/47840</v>
      </c>
      <c r="H952" s="2" t="s">
        <v>6695</v>
      </c>
      <c r="I952" s="2">
        <v>6524</v>
      </c>
      <c r="J952" s="2"/>
      <c r="K952" s="2">
        <v>11778669</v>
      </c>
      <c r="L952" s="2"/>
      <c r="M952" s="2"/>
      <c r="N952" s="2"/>
      <c r="O952" s="2"/>
      <c r="P952" s="2"/>
      <c r="Q952" s="2"/>
      <c r="R952" s="2" t="s">
        <v>6696</v>
      </c>
      <c r="S952" s="2" t="s">
        <v>6697</v>
      </c>
      <c r="T952" s="2" t="s">
        <v>6698</v>
      </c>
      <c r="U952" s="2" t="s">
        <v>103</v>
      </c>
      <c r="V952" s="2" t="s">
        <v>104</v>
      </c>
      <c r="W952" s="2" t="s">
        <v>105</v>
      </c>
      <c r="X952" s="2" t="s">
        <v>147</v>
      </c>
      <c r="Y952" s="2">
        <v>45.1</v>
      </c>
      <c r="Z952" s="2">
        <v>34.4</v>
      </c>
      <c r="AA952" s="2" t="s">
        <v>60</v>
      </c>
      <c r="AB952" s="2" t="s">
        <v>6699</v>
      </c>
      <c r="AC952" s="2">
        <v>3.2127101219490299</v>
      </c>
      <c r="AD952" s="2"/>
      <c r="AE952" s="2">
        <v>0.62048890026268</v>
      </c>
      <c r="AF952" s="2">
        <v>43431.721028940097</v>
      </c>
      <c r="AG952" s="2">
        <v>18847.6598343564</v>
      </c>
      <c r="AH952" s="5">
        <v>2.3043561593663102</v>
      </c>
      <c r="AI952" s="5">
        <v>1.20436371575634</v>
      </c>
      <c r="AJ952" s="5" t="s">
        <v>139</v>
      </c>
      <c r="AK952" s="2">
        <v>0.18952342387571899</v>
      </c>
      <c r="AL952" s="2">
        <v>0.51332142680207204</v>
      </c>
      <c r="AM952" s="2">
        <v>32239.589141988199</v>
      </c>
      <c r="AN952" s="2">
        <v>10854.501214407001</v>
      </c>
      <c r="AO952" s="2">
        <v>43760.921083107402</v>
      </c>
      <c r="AP952" s="2">
        <v>117593.72348815099</v>
      </c>
      <c r="AQ952" s="2">
        <v>32831.024781493703</v>
      </c>
      <c r="AR952" s="2">
        <v>23310.566464493499</v>
      </c>
      <c r="AS952" s="2">
        <v>36509.586719979503</v>
      </c>
      <c r="AT952" s="2">
        <v>7498.2150762834499</v>
      </c>
      <c r="AU952" s="2">
        <v>50031.948390767102</v>
      </c>
      <c r="AV952" s="2">
        <v>1408.1752955311599</v>
      </c>
      <c r="AW952" s="2">
        <v>12474.1164118572</v>
      </c>
      <c r="AX952" s="2">
        <v>5163.9171117200303</v>
      </c>
    </row>
    <row r="953" spans="1:50" x14ac:dyDescent="0.25">
      <c r="A953" s="2" t="s">
        <v>6700</v>
      </c>
      <c r="B953" s="2">
        <v>117.01</v>
      </c>
      <c r="C953" s="2">
        <v>22.657</v>
      </c>
      <c r="D953" s="2" t="s">
        <v>125</v>
      </c>
      <c r="E953" s="2" t="s">
        <v>6701</v>
      </c>
      <c r="F953" s="2">
        <v>575</v>
      </c>
      <c r="G953" s="3" t="str">
        <f>HYPERLINK("https://cloud.oebiotech.com/#/lm/network/575", "https://cloud.oebiotech.com/#/lm/network/575")</f>
        <v>https://cloud.oebiotech.com/#/lm/network/575</v>
      </c>
      <c r="H953" s="2" t="s">
        <v>6702</v>
      </c>
      <c r="I953" s="2">
        <v>3553</v>
      </c>
      <c r="J953" s="2" t="s">
        <v>6703</v>
      </c>
      <c r="K953" s="2">
        <v>5281125</v>
      </c>
      <c r="L953" s="2" t="s">
        <v>6704</v>
      </c>
      <c r="M953" s="2"/>
      <c r="N953" s="2"/>
      <c r="O953" s="2">
        <v>28194</v>
      </c>
      <c r="P953" s="2"/>
      <c r="Q953" s="2"/>
      <c r="R953" s="2" t="s">
        <v>6705</v>
      </c>
      <c r="S953" s="2" t="s">
        <v>6706</v>
      </c>
      <c r="T953" s="2" t="s">
        <v>6707</v>
      </c>
      <c r="U953" s="2" t="s">
        <v>56</v>
      </c>
      <c r="V953" s="2" t="s">
        <v>145</v>
      </c>
      <c r="W953" s="2" t="s">
        <v>231</v>
      </c>
      <c r="X953" s="2" t="s">
        <v>59</v>
      </c>
      <c r="Y953" s="2">
        <v>72.900000000000006</v>
      </c>
      <c r="Z953" s="2">
        <v>54.9</v>
      </c>
      <c r="AA953" s="2"/>
      <c r="AB953" s="2" t="s">
        <v>3183</v>
      </c>
      <c r="AC953" s="2"/>
      <c r="AD953" s="2">
        <v>786806.27717391297</v>
      </c>
      <c r="AE953" s="2">
        <v>0.62018797991695496</v>
      </c>
      <c r="AF953" s="2">
        <v>199094.46276672001</v>
      </c>
      <c r="AG953" s="2">
        <v>5688.6471768585297</v>
      </c>
      <c r="AH953" s="5">
        <v>34.998560567552602</v>
      </c>
      <c r="AI953" s="5">
        <v>5.1292236825233104</v>
      </c>
      <c r="AJ953" s="5" t="s">
        <v>139</v>
      </c>
      <c r="AK953" s="2">
        <v>0.34709734661090702</v>
      </c>
      <c r="AL953" s="2">
        <v>0.64017301858619302</v>
      </c>
      <c r="AM953" s="2">
        <v>2299.8352172700202</v>
      </c>
      <c r="AN953" s="2">
        <v>2299.8352172700202</v>
      </c>
      <c r="AO953" s="2">
        <v>2299.8352172700202</v>
      </c>
      <c r="AP953" s="2">
        <v>2299.8352172700202</v>
      </c>
      <c r="AQ953" s="2">
        <v>1179213.61482593</v>
      </c>
      <c r="AR953" s="2">
        <v>6153.8209053108603</v>
      </c>
      <c r="AS953" s="2">
        <v>2299.8352172700202</v>
      </c>
      <c r="AT953" s="2">
        <v>2299.8352172700202</v>
      </c>
      <c r="AU953" s="2">
        <v>8736.3355509314806</v>
      </c>
      <c r="AV953" s="2">
        <v>7471.1507033463604</v>
      </c>
      <c r="AW953" s="2">
        <v>6457.1394029472103</v>
      </c>
      <c r="AX953" s="2">
        <v>6867.5869693860604</v>
      </c>
    </row>
    <row r="954" spans="1:50" x14ac:dyDescent="0.25">
      <c r="A954" s="2" t="s">
        <v>6708</v>
      </c>
      <c r="B954" s="2">
        <v>585.48673650015803</v>
      </c>
      <c r="C954" s="2">
        <v>13.510733333333301</v>
      </c>
      <c r="D954" s="2" t="s">
        <v>51</v>
      </c>
      <c r="E954" s="2" t="s">
        <v>6709</v>
      </c>
      <c r="F954" s="2">
        <v>10552</v>
      </c>
      <c r="G954" s="3" t="str">
        <f>HYPERLINK("https://cloud.oebiotech.com/#/lm/network/10552", "https://cloud.oebiotech.com/#/lm/network/10552")</f>
        <v>https://cloud.oebiotech.com/#/lm/network/10552</v>
      </c>
      <c r="H954" s="2"/>
      <c r="I954" s="2">
        <v>4345</v>
      </c>
      <c r="J954" s="2" t="s">
        <v>6710</v>
      </c>
      <c r="K954" s="2">
        <v>9543707</v>
      </c>
      <c r="L954" s="2"/>
      <c r="M954" s="2"/>
      <c r="N954" s="2"/>
      <c r="O954" s="2"/>
      <c r="P954" s="2"/>
      <c r="Q954" s="2"/>
      <c r="R954" s="2"/>
      <c r="S954" s="2" t="s">
        <v>6711</v>
      </c>
      <c r="T954" s="2" t="s">
        <v>6712</v>
      </c>
      <c r="U954" s="2" t="s">
        <v>56</v>
      </c>
      <c r="V954" s="2" t="s">
        <v>145</v>
      </c>
      <c r="W954" s="2" t="s">
        <v>203</v>
      </c>
      <c r="X954" s="2" t="s">
        <v>83</v>
      </c>
      <c r="Y954" s="2">
        <v>52.2</v>
      </c>
      <c r="Z954" s="2">
        <v>0</v>
      </c>
      <c r="AA954" s="2" t="s">
        <v>379</v>
      </c>
      <c r="AB954" s="2" t="s">
        <v>6713</v>
      </c>
      <c r="AC954" s="2">
        <v>-3.4700334794943699</v>
      </c>
      <c r="AD954" s="2"/>
      <c r="AE954" s="2">
        <v>0.61831048281085799</v>
      </c>
      <c r="AF954" s="2">
        <v>7979.7184359460098</v>
      </c>
      <c r="AG954" s="2">
        <v>21240.547350663401</v>
      </c>
      <c r="AH954" s="4">
        <v>0.37568327709298899</v>
      </c>
      <c r="AI954" s="4">
        <v>-1.41241119661322</v>
      </c>
      <c r="AJ954" s="4" t="s">
        <v>62</v>
      </c>
      <c r="AK954" s="2">
        <v>7.1221851889245402E-2</v>
      </c>
      <c r="AL954" s="2">
        <v>0.35266399888778199</v>
      </c>
      <c r="AM954" s="2">
        <v>5614.8264014467504</v>
      </c>
      <c r="AN954" s="2">
        <v>3209.8710604068201</v>
      </c>
      <c r="AO954" s="2">
        <v>9512.2378187153008</v>
      </c>
      <c r="AP954" s="2">
        <v>5554.2940803654901</v>
      </c>
      <c r="AQ954" s="2">
        <v>13447.752979077201</v>
      </c>
      <c r="AR954" s="2">
        <v>10539.3282756645</v>
      </c>
      <c r="AS954" s="2">
        <v>8827.9553167143404</v>
      </c>
      <c r="AT954" s="2">
        <v>7715.0768520429301</v>
      </c>
      <c r="AU954" s="2">
        <v>47485.247052081599</v>
      </c>
      <c r="AV954" s="2">
        <v>24968.9270553842</v>
      </c>
      <c r="AW954" s="2">
        <v>28567.316707317899</v>
      </c>
      <c r="AX954" s="2">
        <v>9878.7611204392106</v>
      </c>
    </row>
    <row r="955" spans="1:50" x14ac:dyDescent="0.25">
      <c r="A955" s="2" t="s">
        <v>6714</v>
      </c>
      <c r="B955" s="2">
        <v>607.47165547031898</v>
      </c>
      <c r="C955" s="2">
        <v>10.98715</v>
      </c>
      <c r="D955" s="2" t="s">
        <v>51</v>
      </c>
      <c r="E955" s="2" t="s">
        <v>6715</v>
      </c>
      <c r="F955" s="2">
        <v>25885</v>
      </c>
      <c r="G955" s="3" t="str">
        <f>HYPERLINK("https://cloud.oebiotech.com/#/lm/network/25885", "https://cloud.oebiotech.com/#/lm/network/25885")</f>
        <v>https://cloud.oebiotech.com/#/lm/network/25885</v>
      </c>
      <c r="H955" s="2"/>
      <c r="I955" s="2">
        <v>82150</v>
      </c>
      <c r="J955" s="2" t="s">
        <v>6716</v>
      </c>
      <c r="K955" s="2">
        <v>52929567</v>
      </c>
      <c r="L955" s="2"/>
      <c r="M955" s="2"/>
      <c r="N955" s="2"/>
      <c r="O955" s="2"/>
      <c r="P955" s="2"/>
      <c r="Q955" s="2"/>
      <c r="R955" s="2"/>
      <c r="S955" s="2" t="s">
        <v>6717</v>
      </c>
      <c r="T955" s="2" t="s">
        <v>6718</v>
      </c>
      <c r="U955" s="2" t="s">
        <v>56</v>
      </c>
      <c r="V955" s="2" t="s">
        <v>57</v>
      </c>
      <c r="W955" s="2" t="s">
        <v>702</v>
      </c>
      <c r="X955" s="2" t="s">
        <v>147</v>
      </c>
      <c r="Y955" s="2">
        <v>36.4</v>
      </c>
      <c r="Z955" s="2">
        <v>0</v>
      </c>
      <c r="AA955" s="2" t="s">
        <v>259</v>
      </c>
      <c r="AB955" s="2" t="s">
        <v>6719</v>
      </c>
      <c r="AC955" s="2">
        <v>3.1954537940427699</v>
      </c>
      <c r="AD955" s="2"/>
      <c r="AE955" s="2">
        <v>0.61810927444464403</v>
      </c>
      <c r="AF955" s="2">
        <v>17394.6212368171</v>
      </c>
      <c r="AG955" s="2">
        <v>8171.1573700621502</v>
      </c>
      <c r="AH955" s="5">
        <v>2.1287830412553701</v>
      </c>
      <c r="AI955" s="5">
        <v>1.09002892242775</v>
      </c>
      <c r="AJ955" s="5" t="s">
        <v>139</v>
      </c>
      <c r="AK955" s="2">
        <v>0.126232360024983</v>
      </c>
      <c r="AL955" s="2">
        <v>0.44453105456562703</v>
      </c>
      <c r="AM955" s="2">
        <v>38382.854231751102</v>
      </c>
      <c r="AN955" s="2">
        <v>15746.5162255212</v>
      </c>
      <c r="AO955" s="2">
        <v>9653.7991694995399</v>
      </c>
      <c r="AP955" s="2">
        <v>9381.5126409251097</v>
      </c>
      <c r="AQ955" s="2">
        <v>13926.783604624299</v>
      </c>
      <c r="AR955" s="2">
        <v>17276.261548581599</v>
      </c>
      <c r="AS955" s="2">
        <v>3555.8099210089499</v>
      </c>
      <c r="AT955" s="2">
        <v>2207.9039756188799</v>
      </c>
      <c r="AU955" s="2">
        <v>24192.846558969501</v>
      </c>
      <c r="AV955" s="2">
        <v>7038.4795126805802</v>
      </c>
      <c r="AW955" s="2">
        <v>8618.0250739531893</v>
      </c>
      <c r="AX955" s="2">
        <v>3413.8791781417899</v>
      </c>
    </row>
    <row r="956" spans="1:50" x14ac:dyDescent="0.25">
      <c r="A956" s="2" t="s">
        <v>6720</v>
      </c>
      <c r="B956" s="2">
        <v>144.065940601862</v>
      </c>
      <c r="C956" s="2">
        <v>0.68110000000000004</v>
      </c>
      <c r="D956" s="2" t="s">
        <v>51</v>
      </c>
      <c r="E956" s="2" t="s">
        <v>6721</v>
      </c>
      <c r="F956" s="2">
        <v>2908</v>
      </c>
      <c r="G956" s="3" t="str">
        <f>HYPERLINK("https://cloud.oebiotech.com/#/lm/network/2908", "https://cloud.oebiotech.com/#/lm/network/2908")</f>
        <v>https://cloud.oebiotech.com/#/lm/network/2908</v>
      </c>
      <c r="H956" s="2" t="s">
        <v>6722</v>
      </c>
      <c r="I956" s="2">
        <v>324</v>
      </c>
      <c r="J956" s="2" t="s">
        <v>6723</v>
      </c>
      <c r="K956" s="2">
        <v>469</v>
      </c>
      <c r="L956" s="2" t="s">
        <v>6724</v>
      </c>
      <c r="M956" s="2" t="s">
        <v>6725</v>
      </c>
      <c r="N956" s="2" t="s">
        <v>6726</v>
      </c>
      <c r="O956" s="2">
        <v>37024</v>
      </c>
      <c r="P956" s="2"/>
      <c r="Q956" s="2"/>
      <c r="R956" s="2" t="s">
        <v>6727</v>
      </c>
      <c r="S956" s="2" t="s">
        <v>6728</v>
      </c>
      <c r="T956" s="2" t="s">
        <v>6729</v>
      </c>
      <c r="U956" s="2" t="s">
        <v>103</v>
      </c>
      <c r="V956" s="2" t="s">
        <v>104</v>
      </c>
      <c r="W956" s="2" t="s">
        <v>105</v>
      </c>
      <c r="X956" s="2" t="s">
        <v>83</v>
      </c>
      <c r="Y956" s="2">
        <v>44.1</v>
      </c>
      <c r="Z956" s="2">
        <v>24.5</v>
      </c>
      <c r="AA956" s="2" t="s">
        <v>156</v>
      </c>
      <c r="AB956" s="2" t="s">
        <v>6730</v>
      </c>
      <c r="AC956" s="2">
        <v>2.61388941481952</v>
      </c>
      <c r="AD956" s="2"/>
      <c r="AE956" s="2">
        <v>0.61808312606206195</v>
      </c>
      <c r="AF956" s="2">
        <v>8756.5365721821108</v>
      </c>
      <c r="AG956" s="2">
        <v>16976.919282897001</v>
      </c>
      <c r="AH956" s="4">
        <v>0.51579067004245305</v>
      </c>
      <c r="AI956" s="4">
        <v>-0.95514241793166399</v>
      </c>
      <c r="AJ956" s="4" t="s">
        <v>62</v>
      </c>
      <c r="AK956" s="2">
        <v>3.1857591539755002E-2</v>
      </c>
      <c r="AL956" s="2">
        <v>0.26342412391577302</v>
      </c>
      <c r="AM956" s="2">
        <v>2158.4798928448299</v>
      </c>
      <c r="AN956" s="2">
        <v>10841.156235644599</v>
      </c>
      <c r="AO956" s="2">
        <v>7188.7544371506701</v>
      </c>
      <c r="AP956" s="2">
        <v>8309.1980659078308</v>
      </c>
      <c r="AQ956" s="2">
        <v>7611.9906516937999</v>
      </c>
      <c r="AR956" s="2">
        <v>16429.6401498509</v>
      </c>
      <c r="AS956" s="2">
        <v>23009.584289102699</v>
      </c>
      <c r="AT956" s="2">
        <v>14930.9943225066</v>
      </c>
      <c r="AU956" s="2">
        <v>7373.2290942127202</v>
      </c>
      <c r="AV956" s="2">
        <v>23106.2105618358</v>
      </c>
      <c r="AW956" s="2">
        <v>11972.097735514701</v>
      </c>
      <c r="AX956" s="2">
        <v>21469.3996942097</v>
      </c>
    </row>
    <row r="957" spans="1:50" x14ac:dyDescent="0.25">
      <c r="A957" s="2" t="s">
        <v>6731</v>
      </c>
      <c r="B957" s="2">
        <v>471.24243166607198</v>
      </c>
      <c r="C957" s="2">
        <v>8.1572999999999993</v>
      </c>
      <c r="D957" s="2" t="s">
        <v>51</v>
      </c>
      <c r="E957" s="2" t="s">
        <v>6732</v>
      </c>
      <c r="F957" s="2">
        <v>212859</v>
      </c>
      <c r="G957" s="3" t="str">
        <f>HYPERLINK("https://cloud.oebiotech.com/#/lm/network/212859", "https://cloud.oebiotech.com/#/lm/network/212859")</f>
        <v>https://cloud.oebiotech.com/#/lm/network/212859</v>
      </c>
      <c r="H957" s="2" t="s">
        <v>6733</v>
      </c>
      <c r="I957" s="2"/>
      <c r="J957" s="2"/>
      <c r="K957" s="2">
        <v>20775485</v>
      </c>
      <c r="L957" s="2"/>
      <c r="M957" s="2"/>
      <c r="N957" s="2"/>
      <c r="O957" s="2"/>
      <c r="P957" s="2"/>
      <c r="Q957" s="2"/>
      <c r="R957" s="2"/>
      <c r="S957" s="2" t="s">
        <v>6734</v>
      </c>
      <c r="T957" s="2" t="s">
        <v>6735</v>
      </c>
      <c r="U957" s="2" t="s">
        <v>56</v>
      </c>
      <c r="V957" s="2" t="s">
        <v>283</v>
      </c>
      <c r="W957" s="2" t="s">
        <v>2042</v>
      </c>
      <c r="X957" s="2" t="s">
        <v>83</v>
      </c>
      <c r="Y957" s="2">
        <v>40.1</v>
      </c>
      <c r="Z957" s="2">
        <v>0.127</v>
      </c>
      <c r="AA957" s="2" t="s">
        <v>163</v>
      </c>
      <c r="AB957" s="2" t="s">
        <v>2827</v>
      </c>
      <c r="AC957" s="2">
        <v>0.49439621312401399</v>
      </c>
      <c r="AD957" s="2"/>
      <c r="AE957" s="2">
        <v>0.618016411023245</v>
      </c>
      <c r="AF957" s="2">
        <v>40602.764485502303</v>
      </c>
      <c r="AG957" s="2">
        <v>6546.5622945254499</v>
      </c>
      <c r="AH957" s="5">
        <v>6.2021504812466697</v>
      </c>
      <c r="AI957" s="5">
        <v>2.6327685301289598</v>
      </c>
      <c r="AJ957" s="5" t="s">
        <v>139</v>
      </c>
      <c r="AK957" s="2">
        <v>0.33142311277255398</v>
      </c>
      <c r="AL957" s="2">
        <v>0.63329868700696801</v>
      </c>
      <c r="AM957" s="2">
        <v>19.5818768906617</v>
      </c>
      <c r="AN957" s="2">
        <v>52.549606249512898</v>
      </c>
      <c r="AO957" s="2">
        <v>166.10505883221899</v>
      </c>
      <c r="AP957" s="2">
        <v>8.559877937157E-6</v>
      </c>
      <c r="AQ957" s="2">
        <v>203351.01359616901</v>
      </c>
      <c r="AR957" s="2">
        <v>40027.336766312503</v>
      </c>
      <c r="AS957" s="2">
        <v>6605.9744274621298</v>
      </c>
      <c r="AT957" s="2">
        <v>1801.5944464153199</v>
      </c>
      <c r="AU957" s="2">
        <v>652.388915455659</v>
      </c>
      <c r="AV957" s="2">
        <v>21593.012622342401</v>
      </c>
      <c r="AW957" s="2">
        <v>8626.4033469173191</v>
      </c>
      <c r="AX957" s="2">
        <v>8.559877937157E-6</v>
      </c>
    </row>
    <row r="958" spans="1:50" x14ac:dyDescent="0.25">
      <c r="A958" s="2" t="s">
        <v>6736</v>
      </c>
      <c r="B958" s="2">
        <v>198.043819077763</v>
      </c>
      <c r="C958" s="2">
        <v>0.69773333333333298</v>
      </c>
      <c r="D958" s="2" t="s">
        <v>51</v>
      </c>
      <c r="E958" s="2" t="s">
        <v>6737</v>
      </c>
      <c r="F958" s="2">
        <v>200917</v>
      </c>
      <c r="G958" s="3" t="str">
        <f>HYPERLINK("https://cloud.oebiotech.com/#/lm/network/200917", "https://cloud.oebiotech.com/#/lm/network/200917")</f>
        <v>https://cloud.oebiotech.com/#/lm/network/200917</v>
      </c>
      <c r="H958" s="2" t="s">
        <v>6738</v>
      </c>
      <c r="I958" s="2"/>
      <c r="J958" s="2"/>
      <c r="K958" s="2">
        <v>125711</v>
      </c>
      <c r="L958" s="2"/>
      <c r="M958" s="2"/>
      <c r="N958" s="2"/>
      <c r="O958" s="2"/>
      <c r="P958" s="2"/>
      <c r="Q958" s="2"/>
      <c r="R958" s="2"/>
      <c r="S958" s="2" t="s">
        <v>6739</v>
      </c>
      <c r="T958" s="2" t="s">
        <v>6740</v>
      </c>
      <c r="U958" s="2" t="s">
        <v>266</v>
      </c>
      <c r="V958" s="2" t="s">
        <v>3926</v>
      </c>
      <c r="W958" s="2" t="s">
        <v>4115</v>
      </c>
      <c r="X958" s="2" t="s">
        <v>147</v>
      </c>
      <c r="Y958" s="2">
        <v>38.4</v>
      </c>
      <c r="Z958" s="2">
        <v>0</v>
      </c>
      <c r="AA958" s="2" t="s">
        <v>122</v>
      </c>
      <c r="AB958" s="2" t="s">
        <v>6741</v>
      </c>
      <c r="AC958" s="2">
        <v>-1.2690862522059101</v>
      </c>
      <c r="AD958" s="2"/>
      <c r="AE958" s="2">
        <v>0.61744332888501796</v>
      </c>
      <c r="AF958" s="2">
        <v>775.18473304106794</v>
      </c>
      <c r="AG958" s="2">
        <v>18063.3984946161</v>
      </c>
      <c r="AH958" s="4">
        <v>4.2914667097230699E-2</v>
      </c>
      <c r="AI958" s="4">
        <v>-4.5423853827949499</v>
      </c>
      <c r="AJ958" s="4" t="s">
        <v>62</v>
      </c>
      <c r="AK958" s="2">
        <v>0.34405525436301398</v>
      </c>
      <c r="AL958" s="2">
        <v>0.63883639734105901</v>
      </c>
      <c r="AM958" s="2">
        <v>2.3195632300055302</v>
      </c>
      <c r="AN958" s="2">
        <v>0.490173243196381</v>
      </c>
      <c r="AO958" s="2">
        <v>8.559877937157E-6</v>
      </c>
      <c r="AP958" s="2">
        <v>8.559877937157E-6</v>
      </c>
      <c r="AQ958" s="2">
        <v>209.00968955545201</v>
      </c>
      <c r="AR958" s="2">
        <v>4439.2889550979999</v>
      </c>
      <c r="AS958" s="2">
        <v>565.23087824444701</v>
      </c>
      <c r="AT958" s="2">
        <v>8.559877937157E-6</v>
      </c>
      <c r="AU958" s="2">
        <v>19.639717889150401</v>
      </c>
      <c r="AV958" s="2">
        <v>294.49414796168298</v>
      </c>
      <c r="AW958" s="2">
        <v>105001.521570058</v>
      </c>
      <c r="AX958" s="2">
        <v>2499.5046449834999</v>
      </c>
    </row>
    <row r="959" spans="1:50" x14ac:dyDescent="0.25">
      <c r="A959" s="2" t="s">
        <v>6742</v>
      </c>
      <c r="B959" s="2">
        <v>695.45537763453297</v>
      </c>
      <c r="C959" s="2">
        <v>9.6451499999999992</v>
      </c>
      <c r="D959" s="2" t="s">
        <v>51</v>
      </c>
      <c r="E959" s="2" t="s">
        <v>6743</v>
      </c>
      <c r="F959" s="2">
        <v>10241</v>
      </c>
      <c r="G959" s="3" t="str">
        <f>HYPERLINK("https://cloud.oebiotech.com/#/lm/network/10241", "https://cloud.oebiotech.com/#/lm/network/10241")</f>
        <v>https://cloud.oebiotech.com/#/lm/network/10241</v>
      </c>
      <c r="H959" s="2"/>
      <c r="I959" s="2">
        <v>46609</v>
      </c>
      <c r="J959" s="2" t="s">
        <v>6744</v>
      </c>
      <c r="K959" s="2">
        <v>25058168</v>
      </c>
      <c r="L959" s="2"/>
      <c r="M959" s="2"/>
      <c r="N959" s="2"/>
      <c r="O959" s="2">
        <v>51077</v>
      </c>
      <c r="P959" s="2"/>
      <c r="Q959" s="2"/>
      <c r="R959" s="2"/>
      <c r="S959" s="2" t="s">
        <v>6745</v>
      </c>
      <c r="T959" s="2" t="s">
        <v>6746</v>
      </c>
      <c r="U959" s="2" t="s">
        <v>56</v>
      </c>
      <c r="V959" s="2" t="s">
        <v>145</v>
      </c>
      <c r="W959" s="2" t="s">
        <v>3263</v>
      </c>
      <c r="X959" s="2" t="s">
        <v>147</v>
      </c>
      <c r="Y959" s="2">
        <v>36.799999999999997</v>
      </c>
      <c r="Z959" s="2">
        <v>0</v>
      </c>
      <c r="AA959" s="2" t="s">
        <v>259</v>
      </c>
      <c r="AB959" s="2" t="s">
        <v>6747</v>
      </c>
      <c r="AC959" s="2">
        <v>-3.22696704257603</v>
      </c>
      <c r="AD959" s="2"/>
      <c r="AE959" s="2">
        <v>0.61742154147149497</v>
      </c>
      <c r="AF959" s="2">
        <v>23386.568938708398</v>
      </c>
      <c r="AG959" s="2">
        <v>15656.143686290699</v>
      </c>
      <c r="AH959" s="5">
        <v>1.4937630496574299</v>
      </c>
      <c r="AI959" s="5">
        <v>0.57895131667083999</v>
      </c>
      <c r="AJ959" s="5" t="s">
        <v>139</v>
      </c>
      <c r="AK959" s="2">
        <v>3.3806622452370399E-3</v>
      </c>
      <c r="AL959" s="2">
        <v>0.1120315017845</v>
      </c>
      <c r="AM959" s="2">
        <v>29141.021087882302</v>
      </c>
      <c r="AN959" s="2">
        <v>20849.061157357599</v>
      </c>
      <c r="AO959" s="2">
        <v>20267.3872574866</v>
      </c>
      <c r="AP959" s="2">
        <v>22972.250288007301</v>
      </c>
      <c r="AQ959" s="2">
        <v>20202.8484677296</v>
      </c>
      <c r="AR959" s="2">
        <v>26886.845373787099</v>
      </c>
      <c r="AS959" s="2">
        <v>19272.1456232743</v>
      </c>
      <c r="AT959" s="2">
        <v>18037.254332010802</v>
      </c>
      <c r="AU959" s="2">
        <v>17699.379366704801</v>
      </c>
      <c r="AV959" s="2">
        <v>11779.307638885201</v>
      </c>
      <c r="AW959" s="2">
        <v>15071.2621765167</v>
      </c>
      <c r="AX959" s="2">
        <v>12077.512980352099</v>
      </c>
    </row>
    <row r="960" spans="1:50" x14ac:dyDescent="0.25">
      <c r="A960" s="2" t="s">
        <v>6748</v>
      </c>
      <c r="B960" s="2">
        <v>203.13972026457799</v>
      </c>
      <c r="C960" s="2">
        <v>2.6434333333333302</v>
      </c>
      <c r="D960" s="2" t="s">
        <v>51</v>
      </c>
      <c r="E960" s="2" t="s">
        <v>6749</v>
      </c>
      <c r="F960" s="2">
        <v>53730</v>
      </c>
      <c r="G960" s="3" t="str">
        <f>HYPERLINK("https://cloud.oebiotech.com/#/lm/network/53730", "https://cloud.oebiotech.com/#/lm/network/53730")</f>
        <v>https://cloud.oebiotech.com/#/lm/network/53730</v>
      </c>
      <c r="H960" s="2" t="s">
        <v>6750</v>
      </c>
      <c r="I960" s="2">
        <v>23844</v>
      </c>
      <c r="J960" s="2"/>
      <c r="K960" s="2">
        <v>7408078</v>
      </c>
      <c r="L960" s="2"/>
      <c r="M960" s="2"/>
      <c r="N960" s="2"/>
      <c r="O960" s="2">
        <v>73805</v>
      </c>
      <c r="P960" s="2"/>
      <c r="Q960" s="2"/>
      <c r="R960" s="2" t="s">
        <v>6751</v>
      </c>
      <c r="S960" s="2" t="s">
        <v>6752</v>
      </c>
      <c r="T960" s="2" t="s">
        <v>6753</v>
      </c>
      <c r="U960" s="2" t="s">
        <v>103</v>
      </c>
      <c r="V960" s="2" t="s">
        <v>104</v>
      </c>
      <c r="W960" s="2" t="s">
        <v>105</v>
      </c>
      <c r="X960" s="2" t="s">
        <v>69</v>
      </c>
      <c r="Y960" s="2">
        <v>54.7</v>
      </c>
      <c r="Z960" s="2">
        <v>67.2</v>
      </c>
      <c r="AA960" s="2" t="s">
        <v>259</v>
      </c>
      <c r="AB960" s="2" t="s">
        <v>6386</v>
      </c>
      <c r="AC960" s="2">
        <v>3.4699499915562999</v>
      </c>
      <c r="AD960" s="2"/>
      <c r="AE960" s="2">
        <v>0.61632700238280103</v>
      </c>
      <c r="AF960" s="2">
        <v>49857.819528924403</v>
      </c>
      <c r="AG960" s="2">
        <v>32302.484800775001</v>
      </c>
      <c r="AH960" s="5">
        <v>1.5434670068393099</v>
      </c>
      <c r="AI960" s="5">
        <v>0.62617464422414004</v>
      </c>
      <c r="AJ960" s="5" t="s">
        <v>139</v>
      </c>
      <c r="AK960" s="2">
        <v>0.31424197652721197</v>
      </c>
      <c r="AL960" s="2">
        <v>0.62389869547046595</v>
      </c>
      <c r="AM960" s="2">
        <v>57033.321581742603</v>
      </c>
      <c r="AN960" s="2">
        <v>64919.883736277799</v>
      </c>
      <c r="AO960" s="2">
        <v>54354.043553617601</v>
      </c>
      <c r="AP960" s="2">
        <v>18209.347542437001</v>
      </c>
      <c r="AQ960" s="2">
        <v>34658.434263875402</v>
      </c>
      <c r="AR960" s="2">
        <v>69971.886495595798</v>
      </c>
      <c r="AS960" s="2">
        <v>1374.73234882713</v>
      </c>
      <c r="AT960" s="2">
        <v>9109.6254157124695</v>
      </c>
      <c r="AU960" s="2">
        <v>37710.859290680201</v>
      </c>
      <c r="AV960" s="2">
        <v>24160.711165695098</v>
      </c>
      <c r="AW960" s="2">
        <v>21406.1759826292</v>
      </c>
      <c r="AX960" s="2">
        <v>100052.80460110601</v>
      </c>
    </row>
    <row r="961" spans="1:50" x14ac:dyDescent="0.25">
      <c r="A961" s="2" t="s">
        <v>6754</v>
      </c>
      <c r="B961" s="2">
        <v>689.28669940221096</v>
      </c>
      <c r="C961" s="2">
        <v>4.5643000000000002</v>
      </c>
      <c r="D961" s="2" t="s">
        <v>51</v>
      </c>
      <c r="E961" s="2" t="s">
        <v>6755</v>
      </c>
      <c r="F961" s="2">
        <v>211574</v>
      </c>
      <c r="G961" s="3" t="str">
        <f>HYPERLINK("https://cloud.oebiotech.com/#/lm/network/211574", "https://cloud.oebiotech.com/#/lm/network/211574")</f>
        <v>https://cloud.oebiotech.com/#/lm/network/211574</v>
      </c>
      <c r="H961" s="2" t="s">
        <v>6756</v>
      </c>
      <c r="I961" s="2"/>
      <c r="J961" s="2"/>
      <c r="K961" s="2">
        <v>53795199</v>
      </c>
      <c r="L961" s="2"/>
      <c r="M961" s="2"/>
      <c r="N961" s="2"/>
      <c r="O961" s="2"/>
      <c r="P961" s="2"/>
      <c r="Q961" s="2"/>
      <c r="R961" s="2"/>
      <c r="S961" s="2" t="s">
        <v>6757</v>
      </c>
      <c r="T961" s="2" t="s">
        <v>6758</v>
      </c>
      <c r="U961" s="2" t="s">
        <v>103</v>
      </c>
      <c r="V961" s="2" t="s">
        <v>1567</v>
      </c>
      <c r="W961" s="2" t="s">
        <v>1568</v>
      </c>
      <c r="X961" s="2" t="s">
        <v>147</v>
      </c>
      <c r="Y961" s="2">
        <v>39.200000000000003</v>
      </c>
      <c r="Z961" s="2">
        <v>0</v>
      </c>
      <c r="AA961" s="2" t="s">
        <v>478</v>
      </c>
      <c r="AB961" s="2" t="s">
        <v>6759</v>
      </c>
      <c r="AC961" s="2">
        <v>-6.6624029823034905E-2</v>
      </c>
      <c r="AD961" s="2"/>
      <c r="AE961" s="2">
        <v>0.61613002968456998</v>
      </c>
      <c r="AF961" s="2">
        <v>20356.306936096302</v>
      </c>
      <c r="AG961" s="2">
        <v>41151.610659212798</v>
      </c>
      <c r="AH961" s="4">
        <v>0.49466610443688702</v>
      </c>
      <c r="AI961" s="4">
        <v>-1.01547304850619</v>
      </c>
      <c r="AJ961" s="4" t="s">
        <v>62</v>
      </c>
      <c r="AK961" s="2">
        <v>0.49561336133331002</v>
      </c>
      <c r="AL961" s="2">
        <v>0.73518516839452297</v>
      </c>
      <c r="AM961" s="2">
        <v>8.559877937157E-6</v>
      </c>
      <c r="AN961" s="2">
        <v>261.82879837311799</v>
      </c>
      <c r="AO961" s="2">
        <v>23807.563435038701</v>
      </c>
      <c r="AP961" s="2">
        <v>4537.9880971872799</v>
      </c>
      <c r="AQ961" s="2">
        <v>36587.271131959002</v>
      </c>
      <c r="AR961" s="2">
        <v>56943.190145459797</v>
      </c>
      <c r="AS961" s="2">
        <v>175008.93235617</v>
      </c>
      <c r="AT961" s="2">
        <v>48191.323350352701</v>
      </c>
      <c r="AU961" s="2">
        <v>8.559877937157E-6</v>
      </c>
      <c r="AV961" s="2">
        <v>1777.31958263878</v>
      </c>
      <c r="AW961" s="2">
        <v>320.38112659141899</v>
      </c>
      <c r="AX961" s="2">
        <v>21611.7075309641</v>
      </c>
    </row>
    <row r="962" spans="1:50" x14ac:dyDescent="0.25">
      <c r="A962" s="2" t="s">
        <v>6760</v>
      </c>
      <c r="B962" s="2">
        <v>414.074155976817</v>
      </c>
      <c r="C962" s="2">
        <v>5.1084166666666704</v>
      </c>
      <c r="D962" s="2" t="s">
        <v>51</v>
      </c>
      <c r="E962" s="2" t="s">
        <v>6761</v>
      </c>
      <c r="F962" s="2">
        <v>203079</v>
      </c>
      <c r="G962" s="3" t="str">
        <f>HYPERLINK("https://cloud.oebiotech.com/#/lm/network/203079", "https://cloud.oebiotech.com/#/lm/network/203079")</f>
        <v>https://cloud.oebiotech.com/#/lm/network/203079</v>
      </c>
      <c r="H962" s="2" t="s">
        <v>6762</v>
      </c>
      <c r="I962" s="2">
        <v>44207</v>
      </c>
      <c r="J962" s="2"/>
      <c r="K962" s="2">
        <v>1981</v>
      </c>
      <c r="L962" s="2"/>
      <c r="M962" s="2"/>
      <c r="N962" s="2"/>
      <c r="O962" s="2">
        <v>31162</v>
      </c>
      <c r="P962" s="2"/>
      <c r="Q962" s="2"/>
      <c r="R962" s="2" t="s">
        <v>6763</v>
      </c>
      <c r="S962" s="2" t="s">
        <v>6764</v>
      </c>
      <c r="T962" s="2" t="s">
        <v>6765</v>
      </c>
      <c r="U962" s="2" t="s">
        <v>266</v>
      </c>
      <c r="V962" s="2" t="s">
        <v>445</v>
      </c>
      <c r="W962" s="2" t="s">
        <v>6766</v>
      </c>
      <c r="X962" s="2" t="s">
        <v>59</v>
      </c>
      <c r="Y962" s="2">
        <v>43.6</v>
      </c>
      <c r="Z962" s="2">
        <v>49.7</v>
      </c>
      <c r="AA962" s="2" t="s">
        <v>241</v>
      </c>
      <c r="AB962" s="2" t="s">
        <v>6767</v>
      </c>
      <c r="AC962" s="2">
        <v>-2.0058448014153401</v>
      </c>
      <c r="AD962" s="2"/>
      <c r="AE962" s="2">
        <v>0.615569602699509</v>
      </c>
      <c r="AF962" s="2">
        <v>5664.47351982687</v>
      </c>
      <c r="AG962" s="2">
        <v>26158.051945146501</v>
      </c>
      <c r="AH962" s="4">
        <v>0.21654798804227801</v>
      </c>
      <c r="AI962" s="4">
        <v>-2.20724132656829</v>
      </c>
      <c r="AJ962" s="4" t="s">
        <v>62</v>
      </c>
      <c r="AK962" s="2">
        <v>0.45154713936628299</v>
      </c>
      <c r="AL962" s="2">
        <v>0.70528155934299797</v>
      </c>
      <c r="AM962" s="2">
        <v>8.559877937157E-6</v>
      </c>
      <c r="AN962" s="2">
        <v>17083.858894211298</v>
      </c>
      <c r="AO962" s="2">
        <v>8.559877937157E-6</v>
      </c>
      <c r="AP962" s="2">
        <v>8.559877937157E-6</v>
      </c>
      <c r="AQ962" s="2">
        <v>12364.9598818423</v>
      </c>
      <c r="AR962" s="2">
        <v>4538.0223172279702</v>
      </c>
      <c r="AS962" s="2">
        <v>685.82587055105796</v>
      </c>
      <c r="AT962" s="2">
        <v>8.559877937157E-6</v>
      </c>
      <c r="AU962" s="2">
        <v>178.68559247008699</v>
      </c>
      <c r="AV962" s="2">
        <v>8.559877937157E-6</v>
      </c>
      <c r="AW962" s="2">
        <v>156083.80018217801</v>
      </c>
      <c r="AX962" s="2">
        <v>8.559877937157E-6</v>
      </c>
    </row>
    <row r="963" spans="1:50" x14ac:dyDescent="0.25">
      <c r="A963" s="2" t="s">
        <v>6768</v>
      </c>
      <c r="B963" s="2">
        <v>134.03952976478899</v>
      </c>
      <c r="C963" s="2">
        <v>0.82335000000000003</v>
      </c>
      <c r="D963" s="2" t="s">
        <v>51</v>
      </c>
      <c r="E963" s="2" t="s">
        <v>6769</v>
      </c>
      <c r="F963" s="2">
        <v>7604</v>
      </c>
      <c r="G963" s="3" t="str">
        <f>HYPERLINK("https://cloud.oebiotech.com/#/lm/network/7604", "https://cloud.oebiotech.com/#/lm/network/7604")</f>
        <v>https://cloud.oebiotech.com/#/lm/network/7604</v>
      </c>
      <c r="H963" s="2" t="s">
        <v>6770</v>
      </c>
      <c r="I963" s="2">
        <v>88433</v>
      </c>
      <c r="J963" s="2" t="s">
        <v>6771</v>
      </c>
      <c r="K963" s="2">
        <v>9898836</v>
      </c>
      <c r="L963" s="2"/>
      <c r="M963" s="2"/>
      <c r="N963" s="2"/>
      <c r="O963" s="2"/>
      <c r="P963" s="2"/>
      <c r="Q963" s="2"/>
      <c r="R963" s="2" t="s">
        <v>6772</v>
      </c>
      <c r="S963" s="2" t="s">
        <v>6773</v>
      </c>
      <c r="T963" s="2" t="s">
        <v>6774</v>
      </c>
      <c r="U963" s="2" t="s">
        <v>56</v>
      </c>
      <c r="V963" s="2" t="s">
        <v>145</v>
      </c>
      <c r="W963" s="2" t="s">
        <v>1188</v>
      </c>
      <c r="X963" s="2" t="s">
        <v>147</v>
      </c>
      <c r="Y963" s="2">
        <v>36.799999999999997</v>
      </c>
      <c r="Z963" s="2">
        <v>0</v>
      </c>
      <c r="AA963" s="2" t="s">
        <v>122</v>
      </c>
      <c r="AB963" s="2" t="s">
        <v>6775</v>
      </c>
      <c r="AC963" s="2">
        <v>-4.63215707114305</v>
      </c>
      <c r="AD963" s="2"/>
      <c r="AE963" s="2">
        <v>0.61551219815029301</v>
      </c>
      <c r="AF963" s="2">
        <v>34593.162891235101</v>
      </c>
      <c r="AG963" s="2">
        <v>44272.260707723399</v>
      </c>
      <c r="AH963" s="4">
        <v>0.78137331001938704</v>
      </c>
      <c r="AI963" s="4">
        <v>-0.355916117789497</v>
      </c>
      <c r="AJ963" s="4" t="s">
        <v>62</v>
      </c>
      <c r="AK963" s="2">
        <v>3.03039714123551E-2</v>
      </c>
      <c r="AL963" s="2">
        <v>0.260087446182861</v>
      </c>
      <c r="AM963" s="2">
        <v>28121.9004161267</v>
      </c>
      <c r="AN963" s="2">
        <v>40978.986118111898</v>
      </c>
      <c r="AO963" s="2">
        <v>33502.149982751303</v>
      </c>
      <c r="AP963" s="2">
        <v>34554.645154780701</v>
      </c>
      <c r="AQ963" s="2">
        <v>38929.586739823899</v>
      </c>
      <c r="AR963" s="2">
        <v>31471.708935816299</v>
      </c>
      <c r="AS963" s="2">
        <v>48457.541686569202</v>
      </c>
      <c r="AT963" s="2">
        <v>48628.066634270501</v>
      </c>
      <c r="AU963" s="2">
        <v>32663.436650781601</v>
      </c>
      <c r="AV963" s="2">
        <v>36541.492186581498</v>
      </c>
      <c r="AW963" s="2">
        <v>45182.817991558302</v>
      </c>
      <c r="AX963" s="2">
        <v>54160.209096579601</v>
      </c>
    </row>
    <row r="964" spans="1:50" x14ac:dyDescent="0.25">
      <c r="A964" s="2" t="s">
        <v>6776</v>
      </c>
      <c r="B964" s="2">
        <v>490.29248162720199</v>
      </c>
      <c r="C964" s="2">
        <v>5.5480499999999999</v>
      </c>
      <c r="D964" s="2" t="s">
        <v>51</v>
      </c>
      <c r="E964" s="2" t="s">
        <v>6777</v>
      </c>
      <c r="F964" s="2">
        <v>53182</v>
      </c>
      <c r="G964" s="3" t="str">
        <f>HYPERLINK("https://cloud.oebiotech.com/#/lm/network/53182", "https://cloud.oebiotech.com/#/lm/network/53182")</f>
        <v>https://cloud.oebiotech.com/#/lm/network/53182</v>
      </c>
      <c r="H964" s="2" t="s">
        <v>6778</v>
      </c>
      <c r="I964" s="2">
        <v>1420</v>
      </c>
      <c r="J964" s="2"/>
      <c r="K964" s="2">
        <v>644073</v>
      </c>
      <c r="L964" s="2" t="s">
        <v>6779</v>
      </c>
      <c r="M964" s="2"/>
      <c r="N964" s="2"/>
      <c r="O964" s="2">
        <v>3216</v>
      </c>
      <c r="P964" s="2"/>
      <c r="Q964" s="2"/>
      <c r="R964" s="2" t="s">
        <v>6780</v>
      </c>
      <c r="S964" s="2" t="s">
        <v>6781</v>
      </c>
      <c r="T964" s="2" t="s">
        <v>6782</v>
      </c>
      <c r="U964" s="2" t="s">
        <v>610</v>
      </c>
      <c r="V964" s="2" t="s">
        <v>5991</v>
      </c>
      <c r="W964" s="2" t="s">
        <v>240</v>
      </c>
      <c r="X964" s="2" t="s">
        <v>59</v>
      </c>
      <c r="Y964" s="2">
        <v>52</v>
      </c>
      <c r="Z964" s="2">
        <v>70.5</v>
      </c>
      <c r="AA964" s="2" t="s">
        <v>95</v>
      </c>
      <c r="AB964" s="2" t="s">
        <v>6783</v>
      </c>
      <c r="AC964" s="2">
        <v>-0.637381638827625</v>
      </c>
      <c r="AD964" s="2"/>
      <c r="AE964" s="2">
        <v>0.615373654185004</v>
      </c>
      <c r="AF964" s="2">
        <v>11830.741837961201</v>
      </c>
      <c r="AG964" s="2">
        <v>3663.86344118439</v>
      </c>
      <c r="AH964" s="5">
        <v>3.2290346045585001</v>
      </c>
      <c r="AI964" s="5">
        <v>1.6911029019483099</v>
      </c>
      <c r="AJ964" s="5" t="s">
        <v>139</v>
      </c>
      <c r="AK964" s="2">
        <v>1.75034762898975E-3</v>
      </c>
      <c r="AL964" s="2">
        <v>9.9661006488224596E-2</v>
      </c>
      <c r="AM964" s="2">
        <v>11305.327347819601</v>
      </c>
      <c r="AN964" s="2">
        <v>14436.986259401699</v>
      </c>
      <c r="AO964" s="2">
        <v>14914.048163674401</v>
      </c>
      <c r="AP964" s="2">
        <v>8074.1609491085501</v>
      </c>
      <c r="AQ964" s="2">
        <v>13491.4356452826</v>
      </c>
      <c r="AR964" s="2">
        <v>8762.4926624801792</v>
      </c>
      <c r="AS964" s="2">
        <v>10958.226616944299</v>
      </c>
      <c r="AT964" s="2">
        <v>2346.7619388678199</v>
      </c>
      <c r="AU964" s="2">
        <v>2841.3700123230701</v>
      </c>
      <c r="AV964" s="2">
        <v>780.66646227801198</v>
      </c>
      <c r="AW964" s="2">
        <v>1391.66820588167</v>
      </c>
      <c r="AX964" s="2">
        <v>3664.48741081145</v>
      </c>
    </row>
    <row r="965" spans="1:50" x14ac:dyDescent="0.25">
      <c r="A965" s="2" t="s">
        <v>6784</v>
      </c>
      <c r="B965" s="2">
        <v>506.12575470972899</v>
      </c>
      <c r="C965" s="2">
        <v>6.9221166666666702</v>
      </c>
      <c r="D965" s="2" t="s">
        <v>51</v>
      </c>
      <c r="E965" s="2" t="s">
        <v>6785</v>
      </c>
      <c r="F965" s="2">
        <v>202972</v>
      </c>
      <c r="G965" s="3" t="str">
        <f>HYPERLINK("https://cloud.oebiotech.com/#/lm/network/202972", "https://cloud.oebiotech.com/#/lm/network/202972")</f>
        <v>https://cloud.oebiotech.com/#/lm/network/202972</v>
      </c>
      <c r="H965" s="2" t="s">
        <v>6786</v>
      </c>
      <c r="I965" s="2"/>
      <c r="J965" s="2"/>
      <c r="K965" s="2">
        <v>3900</v>
      </c>
      <c r="L965" s="2"/>
      <c r="M965" s="2"/>
      <c r="N965" s="2"/>
      <c r="O965" s="2"/>
      <c r="P965" s="2"/>
      <c r="Q965" s="2"/>
      <c r="R965" s="2"/>
      <c r="S965" s="2" t="s">
        <v>6787</v>
      </c>
      <c r="T965" s="2" t="s">
        <v>6788</v>
      </c>
      <c r="U965" s="2" t="s">
        <v>266</v>
      </c>
      <c r="V965" s="2" t="s">
        <v>267</v>
      </c>
      <c r="W965" s="2" t="s">
        <v>268</v>
      </c>
      <c r="X965" s="2" t="s">
        <v>147</v>
      </c>
      <c r="Y965" s="2">
        <v>36.700000000000003</v>
      </c>
      <c r="Z965" s="2">
        <v>1.03</v>
      </c>
      <c r="AA965" s="2" t="s">
        <v>218</v>
      </c>
      <c r="AB965" s="2" t="s">
        <v>6789</v>
      </c>
      <c r="AC965" s="2">
        <v>4.0786078873429297</v>
      </c>
      <c r="AD965" s="2"/>
      <c r="AE965" s="2">
        <v>0.61519944147264904</v>
      </c>
      <c r="AF965" s="2">
        <v>39510.600001179402</v>
      </c>
      <c r="AG965" s="2">
        <v>56468.523916927901</v>
      </c>
      <c r="AH965" s="4">
        <v>0.69969245272471303</v>
      </c>
      <c r="AI965" s="4">
        <v>-0.51520716486875595</v>
      </c>
      <c r="AJ965" s="4" t="s">
        <v>62</v>
      </c>
      <c r="AK965" s="2">
        <v>0.12135723294143</v>
      </c>
      <c r="AL965" s="2">
        <v>0.43825469650280902</v>
      </c>
      <c r="AM965" s="2">
        <v>42512.716280023502</v>
      </c>
      <c r="AN965" s="2">
        <v>31208.971306255298</v>
      </c>
      <c r="AO965" s="2">
        <v>57097.049118247298</v>
      </c>
      <c r="AP965" s="2">
        <v>4509.5911590629503</v>
      </c>
      <c r="AQ965" s="2">
        <v>45374.423935576</v>
      </c>
      <c r="AR965" s="2">
        <v>56360.8482079112</v>
      </c>
      <c r="AS965" s="2">
        <v>65178.386140225397</v>
      </c>
      <c r="AT965" s="2">
        <v>62236.809309834898</v>
      </c>
      <c r="AU965" s="2">
        <v>48340.134035326497</v>
      </c>
      <c r="AV965" s="2">
        <v>63127.4997795866</v>
      </c>
      <c r="AW965" s="2">
        <v>69658.588461334497</v>
      </c>
      <c r="AX965" s="2">
        <v>30269.7257752593</v>
      </c>
    </row>
    <row r="966" spans="1:50" x14ac:dyDescent="0.25">
      <c r="A966" s="2" t="s">
        <v>6790</v>
      </c>
      <c r="B966" s="2">
        <v>292.14030477415901</v>
      </c>
      <c r="C966" s="2">
        <v>1.27705</v>
      </c>
      <c r="D966" s="2" t="s">
        <v>51</v>
      </c>
      <c r="E966" s="2" t="s">
        <v>6791</v>
      </c>
      <c r="F966" s="2">
        <v>61325</v>
      </c>
      <c r="G966" s="3" t="str">
        <f>HYPERLINK("https://cloud.oebiotech.com/#/lm/network/61325", "https://cloud.oebiotech.com/#/lm/network/61325")</f>
        <v>https://cloud.oebiotech.com/#/lm/network/61325</v>
      </c>
      <c r="H966" s="2" t="s">
        <v>6792</v>
      </c>
      <c r="I966" s="2"/>
      <c r="J966" s="2"/>
      <c r="K966" s="2">
        <v>131752244</v>
      </c>
      <c r="L966" s="2"/>
      <c r="M966" s="2"/>
      <c r="N966" s="2"/>
      <c r="O966" s="2">
        <v>136629</v>
      </c>
      <c r="P966" s="2"/>
      <c r="Q966" s="2"/>
      <c r="R966" s="2" t="s">
        <v>6793</v>
      </c>
      <c r="S966" s="2" t="s">
        <v>6794</v>
      </c>
      <c r="T966" s="2" t="s">
        <v>6795</v>
      </c>
      <c r="U966" s="2" t="s">
        <v>103</v>
      </c>
      <c r="V966" s="2" t="s">
        <v>104</v>
      </c>
      <c r="W966" s="2" t="s">
        <v>105</v>
      </c>
      <c r="X966" s="2" t="s">
        <v>69</v>
      </c>
      <c r="Y966" s="2">
        <v>52.3</v>
      </c>
      <c r="Z966" s="2">
        <v>63.8</v>
      </c>
      <c r="AA966" s="2" t="s">
        <v>163</v>
      </c>
      <c r="AB966" s="2" t="s">
        <v>2856</v>
      </c>
      <c r="AC966" s="2">
        <v>0.44048422718698999</v>
      </c>
      <c r="AD966" s="2"/>
      <c r="AE966" s="2">
        <v>0.613507816061439</v>
      </c>
      <c r="AF966" s="2">
        <v>15430.8321878275</v>
      </c>
      <c r="AG966" s="2">
        <v>26143.718196138801</v>
      </c>
      <c r="AH966" s="4">
        <v>0.59023097143490899</v>
      </c>
      <c r="AI966" s="4">
        <v>-0.76064846899508698</v>
      </c>
      <c r="AJ966" s="4" t="s">
        <v>62</v>
      </c>
      <c r="AK966" s="2">
        <v>0.20578726422590199</v>
      </c>
      <c r="AL966" s="2">
        <v>0.53096870391533402</v>
      </c>
      <c r="AM966" s="2">
        <v>8.559877937157E-6</v>
      </c>
      <c r="AN966" s="2">
        <v>25114.861796227899</v>
      </c>
      <c r="AO966" s="2">
        <v>18870.327012259699</v>
      </c>
      <c r="AP966" s="2">
        <v>6210.6720321907196</v>
      </c>
      <c r="AQ966" s="2">
        <v>12878.933931552499</v>
      </c>
      <c r="AR966" s="2">
        <v>29510.198346174198</v>
      </c>
      <c r="AS966" s="2">
        <v>37674.948288409301</v>
      </c>
      <c r="AT966" s="2">
        <v>13622.815558488501</v>
      </c>
      <c r="AU966" s="2">
        <v>5813.9716280286302</v>
      </c>
      <c r="AV966" s="2">
        <v>48802.640252128702</v>
      </c>
      <c r="AW966" s="2">
        <v>21641.934182904199</v>
      </c>
      <c r="AX966" s="2">
        <v>29305.999266873299</v>
      </c>
    </row>
    <row r="967" spans="1:50" x14ac:dyDescent="0.25">
      <c r="A967" s="2" t="s">
        <v>6796</v>
      </c>
      <c r="B967" s="2">
        <v>409.01076232263199</v>
      </c>
      <c r="C967" s="2">
        <v>9.6639666666666706</v>
      </c>
      <c r="D967" s="2" t="s">
        <v>51</v>
      </c>
      <c r="E967" s="2" t="s">
        <v>6797</v>
      </c>
      <c r="F967" s="2">
        <v>213396</v>
      </c>
      <c r="G967" s="3" t="str">
        <f>HYPERLINK("https://cloud.oebiotech.com/#/lm/network/213396", "https://cloud.oebiotech.com/#/lm/network/213396")</f>
        <v>https://cloud.oebiotech.com/#/lm/network/213396</v>
      </c>
      <c r="H967" s="2" t="s">
        <v>6798</v>
      </c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 t="s">
        <v>6799</v>
      </c>
      <c r="T967" s="2" t="s">
        <v>6800</v>
      </c>
      <c r="U967" s="2" t="s">
        <v>1357</v>
      </c>
      <c r="V967" s="2" t="s">
        <v>4878</v>
      </c>
      <c r="W967" s="2" t="s">
        <v>4879</v>
      </c>
      <c r="X967" s="2" t="s">
        <v>147</v>
      </c>
      <c r="Y967" s="2">
        <v>40.299999999999997</v>
      </c>
      <c r="Z967" s="2">
        <v>11.4</v>
      </c>
      <c r="AA967" s="2" t="s">
        <v>218</v>
      </c>
      <c r="AB967" s="2" t="s">
        <v>6801</v>
      </c>
      <c r="AC967" s="2">
        <v>-1.9839585928724399</v>
      </c>
      <c r="AD967" s="2"/>
      <c r="AE967" s="2">
        <v>0.61350273997080496</v>
      </c>
      <c r="AF967" s="2">
        <v>65182.151589632602</v>
      </c>
      <c r="AG967" s="2">
        <v>73593.766074605606</v>
      </c>
      <c r="AH967" s="4">
        <v>0.88570207867272699</v>
      </c>
      <c r="AI967" s="4">
        <v>-0.175106590125472</v>
      </c>
      <c r="AJ967" s="4" t="s">
        <v>62</v>
      </c>
      <c r="AK967" s="2">
        <v>4.0085601835685603E-2</v>
      </c>
      <c r="AL967" s="2">
        <v>0.29155452793099101</v>
      </c>
      <c r="AM967" s="2">
        <v>55401.097300123802</v>
      </c>
      <c r="AN967" s="2">
        <v>62402.899569363501</v>
      </c>
      <c r="AO967" s="2">
        <v>65346.618213205598</v>
      </c>
      <c r="AP967" s="2">
        <v>67396.274634364207</v>
      </c>
      <c r="AQ967" s="2">
        <v>72875.086917213499</v>
      </c>
      <c r="AR967" s="2">
        <v>67670.932903524896</v>
      </c>
      <c r="AS967" s="2">
        <v>81138.891734142206</v>
      </c>
      <c r="AT967" s="2">
        <v>78017.952077253794</v>
      </c>
      <c r="AU967" s="2">
        <v>65292.994967058003</v>
      </c>
      <c r="AV967" s="2">
        <v>77525.398707721499</v>
      </c>
      <c r="AW967" s="2">
        <v>66768.813141363498</v>
      </c>
      <c r="AX967" s="2">
        <v>72818.545820094398</v>
      </c>
    </row>
    <row r="968" spans="1:50" x14ac:dyDescent="0.25">
      <c r="A968" s="2" t="s">
        <v>6802</v>
      </c>
      <c r="B968" s="2">
        <v>513.10720618512505</v>
      </c>
      <c r="C968" s="2">
        <v>2.0702500000000001</v>
      </c>
      <c r="D968" s="2" t="s">
        <v>51</v>
      </c>
      <c r="E968" s="2" t="s">
        <v>6803</v>
      </c>
      <c r="F968" s="2">
        <v>208849</v>
      </c>
      <c r="G968" s="3" t="str">
        <f>HYPERLINK("https://cloud.oebiotech.com/#/lm/network/208849", "https://cloud.oebiotech.com/#/lm/network/208849")</f>
        <v>https://cloud.oebiotech.com/#/lm/network/208849</v>
      </c>
      <c r="H968" s="2" t="s">
        <v>6804</v>
      </c>
      <c r="I968" s="2"/>
      <c r="J968" s="2"/>
      <c r="K968" s="2">
        <v>60719</v>
      </c>
      <c r="L968" s="2"/>
      <c r="M968" s="2"/>
      <c r="N968" s="2"/>
      <c r="O968" s="2"/>
      <c r="P968" s="2"/>
      <c r="Q968" s="2"/>
      <c r="R968" s="2"/>
      <c r="S968" s="2" t="s">
        <v>6805</v>
      </c>
      <c r="T968" s="2" t="s">
        <v>6806</v>
      </c>
      <c r="U968" s="2" t="s">
        <v>266</v>
      </c>
      <c r="V968" s="2" t="s">
        <v>1393</v>
      </c>
      <c r="W968" s="2" t="s">
        <v>6807</v>
      </c>
      <c r="X968" s="2" t="s">
        <v>147</v>
      </c>
      <c r="Y968" s="2">
        <v>38.5</v>
      </c>
      <c r="Z968" s="2">
        <v>32.799999999999997</v>
      </c>
      <c r="AA968" s="2" t="s">
        <v>163</v>
      </c>
      <c r="AB968" s="2" t="s">
        <v>6808</v>
      </c>
      <c r="AC968" s="2">
        <v>-1.32230499034239</v>
      </c>
      <c r="AD968" s="2"/>
      <c r="AE968" s="2">
        <v>0.61346676788698196</v>
      </c>
      <c r="AF968" s="2">
        <v>51343.489243151402</v>
      </c>
      <c r="AG968" s="2">
        <v>37703.550440095903</v>
      </c>
      <c r="AH968" s="5">
        <v>1.36176802035466</v>
      </c>
      <c r="AI968" s="5">
        <v>0.44548095857125902</v>
      </c>
      <c r="AJ968" s="5" t="s">
        <v>139</v>
      </c>
      <c r="AK968" s="2">
        <v>5.8516430727113898E-2</v>
      </c>
      <c r="AL968" s="2">
        <v>0.32837652512840398</v>
      </c>
      <c r="AM968" s="2">
        <v>54899.458268110102</v>
      </c>
      <c r="AN968" s="2">
        <v>54960.104390884801</v>
      </c>
      <c r="AO968" s="2">
        <v>41391.113764829599</v>
      </c>
      <c r="AP968" s="2">
        <v>55693.342771904703</v>
      </c>
      <c r="AQ968" s="2">
        <v>60888.563797911796</v>
      </c>
      <c r="AR968" s="2">
        <v>40228.352465267402</v>
      </c>
      <c r="AS968" s="2">
        <v>25172.147943182801</v>
      </c>
      <c r="AT968" s="2">
        <v>21462.081918449901</v>
      </c>
      <c r="AU968" s="2">
        <v>39691.721526023299</v>
      </c>
      <c r="AV968" s="2">
        <v>36447.105789553301</v>
      </c>
      <c r="AW968" s="2">
        <v>46901.9284380186</v>
      </c>
      <c r="AX968" s="2">
        <v>56546.317025347402</v>
      </c>
    </row>
    <row r="969" spans="1:50" x14ac:dyDescent="0.25">
      <c r="A969" s="2" t="s">
        <v>6809</v>
      </c>
      <c r="B969" s="2">
        <v>596.35772006076695</v>
      </c>
      <c r="C969" s="2">
        <v>10.946433333333299</v>
      </c>
      <c r="D969" s="2" t="s">
        <v>51</v>
      </c>
      <c r="E969" s="2" t="s">
        <v>6810</v>
      </c>
      <c r="F969" s="2">
        <v>27841</v>
      </c>
      <c r="G969" s="3" t="str">
        <f>HYPERLINK("https://cloud.oebiotech.com/#/lm/network/27841", "https://cloud.oebiotech.com/#/lm/network/27841")</f>
        <v>https://cloud.oebiotech.com/#/lm/network/27841</v>
      </c>
      <c r="H969" s="2"/>
      <c r="I969" s="2"/>
      <c r="J969" s="2" t="s">
        <v>6811</v>
      </c>
      <c r="K969" s="2">
        <v>134812294</v>
      </c>
      <c r="L969" s="2"/>
      <c r="M969" s="2"/>
      <c r="N969" s="2"/>
      <c r="O969" s="2"/>
      <c r="P969" s="2"/>
      <c r="Q969" s="2"/>
      <c r="R969" s="2"/>
      <c r="S969" s="2" t="s">
        <v>6812</v>
      </c>
      <c r="T969" s="2" t="s">
        <v>6813</v>
      </c>
      <c r="U969" s="2" t="s">
        <v>56</v>
      </c>
      <c r="V969" s="2" t="s">
        <v>57</v>
      </c>
      <c r="W969" s="2" t="s">
        <v>58</v>
      </c>
      <c r="X969" s="2" t="s">
        <v>69</v>
      </c>
      <c r="Y969" s="2">
        <v>56.8</v>
      </c>
      <c r="Z969" s="2">
        <v>45.6</v>
      </c>
      <c r="AA969" s="2" t="s">
        <v>259</v>
      </c>
      <c r="AB969" s="2" t="s">
        <v>6814</v>
      </c>
      <c r="AC969" s="2">
        <v>3.2083166059588399</v>
      </c>
      <c r="AD969" s="2"/>
      <c r="AE969" s="2">
        <v>0.61313354136350495</v>
      </c>
      <c r="AF969" s="2">
        <v>31685.270509469199</v>
      </c>
      <c r="AG969" s="2">
        <v>17561.420650949301</v>
      </c>
      <c r="AH969" s="5">
        <v>1.8042544016936599</v>
      </c>
      <c r="AI969" s="5">
        <v>0.85140277439442502</v>
      </c>
      <c r="AJ969" s="5" t="s">
        <v>139</v>
      </c>
      <c r="AK969" s="2">
        <v>0.16340567988555699</v>
      </c>
      <c r="AL969" s="2">
        <v>0.48434324587146799</v>
      </c>
      <c r="AM969" s="2">
        <v>49190.288287465002</v>
      </c>
      <c r="AN969" s="2">
        <v>28023.399139836201</v>
      </c>
      <c r="AO969" s="2">
        <v>11303.913381680601</v>
      </c>
      <c r="AP969" s="2">
        <v>61597.005573323499</v>
      </c>
      <c r="AQ969" s="2">
        <v>6652.9630674624404</v>
      </c>
      <c r="AR969" s="2">
        <v>33344.053607047703</v>
      </c>
      <c r="AS969" s="2">
        <v>3687.3764327307299</v>
      </c>
      <c r="AT969" s="2">
        <v>27400.3518589255</v>
      </c>
      <c r="AU969" s="2">
        <v>24416.073717089599</v>
      </c>
      <c r="AV969" s="2">
        <v>14914.514899894601</v>
      </c>
      <c r="AW969" s="2">
        <v>22049.686253575001</v>
      </c>
      <c r="AX969" s="2">
        <v>12900.5207434804</v>
      </c>
    </row>
    <row r="970" spans="1:50" x14ac:dyDescent="0.25">
      <c r="A970" s="2" t="s">
        <v>6815</v>
      </c>
      <c r="B970" s="2">
        <v>375.236270722835</v>
      </c>
      <c r="C970" s="2">
        <v>5.5877166666666698</v>
      </c>
      <c r="D970" s="2" t="s">
        <v>51</v>
      </c>
      <c r="E970" s="2" t="s">
        <v>6816</v>
      </c>
      <c r="F970" s="2">
        <v>63953</v>
      </c>
      <c r="G970" s="3" t="str">
        <f>HYPERLINK("https://cloud.oebiotech.com/#/lm/network/63953", "https://cloud.oebiotech.com/#/lm/network/63953")</f>
        <v>https://cloud.oebiotech.com/#/lm/network/63953</v>
      </c>
      <c r="H970" s="2" t="s">
        <v>6817</v>
      </c>
      <c r="I970" s="2">
        <v>95286</v>
      </c>
      <c r="J970" s="2"/>
      <c r="K970" s="2">
        <v>73981648</v>
      </c>
      <c r="L970" s="2"/>
      <c r="M970" s="2"/>
      <c r="N970" s="2"/>
      <c r="O970" s="2">
        <v>169256</v>
      </c>
      <c r="P970" s="2"/>
      <c r="Q970" s="2"/>
      <c r="R970" s="2" t="s">
        <v>6818</v>
      </c>
      <c r="S970" s="2" t="s">
        <v>6819</v>
      </c>
      <c r="T970" s="2" t="s">
        <v>6820</v>
      </c>
      <c r="U970" s="2" t="s">
        <v>56</v>
      </c>
      <c r="V970" s="2" t="s">
        <v>177</v>
      </c>
      <c r="W970" s="2" t="s">
        <v>394</v>
      </c>
      <c r="X970" s="2" t="s">
        <v>83</v>
      </c>
      <c r="Y970" s="2">
        <v>39.299999999999997</v>
      </c>
      <c r="Z970" s="2">
        <v>0</v>
      </c>
      <c r="AA970" s="2" t="s">
        <v>259</v>
      </c>
      <c r="AB970" s="2" t="s">
        <v>6821</v>
      </c>
      <c r="AC970" s="2">
        <v>-3.8990318701373199</v>
      </c>
      <c r="AD970" s="2"/>
      <c r="AE970" s="2">
        <v>0.61266619653822096</v>
      </c>
      <c r="AF970" s="2">
        <v>18347.865980112201</v>
      </c>
      <c r="AG970" s="2">
        <v>10993.233146836301</v>
      </c>
      <c r="AH970" s="5">
        <v>1.6690145414947799</v>
      </c>
      <c r="AI970" s="5">
        <v>0.73899652441352004</v>
      </c>
      <c r="AJ970" s="5" t="s">
        <v>139</v>
      </c>
      <c r="AK970" s="2">
        <v>5.6911374796927798E-4</v>
      </c>
      <c r="AL970" s="2">
        <v>6.2440111341753798E-2</v>
      </c>
      <c r="AM970" s="2">
        <v>19825.781099345</v>
      </c>
      <c r="AN970" s="2">
        <v>15168.817944885401</v>
      </c>
      <c r="AO970" s="2">
        <v>18004.739632878001</v>
      </c>
      <c r="AP970" s="2">
        <v>20734.468395223201</v>
      </c>
      <c r="AQ970" s="2">
        <v>16427.1097649974</v>
      </c>
      <c r="AR970" s="2">
        <v>19926.279043344199</v>
      </c>
      <c r="AS970" s="2">
        <v>9216.9966902333308</v>
      </c>
      <c r="AT970" s="2">
        <v>14998.1205173461</v>
      </c>
      <c r="AU970" s="2">
        <v>13832.2076765404</v>
      </c>
      <c r="AV970" s="2">
        <v>8794.5050931886199</v>
      </c>
      <c r="AW970" s="2">
        <v>11208.3964139584</v>
      </c>
      <c r="AX970" s="2">
        <v>7909.1724897510703</v>
      </c>
    </row>
    <row r="971" spans="1:50" x14ac:dyDescent="0.25">
      <c r="A971" s="2" t="s">
        <v>6822</v>
      </c>
      <c r="B971" s="2">
        <v>247.04466301007099</v>
      </c>
      <c r="C971" s="2">
        <v>3.6478999999999999</v>
      </c>
      <c r="D971" s="2" t="s">
        <v>51</v>
      </c>
      <c r="E971" s="2" t="s">
        <v>6823</v>
      </c>
      <c r="F971" s="2">
        <v>206305</v>
      </c>
      <c r="G971" s="3" t="str">
        <f>HYPERLINK("https://cloud.oebiotech.com/#/lm/network/206305", "https://cloud.oebiotech.com/#/lm/network/206305")</f>
        <v>https://cloud.oebiotech.com/#/lm/network/206305</v>
      </c>
      <c r="H971" s="2" t="s">
        <v>6824</v>
      </c>
      <c r="I971" s="2"/>
      <c r="J971" s="2"/>
      <c r="K971" s="2">
        <v>9993055</v>
      </c>
      <c r="L971" s="2"/>
      <c r="M971" s="2"/>
      <c r="N971" s="2"/>
      <c r="O971" s="2"/>
      <c r="P971" s="2"/>
      <c r="Q971" s="2"/>
      <c r="R971" s="2"/>
      <c r="S971" s="2" t="s">
        <v>6825</v>
      </c>
      <c r="T971" s="2" t="s">
        <v>6826</v>
      </c>
      <c r="U971" s="2" t="s">
        <v>3062</v>
      </c>
      <c r="V971" s="2" t="s">
        <v>3063</v>
      </c>
      <c r="W971" s="2" t="s">
        <v>3064</v>
      </c>
      <c r="X971" s="2" t="s">
        <v>69</v>
      </c>
      <c r="Y971" s="2">
        <v>59.2</v>
      </c>
      <c r="Z971" s="2">
        <v>92.3</v>
      </c>
      <c r="AA971" s="2" t="s">
        <v>379</v>
      </c>
      <c r="AB971" s="2" t="s">
        <v>6827</v>
      </c>
      <c r="AC971" s="2">
        <v>-0.64156477146379098</v>
      </c>
      <c r="AD971" s="2"/>
      <c r="AE971" s="2">
        <v>0.61254730049353601</v>
      </c>
      <c r="AF971" s="2">
        <v>13841.9843361316</v>
      </c>
      <c r="AG971" s="2">
        <v>0.156125686776527</v>
      </c>
      <c r="AH971" s="5">
        <v>88659.237451070701</v>
      </c>
      <c r="AI971" s="5">
        <v>16.4359833336352</v>
      </c>
      <c r="AJ971" s="5" t="s">
        <v>139</v>
      </c>
      <c r="AK971" s="2">
        <v>0.18628339180669001</v>
      </c>
      <c r="AL971" s="2">
        <v>0.51040020334889302</v>
      </c>
      <c r="AM971" s="2">
        <v>8.559877937157E-6</v>
      </c>
      <c r="AN971" s="2">
        <v>23567.271101075799</v>
      </c>
      <c r="AO971" s="2">
        <v>58718.348486661802</v>
      </c>
      <c r="AP971" s="2">
        <v>8.559877937157E-6</v>
      </c>
      <c r="AQ971" s="2">
        <v>766.16639495553898</v>
      </c>
      <c r="AR971" s="2">
        <v>0.120016976519041</v>
      </c>
      <c r="AS971" s="2">
        <v>0.195934290750546</v>
      </c>
      <c r="AT971" s="2">
        <v>0.74078559039686598</v>
      </c>
      <c r="AU971" s="2">
        <v>8.559877937157E-6</v>
      </c>
      <c r="AV971" s="2">
        <v>8.559877937157E-6</v>
      </c>
      <c r="AW971" s="2">
        <v>8.559877937157E-6</v>
      </c>
      <c r="AX971" s="2">
        <v>8.559877937157E-6</v>
      </c>
    </row>
    <row r="972" spans="1:50" x14ac:dyDescent="0.25">
      <c r="A972" s="2" t="s">
        <v>6828</v>
      </c>
      <c r="B972" s="2">
        <v>485.28291215208299</v>
      </c>
      <c r="C972" s="2">
        <v>10.9866666666667</v>
      </c>
      <c r="D972" s="2" t="s">
        <v>51</v>
      </c>
      <c r="E972" s="2" t="s">
        <v>6829</v>
      </c>
      <c r="F972" s="2">
        <v>8639</v>
      </c>
      <c r="G972" s="3" t="str">
        <f>HYPERLINK("https://cloud.oebiotech.com/#/lm/network/8639", "https://cloud.oebiotech.com/#/lm/network/8639")</f>
        <v>https://cloud.oebiotech.com/#/lm/network/8639</v>
      </c>
      <c r="H972" s="2"/>
      <c r="I972" s="2">
        <v>36721</v>
      </c>
      <c r="J972" s="2" t="s">
        <v>6830</v>
      </c>
      <c r="K972" s="2">
        <v>5283434</v>
      </c>
      <c r="L972" s="2"/>
      <c r="M972" s="2"/>
      <c r="N972" s="2"/>
      <c r="O972" s="2">
        <v>141500</v>
      </c>
      <c r="P972" s="2"/>
      <c r="Q972" s="2"/>
      <c r="R972" s="2"/>
      <c r="S972" s="2" t="s">
        <v>6831</v>
      </c>
      <c r="T972" s="2" t="s">
        <v>6832</v>
      </c>
      <c r="U972" s="2" t="s">
        <v>610</v>
      </c>
      <c r="V972" s="2" t="s">
        <v>611</v>
      </c>
      <c r="W972" s="2" t="s">
        <v>5656</v>
      </c>
      <c r="X972" s="2" t="s">
        <v>83</v>
      </c>
      <c r="Y972" s="2">
        <v>49.8</v>
      </c>
      <c r="Z972" s="2">
        <v>17.600000000000001</v>
      </c>
      <c r="AA972" s="2" t="s">
        <v>163</v>
      </c>
      <c r="AB972" s="2" t="s">
        <v>6833</v>
      </c>
      <c r="AC972" s="2">
        <v>-2.9316383329753801</v>
      </c>
      <c r="AD972" s="2"/>
      <c r="AE972" s="2">
        <v>0.61110566588515403</v>
      </c>
      <c r="AF972" s="2">
        <v>81504.595857946697</v>
      </c>
      <c r="AG972" s="2">
        <v>91949.198851142704</v>
      </c>
      <c r="AH972" s="4">
        <v>0.88640898318097405</v>
      </c>
      <c r="AI972" s="4">
        <v>-0.173955592646276</v>
      </c>
      <c r="AJ972" s="4" t="s">
        <v>62</v>
      </c>
      <c r="AK972" s="2">
        <v>0.20439268062916499</v>
      </c>
      <c r="AL972" s="2">
        <v>0.52937915708753103</v>
      </c>
      <c r="AM972" s="2">
        <v>61670.816434345899</v>
      </c>
      <c r="AN972" s="2">
        <v>78482.330274180902</v>
      </c>
      <c r="AO972" s="2">
        <v>81095.733281894398</v>
      </c>
      <c r="AP972" s="2">
        <v>90794.500307566603</v>
      </c>
      <c r="AQ972" s="2">
        <v>87557.508002003698</v>
      </c>
      <c r="AR972" s="2">
        <v>89426.686847688499</v>
      </c>
      <c r="AS972" s="2">
        <v>99839.466452168504</v>
      </c>
      <c r="AT972" s="2">
        <v>89046.892530511206</v>
      </c>
      <c r="AU972" s="2">
        <v>84015.714317192396</v>
      </c>
      <c r="AV972" s="2">
        <v>94192.144482108197</v>
      </c>
      <c r="AW972" s="2">
        <v>69409.1447743022</v>
      </c>
      <c r="AX972" s="2">
        <v>115191.830550574</v>
      </c>
    </row>
    <row r="973" spans="1:50" x14ac:dyDescent="0.25">
      <c r="A973" s="2" t="s">
        <v>6834</v>
      </c>
      <c r="B973" s="2">
        <v>391.28562921560001</v>
      </c>
      <c r="C973" s="2">
        <v>12.2162666666667</v>
      </c>
      <c r="D973" s="2" t="s">
        <v>51</v>
      </c>
      <c r="E973" s="2" t="s">
        <v>6835</v>
      </c>
      <c r="F973" s="2">
        <v>210639</v>
      </c>
      <c r="G973" s="3" t="str">
        <f>HYPERLINK("https://cloud.oebiotech.com/#/lm/network/210639", "https://cloud.oebiotech.com/#/lm/network/210639")</f>
        <v>https://cloud.oebiotech.com/#/lm/network/210639</v>
      </c>
      <c r="H973" s="2" t="s">
        <v>6836</v>
      </c>
      <c r="I973" s="2"/>
      <c r="J973" s="2"/>
      <c r="K973" s="2">
        <v>13020874</v>
      </c>
      <c r="L973" s="2"/>
      <c r="M973" s="2"/>
      <c r="N973" s="2"/>
      <c r="O973" s="2"/>
      <c r="P973" s="2"/>
      <c r="Q973" s="2"/>
      <c r="R973" s="2"/>
      <c r="S973" s="2" t="s">
        <v>6837</v>
      </c>
      <c r="T973" s="2" t="s">
        <v>6838</v>
      </c>
      <c r="U973" s="2" t="s">
        <v>56</v>
      </c>
      <c r="V973" s="2" t="s">
        <v>283</v>
      </c>
      <c r="W973" s="2" t="s">
        <v>284</v>
      </c>
      <c r="X973" s="2" t="s">
        <v>69</v>
      </c>
      <c r="Y973" s="2">
        <v>65</v>
      </c>
      <c r="Z973" s="2">
        <v>75.5</v>
      </c>
      <c r="AA973" s="2" t="s">
        <v>218</v>
      </c>
      <c r="AB973" s="2" t="s">
        <v>6839</v>
      </c>
      <c r="AC973" s="2">
        <v>0.71006908078408804</v>
      </c>
      <c r="AD973" s="2"/>
      <c r="AE973" s="2">
        <v>0.60973140194338904</v>
      </c>
      <c r="AF973" s="2">
        <v>45407.7013947675</v>
      </c>
      <c r="AG973" s="2">
        <v>26687.437708153298</v>
      </c>
      <c r="AH973" s="5">
        <v>1.70146350846169</v>
      </c>
      <c r="AI973" s="5">
        <v>0.76677620994182805</v>
      </c>
      <c r="AJ973" s="5" t="s">
        <v>139</v>
      </c>
      <c r="AK973" s="2">
        <v>0.138002505846132</v>
      </c>
      <c r="AL973" s="2">
        <v>0.458819266663407</v>
      </c>
      <c r="AM973" s="2">
        <v>25319.232144121099</v>
      </c>
      <c r="AN973" s="2">
        <v>36041.422477362801</v>
      </c>
      <c r="AO973" s="2">
        <v>41667.921479379598</v>
      </c>
      <c r="AP973" s="2">
        <v>59683.363846576802</v>
      </c>
      <c r="AQ973" s="2">
        <v>82609.176307175396</v>
      </c>
      <c r="AR973" s="2">
        <v>27125.092113989202</v>
      </c>
      <c r="AS973" s="2">
        <v>13359.5387299299</v>
      </c>
      <c r="AT973" s="2">
        <v>43430.262050413097</v>
      </c>
      <c r="AU973" s="2">
        <v>14886.013307544001</v>
      </c>
      <c r="AV973" s="2">
        <v>3760.2540646890402</v>
      </c>
      <c r="AW973" s="2">
        <v>40817.255814545701</v>
      </c>
      <c r="AX973" s="2">
        <v>43871.3022817983</v>
      </c>
    </row>
    <row r="974" spans="1:50" x14ac:dyDescent="0.25">
      <c r="A974" s="2" t="s">
        <v>6840</v>
      </c>
      <c r="B974" s="2">
        <v>851.39958746584205</v>
      </c>
      <c r="C974" s="2">
        <v>9.6638500000000001</v>
      </c>
      <c r="D974" s="2" t="s">
        <v>51</v>
      </c>
      <c r="E974" s="2" t="s">
        <v>6841</v>
      </c>
      <c r="F974" s="2">
        <v>58363</v>
      </c>
      <c r="G974" s="3" t="str">
        <f>HYPERLINK("https://cloud.oebiotech.com/#/lm/network/58363", "https://cloud.oebiotech.com/#/lm/network/58363")</f>
        <v>https://cloud.oebiotech.com/#/lm/network/58363</v>
      </c>
      <c r="H974" s="2" t="s">
        <v>6842</v>
      </c>
      <c r="I974" s="2">
        <v>89845</v>
      </c>
      <c r="J974" s="2"/>
      <c r="K974" s="2">
        <v>75072220</v>
      </c>
      <c r="L974" s="2"/>
      <c r="M974" s="2"/>
      <c r="N974" s="2"/>
      <c r="O974" s="2"/>
      <c r="P974" s="2"/>
      <c r="Q974" s="2"/>
      <c r="R974" s="2" t="s">
        <v>6843</v>
      </c>
      <c r="S974" s="2" t="s">
        <v>6844</v>
      </c>
      <c r="T974" s="2" t="s">
        <v>6845</v>
      </c>
      <c r="U974" s="2" t="s">
        <v>56</v>
      </c>
      <c r="V974" s="2" t="s">
        <v>283</v>
      </c>
      <c r="W974" s="2" t="s">
        <v>1338</v>
      </c>
      <c r="X974" s="2" t="s">
        <v>147</v>
      </c>
      <c r="Y974" s="2">
        <v>37.799999999999997</v>
      </c>
      <c r="Z974" s="2">
        <v>1.08</v>
      </c>
      <c r="AA974" s="2" t="s">
        <v>1123</v>
      </c>
      <c r="AB974" s="2" t="s">
        <v>6846</v>
      </c>
      <c r="AC974" s="2">
        <v>-4.8089451306033704</v>
      </c>
      <c r="AD974" s="2"/>
      <c r="AE974" s="2">
        <v>0.608290119352912</v>
      </c>
      <c r="AF974" s="2">
        <v>9285.5822808880694</v>
      </c>
      <c r="AG974" s="2">
        <v>25768.623140349198</v>
      </c>
      <c r="AH974" s="4">
        <v>0.36034452560053298</v>
      </c>
      <c r="AI974" s="4">
        <v>-1.4725511669799001</v>
      </c>
      <c r="AJ974" s="4" t="s">
        <v>62</v>
      </c>
      <c r="AK974" s="2">
        <v>0.16533821723646699</v>
      </c>
      <c r="AL974" s="2">
        <v>0.48715285148035098</v>
      </c>
      <c r="AM974" s="2">
        <v>8.559877937157E-6</v>
      </c>
      <c r="AN974" s="2">
        <v>8.559877937157E-6</v>
      </c>
      <c r="AO974" s="2">
        <v>14846.601801651101</v>
      </c>
      <c r="AP974" s="2">
        <v>4192.5466360345799</v>
      </c>
      <c r="AQ974" s="2">
        <v>36674.3452219631</v>
      </c>
      <c r="AR974" s="2">
        <v>8.559877937157E-6</v>
      </c>
      <c r="AS974" s="2">
        <v>42805.134328052001</v>
      </c>
      <c r="AT974" s="2">
        <v>18365.0577739773</v>
      </c>
      <c r="AU974" s="2">
        <v>52532.304611715001</v>
      </c>
      <c r="AV974" s="2">
        <v>570.20571632983899</v>
      </c>
      <c r="AW974" s="2">
        <v>8.559877937157E-6</v>
      </c>
      <c r="AX974" s="2">
        <v>40339.036403461403</v>
      </c>
    </row>
    <row r="975" spans="1:50" x14ac:dyDescent="0.25">
      <c r="A975" s="2" t="s">
        <v>6847</v>
      </c>
      <c r="B975" s="2">
        <v>395.22127421025903</v>
      </c>
      <c r="C975" s="2">
        <v>13.30415</v>
      </c>
      <c r="D975" s="2" t="s">
        <v>51</v>
      </c>
      <c r="E975" s="2" t="s">
        <v>6848</v>
      </c>
      <c r="F975" s="2">
        <v>54988</v>
      </c>
      <c r="G975" s="3" t="str">
        <f>HYPERLINK("https://cloud.oebiotech.com/#/lm/network/54988", "https://cloud.oebiotech.com/#/lm/network/54988")</f>
        <v>https://cloud.oebiotech.com/#/lm/network/54988</v>
      </c>
      <c r="H975" s="2" t="s">
        <v>6849</v>
      </c>
      <c r="I975" s="2">
        <v>86763</v>
      </c>
      <c r="J975" s="2"/>
      <c r="K975" s="2">
        <v>13942822</v>
      </c>
      <c r="L975" s="2"/>
      <c r="M975" s="2"/>
      <c r="N975" s="2"/>
      <c r="O975" s="2"/>
      <c r="P975" s="2"/>
      <c r="Q975" s="2"/>
      <c r="R975" s="2" t="s">
        <v>6850</v>
      </c>
      <c r="S975" s="2" t="s">
        <v>6851</v>
      </c>
      <c r="T975" s="2" t="s">
        <v>6852</v>
      </c>
      <c r="U975" s="2" t="s">
        <v>540</v>
      </c>
      <c r="V975" s="2" t="s">
        <v>784</v>
      </c>
      <c r="W975" s="2" t="s">
        <v>3138</v>
      </c>
      <c r="X975" s="2" t="s">
        <v>59</v>
      </c>
      <c r="Y975" s="2">
        <v>47.5</v>
      </c>
      <c r="Z975" s="2">
        <v>48.1</v>
      </c>
      <c r="AA975" s="2" t="s">
        <v>156</v>
      </c>
      <c r="AB975" s="2" t="s">
        <v>6853</v>
      </c>
      <c r="AC975" s="2">
        <v>-0.99863862399956604</v>
      </c>
      <c r="AD975" s="2"/>
      <c r="AE975" s="2">
        <v>0.60811196887522401</v>
      </c>
      <c r="AF975" s="2">
        <v>100924.01574358701</v>
      </c>
      <c r="AG975" s="2">
        <v>118220.098630928</v>
      </c>
      <c r="AH975" s="4">
        <v>0.85369591898804098</v>
      </c>
      <c r="AI975" s="4">
        <v>-0.228205812265353</v>
      </c>
      <c r="AJ975" s="4" t="s">
        <v>62</v>
      </c>
      <c r="AK975" s="2">
        <v>6.7575659705117003E-2</v>
      </c>
      <c r="AL975" s="2">
        <v>0.34349031820999998</v>
      </c>
      <c r="AM975" s="2">
        <v>115724.750286173</v>
      </c>
      <c r="AN975" s="2">
        <v>105233.104023644</v>
      </c>
      <c r="AO975" s="2">
        <v>99855.467301918397</v>
      </c>
      <c r="AP975" s="2">
        <v>97120.629634233395</v>
      </c>
      <c r="AQ975" s="2">
        <v>102707.93969942701</v>
      </c>
      <c r="AR975" s="2">
        <v>84902.203516123598</v>
      </c>
      <c r="AS975" s="2">
        <v>87510.835586796398</v>
      </c>
      <c r="AT975" s="2">
        <v>110014.268420205</v>
      </c>
      <c r="AU975" s="2">
        <v>140607.437286309</v>
      </c>
      <c r="AV975" s="2">
        <v>122691.084114646</v>
      </c>
      <c r="AW975" s="2">
        <v>121133.19100571801</v>
      </c>
      <c r="AX975" s="2">
        <v>127363.775371891</v>
      </c>
    </row>
    <row r="976" spans="1:50" x14ac:dyDescent="0.25">
      <c r="A976" s="2" t="s">
        <v>6854</v>
      </c>
      <c r="B976" s="2">
        <v>573.45271916996398</v>
      </c>
      <c r="C976" s="2">
        <v>13.3891333333333</v>
      </c>
      <c r="D976" s="2" t="s">
        <v>51</v>
      </c>
      <c r="E976" s="2" t="s">
        <v>6855</v>
      </c>
      <c r="F976" s="2">
        <v>248390</v>
      </c>
      <c r="G976" s="3" t="str">
        <f>HYPERLINK("https://cloud.oebiotech.com/#/lm/network/248390", "https://cloud.oebiotech.com/#/lm/network/248390")</f>
        <v>https://cloud.oebiotech.com/#/lm/network/248390</v>
      </c>
      <c r="H976" s="2" t="s">
        <v>6856</v>
      </c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 t="s">
        <v>6857</v>
      </c>
      <c r="T976" s="2" t="s">
        <v>6858</v>
      </c>
      <c r="U976" s="2" t="s">
        <v>56</v>
      </c>
      <c r="V976" s="2" t="s">
        <v>145</v>
      </c>
      <c r="W976" s="2" t="s">
        <v>203</v>
      </c>
      <c r="X976" s="2" t="s">
        <v>83</v>
      </c>
      <c r="Y976" s="2">
        <v>55.5</v>
      </c>
      <c r="Z976" s="2">
        <v>0</v>
      </c>
      <c r="AA976" s="2" t="s">
        <v>379</v>
      </c>
      <c r="AB976" s="2" t="s">
        <v>2231</v>
      </c>
      <c r="AC976" s="2">
        <v>0.45659694503278297</v>
      </c>
      <c r="AD976" s="2"/>
      <c r="AE976" s="2">
        <v>0.60768624197948695</v>
      </c>
      <c r="AF976" s="2">
        <v>79577.034861042004</v>
      </c>
      <c r="AG976" s="2">
        <v>56137.428867591298</v>
      </c>
      <c r="AH976" s="5">
        <v>1.41753971398898</v>
      </c>
      <c r="AI976" s="5">
        <v>0.50338915447780597</v>
      </c>
      <c r="AJ976" s="5" t="s">
        <v>139</v>
      </c>
      <c r="AK976" s="2">
        <v>0.18807447455873499</v>
      </c>
      <c r="AL976" s="2">
        <v>0.51267132941010596</v>
      </c>
      <c r="AM976" s="2">
        <v>21042.406546093302</v>
      </c>
      <c r="AN976" s="2">
        <v>99196.559337250801</v>
      </c>
      <c r="AO976" s="2">
        <v>105855.379576236</v>
      </c>
      <c r="AP976" s="2">
        <v>75781.967675162305</v>
      </c>
      <c r="AQ976" s="2">
        <v>100435.708578918</v>
      </c>
      <c r="AR976" s="2">
        <v>75150.187452591897</v>
      </c>
      <c r="AS976" s="2">
        <v>35958.590795861201</v>
      </c>
      <c r="AT976" s="2">
        <v>66423.923319841502</v>
      </c>
      <c r="AU976" s="2">
        <v>31648.690780790399</v>
      </c>
      <c r="AV976" s="2">
        <v>34464.003257309203</v>
      </c>
      <c r="AW976" s="2">
        <v>75997.584062989903</v>
      </c>
      <c r="AX976" s="2">
        <v>92331.780988755505</v>
      </c>
    </row>
    <row r="977" spans="1:50" x14ac:dyDescent="0.25">
      <c r="A977" s="2" t="s">
        <v>6859</v>
      </c>
      <c r="B977" s="2">
        <v>369.17433036177403</v>
      </c>
      <c r="C977" s="2">
        <v>6.2990333333333304</v>
      </c>
      <c r="D977" s="2" t="s">
        <v>51</v>
      </c>
      <c r="E977" s="2" t="s">
        <v>6860</v>
      </c>
      <c r="F977" s="2">
        <v>46705</v>
      </c>
      <c r="G977" s="3" t="str">
        <f>HYPERLINK("https://cloud.oebiotech.com/#/lm/network/46705", "https://cloud.oebiotech.com/#/lm/network/46705")</f>
        <v>https://cloud.oebiotech.com/#/lm/network/46705</v>
      </c>
      <c r="H977" s="2" t="s">
        <v>6861</v>
      </c>
      <c r="I977" s="2"/>
      <c r="J977" s="2" t="s">
        <v>6862</v>
      </c>
      <c r="K977" s="2">
        <v>9907417</v>
      </c>
      <c r="L977" s="2"/>
      <c r="M977" s="2"/>
      <c r="N977" s="2"/>
      <c r="O977" s="2">
        <v>166770</v>
      </c>
      <c r="P977" s="2"/>
      <c r="Q977" s="2"/>
      <c r="R977" s="2"/>
      <c r="S977" s="2" t="s">
        <v>6863</v>
      </c>
      <c r="T977" s="2" t="s">
        <v>6864</v>
      </c>
      <c r="U977" s="2" t="s">
        <v>56</v>
      </c>
      <c r="V977" s="2" t="s">
        <v>283</v>
      </c>
      <c r="W977" s="2" t="s">
        <v>2305</v>
      </c>
      <c r="X977" s="2" t="s">
        <v>147</v>
      </c>
      <c r="Y977" s="2">
        <v>40.1</v>
      </c>
      <c r="Z977" s="2">
        <v>8.9499999999999993</v>
      </c>
      <c r="AA977" s="2" t="s">
        <v>163</v>
      </c>
      <c r="AB977" s="2" t="s">
        <v>6152</v>
      </c>
      <c r="AC977" s="2">
        <v>0.571973298983804</v>
      </c>
      <c r="AD977" s="2"/>
      <c r="AE977" s="2">
        <v>0.60756807559458503</v>
      </c>
      <c r="AF977" s="2">
        <v>58594.110684130697</v>
      </c>
      <c r="AG977" s="2">
        <v>75053.101662453395</v>
      </c>
      <c r="AH977" s="4">
        <v>0.78070205476189403</v>
      </c>
      <c r="AI977" s="4">
        <v>-0.357156028119816</v>
      </c>
      <c r="AJ977" s="4" t="s">
        <v>62</v>
      </c>
      <c r="AK977" s="2">
        <v>0.55045203528848397</v>
      </c>
      <c r="AL977" s="2">
        <v>0.77185492052615201</v>
      </c>
      <c r="AM977" s="2">
        <v>19352.069191967399</v>
      </c>
      <c r="AN977" s="2">
        <v>39282.980732776297</v>
      </c>
      <c r="AO977" s="2">
        <v>129810.87490929</v>
      </c>
      <c r="AP977" s="2">
        <v>99640.934188217099</v>
      </c>
      <c r="AQ977" s="2">
        <v>34006.272314401001</v>
      </c>
      <c r="AR977" s="2">
        <v>29471.5327681323</v>
      </c>
      <c r="AS977" s="2">
        <v>56623.1521162196</v>
      </c>
      <c r="AT977" s="2">
        <v>53096.577723714901</v>
      </c>
      <c r="AU977" s="2">
        <v>42799.600740864</v>
      </c>
      <c r="AV977" s="2">
        <v>168575.41902764799</v>
      </c>
      <c r="AW977" s="2">
        <v>77593.026498073901</v>
      </c>
      <c r="AX977" s="2">
        <v>51630.833868199799</v>
      </c>
    </row>
    <row r="978" spans="1:50" x14ac:dyDescent="0.25">
      <c r="A978" s="2" t="s">
        <v>6865</v>
      </c>
      <c r="B978" s="2">
        <v>582.37805849906704</v>
      </c>
      <c r="C978" s="2">
        <v>10.1415333333333</v>
      </c>
      <c r="D978" s="2" t="s">
        <v>51</v>
      </c>
      <c r="E978" s="2" t="s">
        <v>6866</v>
      </c>
      <c r="F978" s="2">
        <v>19544</v>
      </c>
      <c r="G978" s="3" t="str">
        <f>HYPERLINK("https://cloud.oebiotech.com/#/lm/network/19544", "https://cloud.oebiotech.com/#/lm/network/19544")</f>
        <v>https://cloud.oebiotech.com/#/lm/network/19544</v>
      </c>
      <c r="H978" s="2"/>
      <c r="I978" s="2">
        <v>40095</v>
      </c>
      <c r="J978" s="2" t="s">
        <v>6867</v>
      </c>
      <c r="K978" s="2">
        <v>24779308</v>
      </c>
      <c r="L978" s="2"/>
      <c r="M978" s="2"/>
      <c r="N978" s="2"/>
      <c r="O978" s="2">
        <v>78367</v>
      </c>
      <c r="P978" s="2"/>
      <c r="Q978" s="2"/>
      <c r="R978" s="2"/>
      <c r="S978" s="2" t="s">
        <v>6868</v>
      </c>
      <c r="T978" s="2" t="s">
        <v>6869</v>
      </c>
      <c r="U978" s="2" t="s">
        <v>56</v>
      </c>
      <c r="V978" s="2" t="s">
        <v>57</v>
      </c>
      <c r="W978" s="2" t="s">
        <v>58</v>
      </c>
      <c r="X978" s="2" t="s">
        <v>147</v>
      </c>
      <c r="Y978" s="2">
        <v>38.1</v>
      </c>
      <c r="Z978" s="2">
        <v>0</v>
      </c>
      <c r="AA978" s="2" t="s">
        <v>218</v>
      </c>
      <c r="AB978" s="2" t="s">
        <v>2157</v>
      </c>
      <c r="AC978" s="2">
        <v>0.77386925592070799</v>
      </c>
      <c r="AD978" s="2"/>
      <c r="AE978" s="2">
        <v>0.60756125295749097</v>
      </c>
      <c r="AF978" s="2">
        <v>40113.003233233503</v>
      </c>
      <c r="AG978" s="2">
        <v>61736.4517574446</v>
      </c>
      <c r="AH978" s="4">
        <v>0.64974584854395001</v>
      </c>
      <c r="AI978" s="4">
        <v>-0.62205258404935404</v>
      </c>
      <c r="AJ978" s="4" t="s">
        <v>62</v>
      </c>
      <c r="AK978" s="2">
        <v>0.25159802052265101</v>
      </c>
      <c r="AL978" s="2">
        <v>0.574956677383749</v>
      </c>
      <c r="AM978" s="2">
        <v>55626.662662752497</v>
      </c>
      <c r="AN978" s="2">
        <v>43521.419394250697</v>
      </c>
      <c r="AO978" s="2">
        <v>47902.737162457102</v>
      </c>
      <c r="AP978" s="2">
        <v>23494.357831376099</v>
      </c>
      <c r="AQ978" s="2">
        <v>33139.591649751797</v>
      </c>
      <c r="AR978" s="2">
        <v>36993.250698812699</v>
      </c>
      <c r="AS978" s="2">
        <v>19617.688073159199</v>
      </c>
      <c r="AT978" s="2">
        <v>12733.915965771999</v>
      </c>
      <c r="AU978" s="2">
        <v>108093.209330086</v>
      </c>
      <c r="AV978" s="2">
        <v>94142.583409804996</v>
      </c>
      <c r="AW978" s="2">
        <v>94134.911575940394</v>
      </c>
      <c r="AX978" s="2">
        <v>41696.402189904802</v>
      </c>
    </row>
    <row r="979" spans="1:50" x14ac:dyDescent="0.25">
      <c r="A979" s="2" t="s">
        <v>6870</v>
      </c>
      <c r="B979" s="2">
        <v>585.27253421933995</v>
      </c>
      <c r="C979" s="2">
        <v>5.0586333333333302</v>
      </c>
      <c r="D979" s="2" t="s">
        <v>51</v>
      </c>
      <c r="E979" s="2" t="s">
        <v>6871</v>
      </c>
      <c r="F979" s="2">
        <v>197232</v>
      </c>
      <c r="G979" s="3" t="str">
        <f>HYPERLINK("https://cloud.oebiotech.com/#/lm/network/197232", "https://cloud.oebiotech.com/#/lm/network/197232")</f>
        <v>https://cloud.oebiotech.com/#/lm/network/197232</v>
      </c>
      <c r="H979" s="2" t="s">
        <v>6872</v>
      </c>
      <c r="I979" s="2"/>
      <c r="J979" s="2"/>
      <c r="K979" s="2">
        <v>5315454</v>
      </c>
      <c r="L979" s="2"/>
      <c r="M979" s="2"/>
      <c r="N979" s="2"/>
      <c r="O979" s="2">
        <v>132996</v>
      </c>
      <c r="P979" s="2"/>
      <c r="Q979" s="2"/>
      <c r="R979" s="2" t="s">
        <v>6873</v>
      </c>
      <c r="S979" s="2" t="s">
        <v>6874</v>
      </c>
      <c r="T979" s="2" t="s">
        <v>6875</v>
      </c>
      <c r="U979" s="2" t="s">
        <v>266</v>
      </c>
      <c r="V979" s="2" t="s">
        <v>2271</v>
      </c>
      <c r="W979" s="2" t="s">
        <v>2452</v>
      </c>
      <c r="X979" s="2" t="s">
        <v>59</v>
      </c>
      <c r="Y979" s="2">
        <v>53.1</v>
      </c>
      <c r="Z979" s="2">
        <v>70.8</v>
      </c>
      <c r="AA979" s="2" t="s">
        <v>60</v>
      </c>
      <c r="AB979" s="2" t="s">
        <v>6876</v>
      </c>
      <c r="AC979" s="2">
        <v>3.0344122228563899</v>
      </c>
      <c r="AD979" s="2"/>
      <c r="AE979" s="2">
        <v>0.60750851292756702</v>
      </c>
      <c r="AF979" s="2">
        <v>4226.3939552287302</v>
      </c>
      <c r="AG979" s="2">
        <v>19438.5613063243</v>
      </c>
      <c r="AH979" s="4">
        <v>0.217423187273314</v>
      </c>
      <c r="AI979" s="4">
        <v>-2.2014222889269601</v>
      </c>
      <c r="AJ979" s="4" t="s">
        <v>62</v>
      </c>
      <c r="AK979" s="2">
        <v>0.32432378746635099</v>
      </c>
      <c r="AL979" s="2">
        <v>0.62992073899545697</v>
      </c>
      <c r="AM979" s="2">
        <v>8.559877937157E-6</v>
      </c>
      <c r="AN979" s="2">
        <v>8160.8771488234397</v>
      </c>
      <c r="AO979" s="2">
        <v>7056.2676457984699</v>
      </c>
      <c r="AP979" s="2">
        <v>3836.8207742375298</v>
      </c>
      <c r="AQ979" s="2">
        <v>375.781619862963</v>
      </c>
      <c r="AR979" s="2">
        <v>5928.6165340900998</v>
      </c>
      <c r="AS979" s="2">
        <v>91819.673445045497</v>
      </c>
      <c r="AT979" s="2">
        <v>1286.43976426729</v>
      </c>
      <c r="AU979" s="2">
        <v>8.559877937157E-6</v>
      </c>
      <c r="AV979" s="2">
        <v>2134.8258938048202</v>
      </c>
      <c r="AW979" s="2">
        <v>11787.9484183284</v>
      </c>
      <c r="AX979" s="2">
        <v>9602.4803079396697</v>
      </c>
    </row>
    <row r="980" spans="1:50" x14ac:dyDescent="0.25">
      <c r="A980" s="2" t="s">
        <v>6877</v>
      </c>
      <c r="B980" s="2">
        <v>237.07641644224401</v>
      </c>
      <c r="C980" s="2">
        <v>5.40661666666667</v>
      </c>
      <c r="D980" s="2" t="s">
        <v>51</v>
      </c>
      <c r="E980" s="2" t="s">
        <v>6878</v>
      </c>
      <c r="F980" s="2">
        <v>209346</v>
      </c>
      <c r="G980" s="3" t="str">
        <f>HYPERLINK("https://cloud.oebiotech.com/#/lm/network/209346", "https://cloud.oebiotech.com/#/lm/network/209346")</f>
        <v>https://cloud.oebiotech.com/#/lm/network/209346</v>
      </c>
      <c r="H980" s="2" t="s">
        <v>6879</v>
      </c>
      <c r="I980" s="2"/>
      <c r="J980" s="2"/>
      <c r="K980" s="2">
        <v>53867391</v>
      </c>
      <c r="L980" s="2"/>
      <c r="M980" s="2"/>
      <c r="N980" s="2"/>
      <c r="O980" s="2"/>
      <c r="P980" s="2"/>
      <c r="Q980" s="2"/>
      <c r="R980" s="2"/>
      <c r="S980" s="2" t="s">
        <v>6880</v>
      </c>
      <c r="T980" s="2" t="s">
        <v>6881</v>
      </c>
      <c r="U980" s="2" t="s">
        <v>610</v>
      </c>
      <c r="V980" s="2" t="s">
        <v>895</v>
      </c>
      <c r="W980" s="2" t="s">
        <v>6882</v>
      </c>
      <c r="X980" s="2" t="s">
        <v>147</v>
      </c>
      <c r="Y980" s="2">
        <v>41.9</v>
      </c>
      <c r="Z980" s="2">
        <v>24</v>
      </c>
      <c r="AA980" s="2" t="s">
        <v>218</v>
      </c>
      <c r="AB980" s="2" t="s">
        <v>6883</v>
      </c>
      <c r="AC980" s="2">
        <v>-2.2421611627660201</v>
      </c>
      <c r="AD980" s="2"/>
      <c r="AE980" s="2">
        <v>0.60651810568104703</v>
      </c>
      <c r="AF980" s="2">
        <v>22235.518203866101</v>
      </c>
      <c r="AG980" s="2">
        <v>38937.424968198597</v>
      </c>
      <c r="AH980" s="4">
        <v>0.57105774770741902</v>
      </c>
      <c r="AI980" s="4">
        <v>-0.80829145066784003</v>
      </c>
      <c r="AJ980" s="4" t="s">
        <v>62</v>
      </c>
      <c r="AK980" s="2">
        <v>0.17831250991529901</v>
      </c>
      <c r="AL980" s="2">
        <v>0.50018997315367297</v>
      </c>
      <c r="AM980" s="2">
        <v>29776.894543817001</v>
      </c>
      <c r="AN980" s="2">
        <v>11257.321481126</v>
      </c>
      <c r="AO980" s="2">
        <v>18816.153566230099</v>
      </c>
      <c r="AP980" s="2">
        <v>1243.3341998492001</v>
      </c>
      <c r="AQ980" s="2">
        <v>10057.6027242329</v>
      </c>
      <c r="AR980" s="2">
        <v>62261.802707941497</v>
      </c>
      <c r="AS980" s="2">
        <v>58554.841586177303</v>
      </c>
      <c r="AT980" s="2">
        <v>26326.696309186998</v>
      </c>
      <c r="AU980" s="2">
        <v>53486.678104799103</v>
      </c>
      <c r="AV980" s="2">
        <v>21584.501433385201</v>
      </c>
      <c r="AW980" s="2">
        <v>53377.463678378801</v>
      </c>
      <c r="AX980" s="2">
        <v>20294.368697264101</v>
      </c>
    </row>
    <row r="981" spans="1:50" x14ac:dyDescent="0.25">
      <c r="A981" s="2" t="s">
        <v>6884</v>
      </c>
      <c r="B981" s="2">
        <v>495.26588905749003</v>
      </c>
      <c r="C981" s="2">
        <v>8.6046999999999993</v>
      </c>
      <c r="D981" s="2" t="s">
        <v>51</v>
      </c>
      <c r="E981" s="2" t="s">
        <v>6885</v>
      </c>
      <c r="F981" s="2">
        <v>267448</v>
      </c>
      <c r="G981" s="3" t="str">
        <f>HYPERLINK("https://cloud.oebiotech.com/#/lm/network/267448", "https://cloud.oebiotech.com/#/lm/network/267448")</f>
        <v>https://cloud.oebiotech.com/#/lm/network/267448</v>
      </c>
      <c r="H981" s="2"/>
      <c r="I981" s="2">
        <v>45487</v>
      </c>
      <c r="J981" s="2"/>
      <c r="K981" s="2">
        <v>123865</v>
      </c>
      <c r="L981" s="2" t="s">
        <v>6886</v>
      </c>
      <c r="M981" s="2" t="s">
        <v>6887</v>
      </c>
      <c r="N981" s="2" t="s">
        <v>6888</v>
      </c>
      <c r="O981" s="2"/>
      <c r="P981" s="2"/>
      <c r="Q981" s="2"/>
      <c r="R981" s="2" t="s">
        <v>6889</v>
      </c>
      <c r="S981" s="2" t="s">
        <v>6890</v>
      </c>
      <c r="T981" s="2" t="s">
        <v>6891</v>
      </c>
      <c r="U981" s="2" t="s">
        <v>331</v>
      </c>
      <c r="V981" s="2" t="s">
        <v>332</v>
      </c>
      <c r="W981" s="2" t="s">
        <v>333</v>
      </c>
      <c r="X981" s="2" t="s">
        <v>147</v>
      </c>
      <c r="Y981" s="2">
        <v>36.200000000000003</v>
      </c>
      <c r="Z981" s="2">
        <v>0</v>
      </c>
      <c r="AA981" s="2" t="s">
        <v>241</v>
      </c>
      <c r="AB981" s="2" t="s">
        <v>6892</v>
      </c>
      <c r="AC981" s="2">
        <v>-2.575204358413</v>
      </c>
      <c r="AD981" s="2"/>
      <c r="AE981" s="2">
        <v>0.60618822814775697</v>
      </c>
      <c r="AF981" s="2">
        <v>21741.8998558409</v>
      </c>
      <c r="AG981" s="2">
        <v>29095.9874208441</v>
      </c>
      <c r="AH981" s="4">
        <v>0.74724736237221401</v>
      </c>
      <c r="AI981" s="4">
        <v>-0.42034219538846501</v>
      </c>
      <c r="AJ981" s="4" t="s">
        <v>62</v>
      </c>
      <c r="AK981" s="2">
        <v>1.95438355520692E-5</v>
      </c>
      <c r="AL981" s="2">
        <v>1.5488881376670999E-2</v>
      </c>
      <c r="AM981" s="2">
        <v>21438.746870194002</v>
      </c>
      <c r="AN981" s="2">
        <v>22563.461327698999</v>
      </c>
      <c r="AO981" s="2">
        <v>24302.626534994499</v>
      </c>
      <c r="AP981" s="2">
        <v>19117.6401582213</v>
      </c>
      <c r="AQ981" s="2">
        <v>21046.2427812612</v>
      </c>
      <c r="AR981" s="2">
        <v>21982.681462675198</v>
      </c>
      <c r="AS981" s="2">
        <v>32402.940775424398</v>
      </c>
      <c r="AT981" s="2">
        <v>28854.3326027683</v>
      </c>
      <c r="AU981" s="2">
        <v>27790.229788475001</v>
      </c>
      <c r="AV981" s="2">
        <v>28533.387944087601</v>
      </c>
      <c r="AW981" s="2">
        <v>28499.4592994128</v>
      </c>
      <c r="AX981" s="2">
        <v>28495.574114896401</v>
      </c>
    </row>
    <row r="982" spans="1:50" x14ac:dyDescent="0.25">
      <c r="A982" s="2" t="s">
        <v>6893</v>
      </c>
      <c r="B982" s="2">
        <v>377.03079472971302</v>
      </c>
      <c r="C982" s="2">
        <v>6.8908500000000004</v>
      </c>
      <c r="D982" s="2" t="s">
        <v>51</v>
      </c>
      <c r="E982" s="2" t="s">
        <v>6894</v>
      </c>
      <c r="F982" s="2">
        <v>32681</v>
      </c>
      <c r="G982" s="3" t="str">
        <f>HYPERLINK("https://cloud.oebiotech.com/#/lm/network/32681", "https://cloud.oebiotech.com/#/lm/network/32681")</f>
        <v>https://cloud.oebiotech.com/#/lm/network/32681</v>
      </c>
      <c r="H982" s="2"/>
      <c r="I982" s="2">
        <v>51011</v>
      </c>
      <c r="J982" s="2" t="s">
        <v>6895</v>
      </c>
      <c r="K982" s="2">
        <v>44259575</v>
      </c>
      <c r="L982" s="2"/>
      <c r="M982" s="2"/>
      <c r="N982" s="2"/>
      <c r="O982" s="2"/>
      <c r="P982" s="2"/>
      <c r="Q982" s="2"/>
      <c r="R982" s="2"/>
      <c r="S982" s="2" t="s">
        <v>6896</v>
      </c>
      <c r="T982" s="2" t="s">
        <v>6897</v>
      </c>
      <c r="U982" s="2" t="s">
        <v>540</v>
      </c>
      <c r="V982" s="2" t="s">
        <v>541</v>
      </c>
      <c r="W982" s="2" t="s">
        <v>6898</v>
      </c>
      <c r="X982" s="2" t="s">
        <v>83</v>
      </c>
      <c r="Y982" s="2">
        <v>38.4</v>
      </c>
      <c r="Z982" s="2">
        <v>0</v>
      </c>
      <c r="AA982" s="2" t="s">
        <v>179</v>
      </c>
      <c r="AB982" s="2" t="s">
        <v>6899</v>
      </c>
      <c r="AC982" s="2">
        <v>-4.4920920101055399</v>
      </c>
      <c r="AD982" s="2"/>
      <c r="AE982" s="2">
        <v>0.605891434306289</v>
      </c>
      <c r="AF982" s="2">
        <v>10293.255334257299</v>
      </c>
      <c r="AG982" s="2">
        <v>24218.7668007147</v>
      </c>
      <c r="AH982" s="4">
        <v>0.42501153832298</v>
      </c>
      <c r="AI982" s="4">
        <v>-1.23442608644789</v>
      </c>
      <c r="AJ982" s="4" t="s">
        <v>62</v>
      </c>
      <c r="AK982" s="2">
        <v>0.22589024856297499</v>
      </c>
      <c r="AL982" s="2">
        <v>0.55268103475036801</v>
      </c>
      <c r="AM982" s="2">
        <v>6910.6666303512902</v>
      </c>
      <c r="AN982" s="2">
        <v>4103.66313735526</v>
      </c>
      <c r="AO982" s="2">
        <v>16730.293865604301</v>
      </c>
      <c r="AP982" s="2">
        <v>8.559877937157E-6</v>
      </c>
      <c r="AQ982" s="2">
        <v>4350.6524241208299</v>
      </c>
      <c r="AR982" s="2">
        <v>29664.255939552</v>
      </c>
      <c r="AS982" s="2">
        <v>9898.8494270704305</v>
      </c>
      <c r="AT982" s="2">
        <v>6364.4441055153202</v>
      </c>
      <c r="AU982" s="2">
        <v>25195.372017021</v>
      </c>
      <c r="AV982" s="2">
        <v>64275.061588012199</v>
      </c>
      <c r="AW982" s="2">
        <v>38718.0713556849</v>
      </c>
      <c r="AX982" s="2">
        <v>860.80231098427203</v>
      </c>
    </row>
    <row r="983" spans="1:50" x14ac:dyDescent="0.25">
      <c r="A983" s="2" t="s">
        <v>6900</v>
      </c>
      <c r="B983" s="2">
        <v>1023.46194393949</v>
      </c>
      <c r="C983" s="2">
        <v>4.7703666666666704</v>
      </c>
      <c r="D983" s="2" t="s">
        <v>51</v>
      </c>
      <c r="E983" s="2" t="s">
        <v>6901</v>
      </c>
      <c r="F983" s="2">
        <v>232425</v>
      </c>
      <c r="G983" s="3" t="str">
        <f>HYPERLINK("https://cloud.oebiotech.com/#/lm/network/232425", "https://cloud.oebiotech.com/#/lm/network/232425")</f>
        <v>https://cloud.oebiotech.com/#/lm/network/232425</v>
      </c>
      <c r="H983" s="2" t="s">
        <v>6902</v>
      </c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 t="s">
        <v>6903</v>
      </c>
      <c r="T983" s="2" t="s">
        <v>6904</v>
      </c>
      <c r="U983" s="2" t="s">
        <v>56</v>
      </c>
      <c r="V983" s="2" t="s">
        <v>57</v>
      </c>
      <c r="W983" s="2" t="s">
        <v>6905</v>
      </c>
      <c r="X983" s="2" t="s">
        <v>147</v>
      </c>
      <c r="Y983" s="2">
        <v>36.299999999999997</v>
      </c>
      <c r="Z983" s="2">
        <v>0</v>
      </c>
      <c r="AA983" s="2" t="s">
        <v>95</v>
      </c>
      <c r="AB983" s="2" t="s">
        <v>6906</v>
      </c>
      <c r="AC983" s="2">
        <v>1.29835343787594</v>
      </c>
      <c r="AD983" s="2"/>
      <c r="AE983" s="2">
        <v>0.60535985196689501</v>
      </c>
      <c r="AF983" s="2">
        <v>17415.263965719801</v>
      </c>
      <c r="AG983" s="2">
        <v>32091.003280860401</v>
      </c>
      <c r="AH983" s="4">
        <v>0.54268368655543198</v>
      </c>
      <c r="AI983" s="4">
        <v>-0.881816553959621</v>
      </c>
      <c r="AJ983" s="4" t="s">
        <v>62</v>
      </c>
      <c r="AK983" s="2">
        <v>0.25949899663267501</v>
      </c>
      <c r="AL983" s="2">
        <v>0.58222756230909201</v>
      </c>
      <c r="AM983" s="2">
        <v>11019.4032636222</v>
      </c>
      <c r="AN983" s="2">
        <v>7418.1199245642601</v>
      </c>
      <c r="AO983" s="2">
        <v>33519.757406671197</v>
      </c>
      <c r="AP983" s="2">
        <v>29616.487749784599</v>
      </c>
      <c r="AQ983" s="2">
        <v>11568.5398922972</v>
      </c>
      <c r="AR983" s="2">
        <v>11349.2755573791</v>
      </c>
      <c r="AS983" s="2">
        <v>8.559877937157E-6</v>
      </c>
      <c r="AT983" s="2">
        <v>2242.6097659654602</v>
      </c>
      <c r="AU983" s="2">
        <v>50590.577891242101</v>
      </c>
      <c r="AV983" s="2">
        <v>71116.851800041899</v>
      </c>
      <c r="AW983" s="2">
        <v>27030.986772486001</v>
      </c>
      <c r="AX983" s="2">
        <v>41564.993446866902</v>
      </c>
    </row>
    <row r="984" spans="1:50" x14ac:dyDescent="0.25">
      <c r="A984" s="2" t="s">
        <v>6907</v>
      </c>
      <c r="B984" s="2">
        <v>363.215490914496</v>
      </c>
      <c r="C984" s="2">
        <v>10.329216666666699</v>
      </c>
      <c r="D984" s="2" t="s">
        <v>51</v>
      </c>
      <c r="E984" s="2" t="s">
        <v>6908</v>
      </c>
      <c r="F984" s="2">
        <v>82937</v>
      </c>
      <c r="G984" s="3" t="str">
        <f>HYPERLINK("https://cloud.oebiotech.com/#/lm/network/82937", "https://cloud.oebiotech.com/#/lm/network/82937")</f>
        <v>https://cloud.oebiotech.com/#/lm/network/82937</v>
      </c>
      <c r="H984" s="2" t="s">
        <v>6909</v>
      </c>
      <c r="I984" s="2"/>
      <c r="J984" s="2"/>
      <c r="K984" s="2">
        <v>131770032</v>
      </c>
      <c r="L984" s="2"/>
      <c r="M984" s="2"/>
      <c r="N984" s="2"/>
      <c r="O984" s="2"/>
      <c r="P984" s="2"/>
      <c r="Q984" s="2"/>
      <c r="R984" s="2"/>
      <c r="S984" s="2" t="s">
        <v>6910</v>
      </c>
      <c r="T984" s="2" t="s">
        <v>6911</v>
      </c>
      <c r="U984" s="2" t="s">
        <v>56</v>
      </c>
      <c r="V984" s="2" t="s">
        <v>177</v>
      </c>
      <c r="W984" s="2" t="s">
        <v>178</v>
      </c>
      <c r="X984" s="2" t="s">
        <v>83</v>
      </c>
      <c r="Y984" s="2">
        <v>56.5</v>
      </c>
      <c r="Z984" s="2">
        <v>29.5</v>
      </c>
      <c r="AA984" s="2" t="s">
        <v>218</v>
      </c>
      <c r="AB984" s="2" t="s">
        <v>180</v>
      </c>
      <c r="AC984" s="2">
        <v>-6.93476144450121</v>
      </c>
      <c r="AD984" s="2"/>
      <c r="AE984" s="2">
        <v>0.60522460550630197</v>
      </c>
      <c r="AF984" s="2">
        <v>41430.510306548502</v>
      </c>
      <c r="AG984" s="2">
        <v>31137.195605864901</v>
      </c>
      <c r="AH984" s="5">
        <v>1.3305793762218201</v>
      </c>
      <c r="AI984" s="5">
        <v>0.412054577452037</v>
      </c>
      <c r="AJ984" s="5" t="s">
        <v>139</v>
      </c>
      <c r="AK984" s="2">
        <v>0.20692815094315201</v>
      </c>
      <c r="AL984" s="2">
        <v>0.53206255181874995</v>
      </c>
      <c r="AM984" s="2">
        <v>48161.765198448797</v>
      </c>
      <c r="AN984" s="2">
        <v>58264.001124435301</v>
      </c>
      <c r="AO984" s="2">
        <v>37329.849821064403</v>
      </c>
      <c r="AP984" s="2">
        <v>19838.6059911468</v>
      </c>
      <c r="AQ984" s="2">
        <v>38241.573821332</v>
      </c>
      <c r="AR984" s="2">
        <v>46747.265882863401</v>
      </c>
      <c r="AS984" s="2">
        <v>36435.389385785602</v>
      </c>
      <c r="AT984" s="2">
        <v>23213.343322336099</v>
      </c>
      <c r="AU984" s="2">
        <v>53510.812561458297</v>
      </c>
      <c r="AV984" s="2">
        <v>19267.837962117799</v>
      </c>
      <c r="AW984" s="2">
        <v>19079.391953597002</v>
      </c>
      <c r="AX984" s="2">
        <v>35316.398449894303</v>
      </c>
    </row>
    <row r="985" spans="1:50" x14ac:dyDescent="0.25">
      <c r="A985" s="2" t="s">
        <v>6912</v>
      </c>
      <c r="B985" s="2">
        <v>349.00909649987398</v>
      </c>
      <c r="C985" s="2">
        <v>4.1950000000000003</v>
      </c>
      <c r="D985" s="2" t="s">
        <v>51</v>
      </c>
      <c r="E985" s="2" t="s">
        <v>6913</v>
      </c>
      <c r="F985" s="2">
        <v>46939</v>
      </c>
      <c r="G985" s="3" t="str">
        <f>HYPERLINK("https://cloud.oebiotech.com/#/lm/network/46939", "https://cloud.oebiotech.com/#/lm/network/46939")</f>
        <v>https://cloud.oebiotech.com/#/lm/network/46939</v>
      </c>
      <c r="H985" s="2" t="s">
        <v>6914</v>
      </c>
      <c r="I985" s="2"/>
      <c r="J985" s="2"/>
      <c r="K985" s="2"/>
      <c r="L985" s="2" t="s">
        <v>6915</v>
      </c>
      <c r="M985" s="2" t="s">
        <v>3456</v>
      </c>
      <c r="N985" s="2" t="s">
        <v>3457</v>
      </c>
      <c r="O985" s="2">
        <v>15842</v>
      </c>
      <c r="P985" s="2"/>
      <c r="Q985" s="2"/>
      <c r="R985" s="2" t="s">
        <v>6916</v>
      </c>
      <c r="S985" s="2" t="s">
        <v>6917</v>
      </c>
      <c r="T985" s="2" t="s">
        <v>6918</v>
      </c>
      <c r="U985" s="2" t="s">
        <v>295</v>
      </c>
      <c r="V985" s="2" t="s">
        <v>296</v>
      </c>
      <c r="W985" s="2" t="s">
        <v>3973</v>
      </c>
      <c r="X985" s="2" t="s">
        <v>59</v>
      </c>
      <c r="Y985" s="2">
        <v>49.2</v>
      </c>
      <c r="Z985" s="2">
        <v>60.3</v>
      </c>
      <c r="AA985" s="2" t="s">
        <v>379</v>
      </c>
      <c r="AB985" s="2" t="s">
        <v>6919</v>
      </c>
      <c r="AC985" s="2">
        <v>3.3740801740866102</v>
      </c>
      <c r="AD985" s="2"/>
      <c r="AE985" s="2">
        <v>0.60470536770800298</v>
      </c>
      <c r="AF985" s="2">
        <v>2062.75374630956</v>
      </c>
      <c r="AG985" s="2">
        <v>18387.2684743174</v>
      </c>
      <c r="AH985" s="4">
        <v>0.112183805288465</v>
      </c>
      <c r="AI985" s="4">
        <v>-3.1560636695319202</v>
      </c>
      <c r="AJ985" s="4" t="s">
        <v>62</v>
      </c>
      <c r="AK985" s="2">
        <v>0.32632559772665198</v>
      </c>
      <c r="AL985" s="2">
        <v>0.62992073899545697</v>
      </c>
      <c r="AM985" s="2">
        <v>1585.5562326290701</v>
      </c>
      <c r="AN985" s="2">
        <v>2431.9988000376202</v>
      </c>
      <c r="AO985" s="2">
        <v>1754.5618044386799</v>
      </c>
      <c r="AP985" s="2">
        <v>2523.94636035545</v>
      </c>
      <c r="AQ985" s="2">
        <v>2223.29193272668</v>
      </c>
      <c r="AR985" s="2">
        <v>1857.16734766987</v>
      </c>
      <c r="AS985" s="2">
        <v>2620.30689565782</v>
      </c>
      <c r="AT985" s="2">
        <v>2794.8824206917102</v>
      </c>
      <c r="AU985" s="2">
        <v>1580.74055499766</v>
      </c>
      <c r="AV985" s="2">
        <v>2923.70891830643</v>
      </c>
      <c r="AW985" s="2">
        <v>97457.902937858104</v>
      </c>
      <c r="AX985" s="2">
        <v>2946.0691183928002</v>
      </c>
    </row>
    <row r="986" spans="1:50" x14ac:dyDescent="0.25">
      <c r="A986" s="2" t="s">
        <v>6920</v>
      </c>
      <c r="B986" s="2">
        <v>389.19487247910803</v>
      </c>
      <c r="C986" s="2">
        <v>8.6999999999999993</v>
      </c>
      <c r="D986" s="2" t="s">
        <v>51</v>
      </c>
      <c r="E986" s="2" t="s">
        <v>6921</v>
      </c>
      <c r="F986" s="2">
        <v>63204</v>
      </c>
      <c r="G986" s="3" t="str">
        <f>HYPERLINK("https://cloud.oebiotech.com/#/lm/network/63204", "https://cloud.oebiotech.com/#/lm/network/63204")</f>
        <v>https://cloud.oebiotech.com/#/lm/network/63204</v>
      </c>
      <c r="H986" s="2" t="s">
        <v>6922</v>
      </c>
      <c r="I986" s="2">
        <v>94512</v>
      </c>
      <c r="J986" s="2"/>
      <c r="K986" s="2">
        <v>131752774</v>
      </c>
      <c r="L986" s="2"/>
      <c r="M986" s="2"/>
      <c r="N986" s="2"/>
      <c r="O986" s="2">
        <v>171847</v>
      </c>
      <c r="P986" s="2"/>
      <c r="Q986" s="2"/>
      <c r="R986" s="2" t="s">
        <v>6923</v>
      </c>
      <c r="S986" s="2" t="s">
        <v>6924</v>
      </c>
      <c r="T986" s="2" t="s">
        <v>6925</v>
      </c>
      <c r="U986" s="2" t="s">
        <v>56</v>
      </c>
      <c r="V986" s="2" t="s">
        <v>177</v>
      </c>
      <c r="W986" s="2" t="s">
        <v>1996</v>
      </c>
      <c r="X986" s="2" t="s">
        <v>83</v>
      </c>
      <c r="Y986" s="2">
        <v>40.5</v>
      </c>
      <c r="Z986" s="2">
        <v>0</v>
      </c>
      <c r="AA986" s="2" t="s">
        <v>156</v>
      </c>
      <c r="AB986" s="2" t="s">
        <v>6926</v>
      </c>
      <c r="AC986" s="2">
        <v>-2.4435548519127601</v>
      </c>
      <c r="AD986" s="2"/>
      <c r="AE986" s="2">
        <v>0.604630322172232</v>
      </c>
      <c r="AF986" s="2">
        <v>13179.9617099028</v>
      </c>
      <c r="AG986" s="2">
        <v>4806.1495226011102</v>
      </c>
      <c r="AH986" s="5">
        <v>2.7423120416715201</v>
      </c>
      <c r="AI986" s="5">
        <v>1.45539274156153</v>
      </c>
      <c r="AJ986" s="5" t="s">
        <v>139</v>
      </c>
      <c r="AK986" s="2">
        <v>7.5029385403594696E-3</v>
      </c>
      <c r="AL986" s="2">
        <v>0.14489874833036501</v>
      </c>
      <c r="AM986" s="2">
        <v>12276.569240696699</v>
      </c>
      <c r="AN986" s="2">
        <v>23762.823411504</v>
      </c>
      <c r="AO986" s="2">
        <v>10439.1389317618</v>
      </c>
      <c r="AP986" s="2">
        <v>10624.8822781215</v>
      </c>
      <c r="AQ986" s="2">
        <v>7668.4526556247201</v>
      </c>
      <c r="AR986" s="2">
        <v>14307.9037417083</v>
      </c>
      <c r="AS986" s="2">
        <v>8989.2519092379807</v>
      </c>
      <c r="AT986" s="2">
        <v>3759.4183248355198</v>
      </c>
      <c r="AU986" s="2">
        <v>5341.70226941083</v>
      </c>
      <c r="AV986" s="2">
        <v>2574.2537409363499</v>
      </c>
      <c r="AW986" s="2">
        <v>2461.2549917005299</v>
      </c>
      <c r="AX986" s="2">
        <v>5711.0158994854401</v>
      </c>
    </row>
    <row r="987" spans="1:50" x14ac:dyDescent="0.25">
      <c r="A987" s="2" t="s">
        <v>6927</v>
      </c>
      <c r="B987" s="2">
        <v>341.27860715774398</v>
      </c>
      <c r="C987" s="2">
        <v>8.5796666666666699</v>
      </c>
      <c r="D987" s="2" t="s">
        <v>51</v>
      </c>
      <c r="E987" s="2" t="s">
        <v>6928</v>
      </c>
      <c r="F987" s="2">
        <v>267194</v>
      </c>
      <c r="G987" s="3" t="str">
        <f>HYPERLINK("https://cloud.oebiotech.com/#/lm/network/267194", "https://cloud.oebiotech.com/#/lm/network/267194")</f>
        <v>https://cloud.oebiotech.com/#/lm/network/267194</v>
      </c>
      <c r="H987" s="2"/>
      <c r="I987" s="2">
        <v>44975</v>
      </c>
      <c r="J987" s="2"/>
      <c r="K987" s="2">
        <v>22978774</v>
      </c>
      <c r="L987" s="2"/>
      <c r="M987" s="2"/>
      <c r="N987" s="2"/>
      <c r="O987" s="2"/>
      <c r="P987" s="2"/>
      <c r="Q987" s="2"/>
      <c r="R987" s="2" t="s">
        <v>6929</v>
      </c>
      <c r="S987" s="2" t="s">
        <v>6930</v>
      </c>
      <c r="T987" s="2" t="s">
        <v>6931</v>
      </c>
      <c r="U987" s="2" t="s">
        <v>56</v>
      </c>
      <c r="V987" s="2" t="s">
        <v>145</v>
      </c>
      <c r="W987" s="2" t="s">
        <v>231</v>
      </c>
      <c r="X987" s="2" t="s">
        <v>59</v>
      </c>
      <c r="Y987" s="2">
        <v>47.7</v>
      </c>
      <c r="Z987" s="2">
        <v>51.5</v>
      </c>
      <c r="AA987" s="2" t="s">
        <v>3769</v>
      </c>
      <c r="AB987" s="2" t="s">
        <v>6932</v>
      </c>
      <c r="AC987" s="2">
        <v>-3.7096641972208699</v>
      </c>
      <c r="AD987" s="2"/>
      <c r="AE987" s="2">
        <v>0.60442324079792997</v>
      </c>
      <c r="AF987" s="2">
        <v>42689.371191362101</v>
      </c>
      <c r="AG987" s="2">
        <v>49616.128181418702</v>
      </c>
      <c r="AH987" s="4">
        <v>0.86039303662048505</v>
      </c>
      <c r="AI987" s="4">
        <v>-0.21693224617676801</v>
      </c>
      <c r="AJ987" s="4" t="s">
        <v>62</v>
      </c>
      <c r="AK987" s="2">
        <v>5.7254613923839702E-3</v>
      </c>
      <c r="AL987" s="2">
        <v>0.12769622484368501</v>
      </c>
      <c r="AM987" s="2">
        <v>35526.179648082601</v>
      </c>
      <c r="AN987" s="2">
        <v>45028.216458979099</v>
      </c>
      <c r="AO987" s="2">
        <v>42229.937623604201</v>
      </c>
      <c r="AP987" s="2">
        <v>44225.415160250901</v>
      </c>
      <c r="AQ987" s="2">
        <v>47246.814426865902</v>
      </c>
      <c r="AR987" s="2">
        <v>41879.6638303898</v>
      </c>
      <c r="AS987" s="2">
        <v>54013.4629886123</v>
      </c>
      <c r="AT987" s="2">
        <v>47705.305014812999</v>
      </c>
      <c r="AU987" s="2">
        <v>47042.094017668598</v>
      </c>
      <c r="AV987" s="2">
        <v>48771.325415082203</v>
      </c>
      <c r="AW987" s="2">
        <v>48356.757808053902</v>
      </c>
      <c r="AX987" s="2">
        <v>51807.823844282299</v>
      </c>
    </row>
    <row r="988" spans="1:50" x14ac:dyDescent="0.25">
      <c r="A988" s="2" t="s">
        <v>6933</v>
      </c>
      <c r="B988" s="2">
        <v>330.33772358055199</v>
      </c>
      <c r="C988" s="2">
        <v>15.024316666666699</v>
      </c>
      <c r="D988" s="2" t="s">
        <v>51</v>
      </c>
      <c r="E988" s="2" t="s">
        <v>6934</v>
      </c>
      <c r="F988" s="2">
        <v>146</v>
      </c>
      <c r="G988" s="3" t="str">
        <f>HYPERLINK("https://cloud.oebiotech.com/#/lm/network/146", "https://cloud.oebiotech.com/#/lm/network/146")</f>
        <v>https://cloud.oebiotech.com/#/lm/network/146</v>
      </c>
      <c r="H988" s="2"/>
      <c r="I988" s="2">
        <v>4332</v>
      </c>
      <c r="J988" s="2" t="s">
        <v>6935</v>
      </c>
      <c r="K988" s="2">
        <v>5282631</v>
      </c>
      <c r="L988" s="2"/>
      <c r="M988" s="2"/>
      <c r="N988" s="2"/>
      <c r="O988" s="2"/>
      <c r="P988" s="2"/>
      <c r="Q988" s="2"/>
      <c r="R988" s="2"/>
      <c r="S988" s="2" t="s">
        <v>6936</v>
      </c>
      <c r="T988" s="2" t="s">
        <v>6937</v>
      </c>
      <c r="U988" s="2" t="s">
        <v>56</v>
      </c>
      <c r="V988" s="2" t="s">
        <v>145</v>
      </c>
      <c r="W988" s="2" t="s">
        <v>231</v>
      </c>
      <c r="X988" s="2" t="s">
        <v>147</v>
      </c>
      <c r="Y988" s="2">
        <v>42.1</v>
      </c>
      <c r="Z988" s="2">
        <v>20.399999999999999</v>
      </c>
      <c r="AA988" s="2" t="s">
        <v>512</v>
      </c>
      <c r="AB988" s="2" t="s">
        <v>513</v>
      </c>
      <c r="AC988" s="2">
        <v>3.4182483412666902</v>
      </c>
      <c r="AD988" s="2"/>
      <c r="AE988" s="2">
        <v>0.603493727617889</v>
      </c>
      <c r="AF988" s="2">
        <v>13262.4225896398</v>
      </c>
      <c r="AG988" s="2">
        <v>20503.040736039598</v>
      </c>
      <c r="AH988" s="4">
        <v>0.64685149682834597</v>
      </c>
      <c r="AI988" s="4">
        <v>-0.62849355636419302</v>
      </c>
      <c r="AJ988" s="4" t="s">
        <v>62</v>
      </c>
      <c r="AK988" s="2">
        <v>9.8997625006471399E-4</v>
      </c>
      <c r="AL988" s="2">
        <v>8.16317916199195E-2</v>
      </c>
      <c r="AM988" s="2">
        <v>9785.6698137020903</v>
      </c>
      <c r="AN988" s="2">
        <v>13953.9295262414</v>
      </c>
      <c r="AO988" s="2">
        <v>12610.237971336799</v>
      </c>
      <c r="AP988" s="2">
        <v>12998.861785605701</v>
      </c>
      <c r="AQ988" s="2">
        <v>16322.3281239014</v>
      </c>
      <c r="AR988" s="2">
        <v>13903.508317051301</v>
      </c>
      <c r="AS988" s="2">
        <v>23601.346439116602</v>
      </c>
      <c r="AT988" s="2">
        <v>24244.0309837243</v>
      </c>
      <c r="AU988" s="2">
        <v>15366.916898760899</v>
      </c>
      <c r="AV988" s="2">
        <v>19361.146139744698</v>
      </c>
      <c r="AW988" s="2">
        <v>19855.113492730899</v>
      </c>
      <c r="AX988" s="2">
        <v>20589.690462160401</v>
      </c>
    </row>
    <row r="989" spans="1:50" x14ac:dyDescent="0.25">
      <c r="A989" s="2" t="s">
        <v>6938</v>
      </c>
      <c r="B989" s="2">
        <v>1014.50471680942</v>
      </c>
      <c r="C989" s="2">
        <v>4.5859833333333304</v>
      </c>
      <c r="D989" s="2" t="s">
        <v>51</v>
      </c>
      <c r="E989" s="2" t="s">
        <v>6939</v>
      </c>
      <c r="F989" s="2">
        <v>232129</v>
      </c>
      <c r="G989" s="3" t="str">
        <f>HYPERLINK("https://cloud.oebiotech.com/#/lm/network/232129", "https://cloud.oebiotech.com/#/lm/network/232129")</f>
        <v>https://cloud.oebiotech.com/#/lm/network/232129</v>
      </c>
      <c r="H989" s="2" t="s">
        <v>6940</v>
      </c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 t="s">
        <v>6941</v>
      </c>
      <c r="T989" s="2" t="s">
        <v>6942</v>
      </c>
      <c r="U989" s="2" t="s">
        <v>56</v>
      </c>
      <c r="V989" s="2" t="s">
        <v>57</v>
      </c>
      <c r="W989" s="2" t="s">
        <v>240</v>
      </c>
      <c r="X989" s="2" t="s">
        <v>147</v>
      </c>
      <c r="Y989" s="2">
        <v>36.6</v>
      </c>
      <c r="Z989" s="2">
        <v>0</v>
      </c>
      <c r="AA989" s="2" t="s">
        <v>122</v>
      </c>
      <c r="AB989" s="2" t="s">
        <v>6943</v>
      </c>
      <c r="AC989" s="2">
        <v>-3.4371492391113501</v>
      </c>
      <c r="AD989" s="2"/>
      <c r="AE989" s="2">
        <v>0.60347824516547099</v>
      </c>
      <c r="AF989" s="2">
        <v>5058.6223778513304</v>
      </c>
      <c r="AG989" s="2">
        <v>19720.276370661199</v>
      </c>
      <c r="AH989" s="4">
        <v>0.25651883790925301</v>
      </c>
      <c r="AI989" s="4">
        <v>-1.9628633183325099</v>
      </c>
      <c r="AJ989" s="4" t="s">
        <v>62</v>
      </c>
      <c r="AK989" s="2">
        <v>0.25296436353048002</v>
      </c>
      <c r="AL989" s="2">
        <v>0.57619502323734795</v>
      </c>
      <c r="AM989" s="2">
        <v>1753.26527855931</v>
      </c>
      <c r="AN989" s="2">
        <v>2542.3881739683202</v>
      </c>
      <c r="AO989" s="2">
        <v>4453.0990386254898</v>
      </c>
      <c r="AP989" s="2">
        <v>8.559877937157E-6</v>
      </c>
      <c r="AQ989" s="2">
        <v>5588.5927907671603</v>
      </c>
      <c r="AR989" s="2">
        <v>16014.388976627801</v>
      </c>
      <c r="AS989" s="2">
        <v>2441.1121682241301</v>
      </c>
      <c r="AT989" s="2">
        <v>8948.2148212237207</v>
      </c>
      <c r="AU989" s="2">
        <v>8.559877937157E-6</v>
      </c>
      <c r="AV989" s="2">
        <v>17305.789904920501</v>
      </c>
      <c r="AW989" s="2">
        <v>12026.312687920399</v>
      </c>
      <c r="AX989" s="2">
        <v>77600.228633118793</v>
      </c>
    </row>
    <row r="990" spans="1:50" x14ac:dyDescent="0.25">
      <c r="A990" s="2" t="s">
        <v>6944</v>
      </c>
      <c r="B990" s="2">
        <v>366.19320086772899</v>
      </c>
      <c r="C990" s="2">
        <v>3.46308333333333</v>
      </c>
      <c r="D990" s="2" t="s">
        <v>51</v>
      </c>
      <c r="E990" s="2" t="s">
        <v>6945</v>
      </c>
      <c r="F990" s="2">
        <v>213382</v>
      </c>
      <c r="G990" s="3" t="str">
        <f>HYPERLINK("https://cloud.oebiotech.com/#/lm/network/213382", "https://cloud.oebiotech.com/#/lm/network/213382")</f>
        <v>https://cloud.oebiotech.com/#/lm/network/213382</v>
      </c>
      <c r="H990" s="2" t="s">
        <v>6946</v>
      </c>
      <c r="I990" s="2"/>
      <c r="J990" s="2"/>
      <c r="K990" s="2">
        <v>53639661</v>
      </c>
      <c r="L990" s="2"/>
      <c r="M990" s="2"/>
      <c r="N990" s="2"/>
      <c r="O990" s="2"/>
      <c r="P990" s="2"/>
      <c r="Q990" s="2"/>
      <c r="R990" s="2"/>
      <c r="S990" s="2" t="s">
        <v>6947</v>
      </c>
      <c r="T990" s="2" t="s">
        <v>6948</v>
      </c>
      <c r="U990" s="2" t="s">
        <v>610</v>
      </c>
      <c r="V990" s="2" t="s">
        <v>4556</v>
      </c>
      <c r="W990" s="2" t="s">
        <v>6949</v>
      </c>
      <c r="X990" s="2" t="s">
        <v>147</v>
      </c>
      <c r="Y990" s="2">
        <v>37.9</v>
      </c>
      <c r="Z990" s="2">
        <v>0</v>
      </c>
      <c r="AA990" s="2" t="s">
        <v>122</v>
      </c>
      <c r="AB990" s="2" t="s">
        <v>6950</v>
      </c>
      <c r="AC990" s="2">
        <v>-3.1183834324326898</v>
      </c>
      <c r="AD990" s="2"/>
      <c r="AE990" s="2">
        <v>0.60340595695968702</v>
      </c>
      <c r="AF990" s="2">
        <v>5492.8747007533702</v>
      </c>
      <c r="AG990" s="2">
        <v>16326.108614356601</v>
      </c>
      <c r="AH990" s="4">
        <v>0.33644727169848199</v>
      </c>
      <c r="AI990" s="4">
        <v>-1.5715476727256099</v>
      </c>
      <c r="AJ990" s="4" t="s">
        <v>62</v>
      </c>
      <c r="AK990" s="2">
        <v>0.10444326535897901</v>
      </c>
      <c r="AL990" s="2">
        <v>0.41092409513035599</v>
      </c>
      <c r="AM990" s="2">
        <v>7911.1975858236001</v>
      </c>
      <c r="AN990" s="2">
        <v>3409.0602861641501</v>
      </c>
      <c r="AO990" s="2">
        <v>3650.3849092547098</v>
      </c>
      <c r="AP990" s="2">
        <v>6149.1659408696396</v>
      </c>
      <c r="AQ990" s="2">
        <v>3648.27171505141</v>
      </c>
      <c r="AR990" s="2">
        <v>8189.1677673567401</v>
      </c>
      <c r="AS990" s="2">
        <v>8.559877937157E-6</v>
      </c>
      <c r="AT990" s="2">
        <v>5659.5115814054898</v>
      </c>
      <c r="AU990" s="2">
        <v>9687.8097378099901</v>
      </c>
      <c r="AV990" s="2">
        <v>32407.888599128801</v>
      </c>
      <c r="AW990" s="2">
        <v>36108.915929556802</v>
      </c>
      <c r="AX990" s="2">
        <v>14092.5258296789</v>
      </c>
    </row>
    <row r="991" spans="1:50" x14ac:dyDescent="0.25">
      <c r="A991" s="2" t="s">
        <v>6951</v>
      </c>
      <c r="B991" s="2">
        <v>408.229863831155</v>
      </c>
      <c r="C991" s="2">
        <v>8.9080499999999994</v>
      </c>
      <c r="D991" s="2" t="s">
        <v>51</v>
      </c>
      <c r="E991" s="2" t="s">
        <v>6952</v>
      </c>
      <c r="F991" s="2">
        <v>203635</v>
      </c>
      <c r="G991" s="3" t="str">
        <f>HYPERLINK("https://cloud.oebiotech.com/#/lm/network/203635", "https://cloud.oebiotech.com/#/lm/network/203635")</f>
        <v>https://cloud.oebiotech.com/#/lm/network/203635</v>
      </c>
      <c r="H991" s="2" t="s">
        <v>6953</v>
      </c>
      <c r="I991" s="2"/>
      <c r="J991" s="2"/>
      <c r="K991" s="2">
        <v>609483</v>
      </c>
      <c r="L991" s="2"/>
      <c r="M991" s="2"/>
      <c r="N991" s="2"/>
      <c r="O991" s="2">
        <v>93630</v>
      </c>
      <c r="P991" s="2"/>
      <c r="Q991" s="2"/>
      <c r="R991" s="2"/>
      <c r="S991" s="2" t="s">
        <v>6954</v>
      </c>
      <c r="T991" s="2" t="s">
        <v>6955</v>
      </c>
      <c r="U991" s="2" t="s">
        <v>266</v>
      </c>
      <c r="V991" s="2" t="s">
        <v>2781</v>
      </c>
      <c r="W991" s="2" t="s">
        <v>2782</v>
      </c>
      <c r="X991" s="2" t="s">
        <v>147</v>
      </c>
      <c r="Y991" s="2">
        <v>44.5</v>
      </c>
      <c r="Z991" s="2">
        <v>32.9</v>
      </c>
      <c r="AA991" s="2" t="s">
        <v>259</v>
      </c>
      <c r="AB991" s="2" t="s">
        <v>6956</v>
      </c>
      <c r="AC991" s="2">
        <v>4.1638238100456997</v>
      </c>
      <c r="AD991" s="2"/>
      <c r="AE991" s="2">
        <v>0.60253496298578701</v>
      </c>
      <c r="AF991" s="2">
        <v>20633.003628346301</v>
      </c>
      <c r="AG991" s="2">
        <v>260.50635743894702</v>
      </c>
      <c r="AH991" s="5">
        <v>79.2034552676202</v>
      </c>
      <c r="AI991" s="5">
        <v>6.3074914644438298</v>
      </c>
      <c r="AJ991" s="5" t="s">
        <v>139</v>
      </c>
      <c r="AK991" s="2">
        <v>0.14608331317784501</v>
      </c>
      <c r="AL991" s="2">
        <v>0.46813495501649</v>
      </c>
      <c r="AM991" s="2">
        <v>439.07828067265098</v>
      </c>
      <c r="AN991" s="2">
        <v>301.183911383951</v>
      </c>
      <c r="AO991" s="2">
        <v>241.53417424460699</v>
      </c>
      <c r="AP991" s="2">
        <v>352.57240855872601</v>
      </c>
      <c r="AQ991" s="2">
        <v>67020.826518658199</v>
      </c>
      <c r="AR991" s="2">
        <v>55442.826476559501</v>
      </c>
      <c r="AS991" s="2">
        <v>104.165855723034</v>
      </c>
      <c r="AT991" s="2">
        <v>69.341103458971304</v>
      </c>
      <c r="AU991" s="2">
        <v>149.1846096331</v>
      </c>
      <c r="AV991" s="2">
        <v>954.20364472185099</v>
      </c>
      <c r="AW991" s="2">
        <v>191.92894144454499</v>
      </c>
      <c r="AX991" s="2">
        <v>94.213989652178199</v>
      </c>
    </row>
    <row r="992" spans="1:50" x14ac:dyDescent="0.25">
      <c r="A992" s="2" t="s">
        <v>6957</v>
      </c>
      <c r="B992" s="2">
        <v>352.247068793339</v>
      </c>
      <c r="C992" s="2">
        <v>7.8409500000000003</v>
      </c>
      <c r="D992" s="2" t="s">
        <v>51</v>
      </c>
      <c r="E992" s="2" t="s">
        <v>6958</v>
      </c>
      <c r="F992" s="2">
        <v>4416</v>
      </c>
      <c r="G992" s="3" t="str">
        <f>HYPERLINK("https://cloud.oebiotech.com/#/lm/network/4416", "https://cloud.oebiotech.com/#/lm/network/4416")</f>
        <v>https://cloud.oebiotech.com/#/lm/network/4416</v>
      </c>
      <c r="H992" s="2"/>
      <c r="I992" s="2"/>
      <c r="J992" s="2" t="s">
        <v>6959</v>
      </c>
      <c r="K992" s="2">
        <v>131840052</v>
      </c>
      <c r="L992" s="2"/>
      <c r="M992" s="2"/>
      <c r="N992" s="2"/>
      <c r="O992" s="2"/>
      <c r="P992" s="2"/>
      <c r="Q992" s="2"/>
      <c r="R992" s="2"/>
      <c r="S992" s="2" t="s">
        <v>6960</v>
      </c>
      <c r="T992" s="2" t="s">
        <v>6961</v>
      </c>
      <c r="U992" s="2" t="s">
        <v>56</v>
      </c>
      <c r="V992" s="2" t="s">
        <v>145</v>
      </c>
      <c r="W992" s="2" t="s">
        <v>187</v>
      </c>
      <c r="X992" s="2" t="s">
        <v>147</v>
      </c>
      <c r="Y992" s="2">
        <v>36.4</v>
      </c>
      <c r="Z992" s="2">
        <v>6.41</v>
      </c>
      <c r="AA992" s="2" t="s">
        <v>512</v>
      </c>
      <c r="AB992" s="2" t="s">
        <v>212</v>
      </c>
      <c r="AC992" s="2">
        <v>-3.4893079649721099</v>
      </c>
      <c r="AD992" s="2"/>
      <c r="AE992" s="2">
        <v>0.60203984242777098</v>
      </c>
      <c r="AF992" s="2">
        <v>25604.528287299701</v>
      </c>
      <c r="AG992" s="2">
        <v>4101.4963165454201</v>
      </c>
      <c r="AH992" s="5">
        <v>6.2427285827397103</v>
      </c>
      <c r="AI992" s="5">
        <v>2.6421767426088199</v>
      </c>
      <c r="AJ992" s="5" t="s">
        <v>139</v>
      </c>
      <c r="AK992" s="2">
        <v>0.241373371684732</v>
      </c>
      <c r="AL992" s="2">
        <v>0.56524770370204702</v>
      </c>
      <c r="AM992" s="2">
        <v>1639.7239721400399</v>
      </c>
      <c r="AN992" s="2">
        <v>903.80726228440403</v>
      </c>
      <c r="AO992" s="2">
        <v>45786.823125610201</v>
      </c>
      <c r="AP992" s="2">
        <v>434.39480198152899</v>
      </c>
      <c r="AQ992" s="2">
        <v>102351.422770643</v>
      </c>
      <c r="AR992" s="2">
        <v>2510.9977911390502</v>
      </c>
      <c r="AS992" s="2">
        <v>19344.892788163299</v>
      </c>
      <c r="AT992" s="2">
        <v>253.98657914691699</v>
      </c>
      <c r="AU992" s="2">
        <v>4601.7085670479</v>
      </c>
      <c r="AV992" s="2">
        <v>24.178710196000999</v>
      </c>
      <c r="AW992" s="2">
        <v>188.22905639558201</v>
      </c>
      <c r="AX992" s="2">
        <v>195.98219832279801</v>
      </c>
    </row>
    <row r="993" spans="1:50" x14ac:dyDescent="0.25">
      <c r="A993" s="2" t="s">
        <v>6962</v>
      </c>
      <c r="B993" s="2">
        <v>399.129789377078</v>
      </c>
      <c r="C993" s="2">
        <v>4.9007166666666704</v>
      </c>
      <c r="D993" s="2" t="s">
        <v>51</v>
      </c>
      <c r="E993" s="2" t="s">
        <v>6963</v>
      </c>
      <c r="F993" s="2">
        <v>64020</v>
      </c>
      <c r="G993" s="3" t="str">
        <f>HYPERLINK("https://cloud.oebiotech.com/#/lm/network/64020", "https://cloud.oebiotech.com/#/lm/network/64020")</f>
        <v>https://cloud.oebiotech.com/#/lm/network/64020</v>
      </c>
      <c r="H993" s="2" t="s">
        <v>6964</v>
      </c>
      <c r="I993" s="2">
        <v>95351</v>
      </c>
      <c r="J993" s="2"/>
      <c r="K993" s="2">
        <v>131752979</v>
      </c>
      <c r="L993" s="2"/>
      <c r="M993" s="2"/>
      <c r="N993" s="2"/>
      <c r="O993" s="2">
        <v>175553</v>
      </c>
      <c r="P993" s="2"/>
      <c r="Q993" s="2"/>
      <c r="R993" s="2" t="s">
        <v>6965</v>
      </c>
      <c r="S993" s="2" t="s">
        <v>6966</v>
      </c>
      <c r="T993" s="2" t="s">
        <v>6967</v>
      </c>
      <c r="U993" s="2" t="s">
        <v>56</v>
      </c>
      <c r="V993" s="2" t="s">
        <v>145</v>
      </c>
      <c r="W993" s="2" t="s">
        <v>3263</v>
      </c>
      <c r="X993" s="2" t="s">
        <v>69</v>
      </c>
      <c r="Y993" s="2">
        <v>77.400000000000006</v>
      </c>
      <c r="Z993" s="2">
        <v>91.9</v>
      </c>
      <c r="AA993" s="2" t="s">
        <v>218</v>
      </c>
      <c r="AB993" s="2" t="s">
        <v>6968</v>
      </c>
      <c r="AC993" s="2">
        <v>0.335595868953251</v>
      </c>
      <c r="AD993" s="2"/>
      <c r="AE993" s="2">
        <v>0.60190288409001402</v>
      </c>
      <c r="AF993" s="2">
        <v>7655.3850113210501</v>
      </c>
      <c r="AG993" s="2">
        <v>19761.166902161502</v>
      </c>
      <c r="AH993" s="4">
        <v>0.38739539265182299</v>
      </c>
      <c r="AI993" s="4">
        <v>-1.36812129902026</v>
      </c>
      <c r="AJ993" s="4" t="s">
        <v>62</v>
      </c>
      <c r="AK993" s="2">
        <v>5.6346342236206298E-2</v>
      </c>
      <c r="AL993" s="2">
        <v>0.32510032444738302</v>
      </c>
      <c r="AM993" s="2">
        <v>5720.3247024267603</v>
      </c>
      <c r="AN993" s="2">
        <v>3039.55440115175</v>
      </c>
      <c r="AO993" s="2">
        <v>7160.2076554367704</v>
      </c>
      <c r="AP993" s="2">
        <v>8.559877937157E-6</v>
      </c>
      <c r="AQ993" s="2">
        <v>1750.53693121583</v>
      </c>
      <c r="AR993" s="2">
        <v>28261.686369135299</v>
      </c>
      <c r="AS993" s="2">
        <v>13516.605226464901</v>
      </c>
      <c r="AT993" s="2">
        <v>26955.9453017298</v>
      </c>
      <c r="AU993" s="2">
        <v>21387.9104324652</v>
      </c>
      <c r="AV993" s="2">
        <v>15968.789040501701</v>
      </c>
      <c r="AW993" s="2">
        <v>32464.104904951</v>
      </c>
      <c r="AX993" s="2">
        <v>8273.6465068561502</v>
      </c>
    </row>
    <row r="994" spans="1:50" x14ac:dyDescent="0.25">
      <c r="A994" s="2" t="s">
        <v>6969</v>
      </c>
      <c r="B994" s="2">
        <v>243.123618419309</v>
      </c>
      <c r="C994" s="2">
        <v>5.1832166666666701</v>
      </c>
      <c r="D994" s="2" t="s">
        <v>51</v>
      </c>
      <c r="E994" s="2" t="s">
        <v>6970</v>
      </c>
      <c r="F994" s="2">
        <v>534658</v>
      </c>
      <c r="G994" s="3" t="str">
        <f>HYPERLINK("https://cloud.oebiotech.com/#/lm/network/534658", "https://cloud.oebiotech.com/#/lm/network/534658")</f>
        <v>https://cloud.oebiotech.com/#/lm/network/534658</v>
      </c>
      <c r="H994" s="2"/>
      <c r="I994" s="2">
        <v>984907</v>
      </c>
      <c r="J994" s="2"/>
      <c r="K994" s="2">
        <v>13213508</v>
      </c>
      <c r="L994" s="2"/>
      <c r="M994" s="2"/>
      <c r="N994" s="2"/>
      <c r="O994" s="2"/>
      <c r="P994" s="2"/>
      <c r="Q994" s="2"/>
      <c r="R994" s="2"/>
      <c r="S994" s="2" t="s">
        <v>6971</v>
      </c>
      <c r="T994" s="2" t="s">
        <v>6972</v>
      </c>
      <c r="U994" s="2" t="s">
        <v>103</v>
      </c>
      <c r="V994" s="2" t="s">
        <v>2602</v>
      </c>
      <c r="W994" s="2" t="s">
        <v>2603</v>
      </c>
      <c r="X994" s="2" t="s">
        <v>69</v>
      </c>
      <c r="Y994" s="2">
        <v>69.5</v>
      </c>
      <c r="Z994" s="2">
        <v>81.099999999999994</v>
      </c>
      <c r="AA994" s="2" t="s">
        <v>163</v>
      </c>
      <c r="AB994" s="2" t="s">
        <v>6973</v>
      </c>
      <c r="AC994" s="2">
        <v>-0.73275346711159794</v>
      </c>
      <c r="AD994" s="2"/>
      <c r="AE994" s="2">
        <v>0.60172047238312198</v>
      </c>
      <c r="AF994" s="2">
        <v>17904.441803435599</v>
      </c>
      <c r="AG994" s="2">
        <v>10207.998589389301</v>
      </c>
      <c r="AH994" s="5">
        <v>1.7539620177893001</v>
      </c>
      <c r="AI994" s="5">
        <v>0.81061750642556196</v>
      </c>
      <c r="AJ994" s="5" t="s">
        <v>139</v>
      </c>
      <c r="AK994" s="2">
        <v>1.4487302366327E-2</v>
      </c>
      <c r="AL994" s="2">
        <v>0.19071200476470801</v>
      </c>
      <c r="AM994" s="2">
        <v>20582.111372614101</v>
      </c>
      <c r="AN994" s="2">
        <v>23742.005537518799</v>
      </c>
      <c r="AO994" s="2">
        <v>22049.147710236601</v>
      </c>
      <c r="AP994" s="2">
        <v>11108.292186926399</v>
      </c>
      <c r="AQ994" s="2">
        <v>16362.2043628479</v>
      </c>
      <c r="AR994" s="2">
        <v>13582.8896504697</v>
      </c>
      <c r="AS994" s="2">
        <v>13879.483072356301</v>
      </c>
      <c r="AT994" s="2">
        <v>5682.0665268648199</v>
      </c>
      <c r="AU994" s="2">
        <v>14258.705912821801</v>
      </c>
      <c r="AV994" s="2">
        <v>7703.0001846545001</v>
      </c>
      <c r="AW994" s="2">
        <v>6592.5583865902699</v>
      </c>
      <c r="AX994" s="2">
        <v>13132.177453048</v>
      </c>
    </row>
    <row r="995" spans="1:50" x14ac:dyDescent="0.25">
      <c r="A995" s="2" t="s">
        <v>6974</v>
      </c>
      <c r="B995" s="2">
        <v>481.18795585430502</v>
      </c>
      <c r="C995" s="2">
        <v>6.3293499999999998</v>
      </c>
      <c r="D995" s="2" t="s">
        <v>51</v>
      </c>
      <c r="E995" s="2" t="s">
        <v>6975</v>
      </c>
      <c r="F995" s="2">
        <v>58480</v>
      </c>
      <c r="G995" s="3" t="str">
        <f>HYPERLINK("https://cloud.oebiotech.com/#/lm/network/58480", "https://cloud.oebiotech.com/#/lm/network/58480")</f>
        <v>https://cloud.oebiotech.com/#/lm/network/58480</v>
      </c>
      <c r="H995" s="2" t="s">
        <v>6976</v>
      </c>
      <c r="I995" s="2">
        <v>89951</v>
      </c>
      <c r="J995" s="2"/>
      <c r="K995" s="2">
        <v>430632</v>
      </c>
      <c r="L995" s="2"/>
      <c r="M995" s="2"/>
      <c r="N995" s="2"/>
      <c r="O995" s="2"/>
      <c r="P995" s="2"/>
      <c r="Q995" s="2"/>
      <c r="R995" s="2" t="s">
        <v>6977</v>
      </c>
      <c r="S995" s="2" t="s">
        <v>6978</v>
      </c>
      <c r="T995" s="2" t="s">
        <v>6979</v>
      </c>
      <c r="U995" s="2" t="s">
        <v>103</v>
      </c>
      <c r="V995" s="2" t="s">
        <v>104</v>
      </c>
      <c r="W995" s="2" t="s">
        <v>4850</v>
      </c>
      <c r="X995" s="2" t="s">
        <v>59</v>
      </c>
      <c r="Y995" s="2">
        <v>50.2</v>
      </c>
      <c r="Z995" s="2">
        <v>64.400000000000006</v>
      </c>
      <c r="AA995" s="2" t="s">
        <v>379</v>
      </c>
      <c r="AB995" s="2" t="s">
        <v>6980</v>
      </c>
      <c r="AC995" s="2">
        <v>2.32779136500023</v>
      </c>
      <c r="AD995" s="2"/>
      <c r="AE995" s="2">
        <v>0.60138462483198096</v>
      </c>
      <c r="AF995" s="2">
        <v>8251.3688586929693</v>
      </c>
      <c r="AG995" s="2">
        <v>21788.325069504401</v>
      </c>
      <c r="AH995" s="4">
        <v>0.37870597360610597</v>
      </c>
      <c r="AI995" s="4">
        <v>-1.4008499168022499</v>
      </c>
      <c r="AJ995" s="4" t="s">
        <v>62</v>
      </c>
      <c r="AK995" s="2">
        <v>9.5481047619950604E-2</v>
      </c>
      <c r="AL995" s="2">
        <v>0.39518270427574997</v>
      </c>
      <c r="AM995" s="2">
        <v>5601.6327142031996</v>
      </c>
      <c r="AN995" s="2">
        <v>11251.1110092035</v>
      </c>
      <c r="AO995" s="2">
        <v>9308.4592915314206</v>
      </c>
      <c r="AP995" s="2">
        <v>8024.8558341538201</v>
      </c>
      <c r="AQ995" s="2">
        <v>5829.51878990154</v>
      </c>
      <c r="AR995" s="2">
        <v>9492.6355131643595</v>
      </c>
      <c r="AS995" s="2">
        <v>12636.282884653299</v>
      </c>
      <c r="AT995" s="2">
        <v>39610.273620006097</v>
      </c>
      <c r="AU995" s="2">
        <v>9584.6878581885594</v>
      </c>
      <c r="AV995" s="2">
        <v>49335.826560066504</v>
      </c>
      <c r="AW995" s="2">
        <v>10203.249292233</v>
      </c>
      <c r="AX995" s="2">
        <v>9359.6302018787392</v>
      </c>
    </row>
    <row r="996" spans="1:50" x14ac:dyDescent="0.25">
      <c r="A996" s="2" t="s">
        <v>6981</v>
      </c>
      <c r="B996" s="2">
        <v>528.31008618668204</v>
      </c>
      <c r="C996" s="2">
        <v>10.6304833333333</v>
      </c>
      <c r="D996" s="2" t="s">
        <v>51</v>
      </c>
      <c r="E996" s="2" t="s">
        <v>6982</v>
      </c>
      <c r="F996" s="2">
        <v>21231</v>
      </c>
      <c r="G996" s="3" t="str">
        <f>HYPERLINK("https://cloud.oebiotech.com/#/lm/network/21231", "https://cloud.oebiotech.com/#/lm/network/21231")</f>
        <v>https://cloud.oebiotech.com/#/lm/network/21231</v>
      </c>
      <c r="H996" s="2" t="s">
        <v>6983</v>
      </c>
      <c r="I996" s="2">
        <v>62309</v>
      </c>
      <c r="J996" s="2" t="s">
        <v>6984</v>
      </c>
      <c r="K996" s="2">
        <v>53480955</v>
      </c>
      <c r="L996" s="2"/>
      <c r="M996" s="2"/>
      <c r="N996" s="2"/>
      <c r="O996" s="2"/>
      <c r="P996" s="2"/>
      <c r="Q996" s="2"/>
      <c r="R996" s="2"/>
      <c r="S996" s="2" t="s">
        <v>6985</v>
      </c>
      <c r="T996" s="2" t="s">
        <v>6986</v>
      </c>
      <c r="U996" s="2" t="s">
        <v>56</v>
      </c>
      <c r="V996" s="2" t="s">
        <v>57</v>
      </c>
      <c r="W996" s="2" t="s">
        <v>155</v>
      </c>
      <c r="X996" s="2" t="s">
        <v>69</v>
      </c>
      <c r="Y996" s="2">
        <v>62</v>
      </c>
      <c r="Z996" s="2">
        <v>94.3</v>
      </c>
      <c r="AA996" s="2" t="s">
        <v>60</v>
      </c>
      <c r="AB996" s="2" t="s">
        <v>6987</v>
      </c>
      <c r="AC996" s="2">
        <v>3.0728315704850599</v>
      </c>
      <c r="AD996" s="2"/>
      <c r="AE996" s="2">
        <v>0.60074668030414502</v>
      </c>
      <c r="AF996" s="2">
        <v>49082.798284688797</v>
      </c>
      <c r="AG996" s="2">
        <v>63560.493571780797</v>
      </c>
      <c r="AH996" s="4">
        <v>0.77222179260232005</v>
      </c>
      <c r="AI996" s="4">
        <v>-0.37291282623869698</v>
      </c>
      <c r="AJ996" s="4" t="s">
        <v>62</v>
      </c>
      <c r="AK996" s="2">
        <v>0.45220020749461098</v>
      </c>
      <c r="AL996" s="2">
        <v>0.70528155934299797</v>
      </c>
      <c r="AM996" s="2">
        <v>36353.694884883596</v>
      </c>
      <c r="AN996" s="2">
        <v>26954.7617935044</v>
      </c>
      <c r="AO996" s="2">
        <v>19153.301022795498</v>
      </c>
      <c r="AP996" s="2">
        <v>42460.521146377803</v>
      </c>
      <c r="AQ996" s="2">
        <v>64020.280917891498</v>
      </c>
      <c r="AR996" s="2">
        <v>105554.22994268</v>
      </c>
      <c r="AS996" s="2">
        <v>28358.129230651499</v>
      </c>
      <c r="AT996" s="2">
        <v>26678.571176525798</v>
      </c>
      <c r="AU996" s="2">
        <v>78182.173094178899</v>
      </c>
      <c r="AV996" s="2">
        <v>105231.47189717001</v>
      </c>
      <c r="AW996" s="2">
        <v>88756.279151836803</v>
      </c>
      <c r="AX996" s="2">
        <v>54156.336880321898</v>
      </c>
    </row>
    <row r="997" spans="1:50" x14ac:dyDescent="0.25">
      <c r="A997" s="2" t="s">
        <v>6988</v>
      </c>
      <c r="B997" s="2">
        <v>368.08880081119298</v>
      </c>
      <c r="C997" s="2">
        <v>5.7529000000000003</v>
      </c>
      <c r="D997" s="2" t="s">
        <v>51</v>
      </c>
      <c r="E997" s="2" t="s">
        <v>6989</v>
      </c>
      <c r="F997" s="2">
        <v>199817</v>
      </c>
      <c r="G997" s="3" t="str">
        <f>HYPERLINK("https://cloud.oebiotech.com/#/lm/network/199817", "https://cloud.oebiotech.com/#/lm/network/199817")</f>
        <v>https://cloud.oebiotech.com/#/lm/network/199817</v>
      </c>
      <c r="H997" s="2" t="s">
        <v>6990</v>
      </c>
      <c r="I997" s="2">
        <v>1701</v>
      </c>
      <c r="J997" s="2"/>
      <c r="K997" s="2">
        <v>9799341</v>
      </c>
      <c r="L997" s="2"/>
      <c r="M997" s="2"/>
      <c r="N997" s="2"/>
      <c r="O997" s="2"/>
      <c r="P997" s="2"/>
      <c r="Q997" s="2"/>
      <c r="R997" s="2" t="s">
        <v>6991</v>
      </c>
      <c r="S997" s="2" t="s">
        <v>6992</v>
      </c>
      <c r="T997" s="2" t="s">
        <v>6993</v>
      </c>
      <c r="U997" s="2" t="s">
        <v>266</v>
      </c>
      <c r="V997" s="2" t="s">
        <v>2963</v>
      </c>
      <c r="W997" s="2" t="s">
        <v>240</v>
      </c>
      <c r="X997" s="2" t="s">
        <v>59</v>
      </c>
      <c r="Y997" s="2">
        <v>53.4</v>
      </c>
      <c r="Z997" s="2">
        <v>79.900000000000006</v>
      </c>
      <c r="AA997" s="2" t="s">
        <v>259</v>
      </c>
      <c r="AB997" s="2" t="s">
        <v>6994</v>
      </c>
      <c r="AC997" s="2">
        <v>3.55667506923943</v>
      </c>
      <c r="AD997" s="2"/>
      <c r="AE997" s="2">
        <v>0.60043343353353895</v>
      </c>
      <c r="AF997" s="2">
        <v>15435.0086084185</v>
      </c>
      <c r="AG997" s="2">
        <v>3575.9691036325898</v>
      </c>
      <c r="AH997" s="5">
        <v>4.31631486769255</v>
      </c>
      <c r="AI997" s="5">
        <v>2.1098001107688198</v>
      </c>
      <c r="AJ997" s="5" t="s">
        <v>139</v>
      </c>
      <c r="AK997" s="2">
        <v>0.30698111941751599</v>
      </c>
      <c r="AL997" s="2">
        <v>0.61718486487700497</v>
      </c>
      <c r="AM997" s="2">
        <v>64593.130364041099</v>
      </c>
      <c r="AN997" s="2">
        <v>6.0016438978364999</v>
      </c>
      <c r="AO997" s="2">
        <v>8.559877937157E-6</v>
      </c>
      <c r="AP997" s="2">
        <v>8.559877937157E-6</v>
      </c>
      <c r="AQ997" s="2">
        <v>24216.405015536198</v>
      </c>
      <c r="AR997" s="2">
        <v>3794.5146099163999</v>
      </c>
      <c r="AS997" s="2">
        <v>19255.2768909357</v>
      </c>
      <c r="AT997" s="2">
        <v>8.559877937157E-6</v>
      </c>
      <c r="AU997" s="2">
        <v>1608.21689157182</v>
      </c>
      <c r="AV997" s="2">
        <v>592.32081360840505</v>
      </c>
      <c r="AW997" s="2">
        <v>8.559877937157E-6</v>
      </c>
      <c r="AX997" s="2">
        <v>8.559877937157E-6</v>
      </c>
    </row>
    <row r="998" spans="1:50" x14ac:dyDescent="0.25">
      <c r="A998" s="2" t="s">
        <v>6995</v>
      </c>
      <c r="B998" s="2">
        <v>239.0852295254</v>
      </c>
      <c r="C998" s="2">
        <v>5.7540833333333303</v>
      </c>
      <c r="D998" s="2" t="s">
        <v>51</v>
      </c>
      <c r="E998" s="2" t="s">
        <v>6996</v>
      </c>
      <c r="F998" s="2">
        <v>279964</v>
      </c>
      <c r="G998" s="3" t="str">
        <f>HYPERLINK("https://cloud.oebiotech.com/#/lm/network/279964", "https://cloud.oebiotech.com/#/lm/network/279964")</f>
        <v>https://cloud.oebiotech.com/#/lm/network/279964</v>
      </c>
      <c r="H998" s="2"/>
      <c r="I998" s="2">
        <v>72828</v>
      </c>
      <c r="J998" s="2"/>
      <c r="K998" s="2">
        <v>3034319</v>
      </c>
      <c r="L998" s="2" t="s">
        <v>6997</v>
      </c>
      <c r="M998" s="2"/>
      <c r="N998" s="2"/>
      <c r="O998" s="2"/>
      <c r="P998" s="2"/>
      <c r="Q998" s="2"/>
      <c r="R998" s="2" t="s">
        <v>6998</v>
      </c>
      <c r="S998" s="2" t="s">
        <v>6999</v>
      </c>
      <c r="T998" s="2" t="s">
        <v>7000</v>
      </c>
      <c r="U998" s="2" t="s">
        <v>610</v>
      </c>
      <c r="V998" s="2" t="s">
        <v>611</v>
      </c>
      <c r="W998" s="2" t="s">
        <v>6372</v>
      </c>
      <c r="X998" s="2" t="s">
        <v>147</v>
      </c>
      <c r="Y998" s="2">
        <v>36.4</v>
      </c>
      <c r="Z998" s="2">
        <v>0</v>
      </c>
      <c r="AA998" s="2" t="s">
        <v>218</v>
      </c>
      <c r="AB998" s="2" t="s">
        <v>7001</v>
      </c>
      <c r="AC998" s="2">
        <v>-3.8271508931380001</v>
      </c>
      <c r="AD998" s="2"/>
      <c r="AE998" s="2">
        <v>0.60042204830465296</v>
      </c>
      <c r="AF998" s="2">
        <v>9777.1301835892791</v>
      </c>
      <c r="AG998" s="2">
        <v>18458.167630966502</v>
      </c>
      <c r="AH998" s="4">
        <v>0.52969126616807705</v>
      </c>
      <c r="AI998" s="4">
        <v>-0.91677637398074396</v>
      </c>
      <c r="AJ998" s="4" t="s">
        <v>62</v>
      </c>
      <c r="AK998" s="2">
        <v>5.1607890771880702E-2</v>
      </c>
      <c r="AL998" s="2">
        <v>0.314574997446259</v>
      </c>
      <c r="AM998" s="2">
        <v>6780.6040378197504</v>
      </c>
      <c r="AN998" s="2">
        <v>9160.3032874897599</v>
      </c>
      <c r="AO998" s="2">
        <v>3569.6647731672801</v>
      </c>
      <c r="AP998" s="2">
        <v>12431.2943650282</v>
      </c>
      <c r="AQ998" s="2">
        <v>8074.3475968847197</v>
      </c>
      <c r="AR998" s="2">
        <v>18646.567041146001</v>
      </c>
      <c r="AS998" s="2">
        <v>25236.667853636402</v>
      </c>
      <c r="AT998" s="2">
        <v>21393.812553971198</v>
      </c>
      <c r="AU998" s="2">
        <v>7138.2726334354802</v>
      </c>
      <c r="AV998" s="2">
        <v>28737.677633365001</v>
      </c>
      <c r="AW998" s="2">
        <v>13562.685968387899</v>
      </c>
      <c r="AX998" s="2">
        <v>14679.8891430032</v>
      </c>
    </row>
    <row r="999" spans="1:50" x14ac:dyDescent="0.25">
      <c r="A999" s="2" t="s">
        <v>7002</v>
      </c>
      <c r="B999" s="2">
        <v>395.244352400281</v>
      </c>
      <c r="C999" s="2">
        <v>8.1777666666666704</v>
      </c>
      <c r="D999" s="2" t="s">
        <v>51</v>
      </c>
      <c r="E999" s="2" t="s">
        <v>7003</v>
      </c>
      <c r="F999" s="2">
        <v>267515</v>
      </c>
      <c r="G999" s="3" t="str">
        <f>HYPERLINK("https://cloud.oebiotech.com/#/lm/network/267515", "https://cloud.oebiotech.com/#/lm/network/267515")</f>
        <v>https://cloud.oebiotech.com/#/lm/network/267515</v>
      </c>
      <c r="H999" s="2"/>
      <c r="I999" s="2">
        <v>45595</v>
      </c>
      <c r="J999" s="2"/>
      <c r="K999" s="2">
        <v>10905349</v>
      </c>
      <c r="L999" s="2"/>
      <c r="M999" s="2"/>
      <c r="N999" s="2"/>
      <c r="O999" s="2"/>
      <c r="P999" s="2"/>
      <c r="Q999" s="2"/>
      <c r="R999" s="2" t="s">
        <v>7004</v>
      </c>
      <c r="S999" s="2" t="s">
        <v>7005</v>
      </c>
      <c r="T999" s="2" t="s">
        <v>7006</v>
      </c>
      <c r="U999" s="2" t="s">
        <v>56</v>
      </c>
      <c r="V999" s="2" t="s">
        <v>145</v>
      </c>
      <c r="W999" s="2" t="s">
        <v>187</v>
      </c>
      <c r="X999" s="2" t="s">
        <v>147</v>
      </c>
      <c r="Y999" s="2">
        <v>41.2</v>
      </c>
      <c r="Z999" s="2">
        <v>15.5</v>
      </c>
      <c r="AA999" s="2" t="s">
        <v>163</v>
      </c>
      <c r="AB999" s="2" t="s">
        <v>7007</v>
      </c>
      <c r="AC999" s="2">
        <v>1.1103068299130801</v>
      </c>
      <c r="AD999" s="2"/>
      <c r="AE999" s="2">
        <v>0.600354643028152</v>
      </c>
      <c r="AF999" s="2">
        <v>23532.174685821301</v>
      </c>
      <c r="AG999" s="2">
        <v>12833.1135152405</v>
      </c>
      <c r="AH999" s="5">
        <v>1.8337073585357699</v>
      </c>
      <c r="AI999" s="5">
        <v>0.87476341751733799</v>
      </c>
      <c r="AJ999" s="5" t="s">
        <v>139</v>
      </c>
      <c r="AK999" s="2">
        <v>4.2508052523916602E-2</v>
      </c>
      <c r="AL999" s="2">
        <v>0.29379546895749997</v>
      </c>
      <c r="AM999" s="2">
        <v>33113.864105079301</v>
      </c>
      <c r="AN999" s="2">
        <v>19878.118264479399</v>
      </c>
      <c r="AO999" s="2">
        <v>8612.6257248018301</v>
      </c>
      <c r="AP999" s="2">
        <v>18212.388184736901</v>
      </c>
      <c r="AQ999" s="2">
        <v>25220.2371358079</v>
      </c>
      <c r="AR999" s="2">
        <v>36155.814700022704</v>
      </c>
      <c r="AS999" s="2">
        <v>19344.217938257101</v>
      </c>
      <c r="AT999" s="2">
        <v>6722.6784819261002</v>
      </c>
      <c r="AU999" s="2">
        <v>16847.9169699062</v>
      </c>
      <c r="AV999" s="2">
        <v>8901.2530096743194</v>
      </c>
      <c r="AW999" s="2">
        <v>10811.295916532399</v>
      </c>
      <c r="AX999" s="2">
        <v>14371.318775146799</v>
      </c>
    </row>
    <row r="1000" spans="1:50" x14ac:dyDescent="0.25">
      <c r="A1000" s="2" t="s">
        <v>7008</v>
      </c>
      <c r="B1000" s="2">
        <v>385.23593114659002</v>
      </c>
      <c r="C1000" s="2">
        <v>10.011466666666699</v>
      </c>
      <c r="D1000" s="2" t="s">
        <v>51</v>
      </c>
      <c r="E1000" s="2" t="s">
        <v>7009</v>
      </c>
      <c r="F1000" s="2">
        <v>4899</v>
      </c>
      <c r="G1000" s="3" t="str">
        <f>HYPERLINK("https://cloud.oebiotech.com/#/lm/network/4899", "https://cloud.oebiotech.com/#/lm/network/4899")</f>
        <v>https://cloud.oebiotech.com/#/lm/network/4899</v>
      </c>
      <c r="H1000" s="2"/>
      <c r="I1000" s="2"/>
      <c r="J1000" s="2" t="s">
        <v>7010</v>
      </c>
      <c r="K1000" s="2">
        <v>86288884</v>
      </c>
      <c r="L1000" s="2"/>
      <c r="M1000" s="2"/>
      <c r="N1000" s="2"/>
      <c r="O1000" s="2">
        <v>140265</v>
      </c>
      <c r="P1000" s="2" t="s">
        <v>7011</v>
      </c>
      <c r="Q1000" s="2" t="s">
        <v>7012</v>
      </c>
      <c r="R1000" s="2"/>
      <c r="S1000" s="2" t="s">
        <v>7013</v>
      </c>
      <c r="T1000" s="2" t="s">
        <v>7014</v>
      </c>
      <c r="U1000" s="2" t="s">
        <v>56</v>
      </c>
      <c r="V1000" s="2" t="s">
        <v>145</v>
      </c>
      <c r="W1000" s="2" t="s">
        <v>231</v>
      </c>
      <c r="X1000" s="2" t="s">
        <v>83</v>
      </c>
      <c r="Y1000" s="2">
        <v>54.2</v>
      </c>
      <c r="Z1000" s="2">
        <v>0</v>
      </c>
      <c r="AA1000" s="2" t="s">
        <v>95</v>
      </c>
      <c r="AB1000" s="2" t="s">
        <v>2410</v>
      </c>
      <c r="AC1000" s="2">
        <v>2.76303609362868</v>
      </c>
      <c r="AD1000" s="2"/>
      <c r="AE1000" s="2">
        <v>0.60002371948584199</v>
      </c>
      <c r="AF1000" s="2">
        <v>24126.218432711401</v>
      </c>
      <c r="AG1000" s="2">
        <v>14736.9192880188</v>
      </c>
      <c r="AH1000" s="5">
        <v>1.6371276764965501</v>
      </c>
      <c r="AI1000" s="5">
        <v>0.71116683926202995</v>
      </c>
      <c r="AJ1000" s="5" t="s">
        <v>139</v>
      </c>
      <c r="AK1000" s="2">
        <v>0.102278390971882</v>
      </c>
      <c r="AL1000" s="2">
        <v>0.40647423480565198</v>
      </c>
      <c r="AM1000" s="2">
        <v>42786.955278225898</v>
      </c>
      <c r="AN1000" s="2">
        <v>23166.0358022121</v>
      </c>
      <c r="AO1000" s="2">
        <v>12199.0935601984</v>
      </c>
      <c r="AP1000" s="2">
        <v>16912.323013081201</v>
      </c>
      <c r="AQ1000" s="2">
        <v>22971.902889776498</v>
      </c>
      <c r="AR1000" s="2">
        <v>26721.0000527745</v>
      </c>
      <c r="AS1000" s="2">
        <v>14673.100158715401</v>
      </c>
      <c r="AT1000" s="2">
        <v>7010.7472599472503</v>
      </c>
      <c r="AU1000" s="2">
        <v>26683.809954324999</v>
      </c>
      <c r="AV1000" s="2">
        <v>8503.6129031977998</v>
      </c>
      <c r="AW1000" s="2">
        <v>19135.009128743</v>
      </c>
      <c r="AX1000" s="2">
        <v>12415.236323184299</v>
      </c>
    </row>
    <row r="1001" spans="1:50" x14ac:dyDescent="0.25">
      <c r="A1001" s="2" t="s">
        <v>7015</v>
      </c>
      <c r="B1001" s="2">
        <v>92.994570312335298</v>
      </c>
      <c r="C1001" s="2">
        <v>13.510733333333301</v>
      </c>
      <c r="D1001" s="2" t="s">
        <v>51</v>
      </c>
      <c r="E1001" s="2" t="s">
        <v>7016</v>
      </c>
      <c r="F1001" s="2">
        <v>47987</v>
      </c>
      <c r="G1001" s="3" t="str">
        <f>HYPERLINK("https://cloud.oebiotech.com/#/lm/network/47987", "https://cloud.oebiotech.com/#/lm/network/47987")</f>
        <v>https://cloud.oebiotech.com/#/lm/network/47987</v>
      </c>
      <c r="H1001" s="2" t="s">
        <v>7017</v>
      </c>
      <c r="I1001" s="2">
        <v>354711</v>
      </c>
      <c r="J1001" s="2"/>
      <c r="K1001" s="2">
        <v>24529</v>
      </c>
      <c r="L1001" s="2" t="s">
        <v>7018</v>
      </c>
      <c r="M1001" s="2" t="s">
        <v>7019</v>
      </c>
      <c r="N1001" s="2" t="s">
        <v>7020</v>
      </c>
      <c r="O1001" s="2">
        <v>25567</v>
      </c>
      <c r="P1001" s="2" t="s">
        <v>7021</v>
      </c>
      <c r="Q1001" s="2" t="s">
        <v>7022</v>
      </c>
      <c r="R1001" s="2" t="s">
        <v>7023</v>
      </c>
      <c r="S1001" s="2" t="s">
        <v>7024</v>
      </c>
      <c r="T1001" s="2" t="s">
        <v>7025</v>
      </c>
      <c r="U1001" s="2" t="s">
        <v>683</v>
      </c>
      <c r="V1001" s="2" t="s">
        <v>684</v>
      </c>
      <c r="W1001" s="2" t="s">
        <v>7026</v>
      </c>
      <c r="X1001" s="2" t="s">
        <v>147</v>
      </c>
      <c r="Y1001" s="2">
        <v>38.9</v>
      </c>
      <c r="Z1001" s="2">
        <v>0</v>
      </c>
      <c r="AA1001" s="2" t="s">
        <v>478</v>
      </c>
      <c r="AB1001" s="2" t="s">
        <v>7027</v>
      </c>
      <c r="AC1001" s="2">
        <v>4.1509181832619904</v>
      </c>
      <c r="AD1001" s="2"/>
      <c r="AE1001" s="2">
        <v>0.599662641583389</v>
      </c>
      <c r="AF1001" s="2">
        <v>39437.094230263901</v>
      </c>
      <c r="AG1001" s="2">
        <v>46370.262416499703</v>
      </c>
      <c r="AH1001" s="4">
        <v>0.85048244661715</v>
      </c>
      <c r="AI1001" s="4">
        <v>-0.23364663494193999</v>
      </c>
      <c r="AJ1001" s="4" t="s">
        <v>62</v>
      </c>
      <c r="AK1001" s="2">
        <v>1.7243105976387999E-3</v>
      </c>
      <c r="AL1001" s="2">
        <v>9.9661006488224596E-2</v>
      </c>
      <c r="AM1001" s="2">
        <v>35144.816600524697</v>
      </c>
      <c r="AN1001" s="2">
        <v>38392.211411505297</v>
      </c>
      <c r="AO1001" s="2">
        <v>40325.935897175303</v>
      </c>
      <c r="AP1001" s="2">
        <v>40430.206744837698</v>
      </c>
      <c r="AQ1001" s="2">
        <v>44131.559725985797</v>
      </c>
      <c r="AR1001" s="2">
        <v>38197.835001554602</v>
      </c>
      <c r="AS1001" s="2">
        <v>47038.234843665698</v>
      </c>
      <c r="AT1001" s="2">
        <v>48839.3751379245</v>
      </c>
      <c r="AU1001" s="2">
        <v>41703.330079548803</v>
      </c>
      <c r="AV1001" s="2">
        <v>48644.266646228403</v>
      </c>
      <c r="AW1001" s="2">
        <v>45079.523614370999</v>
      </c>
      <c r="AX1001" s="2">
        <v>46916.844177259598</v>
      </c>
    </row>
    <row r="1002" spans="1:50" x14ac:dyDescent="0.25">
      <c r="A1002" s="2" t="s">
        <v>7028</v>
      </c>
      <c r="B1002" s="2">
        <v>570.27856206407102</v>
      </c>
      <c r="C1002" s="2">
        <v>4.6654666666666698</v>
      </c>
      <c r="D1002" s="2" t="s">
        <v>51</v>
      </c>
      <c r="E1002" s="2" t="s">
        <v>7029</v>
      </c>
      <c r="F1002" s="2">
        <v>52125</v>
      </c>
      <c r="G1002" s="3" t="str">
        <f>HYPERLINK("https://cloud.oebiotech.com/#/lm/network/52125", "https://cloud.oebiotech.com/#/lm/network/52125")</f>
        <v>https://cloud.oebiotech.com/#/lm/network/52125</v>
      </c>
      <c r="H1002" s="2" t="s">
        <v>7030</v>
      </c>
      <c r="I1002" s="2"/>
      <c r="J1002" s="2"/>
      <c r="K1002" s="2">
        <v>71351622</v>
      </c>
      <c r="L1002" s="2"/>
      <c r="M1002" s="2"/>
      <c r="N1002" s="2"/>
      <c r="O1002" s="2"/>
      <c r="P1002" s="2"/>
      <c r="Q1002" s="2"/>
      <c r="R1002" s="2" t="s">
        <v>7031</v>
      </c>
      <c r="S1002" s="2" t="s">
        <v>7032</v>
      </c>
      <c r="T1002" s="2" t="s">
        <v>7033</v>
      </c>
      <c r="U1002" s="2" t="s">
        <v>103</v>
      </c>
      <c r="V1002" s="2" t="s">
        <v>104</v>
      </c>
      <c r="W1002" s="2" t="s">
        <v>105</v>
      </c>
      <c r="X1002" s="2" t="s">
        <v>59</v>
      </c>
      <c r="Y1002" s="2">
        <v>50.1</v>
      </c>
      <c r="Z1002" s="2">
        <v>58.9</v>
      </c>
      <c r="AA1002" s="2" t="s">
        <v>163</v>
      </c>
      <c r="AB1002" s="2" t="s">
        <v>7034</v>
      </c>
      <c r="AC1002" s="2">
        <v>-1.47290512555319</v>
      </c>
      <c r="AD1002" s="2"/>
      <c r="AE1002" s="2">
        <v>0.59917214709643396</v>
      </c>
      <c r="AF1002" s="2">
        <v>3099.79521023694</v>
      </c>
      <c r="AG1002" s="2">
        <v>20811.563892654602</v>
      </c>
      <c r="AH1002" s="4">
        <v>0.148945808504617</v>
      </c>
      <c r="AI1002" s="4">
        <v>-2.7471405697201101</v>
      </c>
      <c r="AJ1002" s="4" t="s">
        <v>62</v>
      </c>
      <c r="AK1002" s="2">
        <v>0.38506363235299101</v>
      </c>
      <c r="AL1002" s="2">
        <v>0.66148343152754197</v>
      </c>
      <c r="AM1002" s="2">
        <v>9689.3478029933194</v>
      </c>
      <c r="AN1002" s="2">
        <v>8.559877937157E-6</v>
      </c>
      <c r="AO1002" s="2">
        <v>8.559877937157E-6</v>
      </c>
      <c r="AP1002" s="2">
        <v>8.559877937157E-6</v>
      </c>
      <c r="AQ1002" s="2">
        <v>4924.4673271226202</v>
      </c>
      <c r="AR1002" s="2">
        <v>3984.95610562604</v>
      </c>
      <c r="AS1002" s="2">
        <v>8.559877937157E-6</v>
      </c>
      <c r="AT1002" s="2">
        <v>8.559877937157E-6</v>
      </c>
      <c r="AU1002" s="2">
        <v>328.61569283881602</v>
      </c>
      <c r="AV1002" s="2">
        <v>117828.02157046599</v>
      </c>
      <c r="AW1002" s="2">
        <v>8.559877937157E-6</v>
      </c>
      <c r="AX1002" s="2">
        <v>6712.7460669429001</v>
      </c>
    </row>
    <row r="1003" spans="1:50" x14ac:dyDescent="0.25">
      <c r="A1003" s="2" t="s">
        <v>7035</v>
      </c>
      <c r="B1003" s="2">
        <v>373.20208975515698</v>
      </c>
      <c r="C1003" s="2">
        <v>7.9022333333333297</v>
      </c>
      <c r="D1003" s="2" t="s">
        <v>51</v>
      </c>
      <c r="E1003" s="2" t="s">
        <v>7036</v>
      </c>
      <c r="F1003" s="2">
        <v>267514</v>
      </c>
      <c r="G1003" s="3" t="str">
        <f>HYPERLINK("https://cloud.oebiotech.com/#/lm/network/267514", "https://cloud.oebiotech.com/#/lm/network/267514")</f>
        <v>https://cloud.oebiotech.com/#/lm/network/267514</v>
      </c>
      <c r="H1003" s="2"/>
      <c r="I1003" s="2">
        <v>45594</v>
      </c>
      <c r="J1003" s="2"/>
      <c r="K1003" s="2">
        <v>35021687</v>
      </c>
      <c r="L1003" s="2"/>
      <c r="M1003" s="2"/>
      <c r="N1003" s="2"/>
      <c r="O1003" s="2"/>
      <c r="P1003" s="2"/>
      <c r="Q1003" s="2"/>
      <c r="R1003" s="2"/>
      <c r="S1003" s="2" t="s">
        <v>7037</v>
      </c>
      <c r="T1003" s="2" t="s">
        <v>7038</v>
      </c>
      <c r="U1003" s="2" t="s">
        <v>56</v>
      </c>
      <c r="V1003" s="2" t="s">
        <v>145</v>
      </c>
      <c r="W1003" s="2" t="s">
        <v>187</v>
      </c>
      <c r="X1003" s="2" t="s">
        <v>83</v>
      </c>
      <c r="Y1003" s="2">
        <v>56.1</v>
      </c>
      <c r="Z1003" s="2">
        <v>0</v>
      </c>
      <c r="AA1003" s="2" t="s">
        <v>163</v>
      </c>
      <c r="AB1003" s="2" t="s">
        <v>807</v>
      </c>
      <c r="AC1003" s="2">
        <v>0.112576717040051</v>
      </c>
      <c r="AD1003" s="2"/>
      <c r="AE1003" s="2">
        <v>0.59901258953006198</v>
      </c>
      <c r="AF1003" s="2">
        <v>15148.9548699838</v>
      </c>
      <c r="AG1003" s="2">
        <v>6649.6685891766001</v>
      </c>
      <c r="AH1003" s="5">
        <v>2.2781518607771201</v>
      </c>
      <c r="AI1003" s="5">
        <v>1.1878639197798699</v>
      </c>
      <c r="AJ1003" s="5" t="s">
        <v>139</v>
      </c>
      <c r="AK1003" s="2">
        <v>9.3758673948689294E-2</v>
      </c>
      <c r="AL1003" s="2">
        <v>0.39417622961029303</v>
      </c>
      <c r="AM1003" s="2">
        <v>37378.194332678097</v>
      </c>
      <c r="AN1003" s="2">
        <v>10103.2755126629</v>
      </c>
      <c r="AO1003" s="2">
        <v>9809.4919872377104</v>
      </c>
      <c r="AP1003" s="2">
        <v>12097.316163502701</v>
      </c>
      <c r="AQ1003" s="2">
        <v>7939.2459020551796</v>
      </c>
      <c r="AR1003" s="2">
        <v>13566.2053217664</v>
      </c>
      <c r="AS1003" s="2">
        <v>8473.8353788961394</v>
      </c>
      <c r="AT1003" s="2">
        <v>7129.22557849021</v>
      </c>
      <c r="AU1003" s="2">
        <v>7887.1285016956599</v>
      </c>
      <c r="AV1003" s="2">
        <v>3182.29444484962</v>
      </c>
      <c r="AW1003" s="2">
        <v>5406.25110452846</v>
      </c>
      <c r="AX1003" s="2">
        <v>7819.2765265995304</v>
      </c>
    </row>
    <row r="1004" spans="1:50" x14ac:dyDescent="0.25">
      <c r="A1004" s="2" t="s">
        <v>7039</v>
      </c>
      <c r="B1004" s="2">
        <v>700.45390935840101</v>
      </c>
      <c r="C1004" s="2">
        <v>12.698066666666699</v>
      </c>
      <c r="D1004" s="2" t="s">
        <v>51</v>
      </c>
      <c r="E1004" s="2" t="s">
        <v>7040</v>
      </c>
      <c r="F1004" s="2">
        <v>22341</v>
      </c>
      <c r="G1004" s="3" t="str">
        <f>HYPERLINK("https://cloud.oebiotech.com/#/lm/network/22341", "https://cloud.oebiotech.com/#/lm/network/22341")</f>
        <v>https://cloud.oebiotech.com/#/lm/network/22341</v>
      </c>
      <c r="H1004" s="2"/>
      <c r="I1004" s="2">
        <v>78742</v>
      </c>
      <c r="J1004" s="2" t="s">
        <v>7041</v>
      </c>
      <c r="K1004" s="2">
        <v>52926184</v>
      </c>
      <c r="L1004" s="2"/>
      <c r="M1004" s="2"/>
      <c r="N1004" s="2"/>
      <c r="O1004" s="2">
        <v>143230</v>
      </c>
      <c r="P1004" s="2"/>
      <c r="Q1004" s="2"/>
      <c r="R1004" s="2"/>
      <c r="S1004" s="2" t="s">
        <v>7042</v>
      </c>
      <c r="T1004" s="2" t="s">
        <v>7043</v>
      </c>
      <c r="U1004" s="2" t="s">
        <v>56</v>
      </c>
      <c r="V1004" s="2" t="s">
        <v>57</v>
      </c>
      <c r="W1004" s="2" t="s">
        <v>82</v>
      </c>
      <c r="X1004" s="2" t="s">
        <v>83</v>
      </c>
      <c r="Y1004" s="2">
        <v>43.8</v>
      </c>
      <c r="Z1004" s="2">
        <v>0</v>
      </c>
      <c r="AA1004" s="2" t="s">
        <v>95</v>
      </c>
      <c r="AB1004" s="2" t="s">
        <v>7044</v>
      </c>
      <c r="AC1004" s="2">
        <v>2.2426116573644701</v>
      </c>
      <c r="AD1004" s="2"/>
      <c r="AE1004" s="2">
        <v>0.59821299935813499</v>
      </c>
      <c r="AF1004" s="2">
        <v>29735.573677508299</v>
      </c>
      <c r="AG1004" s="2">
        <v>18846.620276125301</v>
      </c>
      <c r="AH1004" s="5">
        <v>1.5777669015370901</v>
      </c>
      <c r="AI1004" s="5">
        <v>0.65788407807830096</v>
      </c>
      <c r="AJ1004" s="5" t="s">
        <v>139</v>
      </c>
      <c r="AK1004" s="2">
        <v>0.37310722090314102</v>
      </c>
      <c r="AL1004" s="2">
        <v>0.65472164164869395</v>
      </c>
      <c r="AM1004" s="2">
        <v>55123.753670056401</v>
      </c>
      <c r="AN1004" s="2">
        <v>65472.625918402897</v>
      </c>
      <c r="AO1004" s="2">
        <v>23189.882647381099</v>
      </c>
      <c r="AP1004" s="2">
        <v>25648.204059393</v>
      </c>
      <c r="AQ1004" s="2">
        <v>2530.6759255441498</v>
      </c>
      <c r="AR1004" s="2">
        <v>6448.2998442724302</v>
      </c>
      <c r="AS1004" s="2">
        <v>8.559877937157E-6</v>
      </c>
      <c r="AT1004" s="2">
        <v>26948.2469958207</v>
      </c>
      <c r="AU1004" s="2">
        <v>21642.5830045353</v>
      </c>
      <c r="AV1004" s="2">
        <v>35517.298352975296</v>
      </c>
      <c r="AW1004" s="2">
        <v>8022.6456323577304</v>
      </c>
      <c r="AX1004" s="2">
        <v>20948.947662502698</v>
      </c>
    </row>
    <row r="1005" spans="1:50" x14ac:dyDescent="0.25">
      <c r="A1005" s="2" t="s">
        <v>7045</v>
      </c>
      <c r="B1005" s="2">
        <v>349.16774954504899</v>
      </c>
      <c r="C1005" s="2">
        <v>6.84148333333333</v>
      </c>
      <c r="D1005" s="2" t="s">
        <v>51</v>
      </c>
      <c r="E1005" s="2" t="s">
        <v>7046</v>
      </c>
      <c r="F1005" s="2">
        <v>35561</v>
      </c>
      <c r="G1005" s="3" t="str">
        <f>HYPERLINK("https://cloud.oebiotech.com/#/lm/network/35561", "https://cloud.oebiotech.com/#/lm/network/35561")</f>
        <v>https://cloud.oebiotech.com/#/lm/network/35561</v>
      </c>
      <c r="H1005" s="2"/>
      <c r="I1005" s="2"/>
      <c r="J1005" s="2" t="s">
        <v>7047</v>
      </c>
      <c r="K1005" s="2"/>
      <c r="L1005" s="2"/>
      <c r="M1005" s="2"/>
      <c r="N1005" s="2"/>
      <c r="O1005" s="2"/>
      <c r="P1005" s="2"/>
      <c r="Q1005" s="2"/>
      <c r="R1005" s="2"/>
      <c r="S1005" s="2" t="s">
        <v>7048</v>
      </c>
      <c r="T1005" s="2" t="s">
        <v>7049</v>
      </c>
      <c r="U1005" s="2" t="s">
        <v>56</v>
      </c>
      <c r="V1005" s="2" t="s">
        <v>145</v>
      </c>
      <c r="W1005" s="2" t="s">
        <v>1188</v>
      </c>
      <c r="X1005" s="2" t="s">
        <v>83</v>
      </c>
      <c r="Y1005" s="2">
        <v>37.4</v>
      </c>
      <c r="Z1005" s="2">
        <v>0</v>
      </c>
      <c r="AA1005" s="2" t="s">
        <v>163</v>
      </c>
      <c r="AB1005" s="2" t="s">
        <v>7050</v>
      </c>
      <c r="AC1005" s="2">
        <v>5.9611284565023297</v>
      </c>
      <c r="AD1005" s="2"/>
      <c r="AE1005" s="2">
        <v>0.59818755839190196</v>
      </c>
      <c r="AF1005" s="2">
        <v>295.08625521597799</v>
      </c>
      <c r="AG1005" s="2">
        <v>12833.9196797155</v>
      </c>
      <c r="AH1005" s="4">
        <v>2.2992683652397601E-2</v>
      </c>
      <c r="AI1005" s="4">
        <v>-5.4426813258913498</v>
      </c>
      <c r="AJ1005" s="4" t="s">
        <v>62</v>
      </c>
      <c r="AK1005" s="2">
        <v>5.8984572151595298E-2</v>
      </c>
      <c r="AL1005" s="2">
        <v>0.32837652512840398</v>
      </c>
      <c r="AM1005" s="2">
        <v>8.559877937157E-6</v>
      </c>
      <c r="AN1005" s="2">
        <v>105.37775072556001</v>
      </c>
      <c r="AO1005" s="2">
        <v>8.559877937157E-6</v>
      </c>
      <c r="AP1005" s="2">
        <v>8.559877937157E-6</v>
      </c>
      <c r="AQ1005" s="2">
        <v>635.434259069615</v>
      </c>
      <c r="AR1005" s="2">
        <v>1029.7054958210599</v>
      </c>
      <c r="AS1005" s="2">
        <v>13951.0456512376</v>
      </c>
      <c r="AT1005" s="2">
        <v>33421.334604605698</v>
      </c>
      <c r="AU1005" s="2">
        <v>8.559877937157E-6</v>
      </c>
      <c r="AV1005" s="2">
        <v>26561.814053214501</v>
      </c>
      <c r="AW1005" s="2">
        <v>3069.3237521153801</v>
      </c>
      <c r="AX1005" s="2">
        <v>8.559877937157E-6</v>
      </c>
    </row>
    <row r="1006" spans="1:50" x14ac:dyDescent="0.25">
      <c r="A1006" s="2" t="s">
        <v>7051</v>
      </c>
      <c r="B1006" s="2">
        <v>345.24359144424102</v>
      </c>
      <c r="C1006" s="2">
        <v>10.153133333333299</v>
      </c>
      <c r="D1006" s="2" t="s">
        <v>51</v>
      </c>
      <c r="E1006" s="2" t="s">
        <v>7052</v>
      </c>
      <c r="F1006" s="2">
        <v>4857</v>
      </c>
      <c r="G1006" s="3" t="str">
        <f>HYPERLINK("https://cloud.oebiotech.com/#/lm/network/4857", "https://cloud.oebiotech.com/#/lm/network/4857")</f>
        <v>https://cloud.oebiotech.com/#/lm/network/4857</v>
      </c>
      <c r="H1006" s="2"/>
      <c r="I1006" s="2">
        <v>36457</v>
      </c>
      <c r="J1006" s="2" t="s">
        <v>7053</v>
      </c>
      <c r="K1006" s="2">
        <v>16061147</v>
      </c>
      <c r="L1006" s="2"/>
      <c r="M1006" s="2"/>
      <c r="N1006" s="2"/>
      <c r="O1006" s="2"/>
      <c r="P1006" s="2"/>
      <c r="Q1006" s="2"/>
      <c r="R1006" s="2"/>
      <c r="S1006" s="2" t="s">
        <v>7054</v>
      </c>
      <c r="T1006" s="2" t="s">
        <v>7055</v>
      </c>
      <c r="U1006" s="2" t="s">
        <v>56</v>
      </c>
      <c r="V1006" s="2" t="s">
        <v>145</v>
      </c>
      <c r="W1006" s="2" t="s">
        <v>231</v>
      </c>
      <c r="X1006" s="2" t="s">
        <v>83</v>
      </c>
      <c r="Y1006" s="2">
        <v>51.1</v>
      </c>
      <c r="Z1006" s="2">
        <v>0</v>
      </c>
      <c r="AA1006" s="2" t="s">
        <v>156</v>
      </c>
      <c r="AB1006" s="2" t="s">
        <v>2410</v>
      </c>
      <c r="AC1006" s="2">
        <v>3.2301987036641702</v>
      </c>
      <c r="AD1006" s="2"/>
      <c r="AE1006" s="2">
        <v>0.59768950604915705</v>
      </c>
      <c r="AF1006" s="2">
        <v>30382.982716553801</v>
      </c>
      <c r="AG1006" s="2">
        <v>19814.1068166808</v>
      </c>
      <c r="AH1006" s="5">
        <v>1.53340158088658</v>
      </c>
      <c r="AI1006" s="5">
        <v>0.61673557232815501</v>
      </c>
      <c r="AJ1006" s="5" t="s">
        <v>139</v>
      </c>
      <c r="AK1006" s="2">
        <v>0.14863544682346799</v>
      </c>
      <c r="AL1006" s="2">
        <v>0.47024664296044399</v>
      </c>
      <c r="AM1006" s="2">
        <v>50328.412448588599</v>
      </c>
      <c r="AN1006" s="2">
        <v>26294.331420981001</v>
      </c>
      <c r="AO1006" s="2">
        <v>14940.9371872352</v>
      </c>
      <c r="AP1006" s="2">
        <v>23946.742575598299</v>
      </c>
      <c r="AQ1006" s="2">
        <v>29199.757177924399</v>
      </c>
      <c r="AR1006" s="2">
        <v>37587.7154889956</v>
      </c>
      <c r="AS1006" s="2">
        <v>19668.453741643199</v>
      </c>
      <c r="AT1006" s="2">
        <v>8830.9623828521599</v>
      </c>
      <c r="AU1006" s="2">
        <v>40541.420251185402</v>
      </c>
      <c r="AV1006" s="2">
        <v>11817.3937627182</v>
      </c>
      <c r="AW1006" s="2">
        <v>20572.2969310361</v>
      </c>
      <c r="AX1006" s="2">
        <v>17454.113830649902</v>
      </c>
    </row>
    <row r="1007" spans="1:50" x14ac:dyDescent="0.25">
      <c r="A1007" s="2" t="s">
        <v>7056</v>
      </c>
      <c r="B1007" s="2">
        <v>401.23089520871002</v>
      </c>
      <c r="C1007" s="2">
        <v>7.2197666666666702</v>
      </c>
      <c r="D1007" s="2" t="s">
        <v>51</v>
      </c>
      <c r="E1007" s="2" t="s">
        <v>7057</v>
      </c>
      <c r="F1007" s="2">
        <v>54990</v>
      </c>
      <c r="G1007" s="3" t="str">
        <f>HYPERLINK("https://cloud.oebiotech.com/#/lm/network/54990", "https://cloud.oebiotech.com/#/lm/network/54990")</f>
        <v>https://cloud.oebiotech.com/#/lm/network/54990</v>
      </c>
      <c r="H1007" s="2" t="s">
        <v>7058</v>
      </c>
      <c r="I1007" s="2">
        <v>86765</v>
      </c>
      <c r="J1007" s="2"/>
      <c r="K1007" s="2">
        <v>495442</v>
      </c>
      <c r="L1007" s="2"/>
      <c r="M1007" s="2"/>
      <c r="N1007" s="2"/>
      <c r="O1007" s="2">
        <v>175980</v>
      </c>
      <c r="P1007" s="2"/>
      <c r="Q1007" s="2"/>
      <c r="R1007" s="2" t="s">
        <v>7059</v>
      </c>
      <c r="S1007" s="2" t="s">
        <v>7060</v>
      </c>
      <c r="T1007" s="2" t="s">
        <v>7061</v>
      </c>
      <c r="U1007" s="2" t="s">
        <v>540</v>
      </c>
      <c r="V1007" s="2" t="s">
        <v>1826</v>
      </c>
      <c r="W1007" s="2" t="s">
        <v>240</v>
      </c>
      <c r="X1007" s="2" t="s">
        <v>147</v>
      </c>
      <c r="Y1007" s="2">
        <v>45.1</v>
      </c>
      <c r="Z1007" s="2">
        <v>42.6</v>
      </c>
      <c r="AA1007" s="2" t="s">
        <v>259</v>
      </c>
      <c r="AB1007" s="2" t="s">
        <v>7062</v>
      </c>
      <c r="AC1007" s="2">
        <v>-3.3864636595173998</v>
      </c>
      <c r="AD1007" s="2"/>
      <c r="AE1007" s="2">
        <v>0.59749625479518997</v>
      </c>
      <c r="AF1007" s="2">
        <v>24941.916237499401</v>
      </c>
      <c r="AG1007" s="2">
        <v>16156.067171794901</v>
      </c>
      <c r="AH1007" s="5">
        <v>1.54381112508883</v>
      </c>
      <c r="AI1007" s="5">
        <v>0.62649625936402098</v>
      </c>
      <c r="AJ1007" s="5" t="s">
        <v>139</v>
      </c>
      <c r="AK1007" s="2">
        <v>0.12966637976940701</v>
      </c>
      <c r="AL1007" s="2">
        <v>0.44843954713391498</v>
      </c>
      <c r="AM1007" s="2">
        <v>41918.751979795998</v>
      </c>
      <c r="AN1007" s="2">
        <v>33355.926469910897</v>
      </c>
      <c r="AO1007" s="2">
        <v>18945.643138645599</v>
      </c>
      <c r="AP1007" s="2">
        <v>17547.4795623104</v>
      </c>
      <c r="AQ1007" s="2">
        <v>17114.1110513854</v>
      </c>
      <c r="AR1007" s="2">
        <v>20769.585222948401</v>
      </c>
      <c r="AS1007" s="2">
        <v>25638.6226362329</v>
      </c>
      <c r="AT1007" s="2">
        <v>10909.6826483285</v>
      </c>
      <c r="AU1007" s="2">
        <v>25106.7920442943</v>
      </c>
      <c r="AV1007" s="2">
        <v>6283.7954733206598</v>
      </c>
      <c r="AW1007" s="2">
        <v>11312.1847415947</v>
      </c>
      <c r="AX1007" s="2">
        <v>17685.325486998499</v>
      </c>
    </row>
    <row r="1008" spans="1:50" x14ac:dyDescent="0.25">
      <c r="A1008" s="2" t="s">
        <v>7063</v>
      </c>
      <c r="B1008" s="2">
        <v>464.31475547598001</v>
      </c>
      <c r="C1008" s="2">
        <v>11.948033333333299</v>
      </c>
      <c r="D1008" s="2" t="s">
        <v>51</v>
      </c>
      <c r="E1008" s="2" t="s">
        <v>7064</v>
      </c>
      <c r="F1008" s="2">
        <v>21239</v>
      </c>
      <c r="G1008" s="3" t="str">
        <f>HYPERLINK("https://cloud.oebiotech.com/#/lm/network/21239", "https://cloud.oebiotech.com/#/lm/network/21239")</f>
        <v>https://cloud.oebiotech.com/#/lm/network/21239</v>
      </c>
      <c r="H1008" s="2"/>
      <c r="I1008" s="2">
        <v>46718</v>
      </c>
      <c r="J1008" s="2" t="s">
        <v>7065</v>
      </c>
      <c r="K1008" s="2">
        <v>42607468</v>
      </c>
      <c r="L1008" s="2"/>
      <c r="M1008" s="2"/>
      <c r="N1008" s="2"/>
      <c r="O1008" s="2">
        <v>137157</v>
      </c>
      <c r="P1008" s="2"/>
      <c r="Q1008" s="2"/>
      <c r="R1008" s="2"/>
      <c r="S1008" s="2" t="s">
        <v>7066</v>
      </c>
      <c r="T1008" s="2" t="s">
        <v>7067</v>
      </c>
      <c r="U1008" s="2" t="s">
        <v>56</v>
      </c>
      <c r="V1008" s="2" t="s">
        <v>57</v>
      </c>
      <c r="W1008" s="2" t="s">
        <v>155</v>
      </c>
      <c r="X1008" s="2" t="s">
        <v>69</v>
      </c>
      <c r="Y1008" s="2">
        <v>69.5</v>
      </c>
      <c r="Z1008" s="2">
        <v>76.8</v>
      </c>
      <c r="AA1008" s="2" t="s">
        <v>163</v>
      </c>
      <c r="AB1008" s="2" t="s">
        <v>7068</v>
      </c>
      <c r="AC1008" s="2">
        <v>0.229983704573931</v>
      </c>
      <c r="AD1008" s="2"/>
      <c r="AE1008" s="2">
        <v>0.59728376728391397</v>
      </c>
      <c r="AF1008" s="2">
        <v>266097.04480399803</v>
      </c>
      <c r="AG1008" s="2">
        <v>314432.39549811999</v>
      </c>
      <c r="AH1008" s="4">
        <v>0.84627744664302296</v>
      </c>
      <c r="AI1008" s="4">
        <v>-0.24079737566069001</v>
      </c>
      <c r="AJ1008" s="4" t="s">
        <v>62</v>
      </c>
      <c r="AK1008" s="2">
        <v>0.48936402889587699</v>
      </c>
      <c r="AL1008" s="2">
        <v>0.73154848154225005</v>
      </c>
      <c r="AM1008" s="2">
        <v>473374.09844478901</v>
      </c>
      <c r="AN1008" s="2">
        <v>191680.332141488</v>
      </c>
      <c r="AO1008" s="2">
        <v>241950.418940153</v>
      </c>
      <c r="AP1008" s="2">
        <v>257045.422902502</v>
      </c>
      <c r="AQ1008" s="2">
        <v>204042.36115862301</v>
      </c>
      <c r="AR1008" s="2">
        <v>228489.63523643301</v>
      </c>
      <c r="AS1008" s="2">
        <v>255627.563714827</v>
      </c>
      <c r="AT1008" s="2">
        <v>156500.07923933101</v>
      </c>
      <c r="AU1008" s="2">
        <v>437539.33827362303</v>
      </c>
      <c r="AV1008" s="2">
        <v>490389.70611423801</v>
      </c>
      <c r="AW1008" s="2">
        <v>316456.46023720101</v>
      </c>
      <c r="AX1008" s="2">
        <v>230081.225409498</v>
      </c>
    </row>
    <row r="1009" spans="1:50" x14ac:dyDescent="0.25">
      <c r="A1009" s="2" t="s">
        <v>7069</v>
      </c>
      <c r="B1009" s="2">
        <v>492.991645911967</v>
      </c>
      <c r="C1009" s="2">
        <v>11.0481833333333</v>
      </c>
      <c r="D1009" s="2" t="s">
        <v>51</v>
      </c>
      <c r="E1009" s="2" t="s">
        <v>7070</v>
      </c>
      <c r="F1009" s="2">
        <v>207352</v>
      </c>
      <c r="G1009" s="3" t="str">
        <f>HYPERLINK("https://cloud.oebiotech.com/#/lm/network/207352", "https://cloud.oebiotech.com/#/lm/network/207352")</f>
        <v>https://cloud.oebiotech.com/#/lm/network/207352</v>
      </c>
      <c r="H1009" s="2" t="s">
        <v>7071</v>
      </c>
      <c r="I1009" s="2"/>
      <c r="J1009" s="2"/>
      <c r="K1009" s="2">
        <v>10206866</v>
      </c>
      <c r="L1009" s="2"/>
      <c r="M1009" s="2"/>
      <c r="N1009" s="2"/>
      <c r="O1009" s="2"/>
      <c r="P1009" s="2"/>
      <c r="Q1009" s="2"/>
      <c r="R1009" s="2"/>
      <c r="S1009" s="2" t="s">
        <v>7072</v>
      </c>
      <c r="T1009" s="2" t="s">
        <v>7073</v>
      </c>
      <c r="U1009" s="2" t="s">
        <v>56</v>
      </c>
      <c r="V1009" s="2" t="s">
        <v>57</v>
      </c>
      <c r="W1009" s="2" t="s">
        <v>6905</v>
      </c>
      <c r="X1009" s="2" t="s">
        <v>147</v>
      </c>
      <c r="Y1009" s="2">
        <v>41.3</v>
      </c>
      <c r="Z1009" s="2">
        <v>14</v>
      </c>
      <c r="AA1009" s="2" t="s">
        <v>163</v>
      </c>
      <c r="AB1009" s="2" t="s">
        <v>7074</v>
      </c>
      <c r="AC1009" s="2">
        <v>-0.47925592251733501</v>
      </c>
      <c r="AD1009" s="2"/>
      <c r="AE1009" s="2">
        <v>0.59693876919026201</v>
      </c>
      <c r="AF1009" s="2">
        <v>47232.2132369717</v>
      </c>
      <c r="AG1009" s="2">
        <v>54273.288395435702</v>
      </c>
      <c r="AH1009" s="4">
        <v>0.87026628813860196</v>
      </c>
      <c r="AI1009" s="4">
        <v>-0.20047118381616399</v>
      </c>
      <c r="AJ1009" s="4" t="s">
        <v>62</v>
      </c>
      <c r="AK1009" s="2">
        <v>6.1916700361656397E-3</v>
      </c>
      <c r="AL1009" s="2">
        <v>0.13318820653882399</v>
      </c>
      <c r="AM1009" s="2">
        <v>42663.217543067498</v>
      </c>
      <c r="AN1009" s="2">
        <v>45749.926697304698</v>
      </c>
      <c r="AO1009" s="2">
        <v>45962.075007647902</v>
      </c>
      <c r="AP1009" s="2">
        <v>50826.449345114001</v>
      </c>
      <c r="AQ1009" s="2">
        <v>51023.132340896896</v>
      </c>
      <c r="AR1009" s="2">
        <v>47168.478487799301</v>
      </c>
      <c r="AS1009" s="2">
        <v>55133.597523596203</v>
      </c>
      <c r="AT1009" s="2">
        <v>57668.192347662101</v>
      </c>
      <c r="AU1009" s="2">
        <v>48605.841680796097</v>
      </c>
      <c r="AV1009" s="2">
        <v>58848.403468627897</v>
      </c>
      <c r="AW1009" s="2">
        <v>51592.2323609573</v>
      </c>
      <c r="AX1009" s="2">
        <v>53791.462990974796</v>
      </c>
    </row>
    <row r="1010" spans="1:50" x14ac:dyDescent="0.25">
      <c r="A1010" s="2" t="s">
        <v>7075</v>
      </c>
      <c r="B1010" s="2">
        <v>227.09216580701599</v>
      </c>
      <c r="C1010" s="2">
        <v>4.7984833333333299</v>
      </c>
      <c r="D1010" s="2" t="s">
        <v>51</v>
      </c>
      <c r="E1010" s="2" t="s">
        <v>7076</v>
      </c>
      <c r="F1010" s="2">
        <v>203061</v>
      </c>
      <c r="G1010" s="3" t="str">
        <f>HYPERLINK("https://cloud.oebiotech.com/#/lm/network/203061", "https://cloud.oebiotech.com/#/lm/network/203061")</f>
        <v>https://cloud.oebiotech.com/#/lm/network/203061</v>
      </c>
      <c r="H1010" s="2" t="s">
        <v>7077</v>
      </c>
      <c r="I1010" s="2">
        <v>43479</v>
      </c>
      <c r="J1010" s="2"/>
      <c r="K1010" s="2">
        <v>4059</v>
      </c>
      <c r="L1010" s="2"/>
      <c r="M1010" s="2"/>
      <c r="N1010" s="2"/>
      <c r="O1010" s="2">
        <v>94398</v>
      </c>
      <c r="P1010" s="2"/>
      <c r="Q1010" s="2"/>
      <c r="R1010" s="2" t="s">
        <v>7078</v>
      </c>
      <c r="S1010" s="2" t="s">
        <v>7079</v>
      </c>
      <c r="T1010" s="2" t="s">
        <v>7080</v>
      </c>
      <c r="U1010" s="2" t="s">
        <v>610</v>
      </c>
      <c r="V1010" s="2" t="s">
        <v>4556</v>
      </c>
      <c r="W1010" s="2" t="s">
        <v>240</v>
      </c>
      <c r="X1010" s="2" t="s">
        <v>147</v>
      </c>
      <c r="Y1010" s="2">
        <v>39.200000000000003</v>
      </c>
      <c r="Z1010" s="2">
        <v>0</v>
      </c>
      <c r="AA1010" s="2" t="s">
        <v>218</v>
      </c>
      <c r="AB1010" s="2" t="s">
        <v>7081</v>
      </c>
      <c r="AC1010" s="2">
        <v>-1.8197749981706699</v>
      </c>
      <c r="AD1010" s="2"/>
      <c r="AE1010" s="2">
        <v>0.59683364992107002</v>
      </c>
      <c r="AF1010" s="2">
        <v>12451.929519387701</v>
      </c>
      <c r="AG1010" s="2">
        <v>4926.1274501022799</v>
      </c>
      <c r="AH1010" s="5">
        <v>2.5277319041205799</v>
      </c>
      <c r="AI1010" s="5">
        <v>1.33784345674828</v>
      </c>
      <c r="AJ1010" s="5" t="s">
        <v>139</v>
      </c>
      <c r="AK1010" s="2">
        <v>1.06917741883387E-2</v>
      </c>
      <c r="AL1010" s="2">
        <v>0.16592979635359201</v>
      </c>
      <c r="AM1010" s="2">
        <v>16332.3183188693</v>
      </c>
      <c r="AN1010" s="2">
        <v>20447.191191976799</v>
      </c>
      <c r="AO1010" s="2">
        <v>7055.1325559615698</v>
      </c>
      <c r="AP1010" s="2">
        <v>6705.3322895471601</v>
      </c>
      <c r="AQ1010" s="2">
        <v>11888.6931602104</v>
      </c>
      <c r="AR1010" s="2">
        <v>12282.9095997611</v>
      </c>
      <c r="AS1010" s="2">
        <v>8772.6024304625498</v>
      </c>
      <c r="AT1010" s="2">
        <v>3273.7655727977699</v>
      </c>
      <c r="AU1010" s="2">
        <v>7122.3500253168404</v>
      </c>
      <c r="AV1010" s="2">
        <v>2412.9580191837199</v>
      </c>
      <c r="AW1010" s="2">
        <v>3109.9942553056699</v>
      </c>
      <c r="AX1010" s="2">
        <v>4865.09439754715</v>
      </c>
    </row>
    <row r="1011" spans="1:50" x14ac:dyDescent="0.25">
      <c r="A1011" s="2" t="s">
        <v>7082</v>
      </c>
      <c r="B1011" s="2">
        <v>226.18078064407601</v>
      </c>
      <c r="C1011" s="2">
        <v>13.1599</v>
      </c>
      <c r="D1011" s="2" t="s">
        <v>51</v>
      </c>
      <c r="E1011" s="2" t="s">
        <v>7083</v>
      </c>
      <c r="F1011" s="2">
        <v>60364</v>
      </c>
      <c r="G1011" s="3" t="str">
        <f>HYPERLINK("https://cloud.oebiotech.com/#/lm/network/60364", "https://cloud.oebiotech.com/#/lm/network/60364")</f>
        <v>https://cloud.oebiotech.com/#/lm/network/60364</v>
      </c>
      <c r="H1011" s="2" t="s">
        <v>7084</v>
      </c>
      <c r="I1011" s="2">
        <v>91723</v>
      </c>
      <c r="J1011" s="2"/>
      <c r="K1011" s="2">
        <v>131752035</v>
      </c>
      <c r="L1011" s="2"/>
      <c r="M1011" s="2"/>
      <c r="N1011" s="2"/>
      <c r="O1011" s="2"/>
      <c r="P1011" s="2"/>
      <c r="Q1011" s="2"/>
      <c r="R1011" s="2" t="s">
        <v>7085</v>
      </c>
      <c r="S1011" s="2" t="s">
        <v>7086</v>
      </c>
      <c r="T1011" s="2" t="s">
        <v>7087</v>
      </c>
      <c r="U1011" s="2" t="s">
        <v>331</v>
      </c>
      <c r="V1011" s="2" t="s">
        <v>332</v>
      </c>
      <c r="W1011" s="2" t="s">
        <v>519</v>
      </c>
      <c r="X1011" s="2" t="s">
        <v>59</v>
      </c>
      <c r="Y1011" s="2">
        <v>48.2</v>
      </c>
      <c r="Z1011" s="2">
        <v>47.9</v>
      </c>
      <c r="AA1011" s="2" t="s">
        <v>1544</v>
      </c>
      <c r="AB1011" s="2" t="s">
        <v>7088</v>
      </c>
      <c r="AC1011" s="2">
        <v>3.0038173467084399</v>
      </c>
      <c r="AD1011" s="2"/>
      <c r="AE1011" s="2">
        <v>0.59673111915638799</v>
      </c>
      <c r="AF1011" s="2">
        <v>37587.078729954999</v>
      </c>
      <c r="AG1011" s="2">
        <v>50137.418688751801</v>
      </c>
      <c r="AH1011" s="4">
        <v>0.74968117053037597</v>
      </c>
      <c r="AI1011" s="4">
        <v>-0.41565092793379299</v>
      </c>
      <c r="AJ1011" s="4" t="s">
        <v>62</v>
      </c>
      <c r="AK1011" s="2">
        <v>0.29588119394113699</v>
      </c>
      <c r="AL1011" s="2">
        <v>0.60778876168892604</v>
      </c>
      <c r="AM1011" s="2">
        <v>28027.2604253645</v>
      </c>
      <c r="AN1011" s="2">
        <v>39550.111226164001</v>
      </c>
      <c r="AO1011" s="2">
        <v>49377.722314491402</v>
      </c>
      <c r="AP1011" s="2">
        <v>39421.0159433015</v>
      </c>
      <c r="AQ1011" s="2">
        <v>40764.334755509102</v>
      </c>
      <c r="AR1011" s="2">
        <v>28382.027714899599</v>
      </c>
      <c r="AS1011" s="2">
        <v>34014.480222029102</v>
      </c>
      <c r="AT1011" s="2">
        <v>31981.2907430425</v>
      </c>
      <c r="AU1011" s="2">
        <v>31390.2603307059</v>
      </c>
      <c r="AV1011" s="2">
        <v>81269.300595212902</v>
      </c>
      <c r="AW1011" s="2">
        <v>87560.4709656466</v>
      </c>
      <c r="AX1011" s="2">
        <v>34608.7092758738</v>
      </c>
    </row>
    <row r="1012" spans="1:50" x14ac:dyDescent="0.25">
      <c r="A1012" s="2" t="s">
        <v>7089</v>
      </c>
      <c r="B1012" s="2">
        <v>312.326894505685</v>
      </c>
      <c r="C1012" s="2">
        <v>14.9618</v>
      </c>
      <c r="D1012" s="2" t="s">
        <v>51</v>
      </c>
      <c r="E1012" s="2" t="s">
        <v>7090</v>
      </c>
      <c r="F1012" s="2">
        <v>6707</v>
      </c>
      <c r="G1012" s="3" t="str">
        <f>HYPERLINK("https://cloud.oebiotech.com/#/lm/network/6707", "https://cloud.oebiotech.com/#/lm/network/6707")</f>
        <v>https://cloud.oebiotech.com/#/lm/network/6707</v>
      </c>
      <c r="H1012" s="2"/>
      <c r="I1012" s="2">
        <v>46533</v>
      </c>
      <c r="J1012" s="2" t="s">
        <v>7091</v>
      </c>
      <c r="K1012" s="2">
        <v>11369906</v>
      </c>
      <c r="L1012" s="2"/>
      <c r="M1012" s="2"/>
      <c r="N1012" s="2"/>
      <c r="O1012" s="2"/>
      <c r="P1012" s="2"/>
      <c r="Q1012" s="2"/>
      <c r="R1012" s="2"/>
      <c r="S1012" s="2" t="s">
        <v>7092</v>
      </c>
      <c r="T1012" s="2" t="s">
        <v>7093</v>
      </c>
      <c r="U1012" s="2" t="s">
        <v>56</v>
      </c>
      <c r="V1012" s="2" t="s">
        <v>145</v>
      </c>
      <c r="W1012" s="2" t="s">
        <v>1543</v>
      </c>
      <c r="X1012" s="2" t="s">
        <v>147</v>
      </c>
      <c r="Y1012" s="2">
        <v>39.200000000000003</v>
      </c>
      <c r="Z1012" s="2">
        <v>2.89</v>
      </c>
      <c r="AA1012" s="2" t="s">
        <v>512</v>
      </c>
      <c r="AB1012" s="2" t="s">
        <v>7094</v>
      </c>
      <c r="AC1012" s="2">
        <v>2.7290471354948802</v>
      </c>
      <c r="AD1012" s="2"/>
      <c r="AE1012" s="2">
        <v>0.59644381101711796</v>
      </c>
      <c r="AF1012" s="2">
        <v>21581.947296669401</v>
      </c>
      <c r="AG1012" s="2">
        <v>42807.790628762101</v>
      </c>
      <c r="AH1012" s="4">
        <v>0.50415933594500295</v>
      </c>
      <c r="AI1012" s="4">
        <v>-0.98804833566816597</v>
      </c>
      <c r="AJ1012" s="4" t="s">
        <v>62</v>
      </c>
      <c r="AK1012" s="2">
        <v>0.42313854630197101</v>
      </c>
      <c r="AL1012" s="2">
        <v>0.683406571622166</v>
      </c>
      <c r="AM1012" s="2">
        <v>8505.9425407383897</v>
      </c>
      <c r="AN1012" s="2">
        <v>8558.7685789165607</v>
      </c>
      <c r="AO1012" s="2">
        <v>39658.5012986859</v>
      </c>
      <c r="AP1012" s="2">
        <v>7938.65268486071</v>
      </c>
      <c r="AQ1012" s="2">
        <v>57167.2328866401</v>
      </c>
      <c r="AR1012" s="2">
        <v>7662.5857901749696</v>
      </c>
      <c r="AS1012" s="2">
        <v>151739.76056909299</v>
      </c>
      <c r="AT1012" s="2">
        <v>9779.7025074556404</v>
      </c>
      <c r="AU1012" s="2">
        <v>68523.394365976405</v>
      </c>
      <c r="AV1012" s="2">
        <v>10465.563534618301</v>
      </c>
      <c r="AW1012" s="2">
        <v>8928.1147466810598</v>
      </c>
      <c r="AX1012" s="2">
        <v>7410.20804874842</v>
      </c>
    </row>
    <row r="1013" spans="1:50" x14ac:dyDescent="0.25">
      <c r="A1013" s="2" t="s">
        <v>7095</v>
      </c>
      <c r="B1013" s="2">
        <v>413.30607989551498</v>
      </c>
      <c r="C1013" s="2">
        <v>12.11665</v>
      </c>
      <c r="D1013" s="2" t="s">
        <v>51</v>
      </c>
      <c r="E1013" s="2" t="s">
        <v>7096</v>
      </c>
      <c r="F1013" s="2">
        <v>44480</v>
      </c>
      <c r="G1013" s="3" t="str">
        <f>HYPERLINK("https://cloud.oebiotech.com/#/lm/network/44480", "https://cloud.oebiotech.com/#/lm/network/44480")</f>
        <v>https://cloud.oebiotech.com/#/lm/network/44480</v>
      </c>
      <c r="H1013" s="2"/>
      <c r="I1013" s="2">
        <v>84181</v>
      </c>
      <c r="J1013" s="2" t="s">
        <v>7097</v>
      </c>
      <c r="K1013" s="2">
        <v>155860</v>
      </c>
      <c r="L1013" s="2"/>
      <c r="M1013" s="2"/>
      <c r="N1013" s="2"/>
      <c r="O1013" s="2"/>
      <c r="P1013" s="2"/>
      <c r="Q1013" s="2"/>
      <c r="R1013" s="2"/>
      <c r="S1013" s="2" t="s">
        <v>7098</v>
      </c>
      <c r="T1013" s="2" t="s">
        <v>7099</v>
      </c>
      <c r="U1013" s="2" t="s">
        <v>56</v>
      </c>
      <c r="V1013" s="2" t="s">
        <v>177</v>
      </c>
      <c r="W1013" s="2" t="s">
        <v>3270</v>
      </c>
      <c r="X1013" s="2" t="s">
        <v>69</v>
      </c>
      <c r="Y1013" s="2">
        <v>70.8</v>
      </c>
      <c r="Z1013" s="2">
        <v>95</v>
      </c>
      <c r="AA1013" s="2" t="s">
        <v>156</v>
      </c>
      <c r="AB1013" s="2" t="s">
        <v>3946</v>
      </c>
      <c r="AC1013" s="2">
        <v>2.4594466579638201</v>
      </c>
      <c r="AD1013" s="2"/>
      <c r="AE1013" s="2">
        <v>0.59636940344382405</v>
      </c>
      <c r="AF1013" s="2">
        <v>103839.25151662</v>
      </c>
      <c r="AG1013" s="2">
        <v>131123.75644857</v>
      </c>
      <c r="AH1013" s="4">
        <v>0.79191791273421197</v>
      </c>
      <c r="AI1013" s="4">
        <v>-0.33657720123513701</v>
      </c>
      <c r="AJ1013" s="4" t="s">
        <v>62</v>
      </c>
      <c r="AK1013" s="2">
        <v>0.34634280435861697</v>
      </c>
      <c r="AL1013" s="2">
        <v>0.63977511807003895</v>
      </c>
      <c r="AM1013" s="2">
        <v>73749.717137342202</v>
      </c>
      <c r="AN1013" s="2">
        <v>115965.016408219</v>
      </c>
      <c r="AO1013" s="2">
        <v>103663.111570735</v>
      </c>
      <c r="AP1013" s="2">
        <v>91996.899663174001</v>
      </c>
      <c r="AQ1013" s="2">
        <v>163006.60455955999</v>
      </c>
      <c r="AR1013" s="2">
        <v>74654.159760691997</v>
      </c>
      <c r="AS1013" s="2">
        <v>76669.698591742796</v>
      </c>
      <c r="AT1013" s="2">
        <v>118193.832651467</v>
      </c>
      <c r="AU1013" s="2">
        <v>219402.187171289</v>
      </c>
      <c r="AV1013" s="2">
        <v>68611.589841653593</v>
      </c>
      <c r="AW1013" s="2">
        <v>180423.48055482999</v>
      </c>
      <c r="AX1013" s="2">
        <v>123441.749880435</v>
      </c>
    </row>
    <row r="1014" spans="1:50" x14ac:dyDescent="0.25">
      <c r="A1014" s="2" t="s">
        <v>7100</v>
      </c>
      <c r="B1014" s="2">
        <v>293.06435523312899</v>
      </c>
      <c r="C1014" s="2">
        <v>5.8543500000000002</v>
      </c>
      <c r="D1014" s="2" t="s">
        <v>51</v>
      </c>
      <c r="E1014" s="2" t="s">
        <v>7101</v>
      </c>
      <c r="F1014" s="2">
        <v>201988</v>
      </c>
      <c r="G1014" s="3" t="str">
        <f>HYPERLINK("https://cloud.oebiotech.com/#/lm/network/201988", "https://cloud.oebiotech.com/#/lm/network/201988")</f>
        <v>https://cloud.oebiotech.com/#/lm/network/201988</v>
      </c>
      <c r="H1014" s="2" t="s">
        <v>7102</v>
      </c>
      <c r="I1014" s="2"/>
      <c r="J1014" s="2"/>
      <c r="K1014" s="2">
        <v>160736</v>
      </c>
      <c r="L1014" s="2"/>
      <c r="M1014" s="2"/>
      <c r="N1014" s="2"/>
      <c r="O1014" s="2"/>
      <c r="P1014" s="2"/>
      <c r="Q1014" s="2"/>
      <c r="R1014" s="2"/>
      <c r="S1014" s="2" t="s">
        <v>7103</v>
      </c>
      <c r="T1014" s="2" t="s">
        <v>7104</v>
      </c>
      <c r="U1014" s="2" t="s">
        <v>103</v>
      </c>
      <c r="V1014" s="2" t="s">
        <v>104</v>
      </c>
      <c r="W1014" s="2" t="s">
        <v>105</v>
      </c>
      <c r="X1014" s="2" t="s">
        <v>147</v>
      </c>
      <c r="Y1014" s="2">
        <v>38.1</v>
      </c>
      <c r="Z1014" s="2">
        <v>0</v>
      </c>
      <c r="AA1014" s="2" t="s">
        <v>478</v>
      </c>
      <c r="AB1014" s="2" t="s">
        <v>7105</v>
      </c>
      <c r="AC1014" s="2">
        <v>2.8312910758830601</v>
      </c>
      <c r="AD1014" s="2"/>
      <c r="AE1014" s="2">
        <v>0.596343425237573</v>
      </c>
      <c r="AF1014" s="2">
        <v>18383.724049201901</v>
      </c>
      <c r="AG1014" s="2">
        <v>26539.375376598698</v>
      </c>
      <c r="AH1014" s="4">
        <v>0.69269618400333099</v>
      </c>
      <c r="AI1014" s="4">
        <v>-0.52970536870053897</v>
      </c>
      <c r="AJ1014" s="4" t="s">
        <v>62</v>
      </c>
      <c r="AK1014" s="2">
        <v>3.6716244004172099E-3</v>
      </c>
      <c r="AL1014" s="2">
        <v>0.1120315017845</v>
      </c>
      <c r="AM1014" s="2">
        <v>14386.5437302192</v>
      </c>
      <c r="AN1014" s="2">
        <v>21528.030230426</v>
      </c>
      <c r="AO1014" s="2">
        <v>18505.471310835099</v>
      </c>
      <c r="AP1014" s="2">
        <v>18238.777189445202</v>
      </c>
      <c r="AQ1014" s="2">
        <v>17550.065404536199</v>
      </c>
      <c r="AR1014" s="2">
        <v>20093.4564297498</v>
      </c>
      <c r="AS1014" s="2">
        <v>23477.311420682701</v>
      </c>
      <c r="AT1014" s="2">
        <v>33079.961600408198</v>
      </c>
      <c r="AU1014" s="2">
        <v>21104.206868689402</v>
      </c>
      <c r="AV1014" s="2">
        <v>31404.027895903899</v>
      </c>
      <c r="AW1014" s="2">
        <v>24244.702250564002</v>
      </c>
      <c r="AX1014" s="2">
        <v>25926.0422233442</v>
      </c>
    </row>
    <row r="1015" spans="1:50" x14ac:dyDescent="0.25">
      <c r="A1015" s="2" t="s">
        <v>7106</v>
      </c>
      <c r="B1015" s="2">
        <v>327.23279488302001</v>
      </c>
      <c r="C1015" s="2">
        <v>10.0524166666667</v>
      </c>
      <c r="D1015" s="2" t="s">
        <v>51</v>
      </c>
      <c r="E1015" s="2" t="s">
        <v>7107</v>
      </c>
      <c r="F1015" s="2">
        <v>82572</v>
      </c>
      <c r="G1015" s="3" t="str">
        <f>HYPERLINK("https://cloud.oebiotech.com/#/lm/network/82572", "https://cloud.oebiotech.com/#/lm/network/82572")</f>
        <v>https://cloud.oebiotech.com/#/lm/network/82572</v>
      </c>
      <c r="H1015" s="2" t="s">
        <v>7108</v>
      </c>
      <c r="I1015" s="2"/>
      <c r="J1015" s="2"/>
      <c r="K1015" s="2">
        <v>46781784</v>
      </c>
      <c r="L1015" s="2"/>
      <c r="M1015" s="2"/>
      <c r="N1015" s="2"/>
      <c r="O1015" s="2"/>
      <c r="P1015" s="2"/>
      <c r="Q1015" s="2"/>
      <c r="R1015" s="2"/>
      <c r="S1015" s="2" t="s">
        <v>7109</v>
      </c>
      <c r="T1015" s="2" t="s">
        <v>7110</v>
      </c>
      <c r="U1015" s="2" t="s">
        <v>56</v>
      </c>
      <c r="V1015" s="2" t="s">
        <v>283</v>
      </c>
      <c r="W1015" s="2" t="s">
        <v>1944</v>
      </c>
      <c r="X1015" s="2" t="s">
        <v>69</v>
      </c>
      <c r="Y1015" s="2">
        <v>67</v>
      </c>
      <c r="Z1015" s="2">
        <v>68.8</v>
      </c>
      <c r="AA1015" s="2" t="s">
        <v>259</v>
      </c>
      <c r="AB1015" s="2" t="s">
        <v>7111</v>
      </c>
      <c r="AC1015" s="2">
        <v>2.8760855457577801</v>
      </c>
      <c r="AD1015" s="2"/>
      <c r="AE1015" s="2">
        <v>0.59533485354256699</v>
      </c>
      <c r="AF1015" s="2">
        <v>31830.9377999096</v>
      </c>
      <c r="AG1015" s="2">
        <v>20598.430484856301</v>
      </c>
      <c r="AH1015" s="5">
        <v>1.5453088925057299</v>
      </c>
      <c r="AI1015" s="5">
        <v>0.62789524793149998</v>
      </c>
      <c r="AJ1015" s="5" t="s">
        <v>139</v>
      </c>
      <c r="AK1015" s="2">
        <v>0.17573833687519599</v>
      </c>
      <c r="AL1015" s="2">
        <v>0.49660090720040001</v>
      </c>
      <c r="AM1015" s="2">
        <v>58540.891863713099</v>
      </c>
      <c r="AN1015" s="2">
        <v>22374.803258511001</v>
      </c>
      <c r="AO1015" s="2">
        <v>11792.6659547995</v>
      </c>
      <c r="AP1015" s="2">
        <v>25061.091585154601</v>
      </c>
      <c r="AQ1015" s="2">
        <v>32605.851959580101</v>
      </c>
      <c r="AR1015" s="2">
        <v>40610.322177699498</v>
      </c>
      <c r="AS1015" s="2">
        <v>20057.698947514698</v>
      </c>
      <c r="AT1015" s="2">
        <v>9857.5420949579202</v>
      </c>
      <c r="AU1015" s="2">
        <v>38001.031647370903</v>
      </c>
      <c r="AV1015" s="2">
        <v>15171.384787665</v>
      </c>
      <c r="AW1015" s="2">
        <v>22050.3379442761</v>
      </c>
      <c r="AX1015" s="2">
        <v>18452.587487353299</v>
      </c>
    </row>
    <row r="1016" spans="1:50" x14ac:dyDescent="0.25">
      <c r="A1016" s="2" t="s">
        <v>7112</v>
      </c>
      <c r="B1016" s="2">
        <v>411.23965030359</v>
      </c>
      <c r="C1016" s="2">
        <v>5.2056333333333296</v>
      </c>
      <c r="D1016" s="2" t="s">
        <v>51</v>
      </c>
      <c r="E1016" s="2" t="s">
        <v>7113</v>
      </c>
      <c r="F1016" s="2">
        <v>264711</v>
      </c>
      <c r="G1016" s="3" t="str">
        <f>HYPERLINK("https://cloud.oebiotech.com/#/lm/network/264711", "https://cloud.oebiotech.com/#/lm/network/264711")</f>
        <v>https://cloud.oebiotech.com/#/lm/network/264711</v>
      </c>
      <c r="H1016" s="2"/>
      <c r="I1016" s="2">
        <v>22176</v>
      </c>
      <c r="J1016" s="2"/>
      <c r="K1016" s="2">
        <v>145456299</v>
      </c>
      <c r="L1016" s="2"/>
      <c r="M1016" s="2"/>
      <c r="N1016" s="2"/>
      <c r="O1016" s="2"/>
      <c r="P1016" s="2"/>
      <c r="Q1016" s="2"/>
      <c r="R1016" s="2"/>
      <c r="S1016" s="2" t="s">
        <v>7114</v>
      </c>
      <c r="T1016" s="2" t="s">
        <v>7115</v>
      </c>
      <c r="U1016" s="2" t="s">
        <v>103</v>
      </c>
      <c r="V1016" s="2" t="s">
        <v>104</v>
      </c>
      <c r="W1016" s="2" t="s">
        <v>105</v>
      </c>
      <c r="X1016" s="2" t="s">
        <v>83</v>
      </c>
      <c r="Y1016" s="2">
        <v>47.4</v>
      </c>
      <c r="Z1016" s="2">
        <v>0</v>
      </c>
      <c r="AA1016" s="2" t="s">
        <v>379</v>
      </c>
      <c r="AB1016" s="2" t="s">
        <v>7116</v>
      </c>
      <c r="AC1016" s="2">
        <v>-1.19501374399103</v>
      </c>
      <c r="AD1016" s="2"/>
      <c r="AE1016" s="2">
        <v>0.59496922635761795</v>
      </c>
      <c r="AF1016" s="2">
        <v>15253.335921604699</v>
      </c>
      <c r="AG1016" s="2">
        <v>6671.5429687882197</v>
      </c>
      <c r="AH1016" s="5">
        <v>2.28632806428213</v>
      </c>
      <c r="AI1016" s="5">
        <v>1.1930324301292601</v>
      </c>
      <c r="AJ1016" s="5" t="s">
        <v>139</v>
      </c>
      <c r="AK1016" s="2">
        <v>7.9594655868210407E-2</v>
      </c>
      <c r="AL1016" s="2">
        <v>0.36520736260394099</v>
      </c>
      <c r="AM1016" s="2">
        <v>26133.1036103927</v>
      </c>
      <c r="AN1016" s="2">
        <v>27370.704938756699</v>
      </c>
      <c r="AO1016" s="2">
        <v>10200.414655815701</v>
      </c>
      <c r="AP1016" s="2">
        <v>10561.176145458199</v>
      </c>
      <c r="AQ1016" s="2">
        <v>5344.6667240528004</v>
      </c>
      <c r="AR1016" s="2">
        <v>11909.9494551518</v>
      </c>
      <c r="AS1016" s="2">
        <v>12341.1372301928</v>
      </c>
      <c r="AT1016" s="2">
        <v>931.73526356718298</v>
      </c>
      <c r="AU1016" s="2">
        <v>13742.8166581232</v>
      </c>
      <c r="AV1016" s="2">
        <v>2292.7245630079401</v>
      </c>
      <c r="AW1016" s="2">
        <v>2155.9579880112401</v>
      </c>
      <c r="AX1016" s="2">
        <v>8564.8861098269408</v>
      </c>
    </row>
    <row r="1017" spans="1:50" x14ac:dyDescent="0.25">
      <c r="A1017" s="2" t="s">
        <v>7117</v>
      </c>
      <c r="B1017" s="2">
        <v>319.17559999999997</v>
      </c>
      <c r="C1017" s="2">
        <v>19.873000000000001</v>
      </c>
      <c r="D1017" s="2" t="s">
        <v>125</v>
      </c>
      <c r="E1017" s="2" t="s">
        <v>7118</v>
      </c>
      <c r="F1017" s="2">
        <v>46956</v>
      </c>
      <c r="G1017" s="3" t="str">
        <f>HYPERLINK("https://cloud.oebiotech.com/#/lm/network/46956", "https://cloud.oebiotech.com/#/lm/network/46956")</f>
        <v>https://cloud.oebiotech.com/#/lm/network/46956</v>
      </c>
      <c r="H1017" s="2" t="s">
        <v>7119</v>
      </c>
      <c r="I1017" s="2">
        <v>143</v>
      </c>
      <c r="J1017" s="2"/>
      <c r="K1017" s="2">
        <v>5780</v>
      </c>
      <c r="L1017" s="2" t="s">
        <v>7120</v>
      </c>
      <c r="M1017" s="2" t="s">
        <v>7121</v>
      </c>
      <c r="N1017" s="2" t="s">
        <v>7122</v>
      </c>
      <c r="O1017" s="2">
        <v>17924</v>
      </c>
      <c r="P1017" s="2" t="s">
        <v>7123</v>
      </c>
      <c r="Q1017" s="2" t="s">
        <v>7124</v>
      </c>
      <c r="R1017" s="2" t="s">
        <v>7125</v>
      </c>
      <c r="S1017" s="2" t="s">
        <v>7126</v>
      </c>
      <c r="T1017" s="2" t="s">
        <v>7127</v>
      </c>
      <c r="U1017" s="2" t="s">
        <v>331</v>
      </c>
      <c r="V1017" s="2" t="s">
        <v>332</v>
      </c>
      <c r="W1017" s="2" t="s">
        <v>333</v>
      </c>
      <c r="X1017" s="2" t="s">
        <v>69</v>
      </c>
      <c r="Y1017" s="2">
        <v>98.6</v>
      </c>
      <c r="Z1017" s="2">
        <v>98.5</v>
      </c>
      <c r="AA1017" s="2"/>
      <c r="AB1017" s="2" t="s">
        <v>7128</v>
      </c>
      <c r="AC1017" s="2"/>
      <c r="AD1017" s="2">
        <v>666561.68916313199</v>
      </c>
      <c r="AE1017" s="2">
        <v>0.594555518834602</v>
      </c>
      <c r="AF1017" s="2">
        <v>67605.322972839305</v>
      </c>
      <c r="AG1017" s="2">
        <v>339873.60410731402</v>
      </c>
      <c r="AH1017" s="4">
        <v>0.19891313169319599</v>
      </c>
      <c r="AI1017" s="4">
        <v>-2.32978957284698</v>
      </c>
      <c r="AJ1017" s="4" t="s">
        <v>62</v>
      </c>
      <c r="AK1017" s="2">
        <v>0.206858283000149</v>
      </c>
      <c r="AL1017" s="2">
        <v>0.53206255181874995</v>
      </c>
      <c r="AM1017" s="2">
        <v>17013.0024394795</v>
      </c>
      <c r="AN1017" s="2">
        <v>19596.9835778825</v>
      </c>
      <c r="AO1017" s="2">
        <v>205564.339340254</v>
      </c>
      <c r="AP1017" s="2">
        <v>84497.939018841294</v>
      </c>
      <c r="AQ1017" s="2">
        <v>54731.209447333204</v>
      </c>
      <c r="AR1017" s="2">
        <v>24228.464013245601</v>
      </c>
      <c r="AS1017" s="2">
        <v>744512.35261778696</v>
      </c>
      <c r="AT1017" s="2">
        <v>1150188.1949489799</v>
      </c>
      <c r="AU1017" s="2">
        <v>14767.3638226167</v>
      </c>
      <c r="AV1017" s="2">
        <v>97437.489176313495</v>
      </c>
      <c r="AW1017" s="2">
        <v>23142.926199388101</v>
      </c>
      <c r="AX1017" s="2">
        <v>9193.2978787970205</v>
      </c>
    </row>
    <row r="1018" spans="1:50" x14ac:dyDescent="0.25">
      <c r="A1018" s="2" t="s">
        <v>7129</v>
      </c>
      <c r="B1018" s="2">
        <v>870.55007441811802</v>
      </c>
      <c r="C1018" s="2">
        <v>13.038600000000001</v>
      </c>
      <c r="D1018" s="2" t="s">
        <v>51</v>
      </c>
      <c r="E1018" s="2" t="s">
        <v>7130</v>
      </c>
      <c r="F1018" s="2">
        <v>235188</v>
      </c>
      <c r="G1018" s="3" t="str">
        <f>HYPERLINK("https://cloud.oebiotech.com/#/lm/network/235188", "https://cloud.oebiotech.com/#/lm/network/235188")</f>
        <v>https://cloud.oebiotech.com/#/lm/network/235188</v>
      </c>
      <c r="H1018" s="2" t="s">
        <v>7131</v>
      </c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 t="s">
        <v>7132</v>
      </c>
      <c r="T1018" s="2" t="s">
        <v>7133</v>
      </c>
      <c r="U1018" s="2" t="s">
        <v>56</v>
      </c>
      <c r="V1018" s="2" t="s">
        <v>57</v>
      </c>
      <c r="W1018" s="2" t="s">
        <v>82</v>
      </c>
      <c r="X1018" s="2" t="s">
        <v>147</v>
      </c>
      <c r="Y1018" s="2">
        <v>37</v>
      </c>
      <c r="Z1018" s="2">
        <v>0</v>
      </c>
      <c r="AA1018" s="2" t="s">
        <v>156</v>
      </c>
      <c r="AB1018" s="2" t="s">
        <v>7134</v>
      </c>
      <c r="AC1018" s="2">
        <v>1.1090605154244799</v>
      </c>
      <c r="AD1018" s="2"/>
      <c r="AE1018" s="2">
        <v>0.59424368027167995</v>
      </c>
      <c r="AF1018" s="2">
        <v>20172.034155412399</v>
      </c>
      <c r="AG1018" s="2">
        <v>6308.5516178648604</v>
      </c>
      <c r="AH1018" s="5">
        <v>3.19756980323158</v>
      </c>
      <c r="AI1018" s="5">
        <v>1.676975853611</v>
      </c>
      <c r="AJ1018" s="5" t="s">
        <v>139</v>
      </c>
      <c r="AK1018" s="2">
        <v>7.4882362760734705E-2</v>
      </c>
      <c r="AL1018" s="2">
        <v>0.35852950621813001</v>
      </c>
      <c r="AM1018" s="2">
        <v>19323.712556280101</v>
      </c>
      <c r="AN1018" s="2">
        <v>27167.0526898272</v>
      </c>
      <c r="AO1018" s="2">
        <v>14438.107892947201</v>
      </c>
      <c r="AP1018" s="2">
        <v>49358.258121970699</v>
      </c>
      <c r="AQ1018" s="2">
        <v>8.559877937157E-6</v>
      </c>
      <c r="AR1018" s="2">
        <v>10745.073662889399</v>
      </c>
      <c r="AS1018" s="2">
        <v>2917.6359423293002</v>
      </c>
      <c r="AT1018" s="2">
        <v>4765.9768877547804</v>
      </c>
      <c r="AU1018" s="2">
        <v>7121.5267965119901</v>
      </c>
      <c r="AV1018" s="2">
        <v>7697.2689100190601</v>
      </c>
      <c r="AW1018" s="2">
        <v>5584.3412402537597</v>
      </c>
      <c r="AX1018" s="2">
        <v>9764.5599303202798</v>
      </c>
    </row>
    <row r="1019" spans="1:50" x14ac:dyDescent="0.25">
      <c r="A1019" s="2" t="s">
        <v>7135</v>
      </c>
      <c r="B1019" s="2">
        <v>371.24424109254699</v>
      </c>
      <c r="C1019" s="2">
        <v>6.75875</v>
      </c>
      <c r="D1019" s="2" t="s">
        <v>51</v>
      </c>
      <c r="E1019" s="2" t="s">
        <v>7136</v>
      </c>
      <c r="F1019" s="2">
        <v>3766</v>
      </c>
      <c r="G1019" s="3" t="str">
        <f>HYPERLINK("https://cloud.oebiotech.com/#/lm/network/3766", "https://cloud.oebiotech.com/#/lm/network/3766")</f>
        <v>https://cloud.oebiotech.com/#/lm/network/3766</v>
      </c>
      <c r="H1019" s="2"/>
      <c r="I1019" s="2"/>
      <c r="J1019" s="2" t="s">
        <v>7137</v>
      </c>
      <c r="K1019" s="2">
        <v>16061097</v>
      </c>
      <c r="L1019" s="2"/>
      <c r="M1019" s="2"/>
      <c r="N1019" s="2"/>
      <c r="O1019" s="2"/>
      <c r="P1019" s="2"/>
      <c r="Q1019" s="2"/>
      <c r="R1019" s="2"/>
      <c r="S1019" s="2" t="s">
        <v>7138</v>
      </c>
      <c r="T1019" s="2" t="s">
        <v>7139</v>
      </c>
      <c r="U1019" s="2" t="s">
        <v>56</v>
      </c>
      <c r="V1019" s="2" t="s">
        <v>145</v>
      </c>
      <c r="W1019" s="2" t="s">
        <v>187</v>
      </c>
      <c r="X1019" s="2" t="s">
        <v>83</v>
      </c>
      <c r="Y1019" s="2">
        <v>47.1</v>
      </c>
      <c r="Z1019" s="2">
        <v>0</v>
      </c>
      <c r="AA1019" s="2" t="s">
        <v>163</v>
      </c>
      <c r="AB1019" s="2" t="s">
        <v>564</v>
      </c>
      <c r="AC1019" s="2">
        <v>0.88287875600705501</v>
      </c>
      <c r="AD1019" s="2"/>
      <c r="AE1019" s="2">
        <v>0.59394388422912203</v>
      </c>
      <c r="AF1019" s="2">
        <v>16430.981392642701</v>
      </c>
      <c r="AG1019" s="2">
        <v>8269.11121966682</v>
      </c>
      <c r="AH1019" s="5">
        <v>1.9870311277908701</v>
      </c>
      <c r="AI1019" s="5">
        <v>0.99061447327090502</v>
      </c>
      <c r="AJ1019" s="5" t="s">
        <v>139</v>
      </c>
      <c r="AK1019" s="2">
        <v>4.4080145608480698E-2</v>
      </c>
      <c r="AL1019" s="2">
        <v>0.297793096711781</v>
      </c>
      <c r="AM1019" s="2">
        <v>30566.972937534301</v>
      </c>
      <c r="AN1019" s="2">
        <v>15957.251040920301</v>
      </c>
      <c r="AO1019" s="2">
        <v>10512.914646085401</v>
      </c>
      <c r="AP1019" s="2">
        <v>15682.283827360599</v>
      </c>
      <c r="AQ1019" s="2">
        <v>11516.4273472849</v>
      </c>
      <c r="AR1019" s="2">
        <v>14350.038556670401</v>
      </c>
      <c r="AS1019" s="2">
        <v>7375.5621997791404</v>
      </c>
      <c r="AT1019" s="2">
        <v>2145.23585673154</v>
      </c>
      <c r="AU1019" s="2">
        <v>16666.5670602721</v>
      </c>
      <c r="AV1019" s="2">
        <v>6294.1274271429202</v>
      </c>
      <c r="AW1019" s="2">
        <v>8488.5438554544908</v>
      </c>
      <c r="AX1019" s="2">
        <v>8644.6309186207109</v>
      </c>
    </row>
    <row r="1020" spans="1:50" x14ac:dyDescent="0.25">
      <c r="A1020" s="2" t="s">
        <v>7140</v>
      </c>
      <c r="B1020" s="2">
        <v>542.325416148204</v>
      </c>
      <c r="C1020" s="2">
        <v>8.6367333333333303</v>
      </c>
      <c r="D1020" s="2" t="s">
        <v>51</v>
      </c>
      <c r="E1020" s="2" t="s">
        <v>7141</v>
      </c>
      <c r="F1020" s="2">
        <v>208799</v>
      </c>
      <c r="G1020" s="3" t="str">
        <f>HYPERLINK("https://cloud.oebiotech.com/#/lm/network/208799", "https://cloud.oebiotech.com/#/lm/network/208799")</f>
        <v>https://cloud.oebiotech.com/#/lm/network/208799</v>
      </c>
      <c r="H1020" s="2" t="s">
        <v>7142</v>
      </c>
      <c r="I1020" s="2"/>
      <c r="J1020" s="2"/>
      <c r="K1020" s="2">
        <v>53397745</v>
      </c>
      <c r="L1020" s="2"/>
      <c r="M1020" s="2"/>
      <c r="N1020" s="2"/>
      <c r="O1020" s="2"/>
      <c r="P1020" s="2"/>
      <c r="Q1020" s="2"/>
      <c r="R1020" s="2"/>
      <c r="S1020" s="2" t="s">
        <v>7143</v>
      </c>
      <c r="T1020" s="2" t="s">
        <v>7144</v>
      </c>
      <c r="U1020" s="2" t="s">
        <v>540</v>
      </c>
      <c r="V1020" s="2" t="s">
        <v>563</v>
      </c>
      <c r="W1020" s="2" t="s">
        <v>4466</v>
      </c>
      <c r="X1020" s="2" t="s">
        <v>59</v>
      </c>
      <c r="Y1020" s="2">
        <v>50</v>
      </c>
      <c r="Z1020" s="2">
        <v>64.400000000000006</v>
      </c>
      <c r="AA1020" s="2" t="s">
        <v>122</v>
      </c>
      <c r="AB1020" s="2" t="s">
        <v>7145</v>
      </c>
      <c r="AC1020" s="2">
        <v>1.9586729901587501</v>
      </c>
      <c r="AD1020" s="2"/>
      <c r="AE1020" s="2">
        <v>0.593705364284703</v>
      </c>
      <c r="AF1020" s="2">
        <v>49689.343892225501</v>
      </c>
      <c r="AG1020" s="2">
        <v>39327.606894516299</v>
      </c>
      <c r="AH1020" s="5">
        <v>1.2634723497288101</v>
      </c>
      <c r="AI1020" s="5">
        <v>0.337394092184855</v>
      </c>
      <c r="AJ1020" s="5" t="s">
        <v>139</v>
      </c>
      <c r="AK1020" s="2">
        <v>8.5139295896818901E-2</v>
      </c>
      <c r="AL1020" s="2">
        <v>0.37778176363184901</v>
      </c>
      <c r="AM1020" s="2">
        <v>50362.545957299299</v>
      </c>
      <c r="AN1020" s="2">
        <v>62269.172838360399</v>
      </c>
      <c r="AO1020" s="2">
        <v>35690.768120626097</v>
      </c>
      <c r="AP1020" s="2">
        <v>41873.682152751499</v>
      </c>
      <c r="AQ1020" s="2">
        <v>50888.165559996101</v>
      </c>
      <c r="AR1020" s="2">
        <v>57051.728724319699</v>
      </c>
      <c r="AS1020" s="2">
        <v>44749.7516017995</v>
      </c>
      <c r="AT1020" s="2">
        <v>33678.653191251098</v>
      </c>
      <c r="AU1020" s="2">
        <v>54715.124792459399</v>
      </c>
      <c r="AV1020" s="2">
        <v>29964.775832830899</v>
      </c>
      <c r="AW1020" s="2">
        <v>34362.595024699003</v>
      </c>
      <c r="AX1020" s="2">
        <v>38494.740924057798</v>
      </c>
    </row>
    <row r="1021" spans="1:50" x14ac:dyDescent="0.25">
      <c r="A1021" s="2" t="s">
        <v>7146</v>
      </c>
      <c r="B1021" s="2">
        <v>337.23736142122499</v>
      </c>
      <c r="C1021" s="2">
        <v>10.21335</v>
      </c>
      <c r="D1021" s="2" t="s">
        <v>51</v>
      </c>
      <c r="E1021" s="2" t="s">
        <v>7147</v>
      </c>
      <c r="F1021" s="2">
        <v>4120</v>
      </c>
      <c r="G1021" s="3" t="str">
        <f>HYPERLINK("https://cloud.oebiotech.com/#/lm/network/4120", "https://cloud.oebiotech.com/#/lm/network/4120")</f>
        <v>https://cloud.oebiotech.com/#/lm/network/4120</v>
      </c>
      <c r="H1021" s="2"/>
      <c r="I1021" s="2"/>
      <c r="J1021" s="2" t="s">
        <v>7148</v>
      </c>
      <c r="K1021" s="2">
        <v>134812180</v>
      </c>
      <c r="L1021" s="2"/>
      <c r="M1021" s="2"/>
      <c r="N1021" s="2"/>
      <c r="O1021" s="2"/>
      <c r="P1021" s="2"/>
      <c r="Q1021" s="2"/>
      <c r="R1021" s="2"/>
      <c r="S1021" s="2" t="s">
        <v>7149</v>
      </c>
      <c r="T1021" s="2" t="s">
        <v>7150</v>
      </c>
      <c r="U1021" s="2" t="s">
        <v>56</v>
      </c>
      <c r="V1021" s="2" t="s">
        <v>145</v>
      </c>
      <c r="W1021" s="2" t="s">
        <v>231</v>
      </c>
      <c r="X1021" s="2" t="s">
        <v>69</v>
      </c>
      <c r="Y1021" s="2">
        <v>61.3</v>
      </c>
      <c r="Z1021" s="2">
        <v>63.6</v>
      </c>
      <c r="AA1021" s="2" t="s">
        <v>259</v>
      </c>
      <c r="AB1021" s="2" t="s">
        <v>188</v>
      </c>
      <c r="AC1021" s="2">
        <v>7.5795558689540493E-2</v>
      </c>
      <c r="AD1021" s="2"/>
      <c r="AE1021" s="2">
        <v>0.59337054611526296</v>
      </c>
      <c r="AF1021" s="2">
        <v>23019.077557511901</v>
      </c>
      <c r="AG1021" s="2">
        <v>13858.928139461201</v>
      </c>
      <c r="AH1021" s="5">
        <v>1.6609565563709501</v>
      </c>
      <c r="AI1021" s="5">
        <v>0.73201433896684298</v>
      </c>
      <c r="AJ1021" s="5" t="s">
        <v>139</v>
      </c>
      <c r="AK1021" s="2">
        <v>1.13864395981392E-2</v>
      </c>
      <c r="AL1021" s="2">
        <v>0.17165665021883</v>
      </c>
      <c r="AM1021" s="2">
        <v>17987.727942719801</v>
      </c>
      <c r="AN1021" s="2">
        <v>27669.845244631299</v>
      </c>
      <c r="AO1021" s="2">
        <v>27786.571128227901</v>
      </c>
      <c r="AP1021" s="2">
        <v>20511.901065644299</v>
      </c>
      <c r="AQ1021" s="2">
        <v>24692.359513950902</v>
      </c>
      <c r="AR1021" s="2">
        <v>19466.060449897101</v>
      </c>
      <c r="AS1021" s="2">
        <v>21034.480455132201</v>
      </c>
      <c r="AT1021" s="2">
        <v>12157.6626756715</v>
      </c>
      <c r="AU1021" s="2">
        <v>14154.507819230699</v>
      </c>
      <c r="AV1021" s="2">
        <v>3706.5100955205298</v>
      </c>
      <c r="AW1021" s="2">
        <v>14532.506565760799</v>
      </c>
      <c r="AX1021" s="2">
        <v>17567.901225451398</v>
      </c>
    </row>
    <row r="1022" spans="1:50" x14ac:dyDescent="0.25">
      <c r="A1022" s="2" t="s">
        <v>7151</v>
      </c>
      <c r="B1022" s="2">
        <v>369.04527341708302</v>
      </c>
      <c r="C1022" s="2">
        <v>5.8543500000000002</v>
      </c>
      <c r="D1022" s="2" t="s">
        <v>51</v>
      </c>
      <c r="E1022" s="2" t="s">
        <v>7152</v>
      </c>
      <c r="F1022" s="2">
        <v>202658</v>
      </c>
      <c r="G1022" s="3" t="str">
        <f>HYPERLINK("https://cloud.oebiotech.com/#/lm/network/202658", "https://cloud.oebiotech.com/#/lm/network/202658")</f>
        <v>https://cloud.oebiotech.com/#/lm/network/202658</v>
      </c>
      <c r="H1022" s="2" t="s">
        <v>7153</v>
      </c>
      <c r="I1022" s="2"/>
      <c r="J1022" s="2"/>
      <c r="K1022" s="2">
        <v>44134557</v>
      </c>
      <c r="L1022" s="2"/>
      <c r="M1022" s="2"/>
      <c r="N1022" s="2"/>
      <c r="O1022" s="2"/>
      <c r="P1022" s="2"/>
      <c r="Q1022" s="2"/>
      <c r="R1022" s="2"/>
      <c r="S1022" s="2" t="s">
        <v>7154</v>
      </c>
      <c r="T1022" s="2" t="s">
        <v>7155</v>
      </c>
      <c r="U1022" s="2" t="s">
        <v>295</v>
      </c>
      <c r="V1022" s="2" t="s">
        <v>1023</v>
      </c>
      <c r="W1022" s="2" t="s">
        <v>7156</v>
      </c>
      <c r="X1022" s="2" t="s">
        <v>59</v>
      </c>
      <c r="Y1022" s="2">
        <v>49.7</v>
      </c>
      <c r="Z1022" s="2">
        <v>55.1</v>
      </c>
      <c r="AA1022" s="2" t="s">
        <v>163</v>
      </c>
      <c r="AB1022" s="2" t="s">
        <v>7157</v>
      </c>
      <c r="AC1022" s="2">
        <v>-3.6937575457765899</v>
      </c>
      <c r="AD1022" s="2"/>
      <c r="AE1022" s="2">
        <v>0.59261801752064802</v>
      </c>
      <c r="AF1022" s="2">
        <v>9535.7214048612695</v>
      </c>
      <c r="AG1022" s="2">
        <v>378.09843989523</v>
      </c>
      <c r="AH1022" s="5">
        <v>25.2202082809535</v>
      </c>
      <c r="AI1022" s="5">
        <v>4.6565082850918804</v>
      </c>
      <c r="AJ1022" s="5" t="s">
        <v>139</v>
      </c>
      <c r="AK1022" s="2">
        <v>0.20154271951245101</v>
      </c>
      <c r="AL1022" s="2">
        <v>0.524812102806965</v>
      </c>
      <c r="AM1022" s="2">
        <v>42158.540260337999</v>
      </c>
      <c r="AN1022" s="2">
        <v>239.21752738037401</v>
      </c>
      <c r="AO1022" s="2">
        <v>6521.5437949269799</v>
      </c>
      <c r="AP1022" s="2">
        <v>8.559877937157E-6</v>
      </c>
      <c r="AQ1022" s="2">
        <v>8295.02682940251</v>
      </c>
      <c r="AR1022" s="2">
        <v>8.559877937157E-6</v>
      </c>
      <c r="AS1022" s="2">
        <v>8.559877937157E-6</v>
      </c>
      <c r="AT1022" s="2">
        <v>8.559877937157E-6</v>
      </c>
      <c r="AU1022" s="2">
        <v>330.28235496378602</v>
      </c>
      <c r="AV1022" s="2">
        <v>8.559877937157E-6</v>
      </c>
      <c r="AW1022" s="2">
        <v>1938.3082501680799</v>
      </c>
      <c r="AX1022" s="2">
        <v>8.559877937157E-6</v>
      </c>
    </row>
    <row r="1023" spans="1:50" x14ac:dyDescent="0.25">
      <c r="A1023" s="2" t="s">
        <v>7158</v>
      </c>
      <c r="B1023" s="2">
        <v>399.32675877527203</v>
      </c>
      <c r="C1023" s="2">
        <v>13.8921333333333</v>
      </c>
      <c r="D1023" s="2" t="s">
        <v>51</v>
      </c>
      <c r="E1023" s="2" t="s">
        <v>7159</v>
      </c>
      <c r="F1023" s="2">
        <v>45329</v>
      </c>
      <c r="G1023" s="3" t="str">
        <f>HYPERLINK("https://cloud.oebiotech.com/#/lm/network/45329", "https://cloud.oebiotech.com/#/lm/network/45329")</f>
        <v>https://cloud.oebiotech.com/#/lm/network/45329</v>
      </c>
      <c r="H1023" s="2"/>
      <c r="I1023" s="2">
        <v>42096</v>
      </c>
      <c r="J1023" s="2" t="s">
        <v>7160</v>
      </c>
      <c r="K1023" s="2">
        <v>5283686</v>
      </c>
      <c r="L1023" s="2"/>
      <c r="M1023" s="2"/>
      <c r="N1023" s="2"/>
      <c r="O1023" s="2"/>
      <c r="P1023" s="2"/>
      <c r="Q1023" s="2"/>
      <c r="R1023" s="2"/>
      <c r="S1023" s="2" t="s">
        <v>7161</v>
      </c>
      <c r="T1023" s="2" t="s">
        <v>7162</v>
      </c>
      <c r="U1023" s="2" t="s">
        <v>56</v>
      </c>
      <c r="V1023" s="2" t="s">
        <v>283</v>
      </c>
      <c r="W1023" s="2" t="s">
        <v>420</v>
      </c>
      <c r="X1023" s="2" t="s">
        <v>69</v>
      </c>
      <c r="Y1023" s="2">
        <v>67</v>
      </c>
      <c r="Z1023" s="2">
        <v>93.8</v>
      </c>
      <c r="AA1023" s="2" t="s">
        <v>259</v>
      </c>
      <c r="AB1023" s="2" t="s">
        <v>7163</v>
      </c>
      <c r="AC1023" s="2">
        <v>2.51496543733293</v>
      </c>
      <c r="AD1023" s="2"/>
      <c r="AE1023" s="2">
        <v>0.592446994409077</v>
      </c>
      <c r="AF1023" s="2">
        <v>28983.170175860199</v>
      </c>
      <c r="AG1023" s="2">
        <v>19818.866061592798</v>
      </c>
      <c r="AH1023" s="5">
        <v>1.4624030499922001</v>
      </c>
      <c r="AI1023" s="5">
        <v>0.54834098440087098</v>
      </c>
      <c r="AJ1023" s="5" t="s">
        <v>139</v>
      </c>
      <c r="AK1023" s="2">
        <v>5.3665110268745798E-2</v>
      </c>
      <c r="AL1023" s="2">
        <v>0.318609759665544</v>
      </c>
      <c r="AM1023" s="2">
        <v>39752.326293873601</v>
      </c>
      <c r="AN1023" s="2">
        <v>21604.0512389213</v>
      </c>
      <c r="AO1023" s="2">
        <v>24562.886361020199</v>
      </c>
      <c r="AP1023" s="2">
        <v>29187.737958349098</v>
      </c>
      <c r="AQ1023" s="2">
        <v>31517.6924865697</v>
      </c>
      <c r="AR1023" s="2">
        <v>27274.326716427298</v>
      </c>
      <c r="AS1023" s="2">
        <v>27247.207664436999</v>
      </c>
      <c r="AT1023" s="2">
        <v>31569.438332743699</v>
      </c>
      <c r="AU1023" s="2">
        <v>12652.1067332276</v>
      </c>
      <c r="AV1023" s="2">
        <v>11010.1169507344</v>
      </c>
      <c r="AW1023" s="2">
        <v>18655.900856941</v>
      </c>
      <c r="AX1023" s="2">
        <v>17778.4258314734</v>
      </c>
    </row>
    <row r="1024" spans="1:50" x14ac:dyDescent="0.25">
      <c r="A1024" s="2" t="s">
        <v>7164</v>
      </c>
      <c r="B1024" s="2">
        <v>279.23269582210298</v>
      </c>
      <c r="C1024" s="2">
        <v>13.79095</v>
      </c>
      <c r="D1024" s="2" t="s">
        <v>51</v>
      </c>
      <c r="E1024" s="2" t="s">
        <v>7165</v>
      </c>
      <c r="F1024" s="2">
        <v>3237</v>
      </c>
      <c r="G1024" s="3" t="str">
        <f>HYPERLINK("https://cloud.oebiotech.com/#/lm/network/3237", "https://cloud.oebiotech.com/#/lm/network/3237")</f>
        <v>https://cloud.oebiotech.com/#/lm/network/3237</v>
      </c>
      <c r="H1024" s="2" t="s">
        <v>7166</v>
      </c>
      <c r="I1024" s="2">
        <v>43441</v>
      </c>
      <c r="J1024" s="2" t="s">
        <v>7167</v>
      </c>
      <c r="K1024" s="2">
        <v>5316080</v>
      </c>
      <c r="L1024" s="2" t="s">
        <v>7168</v>
      </c>
      <c r="M1024" s="2" t="s">
        <v>1756</v>
      </c>
      <c r="N1024" s="2" t="s">
        <v>1757</v>
      </c>
      <c r="O1024" s="2">
        <v>86022</v>
      </c>
      <c r="P1024" s="2"/>
      <c r="Q1024" s="2"/>
      <c r="R1024" s="2"/>
      <c r="S1024" s="2" t="s">
        <v>7169</v>
      </c>
      <c r="T1024" s="2" t="s">
        <v>7170</v>
      </c>
      <c r="U1024" s="2" t="s">
        <v>56</v>
      </c>
      <c r="V1024" s="2" t="s">
        <v>145</v>
      </c>
      <c r="W1024" s="2" t="s">
        <v>231</v>
      </c>
      <c r="X1024" s="2" t="s">
        <v>147</v>
      </c>
      <c r="Y1024" s="2">
        <v>38.1</v>
      </c>
      <c r="Z1024" s="2">
        <v>0</v>
      </c>
      <c r="AA1024" s="2" t="s">
        <v>156</v>
      </c>
      <c r="AB1024" s="2" t="s">
        <v>1772</v>
      </c>
      <c r="AC1024" s="2">
        <v>2.8328414017705801</v>
      </c>
      <c r="AD1024" s="2"/>
      <c r="AE1024" s="2">
        <v>0.59239445215255604</v>
      </c>
      <c r="AF1024" s="2">
        <v>51166.666108128396</v>
      </c>
      <c r="AG1024" s="2">
        <v>35919.356685290601</v>
      </c>
      <c r="AH1024" s="5">
        <v>1.4244872634114201</v>
      </c>
      <c r="AI1024" s="5">
        <v>0.51044272233194898</v>
      </c>
      <c r="AJ1024" s="5" t="s">
        <v>139</v>
      </c>
      <c r="AK1024" s="2">
        <v>0.103368577605592</v>
      </c>
      <c r="AL1024" s="2">
        <v>0.40823598839205399</v>
      </c>
      <c r="AM1024" s="2">
        <v>26589.230204396401</v>
      </c>
      <c r="AN1024" s="2">
        <v>70469.460144732002</v>
      </c>
      <c r="AO1024" s="2">
        <v>65814.830661471395</v>
      </c>
      <c r="AP1024" s="2">
        <v>59171.031590844497</v>
      </c>
      <c r="AQ1024" s="2">
        <v>48125.616393184398</v>
      </c>
      <c r="AR1024" s="2">
        <v>36829.827654141802</v>
      </c>
      <c r="AS1024" s="2">
        <v>24218.135338158099</v>
      </c>
      <c r="AT1024" s="2">
        <v>43561.554978638698</v>
      </c>
      <c r="AU1024" s="2">
        <v>22132.8059304831</v>
      </c>
      <c r="AV1024" s="2">
        <v>30174.339960544399</v>
      </c>
      <c r="AW1024" s="2">
        <v>46162.936434307398</v>
      </c>
      <c r="AX1024" s="2">
        <v>49266.367469611701</v>
      </c>
    </row>
    <row r="1025" spans="1:50" x14ac:dyDescent="0.25">
      <c r="A1025" s="2" t="s">
        <v>7171</v>
      </c>
      <c r="B1025" s="2">
        <v>352.24735558460901</v>
      </c>
      <c r="C1025" s="2">
        <v>8.5796666666666699</v>
      </c>
      <c r="D1025" s="2" t="s">
        <v>51</v>
      </c>
      <c r="E1025" s="2" t="s">
        <v>7172</v>
      </c>
      <c r="F1025" s="2">
        <v>3738</v>
      </c>
      <c r="G1025" s="3" t="str">
        <f>HYPERLINK("https://cloud.oebiotech.com/#/lm/network/3738", "https://cloud.oebiotech.com/#/lm/network/3738")</f>
        <v>https://cloud.oebiotech.com/#/lm/network/3738</v>
      </c>
      <c r="H1025" s="2" t="s">
        <v>7173</v>
      </c>
      <c r="I1025" s="2">
        <v>3467</v>
      </c>
      <c r="J1025" s="2" t="s">
        <v>7174</v>
      </c>
      <c r="K1025" s="2">
        <v>5280882</v>
      </c>
      <c r="L1025" s="2" t="s">
        <v>7175</v>
      </c>
      <c r="M1025" s="2" t="s">
        <v>305</v>
      </c>
      <c r="N1025" s="2" t="s">
        <v>306</v>
      </c>
      <c r="O1025" s="2">
        <v>27555</v>
      </c>
      <c r="P1025" s="2" t="s">
        <v>307</v>
      </c>
      <c r="Q1025" s="2" t="s">
        <v>308</v>
      </c>
      <c r="R1025" s="2" t="s">
        <v>7176</v>
      </c>
      <c r="S1025" s="2" t="s">
        <v>7177</v>
      </c>
      <c r="T1025" s="2" t="s">
        <v>7178</v>
      </c>
      <c r="U1025" s="2" t="s">
        <v>56</v>
      </c>
      <c r="V1025" s="2" t="s">
        <v>145</v>
      </c>
      <c r="W1025" s="2" t="s">
        <v>187</v>
      </c>
      <c r="X1025" s="2" t="s">
        <v>83</v>
      </c>
      <c r="Y1025" s="2">
        <v>44.8</v>
      </c>
      <c r="Z1025" s="2">
        <v>0.111</v>
      </c>
      <c r="AA1025" s="2" t="s">
        <v>512</v>
      </c>
      <c r="AB1025" s="2" t="s">
        <v>212</v>
      </c>
      <c r="AC1025" s="2">
        <v>-2.6312023254233399</v>
      </c>
      <c r="AD1025" s="2"/>
      <c r="AE1025" s="2">
        <v>0.59048809780760203</v>
      </c>
      <c r="AF1025" s="2">
        <v>22245.1852558061</v>
      </c>
      <c r="AG1025" s="2">
        <v>3754.63232737508</v>
      </c>
      <c r="AH1025" s="5">
        <v>5.9247306570116303</v>
      </c>
      <c r="AI1025" s="5">
        <v>2.5667495694326599</v>
      </c>
      <c r="AJ1025" s="5" t="s">
        <v>139</v>
      </c>
      <c r="AK1025" s="2">
        <v>0.207357915852941</v>
      </c>
      <c r="AL1025" s="2">
        <v>0.53238534013569705</v>
      </c>
      <c r="AM1025" s="2">
        <v>7676.3302297424498</v>
      </c>
      <c r="AN1025" s="2">
        <v>4822.0161053543097</v>
      </c>
      <c r="AO1025" s="2">
        <v>30110.720566700798</v>
      </c>
      <c r="AP1025" s="2">
        <v>2211.3945878970999</v>
      </c>
      <c r="AQ1025" s="2">
        <v>86261.519441123499</v>
      </c>
      <c r="AR1025" s="2">
        <v>2389.1306040183599</v>
      </c>
      <c r="AS1025" s="2">
        <v>15394.3363716034</v>
      </c>
      <c r="AT1025" s="2">
        <v>788.07571960791904</v>
      </c>
      <c r="AU1025" s="2">
        <v>3784.0501210586399</v>
      </c>
      <c r="AV1025" s="2">
        <v>57.296169030231297</v>
      </c>
      <c r="AW1025" s="2">
        <v>327.96674376572201</v>
      </c>
      <c r="AX1025" s="2">
        <v>2176.0688391845902</v>
      </c>
    </row>
    <row r="1026" spans="1:50" x14ac:dyDescent="0.25">
      <c r="A1026" s="2" t="s">
        <v>7179</v>
      </c>
      <c r="B1026" s="2">
        <v>292.140176581589</v>
      </c>
      <c r="C1026" s="2">
        <v>0.77381666666666704</v>
      </c>
      <c r="D1026" s="2" t="s">
        <v>51</v>
      </c>
      <c r="E1026" s="2" t="s">
        <v>7180</v>
      </c>
      <c r="F1026" s="2">
        <v>52185</v>
      </c>
      <c r="G1026" s="3" t="str">
        <f>HYPERLINK("https://cloud.oebiotech.com/#/lm/network/52185", "https://cloud.oebiotech.com/#/lm/network/52185")</f>
        <v>https://cloud.oebiotech.com/#/lm/network/52185</v>
      </c>
      <c r="H1026" s="2" t="s">
        <v>7181</v>
      </c>
      <c r="I1026" s="2"/>
      <c r="J1026" s="2"/>
      <c r="K1026" s="2"/>
      <c r="L1026" s="2"/>
      <c r="M1026" s="2"/>
      <c r="N1026" s="2"/>
      <c r="O1026" s="2"/>
      <c r="P1026" s="2"/>
      <c r="Q1026" s="2"/>
      <c r="R1026" s="2" t="s">
        <v>7182</v>
      </c>
      <c r="S1026" s="2" t="s">
        <v>7183</v>
      </c>
      <c r="T1026" s="2" t="s">
        <v>7184</v>
      </c>
      <c r="U1026" s="2" t="s">
        <v>56</v>
      </c>
      <c r="V1026" s="2" t="s">
        <v>145</v>
      </c>
      <c r="W1026" s="2" t="s">
        <v>1188</v>
      </c>
      <c r="X1026" s="2" t="s">
        <v>147</v>
      </c>
      <c r="Y1026" s="2">
        <v>38.5</v>
      </c>
      <c r="Z1026" s="2">
        <v>0</v>
      </c>
      <c r="AA1026" s="2" t="s">
        <v>218</v>
      </c>
      <c r="AB1026" s="2" t="s">
        <v>7185</v>
      </c>
      <c r="AC1026" s="2">
        <v>3.7853498964684801E-3</v>
      </c>
      <c r="AD1026" s="2"/>
      <c r="AE1026" s="2">
        <v>0.59030643396088001</v>
      </c>
      <c r="AF1026" s="2">
        <v>17360.234827841399</v>
      </c>
      <c r="AG1026" s="2">
        <v>28655.716354313001</v>
      </c>
      <c r="AH1026" s="4">
        <v>0.60582100315312903</v>
      </c>
      <c r="AI1026" s="4">
        <v>-0.72303649922419599</v>
      </c>
      <c r="AJ1026" s="4" t="s">
        <v>62</v>
      </c>
      <c r="AK1026" s="2">
        <v>0.230177493668447</v>
      </c>
      <c r="AL1026" s="2">
        <v>0.55482191344430198</v>
      </c>
      <c r="AM1026" s="2">
        <v>8.559877937157E-6</v>
      </c>
      <c r="AN1026" s="2">
        <v>32636.361746160699</v>
      </c>
      <c r="AO1026" s="2">
        <v>20751.482286390699</v>
      </c>
      <c r="AP1026" s="2">
        <v>5002.7230620026603</v>
      </c>
      <c r="AQ1026" s="2">
        <v>12552.099197062</v>
      </c>
      <c r="AR1026" s="2">
        <v>33218.742666872698</v>
      </c>
      <c r="AS1026" s="2">
        <v>37833.841564834103</v>
      </c>
      <c r="AT1026" s="2">
        <v>20857.671520948101</v>
      </c>
      <c r="AU1026" s="2">
        <v>4700.3836838739899</v>
      </c>
      <c r="AV1026" s="2">
        <v>47373.28215739</v>
      </c>
      <c r="AW1026" s="2">
        <v>18461.787410429901</v>
      </c>
      <c r="AX1026" s="2">
        <v>42707.331788402102</v>
      </c>
    </row>
    <row r="1027" spans="1:50" x14ac:dyDescent="0.25">
      <c r="A1027" s="2" t="s">
        <v>7186</v>
      </c>
      <c r="B1027" s="2">
        <v>421.22205614678597</v>
      </c>
      <c r="C1027" s="2">
        <v>7.8025333333333302</v>
      </c>
      <c r="D1027" s="2" t="s">
        <v>51</v>
      </c>
      <c r="E1027" s="2" t="s">
        <v>7187</v>
      </c>
      <c r="F1027" s="2">
        <v>55268</v>
      </c>
      <c r="G1027" s="3" t="str">
        <f>HYPERLINK("https://cloud.oebiotech.com/#/lm/network/55268", "https://cloud.oebiotech.com/#/lm/network/55268")</f>
        <v>https://cloud.oebiotech.com/#/lm/network/55268</v>
      </c>
      <c r="H1027" s="2" t="s">
        <v>7188</v>
      </c>
      <c r="I1027" s="2"/>
      <c r="J1027" s="2"/>
      <c r="K1027" s="2">
        <v>131751019</v>
      </c>
      <c r="L1027" s="2"/>
      <c r="M1027" s="2"/>
      <c r="N1027" s="2"/>
      <c r="O1027" s="2"/>
      <c r="P1027" s="2"/>
      <c r="Q1027" s="2"/>
      <c r="R1027" s="2" t="s">
        <v>7189</v>
      </c>
      <c r="S1027" s="2" t="s">
        <v>7190</v>
      </c>
      <c r="T1027" s="2" t="s">
        <v>7191</v>
      </c>
      <c r="U1027" s="2" t="s">
        <v>331</v>
      </c>
      <c r="V1027" s="2" t="s">
        <v>332</v>
      </c>
      <c r="W1027" s="2" t="s">
        <v>1207</v>
      </c>
      <c r="X1027" s="2" t="s">
        <v>83</v>
      </c>
      <c r="Y1027" s="2">
        <v>49.9</v>
      </c>
      <c r="Z1027" s="2">
        <v>39.9</v>
      </c>
      <c r="AA1027" s="2" t="s">
        <v>218</v>
      </c>
      <c r="AB1027" s="2" t="s">
        <v>1366</v>
      </c>
      <c r="AC1027" s="2">
        <v>-2.9791941833100801</v>
      </c>
      <c r="AD1027" s="2"/>
      <c r="AE1027" s="2">
        <v>0.59023009267528004</v>
      </c>
      <c r="AF1027" s="2">
        <v>16650.984826610402</v>
      </c>
      <c r="AG1027" s="2">
        <v>9270.4803783350108</v>
      </c>
      <c r="AH1027" s="5">
        <v>1.7961296661091599</v>
      </c>
      <c r="AI1027" s="5">
        <v>0.84489150481183495</v>
      </c>
      <c r="AJ1027" s="5" t="s">
        <v>139</v>
      </c>
      <c r="AK1027" s="2">
        <v>1.12589262792756E-2</v>
      </c>
      <c r="AL1027" s="2">
        <v>0.17151430848978699</v>
      </c>
      <c r="AM1027" s="2">
        <v>23644.460568668499</v>
      </c>
      <c r="AN1027" s="2">
        <v>17091.785144253899</v>
      </c>
      <c r="AO1027" s="2">
        <v>18190.2231420342</v>
      </c>
      <c r="AP1027" s="2">
        <v>15211.1039311532</v>
      </c>
      <c r="AQ1027" s="2">
        <v>10591.975479296299</v>
      </c>
      <c r="AR1027" s="2">
        <v>15176.360694256</v>
      </c>
      <c r="AS1027" s="2">
        <v>9234.5128908613697</v>
      </c>
      <c r="AT1027" s="2">
        <v>5399.7783408824498</v>
      </c>
      <c r="AU1027" s="2">
        <v>13193.6564035869</v>
      </c>
      <c r="AV1027" s="2">
        <v>4852.04154295238</v>
      </c>
      <c r="AW1027" s="2">
        <v>14477.8599484512</v>
      </c>
      <c r="AX1027" s="2">
        <v>8465.0331432757503</v>
      </c>
    </row>
    <row r="1028" spans="1:50" x14ac:dyDescent="0.25">
      <c r="A1028" s="2" t="s">
        <v>7192</v>
      </c>
      <c r="B1028" s="2">
        <v>435.20038402995601</v>
      </c>
      <c r="C1028" s="2">
        <v>6.6032999999999999</v>
      </c>
      <c r="D1028" s="2" t="s">
        <v>51</v>
      </c>
      <c r="E1028" s="2" t="s">
        <v>7193</v>
      </c>
      <c r="F1028" s="2">
        <v>3856</v>
      </c>
      <c r="G1028" s="3" t="str">
        <f>HYPERLINK("https://cloud.oebiotech.com/#/lm/network/3856", "https://cloud.oebiotech.com/#/lm/network/3856")</f>
        <v>https://cloud.oebiotech.com/#/lm/network/3856</v>
      </c>
      <c r="H1028" s="2"/>
      <c r="I1028" s="2">
        <v>36250</v>
      </c>
      <c r="J1028" s="2" t="s">
        <v>7194</v>
      </c>
      <c r="K1028" s="2">
        <v>5283133</v>
      </c>
      <c r="L1028" s="2"/>
      <c r="M1028" s="2"/>
      <c r="N1028" s="2"/>
      <c r="O1028" s="2"/>
      <c r="P1028" s="2"/>
      <c r="Q1028" s="2"/>
      <c r="R1028" s="2" t="s">
        <v>7195</v>
      </c>
      <c r="S1028" s="2" t="s">
        <v>7196</v>
      </c>
      <c r="T1028" s="2" t="s">
        <v>7197</v>
      </c>
      <c r="U1028" s="2" t="s">
        <v>56</v>
      </c>
      <c r="V1028" s="2" t="s">
        <v>145</v>
      </c>
      <c r="W1028" s="2" t="s">
        <v>187</v>
      </c>
      <c r="X1028" s="2" t="s">
        <v>59</v>
      </c>
      <c r="Y1028" s="2">
        <v>49.9</v>
      </c>
      <c r="Z1028" s="2">
        <v>55.1</v>
      </c>
      <c r="AA1028" s="2" t="s">
        <v>218</v>
      </c>
      <c r="AB1028" s="2" t="s">
        <v>7198</v>
      </c>
      <c r="AC1028" s="2">
        <v>0.99202948710898597</v>
      </c>
      <c r="AD1028" s="2"/>
      <c r="AE1028" s="2">
        <v>0.589904516845143</v>
      </c>
      <c r="AF1028" s="2">
        <v>27361.4385588476</v>
      </c>
      <c r="AG1028" s="2">
        <v>17188.562602148198</v>
      </c>
      <c r="AH1028" s="5">
        <v>1.5918398293192899</v>
      </c>
      <c r="AI1028" s="5">
        <v>0.67069517942939305</v>
      </c>
      <c r="AJ1028" s="5" t="s">
        <v>139</v>
      </c>
      <c r="AK1028" s="2">
        <v>4.7841187408496397E-2</v>
      </c>
      <c r="AL1028" s="2">
        <v>0.30656842184279098</v>
      </c>
      <c r="AM1028" s="2">
        <v>27105.309044397301</v>
      </c>
      <c r="AN1028" s="2">
        <v>34755.575257743403</v>
      </c>
      <c r="AO1028" s="2">
        <v>27798.7219913767</v>
      </c>
      <c r="AP1028" s="2">
        <v>26778.8813369778</v>
      </c>
      <c r="AQ1028" s="2">
        <v>16559.6360584943</v>
      </c>
      <c r="AR1028" s="2">
        <v>31170.5076640962</v>
      </c>
      <c r="AS1028" s="2">
        <v>31514.372424663499</v>
      </c>
      <c r="AT1028" s="2">
        <v>13949.0914147651</v>
      </c>
      <c r="AU1028" s="2">
        <v>20215.1091557951</v>
      </c>
      <c r="AV1028" s="2">
        <v>4852.9879513406704</v>
      </c>
      <c r="AW1028" s="2">
        <v>11508.5054628976</v>
      </c>
      <c r="AX1028" s="2">
        <v>21091.3092034275</v>
      </c>
    </row>
    <row r="1029" spans="1:50" x14ac:dyDescent="0.25">
      <c r="A1029" s="2" t="s">
        <v>7199</v>
      </c>
      <c r="B1029" s="2">
        <v>537.32620774849102</v>
      </c>
      <c r="C1029" s="2">
        <v>5.48515</v>
      </c>
      <c r="D1029" s="2" t="s">
        <v>51</v>
      </c>
      <c r="E1029" s="2" t="s">
        <v>7200</v>
      </c>
      <c r="F1029" s="2">
        <v>211885</v>
      </c>
      <c r="G1029" s="3" t="str">
        <f>HYPERLINK("https://cloud.oebiotech.com/#/lm/network/211885", "https://cloud.oebiotech.com/#/lm/network/211885")</f>
        <v>https://cloud.oebiotech.com/#/lm/network/211885</v>
      </c>
      <c r="H1029" s="2" t="s">
        <v>7201</v>
      </c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 t="s">
        <v>7202</v>
      </c>
      <c r="T1029" s="2" t="s">
        <v>7203</v>
      </c>
      <c r="U1029" s="2" t="s">
        <v>56</v>
      </c>
      <c r="V1029" s="2" t="s">
        <v>145</v>
      </c>
      <c r="W1029" s="2" t="s">
        <v>1617</v>
      </c>
      <c r="X1029" s="2" t="s">
        <v>147</v>
      </c>
      <c r="Y1029" s="2">
        <v>38.1</v>
      </c>
      <c r="Z1029" s="2">
        <v>0.28999999999999998</v>
      </c>
      <c r="AA1029" s="2" t="s">
        <v>512</v>
      </c>
      <c r="AB1029" s="2" t="s">
        <v>7204</v>
      </c>
      <c r="AC1029" s="2">
        <v>-0.25874662993123698</v>
      </c>
      <c r="AD1029" s="2"/>
      <c r="AE1029" s="2">
        <v>0.58954602061990502</v>
      </c>
      <c r="AF1029" s="2">
        <v>15870.234601402401</v>
      </c>
      <c r="AG1029" s="2">
        <v>9007.9270577728694</v>
      </c>
      <c r="AH1029" s="5">
        <v>1.76180762783909</v>
      </c>
      <c r="AI1029" s="5">
        <v>0.81705640467035201</v>
      </c>
      <c r="AJ1029" s="5" t="s">
        <v>139</v>
      </c>
      <c r="AK1029" s="2">
        <v>9.1973155932565504E-4</v>
      </c>
      <c r="AL1029" s="2">
        <v>7.8543540171408605E-2</v>
      </c>
      <c r="AM1029" s="2">
        <v>17348.649242824202</v>
      </c>
      <c r="AN1029" s="2">
        <v>13163.3345999338</v>
      </c>
      <c r="AO1029" s="2">
        <v>17110.342039268598</v>
      </c>
      <c r="AP1029" s="2">
        <v>12449.849854189</v>
      </c>
      <c r="AQ1029" s="2">
        <v>14935.216138367001</v>
      </c>
      <c r="AR1029" s="2">
        <v>20214.015733831799</v>
      </c>
      <c r="AS1029" s="2">
        <v>11267.148288378199</v>
      </c>
      <c r="AT1029" s="2">
        <v>10704.525902716499</v>
      </c>
      <c r="AU1029" s="2">
        <v>10404.1437546217</v>
      </c>
      <c r="AV1029" s="2">
        <v>5713.87926231437</v>
      </c>
      <c r="AW1029" s="2">
        <v>8278.8318613680094</v>
      </c>
      <c r="AX1029" s="2">
        <v>7679.0332772384199</v>
      </c>
    </row>
    <row r="1030" spans="1:50" x14ac:dyDescent="0.25">
      <c r="A1030" s="2" t="s">
        <v>7205</v>
      </c>
      <c r="B1030" s="2">
        <v>432.16948859359297</v>
      </c>
      <c r="C1030" s="2">
        <v>9.5639333333333294</v>
      </c>
      <c r="D1030" s="2" t="s">
        <v>51</v>
      </c>
      <c r="E1030" s="2" t="s">
        <v>7206</v>
      </c>
      <c r="F1030" s="2">
        <v>53479</v>
      </c>
      <c r="G1030" s="3" t="str">
        <f>HYPERLINK("https://cloud.oebiotech.com/#/lm/network/53479", "https://cloud.oebiotech.com/#/lm/network/53479")</f>
        <v>https://cloud.oebiotech.com/#/lm/network/53479</v>
      </c>
      <c r="H1030" s="2" t="s">
        <v>7207</v>
      </c>
      <c r="I1030" s="2">
        <v>85491</v>
      </c>
      <c r="J1030" s="2"/>
      <c r="K1030" s="2">
        <v>32778</v>
      </c>
      <c r="L1030" s="2"/>
      <c r="M1030" s="2"/>
      <c r="N1030" s="2"/>
      <c r="O1030" s="2"/>
      <c r="P1030" s="2"/>
      <c r="Q1030" s="2"/>
      <c r="R1030" s="2" t="s">
        <v>7208</v>
      </c>
      <c r="S1030" s="2" t="s">
        <v>7209</v>
      </c>
      <c r="T1030" s="2" t="s">
        <v>7210</v>
      </c>
      <c r="U1030" s="2" t="s">
        <v>610</v>
      </c>
      <c r="V1030" s="2" t="s">
        <v>611</v>
      </c>
      <c r="W1030" s="2" t="s">
        <v>5656</v>
      </c>
      <c r="X1030" s="2" t="s">
        <v>147</v>
      </c>
      <c r="Y1030" s="2">
        <v>36.6</v>
      </c>
      <c r="Z1030" s="2">
        <v>0</v>
      </c>
      <c r="AA1030" s="2" t="s">
        <v>156</v>
      </c>
      <c r="AB1030" s="2" t="s">
        <v>7211</v>
      </c>
      <c r="AC1030" s="2">
        <v>-1.1424189913415399</v>
      </c>
      <c r="AD1030" s="2"/>
      <c r="AE1030" s="2">
        <v>0.58866655729385897</v>
      </c>
      <c r="AF1030" s="2">
        <v>10498.675707557401</v>
      </c>
      <c r="AG1030" s="2">
        <v>3261.4513773905701</v>
      </c>
      <c r="AH1030" s="5">
        <v>3.21901953845996</v>
      </c>
      <c r="AI1030" s="5">
        <v>1.6866213335579801</v>
      </c>
      <c r="AJ1030" s="5" t="s">
        <v>139</v>
      </c>
      <c r="AK1030" s="2">
        <v>5.5109434952298302E-3</v>
      </c>
      <c r="AL1030" s="2">
        <v>0.12710665806260699</v>
      </c>
      <c r="AM1030" s="2">
        <v>12871.9755984086</v>
      </c>
      <c r="AN1030" s="2">
        <v>17317.086693302801</v>
      </c>
      <c r="AO1030" s="2">
        <v>8711.4742904100294</v>
      </c>
      <c r="AP1030" s="2">
        <v>6953.0462551043001</v>
      </c>
      <c r="AQ1030" s="2">
        <v>9032.8568534516107</v>
      </c>
      <c r="AR1030" s="2">
        <v>8105.6145546670596</v>
      </c>
      <c r="AS1030" s="2">
        <v>9335.5239042508292</v>
      </c>
      <c r="AT1030" s="2">
        <v>2401.1443239940299</v>
      </c>
      <c r="AU1030" s="2">
        <v>3474.8935764867501</v>
      </c>
      <c r="AV1030" s="2">
        <v>625.38435712592195</v>
      </c>
      <c r="AW1030" s="2">
        <v>790.06126022638296</v>
      </c>
      <c r="AX1030" s="2">
        <v>2941.7008422594899</v>
      </c>
    </row>
    <row r="1031" spans="1:50" x14ac:dyDescent="0.25">
      <c r="A1031" s="2" t="s">
        <v>7212</v>
      </c>
      <c r="B1031" s="2">
        <v>660.31575561786894</v>
      </c>
      <c r="C1031" s="2">
        <v>5.60476666666667</v>
      </c>
      <c r="D1031" s="2" t="s">
        <v>51</v>
      </c>
      <c r="E1031" s="2" t="s">
        <v>7213</v>
      </c>
      <c r="F1031" s="2">
        <v>241935</v>
      </c>
      <c r="G1031" s="3" t="str">
        <f>HYPERLINK("https://cloud.oebiotech.com/#/lm/network/241935", "https://cloud.oebiotech.com/#/lm/network/241935")</f>
        <v>https://cloud.oebiotech.com/#/lm/network/241935</v>
      </c>
      <c r="H1031" s="2" t="s">
        <v>7214</v>
      </c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 t="s">
        <v>7215</v>
      </c>
      <c r="T1031" s="2" t="s">
        <v>7216</v>
      </c>
      <c r="U1031" s="2" t="s">
        <v>56</v>
      </c>
      <c r="V1031" s="2" t="s">
        <v>145</v>
      </c>
      <c r="W1031" s="2" t="s">
        <v>187</v>
      </c>
      <c r="X1031" s="2" t="s">
        <v>59</v>
      </c>
      <c r="Y1031" s="2">
        <v>55.9</v>
      </c>
      <c r="Z1031" s="2">
        <v>92.2</v>
      </c>
      <c r="AA1031" s="2" t="s">
        <v>218</v>
      </c>
      <c r="AB1031" s="2" t="s">
        <v>7217</v>
      </c>
      <c r="AC1031" s="2">
        <v>0.51894202233957498</v>
      </c>
      <c r="AD1031" s="2"/>
      <c r="AE1031" s="2">
        <v>0.58839785272248002</v>
      </c>
      <c r="AF1031" s="2">
        <v>14380.5789259224</v>
      </c>
      <c r="AG1031" s="2">
        <v>5112.4876142212297</v>
      </c>
      <c r="AH1031" s="5">
        <v>2.8128339882761701</v>
      </c>
      <c r="AI1031" s="5">
        <v>1.49202440819536</v>
      </c>
      <c r="AJ1031" s="5" t="s">
        <v>139</v>
      </c>
      <c r="AK1031" s="2">
        <v>0.13817902118817099</v>
      </c>
      <c r="AL1031" s="2">
        <v>0.458819266663407</v>
      </c>
      <c r="AM1031" s="2">
        <v>39379.816684290199</v>
      </c>
      <c r="AN1031" s="2">
        <v>11444.6716640792</v>
      </c>
      <c r="AO1031" s="2">
        <v>3930.0537522816498</v>
      </c>
      <c r="AP1031" s="2">
        <v>9697.9643510863898</v>
      </c>
      <c r="AQ1031" s="2">
        <v>4850.2712733145299</v>
      </c>
      <c r="AR1031" s="2">
        <v>16980.695830482699</v>
      </c>
      <c r="AS1031" s="2">
        <v>10516.157506035701</v>
      </c>
      <c r="AT1031" s="2">
        <v>6898.5890523574799</v>
      </c>
      <c r="AU1031" s="2">
        <v>2108.2812766877501</v>
      </c>
      <c r="AV1031" s="2">
        <v>8.559877937157E-6</v>
      </c>
      <c r="AW1031" s="2">
        <v>8.559877937157E-6</v>
      </c>
      <c r="AX1031" s="2">
        <v>11151.897833126701</v>
      </c>
    </row>
    <row r="1032" spans="1:50" x14ac:dyDescent="0.25">
      <c r="A1032" s="2" t="s">
        <v>7218</v>
      </c>
      <c r="B1032" s="2">
        <v>147.03</v>
      </c>
      <c r="C1032" s="2">
        <v>18.936</v>
      </c>
      <c r="D1032" s="2" t="s">
        <v>125</v>
      </c>
      <c r="E1032" s="2" t="s">
        <v>7219</v>
      </c>
      <c r="F1032" s="2">
        <v>47977</v>
      </c>
      <c r="G1032" s="3" t="str">
        <f>HYPERLINK("https://cloud.oebiotech.com/#/lm/network/47977", "https://cloud.oebiotech.com/#/lm/network/47977")</f>
        <v>https://cloud.oebiotech.com/#/lm/network/47977</v>
      </c>
      <c r="H1032" s="2" t="s">
        <v>7220</v>
      </c>
      <c r="I1032" s="2">
        <v>3775</v>
      </c>
      <c r="J1032" s="2"/>
      <c r="K1032" s="2">
        <v>64960</v>
      </c>
      <c r="L1032" s="2" t="s">
        <v>7221</v>
      </c>
      <c r="M1032" s="2"/>
      <c r="N1032" s="2"/>
      <c r="O1032" s="2">
        <v>16070</v>
      </c>
      <c r="P1032" s="2"/>
      <c r="Q1032" s="2"/>
      <c r="R1032" s="2" t="s">
        <v>7222</v>
      </c>
      <c r="S1032" s="2" t="s">
        <v>7223</v>
      </c>
      <c r="T1032" s="2" t="s">
        <v>7224</v>
      </c>
      <c r="U1032" s="2" t="s">
        <v>331</v>
      </c>
      <c r="V1032" s="2" t="s">
        <v>332</v>
      </c>
      <c r="W1032" s="2" t="s">
        <v>333</v>
      </c>
      <c r="X1032" s="2" t="s">
        <v>69</v>
      </c>
      <c r="Y1032" s="2">
        <v>86.9</v>
      </c>
      <c r="Z1032" s="2">
        <v>82.2</v>
      </c>
      <c r="AA1032" s="2"/>
      <c r="AB1032" s="2" t="s">
        <v>6257</v>
      </c>
      <c r="AC1032" s="2"/>
      <c r="AD1032" s="2">
        <v>635448.80833012005</v>
      </c>
      <c r="AE1032" s="2">
        <v>0.58825384197092101</v>
      </c>
      <c r="AF1032" s="2">
        <v>1789461.2255468499</v>
      </c>
      <c r="AG1032" s="2">
        <v>1488497.8091241801</v>
      </c>
      <c r="AH1032" s="5">
        <v>1.2021927170989599</v>
      </c>
      <c r="AI1032" s="5">
        <v>0.265668185331009</v>
      </c>
      <c r="AJ1032" s="5" t="s">
        <v>139</v>
      </c>
      <c r="AK1032" s="2">
        <v>0.34272706279849802</v>
      </c>
      <c r="AL1032" s="2">
        <v>0.63815037094278604</v>
      </c>
      <c r="AM1032" s="2">
        <v>1688685.8444278999</v>
      </c>
      <c r="AN1032" s="2">
        <v>1598481.6644854001</v>
      </c>
      <c r="AO1032" s="2">
        <v>1822019.2761683101</v>
      </c>
      <c r="AP1032" s="2">
        <v>2091397.09376725</v>
      </c>
      <c r="AQ1032" s="2">
        <v>2020581.93662471</v>
      </c>
      <c r="AR1032" s="2">
        <v>1515601.53780752</v>
      </c>
      <c r="AS1032" s="2">
        <v>1435859.76821006</v>
      </c>
      <c r="AT1032" s="2">
        <v>897119.08610714204</v>
      </c>
      <c r="AU1032" s="2">
        <v>1336992.79301006</v>
      </c>
      <c r="AV1032" s="2">
        <v>1247273.2497066001</v>
      </c>
      <c r="AW1032" s="2">
        <v>2873114.2487867</v>
      </c>
      <c r="AX1032" s="2">
        <v>1140627.7089245401</v>
      </c>
    </row>
    <row r="1033" spans="1:50" x14ac:dyDescent="0.25">
      <c r="A1033" s="2" t="s">
        <v>7225</v>
      </c>
      <c r="B1033" s="2">
        <v>403.23359596567798</v>
      </c>
      <c r="C1033" s="2">
        <v>7.5713999999999997</v>
      </c>
      <c r="D1033" s="2" t="s">
        <v>51</v>
      </c>
      <c r="E1033" s="2" t="s">
        <v>7226</v>
      </c>
      <c r="F1033" s="2">
        <v>3608</v>
      </c>
      <c r="G1033" s="3" t="str">
        <f>HYPERLINK("https://cloud.oebiotech.com/#/lm/network/3608", "https://cloud.oebiotech.com/#/lm/network/3608")</f>
        <v>https://cloud.oebiotech.com/#/lm/network/3608</v>
      </c>
      <c r="H1033" s="2"/>
      <c r="I1033" s="2">
        <v>74966</v>
      </c>
      <c r="J1033" s="2" t="s">
        <v>7227</v>
      </c>
      <c r="K1033" s="2">
        <v>52921873</v>
      </c>
      <c r="L1033" s="2"/>
      <c r="M1033" s="2"/>
      <c r="N1033" s="2"/>
      <c r="O1033" s="2">
        <v>138496</v>
      </c>
      <c r="P1033" s="2"/>
      <c r="Q1033" s="2"/>
      <c r="R1033" s="2"/>
      <c r="S1033" s="2" t="s">
        <v>7228</v>
      </c>
      <c r="T1033" s="2" t="s">
        <v>7229</v>
      </c>
      <c r="U1033" s="2" t="s">
        <v>103</v>
      </c>
      <c r="V1033" s="2" t="s">
        <v>377</v>
      </c>
      <c r="W1033" s="2" t="s">
        <v>378</v>
      </c>
      <c r="X1033" s="2" t="s">
        <v>59</v>
      </c>
      <c r="Y1033" s="2">
        <v>46.9</v>
      </c>
      <c r="Z1033" s="2">
        <v>47.8</v>
      </c>
      <c r="AA1033" s="2" t="s">
        <v>259</v>
      </c>
      <c r="AB1033" s="2" t="s">
        <v>7230</v>
      </c>
      <c r="AC1033" s="2">
        <v>2.3655564593177099</v>
      </c>
      <c r="AD1033" s="2"/>
      <c r="AE1033" s="2">
        <v>0.58755481043942703</v>
      </c>
      <c r="AF1033" s="2">
        <v>20512.7352711967</v>
      </c>
      <c r="AG1033" s="2">
        <v>27575.686343906498</v>
      </c>
      <c r="AH1033" s="4">
        <v>0.74387034343859304</v>
      </c>
      <c r="AI1033" s="4">
        <v>-0.426876913310831</v>
      </c>
      <c r="AJ1033" s="4" t="s">
        <v>62</v>
      </c>
      <c r="AK1033" s="2">
        <v>4.38163937555514E-4</v>
      </c>
      <c r="AL1033" s="2">
        <v>5.7808428828157503E-2</v>
      </c>
      <c r="AM1033" s="2">
        <v>18344.097130051501</v>
      </c>
      <c r="AN1033" s="2">
        <v>20487.2377990938</v>
      </c>
      <c r="AO1033" s="2">
        <v>21463.095013152499</v>
      </c>
      <c r="AP1033" s="2">
        <v>22006.0772801887</v>
      </c>
      <c r="AQ1033" s="2">
        <v>22291.017167193801</v>
      </c>
      <c r="AR1033" s="2">
        <v>18484.887237499799</v>
      </c>
      <c r="AS1033" s="2">
        <v>27537.131689113201</v>
      </c>
      <c r="AT1033" s="2">
        <v>30854.375458328701</v>
      </c>
      <c r="AU1033" s="2">
        <v>24467.370932019501</v>
      </c>
      <c r="AV1033" s="2">
        <v>24267.8384304959</v>
      </c>
      <c r="AW1033" s="2">
        <v>27559.019960732701</v>
      </c>
      <c r="AX1033" s="2">
        <v>30768.3815927492</v>
      </c>
    </row>
    <row r="1034" spans="1:50" x14ac:dyDescent="0.25">
      <c r="A1034" s="2" t="s">
        <v>7231</v>
      </c>
      <c r="B1034" s="2">
        <v>132.06609617631801</v>
      </c>
      <c r="C1034" s="2">
        <v>0.67084999999999995</v>
      </c>
      <c r="D1034" s="2" t="s">
        <v>51</v>
      </c>
      <c r="E1034" s="2" t="s">
        <v>7232</v>
      </c>
      <c r="F1034" s="2">
        <v>200442</v>
      </c>
      <c r="G1034" s="3" t="str">
        <f>HYPERLINK("https://cloud.oebiotech.com/#/lm/network/200442", "https://cloud.oebiotech.com/#/lm/network/200442")</f>
        <v>https://cloud.oebiotech.com/#/lm/network/200442</v>
      </c>
      <c r="H1034" s="2" t="s">
        <v>7233</v>
      </c>
      <c r="I1034" s="2"/>
      <c r="J1034" s="2"/>
      <c r="K1034" s="2">
        <v>423</v>
      </c>
      <c r="L1034" s="2"/>
      <c r="M1034" s="2"/>
      <c r="N1034" s="2"/>
      <c r="O1034" s="2">
        <v>15914</v>
      </c>
      <c r="P1034" s="2"/>
      <c r="Q1034" s="2"/>
      <c r="R1034" s="2"/>
      <c r="S1034" s="2" t="s">
        <v>7234</v>
      </c>
      <c r="T1034" s="2" t="s">
        <v>7235</v>
      </c>
      <c r="U1034" s="2" t="s">
        <v>103</v>
      </c>
      <c r="V1034" s="2" t="s">
        <v>104</v>
      </c>
      <c r="W1034" s="2" t="s">
        <v>105</v>
      </c>
      <c r="X1034" s="2" t="s">
        <v>83</v>
      </c>
      <c r="Y1034" s="2">
        <v>44</v>
      </c>
      <c r="Z1034" s="2">
        <v>0</v>
      </c>
      <c r="AA1034" s="2" t="s">
        <v>259</v>
      </c>
      <c r="AB1034" s="2" t="s">
        <v>878</v>
      </c>
      <c r="AC1034" s="2">
        <v>4.3995111928641304</v>
      </c>
      <c r="AD1034" s="2"/>
      <c r="AE1034" s="2">
        <v>0.58705977172351298</v>
      </c>
      <c r="AF1034" s="2">
        <v>10572.2947332559</v>
      </c>
      <c r="AG1034" s="2">
        <v>25928.709012609401</v>
      </c>
      <c r="AH1034" s="4">
        <v>0.40774474070862798</v>
      </c>
      <c r="AI1034" s="4">
        <v>-1.2942618264174399</v>
      </c>
      <c r="AJ1034" s="4" t="s">
        <v>62</v>
      </c>
      <c r="AK1034" s="2">
        <v>0.27167580845161099</v>
      </c>
      <c r="AL1034" s="2">
        <v>0.59187658046137204</v>
      </c>
      <c r="AM1034" s="2">
        <v>16283.8916619806</v>
      </c>
      <c r="AN1034" s="2">
        <v>9242.4545216316401</v>
      </c>
      <c r="AO1034" s="2">
        <v>5109.2950192805902</v>
      </c>
      <c r="AP1034" s="2">
        <v>5304.2700453366197</v>
      </c>
      <c r="AQ1034" s="2">
        <v>17871.570636843298</v>
      </c>
      <c r="AR1034" s="2">
        <v>9622.2865144625703</v>
      </c>
      <c r="AS1034" s="2">
        <v>4705.3369210716301</v>
      </c>
      <c r="AT1034" s="2">
        <v>6577.02162553161</v>
      </c>
      <c r="AU1034" s="2">
        <v>22491.0811385011</v>
      </c>
      <c r="AV1034" s="2">
        <v>88473.286410499903</v>
      </c>
      <c r="AW1034" s="2">
        <v>7706.1910169646699</v>
      </c>
      <c r="AX1034" s="2">
        <v>25619.336963087699</v>
      </c>
    </row>
    <row r="1035" spans="1:50" x14ac:dyDescent="0.25">
      <c r="A1035" s="2" t="s">
        <v>7236</v>
      </c>
      <c r="B1035" s="2">
        <v>481.281077033043</v>
      </c>
      <c r="C1035" s="2">
        <v>9.1509999999999998</v>
      </c>
      <c r="D1035" s="2" t="s">
        <v>51</v>
      </c>
      <c r="E1035" s="2" t="s">
        <v>7237</v>
      </c>
      <c r="F1035" s="2">
        <v>36164</v>
      </c>
      <c r="G1035" s="3" t="str">
        <f>HYPERLINK("https://cloud.oebiotech.com/#/lm/network/36164", "https://cloud.oebiotech.com/#/lm/network/36164")</f>
        <v>https://cloud.oebiotech.com/#/lm/network/36164</v>
      </c>
      <c r="H1035" s="2"/>
      <c r="I1035" s="2">
        <v>53744</v>
      </c>
      <c r="J1035" s="2" t="s">
        <v>7238</v>
      </c>
      <c r="K1035" s="2">
        <v>42608278</v>
      </c>
      <c r="L1035" s="2"/>
      <c r="M1035" s="2"/>
      <c r="N1035" s="2"/>
      <c r="O1035" s="2"/>
      <c r="P1035" s="2"/>
      <c r="Q1035" s="2"/>
      <c r="R1035" s="2"/>
      <c r="S1035" s="2" t="s">
        <v>7239</v>
      </c>
      <c r="T1035" s="2" t="s">
        <v>7240</v>
      </c>
      <c r="U1035" s="2" t="s">
        <v>56</v>
      </c>
      <c r="V1035" s="2" t="s">
        <v>177</v>
      </c>
      <c r="W1035" s="2" t="s">
        <v>806</v>
      </c>
      <c r="X1035" s="2" t="s">
        <v>147</v>
      </c>
      <c r="Y1035" s="2">
        <v>43</v>
      </c>
      <c r="Z1035" s="2">
        <v>23.6</v>
      </c>
      <c r="AA1035" s="2" t="s">
        <v>218</v>
      </c>
      <c r="AB1035" s="2" t="s">
        <v>7241</v>
      </c>
      <c r="AC1035" s="2">
        <v>0.88282911283130705</v>
      </c>
      <c r="AD1035" s="2"/>
      <c r="AE1035" s="2">
        <v>0.58691043641584395</v>
      </c>
      <c r="AF1035" s="2">
        <v>8329.5209343615697</v>
      </c>
      <c r="AG1035" s="2">
        <v>25958.700337405098</v>
      </c>
      <c r="AH1035" s="4">
        <v>0.32087588462043098</v>
      </c>
      <c r="AI1035" s="4">
        <v>-1.63991272672555</v>
      </c>
      <c r="AJ1035" s="4" t="s">
        <v>62</v>
      </c>
      <c r="AK1035" s="2">
        <v>0.158032078282974</v>
      </c>
      <c r="AL1035" s="2">
        <v>0.48065391842521199</v>
      </c>
      <c r="AM1035" s="2">
        <v>30821.043410951301</v>
      </c>
      <c r="AN1035" s="2">
        <v>3350.3238562963302</v>
      </c>
      <c r="AO1035" s="2">
        <v>3855.12757777148</v>
      </c>
      <c r="AP1035" s="2">
        <v>10448.6538350232</v>
      </c>
      <c r="AQ1035" s="2">
        <v>1020.45350185685</v>
      </c>
      <c r="AR1035" s="2">
        <v>481.52342427023802</v>
      </c>
      <c r="AS1035" s="2">
        <v>4471.0969112619796</v>
      </c>
      <c r="AT1035" s="2">
        <v>2899.1967919170002</v>
      </c>
      <c r="AU1035" s="2">
        <v>57846.320428946798</v>
      </c>
      <c r="AV1035" s="2">
        <v>47209.802812226597</v>
      </c>
      <c r="AW1035" s="2">
        <v>42103.541673460502</v>
      </c>
      <c r="AX1035" s="2">
        <v>1222.2434066179901</v>
      </c>
    </row>
    <row r="1036" spans="1:50" x14ac:dyDescent="0.25">
      <c r="A1036" s="2" t="s">
        <v>7242</v>
      </c>
      <c r="B1036" s="2">
        <v>348.10249860544099</v>
      </c>
      <c r="C1036" s="2">
        <v>5.1084166666666704</v>
      </c>
      <c r="D1036" s="2" t="s">
        <v>51</v>
      </c>
      <c r="E1036" s="2" t="s">
        <v>7243</v>
      </c>
      <c r="F1036" s="2">
        <v>52775</v>
      </c>
      <c r="G1036" s="3" t="str">
        <f>HYPERLINK("https://cloud.oebiotech.com/#/lm/network/52775", "https://cloud.oebiotech.com/#/lm/network/52775")</f>
        <v>https://cloud.oebiotech.com/#/lm/network/52775</v>
      </c>
      <c r="H1036" s="2" t="s">
        <v>7244</v>
      </c>
      <c r="I1036" s="2">
        <v>536</v>
      </c>
      <c r="J1036" s="2"/>
      <c r="K1036" s="2">
        <v>6249</v>
      </c>
      <c r="L1036" s="2" t="s">
        <v>7245</v>
      </c>
      <c r="M1036" s="2"/>
      <c r="N1036" s="2"/>
      <c r="O1036" s="2">
        <v>28971</v>
      </c>
      <c r="P1036" s="2"/>
      <c r="Q1036" s="2"/>
      <c r="R1036" s="2" t="s">
        <v>7246</v>
      </c>
      <c r="S1036" s="2" t="s">
        <v>7247</v>
      </c>
      <c r="T1036" s="2" t="s">
        <v>7248</v>
      </c>
      <c r="U1036" s="2" t="s">
        <v>266</v>
      </c>
      <c r="V1036" s="2" t="s">
        <v>267</v>
      </c>
      <c r="W1036" s="2" t="s">
        <v>268</v>
      </c>
      <c r="X1036" s="2" t="s">
        <v>69</v>
      </c>
      <c r="Y1036" s="2">
        <v>59.2</v>
      </c>
      <c r="Z1036" s="2">
        <v>94.4</v>
      </c>
      <c r="AA1036" s="2" t="s">
        <v>163</v>
      </c>
      <c r="AB1036" s="2" t="s">
        <v>7249</v>
      </c>
      <c r="AC1036" s="2">
        <v>0.42375076367550901</v>
      </c>
      <c r="AD1036" s="2"/>
      <c r="AE1036" s="2">
        <v>0.58682999362566901</v>
      </c>
      <c r="AF1036" s="2">
        <v>2954.5980542372299</v>
      </c>
      <c r="AG1036" s="2">
        <v>19931.404405047899</v>
      </c>
      <c r="AH1036" s="4">
        <v>0.14823832752542701</v>
      </c>
      <c r="AI1036" s="4">
        <v>-2.75400958528747</v>
      </c>
      <c r="AJ1036" s="4" t="s">
        <v>62</v>
      </c>
      <c r="AK1036" s="2">
        <v>0.41599452337417098</v>
      </c>
      <c r="AL1036" s="2">
        <v>0.67850535309682802</v>
      </c>
      <c r="AM1036" s="2">
        <v>150.211490823209</v>
      </c>
      <c r="AN1036" s="2">
        <v>0.95150899182238702</v>
      </c>
      <c r="AO1036" s="2">
        <v>8.559877937157E-6</v>
      </c>
      <c r="AP1036" s="2">
        <v>8.559877937157E-6</v>
      </c>
      <c r="AQ1036" s="2">
        <v>12084.3540889469</v>
      </c>
      <c r="AR1036" s="2">
        <v>5492.07121954168</v>
      </c>
      <c r="AS1036" s="2">
        <v>137.002491029482</v>
      </c>
      <c r="AT1036" s="2">
        <v>0.119738978098319</v>
      </c>
      <c r="AU1036" s="2">
        <v>8.559877937157E-6</v>
      </c>
      <c r="AV1036" s="2">
        <v>8.559877937157E-6</v>
      </c>
      <c r="AW1036" s="2">
        <v>119451.30417459999</v>
      </c>
      <c r="AX1036" s="2">
        <v>8.559877937157E-6</v>
      </c>
    </row>
    <row r="1037" spans="1:50" x14ac:dyDescent="0.25">
      <c r="A1037" s="2" t="s">
        <v>7250</v>
      </c>
      <c r="B1037" s="2">
        <v>327.21780286143002</v>
      </c>
      <c r="C1037" s="2">
        <v>9.99465</v>
      </c>
      <c r="D1037" s="2" t="s">
        <v>51</v>
      </c>
      <c r="E1037" s="2" t="s">
        <v>7251</v>
      </c>
      <c r="F1037" s="2">
        <v>3060</v>
      </c>
      <c r="G1037" s="3" t="str">
        <f>HYPERLINK("https://cloud.oebiotech.com/#/lm/network/3060", "https://cloud.oebiotech.com/#/lm/network/3060")</f>
        <v>https://cloud.oebiotech.com/#/lm/network/3060</v>
      </c>
      <c r="H1037" s="2"/>
      <c r="I1037" s="2">
        <v>74454</v>
      </c>
      <c r="J1037" s="2" t="s">
        <v>7252</v>
      </c>
      <c r="K1037" s="2">
        <v>5282862</v>
      </c>
      <c r="L1037" s="2"/>
      <c r="M1037" s="2"/>
      <c r="N1037" s="2"/>
      <c r="O1037" s="2"/>
      <c r="P1037" s="2"/>
      <c r="Q1037" s="2"/>
      <c r="R1037" s="2"/>
      <c r="S1037" s="2" t="s">
        <v>7253</v>
      </c>
      <c r="T1037" s="2" t="s">
        <v>7254</v>
      </c>
      <c r="U1037" s="2" t="s">
        <v>56</v>
      </c>
      <c r="V1037" s="2" t="s">
        <v>145</v>
      </c>
      <c r="W1037" s="2" t="s">
        <v>231</v>
      </c>
      <c r="X1037" s="2" t="s">
        <v>83</v>
      </c>
      <c r="Y1037" s="2">
        <v>56.9</v>
      </c>
      <c r="Z1037" s="2">
        <v>33.1</v>
      </c>
      <c r="AA1037" s="2" t="s">
        <v>163</v>
      </c>
      <c r="AB1037" s="2" t="s">
        <v>7255</v>
      </c>
      <c r="AC1037" s="2">
        <v>0.32041860867730798</v>
      </c>
      <c r="AD1037" s="2"/>
      <c r="AE1037" s="2">
        <v>0.58643230265895296</v>
      </c>
      <c r="AF1037" s="2">
        <v>15464.5949738007</v>
      </c>
      <c r="AG1037" s="2">
        <v>9251.7982807028202</v>
      </c>
      <c r="AH1037" s="5">
        <v>1.6715231465926299</v>
      </c>
      <c r="AI1037" s="5">
        <v>0.74116333296500503</v>
      </c>
      <c r="AJ1037" s="5" t="s">
        <v>139</v>
      </c>
      <c r="AK1037" s="2">
        <v>4.9927482470416701E-3</v>
      </c>
      <c r="AL1037" s="2">
        <v>0.123740271492219</v>
      </c>
      <c r="AM1037" s="2">
        <v>18106.510961288001</v>
      </c>
      <c r="AN1037" s="2">
        <v>17917.671221912598</v>
      </c>
      <c r="AO1037" s="2">
        <v>16109.6548730707</v>
      </c>
      <c r="AP1037" s="2">
        <v>11738.4125508409</v>
      </c>
      <c r="AQ1037" s="2">
        <v>15856.566196313601</v>
      </c>
      <c r="AR1037" s="2">
        <v>13058.7540393784</v>
      </c>
      <c r="AS1037" s="2">
        <v>6873.6541898997702</v>
      </c>
      <c r="AT1037" s="2">
        <v>10761.8076287808</v>
      </c>
      <c r="AU1037" s="2">
        <v>14726.552614153899</v>
      </c>
      <c r="AV1037" s="2">
        <v>10523.939171256599</v>
      </c>
      <c r="AW1037" s="2">
        <v>6005.0939924742097</v>
      </c>
      <c r="AX1037" s="2">
        <v>6619.7420876516699</v>
      </c>
    </row>
    <row r="1038" spans="1:50" x14ac:dyDescent="0.25">
      <c r="A1038" s="2" t="s">
        <v>7256</v>
      </c>
      <c r="B1038" s="2">
        <v>379.24939053118698</v>
      </c>
      <c r="C1038" s="2">
        <v>9.2139500000000005</v>
      </c>
      <c r="D1038" s="2" t="s">
        <v>51</v>
      </c>
      <c r="E1038" s="2" t="s">
        <v>7257</v>
      </c>
      <c r="F1038" s="2">
        <v>3675</v>
      </c>
      <c r="G1038" s="3" t="str">
        <f>HYPERLINK("https://cloud.oebiotech.com/#/lm/network/3675", "https://cloud.oebiotech.com/#/lm/network/3675")</f>
        <v>https://cloud.oebiotech.com/#/lm/network/3675</v>
      </c>
      <c r="H1038" s="2"/>
      <c r="I1038" s="2">
        <v>36123</v>
      </c>
      <c r="J1038" s="2" t="s">
        <v>7258</v>
      </c>
      <c r="K1038" s="2">
        <v>5283053</v>
      </c>
      <c r="L1038" s="2"/>
      <c r="M1038" s="2"/>
      <c r="N1038" s="2"/>
      <c r="O1038" s="2"/>
      <c r="P1038" s="2"/>
      <c r="Q1038" s="2"/>
      <c r="R1038" s="2" t="s">
        <v>7259</v>
      </c>
      <c r="S1038" s="2" t="s">
        <v>7260</v>
      </c>
      <c r="T1038" s="2" t="s">
        <v>7261</v>
      </c>
      <c r="U1038" s="2" t="s">
        <v>56</v>
      </c>
      <c r="V1038" s="2" t="s">
        <v>145</v>
      </c>
      <c r="W1038" s="2" t="s">
        <v>187</v>
      </c>
      <c r="X1038" s="2" t="s">
        <v>83</v>
      </c>
      <c r="Y1038" s="2">
        <v>44.7</v>
      </c>
      <c r="Z1038" s="2">
        <v>0</v>
      </c>
      <c r="AA1038" s="2" t="s">
        <v>163</v>
      </c>
      <c r="AB1038" s="2" t="s">
        <v>7262</v>
      </c>
      <c r="AC1038" s="2">
        <v>1.0327531557595999</v>
      </c>
      <c r="AD1038" s="2"/>
      <c r="AE1038" s="2">
        <v>0.584832291819679</v>
      </c>
      <c r="AF1038" s="2">
        <v>14619.2805699399</v>
      </c>
      <c r="AG1038" s="2">
        <v>6308.9457575247998</v>
      </c>
      <c r="AH1038" s="5">
        <v>2.31723034747972</v>
      </c>
      <c r="AI1038" s="5">
        <v>1.21240146442229</v>
      </c>
      <c r="AJ1038" s="5" t="s">
        <v>139</v>
      </c>
      <c r="AK1038" s="2">
        <v>3.0288095751748501E-2</v>
      </c>
      <c r="AL1038" s="2">
        <v>0.260087446182861</v>
      </c>
      <c r="AM1038" s="2">
        <v>14903.001698506399</v>
      </c>
      <c r="AN1038" s="2">
        <v>24765.9519308011</v>
      </c>
      <c r="AO1038" s="2">
        <v>9401.6769349604601</v>
      </c>
      <c r="AP1038" s="2">
        <v>5832.4204249635004</v>
      </c>
      <c r="AQ1038" s="2">
        <v>13718.554252983</v>
      </c>
      <c r="AR1038" s="2">
        <v>19094.078177424999</v>
      </c>
      <c r="AS1038" s="2">
        <v>6829.5812856161301</v>
      </c>
      <c r="AT1038" s="2">
        <v>1927.93862285463</v>
      </c>
      <c r="AU1038" s="2">
        <v>14167.421747222301</v>
      </c>
      <c r="AV1038" s="2">
        <v>2485.4174589866002</v>
      </c>
      <c r="AW1038" s="2">
        <v>7117.2055893679599</v>
      </c>
      <c r="AX1038" s="2">
        <v>5326.1098411011999</v>
      </c>
    </row>
    <row r="1039" spans="1:50" x14ac:dyDescent="0.25">
      <c r="A1039" s="2" t="s">
        <v>7263</v>
      </c>
      <c r="B1039" s="2">
        <v>337.147973610257</v>
      </c>
      <c r="C1039" s="2">
        <v>12.0390333333333</v>
      </c>
      <c r="D1039" s="2" t="s">
        <v>51</v>
      </c>
      <c r="E1039" s="2" t="s">
        <v>7264</v>
      </c>
      <c r="F1039" s="2">
        <v>64595</v>
      </c>
      <c r="G1039" s="3" t="str">
        <f>HYPERLINK("https://cloud.oebiotech.com/#/lm/network/64595", "https://cloud.oebiotech.com/#/lm/network/64595")</f>
        <v>https://cloud.oebiotech.com/#/lm/network/64595</v>
      </c>
      <c r="H1039" s="2" t="s">
        <v>7265</v>
      </c>
      <c r="I1039" s="2">
        <v>95897</v>
      </c>
      <c r="J1039" s="2"/>
      <c r="K1039" s="2">
        <v>131753154</v>
      </c>
      <c r="L1039" s="2"/>
      <c r="M1039" s="2"/>
      <c r="N1039" s="2"/>
      <c r="O1039" s="2">
        <v>168053</v>
      </c>
      <c r="P1039" s="2"/>
      <c r="Q1039" s="2"/>
      <c r="R1039" s="2" t="s">
        <v>7266</v>
      </c>
      <c r="S1039" s="2" t="s">
        <v>7267</v>
      </c>
      <c r="T1039" s="2" t="s">
        <v>7268</v>
      </c>
      <c r="U1039" s="2" t="s">
        <v>331</v>
      </c>
      <c r="V1039" s="2" t="s">
        <v>332</v>
      </c>
      <c r="W1039" s="2" t="s">
        <v>333</v>
      </c>
      <c r="X1039" s="2" t="s">
        <v>147</v>
      </c>
      <c r="Y1039" s="2">
        <v>44.3</v>
      </c>
      <c r="Z1039" s="2">
        <v>29.7</v>
      </c>
      <c r="AA1039" s="2" t="s">
        <v>156</v>
      </c>
      <c r="AB1039" s="2" t="s">
        <v>7269</v>
      </c>
      <c r="AC1039" s="2">
        <v>-3.7700391713600001</v>
      </c>
      <c r="AD1039" s="2"/>
      <c r="AE1039" s="2">
        <v>0.58430558713603797</v>
      </c>
      <c r="AF1039" s="2">
        <v>7202.9399175783301</v>
      </c>
      <c r="AG1039" s="2">
        <v>18687.133644195499</v>
      </c>
      <c r="AH1039" s="4">
        <v>0.38544915741080799</v>
      </c>
      <c r="AI1039" s="4">
        <v>-1.3753875205802899</v>
      </c>
      <c r="AJ1039" s="4" t="s">
        <v>62</v>
      </c>
      <c r="AK1039" s="2">
        <v>4.0956118628001699E-2</v>
      </c>
      <c r="AL1039" s="2">
        <v>0.29155452793099101</v>
      </c>
      <c r="AM1039" s="2">
        <v>9037.3676731806008</v>
      </c>
      <c r="AN1039" s="2">
        <v>7963.7934341626096</v>
      </c>
      <c r="AO1039" s="2">
        <v>13376.6196197965</v>
      </c>
      <c r="AP1039" s="2">
        <v>4564.8081033417102</v>
      </c>
      <c r="AQ1039" s="2">
        <v>5373.9543060297501</v>
      </c>
      <c r="AR1039" s="2">
        <v>2901.0963689588102</v>
      </c>
      <c r="AS1039" s="2">
        <v>13480.485538484199</v>
      </c>
      <c r="AT1039" s="2">
        <v>4552.3756415825701</v>
      </c>
      <c r="AU1039" s="2">
        <v>36776.186514494097</v>
      </c>
      <c r="AV1039" s="2">
        <v>18510.170376754199</v>
      </c>
      <c r="AW1039" s="2">
        <v>26227.758825503799</v>
      </c>
      <c r="AX1039" s="2">
        <v>12575.8249683543</v>
      </c>
    </row>
    <row r="1040" spans="1:50" x14ac:dyDescent="0.25">
      <c r="A1040" s="2" t="s">
        <v>7270</v>
      </c>
      <c r="B1040" s="2">
        <v>385.34808934934699</v>
      </c>
      <c r="C1040" s="2">
        <v>14.521416666666701</v>
      </c>
      <c r="D1040" s="2" t="s">
        <v>51</v>
      </c>
      <c r="E1040" s="2" t="s">
        <v>7271</v>
      </c>
      <c r="F1040" s="2">
        <v>43579</v>
      </c>
      <c r="G1040" s="3" t="str">
        <f>HYPERLINK("https://cloud.oebiotech.com/#/lm/network/43579", "https://cloud.oebiotech.com/#/lm/network/43579")</f>
        <v>https://cloud.oebiotech.com/#/lm/network/43579</v>
      </c>
      <c r="H1040" s="2"/>
      <c r="I1040" s="2">
        <v>43973</v>
      </c>
      <c r="J1040" s="2" t="s">
        <v>7272</v>
      </c>
      <c r="K1040" s="2">
        <v>9908107</v>
      </c>
      <c r="L1040" s="2"/>
      <c r="M1040" s="2"/>
      <c r="N1040" s="2"/>
      <c r="O1040" s="2">
        <v>63906</v>
      </c>
      <c r="P1040" s="2"/>
      <c r="Q1040" s="2"/>
      <c r="R1040" s="2" t="s">
        <v>7273</v>
      </c>
      <c r="S1040" s="2" t="s">
        <v>7274</v>
      </c>
      <c r="T1040" s="2" t="s">
        <v>7275</v>
      </c>
      <c r="U1040" s="2" t="s">
        <v>56</v>
      </c>
      <c r="V1040" s="2" t="s">
        <v>283</v>
      </c>
      <c r="W1040" s="2" t="s">
        <v>1108</v>
      </c>
      <c r="X1040" s="2" t="s">
        <v>69</v>
      </c>
      <c r="Y1040" s="2">
        <v>66</v>
      </c>
      <c r="Z1040" s="2">
        <v>64.599999999999994</v>
      </c>
      <c r="AA1040" s="2" t="s">
        <v>259</v>
      </c>
      <c r="AB1040" s="2" t="s">
        <v>7276</v>
      </c>
      <c r="AC1040" s="2">
        <v>4.1548888078173896</v>
      </c>
      <c r="AD1040" s="2"/>
      <c r="AE1040" s="2">
        <v>0.58268372903994703</v>
      </c>
      <c r="AF1040" s="2">
        <v>42865.899689960897</v>
      </c>
      <c r="AG1040" s="2">
        <v>31338.179304047801</v>
      </c>
      <c r="AH1040" s="5">
        <v>1.3678490787250099</v>
      </c>
      <c r="AI1040" s="5">
        <v>0.45190905961976902</v>
      </c>
      <c r="AJ1040" s="5" t="s">
        <v>139</v>
      </c>
      <c r="AK1040" s="2">
        <v>5.6625020770970501E-2</v>
      </c>
      <c r="AL1040" s="2">
        <v>0.325203556477003</v>
      </c>
      <c r="AM1040" s="2">
        <v>30893.833497745502</v>
      </c>
      <c r="AN1040" s="2">
        <v>56066.290057068298</v>
      </c>
      <c r="AO1040" s="2">
        <v>39689.399966667399</v>
      </c>
      <c r="AP1040" s="2">
        <v>48015.273696509001</v>
      </c>
      <c r="AQ1040" s="2">
        <v>41521.348481679401</v>
      </c>
      <c r="AR1040" s="2">
        <v>41009.252440095799</v>
      </c>
      <c r="AS1040" s="2">
        <v>37976.077791513097</v>
      </c>
      <c r="AT1040" s="2">
        <v>43758.727244595902</v>
      </c>
      <c r="AU1040" s="2">
        <v>23299.2006666374</v>
      </c>
      <c r="AV1040" s="2">
        <v>16954.4808021075</v>
      </c>
      <c r="AW1040" s="2">
        <v>29568.342544531799</v>
      </c>
      <c r="AX1040" s="2">
        <v>36472.246774900901</v>
      </c>
    </row>
    <row r="1041" spans="1:50" x14ac:dyDescent="0.25">
      <c r="A1041" s="2" t="s">
        <v>7277</v>
      </c>
      <c r="B1041" s="2">
        <v>632.18094067494496</v>
      </c>
      <c r="C1041" s="2">
        <v>2.0702500000000001</v>
      </c>
      <c r="D1041" s="2" t="s">
        <v>51</v>
      </c>
      <c r="E1041" s="2" t="s">
        <v>7278</v>
      </c>
      <c r="F1041" s="2">
        <v>207052</v>
      </c>
      <c r="G1041" s="3" t="str">
        <f>HYPERLINK("https://cloud.oebiotech.com/#/lm/network/207052", "https://cloud.oebiotech.com/#/lm/network/207052")</f>
        <v>https://cloud.oebiotech.com/#/lm/network/207052</v>
      </c>
      <c r="H1041" s="2" t="s">
        <v>7279</v>
      </c>
      <c r="I1041" s="2"/>
      <c r="J1041" s="2"/>
      <c r="K1041" s="2">
        <v>73091880</v>
      </c>
      <c r="L1041" s="2"/>
      <c r="M1041" s="2"/>
      <c r="N1041" s="2"/>
      <c r="O1041" s="2"/>
      <c r="P1041" s="2"/>
      <c r="Q1041" s="2"/>
      <c r="R1041" s="2"/>
      <c r="S1041" s="2" t="s">
        <v>7280</v>
      </c>
      <c r="T1041" s="2" t="s">
        <v>7281</v>
      </c>
      <c r="U1041" s="2" t="s">
        <v>540</v>
      </c>
      <c r="V1041" s="2" t="s">
        <v>3486</v>
      </c>
      <c r="W1041" s="2" t="s">
        <v>240</v>
      </c>
      <c r="X1041" s="2" t="s">
        <v>59</v>
      </c>
      <c r="Y1041" s="2">
        <v>51</v>
      </c>
      <c r="Z1041" s="2">
        <v>70.099999999999994</v>
      </c>
      <c r="AA1041" s="2" t="s">
        <v>163</v>
      </c>
      <c r="AB1041" s="2" t="s">
        <v>7282</v>
      </c>
      <c r="AC1041" s="2">
        <v>3.8674299826806</v>
      </c>
      <c r="AD1041" s="2"/>
      <c r="AE1041" s="2">
        <v>0.58246431921546005</v>
      </c>
      <c r="AF1041" s="2">
        <v>24800.250585982802</v>
      </c>
      <c r="AG1041" s="2">
        <v>13930.4245590139</v>
      </c>
      <c r="AH1041" s="5">
        <v>1.7802939516251499</v>
      </c>
      <c r="AI1041" s="5">
        <v>0.83211547014612997</v>
      </c>
      <c r="AJ1041" s="5" t="s">
        <v>139</v>
      </c>
      <c r="AK1041" s="2">
        <v>3.9609549340546397E-2</v>
      </c>
      <c r="AL1041" s="2">
        <v>0.29135565991996598</v>
      </c>
      <c r="AM1041" s="2">
        <v>31445.940475851901</v>
      </c>
      <c r="AN1041" s="2">
        <v>25368.426258372401</v>
      </c>
      <c r="AO1041" s="2">
        <v>14130.297299047301</v>
      </c>
      <c r="AP1041" s="2">
        <v>33442.900676111298</v>
      </c>
      <c r="AQ1041" s="2">
        <v>28142.484254160001</v>
      </c>
      <c r="AR1041" s="2">
        <v>16271.4545523539</v>
      </c>
      <c r="AS1041" s="2">
        <v>5565.5416858118197</v>
      </c>
      <c r="AT1041" s="2">
        <v>6164.7148678869999</v>
      </c>
      <c r="AU1041" s="2">
        <v>14879.7393242365</v>
      </c>
      <c r="AV1041" s="2">
        <v>13970.2339576862</v>
      </c>
      <c r="AW1041" s="2">
        <v>15545.4338708178</v>
      </c>
      <c r="AX1041" s="2">
        <v>27456.883647643801</v>
      </c>
    </row>
    <row r="1042" spans="1:50" x14ac:dyDescent="0.25">
      <c r="A1042" s="2" t="s">
        <v>7283</v>
      </c>
      <c r="B1042" s="2">
        <v>357.062769591662</v>
      </c>
      <c r="C1042" s="2">
        <v>4.8803666666666699</v>
      </c>
      <c r="D1042" s="2" t="s">
        <v>51</v>
      </c>
      <c r="E1042" s="2" t="s">
        <v>7284</v>
      </c>
      <c r="F1042" s="2">
        <v>29873</v>
      </c>
      <c r="G1042" s="3" t="str">
        <f>HYPERLINK("https://cloud.oebiotech.com/#/lm/network/29873", "https://cloud.oebiotech.com/#/lm/network/29873")</f>
        <v>https://cloud.oebiotech.com/#/lm/network/29873</v>
      </c>
      <c r="H1042" s="2"/>
      <c r="I1042" s="2">
        <v>48230</v>
      </c>
      <c r="J1042" s="2" t="s">
        <v>7285</v>
      </c>
      <c r="K1042" s="2">
        <v>44257495</v>
      </c>
      <c r="L1042" s="2"/>
      <c r="M1042" s="2"/>
      <c r="N1042" s="2"/>
      <c r="O1042" s="2"/>
      <c r="P1042" s="2"/>
      <c r="Q1042" s="2"/>
      <c r="R1042" s="2"/>
      <c r="S1042" s="2" t="s">
        <v>7286</v>
      </c>
      <c r="T1042" s="2" t="s">
        <v>7287</v>
      </c>
      <c r="U1042" s="2" t="s">
        <v>266</v>
      </c>
      <c r="V1042" s="2" t="s">
        <v>1785</v>
      </c>
      <c r="W1042" s="2" t="s">
        <v>1786</v>
      </c>
      <c r="X1042" s="2" t="s">
        <v>59</v>
      </c>
      <c r="Y1042" s="2">
        <v>51.9</v>
      </c>
      <c r="Z1042" s="2">
        <v>71.7</v>
      </c>
      <c r="AA1042" s="2" t="s">
        <v>218</v>
      </c>
      <c r="AB1042" s="2" t="s">
        <v>7288</v>
      </c>
      <c r="AC1042" s="2">
        <v>3.7768591489102601</v>
      </c>
      <c r="AD1042" s="2"/>
      <c r="AE1042" s="2">
        <v>0.58235746338787797</v>
      </c>
      <c r="AF1042" s="2">
        <v>6229.0856670073599</v>
      </c>
      <c r="AG1042" s="2">
        <v>15929.8487602845</v>
      </c>
      <c r="AH1042" s="4">
        <v>0.39103231679998102</v>
      </c>
      <c r="AI1042" s="4">
        <v>-1.3546402511388</v>
      </c>
      <c r="AJ1042" s="4" t="s">
        <v>62</v>
      </c>
      <c r="AK1042" s="2">
        <v>4.1284077340774702E-2</v>
      </c>
      <c r="AL1042" s="2">
        <v>0.29213774394777098</v>
      </c>
      <c r="AM1042" s="2">
        <v>6681.2062166715496</v>
      </c>
      <c r="AN1042" s="2">
        <v>2690.8443131693998</v>
      </c>
      <c r="AO1042" s="2">
        <v>10227.978265940301</v>
      </c>
      <c r="AP1042" s="2">
        <v>1049.05202825672</v>
      </c>
      <c r="AQ1042" s="2">
        <v>2575.1277188835702</v>
      </c>
      <c r="AR1042" s="2">
        <v>14150.305459122599</v>
      </c>
      <c r="AS1042" s="2">
        <v>3752.5461280910399</v>
      </c>
      <c r="AT1042" s="2">
        <v>9642.8349730971295</v>
      </c>
      <c r="AU1042" s="2">
        <v>15528.1050531413</v>
      </c>
      <c r="AV1042" s="2">
        <v>18505.820238052798</v>
      </c>
      <c r="AW1042" s="2">
        <v>29380.5939835764</v>
      </c>
      <c r="AX1042" s="2">
        <v>18769.192185748499</v>
      </c>
    </row>
    <row r="1043" spans="1:50" x14ac:dyDescent="0.25">
      <c r="A1043" s="2" t="s">
        <v>7289</v>
      </c>
      <c r="B1043" s="2">
        <v>529.20343548827896</v>
      </c>
      <c r="C1043" s="2">
        <v>7.4423666666666701</v>
      </c>
      <c r="D1043" s="2" t="s">
        <v>51</v>
      </c>
      <c r="E1043" s="2" t="s">
        <v>7290</v>
      </c>
      <c r="F1043" s="2">
        <v>57102</v>
      </c>
      <c r="G1043" s="3" t="str">
        <f>HYPERLINK("https://cloud.oebiotech.com/#/lm/network/57102", "https://cloud.oebiotech.com/#/lm/network/57102")</f>
        <v>https://cloud.oebiotech.com/#/lm/network/57102</v>
      </c>
      <c r="H1043" s="2" t="s">
        <v>7291</v>
      </c>
      <c r="I1043" s="2">
        <v>88754</v>
      </c>
      <c r="J1043" s="2"/>
      <c r="K1043" s="2">
        <v>131751327</v>
      </c>
      <c r="L1043" s="2"/>
      <c r="M1043" s="2"/>
      <c r="N1043" s="2"/>
      <c r="O1043" s="2"/>
      <c r="P1043" s="2"/>
      <c r="Q1043" s="2"/>
      <c r="R1043" s="2" t="s">
        <v>7292</v>
      </c>
      <c r="S1043" s="2" t="s">
        <v>7293</v>
      </c>
      <c r="T1043" s="2" t="s">
        <v>7294</v>
      </c>
      <c r="U1043" s="2" t="s">
        <v>56</v>
      </c>
      <c r="V1043" s="2" t="s">
        <v>283</v>
      </c>
      <c r="W1043" s="2" t="s">
        <v>1338</v>
      </c>
      <c r="X1043" s="2" t="s">
        <v>83</v>
      </c>
      <c r="Y1043" s="2">
        <v>42.6</v>
      </c>
      <c r="Z1043" s="2">
        <v>0</v>
      </c>
      <c r="AA1043" s="2" t="s">
        <v>298</v>
      </c>
      <c r="AB1043" s="2" t="s">
        <v>7295</v>
      </c>
      <c r="AC1043" s="2">
        <v>-8.4595193130215307</v>
      </c>
      <c r="AD1043" s="2"/>
      <c r="AE1043" s="2">
        <v>0.58223100636745195</v>
      </c>
      <c r="AF1043" s="2">
        <v>17461.962043949301</v>
      </c>
      <c r="AG1043" s="2">
        <v>9063.5459977618193</v>
      </c>
      <c r="AH1043" s="5">
        <v>1.92661482032103</v>
      </c>
      <c r="AI1043" s="5">
        <v>0.94606816874935096</v>
      </c>
      <c r="AJ1043" s="5" t="s">
        <v>139</v>
      </c>
      <c r="AK1043" s="2">
        <v>4.8111674341473697E-2</v>
      </c>
      <c r="AL1043" s="2">
        <v>0.30691247078395001</v>
      </c>
      <c r="AM1043" s="2">
        <v>33269.0518673599</v>
      </c>
      <c r="AN1043" s="2">
        <v>10906.764073619001</v>
      </c>
      <c r="AO1043" s="2">
        <v>11018.0675269395</v>
      </c>
      <c r="AP1043" s="2">
        <v>19911.1117510273</v>
      </c>
      <c r="AQ1043" s="2">
        <v>12408.4401400478</v>
      </c>
      <c r="AR1043" s="2">
        <v>17258.336904702301</v>
      </c>
      <c r="AS1043" s="2">
        <v>13742.730189168</v>
      </c>
      <c r="AT1043" s="2">
        <v>9483.1999771407209</v>
      </c>
      <c r="AU1043" s="2">
        <v>10554.658891856299</v>
      </c>
      <c r="AV1043" s="2">
        <v>4188.1923901464397</v>
      </c>
      <c r="AW1043" s="2">
        <v>7158.1163981838699</v>
      </c>
      <c r="AX1043" s="2">
        <v>9254.3781400755906</v>
      </c>
    </row>
    <row r="1044" spans="1:50" x14ac:dyDescent="0.25">
      <c r="A1044" s="2" t="s">
        <v>7296</v>
      </c>
      <c r="B1044" s="2">
        <v>493.35491385213101</v>
      </c>
      <c r="C1044" s="2">
        <v>9.7259833333333301</v>
      </c>
      <c r="D1044" s="2" t="s">
        <v>51</v>
      </c>
      <c r="E1044" s="2" t="s">
        <v>7297</v>
      </c>
      <c r="F1044" s="2">
        <v>63946</v>
      </c>
      <c r="G1044" s="3" t="str">
        <f>HYPERLINK("https://cloud.oebiotech.com/#/lm/network/63946", "https://cloud.oebiotech.com/#/lm/network/63946")</f>
        <v>https://cloud.oebiotech.com/#/lm/network/63946</v>
      </c>
      <c r="H1044" s="2" t="s">
        <v>7298</v>
      </c>
      <c r="I1044" s="2">
        <v>95279</v>
      </c>
      <c r="J1044" s="2"/>
      <c r="K1044" s="2">
        <v>10127573</v>
      </c>
      <c r="L1044" s="2"/>
      <c r="M1044" s="2"/>
      <c r="N1044" s="2"/>
      <c r="O1044" s="2">
        <v>176147</v>
      </c>
      <c r="P1044" s="2"/>
      <c r="Q1044" s="2"/>
      <c r="R1044" s="2" t="s">
        <v>7299</v>
      </c>
      <c r="S1044" s="2" t="s">
        <v>7300</v>
      </c>
      <c r="T1044" s="2" t="s">
        <v>7301</v>
      </c>
      <c r="U1044" s="2" t="s">
        <v>266</v>
      </c>
      <c r="V1044" s="2" t="s">
        <v>445</v>
      </c>
      <c r="W1044" s="2" t="s">
        <v>446</v>
      </c>
      <c r="X1044" s="2" t="s">
        <v>147</v>
      </c>
      <c r="Y1044" s="2">
        <v>38.5</v>
      </c>
      <c r="Z1044" s="2">
        <v>0</v>
      </c>
      <c r="AA1044" s="2" t="s">
        <v>395</v>
      </c>
      <c r="AB1044" s="2" t="s">
        <v>7302</v>
      </c>
      <c r="AC1044" s="2">
        <v>-1.22902723442467</v>
      </c>
      <c r="AD1044" s="2"/>
      <c r="AE1044" s="2">
        <v>0.58162467467164403</v>
      </c>
      <c r="AF1044" s="2">
        <v>47703.145166830203</v>
      </c>
      <c r="AG1044" s="2">
        <v>56657.751120355497</v>
      </c>
      <c r="AH1044" s="4">
        <v>0.84195267591007195</v>
      </c>
      <c r="AI1044" s="4">
        <v>-0.24818894965813901</v>
      </c>
      <c r="AJ1044" s="4" t="s">
        <v>62</v>
      </c>
      <c r="AK1044" s="2">
        <v>5.7021543252915703E-2</v>
      </c>
      <c r="AL1044" s="2">
        <v>0.325203556477003</v>
      </c>
      <c r="AM1044" s="2">
        <v>39037.9530796494</v>
      </c>
      <c r="AN1044" s="2">
        <v>47257.074730862201</v>
      </c>
      <c r="AO1044" s="2">
        <v>44233.798675618098</v>
      </c>
      <c r="AP1044" s="2">
        <v>42728.890997072303</v>
      </c>
      <c r="AQ1044" s="2">
        <v>60926.224586793498</v>
      </c>
      <c r="AR1044" s="2">
        <v>52034.9289309858</v>
      </c>
      <c r="AS1044" s="2">
        <v>60374.0532744011</v>
      </c>
      <c r="AT1044" s="2">
        <v>60753.046190840898</v>
      </c>
      <c r="AU1044" s="2">
        <v>50322.294879074601</v>
      </c>
      <c r="AV1044" s="2">
        <v>48555.0323885744</v>
      </c>
      <c r="AW1044" s="2">
        <v>65270.837128990199</v>
      </c>
      <c r="AX1044" s="2">
        <v>54671.242860252103</v>
      </c>
    </row>
    <row r="1045" spans="1:50" x14ac:dyDescent="0.25">
      <c r="A1045" s="2" t="s">
        <v>7303</v>
      </c>
      <c r="B1045" s="2">
        <v>609.02377084469299</v>
      </c>
      <c r="C1045" s="2">
        <v>14.528700000000001</v>
      </c>
      <c r="D1045" s="2" t="s">
        <v>51</v>
      </c>
      <c r="E1045" s="2" t="s">
        <v>7304</v>
      </c>
      <c r="F1045" s="2">
        <v>267281</v>
      </c>
      <c r="G1045" s="3" t="str">
        <f>HYPERLINK("https://cloud.oebiotech.com/#/lm/network/267281", "https://cloud.oebiotech.com/#/lm/network/267281")</f>
        <v>https://cloud.oebiotech.com/#/lm/network/267281</v>
      </c>
      <c r="H1045" s="2"/>
      <c r="I1045" s="2">
        <v>45160</v>
      </c>
      <c r="J1045" s="2"/>
      <c r="K1045" s="2">
        <v>11630874</v>
      </c>
      <c r="L1045" s="2"/>
      <c r="M1045" s="2"/>
      <c r="N1045" s="2"/>
      <c r="O1045" s="2"/>
      <c r="P1045" s="2"/>
      <c r="Q1045" s="2"/>
      <c r="R1045" s="2" t="s">
        <v>7305</v>
      </c>
      <c r="S1045" s="2" t="s">
        <v>7306</v>
      </c>
      <c r="T1045" s="2" t="s">
        <v>7307</v>
      </c>
      <c r="U1045" s="2" t="s">
        <v>610</v>
      </c>
      <c r="V1045" s="2" t="s">
        <v>895</v>
      </c>
      <c r="W1045" s="2" t="s">
        <v>7308</v>
      </c>
      <c r="X1045" s="2" t="s">
        <v>147</v>
      </c>
      <c r="Y1045" s="2">
        <v>36.9</v>
      </c>
      <c r="Z1045" s="2">
        <v>0</v>
      </c>
      <c r="AA1045" s="2" t="s">
        <v>478</v>
      </c>
      <c r="AB1045" s="2" t="s">
        <v>7309</v>
      </c>
      <c r="AC1045" s="2">
        <v>-0.92887400198022296</v>
      </c>
      <c r="AD1045" s="2"/>
      <c r="AE1045" s="2">
        <v>0.581258568661285</v>
      </c>
      <c r="AF1045" s="2">
        <v>23547.626054854602</v>
      </c>
      <c r="AG1045" s="2">
        <v>30562.622169415899</v>
      </c>
      <c r="AH1045" s="4">
        <v>0.77047139228841099</v>
      </c>
      <c r="AI1045" s="4">
        <v>-0.37618670462342402</v>
      </c>
      <c r="AJ1045" s="4" t="s">
        <v>62</v>
      </c>
      <c r="AK1045" s="2">
        <v>3.9704316598758102E-3</v>
      </c>
      <c r="AL1045" s="2">
        <v>0.114429382352828</v>
      </c>
      <c r="AM1045" s="2">
        <v>16630.1778885645</v>
      </c>
      <c r="AN1045" s="2">
        <v>23126.971370319399</v>
      </c>
      <c r="AO1045" s="2">
        <v>27384.320777066801</v>
      </c>
      <c r="AP1045" s="2">
        <v>24029.582137708701</v>
      </c>
      <c r="AQ1045" s="2">
        <v>26911.563355871702</v>
      </c>
      <c r="AR1045" s="2">
        <v>23203.1407995962</v>
      </c>
      <c r="AS1045" s="2">
        <v>31674.306054163699</v>
      </c>
      <c r="AT1045" s="2">
        <v>34703.976563322401</v>
      </c>
      <c r="AU1045" s="2">
        <v>27030.4977065571</v>
      </c>
      <c r="AV1045" s="2">
        <v>30382.8738813989</v>
      </c>
      <c r="AW1045" s="2">
        <v>29525.952422432001</v>
      </c>
      <c r="AX1045" s="2">
        <v>30058.126388621498</v>
      </c>
    </row>
    <row r="1046" spans="1:50" x14ac:dyDescent="0.25">
      <c r="A1046" s="2" t="s">
        <v>7310</v>
      </c>
      <c r="B1046" s="2">
        <v>210.11071831481499</v>
      </c>
      <c r="C1046" s="2">
        <v>4.5257666666666703</v>
      </c>
      <c r="D1046" s="2" t="s">
        <v>51</v>
      </c>
      <c r="E1046" s="2" t="s">
        <v>7311</v>
      </c>
      <c r="F1046" s="2">
        <v>2503</v>
      </c>
      <c r="G1046" s="3" t="str">
        <f>HYPERLINK("https://cloud.oebiotech.com/#/lm/network/2503", "https://cloud.oebiotech.com/#/lm/network/2503")</f>
        <v>https://cloud.oebiotech.com/#/lm/network/2503</v>
      </c>
      <c r="H1046" s="2" t="s">
        <v>7312</v>
      </c>
      <c r="I1046" s="2">
        <v>3322</v>
      </c>
      <c r="J1046" s="2" t="s">
        <v>7313</v>
      </c>
      <c r="K1046" s="2">
        <v>448124</v>
      </c>
      <c r="L1046" s="2" t="s">
        <v>7314</v>
      </c>
      <c r="M1046" s="2" t="s">
        <v>7315</v>
      </c>
      <c r="N1046" s="2" t="s">
        <v>7316</v>
      </c>
      <c r="O1046" s="2">
        <v>149468</v>
      </c>
      <c r="P1046" s="2"/>
      <c r="Q1046" s="2"/>
      <c r="R1046" s="2" t="s">
        <v>7317</v>
      </c>
      <c r="S1046" s="2" t="s">
        <v>7318</v>
      </c>
      <c r="T1046" s="2" t="s">
        <v>7319</v>
      </c>
      <c r="U1046" s="2" t="s">
        <v>56</v>
      </c>
      <c r="V1046" s="2" t="s">
        <v>145</v>
      </c>
      <c r="W1046" s="2" t="s">
        <v>231</v>
      </c>
      <c r="X1046" s="2" t="s">
        <v>59</v>
      </c>
      <c r="Y1046" s="2">
        <v>48.2</v>
      </c>
      <c r="Z1046" s="2">
        <v>51.6</v>
      </c>
      <c r="AA1046" s="2" t="s">
        <v>7320</v>
      </c>
      <c r="AB1046" s="2" t="s">
        <v>7321</v>
      </c>
      <c r="AC1046" s="2">
        <v>3.4962761640374</v>
      </c>
      <c r="AD1046" s="2"/>
      <c r="AE1046" s="2">
        <v>0.58095945636439295</v>
      </c>
      <c r="AF1046" s="2">
        <v>27665.488611677902</v>
      </c>
      <c r="AG1046" s="2">
        <v>8213.7158427064805</v>
      </c>
      <c r="AH1046" s="5">
        <v>3.36820619820248</v>
      </c>
      <c r="AI1046" s="5">
        <v>1.7519804614501</v>
      </c>
      <c r="AJ1046" s="5" t="s">
        <v>139</v>
      </c>
      <c r="AK1046" s="2">
        <v>0.24749781338068499</v>
      </c>
      <c r="AL1046" s="2">
        <v>0.57119796911972998</v>
      </c>
      <c r="AM1046" s="2">
        <v>13310.1988387151</v>
      </c>
      <c r="AN1046" s="2">
        <v>5148.2667227038201</v>
      </c>
      <c r="AO1046" s="2">
        <v>30222.2939793519</v>
      </c>
      <c r="AP1046" s="2">
        <v>5326.8450135758403</v>
      </c>
      <c r="AQ1046" s="2">
        <v>104362.40487468</v>
      </c>
      <c r="AR1046" s="2">
        <v>7622.9222410407301</v>
      </c>
      <c r="AS1046" s="2">
        <v>10238.788125184299</v>
      </c>
      <c r="AT1046" s="2">
        <v>5924.4358839941897</v>
      </c>
      <c r="AU1046" s="2">
        <v>10842.000656997199</v>
      </c>
      <c r="AV1046" s="2">
        <v>9087.6056779887895</v>
      </c>
      <c r="AW1046" s="2">
        <v>6568.26251836149</v>
      </c>
      <c r="AX1046" s="2">
        <v>6621.2021937129402</v>
      </c>
    </row>
    <row r="1047" spans="1:50" x14ac:dyDescent="0.25">
      <c r="A1047" s="2" t="s">
        <v>7322</v>
      </c>
      <c r="B1047" s="2">
        <v>176.10345437334701</v>
      </c>
      <c r="C1047" s="2">
        <v>0.68110000000000004</v>
      </c>
      <c r="D1047" s="2" t="s">
        <v>51</v>
      </c>
      <c r="E1047" s="2" t="s">
        <v>7323</v>
      </c>
      <c r="F1047" s="2">
        <v>209216</v>
      </c>
      <c r="G1047" s="3" t="str">
        <f>HYPERLINK("https://cloud.oebiotech.com/#/lm/network/209216", "https://cloud.oebiotech.com/#/lm/network/209216")</f>
        <v>https://cloud.oebiotech.com/#/lm/network/209216</v>
      </c>
      <c r="H1047" s="2" t="s">
        <v>7324</v>
      </c>
      <c r="I1047" s="2"/>
      <c r="J1047" s="2"/>
      <c r="K1047" s="2">
        <v>43371</v>
      </c>
      <c r="L1047" s="2"/>
      <c r="M1047" s="2"/>
      <c r="N1047" s="2"/>
      <c r="O1047" s="2">
        <v>134609</v>
      </c>
      <c r="P1047" s="2"/>
      <c r="Q1047" s="2"/>
      <c r="R1047" s="2"/>
      <c r="S1047" s="2" t="s">
        <v>7325</v>
      </c>
      <c r="T1047" s="2" t="s">
        <v>7326</v>
      </c>
      <c r="U1047" s="2" t="s">
        <v>119</v>
      </c>
      <c r="V1047" s="2" t="s">
        <v>120</v>
      </c>
      <c r="W1047" s="2" t="s">
        <v>7327</v>
      </c>
      <c r="X1047" s="2" t="s">
        <v>147</v>
      </c>
      <c r="Y1047" s="2">
        <v>38</v>
      </c>
      <c r="Z1047" s="2">
        <v>0</v>
      </c>
      <c r="AA1047" s="2" t="s">
        <v>2589</v>
      </c>
      <c r="AB1047" s="2" t="s">
        <v>7328</v>
      </c>
      <c r="AC1047" s="2">
        <v>3.07874364704033</v>
      </c>
      <c r="AD1047" s="2"/>
      <c r="AE1047" s="2">
        <v>0.58081332242083195</v>
      </c>
      <c r="AF1047" s="2">
        <v>24950.7001697997</v>
      </c>
      <c r="AG1047" s="2">
        <v>39994.982120294597</v>
      </c>
      <c r="AH1047" s="4">
        <v>0.62384576381993295</v>
      </c>
      <c r="AI1047" s="4">
        <v>-0.68073870566622796</v>
      </c>
      <c r="AJ1047" s="4" t="s">
        <v>62</v>
      </c>
      <c r="AK1047" s="2">
        <v>0.123738984488385</v>
      </c>
      <c r="AL1047" s="2">
        <v>0.44128813217080598</v>
      </c>
      <c r="AM1047" s="2">
        <v>21666.511216921899</v>
      </c>
      <c r="AN1047" s="2">
        <v>30111.788221643299</v>
      </c>
      <c r="AO1047" s="2">
        <v>19961.953807896502</v>
      </c>
      <c r="AP1047" s="2">
        <v>38135.795251934898</v>
      </c>
      <c r="AQ1047" s="2">
        <v>24499.037596765302</v>
      </c>
      <c r="AR1047" s="2">
        <v>15329.1149236364</v>
      </c>
      <c r="AS1047" s="2">
        <v>13012.8112995632</v>
      </c>
      <c r="AT1047" s="2">
        <v>32711.902287769699</v>
      </c>
      <c r="AU1047" s="2">
        <v>75543.594667383004</v>
      </c>
      <c r="AV1047" s="2">
        <v>35358.857883597302</v>
      </c>
      <c r="AW1047" s="2">
        <v>42871.082520399803</v>
      </c>
      <c r="AX1047" s="2">
        <v>40471.644063054402</v>
      </c>
    </row>
    <row r="1048" spans="1:50" x14ac:dyDescent="0.25">
      <c r="A1048" s="2" t="s">
        <v>7329</v>
      </c>
      <c r="B1048" s="2">
        <v>377.23178696275102</v>
      </c>
      <c r="C1048" s="2">
        <v>7.7793999999999999</v>
      </c>
      <c r="D1048" s="2" t="s">
        <v>51</v>
      </c>
      <c r="E1048" s="2" t="s">
        <v>7330</v>
      </c>
      <c r="F1048" s="2">
        <v>47899</v>
      </c>
      <c r="G1048" s="3" t="str">
        <f>HYPERLINK("https://cloud.oebiotech.com/#/lm/network/47899", "https://cloud.oebiotech.com/#/lm/network/47899")</f>
        <v>https://cloud.oebiotech.com/#/lm/network/47899</v>
      </c>
      <c r="H1048" s="2" t="s">
        <v>7331</v>
      </c>
      <c r="I1048" s="2"/>
      <c r="J1048" s="2"/>
      <c r="K1048" s="2">
        <v>16061136</v>
      </c>
      <c r="L1048" s="2"/>
      <c r="M1048" s="2"/>
      <c r="N1048" s="2"/>
      <c r="O1048" s="2"/>
      <c r="P1048" s="2"/>
      <c r="Q1048" s="2"/>
      <c r="R1048" s="2" t="s">
        <v>7332</v>
      </c>
      <c r="S1048" s="2" t="s">
        <v>7333</v>
      </c>
      <c r="T1048" s="2" t="s">
        <v>7334</v>
      </c>
      <c r="U1048" s="2" t="s">
        <v>56</v>
      </c>
      <c r="V1048" s="2" t="s">
        <v>145</v>
      </c>
      <c r="W1048" s="2" t="s">
        <v>231</v>
      </c>
      <c r="X1048" s="2" t="s">
        <v>69</v>
      </c>
      <c r="Y1048" s="2">
        <v>59</v>
      </c>
      <c r="Z1048" s="2">
        <v>85.8</v>
      </c>
      <c r="AA1048" s="2" t="s">
        <v>259</v>
      </c>
      <c r="AB1048" s="2" t="s">
        <v>1366</v>
      </c>
      <c r="AC1048" s="2">
        <v>-1.23222359286141</v>
      </c>
      <c r="AD1048" s="2"/>
      <c r="AE1048" s="2">
        <v>0.58075836774190104</v>
      </c>
      <c r="AF1048" s="2">
        <v>31009.954449057499</v>
      </c>
      <c r="AG1048" s="2">
        <v>21327.353492400402</v>
      </c>
      <c r="AH1048" s="5">
        <v>1.4539991781027799</v>
      </c>
      <c r="AI1048" s="5">
        <v>0.54002645375036595</v>
      </c>
      <c r="AJ1048" s="5" t="s">
        <v>139</v>
      </c>
      <c r="AK1048" s="2">
        <v>8.5941833287840302E-2</v>
      </c>
      <c r="AL1048" s="2">
        <v>0.37823325739800401</v>
      </c>
      <c r="AM1048" s="2">
        <v>38353.752288057403</v>
      </c>
      <c r="AN1048" s="2">
        <v>41122.042523268203</v>
      </c>
      <c r="AO1048" s="2">
        <v>26507.123553441601</v>
      </c>
      <c r="AP1048" s="2">
        <v>27772.028742291699</v>
      </c>
      <c r="AQ1048" s="2">
        <v>22666.768005714799</v>
      </c>
      <c r="AR1048" s="2">
        <v>29638.011581571202</v>
      </c>
      <c r="AS1048" s="2">
        <v>23134.934290174999</v>
      </c>
      <c r="AT1048" s="2">
        <v>10333.6796232416</v>
      </c>
      <c r="AU1048" s="2">
        <v>32700.729179419999</v>
      </c>
      <c r="AV1048" s="2">
        <v>11560.326239784101</v>
      </c>
      <c r="AW1048" s="2">
        <v>33458.760007792</v>
      </c>
      <c r="AX1048" s="2">
        <v>16775.691613989398</v>
      </c>
    </row>
    <row r="1049" spans="1:50" x14ac:dyDescent="0.25">
      <c r="A1049" s="2" t="s">
        <v>7335</v>
      </c>
      <c r="B1049" s="2">
        <v>334.14079086508798</v>
      </c>
      <c r="C1049" s="2">
        <v>3.5852833333333298</v>
      </c>
      <c r="D1049" s="2" t="s">
        <v>51</v>
      </c>
      <c r="E1049" s="2" t="s">
        <v>7336</v>
      </c>
      <c r="F1049" s="2">
        <v>266167</v>
      </c>
      <c r="G1049" s="3" t="str">
        <f>HYPERLINK("https://cloud.oebiotech.com/#/lm/network/266167", "https://cloud.oebiotech.com/#/lm/network/266167")</f>
        <v>https://cloud.oebiotech.com/#/lm/network/266167</v>
      </c>
      <c r="H1049" s="2"/>
      <c r="I1049" s="2">
        <v>23842</v>
      </c>
      <c r="J1049" s="2"/>
      <c r="K1049" s="2">
        <v>7009663</v>
      </c>
      <c r="L1049" s="2"/>
      <c r="M1049" s="2"/>
      <c r="N1049" s="2"/>
      <c r="O1049" s="2"/>
      <c r="P1049" s="2"/>
      <c r="Q1049" s="2"/>
      <c r="R1049" s="2"/>
      <c r="S1049" s="2" t="s">
        <v>7337</v>
      </c>
      <c r="T1049" s="2" t="s">
        <v>7338</v>
      </c>
      <c r="U1049" s="2" t="s">
        <v>103</v>
      </c>
      <c r="V1049" s="2" t="s">
        <v>104</v>
      </c>
      <c r="W1049" s="2" t="s">
        <v>105</v>
      </c>
      <c r="X1049" s="2" t="s">
        <v>69</v>
      </c>
      <c r="Y1049" s="2">
        <v>60.6</v>
      </c>
      <c r="Z1049" s="2">
        <v>98.1</v>
      </c>
      <c r="AA1049" s="2" t="s">
        <v>259</v>
      </c>
      <c r="AB1049" s="2" t="s">
        <v>7339</v>
      </c>
      <c r="AC1049" s="2">
        <v>3.1330225959791398</v>
      </c>
      <c r="AD1049" s="2"/>
      <c r="AE1049" s="2">
        <v>0.58073486698677201</v>
      </c>
      <c r="AF1049" s="2">
        <v>29143.645311652999</v>
      </c>
      <c r="AG1049" s="2">
        <v>12267.064079232299</v>
      </c>
      <c r="AH1049" s="5">
        <v>2.3757636809766098</v>
      </c>
      <c r="AI1049" s="5">
        <v>1.2483913373006601</v>
      </c>
      <c r="AJ1049" s="5" t="s">
        <v>139</v>
      </c>
      <c r="AK1049" s="2">
        <v>0.10579925439729</v>
      </c>
      <c r="AL1049" s="2">
        <v>0.41351558482995898</v>
      </c>
      <c r="AM1049" s="2">
        <v>21203.779645013699</v>
      </c>
      <c r="AN1049" s="2">
        <v>16943.969663731601</v>
      </c>
      <c r="AO1049" s="2">
        <v>22062.172038067099</v>
      </c>
      <c r="AP1049" s="2">
        <v>73345.873954496696</v>
      </c>
      <c r="AQ1049" s="2">
        <v>22065.132408702699</v>
      </c>
      <c r="AR1049" s="2">
        <v>19240.944159906401</v>
      </c>
      <c r="AS1049" s="2">
        <v>17596.583751812301</v>
      </c>
      <c r="AT1049" s="2">
        <v>19872.600423888998</v>
      </c>
      <c r="AU1049" s="2">
        <v>13097.953760751399</v>
      </c>
      <c r="AV1049" s="2">
        <v>3807.7337325278299</v>
      </c>
      <c r="AW1049" s="2">
        <v>481.64550981444302</v>
      </c>
      <c r="AX1049" s="2">
        <v>18745.867296599099</v>
      </c>
    </row>
    <row r="1050" spans="1:50" x14ac:dyDescent="0.25">
      <c r="A1050" s="2" t="s">
        <v>7340</v>
      </c>
      <c r="B1050" s="2">
        <v>427.210344675302</v>
      </c>
      <c r="C1050" s="2">
        <v>9.9108499999999999</v>
      </c>
      <c r="D1050" s="2" t="s">
        <v>51</v>
      </c>
      <c r="E1050" s="2" t="s">
        <v>7341</v>
      </c>
      <c r="F1050" s="2">
        <v>134868</v>
      </c>
      <c r="G1050" s="3" t="str">
        <f>HYPERLINK("https://cloud.oebiotech.com/#/lm/network/134868", "https://cloud.oebiotech.com/#/lm/network/134868")</f>
        <v>https://cloud.oebiotech.com/#/lm/network/134868</v>
      </c>
      <c r="H1050" s="2" t="s">
        <v>7342</v>
      </c>
      <c r="I1050" s="2"/>
      <c r="J1050" s="2"/>
      <c r="K1050" s="2">
        <v>17786784</v>
      </c>
      <c r="L1050" s="2"/>
      <c r="M1050" s="2"/>
      <c r="N1050" s="2"/>
      <c r="O1050" s="2"/>
      <c r="P1050" s="2"/>
      <c r="Q1050" s="2"/>
      <c r="R1050" s="2"/>
      <c r="S1050" s="2" t="s">
        <v>7343</v>
      </c>
      <c r="T1050" s="2" t="s">
        <v>7344</v>
      </c>
      <c r="U1050" s="2" t="s">
        <v>56</v>
      </c>
      <c r="V1050" s="2" t="s">
        <v>57</v>
      </c>
      <c r="W1050" s="2" t="s">
        <v>702</v>
      </c>
      <c r="X1050" s="2" t="s">
        <v>83</v>
      </c>
      <c r="Y1050" s="2">
        <v>46.3</v>
      </c>
      <c r="Z1050" s="2">
        <v>0</v>
      </c>
      <c r="AA1050" s="2" t="s">
        <v>218</v>
      </c>
      <c r="AB1050" s="2" t="s">
        <v>2033</v>
      </c>
      <c r="AC1050" s="2">
        <v>0.26612435295958098</v>
      </c>
      <c r="AD1050" s="2"/>
      <c r="AE1050" s="2">
        <v>0.58045745083730804</v>
      </c>
      <c r="AF1050" s="2">
        <v>43024.668366334699</v>
      </c>
      <c r="AG1050" s="2">
        <v>31531.348131337199</v>
      </c>
      <c r="AH1050" s="5">
        <v>1.36450456184507</v>
      </c>
      <c r="AI1050" s="5">
        <v>0.44837721787351098</v>
      </c>
      <c r="AJ1050" s="5" t="s">
        <v>139</v>
      </c>
      <c r="AK1050" s="2">
        <v>0.45362321801023803</v>
      </c>
      <c r="AL1050" s="2">
        <v>0.70627666192288596</v>
      </c>
      <c r="AM1050" s="2">
        <v>110215.758314833</v>
      </c>
      <c r="AN1050" s="2">
        <v>23219.729697665</v>
      </c>
      <c r="AO1050" s="2">
        <v>20969.865355051101</v>
      </c>
      <c r="AP1050" s="2">
        <v>37295.790319458501</v>
      </c>
      <c r="AQ1050" s="2">
        <v>23691.2969567986</v>
      </c>
      <c r="AR1050" s="2">
        <v>42755.5695542018</v>
      </c>
      <c r="AS1050" s="2">
        <v>28695.311508463801</v>
      </c>
      <c r="AT1050" s="2">
        <v>21622.705427748599</v>
      </c>
      <c r="AU1050" s="2">
        <v>55192.0121244658</v>
      </c>
      <c r="AV1050" s="2">
        <v>27301.556126576299</v>
      </c>
      <c r="AW1050" s="2">
        <v>30669.785309547799</v>
      </c>
      <c r="AX1050" s="2">
        <v>25706.718291221001</v>
      </c>
    </row>
    <row r="1051" spans="1:50" x14ac:dyDescent="0.25">
      <c r="A1051" s="2" t="s">
        <v>7345</v>
      </c>
      <c r="B1051" s="2">
        <v>219.13462577219099</v>
      </c>
      <c r="C1051" s="2">
        <v>0.71519999999999995</v>
      </c>
      <c r="D1051" s="2" t="s">
        <v>51</v>
      </c>
      <c r="E1051" s="2" t="s">
        <v>7346</v>
      </c>
      <c r="F1051" s="2">
        <v>204569</v>
      </c>
      <c r="G1051" s="3" t="str">
        <f>HYPERLINK("https://cloud.oebiotech.com/#/lm/network/204569", "https://cloud.oebiotech.com/#/lm/network/204569")</f>
        <v>https://cloud.oebiotech.com/#/lm/network/204569</v>
      </c>
      <c r="H1051" s="2" t="s">
        <v>7347</v>
      </c>
      <c r="I1051" s="2"/>
      <c r="J1051" s="2"/>
      <c r="K1051" s="2">
        <v>22483881</v>
      </c>
      <c r="L1051" s="2"/>
      <c r="M1051" s="2"/>
      <c r="N1051" s="2"/>
      <c r="O1051" s="2"/>
      <c r="P1051" s="2"/>
      <c r="Q1051" s="2"/>
      <c r="R1051" s="2"/>
      <c r="S1051" s="2" t="s">
        <v>7348</v>
      </c>
      <c r="T1051" s="2" t="s">
        <v>7349</v>
      </c>
      <c r="U1051" s="2" t="s">
        <v>103</v>
      </c>
      <c r="V1051" s="2" t="s">
        <v>104</v>
      </c>
      <c r="W1051" s="2" t="s">
        <v>105</v>
      </c>
      <c r="X1051" s="2" t="s">
        <v>147</v>
      </c>
      <c r="Y1051" s="2">
        <v>46.5</v>
      </c>
      <c r="Z1051" s="2">
        <v>41.2</v>
      </c>
      <c r="AA1051" s="2" t="s">
        <v>259</v>
      </c>
      <c r="AB1051" s="2" t="s">
        <v>7350</v>
      </c>
      <c r="AC1051" s="2">
        <v>3.1737298861821599</v>
      </c>
      <c r="AD1051" s="2"/>
      <c r="AE1051" s="2">
        <v>0.580456695718928</v>
      </c>
      <c r="AF1051" s="2">
        <v>64324.650645286099</v>
      </c>
      <c r="AG1051" s="2">
        <v>51423.556634332199</v>
      </c>
      <c r="AH1051" s="5">
        <v>1.2508790689584599</v>
      </c>
      <c r="AI1051" s="5">
        <v>0.32294232104083398</v>
      </c>
      <c r="AJ1051" s="5" t="s">
        <v>139</v>
      </c>
      <c r="AK1051" s="2">
        <v>0.65634908218824195</v>
      </c>
      <c r="AL1051" s="2">
        <v>0.83263445021276405</v>
      </c>
      <c r="AM1051" s="2">
        <v>145883.56158563</v>
      </c>
      <c r="AN1051" s="2">
        <v>38469.918057441697</v>
      </c>
      <c r="AO1051" s="2">
        <v>41901.695149001403</v>
      </c>
      <c r="AP1051" s="2">
        <v>75103.942653897306</v>
      </c>
      <c r="AQ1051" s="2">
        <v>52728.653921511497</v>
      </c>
      <c r="AR1051" s="2">
        <v>31860.1325042348</v>
      </c>
      <c r="AS1051" s="2">
        <v>10953.832200769801</v>
      </c>
      <c r="AT1051" s="2">
        <v>30366.1548895343</v>
      </c>
      <c r="AU1051" s="2">
        <v>158532.27315442101</v>
      </c>
      <c r="AV1051" s="2">
        <v>41412.600299537102</v>
      </c>
      <c r="AW1051" s="2">
        <v>46496.448177694503</v>
      </c>
      <c r="AX1051" s="2">
        <v>20780.0310840362</v>
      </c>
    </row>
    <row r="1052" spans="1:50" x14ac:dyDescent="0.25">
      <c r="A1052" s="2" t="s">
        <v>7351</v>
      </c>
      <c r="B1052" s="2">
        <v>777.69601572500596</v>
      </c>
      <c r="C1052" s="2">
        <v>6.9113499999999997</v>
      </c>
      <c r="D1052" s="2" t="s">
        <v>51</v>
      </c>
      <c r="E1052" s="2" t="s">
        <v>7352</v>
      </c>
      <c r="F1052" s="2">
        <v>46957</v>
      </c>
      <c r="G1052" s="3" t="str">
        <f>HYPERLINK("https://cloud.oebiotech.com/#/lm/network/46957", "https://cloud.oebiotech.com/#/lm/network/46957")</f>
        <v>https://cloud.oebiotech.com/#/lm/network/46957</v>
      </c>
      <c r="H1052" s="2" t="s">
        <v>7353</v>
      </c>
      <c r="I1052" s="2">
        <v>439</v>
      </c>
      <c r="J1052" s="2"/>
      <c r="K1052" s="2">
        <v>5819</v>
      </c>
      <c r="L1052" s="2" t="s">
        <v>7354</v>
      </c>
      <c r="M1052" s="2" t="s">
        <v>7355</v>
      </c>
      <c r="N1052" s="2" t="s">
        <v>7356</v>
      </c>
      <c r="O1052" s="2">
        <v>18332</v>
      </c>
      <c r="P1052" s="2" t="s">
        <v>7357</v>
      </c>
      <c r="Q1052" s="2" t="s">
        <v>7358</v>
      </c>
      <c r="R1052" s="2" t="s">
        <v>7359</v>
      </c>
      <c r="S1052" s="2" t="s">
        <v>7360</v>
      </c>
      <c r="T1052" s="2" t="s">
        <v>7361</v>
      </c>
      <c r="U1052" s="2" t="s">
        <v>103</v>
      </c>
      <c r="V1052" s="2" t="s">
        <v>104</v>
      </c>
      <c r="W1052" s="2" t="s">
        <v>105</v>
      </c>
      <c r="X1052" s="2" t="s">
        <v>69</v>
      </c>
      <c r="Y1052" s="2">
        <v>58.7</v>
      </c>
      <c r="Z1052" s="2">
        <v>90.2</v>
      </c>
      <c r="AA1052" s="2" t="s">
        <v>259</v>
      </c>
      <c r="AB1052" s="2" t="s">
        <v>7362</v>
      </c>
      <c r="AC1052" s="2">
        <v>2.62584282181734</v>
      </c>
      <c r="AD1052" s="2"/>
      <c r="AE1052" s="2">
        <v>0.57994737458902101</v>
      </c>
      <c r="AF1052" s="2">
        <v>27692.029756489901</v>
      </c>
      <c r="AG1052" s="2">
        <v>35324.145648178703</v>
      </c>
      <c r="AH1052" s="4">
        <v>0.78394053835857302</v>
      </c>
      <c r="AI1052" s="4">
        <v>-0.35118386435875398</v>
      </c>
      <c r="AJ1052" s="4" t="s">
        <v>62</v>
      </c>
      <c r="AK1052" s="2">
        <v>4.0791075926288403E-2</v>
      </c>
      <c r="AL1052" s="2">
        <v>0.29155452793099101</v>
      </c>
      <c r="AM1052" s="2">
        <v>17434.8087060984</v>
      </c>
      <c r="AN1052" s="2">
        <v>35561.860012916397</v>
      </c>
      <c r="AO1052" s="2">
        <v>26387.406532280998</v>
      </c>
      <c r="AP1052" s="2">
        <v>36354.645436364997</v>
      </c>
      <c r="AQ1052" s="2">
        <v>28081.376481220199</v>
      </c>
      <c r="AR1052" s="2">
        <v>22332.081370058298</v>
      </c>
      <c r="AS1052" s="2">
        <v>33466.282868969</v>
      </c>
      <c r="AT1052" s="2">
        <v>35473.012893553198</v>
      </c>
      <c r="AU1052" s="2">
        <v>30842.456018758301</v>
      </c>
      <c r="AV1052" s="2">
        <v>39238.781486125597</v>
      </c>
      <c r="AW1052" s="2">
        <v>35285.242575736404</v>
      </c>
      <c r="AX1052" s="2">
        <v>37639.098045929903</v>
      </c>
    </row>
    <row r="1053" spans="1:50" x14ac:dyDescent="0.25">
      <c r="A1053" s="2" t="s">
        <v>7363</v>
      </c>
      <c r="B1053" s="2">
        <v>221.15426160748299</v>
      </c>
      <c r="C1053" s="2">
        <v>10.681100000000001</v>
      </c>
      <c r="D1053" s="2" t="s">
        <v>51</v>
      </c>
      <c r="E1053" s="2" t="s">
        <v>7364</v>
      </c>
      <c r="F1053" s="2">
        <v>83350</v>
      </c>
      <c r="G1053" s="3" t="str">
        <f>HYPERLINK("https://cloud.oebiotech.com/#/lm/network/83350", "https://cloud.oebiotech.com/#/lm/network/83350")</f>
        <v>https://cloud.oebiotech.com/#/lm/network/83350</v>
      </c>
      <c r="H1053" s="2" t="s">
        <v>7365</v>
      </c>
      <c r="I1053" s="2">
        <v>343758</v>
      </c>
      <c r="J1053" s="2"/>
      <c r="K1053" s="2">
        <v>524663</v>
      </c>
      <c r="L1053" s="2"/>
      <c r="M1053" s="2"/>
      <c r="N1053" s="2"/>
      <c r="O1053" s="2"/>
      <c r="P1053" s="2"/>
      <c r="Q1053" s="2"/>
      <c r="R1053" s="2"/>
      <c r="S1053" s="2" t="s">
        <v>7366</v>
      </c>
      <c r="T1053" s="2" t="s">
        <v>7367</v>
      </c>
      <c r="U1053" s="2" t="s">
        <v>610</v>
      </c>
      <c r="V1053" s="2" t="s">
        <v>611</v>
      </c>
      <c r="W1053" s="2" t="s">
        <v>6372</v>
      </c>
      <c r="X1053" s="2" t="s">
        <v>147</v>
      </c>
      <c r="Y1053" s="2">
        <v>39</v>
      </c>
      <c r="Z1053" s="2">
        <v>0</v>
      </c>
      <c r="AA1053" s="2" t="s">
        <v>218</v>
      </c>
      <c r="AB1053" s="2" t="s">
        <v>7368</v>
      </c>
      <c r="AC1053" s="2">
        <v>-2.5085870541966</v>
      </c>
      <c r="AD1053" s="2"/>
      <c r="AE1053" s="2">
        <v>0.57964407692341802</v>
      </c>
      <c r="AF1053" s="2">
        <v>9619.0945112209993</v>
      </c>
      <c r="AG1053" s="2">
        <v>15912.7565489889</v>
      </c>
      <c r="AH1053" s="4">
        <v>0.60448951642084703</v>
      </c>
      <c r="AI1053" s="4">
        <v>-0.72621077565912695</v>
      </c>
      <c r="AJ1053" s="4" t="s">
        <v>62</v>
      </c>
      <c r="AK1053" s="2">
        <v>6.3561061331162403E-4</v>
      </c>
      <c r="AL1053" s="2">
        <v>6.2440111341753798E-2</v>
      </c>
      <c r="AM1053" s="2">
        <v>6633.9383571008902</v>
      </c>
      <c r="AN1053" s="2">
        <v>8358.1063495643102</v>
      </c>
      <c r="AO1053" s="2">
        <v>9482.9015434255107</v>
      </c>
      <c r="AP1053" s="2">
        <v>9347.9954816040809</v>
      </c>
      <c r="AQ1053" s="2">
        <v>12773.0635180558</v>
      </c>
      <c r="AR1053" s="2">
        <v>11118.561817575401</v>
      </c>
      <c r="AS1053" s="2">
        <v>13840.8303865199</v>
      </c>
      <c r="AT1053" s="2">
        <v>17033.6775213771</v>
      </c>
      <c r="AU1053" s="2">
        <v>12471.499397835199</v>
      </c>
      <c r="AV1053" s="2">
        <v>17246.7859945659</v>
      </c>
      <c r="AW1053" s="2">
        <v>16191.738377076599</v>
      </c>
      <c r="AX1053" s="2">
        <v>18692.007616559</v>
      </c>
    </row>
    <row r="1054" spans="1:50" x14ac:dyDescent="0.25">
      <c r="A1054" s="2" t="s">
        <v>7369</v>
      </c>
      <c r="B1054" s="2">
        <v>227.12854454679399</v>
      </c>
      <c r="C1054" s="2">
        <v>7.7876333333333303</v>
      </c>
      <c r="D1054" s="2" t="s">
        <v>51</v>
      </c>
      <c r="E1054" s="2" t="s">
        <v>7370</v>
      </c>
      <c r="F1054" s="2">
        <v>2817</v>
      </c>
      <c r="G1054" s="3" t="str">
        <f>HYPERLINK("https://cloud.oebiotech.com/#/lm/network/2817", "https://cloud.oebiotech.com/#/lm/network/2817")</f>
        <v>https://cloud.oebiotech.com/#/lm/network/2817</v>
      </c>
      <c r="H1054" s="2" t="s">
        <v>7371</v>
      </c>
      <c r="I1054" s="2">
        <v>5882</v>
      </c>
      <c r="J1054" s="2" t="s">
        <v>7372</v>
      </c>
      <c r="K1054" s="2">
        <v>5283028</v>
      </c>
      <c r="L1054" s="2" t="s">
        <v>7373</v>
      </c>
      <c r="M1054" s="2" t="s">
        <v>3816</v>
      </c>
      <c r="N1054" s="2" t="s">
        <v>3817</v>
      </c>
      <c r="O1054" s="2">
        <v>545687</v>
      </c>
      <c r="P1054" s="2"/>
      <c r="Q1054" s="2"/>
      <c r="R1054" s="2" t="s">
        <v>7374</v>
      </c>
      <c r="S1054" s="2" t="s">
        <v>7375</v>
      </c>
      <c r="T1054" s="2" t="s">
        <v>7376</v>
      </c>
      <c r="U1054" s="2" t="s">
        <v>56</v>
      </c>
      <c r="V1054" s="2" t="s">
        <v>145</v>
      </c>
      <c r="W1054" s="2" t="s">
        <v>231</v>
      </c>
      <c r="X1054" s="2" t="s">
        <v>59</v>
      </c>
      <c r="Y1054" s="2">
        <v>51.8</v>
      </c>
      <c r="Z1054" s="2">
        <v>64.099999999999994</v>
      </c>
      <c r="AA1054" s="2" t="s">
        <v>163</v>
      </c>
      <c r="AB1054" s="2" t="s">
        <v>7377</v>
      </c>
      <c r="AC1054" s="2">
        <v>-1.48218874095569</v>
      </c>
      <c r="AD1054" s="2"/>
      <c r="AE1054" s="2">
        <v>0.57933268434341501</v>
      </c>
      <c r="AF1054" s="2">
        <v>20385.975001174698</v>
      </c>
      <c r="AG1054" s="2">
        <v>13871.682079636101</v>
      </c>
      <c r="AH1054" s="5">
        <v>1.46961088670722</v>
      </c>
      <c r="AI1054" s="5">
        <v>0.55543421891924005</v>
      </c>
      <c r="AJ1054" s="5" t="s">
        <v>139</v>
      </c>
      <c r="AK1054" s="2">
        <v>2.5278341754147002E-3</v>
      </c>
      <c r="AL1054" s="2">
        <v>0.10427243461803801</v>
      </c>
      <c r="AM1054" s="2">
        <v>23491.300217600899</v>
      </c>
      <c r="AN1054" s="2">
        <v>21799.4717899397</v>
      </c>
      <c r="AO1054" s="2">
        <v>22192.863570289399</v>
      </c>
      <c r="AP1054" s="2">
        <v>19603.859252222501</v>
      </c>
      <c r="AQ1054" s="2">
        <v>17086.351025686199</v>
      </c>
      <c r="AR1054" s="2">
        <v>18142.0041513098</v>
      </c>
      <c r="AS1054" s="2">
        <v>15843.0706849257</v>
      </c>
      <c r="AT1054" s="2">
        <v>17221.7284537341</v>
      </c>
      <c r="AU1054" s="2">
        <v>11273.286581505001</v>
      </c>
      <c r="AV1054" s="2">
        <v>11959.1646511538</v>
      </c>
      <c r="AW1054" s="2">
        <v>10121.802468669999</v>
      </c>
      <c r="AX1054" s="2">
        <v>16811.039637828198</v>
      </c>
    </row>
    <row r="1055" spans="1:50" x14ac:dyDescent="0.25">
      <c r="A1055" s="2" t="s">
        <v>7378</v>
      </c>
      <c r="B1055" s="2">
        <v>379.14643961040599</v>
      </c>
      <c r="C1055" s="2">
        <v>4.2455333333333298</v>
      </c>
      <c r="D1055" s="2" t="s">
        <v>51</v>
      </c>
      <c r="E1055" s="2" t="s">
        <v>7379</v>
      </c>
      <c r="F1055" s="2">
        <v>30</v>
      </c>
      <c r="G1055" s="3" t="str">
        <f>HYPERLINK("https://cloud.oebiotech.com/#/lm/network/30", "https://cloud.oebiotech.com/#/lm/network/30")</f>
        <v>https://cloud.oebiotech.com/#/lm/network/30</v>
      </c>
      <c r="H1055" s="2"/>
      <c r="I1055" s="2"/>
      <c r="J1055" s="2" t="s">
        <v>7380</v>
      </c>
      <c r="K1055" s="2">
        <v>101857686</v>
      </c>
      <c r="L1055" s="2"/>
      <c r="M1055" s="2"/>
      <c r="N1055" s="2"/>
      <c r="O1055" s="2"/>
      <c r="P1055" s="2"/>
      <c r="Q1055" s="2"/>
      <c r="R1055" s="2"/>
      <c r="S1055" s="2" t="s">
        <v>7381</v>
      </c>
      <c r="T1055" s="2" t="s">
        <v>7382</v>
      </c>
      <c r="U1055" s="2" t="s">
        <v>56</v>
      </c>
      <c r="V1055" s="2" t="s">
        <v>145</v>
      </c>
      <c r="W1055" s="2" t="s">
        <v>231</v>
      </c>
      <c r="X1055" s="2" t="s">
        <v>147</v>
      </c>
      <c r="Y1055" s="2">
        <v>40.799999999999997</v>
      </c>
      <c r="Z1055" s="2">
        <v>11.4</v>
      </c>
      <c r="AA1055" s="2" t="s">
        <v>218</v>
      </c>
      <c r="AB1055" s="2" t="s">
        <v>7383</v>
      </c>
      <c r="AC1055" s="2">
        <v>-2.0338609854101999</v>
      </c>
      <c r="AD1055" s="2"/>
      <c r="AE1055" s="2">
        <v>0.57929155115946995</v>
      </c>
      <c r="AF1055" s="2">
        <v>11265.917658890399</v>
      </c>
      <c r="AG1055" s="2">
        <v>4013.6771058499698</v>
      </c>
      <c r="AH1055" s="5">
        <v>2.80688190947654</v>
      </c>
      <c r="AI1055" s="5">
        <v>1.4889683683761299</v>
      </c>
      <c r="AJ1055" s="5" t="s">
        <v>139</v>
      </c>
      <c r="AK1055" s="2">
        <v>5.7499020401119297E-3</v>
      </c>
      <c r="AL1055" s="2">
        <v>0.12769622484368501</v>
      </c>
      <c r="AM1055" s="2">
        <v>13893.390478323299</v>
      </c>
      <c r="AN1055" s="2">
        <v>6957.6903636530296</v>
      </c>
      <c r="AO1055" s="2">
        <v>16260.9981316838</v>
      </c>
      <c r="AP1055" s="2">
        <v>8991.6373495558601</v>
      </c>
      <c r="AQ1055" s="2">
        <v>8306.7518369271802</v>
      </c>
      <c r="AR1055" s="2">
        <v>13185.037793199501</v>
      </c>
      <c r="AS1055" s="2">
        <v>9744.2820684996495</v>
      </c>
      <c r="AT1055" s="2">
        <v>6283.3190265236099</v>
      </c>
      <c r="AU1055" s="2">
        <v>4074.7762844762301</v>
      </c>
      <c r="AV1055" s="2">
        <v>1247.0879007891399</v>
      </c>
      <c r="AW1055" s="2">
        <v>563.02868218418598</v>
      </c>
      <c r="AX1055" s="2">
        <v>2169.5686726270001</v>
      </c>
    </row>
    <row r="1056" spans="1:50" x14ac:dyDescent="0.25">
      <c r="A1056" s="2" t="s">
        <v>7384</v>
      </c>
      <c r="B1056" s="2">
        <v>329.248507190108</v>
      </c>
      <c r="C1056" s="2">
        <v>9.9705999999999992</v>
      </c>
      <c r="D1056" s="2" t="s">
        <v>51</v>
      </c>
      <c r="E1056" s="2" t="s">
        <v>7385</v>
      </c>
      <c r="F1056" s="2">
        <v>35219</v>
      </c>
      <c r="G1056" s="3" t="str">
        <f>HYPERLINK("https://cloud.oebiotech.com/#/lm/network/35219", "https://cloud.oebiotech.com/#/lm/network/35219")</f>
        <v>https://cloud.oebiotech.com/#/lm/network/35219</v>
      </c>
      <c r="H1056" s="2"/>
      <c r="I1056" s="2"/>
      <c r="J1056" s="2" t="s">
        <v>7386</v>
      </c>
      <c r="K1056" s="2">
        <v>13873062</v>
      </c>
      <c r="L1056" s="2"/>
      <c r="M1056" s="2"/>
      <c r="N1056" s="2"/>
      <c r="O1056" s="2"/>
      <c r="P1056" s="2"/>
      <c r="Q1056" s="2"/>
      <c r="R1056" s="2"/>
      <c r="S1056" s="2" t="s">
        <v>7387</v>
      </c>
      <c r="T1056" s="2" t="s">
        <v>7388</v>
      </c>
      <c r="U1056" s="2" t="s">
        <v>610</v>
      </c>
      <c r="V1056" s="2" t="s">
        <v>611</v>
      </c>
      <c r="W1056" s="2" t="s">
        <v>1122</v>
      </c>
      <c r="X1056" s="2" t="s">
        <v>147</v>
      </c>
      <c r="Y1056" s="2">
        <v>39.5</v>
      </c>
      <c r="Z1056" s="2">
        <v>8.92</v>
      </c>
      <c r="AA1056" s="2" t="s">
        <v>179</v>
      </c>
      <c r="AB1056" s="2" t="s">
        <v>7389</v>
      </c>
      <c r="AC1056" s="2">
        <v>2.88949819762759</v>
      </c>
      <c r="AD1056" s="2"/>
      <c r="AE1056" s="2">
        <v>0.57923101865528503</v>
      </c>
      <c r="AF1056" s="2">
        <v>21202.802909771199</v>
      </c>
      <c r="AG1056" s="2">
        <v>12964.9659391763</v>
      </c>
      <c r="AH1056" s="5">
        <v>1.6353921027823599</v>
      </c>
      <c r="AI1056" s="5">
        <v>0.70963657879352304</v>
      </c>
      <c r="AJ1056" s="5" t="s">
        <v>139</v>
      </c>
      <c r="AK1056" s="2">
        <v>5.1922536920448299E-2</v>
      </c>
      <c r="AL1056" s="2">
        <v>0.31552108669058498</v>
      </c>
      <c r="AM1056" s="2">
        <v>27796.1283882352</v>
      </c>
      <c r="AN1056" s="2">
        <v>24148.0565606624</v>
      </c>
      <c r="AO1056" s="2">
        <v>12874.9098032945</v>
      </c>
      <c r="AP1056" s="2">
        <v>15540.0457112024</v>
      </c>
      <c r="AQ1056" s="2">
        <v>22223.023776263901</v>
      </c>
      <c r="AR1056" s="2">
        <v>24634.653218968899</v>
      </c>
      <c r="AS1056" s="2">
        <v>13624.2353553267</v>
      </c>
      <c r="AT1056" s="2">
        <v>7847.3559351312797</v>
      </c>
      <c r="AU1056" s="2">
        <v>26424.031551115899</v>
      </c>
      <c r="AV1056" s="2">
        <v>6805.9705950852904</v>
      </c>
      <c r="AW1056" s="2">
        <v>12609.181386519</v>
      </c>
      <c r="AX1056" s="2">
        <v>10479.0208118797</v>
      </c>
    </row>
    <row r="1057" spans="1:50" x14ac:dyDescent="0.25">
      <c r="A1057" s="2" t="s">
        <v>7390</v>
      </c>
      <c r="B1057" s="2">
        <v>386.25484076209199</v>
      </c>
      <c r="C1057" s="2">
        <v>7.1589166666666699</v>
      </c>
      <c r="D1057" s="2" t="s">
        <v>51</v>
      </c>
      <c r="E1057" s="2" t="s">
        <v>7391</v>
      </c>
      <c r="F1057" s="2">
        <v>197865</v>
      </c>
      <c r="G1057" s="3" t="str">
        <f>HYPERLINK("https://cloud.oebiotech.com/#/lm/network/197865", "https://cloud.oebiotech.com/#/lm/network/197865")</f>
        <v>https://cloud.oebiotech.com/#/lm/network/197865</v>
      </c>
      <c r="H1057" s="2" t="s">
        <v>7392</v>
      </c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 t="s">
        <v>7393</v>
      </c>
      <c r="T1057" s="2" t="s">
        <v>7394</v>
      </c>
      <c r="U1057" s="2" t="s">
        <v>56</v>
      </c>
      <c r="V1057" s="2" t="s">
        <v>145</v>
      </c>
      <c r="W1057" s="2" t="s">
        <v>1188</v>
      </c>
      <c r="X1057" s="2" t="s">
        <v>83</v>
      </c>
      <c r="Y1057" s="2">
        <v>40.9</v>
      </c>
      <c r="Z1057" s="2">
        <v>4.3099999999999999E-2</v>
      </c>
      <c r="AA1057" s="2" t="s">
        <v>259</v>
      </c>
      <c r="AB1057" s="2" t="s">
        <v>7395</v>
      </c>
      <c r="AC1057" s="2">
        <v>2.92406462754971</v>
      </c>
      <c r="AD1057" s="2"/>
      <c r="AE1057" s="2">
        <v>0.57868350137283298</v>
      </c>
      <c r="AF1057" s="2">
        <v>24556.937397855301</v>
      </c>
      <c r="AG1057" s="2">
        <v>14558.072149633599</v>
      </c>
      <c r="AH1057" s="5">
        <v>1.6868261913699401</v>
      </c>
      <c r="AI1057" s="5">
        <v>0.75431132764631403</v>
      </c>
      <c r="AJ1057" s="5" t="s">
        <v>139</v>
      </c>
      <c r="AK1057" s="2">
        <v>1.8889005101696301E-2</v>
      </c>
      <c r="AL1057" s="2">
        <v>0.216132033903531</v>
      </c>
      <c r="AM1057" s="2">
        <v>18136.1779462868</v>
      </c>
      <c r="AN1057" s="2">
        <v>31322.755439337699</v>
      </c>
      <c r="AO1057" s="2">
        <v>25891.832934107999</v>
      </c>
      <c r="AP1057" s="2">
        <v>31574.803268049101</v>
      </c>
      <c r="AQ1057" s="2">
        <v>16321.4044074796</v>
      </c>
      <c r="AR1057" s="2">
        <v>24094.650391870498</v>
      </c>
      <c r="AS1057" s="2">
        <v>21453.729871799402</v>
      </c>
      <c r="AT1057" s="2">
        <v>15138.5777716845</v>
      </c>
      <c r="AU1057" s="2">
        <v>13706.921124602701</v>
      </c>
      <c r="AV1057" s="2">
        <v>4652.6104959628801</v>
      </c>
      <c r="AW1057" s="2">
        <v>12649.841844107101</v>
      </c>
      <c r="AX1057" s="2">
        <v>19746.751789645201</v>
      </c>
    </row>
    <row r="1058" spans="1:50" x14ac:dyDescent="0.25">
      <c r="A1058" s="2" t="s">
        <v>7396</v>
      </c>
      <c r="B1058" s="2">
        <v>391.14260266698898</v>
      </c>
      <c r="C1058" s="2">
        <v>10.011466666666699</v>
      </c>
      <c r="D1058" s="2" t="s">
        <v>51</v>
      </c>
      <c r="E1058" s="2" t="s">
        <v>7397</v>
      </c>
      <c r="F1058" s="2">
        <v>48456</v>
      </c>
      <c r="G1058" s="3" t="str">
        <f>HYPERLINK("https://cloud.oebiotech.com/#/lm/network/48456", "https://cloud.oebiotech.com/#/lm/network/48456")</f>
        <v>https://cloud.oebiotech.com/#/lm/network/48456</v>
      </c>
      <c r="H1058" s="2" t="s">
        <v>7398</v>
      </c>
      <c r="I1058" s="2">
        <v>955</v>
      </c>
      <c r="J1058" s="2"/>
      <c r="K1058" s="2">
        <v>2162</v>
      </c>
      <c r="L1058" s="2" t="s">
        <v>7399</v>
      </c>
      <c r="M1058" s="2"/>
      <c r="N1058" s="2"/>
      <c r="O1058" s="2">
        <v>2668</v>
      </c>
      <c r="P1058" s="2" t="s">
        <v>7400</v>
      </c>
      <c r="Q1058" s="2" t="s">
        <v>7401</v>
      </c>
      <c r="R1058" s="2" t="s">
        <v>7402</v>
      </c>
      <c r="S1058" s="2" t="s">
        <v>7403</v>
      </c>
      <c r="T1058" s="2" t="s">
        <v>7404</v>
      </c>
      <c r="U1058" s="2" t="s">
        <v>266</v>
      </c>
      <c r="V1058" s="2" t="s">
        <v>2143</v>
      </c>
      <c r="W1058" s="2" t="s">
        <v>6504</v>
      </c>
      <c r="X1058" s="2" t="s">
        <v>147</v>
      </c>
      <c r="Y1058" s="2">
        <v>37.4</v>
      </c>
      <c r="Z1058" s="2">
        <v>0</v>
      </c>
      <c r="AA1058" s="2" t="s">
        <v>156</v>
      </c>
      <c r="AB1058" s="2" t="s">
        <v>7405</v>
      </c>
      <c r="AC1058" s="2">
        <v>1.6937791724940201</v>
      </c>
      <c r="AD1058" s="2"/>
      <c r="AE1058" s="2">
        <v>0.57841708115949397</v>
      </c>
      <c r="AF1058" s="2">
        <v>10096.392654540399</v>
      </c>
      <c r="AG1058" s="2">
        <v>3615.3290417466501</v>
      </c>
      <c r="AH1058" s="5">
        <v>2.79266217208892</v>
      </c>
      <c r="AI1058" s="5">
        <v>1.4816410615770099</v>
      </c>
      <c r="AJ1058" s="5" t="s">
        <v>139</v>
      </c>
      <c r="AK1058" s="2">
        <v>1.9380589847474499E-3</v>
      </c>
      <c r="AL1058" s="2">
        <v>0.10025137111515001</v>
      </c>
      <c r="AM1058" s="2">
        <v>12004.3471443131</v>
      </c>
      <c r="AN1058" s="2">
        <v>15175.1744182365</v>
      </c>
      <c r="AO1058" s="2">
        <v>9339.2247311475094</v>
      </c>
      <c r="AP1058" s="2">
        <v>7317.9421511495802</v>
      </c>
      <c r="AQ1058" s="2">
        <v>7718.7620176396504</v>
      </c>
      <c r="AR1058" s="2">
        <v>9022.9054647557896</v>
      </c>
      <c r="AS1058" s="2">
        <v>7090.1378647377196</v>
      </c>
      <c r="AT1058" s="2">
        <v>2632.5634837180501</v>
      </c>
      <c r="AU1058" s="2">
        <v>5222.7220515878298</v>
      </c>
      <c r="AV1058" s="2">
        <v>1200.6853467353999</v>
      </c>
      <c r="AW1058" s="2">
        <v>1146.75528647536</v>
      </c>
      <c r="AX1058" s="2">
        <v>4399.1102172255196</v>
      </c>
    </row>
    <row r="1059" spans="1:50" x14ac:dyDescent="0.25">
      <c r="A1059" s="2" t="s">
        <v>7406</v>
      </c>
      <c r="B1059" s="2">
        <v>454.33040656126502</v>
      </c>
      <c r="C1059" s="2">
        <v>10.073</v>
      </c>
      <c r="D1059" s="2" t="s">
        <v>51</v>
      </c>
      <c r="E1059" s="2" t="s">
        <v>7407</v>
      </c>
      <c r="F1059" s="2">
        <v>19896</v>
      </c>
      <c r="G1059" s="3" t="str">
        <f>HYPERLINK("https://cloud.oebiotech.com/#/lm/network/19896", "https://cloud.oebiotech.com/#/lm/network/19896")</f>
        <v>https://cloud.oebiotech.com/#/lm/network/19896</v>
      </c>
      <c r="H1059" s="2"/>
      <c r="I1059" s="2">
        <v>40381</v>
      </c>
      <c r="J1059" s="2" t="s">
        <v>7408</v>
      </c>
      <c r="K1059" s="2">
        <v>15298292</v>
      </c>
      <c r="L1059" s="2"/>
      <c r="M1059" s="2"/>
      <c r="N1059" s="2"/>
      <c r="O1059" s="2">
        <v>78102</v>
      </c>
      <c r="P1059" s="2"/>
      <c r="Q1059" s="2"/>
      <c r="R1059" s="2"/>
      <c r="S1059" s="2" t="s">
        <v>7409</v>
      </c>
      <c r="T1059" s="2" t="s">
        <v>7410</v>
      </c>
      <c r="U1059" s="2" t="s">
        <v>56</v>
      </c>
      <c r="V1059" s="2" t="s">
        <v>57</v>
      </c>
      <c r="W1059" s="2" t="s">
        <v>58</v>
      </c>
      <c r="X1059" s="2" t="s">
        <v>59</v>
      </c>
      <c r="Y1059" s="2">
        <v>47.8</v>
      </c>
      <c r="Z1059" s="2">
        <v>47</v>
      </c>
      <c r="AA1059" s="2" t="s">
        <v>60</v>
      </c>
      <c r="AB1059" s="2" t="s">
        <v>7411</v>
      </c>
      <c r="AC1059" s="2">
        <v>2.65867958067712</v>
      </c>
      <c r="AD1059" s="2"/>
      <c r="AE1059" s="2">
        <v>0.57822979052262602</v>
      </c>
      <c r="AF1059" s="2">
        <v>29446.631364356199</v>
      </c>
      <c r="AG1059" s="2">
        <v>18937.757010694499</v>
      </c>
      <c r="AH1059" s="5">
        <v>1.5549165272174099</v>
      </c>
      <c r="AI1059" s="5">
        <v>0.63683713405243603</v>
      </c>
      <c r="AJ1059" s="5" t="s">
        <v>139</v>
      </c>
      <c r="AK1059" s="2">
        <v>0.41288538674865899</v>
      </c>
      <c r="AL1059" s="2">
        <v>0.67622083893152796</v>
      </c>
      <c r="AM1059" s="2">
        <v>71347.795285756103</v>
      </c>
      <c r="AN1059" s="2">
        <v>49834.032065550397</v>
      </c>
      <c r="AO1059" s="2">
        <v>7535.3272542950499</v>
      </c>
      <c r="AP1059" s="2">
        <v>17012.694674562099</v>
      </c>
      <c r="AQ1059" s="2">
        <v>10079.169976757599</v>
      </c>
      <c r="AR1059" s="2">
        <v>20870.768929216101</v>
      </c>
      <c r="AS1059" s="2">
        <v>6995.7303533541099</v>
      </c>
      <c r="AT1059" s="2">
        <v>4338.5673147300004</v>
      </c>
      <c r="AU1059" s="2">
        <v>44723.562685427001</v>
      </c>
      <c r="AV1059" s="2">
        <v>18466.2093103929</v>
      </c>
      <c r="AW1059" s="2">
        <v>31000.844740803299</v>
      </c>
      <c r="AX1059" s="2">
        <v>8101.6276594597302</v>
      </c>
    </row>
    <row r="1060" spans="1:50" x14ac:dyDescent="0.25">
      <c r="A1060" s="2" t="s">
        <v>7412</v>
      </c>
      <c r="B1060" s="2">
        <v>600.46965462277603</v>
      </c>
      <c r="C1060" s="2">
        <v>11.3101</v>
      </c>
      <c r="D1060" s="2" t="s">
        <v>51</v>
      </c>
      <c r="E1060" s="2" t="s">
        <v>7413</v>
      </c>
      <c r="F1060" s="2">
        <v>210487</v>
      </c>
      <c r="G1060" s="3" t="str">
        <f>HYPERLINK("https://cloud.oebiotech.com/#/lm/network/210487", "https://cloud.oebiotech.com/#/lm/network/210487")</f>
        <v>https://cloud.oebiotech.com/#/lm/network/210487</v>
      </c>
      <c r="H1060" s="2" t="s">
        <v>7414</v>
      </c>
      <c r="I1060" s="2">
        <v>69582</v>
      </c>
      <c r="J1060" s="2"/>
      <c r="K1060" s="2">
        <v>656641</v>
      </c>
      <c r="L1060" s="2" t="s">
        <v>7415</v>
      </c>
      <c r="M1060" s="2"/>
      <c r="N1060" s="2"/>
      <c r="O1060" s="2">
        <v>46859</v>
      </c>
      <c r="P1060" s="2"/>
      <c r="Q1060" s="2"/>
      <c r="R1060" s="2" t="s">
        <v>7416</v>
      </c>
      <c r="S1060" s="2" t="s">
        <v>7417</v>
      </c>
      <c r="T1060" s="2" t="s">
        <v>7418</v>
      </c>
      <c r="U1060" s="2" t="s">
        <v>331</v>
      </c>
      <c r="V1060" s="2" t="s">
        <v>332</v>
      </c>
      <c r="W1060" s="2" t="s">
        <v>511</v>
      </c>
      <c r="X1060" s="2" t="s">
        <v>147</v>
      </c>
      <c r="Y1060" s="2">
        <v>36.799999999999997</v>
      </c>
      <c r="Z1060" s="2">
        <v>0</v>
      </c>
      <c r="AA1060" s="2" t="s">
        <v>526</v>
      </c>
      <c r="AB1060" s="2" t="s">
        <v>7419</v>
      </c>
      <c r="AC1060" s="2">
        <v>2.6284661482286</v>
      </c>
      <c r="AD1060" s="2"/>
      <c r="AE1060" s="2">
        <v>0.57818010004655895</v>
      </c>
      <c r="AF1060" s="2">
        <v>42144.582397180799</v>
      </c>
      <c r="AG1060" s="2">
        <v>51211.914913897897</v>
      </c>
      <c r="AH1060" s="4">
        <v>0.82294486484323204</v>
      </c>
      <c r="AI1060" s="4">
        <v>-0.28113231780277298</v>
      </c>
      <c r="AJ1060" s="4" t="s">
        <v>62</v>
      </c>
      <c r="AK1060" s="2">
        <v>6.7085971936023406E-2</v>
      </c>
      <c r="AL1060" s="2">
        <v>0.34192828169447498</v>
      </c>
      <c r="AM1060" s="2">
        <v>33590.730707529903</v>
      </c>
      <c r="AN1060" s="2">
        <v>35196.944120749002</v>
      </c>
      <c r="AO1060" s="2">
        <v>37313.544702938198</v>
      </c>
      <c r="AP1060" s="2">
        <v>37053.242279399201</v>
      </c>
      <c r="AQ1060" s="2">
        <v>57513.738846697197</v>
      </c>
      <c r="AR1060" s="2">
        <v>52199.293725771102</v>
      </c>
      <c r="AS1060" s="2">
        <v>53374.959050117002</v>
      </c>
      <c r="AT1060" s="2">
        <v>55489.213000311902</v>
      </c>
      <c r="AU1060" s="2">
        <v>50313.1670646895</v>
      </c>
      <c r="AV1060" s="2">
        <v>46504.601325613701</v>
      </c>
      <c r="AW1060" s="2">
        <v>54698.332037063301</v>
      </c>
      <c r="AX1060" s="2">
        <v>46891.217005591701</v>
      </c>
    </row>
    <row r="1061" spans="1:50" x14ac:dyDescent="0.25">
      <c r="A1061" s="2" t="s">
        <v>7420</v>
      </c>
      <c r="B1061" s="2">
        <v>660.38859581647205</v>
      </c>
      <c r="C1061" s="2">
        <v>11.672833333333299</v>
      </c>
      <c r="D1061" s="2" t="s">
        <v>51</v>
      </c>
      <c r="E1061" s="2" t="s">
        <v>7421</v>
      </c>
      <c r="F1061" s="2">
        <v>257581</v>
      </c>
      <c r="G1061" s="3" t="str">
        <f>HYPERLINK("https://cloud.oebiotech.com/#/lm/network/257581", "https://cloud.oebiotech.com/#/lm/network/257581")</f>
        <v>https://cloud.oebiotech.com/#/lm/network/257581</v>
      </c>
      <c r="H1061" s="2" t="s">
        <v>7422</v>
      </c>
      <c r="I1061" s="2"/>
      <c r="J1061" s="2"/>
      <c r="K1061" s="2">
        <v>24794466</v>
      </c>
      <c r="L1061" s="2"/>
      <c r="M1061" s="2"/>
      <c r="N1061" s="2"/>
      <c r="O1061" s="2"/>
      <c r="P1061" s="2"/>
      <c r="Q1061" s="2"/>
      <c r="R1061" s="2"/>
      <c r="S1061" s="2" t="s">
        <v>7423</v>
      </c>
      <c r="T1061" s="2" t="s">
        <v>7424</v>
      </c>
      <c r="U1061" s="2" t="s">
        <v>103</v>
      </c>
      <c r="V1061" s="2" t="s">
        <v>104</v>
      </c>
      <c r="W1061" s="2" t="s">
        <v>105</v>
      </c>
      <c r="X1061" s="2" t="s">
        <v>59</v>
      </c>
      <c r="Y1061" s="2">
        <v>51.4</v>
      </c>
      <c r="Z1061" s="2">
        <v>71</v>
      </c>
      <c r="AA1061" s="2" t="s">
        <v>379</v>
      </c>
      <c r="AB1061" s="2" t="s">
        <v>7425</v>
      </c>
      <c r="AC1061" s="2">
        <v>1.03691471629961</v>
      </c>
      <c r="AD1061" s="2"/>
      <c r="AE1061" s="2">
        <v>0.57754188035120402</v>
      </c>
      <c r="AF1061" s="2">
        <v>12320.6358541761</v>
      </c>
      <c r="AG1061" s="2">
        <v>2070.9408297135001</v>
      </c>
      <c r="AH1061" s="5">
        <v>5.94929400077576</v>
      </c>
      <c r="AI1061" s="5">
        <v>2.57271847480509</v>
      </c>
      <c r="AJ1061" s="5" t="s">
        <v>139</v>
      </c>
      <c r="AK1061" s="2">
        <v>3.5059828876542201E-2</v>
      </c>
      <c r="AL1061" s="2">
        <v>0.27321044354644902</v>
      </c>
      <c r="AM1061" s="2">
        <v>8638.85916528708</v>
      </c>
      <c r="AN1061" s="2">
        <v>25687.518099480101</v>
      </c>
      <c r="AO1061" s="2">
        <v>3117.12015355111</v>
      </c>
      <c r="AP1061" s="2">
        <v>16749.1335101943</v>
      </c>
      <c r="AQ1061" s="2">
        <v>8.559877937157E-6</v>
      </c>
      <c r="AR1061" s="2">
        <v>19731.184187983901</v>
      </c>
      <c r="AS1061" s="2">
        <v>4656.6072292803301</v>
      </c>
      <c r="AT1061" s="2">
        <v>4756.4263588387603</v>
      </c>
      <c r="AU1061" s="2">
        <v>8.559877937157E-6</v>
      </c>
      <c r="AV1061" s="2">
        <v>0.28720373362517398</v>
      </c>
      <c r="AW1061" s="2">
        <v>8.559877937157E-6</v>
      </c>
      <c r="AX1061" s="2">
        <v>3012.3241693085001</v>
      </c>
    </row>
    <row r="1062" spans="1:50" x14ac:dyDescent="0.25">
      <c r="A1062" s="2" t="s">
        <v>7426</v>
      </c>
      <c r="B1062" s="2">
        <v>219.12334767206301</v>
      </c>
      <c r="C1062" s="2">
        <v>4.7984833333333299</v>
      </c>
      <c r="D1062" s="2" t="s">
        <v>51</v>
      </c>
      <c r="E1062" s="2" t="s">
        <v>7427</v>
      </c>
      <c r="F1062" s="2">
        <v>254973</v>
      </c>
      <c r="G1062" s="3" t="str">
        <f>HYPERLINK("https://cloud.oebiotech.com/#/lm/network/254973", "https://cloud.oebiotech.com/#/lm/network/254973")</f>
        <v>https://cloud.oebiotech.com/#/lm/network/254973</v>
      </c>
      <c r="H1062" s="2" t="s">
        <v>7428</v>
      </c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 t="s">
        <v>7429</v>
      </c>
      <c r="T1062" s="2" t="s">
        <v>7430</v>
      </c>
      <c r="U1062" s="2" t="s">
        <v>331</v>
      </c>
      <c r="V1062" s="2" t="s">
        <v>332</v>
      </c>
      <c r="W1062" s="2" t="s">
        <v>519</v>
      </c>
      <c r="X1062" s="2" t="s">
        <v>83</v>
      </c>
      <c r="Y1062" s="2">
        <v>42.1</v>
      </c>
      <c r="Z1062" s="2">
        <v>7.83</v>
      </c>
      <c r="AA1062" s="2" t="s">
        <v>218</v>
      </c>
      <c r="AB1062" s="2" t="s">
        <v>7431</v>
      </c>
      <c r="AC1062" s="2">
        <v>-2.5822388654561501</v>
      </c>
      <c r="AD1062" s="2"/>
      <c r="AE1062" s="2">
        <v>0.57721203783142805</v>
      </c>
      <c r="AF1062" s="2">
        <v>13944.2315887512</v>
      </c>
      <c r="AG1062" s="2">
        <v>6558.5472685498798</v>
      </c>
      <c r="AH1062" s="5">
        <v>2.12611589392941</v>
      </c>
      <c r="AI1062" s="5">
        <v>1.0882202398794301</v>
      </c>
      <c r="AJ1062" s="5" t="s">
        <v>139</v>
      </c>
      <c r="AK1062" s="2">
        <v>6.8431629146882998E-3</v>
      </c>
      <c r="AL1062" s="2">
        <v>0.13961463307389799</v>
      </c>
      <c r="AM1062" s="2">
        <v>14330.5791146709</v>
      </c>
      <c r="AN1062" s="2">
        <v>22059.215607155402</v>
      </c>
      <c r="AO1062" s="2">
        <v>9522.3442840697298</v>
      </c>
      <c r="AP1062" s="2">
        <v>12134.6614056001</v>
      </c>
      <c r="AQ1062" s="2">
        <v>11154.8833999987</v>
      </c>
      <c r="AR1062" s="2">
        <v>14463.7057210124</v>
      </c>
      <c r="AS1062" s="2">
        <v>11240.599602944199</v>
      </c>
      <c r="AT1062" s="2">
        <v>6480.1068287320404</v>
      </c>
      <c r="AU1062" s="2">
        <v>8082.0579168665199</v>
      </c>
      <c r="AV1062" s="2">
        <v>2451.2983439575</v>
      </c>
      <c r="AW1062" s="2">
        <v>4536.3907705636102</v>
      </c>
      <c r="AX1062" s="2">
        <v>6560.83014823539</v>
      </c>
    </row>
    <row r="1063" spans="1:50" x14ac:dyDescent="0.25">
      <c r="A1063" s="2" t="s">
        <v>7432</v>
      </c>
      <c r="B1063" s="2">
        <v>179.11841222939199</v>
      </c>
      <c r="C1063" s="2">
        <v>3.7123833333333298</v>
      </c>
      <c r="D1063" s="2" t="s">
        <v>51</v>
      </c>
      <c r="E1063" s="2" t="s">
        <v>7433</v>
      </c>
      <c r="F1063" s="2">
        <v>82551</v>
      </c>
      <c r="G1063" s="3" t="str">
        <f>HYPERLINK("https://cloud.oebiotech.com/#/lm/network/82551", "https://cloud.oebiotech.com/#/lm/network/82551")</f>
        <v>https://cloud.oebiotech.com/#/lm/network/82551</v>
      </c>
      <c r="H1063" s="2" t="s">
        <v>7434</v>
      </c>
      <c r="I1063" s="2">
        <v>1001</v>
      </c>
      <c r="J1063" s="2"/>
      <c r="K1063" s="2">
        <v>87833</v>
      </c>
      <c r="L1063" s="2" t="s">
        <v>7435</v>
      </c>
      <c r="M1063" s="2" t="s">
        <v>7436</v>
      </c>
      <c r="N1063" s="2" t="s">
        <v>7437</v>
      </c>
      <c r="O1063" s="2">
        <v>357241</v>
      </c>
      <c r="P1063" s="2"/>
      <c r="Q1063" s="2"/>
      <c r="R1063" s="2" t="s">
        <v>7438</v>
      </c>
      <c r="S1063" s="2" t="s">
        <v>7439</v>
      </c>
      <c r="T1063" s="2" t="s">
        <v>7440</v>
      </c>
      <c r="U1063" s="2" t="s">
        <v>610</v>
      </c>
      <c r="V1063" s="2" t="s">
        <v>611</v>
      </c>
      <c r="W1063" s="2" t="s">
        <v>1735</v>
      </c>
      <c r="X1063" s="2" t="s">
        <v>147</v>
      </c>
      <c r="Y1063" s="2">
        <v>43.1</v>
      </c>
      <c r="Z1063" s="2">
        <v>24.6</v>
      </c>
      <c r="AA1063" s="2" t="s">
        <v>60</v>
      </c>
      <c r="AB1063" s="2" t="s">
        <v>7441</v>
      </c>
      <c r="AC1063" s="2">
        <v>2.9348012620515398</v>
      </c>
      <c r="AD1063" s="2"/>
      <c r="AE1063" s="2">
        <v>0.57711533858441799</v>
      </c>
      <c r="AF1063" s="2">
        <v>14665.456361758601</v>
      </c>
      <c r="AG1063" s="2">
        <v>28468.473959465198</v>
      </c>
      <c r="AH1063" s="4">
        <v>0.51514726018121004</v>
      </c>
      <c r="AI1063" s="4">
        <v>-0.95694319431087904</v>
      </c>
      <c r="AJ1063" s="4" t="s">
        <v>62</v>
      </c>
      <c r="AK1063" s="2">
        <v>0.51862647385386595</v>
      </c>
      <c r="AL1063" s="2">
        <v>0.75026446765847998</v>
      </c>
      <c r="AM1063" s="2">
        <v>9402.7690158296791</v>
      </c>
      <c r="AN1063" s="2">
        <v>1561.2448752395901</v>
      </c>
      <c r="AO1063" s="2">
        <v>16156.435195026501</v>
      </c>
      <c r="AP1063" s="2">
        <v>58669.195944523497</v>
      </c>
      <c r="AQ1063" s="2">
        <v>1382.72564513156</v>
      </c>
      <c r="AR1063" s="2">
        <v>820.36749480106198</v>
      </c>
      <c r="AS1063" s="2">
        <v>117474.158744459</v>
      </c>
      <c r="AT1063" s="2">
        <v>1591.33729517046</v>
      </c>
      <c r="AU1063" s="2">
        <v>1316.3785897217299</v>
      </c>
      <c r="AV1063" s="2">
        <v>2271.81676153631</v>
      </c>
      <c r="AW1063" s="2">
        <v>15208.920071311401</v>
      </c>
      <c r="AX1063" s="2">
        <v>32948.232294592497</v>
      </c>
    </row>
    <row r="1064" spans="1:50" x14ac:dyDescent="0.25">
      <c r="A1064" s="2" t="s">
        <v>7442</v>
      </c>
      <c r="B1064" s="2">
        <v>419.20552289425899</v>
      </c>
      <c r="C1064" s="2">
        <v>7.5426333333333302</v>
      </c>
      <c r="D1064" s="2" t="s">
        <v>51</v>
      </c>
      <c r="E1064" s="2" t="s">
        <v>7443</v>
      </c>
      <c r="F1064" s="2">
        <v>467984</v>
      </c>
      <c r="G1064" s="3" t="str">
        <f>HYPERLINK("https://cloud.oebiotech.com/#/lm/network/467984", "https://cloud.oebiotech.com/#/lm/network/467984")</f>
        <v>https://cloud.oebiotech.com/#/lm/network/467984</v>
      </c>
      <c r="H1064" s="2" t="s">
        <v>7444</v>
      </c>
      <c r="I1064" s="2">
        <v>86991</v>
      </c>
      <c r="J1064" s="2"/>
      <c r="K1064" s="2">
        <v>101301308</v>
      </c>
      <c r="L1064" s="2"/>
      <c r="M1064" s="2"/>
      <c r="N1064" s="2"/>
      <c r="O1064" s="2"/>
      <c r="P1064" s="2"/>
      <c r="Q1064" s="2"/>
      <c r="R1064" s="2" t="s">
        <v>7445</v>
      </c>
      <c r="S1064" s="2" t="s">
        <v>7446</v>
      </c>
      <c r="T1064" s="2" t="s">
        <v>7447</v>
      </c>
      <c r="U1064" s="2" t="s">
        <v>331</v>
      </c>
      <c r="V1064" s="2" t="s">
        <v>332</v>
      </c>
      <c r="W1064" s="2" t="s">
        <v>1207</v>
      </c>
      <c r="X1064" s="2" t="s">
        <v>83</v>
      </c>
      <c r="Y1064" s="2">
        <v>48.3</v>
      </c>
      <c r="Z1064" s="2">
        <v>0</v>
      </c>
      <c r="AA1064" s="2" t="s">
        <v>218</v>
      </c>
      <c r="AB1064" s="2" t="s">
        <v>807</v>
      </c>
      <c r="AC1064" s="2">
        <v>-5.3553867102893902</v>
      </c>
      <c r="AD1064" s="2"/>
      <c r="AE1064" s="2">
        <v>0.57656728651144895</v>
      </c>
      <c r="AF1064" s="2">
        <v>22728.716449804098</v>
      </c>
      <c r="AG1064" s="2">
        <v>13581.2969420346</v>
      </c>
      <c r="AH1064" s="5">
        <v>1.67353063163342</v>
      </c>
      <c r="AI1064" s="5">
        <v>0.74289495777746695</v>
      </c>
      <c r="AJ1064" s="5" t="s">
        <v>139</v>
      </c>
      <c r="AK1064" s="2">
        <v>3.5678143730020803E-2</v>
      </c>
      <c r="AL1064" s="2">
        <v>0.27473558926735903</v>
      </c>
      <c r="AM1064" s="2">
        <v>26880.300592633601</v>
      </c>
      <c r="AN1064" s="2">
        <v>19149.386468152399</v>
      </c>
      <c r="AO1064" s="2">
        <v>20025.387681222001</v>
      </c>
      <c r="AP1064" s="2">
        <v>31358.460865093301</v>
      </c>
      <c r="AQ1064" s="2">
        <v>16801.234045208199</v>
      </c>
      <c r="AR1064" s="2">
        <v>22157.529046515199</v>
      </c>
      <c r="AS1064" s="2">
        <v>22848.994206084801</v>
      </c>
      <c r="AT1064" s="2">
        <v>18095.662890715699</v>
      </c>
      <c r="AU1064" s="2">
        <v>16264.6958234547</v>
      </c>
      <c r="AV1064" s="2">
        <v>2858.03621672806</v>
      </c>
      <c r="AW1064" s="2">
        <v>6575.2995704101304</v>
      </c>
      <c r="AX1064" s="2">
        <v>14845.092944814</v>
      </c>
    </row>
    <row r="1065" spans="1:50" x14ac:dyDescent="0.25">
      <c r="A1065" s="2" t="s">
        <v>7448</v>
      </c>
      <c r="B1065" s="2">
        <v>173.08111597728799</v>
      </c>
      <c r="C1065" s="2">
        <v>4.7222</v>
      </c>
      <c r="D1065" s="2" t="s">
        <v>51</v>
      </c>
      <c r="E1065" s="2" t="s">
        <v>7449</v>
      </c>
      <c r="F1065" s="2">
        <v>2816</v>
      </c>
      <c r="G1065" s="3" t="str">
        <f>HYPERLINK("https://cloud.oebiotech.com/#/lm/network/2816", "https://cloud.oebiotech.com/#/lm/network/2816")</f>
        <v>https://cloud.oebiotech.com/#/lm/network/2816</v>
      </c>
      <c r="H1065" s="2" t="s">
        <v>7450</v>
      </c>
      <c r="I1065" s="2">
        <v>4243</v>
      </c>
      <c r="J1065" s="2" t="s">
        <v>7451</v>
      </c>
      <c r="K1065" s="2">
        <v>10457</v>
      </c>
      <c r="L1065" s="2" t="s">
        <v>7452</v>
      </c>
      <c r="M1065" s="2"/>
      <c r="N1065" s="2"/>
      <c r="O1065" s="2">
        <v>9300</v>
      </c>
      <c r="P1065" s="2"/>
      <c r="Q1065" s="2"/>
      <c r="R1065" s="2" t="s">
        <v>7453</v>
      </c>
      <c r="S1065" s="2" t="s">
        <v>7454</v>
      </c>
      <c r="T1065" s="2" t="s">
        <v>7455</v>
      </c>
      <c r="U1065" s="2" t="s">
        <v>56</v>
      </c>
      <c r="V1065" s="2" t="s">
        <v>145</v>
      </c>
      <c r="W1065" s="2" t="s">
        <v>231</v>
      </c>
      <c r="X1065" s="2" t="s">
        <v>69</v>
      </c>
      <c r="Y1065" s="2">
        <v>59.1</v>
      </c>
      <c r="Z1065" s="2">
        <v>85.7</v>
      </c>
      <c r="AA1065" s="2" t="s">
        <v>163</v>
      </c>
      <c r="AB1065" s="2" t="s">
        <v>7456</v>
      </c>
      <c r="AC1065" s="2">
        <v>-4.6902271380429301</v>
      </c>
      <c r="AD1065" s="2"/>
      <c r="AE1065" s="2">
        <v>0.57606857966290703</v>
      </c>
      <c r="AF1065" s="2">
        <v>32305.3758686705</v>
      </c>
      <c r="AG1065" s="2">
        <v>24428.502904436598</v>
      </c>
      <c r="AH1065" s="5">
        <v>1.32244599659046</v>
      </c>
      <c r="AI1065" s="5">
        <v>0.403208809642219</v>
      </c>
      <c r="AJ1065" s="5" t="s">
        <v>139</v>
      </c>
      <c r="AK1065" s="2">
        <v>0.21633544270854399</v>
      </c>
      <c r="AL1065" s="2">
        <v>0.54190576078505404</v>
      </c>
      <c r="AM1065" s="2">
        <v>53388.436955855097</v>
      </c>
      <c r="AN1065" s="2">
        <v>38026.135126253197</v>
      </c>
      <c r="AO1065" s="2">
        <v>25763.388013224801</v>
      </c>
      <c r="AP1065" s="2">
        <v>22848.252448539301</v>
      </c>
      <c r="AQ1065" s="2">
        <v>27983.570130349799</v>
      </c>
      <c r="AR1065" s="2">
        <v>25822.472537800801</v>
      </c>
      <c r="AS1065" s="2">
        <v>22372.236691087099</v>
      </c>
      <c r="AT1065" s="2">
        <v>19850.515766848799</v>
      </c>
      <c r="AU1065" s="2">
        <v>42250.538731367698</v>
      </c>
      <c r="AV1065" s="2">
        <v>19926.574713891099</v>
      </c>
      <c r="AW1065" s="2">
        <v>18526.537519658999</v>
      </c>
      <c r="AX1065" s="2">
        <v>23644.614003765601</v>
      </c>
    </row>
    <row r="1066" spans="1:50" x14ac:dyDescent="0.25">
      <c r="A1066" s="2" t="s">
        <v>7457</v>
      </c>
      <c r="B1066" s="2">
        <v>245.06699255823099</v>
      </c>
      <c r="C1066" s="2">
        <v>5.56518333333333</v>
      </c>
      <c r="D1066" s="2" t="s">
        <v>51</v>
      </c>
      <c r="E1066" s="2" t="s">
        <v>7458</v>
      </c>
      <c r="F1066" s="2">
        <v>57353</v>
      </c>
      <c r="G1066" s="3" t="str">
        <f>HYPERLINK("https://cloud.oebiotech.com/#/lm/network/57353", "https://cloud.oebiotech.com/#/lm/network/57353")</f>
        <v>https://cloud.oebiotech.com/#/lm/network/57353</v>
      </c>
      <c r="H1066" s="2" t="s">
        <v>7459</v>
      </c>
      <c r="I1066" s="2">
        <v>88983</v>
      </c>
      <c r="J1066" s="2"/>
      <c r="K1066" s="2">
        <v>22394751</v>
      </c>
      <c r="L1066" s="2"/>
      <c r="M1066" s="2"/>
      <c r="N1066" s="2"/>
      <c r="O1066" s="2">
        <v>168479</v>
      </c>
      <c r="P1066" s="2"/>
      <c r="Q1066" s="2"/>
      <c r="R1066" s="2"/>
      <c r="S1066" s="2" t="s">
        <v>7460</v>
      </c>
      <c r="T1066" s="2" t="s">
        <v>7461</v>
      </c>
      <c r="U1066" s="2" t="s">
        <v>56</v>
      </c>
      <c r="V1066" s="2" t="s">
        <v>145</v>
      </c>
      <c r="W1066" s="2" t="s">
        <v>231</v>
      </c>
      <c r="X1066" s="2" t="s">
        <v>147</v>
      </c>
      <c r="Y1066" s="2">
        <v>37.5</v>
      </c>
      <c r="Z1066" s="2">
        <v>0</v>
      </c>
      <c r="AA1066" s="2" t="s">
        <v>218</v>
      </c>
      <c r="AB1066" s="2" t="s">
        <v>7462</v>
      </c>
      <c r="AC1066" s="2">
        <v>1.58048684719361</v>
      </c>
      <c r="AD1066" s="2"/>
      <c r="AE1066" s="2">
        <v>0.57588314418807496</v>
      </c>
      <c r="AF1066" s="2">
        <v>4057.0417705600698</v>
      </c>
      <c r="AG1066" s="2">
        <v>13909.1443974756</v>
      </c>
      <c r="AH1066" s="4">
        <v>0.291681619992125</v>
      </c>
      <c r="AI1066" s="4">
        <v>-1.7775336156847199</v>
      </c>
      <c r="AJ1066" s="4" t="s">
        <v>62</v>
      </c>
      <c r="AK1066" s="2">
        <v>2.9882807007316999E-2</v>
      </c>
      <c r="AL1066" s="2">
        <v>0.25908320162100301</v>
      </c>
      <c r="AM1066" s="2">
        <v>310.92097090991302</v>
      </c>
      <c r="AN1066" s="2">
        <v>7768.4195938940802</v>
      </c>
      <c r="AO1066" s="2">
        <v>4259.9714743283803</v>
      </c>
      <c r="AP1066" s="2">
        <v>1860.48457442932</v>
      </c>
      <c r="AQ1066" s="2">
        <v>2306.9312291196702</v>
      </c>
      <c r="AR1066" s="2">
        <v>7835.5227806790799</v>
      </c>
      <c r="AS1066" s="2">
        <v>16216.9219507671</v>
      </c>
      <c r="AT1066" s="2">
        <v>25350.5343031827</v>
      </c>
      <c r="AU1066" s="2">
        <v>6655.0469026267701</v>
      </c>
      <c r="AV1066" s="2">
        <v>23190.973481689602</v>
      </c>
      <c r="AW1066" s="2">
        <v>7683.88510772473</v>
      </c>
      <c r="AX1066" s="2">
        <v>4357.5046388626697</v>
      </c>
    </row>
    <row r="1067" spans="1:50" x14ac:dyDescent="0.25">
      <c r="A1067" s="2" t="s">
        <v>7463</v>
      </c>
      <c r="B1067" s="2">
        <v>333.20709050866901</v>
      </c>
      <c r="C1067" s="2">
        <v>6.3538666666666703</v>
      </c>
      <c r="D1067" s="2" t="s">
        <v>51</v>
      </c>
      <c r="E1067" s="2" t="s">
        <v>7464</v>
      </c>
      <c r="F1067" s="2">
        <v>3745</v>
      </c>
      <c r="G1067" s="3" t="str">
        <f>HYPERLINK("https://cloud.oebiotech.com/#/lm/network/3745", "https://cloud.oebiotech.com/#/lm/network/3745")</f>
        <v>https://cloud.oebiotech.com/#/lm/network/3745</v>
      </c>
      <c r="H1067" s="2"/>
      <c r="I1067" s="2">
        <v>36190</v>
      </c>
      <c r="J1067" s="2" t="s">
        <v>7465</v>
      </c>
      <c r="K1067" s="2">
        <v>5283113</v>
      </c>
      <c r="L1067" s="2"/>
      <c r="M1067" s="2"/>
      <c r="N1067" s="2"/>
      <c r="O1067" s="2">
        <v>134511</v>
      </c>
      <c r="P1067" s="2"/>
      <c r="Q1067" s="2"/>
      <c r="R1067" s="2" t="s">
        <v>7466</v>
      </c>
      <c r="S1067" s="2" t="s">
        <v>7467</v>
      </c>
      <c r="T1067" s="2" t="s">
        <v>7468</v>
      </c>
      <c r="U1067" s="2" t="s">
        <v>56</v>
      </c>
      <c r="V1067" s="2" t="s">
        <v>145</v>
      </c>
      <c r="W1067" s="2" t="s">
        <v>187</v>
      </c>
      <c r="X1067" s="2" t="s">
        <v>59</v>
      </c>
      <c r="Y1067" s="2">
        <v>51.8</v>
      </c>
      <c r="Z1067" s="2">
        <v>74.3</v>
      </c>
      <c r="AA1067" s="2" t="s">
        <v>259</v>
      </c>
      <c r="AB1067" s="2" t="s">
        <v>1500</v>
      </c>
      <c r="AC1067" s="2">
        <v>3.17490791036102</v>
      </c>
      <c r="AD1067" s="2"/>
      <c r="AE1067" s="2">
        <v>0.57542409369880798</v>
      </c>
      <c r="AF1067" s="2">
        <v>19744.8042450225</v>
      </c>
      <c r="AG1067" s="2">
        <v>11811.6968780679</v>
      </c>
      <c r="AH1067" s="5">
        <v>1.6716314725012</v>
      </c>
      <c r="AI1067" s="5">
        <v>0.74125682624841804</v>
      </c>
      <c r="AJ1067" s="5" t="s">
        <v>139</v>
      </c>
      <c r="AK1067" s="2">
        <v>2.28892827010829E-2</v>
      </c>
      <c r="AL1067" s="2">
        <v>0.23429943344194701</v>
      </c>
      <c r="AM1067" s="2">
        <v>21213.821747891699</v>
      </c>
      <c r="AN1067" s="2">
        <v>26678.924832660599</v>
      </c>
      <c r="AO1067" s="2">
        <v>17456.743245570498</v>
      </c>
      <c r="AP1067" s="2">
        <v>21578.764298261602</v>
      </c>
      <c r="AQ1067" s="2">
        <v>13551.6002595714</v>
      </c>
      <c r="AR1067" s="2">
        <v>17988.971086179099</v>
      </c>
      <c r="AS1067" s="2">
        <v>17419.033565080201</v>
      </c>
      <c r="AT1067" s="2">
        <v>9268.8058284228591</v>
      </c>
      <c r="AU1067" s="2">
        <v>19783.517903829801</v>
      </c>
      <c r="AV1067" s="2">
        <v>4592.1489367581498</v>
      </c>
      <c r="AW1067" s="2">
        <v>9303.8967689399997</v>
      </c>
      <c r="AX1067" s="2">
        <v>10502.778265376301</v>
      </c>
    </row>
    <row r="1068" spans="1:50" x14ac:dyDescent="0.25">
      <c r="A1068" s="2" t="s">
        <v>7469</v>
      </c>
      <c r="B1068" s="2">
        <v>401.19472077473898</v>
      </c>
      <c r="C1068" s="2">
        <v>9.0899333333333292</v>
      </c>
      <c r="D1068" s="2" t="s">
        <v>51</v>
      </c>
      <c r="E1068" s="2" t="s">
        <v>7470</v>
      </c>
      <c r="F1068" s="2">
        <v>8994</v>
      </c>
      <c r="G1068" s="3" t="str">
        <f>HYPERLINK("https://cloud.oebiotech.com/#/lm/network/8994", "https://cloud.oebiotech.com/#/lm/network/8994")</f>
        <v>https://cloud.oebiotech.com/#/lm/network/8994</v>
      </c>
      <c r="H1068" s="2"/>
      <c r="I1068" s="2"/>
      <c r="J1068" s="2" t="s">
        <v>7471</v>
      </c>
      <c r="K1068" s="2">
        <v>10241919</v>
      </c>
      <c r="L1068" s="2"/>
      <c r="M1068" s="2"/>
      <c r="N1068" s="2"/>
      <c r="O1068" s="2"/>
      <c r="P1068" s="2"/>
      <c r="Q1068" s="2"/>
      <c r="R1068" s="2"/>
      <c r="S1068" s="2" t="s">
        <v>7472</v>
      </c>
      <c r="T1068" s="2" t="s">
        <v>7473</v>
      </c>
      <c r="U1068" s="2" t="s">
        <v>103</v>
      </c>
      <c r="V1068" s="2" t="s">
        <v>104</v>
      </c>
      <c r="W1068" s="2" t="s">
        <v>105</v>
      </c>
      <c r="X1068" s="2" t="s">
        <v>147</v>
      </c>
      <c r="Y1068" s="2">
        <v>39.299999999999997</v>
      </c>
      <c r="Z1068" s="2">
        <v>9.68</v>
      </c>
      <c r="AA1068" s="2" t="s">
        <v>478</v>
      </c>
      <c r="AB1068" s="2" t="s">
        <v>7474</v>
      </c>
      <c r="AC1068" s="2">
        <v>4.4288354109891603</v>
      </c>
      <c r="AD1068" s="2"/>
      <c r="AE1068" s="2">
        <v>0.57455732449701702</v>
      </c>
      <c r="AF1068" s="2">
        <v>26158.1214699427</v>
      </c>
      <c r="AG1068" s="2">
        <v>17363.328422440802</v>
      </c>
      <c r="AH1068" s="5">
        <v>1.50651538884303</v>
      </c>
      <c r="AI1068" s="5">
        <v>0.59121540993478905</v>
      </c>
      <c r="AJ1068" s="5" t="s">
        <v>139</v>
      </c>
      <c r="AK1068" s="2">
        <v>0.235492564481321</v>
      </c>
      <c r="AL1068" s="2">
        <v>0.56081803262158103</v>
      </c>
      <c r="AM1068" s="2">
        <v>53100.957800669297</v>
      </c>
      <c r="AN1068" s="2">
        <v>28360.791962721301</v>
      </c>
      <c r="AO1068" s="2">
        <v>18858.495226979401</v>
      </c>
      <c r="AP1068" s="2">
        <v>22997.574013342</v>
      </c>
      <c r="AQ1068" s="2">
        <v>12825.9710628753</v>
      </c>
      <c r="AR1068" s="2">
        <v>20804.9387530688</v>
      </c>
      <c r="AS1068" s="2">
        <v>23165.695150609499</v>
      </c>
      <c r="AT1068" s="2">
        <v>10928.303676446199</v>
      </c>
      <c r="AU1068" s="2">
        <v>33958.2316660836</v>
      </c>
      <c r="AV1068" s="2">
        <v>8781.8367813542009</v>
      </c>
      <c r="AW1068" s="2">
        <v>12164.728330759601</v>
      </c>
      <c r="AX1068" s="2">
        <v>15181.1749293917</v>
      </c>
    </row>
    <row r="1069" spans="1:50" x14ac:dyDescent="0.25">
      <c r="A1069" s="2" t="s">
        <v>7475</v>
      </c>
      <c r="B1069" s="2">
        <v>188.01694158236501</v>
      </c>
      <c r="C1069" s="2">
        <v>1.55508333333333</v>
      </c>
      <c r="D1069" s="2" t="s">
        <v>51</v>
      </c>
      <c r="E1069" s="2" t="s">
        <v>7476</v>
      </c>
      <c r="F1069" s="2">
        <v>203919</v>
      </c>
      <c r="G1069" s="3" t="str">
        <f>HYPERLINK("https://cloud.oebiotech.com/#/lm/network/203919", "https://cloud.oebiotech.com/#/lm/network/203919")</f>
        <v>https://cloud.oebiotech.com/#/lm/network/203919</v>
      </c>
      <c r="H1069" s="2" t="s">
        <v>7477</v>
      </c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 t="s">
        <v>7478</v>
      </c>
      <c r="T1069" s="2" t="s">
        <v>7479</v>
      </c>
      <c r="U1069" s="2" t="s">
        <v>610</v>
      </c>
      <c r="V1069" s="2" t="s">
        <v>611</v>
      </c>
      <c r="W1069" s="2" t="s">
        <v>6372</v>
      </c>
      <c r="X1069" s="2" t="s">
        <v>147</v>
      </c>
      <c r="Y1069" s="2">
        <v>36.9</v>
      </c>
      <c r="Z1069" s="2">
        <v>0</v>
      </c>
      <c r="AA1069" s="2" t="s">
        <v>379</v>
      </c>
      <c r="AB1069" s="2" t="s">
        <v>7480</v>
      </c>
      <c r="AC1069" s="2">
        <v>-2.9793464601611799</v>
      </c>
      <c r="AD1069" s="2"/>
      <c r="AE1069" s="2">
        <v>0.57444401000071699</v>
      </c>
      <c r="AF1069" s="2">
        <v>119599.03459988401</v>
      </c>
      <c r="AG1069" s="2">
        <v>94475.909830573801</v>
      </c>
      <c r="AH1069" s="5">
        <v>1.26592096137909</v>
      </c>
      <c r="AI1069" s="5">
        <v>0.34018733194945</v>
      </c>
      <c r="AJ1069" s="5" t="s">
        <v>139</v>
      </c>
      <c r="AK1069" s="2">
        <v>0.28000554080371698</v>
      </c>
      <c r="AL1069" s="2">
        <v>0.59978920543246905</v>
      </c>
      <c r="AM1069" s="2">
        <v>118543.28199937</v>
      </c>
      <c r="AN1069" s="2">
        <v>98284.903637276395</v>
      </c>
      <c r="AO1069" s="2">
        <v>158683.34925242601</v>
      </c>
      <c r="AP1069" s="2">
        <v>174951.47244838299</v>
      </c>
      <c r="AQ1069" s="2">
        <v>54978.258772330097</v>
      </c>
      <c r="AR1069" s="2">
        <v>112152.94148952101</v>
      </c>
      <c r="AS1069" s="2">
        <v>69542.434848827805</v>
      </c>
      <c r="AT1069" s="2">
        <v>60486.127100141901</v>
      </c>
      <c r="AU1069" s="2">
        <v>93140.660498976795</v>
      </c>
      <c r="AV1069" s="2">
        <v>147895.95423056601</v>
      </c>
      <c r="AW1069" s="2">
        <v>80845.145900875199</v>
      </c>
      <c r="AX1069" s="2">
        <v>114945.136404055</v>
      </c>
    </row>
    <row r="1070" spans="1:50" x14ac:dyDescent="0.25">
      <c r="A1070" s="2" t="s">
        <v>7481</v>
      </c>
      <c r="B1070" s="2">
        <v>410.30253700226098</v>
      </c>
      <c r="C1070" s="2">
        <v>14.077</v>
      </c>
      <c r="D1070" s="2" t="s">
        <v>51</v>
      </c>
      <c r="E1070" s="2" t="s">
        <v>7482</v>
      </c>
      <c r="F1070" s="2">
        <v>203670</v>
      </c>
      <c r="G1070" s="3" t="str">
        <f>HYPERLINK("https://cloud.oebiotech.com/#/lm/network/203670", "https://cloud.oebiotech.com/#/lm/network/203670")</f>
        <v>https://cloud.oebiotech.com/#/lm/network/203670</v>
      </c>
      <c r="H1070" s="2" t="s">
        <v>7483</v>
      </c>
      <c r="I1070" s="2"/>
      <c r="J1070" s="2"/>
      <c r="K1070" s="2">
        <v>91412</v>
      </c>
      <c r="L1070" s="2"/>
      <c r="M1070" s="2"/>
      <c r="N1070" s="2"/>
      <c r="O1070" s="2"/>
      <c r="P1070" s="2"/>
      <c r="Q1070" s="2"/>
      <c r="R1070" s="2"/>
      <c r="S1070" s="2" t="s">
        <v>7484</v>
      </c>
      <c r="T1070" s="2" t="s">
        <v>7485</v>
      </c>
      <c r="U1070" s="2" t="s">
        <v>266</v>
      </c>
      <c r="V1070" s="2" t="s">
        <v>7486</v>
      </c>
      <c r="W1070" s="2" t="s">
        <v>7487</v>
      </c>
      <c r="X1070" s="2" t="s">
        <v>147</v>
      </c>
      <c r="Y1070" s="2">
        <v>38.5</v>
      </c>
      <c r="Z1070" s="2">
        <v>0.25600000000000001</v>
      </c>
      <c r="AA1070" s="2" t="s">
        <v>122</v>
      </c>
      <c r="AB1070" s="2" t="s">
        <v>7488</v>
      </c>
      <c r="AC1070" s="2">
        <v>-1.6756935802797499</v>
      </c>
      <c r="AD1070" s="2"/>
      <c r="AE1070" s="2">
        <v>0.57392916739038602</v>
      </c>
      <c r="AF1070" s="2">
        <v>100.991601143105</v>
      </c>
      <c r="AG1070" s="2">
        <v>11168.163232994901</v>
      </c>
      <c r="AH1070" s="4">
        <v>9.0428120574687007E-3</v>
      </c>
      <c r="AI1070" s="4">
        <v>-6.7890128051076104</v>
      </c>
      <c r="AJ1070" s="4" t="s">
        <v>62</v>
      </c>
      <c r="AK1070" s="2">
        <v>6.3505296590173593E-2</v>
      </c>
      <c r="AL1070" s="2">
        <v>0.33601027492909402</v>
      </c>
      <c r="AM1070" s="2">
        <v>120.671011781301</v>
      </c>
      <c r="AN1070" s="2">
        <v>8.559877937157E-6</v>
      </c>
      <c r="AO1070" s="2">
        <v>153.72931766419899</v>
      </c>
      <c r="AP1070" s="2">
        <v>161.21424137094701</v>
      </c>
      <c r="AQ1070" s="2">
        <v>170.335018922427</v>
      </c>
      <c r="AR1070" s="2">
        <v>8.559877937157E-6</v>
      </c>
      <c r="AS1070" s="2">
        <v>14532.1820990533</v>
      </c>
      <c r="AT1070" s="2">
        <v>24771.2777533054</v>
      </c>
      <c r="AU1070" s="2">
        <v>8.559877937157E-6</v>
      </c>
      <c r="AV1070" s="2">
        <v>27705.519519931098</v>
      </c>
      <c r="AW1070" s="2">
        <v>8.559877937157E-6</v>
      </c>
      <c r="AX1070" s="2">
        <v>8.559877937157E-6</v>
      </c>
    </row>
    <row r="1071" spans="1:50" x14ac:dyDescent="0.25">
      <c r="A1071" s="2" t="s">
        <v>7489</v>
      </c>
      <c r="B1071" s="2">
        <v>424.34328659407601</v>
      </c>
      <c r="C1071" s="2">
        <v>9.8909166666666692</v>
      </c>
      <c r="D1071" s="2" t="s">
        <v>51</v>
      </c>
      <c r="E1071" s="2" t="s">
        <v>7490</v>
      </c>
      <c r="F1071" s="2">
        <v>197378</v>
      </c>
      <c r="G1071" s="3" t="str">
        <f>HYPERLINK("https://cloud.oebiotech.com/#/lm/network/197378", "https://cloud.oebiotech.com/#/lm/network/197378")</f>
        <v>https://cloud.oebiotech.com/#/lm/network/197378</v>
      </c>
      <c r="H1071" s="2" t="s">
        <v>7491</v>
      </c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 t="s">
        <v>7492</v>
      </c>
      <c r="T1071" s="2" t="s">
        <v>7493</v>
      </c>
      <c r="U1071" s="2" t="s">
        <v>56</v>
      </c>
      <c r="V1071" s="2" t="s">
        <v>145</v>
      </c>
      <c r="W1071" s="2" t="s">
        <v>1188</v>
      </c>
      <c r="X1071" s="2" t="s">
        <v>147</v>
      </c>
      <c r="Y1071" s="2">
        <v>44.2</v>
      </c>
      <c r="Z1071" s="2">
        <v>27.5</v>
      </c>
      <c r="AA1071" s="2" t="s">
        <v>60</v>
      </c>
      <c r="AB1071" s="2" t="s">
        <v>7494</v>
      </c>
      <c r="AC1071" s="2">
        <v>2.71944504784318</v>
      </c>
      <c r="AD1071" s="2"/>
      <c r="AE1071" s="2">
        <v>0.57390948210075099</v>
      </c>
      <c r="AF1071" s="2">
        <v>587786.44077702996</v>
      </c>
      <c r="AG1071" s="2">
        <v>692506.24466583296</v>
      </c>
      <c r="AH1071" s="4">
        <v>0.84878143021030095</v>
      </c>
      <c r="AI1071" s="4">
        <v>-0.236535001825744</v>
      </c>
      <c r="AJ1071" s="4" t="s">
        <v>62</v>
      </c>
      <c r="AK1071" s="2">
        <v>0.63470257983660805</v>
      </c>
      <c r="AL1071" s="2">
        <v>0.82042874297625601</v>
      </c>
      <c r="AM1071" s="2">
        <v>867455.96556429495</v>
      </c>
      <c r="AN1071" s="2">
        <v>501865.86199730798</v>
      </c>
      <c r="AO1071" s="2">
        <v>846375.95748134004</v>
      </c>
      <c r="AP1071" s="2">
        <v>712390.16787496896</v>
      </c>
      <c r="AQ1071" s="2">
        <v>292501.33760398999</v>
      </c>
      <c r="AR1071" s="2">
        <v>306129.35414027999</v>
      </c>
      <c r="AS1071" s="2">
        <v>328711.38858719502</v>
      </c>
      <c r="AT1071" s="2">
        <v>341379.96668094199</v>
      </c>
      <c r="AU1071" s="2">
        <v>1351549.36474702</v>
      </c>
      <c r="AV1071" s="2">
        <v>691256.02042456297</v>
      </c>
      <c r="AW1071" s="2">
        <v>1135835.35018211</v>
      </c>
      <c r="AX1071" s="2">
        <v>306305.37737316801</v>
      </c>
    </row>
    <row r="1072" spans="1:50" x14ac:dyDescent="0.25">
      <c r="A1072" s="2" t="s">
        <v>7495</v>
      </c>
      <c r="B1072" s="2">
        <v>343.33300265156601</v>
      </c>
      <c r="C1072" s="2">
        <v>10.1716</v>
      </c>
      <c r="D1072" s="2" t="s">
        <v>51</v>
      </c>
      <c r="E1072" s="2" t="s">
        <v>7496</v>
      </c>
      <c r="F1072" s="2">
        <v>9070</v>
      </c>
      <c r="G1072" s="3" t="str">
        <f>HYPERLINK("https://cloud.oebiotech.com/#/lm/network/9070", "https://cloud.oebiotech.com/#/lm/network/9070")</f>
        <v>https://cloud.oebiotech.com/#/lm/network/9070</v>
      </c>
      <c r="H1072" s="2"/>
      <c r="I1072" s="2"/>
      <c r="J1072" s="2" t="s">
        <v>7497</v>
      </c>
      <c r="K1072" s="2">
        <v>17961927</v>
      </c>
      <c r="L1072" s="2"/>
      <c r="M1072" s="2"/>
      <c r="N1072" s="2"/>
      <c r="O1072" s="2"/>
      <c r="P1072" s="2"/>
      <c r="Q1072" s="2"/>
      <c r="R1072" s="2"/>
      <c r="S1072" s="2" t="s">
        <v>7498</v>
      </c>
      <c r="T1072" s="2" t="s">
        <v>7499</v>
      </c>
      <c r="U1072" s="2" t="s">
        <v>119</v>
      </c>
      <c r="V1072" s="2" t="s">
        <v>120</v>
      </c>
      <c r="W1072" s="2" t="s">
        <v>1887</v>
      </c>
      <c r="X1072" s="2" t="s">
        <v>147</v>
      </c>
      <c r="Y1072" s="2">
        <v>44.6</v>
      </c>
      <c r="Z1072" s="2">
        <v>30.8</v>
      </c>
      <c r="AA1072" s="2" t="s">
        <v>512</v>
      </c>
      <c r="AB1072" s="2" t="s">
        <v>7500</v>
      </c>
      <c r="AC1072" s="2">
        <v>3.3742188641580002</v>
      </c>
      <c r="AD1072" s="2"/>
      <c r="AE1072" s="2">
        <v>0.57302444841052103</v>
      </c>
      <c r="AF1072" s="2">
        <v>30072.649158926099</v>
      </c>
      <c r="AG1072" s="2">
        <v>8404.5625793101299</v>
      </c>
      <c r="AH1072" s="5">
        <v>3.5781337666468498</v>
      </c>
      <c r="AI1072" s="5">
        <v>1.8392073227924699</v>
      </c>
      <c r="AJ1072" s="5" t="s">
        <v>139</v>
      </c>
      <c r="AK1072" s="2">
        <v>0.30007494740169799</v>
      </c>
      <c r="AL1072" s="2">
        <v>0.61037838979491599</v>
      </c>
      <c r="AM1072" s="2">
        <v>1826.5984460817599</v>
      </c>
      <c r="AN1072" s="2">
        <v>8.559877937157E-6</v>
      </c>
      <c r="AO1072" s="2">
        <v>76704.960396289898</v>
      </c>
      <c r="AP1072" s="2">
        <v>8.559877937157E-6</v>
      </c>
      <c r="AQ1072" s="2">
        <v>100037.689209194</v>
      </c>
      <c r="AR1072" s="2">
        <v>1866.6468848711099</v>
      </c>
      <c r="AS1072" s="2">
        <v>40883.036918386497</v>
      </c>
      <c r="AT1072" s="2">
        <v>8.559877937157E-6</v>
      </c>
      <c r="AU1072" s="2">
        <v>8532.7400261200801</v>
      </c>
      <c r="AV1072" s="2">
        <v>295.220690599384</v>
      </c>
      <c r="AW1072" s="2">
        <v>8.559877937157E-6</v>
      </c>
      <c r="AX1072" s="2">
        <v>716.37782363505005</v>
      </c>
    </row>
    <row r="1073" spans="1:50" x14ac:dyDescent="0.25">
      <c r="A1073" s="2" t="s">
        <v>7501</v>
      </c>
      <c r="B1073" s="2">
        <v>412.96710126764702</v>
      </c>
      <c r="C1073" s="2">
        <v>9.4191166666666692</v>
      </c>
      <c r="D1073" s="2" t="s">
        <v>51</v>
      </c>
      <c r="E1073" s="2" t="s">
        <v>7502</v>
      </c>
      <c r="F1073" s="2">
        <v>280766</v>
      </c>
      <c r="G1073" s="3" t="str">
        <f>HYPERLINK("https://cloud.oebiotech.com/#/lm/network/280766", "https://cloud.oebiotech.com/#/lm/network/280766")</f>
        <v>https://cloud.oebiotech.com/#/lm/network/280766</v>
      </c>
      <c r="H1073" s="2" t="s">
        <v>7503</v>
      </c>
      <c r="I1073" s="2">
        <v>96224</v>
      </c>
      <c r="J1073" s="2"/>
      <c r="K1073" s="2">
        <v>9554</v>
      </c>
      <c r="L1073" s="2"/>
      <c r="M1073" s="2"/>
      <c r="N1073" s="2"/>
      <c r="O1073" s="2"/>
      <c r="P1073" s="2"/>
      <c r="Q1073" s="2"/>
      <c r="R1073" s="2" t="s">
        <v>7504</v>
      </c>
      <c r="S1073" s="2" t="s">
        <v>7505</v>
      </c>
      <c r="T1073" s="2" t="s">
        <v>7506</v>
      </c>
      <c r="U1073" s="2" t="s">
        <v>1357</v>
      </c>
      <c r="V1073" s="2" t="s">
        <v>4878</v>
      </c>
      <c r="W1073" s="2" t="s">
        <v>4879</v>
      </c>
      <c r="X1073" s="2" t="s">
        <v>59</v>
      </c>
      <c r="Y1073" s="2">
        <v>50.7</v>
      </c>
      <c r="Z1073" s="2">
        <v>60.7</v>
      </c>
      <c r="AA1073" s="2" t="s">
        <v>163</v>
      </c>
      <c r="AB1073" s="2" t="s">
        <v>7507</v>
      </c>
      <c r="AC1073" s="2">
        <v>1.6308486582133299</v>
      </c>
      <c r="AD1073" s="2"/>
      <c r="AE1073" s="2">
        <v>0.57092337621506095</v>
      </c>
      <c r="AF1073" s="2">
        <v>4698.8413466397997</v>
      </c>
      <c r="AG1073" s="2">
        <v>19020.235586292001</v>
      </c>
      <c r="AH1073" s="4">
        <v>0.24704432946279001</v>
      </c>
      <c r="AI1073" s="4">
        <v>-2.01715815365284</v>
      </c>
      <c r="AJ1073" s="4" t="s">
        <v>62</v>
      </c>
      <c r="AK1073" s="2">
        <v>0.37248866214669302</v>
      </c>
      <c r="AL1073" s="2">
        <v>0.65429556789251697</v>
      </c>
      <c r="AM1073" s="2">
        <v>2994.39087409085</v>
      </c>
      <c r="AN1073" s="2">
        <v>460.761070811987</v>
      </c>
      <c r="AO1073" s="2">
        <v>2223.7255369137602</v>
      </c>
      <c r="AP1073" s="2">
        <v>9639.2254535734501</v>
      </c>
      <c r="AQ1073" s="2">
        <v>476.98596231415098</v>
      </c>
      <c r="AR1073" s="2">
        <v>12397.9591821346</v>
      </c>
      <c r="AS1073" s="2">
        <v>94863.567156598394</v>
      </c>
      <c r="AT1073" s="2">
        <v>1650.5166135176901</v>
      </c>
      <c r="AU1073" s="2">
        <v>6739.1184949230501</v>
      </c>
      <c r="AV1073" s="2">
        <v>649.64315577800096</v>
      </c>
      <c r="AW1073" s="2">
        <v>5886.4558015739703</v>
      </c>
      <c r="AX1073" s="2">
        <v>4332.1122953608801</v>
      </c>
    </row>
    <row r="1074" spans="1:50" x14ac:dyDescent="0.25">
      <c r="A1074" s="2" t="s">
        <v>7508</v>
      </c>
      <c r="B1074" s="2">
        <v>259.00976557043799</v>
      </c>
      <c r="C1074" s="2">
        <v>4.9007166666666704</v>
      </c>
      <c r="D1074" s="2" t="s">
        <v>51</v>
      </c>
      <c r="E1074" s="2" t="s">
        <v>7509</v>
      </c>
      <c r="F1074" s="2">
        <v>57765</v>
      </c>
      <c r="G1074" s="3" t="str">
        <f>HYPERLINK("https://cloud.oebiotech.com/#/lm/network/57765", "https://cloud.oebiotech.com/#/lm/network/57765")</f>
        <v>https://cloud.oebiotech.com/#/lm/network/57765</v>
      </c>
      <c r="H1074" s="2" t="s">
        <v>7510</v>
      </c>
      <c r="I1074" s="2">
        <v>89358</v>
      </c>
      <c r="J1074" s="2"/>
      <c r="K1074" s="2">
        <v>22752005</v>
      </c>
      <c r="L1074" s="2"/>
      <c r="M1074" s="2"/>
      <c r="N1074" s="2"/>
      <c r="O1074" s="2"/>
      <c r="P1074" s="2"/>
      <c r="Q1074" s="2"/>
      <c r="R1074" s="2" t="s">
        <v>7511</v>
      </c>
      <c r="S1074" s="2" t="s">
        <v>7512</v>
      </c>
      <c r="T1074" s="2" t="s">
        <v>7513</v>
      </c>
      <c r="U1074" s="2" t="s">
        <v>103</v>
      </c>
      <c r="V1074" s="2" t="s">
        <v>7514</v>
      </c>
      <c r="W1074" s="2" t="s">
        <v>240</v>
      </c>
      <c r="X1074" s="2" t="s">
        <v>147</v>
      </c>
      <c r="Y1074" s="2">
        <v>38.200000000000003</v>
      </c>
      <c r="Z1074" s="2">
        <v>0</v>
      </c>
      <c r="AA1074" s="2" t="s">
        <v>478</v>
      </c>
      <c r="AB1074" s="2" t="s">
        <v>7515</v>
      </c>
      <c r="AC1074" s="2">
        <v>-2.53390688191157</v>
      </c>
      <c r="AD1074" s="2"/>
      <c r="AE1074" s="2">
        <v>0.57039606353773498</v>
      </c>
      <c r="AF1074" s="2">
        <v>23129.725706406902</v>
      </c>
      <c r="AG1074" s="2">
        <v>49135.762654556704</v>
      </c>
      <c r="AH1074" s="4">
        <v>0.47073097997924201</v>
      </c>
      <c r="AI1074" s="4">
        <v>-1.08702529137867</v>
      </c>
      <c r="AJ1074" s="4" t="s">
        <v>62</v>
      </c>
      <c r="AK1074" s="2">
        <v>0.23634965637556299</v>
      </c>
      <c r="AL1074" s="2">
        <v>0.56083325745832202</v>
      </c>
      <c r="AM1074" s="2">
        <v>66225.770301664801</v>
      </c>
      <c r="AN1074" s="2">
        <v>10333.902446394701</v>
      </c>
      <c r="AO1074" s="2">
        <v>22698.223944238998</v>
      </c>
      <c r="AP1074" s="2">
        <v>34981.467787764901</v>
      </c>
      <c r="AQ1074" s="2">
        <v>1449.3355386179901</v>
      </c>
      <c r="AR1074" s="2">
        <v>3089.6542197601898</v>
      </c>
      <c r="AS1074" s="2">
        <v>12184.0093215657</v>
      </c>
      <c r="AT1074" s="2">
        <v>104074.747912769</v>
      </c>
      <c r="AU1074" s="2">
        <v>32753.482521818099</v>
      </c>
      <c r="AV1074" s="2">
        <v>105376.12939334</v>
      </c>
      <c r="AW1074" s="2">
        <v>31672.425672851499</v>
      </c>
      <c r="AX1074" s="2">
        <v>8753.7811049960201</v>
      </c>
    </row>
    <row r="1075" spans="1:50" x14ac:dyDescent="0.25">
      <c r="A1075" s="2" t="s">
        <v>7516</v>
      </c>
      <c r="B1075" s="2">
        <v>228.19643653394999</v>
      </c>
      <c r="C1075" s="2">
        <v>13.3237166666667</v>
      </c>
      <c r="D1075" s="2" t="s">
        <v>51</v>
      </c>
      <c r="E1075" s="2" t="s">
        <v>7517</v>
      </c>
      <c r="F1075" s="2">
        <v>1087</v>
      </c>
      <c r="G1075" s="3" t="str">
        <f>HYPERLINK("https://cloud.oebiotech.com/#/lm/network/1087", "https://cloud.oebiotech.com/#/lm/network/1087")</f>
        <v>https://cloud.oebiotech.com/#/lm/network/1087</v>
      </c>
      <c r="H1075" s="2"/>
      <c r="I1075" s="2">
        <v>74259</v>
      </c>
      <c r="J1075" s="2" t="s">
        <v>7518</v>
      </c>
      <c r="K1075" s="2">
        <v>5312723</v>
      </c>
      <c r="L1075" s="2"/>
      <c r="M1075" s="2"/>
      <c r="N1075" s="2"/>
      <c r="O1075" s="2"/>
      <c r="P1075" s="2"/>
      <c r="Q1075" s="2"/>
      <c r="R1075" s="2"/>
      <c r="S1075" s="2" t="s">
        <v>7519</v>
      </c>
      <c r="T1075" s="2" t="s">
        <v>7520</v>
      </c>
      <c r="U1075" s="2" t="s">
        <v>56</v>
      </c>
      <c r="V1075" s="2" t="s">
        <v>145</v>
      </c>
      <c r="W1075" s="2" t="s">
        <v>231</v>
      </c>
      <c r="X1075" s="2" t="s">
        <v>59</v>
      </c>
      <c r="Y1075" s="2">
        <v>52.7</v>
      </c>
      <c r="Z1075" s="2">
        <v>70.3</v>
      </c>
      <c r="AA1075" s="2" t="s">
        <v>512</v>
      </c>
      <c r="AB1075" s="2" t="s">
        <v>7521</v>
      </c>
      <c r="AC1075" s="2">
        <v>3.0027281320869901</v>
      </c>
      <c r="AD1075" s="2"/>
      <c r="AE1075" s="2">
        <v>0.57031514999427602</v>
      </c>
      <c r="AF1075" s="2">
        <v>59756.582122792403</v>
      </c>
      <c r="AG1075" s="2">
        <v>70981.486561220605</v>
      </c>
      <c r="AH1075" s="4">
        <v>0.84186151935903897</v>
      </c>
      <c r="AI1075" s="4">
        <v>-0.248345155853118</v>
      </c>
      <c r="AJ1075" s="4" t="s">
        <v>62</v>
      </c>
      <c r="AK1075" s="2">
        <v>0.302316528745665</v>
      </c>
      <c r="AL1075" s="2">
        <v>0.61153432066882796</v>
      </c>
      <c r="AM1075" s="2">
        <v>46854.986267722401</v>
      </c>
      <c r="AN1075" s="2">
        <v>67158.239780236501</v>
      </c>
      <c r="AO1075" s="2">
        <v>65205.438554513101</v>
      </c>
      <c r="AP1075" s="2">
        <v>64084.154553467299</v>
      </c>
      <c r="AQ1075" s="2">
        <v>68389.309319150605</v>
      </c>
      <c r="AR1075" s="2">
        <v>46847.364261664603</v>
      </c>
      <c r="AS1075" s="2">
        <v>56020.1950577967</v>
      </c>
      <c r="AT1075" s="2">
        <v>59582.361098727401</v>
      </c>
      <c r="AU1075" s="2">
        <v>50604.693603262996</v>
      </c>
      <c r="AV1075" s="2">
        <v>95708.754218545597</v>
      </c>
      <c r="AW1075" s="2">
        <v>105034.92599699899</v>
      </c>
      <c r="AX1075" s="2">
        <v>58937.989391991898</v>
      </c>
    </row>
    <row r="1076" spans="1:50" x14ac:dyDescent="0.25">
      <c r="A1076" s="2" t="s">
        <v>7522</v>
      </c>
      <c r="B1076" s="2">
        <v>518.11435237296701</v>
      </c>
      <c r="C1076" s="2">
        <v>5.0793666666666697</v>
      </c>
      <c r="D1076" s="2" t="s">
        <v>51</v>
      </c>
      <c r="E1076" s="2" t="s">
        <v>7523</v>
      </c>
      <c r="F1076" s="2">
        <v>202709</v>
      </c>
      <c r="G1076" s="3" t="str">
        <f>HYPERLINK("https://cloud.oebiotech.com/#/lm/network/202709", "https://cloud.oebiotech.com/#/lm/network/202709")</f>
        <v>https://cloud.oebiotech.com/#/lm/network/202709</v>
      </c>
      <c r="H1076" s="2" t="s">
        <v>7524</v>
      </c>
      <c r="I1076" s="2"/>
      <c r="J1076" s="2"/>
      <c r="K1076" s="2">
        <v>14324841</v>
      </c>
      <c r="L1076" s="2"/>
      <c r="M1076" s="2"/>
      <c r="N1076" s="2"/>
      <c r="O1076" s="2"/>
      <c r="P1076" s="2"/>
      <c r="Q1076" s="2"/>
      <c r="R1076" s="2"/>
      <c r="S1076" s="2" t="s">
        <v>7525</v>
      </c>
      <c r="T1076" s="2" t="s">
        <v>7526</v>
      </c>
      <c r="U1076" s="2" t="s">
        <v>266</v>
      </c>
      <c r="V1076" s="2" t="s">
        <v>4415</v>
      </c>
      <c r="W1076" s="2" t="s">
        <v>4416</v>
      </c>
      <c r="X1076" s="2" t="s">
        <v>69</v>
      </c>
      <c r="Y1076" s="2">
        <v>50.1</v>
      </c>
      <c r="Z1076" s="2">
        <v>55.7</v>
      </c>
      <c r="AA1076" s="2" t="s">
        <v>259</v>
      </c>
      <c r="AB1076" s="2" t="s">
        <v>7527</v>
      </c>
      <c r="AC1076" s="2">
        <v>3.6162779942931502</v>
      </c>
      <c r="AD1076" s="2"/>
      <c r="AE1076" s="2">
        <v>0.56931263398180199</v>
      </c>
      <c r="AF1076" s="2">
        <v>962.06428620539396</v>
      </c>
      <c r="AG1076" s="2">
        <v>12333.1585734736</v>
      </c>
      <c r="AH1076" s="4">
        <v>7.8006317722584304E-2</v>
      </c>
      <c r="AI1076" s="4">
        <v>-3.6802652173647199</v>
      </c>
      <c r="AJ1076" s="4" t="s">
        <v>62</v>
      </c>
      <c r="AK1076" s="2">
        <v>0.18832622750460101</v>
      </c>
      <c r="AL1076" s="2">
        <v>0.51283040988850104</v>
      </c>
      <c r="AM1076" s="2">
        <v>8.559877937157E-6</v>
      </c>
      <c r="AN1076" s="2">
        <v>8.559877937157E-6</v>
      </c>
      <c r="AO1076" s="2">
        <v>3133.3920206089401</v>
      </c>
      <c r="AP1076" s="2">
        <v>965.15940455505097</v>
      </c>
      <c r="AQ1076" s="2">
        <v>8.559877937157E-6</v>
      </c>
      <c r="AR1076" s="2">
        <v>1673.8342663887399</v>
      </c>
      <c r="AS1076" s="2">
        <v>8.559877937157E-6</v>
      </c>
      <c r="AT1076" s="2">
        <v>230.82026561202599</v>
      </c>
      <c r="AU1076" s="2">
        <v>6688.0638796455496</v>
      </c>
      <c r="AV1076" s="2">
        <v>16303.0518253789</v>
      </c>
      <c r="AW1076" s="2">
        <v>50396.065096207698</v>
      </c>
      <c r="AX1076" s="2">
        <v>380.95036543739297</v>
      </c>
    </row>
    <row r="1077" spans="1:50" x14ac:dyDescent="0.25">
      <c r="A1077" s="2" t="s">
        <v>7528</v>
      </c>
      <c r="B1077" s="2">
        <v>254.248653430872</v>
      </c>
      <c r="C1077" s="2">
        <v>9.6834500000000006</v>
      </c>
      <c r="D1077" s="2" t="s">
        <v>51</v>
      </c>
      <c r="E1077" s="2" t="s">
        <v>7529</v>
      </c>
      <c r="F1077" s="2">
        <v>256004</v>
      </c>
      <c r="G1077" s="3" t="str">
        <f>HYPERLINK("https://cloud.oebiotech.com/#/lm/network/256004", "https://cloud.oebiotech.com/#/lm/network/256004")</f>
        <v>https://cloud.oebiotech.com/#/lm/network/256004</v>
      </c>
      <c r="H1077" s="2" t="s">
        <v>7530</v>
      </c>
      <c r="I1077" s="2"/>
      <c r="J1077" s="2"/>
      <c r="K1077" s="2">
        <v>6455496</v>
      </c>
      <c r="L1077" s="2"/>
      <c r="M1077" s="2"/>
      <c r="N1077" s="2"/>
      <c r="O1077" s="2"/>
      <c r="P1077" s="2"/>
      <c r="Q1077" s="2"/>
      <c r="R1077" s="2"/>
      <c r="S1077" s="2" t="s">
        <v>7531</v>
      </c>
      <c r="T1077" s="2" t="s">
        <v>7532</v>
      </c>
      <c r="U1077" s="2" t="s">
        <v>331</v>
      </c>
      <c r="V1077" s="2" t="s">
        <v>332</v>
      </c>
      <c r="W1077" s="2" t="s">
        <v>519</v>
      </c>
      <c r="X1077" s="2" t="s">
        <v>59</v>
      </c>
      <c r="Y1077" s="2">
        <v>51.4</v>
      </c>
      <c r="Z1077" s="2">
        <v>64.099999999999994</v>
      </c>
      <c r="AA1077" s="2" t="s">
        <v>512</v>
      </c>
      <c r="AB1077" s="2" t="s">
        <v>2024</v>
      </c>
      <c r="AC1077" s="2">
        <v>3.4391835300246401</v>
      </c>
      <c r="AD1077" s="2"/>
      <c r="AE1077" s="2">
        <v>0.56872571028122898</v>
      </c>
      <c r="AF1077" s="2">
        <v>19728.702639749499</v>
      </c>
      <c r="AG1077" s="2">
        <v>2660.6963787424102</v>
      </c>
      <c r="AH1077" s="5">
        <v>7.4148643179927198</v>
      </c>
      <c r="AI1077" s="5">
        <v>2.89042029354977</v>
      </c>
      <c r="AJ1077" s="5" t="s">
        <v>139</v>
      </c>
      <c r="AK1077" s="2">
        <v>0.21247488607953199</v>
      </c>
      <c r="AL1077" s="2">
        <v>0.53706865589344099</v>
      </c>
      <c r="AM1077" s="2">
        <v>487.12357490767101</v>
      </c>
      <c r="AN1077" s="2">
        <v>272.20030305806</v>
      </c>
      <c r="AO1077" s="2">
        <v>41645.121564998801</v>
      </c>
      <c r="AP1077" s="2">
        <v>640.40606620270398</v>
      </c>
      <c r="AQ1077" s="2">
        <v>73888.966178978706</v>
      </c>
      <c r="AR1077" s="2">
        <v>1438.3981503513101</v>
      </c>
      <c r="AS1077" s="2">
        <v>7708.8291579388797</v>
      </c>
      <c r="AT1077" s="2">
        <v>440.035577465649</v>
      </c>
      <c r="AU1077" s="2">
        <v>6924.9560892640002</v>
      </c>
      <c r="AV1077" s="2">
        <v>791.49131648261198</v>
      </c>
      <c r="AW1077" s="2">
        <v>98.866122743434502</v>
      </c>
      <c r="AX1077" s="2">
        <v>8.559877937157E-6</v>
      </c>
    </row>
    <row r="1078" spans="1:50" x14ac:dyDescent="0.25">
      <c r="A1078" s="2" t="s">
        <v>7533</v>
      </c>
      <c r="B1078" s="2">
        <v>339.21529102272501</v>
      </c>
      <c r="C1078" s="2">
        <v>12.092183333333301</v>
      </c>
      <c r="D1078" s="2" t="s">
        <v>51</v>
      </c>
      <c r="E1078" s="2" t="s">
        <v>7534</v>
      </c>
      <c r="F1078" s="2">
        <v>2239</v>
      </c>
      <c r="G1078" s="3" t="str">
        <f>HYPERLINK("https://cloud.oebiotech.com/#/lm/network/2239", "https://cloud.oebiotech.com/#/lm/network/2239")</f>
        <v>https://cloud.oebiotech.com/#/lm/network/2239</v>
      </c>
      <c r="H1078" s="2"/>
      <c r="I1078" s="2"/>
      <c r="J1078" s="2" t="s">
        <v>7535</v>
      </c>
      <c r="K1078" s="2">
        <v>129681591</v>
      </c>
      <c r="L1078" s="2"/>
      <c r="M1078" s="2"/>
      <c r="N1078" s="2"/>
      <c r="O1078" s="2"/>
      <c r="P1078" s="2"/>
      <c r="Q1078" s="2"/>
      <c r="R1078" s="2"/>
      <c r="S1078" s="2" t="s">
        <v>7536</v>
      </c>
      <c r="T1078" s="2" t="s">
        <v>7537</v>
      </c>
      <c r="U1078" s="2" t="s">
        <v>56</v>
      </c>
      <c r="V1078" s="2" t="s">
        <v>145</v>
      </c>
      <c r="W1078" s="2" t="s">
        <v>231</v>
      </c>
      <c r="X1078" s="2" t="s">
        <v>83</v>
      </c>
      <c r="Y1078" s="2">
        <v>47.5</v>
      </c>
      <c r="Z1078" s="2">
        <v>0</v>
      </c>
      <c r="AA1078" s="2" t="s">
        <v>218</v>
      </c>
      <c r="AB1078" s="2" t="s">
        <v>1722</v>
      </c>
      <c r="AC1078" s="2">
        <v>-8.1798388527091692</v>
      </c>
      <c r="AD1078" s="2"/>
      <c r="AE1078" s="2">
        <v>0.56869070583644699</v>
      </c>
      <c r="AF1078" s="2">
        <v>38885.401989402002</v>
      </c>
      <c r="AG1078" s="2">
        <v>50057.923603743999</v>
      </c>
      <c r="AH1078" s="4">
        <v>0.776808129262748</v>
      </c>
      <c r="AI1078" s="4">
        <v>-0.36436979631140398</v>
      </c>
      <c r="AJ1078" s="4" t="s">
        <v>62</v>
      </c>
      <c r="AK1078" s="2">
        <v>3.3691031300578302E-2</v>
      </c>
      <c r="AL1078" s="2">
        <v>0.27023848021491997</v>
      </c>
      <c r="AM1078" s="2">
        <v>39163.204294626499</v>
      </c>
      <c r="AN1078" s="2">
        <v>52281.535431682103</v>
      </c>
      <c r="AO1078" s="2">
        <v>29069.408112409601</v>
      </c>
      <c r="AP1078" s="2">
        <v>31006.285201188301</v>
      </c>
      <c r="AQ1078" s="2">
        <v>33681.147273230003</v>
      </c>
      <c r="AR1078" s="2">
        <v>48110.831623275197</v>
      </c>
      <c r="AS1078" s="2">
        <v>41754.2927900668</v>
      </c>
      <c r="AT1078" s="2">
        <v>55198.495243784702</v>
      </c>
      <c r="AU1078" s="2">
        <v>48074.5095950658</v>
      </c>
      <c r="AV1078" s="2">
        <v>47709.177970873301</v>
      </c>
      <c r="AW1078" s="2">
        <v>49571.4113021495</v>
      </c>
      <c r="AX1078" s="2">
        <v>58039.654720524202</v>
      </c>
    </row>
    <row r="1079" spans="1:50" x14ac:dyDescent="0.25">
      <c r="A1079" s="2" t="s">
        <v>7538</v>
      </c>
      <c r="B1079" s="2">
        <v>480.19990853749198</v>
      </c>
      <c r="C1079" s="2">
        <v>8.9080499999999994</v>
      </c>
      <c r="D1079" s="2" t="s">
        <v>51</v>
      </c>
      <c r="E1079" s="2" t="s">
        <v>7539</v>
      </c>
      <c r="F1079" s="2">
        <v>7471</v>
      </c>
      <c r="G1079" s="3" t="str">
        <f>HYPERLINK("https://cloud.oebiotech.com/#/lm/network/7471", "https://cloud.oebiotech.com/#/lm/network/7471")</f>
        <v>https://cloud.oebiotech.com/#/lm/network/7471</v>
      </c>
      <c r="H1079" s="2" t="s">
        <v>7540</v>
      </c>
      <c r="I1079" s="2"/>
      <c r="J1079" s="2" t="s">
        <v>7541</v>
      </c>
      <c r="K1079" s="2">
        <v>22245467</v>
      </c>
      <c r="L1079" s="2" t="s">
        <v>7542</v>
      </c>
      <c r="M1079" s="2"/>
      <c r="N1079" s="2"/>
      <c r="O1079" s="2"/>
      <c r="P1079" s="2"/>
      <c r="Q1079" s="2"/>
      <c r="R1079" s="2" t="s">
        <v>7543</v>
      </c>
      <c r="S1079" s="2" t="s">
        <v>7544</v>
      </c>
      <c r="T1079" s="2" t="s">
        <v>7545</v>
      </c>
      <c r="U1079" s="2" t="s">
        <v>103</v>
      </c>
      <c r="V1079" s="2" t="s">
        <v>104</v>
      </c>
      <c r="W1079" s="2" t="s">
        <v>4850</v>
      </c>
      <c r="X1079" s="2" t="s">
        <v>59</v>
      </c>
      <c r="Y1079" s="2">
        <v>48.2</v>
      </c>
      <c r="Z1079" s="2">
        <v>45.9</v>
      </c>
      <c r="AA1079" s="2" t="s">
        <v>122</v>
      </c>
      <c r="AB1079" s="2" t="s">
        <v>7546</v>
      </c>
      <c r="AC1079" s="2">
        <v>0.752219893158107</v>
      </c>
      <c r="AD1079" s="2"/>
      <c r="AE1079" s="2">
        <v>0.56780786737044298</v>
      </c>
      <c r="AF1079" s="2">
        <v>18325.101834442801</v>
      </c>
      <c r="AG1079" s="2">
        <v>74.614414788921394</v>
      </c>
      <c r="AH1079" s="5">
        <v>245.59734049088399</v>
      </c>
      <c r="AI1079" s="5">
        <v>7.9401511280015997</v>
      </c>
      <c r="AJ1079" s="5" t="s">
        <v>139</v>
      </c>
      <c r="AK1079" s="2">
        <v>0.1495642518675</v>
      </c>
      <c r="AL1079" s="2">
        <v>0.47031936617444198</v>
      </c>
      <c r="AM1079" s="2">
        <v>8.559877937157E-6</v>
      </c>
      <c r="AN1079" s="2">
        <v>8.559877937157E-6</v>
      </c>
      <c r="AO1079" s="2">
        <v>8.559877937157E-6</v>
      </c>
      <c r="AP1079" s="2">
        <v>8.559877937157E-6</v>
      </c>
      <c r="AQ1079" s="2">
        <v>60913.079537643003</v>
      </c>
      <c r="AR1079" s="2">
        <v>49037.531434773999</v>
      </c>
      <c r="AS1079" s="2">
        <v>8.559877937157E-6</v>
      </c>
      <c r="AT1079" s="2">
        <v>11.961197851681399</v>
      </c>
      <c r="AU1079" s="2">
        <v>8.559877937157E-6</v>
      </c>
      <c r="AV1079" s="2">
        <v>263.40844930863898</v>
      </c>
      <c r="AW1079" s="2">
        <v>110.02036964465</v>
      </c>
      <c r="AX1079" s="2">
        <v>62.296454808802402</v>
      </c>
    </row>
    <row r="1080" spans="1:50" x14ac:dyDescent="0.25">
      <c r="A1080" s="2" t="s">
        <v>7547</v>
      </c>
      <c r="B1080" s="2">
        <v>221.15429214064599</v>
      </c>
      <c r="C1080" s="2">
        <v>9.5221499999999999</v>
      </c>
      <c r="D1080" s="2" t="s">
        <v>51</v>
      </c>
      <c r="E1080" s="2" t="s">
        <v>7548</v>
      </c>
      <c r="F1080" s="2">
        <v>6325</v>
      </c>
      <c r="G1080" s="3" t="str">
        <f>HYPERLINK("https://cloud.oebiotech.com/#/lm/network/6325", "https://cloud.oebiotech.com/#/lm/network/6325")</f>
        <v>https://cloud.oebiotech.com/#/lm/network/6325</v>
      </c>
      <c r="H1080" s="2" t="s">
        <v>7549</v>
      </c>
      <c r="I1080" s="2">
        <v>94100</v>
      </c>
      <c r="J1080" s="2" t="s">
        <v>7550</v>
      </c>
      <c r="K1080" s="2">
        <v>53440552</v>
      </c>
      <c r="L1080" s="2"/>
      <c r="M1080" s="2"/>
      <c r="N1080" s="2"/>
      <c r="O1080" s="2"/>
      <c r="P1080" s="2"/>
      <c r="Q1080" s="2"/>
      <c r="R1080" s="2" t="s">
        <v>7551</v>
      </c>
      <c r="S1080" s="2" t="s">
        <v>7552</v>
      </c>
      <c r="T1080" s="2" t="s">
        <v>7553</v>
      </c>
      <c r="U1080" s="2" t="s">
        <v>56</v>
      </c>
      <c r="V1080" s="2" t="s">
        <v>145</v>
      </c>
      <c r="W1080" s="2" t="s">
        <v>146</v>
      </c>
      <c r="X1080" s="2" t="s">
        <v>83</v>
      </c>
      <c r="Y1080" s="2">
        <v>48.2</v>
      </c>
      <c r="Z1080" s="2">
        <v>0</v>
      </c>
      <c r="AA1080" s="2" t="s">
        <v>259</v>
      </c>
      <c r="AB1080" s="2" t="s">
        <v>7554</v>
      </c>
      <c r="AC1080" s="2">
        <v>3.1153284561563099</v>
      </c>
      <c r="AD1080" s="2"/>
      <c r="AE1080" s="2">
        <v>0.56760877874938998</v>
      </c>
      <c r="AF1080" s="2">
        <v>19928.125237321099</v>
      </c>
      <c r="AG1080" s="2">
        <v>12043.8698616726</v>
      </c>
      <c r="AH1080" s="5">
        <v>1.65462807770272</v>
      </c>
      <c r="AI1080" s="5">
        <v>0.72650696884293897</v>
      </c>
      <c r="AJ1080" s="5" t="s">
        <v>139</v>
      </c>
      <c r="AK1080" s="2">
        <v>0.171207507615243</v>
      </c>
      <c r="AL1080" s="2">
        <v>0.49206329486894901</v>
      </c>
      <c r="AM1080" s="2">
        <v>42735.787239119898</v>
      </c>
      <c r="AN1080" s="2">
        <v>16863.2592214375</v>
      </c>
      <c r="AO1080" s="2">
        <v>15130.777213349</v>
      </c>
      <c r="AP1080" s="2">
        <v>13843.335492115701</v>
      </c>
      <c r="AQ1080" s="2">
        <v>17216.118097096602</v>
      </c>
      <c r="AR1080" s="2">
        <v>13779.4741608077</v>
      </c>
      <c r="AS1080" s="2">
        <v>11623.312594196401</v>
      </c>
      <c r="AT1080" s="2">
        <v>6713.8836538953601</v>
      </c>
      <c r="AU1080" s="2">
        <v>24823.9466141599</v>
      </c>
      <c r="AV1080" s="2">
        <v>6777.4558317590399</v>
      </c>
      <c r="AW1080" s="2">
        <v>10129.1746682007</v>
      </c>
      <c r="AX1080" s="2">
        <v>12195.445807824401</v>
      </c>
    </row>
    <row r="1081" spans="1:50" x14ac:dyDescent="0.25">
      <c r="A1081" s="2" t="s">
        <v>7555</v>
      </c>
      <c r="B1081" s="2">
        <v>260.197668840603</v>
      </c>
      <c r="C1081" s="2">
        <v>0.74455000000000005</v>
      </c>
      <c r="D1081" s="2" t="s">
        <v>51</v>
      </c>
      <c r="E1081" s="2" t="s">
        <v>7556</v>
      </c>
      <c r="F1081" s="2">
        <v>53957</v>
      </c>
      <c r="G1081" s="3" t="str">
        <f>HYPERLINK("https://cloud.oebiotech.com/#/lm/network/53957", "https://cloud.oebiotech.com/#/lm/network/53957")</f>
        <v>https://cloud.oebiotech.com/#/lm/network/53957</v>
      </c>
      <c r="H1081" s="2" t="s">
        <v>7557</v>
      </c>
      <c r="I1081" s="2"/>
      <c r="J1081" s="2"/>
      <c r="K1081" s="2">
        <v>14299197</v>
      </c>
      <c r="L1081" s="2"/>
      <c r="M1081" s="2"/>
      <c r="N1081" s="2"/>
      <c r="O1081" s="2"/>
      <c r="P1081" s="2"/>
      <c r="Q1081" s="2"/>
      <c r="R1081" s="2"/>
      <c r="S1081" s="2" t="s">
        <v>7558</v>
      </c>
      <c r="T1081" s="2" t="s">
        <v>7559</v>
      </c>
      <c r="U1081" s="2" t="s">
        <v>103</v>
      </c>
      <c r="V1081" s="2" t="s">
        <v>104</v>
      </c>
      <c r="W1081" s="2" t="s">
        <v>105</v>
      </c>
      <c r="X1081" s="2" t="s">
        <v>147</v>
      </c>
      <c r="Y1081" s="2">
        <v>42.3</v>
      </c>
      <c r="Z1081" s="2">
        <v>20.100000000000001</v>
      </c>
      <c r="AA1081" s="2" t="s">
        <v>259</v>
      </c>
      <c r="AB1081" s="2" t="s">
        <v>6530</v>
      </c>
      <c r="AC1081" s="2">
        <v>3.0893747233514</v>
      </c>
      <c r="AD1081" s="2"/>
      <c r="AE1081" s="2">
        <v>0.56706671812587095</v>
      </c>
      <c r="AF1081" s="2">
        <v>19546.7837576204</v>
      </c>
      <c r="AG1081" s="2">
        <v>11064.121875648099</v>
      </c>
      <c r="AH1081" s="5">
        <v>1.7666818910086699</v>
      </c>
      <c r="AI1081" s="5">
        <v>0.82104229140076201</v>
      </c>
      <c r="AJ1081" s="5" t="s">
        <v>139</v>
      </c>
      <c r="AK1081" s="2">
        <v>0.136710878573677</v>
      </c>
      <c r="AL1081" s="2">
        <v>0.45714014015627302</v>
      </c>
      <c r="AM1081" s="2">
        <v>27966.7415582799</v>
      </c>
      <c r="AN1081" s="2">
        <v>10640.677465307301</v>
      </c>
      <c r="AO1081" s="2">
        <v>20593.363340164899</v>
      </c>
      <c r="AP1081" s="2">
        <v>11415.385774636101</v>
      </c>
      <c r="AQ1081" s="2">
        <v>22250.4718266772</v>
      </c>
      <c r="AR1081" s="2">
        <v>24414.062580656901</v>
      </c>
      <c r="AS1081" s="2">
        <v>6005.7801214689898</v>
      </c>
      <c r="AT1081" s="2">
        <v>10072.340654973599</v>
      </c>
      <c r="AU1081" s="2">
        <v>32682.6969924359</v>
      </c>
      <c r="AV1081" s="2">
        <v>6576.5479207133703</v>
      </c>
      <c r="AW1081" s="2">
        <v>6059.0640374186996</v>
      </c>
      <c r="AX1081" s="2">
        <v>4988.30152687793</v>
      </c>
    </row>
    <row r="1082" spans="1:50" x14ac:dyDescent="0.25">
      <c r="A1082" s="2" t="s">
        <v>7560</v>
      </c>
      <c r="B1082" s="2">
        <v>436.31835791361698</v>
      </c>
      <c r="C1082" s="2">
        <v>14.225250000000001</v>
      </c>
      <c r="D1082" s="2" t="s">
        <v>51</v>
      </c>
      <c r="E1082" s="2" t="s">
        <v>7561</v>
      </c>
      <c r="F1082" s="2">
        <v>198462</v>
      </c>
      <c r="G1082" s="3" t="str">
        <f>HYPERLINK("https://cloud.oebiotech.com/#/lm/network/198462", "https://cloud.oebiotech.com/#/lm/network/198462")</f>
        <v>https://cloud.oebiotech.com/#/lm/network/198462</v>
      </c>
      <c r="H1082" s="2" t="s">
        <v>7562</v>
      </c>
      <c r="I1082" s="2"/>
      <c r="J1082" s="2"/>
      <c r="K1082" s="2">
        <v>86254409</v>
      </c>
      <c r="L1082" s="2"/>
      <c r="M1082" s="2"/>
      <c r="N1082" s="2"/>
      <c r="O1082" s="2"/>
      <c r="P1082" s="2"/>
      <c r="Q1082" s="2"/>
      <c r="R1082" s="2"/>
      <c r="S1082" s="2" t="s">
        <v>7563</v>
      </c>
      <c r="T1082" s="2" t="s">
        <v>7564</v>
      </c>
      <c r="U1082" s="2" t="s">
        <v>103</v>
      </c>
      <c r="V1082" s="2" t="s">
        <v>104</v>
      </c>
      <c r="W1082" s="2" t="s">
        <v>105</v>
      </c>
      <c r="X1082" s="2" t="s">
        <v>83</v>
      </c>
      <c r="Y1082" s="2">
        <v>44.5</v>
      </c>
      <c r="Z1082" s="2">
        <v>1.82E-3</v>
      </c>
      <c r="AA1082" s="2" t="s">
        <v>395</v>
      </c>
      <c r="AB1082" s="2" t="s">
        <v>7565</v>
      </c>
      <c r="AC1082" s="2">
        <v>-0.99290700539501098</v>
      </c>
      <c r="AD1082" s="2"/>
      <c r="AE1082" s="2">
        <v>0.56664958564204104</v>
      </c>
      <c r="AF1082" s="2">
        <v>29.372759555818199</v>
      </c>
      <c r="AG1082" s="2">
        <v>11439.276829315701</v>
      </c>
      <c r="AH1082" s="4">
        <v>2.56771122808603E-3</v>
      </c>
      <c r="AI1082" s="4">
        <v>-8.6053013225577502</v>
      </c>
      <c r="AJ1082" s="4" t="s">
        <v>62</v>
      </c>
      <c r="AK1082" s="2">
        <v>6.5598256760227805E-2</v>
      </c>
      <c r="AL1082" s="2">
        <v>0.34192828169447498</v>
      </c>
      <c r="AM1082" s="2">
        <v>122.65894424625399</v>
      </c>
      <c r="AN1082" s="2">
        <v>8.559877937157E-6</v>
      </c>
      <c r="AO1082" s="2">
        <v>8.559877937157E-6</v>
      </c>
      <c r="AP1082" s="2">
        <v>8.559877937157E-6</v>
      </c>
      <c r="AQ1082" s="2">
        <v>8.559877937157E-6</v>
      </c>
      <c r="AR1082" s="2">
        <v>53.577578849143698</v>
      </c>
      <c r="AS1082" s="2">
        <v>13768.6510525883</v>
      </c>
      <c r="AT1082" s="2">
        <v>28910.583755776799</v>
      </c>
      <c r="AU1082" s="2">
        <v>8.559877937157E-6</v>
      </c>
      <c r="AV1082" s="2">
        <v>25956.426141849501</v>
      </c>
      <c r="AW1082" s="2">
        <v>8.559877937157E-6</v>
      </c>
      <c r="AX1082" s="2">
        <v>8.559877937157E-6</v>
      </c>
    </row>
    <row r="1083" spans="1:50" x14ac:dyDescent="0.25">
      <c r="A1083" s="2" t="s">
        <v>7566</v>
      </c>
      <c r="B1083" s="2">
        <v>573.19079410477298</v>
      </c>
      <c r="C1083" s="2">
        <v>7.3994666666666697</v>
      </c>
      <c r="D1083" s="2" t="s">
        <v>51</v>
      </c>
      <c r="E1083" s="2" t="s">
        <v>7567</v>
      </c>
      <c r="F1083" s="2">
        <v>34330</v>
      </c>
      <c r="G1083" s="3" t="str">
        <f>HYPERLINK("https://cloud.oebiotech.com/#/lm/network/34330", "https://cloud.oebiotech.com/#/lm/network/34330")</f>
        <v>https://cloud.oebiotech.com/#/lm/network/34330</v>
      </c>
      <c r="H1083" s="2"/>
      <c r="I1083" s="2">
        <v>52638</v>
      </c>
      <c r="J1083" s="2" t="s">
        <v>7568</v>
      </c>
      <c r="K1083" s="2">
        <v>21721823</v>
      </c>
      <c r="L1083" s="2"/>
      <c r="M1083" s="2"/>
      <c r="N1083" s="2"/>
      <c r="O1083" s="2"/>
      <c r="P1083" s="2"/>
      <c r="Q1083" s="2"/>
      <c r="R1083" s="2"/>
      <c r="S1083" s="2" t="s">
        <v>7569</v>
      </c>
      <c r="T1083" s="2" t="s">
        <v>7570</v>
      </c>
      <c r="U1083" s="2" t="s">
        <v>540</v>
      </c>
      <c r="V1083" s="2" t="s">
        <v>2365</v>
      </c>
      <c r="W1083" s="2" t="s">
        <v>7571</v>
      </c>
      <c r="X1083" s="2" t="s">
        <v>147</v>
      </c>
      <c r="Y1083" s="2">
        <v>38.700000000000003</v>
      </c>
      <c r="Z1083" s="2">
        <v>17.3</v>
      </c>
      <c r="AA1083" s="2" t="s">
        <v>163</v>
      </c>
      <c r="AB1083" s="2" t="s">
        <v>7572</v>
      </c>
      <c r="AC1083" s="2">
        <v>-1.8856911240694101</v>
      </c>
      <c r="AD1083" s="2"/>
      <c r="AE1083" s="2">
        <v>0.56622240092646203</v>
      </c>
      <c r="AF1083" s="2">
        <v>12989.337890492399</v>
      </c>
      <c r="AG1083" s="2">
        <v>5426.5545230042198</v>
      </c>
      <c r="AH1083" s="5">
        <v>2.3936620991142901</v>
      </c>
      <c r="AI1083" s="5">
        <v>1.2592195088651299</v>
      </c>
      <c r="AJ1083" s="5" t="s">
        <v>139</v>
      </c>
      <c r="AK1083" s="2">
        <v>4.5567323051515299E-3</v>
      </c>
      <c r="AL1083" s="2">
        <v>0.12174388396289799</v>
      </c>
      <c r="AM1083" s="2">
        <v>9424.4140123331508</v>
      </c>
      <c r="AN1083" s="2">
        <v>17835.418885093801</v>
      </c>
      <c r="AO1083" s="2">
        <v>13662.806464580201</v>
      </c>
      <c r="AP1083" s="2">
        <v>9379.1418189278993</v>
      </c>
      <c r="AQ1083" s="2">
        <v>11253.451474295</v>
      </c>
      <c r="AR1083" s="2">
        <v>16380.794687724399</v>
      </c>
      <c r="AS1083" s="2">
        <v>10997.295425013001</v>
      </c>
      <c r="AT1083" s="2">
        <v>4237.2750352595704</v>
      </c>
      <c r="AU1083" s="2">
        <v>7240.5562313851597</v>
      </c>
      <c r="AV1083" s="2">
        <v>1656.94392594172</v>
      </c>
      <c r="AW1083" s="2">
        <v>1703.02749665944</v>
      </c>
      <c r="AX1083" s="2">
        <v>6724.2290237664201</v>
      </c>
    </row>
    <row r="1084" spans="1:50" x14ac:dyDescent="0.25">
      <c r="A1084" s="2" t="s">
        <v>7573</v>
      </c>
      <c r="B1084" s="2">
        <v>432.29479324582599</v>
      </c>
      <c r="C1084" s="2">
        <v>8.5796666666666699</v>
      </c>
      <c r="D1084" s="2" t="s">
        <v>51</v>
      </c>
      <c r="E1084" s="2" t="s">
        <v>7574</v>
      </c>
      <c r="F1084" s="2">
        <v>39005</v>
      </c>
      <c r="G1084" s="3" t="str">
        <f>HYPERLINK("https://cloud.oebiotech.com/#/lm/network/39005", "https://cloud.oebiotech.com/#/lm/network/39005")</f>
        <v>https://cloud.oebiotech.com/#/lm/network/39005</v>
      </c>
      <c r="H1084" s="2"/>
      <c r="I1084" s="2">
        <v>53963</v>
      </c>
      <c r="J1084" s="2" t="s">
        <v>7575</v>
      </c>
      <c r="K1084" s="2">
        <v>42608379</v>
      </c>
      <c r="L1084" s="2"/>
      <c r="M1084" s="2"/>
      <c r="N1084" s="2"/>
      <c r="O1084" s="2"/>
      <c r="P1084" s="2"/>
      <c r="Q1084" s="2"/>
      <c r="R1084" s="2"/>
      <c r="S1084" s="2" t="s">
        <v>7576</v>
      </c>
      <c r="T1084" s="2" t="s">
        <v>7577</v>
      </c>
      <c r="U1084" s="2" t="s">
        <v>56</v>
      </c>
      <c r="V1084" s="2" t="s">
        <v>145</v>
      </c>
      <c r="W1084" s="2" t="s">
        <v>231</v>
      </c>
      <c r="X1084" s="2" t="s">
        <v>147</v>
      </c>
      <c r="Y1084" s="2">
        <v>42.9</v>
      </c>
      <c r="Z1084" s="2">
        <v>22</v>
      </c>
      <c r="AA1084" s="2" t="s">
        <v>259</v>
      </c>
      <c r="AB1084" s="2" t="s">
        <v>7578</v>
      </c>
      <c r="AC1084" s="2">
        <v>-1.8220822575828499</v>
      </c>
      <c r="AD1084" s="2"/>
      <c r="AE1084" s="2">
        <v>0.56562867847904796</v>
      </c>
      <c r="AF1084" s="2">
        <v>36335.150286010998</v>
      </c>
      <c r="AG1084" s="2">
        <v>43646.139222473299</v>
      </c>
      <c r="AH1084" s="4">
        <v>0.832494028871678</v>
      </c>
      <c r="AI1084" s="4">
        <v>-0.26448817050900297</v>
      </c>
      <c r="AJ1084" s="4" t="s">
        <v>62</v>
      </c>
      <c r="AK1084" s="2">
        <v>4.3132658213772303E-2</v>
      </c>
      <c r="AL1084" s="2">
        <v>0.29570276191127698</v>
      </c>
      <c r="AM1084" s="2">
        <v>31516.5839382185</v>
      </c>
      <c r="AN1084" s="2">
        <v>41321.436157128301</v>
      </c>
      <c r="AO1084" s="2">
        <v>37921.271776084599</v>
      </c>
      <c r="AP1084" s="2">
        <v>40974.023076701102</v>
      </c>
      <c r="AQ1084" s="2">
        <v>35525.7369862224</v>
      </c>
      <c r="AR1084" s="2">
        <v>30751.849781711</v>
      </c>
      <c r="AS1084" s="2">
        <v>51619.067287249003</v>
      </c>
      <c r="AT1084" s="2">
        <v>40993.020313851703</v>
      </c>
      <c r="AU1084" s="2">
        <v>33399.419000738701</v>
      </c>
      <c r="AV1084" s="2">
        <v>44005.7620846891</v>
      </c>
      <c r="AW1084" s="2">
        <v>48060.492792366596</v>
      </c>
      <c r="AX1084" s="2">
        <v>43799.073855944698</v>
      </c>
    </row>
    <row r="1085" spans="1:50" x14ac:dyDescent="0.25">
      <c r="A1085" s="2" t="s">
        <v>7579</v>
      </c>
      <c r="B1085" s="2">
        <v>467.37451639770001</v>
      </c>
      <c r="C1085" s="2">
        <v>13.1795666666667</v>
      </c>
      <c r="D1085" s="2" t="s">
        <v>51</v>
      </c>
      <c r="E1085" s="2" t="s">
        <v>7580</v>
      </c>
      <c r="F1085" s="2">
        <v>2286</v>
      </c>
      <c r="G1085" s="3" t="str">
        <f>HYPERLINK("https://cloud.oebiotech.com/#/lm/network/2286", "https://cloud.oebiotech.com/#/lm/network/2286")</f>
        <v>https://cloud.oebiotech.com/#/lm/network/2286</v>
      </c>
      <c r="H1085" s="2"/>
      <c r="I1085" s="2"/>
      <c r="J1085" s="2" t="s">
        <v>7581</v>
      </c>
      <c r="K1085" s="2">
        <v>23427167</v>
      </c>
      <c r="L1085" s="2"/>
      <c r="M1085" s="2"/>
      <c r="N1085" s="2"/>
      <c r="O1085" s="2"/>
      <c r="P1085" s="2"/>
      <c r="Q1085" s="2"/>
      <c r="R1085" s="2"/>
      <c r="S1085" s="2" t="s">
        <v>7582</v>
      </c>
      <c r="T1085" s="2" t="s">
        <v>7583</v>
      </c>
      <c r="U1085" s="2" t="s">
        <v>56</v>
      </c>
      <c r="V1085" s="2" t="s">
        <v>145</v>
      </c>
      <c r="W1085" s="2" t="s">
        <v>231</v>
      </c>
      <c r="X1085" s="2" t="s">
        <v>59</v>
      </c>
      <c r="Y1085" s="2">
        <v>51.8</v>
      </c>
      <c r="Z1085" s="2">
        <v>61.4</v>
      </c>
      <c r="AA1085" s="2" t="s">
        <v>218</v>
      </c>
      <c r="AB1085" s="2" t="s">
        <v>7584</v>
      </c>
      <c r="AC1085" s="2">
        <v>0.75303881628535896</v>
      </c>
      <c r="AD1085" s="2"/>
      <c r="AE1085" s="2">
        <v>0.56531364242431703</v>
      </c>
      <c r="AF1085" s="2">
        <v>130540.33611342699</v>
      </c>
      <c r="AG1085" s="2">
        <v>104797.714590127</v>
      </c>
      <c r="AH1085" s="5">
        <v>1.2456410583377899</v>
      </c>
      <c r="AI1085" s="5">
        <v>0.31688840386811401</v>
      </c>
      <c r="AJ1085" s="5" t="s">
        <v>139</v>
      </c>
      <c r="AK1085" s="2">
        <v>0.31646910220851998</v>
      </c>
      <c r="AL1085" s="2">
        <v>0.62484349118312199</v>
      </c>
      <c r="AM1085" s="2">
        <v>101997.944212469</v>
      </c>
      <c r="AN1085" s="2">
        <v>130476.565443354</v>
      </c>
      <c r="AO1085" s="2">
        <v>111938.432094353</v>
      </c>
      <c r="AP1085" s="2">
        <v>151515.76385138501</v>
      </c>
      <c r="AQ1085" s="2">
        <v>193566.204981285</v>
      </c>
      <c r="AR1085" s="2">
        <v>93747.106097717595</v>
      </c>
      <c r="AS1085" s="2">
        <v>81183.361260890801</v>
      </c>
      <c r="AT1085" s="2">
        <v>139310.110850008</v>
      </c>
      <c r="AU1085" s="2">
        <v>51021.9383729978</v>
      </c>
      <c r="AV1085" s="2">
        <v>57705.455404788197</v>
      </c>
      <c r="AW1085" s="2">
        <v>154613.20240604301</v>
      </c>
      <c r="AX1085" s="2">
        <v>144952.21924603399</v>
      </c>
    </row>
    <row r="1086" spans="1:50" x14ac:dyDescent="0.25">
      <c r="A1086" s="2" t="s">
        <v>7585</v>
      </c>
      <c r="B1086" s="2">
        <v>550.24614047795603</v>
      </c>
      <c r="C1086" s="2">
        <v>7.3748833333333303</v>
      </c>
      <c r="D1086" s="2" t="s">
        <v>51</v>
      </c>
      <c r="E1086" s="2" t="s">
        <v>7586</v>
      </c>
      <c r="F1086" s="2">
        <v>82501</v>
      </c>
      <c r="G1086" s="3" t="str">
        <f>HYPERLINK("https://cloud.oebiotech.com/#/lm/network/82501", "https://cloud.oebiotech.com/#/lm/network/82501")</f>
        <v>https://cloud.oebiotech.com/#/lm/network/82501</v>
      </c>
      <c r="H1086" s="2" t="s">
        <v>7587</v>
      </c>
      <c r="I1086" s="2"/>
      <c r="J1086" s="2"/>
      <c r="K1086" s="2">
        <v>131769920</v>
      </c>
      <c r="L1086" s="2"/>
      <c r="M1086" s="2"/>
      <c r="N1086" s="2"/>
      <c r="O1086" s="2"/>
      <c r="P1086" s="2"/>
      <c r="Q1086" s="2"/>
      <c r="R1086" s="2"/>
      <c r="S1086" s="2" t="s">
        <v>7588</v>
      </c>
      <c r="T1086" s="2" t="s">
        <v>7589</v>
      </c>
      <c r="U1086" s="2" t="s">
        <v>540</v>
      </c>
      <c r="V1086" s="2" t="s">
        <v>7590</v>
      </c>
      <c r="W1086" s="2" t="s">
        <v>7591</v>
      </c>
      <c r="X1086" s="2" t="s">
        <v>147</v>
      </c>
      <c r="Y1086" s="2">
        <v>45.2</v>
      </c>
      <c r="Z1086" s="2">
        <v>38.1</v>
      </c>
      <c r="AA1086" s="2" t="s">
        <v>163</v>
      </c>
      <c r="AB1086" s="2" t="s">
        <v>7592</v>
      </c>
      <c r="AC1086" s="2">
        <v>2.7206473843314498</v>
      </c>
      <c r="AD1086" s="2"/>
      <c r="AE1086" s="2">
        <v>0.56430274698217997</v>
      </c>
      <c r="AF1086" s="2">
        <v>5282.97562106041</v>
      </c>
      <c r="AG1086" s="2">
        <v>15015.423462340201</v>
      </c>
      <c r="AH1086" s="4">
        <v>0.35183660549504198</v>
      </c>
      <c r="AI1086" s="4">
        <v>-1.50702250457654</v>
      </c>
      <c r="AJ1086" s="4" t="s">
        <v>62</v>
      </c>
      <c r="AK1086" s="2">
        <v>0.18055380685317701</v>
      </c>
      <c r="AL1086" s="2">
        <v>0.50362421935593504</v>
      </c>
      <c r="AM1086" s="2">
        <v>8.559877937157E-6</v>
      </c>
      <c r="AN1086" s="2">
        <v>9334.5160648271594</v>
      </c>
      <c r="AO1086" s="2">
        <v>1192.00454350322</v>
      </c>
      <c r="AP1086" s="2">
        <v>20580.981900747902</v>
      </c>
      <c r="AQ1086" s="2">
        <v>8.559877937157E-6</v>
      </c>
      <c r="AR1086" s="2">
        <v>590.35120016440101</v>
      </c>
      <c r="AS1086" s="2">
        <v>2790.13158241983</v>
      </c>
      <c r="AT1086" s="2">
        <v>6179.6972524631401</v>
      </c>
      <c r="AU1086" s="2">
        <v>13175.2526572182</v>
      </c>
      <c r="AV1086" s="2">
        <v>32110.519575043701</v>
      </c>
      <c r="AW1086" s="2">
        <v>33510.125074732598</v>
      </c>
      <c r="AX1086" s="2">
        <v>2326.8146321639801</v>
      </c>
    </row>
    <row r="1087" spans="1:50" x14ac:dyDescent="0.25">
      <c r="A1087" s="2" t="s">
        <v>7593</v>
      </c>
      <c r="B1087" s="2">
        <v>351.14515406600202</v>
      </c>
      <c r="C1087" s="2">
        <v>6.6691500000000001</v>
      </c>
      <c r="D1087" s="2" t="s">
        <v>51</v>
      </c>
      <c r="E1087" s="2" t="s">
        <v>7594</v>
      </c>
      <c r="F1087" s="2">
        <v>59621</v>
      </c>
      <c r="G1087" s="3" t="str">
        <f>HYPERLINK("https://cloud.oebiotech.com/#/lm/network/59621", "https://cloud.oebiotech.com/#/lm/network/59621")</f>
        <v>https://cloud.oebiotech.com/#/lm/network/59621</v>
      </c>
      <c r="H1087" s="2" t="s">
        <v>7595</v>
      </c>
      <c r="I1087" s="2">
        <v>91020</v>
      </c>
      <c r="J1087" s="2"/>
      <c r="K1087" s="2">
        <v>20839779</v>
      </c>
      <c r="L1087" s="2"/>
      <c r="M1087" s="2"/>
      <c r="N1087" s="2"/>
      <c r="O1087" s="2">
        <v>172533</v>
      </c>
      <c r="P1087" s="2"/>
      <c r="Q1087" s="2"/>
      <c r="R1087" s="2" t="s">
        <v>7596</v>
      </c>
      <c r="S1087" s="2" t="s">
        <v>7597</v>
      </c>
      <c r="T1087" s="2" t="s">
        <v>7598</v>
      </c>
      <c r="U1087" s="2" t="s">
        <v>56</v>
      </c>
      <c r="V1087" s="2" t="s">
        <v>177</v>
      </c>
      <c r="W1087" s="2" t="s">
        <v>1996</v>
      </c>
      <c r="X1087" s="2" t="s">
        <v>147</v>
      </c>
      <c r="Y1087" s="2">
        <v>41.2</v>
      </c>
      <c r="Z1087" s="2">
        <v>11.8</v>
      </c>
      <c r="AA1087" s="2" t="s">
        <v>241</v>
      </c>
      <c r="AB1087" s="2" t="s">
        <v>7599</v>
      </c>
      <c r="AC1087" s="2">
        <v>0.74275712854684195</v>
      </c>
      <c r="AD1087" s="2"/>
      <c r="AE1087" s="2">
        <v>0.56347723227998403</v>
      </c>
      <c r="AF1087" s="2">
        <v>3064.8738327408901</v>
      </c>
      <c r="AG1087" s="2">
        <v>13523.5686553791</v>
      </c>
      <c r="AH1087" s="4">
        <v>0.22663203114821401</v>
      </c>
      <c r="AI1087" s="4">
        <v>-2.1415763153137202</v>
      </c>
      <c r="AJ1087" s="4" t="s">
        <v>62</v>
      </c>
      <c r="AK1087" s="2">
        <v>0.12975574276868301</v>
      </c>
      <c r="AL1087" s="2">
        <v>0.44843954713391498</v>
      </c>
      <c r="AM1087" s="2">
        <v>4559.61686894377</v>
      </c>
      <c r="AN1087" s="2">
        <v>1052.72717782786</v>
      </c>
      <c r="AO1087" s="2">
        <v>3826.2122434450498</v>
      </c>
      <c r="AP1087" s="2">
        <v>8.559877937157E-6</v>
      </c>
      <c r="AQ1087" s="2">
        <v>1838.5076582914</v>
      </c>
      <c r="AR1087" s="2">
        <v>7112.1790393774099</v>
      </c>
      <c r="AS1087" s="2">
        <v>4640.0156328463199</v>
      </c>
      <c r="AT1087" s="2">
        <v>4051.2930355901899</v>
      </c>
      <c r="AU1087" s="2">
        <v>10257.873557806801</v>
      </c>
      <c r="AV1087" s="2">
        <v>41730.942306945202</v>
      </c>
      <c r="AW1087" s="2">
        <v>19534.696680830901</v>
      </c>
      <c r="AX1087" s="2">
        <v>926.590718255468</v>
      </c>
    </row>
    <row r="1088" spans="1:50" x14ac:dyDescent="0.25">
      <c r="A1088" s="2" t="s">
        <v>7600</v>
      </c>
      <c r="B1088" s="2">
        <v>453.25087420188601</v>
      </c>
      <c r="C1088" s="2">
        <v>7.5713999999999997</v>
      </c>
      <c r="D1088" s="2" t="s">
        <v>51</v>
      </c>
      <c r="E1088" s="2" t="s">
        <v>7601</v>
      </c>
      <c r="F1088" s="2">
        <v>18551</v>
      </c>
      <c r="G1088" s="3" t="str">
        <f>HYPERLINK("https://cloud.oebiotech.com/#/lm/network/18551", "https://cloud.oebiotech.com/#/lm/network/18551")</f>
        <v>https://cloud.oebiotech.com/#/lm/network/18551</v>
      </c>
      <c r="H1088" s="2"/>
      <c r="I1088" s="2">
        <v>39963</v>
      </c>
      <c r="J1088" s="2" t="s">
        <v>7602</v>
      </c>
      <c r="K1088" s="2">
        <v>10072611</v>
      </c>
      <c r="L1088" s="2"/>
      <c r="M1088" s="2"/>
      <c r="N1088" s="2"/>
      <c r="O1088" s="2">
        <v>138194</v>
      </c>
      <c r="P1088" s="2"/>
      <c r="Q1088" s="2"/>
      <c r="R1088" s="2"/>
      <c r="S1088" s="2" t="s">
        <v>7603</v>
      </c>
      <c r="T1088" s="2" t="s">
        <v>7604</v>
      </c>
      <c r="U1088" s="2" t="s">
        <v>56</v>
      </c>
      <c r="V1088" s="2" t="s">
        <v>57</v>
      </c>
      <c r="W1088" s="2" t="s">
        <v>58</v>
      </c>
      <c r="X1088" s="2" t="s">
        <v>147</v>
      </c>
      <c r="Y1088" s="2">
        <v>38</v>
      </c>
      <c r="Z1088" s="2">
        <v>0</v>
      </c>
      <c r="AA1088" s="2" t="s">
        <v>122</v>
      </c>
      <c r="AB1088" s="2" t="s">
        <v>7605</v>
      </c>
      <c r="AC1088" s="2">
        <v>3.79532491412419</v>
      </c>
      <c r="AD1088" s="2"/>
      <c r="AE1088" s="2">
        <v>0.56321375237543603</v>
      </c>
      <c r="AF1088" s="2">
        <v>7642.8457418858397</v>
      </c>
      <c r="AG1088" s="2">
        <v>1480.39252456791</v>
      </c>
      <c r="AH1088" s="5">
        <v>5.1627157088736304</v>
      </c>
      <c r="AI1088" s="5">
        <v>2.3681301565554902</v>
      </c>
      <c r="AJ1088" s="5" t="s">
        <v>139</v>
      </c>
      <c r="AK1088" s="2">
        <v>2.447630662113E-3</v>
      </c>
      <c r="AL1088" s="2">
        <v>0.103060874049396</v>
      </c>
      <c r="AM1088" s="2">
        <v>10485.9580413269</v>
      </c>
      <c r="AN1088" s="2">
        <v>9851.8084727985297</v>
      </c>
      <c r="AO1088" s="2">
        <v>9158.4961387337098</v>
      </c>
      <c r="AP1088" s="2">
        <v>7549.7040316069597</v>
      </c>
      <c r="AQ1088" s="2">
        <v>8102.1123882685497</v>
      </c>
      <c r="AR1088" s="2">
        <v>708.99537858040799</v>
      </c>
      <c r="AS1088" s="2">
        <v>567.430011432323</v>
      </c>
      <c r="AT1088" s="2">
        <v>2652.5525636232701</v>
      </c>
      <c r="AU1088" s="2">
        <v>809.09094614616799</v>
      </c>
      <c r="AV1088" s="2">
        <v>1220.2816886169301</v>
      </c>
      <c r="AW1088" s="2">
        <v>389.91983476134601</v>
      </c>
      <c r="AX1088" s="2">
        <v>3243.08010282743</v>
      </c>
    </row>
    <row r="1089" spans="1:50" x14ac:dyDescent="0.25">
      <c r="A1089" s="2" t="s">
        <v>7606</v>
      </c>
      <c r="B1089" s="2">
        <v>848.49688731619096</v>
      </c>
      <c r="C1089" s="2">
        <v>10.6119166666667</v>
      </c>
      <c r="D1089" s="2" t="s">
        <v>51</v>
      </c>
      <c r="E1089" s="2" t="s">
        <v>7607</v>
      </c>
      <c r="F1089" s="2">
        <v>59227</v>
      </c>
      <c r="G1089" s="3" t="str">
        <f>HYPERLINK("https://cloud.oebiotech.com/#/lm/network/59227", "https://cloud.oebiotech.com/#/lm/network/59227")</f>
        <v>https://cloud.oebiotech.com/#/lm/network/59227</v>
      </c>
      <c r="H1089" s="2" t="s">
        <v>7608</v>
      </c>
      <c r="I1089" s="2">
        <v>90645</v>
      </c>
      <c r="J1089" s="2"/>
      <c r="K1089" s="2">
        <v>131751716</v>
      </c>
      <c r="L1089" s="2"/>
      <c r="M1089" s="2"/>
      <c r="N1089" s="2"/>
      <c r="O1089" s="2"/>
      <c r="P1089" s="2"/>
      <c r="Q1089" s="2"/>
      <c r="R1089" s="2" t="s">
        <v>7609</v>
      </c>
      <c r="S1089" s="2" t="s">
        <v>7610</v>
      </c>
      <c r="T1089" s="2" t="s">
        <v>7611</v>
      </c>
      <c r="U1089" s="2" t="s">
        <v>56</v>
      </c>
      <c r="V1089" s="2" t="s">
        <v>283</v>
      </c>
      <c r="W1089" s="2" t="s">
        <v>3462</v>
      </c>
      <c r="X1089" s="2" t="s">
        <v>147</v>
      </c>
      <c r="Y1089" s="2">
        <v>36.4</v>
      </c>
      <c r="Z1089" s="2">
        <v>0</v>
      </c>
      <c r="AA1089" s="2" t="s">
        <v>512</v>
      </c>
      <c r="AB1089" s="2" t="s">
        <v>7612</v>
      </c>
      <c r="AC1089" s="2">
        <v>-4.0030177307173904</v>
      </c>
      <c r="AD1089" s="2"/>
      <c r="AE1089" s="2">
        <v>0.56255125275815199</v>
      </c>
      <c r="AF1089" s="2">
        <v>37338.697312994802</v>
      </c>
      <c r="AG1089" s="2">
        <v>25605.353329073801</v>
      </c>
      <c r="AH1089" s="5">
        <v>1.4582379252153601</v>
      </c>
      <c r="AI1089" s="5">
        <v>0.54422612811770499</v>
      </c>
      <c r="AJ1089" s="5" t="s">
        <v>139</v>
      </c>
      <c r="AK1089" s="2">
        <v>0.20931778802797499</v>
      </c>
      <c r="AL1089" s="2">
        <v>0.53413913919887801</v>
      </c>
      <c r="AM1089" s="2">
        <v>30840.432707255401</v>
      </c>
      <c r="AN1089" s="2">
        <v>65002.126221072001</v>
      </c>
      <c r="AO1089" s="2">
        <v>37503.041285499203</v>
      </c>
      <c r="AP1089" s="2">
        <v>20389.456250646399</v>
      </c>
      <c r="AQ1089" s="2">
        <v>28026.387009470302</v>
      </c>
      <c r="AR1089" s="2">
        <v>42270.740404025397</v>
      </c>
      <c r="AS1089" s="2">
        <v>20806.515018756301</v>
      </c>
      <c r="AT1089" s="2">
        <v>5469.05032649639</v>
      </c>
      <c r="AU1089" s="2">
        <v>51058.520089670099</v>
      </c>
      <c r="AV1089" s="2">
        <v>25291.434669684098</v>
      </c>
      <c r="AW1089" s="2">
        <v>23106.870528521398</v>
      </c>
      <c r="AX1089" s="2">
        <v>27899.7293413144</v>
      </c>
    </row>
    <row r="1090" spans="1:50" x14ac:dyDescent="0.25">
      <c r="A1090" s="2" t="s">
        <v>7613</v>
      </c>
      <c r="B1090" s="2">
        <v>756.40342428576696</v>
      </c>
      <c r="C1090" s="2">
        <v>4.4428333333333301</v>
      </c>
      <c r="D1090" s="2" t="s">
        <v>51</v>
      </c>
      <c r="E1090" s="2" t="s">
        <v>7614</v>
      </c>
      <c r="F1090" s="2">
        <v>27969</v>
      </c>
      <c r="G1090" s="3" t="str">
        <f>HYPERLINK("https://cloud.oebiotech.com/#/lm/network/27969", "https://cloud.oebiotech.com/#/lm/network/27969")</f>
        <v>https://cloud.oebiotech.com/#/lm/network/27969</v>
      </c>
      <c r="H1090" s="2"/>
      <c r="I1090" s="2"/>
      <c r="J1090" s="2" t="s">
        <v>7615</v>
      </c>
      <c r="K1090" s="2">
        <v>134812416</v>
      </c>
      <c r="L1090" s="2"/>
      <c r="M1090" s="2"/>
      <c r="N1090" s="2"/>
      <c r="O1090" s="2"/>
      <c r="P1090" s="2"/>
      <c r="Q1090" s="2"/>
      <c r="R1090" s="2"/>
      <c r="S1090" s="2" t="s">
        <v>7616</v>
      </c>
      <c r="T1090" s="2" t="s">
        <v>7617</v>
      </c>
      <c r="U1090" s="2" t="s">
        <v>56</v>
      </c>
      <c r="V1090" s="2" t="s">
        <v>57</v>
      </c>
      <c r="W1090" s="2" t="s">
        <v>82</v>
      </c>
      <c r="X1090" s="2" t="s">
        <v>147</v>
      </c>
      <c r="Y1090" s="2">
        <v>36.9</v>
      </c>
      <c r="Z1090" s="2">
        <v>0</v>
      </c>
      <c r="AA1090" s="2" t="s">
        <v>95</v>
      </c>
      <c r="AB1090" s="2" t="s">
        <v>7618</v>
      </c>
      <c r="AC1090" s="2">
        <v>-3.28533086138532</v>
      </c>
      <c r="AD1090" s="2"/>
      <c r="AE1090" s="2">
        <v>0.56241131790109899</v>
      </c>
      <c r="AF1090" s="2">
        <v>10140.313517134</v>
      </c>
      <c r="AG1090" s="2">
        <v>24206.7571667991</v>
      </c>
      <c r="AH1090" s="4">
        <v>0.41890425253003299</v>
      </c>
      <c r="AI1090" s="4">
        <v>-1.2553075650089001</v>
      </c>
      <c r="AJ1090" s="4" t="s">
        <v>62</v>
      </c>
      <c r="AK1090" s="2">
        <v>0.294236375638813</v>
      </c>
      <c r="AL1090" s="2">
        <v>0.60634549190129605</v>
      </c>
      <c r="AM1090" s="2">
        <v>12175.644551555501</v>
      </c>
      <c r="AN1090" s="2">
        <v>18836.6323924141</v>
      </c>
      <c r="AO1090" s="2">
        <v>7972.8575145755003</v>
      </c>
      <c r="AP1090" s="2">
        <v>10615.1798078313</v>
      </c>
      <c r="AQ1090" s="2">
        <v>4354.3865674441904</v>
      </c>
      <c r="AR1090" s="2">
        <v>6887.1802689833603</v>
      </c>
      <c r="AS1090" s="2">
        <v>8.559877937157E-6</v>
      </c>
      <c r="AT1090" s="2">
        <v>8692.0140631812301</v>
      </c>
      <c r="AU1090" s="2">
        <v>3905.9582750293098</v>
      </c>
      <c r="AV1090" s="2">
        <v>7896.5327953045098</v>
      </c>
      <c r="AW1090" s="2">
        <v>74569.891246971398</v>
      </c>
      <c r="AX1090" s="2">
        <v>50176.146611748103</v>
      </c>
    </row>
    <row r="1091" spans="1:50" x14ac:dyDescent="0.25">
      <c r="A1091" s="2" t="s">
        <v>7619</v>
      </c>
      <c r="B1091" s="2">
        <v>463.20808813670902</v>
      </c>
      <c r="C1091" s="2">
        <v>12.363666666666701</v>
      </c>
      <c r="D1091" s="2" t="s">
        <v>51</v>
      </c>
      <c r="E1091" s="2" t="s">
        <v>7620</v>
      </c>
      <c r="F1091" s="2">
        <v>213205</v>
      </c>
      <c r="G1091" s="3" t="str">
        <f>HYPERLINK("https://cloud.oebiotech.com/#/lm/network/213205", "https://cloud.oebiotech.com/#/lm/network/213205")</f>
        <v>https://cloud.oebiotech.com/#/lm/network/213205</v>
      </c>
      <c r="H1091" s="2" t="s">
        <v>7621</v>
      </c>
      <c r="I1091" s="2"/>
      <c r="J1091" s="2"/>
      <c r="K1091" s="2">
        <v>4573889</v>
      </c>
      <c r="L1091" s="2"/>
      <c r="M1091" s="2"/>
      <c r="N1091" s="2"/>
      <c r="O1091" s="2"/>
      <c r="P1091" s="2"/>
      <c r="Q1091" s="2"/>
      <c r="R1091" s="2"/>
      <c r="S1091" s="2" t="s">
        <v>7622</v>
      </c>
      <c r="T1091" s="2" t="s">
        <v>7623</v>
      </c>
      <c r="U1091" s="2" t="s">
        <v>610</v>
      </c>
      <c r="V1091" s="2" t="s">
        <v>4556</v>
      </c>
      <c r="W1091" s="2" t="s">
        <v>240</v>
      </c>
      <c r="X1091" s="2" t="s">
        <v>147</v>
      </c>
      <c r="Y1091" s="2">
        <v>39.1</v>
      </c>
      <c r="Z1091" s="2">
        <v>3.9800000000000002E-2</v>
      </c>
      <c r="AA1091" s="2" t="s">
        <v>218</v>
      </c>
      <c r="AB1091" s="2" t="s">
        <v>7624</v>
      </c>
      <c r="AC1091" s="2">
        <v>-1.1989715401121499</v>
      </c>
      <c r="AD1091" s="2"/>
      <c r="AE1091" s="2">
        <v>0.56155841301796705</v>
      </c>
      <c r="AF1091" s="2">
        <v>13189.5652157028</v>
      </c>
      <c r="AG1091" s="2">
        <v>23092.2428852831</v>
      </c>
      <c r="AH1091" s="4">
        <v>0.57116865092860303</v>
      </c>
      <c r="AI1091" s="4">
        <v>-0.80801129687711304</v>
      </c>
      <c r="AJ1091" s="4" t="s">
        <v>62</v>
      </c>
      <c r="AK1091" s="2">
        <v>8.5684564895938994E-2</v>
      </c>
      <c r="AL1091" s="2">
        <v>0.378105092551277</v>
      </c>
      <c r="AM1091" s="2">
        <v>21609.947992560399</v>
      </c>
      <c r="AN1091" s="2">
        <v>9764.2923452909708</v>
      </c>
      <c r="AO1091" s="2">
        <v>10727.6348013844</v>
      </c>
      <c r="AP1091" s="2">
        <v>11396.584463516099</v>
      </c>
      <c r="AQ1091" s="2">
        <v>12750.7001430213</v>
      </c>
      <c r="AR1091" s="2">
        <v>12888.2315484435</v>
      </c>
      <c r="AS1091" s="2">
        <v>12347.311466802599</v>
      </c>
      <c r="AT1091" s="2">
        <v>13339.7031137834</v>
      </c>
      <c r="AU1091" s="2">
        <v>14521.342998944499</v>
      </c>
      <c r="AV1091" s="2">
        <v>26161.3193410071</v>
      </c>
      <c r="AW1091" s="2">
        <v>42636.943525181297</v>
      </c>
      <c r="AX1091" s="2">
        <v>29546.836865979702</v>
      </c>
    </row>
    <row r="1092" spans="1:50" x14ac:dyDescent="0.25">
      <c r="A1092" s="2" t="s">
        <v>7625</v>
      </c>
      <c r="B1092" s="2">
        <v>596.32118166310397</v>
      </c>
      <c r="C1092" s="2">
        <v>8.7692833333333304</v>
      </c>
      <c r="D1092" s="2" t="s">
        <v>51</v>
      </c>
      <c r="E1092" s="2" t="s">
        <v>7626</v>
      </c>
      <c r="F1092" s="2">
        <v>28117</v>
      </c>
      <c r="G1092" s="3" t="str">
        <f>HYPERLINK("https://cloud.oebiotech.com/#/lm/network/28117", "https://cloud.oebiotech.com/#/lm/network/28117")</f>
        <v>https://cloud.oebiotech.com/#/lm/network/28117</v>
      </c>
      <c r="H1092" s="2"/>
      <c r="I1092" s="2"/>
      <c r="J1092" s="2" t="s">
        <v>7627</v>
      </c>
      <c r="K1092" s="2"/>
      <c r="L1092" s="2"/>
      <c r="M1092" s="2"/>
      <c r="N1092" s="2"/>
      <c r="O1092" s="2"/>
      <c r="P1092" s="2"/>
      <c r="Q1092" s="2"/>
      <c r="R1092" s="2"/>
      <c r="S1092" s="2" t="s">
        <v>7628</v>
      </c>
      <c r="T1092" s="2" t="s">
        <v>7629</v>
      </c>
      <c r="U1092" s="2" t="s">
        <v>331</v>
      </c>
      <c r="V1092" s="2" t="s">
        <v>332</v>
      </c>
      <c r="W1092" s="2" t="s">
        <v>333</v>
      </c>
      <c r="X1092" s="2" t="s">
        <v>69</v>
      </c>
      <c r="Y1092" s="2">
        <v>60.3</v>
      </c>
      <c r="Z1092" s="2">
        <v>96.6</v>
      </c>
      <c r="AA1092" s="2" t="s">
        <v>379</v>
      </c>
      <c r="AB1092" s="2" t="s">
        <v>7630</v>
      </c>
      <c r="AC1092" s="2">
        <v>1.07255104400263</v>
      </c>
      <c r="AD1092" s="2"/>
      <c r="AE1092" s="2">
        <v>0.56103022318527995</v>
      </c>
      <c r="AF1092" s="2">
        <v>23829.653819343501</v>
      </c>
      <c r="AG1092" s="2">
        <v>13126.738610860601</v>
      </c>
      <c r="AH1092" s="5">
        <v>1.81535220025084</v>
      </c>
      <c r="AI1092" s="5">
        <v>0.86024947563790499</v>
      </c>
      <c r="AJ1092" s="5" t="s">
        <v>139</v>
      </c>
      <c r="AK1092" s="2">
        <v>8.9617027248236697E-2</v>
      </c>
      <c r="AL1092" s="2">
        <v>0.38443373610750098</v>
      </c>
      <c r="AM1092" s="2">
        <v>23015.114917156501</v>
      </c>
      <c r="AN1092" s="2">
        <v>26766.345278914199</v>
      </c>
      <c r="AO1092" s="2">
        <v>38501.784084778999</v>
      </c>
      <c r="AP1092" s="2">
        <v>14859.0701209416</v>
      </c>
      <c r="AQ1092" s="2">
        <v>11785.407367850499</v>
      </c>
      <c r="AR1092" s="2">
        <v>28050.2011464194</v>
      </c>
      <c r="AS1092" s="2">
        <v>28622.576537702898</v>
      </c>
      <c r="AT1092" s="2">
        <v>3185.0727550636002</v>
      </c>
      <c r="AU1092" s="2">
        <v>13270.4873664555</v>
      </c>
      <c r="AV1092" s="2">
        <v>8600.9464951303507</v>
      </c>
      <c r="AW1092" s="2">
        <v>4028.29979396213</v>
      </c>
      <c r="AX1092" s="2">
        <v>21053.0487168492</v>
      </c>
    </row>
    <row r="1093" spans="1:50" x14ac:dyDescent="0.25">
      <c r="A1093" s="2" t="s">
        <v>7631</v>
      </c>
      <c r="B1093" s="2">
        <v>374.25497049776902</v>
      </c>
      <c r="C1093" s="2">
        <v>6.0965999999999996</v>
      </c>
      <c r="D1093" s="2" t="s">
        <v>51</v>
      </c>
      <c r="E1093" s="2" t="s">
        <v>7632</v>
      </c>
      <c r="F1093" s="2">
        <v>8328</v>
      </c>
      <c r="G1093" s="3" t="str">
        <f>HYPERLINK("https://cloud.oebiotech.com/#/lm/network/8328", "https://cloud.oebiotech.com/#/lm/network/8328")</f>
        <v>https://cloud.oebiotech.com/#/lm/network/8328</v>
      </c>
      <c r="H1093" s="2" t="s">
        <v>7633</v>
      </c>
      <c r="I1093" s="2">
        <v>58362</v>
      </c>
      <c r="J1093" s="2" t="s">
        <v>7634</v>
      </c>
      <c r="K1093" s="2">
        <v>53477801</v>
      </c>
      <c r="L1093" s="2"/>
      <c r="M1093" s="2"/>
      <c r="N1093" s="2"/>
      <c r="O1093" s="2">
        <v>63874</v>
      </c>
      <c r="P1093" s="2" t="s">
        <v>7635</v>
      </c>
      <c r="Q1093" s="2" t="s">
        <v>7636</v>
      </c>
      <c r="R1093" s="2"/>
      <c r="S1093" s="2" t="s">
        <v>7637</v>
      </c>
      <c r="T1093" s="2" t="s">
        <v>7638</v>
      </c>
      <c r="U1093" s="2" t="s">
        <v>56</v>
      </c>
      <c r="V1093" s="2" t="s">
        <v>145</v>
      </c>
      <c r="W1093" s="2" t="s">
        <v>1188</v>
      </c>
      <c r="X1093" s="2" t="s">
        <v>147</v>
      </c>
      <c r="Y1093" s="2">
        <v>39</v>
      </c>
      <c r="Z1093" s="2">
        <v>0</v>
      </c>
      <c r="AA1093" s="2" t="s">
        <v>218</v>
      </c>
      <c r="AB1093" s="2" t="s">
        <v>7639</v>
      </c>
      <c r="AC1093" s="2">
        <v>0.48297368979995298</v>
      </c>
      <c r="AD1093" s="2"/>
      <c r="AE1093" s="2">
        <v>0.56093438516002503</v>
      </c>
      <c r="AF1093" s="2">
        <v>21124.4780452331</v>
      </c>
      <c r="AG1093" s="2">
        <v>3383.1301145538</v>
      </c>
      <c r="AH1093" s="5">
        <v>6.2440631397409998</v>
      </c>
      <c r="AI1093" s="5">
        <v>2.6424851258697402</v>
      </c>
      <c r="AJ1093" s="5" t="s">
        <v>139</v>
      </c>
      <c r="AK1093" s="2">
        <v>0.26733252223061599</v>
      </c>
      <c r="AL1093" s="2">
        <v>0.58823162872384205</v>
      </c>
      <c r="AM1093" s="2">
        <v>8.559877937157E-6</v>
      </c>
      <c r="AN1093" s="2">
        <v>8.559877937157E-6</v>
      </c>
      <c r="AO1093" s="2">
        <v>37833.181643554002</v>
      </c>
      <c r="AP1093" s="2">
        <v>8.559877937157E-6</v>
      </c>
      <c r="AQ1093" s="2">
        <v>88182.425625604999</v>
      </c>
      <c r="AR1093" s="2">
        <v>731.260976560112</v>
      </c>
      <c r="AS1093" s="2">
        <v>792.18949736267996</v>
      </c>
      <c r="AT1093" s="2">
        <v>8.559877937157E-6</v>
      </c>
      <c r="AU1093" s="2">
        <v>19506.591155720602</v>
      </c>
      <c r="AV1093" s="2">
        <v>8.559877937157E-6</v>
      </c>
      <c r="AW1093" s="2">
        <v>8.559877937157E-6</v>
      </c>
      <c r="AX1093" s="2">
        <v>8.559877937157E-6</v>
      </c>
    </row>
    <row r="1094" spans="1:50" x14ac:dyDescent="0.25">
      <c r="A1094" s="2" t="s">
        <v>7640</v>
      </c>
      <c r="B1094" s="2">
        <v>310.11416961672398</v>
      </c>
      <c r="C1094" s="2">
        <v>0.69773333333333298</v>
      </c>
      <c r="D1094" s="2" t="s">
        <v>51</v>
      </c>
      <c r="E1094" s="2" t="s">
        <v>7641</v>
      </c>
      <c r="F1094" s="2">
        <v>46946</v>
      </c>
      <c r="G1094" s="3" t="str">
        <f>HYPERLINK("https://cloud.oebiotech.com/#/lm/network/46946", "https://cloud.oebiotech.com/#/lm/network/46946")</f>
        <v>https://cloud.oebiotech.com/#/lm/network/46946</v>
      </c>
      <c r="H1094" s="2" t="s">
        <v>7642</v>
      </c>
      <c r="I1094" s="2"/>
      <c r="J1094" s="2"/>
      <c r="K1094" s="2">
        <v>445063</v>
      </c>
      <c r="L1094" s="2" t="s">
        <v>7643</v>
      </c>
      <c r="M1094" s="2"/>
      <c r="N1094" s="2"/>
      <c r="O1094" s="2">
        <v>45744</v>
      </c>
      <c r="P1094" s="2"/>
      <c r="Q1094" s="2"/>
      <c r="R1094" s="2" t="s">
        <v>7644</v>
      </c>
      <c r="S1094" s="2" t="s">
        <v>7645</v>
      </c>
      <c r="T1094" s="2" t="s">
        <v>7646</v>
      </c>
      <c r="U1094" s="2" t="s">
        <v>331</v>
      </c>
      <c r="V1094" s="2" t="s">
        <v>332</v>
      </c>
      <c r="W1094" s="2" t="s">
        <v>333</v>
      </c>
      <c r="X1094" s="2" t="s">
        <v>69</v>
      </c>
      <c r="Y1094" s="2">
        <v>49.5</v>
      </c>
      <c r="Z1094" s="2">
        <v>55.3</v>
      </c>
      <c r="AA1094" s="2" t="s">
        <v>259</v>
      </c>
      <c r="AB1094" s="2" t="s">
        <v>7647</v>
      </c>
      <c r="AC1094" s="2">
        <v>2.9504267436284199</v>
      </c>
      <c r="AD1094" s="2"/>
      <c r="AE1094" s="2">
        <v>0.56080663869506697</v>
      </c>
      <c r="AF1094" s="2">
        <v>14919.836491364</v>
      </c>
      <c r="AG1094" s="2">
        <v>25934.135191765999</v>
      </c>
      <c r="AH1094" s="4">
        <v>0.57529724361508805</v>
      </c>
      <c r="AI1094" s="4">
        <v>-0.79762053694118695</v>
      </c>
      <c r="AJ1094" s="4" t="s">
        <v>62</v>
      </c>
      <c r="AK1094" s="2">
        <v>0.152199512431721</v>
      </c>
      <c r="AL1094" s="2">
        <v>0.47358936336851498</v>
      </c>
      <c r="AM1094" s="2">
        <v>676.80581410672403</v>
      </c>
      <c r="AN1094" s="2">
        <v>39711.470452534602</v>
      </c>
      <c r="AO1094" s="2">
        <v>11768.7486172468</v>
      </c>
      <c r="AP1094" s="2">
        <v>6710.21148736126</v>
      </c>
      <c r="AQ1094" s="2">
        <v>12191.543122753699</v>
      </c>
      <c r="AR1094" s="2">
        <v>18460.239454181199</v>
      </c>
      <c r="AS1094" s="2">
        <v>35518.185939663897</v>
      </c>
      <c r="AT1094" s="2">
        <v>31130.414469580701</v>
      </c>
      <c r="AU1094" s="2">
        <v>6096.8715747679298</v>
      </c>
      <c r="AV1094" s="2">
        <v>32737.582444555701</v>
      </c>
      <c r="AW1094" s="2">
        <v>20589.072457363902</v>
      </c>
      <c r="AX1094" s="2">
        <v>29532.684264663902</v>
      </c>
    </row>
    <row r="1095" spans="1:50" x14ac:dyDescent="0.25">
      <c r="A1095" s="2" t="s">
        <v>7648</v>
      </c>
      <c r="B1095" s="2">
        <v>374.13230311506601</v>
      </c>
      <c r="C1095" s="2">
        <v>13.3257833333333</v>
      </c>
      <c r="D1095" s="2" t="s">
        <v>51</v>
      </c>
      <c r="E1095" s="2" t="s">
        <v>7649</v>
      </c>
      <c r="F1095" s="2">
        <v>52849</v>
      </c>
      <c r="G1095" s="3" t="str">
        <f>HYPERLINK("https://cloud.oebiotech.com/#/lm/network/52849", "https://cloud.oebiotech.com/#/lm/network/52849")</f>
        <v>https://cloud.oebiotech.com/#/lm/network/52849</v>
      </c>
      <c r="H1095" s="2" t="s">
        <v>7650</v>
      </c>
      <c r="I1095" s="2">
        <v>3157</v>
      </c>
      <c r="J1095" s="2"/>
      <c r="K1095" s="2">
        <v>3559</v>
      </c>
      <c r="L1095" s="2" t="s">
        <v>7651</v>
      </c>
      <c r="M1095" s="2"/>
      <c r="N1095" s="2"/>
      <c r="O1095" s="2">
        <v>5613</v>
      </c>
      <c r="P1095" s="2"/>
      <c r="Q1095" s="2"/>
      <c r="R1095" s="2" t="s">
        <v>7652</v>
      </c>
      <c r="S1095" s="2" t="s">
        <v>7653</v>
      </c>
      <c r="T1095" s="2" t="s">
        <v>7654</v>
      </c>
      <c r="U1095" s="2" t="s">
        <v>331</v>
      </c>
      <c r="V1095" s="2" t="s">
        <v>332</v>
      </c>
      <c r="W1095" s="2" t="s">
        <v>1207</v>
      </c>
      <c r="X1095" s="2" t="s">
        <v>147</v>
      </c>
      <c r="Y1095" s="2">
        <v>46.5</v>
      </c>
      <c r="Z1095" s="2">
        <v>37.4</v>
      </c>
      <c r="AA1095" s="2" t="s">
        <v>163</v>
      </c>
      <c r="AB1095" s="2" t="s">
        <v>7655</v>
      </c>
      <c r="AC1095" s="2">
        <v>-1.48039202535145</v>
      </c>
      <c r="AD1095" s="2"/>
      <c r="AE1095" s="2">
        <v>0.55979369323703598</v>
      </c>
      <c r="AF1095" s="2">
        <v>70734.585554281497</v>
      </c>
      <c r="AG1095" s="2">
        <v>62180.211384197799</v>
      </c>
      <c r="AH1095" s="5">
        <v>1.13757389979311</v>
      </c>
      <c r="AI1095" s="5">
        <v>0.18596026962075801</v>
      </c>
      <c r="AJ1095" s="5" t="s">
        <v>139</v>
      </c>
      <c r="AK1095" s="2">
        <v>0.52955840509004903</v>
      </c>
      <c r="AL1095" s="2">
        <v>0.75704027233797699</v>
      </c>
      <c r="AM1095" s="2">
        <v>120049.075827279</v>
      </c>
      <c r="AN1095" s="2">
        <v>67308.385352403799</v>
      </c>
      <c r="AO1095" s="2">
        <v>65383.446359940499</v>
      </c>
      <c r="AP1095" s="2">
        <v>48921.909526029202</v>
      </c>
      <c r="AQ1095" s="2">
        <v>67189.538826502103</v>
      </c>
      <c r="AR1095" s="2">
        <v>55555.157433534303</v>
      </c>
      <c r="AS1095" s="2">
        <v>39714.569286641599</v>
      </c>
      <c r="AT1095" s="2">
        <v>58277.409282890803</v>
      </c>
      <c r="AU1095" s="2">
        <v>96531.059799680996</v>
      </c>
      <c r="AV1095" s="2">
        <v>65075.161037416001</v>
      </c>
      <c r="AW1095" s="2">
        <v>67167.014367701398</v>
      </c>
      <c r="AX1095" s="2">
        <v>46316.054530855799</v>
      </c>
    </row>
    <row r="1096" spans="1:50" x14ac:dyDescent="0.25">
      <c r="A1096" s="2" t="s">
        <v>7656</v>
      </c>
      <c r="B1096" s="2">
        <v>479.106804857621</v>
      </c>
      <c r="C1096" s="2">
        <v>6.9221166666666702</v>
      </c>
      <c r="D1096" s="2" t="s">
        <v>51</v>
      </c>
      <c r="E1096" s="2" t="s">
        <v>7657</v>
      </c>
      <c r="F1096" s="2">
        <v>203993</v>
      </c>
      <c r="G1096" s="3" t="str">
        <f>HYPERLINK("https://cloud.oebiotech.com/#/lm/network/203993", "https://cloud.oebiotech.com/#/lm/network/203993")</f>
        <v>https://cloud.oebiotech.com/#/lm/network/203993</v>
      </c>
      <c r="H1096" s="2" t="s">
        <v>7658</v>
      </c>
      <c r="I1096" s="2">
        <v>44591</v>
      </c>
      <c r="J1096" s="2"/>
      <c r="K1096" s="2">
        <v>2328</v>
      </c>
      <c r="L1096" s="2" t="s">
        <v>7659</v>
      </c>
      <c r="M1096" s="2"/>
      <c r="N1096" s="2"/>
      <c r="O1096" s="2">
        <v>3018</v>
      </c>
      <c r="P1096" s="2"/>
      <c r="Q1096" s="2"/>
      <c r="R1096" s="2" t="s">
        <v>7660</v>
      </c>
      <c r="S1096" s="2" t="s">
        <v>7661</v>
      </c>
      <c r="T1096" s="2" t="s">
        <v>7662</v>
      </c>
      <c r="U1096" s="2" t="s">
        <v>610</v>
      </c>
      <c r="V1096" s="2" t="s">
        <v>240</v>
      </c>
      <c r="W1096" s="2" t="s">
        <v>240</v>
      </c>
      <c r="X1096" s="2" t="s">
        <v>147</v>
      </c>
      <c r="Y1096" s="2">
        <v>36.6</v>
      </c>
      <c r="Z1096" s="2">
        <v>0</v>
      </c>
      <c r="AA1096" s="2" t="s">
        <v>478</v>
      </c>
      <c r="AB1096" s="2" t="s">
        <v>7663</v>
      </c>
      <c r="AC1096" s="2">
        <v>0.73895696251107501</v>
      </c>
      <c r="AD1096" s="2"/>
      <c r="AE1096" s="2">
        <v>0.55952205557577095</v>
      </c>
      <c r="AF1096" s="2">
        <v>30799.150160037902</v>
      </c>
      <c r="AG1096" s="2">
        <v>44005.438865562501</v>
      </c>
      <c r="AH1096" s="4">
        <v>0.69989417113029995</v>
      </c>
      <c r="AI1096" s="4">
        <v>-0.51479130186970801</v>
      </c>
      <c r="AJ1096" s="4" t="s">
        <v>62</v>
      </c>
      <c r="AK1096" s="2">
        <v>0.12221644395624599</v>
      </c>
      <c r="AL1096" s="2">
        <v>0.44002366753683098</v>
      </c>
      <c r="AM1096" s="2">
        <v>32048.089885273301</v>
      </c>
      <c r="AN1096" s="2">
        <v>25589.942283197001</v>
      </c>
      <c r="AO1096" s="2">
        <v>43104.545855598903</v>
      </c>
      <c r="AP1096" s="2">
        <v>3541.0890862936899</v>
      </c>
      <c r="AQ1096" s="2">
        <v>35885.177799757301</v>
      </c>
      <c r="AR1096" s="2">
        <v>44626.0560501074</v>
      </c>
      <c r="AS1096" s="2">
        <v>54919.245684838701</v>
      </c>
      <c r="AT1096" s="2">
        <v>46544.4917023409</v>
      </c>
      <c r="AU1096" s="2">
        <v>34882.416730404802</v>
      </c>
      <c r="AV1096" s="2">
        <v>45013.381416250799</v>
      </c>
      <c r="AW1096" s="2">
        <v>56684.450964187199</v>
      </c>
      <c r="AX1096" s="2">
        <v>25988.6466953524</v>
      </c>
    </row>
    <row r="1097" spans="1:50" x14ac:dyDescent="0.25">
      <c r="A1097" s="2" t="s">
        <v>7664</v>
      </c>
      <c r="B1097" s="2">
        <v>417.15840424284602</v>
      </c>
      <c r="C1097" s="2">
        <v>9.6251166666666705</v>
      </c>
      <c r="D1097" s="2" t="s">
        <v>51</v>
      </c>
      <c r="E1097" s="2" t="s">
        <v>7665</v>
      </c>
      <c r="F1097" s="2">
        <v>274569</v>
      </c>
      <c r="G1097" s="3" t="str">
        <f>HYPERLINK("https://cloud.oebiotech.com/#/lm/network/274569", "https://cloud.oebiotech.com/#/lm/network/274569")</f>
        <v>https://cloud.oebiotech.com/#/lm/network/274569</v>
      </c>
      <c r="H1097" s="2"/>
      <c r="I1097" s="2">
        <v>64640</v>
      </c>
      <c r="J1097" s="2"/>
      <c r="K1097" s="2">
        <v>56463</v>
      </c>
      <c r="L1097" s="2"/>
      <c r="M1097" s="2"/>
      <c r="N1097" s="2"/>
      <c r="O1097" s="2"/>
      <c r="P1097" s="2"/>
      <c r="Q1097" s="2"/>
      <c r="R1097" s="2" t="s">
        <v>7666</v>
      </c>
      <c r="S1097" s="2" t="s">
        <v>7667</v>
      </c>
      <c r="T1097" s="2" t="s">
        <v>7668</v>
      </c>
      <c r="U1097" s="2" t="s">
        <v>266</v>
      </c>
      <c r="V1097" s="2" t="s">
        <v>445</v>
      </c>
      <c r="W1097" s="2" t="s">
        <v>6766</v>
      </c>
      <c r="X1097" s="2" t="s">
        <v>147</v>
      </c>
      <c r="Y1097" s="2">
        <v>37.200000000000003</v>
      </c>
      <c r="Z1097" s="2">
        <v>0</v>
      </c>
      <c r="AA1097" s="2" t="s">
        <v>395</v>
      </c>
      <c r="AB1097" s="2" t="s">
        <v>7669</v>
      </c>
      <c r="AC1097" s="2">
        <v>2.3888795881447198</v>
      </c>
      <c r="AD1097" s="2"/>
      <c r="AE1097" s="2">
        <v>0.558270087881378</v>
      </c>
      <c r="AF1097" s="2">
        <v>14858.806716876299</v>
      </c>
      <c r="AG1097" s="2">
        <v>7154.0440231454204</v>
      </c>
      <c r="AH1097" s="5">
        <v>2.0769800505565299</v>
      </c>
      <c r="AI1097" s="5">
        <v>1.05448735912846</v>
      </c>
      <c r="AJ1097" s="5" t="s">
        <v>139</v>
      </c>
      <c r="AK1097" s="2">
        <v>0.11399946007086099</v>
      </c>
      <c r="AL1097" s="2">
        <v>0.42835315311351202</v>
      </c>
      <c r="AM1097" s="2">
        <v>36409.374930703903</v>
      </c>
      <c r="AN1097" s="2">
        <v>8607.3839557240499</v>
      </c>
      <c r="AO1097" s="2">
        <v>11111.6344152439</v>
      </c>
      <c r="AP1097" s="2">
        <v>11997.8482613175</v>
      </c>
      <c r="AQ1097" s="2">
        <v>9521.0716381123802</v>
      </c>
      <c r="AR1097" s="2">
        <v>11505.527100155799</v>
      </c>
      <c r="AS1097" s="2">
        <v>10764.9041768554</v>
      </c>
      <c r="AT1097" s="2">
        <v>6971.64545233228</v>
      </c>
      <c r="AU1097" s="2">
        <v>8562.4797290581391</v>
      </c>
      <c r="AV1097" s="2">
        <v>5009.5273111145198</v>
      </c>
      <c r="AW1097" s="2">
        <v>7407.3567184940002</v>
      </c>
      <c r="AX1097" s="2">
        <v>4208.3507510182098</v>
      </c>
    </row>
    <row r="1098" spans="1:50" x14ac:dyDescent="0.25">
      <c r="A1098" s="2" t="s">
        <v>7670</v>
      </c>
      <c r="B1098" s="2">
        <v>284.12521969542098</v>
      </c>
      <c r="C1098" s="2">
        <v>3.6124666666666698</v>
      </c>
      <c r="D1098" s="2" t="s">
        <v>51</v>
      </c>
      <c r="E1098" s="2" t="s">
        <v>7671</v>
      </c>
      <c r="F1098" s="2">
        <v>62700</v>
      </c>
      <c r="G1098" s="3" t="str">
        <f>HYPERLINK("https://cloud.oebiotech.com/#/lm/network/62700", "https://cloud.oebiotech.com/#/lm/network/62700")</f>
        <v>https://cloud.oebiotech.com/#/lm/network/62700</v>
      </c>
      <c r="H1098" s="2" t="s">
        <v>7672</v>
      </c>
      <c r="I1098" s="2">
        <v>93997</v>
      </c>
      <c r="J1098" s="2"/>
      <c r="K1098" s="2">
        <v>131752643</v>
      </c>
      <c r="L1098" s="2"/>
      <c r="M1098" s="2"/>
      <c r="N1098" s="2"/>
      <c r="O1098" s="2">
        <v>168581</v>
      </c>
      <c r="P1098" s="2"/>
      <c r="Q1098" s="2"/>
      <c r="R1098" s="2" t="s">
        <v>7673</v>
      </c>
      <c r="S1098" s="2" t="s">
        <v>7674</v>
      </c>
      <c r="T1098" s="2" t="s">
        <v>7675</v>
      </c>
      <c r="U1098" s="2" t="s">
        <v>103</v>
      </c>
      <c r="V1098" s="2" t="s">
        <v>104</v>
      </c>
      <c r="W1098" s="2" t="s">
        <v>105</v>
      </c>
      <c r="X1098" s="2" t="s">
        <v>59</v>
      </c>
      <c r="Y1098" s="2">
        <v>50.4</v>
      </c>
      <c r="Z1098" s="2">
        <v>56.7</v>
      </c>
      <c r="AA1098" s="2" t="s">
        <v>379</v>
      </c>
      <c r="AB1098" s="2" t="s">
        <v>7676</v>
      </c>
      <c r="AC1098" s="2">
        <v>8.3822446845364704E-2</v>
      </c>
      <c r="AD1098" s="2"/>
      <c r="AE1098" s="2">
        <v>0.55792162062668604</v>
      </c>
      <c r="AF1098" s="2">
        <v>35801.741843890799</v>
      </c>
      <c r="AG1098" s="2">
        <v>16416.544945997801</v>
      </c>
      <c r="AH1098" s="5">
        <v>2.1808329317563899</v>
      </c>
      <c r="AI1098" s="5">
        <v>1.1248792528953899</v>
      </c>
      <c r="AJ1098" s="5" t="s">
        <v>139</v>
      </c>
      <c r="AK1098" s="2">
        <v>0.20966094841132399</v>
      </c>
      <c r="AL1098" s="2">
        <v>0.53413913919887801</v>
      </c>
      <c r="AM1098" s="2">
        <v>31270.030815375299</v>
      </c>
      <c r="AN1098" s="2">
        <v>7066.5248302829104</v>
      </c>
      <c r="AO1098" s="2">
        <v>36639.286967269902</v>
      </c>
      <c r="AP1098" s="2">
        <v>95316.999602251206</v>
      </c>
      <c r="AQ1098" s="2">
        <v>24804.0903168447</v>
      </c>
      <c r="AR1098" s="2">
        <v>19713.518531320999</v>
      </c>
      <c r="AS1098" s="2">
        <v>30936.436965105699</v>
      </c>
      <c r="AT1098" s="2">
        <v>8221.5536070121798</v>
      </c>
      <c r="AU1098" s="2">
        <v>44858.131209785199</v>
      </c>
      <c r="AV1098" s="2">
        <v>2067.7245868617501</v>
      </c>
      <c r="AW1098" s="2">
        <v>7029.4597253212796</v>
      </c>
      <c r="AX1098" s="2">
        <v>5385.9635819004598</v>
      </c>
    </row>
    <row r="1099" spans="1:50" x14ac:dyDescent="0.25">
      <c r="A1099" s="2" t="s">
        <v>7677</v>
      </c>
      <c r="B1099" s="2">
        <v>234.99989448788301</v>
      </c>
      <c r="C1099" s="2">
        <v>5.4257166666666699</v>
      </c>
      <c r="D1099" s="2" t="s">
        <v>51</v>
      </c>
      <c r="E1099" s="2" t="s">
        <v>7678</v>
      </c>
      <c r="F1099" s="2">
        <v>55539</v>
      </c>
      <c r="G1099" s="3" t="str">
        <f>HYPERLINK("https://cloud.oebiotech.com/#/lm/network/55539", "https://cloud.oebiotech.com/#/lm/network/55539")</f>
        <v>https://cloud.oebiotech.com/#/lm/network/55539</v>
      </c>
      <c r="H1099" s="2" t="s">
        <v>7679</v>
      </c>
      <c r="I1099" s="2">
        <v>87205</v>
      </c>
      <c r="J1099" s="2"/>
      <c r="K1099" s="2">
        <v>607309</v>
      </c>
      <c r="L1099" s="2"/>
      <c r="M1099" s="2"/>
      <c r="N1099" s="2"/>
      <c r="O1099" s="2"/>
      <c r="P1099" s="2"/>
      <c r="Q1099" s="2"/>
      <c r="R1099" s="2" t="s">
        <v>7680</v>
      </c>
      <c r="S1099" s="2" t="s">
        <v>7681</v>
      </c>
      <c r="T1099" s="2" t="s">
        <v>7682</v>
      </c>
      <c r="U1099" s="2" t="s">
        <v>610</v>
      </c>
      <c r="V1099" s="2" t="s">
        <v>611</v>
      </c>
      <c r="W1099" s="2" t="s">
        <v>1122</v>
      </c>
      <c r="X1099" s="2" t="s">
        <v>147</v>
      </c>
      <c r="Y1099" s="2">
        <v>39.200000000000003</v>
      </c>
      <c r="Z1099" s="2">
        <v>9.0500000000000007</v>
      </c>
      <c r="AA1099" s="2" t="s">
        <v>395</v>
      </c>
      <c r="AB1099" s="2" t="s">
        <v>7683</v>
      </c>
      <c r="AC1099" s="2">
        <v>-2.2288960286199999</v>
      </c>
      <c r="AD1099" s="2"/>
      <c r="AE1099" s="2">
        <v>0.55783520495211103</v>
      </c>
      <c r="AF1099" s="2">
        <v>42125.788862751499</v>
      </c>
      <c r="AG1099" s="2">
        <v>51216.359719994703</v>
      </c>
      <c r="AH1099" s="4">
        <v>0.82250650169316297</v>
      </c>
      <c r="AI1099" s="4">
        <v>-0.281901011877282</v>
      </c>
      <c r="AJ1099" s="4" t="s">
        <v>62</v>
      </c>
      <c r="AK1099" s="2">
        <v>3.4607958663364399E-2</v>
      </c>
      <c r="AL1099" s="2">
        <v>0.271975767980906</v>
      </c>
      <c r="AM1099" s="2">
        <v>42414.595455835799</v>
      </c>
      <c r="AN1099" s="2">
        <v>46444.854421963399</v>
      </c>
      <c r="AO1099" s="2">
        <v>42629.239042563597</v>
      </c>
      <c r="AP1099" s="2">
        <v>41301.060113613501</v>
      </c>
      <c r="AQ1099" s="2">
        <v>42638.5171329441</v>
      </c>
      <c r="AR1099" s="2">
        <v>37326.467009588399</v>
      </c>
      <c r="AS1099" s="2">
        <v>60674.117255146601</v>
      </c>
      <c r="AT1099" s="2">
        <v>49991.756117282297</v>
      </c>
      <c r="AU1099" s="2">
        <v>45184.444596156201</v>
      </c>
      <c r="AV1099" s="2">
        <v>38754.3226648704</v>
      </c>
      <c r="AW1099" s="2">
        <v>52058.018024754601</v>
      </c>
      <c r="AX1099" s="2">
        <v>60635.499661758098</v>
      </c>
    </row>
    <row r="1100" spans="1:50" x14ac:dyDescent="0.25">
      <c r="A1100" s="2" t="s">
        <v>7684</v>
      </c>
      <c r="B1100" s="2">
        <v>695.48763079977698</v>
      </c>
      <c r="C1100" s="2">
        <v>14.459250000000001</v>
      </c>
      <c r="D1100" s="2" t="s">
        <v>51</v>
      </c>
      <c r="E1100" s="2" t="s">
        <v>7685</v>
      </c>
      <c r="F1100" s="2">
        <v>136106</v>
      </c>
      <c r="G1100" s="3" t="str">
        <f>HYPERLINK("https://cloud.oebiotech.com/#/lm/network/136106", "https://cloud.oebiotech.com/#/lm/network/136106")</f>
        <v>https://cloud.oebiotech.com/#/lm/network/136106</v>
      </c>
      <c r="H1100" s="2" t="s">
        <v>7686</v>
      </c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 t="s">
        <v>7687</v>
      </c>
      <c r="T1100" s="2" t="s">
        <v>7688</v>
      </c>
      <c r="U1100" s="2" t="s">
        <v>56</v>
      </c>
      <c r="V1100" s="2" t="s">
        <v>145</v>
      </c>
      <c r="W1100" s="2" t="s">
        <v>231</v>
      </c>
      <c r="X1100" s="2" t="s">
        <v>147</v>
      </c>
      <c r="Y1100" s="2">
        <v>45.9</v>
      </c>
      <c r="Z1100" s="2">
        <v>38.200000000000003</v>
      </c>
      <c r="AA1100" s="2" t="s">
        <v>1844</v>
      </c>
      <c r="AB1100" s="2" t="s">
        <v>7689</v>
      </c>
      <c r="AC1100" s="2">
        <v>2.83362379486897</v>
      </c>
      <c r="AD1100" s="2"/>
      <c r="AE1100" s="2">
        <v>0.55772714470381002</v>
      </c>
      <c r="AF1100" s="2">
        <v>179959.766264987</v>
      </c>
      <c r="AG1100" s="2">
        <v>173400.56001861999</v>
      </c>
      <c r="AH1100" s="5">
        <v>1.0378269034751799</v>
      </c>
      <c r="AI1100" s="5">
        <v>5.3565840302407797E-2</v>
      </c>
      <c r="AJ1100" s="5" t="s">
        <v>139</v>
      </c>
      <c r="AK1100" s="2">
        <v>0.86788881555530895</v>
      </c>
      <c r="AL1100" s="2">
        <v>0.94267539732074102</v>
      </c>
      <c r="AM1100" s="2">
        <v>308673.14335733</v>
      </c>
      <c r="AN1100" s="2">
        <v>224692.532643871</v>
      </c>
      <c r="AO1100" s="2">
        <v>132557.709968204</v>
      </c>
      <c r="AP1100" s="2">
        <v>134991.360507106</v>
      </c>
      <c r="AQ1100" s="2">
        <v>135769.878446063</v>
      </c>
      <c r="AR1100" s="2">
        <v>143073.97266734601</v>
      </c>
      <c r="AS1100" s="2">
        <v>142169.48029476099</v>
      </c>
      <c r="AT1100" s="2">
        <v>147301.873222731</v>
      </c>
      <c r="AU1100" s="2">
        <v>280198.800259076</v>
      </c>
      <c r="AV1100" s="2">
        <v>150746.06090255899</v>
      </c>
      <c r="AW1100" s="2">
        <v>114024.403062969</v>
      </c>
      <c r="AX1100" s="2">
        <v>205962.74236962301</v>
      </c>
    </row>
    <row r="1101" spans="1:50" x14ac:dyDescent="0.25">
      <c r="A1101" s="2" t="s">
        <v>7690</v>
      </c>
      <c r="B1101" s="2">
        <v>695.45055488515095</v>
      </c>
      <c r="C1101" s="2">
        <v>9.5426500000000001</v>
      </c>
      <c r="D1101" s="2" t="s">
        <v>51</v>
      </c>
      <c r="E1101" s="2" t="s">
        <v>7691</v>
      </c>
      <c r="F1101" s="2">
        <v>23568</v>
      </c>
      <c r="G1101" s="3" t="str">
        <f>HYPERLINK("https://cloud.oebiotech.com/#/lm/network/23568", "https://cloud.oebiotech.com/#/lm/network/23568")</f>
        <v>https://cloud.oebiotech.com/#/lm/network/23568</v>
      </c>
      <c r="H1101" s="2"/>
      <c r="I1101" s="2">
        <v>79905</v>
      </c>
      <c r="J1101" s="2" t="s">
        <v>7692</v>
      </c>
      <c r="K1101" s="2">
        <v>52927341</v>
      </c>
      <c r="L1101" s="2"/>
      <c r="M1101" s="2"/>
      <c r="N1101" s="2"/>
      <c r="O1101" s="2"/>
      <c r="P1101" s="2"/>
      <c r="Q1101" s="2"/>
      <c r="R1101" s="2"/>
      <c r="S1101" s="2" t="s">
        <v>7693</v>
      </c>
      <c r="T1101" s="2" t="s">
        <v>7694</v>
      </c>
      <c r="U1101" s="2" t="s">
        <v>56</v>
      </c>
      <c r="V1101" s="2" t="s">
        <v>57</v>
      </c>
      <c r="W1101" s="2" t="s">
        <v>570</v>
      </c>
      <c r="X1101" s="2" t="s">
        <v>147</v>
      </c>
      <c r="Y1101" s="2">
        <v>38.1</v>
      </c>
      <c r="Z1101" s="2">
        <v>0</v>
      </c>
      <c r="AA1101" s="2" t="s">
        <v>218</v>
      </c>
      <c r="AB1101" s="2" t="s">
        <v>7695</v>
      </c>
      <c r="AC1101" s="2">
        <v>0.12554406271003801</v>
      </c>
      <c r="AD1101" s="2"/>
      <c r="AE1101" s="2">
        <v>0.55761148266143301</v>
      </c>
      <c r="AF1101" s="2">
        <v>8870.4875329867591</v>
      </c>
      <c r="AG1101" s="2">
        <v>2069.4712598490501</v>
      </c>
      <c r="AH1101" s="5">
        <v>4.2863545414173903</v>
      </c>
      <c r="AI1101" s="5">
        <v>2.0997511859897702</v>
      </c>
      <c r="AJ1101" s="5" t="s">
        <v>139</v>
      </c>
      <c r="AK1101" s="2">
        <v>7.1589681978357897E-2</v>
      </c>
      <c r="AL1101" s="2">
        <v>0.35359330830404301</v>
      </c>
      <c r="AM1101" s="2">
        <v>22899.599828435199</v>
      </c>
      <c r="AN1101" s="2">
        <v>10019.5325283739</v>
      </c>
      <c r="AO1101" s="2">
        <v>3089.8825740707098</v>
      </c>
      <c r="AP1101" s="2">
        <v>5119.07081582719</v>
      </c>
      <c r="AQ1101" s="2">
        <v>3785.83438290511</v>
      </c>
      <c r="AR1101" s="2">
        <v>8309.0050683084191</v>
      </c>
      <c r="AS1101" s="2">
        <v>1740.66888694152</v>
      </c>
      <c r="AT1101" s="2">
        <v>8.559877937157E-6</v>
      </c>
      <c r="AU1101" s="2">
        <v>9561.9263548817999</v>
      </c>
      <c r="AV1101" s="2">
        <v>8.559877937157E-6</v>
      </c>
      <c r="AW1101" s="2">
        <v>8.559877937157E-6</v>
      </c>
      <c r="AX1101" s="2">
        <v>1114.2322915913701</v>
      </c>
    </row>
    <row r="1102" spans="1:50" x14ac:dyDescent="0.25">
      <c r="A1102" s="2" t="s">
        <v>7696</v>
      </c>
      <c r="B1102" s="2">
        <v>365.19708560613998</v>
      </c>
      <c r="C1102" s="2">
        <v>6.6164666666666703</v>
      </c>
      <c r="D1102" s="2" t="s">
        <v>51</v>
      </c>
      <c r="E1102" s="2" t="s">
        <v>7697</v>
      </c>
      <c r="F1102" s="2">
        <v>36074</v>
      </c>
      <c r="G1102" s="3" t="str">
        <f>HYPERLINK("https://cloud.oebiotech.com/#/lm/network/36074", "https://cloud.oebiotech.com/#/lm/network/36074")</f>
        <v>https://cloud.oebiotech.com/#/lm/network/36074</v>
      </c>
      <c r="H1102" s="2"/>
      <c r="I1102" s="2">
        <v>53681</v>
      </c>
      <c r="J1102" s="2" t="s">
        <v>7698</v>
      </c>
      <c r="K1102" s="2">
        <v>42608245</v>
      </c>
      <c r="L1102" s="2"/>
      <c r="M1102" s="2"/>
      <c r="N1102" s="2"/>
      <c r="O1102" s="2"/>
      <c r="P1102" s="2"/>
      <c r="Q1102" s="2"/>
      <c r="R1102" s="2"/>
      <c r="S1102" s="2" t="s">
        <v>7699</v>
      </c>
      <c r="T1102" s="2" t="s">
        <v>7700</v>
      </c>
      <c r="U1102" s="2" t="s">
        <v>56</v>
      </c>
      <c r="V1102" s="2" t="s">
        <v>177</v>
      </c>
      <c r="W1102" s="2" t="s">
        <v>178</v>
      </c>
      <c r="X1102" s="2" t="s">
        <v>83</v>
      </c>
      <c r="Y1102" s="2">
        <v>52.9</v>
      </c>
      <c r="Z1102" s="2">
        <v>0</v>
      </c>
      <c r="AA1102" s="2" t="s">
        <v>163</v>
      </c>
      <c r="AB1102" s="2" t="s">
        <v>4056</v>
      </c>
      <c r="AC1102" s="2">
        <v>0.33685759604326398</v>
      </c>
      <c r="AD1102" s="2"/>
      <c r="AE1102" s="2">
        <v>0.55760750338536702</v>
      </c>
      <c r="AF1102" s="2">
        <v>14656.214874883</v>
      </c>
      <c r="AG1102" s="2">
        <v>7686.6377008512</v>
      </c>
      <c r="AH1102" s="5">
        <v>1.9067133700421399</v>
      </c>
      <c r="AI1102" s="5">
        <v>0.93108798434351903</v>
      </c>
      <c r="AJ1102" s="5" t="s">
        <v>139</v>
      </c>
      <c r="AK1102" s="2">
        <v>1.9569167726222698E-2</v>
      </c>
      <c r="AL1102" s="2">
        <v>0.21932247761462001</v>
      </c>
      <c r="AM1102" s="2">
        <v>21462.784846525199</v>
      </c>
      <c r="AN1102" s="2">
        <v>15565.3719390965</v>
      </c>
      <c r="AO1102" s="2">
        <v>15669.5197969205</v>
      </c>
      <c r="AP1102" s="2">
        <v>16872.255538018999</v>
      </c>
      <c r="AQ1102" s="2">
        <v>7451.0268926294702</v>
      </c>
      <c r="AR1102" s="2">
        <v>10916.3302361072</v>
      </c>
      <c r="AS1102" s="2">
        <v>11686.7788412354</v>
      </c>
      <c r="AT1102" s="2">
        <v>4655.3972687046098</v>
      </c>
      <c r="AU1102" s="2">
        <v>12130.02686828</v>
      </c>
      <c r="AV1102" s="2">
        <v>2768.2471733907601</v>
      </c>
      <c r="AW1102" s="2">
        <v>6807.9820122184701</v>
      </c>
      <c r="AX1102" s="2">
        <v>8071.3940412779302</v>
      </c>
    </row>
    <row r="1103" spans="1:50" x14ac:dyDescent="0.25">
      <c r="A1103" s="2" t="s">
        <v>7701</v>
      </c>
      <c r="B1103" s="2">
        <v>491.04944901131699</v>
      </c>
      <c r="C1103" s="2">
        <v>4.8192833333333303</v>
      </c>
      <c r="D1103" s="2" t="s">
        <v>51</v>
      </c>
      <c r="E1103" s="2" t="s">
        <v>7702</v>
      </c>
      <c r="F1103" s="2">
        <v>209885</v>
      </c>
      <c r="G1103" s="3" t="str">
        <f>HYPERLINK("https://cloud.oebiotech.com/#/lm/network/209885", "https://cloud.oebiotech.com/#/lm/network/209885")</f>
        <v>https://cloud.oebiotech.com/#/lm/network/209885</v>
      </c>
      <c r="H1103" s="2" t="s">
        <v>7703</v>
      </c>
      <c r="I1103" s="2"/>
      <c r="J1103" s="2"/>
      <c r="K1103" s="2">
        <v>72623551</v>
      </c>
      <c r="L1103" s="2"/>
      <c r="M1103" s="2"/>
      <c r="N1103" s="2"/>
      <c r="O1103" s="2"/>
      <c r="P1103" s="2"/>
      <c r="Q1103" s="2"/>
      <c r="R1103" s="2"/>
      <c r="S1103" s="2" t="s">
        <v>7704</v>
      </c>
      <c r="T1103" s="2" t="s">
        <v>7705</v>
      </c>
      <c r="U1103" s="2" t="s">
        <v>540</v>
      </c>
      <c r="V1103" s="2" t="s">
        <v>7590</v>
      </c>
      <c r="W1103" s="2" t="s">
        <v>240</v>
      </c>
      <c r="X1103" s="2" t="s">
        <v>147</v>
      </c>
      <c r="Y1103" s="2">
        <v>38.700000000000003</v>
      </c>
      <c r="Z1103" s="2">
        <v>0</v>
      </c>
      <c r="AA1103" s="2" t="s">
        <v>163</v>
      </c>
      <c r="AB1103" s="2" t="s">
        <v>7706</v>
      </c>
      <c r="AC1103" s="2">
        <v>-3.91001549403842</v>
      </c>
      <c r="AD1103" s="2"/>
      <c r="AE1103" s="2">
        <v>0.55723187902990401</v>
      </c>
      <c r="AF1103" s="2">
        <v>14359.444040419001</v>
      </c>
      <c r="AG1103" s="2">
        <v>64464.958597917903</v>
      </c>
      <c r="AH1103" s="4">
        <v>0.22274805340343201</v>
      </c>
      <c r="AI1103" s="4">
        <v>-2.1665152708056499</v>
      </c>
      <c r="AJ1103" s="4" t="s">
        <v>62</v>
      </c>
      <c r="AK1103" s="2">
        <v>0.456052494473067</v>
      </c>
      <c r="AL1103" s="2">
        <v>0.70767999469069398</v>
      </c>
      <c r="AM1103" s="2">
        <v>252.72574916369601</v>
      </c>
      <c r="AN1103" s="2">
        <v>9406.3867402632695</v>
      </c>
      <c r="AO1103" s="2">
        <v>75749.8984774977</v>
      </c>
      <c r="AP1103" s="2">
        <v>8.559877937157E-6</v>
      </c>
      <c r="AQ1103" s="2">
        <v>8.559877937157E-6</v>
      </c>
      <c r="AR1103" s="2">
        <v>747.65325846978499</v>
      </c>
      <c r="AS1103" s="2">
        <v>464.22742199677998</v>
      </c>
      <c r="AT1103" s="2">
        <v>212.78731528358699</v>
      </c>
      <c r="AU1103" s="2">
        <v>381583.84799337602</v>
      </c>
      <c r="AV1103" s="2">
        <v>2504.1581442525799</v>
      </c>
      <c r="AW1103" s="2">
        <v>884.05778515441602</v>
      </c>
      <c r="AX1103" s="2">
        <v>1140.6729274437901</v>
      </c>
    </row>
    <row r="1104" spans="1:50" x14ac:dyDescent="0.25">
      <c r="A1104" s="2" t="s">
        <v>7707</v>
      </c>
      <c r="B1104" s="2">
        <v>619.28922085440297</v>
      </c>
      <c r="C1104" s="2">
        <v>11.904616666666699</v>
      </c>
      <c r="D1104" s="2" t="s">
        <v>51</v>
      </c>
      <c r="E1104" s="2" t="s">
        <v>7708</v>
      </c>
      <c r="F1104" s="2">
        <v>24873</v>
      </c>
      <c r="G1104" s="3" t="str">
        <f>HYPERLINK("https://cloud.oebiotech.com/#/lm/network/24873", "https://cloud.oebiotech.com/#/lm/network/24873")</f>
        <v>https://cloud.oebiotech.com/#/lm/network/24873</v>
      </c>
      <c r="H1104" s="2" t="s">
        <v>7709</v>
      </c>
      <c r="I1104" s="2"/>
      <c r="J1104" s="2" t="s">
        <v>7710</v>
      </c>
      <c r="K1104" s="2">
        <v>42607497</v>
      </c>
      <c r="L1104" s="2"/>
      <c r="M1104" s="2"/>
      <c r="N1104" s="2"/>
      <c r="O1104" s="2">
        <v>83053</v>
      </c>
      <c r="P1104" s="2"/>
      <c r="Q1104" s="2"/>
      <c r="R1104" s="2" t="s">
        <v>7711</v>
      </c>
      <c r="S1104" s="2" t="s">
        <v>7712</v>
      </c>
      <c r="T1104" s="2" t="s">
        <v>7713</v>
      </c>
      <c r="U1104" s="2" t="s">
        <v>56</v>
      </c>
      <c r="V1104" s="2" t="s">
        <v>57</v>
      </c>
      <c r="W1104" s="2" t="s">
        <v>1097</v>
      </c>
      <c r="X1104" s="2" t="s">
        <v>147</v>
      </c>
      <c r="Y1104" s="2">
        <v>44.9</v>
      </c>
      <c r="Z1104" s="2">
        <v>29.3</v>
      </c>
      <c r="AA1104" s="2" t="s">
        <v>163</v>
      </c>
      <c r="AB1104" s="2" t="s">
        <v>7714</v>
      </c>
      <c r="AC1104" s="2">
        <v>0.53788862944820004</v>
      </c>
      <c r="AD1104" s="2"/>
      <c r="AE1104" s="2">
        <v>0.55625332985708598</v>
      </c>
      <c r="AF1104" s="2">
        <v>373530.32734295097</v>
      </c>
      <c r="AG1104" s="2">
        <v>322155.47745794698</v>
      </c>
      <c r="AH1104" s="5">
        <v>1.15947222220274</v>
      </c>
      <c r="AI1104" s="5">
        <v>0.21346825735313199</v>
      </c>
      <c r="AJ1104" s="5" t="s">
        <v>139</v>
      </c>
      <c r="AK1104" s="2">
        <v>0.37829864923578499</v>
      </c>
      <c r="AL1104" s="2">
        <v>0.65844593389412398</v>
      </c>
      <c r="AM1104" s="2">
        <v>332803.41704054503</v>
      </c>
      <c r="AN1104" s="2">
        <v>346979.72189313901</v>
      </c>
      <c r="AO1104" s="2">
        <v>403158.05152452103</v>
      </c>
      <c r="AP1104" s="2">
        <v>401190.80654425098</v>
      </c>
      <c r="AQ1104" s="2">
        <v>336571.73546574998</v>
      </c>
      <c r="AR1104" s="2">
        <v>420478.23158949701</v>
      </c>
      <c r="AS1104" s="2">
        <v>238924.268449</v>
      </c>
      <c r="AT1104" s="2">
        <v>177297.639973671</v>
      </c>
      <c r="AU1104" s="2">
        <v>281117.97100068</v>
      </c>
      <c r="AV1104" s="2">
        <v>514812.91037208098</v>
      </c>
      <c r="AW1104" s="2">
        <v>449715.40126331197</v>
      </c>
      <c r="AX1104" s="2">
        <v>271064.67368894001</v>
      </c>
    </row>
    <row r="1105" spans="1:50" x14ac:dyDescent="0.25">
      <c r="A1105" s="2" t="s">
        <v>7715</v>
      </c>
      <c r="B1105" s="2">
        <v>147.04140000000001</v>
      </c>
      <c r="C1105" s="2">
        <v>8.4009999999999998</v>
      </c>
      <c r="D1105" s="2" t="s">
        <v>125</v>
      </c>
      <c r="E1105" s="2" t="s">
        <v>7716</v>
      </c>
      <c r="F1105" s="2">
        <v>1651</v>
      </c>
      <c r="G1105" s="3" t="str">
        <f>HYPERLINK("https://cloud.oebiotech.com/#/lm/network/1651", "https://cloud.oebiotech.com/#/lm/network/1651")</f>
        <v>https://cloud.oebiotech.com/#/lm/network/1651</v>
      </c>
      <c r="H1105" s="2" t="s">
        <v>7717</v>
      </c>
      <c r="I1105" s="2"/>
      <c r="J1105" s="2" t="s">
        <v>7718</v>
      </c>
      <c r="K1105" s="2">
        <v>441</v>
      </c>
      <c r="L1105" s="2" t="s">
        <v>7719</v>
      </c>
      <c r="M1105" s="2" t="s">
        <v>7720</v>
      </c>
      <c r="N1105" s="2" t="s">
        <v>7721</v>
      </c>
      <c r="O1105" s="2">
        <v>20067</v>
      </c>
      <c r="P1105" s="2" t="s">
        <v>7722</v>
      </c>
      <c r="Q1105" s="2" t="s">
        <v>7723</v>
      </c>
      <c r="R1105" s="2"/>
      <c r="S1105" s="2" t="s">
        <v>7724</v>
      </c>
      <c r="T1105" s="2" t="s">
        <v>7725</v>
      </c>
      <c r="U1105" s="2" t="s">
        <v>103</v>
      </c>
      <c r="V1105" s="2" t="s">
        <v>377</v>
      </c>
      <c r="W1105" s="2" t="s">
        <v>7726</v>
      </c>
      <c r="X1105" s="2" t="s">
        <v>69</v>
      </c>
      <c r="Y1105" s="2">
        <v>99.6</v>
      </c>
      <c r="Z1105" s="2">
        <v>99.4</v>
      </c>
      <c r="AA1105" s="2"/>
      <c r="AB1105" s="2" t="s">
        <v>6186</v>
      </c>
      <c r="AC1105" s="2"/>
      <c r="AD1105" s="2">
        <v>281060.96028452902</v>
      </c>
      <c r="AE1105" s="2">
        <v>0.55617710227345696</v>
      </c>
      <c r="AF1105" s="2">
        <v>1886647.71670957</v>
      </c>
      <c r="AG1105" s="2">
        <v>1835147.08116056</v>
      </c>
      <c r="AH1105" s="5">
        <v>1.0280634920643199</v>
      </c>
      <c r="AI1105" s="5">
        <v>3.9929366533462997E-2</v>
      </c>
      <c r="AJ1105" s="5" t="s">
        <v>139</v>
      </c>
      <c r="AK1105" s="2">
        <v>0.96480127872711696</v>
      </c>
      <c r="AL1105" s="2">
        <v>0.98639647014555798</v>
      </c>
      <c r="AM1105" s="2">
        <v>753490.92219725705</v>
      </c>
      <c r="AN1105" s="2">
        <v>731562.07259596605</v>
      </c>
      <c r="AO1105" s="2">
        <v>6964132.7977612996</v>
      </c>
      <c r="AP1105" s="2">
        <v>989162.60439109395</v>
      </c>
      <c r="AQ1105" s="2">
        <v>1191383.80213775</v>
      </c>
      <c r="AR1105" s="2">
        <v>690154.10117403197</v>
      </c>
      <c r="AS1105" s="2">
        <v>346222.97103647701</v>
      </c>
      <c r="AT1105" s="2">
        <v>370281.617989149</v>
      </c>
      <c r="AU1105" s="2">
        <v>3093515.1208036798</v>
      </c>
      <c r="AV1105" s="2">
        <v>3092172.4108335199</v>
      </c>
      <c r="AW1105" s="2">
        <v>2303152.1272315299</v>
      </c>
      <c r="AX1105" s="2">
        <v>1805538.2390690299</v>
      </c>
    </row>
    <row r="1106" spans="1:50" x14ac:dyDescent="0.25">
      <c r="A1106" s="2" t="s">
        <v>7727</v>
      </c>
      <c r="B1106" s="2">
        <v>459.27287466902197</v>
      </c>
      <c r="C1106" s="2">
        <v>10.1415333333333</v>
      </c>
      <c r="D1106" s="2" t="s">
        <v>51</v>
      </c>
      <c r="E1106" s="2" t="s">
        <v>7728</v>
      </c>
      <c r="F1106" s="2">
        <v>64457</v>
      </c>
      <c r="G1106" s="3" t="str">
        <f>HYPERLINK("https://cloud.oebiotech.com/#/lm/network/64457", "https://cloud.oebiotech.com/#/lm/network/64457")</f>
        <v>https://cloud.oebiotech.com/#/lm/network/64457</v>
      </c>
      <c r="H1106" s="2" t="s">
        <v>7729</v>
      </c>
      <c r="I1106" s="2">
        <v>95770</v>
      </c>
      <c r="J1106" s="2"/>
      <c r="K1106" s="2">
        <v>85163499</v>
      </c>
      <c r="L1106" s="2"/>
      <c r="M1106" s="2"/>
      <c r="N1106" s="2"/>
      <c r="O1106" s="2">
        <v>169802</v>
      </c>
      <c r="P1106" s="2"/>
      <c r="Q1106" s="2"/>
      <c r="R1106" s="2" t="s">
        <v>7730</v>
      </c>
      <c r="S1106" s="2" t="s">
        <v>7731</v>
      </c>
      <c r="T1106" s="2" t="s">
        <v>7732</v>
      </c>
      <c r="U1106" s="2" t="s">
        <v>56</v>
      </c>
      <c r="V1106" s="2" t="s">
        <v>177</v>
      </c>
      <c r="W1106" s="2" t="s">
        <v>959</v>
      </c>
      <c r="X1106" s="2" t="s">
        <v>69</v>
      </c>
      <c r="Y1106" s="2">
        <v>58.6</v>
      </c>
      <c r="Z1106" s="2">
        <v>87.5</v>
      </c>
      <c r="AA1106" s="2" t="s">
        <v>379</v>
      </c>
      <c r="AB1106" s="2" t="s">
        <v>7733</v>
      </c>
      <c r="AC1106" s="2">
        <v>-4.8879966363175003</v>
      </c>
      <c r="AD1106" s="2"/>
      <c r="AE1106" s="2">
        <v>0.55600005533183805</v>
      </c>
      <c r="AF1106" s="2">
        <v>39668.494896222102</v>
      </c>
      <c r="AG1106" s="2">
        <v>12187.517709998099</v>
      </c>
      <c r="AH1106" s="5">
        <v>3.2548461335715499</v>
      </c>
      <c r="AI1106" s="5">
        <v>1.7025893444415801</v>
      </c>
      <c r="AJ1106" s="5" t="s">
        <v>139</v>
      </c>
      <c r="AK1106" s="2">
        <v>0.40128418839385599</v>
      </c>
      <c r="AL1106" s="2">
        <v>0.66938545851599895</v>
      </c>
      <c r="AM1106" s="2">
        <v>43.677325112509202</v>
      </c>
      <c r="AN1106" s="2">
        <v>711.72496318971503</v>
      </c>
      <c r="AO1106" s="2">
        <v>3.49778347340604E-3</v>
      </c>
      <c r="AP1106" s="2">
        <v>8.559877937157E-6</v>
      </c>
      <c r="AQ1106" s="2">
        <v>188963.23630961301</v>
      </c>
      <c r="AR1106" s="2">
        <v>48292.327273073999</v>
      </c>
      <c r="AS1106" s="2">
        <v>1007.03616703172</v>
      </c>
      <c r="AT1106" s="2">
        <v>28954.507014442999</v>
      </c>
      <c r="AU1106" s="2">
        <v>26218.228502088499</v>
      </c>
      <c r="AV1106" s="2">
        <v>15836.4710578632</v>
      </c>
      <c r="AW1106" s="2">
        <v>865.43760630349698</v>
      </c>
      <c r="AX1106" s="2">
        <v>243.42591225858899</v>
      </c>
    </row>
    <row r="1107" spans="1:50" x14ac:dyDescent="0.25">
      <c r="A1107" s="2" t="s">
        <v>7734</v>
      </c>
      <c r="B1107" s="2">
        <v>344.13530900501098</v>
      </c>
      <c r="C1107" s="2">
        <v>1.02813333333333</v>
      </c>
      <c r="D1107" s="2" t="s">
        <v>51</v>
      </c>
      <c r="E1107" s="2" t="s">
        <v>7735</v>
      </c>
      <c r="F1107" s="2">
        <v>61330</v>
      </c>
      <c r="G1107" s="3" t="str">
        <f>HYPERLINK("https://cloud.oebiotech.com/#/lm/network/61330", "https://cloud.oebiotech.com/#/lm/network/61330")</f>
        <v>https://cloud.oebiotech.com/#/lm/network/61330</v>
      </c>
      <c r="H1107" s="2" t="s">
        <v>7736</v>
      </c>
      <c r="I1107" s="2"/>
      <c r="J1107" s="2"/>
      <c r="K1107" s="2">
        <v>131752248</v>
      </c>
      <c r="L1107" s="2"/>
      <c r="M1107" s="2"/>
      <c r="N1107" s="2"/>
      <c r="O1107" s="2"/>
      <c r="P1107" s="2"/>
      <c r="Q1107" s="2"/>
      <c r="R1107" s="2" t="s">
        <v>7737</v>
      </c>
      <c r="S1107" s="2" t="s">
        <v>7738</v>
      </c>
      <c r="T1107" s="2" t="s">
        <v>7739</v>
      </c>
      <c r="U1107" s="2" t="s">
        <v>103</v>
      </c>
      <c r="V1107" s="2" t="s">
        <v>104</v>
      </c>
      <c r="W1107" s="2" t="s">
        <v>105</v>
      </c>
      <c r="X1107" s="2" t="s">
        <v>69</v>
      </c>
      <c r="Y1107" s="2">
        <v>48.5</v>
      </c>
      <c r="Z1107" s="2">
        <v>50.5</v>
      </c>
      <c r="AA1107" s="2" t="s">
        <v>179</v>
      </c>
      <c r="AB1107" s="2" t="s">
        <v>7740</v>
      </c>
      <c r="AC1107" s="2">
        <v>3.8351378584169802</v>
      </c>
      <c r="AD1107" s="2"/>
      <c r="AE1107" s="2">
        <v>0.555729711306856</v>
      </c>
      <c r="AF1107" s="2">
        <v>20210.015216849599</v>
      </c>
      <c r="AG1107" s="2">
        <v>31745.736457606501</v>
      </c>
      <c r="AH1107" s="4">
        <v>0.63662140091908903</v>
      </c>
      <c r="AI1107" s="4">
        <v>-0.651492438886069</v>
      </c>
      <c r="AJ1107" s="4" t="s">
        <v>62</v>
      </c>
      <c r="AK1107" s="2">
        <v>0.28502574120518498</v>
      </c>
      <c r="AL1107" s="2">
        <v>0.60031658841593905</v>
      </c>
      <c r="AM1107" s="2">
        <v>8.559877937157E-6</v>
      </c>
      <c r="AN1107" s="2">
        <v>31110.9527363897</v>
      </c>
      <c r="AO1107" s="2">
        <v>17784.5891542024</v>
      </c>
      <c r="AP1107" s="2">
        <v>10943.826080405101</v>
      </c>
      <c r="AQ1107" s="2">
        <v>20048.1987454683</v>
      </c>
      <c r="AR1107" s="2">
        <v>41372.524576072297</v>
      </c>
      <c r="AS1107" s="2">
        <v>61693.463675602499</v>
      </c>
      <c r="AT1107" s="2">
        <v>39841.4493516863</v>
      </c>
      <c r="AU1107" s="2">
        <v>5026.8005619932201</v>
      </c>
      <c r="AV1107" s="2">
        <v>21793.335391072502</v>
      </c>
      <c r="AW1107" s="2">
        <v>19108.3087191206</v>
      </c>
      <c r="AX1107" s="2">
        <v>43011.061046163697</v>
      </c>
    </row>
    <row r="1108" spans="1:50" x14ac:dyDescent="0.25">
      <c r="A1108" s="2" t="s">
        <v>7741</v>
      </c>
      <c r="B1108" s="2">
        <v>255.23273179139201</v>
      </c>
      <c r="C1108" s="2">
        <v>1.25183333333333</v>
      </c>
      <c r="D1108" s="2" t="s">
        <v>51</v>
      </c>
      <c r="E1108" s="2" t="s">
        <v>7742</v>
      </c>
      <c r="F1108" s="2">
        <v>564</v>
      </c>
      <c r="G1108" s="3" t="str">
        <f>HYPERLINK("https://cloud.oebiotech.com/#/lm/network/564", "https://cloud.oebiotech.com/#/lm/network/564")</f>
        <v>https://cloud.oebiotech.com/#/lm/network/564</v>
      </c>
      <c r="H1108" s="2" t="s">
        <v>7743</v>
      </c>
      <c r="I1108" s="2">
        <v>45058</v>
      </c>
      <c r="J1108" s="2" t="s">
        <v>7744</v>
      </c>
      <c r="K1108" s="2">
        <v>5318393</v>
      </c>
      <c r="L1108" s="2"/>
      <c r="M1108" s="2"/>
      <c r="N1108" s="2"/>
      <c r="O1108" s="2">
        <v>35465</v>
      </c>
      <c r="P1108" s="2"/>
      <c r="Q1108" s="2"/>
      <c r="R1108" s="2" t="s">
        <v>7745</v>
      </c>
      <c r="S1108" s="2" t="s">
        <v>7746</v>
      </c>
      <c r="T1108" s="2" t="s">
        <v>7747</v>
      </c>
      <c r="U1108" s="2" t="s">
        <v>56</v>
      </c>
      <c r="V1108" s="2" t="s">
        <v>145</v>
      </c>
      <c r="W1108" s="2" t="s">
        <v>231</v>
      </c>
      <c r="X1108" s="2" t="s">
        <v>59</v>
      </c>
      <c r="Y1108" s="2">
        <v>49.7</v>
      </c>
      <c r="Z1108" s="2">
        <v>57.4</v>
      </c>
      <c r="AA1108" s="2" t="s">
        <v>259</v>
      </c>
      <c r="AB1108" s="2" t="s">
        <v>7748</v>
      </c>
      <c r="AC1108" s="2">
        <v>3.4424608803417001</v>
      </c>
      <c r="AD1108" s="2"/>
      <c r="AE1108" s="2">
        <v>0.55543670718518701</v>
      </c>
      <c r="AF1108" s="2">
        <v>194749.136848077</v>
      </c>
      <c r="AG1108" s="2">
        <v>214020.63836185299</v>
      </c>
      <c r="AH1108" s="4">
        <v>0.90995493863917698</v>
      </c>
      <c r="AI1108" s="4">
        <v>-0.13613299068748499</v>
      </c>
      <c r="AJ1108" s="4" t="s">
        <v>62</v>
      </c>
      <c r="AK1108" s="2">
        <v>0.32160597321198697</v>
      </c>
      <c r="AL1108" s="2">
        <v>0.62916085764226803</v>
      </c>
      <c r="AM1108" s="2">
        <v>175384.40657404301</v>
      </c>
      <c r="AN1108" s="2">
        <v>222338.41560143299</v>
      </c>
      <c r="AO1108" s="2">
        <v>197471.87550965001</v>
      </c>
      <c r="AP1108" s="2">
        <v>211418.18366642899</v>
      </c>
      <c r="AQ1108" s="2">
        <v>203092.14970382099</v>
      </c>
      <c r="AR1108" s="2">
        <v>158789.79003308699</v>
      </c>
      <c r="AS1108" s="2">
        <v>225141.63779082301</v>
      </c>
      <c r="AT1108" s="2">
        <v>268351.81731915398</v>
      </c>
      <c r="AU1108" s="2">
        <v>170102.03773465499</v>
      </c>
      <c r="AV1108" s="2">
        <v>171202.28610887899</v>
      </c>
      <c r="AW1108" s="2">
        <v>210557.06511077</v>
      </c>
      <c r="AX1108" s="2">
        <v>238768.986106836</v>
      </c>
    </row>
    <row r="1109" spans="1:50" x14ac:dyDescent="0.25">
      <c r="A1109" s="2" t="s">
        <v>7749</v>
      </c>
      <c r="B1109" s="2">
        <v>175.02391742658099</v>
      </c>
      <c r="C1109" s="2">
        <v>0.74113333333333298</v>
      </c>
      <c r="D1109" s="2" t="s">
        <v>51</v>
      </c>
      <c r="E1109" s="2" t="s">
        <v>7750</v>
      </c>
      <c r="F1109" s="2">
        <v>203941</v>
      </c>
      <c r="G1109" s="3" t="str">
        <f>HYPERLINK("https://cloud.oebiotech.com/#/lm/network/203941", "https://cloud.oebiotech.com/#/lm/network/203941")</f>
        <v>https://cloud.oebiotech.com/#/lm/network/203941</v>
      </c>
      <c r="H1109" s="2" t="s">
        <v>7751</v>
      </c>
      <c r="I1109" s="2"/>
      <c r="J1109" s="2"/>
      <c r="K1109" s="2">
        <v>74427717</v>
      </c>
      <c r="L1109" s="2"/>
      <c r="M1109" s="2"/>
      <c r="N1109" s="2"/>
      <c r="O1109" s="2"/>
      <c r="P1109" s="2"/>
      <c r="Q1109" s="2"/>
      <c r="R1109" s="2"/>
      <c r="S1109" s="2" t="s">
        <v>7752</v>
      </c>
      <c r="T1109" s="2" t="s">
        <v>7753</v>
      </c>
      <c r="U1109" s="2" t="s">
        <v>266</v>
      </c>
      <c r="V1109" s="2" t="s">
        <v>7754</v>
      </c>
      <c r="W1109" s="2" t="s">
        <v>240</v>
      </c>
      <c r="X1109" s="2" t="s">
        <v>69</v>
      </c>
      <c r="Y1109" s="2">
        <v>55.8</v>
      </c>
      <c r="Z1109" s="2">
        <v>75.2</v>
      </c>
      <c r="AA1109" s="2" t="s">
        <v>667</v>
      </c>
      <c r="AB1109" s="2" t="s">
        <v>7755</v>
      </c>
      <c r="AC1109" s="2">
        <v>-5.0792747488576504</v>
      </c>
      <c r="AD1109" s="2"/>
      <c r="AE1109" s="2">
        <v>0.55513379272766095</v>
      </c>
      <c r="AF1109" s="2">
        <v>7000.4937470755203</v>
      </c>
      <c r="AG1109" s="2">
        <v>20184.350558253602</v>
      </c>
      <c r="AH1109" s="4">
        <v>0.34682779249555501</v>
      </c>
      <c r="AI1109" s="4">
        <v>-1.52770858361438</v>
      </c>
      <c r="AJ1109" s="4" t="s">
        <v>62</v>
      </c>
      <c r="AK1109" s="2">
        <v>0.113229475156205</v>
      </c>
      <c r="AL1109" s="2">
        <v>0.42719152086759299</v>
      </c>
      <c r="AM1109" s="2">
        <v>7743.7410548494699</v>
      </c>
      <c r="AN1109" s="2">
        <v>4830.2360989119597</v>
      </c>
      <c r="AO1109" s="2">
        <v>8.559877937157E-6</v>
      </c>
      <c r="AP1109" s="2">
        <v>7098.11196903972</v>
      </c>
      <c r="AQ1109" s="2">
        <v>10813.378999438301</v>
      </c>
      <c r="AR1109" s="2">
        <v>11517.494351653801</v>
      </c>
      <c r="AS1109" s="2">
        <v>8171.3643489513297</v>
      </c>
      <c r="AT1109" s="2">
        <v>12115.5540219218</v>
      </c>
      <c r="AU1109" s="2">
        <v>50183.195199847702</v>
      </c>
      <c r="AV1109" s="2">
        <v>34943.7639377058</v>
      </c>
      <c r="AW1109" s="2">
        <v>5661.7653153560004</v>
      </c>
      <c r="AX1109" s="2">
        <v>10030.460525739099</v>
      </c>
    </row>
    <row r="1110" spans="1:50" x14ac:dyDescent="0.25">
      <c r="A1110" s="2" t="s">
        <v>7756</v>
      </c>
      <c r="B1110" s="2">
        <v>364.00086564156499</v>
      </c>
      <c r="C1110" s="2">
        <v>5.4257166666666699</v>
      </c>
      <c r="D1110" s="2" t="s">
        <v>51</v>
      </c>
      <c r="E1110" s="2" t="s">
        <v>7757</v>
      </c>
      <c r="F1110" s="2">
        <v>47254</v>
      </c>
      <c r="G1110" s="3" t="str">
        <f>HYPERLINK("https://cloud.oebiotech.com/#/lm/network/47254", "https://cloud.oebiotech.com/#/lm/network/47254")</f>
        <v>https://cloud.oebiotech.com/#/lm/network/47254</v>
      </c>
      <c r="H1110" s="2" t="s">
        <v>7758</v>
      </c>
      <c r="I1110" s="2">
        <v>5806</v>
      </c>
      <c r="J1110" s="2"/>
      <c r="K1110" s="2">
        <v>22833549</v>
      </c>
      <c r="L1110" s="2"/>
      <c r="M1110" s="2"/>
      <c r="N1110" s="2"/>
      <c r="O1110" s="2"/>
      <c r="P1110" s="2"/>
      <c r="Q1110" s="2"/>
      <c r="R1110" s="2" t="s">
        <v>7759</v>
      </c>
      <c r="S1110" s="2" t="s">
        <v>7760</v>
      </c>
      <c r="T1110" s="2" t="s">
        <v>7761</v>
      </c>
      <c r="U1110" s="2" t="s">
        <v>331</v>
      </c>
      <c r="V1110" s="2" t="s">
        <v>332</v>
      </c>
      <c r="W1110" s="2" t="s">
        <v>333</v>
      </c>
      <c r="X1110" s="2" t="s">
        <v>147</v>
      </c>
      <c r="Y1110" s="2">
        <v>40</v>
      </c>
      <c r="Z1110" s="2">
        <v>15</v>
      </c>
      <c r="AA1110" s="2" t="s">
        <v>156</v>
      </c>
      <c r="AB1110" s="2" t="s">
        <v>7762</v>
      </c>
      <c r="AC1110" s="2">
        <v>1.54059186192282</v>
      </c>
      <c r="AD1110" s="2"/>
      <c r="AE1110" s="2">
        <v>0.55429839190935304</v>
      </c>
      <c r="AF1110" s="2">
        <v>18242.513169848698</v>
      </c>
      <c r="AG1110" s="2">
        <v>25109.1285221039</v>
      </c>
      <c r="AH1110" s="4">
        <v>0.72652912480771703</v>
      </c>
      <c r="AI1110" s="4">
        <v>-0.46090746169071201</v>
      </c>
      <c r="AJ1110" s="4" t="s">
        <v>62</v>
      </c>
      <c r="AK1110" s="2">
        <v>3.4048475798902698E-3</v>
      </c>
      <c r="AL1110" s="2">
        <v>0.1120315017845</v>
      </c>
      <c r="AM1110" s="2">
        <v>17336.370121341501</v>
      </c>
      <c r="AN1110" s="2">
        <v>19239.2909625742</v>
      </c>
      <c r="AO1110" s="2">
        <v>19961.266267155701</v>
      </c>
      <c r="AP1110" s="2">
        <v>20402.6315518021</v>
      </c>
      <c r="AQ1110" s="2">
        <v>17815.674684519799</v>
      </c>
      <c r="AR1110" s="2">
        <v>14699.845431698701</v>
      </c>
      <c r="AS1110" s="2">
        <v>29355.558889634998</v>
      </c>
      <c r="AT1110" s="2">
        <v>25058.246823026901</v>
      </c>
      <c r="AU1110" s="2">
        <v>22534.796235907099</v>
      </c>
      <c r="AV1110" s="2">
        <v>18829.969342969001</v>
      </c>
      <c r="AW1110" s="2">
        <v>27679.292196533301</v>
      </c>
      <c r="AX1110" s="2">
        <v>27196.907644552299</v>
      </c>
    </row>
    <row r="1111" spans="1:50" x14ac:dyDescent="0.25">
      <c r="A1111" s="2" t="s">
        <v>7763</v>
      </c>
      <c r="B1111" s="2">
        <v>309.20726171467402</v>
      </c>
      <c r="C1111" s="2">
        <v>9.1713500000000003</v>
      </c>
      <c r="D1111" s="2" t="s">
        <v>51</v>
      </c>
      <c r="E1111" s="2" t="s">
        <v>7764</v>
      </c>
      <c r="F1111" s="2">
        <v>2210</v>
      </c>
      <c r="G1111" s="3" t="str">
        <f>HYPERLINK("https://cloud.oebiotech.com/#/lm/network/2210", "https://cloud.oebiotech.com/#/lm/network/2210")</f>
        <v>https://cloud.oebiotech.com/#/lm/network/2210</v>
      </c>
      <c r="H1111" s="2"/>
      <c r="I1111" s="2"/>
      <c r="J1111" s="2" t="s">
        <v>7765</v>
      </c>
      <c r="K1111" s="2">
        <v>25052836</v>
      </c>
      <c r="L1111" s="2"/>
      <c r="M1111" s="2"/>
      <c r="N1111" s="2"/>
      <c r="O1111" s="2">
        <v>66776</v>
      </c>
      <c r="P1111" s="2"/>
      <c r="Q1111" s="2"/>
      <c r="R1111" s="2"/>
      <c r="S1111" s="2" t="s">
        <v>7766</v>
      </c>
      <c r="T1111" s="2" t="s">
        <v>7767</v>
      </c>
      <c r="U1111" s="2" t="s">
        <v>56</v>
      </c>
      <c r="V1111" s="2" t="s">
        <v>145</v>
      </c>
      <c r="W1111" s="2" t="s">
        <v>203</v>
      </c>
      <c r="X1111" s="2" t="s">
        <v>69</v>
      </c>
      <c r="Y1111" s="2">
        <v>65</v>
      </c>
      <c r="Z1111" s="2">
        <v>46.8</v>
      </c>
      <c r="AA1111" s="2" t="s">
        <v>163</v>
      </c>
      <c r="AB1111" s="2" t="s">
        <v>5579</v>
      </c>
      <c r="AC1111" s="2">
        <v>0.41489476285690802</v>
      </c>
      <c r="AD1111" s="2"/>
      <c r="AE1111" s="2">
        <v>0.55414775219915102</v>
      </c>
      <c r="AF1111" s="2">
        <v>28113.184120156799</v>
      </c>
      <c r="AG1111" s="2">
        <v>18493.847709318601</v>
      </c>
      <c r="AH1111" s="5">
        <v>1.52013710516234</v>
      </c>
      <c r="AI1111" s="5">
        <v>0.60420144999612002</v>
      </c>
      <c r="AJ1111" s="5" t="s">
        <v>139</v>
      </c>
      <c r="AK1111" s="2">
        <v>0.16061482358691301</v>
      </c>
      <c r="AL1111" s="2">
        <v>0.48380020681659203</v>
      </c>
      <c r="AM1111" s="2">
        <v>26473.985177965798</v>
      </c>
      <c r="AN1111" s="2">
        <v>49360.954580682199</v>
      </c>
      <c r="AO1111" s="2">
        <v>28663.278062280398</v>
      </c>
      <c r="AP1111" s="2">
        <v>13817.5704883779</v>
      </c>
      <c r="AQ1111" s="2">
        <v>20615.576600253</v>
      </c>
      <c r="AR1111" s="2">
        <v>29747.739811381602</v>
      </c>
      <c r="AS1111" s="2">
        <v>17624.131604150902</v>
      </c>
      <c r="AT1111" s="2">
        <v>7049.1523714775703</v>
      </c>
      <c r="AU1111" s="2">
        <v>33411.7726499868</v>
      </c>
      <c r="AV1111" s="2">
        <v>8172.4677388731598</v>
      </c>
      <c r="AW1111" s="2">
        <v>22829.318167313999</v>
      </c>
      <c r="AX1111" s="2">
        <v>21876.243724109099</v>
      </c>
    </row>
    <row r="1112" spans="1:50" x14ac:dyDescent="0.25">
      <c r="A1112" s="2" t="s">
        <v>7768</v>
      </c>
      <c r="B1112" s="2">
        <v>153.06631597013299</v>
      </c>
      <c r="C1112" s="2">
        <v>1.38448333333333</v>
      </c>
      <c r="D1112" s="2" t="s">
        <v>51</v>
      </c>
      <c r="E1112" s="2" t="s">
        <v>7769</v>
      </c>
      <c r="F1112" s="2">
        <v>48257</v>
      </c>
      <c r="G1112" s="3" t="str">
        <f>HYPERLINK("https://cloud.oebiotech.com/#/lm/network/48257", "https://cloud.oebiotech.com/#/lm/network/48257")</f>
        <v>https://cloud.oebiotech.com/#/lm/network/48257</v>
      </c>
      <c r="H1112" s="2" t="s">
        <v>7770</v>
      </c>
      <c r="I1112" s="2">
        <v>1502</v>
      </c>
      <c r="J1112" s="2"/>
      <c r="K1112" s="2">
        <v>440810</v>
      </c>
      <c r="L1112" s="2" t="s">
        <v>7771</v>
      </c>
      <c r="M1112" s="2" t="s">
        <v>7772</v>
      </c>
      <c r="N1112" s="2" t="s">
        <v>7773</v>
      </c>
      <c r="O1112" s="2">
        <v>27838</v>
      </c>
      <c r="P1112" s="2"/>
      <c r="Q1112" s="2"/>
      <c r="R1112" s="2" t="s">
        <v>7774</v>
      </c>
      <c r="S1112" s="2" t="s">
        <v>7775</v>
      </c>
      <c r="T1112" s="2" t="s">
        <v>7776</v>
      </c>
      <c r="U1112" s="2" t="s">
        <v>266</v>
      </c>
      <c r="V1112" s="2" t="s">
        <v>2143</v>
      </c>
      <c r="W1112" s="2" t="s">
        <v>2624</v>
      </c>
      <c r="X1112" s="2" t="s">
        <v>83</v>
      </c>
      <c r="Y1112" s="2">
        <v>38.6</v>
      </c>
      <c r="Z1112" s="2">
        <v>5.42</v>
      </c>
      <c r="AA1112" s="2" t="s">
        <v>259</v>
      </c>
      <c r="AB1112" s="2" t="s">
        <v>7777</v>
      </c>
      <c r="AC1112" s="2">
        <v>3.0385188424673699</v>
      </c>
      <c r="AD1112" s="2"/>
      <c r="AE1112" s="2">
        <v>0.55223904516316102</v>
      </c>
      <c r="AF1112" s="2">
        <v>21430.191410317999</v>
      </c>
      <c r="AG1112" s="2">
        <v>33427.871622812898</v>
      </c>
      <c r="AH1112" s="4">
        <v>0.64108752277524605</v>
      </c>
      <c r="AI1112" s="4">
        <v>-0.64140676447989597</v>
      </c>
      <c r="AJ1112" s="4" t="s">
        <v>62</v>
      </c>
      <c r="AK1112" s="2">
        <v>7.9867337095302401E-2</v>
      </c>
      <c r="AL1112" s="2">
        <v>0.365591657929692</v>
      </c>
      <c r="AM1112" s="2">
        <v>28909.478527843901</v>
      </c>
      <c r="AN1112" s="2">
        <v>18790.6335120617</v>
      </c>
      <c r="AO1112" s="2">
        <v>23133.802968910899</v>
      </c>
      <c r="AP1112" s="2">
        <v>18167.277278179899</v>
      </c>
      <c r="AQ1112" s="2">
        <v>12286.7100518726</v>
      </c>
      <c r="AR1112" s="2">
        <v>27293.246123039298</v>
      </c>
      <c r="AS1112" s="2">
        <v>23021.3443309514</v>
      </c>
      <c r="AT1112" s="2">
        <v>21675.029214520699</v>
      </c>
      <c r="AU1112" s="2">
        <v>50485.566609942704</v>
      </c>
      <c r="AV1112" s="2">
        <v>40249.869708861101</v>
      </c>
      <c r="AW1112" s="2">
        <v>45925.475291876901</v>
      </c>
      <c r="AX1112" s="2">
        <v>19209.944580724601</v>
      </c>
    </row>
    <row r="1113" spans="1:50" x14ac:dyDescent="0.25">
      <c r="A1113" s="2" t="s">
        <v>7778</v>
      </c>
      <c r="B1113" s="2">
        <v>351.25183929840398</v>
      </c>
      <c r="C1113" s="2">
        <v>14.465633333333299</v>
      </c>
      <c r="D1113" s="2" t="s">
        <v>51</v>
      </c>
      <c r="E1113" s="2" t="s">
        <v>7779</v>
      </c>
      <c r="F1113" s="2">
        <v>256223</v>
      </c>
      <c r="G1113" s="3" t="str">
        <f>HYPERLINK("https://cloud.oebiotech.com/#/lm/network/256223", "https://cloud.oebiotech.com/#/lm/network/256223")</f>
        <v>https://cloud.oebiotech.com/#/lm/network/256223</v>
      </c>
      <c r="H1113" s="2" t="s">
        <v>7780</v>
      </c>
      <c r="I1113" s="2"/>
      <c r="J1113" s="2"/>
      <c r="K1113" s="2">
        <v>13194</v>
      </c>
      <c r="L1113" s="2"/>
      <c r="M1113" s="2"/>
      <c r="N1113" s="2"/>
      <c r="O1113" s="2">
        <v>132109</v>
      </c>
      <c r="P1113" s="2"/>
      <c r="Q1113" s="2"/>
      <c r="R1113" s="2"/>
      <c r="S1113" s="2" t="s">
        <v>7781</v>
      </c>
      <c r="T1113" s="2" t="s">
        <v>7782</v>
      </c>
      <c r="U1113" s="2" t="s">
        <v>56</v>
      </c>
      <c r="V1113" s="2" t="s">
        <v>145</v>
      </c>
      <c r="W1113" s="2" t="s">
        <v>231</v>
      </c>
      <c r="X1113" s="2" t="s">
        <v>147</v>
      </c>
      <c r="Y1113" s="2">
        <v>39.1</v>
      </c>
      <c r="Z1113" s="2">
        <v>0</v>
      </c>
      <c r="AA1113" s="2" t="s">
        <v>218</v>
      </c>
      <c r="AB1113" s="2" t="s">
        <v>7783</v>
      </c>
      <c r="AC1113" s="2">
        <v>0.52827460670697701</v>
      </c>
      <c r="AD1113" s="2"/>
      <c r="AE1113" s="2">
        <v>0.55166053466244203</v>
      </c>
      <c r="AF1113" s="2">
        <v>12788.1539520198</v>
      </c>
      <c r="AG1113" s="2">
        <v>19084.2387499051</v>
      </c>
      <c r="AH1113" s="4">
        <v>0.67008981178688098</v>
      </c>
      <c r="AI1113" s="4">
        <v>-0.57757362269607104</v>
      </c>
      <c r="AJ1113" s="4" t="s">
        <v>62</v>
      </c>
      <c r="AK1113" s="2">
        <v>1.6796205082057099E-4</v>
      </c>
      <c r="AL1113" s="2">
        <v>3.9225470277496198E-2</v>
      </c>
      <c r="AM1113" s="2">
        <v>14060.631310967199</v>
      </c>
      <c r="AN1113" s="2">
        <v>10039.841678615399</v>
      </c>
      <c r="AO1113" s="2">
        <v>14065.6543994862</v>
      </c>
      <c r="AP1113" s="2">
        <v>9416.7712736796802</v>
      </c>
      <c r="AQ1113" s="2">
        <v>14841.1749413528</v>
      </c>
      <c r="AR1113" s="2">
        <v>14304.850108017499</v>
      </c>
      <c r="AS1113" s="2">
        <v>19398.2055938667</v>
      </c>
      <c r="AT1113" s="2">
        <v>18886.279689483301</v>
      </c>
      <c r="AU1113" s="2">
        <v>17413.292400670602</v>
      </c>
      <c r="AV1113" s="2">
        <v>20852.150664822198</v>
      </c>
      <c r="AW1113" s="2">
        <v>19381.518130896999</v>
      </c>
      <c r="AX1113" s="2">
        <v>18573.986019690699</v>
      </c>
    </row>
    <row r="1114" spans="1:50" x14ac:dyDescent="0.25">
      <c r="A1114" s="2" t="s">
        <v>7784</v>
      </c>
      <c r="B1114" s="2">
        <v>552.36744230132797</v>
      </c>
      <c r="C1114" s="2">
        <v>11.7151666666667</v>
      </c>
      <c r="D1114" s="2" t="s">
        <v>51</v>
      </c>
      <c r="E1114" s="2" t="s">
        <v>7785</v>
      </c>
      <c r="F1114" s="2">
        <v>19914</v>
      </c>
      <c r="G1114" s="3" t="str">
        <f>HYPERLINK("https://cloud.oebiotech.com/#/lm/network/19914", "https://cloud.oebiotech.com/#/lm/network/19914")</f>
        <v>https://cloud.oebiotech.com/#/lm/network/19914</v>
      </c>
      <c r="H1114" s="2"/>
      <c r="I1114" s="2"/>
      <c r="J1114" s="2" t="s">
        <v>7786</v>
      </c>
      <c r="K1114" s="2">
        <v>10553651</v>
      </c>
      <c r="L1114" s="2"/>
      <c r="M1114" s="2"/>
      <c r="N1114" s="2"/>
      <c r="O1114" s="2"/>
      <c r="P1114" s="2"/>
      <c r="Q1114" s="2"/>
      <c r="R1114" s="2"/>
      <c r="S1114" s="2" t="s">
        <v>7787</v>
      </c>
      <c r="T1114" s="2" t="s">
        <v>7788</v>
      </c>
      <c r="U1114" s="2" t="s">
        <v>56</v>
      </c>
      <c r="V1114" s="2" t="s">
        <v>57</v>
      </c>
      <c r="W1114" s="2" t="s">
        <v>58</v>
      </c>
      <c r="X1114" s="2" t="s">
        <v>69</v>
      </c>
      <c r="Y1114" s="2">
        <v>75.900000000000006</v>
      </c>
      <c r="Z1114" s="2">
        <v>97</v>
      </c>
      <c r="AA1114" s="2" t="s">
        <v>218</v>
      </c>
      <c r="AB1114" s="2" t="s">
        <v>1938</v>
      </c>
      <c r="AC1114" s="2">
        <v>0.71811142955718399</v>
      </c>
      <c r="AD1114" s="2"/>
      <c r="AE1114" s="2">
        <v>0.55129649998588404</v>
      </c>
      <c r="AF1114" s="2">
        <v>870618.911830873</v>
      </c>
      <c r="AG1114" s="2">
        <v>977629.22194650595</v>
      </c>
      <c r="AH1114" s="4">
        <v>0.89054100704705697</v>
      </c>
      <c r="AI1114" s="4">
        <v>-0.167246049757757</v>
      </c>
      <c r="AJ1114" s="4" t="s">
        <v>62</v>
      </c>
      <c r="AK1114" s="2">
        <v>0.55470150207554003</v>
      </c>
      <c r="AL1114" s="2">
        <v>0.77452088848129796</v>
      </c>
      <c r="AM1114" s="2">
        <v>1358645.91532428</v>
      </c>
      <c r="AN1114" s="2">
        <v>860855.74047460395</v>
      </c>
      <c r="AO1114" s="2">
        <v>767619.03744165297</v>
      </c>
      <c r="AP1114" s="2">
        <v>637596.70210390096</v>
      </c>
      <c r="AQ1114" s="2">
        <v>699094.65078515804</v>
      </c>
      <c r="AR1114" s="2">
        <v>899901.42485563899</v>
      </c>
      <c r="AS1114" s="2">
        <v>837463.51086211298</v>
      </c>
      <c r="AT1114" s="2">
        <v>528234.54452905897</v>
      </c>
      <c r="AU1114" s="2">
        <v>1534566.1085025901</v>
      </c>
      <c r="AV1114" s="2">
        <v>915138.67973104503</v>
      </c>
      <c r="AW1114" s="2">
        <v>1176735.1025998299</v>
      </c>
      <c r="AX1114" s="2">
        <v>873637.38545440102</v>
      </c>
    </row>
    <row r="1115" spans="1:50" x14ac:dyDescent="0.25">
      <c r="A1115" s="2" t="s">
        <v>7789</v>
      </c>
      <c r="B1115" s="2">
        <v>569.15007121308201</v>
      </c>
      <c r="C1115" s="2">
        <v>5.7101499999999996</v>
      </c>
      <c r="D1115" s="2" t="s">
        <v>51</v>
      </c>
      <c r="E1115" s="2" t="s">
        <v>7790</v>
      </c>
      <c r="F1115" s="2">
        <v>28970</v>
      </c>
      <c r="G1115" s="3" t="str">
        <f>HYPERLINK("https://cloud.oebiotech.com/#/lm/network/28970", "https://cloud.oebiotech.com/#/lm/network/28970")</f>
        <v>https://cloud.oebiotech.com/#/lm/network/28970</v>
      </c>
      <c r="H1115" s="2"/>
      <c r="I1115" s="2"/>
      <c r="J1115" s="2" t="s">
        <v>7791</v>
      </c>
      <c r="K1115" s="2">
        <v>637484</v>
      </c>
      <c r="L1115" s="2"/>
      <c r="M1115" s="2"/>
      <c r="N1115" s="2"/>
      <c r="O1115" s="2"/>
      <c r="P1115" s="2"/>
      <c r="Q1115" s="2"/>
      <c r="R1115" s="2"/>
      <c r="S1115" s="2" t="s">
        <v>7792</v>
      </c>
      <c r="T1115" s="2" t="s">
        <v>7793</v>
      </c>
      <c r="U1115" s="2" t="s">
        <v>540</v>
      </c>
      <c r="V1115" s="2" t="s">
        <v>541</v>
      </c>
      <c r="W1115" s="2" t="s">
        <v>542</v>
      </c>
      <c r="X1115" s="2" t="s">
        <v>147</v>
      </c>
      <c r="Y1115" s="2">
        <v>38.4</v>
      </c>
      <c r="Z1115" s="2">
        <v>0</v>
      </c>
      <c r="AA1115" s="2" t="s">
        <v>218</v>
      </c>
      <c r="AB1115" s="2" t="s">
        <v>7794</v>
      </c>
      <c r="AC1115" s="2">
        <v>-2.14175856563245</v>
      </c>
      <c r="AD1115" s="2"/>
      <c r="AE1115" s="2">
        <v>0.55121739123889102</v>
      </c>
      <c r="AF1115" s="2">
        <v>408.62166694766597</v>
      </c>
      <c r="AG1115" s="2">
        <v>11754.474124341101</v>
      </c>
      <c r="AH1115" s="4">
        <v>3.4763075117201003E-2</v>
      </c>
      <c r="AI1115" s="4">
        <v>-4.8463004821877904</v>
      </c>
      <c r="AJ1115" s="4" t="s">
        <v>62</v>
      </c>
      <c r="AK1115" s="2">
        <v>0.156208789479895</v>
      </c>
      <c r="AL1115" s="2">
        <v>0.47717103882190898</v>
      </c>
      <c r="AM1115" s="2">
        <v>965.84748995125199</v>
      </c>
      <c r="AN1115" s="2">
        <v>8.559877937157E-6</v>
      </c>
      <c r="AO1115" s="2">
        <v>234.60967158155199</v>
      </c>
      <c r="AP1115" s="2">
        <v>8.559877937157E-6</v>
      </c>
      <c r="AQ1115" s="2">
        <v>8.559877937157E-6</v>
      </c>
      <c r="AR1115" s="2">
        <v>1251.2728144735599</v>
      </c>
      <c r="AS1115" s="2">
        <v>8.559877937157E-6</v>
      </c>
      <c r="AT1115" s="2">
        <v>8.559877937157E-6</v>
      </c>
      <c r="AU1115" s="2">
        <v>16434.352376372099</v>
      </c>
      <c r="AV1115" s="2">
        <v>6232.40408373842</v>
      </c>
      <c r="AW1115" s="2">
        <v>46467.489685439999</v>
      </c>
      <c r="AX1115" s="2">
        <v>1392.5985833766299</v>
      </c>
    </row>
    <row r="1116" spans="1:50" x14ac:dyDescent="0.25">
      <c r="A1116" s="2" t="s">
        <v>7795</v>
      </c>
      <c r="B1116" s="2">
        <v>606.45089631707197</v>
      </c>
      <c r="C1116" s="2">
        <v>11.5340333333333</v>
      </c>
      <c r="D1116" s="2" t="s">
        <v>51</v>
      </c>
      <c r="E1116" s="2" t="s">
        <v>7796</v>
      </c>
      <c r="F1116" s="2">
        <v>21264</v>
      </c>
      <c r="G1116" s="3" t="str">
        <f>HYPERLINK("https://cloud.oebiotech.com/#/lm/network/21264", "https://cloud.oebiotech.com/#/lm/network/21264")</f>
        <v>https://cloud.oebiotech.com/#/lm/network/21264</v>
      </c>
      <c r="H1116" s="2"/>
      <c r="I1116" s="2"/>
      <c r="J1116" s="2" t="s">
        <v>7797</v>
      </c>
      <c r="K1116" s="2">
        <v>137323934</v>
      </c>
      <c r="L1116" s="2"/>
      <c r="M1116" s="2"/>
      <c r="N1116" s="2"/>
      <c r="O1116" s="2"/>
      <c r="P1116" s="2"/>
      <c r="Q1116" s="2"/>
      <c r="R1116" s="2"/>
      <c r="S1116" s="2" t="s">
        <v>7798</v>
      </c>
      <c r="T1116" s="2" t="s">
        <v>7799</v>
      </c>
      <c r="U1116" s="2" t="s">
        <v>56</v>
      </c>
      <c r="V1116" s="2" t="s">
        <v>57</v>
      </c>
      <c r="W1116" s="2" t="s">
        <v>155</v>
      </c>
      <c r="X1116" s="2" t="s">
        <v>69</v>
      </c>
      <c r="Y1116" s="2">
        <v>56</v>
      </c>
      <c r="Z1116" s="2">
        <v>73</v>
      </c>
      <c r="AA1116" s="2" t="s">
        <v>259</v>
      </c>
      <c r="AB1116" s="2" t="s">
        <v>7800</v>
      </c>
      <c r="AC1116" s="2">
        <v>2.6094337152302098</v>
      </c>
      <c r="AD1116" s="2"/>
      <c r="AE1116" s="2">
        <v>0.55095210016685603</v>
      </c>
      <c r="AF1116" s="2">
        <v>112319.729681297</v>
      </c>
      <c r="AG1116" s="2">
        <v>96629.924426774494</v>
      </c>
      <c r="AH1116" s="5">
        <v>1.16237004579686</v>
      </c>
      <c r="AI1116" s="5">
        <v>0.217069430401753</v>
      </c>
      <c r="AJ1116" s="5" t="s">
        <v>139</v>
      </c>
      <c r="AK1116" s="2">
        <v>0.53842969013554498</v>
      </c>
      <c r="AL1116" s="2">
        <v>0.76438476096000296</v>
      </c>
      <c r="AM1116" s="2">
        <v>116341.41995435501</v>
      </c>
      <c r="AN1116" s="2">
        <v>145969.43729740899</v>
      </c>
      <c r="AO1116" s="2">
        <v>156048.10639692101</v>
      </c>
      <c r="AP1116" s="2">
        <v>93564.683254943797</v>
      </c>
      <c r="AQ1116" s="2">
        <v>76258.554115697407</v>
      </c>
      <c r="AR1116" s="2">
        <v>85736.177068457197</v>
      </c>
      <c r="AS1116" s="2">
        <v>109981.348203395</v>
      </c>
      <c r="AT1116" s="2">
        <v>48912.099149987902</v>
      </c>
      <c r="AU1116" s="2">
        <v>156567.15892011201</v>
      </c>
      <c r="AV1116" s="2">
        <v>34613.3961940644</v>
      </c>
      <c r="AW1116" s="2">
        <v>81517.371274155696</v>
      </c>
      <c r="AX1116" s="2">
        <v>148188.17281893201</v>
      </c>
    </row>
    <row r="1117" spans="1:50" x14ac:dyDescent="0.25">
      <c r="A1117" s="2" t="s">
        <v>7801</v>
      </c>
      <c r="B1117" s="2">
        <v>405.18781823002701</v>
      </c>
      <c r="C1117" s="2">
        <v>8.1293166666666696</v>
      </c>
      <c r="D1117" s="2" t="s">
        <v>51</v>
      </c>
      <c r="E1117" s="2" t="s">
        <v>7802</v>
      </c>
      <c r="F1117" s="2">
        <v>60530</v>
      </c>
      <c r="G1117" s="3" t="str">
        <f>HYPERLINK("https://cloud.oebiotech.com/#/lm/network/60530", "https://cloud.oebiotech.com/#/lm/network/60530")</f>
        <v>https://cloud.oebiotech.com/#/lm/network/60530</v>
      </c>
      <c r="H1117" s="2" t="s">
        <v>7803</v>
      </c>
      <c r="I1117" s="2"/>
      <c r="J1117" s="2"/>
      <c r="K1117" s="2">
        <v>75144794</v>
      </c>
      <c r="L1117" s="2"/>
      <c r="M1117" s="2"/>
      <c r="N1117" s="2"/>
      <c r="O1117" s="2"/>
      <c r="P1117" s="2"/>
      <c r="Q1117" s="2"/>
      <c r="R1117" s="2" t="s">
        <v>7804</v>
      </c>
      <c r="S1117" s="2" t="s">
        <v>7805</v>
      </c>
      <c r="T1117" s="2" t="s">
        <v>7806</v>
      </c>
      <c r="U1117" s="2" t="s">
        <v>56</v>
      </c>
      <c r="V1117" s="2" t="s">
        <v>177</v>
      </c>
      <c r="W1117" s="2" t="s">
        <v>1996</v>
      </c>
      <c r="X1117" s="2" t="s">
        <v>59</v>
      </c>
      <c r="Y1117" s="2">
        <v>51.9</v>
      </c>
      <c r="Z1117" s="2">
        <v>66.5</v>
      </c>
      <c r="AA1117" s="2" t="s">
        <v>95</v>
      </c>
      <c r="AB1117" s="2" t="s">
        <v>7807</v>
      </c>
      <c r="AC1117" s="2">
        <v>-1.4540822198026699</v>
      </c>
      <c r="AD1117" s="2"/>
      <c r="AE1117" s="2">
        <v>0.550662725533139</v>
      </c>
      <c r="AF1117" s="2">
        <v>11008.2517273883</v>
      </c>
      <c r="AG1117" s="2">
        <v>4417.0222520237403</v>
      </c>
      <c r="AH1117" s="5">
        <v>2.49223370390418</v>
      </c>
      <c r="AI1117" s="5">
        <v>1.31743936035819</v>
      </c>
      <c r="AJ1117" s="5" t="s">
        <v>139</v>
      </c>
      <c r="AK1117" s="2">
        <v>7.2592090608065403E-3</v>
      </c>
      <c r="AL1117" s="2">
        <v>0.14428573672321601</v>
      </c>
      <c r="AM1117" s="2">
        <v>10170.7014704674</v>
      </c>
      <c r="AN1117" s="2">
        <v>18709.391074578802</v>
      </c>
      <c r="AO1117" s="2">
        <v>11114.157376114001</v>
      </c>
      <c r="AP1117" s="2">
        <v>6923.6059885023496</v>
      </c>
      <c r="AQ1117" s="2">
        <v>8817.7720430616191</v>
      </c>
      <c r="AR1117" s="2">
        <v>10313.8824116057</v>
      </c>
      <c r="AS1117" s="2">
        <v>7815.0392760230297</v>
      </c>
      <c r="AT1117" s="2">
        <v>2411.1613661699598</v>
      </c>
      <c r="AU1117" s="2">
        <v>6988.5772929414698</v>
      </c>
      <c r="AV1117" s="2">
        <v>1453.4723865487299</v>
      </c>
      <c r="AW1117" s="2">
        <v>2894.78695182104</v>
      </c>
      <c r="AX1117" s="2">
        <v>4939.0962386382098</v>
      </c>
    </row>
    <row r="1118" spans="1:50" x14ac:dyDescent="0.25">
      <c r="A1118" s="2" t="s">
        <v>7808</v>
      </c>
      <c r="B1118" s="2">
        <v>385.150792303527</v>
      </c>
      <c r="C1118" s="2">
        <v>5.1084166666666704</v>
      </c>
      <c r="D1118" s="2" t="s">
        <v>51</v>
      </c>
      <c r="E1118" s="2" t="s">
        <v>7809</v>
      </c>
      <c r="F1118" s="2">
        <v>62836</v>
      </c>
      <c r="G1118" s="3" t="str">
        <f>HYPERLINK("https://cloud.oebiotech.com/#/lm/network/62836", "https://cloud.oebiotech.com/#/lm/network/62836")</f>
        <v>https://cloud.oebiotech.com/#/lm/network/62836</v>
      </c>
      <c r="H1118" s="2" t="s">
        <v>7810</v>
      </c>
      <c r="I1118" s="2"/>
      <c r="J1118" s="2"/>
      <c r="K1118" s="2">
        <v>131752679</v>
      </c>
      <c r="L1118" s="2"/>
      <c r="M1118" s="2"/>
      <c r="N1118" s="2"/>
      <c r="O1118" s="2"/>
      <c r="P1118" s="2"/>
      <c r="Q1118" s="2"/>
      <c r="R1118" s="2" t="s">
        <v>7811</v>
      </c>
      <c r="S1118" s="2" t="s">
        <v>7812</v>
      </c>
      <c r="T1118" s="2" t="s">
        <v>7813</v>
      </c>
      <c r="U1118" s="2" t="s">
        <v>331</v>
      </c>
      <c r="V1118" s="2" t="s">
        <v>332</v>
      </c>
      <c r="W1118" s="2" t="s">
        <v>333</v>
      </c>
      <c r="X1118" s="2" t="s">
        <v>69</v>
      </c>
      <c r="Y1118" s="2">
        <v>59.5</v>
      </c>
      <c r="Z1118" s="2">
        <v>78.2</v>
      </c>
      <c r="AA1118" s="2" t="s">
        <v>163</v>
      </c>
      <c r="AB1118" s="2" t="s">
        <v>7814</v>
      </c>
      <c r="AC1118" s="2">
        <v>1.0004350157397801</v>
      </c>
      <c r="AD1118" s="2"/>
      <c r="AE1118" s="2">
        <v>0.55057595264308201</v>
      </c>
      <c r="AF1118" s="2">
        <v>1381.5846016810999</v>
      </c>
      <c r="AG1118" s="2">
        <v>11146.3601148494</v>
      </c>
      <c r="AH1118" s="4">
        <v>0.123949395806846</v>
      </c>
      <c r="AI1118" s="4">
        <v>-3.0121768558838</v>
      </c>
      <c r="AJ1118" s="4" t="s">
        <v>62</v>
      </c>
      <c r="AK1118" s="2">
        <v>5.5660173393149298E-2</v>
      </c>
      <c r="AL1118" s="2">
        <v>0.32365763901579597</v>
      </c>
      <c r="AM1118" s="2">
        <v>4050.2284789205401</v>
      </c>
      <c r="AN1118" s="2">
        <v>381.37476978966902</v>
      </c>
      <c r="AO1118" s="2">
        <v>1134.15831742519</v>
      </c>
      <c r="AP1118" s="2">
        <v>14.1705468804911</v>
      </c>
      <c r="AQ1118" s="2">
        <v>535.55452909471296</v>
      </c>
      <c r="AR1118" s="2">
        <v>2174.0209679760101</v>
      </c>
      <c r="AS1118" s="2">
        <v>1211.4824922836799</v>
      </c>
      <c r="AT1118" s="2">
        <v>3086.74175571348</v>
      </c>
      <c r="AU1118" s="2">
        <v>18657.813484392402</v>
      </c>
      <c r="AV1118" s="2">
        <v>13726.786406499399</v>
      </c>
      <c r="AW1118" s="2">
        <v>28156.246032335399</v>
      </c>
      <c r="AX1118" s="2">
        <v>2039.0905178718299</v>
      </c>
    </row>
    <row r="1119" spans="1:50" x14ac:dyDescent="0.25">
      <c r="A1119" s="2" t="s">
        <v>7815</v>
      </c>
      <c r="B1119" s="2">
        <v>274.17708716640999</v>
      </c>
      <c r="C1119" s="2">
        <v>1.30125</v>
      </c>
      <c r="D1119" s="2" t="s">
        <v>51</v>
      </c>
      <c r="E1119" s="2" t="s">
        <v>7816</v>
      </c>
      <c r="F1119" s="2">
        <v>202123</v>
      </c>
      <c r="G1119" s="3" t="str">
        <f>HYPERLINK("https://cloud.oebiotech.com/#/lm/network/202123", "https://cloud.oebiotech.com/#/lm/network/202123")</f>
        <v>https://cloud.oebiotech.com/#/lm/network/202123</v>
      </c>
      <c r="H1119" s="2" t="s">
        <v>7817</v>
      </c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 t="s">
        <v>7818</v>
      </c>
      <c r="T1119" s="2" t="s">
        <v>7819</v>
      </c>
      <c r="U1119" s="2" t="s">
        <v>103</v>
      </c>
      <c r="V1119" s="2" t="s">
        <v>104</v>
      </c>
      <c r="W1119" s="2" t="s">
        <v>105</v>
      </c>
      <c r="X1119" s="2" t="s">
        <v>83</v>
      </c>
      <c r="Y1119" s="2">
        <v>46.4</v>
      </c>
      <c r="Z1119" s="2">
        <v>1.46</v>
      </c>
      <c r="AA1119" s="2" t="s">
        <v>156</v>
      </c>
      <c r="AB1119" s="2" t="s">
        <v>7820</v>
      </c>
      <c r="AC1119" s="2">
        <v>3.2780560422432599</v>
      </c>
      <c r="AD1119" s="2"/>
      <c r="AE1119" s="2">
        <v>0.55057083637919502</v>
      </c>
      <c r="AF1119" s="2">
        <v>1131.7358429431699</v>
      </c>
      <c r="AG1119" s="2">
        <v>15573.7376417573</v>
      </c>
      <c r="AH1119" s="4">
        <v>7.2669507408978401E-2</v>
      </c>
      <c r="AI1119" s="4">
        <v>-3.7825060627429199</v>
      </c>
      <c r="AJ1119" s="4" t="s">
        <v>62</v>
      </c>
      <c r="AK1119" s="2">
        <v>0.37249772940486903</v>
      </c>
      <c r="AL1119" s="2">
        <v>0.65429556789251697</v>
      </c>
      <c r="AM1119" s="2">
        <v>355.13302191415801</v>
      </c>
      <c r="AN1119" s="2">
        <v>682.88336051126703</v>
      </c>
      <c r="AO1119" s="2">
        <v>290.67222443237102</v>
      </c>
      <c r="AP1119" s="2">
        <v>8.559877937157E-6</v>
      </c>
      <c r="AQ1119" s="2">
        <v>8.559877937157E-6</v>
      </c>
      <c r="AR1119" s="2">
        <v>5461.7264336814696</v>
      </c>
      <c r="AS1119" s="2">
        <v>140.449433661901</v>
      </c>
      <c r="AT1119" s="2">
        <v>388.47903072551298</v>
      </c>
      <c r="AU1119" s="2">
        <v>8.559877937157E-6</v>
      </c>
      <c r="AV1119" s="2">
        <v>8.559877937157E-6</v>
      </c>
      <c r="AW1119" s="2">
        <v>92794.823617036905</v>
      </c>
      <c r="AX1119" s="2">
        <v>118.673751999918</v>
      </c>
    </row>
    <row r="1120" spans="1:50" x14ac:dyDescent="0.25">
      <c r="A1120" s="2" t="s">
        <v>7821</v>
      </c>
      <c r="B1120" s="2">
        <v>291.20758400576602</v>
      </c>
      <c r="C1120" s="2">
        <v>4.3824333333333296</v>
      </c>
      <c r="D1120" s="2" t="s">
        <v>51</v>
      </c>
      <c r="E1120" s="2" t="s">
        <v>7822</v>
      </c>
      <c r="F1120" s="2">
        <v>212906</v>
      </c>
      <c r="G1120" s="3" t="str">
        <f>HYPERLINK("https://cloud.oebiotech.com/#/lm/network/212906", "https://cloud.oebiotech.com/#/lm/network/212906")</f>
        <v>https://cloud.oebiotech.com/#/lm/network/212906</v>
      </c>
      <c r="H1120" s="2" t="s">
        <v>7823</v>
      </c>
      <c r="I1120" s="2">
        <v>2382</v>
      </c>
      <c r="J1120" s="2"/>
      <c r="K1120" s="2">
        <v>10379478</v>
      </c>
      <c r="L1120" s="2" t="s">
        <v>7824</v>
      </c>
      <c r="M1120" s="2"/>
      <c r="N1120" s="2"/>
      <c r="O1120" s="2"/>
      <c r="P1120" s="2"/>
      <c r="Q1120" s="2"/>
      <c r="R1120" s="2" t="s">
        <v>7825</v>
      </c>
      <c r="S1120" s="2" t="s">
        <v>7826</v>
      </c>
      <c r="T1120" s="2" t="s">
        <v>7827</v>
      </c>
      <c r="U1120" s="2" t="s">
        <v>103</v>
      </c>
      <c r="V1120" s="2" t="s">
        <v>104</v>
      </c>
      <c r="W1120" s="2" t="s">
        <v>105</v>
      </c>
      <c r="X1120" s="2" t="s">
        <v>147</v>
      </c>
      <c r="Y1120" s="2">
        <v>39.1</v>
      </c>
      <c r="Z1120" s="2">
        <v>2.39</v>
      </c>
      <c r="AA1120" s="2" t="s">
        <v>60</v>
      </c>
      <c r="AB1120" s="2" t="s">
        <v>4618</v>
      </c>
      <c r="AC1120" s="2">
        <v>3.0306442424257898</v>
      </c>
      <c r="AD1120" s="2"/>
      <c r="AE1120" s="2">
        <v>0.55043974701930598</v>
      </c>
      <c r="AF1120" s="2">
        <v>7376.2904751070801</v>
      </c>
      <c r="AG1120" s="2">
        <v>27755.908249563901</v>
      </c>
      <c r="AH1120" s="4">
        <v>0.26575568735795102</v>
      </c>
      <c r="AI1120" s="4">
        <v>-1.91182752811569</v>
      </c>
      <c r="AJ1120" s="4" t="s">
        <v>62</v>
      </c>
      <c r="AK1120" s="2">
        <v>0.43717381935271499</v>
      </c>
      <c r="AL1120" s="2">
        <v>0.69389880990636499</v>
      </c>
      <c r="AM1120" s="2">
        <v>30731.244682029701</v>
      </c>
      <c r="AN1120" s="2">
        <v>855.82664666076096</v>
      </c>
      <c r="AO1120" s="2">
        <v>421.37266923502898</v>
      </c>
      <c r="AP1120" s="2">
        <v>11456.605161069499</v>
      </c>
      <c r="AQ1120" s="2">
        <v>281.42907537950902</v>
      </c>
      <c r="AR1120" s="2">
        <v>511.26461626798903</v>
      </c>
      <c r="AS1120" s="2">
        <v>9182.3117564503209</v>
      </c>
      <c r="AT1120" s="2">
        <v>249.16109128355001</v>
      </c>
      <c r="AU1120" s="2">
        <v>172.83393193982201</v>
      </c>
      <c r="AV1120" s="2">
        <v>8.559877937157E-6</v>
      </c>
      <c r="AW1120" s="2">
        <v>6017.8148821170798</v>
      </c>
      <c r="AX1120" s="2">
        <v>150913.327827033</v>
      </c>
    </row>
    <row r="1121" spans="1:50" x14ac:dyDescent="0.25">
      <c r="A1121" s="2" t="s">
        <v>7828</v>
      </c>
      <c r="B1121" s="2">
        <v>240.048694499053</v>
      </c>
      <c r="C1121" s="2">
        <v>1.02656666666667</v>
      </c>
      <c r="D1121" s="2" t="s">
        <v>51</v>
      </c>
      <c r="E1121" s="2" t="s">
        <v>7829</v>
      </c>
      <c r="F1121" s="2">
        <v>200420</v>
      </c>
      <c r="G1121" s="3" t="str">
        <f>HYPERLINK("https://cloud.oebiotech.com/#/lm/network/200420", "https://cloud.oebiotech.com/#/lm/network/200420")</f>
        <v>https://cloud.oebiotech.com/#/lm/network/200420</v>
      </c>
      <c r="H1121" s="2" t="s">
        <v>7830</v>
      </c>
      <c r="I1121" s="2">
        <v>357941</v>
      </c>
      <c r="J1121" s="2"/>
      <c r="K1121" s="2">
        <v>81131</v>
      </c>
      <c r="L1121" s="2"/>
      <c r="M1121" s="2"/>
      <c r="N1121" s="2"/>
      <c r="O1121" s="2"/>
      <c r="P1121" s="2"/>
      <c r="Q1121" s="2"/>
      <c r="R1121" s="2"/>
      <c r="S1121" s="2" t="s">
        <v>7831</v>
      </c>
      <c r="T1121" s="2" t="s">
        <v>7832</v>
      </c>
      <c r="U1121" s="2" t="s">
        <v>266</v>
      </c>
      <c r="V1121" s="2" t="s">
        <v>5547</v>
      </c>
      <c r="W1121" s="2" t="s">
        <v>5548</v>
      </c>
      <c r="X1121" s="2" t="s">
        <v>147</v>
      </c>
      <c r="Y1121" s="2">
        <v>39.4</v>
      </c>
      <c r="Z1121" s="2">
        <v>9.6300000000000008</v>
      </c>
      <c r="AA1121" s="2" t="s">
        <v>163</v>
      </c>
      <c r="AB1121" s="2" t="s">
        <v>7833</v>
      </c>
      <c r="AC1121" s="2">
        <v>-0.68053060463762005</v>
      </c>
      <c r="AD1121" s="2"/>
      <c r="AE1121" s="2">
        <v>0.55004064823450904</v>
      </c>
      <c r="AF1121" s="2">
        <v>128999.527236197</v>
      </c>
      <c r="AG1121" s="2">
        <v>116518.382745257</v>
      </c>
      <c r="AH1121" s="5">
        <v>1.10711738523034</v>
      </c>
      <c r="AI1121" s="5">
        <v>0.146808196023169</v>
      </c>
      <c r="AJ1121" s="5" t="s">
        <v>139</v>
      </c>
      <c r="AK1121" s="2">
        <v>0.63203006473088397</v>
      </c>
      <c r="AL1121" s="2">
        <v>0.81944950313377996</v>
      </c>
      <c r="AM1121" s="2">
        <v>221212.24358082801</v>
      </c>
      <c r="AN1121" s="2">
        <v>58044.313329307697</v>
      </c>
      <c r="AO1121" s="2">
        <v>131485.32417224001</v>
      </c>
      <c r="AP1121" s="2">
        <v>140753.32535892399</v>
      </c>
      <c r="AQ1121" s="2">
        <v>119479.485026676</v>
      </c>
      <c r="AR1121" s="2">
        <v>103022.47194920501</v>
      </c>
      <c r="AS1121" s="2">
        <v>93738.819504450104</v>
      </c>
      <c r="AT1121" s="2">
        <v>127932.313433352</v>
      </c>
      <c r="AU1121" s="2">
        <v>160889.37871599101</v>
      </c>
      <c r="AV1121" s="2">
        <v>112872.783460943</v>
      </c>
      <c r="AW1121" s="2">
        <v>130531.400642719</v>
      </c>
      <c r="AX1121" s="2">
        <v>73145.600714088505</v>
      </c>
    </row>
    <row r="1122" spans="1:50" x14ac:dyDescent="0.25">
      <c r="A1122" s="2" t="s">
        <v>7834</v>
      </c>
      <c r="B1122" s="2">
        <v>174.09</v>
      </c>
      <c r="C1122" s="2">
        <v>18.279</v>
      </c>
      <c r="D1122" s="2" t="s">
        <v>125</v>
      </c>
      <c r="E1122" s="2" t="s">
        <v>7835</v>
      </c>
      <c r="F1122" s="2">
        <v>47788</v>
      </c>
      <c r="G1122" s="3" t="str">
        <f>HYPERLINK("https://cloud.oebiotech.com/#/lm/network/47788", "https://cloud.oebiotech.com/#/lm/network/47788")</f>
        <v>https://cloud.oebiotech.com/#/lm/network/47788</v>
      </c>
      <c r="H1122" s="2" t="s">
        <v>7836</v>
      </c>
      <c r="I1122" s="2">
        <v>3252</v>
      </c>
      <c r="J1122" s="2"/>
      <c r="K1122" s="2">
        <v>122356</v>
      </c>
      <c r="L1122" s="2" t="s">
        <v>7837</v>
      </c>
      <c r="M1122" s="2" t="s">
        <v>1194</v>
      </c>
      <c r="N1122" s="2" t="s">
        <v>1195</v>
      </c>
      <c r="O1122" s="2">
        <v>17768</v>
      </c>
      <c r="P1122" s="2"/>
      <c r="Q1122" s="2"/>
      <c r="R1122" s="2" t="s">
        <v>7838</v>
      </c>
      <c r="S1122" s="2" t="s">
        <v>7839</v>
      </c>
      <c r="T1122" s="2" t="s">
        <v>7840</v>
      </c>
      <c r="U1122" s="2" t="s">
        <v>103</v>
      </c>
      <c r="V1122" s="2" t="s">
        <v>7841</v>
      </c>
      <c r="W1122" s="2" t="s">
        <v>7842</v>
      </c>
      <c r="X1122" s="2" t="s">
        <v>69</v>
      </c>
      <c r="Y1122" s="2">
        <v>90.8</v>
      </c>
      <c r="Z1122" s="2">
        <v>85.2</v>
      </c>
      <c r="AA1122" s="2"/>
      <c r="AB1122" s="2" t="s">
        <v>7843</v>
      </c>
      <c r="AC1122" s="2"/>
      <c r="AD1122" s="2">
        <v>613633.26648669504</v>
      </c>
      <c r="AE1122" s="2">
        <v>0.54994760723509994</v>
      </c>
      <c r="AF1122" s="2">
        <v>17644.484869550299</v>
      </c>
      <c r="AG1122" s="2">
        <v>111984.08499685</v>
      </c>
      <c r="AH1122" s="4">
        <v>0.157562432822902</v>
      </c>
      <c r="AI1122" s="4">
        <v>-2.6660044968997001</v>
      </c>
      <c r="AJ1122" s="4" t="s">
        <v>62</v>
      </c>
      <c r="AK1122" s="2">
        <v>0.18844817000266101</v>
      </c>
      <c r="AL1122" s="2">
        <v>0.51283040988850104</v>
      </c>
      <c r="AM1122" s="2">
        <v>6744.4961063801402</v>
      </c>
      <c r="AN1122" s="2">
        <v>6391.3309902215997</v>
      </c>
      <c r="AO1122" s="2">
        <v>13038.623293561601</v>
      </c>
      <c r="AP1122" s="2">
        <v>6784.7975927589396</v>
      </c>
      <c r="AQ1122" s="2">
        <v>27575.1040781103</v>
      </c>
      <c r="AR1122" s="2">
        <v>45332.5571562693</v>
      </c>
      <c r="AS1122" s="2">
        <v>2299.8352172700202</v>
      </c>
      <c r="AT1122" s="2">
        <v>6295.9974730680897</v>
      </c>
      <c r="AU1122" s="2">
        <v>330363.663292396</v>
      </c>
      <c r="AV1122" s="2">
        <v>314054.81346483302</v>
      </c>
      <c r="AW1122" s="2">
        <v>6845.8120805435401</v>
      </c>
      <c r="AX1122" s="2">
        <v>12044.3884529897</v>
      </c>
    </row>
    <row r="1123" spans="1:50" x14ac:dyDescent="0.25">
      <c r="A1123" s="2" t="s">
        <v>7844</v>
      </c>
      <c r="B1123" s="2">
        <v>246.109350591468</v>
      </c>
      <c r="C1123" s="2">
        <v>0.72640000000000005</v>
      </c>
      <c r="D1123" s="2" t="s">
        <v>51</v>
      </c>
      <c r="E1123" s="2" t="s">
        <v>7845</v>
      </c>
      <c r="F1123" s="2">
        <v>54086</v>
      </c>
      <c r="G1123" s="3" t="str">
        <f>HYPERLINK("https://cloud.oebiotech.com/#/lm/network/54086", "https://cloud.oebiotech.com/#/lm/network/54086")</f>
        <v>https://cloud.oebiotech.com/#/lm/network/54086</v>
      </c>
      <c r="H1123" s="2" t="s">
        <v>7846</v>
      </c>
      <c r="I1123" s="2">
        <v>85968</v>
      </c>
      <c r="J1123" s="2"/>
      <c r="K1123" s="2">
        <v>131750786</v>
      </c>
      <c r="L1123" s="2"/>
      <c r="M1123" s="2"/>
      <c r="N1123" s="2"/>
      <c r="O1123" s="2"/>
      <c r="P1123" s="2"/>
      <c r="Q1123" s="2"/>
      <c r="R1123" s="2"/>
      <c r="S1123" s="2" t="s">
        <v>7847</v>
      </c>
      <c r="T1123" s="2" t="s">
        <v>7848</v>
      </c>
      <c r="U1123" s="2" t="s">
        <v>103</v>
      </c>
      <c r="V1123" s="2" t="s">
        <v>104</v>
      </c>
      <c r="W1123" s="2" t="s">
        <v>105</v>
      </c>
      <c r="X1123" s="2" t="s">
        <v>69</v>
      </c>
      <c r="Y1123" s="2">
        <v>51.8</v>
      </c>
      <c r="Z1123" s="2">
        <v>65</v>
      </c>
      <c r="AA1123" s="2" t="s">
        <v>163</v>
      </c>
      <c r="AB1123" s="2" t="s">
        <v>7849</v>
      </c>
      <c r="AC1123" s="2">
        <v>-0.78357240772374603</v>
      </c>
      <c r="AD1123" s="2"/>
      <c r="AE1123" s="2">
        <v>0.54858031621008396</v>
      </c>
      <c r="AF1123" s="2">
        <v>16394.605227199201</v>
      </c>
      <c r="AG1123" s="2">
        <v>37173.075738890599</v>
      </c>
      <c r="AH1123" s="4">
        <v>0.44103440195149501</v>
      </c>
      <c r="AI1123" s="4">
        <v>-1.1810369003538499</v>
      </c>
      <c r="AJ1123" s="4" t="s">
        <v>62</v>
      </c>
      <c r="AK1123" s="2">
        <v>0.57124558767127598</v>
      </c>
      <c r="AL1123" s="2">
        <v>0.78325289930816699</v>
      </c>
      <c r="AM1123" s="2">
        <v>37022.137672769</v>
      </c>
      <c r="AN1123" s="2">
        <v>963.975330987951</v>
      </c>
      <c r="AO1123" s="2">
        <v>605.93812117201298</v>
      </c>
      <c r="AP1123" s="2">
        <v>499.07284456436298</v>
      </c>
      <c r="AQ1123" s="2">
        <v>37815.531668137803</v>
      </c>
      <c r="AR1123" s="2">
        <v>21460.9757255642</v>
      </c>
      <c r="AS1123" s="2">
        <v>8.559877937157E-6</v>
      </c>
      <c r="AT1123" s="2">
        <v>8.559877937157E-6</v>
      </c>
      <c r="AU1123" s="2">
        <v>5931.1067364092396</v>
      </c>
      <c r="AV1123" s="2">
        <v>210613.56658932901</v>
      </c>
      <c r="AW1123" s="2">
        <v>8.559877937157E-6</v>
      </c>
      <c r="AX1123" s="2">
        <v>6493.7810819256501</v>
      </c>
    </row>
    <row r="1124" spans="1:50" x14ac:dyDescent="0.25">
      <c r="A1124" s="2" t="s">
        <v>7850</v>
      </c>
      <c r="B1124" s="2">
        <v>459.13890822315398</v>
      </c>
      <c r="C1124" s="2">
        <v>6.7833500000000004</v>
      </c>
      <c r="D1124" s="2" t="s">
        <v>51</v>
      </c>
      <c r="E1124" s="2" t="s">
        <v>7851</v>
      </c>
      <c r="F1124" s="2">
        <v>204002</v>
      </c>
      <c r="G1124" s="3" t="str">
        <f>HYPERLINK("https://cloud.oebiotech.com/#/lm/network/204002", "https://cloud.oebiotech.com/#/lm/network/204002")</f>
        <v>https://cloud.oebiotech.com/#/lm/network/204002</v>
      </c>
      <c r="H1124" s="2" t="s">
        <v>7852</v>
      </c>
      <c r="I1124" s="2">
        <v>44054</v>
      </c>
      <c r="J1124" s="2"/>
      <c r="K1124" s="2">
        <v>6697</v>
      </c>
      <c r="L1124" s="2"/>
      <c r="M1124" s="2"/>
      <c r="N1124" s="2"/>
      <c r="O1124" s="2"/>
      <c r="P1124" s="2"/>
      <c r="Q1124" s="2"/>
      <c r="R1124" s="2" t="s">
        <v>7853</v>
      </c>
      <c r="S1124" s="2" t="s">
        <v>7854</v>
      </c>
      <c r="T1124" s="2" t="s">
        <v>7855</v>
      </c>
      <c r="U1124" s="2" t="s">
        <v>610</v>
      </c>
      <c r="V1124" s="2" t="s">
        <v>5991</v>
      </c>
      <c r="W1124" s="2" t="s">
        <v>240</v>
      </c>
      <c r="X1124" s="2" t="s">
        <v>147</v>
      </c>
      <c r="Y1124" s="2">
        <v>39.5</v>
      </c>
      <c r="Z1124" s="2">
        <v>0</v>
      </c>
      <c r="AA1124" s="2" t="s">
        <v>478</v>
      </c>
      <c r="AB1124" s="2" t="s">
        <v>7856</v>
      </c>
      <c r="AC1124" s="2">
        <v>-0.315606920780242</v>
      </c>
      <c r="AD1124" s="2"/>
      <c r="AE1124" s="2">
        <v>0.54853833205010305</v>
      </c>
      <c r="AF1124" s="2">
        <v>20598.6956382309</v>
      </c>
      <c r="AG1124" s="2">
        <v>10890.045173107101</v>
      </c>
      <c r="AH1124" s="5">
        <v>1.8915160874721899</v>
      </c>
      <c r="AI1124" s="5">
        <v>0.91954304665831699</v>
      </c>
      <c r="AJ1124" s="5" t="s">
        <v>139</v>
      </c>
      <c r="AK1124" s="2">
        <v>5.2082395486557201E-2</v>
      </c>
      <c r="AL1124" s="2">
        <v>0.315845946888345</v>
      </c>
      <c r="AM1124" s="2">
        <v>26133.986366826499</v>
      </c>
      <c r="AN1124" s="2">
        <v>18744.237655257599</v>
      </c>
      <c r="AO1124" s="2">
        <v>24563.552947842501</v>
      </c>
      <c r="AP1124" s="2">
        <v>24646.417864922601</v>
      </c>
      <c r="AQ1124" s="2">
        <v>12210.9729992757</v>
      </c>
      <c r="AR1124" s="2">
        <v>17293.005995260301</v>
      </c>
      <c r="AS1124" s="2">
        <v>28569.210586560399</v>
      </c>
      <c r="AT1124" s="2">
        <v>10465.449740342499</v>
      </c>
      <c r="AU1124" s="2">
        <v>3872.1235137804902</v>
      </c>
      <c r="AV1124" s="2">
        <v>6990.0511579866597</v>
      </c>
      <c r="AW1124" s="2">
        <v>12043.793774663</v>
      </c>
      <c r="AX1124" s="2">
        <v>3399.64226530933</v>
      </c>
    </row>
    <row r="1125" spans="1:50" x14ac:dyDescent="0.25">
      <c r="A1125" s="2" t="s">
        <v>7857</v>
      </c>
      <c r="B1125" s="2">
        <v>311.25630402457102</v>
      </c>
      <c r="C1125" s="2">
        <v>11.9790666666667</v>
      </c>
      <c r="D1125" s="2" t="s">
        <v>51</v>
      </c>
      <c r="E1125" s="2" t="s">
        <v>7858</v>
      </c>
      <c r="F1125" s="2">
        <v>1988</v>
      </c>
      <c r="G1125" s="3" t="str">
        <f>HYPERLINK("https://cloud.oebiotech.com/#/lm/network/1988", "https://cloud.oebiotech.com/#/lm/network/1988")</f>
        <v>https://cloud.oebiotech.com/#/lm/network/1988</v>
      </c>
      <c r="H1125" s="2"/>
      <c r="I1125" s="2"/>
      <c r="J1125" s="2" t="s">
        <v>7859</v>
      </c>
      <c r="K1125" s="2">
        <v>90474977</v>
      </c>
      <c r="L1125" s="2"/>
      <c r="M1125" s="2"/>
      <c r="N1125" s="2"/>
      <c r="O1125" s="2"/>
      <c r="P1125" s="2"/>
      <c r="Q1125" s="2"/>
      <c r="R1125" s="2"/>
      <c r="S1125" s="2" t="s">
        <v>7860</v>
      </c>
      <c r="T1125" s="2" t="s">
        <v>7861</v>
      </c>
      <c r="U1125" s="2" t="s">
        <v>56</v>
      </c>
      <c r="V1125" s="2" t="s">
        <v>145</v>
      </c>
      <c r="W1125" s="2" t="s">
        <v>203</v>
      </c>
      <c r="X1125" s="2" t="s">
        <v>83</v>
      </c>
      <c r="Y1125" s="2">
        <v>43.9</v>
      </c>
      <c r="Z1125" s="2">
        <v>0</v>
      </c>
      <c r="AA1125" s="2" t="s">
        <v>259</v>
      </c>
      <c r="AB1125" s="2" t="s">
        <v>7862</v>
      </c>
      <c r="AC1125" s="2">
        <v>-5.69654137301477</v>
      </c>
      <c r="AD1125" s="2"/>
      <c r="AE1125" s="2">
        <v>0.54853415096518898</v>
      </c>
      <c r="AF1125" s="2">
        <v>6963.5460227166604</v>
      </c>
      <c r="AG1125" s="2">
        <v>14132.7370590259</v>
      </c>
      <c r="AH1125" s="4">
        <v>0.49272451568532999</v>
      </c>
      <c r="AI1125" s="4">
        <v>-1.0211468396412799</v>
      </c>
      <c r="AJ1125" s="4" t="s">
        <v>62</v>
      </c>
      <c r="AK1125" s="2">
        <v>4.6140302354986097E-2</v>
      </c>
      <c r="AL1125" s="2">
        <v>0.303077969035141</v>
      </c>
      <c r="AM1125" s="2">
        <v>1392.6364923025999</v>
      </c>
      <c r="AN1125" s="2">
        <v>3665.83820021065</v>
      </c>
      <c r="AO1125" s="2">
        <v>8965.6164334279692</v>
      </c>
      <c r="AP1125" s="2">
        <v>5690.0038903002496</v>
      </c>
      <c r="AQ1125" s="2">
        <v>11765.21586498</v>
      </c>
      <c r="AR1125" s="2">
        <v>10301.965255078499</v>
      </c>
      <c r="AS1125" s="2">
        <v>9090.5276076876908</v>
      </c>
      <c r="AT1125" s="2">
        <v>8490.0604030192899</v>
      </c>
      <c r="AU1125" s="2">
        <v>12075.9630543398</v>
      </c>
      <c r="AV1125" s="2">
        <v>15087.3990392571</v>
      </c>
      <c r="AW1125" s="2">
        <v>13538.3529627351</v>
      </c>
      <c r="AX1125" s="2">
        <v>26514.119287116599</v>
      </c>
    </row>
    <row r="1126" spans="1:50" x14ac:dyDescent="0.25">
      <c r="A1126" s="2" t="s">
        <v>7863</v>
      </c>
      <c r="B1126" s="2">
        <v>179.143401110192</v>
      </c>
      <c r="C1126" s="2">
        <v>10.906883333333299</v>
      </c>
      <c r="D1126" s="2" t="s">
        <v>51</v>
      </c>
      <c r="E1126" s="2" t="s">
        <v>7864</v>
      </c>
      <c r="F1126" s="2">
        <v>732</v>
      </c>
      <c r="G1126" s="3" t="str">
        <f>HYPERLINK("https://cloud.oebiotech.com/#/lm/network/732", "https://cloud.oebiotech.com/#/lm/network/732")</f>
        <v>https://cloud.oebiotech.com/#/lm/network/732</v>
      </c>
      <c r="H1126" s="2"/>
      <c r="I1126" s="2">
        <v>34902</v>
      </c>
      <c r="J1126" s="2" t="s">
        <v>7865</v>
      </c>
      <c r="K1126" s="2">
        <v>5312389</v>
      </c>
      <c r="L1126" s="2"/>
      <c r="M1126" s="2"/>
      <c r="N1126" s="2"/>
      <c r="O1126" s="2"/>
      <c r="P1126" s="2"/>
      <c r="Q1126" s="2"/>
      <c r="R1126" s="2"/>
      <c r="S1126" s="2" t="s">
        <v>7866</v>
      </c>
      <c r="T1126" s="2" t="s">
        <v>7867</v>
      </c>
      <c r="U1126" s="2" t="s">
        <v>56</v>
      </c>
      <c r="V1126" s="2" t="s">
        <v>145</v>
      </c>
      <c r="W1126" s="2" t="s">
        <v>231</v>
      </c>
      <c r="X1126" s="2" t="s">
        <v>59</v>
      </c>
      <c r="Y1126" s="2">
        <v>47.7</v>
      </c>
      <c r="Z1126" s="2">
        <v>45.1</v>
      </c>
      <c r="AA1126" s="2" t="s">
        <v>156</v>
      </c>
      <c r="AB1126" s="2" t="s">
        <v>7868</v>
      </c>
      <c r="AC1126" s="2">
        <v>1.8327116924256299</v>
      </c>
      <c r="AD1126" s="2"/>
      <c r="AE1126" s="2">
        <v>0.54725016825360095</v>
      </c>
      <c r="AF1126" s="2">
        <v>31205.565311788301</v>
      </c>
      <c r="AG1126" s="2">
        <v>22096.4405379688</v>
      </c>
      <c r="AH1126" s="5">
        <v>1.4122439882644</v>
      </c>
      <c r="AI1126" s="5">
        <v>0.49798935932467497</v>
      </c>
      <c r="AJ1126" s="5" t="s">
        <v>139</v>
      </c>
      <c r="AK1126" s="2">
        <v>2.0989102304718898E-2</v>
      </c>
      <c r="AL1126" s="2">
        <v>0.22615662501473</v>
      </c>
      <c r="AM1126" s="2">
        <v>21923.9008297611</v>
      </c>
      <c r="AN1126" s="2">
        <v>36970.362098085003</v>
      </c>
      <c r="AO1126" s="2">
        <v>33324.883286502001</v>
      </c>
      <c r="AP1126" s="2">
        <v>35437.257587072701</v>
      </c>
      <c r="AQ1126" s="2">
        <v>26940.499168731301</v>
      </c>
      <c r="AR1126" s="2">
        <v>32636.488900577599</v>
      </c>
      <c r="AS1126" s="2">
        <v>26846.3823994501</v>
      </c>
      <c r="AT1126" s="2">
        <v>25340.9420787167</v>
      </c>
      <c r="AU1126" s="2">
        <v>21420.5013832285</v>
      </c>
      <c r="AV1126" s="2">
        <v>14151.772338463999</v>
      </c>
      <c r="AW1126" s="2">
        <v>16337.1750156207</v>
      </c>
      <c r="AX1126" s="2">
        <v>28481.8700123327</v>
      </c>
    </row>
    <row r="1127" spans="1:50" x14ac:dyDescent="0.25">
      <c r="A1127" s="2" t="s">
        <v>7869</v>
      </c>
      <c r="B1127" s="2">
        <v>465.35898229718703</v>
      </c>
      <c r="C1127" s="2">
        <v>11.6313666666667</v>
      </c>
      <c r="D1127" s="2" t="s">
        <v>51</v>
      </c>
      <c r="E1127" s="2" t="s">
        <v>7870</v>
      </c>
      <c r="F1127" s="2">
        <v>46432</v>
      </c>
      <c r="G1127" s="3" t="str">
        <f>HYPERLINK("https://cloud.oebiotech.com/#/lm/network/46432", "https://cloud.oebiotech.com/#/lm/network/46432")</f>
        <v>https://cloud.oebiotech.com/#/lm/network/46432</v>
      </c>
      <c r="H1127" s="2"/>
      <c r="I1127" s="2">
        <v>84848</v>
      </c>
      <c r="J1127" s="2" t="s">
        <v>7871</v>
      </c>
      <c r="K1127" s="2">
        <v>5284275</v>
      </c>
      <c r="L1127" s="2"/>
      <c r="M1127" s="2"/>
      <c r="N1127" s="2"/>
      <c r="O1127" s="2"/>
      <c r="P1127" s="2"/>
      <c r="Q1127" s="2"/>
      <c r="R1127" s="2"/>
      <c r="S1127" s="2" t="s">
        <v>7872</v>
      </c>
      <c r="T1127" s="2" t="s">
        <v>7873</v>
      </c>
      <c r="U1127" s="2" t="s">
        <v>56</v>
      </c>
      <c r="V1127" s="2" t="s">
        <v>283</v>
      </c>
      <c r="W1127" s="2" t="s">
        <v>2042</v>
      </c>
      <c r="X1127" s="2" t="s">
        <v>69</v>
      </c>
      <c r="Y1127" s="2">
        <v>55.8</v>
      </c>
      <c r="Z1127" s="2">
        <v>55.8</v>
      </c>
      <c r="AA1127" s="2" t="s">
        <v>218</v>
      </c>
      <c r="AB1127" s="2" t="s">
        <v>7874</v>
      </c>
      <c r="AC1127" s="2">
        <v>1.03251686660332</v>
      </c>
      <c r="AD1127" s="2"/>
      <c r="AE1127" s="2">
        <v>0.54709044137275398</v>
      </c>
      <c r="AF1127" s="2">
        <v>55080.121851033102</v>
      </c>
      <c r="AG1127" s="2">
        <v>40463.7008749624</v>
      </c>
      <c r="AH1127" s="5">
        <v>1.36122303842738</v>
      </c>
      <c r="AI1127" s="5">
        <v>0.444903473946902</v>
      </c>
      <c r="AJ1127" s="5" t="s">
        <v>139</v>
      </c>
      <c r="AK1127" s="2">
        <v>0.18945978363624499</v>
      </c>
      <c r="AL1127" s="2">
        <v>0.51332142680207204</v>
      </c>
      <c r="AM1127" s="2">
        <v>34083.884783526497</v>
      </c>
      <c r="AN1127" s="2">
        <v>75344.573351973304</v>
      </c>
      <c r="AO1127" s="2">
        <v>55551.960105504302</v>
      </c>
      <c r="AP1127" s="2">
        <v>66212.102740205402</v>
      </c>
      <c r="AQ1127" s="2">
        <v>57844.426069551097</v>
      </c>
      <c r="AR1127" s="2">
        <v>41443.784055437798</v>
      </c>
      <c r="AS1127" s="2">
        <v>31282.412932719901</v>
      </c>
      <c r="AT1127" s="2">
        <v>58506.516642358103</v>
      </c>
      <c r="AU1127" s="2">
        <v>25087.638356714298</v>
      </c>
      <c r="AV1127" s="2">
        <v>12386.246884194201</v>
      </c>
      <c r="AW1127" s="2">
        <v>53825.886854846904</v>
      </c>
      <c r="AX1127" s="2">
        <v>61693.503578941098</v>
      </c>
    </row>
    <row r="1128" spans="1:50" x14ac:dyDescent="0.25">
      <c r="A1128" s="2" t="s">
        <v>7875</v>
      </c>
      <c r="B1128" s="2">
        <v>319.97802332097098</v>
      </c>
      <c r="C1128" s="2">
        <v>5.4175500000000003</v>
      </c>
      <c r="D1128" s="2" t="s">
        <v>51</v>
      </c>
      <c r="E1128" s="2" t="s">
        <v>7876</v>
      </c>
      <c r="F1128" s="2">
        <v>201289</v>
      </c>
      <c r="G1128" s="3" t="str">
        <f>HYPERLINK("https://cloud.oebiotech.com/#/lm/network/201289", "https://cloud.oebiotech.com/#/lm/network/201289")</f>
        <v>https://cloud.oebiotech.com/#/lm/network/201289</v>
      </c>
      <c r="H1128" s="2" t="s">
        <v>7877</v>
      </c>
      <c r="I1128" s="2"/>
      <c r="J1128" s="2"/>
      <c r="K1128" s="2">
        <v>123751</v>
      </c>
      <c r="L1128" s="2"/>
      <c r="M1128" s="2"/>
      <c r="N1128" s="2"/>
      <c r="O1128" s="2"/>
      <c r="P1128" s="2"/>
      <c r="Q1128" s="2"/>
      <c r="R1128" s="2"/>
      <c r="S1128" s="2" t="s">
        <v>7878</v>
      </c>
      <c r="T1128" s="2" t="s">
        <v>7879</v>
      </c>
      <c r="U1128" s="2" t="s">
        <v>540</v>
      </c>
      <c r="V1128" s="2" t="s">
        <v>1916</v>
      </c>
      <c r="W1128" s="2" t="s">
        <v>240</v>
      </c>
      <c r="X1128" s="2" t="s">
        <v>147</v>
      </c>
      <c r="Y1128" s="2">
        <v>37.9</v>
      </c>
      <c r="Z1128" s="2">
        <v>0</v>
      </c>
      <c r="AA1128" s="2" t="s">
        <v>163</v>
      </c>
      <c r="AB1128" s="2" t="s">
        <v>7880</v>
      </c>
      <c r="AC1128" s="2">
        <v>-2.7773635551045901</v>
      </c>
      <c r="AD1128" s="2"/>
      <c r="AE1128" s="2">
        <v>0.54708351812880096</v>
      </c>
      <c r="AF1128" s="2">
        <v>64870.898208012499</v>
      </c>
      <c r="AG1128" s="2">
        <v>77395.754912634802</v>
      </c>
      <c r="AH1128" s="4">
        <v>0.83817127026203797</v>
      </c>
      <c r="AI1128" s="4">
        <v>-0.25468302338402898</v>
      </c>
      <c r="AJ1128" s="4" t="s">
        <v>62</v>
      </c>
      <c r="AK1128" s="2">
        <v>0.16209790134407001</v>
      </c>
      <c r="AL1128" s="2">
        <v>0.48399353100485398</v>
      </c>
      <c r="AM1128" s="2">
        <v>64243.184906577902</v>
      </c>
      <c r="AN1128" s="2">
        <v>48404.935513627097</v>
      </c>
      <c r="AO1128" s="2">
        <v>62700.906292139603</v>
      </c>
      <c r="AP1128" s="2">
        <v>88975.054790357593</v>
      </c>
      <c r="AQ1128" s="2">
        <v>66492.818335311706</v>
      </c>
      <c r="AR1128" s="2">
        <v>58408.4894100612</v>
      </c>
      <c r="AS1128" s="2">
        <v>78170.313744420506</v>
      </c>
      <c r="AT1128" s="2">
        <v>105673.627133487</v>
      </c>
      <c r="AU1128" s="2">
        <v>71970.672454650005</v>
      </c>
      <c r="AV1128" s="2">
        <v>74582.061018907698</v>
      </c>
      <c r="AW1128" s="2">
        <v>59588.909237570697</v>
      </c>
      <c r="AX1128" s="2">
        <v>74388.945886772999</v>
      </c>
    </row>
    <row r="1129" spans="1:50" x14ac:dyDescent="0.25">
      <c r="A1129" s="2" t="s">
        <v>7881</v>
      </c>
      <c r="B1129" s="2">
        <v>367.15864650879502</v>
      </c>
      <c r="C1129" s="2">
        <v>8.1777666666666704</v>
      </c>
      <c r="D1129" s="2" t="s">
        <v>51</v>
      </c>
      <c r="E1129" s="2" t="s">
        <v>7882</v>
      </c>
      <c r="F1129" s="2">
        <v>29036</v>
      </c>
      <c r="G1129" s="3" t="str">
        <f>HYPERLINK("https://cloud.oebiotech.com/#/lm/network/29036", "https://cloud.oebiotech.com/#/lm/network/29036")</f>
        <v>https://cloud.oebiotech.com/#/lm/network/29036</v>
      </c>
      <c r="H1129" s="2"/>
      <c r="I1129" s="2">
        <v>47432</v>
      </c>
      <c r="J1129" s="2" t="s">
        <v>7883</v>
      </c>
      <c r="K1129" s="2">
        <v>44257167</v>
      </c>
      <c r="L1129" s="2"/>
      <c r="M1129" s="2"/>
      <c r="N1129" s="2"/>
      <c r="O1129" s="2"/>
      <c r="P1129" s="2"/>
      <c r="Q1129" s="2"/>
      <c r="R1129" s="2"/>
      <c r="S1129" s="2" t="s">
        <v>7884</v>
      </c>
      <c r="T1129" s="2" t="s">
        <v>7885</v>
      </c>
      <c r="U1129" s="2" t="s">
        <v>540</v>
      </c>
      <c r="V1129" s="2" t="s">
        <v>541</v>
      </c>
      <c r="W1129" s="2" t="s">
        <v>757</v>
      </c>
      <c r="X1129" s="2" t="s">
        <v>83</v>
      </c>
      <c r="Y1129" s="2">
        <v>44</v>
      </c>
      <c r="Z1129" s="2">
        <v>0</v>
      </c>
      <c r="AA1129" s="2" t="s">
        <v>379</v>
      </c>
      <c r="AB1129" s="2" t="s">
        <v>2367</v>
      </c>
      <c r="AC1129" s="2">
        <v>9.1903840487938204</v>
      </c>
      <c r="AD1129" s="2"/>
      <c r="AE1129" s="2">
        <v>0.54698076654095895</v>
      </c>
      <c r="AF1129" s="2">
        <v>7257.58305072855</v>
      </c>
      <c r="AG1129" s="2">
        <v>17462.886531919001</v>
      </c>
      <c r="AH1129" s="4">
        <v>0.415600424217554</v>
      </c>
      <c r="AI1129" s="4">
        <v>-1.2667309680363601</v>
      </c>
      <c r="AJ1129" s="4" t="s">
        <v>62</v>
      </c>
      <c r="AK1129" s="2">
        <v>0.13284106365310799</v>
      </c>
      <c r="AL1129" s="2">
        <v>0.45326287063707099</v>
      </c>
      <c r="AM1129" s="2">
        <v>2085.91568605049</v>
      </c>
      <c r="AN1129" s="2">
        <v>5984.5247697128298</v>
      </c>
      <c r="AO1129" s="2">
        <v>19488.925244791299</v>
      </c>
      <c r="AP1129" s="2">
        <v>11731.3597388865</v>
      </c>
      <c r="AQ1129" s="2">
        <v>3434.0676391279699</v>
      </c>
      <c r="AR1129" s="2">
        <v>820.705225802222</v>
      </c>
      <c r="AS1129" s="2">
        <v>18500.0190996985</v>
      </c>
      <c r="AT1129" s="2">
        <v>14128.7856169857</v>
      </c>
      <c r="AU1129" s="2">
        <v>16528.787996000199</v>
      </c>
      <c r="AV1129" s="2">
        <v>42829.9352979057</v>
      </c>
      <c r="AW1129" s="2">
        <v>8791.3788588547395</v>
      </c>
      <c r="AX1129" s="2">
        <v>3998.4123220691499</v>
      </c>
    </row>
    <row r="1130" spans="1:50" x14ac:dyDescent="0.25">
      <c r="A1130" s="2" t="s">
        <v>7886</v>
      </c>
      <c r="B1130" s="2">
        <v>498.28987989862799</v>
      </c>
      <c r="C1130" s="2">
        <v>7.8615000000000004</v>
      </c>
      <c r="D1130" s="2" t="s">
        <v>51</v>
      </c>
      <c r="E1130" s="2" t="s">
        <v>7887</v>
      </c>
      <c r="F1130" s="2">
        <v>46752</v>
      </c>
      <c r="G1130" s="3" t="str">
        <f>HYPERLINK("https://cloud.oebiotech.com/#/lm/network/46752", "https://cloud.oebiotech.com/#/lm/network/46752")</f>
        <v>https://cloud.oebiotech.com/#/lm/network/46752</v>
      </c>
      <c r="H1130" s="2" t="s">
        <v>7888</v>
      </c>
      <c r="I1130" s="2">
        <v>57998</v>
      </c>
      <c r="J1130" s="2" t="s">
        <v>7889</v>
      </c>
      <c r="K1130" s="2">
        <v>2733768</v>
      </c>
      <c r="L1130" s="2" t="s">
        <v>7890</v>
      </c>
      <c r="M1130" s="2"/>
      <c r="N1130" s="2"/>
      <c r="O1130" s="2">
        <v>9410</v>
      </c>
      <c r="P1130" s="2"/>
      <c r="Q1130" s="2"/>
      <c r="R1130" s="2" t="s">
        <v>7891</v>
      </c>
      <c r="S1130" s="2" t="s">
        <v>7892</v>
      </c>
      <c r="T1130" s="2" t="s">
        <v>7893</v>
      </c>
      <c r="U1130" s="2" t="s">
        <v>56</v>
      </c>
      <c r="V1130" s="2" t="s">
        <v>283</v>
      </c>
      <c r="W1130" s="2" t="s">
        <v>2042</v>
      </c>
      <c r="X1130" s="2" t="s">
        <v>147</v>
      </c>
      <c r="Y1130" s="2">
        <v>37.4</v>
      </c>
      <c r="Z1130" s="2">
        <v>0</v>
      </c>
      <c r="AA1130" s="2" t="s">
        <v>163</v>
      </c>
      <c r="AB1130" s="2" t="s">
        <v>7894</v>
      </c>
      <c r="AC1130" s="2">
        <v>0.79544942175302102</v>
      </c>
      <c r="AD1130" s="2"/>
      <c r="AE1130" s="2">
        <v>0.54634482546574603</v>
      </c>
      <c r="AF1130" s="2">
        <v>6579.6456730949703</v>
      </c>
      <c r="AG1130" s="2">
        <v>17257.470463514001</v>
      </c>
      <c r="AH1130" s="4">
        <v>0.38126362070302999</v>
      </c>
      <c r="AI1130" s="4">
        <v>-1.3911392158957501</v>
      </c>
      <c r="AJ1130" s="4" t="s">
        <v>62</v>
      </c>
      <c r="AK1130" s="2">
        <v>0.19124562387153299</v>
      </c>
      <c r="AL1130" s="2">
        <v>0.51610239496604304</v>
      </c>
      <c r="AM1130" s="2">
        <v>1006.38152126213</v>
      </c>
      <c r="AN1130" s="2">
        <v>6736.5213396234803</v>
      </c>
      <c r="AO1130" s="2">
        <v>8.559877937157E-6</v>
      </c>
      <c r="AP1130" s="2">
        <v>28098.351788570399</v>
      </c>
      <c r="AQ1130" s="2">
        <v>2888.0529435135199</v>
      </c>
      <c r="AR1130" s="2">
        <v>748.56643704041699</v>
      </c>
      <c r="AS1130" s="2">
        <v>8.559877937157E-6</v>
      </c>
      <c r="AT1130" s="2">
        <v>20337.044849841499</v>
      </c>
      <c r="AU1130" s="2">
        <v>20181.807592913901</v>
      </c>
      <c r="AV1130" s="2">
        <v>43629.043284144602</v>
      </c>
      <c r="AW1130" s="2">
        <v>13573.7065857288</v>
      </c>
      <c r="AX1130" s="2">
        <v>5823.2204598955796</v>
      </c>
    </row>
    <row r="1131" spans="1:50" x14ac:dyDescent="0.25">
      <c r="A1131" s="2" t="s">
        <v>7895</v>
      </c>
      <c r="B1131" s="2">
        <v>210.99934229938199</v>
      </c>
      <c r="C1131" s="2">
        <v>6.0126999999999997</v>
      </c>
      <c r="D1131" s="2" t="s">
        <v>51</v>
      </c>
      <c r="E1131" s="2" t="s">
        <v>7896</v>
      </c>
      <c r="F1131" s="2">
        <v>201439</v>
      </c>
      <c r="G1131" s="3" t="str">
        <f>HYPERLINK("https://cloud.oebiotech.com/#/lm/network/201439", "https://cloud.oebiotech.com/#/lm/network/201439")</f>
        <v>https://cloud.oebiotech.com/#/lm/network/201439</v>
      </c>
      <c r="H1131" s="2" t="s">
        <v>7897</v>
      </c>
      <c r="I1131" s="2">
        <v>334360</v>
      </c>
      <c r="J1131" s="2"/>
      <c r="K1131" s="2">
        <v>7433</v>
      </c>
      <c r="L1131" s="2"/>
      <c r="M1131" s="2"/>
      <c r="N1131" s="2"/>
      <c r="O1131" s="2">
        <v>73914</v>
      </c>
      <c r="P1131" s="2"/>
      <c r="Q1131" s="2"/>
      <c r="R1131" s="2"/>
      <c r="S1131" s="2" t="s">
        <v>7898</v>
      </c>
      <c r="T1131" s="2" t="s">
        <v>7899</v>
      </c>
      <c r="U1131" s="2" t="s">
        <v>610</v>
      </c>
      <c r="V1131" s="2" t="s">
        <v>611</v>
      </c>
      <c r="W1131" s="2" t="s">
        <v>1122</v>
      </c>
      <c r="X1131" s="2" t="s">
        <v>147</v>
      </c>
      <c r="Y1131" s="2">
        <v>38.4</v>
      </c>
      <c r="Z1131" s="2">
        <v>2.13</v>
      </c>
      <c r="AA1131" s="2" t="s">
        <v>163</v>
      </c>
      <c r="AB1131" s="2" t="s">
        <v>7900</v>
      </c>
      <c r="AC1131" s="2">
        <v>-1.4958183174650901</v>
      </c>
      <c r="AD1131" s="2"/>
      <c r="AE1131" s="2">
        <v>0.54625599380988898</v>
      </c>
      <c r="AF1131" s="2">
        <v>37275.451664186301</v>
      </c>
      <c r="AG1131" s="2">
        <v>43811.881479987598</v>
      </c>
      <c r="AH1131" s="4">
        <v>0.85080691367279104</v>
      </c>
      <c r="AI1131" s="4">
        <v>-0.23309633817443301</v>
      </c>
      <c r="AJ1131" s="4" t="s">
        <v>62</v>
      </c>
      <c r="AK1131" s="2">
        <v>1.8819188050680499E-2</v>
      </c>
      <c r="AL1131" s="2">
        <v>0.21611125620288199</v>
      </c>
      <c r="AM1131" s="2">
        <v>30065.856514675299</v>
      </c>
      <c r="AN1131" s="2">
        <v>40169.5500919611</v>
      </c>
      <c r="AO1131" s="2">
        <v>37069.6264657832</v>
      </c>
      <c r="AP1131" s="2">
        <v>39748.517623856504</v>
      </c>
      <c r="AQ1131" s="2">
        <v>39599.634399183997</v>
      </c>
      <c r="AR1131" s="2">
        <v>36999.5248896579</v>
      </c>
      <c r="AS1131" s="2">
        <v>42221.090875606402</v>
      </c>
      <c r="AT1131" s="2">
        <v>47323.014180525097</v>
      </c>
      <c r="AU1131" s="2">
        <v>37417.784452441003</v>
      </c>
      <c r="AV1131" s="2">
        <v>47198.230641002701</v>
      </c>
      <c r="AW1131" s="2">
        <v>40907.016982365698</v>
      </c>
      <c r="AX1131" s="2">
        <v>47804.151747984499</v>
      </c>
    </row>
    <row r="1132" spans="1:50" x14ac:dyDescent="0.25">
      <c r="A1132" s="2" t="s">
        <v>7901</v>
      </c>
      <c r="B1132" s="2">
        <v>238.092006871683</v>
      </c>
      <c r="C1132" s="2">
        <v>6.8908500000000004</v>
      </c>
      <c r="D1132" s="2" t="s">
        <v>51</v>
      </c>
      <c r="E1132" s="2" t="s">
        <v>7902</v>
      </c>
      <c r="F1132" s="2">
        <v>257411</v>
      </c>
      <c r="G1132" s="3" t="str">
        <f>HYPERLINK("https://cloud.oebiotech.com/#/lm/network/257411", "https://cloud.oebiotech.com/#/lm/network/257411")</f>
        <v>https://cloud.oebiotech.com/#/lm/network/257411</v>
      </c>
      <c r="H1132" s="2" t="s">
        <v>7903</v>
      </c>
      <c r="I1132" s="2"/>
      <c r="J1132" s="2"/>
      <c r="K1132" s="2">
        <v>12566214</v>
      </c>
      <c r="L1132" s="2"/>
      <c r="M1132" s="2"/>
      <c r="N1132" s="2"/>
      <c r="O1132" s="2"/>
      <c r="P1132" s="2"/>
      <c r="Q1132" s="2"/>
      <c r="R1132" s="2"/>
      <c r="S1132" s="2" t="s">
        <v>7904</v>
      </c>
      <c r="T1132" s="2" t="s">
        <v>7905</v>
      </c>
      <c r="U1132" s="2" t="s">
        <v>103</v>
      </c>
      <c r="V1132" s="2" t="s">
        <v>104</v>
      </c>
      <c r="W1132" s="2" t="s">
        <v>1139</v>
      </c>
      <c r="X1132" s="2" t="s">
        <v>147</v>
      </c>
      <c r="Y1132" s="2">
        <v>40.200000000000003</v>
      </c>
      <c r="Z1132" s="2">
        <v>8.3699999999999992</v>
      </c>
      <c r="AA1132" s="2" t="s">
        <v>512</v>
      </c>
      <c r="AB1132" s="2" t="s">
        <v>7906</v>
      </c>
      <c r="AC1132" s="2">
        <v>-0.55158144871343695</v>
      </c>
      <c r="AD1132" s="2"/>
      <c r="AE1132" s="2">
        <v>0.54601517371810804</v>
      </c>
      <c r="AF1132" s="2">
        <v>21176.553012258999</v>
      </c>
      <c r="AG1132" s="2">
        <v>33513.409818005697</v>
      </c>
      <c r="AH1132" s="4">
        <v>0.63188297243575298</v>
      </c>
      <c r="AI1132" s="4">
        <v>-0.66227070534594901</v>
      </c>
      <c r="AJ1132" s="4" t="s">
        <v>62</v>
      </c>
      <c r="AK1132" s="2">
        <v>0.17339439850416</v>
      </c>
      <c r="AL1132" s="2">
        <v>0.49468646992753301</v>
      </c>
      <c r="AM1132" s="2">
        <v>20742.209162191299</v>
      </c>
      <c r="AN1132" s="2">
        <v>17839.570019476199</v>
      </c>
      <c r="AO1132" s="2">
        <v>31526.398745287399</v>
      </c>
      <c r="AP1132" s="2">
        <v>2649.4349729072901</v>
      </c>
      <c r="AQ1132" s="2">
        <v>17710.090001341701</v>
      </c>
      <c r="AR1132" s="2">
        <v>36591.615172350197</v>
      </c>
      <c r="AS1132" s="2">
        <v>26860.529299435901</v>
      </c>
      <c r="AT1132" s="2">
        <v>21236.738781151598</v>
      </c>
      <c r="AU1132" s="2">
        <v>36864.081422613097</v>
      </c>
      <c r="AV1132" s="2">
        <v>56167.737935182602</v>
      </c>
      <c r="AW1132" s="2">
        <v>48264.427710744298</v>
      </c>
      <c r="AX1132" s="2">
        <v>11686.943758907</v>
      </c>
    </row>
    <row r="1133" spans="1:50" x14ac:dyDescent="0.25">
      <c r="A1133" s="2" t="s">
        <v>7907</v>
      </c>
      <c r="B1133" s="2">
        <v>103.0193</v>
      </c>
      <c r="C1133" s="2">
        <v>19.294</v>
      </c>
      <c r="D1133" s="2" t="s">
        <v>125</v>
      </c>
      <c r="E1133" s="2" t="s">
        <v>7908</v>
      </c>
      <c r="F1133" s="2">
        <v>545466</v>
      </c>
      <c r="G1133" s="3" t="str">
        <f>HYPERLINK("https://cloud.oebiotech.com/#/lm/network/545466", "https://cloud.oebiotech.com/#/lm/network/545466")</f>
        <v>https://cloud.oebiotech.com/#/lm/network/545466</v>
      </c>
      <c r="H1133" s="2"/>
      <c r="I1133" s="2"/>
      <c r="J1133" s="2"/>
      <c r="K1133" s="2">
        <v>2723872</v>
      </c>
      <c r="L1133" s="2"/>
      <c r="M1133" s="2"/>
      <c r="N1133" s="2"/>
      <c r="O1133" s="2"/>
      <c r="P1133" s="2"/>
      <c r="Q1133" s="2"/>
      <c r="R1133" s="2"/>
      <c r="S1133" s="2" t="s">
        <v>6691</v>
      </c>
      <c r="T1133" s="2" t="s">
        <v>7909</v>
      </c>
      <c r="U1133" s="2" t="s">
        <v>331</v>
      </c>
      <c r="V1133" s="2" t="s">
        <v>332</v>
      </c>
      <c r="W1133" s="2" t="s">
        <v>333</v>
      </c>
      <c r="X1133" s="2" t="s">
        <v>69</v>
      </c>
      <c r="Y1133" s="2">
        <v>95.4</v>
      </c>
      <c r="Z1133" s="2">
        <v>97.8</v>
      </c>
      <c r="AA1133" s="2"/>
      <c r="AB1133" s="2" t="s">
        <v>1085</v>
      </c>
      <c r="AC1133" s="2"/>
      <c r="AD1133" s="2">
        <v>647336.12032394903</v>
      </c>
      <c r="AE1133" s="2">
        <v>0.545894422814727</v>
      </c>
      <c r="AF1133" s="2">
        <v>207739.573031309</v>
      </c>
      <c r="AG1133" s="2">
        <v>309827.50940262602</v>
      </c>
      <c r="AH1133" s="4">
        <v>0.67050073581861303</v>
      </c>
      <c r="AI1133" s="4">
        <v>-0.57668917951931198</v>
      </c>
      <c r="AJ1133" s="4" t="s">
        <v>62</v>
      </c>
      <c r="AK1133" s="2">
        <v>6.0745540028602801E-2</v>
      </c>
      <c r="AL1133" s="2">
        <v>0.33208680584697498</v>
      </c>
      <c r="AM1133" s="2">
        <v>230290.933068115</v>
      </c>
      <c r="AN1133" s="2">
        <v>231175.328701625</v>
      </c>
      <c r="AO1133" s="2">
        <v>182982.882364786</v>
      </c>
      <c r="AP1133" s="2">
        <v>233917.551266364</v>
      </c>
      <c r="AQ1133" s="2">
        <v>120358.377813595</v>
      </c>
      <c r="AR1133" s="2">
        <v>247712.36497336699</v>
      </c>
      <c r="AS1133" s="2">
        <v>497619.752010483</v>
      </c>
      <c r="AT1133" s="2">
        <v>335696.62698470103</v>
      </c>
      <c r="AU1133" s="2">
        <v>225920.605851133</v>
      </c>
      <c r="AV1133" s="2">
        <v>230915.79509588299</v>
      </c>
      <c r="AW1133" s="2">
        <v>221356.617642225</v>
      </c>
      <c r="AX1133" s="2">
        <v>347455.65883132903</v>
      </c>
    </row>
    <row r="1134" spans="1:50" x14ac:dyDescent="0.25">
      <c r="A1134" s="2" t="s">
        <v>7910</v>
      </c>
      <c r="B1134" s="2">
        <v>309.16662832170198</v>
      </c>
      <c r="C1134" s="2">
        <v>0.58143333333333302</v>
      </c>
      <c r="D1134" s="2" t="s">
        <v>51</v>
      </c>
      <c r="E1134" s="2" t="s">
        <v>7911</v>
      </c>
      <c r="F1134" s="2">
        <v>58815</v>
      </c>
      <c r="G1134" s="3" t="str">
        <f>HYPERLINK("https://cloud.oebiotech.com/#/lm/network/58815", "https://cloud.oebiotech.com/#/lm/network/58815")</f>
        <v>https://cloud.oebiotech.com/#/lm/network/58815</v>
      </c>
      <c r="H1134" s="2" t="s">
        <v>7912</v>
      </c>
      <c r="I1134" s="2">
        <v>90267</v>
      </c>
      <c r="J1134" s="2"/>
      <c r="K1134" s="2">
        <v>131751634</v>
      </c>
      <c r="L1134" s="2"/>
      <c r="M1134" s="2"/>
      <c r="N1134" s="2"/>
      <c r="O1134" s="2">
        <v>24109</v>
      </c>
      <c r="P1134" s="2"/>
      <c r="Q1134" s="2"/>
      <c r="R1134" s="2" t="s">
        <v>7913</v>
      </c>
      <c r="S1134" s="2" t="s">
        <v>7914</v>
      </c>
      <c r="T1134" s="2" t="s">
        <v>7915</v>
      </c>
      <c r="U1134" s="2" t="s">
        <v>331</v>
      </c>
      <c r="V1134" s="2" t="s">
        <v>332</v>
      </c>
      <c r="W1134" s="2" t="s">
        <v>333</v>
      </c>
      <c r="X1134" s="2" t="s">
        <v>69</v>
      </c>
      <c r="Y1134" s="2">
        <v>56</v>
      </c>
      <c r="Z1134" s="2">
        <v>85.2</v>
      </c>
      <c r="AA1134" s="2" t="s">
        <v>179</v>
      </c>
      <c r="AB1134" s="2" t="s">
        <v>7916</v>
      </c>
      <c r="AC1134" s="2">
        <v>3.2475949401747499</v>
      </c>
      <c r="AD1134" s="2"/>
      <c r="AE1134" s="2">
        <v>0.54527229493361895</v>
      </c>
      <c r="AF1134" s="2">
        <v>26727.1590924019</v>
      </c>
      <c r="AG1134" s="2">
        <v>37796.015660338599</v>
      </c>
      <c r="AH1134" s="4">
        <v>0.70714223775836205</v>
      </c>
      <c r="AI1134" s="4">
        <v>-0.49992766051855198</v>
      </c>
      <c r="AJ1134" s="4" t="s">
        <v>62</v>
      </c>
      <c r="AK1134" s="2">
        <v>0.44112372490635898</v>
      </c>
      <c r="AL1134" s="2">
        <v>0.69764292881434498</v>
      </c>
      <c r="AM1134" s="2">
        <v>865.96903422771697</v>
      </c>
      <c r="AN1134" s="2">
        <v>44017.367865053202</v>
      </c>
      <c r="AO1134" s="2">
        <v>18465.7845397786</v>
      </c>
      <c r="AP1134" s="2">
        <v>10924.8195920051</v>
      </c>
      <c r="AQ1134" s="2">
        <v>26283.2384063684</v>
      </c>
      <c r="AR1134" s="2">
        <v>59805.775116978402</v>
      </c>
      <c r="AS1134" s="2">
        <v>37657.765308934002</v>
      </c>
      <c r="AT1134" s="2">
        <v>25254.2514773599</v>
      </c>
      <c r="AU1134" s="2">
        <v>8235.3572801751507</v>
      </c>
      <c r="AV1134" s="2">
        <v>85364.607724617104</v>
      </c>
      <c r="AW1134" s="2">
        <v>31636.155263482098</v>
      </c>
      <c r="AX1134" s="2">
        <v>38627.9569074631</v>
      </c>
    </row>
    <row r="1135" spans="1:50" x14ac:dyDescent="0.25">
      <c r="A1135" s="2" t="s">
        <v>7917</v>
      </c>
      <c r="B1135" s="2">
        <v>261.05299025766698</v>
      </c>
      <c r="C1135" s="2">
        <v>1.20183333333333</v>
      </c>
      <c r="D1135" s="2" t="s">
        <v>51</v>
      </c>
      <c r="E1135" s="2" t="s">
        <v>7918</v>
      </c>
      <c r="F1135" s="2">
        <v>82298</v>
      </c>
      <c r="G1135" s="3" t="str">
        <f>HYPERLINK("https://cloud.oebiotech.com/#/lm/network/82298", "https://cloud.oebiotech.com/#/lm/network/82298")</f>
        <v>https://cloud.oebiotech.com/#/lm/network/82298</v>
      </c>
      <c r="H1135" s="2" t="s">
        <v>7919</v>
      </c>
      <c r="I1135" s="2">
        <v>71273</v>
      </c>
      <c r="J1135" s="2"/>
      <c r="K1135" s="2">
        <v>9427</v>
      </c>
      <c r="L1135" s="2" t="s">
        <v>7920</v>
      </c>
      <c r="M1135" s="2" t="s">
        <v>7921</v>
      </c>
      <c r="N1135" s="2" t="s">
        <v>7922</v>
      </c>
      <c r="O1135" s="2">
        <v>40154</v>
      </c>
      <c r="P1135" s="2"/>
      <c r="Q1135" s="2"/>
      <c r="R1135" s="2" t="s">
        <v>7923</v>
      </c>
      <c r="S1135" s="2" t="s">
        <v>7924</v>
      </c>
      <c r="T1135" s="2" t="s">
        <v>7925</v>
      </c>
      <c r="U1135" s="2" t="s">
        <v>295</v>
      </c>
      <c r="V1135" s="2" t="s">
        <v>1818</v>
      </c>
      <c r="W1135" s="2" t="s">
        <v>240</v>
      </c>
      <c r="X1135" s="2" t="s">
        <v>147</v>
      </c>
      <c r="Y1135" s="2">
        <v>39.200000000000003</v>
      </c>
      <c r="Z1135" s="2">
        <v>1.68</v>
      </c>
      <c r="AA1135" s="2" t="s">
        <v>163</v>
      </c>
      <c r="AB1135" s="2" t="s">
        <v>7926</v>
      </c>
      <c r="AC1135" s="2">
        <v>0.581507556040189</v>
      </c>
      <c r="AD1135" s="2"/>
      <c r="AE1135" s="2">
        <v>0.54517167744088202</v>
      </c>
      <c r="AF1135" s="2">
        <v>48326.454046604798</v>
      </c>
      <c r="AG1135" s="2">
        <v>38859.221182379501</v>
      </c>
      <c r="AH1135" s="5">
        <v>1.24362899142503</v>
      </c>
      <c r="AI1135" s="5">
        <v>0.31455615422776301</v>
      </c>
      <c r="AJ1135" s="5" t="s">
        <v>139</v>
      </c>
      <c r="AK1135" s="2">
        <v>0.64726721614506799</v>
      </c>
      <c r="AL1135" s="2">
        <v>0.82766001771554298</v>
      </c>
      <c r="AM1135" s="2">
        <v>120547.999633049</v>
      </c>
      <c r="AN1135" s="2">
        <v>34515.813694234901</v>
      </c>
      <c r="AO1135" s="2">
        <v>18814.792406746099</v>
      </c>
      <c r="AP1135" s="2">
        <v>28107.586012076099</v>
      </c>
      <c r="AQ1135" s="2">
        <v>55635.396970836002</v>
      </c>
      <c r="AR1135" s="2">
        <v>32337.135562686599</v>
      </c>
      <c r="AS1135" s="2">
        <v>21522.288113865401</v>
      </c>
      <c r="AT1135" s="2">
        <v>28121.765822771598</v>
      </c>
      <c r="AU1135" s="2">
        <v>102531.53320555099</v>
      </c>
      <c r="AV1135" s="2">
        <v>20939.387478890101</v>
      </c>
      <c r="AW1135" s="2">
        <v>38446.095289697798</v>
      </c>
      <c r="AX1135" s="2">
        <v>21594.257183501199</v>
      </c>
    </row>
    <row r="1136" spans="1:50" x14ac:dyDescent="0.25">
      <c r="A1136" s="2" t="s">
        <v>7927</v>
      </c>
      <c r="B1136" s="2">
        <v>185.081174311197</v>
      </c>
      <c r="C1136" s="2">
        <v>6.1623999999999999</v>
      </c>
      <c r="D1136" s="2" t="s">
        <v>51</v>
      </c>
      <c r="E1136" s="2" t="s">
        <v>7928</v>
      </c>
      <c r="F1136" s="2">
        <v>2552</v>
      </c>
      <c r="G1136" s="3" t="str">
        <f>HYPERLINK("https://cloud.oebiotech.com/#/lm/network/2552", "https://cloud.oebiotech.com/#/lm/network/2552")</f>
        <v>https://cloud.oebiotech.com/#/lm/network/2552</v>
      </c>
      <c r="H1136" s="2"/>
      <c r="I1136" s="2"/>
      <c r="J1136" s="2" t="s">
        <v>7929</v>
      </c>
      <c r="K1136" s="2">
        <v>15650101</v>
      </c>
      <c r="L1136" s="2"/>
      <c r="M1136" s="2"/>
      <c r="N1136" s="2"/>
      <c r="O1136" s="2"/>
      <c r="P1136" s="2"/>
      <c r="Q1136" s="2"/>
      <c r="R1136" s="2"/>
      <c r="S1136" s="2" t="s">
        <v>7930</v>
      </c>
      <c r="T1136" s="2" t="s">
        <v>7931</v>
      </c>
      <c r="U1136" s="2" t="s">
        <v>103</v>
      </c>
      <c r="V1136" s="2" t="s">
        <v>104</v>
      </c>
      <c r="W1136" s="2" t="s">
        <v>7932</v>
      </c>
      <c r="X1136" s="2" t="s">
        <v>69</v>
      </c>
      <c r="Y1136" s="2">
        <v>59.6</v>
      </c>
      <c r="Z1136" s="2">
        <v>47.5</v>
      </c>
      <c r="AA1136" s="2" t="s">
        <v>218</v>
      </c>
      <c r="AB1136" s="2" t="s">
        <v>2068</v>
      </c>
      <c r="AC1136" s="2">
        <v>-5.4123542026409499</v>
      </c>
      <c r="AD1136" s="2"/>
      <c r="AE1136" s="2">
        <v>0.54494130527565998</v>
      </c>
      <c r="AF1136" s="2">
        <v>22992.855604328099</v>
      </c>
      <c r="AG1136" s="2">
        <v>14285.512616735799</v>
      </c>
      <c r="AH1136" s="5">
        <v>1.6095226136576599</v>
      </c>
      <c r="AI1136" s="5">
        <v>0.686632846702251</v>
      </c>
      <c r="AJ1136" s="5" t="s">
        <v>139</v>
      </c>
      <c r="AK1136" s="2">
        <v>8.5314293728199805E-2</v>
      </c>
      <c r="AL1136" s="2">
        <v>0.37799325512262799</v>
      </c>
      <c r="AM1136" s="2">
        <v>25743.225591362301</v>
      </c>
      <c r="AN1136" s="2">
        <v>41718.750323150802</v>
      </c>
      <c r="AO1136" s="2">
        <v>15094.975630808</v>
      </c>
      <c r="AP1136" s="2">
        <v>18141.161577558101</v>
      </c>
      <c r="AQ1136" s="2">
        <v>12526.1658498248</v>
      </c>
      <c r="AR1136" s="2">
        <v>24732.854653264301</v>
      </c>
      <c r="AS1136" s="2">
        <v>18497.056970181398</v>
      </c>
      <c r="AT1136" s="2">
        <v>12605.4662332199</v>
      </c>
      <c r="AU1136" s="2">
        <v>12108.6575184208</v>
      </c>
      <c r="AV1136" s="2">
        <v>10036.019292892001</v>
      </c>
      <c r="AW1136" s="2">
        <v>13375.249290162499</v>
      </c>
      <c r="AX1136" s="2">
        <v>19090.6263955379</v>
      </c>
    </row>
    <row r="1137" spans="1:50" x14ac:dyDescent="0.25">
      <c r="A1137" s="2" t="s">
        <v>7933</v>
      </c>
      <c r="B1137" s="2">
        <v>181.070851622188</v>
      </c>
      <c r="C1137" s="2">
        <v>0.68074999999999997</v>
      </c>
      <c r="D1137" s="2" t="s">
        <v>51</v>
      </c>
      <c r="E1137" s="2" t="s">
        <v>7934</v>
      </c>
      <c r="F1137" s="2">
        <v>46873</v>
      </c>
      <c r="G1137" s="3" t="str">
        <f>HYPERLINK("https://cloud.oebiotech.com/#/lm/network/46873", "https://cloud.oebiotech.com/#/lm/network/46873")</f>
        <v>https://cloud.oebiotech.com/#/lm/network/46873</v>
      </c>
      <c r="H1137" s="2" t="s">
        <v>7935</v>
      </c>
      <c r="I1137" s="2">
        <v>4179</v>
      </c>
      <c r="J1137" s="2"/>
      <c r="K1137" s="2">
        <v>11850</v>
      </c>
      <c r="L1137" s="2" t="s">
        <v>7936</v>
      </c>
      <c r="M1137" s="2" t="s">
        <v>6688</v>
      </c>
      <c r="N1137" s="2" t="s">
        <v>6689</v>
      </c>
      <c r="O1137" s="2">
        <v>16813</v>
      </c>
      <c r="P1137" s="2"/>
      <c r="Q1137" s="2"/>
      <c r="R1137" s="2" t="s">
        <v>7937</v>
      </c>
      <c r="S1137" s="2" t="s">
        <v>7938</v>
      </c>
      <c r="T1137" s="2" t="s">
        <v>7939</v>
      </c>
      <c r="U1137" s="2" t="s">
        <v>331</v>
      </c>
      <c r="V1137" s="2" t="s">
        <v>332</v>
      </c>
      <c r="W1137" s="2" t="s">
        <v>333</v>
      </c>
      <c r="X1137" s="2" t="s">
        <v>69</v>
      </c>
      <c r="Y1137" s="2">
        <v>51.2</v>
      </c>
      <c r="Z1137" s="2">
        <v>61.4</v>
      </c>
      <c r="AA1137" s="2" t="s">
        <v>163</v>
      </c>
      <c r="AB1137" s="2" t="s">
        <v>7128</v>
      </c>
      <c r="AC1137" s="2">
        <v>-4.9984455176673697</v>
      </c>
      <c r="AD1137" s="2"/>
      <c r="AE1137" s="2">
        <v>0.54456432549322698</v>
      </c>
      <c r="AF1137" s="2">
        <v>13087.769420902499</v>
      </c>
      <c r="AG1137" s="2">
        <v>4174.6141851894599</v>
      </c>
      <c r="AH1137" s="5">
        <v>3.1350847863581799</v>
      </c>
      <c r="AI1137" s="5">
        <v>1.6485044603173999</v>
      </c>
      <c r="AJ1137" s="5" t="s">
        <v>139</v>
      </c>
      <c r="AK1137" s="2">
        <v>0.500261066967707</v>
      </c>
      <c r="AL1137" s="2">
        <v>0.73772066252204804</v>
      </c>
      <c r="AM1137" s="2">
        <v>75366.782087013897</v>
      </c>
      <c r="AN1137" s="2">
        <v>8.559877937157E-6</v>
      </c>
      <c r="AO1137" s="2">
        <v>1753.8794466581601</v>
      </c>
      <c r="AP1137" s="2">
        <v>1113.48426499635</v>
      </c>
      <c r="AQ1137" s="2">
        <v>292.47070962696301</v>
      </c>
      <c r="AR1137" s="2">
        <v>8.559877937157E-6</v>
      </c>
      <c r="AS1137" s="2">
        <v>9534.0031904775897</v>
      </c>
      <c r="AT1137" s="2">
        <v>15144.0120887393</v>
      </c>
      <c r="AU1137" s="2">
        <v>369.66980624023603</v>
      </c>
      <c r="AV1137" s="2">
        <v>8.559877937157E-6</v>
      </c>
      <c r="AW1137" s="2">
        <v>8.559877937157E-6</v>
      </c>
      <c r="AX1137" s="2">
        <v>8.559877937157E-6</v>
      </c>
    </row>
    <row r="1138" spans="1:50" x14ac:dyDescent="0.25">
      <c r="A1138" s="2" t="s">
        <v>7940</v>
      </c>
      <c r="B1138" s="2">
        <v>576.39730408983098</v>
      </c>
      <c r="C1138" s="2">
        <v>5.5685333333333302</v>
      </c>
      <c r="D1138" s="2" t="s">
        <v>51</v>
      </c>
      <c r="E1138" s="2" t="s">
        <v>7941</v>
      </c>
      <c r="F1138" s="2">
        <v>21258</v>
      </c>
      <c r="G1138" s="3" t="str">
        <f>HYPERLINK("https://cloud.oebiotech.com/#/lm/network/21258", "https://cloud.oebiotech.com/#/lm/network/21258")</f>
        <v>https://cloud.oebiotech.com/#/lm/network/21258</v>
      </c>
      <c r="H1138" s="2"/>
      <c r="I1138" s="2"/>
      <c r="J1138" s="2" t="s">
        <v>7942</v>
      </c>
      <c r="K1138" s="2">
        <v>137323928</v>
      </c>
      <c r="L1138" s="2"/>
      <c r="M1138" s="2"/>
      <c r="N1138" s="2"/>
      <c r="O1138" s="2"/>
      <c r="P1138" s="2"/>
      <c r="Q1138" s="2"/>
      <c r="R1138" s="2"/>
      <c r="S1138" s="2" t="s">
        <v>7943</v>
      </c>
      <c r="T1138" s="2" t="s">
        <v>7944</v>
      </c>
      <c r="U1138" s="2" t="s">
        <v>56</v>
      </c>
      <c r="V1138" s="2" t="s">
        <v>57</v>
      </c>
      <c r="W1138" s="2" t="s">
        <v>155</v>
      </c>
      <c r="X1138" s="2" t="s">
        <v>59</v>
      </c>
      <c r="Y1138" s="2">
        <v>50</v>
      </c>
      <c r="Z1138" s="2">
        <v>64.2</v>
      </c>
      <c r="AA1138" s="2" t="s">
        <v>95</v>
      </c>
      <c r="AB1138" s="2" t="s">
        <v>7945</v>
      </c>
      <c r="AC1138" s="2">
        <v>-4.8002069669298502</v>
      </c>
      <c r="AD1138" s="2"/>
      <c r="AE1138" s="2">
        <v>0.54398525104061402</v>
      </c>
      <c r="AF1138" s="2">
        <v>20985.446476859401</v>
      </c>
      <c r="AG1138" s="2">
        <v>14312.276795342699</v>
      </c>
      <c r="AH1138" s="5">
        <v>1.4662549346228599</v>
      </c>
      <c r="AI1138" s="5">
        <v>0.552135963594926</v>
      </c>
      <c r="AJ1138" s="5" t="s">
        <v>139</v>
      </c>
      <c r="AK1138" s="2">
        <v>7.2648499340134398E-3</v>
      </c>
      <c r="AL1138" s="2">
        <v>0.14428573672321601</v>
      </c>
      <c r="AM1138" s="2">
        <v>22006.930323704699</v>
      </c>
      <c r="AN1138" s="2">
        <v>18056.031773540199</v>
      </c>
      <c r="AO1138" s="2">
        <v>21099.404426156001</v>
      </c>
      <c r="AP1138" s="2">
        <v>18084.130223085998</v>
      </c>
      <c r="AQ1138" s="2">
        <v>18759.5779197796</v>
      </c>
      <c r="AR1138" s="2">
        <v>27906.604194890198</v>
      </c>
      <c r="AS1138" s="2">
        <v>16417.437161347501</v>
      </c>
      <c r="AT1138" s="2">
        <v>18079.949066784699</v>
      </c>
      <c r="AU1138" s="2">
        <v>15110.498580936001</v>
      </c>
      <c r="AV1138" s="2">
        <v>10135.006962302699</v>
      </c>
      <c r="AW1138" s="2">
        <v>15031.0420827257</v>
      </c>
      <c r="AX1138" s="2">
        <v>11099.7269179594</v>
      </c>
    </row>
    <row r="1139" spans="1:50" x14ac:dyDescent="0.25">
      <c r="A1139" s="2" t="s">
        <v>7946</v>
      </c>
      <c r="B1139" s="2">
        <v>388.21065342159102</v>
      </c>
      <c r="C1139" s="2">
        <v>12.55655</v>
      </c>
      <c r="D1139" s="2" t="s">
        <v>51</v>
      </c>
      <c r="E1139" s="2" t="s">
        <v>7947</v>
      </c>
      <c r="F1139" s="2">
        <v>293616</v>
      </c>
      <c r="G1139" s="3" t="str">
        <f>HYPERLINK("https://cloud.oebiotech.com/#/lm/network/293616", "https://cloud.oebiotech.com/#/lm/network/293616")</f>
        <v>https://cloud.oebiotech.com/#/lm/network/293616</v>
      </c>
      <c r="H1139" s="2"/>
      <c r="I1139" s="2">
        <v>317565</v>
      </c>
      <c r="J1139" s="2"/>
      <c r="K1139" s="2">
        <v>10132209</v>
      </c>
      <c r="L1139" s="2"/>
      <c r="M1139" s="2"/>
      <c r="N1139" s="2"/>
      <c r="O1139" s="2"/>
      <c r="P1139" s="2"/>
      <c r="Q1139" s="2"/>
      <c r="R1139" s="2"/>
      <c r="S1139" s="2" t="s">
        <v>7948</v>
      </c>
      <c r="T1139" s="2" t="s">
        <v>7949</v>
      </c>
      <c r="U1139" s="2" t="s">
        <v>266</v>
      </c>
      <c r="V1139" s="2" t="s">
        <v>2781</v>
      </c>
      <c r="W1139" s="2" t="s">
        <v>2782</v>
      </c>
      <c r="X1139" s="2" t="s">
        <v>147</v>
      </c>
      <c r="Y1139" s="2">
        <v>39.200000000000003</v>
      </c>
      <c r="Z1139" s="2">
        <v>0</v>
      </c>
      <c r="AA1139" s="2" t="s">
        <v>218</v>
      </c>
      <c r="AB1139" s="2" t="s">
        <v>7950</v>
      </c>
      <c r="AC1139" s="2">
        <v>1.1424327076913099</v>
      </c>
      <c r="AD1139" s="2"/>
      <c r="AE1139" s="2">
        <v>0.54353104411147501</v>
      </c>
      <c r="AF1139" s="2">
        <v>40555.259045576197</v>
      </c>
      <c r="AG1139" s="2">
        <v>48453.290618222098</v>
      </c>
      <c r="AH1139" s="4">
        <v>0.83699700326079196</v>
      </c>
      <c r="AI1139" s="4">
        <v>-0.25670563745049402</v>
      </c>
      <c r="AJ1139" s="4" t="s">
        <v>62</v>
      </c>
      <c r="AK1139" s="2">
        <v>0.193761531170559</v>
      </c>
      <c r="AL1139" s="2">
        <v>0.51725957274568402</v>
      </c>
      <c r="AM1139" s="2">
        <v>25446.304370100399</v>
      </c>
      <c r="AN1139" s="2">
        <v>40106.336572836197</v>
      </c>
      <c r="AO1139" s="2">
        <v>40684.664117047098</v>
      </c>
      <c r="AP1139" s="2">
        <v>35380.802297529903</v>
      </c>
      <c r="AQ1139" s="2">
        <v>51685.961033713698</v>
      </c>
      <c r="AR1139" s="2">
        <v>50027.485882229703</v>
      </c>
      <c r="AS1139" s="2">
        <v>38975.550356197498</v>
      </c>
      <c r="AT1139" s="2">
        <v>36404.276920445896</v>
      </c>
      <c r="AU1139" s="2">
        <v>45527.3343324366</v>
      </c>
      <c r="AV1139" s="2">
        <v>61693.445212697799</v>
      </c>
      <c r="AW1139" s="2">
        <v>51456.622662542599</v>
      </c>
      <c r="AX1139" s="2">
        <v>56662.514225012397</v>
      </c>
    </row>
    <row r="1140" spans="1:50" x14ac:dyDescent="0.25">
      <c r="A1140" s="2" t="s">
        <v>7951</v>
      </c>
      <c r="B1140" s="2">
        <v>231.11363636673599</v>
      </c>
      <c r="C1140" s="2">
        <v>8.9285833333333304</v>
      </c>
      <c r="D1140" s="2" t="s">
        <v>51</v>
      </c>
      <c r="E1140" s="2" t="s">
        <v>7952</v>
      </c>
      <c r="F1140" s="2">
        <v>60362</v>
      </c>
      <c r="G1140" s="3" t="str">
        <f>HYPERLINK("https://cloud.oebiotech.com/#/lm/network/60362", "https://cloud.oebiotech.com/#/lm/network/60362")</f>
        <v>https://cloud.oebiotech.com/#/lm/network/60362</v>
      </c>
      <c r="H1140" s="2" t="s">
        <v>7953</v>
      </c>
      <c r="I1140" s="2">
        <v>91721</v>
      </c>
      <c r="J1140" s="2"/>
      <c r="K1140" s="2">
        <v>66963592</v>
      </c>
      <c r="L1140" s="2"/>
      <c r="M1140" s="2"/>
      <c r="N1140" s="2"/>
      <c r="O1140" s="2"/>
      <c r="P1140" s="2"/>
      <c r="Q1140" s="2"/>
      <c r="R1140" s="2" t="s">
        <v>7954</v>
      </c>
      <c r="S1140" s="2" t="s">
        <v>7955</v>
      </c>
      <c r="T1140" s="2" t="s">
        <v>7956</v>
      </c>
      <c r="U1140" s="2" t="s">
        <v>331</v>
      </c>
      <c r="V1140" s="2" t="s">
        <v>332</v>
      </c>
      <c r="W1140" s="2" t="s">
        <v>519</v>
      </c>
      <c r="X1140" s="2" t="s">
        <v>83</v>
      </c>
      <c r="Y1140" s="2">
        <v>43</v>
      </c>
      <c r="Z1140" s="2">
        <v>6.0299999999999999E-2</v>
      </c>
      <c r="AA1140" s="2" t="s">
        <v>395</v>
      </c>
      <c r="AB1140" s="2" t="s">
        <v>7957</v>
      </c>
      <c r="AC1140" s="2">
        <v>-4.87622858827734</v>
      </c>
      <c r="AD1140" s="2"/>
      <c r="AE1140" s="2">
        <v>0.54297770981290905</v>
      </c>
      <c r="AF1140" s="2">
        <v>3619.82534039865</v>
      </c>
      <c r="AG1140" s="2">
        <v>10922.205599438401</v>
      </c>
      <c r="AH1140" s="4">
        <v>0.33141889771648098</v>
      </c>
      <c r="AI1140" s="4">
        <v>-1.5932722265931101</v>
      </c>
      <c r="AJ1140" s="4" t="s">
        <v>62</v>
      </c>
      <c r="AK1140" s="2">
        <v>4.9391254009042297E-2</v>
      </c>
      <c r="AL1140" s="2">
        <v>0.30899459963296499</v>
      </c>
      <c r="AM1140" s="2">
        <v>3382.6497731736999</v>
      </c>
      <c r="AN1140" s="2">
        <v>4335.7363931981699</v>
      </c>
      <c r="AO1140" s="2">
        <v>3236.03498633048</v>
      </c>
      <c r="AP1140" s="2">
        <v>3501.25894194176</v>
      </c>
      <c r="AQ1140" s="2">
        <v>3764.9995913243802</v>
      </c>
      <c r="AR1140" s="2">
        <v>3498.2723564234202</v>
      </c>
      <c r="AS1140" s="2">
        <v>9891.3163985115807</v>
      </c>
      <c r="AT1140" s="2">
        <v>1519.5710135249501</v>
      </c>
      <c r="AU1140" s="2">
        <v>8151.4600443280297</v>
      </c>
      <c r="AV1140" s="2">
        <v>14242.6687715152</v>
      </c>
      <c r="AW1140" s="2">
        <v>24874.239930299202</v>
      </c>
      <c r="AX1140" s="2">
        <v>6853.9774384513803</v>
      </c>
    </row>
    <row r="1141" spans="1:50" x14ac:dyDescent="0.25">
      <c r="A1141" s="2" t="s">
        <v>7958</v>
      </c>
      <c r="B1141" s="2">
        <v>677.45556361065701</v>
      </c>
      <c r="C1141" s="2">
        <v>12.363666666666701</v>
      </c>
      <c r="D1141" s="2" t="s">
        <v>51</v>
      </c>
      <c r="E1141" s="2" t="s">
        <v>7959</v>
      </c>
      <c r="F1141" s="2">
        <v>136355</v>
      </c>
      <c r="G1141" s="3" t="str">
        <f>HYPERLINK("https://cloud.oebiotech.com/#/lm/network/136355", "https://cloud.oebiotech.com/#/lm/network/136355")</f>
        <v>https://cloud.oebiotech.com/#/lm/network/136355</v>
      </c>
      <c r="H1141" s="2" t="s">
        <v>7960</v>
      </c>
      <c r="I1141" s="2"/>
      <c r="J1141" s="2"/>
      <c r="K1141" s="2">
        <v>131823333</v>
      </c>
      <c r="L1141" s="2"/>
      <c r="M1141" s="2"/>
      <c r="N1141" s="2"/>
      <c r="O1141" s="2"/>
      <c r="P1141" s="2"/>
      <c r="Q1141" s="2"/>
      <c r="R1141" s="2"/>
      <c r="S1141" s="2" t="s">
        <v>7961</v>
      </c>
      <c r="T1141" s="2" t="s">
        <v>7962</v>
      </c>
      <c r="U1141" s="2" t="s">
        <v>56</v>
      </c>
      <c r="V1141" s="2" t="s">
        <v>57</v>
      </c>
      <c r="W1141" s="2" t="s">
        <v>702</v>
      </c>
      <c r="X1141" s="2" t="s">
        <v>83</v>
      </c>
      <c r="Y1141" s="2">
        <v>42.8</v>
      </c>
      <c r="Z1141" s="2">
        <v>0</v>
      </c>
      <c r="AA1141" s="2" t="s">
        <v>379</v>
      </c>
      <c r="AB1141" s="2" t="s">
        <v>7963</v>
      </c>
      <c r="AC1141" s="2">
        <v>0.57278795309351505</v>
      </c>
      <c r="AD1141" s="2"/>
      <c r="AE1141" s="2">
        <v>0.54223681608897401</v>
      </c>
      <c r="AF1141" s="2">
        <v>11318.967531544</v>
      </c>
      <c r="AG1141" s="2">
        <v>24680.245606610999</v>
      </c>
      <c r="AH1141" s="4">
        <v>0.45862459036922998</v>
      </c>
      <c r="AI1141" s="4">
        <v>-1.1246143839881799</v>
      </c>
      <c r="AJ1141" s="4" t="s">
        <v>62</v>
      </c>
      <c r="AK1141" s="2">
        <v>0.21704784994697399</v>
      </c>
      <c r="AL1141" s="2">
        <v>0.54227595765134895</v>
      </c>
      <c r="AM1141" s="2">
        <v>29813.182711627302</v>
      </c>
      <c r="AN1141" s="2">
        <v>4448.8581376634802</v>
      </c>
      <c r="AO1141" s="2">
        <v>6724.4243333163004</v>
      </c>
      <c r="AP1141" s="2">
        <v>8580.7324806079105</v>
      </c>
      <c r="AQ1141" s="2">
        <v>6965.7139861143596</v>
      </c>
      <c r="AR1141" s="2">
        <v>11380.893539934401</v>
      </c>
      <c r="AS1141" s="2">
        <v>5930.5464973260796</v>
      </c>
      <c r="AT1141" s="2">
        <v>7852.6632895620596</v>
      </c>
      <c r="AU1141" s="2">
        <v>18406.2286643109</v>
      </c>
      <c r="AV1141" s="2">
        <v>23507.998163915501</v>
      </c>
      <c r="AW1141" s="2">
        <v>69077.883295355394</v>
      </c>
      <c r="AX1141" s="2">
        <v>23306.153729195899</v>
      </c>
    </row>
    <row r="1142" spans="1:50" x14ac:dyDescent="0.25">
      <c r="A1142" s="2" t="s">
        <v>7964</v>
      </c>
      <c r="B1142" s="2">
        <v>337.018724831361</v>
      </c>
      <c r="C1142" s="2">
        <v>0.782216666666667</v>
      </c>
      <c r="D1142" s="2" t="s">
        <v>51</v>
      </c>
      <c r="E1142" s="2" t="s">
        <v>7965</v>
      </c>
      <c r="F1142" s="2">
        <v>60304</v>
      </c>
      <c r="G1142" s="3" t="str">
        <f>HYPERLINK("https://cloud.oebiotech.com/#/lm/network/60304", "https://cloud.oebiotech.com/#/lm/network/60304")</f>
        <v>https://cloud.oebiotech.com/#/lm/network/60304</v>
      </c>
      <c r="H1142" s="2" t="s">
        <v>7966</v>
      </c>
      <c r="I1142" s="2">
        <v>91674</v>
      </c>
      <c r="J1142" s="2"/>
      <c r="K1142" s="2">
        <v>12302892</v>
      </c>
      <c r="L1142" s="2"/>
      <c r="M1142" s="2"/>
      <c r="N1142" s="2"/>
      <c r="O1142" s="2"/>
      <c r="P1142" s="2"/>
      <c r="Q1142" s="2"/>
      <c r="R1142" s="2"/>
      <c r="S1142" s="2" t="s">
        <v>7967</v>
      </c>
      <c r="T1142" s="2" t="s">
        <v>7968</v>
      </c>
      <c r="U1142" s="2" t="s">
        <v>103</v>
      </c>
      <c r="V1142" s="2" t="s">
        <v>104</v>
      </c>
      <c r="W1142" s="2" t="s">
        <v>4850</v>
      </c>
      <c r="X1142" s="2" t="s">
        <v>147</v>
      </c>
      <c r="Y1142" s="2">
        <v>36.9</v>
      </c>
      <c r="Z1142" s="2">
        <v>1.2</v>
      </c>
      <c r="AA1142" s="2" t="s">
        <v>379</v>
      </c>
      <c r="AB1142" s="2" t="s">
        <v>7969</v>
      </c>
      <c r="AC1142" s="2">
        <v>-3.91881987491091</v>
      </c>
      <c r="AD1142" s="2"/>
      <c r="AE1142" s="2">
        <v>0.54172304324836795</v>
      </c>
      <c r="AF1142" s="2">
        <v>35377.080493130998</v>
      </c>
      <c r="AG1142" s="2">
        <v>25145.640781128699</v>
      </c>
      <c r="AH1142" s="5">
        <v>1.40688721361521</v>
      </c>
      <c r="AI1142" s="5">
        <v>0.492506676207626</v>
      </c>
      <c r="AJ1142" s="5" t="s">
        <v>139</v>
      </c>
      <c r="AK1142" s="2">
        <v>0.32905183226949902</v>
      </c>
      <c r="AL1142" s="2">
        <v>0.63135842857913305</v>
      </c>
      <c r="AM1142" s="2">
        <v>73227.957291779399</v>
      </c>
      <c r="AN1142" s="2">
        <v>11060.106925488801</v>
      </c>
      <c r="AO1142" s="2">
        <v>40541.406151790397</v>
      </c>
      <c r="AP1142" s="2">
        <v>42558.316060136502</v>
      </c>
      <c r="AQ1142" s="2">
        <v>21587.2756068505</v>
      </c>
      <c r="AR1142" s="2">
        <v>23287.420922740599</v>
      </c>
      <c r="AS1142" s="2">
        <v>28904.5261261704</v>
      </c>
      <c r="AT1142" s="2">
        <v>19211.117167937002</v>
      </c>
      <c r="AU1142" s="2">
        <v>39884.402544954602</v>
      </c>
      <c r="AV1142" s="2">
        <v>8732.4192856804402</v>
      </c>
      <c r="AW1142" s="2">
        <v>26315.227980026499</v>
      </c>
      <c r="AX1142" s="2">
        <v>27826.1515820032</v>
      </c>
    </row>
    <row r="1143" spans="1:50" x14ac:dyDescent="0.25">
      <c r="A1143" s="2" t="s">
        <v>7970</v>
      </c>
      <c r="B1143" s="2">
        <v>273.18565129540798</v>
      </c>
      <c r="C1143" s="2">
        <v>9.3622666666666703</v>
      </c>
      <c r="D1143" s="2" t="s">
        <v>51</v>
      </c>
      <c r="E1143" s="2" t="s">
        <v>7971</v>
      </c>
      <c r="F1143" s="2">
        <v>200295</v>
      </c>
      <c r="G1143" s="3" t="str">
        <f>HYPERLINK("https://cloud.oebiotech.com/#/lm/network/200295", "https://cloud.oebiotech.com/#/lm/network/200295")</f>
        <v>https://cloud.oebiotech.com/#/lm/network/200295</v>
      </c>
      <c r="H1143" s="2" t="s">
        <v>7972</v>
      </c>
      <c r="I1143" s="2"/>
      <c r="J1143" s="2"/>
      <c r="K1143" s="2">
        <v>623313</v>
      </c>
      <c r="L1143" s="2"/>
      <c r="M1143" s="2"/>
      <c r="N1143" s="2"/>
      <c r="O1143" s="2"/>
      <c r="P1143" s="2"/>
      <c r="Q1143" s="2"/>
      <c r="R1143" s="2"/>
      <c r="S1143" s="2" t="s">
        <v>7973</v>
      </c>
      <c r="T1143" s="2" t="s">
        <v>7974</v>
      </c>
      <c r="U1143" s="2" t="s">
        <v>56</v>
      </c>
      <c r="V1143" s="2" t="s">
        <v>283</v>
      </c>
      <c r="W1143" s="2" t="s">
        <v>1944</v>
      </c>
      <c r="X1143" s="2" t="s">
        <v>83</v>
      </c>
      <c r="Y1143" s="2">
        <v>48.1</v>
      </c>
      <c r="Z1143" s="2">
        <v>24</v>
      </c>
      <c r="AA1143" s="2" t="s">
        <v>259</v>
      </c>
      <c r="AB1143" s="2" t="s">
        <v>7975</v>
      </c>
      <c r="AC1143" s="2">
        <v>2.7366488849072201</v>
      </c>
      <c r="AD1143" s="2"/>
      <c r="AE1143" s="2">
        <v>0.541481304733612</v>
      </c>
      <c r="AF1143" s="2">
        <v>14930.940090227101</v>
      </c>
      <c r="AG1143" s="2">
        <v>8175.32639219674</v>
      </c>
      <c r="AH1143" s="5">
        <v>1.82634177205188</v>
      </c>
      <c r="AI1143" s="5">
        <v>0.86895676899461205</v>
      </c>
      <c r="AJ1143" s="5" t="s">
        <v>139</v>
      </c>
      <c r="AK1143" s="2">
        <v>6.7151095148169193E-2</v>
      </c>
      <c r="AL1143" s="2">
        <v>0.34192828169447498</v>
      </c>
      <c r="AM1143" s="2">
        <v>29579.349747781798</v>
      </c>
      <c r="AN1143" s="2">
        <v>11417.1152870145</v>
      </c>
      <c r="AO1143" s="2">
        <v>11654.8790708754</v>
      </c>
      <c r="AP1143" s="2">
        <v>13766.320063335001</v>
      </c>
      <c r="AQ1143" s="2">
        <v>9081.7965841079895</v>
      </c>
      <c r="AR1143" s="2">
        <v>14086.1797882478</v>
      </c>
      <c r="AS1143" s="2">
        <v>10918.8821671226</v>
      </c>
      <c r="AT1143" s="2">
        <v>8457.2505486210503</v>
      </c>
      <c r="AU1143" s="2">
        <v>10331.9573905691</v>
      </c>
      <c r="AV1143" s="2">
        <v>3298.62504446097</v>
      </c>
      <c r="AW1143" s="2">
        <v>5305.5681309595102</v>
      </c>
      <c r="AX1143" s="2">
        <v>10739.6750714472</v>
      </c>
    </row>
    <row r="1144" spans="1:50" x14ac:dyDescent="0.25">
      <c r="A1144" s="2" t="s">
        <v>7976</v>
      </c>
      <c r="B1144" s="2">
        <v>207.12463023864399</v>
      </c>
      <c r="C1144" s="2">
        <v>14.479983333333299</v>
      </c>
      <c r="D1144" s="2" t="s">
        <v>51</v>
      </c>
      <c r="E1144" s="2" t="s">
        <v>7977</v>
      </c>
      <c r="F1144" s="2">
        <v>54487</v>
      </c>
      <c r="G1144" s="3" t="str">
        <f>HYPERLINK("https://cloud.oebiotech.com/#/lm/network/54487", "https://cloud.oebiotech.com/#/lm/network/54487")</f>
        <v>https://cloud.oebiotech.com/#/lm/network/54487</v>
      </c>
      <c r="H1144" s="2" t="s">
        <v>7978</v>
      </c>
      <c r="I1144" s="2">
        <v>86342</v>
      </c>
      <c r="J1144" s="2"/>
      <c r="K1144" s="2">
        <v>151252</v>
      </c>
      <c r="L1144" s="2"/>
      <c r="M1144" s="2"/>
      <c r="N1144" s="2"/>
      <c r="O1144" s="2"/>
      <c r="P1144" s="2"/>
      <c r="Q1144" s="2"/>
      <c r="R1144" s="2" t="s">
        <v>7979</v>
      </c>
      <c r="S1144" s="2" t="s">
        <v>7980</v>
      </c>
      <c r="T1144" s="2" t="s">
        <v>7981</v>
      </c>
      <c r="U1144" s="2" t="s">
        <v>610</v>
      </c>
      <c r="V1144" s="2" t="s">
        <v>611</v>
      </c>
      <c r="W1144" s="2" t="s">
        <v>1122</v>
      </c>
      <c r="X1144" s="2" t="s">
        <v>147</v>
      </c>
      <c r="Y1144" s="2">
        <v>42.9</v>
      </c>
      <c r="Z1144" s="2">
        <v>24</v>
      </c>
      <c r="AA1144" s="2" t="s">
        <v>156</v>
      </c>
      <c r="AB1144" s="2" t="s">
        <v>7982</v>
      </c>
      <c r="AC1144" s="2">
        <v>-3.3460783985190798</v>
      </c>
      <c r="AD1144" s="2"/>
      <c r="AE1144" s="2">
        <v>0.54101735007433804</v>
      </c>
      <c r="AF1144" s="2">
        <v>140247.72229664799</v>
      </c>
      <c r="AG1144" s="2">
        <v>153209.43165148099</v>
      </c>
      <c r="AH1144" s="4">
        <v>0.91539875048738595</v>
      </c>
      <c r="AI1144" s="4">
        <v>-0.12752777221564601</v>
      </c>
      <c r="AJ1144" s="4" t="s">
        <v>62</v>
      </c>
      <c r="AK1144" s="2">
        <v>0.21987342967104601</v>
      </c>
      <c r="AL1144" s="2">
        <v>0.545275084359649</v>
      </c>
      <c r="AM1144" s="2">
        <v>123707.45041782199</v>
      </c>
      <c r="AN1144" s="2">
        <v>152237.35979530599</v>
      </c>
      <c r="AO1144" s="2">
        <v>144151.184747833</v>
      </c>
      <c r="AP1144" s="2">
        <v>150819.13676598601</v>
      </c>
      <c r="AQ1144" s="2">
        <v>153337.599548875</v>
      </c>
      <c r="AR1144" s="2">
        <v>117233.60250406701</v>
      </c>
      <c r="AS1144" s="2">
        <v>165547.121008758</v>
      </c>
      <c r="AT1144" s="2">
        <v>179026.96046022099</v>
      </c>
      <c r="AU1144" s="2">
        <v>132041.58256235099</v>
      </c>
      <c r="AV1144" s="2">
        <v>138990.33429804101</v>
      </c>
      <c r="AW1144" s="2">
        <v>141239.49777547401</v>
      </c>
      <c r="AX1144" s="2">
        <v>162411.09380403999</v>
      </c>
    </row>
    <row r="1145" spans="1:50" x14ac:dyDescent="0.25">
      <c r="A1145" s="2" t="s">
        <v>7983</v>
      </c>
      <c r="B1145" s="2">
        <v>401.21798530016503</v>
      </c>
      <c r="C1145" s="2">
        <v>5.1680666666666699</v>
      </c>
      <c r="D1145" s="2" t="s">
        <v>51</v>
      </c>
      <c r="E1145" s="2" t="s">
        <v>7984</v>
      </c>
      <c r="F1145" s="2">
        <v>1631</v>
      </c>
      <c r="G1145" s="3" t="str">
        <f>HYPERLINK("https://cloud.oebiotech.com/#/lm/network/1631", "https://cloud.oebiotech.com/#/lm/network/1631")</f>
        <v>https://cloud.oebiotech.com/#/lm/network/1631</v>
      </c>
      <c r="H1145" s="2"/>
      <c r="I1145" s="2">
        <v>74468</v>
      </c>
      <c r="J1145" s="2" t="s">
        <v>7985</v>
      </c>
      <c r="K1145" s="2">
        <v>5282878</v>
      </c>
      <c r="L1145" s="2"/>
      <c r="M1145" s="2"/>
      <c r="N1145" s="2"/>
      <c r="O1145" s="2"/>
      <c r="P1145" s="2"/>
      <c r="Q1145" s="2"/>
      <c r="R1145" s="2"/>
      <c r="S1145" s="2" t="s">
        <v>7986</v>
      </c>
      <c r="T1145" s="2" t="s">
        <v>7987</v>
      </c>
      <c r="U1145" s="2" t="s">
        <v>56</v>
      </c>
      <c r="V1145" s="2" t="s">
        <v>145</v>
      </c>
      <c r="W1145" s="2" t="s">
        <v>1188</v>
      </c>
      <c r="X1145" s="2" t="s">
        <v>147</v>
      </c>
      <c r="Y1145" s="2">
        <v>38.4</v>
      </c>
      <c r="Z1145" s="2">
        <v>0</v>
      </c>
      <c r="AA1145" s="2" t="s">
        <v>218</v>
      </c>
      <c r="AB1145" s="2" t="s">
        <v>7988</v>
      </c>
      <c r="AC1145" s="2">
        <v>-0.29844890317020201</v>
      </c>
      <c r="AD1145" s="2"/>
      <c r="AE1145" s="2">
        <v>0.54081385296348805</v>
      </c>
      <c r="AF1145" s="2">
        <v>11564.6980402882</v>
      </c>
      <c r="AG1145" s="2">
        <v>4821.7721801807002</v>
      </c>
      <c r="AH1145" s="5">
        <v>2.3984331088522701</v>
      </c>
      <c r="AI1145" s="5">
        <v>1.2620922040285301</v>
      </c>
      <c r="AJ1145" s="5" t="s">
        <v>139</v>
      </c>
      <c r="AK1145" s="2">
        <v>1.0510735928069901E-2</v>
      </c>
      <c r="AL1145" s="2">
        <v>0.165526976781455</v>
      </c>
      <c r="AM1145" s="2">
        <v>12157.501875870499</v>
      </c>
      <c r="AN1145" s="2">
        <v>17727.489632927802</v>
      </c>
      <c r="AO1145" s="2">
        <v>11225.8237289073</v>
      </c>
      <c r="AP1145" s="2">
        <v>11824.3662632616</v>
      </c>
      <c r="AQ1145" s="2">
        <v>5276.9632486721102</v>
      </c>
      <c r="AR1145" s="2">
        <v>11176.043492089701</v>
      </c>
      <c r="AS1145" s="2">
        <v>9326.8198387599004</v>
      </c>
      <c r="AT1145" s="2">
        <v>2375.5684899175699</v>
      </c>
      <c r="AU1145" s="2">
        <v>8371.25868404623</v>
      </c>
      <c r="AV1145" s="2">
        <v>432.84370086124801</v>
      </c>
      <c r="AW1145" s="2">
        <v>3417.8599419540001</v>
      </c>
      <c r="AX1145" s="2">
        <v>5006.2824255452297</v>
      </c>
    </row>
    <row r="1146" spans="1:50" x14ac:dyDescent="0.25">
      <c r="A1146" s="2" t="s">
        <v>7989</v>
      </c>
      <c r="B1146" s="2">
        <v>568.26586133937496</v>
      </c>
      <c r="C1146" s="2">
        <v>10.2658666666667</v>
      </c>
      <c r="D1146" s="2" t="s">
        <v>51</v>
      </c>
      <c r="E1146" s="2" t="s">
        <v>7990</v>
      </c>
      <c r="F1146" s="2">
        <v>277220</v>
      </c>
      <c r="G1146" s="3" t="str">
        <f>HYPERLINK("https://cloud.oebiotech.com/#/lm/network/277220", "https://cloud.oebiotech.com/#/lm/network/277220")</f>
        <v>https://cloud.oebiotech.com/#/lm/network/277220</v>
      </c>
      <c r="H1146" s="2"/>
      <c r="I1146" s="2">
        <v>68980</v>
      </c>
      <c r="J1146" s="2"/>
      <c r="K1146" s="2">
        <v>11957499</v>
      </c>
      <c r="L1146" s="2" t="s">
        <v>7991</v>
      </c>
      <c r="M1146" s="2"/>
      <c r="N1146" s="2"/>
      <c r="O1146" s="2"/>
      <c r="P1146" s="2"/>
      <c r="Q1146" s="2"/>
      <c r="R1146" s="2" t="s">
        <v>7992</v>
      </c>
      <c r="S1146" s="2" t="s">
        <v>7993</v>
      </c>
      <c r="T1146" s="2" t="s">
        <v>7994</v>
      </c>
      <c r="U1146" s="2" t="s">
        <v>266</v>
      </c>
      <c r="V1146" s="2" t="s">
        <v>7995</v>
      </c>
      <c r="W1146" s="2" t="s">
        <v>240</v>
      </c>
      <c r="X1146" s="2" t="s">
        <v>147</v>
      </c>
      <c r="Y1146" s="2">
        <v>38.200000000000003</v>
      </c>
      <c r="Z1146" s="2">
        <v>0</v>
      </c>
      <c r="AA1146" s="2" t="s">
        <v>218</v>
      </c>
      <c r="AB1146" s="2" t="s">
        <v>7996</v>
      </c>
      <c r="AC1146" s="2">
        <v>-1.1035429548871201</v>
      </c>
      <c r="AD1146" s="2"/>
      <c r="AE1146" s="2">
        <v>0.54018593288179495</v>
      </c>
      <c r="AF1146" s="2">
        <v>30519.020033728601</v>
      </c>
      <c r="AG1146" s="2">
        <v>38726.942730937102</v>
      </c>
      <c r="AH1146" s="4">
        <v>0.78805652813250204</v>
      </c>
      <c r="AI1146" s="4">
        <v>-0.34362897544501902</v>
      </c>
      <c r="AJ1146" s="4" t="s">
        <v>62</v>
      </c>
      <c r="AK1146" s="2">
        <v>0.14364082119657501</v>
      </c>
      <c r="AL1146" s="2">
        <v>0.46691644728252502</v>
      </c>
      <c r="AM1146" s="2">
        <v>25726.146279775799</v>
      </c>
      <c r="AN1146" s="2">
        <v>31862.582548406801</v>
      </c>
      <c r="AO1146" s="2">
        <v>35922.455442156701</v>
      </c>
      <c r="AP1146" s="2">
        <v>35692.6046388412</v>
      </c>
      <c r="AQ1146" s="2">
        <v>23703.459313008399</v>
      </c>
      <c r="AR1146" s="2">
        <v>30206.871980182499</v>
      </c>
      <c r="AS1146" s="2">
        <v>32651.378796009802</v>
      </c>
      <c r="AT1146" s="2">
        <v>28716.5213486024</v>
      </c>
      <c r="AU1146" s="2">
        <v>32460.710847022801</v>
      </c>
      <c r="AV1146" s="2">
        <v>53039.280301008999</v>
      </c>
      <c r="AW1146" s="2">
        <v>54188.914574506998</v>
      </c>
      <c r="AX1146" s="2">
        <v>31304.850518471801</v>
      </c>
    </row>
    <row r="1147" spans="1:50" x14ac:dyDescent="0.25">
      <c r="A1147" s="2" t="s">
        <v>7997</v>
      </c>
      <c r="B1147" s="2">
        <v>499.25267748578602</v>
      </c>
      <c r="C1147" s="2">
        <v>3.7296666666666698</v>
      </c>
      <c r="D1147" s="2" t="s">
        <v>51</v>
      </c>
      <c r="E1147" s="2" t="s">
        <v>7998</v>
      </c>
      <c r="F1147" s="2">
        <v>82076</v>
      </c>
      <c r="G1147" s="3" t="str">
        <f>HYPERLINK("https://cloud.oebiotech.com/#/lm/network/82076", "https://cloud.oebiotech.com/#/lm/network/82076")</f>
        <v>https://cloud.oebiotech.com/#/lm/network/82076</v>
      </c>
      <c r="H1147" s="2" t="s">
        <v>7999</v>
      </c>
      <c r="I1147" s="2"/>
      <c r="J1147" s="2"/>
      <c r="K1147" s="2">
        <v>131769813</v>
      </c>
      <c r="L1147" s="2"/>
      <c r="M1147" s="2"/>
      <c r="N1147" s="2"/>
      <c r="O1147" s="2"/>
      <c r="P1147" s="2"/>
      <c r="Q1147" s="2"/>
      <c r="R1147" s="2"/>
      <c r="S1147" s="2" t="s">
        <v>8000</v>
      </c>
      <c r="T1147" s="2" t="s">
        <v>8001</v>
      </c>
      <c r="U1147" s="2" t="s">
        <v>266</v>
      </c>
      <c r="V1147" s="2" t="s">
        <v>445</v>
      </c>
      <c r="W1147" s="2" t="s">
        <v>8002</v>
      </c>
      <c r="X1147" s="2" t="s">
        <v>83</v>
      </c>
      <c r="Y1147" s="2">
        <v>39.4</v>
      </c>
      <c r="Z1147" s="2">
        <v>0</v>
      </c>
      <c r="AA1147" s="2" t="s">
        <v>478</v>
      </c>
      <c r="AB1147" s="2" t="s">
        <v>8003</v>
      </c>
      <c r="AC1147" s="2">
        <v>-7.0582271165134296</v>
      </c>
      <c r="AD1147" s="2"/>
      <c r="AE1147" s="2">
        <v>0.53923592050776903</v>
      </c>
      <c r="AF1147" s="2">
        <v>5778.4258193032802</v>
      </c>
      <c r="AG1147" s="2">
        <v>21815.429394832699</v>
      </c>
      <c r="AH1147" s="4">
        <v>0.26487793179409003</v>
      </c>
      <c r="AI1147" s="4">
        <v>-1.9166004437712401</v>
      </c>
      <c r="AJ1147" s="4" t="s">
        <v>62</v>
      </c>
      <c r="AK1147" s="2">
        <v>0.46508898442633501</v>
      </c>
      <c r="AL1147" s="2">
        <v>0.71329029553543499</v>
      </c>
      <c r="AM1147" s="2">
        <v>11074.4197888256</v>
      </c>
      <c r="AN1147" s="2">
        <v>162.623295544455</v>
      </c>
      <c r="AO1147" s="2">
        <v>8.559877937157E-6</v>
      </c>
      <c r="AP1147" s="2">
        <v>451.73055742055402</v>
      </c>
      <c r="AQ1147" s="2">
        <v>12614.153456878001</v>
      </c>
      <c r="AR1147" s="2">
        <v>10367.6278085912</v>
      </c>
      <c r="AS1147" s="2">
        <v>8.559877937157E-6</v>
      </c>
      <c r="AT1147" s="2">
        <v>8.559877937157E-6</v>
      </c>
      <c r="AU1147" s="2">
        <v>4106.1174108478599</v>
      </c>
      <c r="AV1147" s="2">
        <v>126591.911826007</v>
      </c>
      <c r="AW1147" s="2">
        <v>8.559877937157E-6</v>
      </c>
      <c r="AX1147" s="2">
        <v>194.547106461829</v>
      </c>
    </row>
    <row r="1148" spans="1:50" x14ac:dyDescent="0.25">
      <c r="A1148" s="2" t="s">
        <v>8004</v>
      </c>
      <c r="B1148" s="2">
        <v>594.33947897575899</v>
      </c>
      <c r="C1148" s="2">
        <v>11.381349999999999</v>
      </c>
      <c r="D1148" s="2" t="s">
        <v>51</v>
      </c>
      <c r="E1148" s="2" t="s">
        <v>8005</v>
      </c>
      <c r="F1148" s="2">
        <v>18285</v>
      </c>
      <c r="G1148" s="3" t="str">
        <f>HYPERLINK("https://cloud.oebiotech.com/#/lm/network/18285", "https://cloud.oebiotech.com/#/lm/network/18285")</f>
        <v>https://cloud.oebiotech.com/#/lm/network/18285</v>
      </c>
      <c r="H1148" s="2"/>
      <c r="I1148" s="2">
        <v>39409</v>
      </c>
      <c r="J1148" s="2" t="s">
        <v>8006</v>
      </c>
      <c r="K1148" s="2">
        <v>24778752</v>
      </c>
      <c r="L1148" s="2"/>
      <c r="M1148" s="2"/>
      <c r="N1148" s="2"/>
      <c r="O1148" s="2">
        <v>142366</v>
      </c>
      <c r="P1148" s="2"/>
      <c r="Q1148" s="2"/>
      <c r="R1148" s="2"/>
      <c r="S1148" s="2" t="s">
        <v>8007</v>
      </c>
      <c r="T1148" s="2" t="s">
        <v>8008</v>
      </c>
      <c r="U1148" s="2" t="s">
        <v>56</v>
      </c>
      <c r="V1148" s="2" t="s">
        <v>57</v>
      </c>
      <c r="W1148" s="2" t="s">
        <v>58</v>
      </c>
      <c r="X1148" s="2" t="s">
        <v>147</v>
      </c>
      <c r="Y1148" s="2">
        <v>45.4</v>
      </c>
      <c r="Z1148" s="2">
        <v>34.9</v>
      </c>
      <c r="AA1148" s="2" t="s">
        <v>218</v>
      </c>
      <c r="AB1148" s="2" t="s">
        <v>8009</v>
      </c>
      <c r="AC1148" s="2">
        <v>-3.2368720187267601</v>
      </c>
      <c r="AD1148" s="2"/>
      <c r="AE1148" s="2">
        <v>0.53821481475323896</v>
      </c>
      <c r="AF1148" s="2">
        <v>119671.046073914</v>
      </c>
      <c r="AG1148" s="2">
        <v>146865.47593552899</v>
      </c>
      <c r="AH1148" s="4">
        <v>0.81483442797984096</v>
      </c>
      <c r="AI1148" s="4">
        <v>-0.29542115726093898</v>
      </c>
      <c r="AJ1148" s="4" t="s">
        <v>62</v>
      </c>
      <c r="AK1148" s="2">
        <v>0.276346505003222</v>
      </c>
      <c r="AL1148" s="2">
        <v>0.59599669755941997</v>
      </c>
      <c r="AM1148" s="2">
        <v>189725.14608258099</v>
      </c>
      <c r="AN1148" s="2">
        <v>140343.055015113</v>
      </c>
      <c r="AO1148" s="2">
        <v>96107.508510169006</v>
      </c>
      <c r="AP1148" s="2">
        <v>92481.475452508297</v>
      </c>
      <c r="AQ1148" s="2">
        <v>81506.725595040902</v>
      </c>
      <c r="AR1148" s="2">
        <v>117862.365788072</v>
      </c>
      <c r="AS1148" s="2">
        <v>122654.19308887199</v>
      </c>
      <c r="AT1148" s="2">
        <v>82019.899038952397</v>
      </c>
      <c r="AU1148" s="2">
        <v>204370.63260742399</v>
      </c>
      <c r="AV1148" s="2">
        <v>146548.67783037899</v>
      </c>
      <c r="AW1148" s="2">
        <v>158353.18291709301</v>
      </c>
      <c r="AX1148" s="2">
        <v>167246.270130455</v>
      </c>
    </row>
    <row r="1149" spans="1:50" x14ac:dyDescent="0.25">
      <c r="A1149" s="2" t="s">
        <v>8010</v>
      </c>
      <c r="B1149" s="2">
        <v>732.44712602871095</v>
      </c>
      <c r="C1149" s="2">
        <v>11.231</v>
      </c>
      <c r="D1149" s="2" t="s">
        <v>51</v>
      </c>
      <c r="E1149" s="2" t="s">
        <v>8011</v>
      </c>
      <c r="F1149" s="2">
        <v>213826</v>
      </c>
      <c r="G1149" s="3" t="str">
        <f>HYPERLINK("https://cloud.oebiotech.com/#/lm/network/213826", "https://cloud.oebiotech.com/#/lm/network/213826")</f>
        <v>https://cloud.oebiotech.com/#/lm/network/213826</v>
      </c>
      <c r="H1149" s="2" t="s">
        <v>8012</v>
      </c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 t="s">
        <v>8013</v>
      </c>
      <c r="T1149" s="2" t="s">
        <v>8014</v>
      </c>
      <c r="U1149" s="2" t="s">
        <v>56</v>
      </c>
      <c r="V1149" s="2" t="s">
        <v>145</v>
      </c>
      <c r="W1149" s="2" t="s">
        <v>187</v>
      </c>
      <c r="X1149" s="2" t="s">
        <v>83</v>
      </c>
      <c r="Y1149" s="2">
        <v>46.3</v>
      </c>
      <c r="Z1149" s="2">
        <v>0</v>
      </c>
      <c r="AA1149" s="2" t="s">
        <v>259</v>
      </c>
      <c r="AB1149" s="2" t="s">
        <v>8015</v>
      </c>
      <c r="AC1149" s="2">
        <v>3.41933610074121</v>
      </c>
      <c r="AD1149" s="2"/>
      <c r="AE1149" s="2">
        <v>0.53695546572870001</v>
      </c>
      <c r="AF1149" s="2">
        <v>7626.0954856621502</v>
      </c>
      <c r="AG1149" s="2">
        <v>856.68022520448903</v>
      </c>
      <c r="AH1149" s="5">
        <v>8.9019160957541796</v>
      </c>
      <c r="AI1149" s="5">
        <v>3.1541159028560299</v>
      </c>
      <c r="AJ1149" s="5" t="s">
        <v>139</v>
      </c>
      <c r="AK1149" s="2">
        <v>9.8858057331007495E-3</v>
      </c>
      <c r="AL1149" s="2">
        <v>0.16151302423615199</v>
      </c>
      <c r="AM1149" s="2">
        <v>8819.16891026958</v>
      </c>
      <c r="AN1149" s="2">
        <v>16088.694636025601</v>
      </c>
      <c r="AO1149" s="2">
        <v>3331.4534754984402</v>
      </c>
      <c r="AP1149" s="2">
        <v>6399.1752235439699</v>
      </c>
      <c r="AQ1149" s="2">
        <v>1959.86176174346</v>
      </c>
      <c r="AR1149" s="2">
        <v>9158.2189068918797</v>
      </c>
      <c r="AS1149" s="2">
        <v>2707.7229969518398</v>
      </c>
      <c r="AT1149" s="2">
        <v>8.559877937157E-6</v>
      </c>
      <c r="AU1149" s="2">
        <v>8.559877937157E-6</v>
      </c>
      <c r="AV1149" s="2">
        <v>8.559877937157E-6</v>
      </c>
      <c r="AW1149" s="2">
        <v>8.559877937157E-6</v>
      </c>
      <c r="AX1149" s="2">
        <v>2432.3583200355802</v>
      </c>
    </row>
    <row r="1150" spans="1:50" x14ac:dyDescent="0.25">
      <c r="A1150" s="2" t="s">
        <v>8016</v>
      </c>
      <c r="B1150" s="2">
        <v>343.21269703504299</v>
      </c>
      <c r="C1150" s="2">
        <v>7.7000333333333302</v>
      </c>
      <c r="D1150" s="2" t="s">
        <v>51</v>
      </c>
      <c r="E1150" s="2" t="s">
        <v>8017</v>
      </c>
      <c r="F1150" s="2">
        <v>3592</v>
      </c>
      <c r="G1150" s="3" t="str">
        <f>HYPERLINK("https://cloud.oebiotech.com/#/lm/network/3592", "https://cloud.oebiotech.com/#/lm/network/3592")</f>
        <v>https://cloud.oebiotech.com/#/lm/network/3592</v>
      </c>
      <c r="H1150" s="2"/>
      <c r="I1150" s="2"/>
      <c r="J1150" s="2" t="s">
        <v>8018</v>
      </c>
      <c r="K1150" s="2">
        <v>131839964</v>
      </c>
      <c r="L1150" s="2"/>
      <c r="M1150" s="2"/>
      <c r="N1150" s="2"/>
      <c r="O1150" s="2"/>
      <c r="P1150" s="2"/>
      <c r="Q1150" s="2"/>
      <c r="R1150" s="2"/>
      <c r="S1150" s="2" t="s">
        <v>8019</v>
      </c>
      <c r="T1150" s="2" t="s">
        <v>8020</v>
      </c>
      <c r="U1150" s="2" t="s">
        <v>331</v>
      </c>
      <c r="V1150" s="2" t="s">
        <v>332</v>
      </c>
      <c r="W1150" s="2" t="s">
        <v>333</v>
      </c>
      <c r="X1150" s="2" t="s">
        <v>147</v>
      </c>
      <c r="Y1150" s="2">
        <v>46.3</v>
      </c>
      <c r="Z1150" s="2">
        <v>37.5</v>
      </c>
      <c r="AA1150" s="2" t="s">
        <v>163</v>
      </c>
      <c r="AB1150" s="2" t="s">
        <v>8021</v>
      </c>
      <c r="AC1150" s="2">
        <v>0.246131749313512</v>
      </c>
      <c r="AD1150" s="2"/>
      <c r="AE1150" s="2">
        <v>0.53548675250376798</v>
      </c>
      <c r="AF1150" s="2">
        <v>11730.941509923199</v>
      </c>
      <c r="AG1150" s="2">
        <v>5586.8545784763101</v>
      </c>
      <c r="AH1150" s="5">
        <v>2.0997399064434799</v>
      </c>
      <c r="AI1150" s="5">
        <v>1.07021063316601</v>
      </c>
      <c r="AJ1150" s="5" t="s">
        <v>139</v>
      </c>
      <c r="AK1150" s="2">
        <v>1.26735797388541E-2</v>
      </c>
      <c r="AL1150" s="2">
        <v>0.17915010216565999</v>
      </c>
      <c r="AM1150" s="2">
        <v>14584.011405018</v>
      </c>
      <c r="AN1150" s="2">
        <v>12035.8172003117</v>
      </c>
      <c r="AO1150" s="2">
        <v>14117.196435648</v>
      </c>
      <c r="AP1150" s="2">
        <v>6430.3879092367197</v>
      </c>
      <c r="AQ1150" s="2">
        <v>10105.7177379392</v>
      </c>
      <c r="AR1150" s="2">
        <v>13112.5183713855</v>
      </c>
      <c r="AS1150" s="2">
        <v>9025.1511966282396</v>
      </c>
      <c r="AT1150" s="2">
        <v>1837.9608805462001</v>
      </c>
      <c r="AU1150" s="2">
        <v>11310.002010652201</v>
      </c>
      <c r="AV1150" s="2">
        <v>1660.9506801963601</v>
      </c>
      <c r="AW1150" s="2">
        <v>3943.9606029143301</v>
      </c>
      <c r="AX1150" s="2">
        <v>5743.1020999205102</v>
      </c>
    </row>
    <row r="1151" spans="1:50" x14ac:dyDescent="0.25">
      <c r="A1151" s="2" t="s">
        <v>8022</v>
      </c>
      <c r="B1151" s="2">
        <v>711.48527356680199</v>
      </c>
      <c r="C1151" s="2">
        <v>13.8921333333333</v>
      </c>
      <c r="D1151" s="2" t="s">
        <v>51</v>
      </c>
      <c r="E1151" s="2" t="s">
        <v>8023</v>
      </c>
      <c r="F1151" s="2">
        <v>39723</v>
      </c>
      <c r="G1151" s="3" t="str">
        <f>HYPERLINK("https://cloud.oebiotech.com/#/lm/network/39723", "https://cloud.oebiotech.com/#/lm/network/39723")</f>
        <v>https://cloud.oebiotech.com/#/lm/network/39723</v>
      </c>
      <c r="H1151" s="2"/>
      <c r="I1151" s="2">
        <v>103083</v>
      </c>
      <c r="J1151" s="2" t="s">
        <v>8024</v>
      </c>
      <c r="K1151" s="2">
        <v>70699027</v>
      </c>
      <c r="L1151" s="2"/>
      <c r="M1151" s="2"/>
      <c r="N1151" s="2"/>
      <c r="O1151" s="2"/>
      <c r="P1151" s="2"/>
      <c r="Q1151" s="2"/>
      <c r="R1151" s="2"/>
      <c r="S1151" s="2" t="s">
        <v>8025</v>
      </c>
      <c r="T1151" s="2" t="s">
        <v>8026</v>
      </c>
      <c r="U1151" s="2" t="s">
        <v>56</v>
      </c>
      <c r="V1151" s="2" t="s">
        <v>344</v>
      </c>
      <c r="W1151" s="2" t="s">
        <v>1239</v>
      </c>
      <c r="X1151" s="2" t="s">
        <v>147</v>
      </c>
      <c r="Y1151" s="2">
        <v>37.299999999999997</v>
      </c>
      <c r="Z1151" s="2">
        <v>0</v>
      </c>
      <c r="AA1151" s="2" t="s">
        <v>395</v>
      </c>
      <c r="AB1151" s="2" t="s">
        <v>8027</v>
      </c>
      <c r="AC1151" s="2">
        <v>2.21671823521458</v>
      </c>
      <c r="AD1151" s="2"/>
      <c r="AE1151" s="2">
        <v>0.535287477891631</v>
      </c>
      <c r="AF1151" s="2">
        <v>24864.1259265269</v>
      </c>
      <c r="AG1151" s="2">
        <v>17997.758383664099</v>
      </c>
      <c r="AH1151" s="5">
        <v>1.38151237484636</v>
      </c>
      <c r="AI1151" s="5">
        <v>0.46624848509613198</v>
      </c>
      <c r="AJ1151" s="5" t="s">
        <v>139</v>
      </c>
      <c r="AK1151" s="2">
        <v>0.264712938298026</v>
      </c>
      <c r="AL1151" s="2">
        <v>0.58661024431081399</v>
      </c>
      <c r="AM1151" s="2">
        <v>50074.677434356803</v>
      </c>
      <c r="AN1151" s="2">
        <v>26289.3983438055</v>
      </c>
      <c r="AO1151" s="2">
        <v>20884.666720520701</v>
      </c>
      <c r="AP1151" s="2">
        <v>15321.7534876953</v>
      </c>
      <c r="AQ1151" s="2">
        <v>19829.3627321243</v>
      </c>
      <c r="AR1151" s="2">
        <v>16784.896840658999</v>
      </c>
      <c r="AS1151" s="2">
        <v>16236.405857405</v>
      </c>
      <c r="AT1151" s="2">
        <v>20118.405125658701</v>
      </c>
      <c r="AU1151" s="2">
        <v>21832.358295755701</v>
      </c>
      <c r="AV1151" s="2">
        <v>12648.5843512217</v>
      </c>
      <c r="AW1151" s="2">
        <v>10625.3607748792</v>
      </c>
      <c r="AX1151" s="2">
        <v>26525.435897064599</v>
      </c>
    </row>
    <row r="1152" spans="1:50" x14ac:dyDescent="0.25">
      <c r="A1152" s="2" t="s">
        <v>8028</v>
      </c>
      <c r="B1152" s="2">
        <v>195.999127374247</v>
      </c>
      <c r="C1152" s="2">
        <v>15.0309333333333</v>
      </c>
      <c r="D1152" s="2" t="s">
        <v>51</v>
      </c>
      <c r="E1152" s="2" t="s">
        <v>8029</v>
      </c>
      <c r="F1152" s="2">
        <v>256603</v>
      </c>
      <c r="G1152" s="3" t="str">
        <f>HYPERLINK("https://cloud.oebiotech.com/#/lm/network/256603", "https://cloud.oebiotech.com/#/lm/network/256603")</f>
        <v>https://cloud.oebiotech.com/#/lm/network/256603</v>
      </c>
      <c r="H1152" s="2" t="s">
        <v>8030</v>
      </c>
      <c r="I1152" s="2"/>
      <c r="J1152" s="2"/>
      <c r="K1152" s="2">
        <v>10220013</v>
      </c>
      <c r="L1152" s="2"/>
      <c r="M1152" s="2"/>
      <c r="N1152" s="2"/>
      <c r="O1152" s="2"/>
      <c r="P1152" s="2"/>
      <c r="Q1152" s="2"/>
      <c r="R1152" s="2"/>
      <c r="S1152" s="2" t="s">
        <v>8031</v>
      </c>
      <c r="T1152" s="2" t="s">
        <v>8032</v>
      </c>
      <c r="U1152" s="2" t="s">
        <v>103</v>
      </c>
      <c r="V1152" s="2" t="s">
        <v>104</v>
      </c>
      <c r="W1152" s="2" t="s">
        <v>1139</v>
      </c>
      <c r="X1152" s="2" t="s">
        <v>147</v>
      </c>
      <c r="Y1152" s="2">
        <v>36.9</v>
      </c>
      <c r="Z1152" s="2">
        <v>0</v>
      </c>
      <c r="AA1152" s="2" t="s">
        <v>379</v>
      </c>
      <c r="AB1152" s="2" t="s">
        <v>8033</v>
      </c>
      <c r="AC1152" s="2">
        <v>0.914439673372058</v>
      </c>
      <c r="AD1152" s="2"/>
      <c r="AE1152" s="2">
        <v>0.53448246684818501</v>
      </c>
      <c r="AF1152" s="2">
        <v>40562.761374900103</v>
      </c>
      <c r="AG1152" s="2">
        <v>50148.6085516686</v>
      </c>
      <c r="AH1152" s="4">
        <v>0.80885118344027196</v>
      </c>
      <c r="AI1152" s="4">
        <v>-0.30605380219753098</v>
      </c>
      <c r="AJ1152" s="4" t="s">
        <v>62</v>
      </c>
      <c r="AK1152" s="2">
        <v>0.167526179975655</v>
      </c>
      <c r="AL1152" s="2">
        <v>0.49066991084681899</v>
      </c>
      <c r="AM1152" s="2">
        <v>40080.617078688403</v>
      </c>
      <c r="AN1152" s="2">
        <v>47104.729887678797</v>
      </c>
      <c r="AO1152" s="2">
        <v>44519.339213278297</v>
      </c>
      <c r="AP1152" s="2">
        <v>41399.639699309701</v>
      </c>
      <c r="AQ1152" s="2">
        <v>39846.850509501099</v>
      </c>
      <c r="AR1152" s="2">
        <v>30425.391860944299</v>
      </c>
      <c r="AS1152" s="2">
        <v>39834.0583021411</v>
      </c>
      <c r="AT1152" s="2">
        <v>44831.603507369298</v>
      </c>
      <c r="AU1152" s="2">
        <v>28313.313104026402</v>
      </c>
      <c r="AV1152" s="2">
        <v>62355.415311739802</v>
      </c>
      <c r="AW1152" s="2">
        <v>61670.129539698297</v>
      </c>
      <c r="AX1152" s="2">
        <v>63887.131545036798</v>
      </c>
    </row>
    <row r="1153" spans="1:50" x14ac:dyDescent="0.25">
      <c r="A1153" s="2" t="s">
        <v>8034</v>
      </c>
      <c r="B1153" s="2">
        <v>407.02187375341202</v>
      </c>
      <c r="C1153" s="2">
        <v>5.9063833333333298</v>
      </c>
      <c r="D1153" s="2" t="s">
        <v>51</v>
      </c>
      <c r="E1153" s="2" t="s">
        <v>8035</v>
      </c>
      <c r="F1153" s="2">
        <v>206974</v>
      </c>
      <c r="G1153" s="3" t="str">
        <f>HYPERLINK("https://cloud.oebiotech.com/#/lm/network/206974", "https://cloud.oebiotech.com/#/lm/network/206974")</f>
        <v>https://cloud.oebiotech.com/#/lm/network/206974</v>
      </c>
      <c r="H1153" s="2" t="s">
        <v>8036</v>
      </c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 t="s">
        <v>8037</v>
      </c>
      <c r="T1153" s="2" t="s">
        <v>8038</v>
      </c>
      <c r="U1153" s="2" t="s">
        <v>331</v>
      </c>
      <c r="V1153" s="2" t="s">
        <v>332</v>
      </c>
      <c r="W1153" s="2" t="s">
        <v>333</v>
      </c>
      <c r="X1153" s="2" t="s">
        <v>147</v>
      </c>
      <c r="Y1153" s="2">
        <v>38.200000000000003</v>
      </c>
      <c r="Z1153" s="2">
        <v>0.69799999999999995</v>
      </c>
      <c r="AA1153" s="2" t="s">
        <v>218</v>
      </c>
      <c r="AB1153" s="2" t="s">
        <v>8039</v>
      </c>
      <c r="AC1153" s="2">
        <v>-3.74637612537617</v>
      </c>
      <c r="AD1153" s="2"/>
      <c r="AE1153" s="2">
        <v>0.53446714657024297</v>
      </c>
      <c r="AF1153" s="2">
        <v>7744.9999504552497</v>
      </c>
      <c r="AG1153" s="2">
        <v>411.60639080914802</v>
      </c>
      <c r="AH1153" s="5">
        <v>18.816520159538602</v>
      </c>
      <c r="AI1153" s="5">
        <v>4.2339279422541196</v>
      </c>
      <c r="AJ1153" s="5" t="s">
        <v>139</v>
      </c>
      <c r="AK1153" s="2">
        <v>0.180957049835613</v>
      </c>
      <c r="AL1153" s="2">
        <v>0.50364855079524795</v>
      </c>
      <c r="AM1153" s="2">
        <v>32162.188808679999</v>
      </c>
      <c r="AN1153" s="2">
        <v>357.690721366574</v>
      </c>
      <c r="AO1153" s="2">
        <v>4882.66827876974</v>
      </c>
      <c r="AP1153" s="2">
        <v>22.6281413329827</v>
      </c>
      <c r="AQ1153" s="2">
        <v>9019.8990848738795</v>
      </c>
      <c r="AR1153" s="2">
        <v>24.924667708320701</v>
      </c>
      <c r="AS1153" s="2">
        <v>209.99077942512801</v>
      </c>
      <c r="AT1153" s="2">
        <v>687.10202923691895</v>
      </c>
      <c r="AU1153" s="2">
        <v>390.83288905113102</v>
      </c>
      <c r="AV1153" s="2">
        <v>719.87753223279003</v>
      </c>
      <c r="AW1153" s="2">
        <v>303.48670906532601</v>
      </c>
      <c r="AX1153" s="2">
        <v>158.34840584359301</v>
      </c>
    </row>
    <row r="1154" spans="1:50" x14ac:dyDescent="0.25">
      <c r="A1154" s="2" t="s">
        <v>8040</v>
      </c>
      <c r="B1154" s="2">
        <v>412.21063934889401</v>
      </c>
      <c r="C1154" s="2">
        <v>12.363666666666701</v>
      </c>
      <c r="D1154" s="2" t="s">
        <v>51</v>
      </c>
      <c r="E1154" s="2" t="s">
        <v>8041</v>
      </c>
      <c r="F1154" s="2">
        <v>53535</v>
      </c>
      <c r="G1154" s="3" t="str">
        <f>HYPERLINK("https://cloud.oebiotech.com/#/lm/network/53535", "https://cloud.oebiotech.com/#/lm/network/53535")</f>
        <v>https://cloud.oebiotech.com/#/lm/network/53535</v>
      </c>
      <c r="H1154" s="2" t="s">
        <v>8042</v>
      </c>
      <c r="I1154" s="2">
        <v>85510</v>
      </c>
      <c r="J1154" s="2"/>
      <c r="K1154" s="2">
        <v>54766</v>
      </c>
      <c r="L1154" s="2"/>
      <c r="M1154" s="2"/>
      <c r="N1154" s="2"/>
      <c r="O1154" s="2">
        <v>553827</v>
      </c>
      <c r="P1154" s="2"/>
      <c r="Q1154" s="2"/>
      <c r="R1154" s="2" t="s">
        <v>8043</v>
      </c>
      <c r="S1154" s="2" t="s">
        <v>8044</v>
      </c>
      <c r="T1154" s="2" t="s">
        <v>8045</v>
      </c>
      <c r="U1154" s="2" t="s">
        <v>610</v>
      </c>
      <c r="V1154" s="2" t="s">
        <v>611</v>
      </c>
      <c r="W1154" s="2" t="s">
        <v>5617</v>
      </c>
      <c r="X1154" s="2" t="s">
        <v>147</v>
      </c>
      <c r="Y1154" s="2">
        <v>38.4</v>
      </c>
      <c r="Z1154" s="2">
        <v>0</v>
      </c>
      <c r="AA1154" s="2" t="s">
        <v>218</v>
      </c>
      <c r="AB1154" s="2" t="s">
        <v>8046</v>
      </c>
      <c r="AC1154" s="2">
        <v>4.6715320821433703</v>
      </c>
      <c r="AD1154" s="2"/>
      <c r="AE1154" s="2">
        <v>0.534158063145587</v>
      </c>
      <c r="AF1154" s="2">
        <v>30324.464234098599</v>
      </c>
      <c r="AG1154" s="2">
        <v>43236.628711811303</v>
      </c>
      <c r="AH1154" s="4">
        <v>0.70136051624706497</v>
      </c>
      <c r="AI1154" s="4">
        <v>-0.511771879891045</v>
      </c>
      <c r="AJ1154" s="4" t="s">
        <v>62</v>
      </c>
      <c r="AK1154" s="2">
        <v>0.23052588214807301</v>
      </c>
      <c r="AL1154" s="2">
        <v>0.555000876850408</v>
      </c>
      <c r="AM1154" s="2">
        <v>50068.082656537503</v>
      </c>
      <c r="AN1154" s="2">
        <v>21854.948575890499</v>
      </c>
      <c r="AO1154" s="2">
        <v>27050.3143662084</v>
      </c>
      <c r="AP1154" s="2">
        <v>30573.268627160902</v>
      </c>
      <c r="AQ1154" s="2">
        <v>25197.5932177906</v>
      </c>
      <c r="AR1154" s="2">
        <v>27202.577961003899</v>
      </c>
      <c r="AS1154" s="2">
        <v>22048.340119837401</v>
      </c>
      <c r="AT1154" s="2">
        <v>25216.867019366899</v>
      </c>
      <c r="AU1154" s="2">
        <v>33962.975446433498</v>
      </c>
      <c r="AV1154" s="2">
        <v>44944.314218057501</v>
      </c>
      <c r="AW1154" s="2">
        <v>83992.043062140001</v>
      </c>
      <c r="AX1154" s="2">
        <v>49255.2324050323</v>
      </c>
    </row>
    <row r="1155" spans="1:50" x14ac:dyDescent="0.25">
      <c r="A1155" s="2" t="s">
        <v>8047</v>
      </c>
      <c r="B1155" s="2">
        <v>773.39525789867196</v>
      </c>
      <c r="C1155" s="2">
        <v>4.9422166666666696</v>
      </c>
      <c r="D1155" s="2" t="s">
        <v>51</v>
      </c>
      <c r="E1155" s="2" t="s">
        <v>8048</v>
      </c>
      <c r="F1155" s="2">
        <v>62842</v>
      </c>
      <c r="G1155" s="3" t="str">
        <f>HYPERLINK("https://cloud.oebiotech.com/#/lm/network/62842", "https://cloud.oebiotech.com/#/lm/network/62842")</f>
        <v>https://cloud.oebiotech.com/#/lm/network/62842</v>
      </c>
      <c r="H1155" s="2" t="s">
        <v>8049</v>
      </c>
      <c r="I1155" s="2"/>
      <c r="J1155" s="2"/>
      <c r="K1155" s="2">
        <v>131752684</v>
      </c>
      <c r="L1155" s="2"/>
      <c r="M1155" s="2"/>
      <c r="N1155" s="2"/>
      <c r="O1155" s="2"/>
      <c r="P1155" s="2"/>
      <c r="Q1155" s="2"/>
      <c r="R1155" s="2" t="s">
        <v>8050</v>
      </c>
      <c r="S1155" s="2" t="s">
        <v>8051</v>
      </c>
      <c r="T1155" s="2" t="s">
        <v>8052</v>
      </c>
      <c r="U1155" s="2" t="s">
        <v>56</v>
      </c>
      <c r="V1155" s="2" t="s">
        <v>177</v>
      </c>
      <c r="W1155" s="2" t="s">
        <v>394</v>
      </c>
      <c r="X1155" s="2" t="s">
        <v>147</v>
      </c>
      <c r="Y1155" s="2">
        <v>41</v>
      </c>
      <c r="Z1155" s="2">
        <v>21.1</v>
      </c>
      <c r="AA1155" s="2" t="s">
        <v>379</v>
      </c>
      <c r="AB1155" s="2" t="s">
        <v>8053</v>
      </c>
      <c r="AC1155" s="2">
        <v>-1.5794342021598899</v>
      </c>
      <c r="AD1155" s="2"/>
      <c r="AE1155" s="2">
        <v>0.53404823617944996</v>
      </c>
      <c r="AF1155" s="2">
        <v>10649.7152720752</v>
      </c>
      <c r="AG1155" s="2">
        <v>3106.1222208497402</v>
      </c>
      <c r="AH1155" s="5">
        <v>3.4286208059004499</v>
      </c>
      <c r="AI1155" s="5">
        <v>1.77762835580536</v>
      </c>
      <c r="AJ1155" s="5" t="s">
        <v>139</v>
      </c>
      <c r="AK1155" s="2">
        <v>4.3231148600930601E-2</v>
      </c>
      <c r="AL1155" s="2">
        <v>0.29603613522921002</v>
      </c>
      <c r="AM1155" s="2">
        <v>15457.5734763092</v>
      </c>
      <c r="AN1155" s="2">
        <v>2142.6945946556998</v>
      </c>
      <c r="AO1155" s="2">
        <v>22926.2454666052</v>
      </c>
      <c r="AP1155" s="2">
        <v>7896.4795378910603</v>
      </c>
      <c r="AQ1155" s="2">
        <v>9705.6039281415306</v>
      </c>
      <c r="AR1155" s="2">
        <v>5769.6946288482204</v>
      </c>
      <c r="AS1155" s="2">
        <v>8.559877937157E-6</v>
      </c>
      <c r="AT1155" s="2">
        <v>8.559877937157E-6</v>
      </c>
      <c r="AU1155" s="2">
        <v>5003.5288851894802</v>
      </c>
      <c r="AV1155" s="2">
        <v>2649.86733668541</v>
      </c>
      <c r="AW1155" s="2">
        <v>3770.4622457696801</v>
      </c>
      <c r="AX1155" s="2">
        <v>7212.8748403341297</v>
      </c>
    </row>
    <row r="1156" spans="1:50" x14ac:dyDescent="0.25">
      <c r="A1156" s="2" t="s">
        <v>8054</v>
      </c>
      <c r="B1156" s="2">
        <v>533.45571924982301</v>
      </c>
      <c r="C1156" s="2">
        <v>13.3257833333333</v>
      </c>
      <c r="D1156" s="2" t="s">
        <v>51</v>
      </c>
      <c r="E1156" s="2" t="s">
        <v>8055</v>
      </c>
      <c r="F1156" s="2">
        <v>78376</v>
      </c>
      <c r="G1156" s="3" t="str">
        <f>HYPERLINK("https://cloud.oebiotech.com/#/lm/network/78376", "https://cloud.oebiotech.com/#/lm/network/78376")</f>
        <v>https://cloud.oebiotech.com/#/lm/network/78376</v>
      </c>
      <c r="H1156" s="2" t="s">
        <v>8056</v>
      </c>
      <c r="I1156" s="2"/>
      <c r="J1156" s="2"/>
      <c r="K1156" s="2">
        <v>131801715</v>
      </c>
      <c r="L1156" s="2"/>
      <c r="M1156" s="2"/>
      <c r="N1156" s="2"/>
      <c r="O1156" s="2"/>
      <c r="P1156" s="2"/>
      <c r="Q1156" s="2"/>
      <c r="R1156" s="2"/>
      <c r="S1156" s="2" t="s">
        <v>8057</v>
      </c>
      <c r="T1156" s="2" t="s">
        <v>8058</v>
      </c>
      <c r="U1156" s="2" t="s">
        <v>56</v>
      </c>
      <c r="V1156" s="2" t="s">
        <v>3215</v>
      </c>
      <c r="W1156" s="2" t="s">
        <v>3216</v>
      </c>
      <c r="X1156" s="2" t="s">
        <v>83</v>
      </c>
      <c r="Y1156" s="2">
        <v>41.3</v>
      </c>
      <c r="Z1156" s="2">
        <v>0</v>
      </c>
      <c r="AA1156" s="2" t="s">
        <v>379</v>
      </c>
      <c r="AB1156" s="2" t="s">
        <v>8059</v>
      </c>
      <c r="AC1156" s="2">
        <v>-3.2848169149374198</v>
      </c>
      <c r="AD1156" s="2"/>
      <c r="AE1156" s="2">
        <v>0.53385469786432904</v>
      </c>
      <c r="AF1156" s="2">
        <v>3601.9872077823402</v>
      </c>
      <c r="AG1156" s="2">
        <v>11074.949500205599</v>
      </c>
      <c r="AH1156" s="4">
        <v>0.32523734828005202</v>
      </c>
      <c r="AI1156" s="4">
        <v>-1.6204351576326399</v>
      </c>
      <c r="AJ1156" s="4" t="s">
        <v>62</v>
      </c>
      <c r="AK1156" s="2">
        <v>7.5554673914396001E-3</v>
      </c>
      <c r="AL1156" s="2">
        <v>0.14489874833036501</v>
      </c>
      <c r="AM1156" s="2">
        <v>4442.8597132921204</v>
      </c>
      <c r="AN1156" s="2">
        <v>1713.4976637893101</v>
      </c>
      <c r="AO1156" s="2">
        <v>2956.9231691356499</v>
      </c>
      <c r="AP1156" s="2">
        <v>2280.6994011996899</v>
      </c>
      <c r="AQ1156" s="2">
        <v>4416.1962126366798</v>
      </c>
      <c r="AR1156" s="2">
        <v>5801.7470866406102</v>
      </c>
      <c r="AS1156" s="2">
        <v>4786.5764727851601</v>
      </c>
      <c r="AT1156" s="2">
        <v>6596.9885698789603</v>
      </c>
      <c r="AU1156" s="2">
        <v>19530.659929962301</v>
      </c>
      <c r="AV1156" s="2">
        <v>12650.2117398275</v>
      </c>
      <c r="AW1156" s="2">
        <v>13001.226296266699</v>
      </c>
      <c r="AX1156" s="2">
        <v>9884.0339925127701</v>
      </c>
    </row>
    <row r="1157" spans="1:50" x14ac:dyDescent="0.25">
      <c r="A1157" s="2" t="s">
        <v>8060</v>
      </c>
      <c r="B1157" s="2">
        <v>394.11207799244397</v>
      </c>
      <c r="C1157" s="2">
        <v>2.0478833333333299</v>
      </c>
      <c r="D1157" s="2" t="s">
        <v>51</v>
      </c>
      <c r="E1157" s="2" t="s">
        <v>8061</v>
      </c>
      <c r="F1157" s="2">
        <v>203958</v>
      </c>
      <c r="G1157" s="3" t="str">
        <f>HYPERLINK("https://cloud.oebiotech.com/#/lm/network/203958", "https://cloud.oebiotech.com/#/lm/network/203958")</f>
        <v>https://cloud.oebiotech.com/#/lm/network/203958</v>
      </c>
      <c r="H1157" s="2" t="s">
        <v>8062</v>
      </c>
      <c r="I1157" s="2"/>
      <c r="J1157" s="2"/>
      <c r="K1157" s="2">
        <v>5259655</v>
      </c>
      <c r="L1157" s="2"/>
      <c r="M1157" s="2"/>
      <c r="N1157" s="2"/>
      <c r="O1157" s="2"/>
      <c r="P1157" s="2"/>
      <c r="Q1157" s="2"/>
      <c r="R1157" s="2"/>
      <c r="S1157" s="2" t="s">
        <v>8063</v>
      </c>
      <c r="T1157" s="2" t="s">
        <v>8064</v>
      </c>
      <c r="U1157" s="2" t="s">
        <v>610</v>
      </c>
      <c r="V1157" s="2" t="s">
        <v>4556</v>
      </c>
      <c r="W1157" s="2" t="s">
        <v>240</v>
      </c>
      <c r="X1157" s="2" t="s">
        <v>147</v>
      </c>
      <c r="Y1157" s="2">
        <v>46</v>
      </c>
      <c r="Z1157" s="2">
        <v>37.5</v>
      </c>
      <c r="AA1157" s="2" t="s">
        <v>218</v>
      </c>
      <c r="AB1157" s="2" t="s">
        <v>8065</v>
      </c>
      <c r="AC1157" s="2">
        <v>0.48059580712639299</v>
      </c>
      <c r="AD1157" s="2"/>
      <c r="AE1157" s="2">
        <v>0.53322476306272204</v>
      </c>
      <c r="AF1157" s="2">
        <v>11169.2433494994</v>
      </c>
      <c r="AG1157" s="2">
        <v>19124.739354332502</v>
      </c>
      <c r="AH1157" s="4">
        <v>0.58402068350118796</v>
      </c>
      <c r="AI1157" s="4">
        <v>-0.775908630822851</v>
      </c>
      <c r="AJ1157" s="4" t="s">
        <v>62</v>
      </c>
      <c r="AK1157" s="2">
        <v>0.18087239165114999</v>
      </c>
      <c r="AL1157" s="2">
        <v>0.50364855079524795</v>
      </c>
      <c r="AM1157" s="2">
        <v>8.559877937157E-6</v>
      </c>
      <c r="AN1157" s="2">
        <v>16369.736372110099</v>
      </c>
      <c r="AO1157" s="2">
        <v>8452.3349396341891</v>
      </c>
      <c r="AP1157" s="2">
        <v>4772.7936842435702</v>
      </c>
      <c r="AQ1157" s="2">
        <v>11065.409773453001</v>
      </c>
      <c r="AR1157" s="2">
        <v>26355.185318995402</v>
      </c>
      <c r="AS1157" s="2">
        <v>29499.164399111902</v>
      </c>
      <c r="AT1157" s="2">
        <v>17075.017123925201</v>
      </c>
      <c r="AU1157" s="2">
        <v>2457.7968604825501</v>
      </c>
      <c r="AV1157" s="2">
        <v>27438.707589690199</v>
      </c>
      <c r="AW1157" s="2">
        <v>15381.5260396456</v>
      </c>
      <c r="AX1157" s="2">
        <v>22896.2241131398</v>
      </c>
    </row>
    <row r="1158" spans="1:50" x14ac:dyDescent="0.25">
      <c r="A1158" s="2" t="s">
        <v>8066</v>
      </c>
      <c r="B1158" s="2">
        <v>295.07675128652198</v>
      </c>
      <c r="C1158" s="2">
        <v>7.8818000000000001</v>
      </c>
      <c r="D1158" s="2" t="s">
        <v>51</v>
      </c>
      <c r="E1158" s="2" t="s">
        <v>8067</v>
      </c>
      <c r="F1158" s="2">
        <v>62004</v>
      </c>
      <c r="G1158" s="3" t="str">
        <f>HYPERLINK("https://cloud.oebiotech.com/#/lm/network/62004", "https://cloud.oebiotech.com/#/lm/network/62004")</f>
        <v>https://cloud.oebiotech.com/#/lm/network/62004</v>
      </c>
      <c r="H1158" s="2" t="s">
        <v>8068</v>
      </c>
      <c r="I1158" s="2">
        <v>93298</v>
      </c>
      <c r="J1158" s="2"/>
      <c r="K1158" s="2">
        <v>13993677</v>
      </c>
      <c r="L1158" s="2"/>
      <c r="M1158" s="2"/>
      <c r="N1158" s="2"/>
      <c r="O1158" s="2"/>
      <c r="P1158" s="2"/>
      <c r="Q1158" s="2"/>
      <c r="R1158" s="2" t="s">
        <v>8069</v>
      </c>
      <c r="S1158" s="2" t="s">
        <v>8070</v>
      </c>
      <c r="T1158" s="2" t="s">
        <v>8071</v>
      </c>
      <c r="U1158" s="2" t="s">
        <v>266</v>
      </c>
      <c r="V1158" s="2" t="s">
        <v>445</v>
      </c>
      <c r="W1158" s="2" t="s">
        <v>446</v>
      </c>
      <c r="X1158" s="2" t="s">
        <v>147</v>
      </c>
      <c r="Y1158" s="2">
        <v>43.2</v>
      </c>
      <c r="Z1158" s="2">
        <v>27.5</v>
      </c>
      <c r="AA1158" s="2" t="s">
        <v>218</v>
      </c>
      <c r="AB1158" s="2" t="s">
        <v>8072</v>
      </c>
      <c r="AC1158" s="2">
        <v>3.7976965033550201</v>
      </c>
      <c r="AD1158" s="2"/>
      <c r="AE1158" s="2">
        <v>0.53304960640523502</v>
      </c>
      <c r="AF1158" s="2">
        <v>17502.145434600301</v>
      </c>
      <c r="AG1158" s="2">
        <v>29044.526652330998</v>
      </c>
      <c r="AH1158" s="4">
        <v>0.60259702780164404</v>
      </c>
      <c r="AI1158" s="4">
        <v>-0.73073453776382002</v>
      </c>
      <c r="AJ1158" s="4" t="s">
        <v>62</v>
      </c>
      <c r="AK1158" s="2">
        <v>5.2000313956222302E-2</v>
      </c>
      <c r="AL1158" s="2">
        <v>0.31567061754406101</v>
      </c>
      <c r="AM1158" s="2">
        <v>29327.142220612601</v>
      </c>
      <c r="AN1158" s="2">
        <v>6240.2209402665203</v>
      </c>
      <c r="AO1158" s="2">
        <v>26931.790173301801</v>
      </c>
      <c r="AP1158" s="2">
        <v>1085.9121909524899</v>
      </c>
      <c r="AQ1158" s="2">
        <v>18236.314469689201</v>
      </c>
      <c r="AR1158" s="2">
        <v>23191.492612778999</v>
      </c>
      <c r="AS1158" s="2">
        <v>35713.963824402701</v>
      </c>
      <c r="AT1158" s="2">
        <v>23668.944807129999</v>
      </c>
      <c r="AU1158" s="2">
        <v>34849.496300484599</v>
      </c>
      <c r="AV1158" s="2">
        <v>28582.676115512699</v>
      </c>
      <c r="AW1158" s="2">
        <v>29894.978934401501</v>
      </c>
      <c r="AX1158" s="2">
        <v>21557.0999320542</v>
      </c>
    </row>
    <row r="1159" spans="1:50" x14ac:dyDescent="0.25">
      <c r="A1159" s="2" t="s">
        <v>8073</v>
      </c>
      <c r="B1159" s="2">
        <v>736.46445436335</v>
      </c>
      <c r="C1159" s="2">
        <v>0.67141666666666699</v>
      </c>
      <c r="D1159" s="2" t="s">
        <v>51</v>
      </c>
      <c r="E1159" s="2" t="s">
        <v>8074</v>
      </c>
      <c r="F1159" s="2">
        <v>208833</v>
      </c>
      <c r="G1159" s="3" t="str">
        <f>HYPERLINK("https://cloud.oebiotech.com/#/lm/network/208833", "https://cloud.oebiotech.com/#/lm/network/208833")</f>
        <v>https://cloud.oebiotech.com/#/lm/network/208833</v>
      </c>
      <c r="H1159" s="2" t="s">
        <v>8075</v>
      </c>
      <c r="I1159" s="2"/>
      <c r="J1159" s="2"/>
      <c r="K1159" s="2">
        <v>20584683</v>
      </c>
      <c r="L1159" s="2"/>
      <c r="M1159" s="2"/>
      <c r="N1159" s="2"/>
      <c r="O1159" s="2"/>
      <c r="P1159" s="2"/>
      <c r="Q1159" s="2"/>
      <c r="R1159" s="2"/>
      <c r="S1159" s="2" t="s">
        <v>8076</v>
      </c>
      <c r="T1159" s="2" t="s">
        <v>8077</v>
      </c>
      <c r="U1159" s="2" t="s">
        <v>331</v>
      </c>
      <c r="V1159" s="2" t="s">
        <v>332</v>
      </c>
      <c r="W1159" s="2" t="s">
        <v>333</v>
      </c>
      <c r="X1159" s="2" t="s">
        <v>147</v>
      </c>
      <c r="Y1159" s="2">
        <v>36.1</v>
      </c>
      <c r="Z1159" s="2">
        <v>0</v>
      </c>
      <c r="AA1159" s="2" t="s">
        <v>379</v>
      </c>
      <c r="AB1159" s="2" t="s">
        <v>8078</v>
      </c>
      <c r="AC1159" s="2">
        <v>0.42202330468054</v>
      </c>
      <c r="AD1159" s="2"/>
      <c r="AE1159" s="2">
        <v>0.53227656020223901</v>
      </c>
      <c r="AF1159" s="2">
        <v>24511.3462659014</v>
      </c>
      <c r="AG1159" s="2">
        <v>39037.7539905624</v>
      </c>
      <c r="AH1159" s="4">
        <v>0.62788823024570595</v>
      </c>
      <c r="AI1159" s="4">
        <v>-0.67142032561335196</v>
      </c>
      <c r="AJ1159" s="4" t="s">
        <v>62</v>
      </c>
      <c r="AK1159" s="2">
        <v>0.22584490709521601</v>
      </c>
      <c r="AL1159" s="2">
        <v>0.55268103475036801</v>
      </c>
      <c r="AM1159" s="2">
        <v>25955.271618770301</v>
      </c>
      <c r="AN1159" s="2">
        <v>22288.9371383939</v>
      </c>
      <c r="AO1159" s="2">
        <v>14039.0282604893</v>
      </c>
      <c r="AP1159" s="2">
        <v>9451.9560378261194</v>
      </c>
      <c r="AQ1159" s="2">
        <v>12132.655966459901</v>
      </c>
      <c r="AR1159" s="2">
        <v>63200.228573469103</v>
      </c>
      <c r="AS1159" s="2">
        <v>62302.004956871497</v>
      </c>
      <c r="AT1159" s="2">
        <v>31494.233170820698</v>
      </c>
      <c r="AU1159" s="2">
        <v>58364.865195148297</v>
      </c>
      <c r="AV1159" s="2">
        <v>12652.188615752</v>
      </c>
      <c r="AW1159" s="2">
        <v>41813.866426654298</v>
      </c>
      <c r="AX1159" s="2">
        <v>27599.365578127399</v>
      </c>
    </row>
    <row r="1160" spans="1:50" x14ac:dyDescent="0.25">
      <c r="A1160" s="2" t="s">
        <v>8079</v>
      </c>
      <c r="B1160" s="2">
        <v>527.01507325774196</v>
      </c>
      <c r="C1160" s="2">
        <v>11.1718666666667</v>
      </c>
      <c r="D1160" s="2" t="s">
        <v>51</v>
      </c>
      <c r="E1160" s="2" t="s">
        <v>8080</v>
      </c>
      <c r="F1160" s="2">
        <v>61777</v>
      </c>
      <c r="G1160" s="3" t="str">
        <f>HYPERLINK("https://cloud.oebiotech.com/#/lm/network/61777", "https://cloud.oebiotech.com/#/lm/network/61777")</f>
        <v>https://cloud.oebiotech.com/#/lm/network/61777</v>
      </c>
      <c r="H1160" s="2" t="s">
        <v>8081</v>
      </c>
      <c r="I1160" s="2">
        <v>93092</v>
      </c>
      <c r="J1160" s="2"/>
      <c r="K1160" s="2">
        <v>335576</v>
      </c>
      <c r="L1160" s="2"/>
      <c r="M1160" s="2"/>
      <c r="N1160" s="2"/>
      <c r="O1160" s="2"/>
      <c r="P1160" s="2"/>
      <c r="Q1160" s="2"/>
      <c r="R1160" s="2" t="s">
        <v>8082</v>
      </c>
      <c r="S1160" s="2" t="s">
        <v>8083</v>
      </c>
      <c r="T1160" s="2" t="s">
        <v>8084</v>
      </c>
      <c r="U1160" s="2" t="s">
        <v>103</v>
      </c>
      <c r="V1160" s="2" t="s">
        <v>104</v>
      </c>
      <c r="W1160" s="2" t="s">
        <v>105</v>
      </c>
      <c r="X1160" s="2" t="s">
        <v>147</v>
      </c>
      <c r="Y1160" s="2">
        <v>36.1</v>
      </c>
      <c r="Z1160" s="2">
        <v>12.2</v>
      </c>
      <c r="AA1160" s="2" t="s">
        <v>218</v>
      </c>
      <c r="AB1160" s="2" t="s">
        <v>8085</v>
      </c>
      <c r="AC1160" s="2">
        <v>2.3681322696991298</v>
      </c>
      <c r="AD1160" s="2"/>
      <c r="AE1160" s="2">
        <v>0.53217294139047699</v>
      </c>
      <c r="AF1160" s="2">
        <v>14142.623318215101</v>
      </c>
      <c r="AG1160" s="2">
        <v>19302.851408702802</v>
      </c>
      <c r="AH1160" s="4">
        <v>0.73267016456640399</v>
      </c>
      <c r="AI1160" s="4">
        <v>-0.44876422673079203</v>
      </c>
      <c r="AJ1160" s="4" t="s">
        <v>62</v>
      </c>
      <c r="AK1160" s="2">
        <v>1.73609715270103E-3</v>
      </c>
      <c r="AL1160" s="2">
        <v>9.9661006488224596E-2</v>
      </c>
      <c r="AM1160" s="2">
        <v>10766.863190682199</v>
      </c>
      <c r="AN1160" s="2">
        <v>12646.9482738849</v>
      </c>
      <c r="AO1160" s="2">
        <v>14511.5442623115</v>
      </c>
      <c r="AP1160" s="2">
        <v>14831.6204535139</v>
      </c>
      <c r="AQ1160" s="2">
        <v>17481.7560398635</v>
      </c>
      <c r="AR1160" s="2">
        <v>14617.007689034799</v>
      </c>
      <c r="AS1160" s="2">
        <v>19200.3513523006</v>
      </c>
      <c r="AT1160" s="2">
        <v>19121.618948183601</v>
      </c>
      <c r="AU1160" s="2">
        <v>16401.554113298502</v>
      </c>
      <c r="AV1160" s="2">
        <v>21287.008692609099</v>
      </c>
      <c r="AW1160" s="2">
        <v>18193.1193366021</v>
      </c>
      <c r="AX1160" s="2">
        <v>21613.4560092229</v>
      </c>
    </row>
    <row r="1161" spans="1:50" x14ac:dyDescent="0.25">
      <c r="A1161" s="2" t="s">
        <v>8086</v>
      </c>
      <c r="B1161" s="2">
        <v>371.16111316829802</v>
      </c>
      <c r="C1161" s="2">
        <v>5.2853833333333302</v>
      </c>
      <c r="D1161" s="2" t="s">
        <v>51</v>
      </c>
      <c r="E1161" s="2" t="s">
        <v>8087</v>
      </c>
      <c r="F1161" s="2">
        <v>207122</v>
      </c>
      <c r="G1161" s="3" t="str">
        <f>HYPERLINK("https://cloud.oebiotech.com/#/lm/network/207122", "https://cloud.oebiotech.com/#/lm/network/207122")</f>
        <v>https://cloud.oebiotech.com/#/lm/network/207122</v>
      </c>
      <c r="H1161" s="2" t="s">
        <v>8088</v>
      </c>
      <c r="I1161" s="2"/>
      <c r="J1161" s="2"/>
      <c r="K1161" s="2">
        <v>5318098</v>
      </c>
      <c r="L1161" s="2"/>
      <c r="M1161" s="2"/>
      <c r="N1161" s="2"/>
      <c r="O1161" s="2"/>
      <c r="P1161" s="2"/>
      <c r="Q1161" s="2"/>
      <c r="R1161" s="2"/>
      <c r="S1161" s="2" t="s">
        <v>8089</v>
      </c>
      <c r="T1161" s="2" t="s">
        <v>8090</v>
      </c>
      <c r="U1161" s="2" t="s">
        <v>266</v>
      </c>
      <c r="V1161" s="2" t="s">
        <v>445</v>
      </c>
      <c r="W1161" s="2" t="s">
        <v>240</v>
      </c>
      <c r="X1161" s="2" t="s">
        <v>147</v>
      </c>
      <c r="Y1161" s="2">
        <v>37.6</v>
      </c>
      <c r="Z1161" s="2">
        <v>0</v>
      </c>
      <c r="AA1161" s="2" t="s">
        <v>218</v>
      </c>
      <c r="AB1161" s="2" t="s">
        <v>8091</v>
      </c>
      <c r="AC1161" s="2">
        <v>-0.40555030595635999</v>
      </c>
      <c r="AD1161" s="2"/>
      <c r="AE1161" s="2">
        <v>0.53038277791835098</v>
      </c>
      <c r="AF1161" s="2">
        <v>2734.97924176479</v>
      </c>
      <c r="AG1161" s="2">
        <v>11807.0612933183</v>
      </c>
      <c r="AH1161" s="4">
        <v>0.23163928549371801</v>
      </c>
      <c r="AI1161" s="4">
        <v>-2.11004814302588</v>
      </c>
      <c r="AJ1161" s="4" t="s">
        <v>62</v>
      </c>
      <c r="AK1161" s="2">
        <v>0.112906039377716</v>
      </c>
      <c r="AL1161" s="2">
        <v>0.42668564976798301</v>
      </c>
      <c r="AM1161" s="2">
        <v>4285.3633694759801</v>
      </c>
      <c r="AN1161" s="2">
        <v>2178.3129197183098</v>
      </c>
      <c r="AO1161" s="2">
        <v>2630.8070587256002</v>
      </c>
      <c r="AP1161" s="2">
        <v>8.559877937157E-6</v>
      </c>
      <c r="AQ1161" s="2">
        <v>799.30075861591399</v>
      </c>
      <c r="AR1161" s="2">
        <v>6516.0913354930599</v>
      </c>
      <c r="AS1161" s="2">
        <v>3275.35857315051</v>
      </c>
      <c r="AT1161" s="2">
        <v>3500.9660574209502</v>
      </c>
      <c r="AU1161" s="2">
        <v>8586.7523790489304</v>
      </c>
      <c r="AV1161" s="2">
        <v>18380.445505411499</v>
      </c>
      <c r="AW1161" s="2">
        <v>34410.865166614101</v>
      </c>
      <c r="AX1161" s="2">
        <v>2687.9800782638099</v>
      </c>
    </row>
    <row r="1162" spans="1:50" x14ac:dyDescent="0.25">
      <c r="A1162" s="2" t="s">
        <v>8092</v>
      </c>
      <c r="B1162" s="2">
        <v>165.03948960093001</v>
      </c>
      <c r="C1162" s="2">
        <v>0.68473333333333297</v>
      </c>
      <c r="D1162" s="2" t="s">
        <v>51</v>
      </c>
      <c r="E1162" s="2" t="s">
        <v>8093</v>
      </c>
      <c r="F1162" s="2">
        <v>254858</v>
      </c>
      <c r="G1162" s="3" t="str">
        <f>HYPERLINK("https://cloud.oebiotech.com/#/lm/network/254858", "https://cloud.oebiotech.com/#/lm/network/254858")</f>
        <v>https://cloud.oebiotech.com/#/lm/network/254858</v>
      </c>
      <c r="H1162" s="2" t="s">
        <v>8094</v>
      </c>
      <c r="I1162" s="2"/>
      <c r="J1162" s="2"/>
      <c r="K1162" s="2">
        <v>50909243</v>
      </c>
      <c r="L1162" s="2"/>
      <c r="M1162" s="2"/>
      <c r="N1162" s="2"/>
      <c r="O1162" s="2"/>
      <c r="P1162" s="2"/>
      <c r="Q1162" s="2"/>
      <c r="R1162" s="2" t="s">
        <v>8095</v>
      </c>
      <c r="S1162" s="2" t="s">
        <v>8096</v>
      </c>
      <c r="T1162" s="2" t="s">
        <v>8097</v>
      </c>
      <c r="U1162" s="2" t="s">
        <v>331</v>
      </c>
      <c r="V1162" s="2" t="s">
        <v>332</v>
      </c>
      <c r="W1162" s="2" t="s">
        <v>333</v>
      </c>
      <c r="X1162" s="2" t="s">
        <v>83</v>
      </c>
      <c r="Y1162" s="2">
        <v>40.1</v>
      </c>
      <c r="Z1162" s="2">
        <v>0</v>
      </c>
      <c r="AA1162" s="2" t="s">
        <v>163</v>
      </c>
      <c r="AB1162" s="2" t="s">
        <v>8098</v>
      </c>
      <c r="AC1162" s="2">
        <v>-5.8537691714114697</v>
      </c>
      <c r="AD1162" s="2"/>
      <c r="AE1162" s="2">
        <v>0.53029864984577402</v>
      </c>
      <c r="AF1162" s="2">
        <v>116289.608535223</v>
      </c>
      <c r="AG1162" s="2">
        <v>104209.87070788001</v>
      </c>
      <c r="AH1162" s="5">
        <v>1.1159174053790399</v>
      </c>
      <c r="AI1162" s="5">
        <v>0.15823025005264699</v>
      </c>
      <c r="AJ1162" s="5" t="s">
        <v>139</v>
      </c>
      <c r="AK1162" s="2">
        <v>0.66939012586562296</v>
      </c>
      <c r="AL1162" s="2">
        <v>0.84072381993123702</v>
      </c>
      <c r="AM1162" s="2">
        <v>207629.45351999399</v>
      </c>
      <c r="AN1162" s="2">
        <v>141472.53678064901</v>
      </c>
      <c r="AO1162" s="2">
        <v>58669.122125751899</v>
      </c>
      <c r="AP1162" s="2">
        <v>58145.585751535</v>
      </c>
      <c r="AQ1162" s="2">
        <v>101413.034706267</v>
      </c>
      <c r="AR1162" s="2">
        <v>130407.91832713901</v>
      </c>
      <c r="AS1162" s="2">
        <v>140924.822941091</v>
      </c>
      <c r="AT1162" s="2">
        <v>58603.394548579301</v>
      </c>
      <c r="AU1162" s="2">
        <v>143469.54797381401</v>
      </c>
      <c r="AV1162" s="2">
        <v>91246.463995083002</v>
      </c>
      <c r="AW1162" s="2">
        <v>70625.844930962499</v>
      </c>
      <c r="AX1162" s="2">
        <v>120389.149857752</v>
      </c>
    </row>
    <row r="1163" spans="1:50" x14ac:dyDescent="0.25">
      <c r="A1163" s="2" t="s">
        <v>8099</v>
      </c>
      <c r="B1163" s="2">
        <v>503.33624624012799</v>
      </c>
      <c r="C1163" s="2">
        <v>12.0971666666667</v>
      </c>
      <c r="D1163" s="2" t="s">
        <v>51</v>
      </c>
      <c r="E1163" s="2" t="s">
        <v>8100</v>
      </c>
      <c r="F1163" s="2">
        <v>58633</v>
      </c>
      <c r="G1163" s="3" t="str">
        <f>HYPERLINK("https://cloud.oebiotech.com/#/lm/network/58633", "https://cloud.oebiotech.com/#/lm/network/58633")</f>
        <v>https://cloud.oebiotech.com/#/lm/network/58633</v>
      </c>
      <c r="H1163" s="2" t="s">
        <v>8101</v>
      </c>
      <c r="I1163" s="2"/>
      <c r="J1163" s="2"/>
      <c r="K1163" s="2">
        <v>73810253</v>
      </c>
      <c r="L1163" s="2"/>
      <c r="M1163" s="2"/>
      <c r="N1163" s="2"/>
      <c r="O1163" s="2"/>
      <c r="P1163" s="2"/>
      <c r="Q1163" s="2"/>
      <c r="R1163" s="2" t="s">
        <v>8102</v>
      </c>
      <c r="S1163" s="2" t="s">
        <v>8103</v>
      </c>
      <c r="T1163" s="2" t="s">
        <v>8104</v>
      </c>
      <c r="U1163" s="2" t="s">
        <v>56</v>
      </c>
      <c r="V1163" s="2" t="s">
        <v>177</v>
      </c>
      <c r="W1163" s="2" t="s">
        <v>3270</v>
      </c>
      <c r="X1163" s="2" t="s">
        <v>147</v>
      </c>
      <c r="Y1163" s="2">
        <v>38.200000000000003</v>
      </c>
      <c r="Z1163" s="2">
        <v>0.86699999999999999</v>
      </c>
      <c r="AA1163" s="2" t="s">
        <v>259</v>
      </c>
      <c r="AB1163" s="2" t="s">
        <v>8105</v>
      </c>
      <c r="AC1163" s="2">
        <v>-0.93441557513995599</v>
      </c>
      <c r="AD1163" s="2"/>
      <c r="AE1163" s="2">
        <v>0.53029014809919806</v>
      </c>
      <c r="AF1163" s="2">
        <v>35768.754923608998</v>
      </c>
      <c r="AG1163" s="2">
        <v>48628.778435104199</v>
      </c>
      <c r="AH1163" s="4">
        <v>0.73554705823719202</v>
      </c>
      <c r="AI1163" s="4">
        <v>-0.44311045087339501</v>
      </c>
      <c r="AJ1163" s="4" t="s">
        <v>62</v>
      </c>
      <c r="AK1163" s="2">
        <v>0.38049434802636001</v>
      </c>
      <c r="AL1163" s="2">
        <v>0.65913977412323299</v>
      </c>
      <c r="AM1163" s="2">
        <v>12353.4967446875</v>
      </c>
      <c r="AN1163" s="2">
        <v>20766.059226898102</v>
      </c>
      <c r="AO1163" s="2">
        <v>36956.387184109502</v>
      </c>
      <c r="AP1163" s="2">
        <v>21803.5255400606</v>
      </c>
      <c r="AQ1163" s="2">
        <v>64250.971508226197</v>
      </c>
      <c r="AR1163" s="2">
        <v>58482.089337672398</v>
      </c>
      <c r="AS1163" s="2">
        <v>7391.4172754138099</v>
      </c>
      <c r="AT1163" s="2">
        <v>27759.666164364098</v>
      </c>
      <c r="AU1163" s="2">
        <v>70857.8334373424</v>
      </c>
      <c r="AV1163" s="2">
        <v>71681.357797382007</v>
      </c>
      <c r="AW1163" s="2">
        <v>44913.575702509901</v>
      </c>
      <c r="AX1163" s="2">
        <v>69168.8202336127</v>
      </c>
    </row>
    <row r="1164" spans="1:50" x14ac:dyDescent="0.25">
      <c r="A1164" s="2" t="s">
        <v>8106</v>
      </c>
      <c r="B1164" s="2">
        <v>512.33649391305505</v>
      </c>
      <c r="C1164" s="2">
        <v>9.9498999999999995</v>
      </c>
      <c r="D1164" s="2" t="s">
        <v>51</v>
      </c>
      <c r="E1164" s="2" t="s">
        <v>8107</v>
      </c>
      <c r="F1164" s="2">
        <v>22465</v>
      </c>
      <c r="G1164" s="3" t="str">
        <f>HYPERLINK("https://cloud.oebiotech.com/#/lm/network/22465", "https://cloud.oebiotech.com/#/lm/network/22465")</f>
        <v>https://cloud.oebiotech.com/#/lm/network/22465</v>
      </c>
      <c r="H1164" s="2"/>
      <c r="I1164" s="2">
        <v>78862</v>
      </c>
      <c r="J1164" s="2" t="s">
        <v>8108</v>
      </c>
      <c r="K1164" s="2">
        <v>52926302</v>
      </c>
      <c r="L1164" s="2"/>
      <c r="M1164" s="2"/>
      <c r="N1164" s="2"/>
      <c r="O1164" s="2">
        <v>72738</v>
      </c>
      <c r="P1164" s="2"/>
      <c r="Q1164" s="2"/>
      <c r="R1164" s="2"/>
      <c r="S1164" s="2" t="s">
        <v>8109</v>
      </c>
      <c r="T1164" s="2" t="s">
        <v>8110</v>
      </c>
      <c r="U1164" s="2" t="s">
        <v>56</v>
      </c>
      <c r="V1164" s="2" t="s">
        <v>57</v>
      </c>
      <c r="W1164" s="2" t="s">
        <v>82</v>
      </c>
      <c r="X1164" s="2" t="s">
        <v>59</v>
      </c>
      <c r="Y1164" s="2">
        <v>54</v>
      </c>
      <c r="Z1164" s="2">
        <v>77.8</v>
      </c>
      <c r="AA1164" s="2" t="s">
        <v>60</v>
      </c>
      <c r="AB1164" s="2" t="s">
        <v>8111</v>
      </c>
      <c r="AC1164" s="2">
        <v>3.54623331270616</v>
      </c>
      <c r="AD1164" s="2"/>
      <c r="AE1164" s="2">
        <v>0.53017470509592401</v>
      </c>
      <c r="AF1164" s="2">
        <v>86226.236600170305</v>
      </c>
      <c r="AG1164" s="2">
        <v>75806.9444969506</v>
      </c>
      <c r="AH1164" s="5">
        <v>1.1374450872853601</v>
      </c>
      <c r="AI1164" s="5">
        <v>0.18579689765121701</v>
      </c>
      <c r="AJ1164" s="5" t="s">
        <v>139</v>
      </c>
      <c r="AK1164" s="2">
        <v>0.54874161658532605</v>
      </c>
      <c r="AL1164" s="2">
        <v>0.77127816706133601</v>
      </c>
      <c r="AM1164" s="2">
        <v>106180.368030105</v>
      </c>
      <c r="AN1164" s="2">
        <v>110710.97018488801</v>
      </c>
      <c r="AO1164" s="2">
        <v>68305.147020742705</v>
      </c>
      <c r="AP1164" s="2">
        <v>102222.15191128101</v>
      </c>
      <c r="AQ1164" s="2">
        <v>42960.185297890101</v>
      </c>
      <c r="AR1164" s="2">
        <v>86978.597156114804</v>
      </c>
      <c r="AS1164" s="2">
        <v>80615.595093287498</v>
      </c>
      <c r="AT1164" s="2">
        <v>131832.30658251999</v>
      </c>
      <c r="AU1164" s="2">
        <v>84490.763099596705</v>
      </c>
      <c r="AV1164" s="2">
        <v>53321.912269082699</v>
      </c>
      <c r="AW1164" s="2">
        <v>61229.895283545098</v>
      </c>
      <c r="AX1164" s="2">
        <v>43351.194653671802</v>
      </c>
    </row>
    <row r="1165" spans="1:50" x14ac:dyDescent="0.25">
      <c r="A1165" s="2" t="s">
        <v>8112</v>
      </c>
      <c r="B1165" s="2">
        <v>413.192219218856</v>
      </c>
      <c r="C1165" s="2">
        <v>12.051083333333301</v>
      </c>
      <c r="D1165" s="2" t="s">
        <v>51</v>
      </c>
      <c r="E1165" s="2" t="s">
        <v>8113</v>
      </c>
      <c r="F1165" s="2">
        <v>201196</v>
      </c>
      <c r="G1165" s="3" t="str">
        <f>HYPERLINK("https://cloud.oebiotech.com/#/lm/network/201196", "https://cloud.oebiotech.com/#/lm/network/201196")</f>
        <v>https://cloud.oebiotech.com/#/lm/network/201196</v>
      </c>
      <c r="H1165" s="2" t="s">
        <v>8114</v>
      </c>
      <c r="I1165" s="2"/>
      <c r="J1165" s="2"/>
      <c r="K1165" s="2">
        <v>4472512</v>
      </c>
      <c r="L1165" s="2"/>
      <c r="M1165" s="2"/>
      <c r="N1165" s="2"/>
      <c r="O1165" s="2"/>
      <c r="P1165" s="2"/>
      <c r="Q1165" s="2"/>
      <c r="R1165" s="2"/>
      <c r="S1165" s="2" t="s">
        <v>8115</v>
      </c>
      <c r="T1165" s="2" t="s">
        <v>8116</v>
      </c>
      <c r="U1165" s="2" t="s">
        <v>103</v>
      </c>
      <c r="V1165" s="2" t="s">
        <v>104</v>
      </c>
      <c r="W1165" s="2" t="s">
        <v>105</v>
      </c>
      <c r="X1165" s="2" t="s">
        <v>147</v>
      </c>
      <c r="Y1165" s="2">
        <v>37.799999999999997</v>
      </c>
      <c r="Z1165" s="2">
        <v>0.123</v>
      </c>
      <c r="AA1165" s="2" t="s">
        <v>478</v>
      </c>
      <c r="AB1165" s="2" t="s">
        <v>8117</v>
      </c>
      <c r="AC1165" s="2">
        <v>-4.9678471455551199</v>
      </c>
      <c r="AD1165" s="2"/>
      <c r="AE1165" s="2">
        <v>0.52938538030972204</v>
      </c>
      <c r="AF1165" s="2">
        <v>3795.9862585235101</v>
      </c>
      <c r="AG1165" s="2">
        <v>12456.491280984301</v>
      </c>
      <c r="AH1165" s="4">
        <v>0.30473960707686198</v>
      </c>
      <c r="AI1165" s="4">
        <v>-1.71435107527024</v>
      </c>
      <c r="AJ1165" s="4" t="s">
        <v>62</v>
      </c>
      <c r="AK1165" s="2">
        <v>3.4770019858094602E-2</v>
      </c>
      <c r="AL1165" s="2">
        <v>0.271975767980906</v>
      </c>
      <c r="AM1165" s="2">
        <v>3285.3811843121598</v>
      </c>
      <c r="AN1165" s="2">
        <v>4950.3052407143095</v>
      </c>
      <c r="AO1165" s="2">
        <v>7870.7915260454502</v>
      </c>
      <c r="AP1165" s="2">
        <v>1692.92182514207</v>
      </c>
      <c r="AQ1165" s="2">
        <v>3080.0594798091802</v>
      </c>
      <c r="AR1165" s="2">
        <v>1896.45829511786</v>
      </c>
      <c r="AS1165" s="2">
        <v>6626.2928836000001</v>
      </c>
      <c r="AT1165" s="2">
        <v>2534.14487666896</v>
      </c>
      <c r="AU1165" s="2">
        <v>24346.900720932201</v>
      </c>
      <c r="AV1165" s="2">
        <v>15794.447935072199</v>
      </c>
      <c r="AW1165" s="2">
        <v>18449.546319467299</v>
      </c>
      <c r="AX1165" s="2">
        <v>6987.6149501650198</v>
      </c>
    </row>
    <row r="1166" spans="1:50" x14ac:dyDescent="0.25">
      <c r="A1166" s="2" t="s">
        <v>8118</v>
      </c>
      <c r="B1166" s="2">
        <v>270.279912341932</v>
      </c>
      <c r="C1166" s="2">
        <v>12.837816666666701</v>
      </c>
      <c r="D1166" s="2" t="s">
        <v>51</v>
      </c>
      <c r="E1166" s="2" t="s">
        <v>8119</v>
      </c>
      <c r="F1166" s="2">
        <v>6689</v>
      </c>
      <c r="G1166" s="3" t="str">
        <f>HYPERLINK("https://cloud.oebiotech.com/#/lm/network/6689", "https://cloud.oebiotech.com/#/lm/network/6689")</f>
        <v>https://cloud.oebiotech.com/#/lm/network/6689</v>
      </c>
      <c r="H1166" s="2"/>
      <c r="I1166" s="2">
        <v>46515</v>
      </c>
      <c r="J1166" s="2" t="s">
        <v>8120</v>
      </c>
      <c r="K1166" s="2">
        <v>44256586</v>
      </c>
      <c r="L1166" s="2"/>
      <c r="M1166" s="2"/>
      <c r="N1166" s="2"/>
      <c r="O1166" s="2"/>
      <c r="P1166" s="2"/>
      <c r="Q1166" s="2"/>
      <c r="R1166" s="2"/>
      <c r="S1166" s="2" t="s">
        <v>8121</v>
      </c>
      <c r="T1166" s="2" t="s">
        <v>8122</v>
      </c>
      <c r="U1166" s="2" t="s">
        <v>56</v>
      </c>
      <c r="V1166" s="2" t="s">
        <v>145</v>
      </c>
      <c r="W1166" s="2" t="s">
        <v>1543</v>
      </c>
      <c r="X1166" s="2" t="s">
        <v>69</v>
      </c>
      <c r="Y1166" s="2">
        <v>59</v>
      </c>
      <c r="Z1166" s="2">
        <v>72.900000000000006</v>
      </c>
      <c r="AA1166" s="2" t="s">
        <v>512</v>
      </c>
      <c r="AB1166" s="2" t="s">
        <v>8123</v>
      </c>
      <c r="AC1166" s="2">
        <v>3.0572069483080502</v>
      </c>
      <c r="AD1166" s="2"/>
      <c r="AE1166" s="2">
        <v>0.52824778049807997</v>
      </c>
      <c r="AF1166" s="2">
        <v>35472.435525178204</v>
      </c>
      <c r="AG1166" s="2">
        <v>46169.629600803397</v>
      </c>
      <c r="AH1166" s="4">
        <v>0.76830669493958903</v>
      </c>
      <c r="AI1166" s="4">
        <v>-0.38024576969098201</v>
      </c>
      <c r="AJ1166" s="4" t="s">
        <v>62</v>
      </c>
      <c r="AK1166" s="2">
        <v>0.22556884199055399</v>
      </c>
      <c r="AL1166" s="2">
        <v>0.552476161261518</v>
      </c>
      <c r="AM1166" s="2">
        <v>24563.0201353517</v>
      </c>
      <c r="AN1166" s="2">
        <v>27257.146387056</v>
      </c>
      <c r="AO1166" s="2">
        <v>41396.929128558397</v>
      </c>
      <c r="AP1166" s="2">
        <v>27764.167603348698</v>
      </c>
      <c r="AQ1166" s="2">
        <v>64284.492686046498</v>
      </c>
      <c r="AR1166" s="2">
        <v>27568.857210708102</v>
      </c>
      <c r="AS1166" s="2">
        <v>65813.695733168905</v>
      </c>
      <c r="AT1166" s="2">
        <v>31594.734359069302</v>
      </c>
      <c r="AU1166" s="2">
        <v>59044.1172446938</v>
      </c>
      <c r="AV1166" s="2">
        <v>42404.468444021397</v>
      </c>
      <c r="AW1166" s="2">
        <v>40754.836358674504</v>
      </c>
      <c r="AX1166" s="2">
        <v>37405.925465192202</v>
      </c>
    </row>
    <row r="1167" spans="1:50" x14ac:dyDescent="0.25">
      <c r="A1167" s="2" t="s">
        <v>8124</v>
      </c>
      <c r="B1167" s="2">
        <v>204.12739999999999</v>
      </c>
      <c r="C1167" s="2">
        <v>11.757999999999999</v>
      </c>
      <c r="D1167" s="2" t="s">
        <v>125</v>
      </c>
      <c r="E1167" s="2" t="s">
        <v>8125</v>
      </c>
      <c r="F1167" s="2">
        <v>46917</v>
      </c>
      <c r="G1167" s="3" t="str">
        <f>HYPERLINK("https://cloud.oebiotech.com/#/lm/network/46917", "https://cloud.oebiotech.com/#/lm/network/46917")</f>
        <v>https://cloud.oebiotech.com/#/lm/network/46917</v>
      </c>
      <c r="H1167" s="2" t="s">
        <v>8126</v>
      </c>
      <c r="I1167" s="2">
        <v>30</v>
      </c>
      <c r="J1167" s="2"/>
      <c r="K1167" s="2">
        <v>5951</v>
      </c>
      <c r="L1167" s="2" t="s">
        <v>8127</v>
      </c>
      <c r="M1167" s="2" t="s">
        <v>8128</v>
      </c>
      <c r="N1167" s="2" t="s">
        <v>8129</v>
      </c>
      <c r="O1167" s="2">
        <v>17115</v>
      </c>
      <c r="P1167" s="2"/>
      <c r="Q1167" s="2"/>
      <c r="R1167" s="2" t="s">
        <v>8130</v>
      </c>
      <c r="S1167" s="2" t="s">
        <v>8131</v>
      </c>
      <c r="T1167" s="2" t="s">
        <v>8132</v>
      </c>
      <c r="U1167" s="2" t="s">
        <v>103</v>
      </c>
      <c r="V1167" s="2" t="s">
        <v>104</v>
      </c>
      <c r="W1167" s="2" t="s">
        <v>105</v>
      </c>
      <c r="X1167" s="2" t="s">
        <v>69</v>
      </c>
      <c r="Y1167" s="2">
        <v>94.9</v>
      </c>
      <c r="Z1167" s="2">
        <v>93</v>
      </c>
      <c r="AA1167" s="2"/>
      <c r="AB1167" s="2" t="s">
        <v>8133</v>
      </c>
      <c r="AC1167" s="2"/>
      <c r="AD1167" s="2">
        <v>397669.31283338601</v>
      </c>
      <c r="AE1167" s="2">
        <v>0.52805111866803101</v>
      </c>
      <c r="AF1167" s="2">
        <v>2978093.2342658401</v>
      </c>
      <c r="AG1167" s="2">
        <v>3138603.4682649798</v>
      </c>
      <c r="AH1167" s="4">
        <v>0.94885934600464805</v>
      </c>
      <c r="AI1167" s="4">
        <v>-7.5733849433177403E-2</v>
      </c>
      <c r="AJ1167" s="4" t="s">
        <v>62</v>
      </c>
      <c r="AK1167" s="2">
        <v>0.76115345708586202</v>
      </c>
      <c r="AL1167" s="2">
        <v>0.89152062866139503</v>
      </c>
      <c r="AM1167" s="2">
        <v>3224866.4168562498</v>
      </c>
      <c r="AN1167" s="2">
        <v>3187060.6355434498</v>
      </c>
      <c r="AO1167" s="2">
        <v>3325490.4509940101</v>
      </c>
      <c r="AP1167" s="2">
        <v>4039094.8277995102</v>
      </c>
      <c r="AQ1167" s="2">
        <v>1560362.00173288</v>
      </c>
      <c r="AR1167" s="2">
        <v>2531685.07266891</v>
      </c>
      <c r="AS1167" s="2">
        <v>1817825.72630817</v>
      </c>
      <c r="AT1167" s="2">
        <v>2430326.2583020199</v>
      </c>
      <c r="AU1167" s="2">
        <v>3543404.7093922002</v>
      </c>
      <c r="AV1167" s="2">
        <v>3490761.6643981701</v>
      </c>
      <c r="AW1167" s="2">
        <v>3061805.3927082201</v>
      </c>
      <c r="AX1167" s="2">
        <v>4487497.0584811298</v>
      </c>
    </row>
    <row r="1168" spans="1:50" x14ac:dyDescent="0.25">
      <c r="A1168" s="2" t="s">
        <v>8134</v>
      </c>
      <c r="B1168" s="2">
        <v>469.226871858935</v>
      </c>
      <c r="C1168" s="2">
        <v>7.9598333333333304</v>
      </c>
      <c r="D1168" s="2" t="s">
        <v>51</v>
      </c>
      <c r="E1168" s="2" t="s">
        <v>8135</v>
      </c>
      <c r="F1168" s="2">
        <v>57069</v>
      </c>
      <c r="G1168" s="3" t="str">
        <f>HYPERLINK("https://cloud.oebiotech.com/#/lm/network/57069", "https://cloud.oebiotech.com/#/lm/network/57069")</f>
        <v>https://cloud.oebiotech.com/#/lm/network/57069</v>
      </c>
      <c r="H1168" s="2" t="s">
        <v>8136</v>
      </c>
      <c r="I1168" s="2">
        <v>88721</v>
      </c>
      <c r="J1168" s="2"/>
      <c r="K1168" s="2">
        <v>131751313</v>
      </c>
      <c r="L1168" s="2"/>
      <c r="M1168" s="2"/>
      <c r="N1168" s="2"/>
      <c r="O1168" s="2">
        <v>167932</v>
      </c>
      <c r="P1168" s="2"/>
      <c r="Q1168" s="2"/>
      <c r="R1168" s="2"/>
      <c r="S1168" s="2" t="s">
        <v>8137</v>
      </c>
      <c r="T1168" s="2" t="s">
        <v>8138</v>
      </c>
      <c r="U1168" s="2" t="s">
        <v>56</v>
      </c>
      <c r="V1168" s="2" t="s">
        <v>145</v>
      </c>
      <c r="W1168" s="2" t="s">
        <v>3263</v>
      </c>
      <c r="X1168" s="2" t="s">
        <v>147</v>
      </c>
      <c r="Y1168" s="2">
        <v>37.799999999999997</v>
      </c>
      <c r="Z1168" s="2">
        <v>0</v>
      </c>
      <c r="AA1168" s="2" t="s">
        <v>163</v>
      </c>
      <c r="AB1168" s="2" t="s">
        <v>8139</v>
      </c>
      <c r="AC1168" s="2">
        <v>-4.6324843942935399</v>
      </c>
      <c r="AD1168" s="2"/>
      <c r="AE1168" s="2">
        <v>0.52761668899154102</v>
      </c>
      <c r="AF1168" s="2">
        <v>21899.588353049199</v>
      </c>
      <c r="AG1168" s="2">
        <v>1507.4219732476799</v>
      </c>
      <c r="AH1168" s="5">
        <v>14.527842065262901</v>
      </c>
      <c r="AI1168" s="5">
        <v>3.8607485189214699</v>
      </c>
      <c r="AJ1168" s="5" t="s">
        <v>139</v>
      </c>
      <c r="AK1168" s="2">
        <v>0.28645444296087702</v>
      </c>
      <c r="AL1168" s="2">
        <v>0.60106092987307402</v>
      </c>
      <c r="AM1168" s="2">
        <v>22.388912832604099</v>
      </c>
      <c r="AN1168" s="2">
        <v>4.4204346379800699</v>
      </c>
      <c r="AO1168" s="2">
        <v>190.88735915403601</v>
      </c>
      <c r="AP1168" s="2">
        <v>284.94775835555203</v>
      </c>
      <c r="AQ1168" s="2">
        <v>110969.13233335799</v>
      </c>
      <c r="AR1168" s="2">
        <v>19925.753319957301</v>
      </c>
      <c r="AS1168" s="2">
        <v>773.85091451638698</v>
      </c>
      <c r="AT1168" s="2">
        <v>2822.48843495752</v>
      </c>
      <c r="AU1168" s="2">
        <v>1777.5358669597199</v>
      </c>
      <c r="AV1168" s="2">
        <v>2355.0062985896702</v>
      </c>
      <c r="AW1168" s="2">
        <v>1315.65031590289</v>
      </c>
      <c r="AX1168" s="2">
        <v>8.559877937157E-6</v>
      </c>
    </row>
    <row r="1169" spans="1:50" x14ac:dyDescent="0.25">
      <c r="A1169" s="2" t="s">
        <v>8140</v>
      </c>
      <c r="B1169" s="2">
        <v>343.227449454853</v>
      </c>
      <c r="C1169" s="2">
        <v>10.9667166666667</v>
      </c>
      <c r="D1169" s="2" t="s">
        <v>51</v>
      </c>
      <c r="E1169" s="2" t="s">
        <v>8141</v>
      </c>
      <c r="F1169" s="2">
        <v>3977</v>
      </c>
      <c r="G1169" s="3" t="str">
        <f>HYPERLINK("https://cloud.oebiotech.com/#/lm/network/3977", "https://cloud.oebiotech.com/#/lm/network/3977")</f>
        <v>https://cloud.oebiotech.com/#/lm/network/3977</v>
      </c>
      <c r="H1169" s="2" t="s">
        <v>8142</v>
      </c>
      <c r="I1169" s="2">
        <v>36286</v>
      </c>
      <c r="J1169" s="2" t="s">
        <v>8143</v>
      </c>
      <c r="K1169" s="2">
        <v>5283163</v>
      </c>
      <c r="L1169" s="2" t="s">
        <v>8144</v>
      </c>
      <c r="M1169" s="2" t="s">
        <v>305</v>
      </c>
      <c r="N1169" s="2" t="s">
        <v>306</v>
      </c>
      <c r="O1169" s="2">
        <v>34484</v>
      </c>
      <c r="P1169" s="2"/>
      <c r="Q1169" s="2"/>
      <c r="R1169" s="2" t="s">
        <v>8145</v>
      </c>
      <c r="S1169" s="2" t="s">
        <v>8146</v>
      </c>
      <c r="T1169" s="2" t="s">
        <v>8147</v>
      </c>
      <c r="U1169" s="2" t="s">
        <v>56</v>
      </c>
      <c r="V1169" s="2" t="s">
        <v>145</v>
      </c>
      <c r="W1169" s="2" t="s">
        <v>187</v>
      </c>
      <c r="X1169" s="2" t="s">
        <v>83</v>
      </c>
      <c r="Y1169" s="2">
        <v>53</v>
      </c>
      <c r="Z1169" s="2">
        <v>0</v>
      </c>
      <c r="AA1169" s="2" t="s">
        <v>95</v>
      </c>
      <c r="AB1169" s="2" t="s">
        <v>205</v>
      </c>
      <c r="AC1169" s="2">
        <v>9.6300795918527999</v>
      </c>
      <c r="AD1169" s="2"/>
      <c r="AE1169" s="2">
        <v>0.52751779527904297</v>
      </c>
      <c r="AF1169" s="2">
        <v>27347.160408947799</v>
      </c>
      <c r="AG1169" s="2">
        <v>18429.022465421502</v>
      </c>
      <c r="AH1169" s="5">
        <v>1.4839181220957001</v>
      </c>
      <c r="AI1169" s="5">
        <v>0.56941149080958897</v>
      </c>
      <c r="AJ1169" s="5" t="s">
        <v>139</v>
      </c>
      <c r="AK1169" s="2">
        <v>4.2015096586156098E-2</v>
      </c>
      <c r="AL1169" s="2">
        <v>0.29293759539812297</v>
      </c>
      <c r="AM1169" s="2">
        <v>31041.294209351701</v>
      </c>
      <c r="AN1169" s="2">
        <v>21893.8157488291</v>
      </c>
      <c r="AO1169" s="2">
        <v>31164.351675743699</v>
      </c>
      <c r="AP1169" s="2">
        <v>25762.138966955099</v>
      </c>
      <c r="AQ1169" s="2">
        <v>28826.0286191624</v>
      </c>
      <c r="AR1169" s="2">
        <v>25395.333233645099</v>
      </c>
      <c r="AS1169" s="2">
        <v>30622.5634477434</v>
      </c>
      <c r="AT1169" s="2">
        <v>21369.928256547999</v>
      </c>
      <c r="AU1169" s="2">
        <v>6164.9742362484203</v>
      </c>
      <c r="AV1169" s="2">
        <v>19348.6037680835</v>
      </c>
      <c r="AW1169" s="2">
        <v>11191.6245581327</v>
      </c>
      <c r="AX1169" s="2">
        <v>21876.4405257732</v>
      </c>
    </row>
    <row r="1170" spans="1:50" x14ac:dyDescent="0.25">
      <c r="A1170" s="2" t="s">
        <v>8148</v>
      </c>
      <c r="B1170" s="2">
        <v>242.05135821254399</v>
      </c>
      <c r="C1170" s="2">
        <v>0.70636666666666703</v>
      </c>
      <c r="D1170" s="2" t="s">
        <v>51</v>
      </c>
      <c r="E1170" s="2" t="s">
        <v>8149</v>
      </c>
      <c r="F1170" s="2">
        <v>212909</v>
      </c>
      <c r="G1170" s="3" t="str">
        <f>HYPERLINK("https://cloud.oebiotech.com/#/lm/network/212909", "https://cloud.oebiotech.com/#/lm/network/212909")</f>
        <v>https://cloud.oebiotech.com/#/lm/network/212909</v>
      </c>
      <c r="H1170" s="2" t="s">
        <v>8150</v>
      </c>
      <c r="I1170" s="2"/>
      <c r="J1170" s="2"/>
      <c r="K1170" s="2">
        <v>135418361</v>
      </c>
      <c r="L1170" s="2"/>
      <c r="M1170" s="2"/>
      <c r="N1170" s="2"/>
      <c r="O1170" s="2"/>
      <c r="P1170" s="2"/>
      <c r="Q1170" s="2"/>
      <c r="R1170" s="2"/>
      <c r="S1170" s="2" t="s">
        <v>8151</v>
      </c>
      <c r="T1170" s="2" t="s">
        <v>8152</v>
      </c>
      <c r="U1170" s="2" t="s">
        <v>266</v>
      </c>
      <c r="V1170" s="2" t="s">
        <v>8153</v>
      </c>
      <c r="W1170" s="2" t="s">
        <v>240</v>
      </c>
      <c r="X1170" s="2" t="s">
        <v>147</v>
      </c>
      <c r="Y1170" s="2">
        <v>36.200000000000003</v>
      </c>
      <c r="Z1170" s="2">
        <v>2.06</v>
      </c>
      <c r="AA1170" s="2" t="s">
        <v>379</v>
      </c>
      <c r="AB1170" s="2" t="s">
        <v>8154</v>
      </c>
      <c r="AC1170" s="2">
        <v>2.9430452797111499</v>
      </c>
      <c r="AD1170" s="2"/>
      <c r="AE1170" s="2">
        <v>0.52666910607991901</v>
      </c>
      <c r="AF1170" s="2">
        <v>7775.7038954617401</v>
      </c>
      <c r="AG1170" s="2">
        <v>14234.3678416363</v>
      </c>
      <c r="AH1170" s="4">
        <v>0.54626267790532801</v>
      </c>
      <c r="AI1170" s="4">
        <v>-0.87233323718232103</v>
      </c>
      <c r="AJ1170" s="4" t="s">
        <v>62</v>
      </c>
      <c r="AK1170" s="2">
        <v>2.3377885009689601E-2</v>
      </c>
      <c r="AL1170" s="2">
        <v>0.23685068822956901</v>
      </c>
      <c r="AM1170" s="2">
        <v>8.559877937157E-6</v>
      </c>
      <c r="AN1170" s="2">
        <v>11670.412477280601</v>
      </c>
      <c r="AO1170" s="2">
        <v>6271.7476423828002</v>
      </c>
      <c r="AP1170" s="2">
        <v>6832.8742221089196</v>
      </c>
      <c r="AQ1170" s="2">
        <v>6404.6793543576296</v>
      </c>
      <c r="AR1170" s="2">
        <v>15474.5096680806</v>
      </c>
      <c r="AS1170" s="2">
        <v>12789.2756707391</v>
      </c>
      <c r="AT1170" s="2">
        <v>16234.7285336397</v>
      </c>
      <c r="AU1170" s="2">
        <v>11726.0212867998</v>
      </c>
      <c r="AV1170" s="2">
        <v>16713.460979964198</v>
      </c>
      <c r="AW1170" s="2">
        <v>11092.9232425956</v>
      </c>
      <c r="AX1170" s="2">
        <v>16849.7973360795</v>
      </c>
    </row>
    <row r="1171" spans="1:50" x14ac:dyDescent="0.25">
      <c r="A1171" s="2" t="s">
        <v>8155</v>
      </c>
      <c r="B1171" s="2">
        <v>406.21202076243202</v>
      </c>
      <c r="C1171" s="2">
        <v>4.9131833333333299</v>
      </c>
      <c r="D1171" s="2" t="s">
        <v>51</v>
      </c>
      <c r="E1171" s="2" t="s">
        <v>8156</v>
      </c>
      <c r="F1171" s="2">
        <v>38940</v>
      </c>
      <c r="G1171" s="3" t="str">
        <f>HYPERLINK("https://cloud.oebiotech.com/#/lm/network/38940", "https://cloud.oebiotech.com/#/lm/network/38940")</f>
        <v>https://cloud.oebiotech.com/#/lm/network/38940</v>
      </c>
      <c r="H1171" s="2"/>
      <c r="I1171" s="2">
        <v>102934</v>
      </c>
      <c r="J1171" s="2" t="s">
        <v>8157</v>
      </c>
      <c r="K1171" s="2">
        <v>3247041</v>
      </c>
      <c r="L1171" s="2"/>
      <c r="M1171" s="2"/>
      <c r="N1171" s="2"/>
      <c r="O1171" s="2"/>
      <c r="P1171" s="2"/>
      <c r="Q1171" s="2"/>
      <c r="R1171" s="2"/>
      <c r="S1171" s="2" t="s">
        <v>8158</v>
      </c>
      <c r="T1171" s="2" t="s">
        <v>8159</v>
      </c>
      <c r="U1171" s="2" t="s">
        <v>103</v>
      </c>
      <c r="V1171" s="2" t="s">
        <v>1567</v>
      </c>
      <c r="W1171" s="2" t="s">
        <v>1568</v>
      </c>
      <c r="X1171" s="2" t="s">
        <v>59</v>
      </c>
      <c r="Y1171" s="2">
        <v>46.1</v>
      </c>
      <c r="Z1171" s="2">
        <v>49</v>
      </c>
      <c r="AA1171" s="2" t="s">
        <v>395</v>
      </c>
      <c r="AB1171" s="2" t="s">
        <v>8160</v>
      </c>
      <c r="AC1171" s="2">
        <v>0.27973184215049601</v>
      </c>
      <c r="AD1171" s="2"/>
      <c r="AE1171" s="2">
        <v>0.52636607727916396</v>
      </c>
      <c r="AF1171" s="2">
        <v>2782.93005538136</v>
      </c>
      <c r="AG1171" s="2">
        <v>16091.2483218456</v>
      </c>
      <c r="AH1171" s="4">
        <v>0.17294680932884701</v>
      </c>
      <c r="AI1171" s="4">
        <v>-2.5315996970071701</v>
      </c>
      <c r="AJ1171" s="4" t="s">
        <v>62</v>
      </c>
      <c r="AK1171" s="2">
        <v>0.38526544302362298</v>
      </c>
      <c r="AL1171" s="2">
        <v>0.66148343152754197</v>
      </c>
      <c r="AM1171" s="2">
        <v>626.67030473294801</v>
      </c>
      <c r="AN1171" s="2">
        <v>543.173325111807</v>
      </c>
      <c r="AO1171" s="2">
        <v>6357.1762149815604</v>
      </c>
      <c r="AP1171" s="2">
        <v>1856.2201456831799</v>
      </c>
      <c r="AQ1171" s="2">
        <v>1274.42473087649</v>
      </c>
      <c r="AR1171" s="2">
        <v>6039.9156109021496</v>
      </c>
      <c r="AS1171" s="2">
        <v>3084.9491776606201</v>
      </c>
      <c r="AT1171" s="2">
        <v>2095.9675702309301</v>
      </c>
      <c r="AU1171" s="2">
        <v>784.57119657522003</v>
      </c>
      <c r="AV1171" s="2">
        <v>600.02282229888897</v>
      </c>
      <c r="AW1171" s="2">
        <v>89146.994266249705</v>
      </c>
      <c r="AX1171" s="2">
        <v>834.98489805824795</v>
      </c>
    </row>
    <row r="1172" spans="1:50" x14ac:dyDescent="0.25">
      <c r="A1172" s="2" t="s">
        <v>8161</v>
      </c>
      <c r="B1172" s="2">
        <v>648.31366130474805</v>
      </c>
      <c r="C1172" s="2">
        <v>7.9022333333333297</v>
      </c>
      <c r="D1172" s="2" t="s">
        <v>51</v>
      </c>
      <c r="E1172" s="2" t="s">
        <v>8162</v>
      </c>
      <c r="F1172" s="2">
        <v>207263</v>
      </c>
      <c r="G1172" s="3" t="str">
        <f>HYPERLINK("https://cloud.oebiotech.com/#/lm/network/207263", "https://cloud.oebiotech.com/#/lm/network/207263")</f>
        <v>https://cloud.oebiotech.com/#/lm/network/207263</v>
      </c>
      <c r="H1172" s="2" t="s">
        <v>8163</v>
      </c>
      <c r="I1172" s="2"/>
      <c r="J1172" s="2"/>
      <c r="K1172" s="2">
        <v>71340896</v>
      </c>
      <c r="L1172" s="2"/>
      <c r="M1172" s="2"/>
      <c r="N1172" s="2"/>
      <c r="O1172" s="2"/>
      <c r="P1172" s="2"/>
      <c r="Q1172" s="2"/>
      <c r="R1172" s="2"/>
      <c r="S1172" s="2" t="s">
        <v>8164</v>
      </c>
      <c r="T1172" s="2" t="s">
        <v>8165</v>
      </c>
      <c r="U1172" s="2" t="s">
        <v>103</v>
      </c>
      <c r="V1172" s="2" t="s">
        <v>104</v>
      </c>
      <c r="W1172" s="2" t="s">
        <v>105</v>
      </c>
      <c r="X1172" s="2" t="s">
        <v>147</v>
      </c>
      <c r="Y1172" s="2">
        <v>45.1</v>
      </c>
      <c r="Z1172" s="2">
        <v>36.9</v>
      </c>
      <c r="AA1172" s="2" t="s">
        <v>218</v>
      </c>
      <c r="AB1172" s="2" t="s">
        <v>8166</v>
      </c>
      <c r="AC1172" s="2">
        <v>4.2494363711071497</v>
      </c>
      <c r="AD1172" s="2"/>
      <c r="AE1172" s="2">
        <v>0.52618586423669</v>
      </c>
      <c r="AF1172" s="2">
        <v>26958.204841742401</v>
      </c>
      <c r="AG1172" s="2">
        <v>16365.927919624201</v>
      </c>
      <c r="AH1172" s="5">
        <v>1.64721517619646</v>
      </c>
      <c r="AI1172" s="5">
        <v>0.72002902704645</v>
      </c>
      <c r="AJ1172" s="5" t="s">
        <v>139</v>
      </c>
      <c r="AK1172" s="2">
        <v>0.120070783011289</v>
      </c>
      <c r="AL1172" s="2">
        <v>0.43787483951966899</v>
      </c>
      <c r="AM1172" s="2">
        <v>26503.514667242602</v>
      </c>
      <c r="AN1172" s="2">
        <v>35392.127810005099</v>
      </c>
      <c r="AO1172" s="2">
        <v>17687.723448608602</v>
      </c>
      <c r="AP1172" s="2">
        <v>15753.726136294001</v>
      </c>
      <c r="AQ1172" s="2">
        <v>28787.539809298301</v>
      </c>
      <c r="AR1172" s="2">
        <v>37624.597179005497</v>
      </c>
      <c r="AS1172" s="2">
        <v>33044.513424868797</v>
      </c>
      <c r="AT1172" s="2">
        <v>15276.603503149499</v>
      </c>
      <c r="AU1172" s="2">
        <v>9528.0166405597192</v>
      </c>
      <c r="AV1172" s="2">
        <v>5632.7849711079398</v>
      </c>
      <c r="AW1172" s="2">
        <v>4664.93606564111</v>
      </c>
      <c r="AX1172" s="2">
        <v>30048.712912417999</v>
      </c>
    </row>
    <row r="1173" spans="1:50" x14ac:dyDescent="0.25">
      <c r="A1173" s="2" t="s">
        <v>8167</v>
      </c>
      <c r="B1173" s="2">
        <v>202.14440269794301</v>
      </c>
      <c r="C1173" s="2">
        <v>4.7497999999999996</v>
      </c>
      <c r="D1173" s="2" t="s">
        <v>51</v>
      </c>
      <c r="E1173" s="2" t="s">
        <v>8168</v>
      </c>
      <c r="F1173" s="2">
        <v>2029</v>
      </c>
      <c r="G1173" s="3" t="str">
        <f>HYPERLINK("https://cloud.oebiotech.com/#/lm/network/2029", "https://cloud.oebiotech.com/#/lm/network/2029")</f>
        <v>https://cloud.oebiotech.com/#/lm/network/2029</v>
      </c>
      <c r="H1173" s="2"/>
      <c r="I1173" s="2"/>
      <c r="J1173" s="2" t="s">
        <v>8169</v>
      </c>
      <c r="K1173" s="2">
        <v>57333102</v>
      </c>
      <c r="L1173" s="2"/>
      <c r="M1173" s="2"/>
      <c r="N1173" s="2"/>
      <c r="O1173" s="2"/>
      <c r="P1173" s="2"/>
      <c r="Q1173" s="2"/>
      <c r="R1173" s="2"/>
      <c r="S1173" s="2" t="s">
        <v>8170</v>
      </c>
      <c r="T1173" s="2" t="s">
        <v>8171</v>
      </c>
      <c r="U1173" s="2" t="s">
        <v>56</v>
      </c>
      <c r="V1173" s="2" t="s">
        <v>145</v>
      </c>
      <c r="W1173" s="2" t="s">
        <v>231</v>
      </c>
      <c r="X1173" s="2" t="s">
        <v>147</v>
      </c>
      <c r="Y1173" s="2">
        <v>46.7</v>
      </c>
      <c r="Z1173" s="2">
        <v>40.299999999999997</v>
      </c>
      <c r="AA1173" s="2" t="s">
        <v>526</v>
      </c>
      <c r="AB1173" s="2" t="s">
        <v>8172</v>
      </c>
      <c r="AC1173" s="2">
        <v>3.4370557490100899</v>
      </c>
      <c r="AD1173" s="2"/>
      <c r="AE1173" s="2">
        <v>0.52615971904317504</v>
      </c>
      <c r="AF1173" s="2">
        <v>19696.589159178799</v>
      </c>
      <c r="AG1173" s="2">
        <v>12222.556283310199</v>
      </c>
      <c r="AH1173" s="5">
        <v>1.6114950672041</v>
      </c>
      <c r="AI1173" s="5">
        <v>0.68839977230618898</v>
      </c>
      <c r="AJ1173" s="5" t="s">
        <v>139</v>
      </c>
      <c r="AK1173" s="2">
        <v>0.12785809748448199</v>
      </c>
      <c r="AL1173" s="2">
        <v>0.44626309510015799</v>
      </c>
      <c r="AM1173" s="2">
        <v>27427.171363474201</v>
      </c>
      <c r="AN1173" s="2">
        <v>32392.183220835301</v>
      </c>
      <c r="AO1173" s="2">
        <v>15116.6692146758</v>
      </c>
      <c r="AP1173" s="2">
        <v>25607.968528376201</v>
      </c>
      <c r="AQ1173" s="2">
        <v>7254.5304036068501</v>
      </c>
      <c r="AR1173" s="2">
        <v>10381.012224104399</v>
      </c>
      <c r="AS1173" s="2">
        <v>7659.2552841789202</v>
      </c>
      <c r="AT1173" s="2">
        <v>13347.363175320101</v>
      </c>
      <c r="AU1173" s="2">
        <v>17967.080281905299</v>
      </c>
      <c r="AV1173" s="2">
        <v>7171.1274061803997</v>
      </c>
      <c r="AW1173" s="2">
        <v>11985.5322084362</v>
      </c>
      <c r="AX1173" s="2">
        <v>15204.979343840199</v>
      </c>
    </row>
    <row r="1174" spans="1:50" x14ac:dyDescent="0.25">
      <c r="A1174" s="2" t="s">
        <v>8173</v>
      </c>
      <c r="B1174" s="2">
        <v>699.77634906818503</v>
      </c>
      <c r="C1174" s="2">
        <v>4.5643000000000002</v>
      </c>
      <c r="D1174" s="2" t="s">
        <v>51</v>
      </c>
      <c r="E1174" s="2" t="s">
        <v>8174</v>
      </c>
      <c r="F1174" s="2">
        <v>9437</v>
      </c>
      <c r="G1174" s="3" t="str">
        <f>HYPERLINK("https://cloud.oebiotech.com/#/lm/network/9437", "https://cloud.oebiotech.com/#/lm/network/9437")</f>
        <v>https://cloud.oebiotech.com/#/lm/network/9437</v>
      </c>
      <c r="H1174" s="2"/>
      <c r="I1174" s="2">
        <v>97734</v>
      </c>
      <c r="J1174" s="2" t="s">
        <v>8175</v>
      </c>
      <c r="K1174" s="2">
        <v>528972</v>
      </c>
      <c r="L1174" s="2"/>
      <c r="M1174" s="2"/>
      <c r="N1174" s="2"/>
      <c r="O1174" s="2">
        <v>78465</v>
      </c>
      <c r="P1174" s="2"/>
      <c r="Q1174" s="2"/>
      <c r="R1174" s="2"/>
      <c r="S1174" s="2" t="s">
        <v>8176</v>
      </c>
      <c r="T1174" s="2" t="s">
        <v>8177</v>
      </c>
      <c r="U1174" s="2" t="s">
        <v>1491</v>
      </c>
      <c r="V1174" s="2" t="s">
        <v>1492</v>
      </c>
      <c r="W1174" s="2" t="s">
        <v>1493</v>
      </c>
      <c r="X1174" s="2" t="s">
        <v>147</v>
      </c>
      <c r="Y1174" s="2">
        <v>40.200000000000003</v>
      </c>
      <c r="Z1174" s="2">
        <v>5.31</v>
      </c>
      <c r="AA1174" s="2" t="s">
        <v>478</v>
      </c>
      <c r="AB1174" s="2" t="s">
        <v>8178</v>
      </c>
      <c r="AC1174" s="2">
        <v>1.60148573905106</v>
      </c>
      <c r="AD1174" s="2"/>
      <c r="AE1174" s="2">
        <v>0.52559385050834795</v>
      </c>
      <c r="AF1174" s="2">
        <v>13892.5568666294</v>
      </c>
      <c r="AG1174" s="2">
        <v>28975.3059140511</v>
      </c>
      <c r="AH1174" s="4">
        <v>0.47946195659982399</v>
      </c>
      <c r="AI1174" s="4">
        <v>-1.0605117472188701</v>
      </c>
      <c r="AJ1174" s="4" t="s">
        <v>62</v>
      </c>
      <c r="AK1174" s="2">
        <v>0.48416547601011001</v>
      </c>
      <c r="AL1174" s="2">
        <v>0.72808774849848601</v>
      </c>
      <c r="AM1174" s="2">
        <v>8.559877937157E-6</v>
      </c>
      <c r="AN1174" s="2">
        <v>8.559877937157E-6</v>
      </c>
      <c r="AO1174" s="2">
        <v>17877.729008598901</v>
      </c>
      <c r="AP1174" s="2">
        <v>2397.0865748194201</v>
      </c>
      <c r="AQ1174" s="2">
        <v>25430.739543273401</v>
      </c>
      <c r="AR1174" s="2">
        <v>37649.786055964803</v>
      </c>
      <c r="AS1174" s="2">
        <v>123948.519066375</v>
      </c>
      <c r="AT1174" s="2">
        <v>33433.963430299802</v>
      </c>
      <c r="AU1174" s="2">
        <v>8.559877937157E-6</v>
      </c>
      <c r="AV1174" s="2">
        <v>553.39840785517799</v>
      </c>
      <c r="AW1174" s="2">
        <v>8.559877937157E-6</v>
      </c>
      <c r="AX1174" s="2">
        <v>15915.9545626568</v>
      </c>
    </row>
    <row r="1175" spans="1:50" x14ac:dyDescent="0.25">
      <c r="A1175" s="2" t="s">
        <v>8179</v>
      </c>
      <c r="B1175" s="2">
        <v>351.21704462347299</v>
      </c>
      <c r="C1175" s="2">
        <v>8.6161333333333303</v>
      </c>
      <c r="D1175" s="2" t="s">
        <v>51</v>
      </c>
      <c r="E1175" s="2" t="s">
        <v>8180</v>
      </c>
      <c r="F1175" s="2">
        <v>83687</v>
      </c>
      <c r="G1175" s="3" t="str">
        <f>HYPERLINK("https://cloud.oebiotech.com/#/lm/network/83687", "https://cloud.oebiotech.com/#/lm/network/83687")</f>
        <v>https://cloud.oebiotech.com/#/lm/network/83687</v>
      </c>
      <c r="H1175" s="2" t="s">
        <v>8181</v>
      </c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 t="s">
        <v>8182</v>
      </c>
      <c r="T1175" s="2" t="s">
        <v>8183</v>
      </c>
      <c r="U1175" s="2" t="s">
        <v>56</v>
      </c>
      <c r="V1175" s="2" t="s">
        <v>145</v>
      </c>
      <c r="W1175" s="2" t="s">
        <v>187</v>
      </c>
      <c r="X1175" s="2" t="s">
        <v>69</v>
      </c>
      <c r="Y1175" s="2">
        <v>70.8</v>
      </c>
      <c r="Z1175" s="2">
        <v>71.5</v>
      </c>
      <c r="AA1175" s="2" t="s">
        <v>259</v>
      </c>
      <c r="AB1175" s="2" t="s">
        <v>950</v>
      </c>
      <c r="AC1175" s="2">
        <v>1.26818888739034</v>
      </c>
      <c r="AD1175" s="2"/>
      <c r="AE1175" s="2">
        <v>0.52514965874795405</v>
      </c>
      <c r="AF1175" s="2">
        <v>15656.0432076861</v>
      </c>
      <c r="AG1175" s="2">
        <v>8558.8207436662397</v>
      </c>
      <c r="AH1175" s="5">
        <v>1.8292290113999601</v>
      </c>
      <c r="AI1175" s="5">
        <v>0.87123570544652795</v>
      </c>
      <c r="AJ1175" s="5" t="s">
        <v>139</v>
      </c>
      <c r="AK1175" s="2">
        <v>1.2538470938318299E-2</v>
      </c>
      <c r="AL1175" s="2">
        <v>0.17776984428335699</v>
      </c>
      <c r="AM1175" s="2">
        <v>11445.151950649</v>
      </c>
      <c r="AN1175" s="2">
        <v>23325.8992179384</v>
      </c>
      <c r="AO1175" s="2">
        <v>18516.085396097202</v>
      </c>
      <c r="AP1175" s="2">
        <v>14412.489375147999</v>
      </c>
      <c r="AQ1175" s="2">
        <v>12986.367373139199</v>
      </c>
      <c r="AR1175" s="2">
        <v>13250.265933144599</v>
      </c>
      <c r="AS1175" s="2">
        <v>12721.167261660699</v>
      </c>
      <c r="AT1175" s="2">
        <v>4645.6483471751098</v>
      </c>
      <c r="AU1175" s="2">
        <v>12163.5681079447</v>
      </c>
      <c r="AV1175" s="2">
        <v>4457.5625589732799</v>
      </c>
      <c r="AW1175" s="2">
        <v>9734.4269811488302</v>
      </c>
      <c r="AX1175" s="2">
        <v>7630.55120509482</v>
      </c>
    </row>
    <row r="1176" spans="1:50" x14ac:dyDescent="0.25">
      <c r="A1176" s="2" t="s">
        <v>8184</v>
      </c>
      <c r="B1176" s="2">
        <v>619.221900789644</v>
      </c>
      <c r="C1176" s="2">
        <v>0.74113333333333298</v>
      </c>
      <c r="D1176" s="2" t="s">
        <v>51</v>
      </c>
      <c r="E1176" s="2" t="s">
        <v>8185</v>
      </c>
      <c r="F1176" s="2">
        <v>59188</v>
      </c>
      <c r="G1176" s="3" t="str">
        <f>HYPERLINK("https://cloud.oebiotech.com/#/lm/network/59188", "https://cloud.oebiotech.com/#/lm/network/59188")</f>
        <v>https://cloud.oebiotech.com/#/lm/network/59188</v>
      </c>
      <c r="H1176" s="2" t="s">
        <v>8186</v>
      </c>
      <c r="I1176" s="2"/>
      <c r="J1176" s="2"/>
      <c r="K1176" s="2">
        <v>76662</v>
      </c>
      <c r="L1176" s="2"/>
      <c r="M1176" s="2"/>
      <c r="N1176" s="2"/>
      <c r="O1176" s="2"/>
      <c r="P1176" s="2"/>
      <c r="Q1176" s="2"/>
      <c r="R1176" s="2" t="s">
        <v>8187</v>
      </c>
      <c r="S1176" s="2" t="s">
        <v>8188</v>
      </c>
      <c r="T1176" s="2" t="s">
        <v>8189</v>
      </c>
      <c r="U1176" s="2" t="s">
        <v>331</v>
      </c>
      <c r="V1176" s="2" t="s">
        <v>332</v>
      </c>
      <c r="W1176" s="2" t="s">
        <v>333</v>
      </c>
      <c r="X1176" s="2" t="s">
        <v>147</v>
      </c>
      <c r="Y1176" s="2">
        <v>42.7</v>
      </c>
      <c r="Z1176" s="2">
        <v>29.9</v>
      </c>
      <c r="AA1176" s="2" t="s">
        <v>298</v>
      </c>
      <c r="AB1176" s="2" t="s">
        <v>8190</v>
      </c>
      <c r="AC1176" s="2">
        <v>-3.8511552775468298</v>
      </c>
      <c r="AD1176" s="2"/>
      <c r="AE1176" s="2">
        <v>0.52503591901102997</v>
      </c>
      <c r="AF1176" s="2">
        <v>11979.58141431</v>
      </c>
      <c r="AG1176" s="2">
        <v>3890.7337254695199</v>
      </c>
      <c r="AH1176" s="5">
        <v>3.0790031545693499</v>
      </c>
      <c r="AI1176" s="5">
        <v>1.62246334548576</v>
      </c>
      <c r="AJ1176" s="5" t="s">
        <v>139</v>
      </c>
      <c r="AK1176" s="2">
        <v>0.45484332789565002</v>
      </c>
      <c r="AL1176" s="2">
        <v>0.70728256619079999</v>
      </c>
      <c r="AM1176" s="2">
        <v>61702.983680916703</v>
      </c>
      <c r="AN1176" s="2">
        <v>8.559877937157E-6</v>
      </c>
      <c r="AO1176" s="2">
        <v>2241.5176040370302</v>
      </c>
      <c r="AP1176" s="2">
        <v>3155.7670431945498</v>
      </c>
      <c r="AQ1176" s="2">
        <v>8.559877937157E-6</v>
      </c>
      <c r="AR1176" s="2">
        <v>4777.2201405920496</v>
      </c>
      <c r="AS1176" s="2">
        <v>8.559877937157E-6</v>
      </c>
      <c r="AT1176" s="2">
        <v>1643.4765886131599</v>
      </c>
      <c r="AU1176" s="2">
        <v>18447.742613760602</v>
      </c>
      <c r="AV1176" s="2">
        <v>3253.1831247637401</v>
      </c>
      <c r="AW1176" s="2">
        <v>8.559877937157E-6</v>
      </c>
      <c r="AX1176" s="2">
        <v>8.559877937157E-6</v>
      </c>
    </row>
    <row r="1177" spans="1:50" x14ac:dyDescent="0.25">
      <c r="A1177" s="2" t="s">
        <v>8191</v>
      </c>
      <c r="B1177" s="2">
        <v>346.98876176326701</v>
      </c>
      <c r="C1177" s="2">
        <v>1.17966666666667</v>
      </c>
      <c r="D1177" s="2" t="s">
        <v>51</v>
      </c>
      <c r="E1177" s="2" t="s">
        <v>8192</v>
      </c>
      <c r="F1177" s="2">
        <v>266269</v>
      </c>
      <c r="G1177" s="3" t="str">
        <f>HYPERLINK("https://cloud.oebiotech.com/#/lm/network/266269", "https://cloud.oebiotech.com/#/lm/network/266269")</f>
        <v>https://cloud.oebiotech.com/#/lm/network/266269</v>
      </c>
      <c r="H1177" s="2"/>
      <c r="I1177" s="2">
        <v>34512</v>
      </c>
      <c r="J1177" s="2"/>
      <c r="K1177" s="2">
        <v>4765</v>
      </c>
      <c r="L1177" s="2" t="s">
        <v>8193</v>
      </c>
      <c r="M1177" s="2"/>
      <c r="N1177" s="2"/>
      <c r="O1177" s="2"/>
      <c r="P1177" s="2"/>
      <c r="Q1177" s="2"/>
      <c r="R1177" s="2" t="s">
        <v>8194</v>
      </c>
      <c r="S1177" s="2" t="s">
        <v>8195</v>
      </c>
      <c r="T1177" s="2" t="s">
        <v>8196</v>
      </c>
      <c r="U1177" s="2" t="s">
        <v>610</v>
      </c>
      <c r="V1177" s="2" t="s">
        <v>611</v>
      </c>
      <c r="W1177" s="2" t="s">
        <v>2935</v>
      </c>
      <c r="X1177" s="2" t="s">
        <v>147</v>
      </c>
      <c r="Y1177" s="2">
        <v>37.299999999999997</v>
      </c>
      <c r="Z1177" s="2">
        <v>0</v>
      </c>
      <c r="AA1177" s="2" t="s">
        <v>478</v>
      </c>
      <c r="AB1177" s="2" t="s">
        <v>5236</v>
      </c>
      <c r="AC1177" s="2">
        <v>-3.7964255124585802</v>
      </c>
      <c r="AD1177" s="2"/>
      <c r="AE1177" s="2">
        <v>0.52474473731499705</v>
      </c>
      <c r="AF1177" s="2">
        <v>27745.166920807998</v>
      </c>
      <c r="AG1177" s="2">
        <v>34935.417006499403</v>
      </c>
      <c r="AH1177" s="4">
        <v>0.79418450667545404</v>
      </c>
      <c r="AI1177" s="4">
        <v>-0.33245387852323899</v>
      </c>
      <c r="AJ1177" s="4" t="s">
        <v>62</v>
      </c>
      <c r="AK1177" s="2">
        <v>0.14716974004302799</v>
      </c>
      <c r="AL1177" s="2">
        <v>0.46813495501649</v>
      </c>
      <c r="AM1177" s="2">
        <v>14188.107958501399</v>
      </c>
      <c r="AN1177" s="2">
        <v>35413.726762649501</v>
      </c>
      <c r="AO1177" s="2">
        <v>31561.2409832712</v>
      </c>
      <c r="AP1177" s="2">
        <v>26829.6920369359</v>
      </c>
      <c r="AQ1177" s="2">
        <v>29175.554323354201</v>
      </c>
      <c r="AR1177" s="2">
        <v>29302.6794601355</v>
      </c>
      <c r="AS1177" s="2">
        <v>39024.417633603902</v>
      </c>
      <c r="AT1177" s="2">
        <v>35538.833022955099</v>
      </c>
      <c r="AU1177" s="2">
        <v>18010.515386043498</v>
      </c>
      <c r="AV1177" s="2">
        <v>41674.961935527899</v>
      </c>
      <c r="AW1177" s="2">
        <v>36783.844927796803</v>
      </c>
      <c r="AX1177" s="2">
        <v>38579.929133068901</v>
      </c>
    </row>
    <row r="1178" spans="1:50" x14ac:dyDescent="0.25">
      <c r="A1178" s="2" t="s">
        <v>8197</v>
      </c>
      <c r="B1178" s="2">
        <v>291.20772027526499</v>
      </c>
      <c r="C1178" s="2">
        <v>4.1329500000000001</v>
      </c>
      <c r="D1178" s="2" t="s">
        <v>51</v>
      </c>
      <c r="E1178" s="2" t="s">
        <v>8198</v>
      </c>
      <c r="F1178" s="2">
        <v>83589</v>
      </c>
      <c r="G1178" s="3" t="str">
        <f>HYPERLINK("https://cloud.oebiotech.com/#/lm/network/83589", "https://cloud.oebiotech.com/#/lm/network/83589")</f>
        <v>https://cloud.oebiotech.com/#/lm/network/83589</v>
      </c>
      <c r="H1178" s="2" t="s">
        <v>8199</v>
      </c>
      <c r="I1178" s="2"/>
      <c r="J1178" s="2"/>
      <c r="K1178" s="2">
        <v>5287678</v>
      </c>
      <c r="L1178" s="2"/>
      <c r="M1178" s="2"/>
      <c r="N1178" s="2"/>
      <c r="O1178" s="2"/>
      <c r="P1178" s="2"/>
      <c r="Q1178" s="2"/>
      <c r="R1178" s="2"/>
      <c r="S1178" s="2" t="s">
        <v>8200</v>
      </c>
      <c r="T1178" s="2" t="s">
        <v>8201</v>
      </c>
      <c r="U1178" s="2" t="s">
        <v>56</v>
      </c>
      <c r="V1178" s="2" t="s">
        <v>177</v>
      </c>
      <c r="W1178" s="2" t="s">
        <v>1996</v>
      </c>
      <c r="X1178" s="2" t="s">
        <v>147</v>
      </c>
      <c r="Y1178" s="2">
        <v>39.200000000000003</v>
      </c>
      <c r="Z1178" s="2">
        <v>0.84099999999999997</v>
      </c>
      <c r="AA1178" s="2" t="s">
        <v>4557</v>
      </c>
      <c r="AB1178" s="2" t="s">
        <v>8202</v>
      </c>
      <c r="AC1178" s="2">
        <v>-2.2418339820626501</v>
      </c>
      <c r="AD1178" s="2"/>
      <c r="AE1178" s="2">
        <v>0.524099220698238</v>
      </c>
      <c r="AF1178" s="2">
        <v>17367.8883637814</v>
      </c>
      <c r="AG1178" s="2">
        <v>29078.405122916902</v>
      </c>
      <c r="AH1178" s="4">
        <v>0.59727788681551996</v>
      </c>
      <c r="AI1178" s="4">
        <v>-0.74352578541676395</v>
      </c>
      <c r="AJ1178" s="4" t="s">
        <v>62</v>
      </c>
      <c r="AK1178" s="2">
        <v>0.55010139506502598</v>
      </c>
      <c r="AL1178" s="2">
        <v>0.77171998913606199</v>
      </c>
      <c r="AM1178" s="2">
        <v>12412.0221390522</v>
      </c>
      <c r="AN1178" s="2">
        <v>6830.0930233385398</v>
      </c>
      <c r="AO1178" s="2">
        <v>5271.7341831677404</v>
      </c>
      <c r="AP1178" s="2">
        <v>72007.7743254815</v>
      </c>
      <c r="AQ1178" s="2">
        <v>3949.1946933569898</v>
      </c>
      <c r="AR1178" s="2">
        <v>3736.5118182912702</v>
      </c>
      <c r="AS1178" s="2">
        <v>36591.304826903499</v>
      </c>
      <c r="AT1178" s="2">
        <v>5687.7737911832201</v>
      </c>
      <c r="AU1178" s="2">
        <v>4920.0128310861201</v>
      </c>
      <c r="AV1178" s="2">
        <v>1786.9465361328901</v>
      </c>
      <c r="AW1178" s="2">
        <v>24504.133384561599</v>
      </c>
      <c r="AX1178" s="2">
        <v>100980.259367634</v>
      </c>
    </row>
    <row r="1179" spans="1:50" x14ac:dyDescent="0.25">
      <c r="A1179" s="2" t="s">
        <v>8203</v>
      </c>
      <c r="B1179" s="2">
        <v>218.13948153072599</v>
      </c>
      <c r="C1179" s="2">
        <v>1.4254</v>
      </c>
      <c r="D1179" s="2" t="s">
        <v>51</v>
      </c>
      <c r="E1179" s="2" t="s">
        <v>8204</v>
      </c>
      <c r="F1179" s="2">
        <v>8287</v>
      </c>
      <c r="G1179" s="3" t="str">
        <f>HYPERLINK("https://cloud.oebiotech.com/#/lm/network/8287", "https://cloud.oebiotech.com/#/lm/network/8287")</f>
        <v>https://cloud.oebiotech.com/#/lm/network/8287</v>
      </c>
      <c r="H1179" s="2" t="s">
        <v>8205</v>
      </c>
      <c r="I1179" s="2">
        <v>36668</v>
      </c>
      <c r="J1179" s="2" t="s">
        <v>8206</v>
      </c>
      <c r="K1179" s="2">
        <v>188824</v>
      </c>
      <c r="L1179" s="2" t="s">
        <v>8207</v>
      </c>
      <c r="M1179" s="2"/>
      <c r="N1179" s="2"/>
      <c r="O1179" s="2">
        <v>53210</v>
      </c>
      <c r="P1179" s="2"/>
      <c r="Q1179" s="2"/>
      <c r="R1179" s="2"/>
      <c r="S1179" s="2" t="s">
        <v>8208</v>
      </c>
      <c r="T1179" s="2" t="s">
        <v>8209</v>
      </c>
      <c r="U1179" s="2" t="s">
        <v>56</v>
      </c>
      <c r="V1179" s="2" t="s">
        <v>145</v>
      </c>
      <c r="W1179" s="2" t="s">
        <v>1188</v>
      </c>
      <c r="X1179" s="2" t="s">
        <v>69</v>
      </c>
      <c r="Y1179" s="2">
        <v>48.7</v>
      </c>
      <c r="Z1179" s="2">
        <v>50.2</v>
      </c>
      <c r="AA1179" s="2" t="s">
        <v>60</v>
      </c>
      <c r="AB1179" s="2" t="s">
        <v>8210</v>
      </c>
      <c r="AC1179" s="2">
        <v>3.67061754543281</v>
      </c>
      <c r="AD1179" s="2"/>
      <c r="AE1179" s="2">
        <v>0.52390436465112</v>
      </c>
      <c r="AF1179" s="2">
        <v>24695.442612620001</v>
      </c>
      <c r="AG1179" s="2">
        <v>14213.744548082101</v>
      </c>
      <c r="AH1179" s="5">
        <v>1.7374339695694101</v>
      </c>
      <c r="AI1179" s="5">
        <v>0.79695814987359903</v>
      </c>
      <c r="AJ1179" s="5" t="s">
        <v>139</v>
      </c>
      <c r="AK1179" s="2">
        <v>8.8680693046907205E-2</v>
      </c>
      <c r="AL1179" s="2">
        <v>0.38151976421702</v>
      </c>
      <c r="AM1179" s="2">
        <v>24434.262611716698</v>
      </c>
      <c r="AN1179" s="2">
        <v>18094.046011788301</v>
      </c>
      <c r="AO1179" s="2">
        <v>26787.810998660701</v>
      </c>
      <c r="AP1179" s="2">
        <v>48719.701799725299</v>
      </c>
      <c r="AQ1179" s="2">
        <v>14388.903595309301</v>
      </c>
      <c r="AR1179" s="2">
        <v>15747.930658519401</v>
      </c>
      <c r="AS1179" s="2">
        <v>15674.6951366582</v>
      </c>
      <c r="AT1179" s="2">
        <v>21489.763253831399</v>
      </c>
      <c r="AU1179" s="2">
        <v>15817.373009470501</v>
      </c>
      <c r="AV1179" s="2">
        <v>7970.1358041327303</v>
      </c>
      <c r="AW1179" s="2">
        <v>9887.9826460682798</v>
      </c>
      <c r="AX1179" s="2">
        <v>14442.517438331701</v>
      </c>
    </row>
    <row r="1180" spans="1:50" x14ac:dyDescent="0.25">
      <c r="A1180" s="2" t="s">
        <v>8211</v>
      </c>
      <c r="B1180" s="2">
        <v>237.11297815008001</v>
      </c>
      <c r="C1180" s="2">
        <v>5.0147000000000004</v>
      </c>
      <c r="D1180" s="2" t="s">
        <v>51</v>
      </c>
      <c r="E1180" s="2" t="s">
        <v>8212</v>
      </c>
      <c r="F1180" s="2">
        <v>57444</v>
      </c>
      <c r="G1180" s="3" t="str">
        <f>HYPERLINK("https://cloud.oebiotech.com/#/lm/network/57444", "https://cloud.oebiotech.com/#/lm/network/57444")</f>
        <v>https://cloud.oebiotech.com/#/lm/network/57444</v>
      </c>
      <c r="H1180" s="2" t="s">
        <v>8213</v>
      </c>
      <c r="I1180" s="2">
        <v>89065</v>
      </c>
      <c r="J1180" s="2"/>
      <c r="K1180" s="2">
        <v>100958560</v>
      </c>
      <c r="L1180" s="2"/>
      <c r="M1180" s="2"/>
      <c r="N1180" s="2"/>
      <c r="O1180" s="2">
        <v>171929</v>
      </c>
      <c r="P1180" s="2"/>
      <c r="Q1180" s="2"/>
      <c r="R1180" s="2"/>
      <c r="S1180" s="2" t="s">
        <v>8214</v>
      </c>
      <c r="T1180" s="2" t="s">
        <v>8215</v>
      </c>
      <c r="U1180" s="2" t="s">
        <v>56</v>
      </c>
      <c r="V1180" s="2" t="s">
        <v>177</v>
      </c>
      <c r="W1180" s="2" t="s">
        <v>584</v>
      </c>
      <c r="X1180" s="2" t="s">
        <v>147</v>
      </c>
      <c r="Y1180" s="2">
        <v>41.9</v>
      </c>
      <c r="Z1180" s="2">
        <v>14</v>
      </c>
      <c r="AA1180" s="2" t="s">
        <v>298</v>
      </c>
      <c r="AB1180" s="2" t="s">
        <v>8216</v>
      </c>
      <c r="AC1180" s="2">
        <v>-1.06867493634766</v>
      </c>
      <c r="AD1180" s="2"/>
      <c r="AE1180" s="2">
        <v>0.52381050017008002</v>
      </c>
      <c r="AF1180" s="2">
        <v>17595.884924756701</v>
      </c>
      <c r="AG1180" s="2">
        <v>9235.9737659873699</v>
      </c>
      <c r="AH1180" s="5">
        <v>1.90514669818094</v>
      </c>
      <c r="AI1180" s="5">
        <v>0.92990209094152199</v>
      </c>
      <c r="AJ1180" s="5" t="s">
        <v>139</v>
      </c>
      <c r="AK1180" s="2">
        <v>2.4484730656358401E-2</v>
      </c>
      <c r="AL1180" s="2">
        <v>0.24268087797462501</v>
      </c>
      <c r="AM1180" s="2">
        <v>10031.790001671399</v>
      </c>
      <c r="AN1180" s="2">
        <v>28345.5088067244</v>
      </c>
      <c r="AO1180" s="2">
        <v>16889.1284695305</v>
      </c>
      <c r="AP1180" s="2">
        <v>22869.9464612804</v>
      </c>
      <c r="AQ1180" s="2">
        <v>9602.1920822584107</v>
      </c>
      <c r="AR1180" s="2">
        <v>17836.743727074801</v>
      </c>
      <c r="AS1180" s="2">
        <v>11643.251044479401</v>
      </c>
      <c r="AT1180" s="2">
        <v>7542.5693779343601</v>
      </c>
      <c r="AU1180" s="2">
        <v>13138.958359723099</v>
      </c>
      <c r="AV1180" s="2">
        <v>7646.22448668782</v>
      </c>
      <c r="AW1180" s="2">
        <v>6411.0332532112297</v>
      </c>
      <c r="AX1180" s="2">
        <v>9033.8060738883196</v>
      </c>
    </row>
    <row r="1181" spans="1:50" x14ac:dyDescent="0.25">
      <c r="A1181" s="2" t="s">
        <v>8217</v>
      </c>
      <c r="B1181" s="2">
        <v>357.03146122067398</v>
      </c>
      <c r="C1181" s="2">
        <v>0.74113333333333298</v>
      </c>
      <c r="D1181" s="2" t="s">
        <v>51</v>
      </c>
      <c r="E1181" s="2" t="s">
        <v>8218</v>
      </c>
      <c r="F1181" s="2">
        <v>82886</v>
      </c>
      <c r="G1181" s="3" t="str">
        <f>HYPERLINK("https://cloud.oebiotech.com/#/lm/network/82886", "https://cloud.oebiotech.com/#/lm/network/82886")</f>
        <v>https://cloud.oebiotech.com/#/lm/network/82886</v>
      </c>
      <c r="H1181" s="2" t="s">
        <v>8219</v>
      </c>
      <c r="I1181" s="2">
        <v>2915</v>
      </c>
      <c r="J1181" s="2"/>
      <c r="K1181" s="2">
        <v>128260</v>
      </c>
      <c r="L1181" s="2"/>
      <c r="M1181" s="2"/>
      <c r="N1181" s="2"/>
      <c r="O1181" s="2"/>
      <c r="P1181" s="2"/>
      <c r="Q1181" s="2"/>
      <c r="R1181" s="2" t="s">
        <v>8220</v>
      </c>
      <c r="S1181" s="2" t="s">
        <v>8221</v>
      </c>
      <c r="T1181" s="2" t="s">
        <v>8222</v>
      </c>
      <c r="U1181" s="2" t="s">
        <v>266</v>
      </c>
      <c r="V1181" s="2" t="s">
        <v>4415</v>
      </c>
      <c r="W1181" s="2" t="s">
        <v>4416</v>
      </c>
      <c r="X1181" s="2" t="s">
        <v>59</v>
      </c>
      <c r="Y1181" s="2">
        <v>42.7</v>
      </c>
      <c r="Z1181" s="2">
        <v>62.1</v>
      </c>
      <c r="AA1181" s="2" t="s">
        <v>163</v>
      </c>
      <c r="AB1181" s="2" t="s">
        <v>8223</v>
      </c>
      <c r="AC1181" s="2">
        <v>-0.22000666578415101</v>
      </c>
      <c r="AD1181" s="2"/>
      <c r="AE1181" s="2">
        <v>0.52355222580220795</v>
      </c>
      <c r="AF1181" s="2">
        <v>247300.18305483201</v>
      </c>
      <c r="AG1181" s="2">
        <v>167741.66057758301</v>
      </c>
      <c r="AH1181" s="5">
        <v>1.4742919689915199</v>
      </c>
      <c r="AI1181" s="5">
        <v>0.56002226425926904</v>
      </c>
      <c r="AJ1181" s="5" t="s">
        <v>139</v>
      </c>
      <c r="AK1181" s="2">
        <v>0.51794897760071301</v>
      </c>
      <c r="AL1181" s="2">
        <v>0.75019836057951494</v>
      </c>
      <c r="AM1181" s="2">
        <v>2133.5731113035399</v>
      </c>
      <c r="AN1181" s="2">
        <v>368070.04378724901</v>
      </c>
      <c r="AO1181" s="2">
        <v>446628.90216394601</v>
      </c>
      <c r="AP1181" s="2">
        <v>475200.06604144699</v>
      </c>
      <c r="AQ1181" s="2">
        <v>43957.518396392603</v>
      </c>
      <c r="AR1181" s="2">
        <v>147810.99482865099</v>
      </c>
      <c r="AS1181" s="2">
        <v>119405.09142089001</v>
      </c>
      <c r="AT1181" s="2">
        <v>45070.695492696199</v>
      </c>
      <c r="AU1181" s="2">
        <v>14919.491777323001</v>
      </c>
      <c r="AV1181" s="2">
        <v>64685.131980485399</v>
      </c>
      <c r="AW1181" s="2">
        <v>558319.93201657804</v>
      </c>
      <c r="AX1181" s="2">
        <v>204049.620777526</v>
      </c>
    </row>
    <row r="1182" spans="1:50" x14ac:dyDescent="0.25">
      <c r="A1182" s="2" t="s">
        <v>8224</v>
      </c>
      <c r="B1182" s="2">
        <v>617.28074835092298</v>
      </c>
      <c r="C1182" s="2">
        <v>3.9009</v>
      </c>
      <c r="D1182" s="2" t="s">
        <v>51</v>
      </c>
      <c r="E1182" s="2" t="s">
        <v>8225</v>
      </c>
      <c r="F1182" s="2">
        <v>211028</v>
      </c>
      <c r="G1182" s="3" t="str">
        <f>HYPERLINK("https://cloud.oebiotech.com/#/lm/network/211028", "https://cloud.oebiotech.com/#/lm/network/211028")</f>
        <v>https://cloud.oebiotech.com/#/lm/network/211028</v>
      </c>
      <c r="H1182" s="2" t="s">
        <v>8226</v>
      </c>
      <c r="I1182" s="2"/>
      <c r="J1182" s="2"/>
      <c r="K1182" s="2">
        <v>85052343</v>
      </c>
      <c r="L1182" s="2"/>
      <c r="M1182" s="2"/>
      <c r="N1182" s="2"/>
      <c r="O1182" s="2"/>
      <c r="P1182" s="2"/>
      <c r="Q1182" s="2"/>
      <c r="R1182" s="2"/>
      <c r="S1182" s="2" t="s">
        <v>8227</v>
      </c>
      <c r="T1182" s="2" t="s">
        <v>8228</v>
      </c>
      <c r="U1182" s="2" t="s">
        <v>103</v>
      </c>
      <c r="V1182" s="2" t="s">
        <v>104</v>
      </c>
      <c r="W1182" s="2" t="s">
        <v>105</v>
      </c>
      <c r="X1182" s="2" t="s">
        <v>147</v>
      </c>
      <c r="Y1182" s="2">
        <v>45.8</v>
      </c>
      <c r="Z1182" s="2">
        <v>37</v>
      </c>
      <c r="AA1182" s="2" t="s">
        <v>122</v>
      </c>
      <c r="AB1182" s="2" t="s">
        <v>8229</v>
      </c>
      <c r="AC1182" s="2">
        <v>-0.28772871396115501</v>
      </c>
      <c r="AD1182" s="2"/>
      <c r="AE1182" s="2">
        <v>0.52302353339598495</v>
      </c>
      <c r="AF1182" s="2">
        <v>6611.6800540424001</v>
      </c>
      <c r="AG1182" s="2">
        <v>15706.3618093718</v>
      </c>
      <c r="AH1182" s="4">
        <v>0.42095554236483301</v>
      </c>
      <c r="AI1182" s="4">
        <v>-1.2482602183571001</v>
      </c>
      <c r="AJ1182" s="4" t="s">
        <v>62</v>
      </c>
      <c r="AK1182" s="2">
        <v>0.18616476952588601</v>
      </c>
      <c r="AL1182" s="2">
        <v>0.51040020334889302</v>
      </c>
      <c r="AM1182" s="2">
        <v>3021.48610161948</v>
      </c>
      <c r="AN1182" s="2">
        <v>8.559877937157E-6</v>
      </c>
      <c r="AO1182" s="2">
        <v>1233.2925435238201</v>
      </c>
      <c r="AP1182" s="2">
        <v>13918.141435241299</v>
      </c>
      <c r="AQ1182" s="2">
        <v>18703.599421729799</v>
      </c>
      <c r="AR1182" s="2">
        <v>2793.5608135801299</v>
      </c>
      <c r="AS1182" s="2">
        <v>373.06889016009001</v>
      </c>
      <c r="AT1182" s="2">
        <v>22697.198913500699</v>
      </c>
      <c r="AU1182" s="2">
        <v>482.16375283623302</v>
      </c>
      <c r="AV1182" s="2">
        <v>12588.8568955889</v>
      </c>
      <c r="AW1182" s="2">
        <v>34061.518263465703</v>
      </c>
      <c r="AX1182" s="2">
        <v>24035.364140679001</v>
      </c>
    </row>
    <row r="1183" spans="1:50" x14ac:dyDescent="0.25">
      <c r="A1183" s="2" t="s">
        <v>8230</v>
      </c>
      <c r="B1183" s="2">
        <v>439.19893735322597</v>
      </c>
      <c r="C1183" s="2">
        <v>4.9131833333333299</v>
      </c>
      <c r="D1183" s="2" t="s">
        <v>51</v>
      </c>
      <c r="E1183" s="2" t="s">
        <v>8231</v>
      </c>
      <c r="F1183" s="2">
        <v>261595</v>
      </c>
      <c r="G1183" s="3" t="str">
        <f>HYPERLINK("https://cloud.oebiotech.com/#/lm/network/261595", "https://cloud.oebiotech.com/#/lm/network/261595")</f>
        <v>https://cloud.oebiotech.com/#/lm/network/261595</v>
      </c>
      <c r="H1183" s="2"/>
      <c r="I1183" s="2">
        <v>18916</v>
      </c>
      <c r="J1183" s="2"/>
      <c r="K1183" s="2">
        <v>71355694</v>
      </c>
      <c r="L1183" s="2"/>
      <c r="M1183" s="2"/>
      <c r="N1183" s="2"/>
      <c r="O1183" s="2"/>
      <c r="P1183" s="2"/>
      <c r="Q1183" s="2"/>
      <c r="R1183" s="2"/>
      <c r="S1183" s="2" t="s">
        <v>8232</v>
      </c>
      <c r="T1183" s="2" t="s">
        <v>8233</v>
      </c>
      <c r="U1183" s="2" t="s">
        <v>103</v>
      </c>
      <c r="V1183" s="2" t="s">
        <v>104</v>
      </c>
      <c r="W1183" s="2" t="s">
        <v>105</v>
      </c>
      <c r="X1183" s="2" t="s">
        <v>83</v>
      </c>
      <c r="Y1183" s="2">
        <v>57.3</v>
      </c>
      <c r="Z1183" s="2">
        <v>43.2</v>
      </c>
      <c r="AA1183" s="2" t="s">
        <v>259</v>
      </c>
      <c r="AB1183" s="2" t="s">
        <v>8234</v>
      </c>
      <c r="AC1183" s="2">
        <v>3.0602465291792198</v>
      </c>
      <c r="AD1183" s="2"/>
      <c r="AE1183" s="2">
        <v>0.52156180196780599</v>
      </c>
      <c r="AF1183" s="2">
        <v>8527.4379305103503</v>
      </c>
      <c r="AG1183" s="2">
        <v>1812.3255076216201</v>
      </c>
      <c r="AH1183" s="5">
        <v>4.7052463228315</v>
      </c>
      <c r="AI1183" s="5">
        <v>2.23427025099322</v>
      </c>
      <c r="AJ1183" s="5" t="s">
        <v>139</v>
      </c>
      <c r="AK1183" s="2">
        <v>1.2747337316006401E-2</v>
      </c>
      <c r="AL1183" s="2">
        <v>0.17918067258312301</v>
      </c>
      <c r="AM1183" s="2">
        <v>7237.8836820645502</v>
      </c>
      <c r="AN1183" s="2">
        <v>5335.4079360977803</v>
      </c>
      <c r="AO1183" s="2">
        <v>12485.769993834099</v>
      </c>
      <c r="AP1183" s="2">
        <v>830.04814192266099</v>
      </c>
      <c r="AQ1183" s="2">
        <v>14764.479963076201</v>
      </c>
      <c r="AR1183" s="2">
        <v>10511.037866066799</v>
      </c>
      <c r="AS1183" s="2">
        <v>8.559877937157E-6</v>
      </c>
      <c r="AT1183" s="2">
        <v>974.82844099416798</v>
      </c>
      <c r="AU1183" s="2">
        <v>4025.6147777346</v>
      </c>
      <c r="AV1183" s="2">
        <v>4232.7387998104696</v>
      </c>
      <c r="AW1183" s="2">
        <v>1640.77101007071</v>
      </c>
      <c r="AX1183" s="2">
        <v>8.559877937157E-6</v>
      </c>
    </row>
    <row r="1184" spans="1:50" x14ac:dyDescent="0.25">
      <c r="A1184" s="2" t="s">
        <v>8235</v>
      </c>
      <c r="B1184" s="2">
        <v>301.21728837484898</v>
      </c>
      <c r="C1184" s="2">
        <v>11.948033333333299</v>
      </c>
      <c r="D1184" s="2" t="s">
        <v>51</v>
      </c>
      <c r="E1184" s="2" t="s">
        <v>8236</v>
      </c>
      <c r="F1184" s="2">
        <v>1173</v>
      </c>
      <c r="G1184" s="3" t="str">
        <f>HYPERLINK("https://cloud.oebiotech.com/#/lm/network/1173", "https://cloud.oebiotech.com/#/lm/network/1173")</f>
        <v>https://cloud.oebiotech.com/#/lm/network/1173</v>
      </c>
      <c r="H1184" s="2" t="s">
        <v>8237</v>
      </c>
      <c r="I1184" s="2">
        <v>6423</v>
      </c>
      <c r="J1184" s="2" t="s">
        <v>8238</v>
      </c>
      <c r="K1184" s="2">
        <v>446284</v>
      </c>
      <c r="L1184" s="2" t="s">
        <v>8239</v>
      </c>
      <c r="M1184" s="2" t="s">
        <v>3305</v>
      </c>
      <c r="N1184" s="2" t="s">
        <v>3306</v>
      </c>
      <c r="O1184" s="2">
        <v>28364</v>
      </c>
      <c r="P1184" s="2" t="s">
        <v>8240</v>
      </c>
      <c r="Q1184" s="2" t="s">
        <v>8241</v>
      </c>
      <c r="R1184" s="2" t="s">
        <v>8242</v>
      </c>
      <c r="S1184" s="2" t="s">
        <v>8243</v>
      </c>
      <c r="T1184" s="2" t="s">
        <v>8244</v>
      </c>
      <c r="U1184" s="2" t="s">
        <v>56</v>
      </c>
      <c r="V1184" s="2" t="s">
        <v>145</v>
      </c>
      <c r="W1184" s="2" t="s">
        <v>231</v>
      </c>
      <c r="X1184" s="2" t="s">
        <v>69</v>
      </c>
      <c r="Y1184" s="2">
        <v>57.8</v>
      </c>
      <c r="Z1184" s="2">
        <v>69.400000000000006</v>
      </c>
      <c r="AA1184" s="2" t="s">
        <v>163</v>
      </c>
      <c r="AB1184" s="2" t="s">
        <v>835</v>
      </c>
      <c r="AC1184" s="2">
        <v>-5.0936861135935797E-2</v>
      </c>
      <c r="AD1184" s="2"/>
      <c r="AE1184" s="2">
        <v>0.52135864440869095</v>
      </c>
      <c r="AF1184" s="2">
        <v>49387.075459680003</v>
      </c>
      <c r="AG1184" s="2">
        <v>74108.8481190639</v>
      </c>
      <c r="AH1184" s="4">
        <v>0.666412671538684</v>
      </c>
      <c r="AI1184" s="4">
        <v>-0.58551226172259396</v>
      </c>
      <c r="AJ1184" s="4" t="s">
        <v>62</v>
      </c>
      <c r="AK1184" s="2">
        <v>0.26568135138729398</v>
      </c>
      <c r="AL1184" s="2">
        <v>0.58715094319781702</v>
      </c>
      <c r="AM1184" s="2">
        <v>110055.530439369</v>
      </c>
      <c r="AN1184" s="2">
        <v>64918.2605008752</v>
      </c>
      <c r="AO1184" s="2">
        <v>34890.846429189201</v>
      </c>
      <c r="AP1184" s="2">
        <v>30793.007708825</v>
      </c>
      <c r="AQ1184" s="2">
        <v>30525.786991996501</v>
      </c>
      <c r="AR1184" s="2">
        <v>25139.020687824901</v>
      </c>
      <c r="AS1184" s="2">
        <v>32964.985338429397</v>
      </c>
      <c r="AT1184" s="2">
        <v>19941.671836314599</v>
      </c>
      <c r="AU1184" s="2">
        <v>123158.86742433</v>
      </c>
      <c r="AV1184" s="2">
        <v>87405.337181550596</v>
      </c>
      <c r="AW1184" s="2">
        <v>87817.338090709105</v>
      </c>
      <c r="AX1184" s="2">
        <v>93364.888843049499</v>
      </c>
    </row>
    <row r="1185" spans="1:50" x14ac:dyDescent="0.25">
      <c r="A1185" s="2" t="s">
        <v>8245</v>
      </c>
      <c r="B1185" s="2">
        <v>336.06602989674002</v>
      </c>
      <c r="C1185" s="2">
        <v>4.8125</v>
      </c>
      <c r="D1185" s="2" t="s">
        <v>51</v>
      </c>
      <c r="E1185" s="2" t="s">
        <v>8246</v>
      </c>
      <c r="F1185" s="2">
        <v>208018</v>
      </c>
      <c r="G1185" s="3" t="str">
        <f>HYPERLINK("https://cloud.oebiotech.com/#/lm/network/208018", "https://cloud.oebiotech.com/#/lm/network/208018")</f>
        <v>https://cloud.oebiotech.com/#/lm/network/208018</v>
      </c>
      <c r="H1185" s="2" t="s">
        <v>8247</v>
      </c>
      <c r="I1185" s="2">
        <v>44108</v>
      </c>
      <c r="J1185" s="2"/>
      <c r="K1185" s="2">
        <v>54677972</v>
      </c>
      <c r="L1185" s="2"/>
      <c r="M1185" s="2"/>
      <c r="N1185" s="2"/>
      <c r="O1185" s="2">
        <v>76163</v>
      </c>
      <c r="P1185" s="2"/>
      <c r="Q1185" s="2"/>
      <c r="R1185" s="2" t="s">
        <v>8248</v>
      </c>
      <c r="S1185" s="2" t="s">
        <v>8249</v>
      </c>
      <c r="T1185" s="2" t="s">
        <v>8250</v>
      </c>
      <c r="U1185" s="2" t="s">
        <v>266</v>
      </c>
      <c r="V1185" s="2" t="s">
        <v>5547</v>
      </c>
      <c r="W1185" s="2" t="s">
        <v>240</v>
      </c>
      <c r="X1185" s="2" t="s">
        <v>147</v>
      </c>
      <c r="Y1185" s="2">
        <v>44.1</v>
      </c>
      <c r="Z1185" s="2">
        <v>31.4</v>
      </c>
      <c r="AA1185" s="2" t="s">
        <v>259</v>
      </c>
      <c r="AB1185" s="2" t="s">
        <v>8251</v>
      </c>
      <c r="AC1185" s="2">
        <v>3.4678683896141198</v>
      </c>
      <c r="AD1185" s="2"/>
      <c r="AE1185" s="2">
        <v>0.52074528634175699</v>
      </c>
      <c r="AF1185" s="2">
        <v>4900.8852653297199</v>
      </c>
      <c r="AG1185" s="2">
        <v>39340.766501997001</v>
      </c>
      <c r="AH1185" s="4">
        <v>0.124575235845518</v>
      </c>
      <c r="AI1185" s="4">
        <v>-3.0049107895567699</v>
      </c>
      <c r="AJ1185" s="4" t="s">
        <v>62</v>
      </c>
      <c r="AK1185" s="2">
        <v>0.39930860451466299</v>
      </c>
      <c r="AL1185" s="2">
        <v>0.66817789881723599</v>
      </c>
      <c r="AM1185" s="2">
        <v>482.658683163077</v>
      </c>
      <c r="AN1185" s="2">
        <v>2191.1108075269199</v>
      </c>
      <c r="AO1185" s="2">
        <v>26712.136950656801</v>
      </c>
      <c r="AP1185" s="2">
        <v>8.559877937157E-6</v>
      </c>
      <c r="AQ1185" s="2">
        <v>8.559877937157E-6</v>
      </c>
      <c r="AR1185" s="2">
        <v>19.405133511777102</v>
      </c>
      <c r="AS1185" s="2">
        <v>84.582849596302793</v>
      </c>
      <c r="AT1185" s="2">
        <v>124.393069125826</v>
      </c>
      <c r="AU1185" s="2">
        <v>233702.79421466499</v>
      </c>
      <c r="AV1185" s="2">
        <v>1498.0405808644</v>
      </c>
      <c r="AW1185" s="2">
        <v>634.78828917039505</v>
      </c>
      <c r="AX1185" s="2">
        <v>8.559877937157E-6</v>
      </c>
    </row>
    <row r="1186" spans="1:50" x14ac:dyDescent="0.25">
      <c r="A1186" s="2" t="s">
        <v>8252</v>
      </c>
      <c r="B1186" s="2">
        <v>427.11304859286003</v>
      </c>
      <c r="C1186" s="2">
        <v>5.7116499999999997</v>
      </c>
      <c r="D1186" s="2" t="s">
        <v>51</v>
      </c>
      <c r="E1186" s="2" t="s">
        <v>8253</v>
      </c>
      <c r="F1186" s="2">
        <v>203857</v>
      </c>
      <c r="G1186" s="3" t="str">
        <f>HYPERLINK("https://cloud.oebiotech.com/#/lm/network/203857", "https://cloud.oebiotech.com/#/lm/network/203857")</f>
        <v>https://cloud.oebiotech.com/#/lm/network/203857</v>
      </c>
      <c r="H1186" s="2" t="s">
        <v>8254</v>
      </c>
      <c r="I1186" s="2"/>
      <c r="J1186" s="2"/>
      <c r="K1186" s="2">
        <v>359063</v>
      </c>
      <c r="L1186" s="2"/>
      <c r="M1186" s="2"/>
      <c r="N1186" s="2"/>
      <c r="O1186" s="2"/>
      <c r="P1186" s="2"/>
      <c r="Q1186" s="2"/>
      <c r="R1186" s="2"/>
      <c r="S1186" s="2" t="s">
        <v>8255</v>
      </c>
      <c r="T1186" s="2" t="s">
        <v>8256</v>
      </c>
      <c r="U1186" s="2" t="s">
        <v>295</v>
      </c>
      <c r="V1186" s="2" t="s">
        <v>1818</v>
      </c>
      <c r="W1186" s="2" t="s">
        <v>8257</v>
      </c>
      <c r="X1186" s="2" t="s">
        <v>147</v>
      </c>
      <c r="Y1186" s="2">
        <v>38.5</v>
      </c>
      <c r="Z1186" s="2">
        <v>0.88900000000000001</v>
      </c>
      <c r="AA1186" s="2" t="s">
        <v>395</v>
      </c>
      <c r="AB1186" s="2" t="s">
        <v>8258</v>
      </c>
      <c r="AC1186" s="2">
        <v>0.96031256766147</v>
      </c>
      <c r="AD1186" s="2"/>
      <c r="AE1186" s="2">
        <v>0.52012693696907097</v>
      </c>
      <c r="AF1186" s="2">
        <v>1663.59790939962</v>
      </c>
      <c r="AG1186" s="2">
        <v>9377.3538141202698</v>
      </c>
      <c r="AH1186" s="4">
        <v>0.17740590174752799</v>
      </c>
      <c r="AI1186" s="4">
        <v>-2.4948740904329099</v>
      </c>
      <c r="AJ1186" s="4" t="s">
        <v>62</v>
      </c>
      <c r="AK1186" s="2">
        <v>2.91525052513146E-2</v>
      </c>
      <c r="AL1186" s="2">
        <v>0.25871214301502998</v>
      </c>
      <c r="AM1186" s="2">
        <v>2578.8846402106901</v>
      </c>
      <c r="AN1186" s="2">
        <v>415.58257714229802</v>
      </c>
      <c r="AO1186" s="2">
        <v>2219.1549065798099</v>
      </c>
      <c r="AP1186" s="2">
        <v>8.559877937157E-6</v>
      </c>
      <c r="AQ1186" s="2">
        <v>1533.0372230006601</v>
      </c>
      <c r="AR1186" s="2">
        <v>3234.9281009043998</v>
      </c>
      <c r="AS1186" s="2">
        <v>2242.3107194583499</v>
      </c>
      <c r="AT1186" s="2">
        <v>4327.1766695932101</v>
      </c>
      <c r="AU1186" s="2">
        <v>13530.8956603733</v>
      </c>
      <c r="AV1186" s="2">
        <v>8769.4275243261709</v>
      </c>
      <c r="AW1186" s="2">
        <v>21957.266046428798</v>
      </c>
      <c r="AX1186" s="2">
        <v>5437.0462645417801</v>
      </c>
    </row>
    <row r="1187" spans="1:50" x14ac:dyDescent="0.25">
      <c r="A1187" s="2" t="s">
        <v>8259</v>
      </c>
      <c r="B1187" s="2">
        <v>299.17253244470498</v>
      </c>
      <c r="C1187" s="2">
        <v>3.9637500000000001</v>
      </c>
      <c r="D1187" s="2" t="s">
        <v>51</v>
      </c>
      <c r="E1187" s="2" t="s">
        <v>8260</v>
      </c>
      <c r="F1187" s="2">
        <v>198251</v>
      </c>
      <c r="G1187" s="3" t="str">
        <f>HYPERLINK("https://cloud.oebiotech.com/#/lm/network/198251", "https://cloud.oebiotech.com/#/lm/network/198251")</f>
        <v>https://cloud.oebiotech.com/#/lm/network/198251</v>
      </c>
      <c r="H1187" s="2" t="s">
        <v>8261</v>
      </c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 t="s">
        <v>8262</v>
      </c>
      <c r="T1187" s="2" t="s">
        <v>8263</v>
      </c>
      <c r="U1187" s="2" t="s">
        <v>56</v>
      </c>
      <c r="V1187" s="2" t="s">
        <v>145</v>
      </c>
      <c r="W1187" s="2" t="s">
        <v>1188</v>
      </c>
      <c r="X1187" s="2" t="s">
        <v>147</v>
      </c>
      <c r="Y1187" s="2">
        <v>40.6</v>
      </c>
      <c r="Z1187" s="2">
        <v>18.7</v>
      </c>
      <c r="AA1187" s="2" t="s">
        <v>122</v>
      </c>
      <c r="AB1187" s="2" t="s">
        <v>8264</v>
      </c>
      <c r="AC1187" s="2">
        <v>-2.4753536217411898</v>
      </c>
      <c r="AD1187" s="2"/>
      <c r="AE1187" s="2">
        <v>0.52006709536530404</v>
      </c>
      <c r="AF1187" s="2">
        <v>13650.0783521925</v>
      </c>
      <c r="AG1187" s="2">
        <v>4373.9159797526299</v>
      </c>
      <c r="AH1187" s="5">
        <v>3.1207911664010801</v>
      </c>
      <c r="AI1187" s="5">
        <v>1.64191181984034</v>
      </c>
      <c r="AJ1187" s="5" t="s">
        <v>139</v>
      </c>
      <c r="AK1187" s="2">
        <v>6.8786566874448396E-2</v>
      </c>
      <c r="AL1187" s="2">
        <v>0.34710539079180402</v>
      </c>
      <c r="AM1187" s="2">
        <v>16571.740308431599</v>
      </c>
      <c r="AN1187" s="2">
        <v>5856.2628160447703</v>
      </c>
      <c r="AO1187" s="2">
        <v>16374.3742677479</v>
      </c>
      <c r="AP1187" s="2">
        <v>6339.9828555590102</v>
      </c>
      <c r="AQ1187" s="2">
        <v>4622.1944508552997</v>
      </c>
      <c r="AR1187" s="2">
        <v>32135.915414516599</v>
      </c>
      <c r="AS1187" s="2">
        <v>1678.8977744807701</v>
      </c>
      <c r="AT1187" s="2">
        <v>1948.4024693111401</v>
      </c>
      <c r="AU1187" s="2">
        <v>3043.7544647256</v>
      </c>
      <c r="AV1187" s="2">
        <v>11570.669573626799</v>
      </c>
      <c r="AW1187" s="2">
        <v>4582.4440528637397</v>
      </c>
      <c r="AX1187" s="2">
        <v>3419.3275435077098</v>
      </c>
    </row>
    <row r="1188" spans="1:50" x14ac:dyDescent="0.25">
      <c r="A1188" s="2" t="s">
        <v>8265</v>
      </c>
      <c r="B1188" s="2">
        <v>173.0667</v>
      </c>
      <c r="C1188" s="2">
        <v>7.01</v>
      </c>
      <c r="D1188" s="2" t="s">
        <v>125</v>
      </c>
      <c r="E1188" s="2" t="s">
        <v>8266</v>
      </c>
      <c r="F1188" s="2">
        <v>46876</v>
      </c>
      <c r="G1188" s="3" t="str">
        <f>HYPERLINK("https://cloud.oebiotech.com/#/lm/network/46876", "https://cloud.oebiotech.com/#/lm/network/46876")</f>
        <v>https://cloud.oebiotech.com/#/lm/network/46876</v>
      </c>
      <c r="H1188" s="2" t="s">
        <v>8267</v>
      </c>
      <c r="I1188" s="2">
        <v>3219</v>
      </c>
      <c r="J1188" s="2"/>
      <c r="K1188" s="2">
        <v>757</v>
      </c>
      <c r="L1188" s="2" t="s">
        <v>8268</v>
      </c>
      <c r="M1188" s="2" t="s">
        <v>5016</v>
      </c>
      <c r="N1188" s="2" t="s">
        <v>5017</v>
      </c>
      <c r="O1188" s="2">
        <v>17497</v>
      </c>
      <c r="P1188" s="2"/>
      <c r="Q1188" s="2"/>
      <c r="R1188" s="2" t="s">
        <v>8269</v>
      </c>
      <c r="S1188" s="2" t="s">
        <v>8270</v>
      </c>
      <c r="T1188" s="2" t="s">
        <v>8271</v>
      </c>
      <c r="U1188" s="2" t="s">
        <v>103</v>
      </c>
      <c r="V1188" s="2" t="s">
        <v>377</v>
      </c>
      <c r="W1188" s="2" t="s">
        <v>2285</v>
      </c>
      <c r="X1188" s="2" t="s">
        <v>69</v>
      </c>
      <c r="Y1188" s="2">
        <v>92.4</v>
      </c>
      <c r="Z1188" s="2">
        <v>88.3</v>
      </c>
      <c r="AA1188" s="2"/>
      <c r="AB1188" s="2" t="s">
        <v>8272</v>
      </c>
      <c r="AC1188" s="2"/>
      <c r="AD1188" s="2">
        <v>230928.891523414</v>
      </c>
      <c r="AE1188" s="2">
        <v>0.51953822685875695</v>
      </c>
      <c r="AF1188" s="2">
        <v>117707.088267096</v>
      </c>
      <c r="AG1188" s="2">
        <v>67508.672956808106</v>
      </c>
      <c r="AH1188" s="5">
        <v>1.7435846849249199</v>
      </c>
      <c r="AI1188" s="5">
        <v>0.80205643670090698</v>
      </c>
      <c r="AJ1188" s="5" t="s">
        <v>139</v>
      </c>
      <c r="AK1188" s="2">
        <v>6.87011677093594E-3</v>
      </c>
      <c r="AL1188" s="2">
        <v>0.13968453174331</v>
      </c>
      <c r="AM1188" s="2">
        <v>166143.57376062599</v>
      </c>
      <c r="AN1188" s="2">
        <v>149773.441920604</v>
      </c>
      <c r="AO1188" s="2">
        <v>90555.503553033093</v>
      </c>
      <c r="AP1188" s="2">
        <v>94226.207894021398</v>
      </c>
      <c r="AQ1188" s="2">
        <v>81167.679886909798</v>
      </c>
      <c r="AR1188" s="2">
        <v>124376.122587379</v>
      </c>
      <c r="AS1188" s="2">
        <v>66401.585883505701</v>
      </c>
      <c r="AT1188" s="2">
        <v>60379.687385235098</v>
      </c>
      <c r="AU1188" s="2">
        <v>61353.858163374898</v>
      </c>
      <c r="AV1188" s="2">
        <v>56613.042930868003</v>
      </c>
      <c r="AW1188" s="2">
        <v>79154.215716018196</v>
      </c>
      <c r="AX1188" s="2">
        <v>81149.647661846495</v>
      </c>
    </row>
    <row r="1189" spans="1:50" x14ac:dyDescent="0.25">
      <c r="A1189" s="2" t="s">
        <v>8273</v>
      </c>
      <c r="B1189" s="2">
        <v>385.15059147663197</v>
      </c>
      <c r="C1189" s="2">
        <v>4.2211666666666696</v>
      </c>
      <c r="D1189" s="2" t="s">
        <v>51</v>
      </c>
      <c r="E1189" s="2" t="s">
        <v>8274</v>
      </c>
      <c r="F1189" s="2">
        <v>82392</v>
      </c>
      <c r="G1189" s="3" t="str">
        <f>HYPERLINK("https://cloud.oebiotech.com/#/lm/network/82392", "https://cloud.oebiotech.com/#/lm/network/82392")</f>
        <v>https://cloud.oebiotech.com/#/lm/network/82392</v>
      </c>
      <c r="H1189" s="2" t="s">
        <v>8275</v>
      </c>
      <c r="I1189" s="2"/>
      <c r="J1189" s="2"/>
      <c r="K1189" s="2">
        <v>53297451</v>
      </c>
      <c r="L1189" s="2"/>
      <c r="M1189" s="2"/>
      <c r="N1189" s="2"/>
      <c r="O1189" s="2"/>
      <c r="P1189" s="2"/>
      <c r="Q1189" s="2"/>
      <c r="R1189" s="2"/>
      <c r="S1189" s="2" t="s">
        <v>8276</v>
      </c>
      <c r="T1189" s="2" t="s">
        <v>8277</v>
      </c>
      <c r="U1189" s="2" t="s">
        <v>331</v>
      </c>
      <c r="V1189" s="2" t="s">
        <v>332</v>
      </c>
      <c r="W1189" s="2" t="s">
        <v>333</v>
      </c>
      <c r="X1189" s="2" t="s">
        <v>147</v>
      </c>
      <c r="Y1189" s="2">
        <v>42.2</v>
      </c>
      <c r="Z1189" s="2">
        <v>19.899999999999999</v>
      </c>
      <c r="AA1189" s="2" t="s">
        <v>163</v>
      </c>
      <c r="AB1189" s="2" t="s">
        <v>8278</v>
      </c>
      <c r="AC1189" s="2">
        <v>3.9573818017042699</v>
      </c>
      <c r="AD1189" s="2"/>
      <c r="AE1189" s="2">
        <v>0.51888826840763702</v>
      </c>
      <c r="AF1189" s="2">
        <v>5459.1273345648096</v>
      </c>
      <c r="AG1189" s="2">
        <v>14780.5531329512</v>
      </c>
      <c r="AH1189" s="4">
        <v>0.36934526640917298</v>
      </c>
      <c r="AI1189" s="4">
        <v>-1.43695800693905</v>
      </c>
      <c r="AJ1189" s="4" t="s">
        <v>62</v>
      </c>
      <c r="AK1189" s="2">
        <v>5.9600842801345498E-2</v>
      </c>
      <c r="AL1189" s="2">
        <v>0.32885706664645697</v>
      </c>
      <c r="AM1189" s="2">
        <v>6411.7895237236498</v>
      </c>
      <c r="AN1189" s="2">
        <v>5785.5424255026901</v>
      </c>
      <c r="AO1189" s="2">
        <v>5814.1391082561904</v>
      </c>
      <c r="AP1189" s="2">
        <v>0.41858887422375202</v>
      </c>
      <c r="AQ1189" s="2">
        <v>1398.04386830972</v>
      </c>
      <c r="AR1189" s="2">
        <v>13344.8304927224</v>
      </c>
      <c r="AS1189" s="2">
        <v>8296.8214741741594</v>
      </c>
      <c r="AT1189" s="2">
        <v>20655.648464192702</v>
      </c>
      <c r="AU1189" s="2">
        <v>8813.5793091156393</v>
      </c>
      <c r="AV1189" s="2">
        <v>8203.0014513545102</v>
      </c>
      <c r="AW1189" s="2">
        <v>31990.801258069601</v>
      </c>
      <c r="AX1189" s="2">
        <v>10723.4668408008</v>
      </c>
    </row>
    <row r="1190" spans="1:50" x14ac:dyDescent="0.25">
      <c r="A1190" s="2" t="s">
        <v>8279</v>
      </c>
      <c r="B1190" s="2">
        <v>706.496861546731</v>
      </c>
      <c r="C1190" s="2">
        <v>7.2197666666666702</v>
      </c>
      <c r="D1190" s="2" t="s">
        <v>51</v>
      </c>
      <c r="E1190" s="2" t="s">
        <v>8280</v>
      </c>
      <c r="F1190" s="2">
        <v>243006</v>
      </c>
      <c r="G1190" s="3" t="str">
        <f>HYPERLINK("https://cloud.oebiotech.com/#/lm/network/243006", "https://cloud.oebiotech.com/#/lm/network/243006")</f>
        <v>https://cloud.oebiotech.com/#/lm/network/243006</v>
      </c>
      <c r="H1190" s="2" t="s">
        <v>8281</v>
      </c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 t="s">
        <v>8282</v>
      </c>
      <c r="T1190" s="2" t="s">
        <v>8283</v>
      </c>
      <c r="U1190" s="2" t="s">
        <v>56</v>
      </c>
      <c r="V1190" s="2" t="s">
        <v>145</v>
      </c>
      <c r="W1190" s="2" t="s">
        <v>187</v>
      </c>
      <c r="X1190" s="2" t="s">
        <v>147</v>
      </c>
      <c r="Y1190" s="2">
        <v>38.1</v>
      </c>
      <c r="Z1190" s="2">
        <v>19.7</v>
      </c>
      <c r="AA1190" s="2" t="s">
        <v>122</v>
      </c>
      <c r="AB1190" s="2" t="s">
        <v>8284</v>
      </c>
      <c r="AC1190" s="2">
        <v>1.98511519485565</v>
      </c>
      <c r="AD1190" s="2"/>
      <c r="AE1190" s="2">
        <v>0.51866155863653596</v>
      </c>
      <c r="AF1190" s="2">
        <v>18292.122644795701</v>
      </c>
      <c r="AG1190" s="2">
        <v>12479.3146435404</v>
      </c>
      <c r="AH1190" s="5">
        <v>1.4657954516968701</v>
      </c>
      <c r="AI1190" s="5">
        <v>0.55168379282240099</v>
      </c>
      <c r="AJ1190" s="5" t="s">
        <v>139</v>
      </c>
      <c r="AK1190" s="2">
        <v>3.2520602012965898E-3</v>
      </c>
      <c r="AL1190" s="2">
        <v>0.1120315017845</v>
      </c>
      <c r="AM1190" s="2">
        <v>17354.1703549347</v>
      </c>
      <c r="AN1190" s="2">
        <v>19649.292995694901</v>
      </c>
      <c r="AO1190" s="2">
        <v>16878.676582007</v>
      </c>
      <c r="AP1190" s="2">
        <v>17850.891926252702</v>
      </c>
      <c r="AQ1190" s="2">
        <v>15235.346388104599</v>
      </c>
      <c r="AR1190" s="2">
        <v>22784.357621780098</v>
      </c>
      <c r="AS1190" s="2">
        <v>10002.295054803601</v>
      </c>
      <c r="AT1190" s="2">
        <v>16837.429493280299</v>
      </c>
      <c r="AU1190" s="2">
        <v>12681.157266966</v>
      </c>
      <c r="AV1190" s="2">
        <v>10435.3660534553</v>
      </c>
      <c r="AW1190" s="2">
        <v>14020.194113138001</v>
      </c>
      <c r="AX1190" s="2">
        <v>10899.4458795994</v>
      </c>
    </row>
    <row r="1191" spans="1:50" x14ac:dyDescent="0.25">
      <c r="A1191" s="2" t="s">
        <v>8285</v>
      </c>
      <c r="B1191" s="2">
        <v>508.34082927761301</v>
      </c>
      <c r="C1191" s="2">
        <v>12.051083333333301</v>
      </c>
      <c r="D1191" s="2" t="s">
        <v>51</v>
      </c>
      <c r="E1191" s="2" t="s">
        <v>8286</v>
      </c>
      <c r="F1191" s="2">
        <v>21206</v>
      </c>
      <c r="G1191" s="3" t="str">
        <f>HYPERLINK("https://cloud.oebiotech.com/#/lm/network/21206", "https://cloud.oebiotech.com/#/lm/network/21206")</f>
        <v>https://cloud.oebiotech.com/#/lm/network/21206</v>
      </c>
      <c r="H1191" s="2" t="s">
        <v>8287</v>
      </c>
      <c r="I1191" s="2">
        <v>62269</v>
      </c>
      <c r="J1191" s="2" t="s">
        <v>8288</v>
      </c>
      <c r="K1191" s="2">
        <v>53480930</v>
      </c>
      <c r="L1191" s="2"/>
      <c r="M1191" s="2"/>
      <c r="N1191" s="2"/>
      <c r="O1191" s="2">
        <v>131691</v>
      </c>
      <c r="P1191" s="2"/>
      <c r="Q1191" s="2"/>
      <c r="R1191" s="2"/>
      <c r="S1191" s="2" t="s">
        <v>8289</v>
      </c>
      <c r="T1191" s="2" t="s">
        <v>8290</v>
      </c>
      <c r="U1191" s="2" t="s">
        <v>56</v>
      </c>
      <c r="V1191" s="2" t="s">
        <v>57</v>
      </c>
      <c r="W1191" s="2" t="s">
        <v>155</v>
      </c>
      <c r="X1191" s="2" t="s">
        <v>83</v>
      </c>
      <c r="Y1191" s="2">
        <v>57.8</v>
      </c>
      <c r="Z1191" s="2">
        <v>2.1100000000000001E-2</v>
      </c>
      <c r="AA1191" s="2" t="s">
        <v>163</v>
      </c>
      <c r="AB1191" s="2" t="s">
        <v>1683</v>
      </c>
      <c r="AC1191" s="2">
        <v>-6.6614058875883203E-2</v>
      </c>
      <c r="AD1191" s="2"/>
      <c r="AE1191" s="2">
        <v>0.518405797043896</v>
      </c>
      <c r="AF1191" s="2">
        <v>51631.375081547798</v>
      </c>
      <c r="AG1191" s="2">
        <v>68864.839794460902</v>
      </c>
      <c r="AH1191" s="4">
        <v>0.74974944014464595</v>
      </c>
      <c r="AI1191" s="4">
        <v>-0.41551955508690303</v>
      </c>
      <c r="AJ1191" s="4" t="s">
        <v>62</v>
      </c>
      <c r="AK1191" s="2">
        <v>0.299627210831799</v>
      </c>
      <c r="AL1191" s="2">
        <v>0.61037838979491599</v>
      </c>
      <c r="AM1191" s="2">
        <v>80034.621388035201</v>
      </c>
      <c r="AN1191" s="2">
        <v>63104.465092343802</v>
      </c>
      <c r="AO1191" s="2">
        <v>38350.937112090003</v>
      </c>
      <c r="AP1191" s="2">
        <v>37635.340754504003</v>
      </c>
      <c r="AQ1191" s="2">
        <v>41233.475806119699</v>
      </c>
      <c r="AR1191" s="2">
        <v>49429.4103361944</v>
      </c>
      <c r="AS1191" s="2">
        <v>32362.2837516131</v>
      </c>
      <c r="AT1191" s="2">
        <v>19135.3205680953</v>
      </c>
      <c r="AU1191" s="2">
        <v>93617.744811092794</v>
      </c>
      <c r="AV1191" s="2">
        <v>90514.673230093103</v>
      </c>
      <c r="AW1191" s="2">
        <v>101845.686903494</v>
      </c>
      <c r="AX1191" s="2">
        <v>75713.329502377295</v>
      </c>
    </row>
    <row r="1192" spans="1:50" x14ac:dyDescent="0.25">
      <c r="A1192" s="2" t="s">
        <v>8291</v>
      </c>
      <c r="B1192" s="2">
        <v>591.46135593746101</v>
      </c>
      <c r="C1192" s="2">
        <v>13.5068</v>
      </c>
      <c r="D1192" s="2" t="s">
        <v>51</v>
      </c>
      <c r="E1192" s="2" t="s">
        <v>8292</v>
      </c>
      <c r="F1192" s="2">
        <v>251649</v>
      </c>
      <c r="G1192" s="3" t="str">
        <f>HYPERLINK("https://cloud.oebiotech.com/#/lm/network/251649", "https://cloud.oebiotech.com/#/lm/network/251649")</f>
        <v>https://cloud.oebiotech.com/#/lm/network/251649</v>
      </c>
      <c r="H1192" s="2" t="s">
        <v>8293</v>
      </c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 t="s">
        <v>8294</v>
      </c>
      <c r="T1192" s="2" t="s">
        <v>8295</v>
      </c>
      <c r="U1192" s="2" t="s">
        <v>56</v>
      </c>
      <c r="V1192" s="2" t="s">
        <v>145</v>
      </c>
      <c r="W1192" s="2" t="s">
        <v>187</v>
      </c>
      <c r="X1192" s="2" t="s">
        <v>83</v>
      </c>
      <c r="Y1192" s="2">
        <v>44.8</v>
      </c>
      <c r="Z1192" s="2">
        <v>0</v>
      </c>
      <c r="AA1192" s="2" t="s">
        <v>259</v>
      </c>
      <c r="AB1192" s="2" t="s">
        <v>8296</v>
      </c>
      <c r="AC1192" s="2">
        <v>-0.94876083891111695</v>
      </c>
      <c r="AD1192" s="2"/>
      <c r="AE1192" s="2">
        <v>0.51818143749866097</v>
      </c>
      <c r="AF1192" s="2">
        <v>53775.422413290697</v>
      </c>
      <c r="AG1192" s="2">
        <v>36869.236679735099</v>
      </c>
      <c r="AH1192" s="5">
        <v>1.4585445009456299</v>
      </c>
      <c r="AI1192" s="5">
        <v>0.54452940427802599</v>
      </c>
      <c r="AJ1192" s="5" t="s">
        <v>139</v>
      </c>
      <c r="AK1192" s="2">
        <v>0.24633347695067201</v>
      </c>
      <c r="AL1192" s="2">
        <v>0.57119796911972998</v>
      </c>
      <c r="AM1192" s="2">
        <v>38511.048800124197</v>
      </c>
      <c r="AN1192" s="2">
        <v>59793.633461991201</v>
      </c>
      <c r="AO1192" s="2">
        <v>93862.034105430503</v>
      </c>
      <c r="AP1192" s="2">
        <v>83765.256051919001</v>
      </c>
      <c r="AQ1192" s="2">
        <v>24901.286964187999</v>
      </c>
      <c r="AR1192" s="2">
        <v>21819.2750960913</v>
      </c>
      <c r="AS1192" s="2">
        <v>22631.4048665105</v>
      </c>
      <c r="AT1192" s="2">
        <v>35246.377694518102</v>
      </c>
      <c r="AU1192" s="2">
        <v>17066.131773992998</v>
      </c>
      <c r="AV1192" s="2">
        <v>48282.110483550197</v>
      </c>
      <c r="AW1192" s="2">
        <v>50030.496444152399</v>
      </c>
      <c r="AX1192" s="2">
        <v>47958.898815686502</v>
      </c>
    </row>
    <row r="1193" spans="1:50" x14ac:dyDescent="0.25">
      <c r="A1193" s="2" t="s">
        <v>8297</v>
      </c>
      <c r="B1193" s="2">
        <v>582.341696796007</v>
      </c>
      <c r="C1193" s="2">
        <v>9.11011666666667</v>
      </c>
      <c r="D1193" s="2" t="s">
        <v>51</v>
      </c>
      <c r="E1193" s="2" t="s">
        <v>8298</v>
      </c>
      <c r="F1193" s="2">
        <v>22496</v>
      </c>
      <c r="G1193" s="3" t="str">
        <f>HYPERLINK("https://cloud.oebiotech.com/#/lm/network/22496", "https://cloud.oebiotech.com/#/lm/network/22496")</f>
        <v>https://cloud.oebiotech.com/#/lm/network/22496</v>
      </c>
      <c r="H1193" s="2"/>
      <c r="I1193" s="2">
        <v>78864</v>
      </c>
      <c r="J1193" s="2" t="s">
        <v>8299</v>
      </c>
      <c r="K1193" s="2">
        <v>52926304</v>
      </c>
      <c r="L1193" s="2"/>
      <c r="M1193" s="2"/>
      <c r="N1193" s="2"/>
      <c r="O1193" s="2"/>
      <c r="P1193" s="2"/>
      <c r="Q1193" s="2"/>
      <c r="R1193" s="2"/>
      <c r="S1193" s="2" t="s">
        <v>8300</v>
      </c>
      <c r="T1193" s="2" t="s">
        <v>8301</v>
      </c>
      <c r="U1193" s="2" t="s">
        <v>56</v>
      </c>
      <c r="V1193" s="2" t="s">
        <v>57</v>
      </c>
      <c r="W1193" s="2" t="s">
        <v>82</v>
      </c>
      <c r="X1193" s="2" t="s">
        <v>59</v>
      </c>
      <c r="Y1193" s="2">
        <v>54.7</v>
      </c>
      <c r="Z1193" s="2">
        <v>82.8</v>
      </c>
      <c r="AA1193" s="2" t="s">
        <v>218</v>
      </c>
      <c r="AB1193" s="2" t="s">
        <v>8302</v>
      </c>
      <c r="AC1193" s="2">
        <v>0.81822419205112396</v>
      </c>
      <c r="AD1193" s="2"/>
      <c r="AE1193" s="2">
        <v>0.51708506845316604</v>
      </c>
      <c r="AF1193" s="2">
        <v>16664.756249778002</v>
      </c>
      <c r="AG1193" s="2">
        <v>9410.2083921180292</v>
      </c>
      <c r="AH1193" s="5">
        <v>1.77092318845313</v>
      </c>
      <c r="AI1193" s="5">
        <v>0.82450163837951196</v>
      </c>
      <c r="AJ1193" s="5" t="s">
        <v>139</v>
      </c>
      <c r="AK1193" s="2">
        <v>2.6914514293715101E-2</v>
      </c>
      <c r="AL1193" s="2">
        <v>0.25289923831018501</v>
      </c>
      <c r="AM1193" s="2">
        <v>13075.5018541851</v>
      </c>
      <c r="AN1193" s="2">
        <v>23405.304263125399</v>
      </c>
      <c r="AO1193" s="2">
        <v>20098.256573186402</v>
      </c>
      <c r="AP1193" s="2">
        <v>14752.3792262201</v>
      </c>
      <c r="AQ1193" s="2">
        <v>10382.8408347324</v>
      </c>
      <c r="AR1193" s="2">
        <v>18274.2547472187</v>
      </c>
      <c r="AS1193" s="2">
        <v>13574.280713548</v>
      </c>
      <c r="AT1193" s="2">
        <v>4334.7395879570104</v>
      </c>
      <c r="AU1193" s="2">
        <v>15954.5932167919</v>
      </c>
      <c r="AV1193" s="2">
        <v>3766.5092118776302</v>
      </c>
      <c r="AW1193" s="2">
        <v>10318.0318985713</v>
      </c>
      <c r="AX1193" s="2">
        <v>8513.0957239623094</v>
      </c>
    </row>
    <row r="1194" spans="1:50" x14ac:dyDescent="0.25">
      <c r="A1194" s="2" t="s">
        <v>8303</v>
      </c>
      <c r="B1194" s="2">
        <v>195.10200007837199</v>
      </c>
      <c r="C1194" s="2">
        <v>8.0245666666666704</v>
      </c>
      <c r="D1194" s="2" t="s">
        <v>51</v>
      </c>
      <c r="E1194" s="2" t="s">
        <v>8304</v>
      </c>
      <c r="F1194" s="2">
        <v>55673</v>
      </c>
      <c r="G1194" s="3" t="str">
        <f>HYPERLINK("https://cloud.oebiotech.com/#/lm/network/55673", "https://cloud.oebiotech.com/#/lm/network/55673")</f>
        <v>https://cloud.oebiotech.com/#/lm/network/55673</v>
      </c>
      <c r="H1194" s="2" t="s">
        <v>8305</v>
      </c>
      <c r="I1194" s="2">
        <v>87329</v>
      </c>
      <c r="J1194" s="2"/>
      <c r="K1194" s="2">
        <v>131751112</v>
      </c>
      <c r="L1194" s="2"/>
      <c r="M1194" s="2"/>
      <c r="N1194" s="2"/>
      <c r="O1194" s="2">
        <v>167948</v>
      </c>
      <c r="P1194" s="2"/>
      <c r="Q1194" s="2"/>
      <c r="R1194" s="2"/>
      <c r="S1194" s="2" t="s">
        <v>8306</v>
      </c>
      <c r="T1194" s="2" t="s">
        <v>8307</v>
      </c>
      <c r="U1194" s="2" t="s">
        <v>266</v>
      </c>
      <c r="V1194" s="2" t="s">
        <v>3994</v>
      </c>
      <c r="W1194" s="2" t="s">
        <v>8308</v>
      </c>
      <c r="X1194" s="2" t="s">
        <v>83</v>
      </c>
      <c r="Y1194" s="2">
        <v>59.9</v>
      </c>
      <c r="Z1194" s="2">
        <v>29.2</v>
      </c>
      <c r="AA1194" s="2" t="s">
        <v>379</v>
      </c>
      <c r="AB1194" s="2" t="s">
        <v>8309</v>
      </c>
      <c r="AC1194" s="2">
        <v>-3.1190712695090101</v>
      </c>
      <c r="AD1194" s="2"/>
      <c r="AE1194" s="2">
        <v>0.51609170170497898</v>
      </c>
      <c r="AF1194" s="2">
        <v>11844.250424411601</v>
      </c>
      <c r="AG1194" s="2">
        <v>5285.4298309024798</v>
      </c>
      <c r="AH1194" s="5">
        <v>2.24092473144974</v>
      </c>
      <c r="AI1194" s="5">
        <v>1.1640941921826</v>
      </c>
      <c r="AJ1194" s="5" t="s">
        <v>139</v>
      </c>
      <c r="AK1194" s="2">
        <v>3.02308687875746E-2</v>
      </c>
      <c r="AL1194" s="2">
        <v>0.260087446182861</v>
      </c>
      <c r="AM1194" s="2">
        <v>15594.390859293801</v>
      </c>
      <c r="AN1194" s="2">
        <v>18683.957773381801</v>
      </c>
      <c r="AO1194" s="2">
        <v>5480.0783975795202</v>
      </c>
      <c r="AP1194" s="2">
        <v>8011.0732720562801</v>
      </c>
      <c r="AQ1194" s="2">
        <v>7413.4185274091697</v>
      </c>
      <c r="AR1194" s="2">
        <v>15882.583716748801</v>
      </c>
      <c r="AS1194" s="2">
        <v>9939.2745121609205</v>
      </c>
      <c r="AT1194" s="2">
        <v>3054.8887695011399</v>
      </c>
      <c r="AU1194" s="2">
        <v>7744.0920640800296</v>
      </c>
      <c r="AV1194" s="2">
        <v>1262.1035153667401</v>
      </c>
      <c r="AW1194" s="2">
        <v>3983.8559319105302</v>
      </c>
      <c r="AX1194" s="2">
        <v>5728.3641923954901</v>
      </c>
    </row>
    <row r="1195" spans="1:50" x14ac:dyDescent="0.25">
      <c r="A1195" s="2" t="s">
        <v>8310</v>
      </c>
      <c r="B1195" s="2">
        <v>337.16816999815802</v>
      </c>
      <c r="C1195" s="2">
        <v>10.2727</v>
      </c>
      <c r="D1195" s="2" t="s">
        <v>51</v>
      </c>
      <c r="E1195" s="2" t="s">
        <v>8311</v>
      </c>
      <c r="F1195" s="2">
        <v>267234</v>
      </c>
      <c r="G1195" s="3" t="str">
        <f>HYPERLINK("https://cloud.oebiotech.com/#/lm/network/267234", "https://cloud.oebiotech.com/#/lm/network/267234")</f>
        <v>https://cloud.oebiotech.com/#/lm/network/267234</v>
      </c>
      <c r="H1195" s="2"/>
      <c r="I1195" s="2">
        <v>45068</v>
      </c>
      <c r="J1195" s="2"/>
      <c r="K1195" s="2">
        <v>448043</v>
      </c>
      <c r="L1195" s="2"/>
      <c r="M1195" s="2"/>
      <c r="N1195" s="2"/>
      <c r="O1195" s="2"/>
      <c r="P1195" s="2"/>
      <c r="Q1195" s="2"/>
      <c r="R1195" s="2"/>
      <c r="S1195" s="2" t="s">
        <v>8312</v>
      </c>
      <c r="T1195" s="2" t="s">
        <v>8313</v>
      </c>
      <c r="U1195" s="2" t="s">
        <v>266</v>
      </c>
      <c r="V1195" s="2" t="s">
        <v>1074</v>
      </c>
      <c r="W1195" s="2" t="s">
        <v>240</v>
      </c>
      <c r="X1195" s="2" t="s">
        <v>147</v>
      </c>
      <c r="Y1195" s="2">
        <v>36</v>
      </c>
      <c r="Z1195" s="2">
        <v>0</v>
      </c>
      <c r="AA1195" s="2" t="s">
        <v>512</v>
      </c>
      <c r="AB1195" s="2" t="s">
        <v>8314</v>
      </c>
      <c r="AC1195" s="2">
        <v>-3.4576504724177801</v>
      </c>
      <c r="AD1195" s="2"/>
      <c r="AE1195" s="2">
        <v>0.51515892395593998</v>
      </c>
      <c r="AF1195" s="2">
        <v>8732.7385990403509</v>
      </c>
      <c r="AG1195" s="2">
        <v>15346.951826730199</v>
      </c>
      <c r="AH1195" s="4">
        <v>0.56902104715219903</v>
      </c>
      <c r="AI1195" s="4">
        <v>-0.81344607845299799</v>
      </c>
      <c r="AJ1195" s="4" t="s">
        <v>62</v>
      </c>
      <c r="AK1195" s="2">
        <v>1.6249301360844098E-2</v>
      </c>
      <c r="AL1195" s="2">
        <v>0.201824481546719</v>
      </c>
      <c r="AM1195" s="2">
        <v>7556.14116091908</v>
      </c>
      <c r="AN1195" s="2">
        <v>9448.0025000393198</v>
      </c>
      <c r="AO1195" s="2">
        <v>5331.7966538545197</v>
      </c>
      <c r="AP1195" s="2">
        <v>14917.715871665599</v>
      </c>
      <c r="AQ1195" s="2">
        <v>7850.26109554699</v>
      </c>
      <c r="AR1195" s="2">
        <v>7292.51431221657</v>
      </c>
      <c r="AS1195" s="2">
        <v>22865.956404376298</v>
      </c>
      <c r="AT1195" s="2">
        <v>18365.999278133801</v>
      </c>
      <c r="AU1195" s="2">
        <v>15237.8283961547</v>
      </c>
      <c r="AV1195" s="2">
        <v>12769.452613490799</v>
      </c>
      <c r="AW1195" s="2">
        <v>11415.40708099</v>
      </c>
      <c r="AX1195" s="2">
        <v>11427.0671872354</v>
      </c>
    </row>
    <row r="1196" spans="1:50" x14ac:dyDescent="0.25">
      <c r="A1196" s="2" t="s">
        <v>8315</v>
      </c>
      <c r="B1196" s="2">
        <v>293.08665368618199</v>
      </c>
      <c r="C1196" s="2">
        <v>2.9428000000000001</v>
      </c>
      <c r="D1196" s="2" t="s">
        <v>51</v>
      </c>
      <c r="E1196" s="2" t="s">
        <v>8316</v>
      </c>
      <c r="F1196" s="2">
        <v>53905</v>
      </c>
      <c r="G1196" s="3" t="str">
        <f>HYPERLINK("https://cloud.oebiotech.com/#/lm/network/53905", "https://cloud.oebiotech.com/#/lm/network/53905")</f>
        <v>https://cloud.oebiotech.com/#/lm/network/53905</v>
      </c>
      <c r="H1196" s="2" t="s">
        <v>8317</v>
      </c>
      <c r="I1196" s="2">
        <v>23723</v>
      </c>
      <c r="J1196" s="2"/>
      <c r="K1196" s="2">
        <v>7020094</v>
      </c>
      <c r="L1196" s="2"/>
      <c r="M1196" s="2"/>
      <c r="N1196" s="2"/>
      <c r="O1196" s="2">
        <v>73925</v>
      </c>
      <c r="P1196" s="2"/>
      <c r="Q1196" s="2"/>
      <c r="R1196" s="2" t="s">
        <v>8318</v>
      </c>
      <c r="S1196" s="2" t="s">
        <v>8319</v>
      </c>
      <c r="T1196" s="2" t="s">
        <v>8320</v>
      </c>
      <c r="U1196" s="2" t="s">
        <v>103</v>
      </c>
      <c r="V1196" s="2" t="s">
        <v>104</v>
      </c>
      <c r="W1196" s="2" t="s">
        <v>105</v>
      </c>
      <c r="X1196" s="2" t="s">
        <v>147</v>
      </c>
      <c r="Y1196" s="2">
        <v>47.1</v>
      </c>
      <c r="Z1196" s="2">
        <v>44.6</v>
      </c>
      <c r="AA1196" s="2" t="s">
        <v>8321</v>
      </c>
      <c r="AB1196" s="2" t="s">
        <v>8322</v>
      </c>
      <c r="AC1196" s="2">
        <v>3.75214230532724</v>
      </c>
      <c r="AD1196" s="2"/>
      <c r="AE1196" s="2">
        <v>0.51481323324883699</v>
      </c>
      <c r="AF1196" s="2">
        <v>7294.9270254837402</v>
      </c>
      <c r="AG1196" s="2">
        <v>45106.793497755403</v>
      </c>
      <c r="AH1196" s="4">
        <v>0.161725683867259</v>
      </c>
      <c r="AI1196" s="4">
        <v>-2.6283792815954299</v>
      </c>
      <c r="AJ1196" s="4" t="s">
        <v>62</v>
      </c>
      <c r="AK1196" s="2">
        <v>0.42308440249435803</v>
      </c>
      <c r="AL1196" s="2">
        <v>0.683406571622166</v>
      </c>
      <c r="AM1196" s="2">
        <v>1244.7562645302</v>
      </c>
      <c r="AN1196" s="2">
        <v>16104.111883330301</v>
      </c>
      <c r="AO1196" s="2">
        <v>26420.693979362299</v>
      </c>
      <c r="AP1196" s="2">
        <v>8.559877937157E-6</v>
      </c>
      <c r="AQ1196" s="2">
        <v>8.559877937157E-6</v>
      </c>
      <c r="AR1196" s="2">
        <v>8.559877937157E-6</v>
      </c>
      <c r="AS1196" s="2">
        <v>8.559877937157E-6</v>
      </c>
      <c r="AT1196" s="2">
        <v>8.559877937157E-6</v>
      </c>
      <c r="AU1196" s="2">
        <v>270277.11919323303</v>
      </c>
      <c r="AV1196" s="2">
        <v>363.64175906015203</v>
      </c>
      <c r="AW1196" s="2">
        <v>8.559877937157E-6</v>
      </c>
      <c r="AX1196" s="2">
        <v>8.559877937157E-6</v>
      </c>
    </row>
    <row r="1197" spans="1:50" x14ac:dyDescent="0.25">
      <c r="A1197" s="2" t="s">
        <v>8323</v>
      </c>
      <c r="B1197" s="2">
        <v>233.15437191181499</v>
      </c>
      <c r="C1197" s="2">
        <v>9.3200333333333294</v>
      </c>
      <c r="D1197" s="2" t="s">
        <v>51</v>
      </c>
      <c r="E1197" s="2" t="s">
        <v>8324</v>
      </c>
      <c r="F1197" s="2">
        <v>255631</v>
      </c>
      <c r="G1197" s="3" t="str">
        <f>HYPERLINK("https://cloud.oebiotech.com/#/lm/network/255631", "https://cloud.oebiotech.com/#/lm/network/255631")</f>
        <v>https://cloud.oebiotech.com/#/lm/network/255631</v>
      </c>
      <c r="H1197" s="2" t="s">
        <v>8325</v>
      </c>
      <c r="I1197" s="2"/>
      <c r="J1197" s="2"/>
      <c r="K1197" s="2">
        <v>5381212</v>
      </c>
      <c r="L1197" s="2"/>
      <c r="M1197" s="2"/>
      <c r="N1197" s="2"/>
      <c r="O1197" s="2"/>
      <c r="P1197" s="2"/>
      <c r="Q1197" s="2"/>
      <c r="R1197" s="2"/>
      <c r="S1197" s="2" t="s">
        <v>8326</v>
      </c>
      <c r="T1197" s="2" t="s">
        <v>8327</v>
      </c>
      <c r="U1197" s="2" t="s">
        <v>266</v>
      </c>
      <c r="V1197" s="2" t="s">
        <v>3994</v>
      </c>
      <c r="W1197" s="2" t="s">
        <v>3995</v>
      </c>
      <c r="X1197" s="2" t="s">
        <v>83</v>
      </c>
      <c r="Y1197" s="2">
        <v>57.9</v>
      </c>
      <c r="Z1197" s="2">
        <v>0</v>
      </c>
      <c r="AA1197" s="2" t="s">
        <v>156</v>
      </c>
      <c r="AB1197" s="2" t="s">
        <v>8328</v>
      </c>
      <c r="AC1197" s="2">
        <v>3.0604696951047101</v>
      </c>
      <c r="AD1197" s="2"/>
      <c r="AE1197" s="2">
        <v>0.51469132712022503</v>
      </c>
      <c r="AF1197" s="2">
        <v>12094.9950412872</v>
      </c>
      <c r="AG1197" s="2">
        <v>6334.8738930405898</v>
      </c>
      <c r="AH1197" s="5">
        <v>1.9092716359475901</v>
      </c>
      <c r="AI1197" s="5">
        <v>0.93302237249347297</v>
      </c>
      <c r="AJ1197" s="5" t="s">
        <v>139</v>
      </c>
      <c r="AK1197" s="2">
        <v>1.5895504965922101E-2</v>
      </c>
      <c r="AL1197" s="2">
        <v>0.199280416991126</v>
      </c>
      <c r="AM1197" s="2">
        <v>15520.5533612616</v>
      </c>
      <c r="AN1197" s="2">
        <v>17997.865703519099</v>
      </c>
      <c r="AO1197" s="2">
        <v>9249.3115597228807</v>
      </c>
      <c r="AP1197" s="2">
        <v>7914.6587180903498</v>
      </c>
      <c r="AQ1197" s="2">
        <v>8519.0124438100702</v>
      </c>
      <c r="AR1197" s="2">
        <v>13368.568461319501</v>
      </c>
      <c r="AS1197" s="2">
        <v>8100.2513251916598</v>
      </c>
      <c r="AT1197" s="2">
        <v>5250.44082078881</v>
      </c>
      <c r="AU1197" s="2">
        <v>6780.8807139988903</v>
      </c>
      <c r="AV1197" s="2">
        <v>4279.1663695447596</v>
      </c>
      <c r="AW1197" s="2">
        <v>3420.5038799996</v>
      </c>
      <c r="AX1197" s="2">
        <v>10178.0002487198</v>
      </c>
    </row>
    <row r="1198" spans="1:50" x14ac:dyDescent="0.25">
      <c r="A1198" s="2" t="s">
        <v>8329</v>
      </c>
      <c r="B1198" s="2">
        <v>381.19207113029898</v>
      </c>
      <c r="C1198" s="2">
        <v>7.0694833333333298</v>
      </c>
      <c r="D1198" s="2" t="s">
        <v>51</v>
      </c>
      <c r="E1198" s="2" t="s">
        <v>8330</v>
      </c>
      <c r="F1198" s="2">
        <v>3880</v>
      </c>
      <c r="G1198" s="3" t="str">
        <f>HYPERLINK("https://cloud.oebiotech.com/#/lm/network/3880", "https://cloud.oebiotech.com/#/lm/network/3880")</f>
        <v>https://cloud.oebiotech.com/#/lm/network/3880</v>
      </c>
      <c r="H1198" s="2" t="s">
        <v>8331</v>
      </c>
      <c r="I1198" s="2"/>
      <c r="J1198" s="2" t="s">
        <v>8332</v>
      </c>
      <c r="K1198" s="2">
        <v>53481460</v>
      </c>
      <c r="L1198" s="2"/>
      <c r="M1198" s="2"/>
      <c r="N1198" s="2"/>
      <c r="O1198" s="2"/>
      <c r="P1198" s="2"/>
      <c r="Q1198" s="2"/>
      <c r="R1198" s="2"/>
      <c r="S1198" s="2" t="s">
        <v>8333</v>
      </c>
      <c r="T1198" s="2" t="s">
        <v>8334</v>
      </c>
      <c r="U1198" s="2" t="s">
        <v>56</v>
      </c>
      <c r="V1198" s="2" t="s">
        <v>145</v>
      </c>
      <c r="W1198" s="2" t="s">
        <v>187</v>
      </c>
      <c r="X1198" s="2" t="s">
        <v>83</v>
      </c>
      <c r="Y1198" s="2">
        <v>46.4</v>
      </c>
      <c r="Z1198" s="2">
        <v>0</v>
      </c>
      <c r="AA1198" s="2" t="s">
        <v>163</v>
      </c>
      <c r="AB1198" s="2" t="s">
        <v>7807</v>
      </c>
      <c r="AC1198" s="2">
        <v>0.50827762831758505</v>
      </c>
      <c r="AD1198" s="2"/>
      <c r="AE1198" s="2">
        <v>0.51345911543077405</v>
      </c>
      <c r="AF1198" s="2">
        <v>17564.170562004201</v>
      </c>
      <c r="AG1198" s="2">
        <v>10238.276567360501</v>
      </c>
      <c r="AH1198" s="5">
        <v>1.71553976359639</v>
      </c>
      <c r="AI1198" s="5">
        <v>0.77866256575478299</v>
      </c>
      <c r="AJ1198" s="5" t="s">
        <v>139</v>
      </c>
      <c r="AK1198" s="2">
        <v>4.5242007033845899E-2</v>
      </c>
      <c r="AL1198" s="2">
        <v>0.30146105023562703</v>
      </c>
      <c r="AM1198" s="2">
        <v>13287.3107930802</v>
      </c>
      <c r="AN1198" s="2">
        <v>24357.1439407125</v>
      </c>
      <c r="AO1198" s="2">
        <v>22090.229251561999</v>
      </c>
      <c r="AP1198" s="2">
        <v>15730.361769319101</v>
      </c>
      <c r="AQ1198" s="2">
        <v>14603.577420963</v>
      </c>
      <c r="AR1198" s="2">
        <v>15316.4001963883</v>
      </c>
      <c r="AS1198" s="2">
        <v>15906.451025545901</v>
      </c>
      <c r="AT1198" s="2">
        <v>5153.1736172136698</v>
      </c>
      <c r="AU1198" s="2">
        <v>20313.808015705599</v>
      </c>
      <c r="AV1198" s="2">
        <v>4645.5950715037297</v>
      </c>
      <c r="AW1198" s="2">
        <v>6678.5974496287599</v>
      </c>
      <c r="AX1198" s="2">
        <v>8732.0342245654901</v>
      </c>
    </row>
    <row r="1199" spans="1:50" x14ac:dyDescent="0.25">
      <c r="A1199" s="2" t="s">
        <v>8335</v>
      </c>
      <c r="B1199" s="2">
        <v>515.21164065728101</v>
      </c>
      <c r="C1199" s="2">
        <v>2.8015666666666701</v>
      </c>
      <c r="D1199" s="2" t="s">
        <v>51</v>
      </c>
      <c r="E1199" s="2" t="s">
        <v>8336</v>
      </c>
      <c r="F1199" s="2">
        <v>207734</v>
      </c>
      <c r="G1199" s="3" t="str">
        <f>HYPERLINK("https://cloud.oebiotech.com/#/lm/network/207734", "https://cloud.oebiotech.com/#/lm/network/207734")</f>
        <v>https://cloud.oebiotech.com/#/lm/network/207734</v>
      </c>
      <c r="H1199" s="2" t="s">
        <v>8337</v>
      </c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 t="s">
        <v>8338</v>
      </c>
      <c r="T1199" s="2" t="s">
        <v>8339</v>
      </c>
      <c r="U1199" s="2" t="s">
        <v>103</v>
      </c>
      <c r="V1199" s="2" t="s">
        <v>1372</v>
      </c>
      <c r="W1199" s="2" t="s">
        <v>1373</v>
      </c>
      <c r="X1199" s="2" t="s">
        <v>59</v>
      </c>
      <c r="Y1199" s="2">
        <v>53.6</v>
      </c>
      <c r="Z1199" s="2">
        <v>77.599999999999994</v>
      </c>
      <c r="AA1199" s="2" t="s">
        <v>95</v>
      </c>
      <c r="AB1199" s="2" t="s">
        <v>8340</v>
      </c>
      <c r="AC1199" s="2">
        <v>-1.49707761411047</v>
      </c>
      <c r="AD1199" s="2"/>
      <c r="AE1199" s="2">
        <v>0.51336955229556902</v>
      </c>
      <c r="AF1199" s="2">
        <v>2131.54277191239</v>
      </c>
      <c r="AG1199" s="2">
        <v>11033.254581433701</v>
      </c>
      <c r="AH1199" s="4">
        <v>0.193192566724532</v>
      </c>
      <c r="AI1199" s="4">
        <v>-2.3718885087673001</v>
      </c>
      <c r="AJ1199" s="4" t="s">
        <v>62</v>
      </c>
      <c r="AK1199" s="2">
        <v>0.16029991791343201</v>
      </c>
      <c r="AL1199" s="2">
        <v>0.48309675769139299</v>
      </c>
      <c r="AM1199" s="2">
        <v>641.955172384001</v>
      </c>
      <c r="AN1199" s="2">
        <v>8.559877937157E-6</v>
      </c>
      <c r="AO1199" s="2">
        <v>2014.6200631194999</v>
      </c>
      <c r="AP1199" s="2">
        <v>1804.8617741098601</v>
      </c>
      <c r="AQ1199" s="2">
        <v>7852.6376770255301</v>
      </c>
      <c r="AR1199" s="2">
        <v>475.18193627555502</v>
      </c>
      <c r="AS1199" s="2">
        <v>5258.4731768012598</v>
      </c>
      <c r="AT1199" s="2">
        <v>3473.2862878337</v>
      </c>
      <c r="AU1199" s="2">
        <v>2614.7698359921301</v>
      </c>
      <c r="AV1199" s="2">
        <v>8441.7484993537491</v>
      </c>
      <c r="AW1199" s="2">
        <v>6978.6163438147296</v>
      </c>
      <c r="AX1199" s="2">
        <v>39432.633344806804</v>
      </c>
    </row>
    <row r="1200" spans="1:50" x14ac:dyDescent="0.25">
      <c r="A1200" s="2" t="s">
        <v>8341</v>
      </c>
      <c r="B1200" s="2">
        <v>260.08861775832003</v>
      </c>
      <c r="C1200" s="2">
        <v>0.72640000000000005</v>
      </c>
      <c r="D1200" s="2" t="s">
        <v>51</v>
      </c>
      <c r="E1200" s="2" t="s">
        <v>8342</v>
      </c>
      <c r="F1200" s="2">
        <v>53804</v>
      </c>
      <c r="G1200" s="3" t="str">
        <f>HYPERLINK("https://cloud.oebiotech.com/#/lm/network/53804", "https://cloud.oebiotech.com/#/lm/network/53804")</f>
        <v>https://cloud.oebiotech.com/#/lm/network/53804</v>
      </c>
      <c r="H1200" s="2" t="s">
        <v>8343</v>
      </c>
      <c r="I1200" s="2">
        <v>85681</v>
      </c>
      <c r="J1200" s="2"/>
      <c r="K1200" s="2">
        <v>131750735</v>
      </c>
      <c r="L1200" s="2"/>
      <c r="M1200" s="2"/>
      <c r="N1200" s="2"/>
      <c r="O1200" s="2"/>
      <c r="P1200" s="2"/>
      <c r="Q1200" s="2"/>
      <c r="R1200" s="2"/>
      <c r="S1200" s="2" t="s">
        <v>8344</v>
      </c>
      <c r="T1200" s="2" t="s">
        <v>8345</v>
      </c>
      <c r="U1200" s="2" t="s">
        <v>103</v>
      </c>
      <c r="V1200" s="2" t="s">
        <v>104</v>
      </c>
      <c r="W1200" s="2" t="s">
        <v>105</v>
      </c>
      <c r="X1200" s="2" t="s">
        <v>69</v>
      </c>
      <c r="Y1200" s="2">
        <v>55.8</v>
      </c>
      <c r="Z1200" s="2">
        <v>85.1</v>
      </c>
      <c r="AA1200" s="2" t="s">
        <v>163</v>
      </c>
      <c r="AB1200" s="2" t="s">
        <v>8346</v>
      </c>
      <c r="AC1200" s="2">
        <v>-0.73161759620419298</v>
      </c>
      <c r="AD1200" s="2"/>
      <c r="AE1200" s="2">
        <v>0.51279413264479801</v>
      </c>
      <c r="AF1200" s="2">
        <v>8459.0356053862506</v>
      </c>
      <c r="AG1200" s="2">
        <v>23777.3075371991</v>
      </c>
      <c r="AH1200" s="4">
        <v>0.35576086956659297</v>
      </c>
      <c r="AI1200" s="4">
        <v>-1.4910202587814001</v>
      </c>
      <c r="AJ1200" s="4" t="s">
        <v>62</v>
      </c>
      <c r="AK1200" s="2">
        <v>0.470571515622766</v>
      </c>
      <c r="AL1200" s="2">
        <v>0.71745842019834605</v>
      </c>
      <c r="AM1200" s="2">
        <v>20669.675200732101</v>
      </c>
      <c r="AN1200" s="2">
        <v>8.559877937157E-6</v>
      </c>
      <c r="AO1200" s="2">
        <v>711.35030694149805</v>
      </c>
      <c r="AP1200" s="2">
        <v>1777.7121774996001</v>
      </c>
      <c r="AQ1200" s="2">
        <v>15916.793794974001</v>
      </c>
      <c r="AR1200" s="2">
        <v>11678.6821436104</v>
      </c>
      <c r="AS1200" s="2">
        <v>8.559877937157E-6</v>
      </c>
      <c r="AT1200" s="2">
        <v>1556.6831357221699</v>
      </c>
      <c r="AU1200" s="2">
        <v>4616.1047529764601</v>
      </c>
      <c r="AV1200" s="2">
        <v>123829.46457988099</v>
      </c>
      <c r="AW1200" s="2">
        <v>8.559877937157E-6</v>
      </c>
      <c r="AX1200" s="2">
        <v>12661.592737495001</v>
      </c>
    </row>
    <row r="1201" spans="1:50" x14ac:dyDescent="0.25">
      <c r="A1201" s="2" t="s">
        <v>8347</v>
      </c>
      <c r="B1201" s="2">
        <v>348.13164658823501</v>
      </c>
      <c r="C1201" s="2">
        <v>1.5076000000000001</v>
      </c>
      <c r="D1201" s="2" t="s">
        <v>51</v>
      </c>
      <c r="E1201" s="2" t="s">
        <v>8348</v>
      </c>
      <c r="F1201" s="2">
        <v>54121</v>
      </c>
      <c r="G1201" s="3" t="str">
        <f>HYPERLINK("https://cloud.oebiotech.com/#/lm/network/54121", "https://cloud.oebiotech.com/#/lm/network/54121")</f>
        <v>https://cloud.oebiotech.com/#/lm/network/54121</v>
      </c>
      <c r="H1201" s="2" t="s">
        <v>8349</v>
      </c>
      <c r="I1201" s="2"/>
      <c r="J1201" s="2"/>
      <c r="K1201" s="2">
        <v>19786231</v>
      </c>
      <c r="L1201" s="2"/>
      <c r="M1201" s="2"/>
      <c r="N1201" s="2"/>
      <c r="O1201" s="2"/>
      <c r="P1201" s="2"/>
      <c r="Q1201" s="2"/>
      <c r="R1201" s="2"/>
      <c r="S1201" s="2" t="s">
        <v>8350</v>
      </c>
      <c r="T1201" s="2" t="s">
        <v>8351</v>
      </c>
      <c r="U1201" s="2" t="s">
        <v>103</v>
      </c>
      <c r="V1201" s="2" t="s">
        <v>104</v>
      </c>
      <c r="W1201" s="2" t="s">
        <v>105</v>
      </c>
      <c r="X1201" s="2" t="s">
        <v>147</v>
      </c>
      <c r="Y1201" s="2">
        <v>42.8</v>
      </c>
      <c r="Z1201" s="2">
        <v>20.2</v>
      </c>
      <c r="AA1201" s="2" t="s">
        <v>395</v>
      </c>
      <c r="AB1201" s="2" t="s">
        <v>8352</v>
      </c>
      <c r="AC1201" s="2">
        <v>-1.1893889286606401</v>
      </c>
      <c r="AD1201" s="2"/>
      <c r="AE1201" s="2">
        <v>0.51266043565611397</v>
      </c>
      <c r="AF1201" s="2">
        <v>1185.87442623846</v>
      </c>
      <c r="AG1201" s="2">
        <v>29569.2484922697</v>
      </c>
      <c r="AH1201" s="4">
        <v>4.0104990377029102E-2</v>
      </c>
      <c r="AI1201" s="4">
        <v>-4.6400744233129698</v>
      </c>
      <c r="AJ1201" s="4" t="s">
        <v>62</v>
      </c>
      <c r="AK1201" s="2">
        <v>0.35710000353735399</v>
      </c>
      <c r="AL1201" s="2">
        <v>0.64449606579735297</v>
      </c>
      <c r="AM1201" s="2">
        <v>249.46651394892601</v>
      </c>
      <c r="AN1201" s="2">
        <v>3223.29069622422</v>
      </c>
      <c r="AO1201" s="2">
        <v>3642.4893215779698</v>
      </c>
      <c r="AP1201" s="2">
        <v>8.559877937157E-6</v>
      </c>
      <c r="AQ1201" s="2">
        <v>8.559877937157E-6</v>
      </c>
      <c r="AR1201" s="2">
        <v>8.559877937157E-6</v>
      </c>
      <c r="AS1201" s="2">
        <v>8.559877937157E-6</v>
      </c>
      <c r="AT1201" s="2">
        <v>8.559877937157E-6</v>
      </c>
      <c r="AU1201" s="2">
        <v>176523.955379299</v>
      </c>
      <c r="AV1201" s="2">
        <v>891.53554007964703</v>
      </c>
      <c r="AW1201" s="2">
        <v>8.559877937157E-6</v>
      </c>
      <c r="AX1201" s="2">
        <v>8.559877937157E-6</v>
      </c>
    </row>
    <row r="1202" spans="1:50" x14ac:dyDescent="0.25">
      <c r="A1202" s="2" t="s">
        <v>8353</v>
      </c>
      <c r="B1202" s="2">
        <v>221.11794727630999</v>
      </c>
      <c r="C1202" s="2">
        <v>5.0177166666666704</v>
      </c>
      <c r="D1202" s="2" t="s">
        <v>51</v>
      </c>
      <c r="E1202" s="2" t="s">
        <v>8354</v>
      </c>
      <c r="F1202" s="2">
        <v>211389</v>
      </c>
      <c r="G1202" s="3" t="str">
        <f>HYPERLINK("https://cloud.oebiotech.com/#/lm/network/211389", "https://cloud.oebiotech.com/#/lm/network/211389")</f>
        <v>https://cloud.oebiotech.com/#/lm/network/211389</v>
      </c>
      <c r="H1202" s="2" t="s">
        <v>8355</v>
      </c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 t="s">
        <v>8356</v>
      </c>
      <c r="T1202" s="2" t="s">
        <v>8357</v>
      </c>
      <c r="U1202" s="2" t="s">
        <v>56</v>
      </c>
      <c r="V1202" s="2" t="s">
        <v>3215</v>
      </c>
      <c r="W1202" s="2" t="s">
        <v>4174</v>
      </c>
      <c r="X1202" s="2" t="s">
        <v>147</v>
      </c>
      <c r="Y1202" s="2">
        <v>46.3</v>
      </c>
      <c r="Z1202" s="2">
        <v>42</v>
      </c>
      <c r="AA1202" s="2" t="s">
        <v>156</v>
      </c>
      <c r="AB1202" s="2" t="s">
        <v>8216</v>
      </c>
      <c r="AC1202" s="2">
        <v>3.0508535910314301</v>
      </c>
      <c r="AD1202" s="2"/>
      <c r="AE1202" s="2">
        <v>0.51260996929557701</v>
      </c>
      <c r="AF1202" s="2">
        <v>19690.5765390872</v>
      </c>
      <c r="AG1202" s="2">
        <v>12764.521346458399</v>
      </c>
      <c r="AH1202" s="5">
        <v>1.54260202984818</v>
      </c>
      <c r="AI1202" s="5">
        <v>0.62536591439118905</v>
      </c>
      <c r="AJ1202" s="5" t="s">
        <v>139</v>
      </c>
      <c r="AK1202" s="2">
        <v>3.0648947585800002E-2</v>
      </c>
      <c r="AL1202" s="2">
        <v>0.26106571279324903</v>
      </c>
      <c r="AM1202" s="2">
        <v>17476.986419045999</v>
      </c>
      <c r="AN1202" s="2">
        <v>29577.276400886702</v>
      </c>
      <c r="AO1202" s="2">
        <v>17391.461801946502</v>
      </c>
      <c r="AP1202" s="2">
        <v>21140.247907210702</v>
      </c>
      <c r="AQ1202" s="2">
        <v>14660.465201118701</v>
      </c>
      <c r="AR1202" s="2">
        <v>17897.021504314602</v>
      </c>
      <c r="AS1202" s="2">
        <v>18545.737933853401</v>
      </c>
      <c r="AT1202" s="2">
        <v>13196.1001337589</v>
      </c>
      <c r="AU1202" s="2">
        <v>15696.033834366899</v>
      </c>
      <c r="AV1202" s="2">
        <v>6426.8311239536297</v>
      </c>
      <c r="AW1202" s="2">
        <v>10208.2735627602</v>
      </c>
      <c r="AX1202" s="2">
        <v>12514.1514900576</v>
      </c>
    </row>
    <row r="1203" spans="1:50" x14ac:dyDescent="0.25">
      <c r="A1203" s="2" t="s">
        <v>8358</v>
      </c>
      <c r="B1203" s="2">
        <v>812.54469045326096</v>
      </c>
      <c r="C1203" s="2">
        <v>10.885066666666701</v>
      </c>
      <c r="D1203" s="2" t="s">
        <v>51</v>
      </c>
      <c r="E1203" s="2" t="s">
        <v>8359</v>
      </c>
      <c r="F1203" s="2">
        <v>136362</v>
      </c>
      <c r="G1203" s="3" t="str">
        <f>HYPERLINK("https://cloud.oebiotech.com/#/lm/network/136362", "https://cloud.oebiotech.com/#/lm/network/136362")</f>
        <v>https://cloud.oebiotech.com/#/lm/network/136362</v>
      </c>
      <c r="H1203" s="2" t="s">
        <v>8360</v>
      </c>
      <c r="I1203" s="2"/>
      <c r="J1203" s="2"/>
      <c r="K1203" s="2">
        <v>131823340</v>
      </c>
      <c r="L1203" s="2"/>
      <c r="M1203" s="2"/>
      <c r="N1203" s="2"/>
      <c r="O1203" s="2"/>
      <c r="P1203" s="2"/>
      <c r="Q1203" s="2"/>
      <c r="R1203" s="2"/>
      <c r="S1203" s="2" t="s">
        <v>8361</v>
      </c>
      <c r="T1203" s="2" t="s">
        <v>8362</v>
      </c>
      <c r="U1203" s="2" t="s">
        <v>56</v>
      </c>
      <c r="V1203" s="2" t="s">
        <v>57</v>
      </c>
      <c r="W1203" s="2" t="s">
        <v>155</v>
      </c>
      <c r="X1203" s="2" t="s">
        <v>83</v>
      </c>
      <c r="Y1203" s="2">
        <v>41.5</v>
      </c>
      <c r="Z1203" s="2">
        <v>0</v>
      </c>
      <c r="AA1203" s="2" t="s">
        <v>218</v>
      </c>
      <c r="AB1203" s="2" t="s">
        <v>8363</v>
      </c>
      <c r="AC1203" s="2">
        <v>-2.2812270852990799E-2</v>
      </c>
      <c r="AD1203" s="2"/>
      <c r="AE1203" s="2">
        <v>0.512118451449048</v>
      </c>
      <c r="AF1203" s="2">
        <v>8239.4061667347905</v>
      </c>
      <c r="AG1203" s="2">
        <v>2688.6460549603198</v>
      </c>
      <c r="AH1203" s="5">
        <v>3.06451871994597</v>
      </c>
      <c r="AI1203" s="5">
        <v>1.6156605176788099</v>
      </c>
      <c r="AJ1203" s="5" t="s">
        <v>139</v>
      </c>
      <c r="AK1203" s="2">
        <v>8.6460012547284904E-3</v>
      </c>
      <c r="AL1203" s="2">
        <v>0.15141979188590901</v>
      </c>
      <c r="AM1203" s="2">
        <v>10659.2253335062</v>
      </c>
      <c r="AN1203" s="2">
        <v>14130.377748892901</v>
      </c>
      <c r="AO1203" s="2">
        <v>8743.4281842498403</v>
      </c>
      <c r="AP1203" s="2">
        <v>4206.2539680862601</v>
      </c>
      <c r="AQ1203" s="2">
        <v>6793.5523746353301</v>
      </c>
      <c r="AR1203" s="2">
        <v>4903.5993910382304</v>
      </c>
      <c r="AS1203" s="2">
        <v>1993.36019836843</v>
      </c>
      <c r="AT1203" s="2">
        <v>85.948552614386998</v>
      </c>
      <c r="AU1203" s="2">
        <v>2725.6969690144501</v>
      </c>
      <c r="AV1203" s="2">
        <v>5467.67236716971</v>
      </c>
      <c r="AW1203" s="2">
        <v>1969.75282752004</v>
      </c>
      <c r="AX1203" s="2">
        <v>3889.4454150749102</v>
      </c>
    </row>
    <row r="1204" spans="1:50" x14ac:dyDescent="0.25">
      <c r="A1204" s="2" t="s">
        <v>8364</v>
      </c>
      <c r="B1204" s="2">
        <v>231.00564903888801</v>
      </c>
      <c r="C1204" s="2">
        <v>6.4604833333333298</v>
      </c>
      <c r="D1204" s="2" t="s">
        <v>51</v>
      </c>
      <c r="E1204" s="2" t="s">
        <v>8365</v>
      </c>
      <c r="F1204" s="2">
        <v>201095</v>
      </c>
      <c r="G1204" s="3" t="str">
        <f>HYPERLINK("https://cloud.oebiotech.com/#/lm/network/201095", "https://cloud.oebiotech.com/#/lm/network/201095")</f>
        <v>https://cloud.oebiotech.com/#/lm/network/201095</v>
      </c>
      <c r="H1204" s="2" t="s">
        <v>8366</v>
      </c>
      <c r="I1204" s="2"/>
      <c r="J1204" s="2"/>
      <c r="K1204" s="2">
        <v>15556753</v>
      </c>
      <c r="L1204" s="2"/>
      <c r="M1204" s="2"/>
      <c r="N1204" s="2"/>
      <c r="O1204" s="2"/>
      <c r="P1204" s="2"/>
      <c r="Q1204" s="2"/>
      <c r="R1204" s="2"/>
      <c r="S1204" s="2" t="s">
        <v>8367</v>
      </c>
      <c r="T1204" s="2" t="s">
        <v>8368</v>
      </c>
      <c r="U1204" s="2" t="s">
        <v>610</v>
      </c>
      <c r="V1204" s="2" t="s">
        <v>611</v>
      </c>
      <c r="W1204" s="2" t="s">
        <v>8369</v>
      </c>
      <c r="X1204" s="2" t="s">
        <v>147</v>
      </c>
      <c r="Y1204" s="2">
        <v>39.9</v>
      </c>
      <c r="Z1204" s="2">
        <v>7.44</v>
      </c>
      <c r="AA1204" s="2" t="s">
        <v>218</v>
      </c>
      <c r="AB1204" s="2" t="s">
        <v>8370</v>
      </c>
      <c r="AC1204" s="2">
        <v>-1.28293173777138</v>
      </c>
      <c r="AD1204" s="2"/>
      <c r="AE1204" s="2">
        <v>0.511217700527552</v>
      </c>
      <c r="AF1204" s="2">
        <v>18570.256024406401</v>
      </c>
      <c r="AG1204" s="2">
        <v>24118.157073110498</v>
      </c>
      <c r="AH1204" s="4">
        <v>0.76996994289876597</v>
      </c>
      <c r="AI1204" s="4">
        <v>-0.37712596606328103</v>
      </c>
      <c r="AJ1204" s="4" t="s">
        <v>62</v>
      </c>
      <c r="AK1204" s="2">
        <v>1.29157296094864E-2</v>
      </c>
      <c r="AL1204" s="2">
        <v>0.17992134285123801</v>
      </c>
      <c r="AM1204" s="2">
        <v>15028.1727649406</v>
      </c>
      <c r="AN1204" s="2">
        <v>17721.651619420001</v>
      </c>
      <c r="AO1204" s="2">
        <v>20854.1802860438</v>
      </c>
      <c r="AP1204" s="2">
        <v>22561.027539747502</v>
      </c>
      <c r="AQ1204" s="2">
        <v>19212.7702411721</v>
      </c>
      <c r="AR1204" s="2">
        <v>16043.733695114301</v>
      </c>
      <c r="AS1204" s="2">
        <v>22158.127494137902</v>
      </c>
      <c r="AT1204" s="2">
        <v>26188.061578963701</v>
      </c>
      <c r="AU1204" s="2">
        <v>18265.519913472799</v>
      </c>
      <c r="AV1204" s="2">
        <v>27146.831052845599</v>
      </c>
      <c r="AW1204" s="2">
        <v>23915.737860503301</v>
      </c>
      <c r="AX1204" s="2">
        <v>27034.6645387399</v>
      </c>
    </row>
    <row r="1205" spans="1:50" x14ac:dyDescent="0.25">
      <c r="A1205" s="2" t="s">
        <v>8371</v>
      </c>
      <c r="B1205" s="2">
        <v>269.22709399852101</v>
      </c>
      <c r="C1205" s="2">
        <v>12.651666666666699</v>
      </c>
      <c r="D1205" s="2" t="s">
        <v>51</v>
      </c>
      <c r="E1205" s="2" t="s">
        <v>8372</v>
      </c>
      <c r="F1205" s="2">
        <v>37368</v>
      </c>
      <c r="G1205" s="3" t="str">
        <f>HYPERLINK("https://cloud.oebiotech.com/#/lm/network/37368", "https://cloud.oebiotech.com/#/lm/network/37368")</f>
        <v>https://cloud.oebiotech.com/#/lm/network/37368</v>
      </c>
      <c r="H1205" s="2" t="s">
        <v>8373</v>
      </c>
      <c r="I1205" s="2"/>
      <c r="J1205" s="2" t="s">
        <v>8374</v>
      </c>
      <c r="K1205" s="2">
        <v>445354</v>
      </c>
      <c r="L1205" s="2" t="s">
        <v>8375</v>
      </c>
      <c r="M1205" s="2" t="s">
        <v>8376</v>
      </c>
      <c r="N1205" s="2" t="s">
        <v>8377</v>
      </c>
      <c r="O1205" s="2">
        <v>17336</v>
      </c>
      <c r="P1205" s="2" t="s">
        <v>8378</v>
      </c>
      <c r="Q1205" s="2" t="s">
        <v>8379</v>
      </c>
      <c r="R1205" s="2" t="s">
        <v>8380</v>
      </c>
      <c r="S1205" s="2" t="s">
        <v>8381</v>
      </c>
      <c r="T1205" s="2" t="s">
        <v>8382</v>
      </c>
      <c r="U1205" s="2" t="s">
        <v>56</v>
      </c>
      <c r="V1205" s="2" t="s">
        <v>177</v>
      </c>
      <c r="W1205" s="2" t="s">
        <v>3987</v>
      </c>
      <c r="X1205" s="2" t="s">
        <v>69</v>
      </c>
      <c r="Y1205" s="2">
        <v>66.099999999999994</v>
      </c>
      <c r="Z1205" s="2">
        <v>86.8</v>
      </c>
      <c r="AA1205" s="2" t="s">
        <v>156</v>
      </c>
      <c r="AB1205" s="2" t="s">
        <v>8383</v>
      </c>
      <c r="AC1205" s="2">
        <v>2.5038175541240801</v>
      </c>
      <c r="AD1205" s="2"/>
      <c r="AE1205" s="2">
        <v>0.51116119186724696</v>
      </c>
      <c r="AF1205" s="2">
        <v>56996.074754528701</v>
      </c>
      <c r="AG1205" s="2">
        <v>67601.133034495302</v>
      </c>
      <c r="AH1205" s="4">
        <v>0.84312306903857603</v>
      </c>
      <c r="AI1205" s="4">
        <v>-0.24618486095296299</v>
      </c>
      <c r="AJ1205" s="4" t="s">
        <v>62</v>
      </c>
      <c r="AK1205" s="2">
        <v>0.57084144963054495</v>
      </c>
      <c r="AL1205" s="2">
        <v>0.78325289930816699</v>
      </c>
      <c r="AM1205" s="2">
        <v>45081.453054880098</v>
      </c>
      <c r="AN1205" s="2">
        <v>70440.613234604898</v>
      </c>
      <c r="AO1205" s="2">
        <v>33947.6613352411</v>
      </c>
      <c r="AP1205" s="2">
        <v>93191.322246455995</v>
      </c>
      <c r="AQ1205" s="2">
        <v>20179.886840892399</v>
      </c>
      <c r="AR1205" s="2">
        <v>79135.511815097998</v>
      </c>
      <c r="AS1205" s="2">
        <v>60920.7768171758</v>
      </c>
      <c r="AT1205" s="2">
        <v>57100.432072924297</v>
      </c>
      <c r="AU1205" s="2">
        <v>29735.532403019901</v>
      </c>
      <c r="AV1205" s="2">
        <v>66857.020465206602</v>
      </c>
      <c r="AW1205" s="2">
        <v>132027.91966154301</v>
      </c>
      <c r="AX1205" s="2">
        <v>58965.116787102103</v>
      </c>
    </row>
    <row r="1206" spans="1:50" x14ac:dyDescent="0.25">
      <c r="A1206" s="2" t="s">
        <v>8384</v>
      </c>
      <c r="B1206" s="2">
        <v>472.229368060681</v>
      </c>
      <c r="C1206" s="2">
        <v>3.3592499999999998</v>
      </c>
      <c r="D1206" s="2" t="s">
        <v>51</v>
      </c>
      <c r="E1206" s="2" t="s">
        <v>8385</v>
      </c>
      <c r="F1206" s="2">
        <v>198582</v>
      </c>
      <c r="G1206" s="3" t="str">
        <f>HYPERLINK("https://cloud.oebiotech.com/#/lm/network/198582", "https://cloud.oebiotech.com/#/lm/network/198582")</f>
        <v>https://cloud.oebiotech.com/#/lm/network/198582</v>
      </c>
      <c r="H1206" s="2" t="s">
        <v>8386</v>
      </c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 t="s">
        <v>8387</v>
      </c>
      <c r="T1206" s="2" t="s">
        <v>8388</v>
      </c>
      <c r="U1206" s="2" t="s">
        <v>103</v>
      </c>
      <c r="V1206" s="2" t="s">
        <v>104</v>
      </c>
      <c r="W1206" s="2" t="s">
        <v>105</v>
      </c>
      <c r="X1206" s="2" t="s">
        <v>147</v>
      </c>
      <c r="Y1206" s="2">
        <v>41</v>
      </c>
      <c r="Z1206" s="2">
        <v>20.7</v>
      </c>
      <c r="AA1206" s="2" t="s">
        <v>395</v>
      </c>
      <c r="AB1206" s="2" t="s">
        <v>8389</v>
      </c>
      <c r="AC1206" s="2">
        <v>2.64241584059942</v>
      </c>
      <c r="AD1206" s="2"/>
      <c r="AE1206" s="2">
        <v>0.51082961419287098</v>
      </c>
      <c r="AF1206" s="2">
        <v>3980.6789191780999</v>
      </c>
      <c r="AG1206" s="2">
        <v>14233.818629728399</v>
      </c>
      <c r="AH1206" s="4">
        <v>0.279663456640101</v>
      </c>
      <c r="AI1206" s="4">
        <v>-1.83823634435695</v>
      </c>
      <c r="AJ1206" s="4" t="s">
        <v>62</v>
      </c>
      <c r="AK1206" s="2">
        <v>0.27318307264004699</v>
      </c>
      <c r="AL1206" s="2">
        <v>0.59301203007823</v>
      </c>
      <c r="AM1206" s="2">
        <v>7703.3245546595899</v>
      </c>
      <c r="AN1206" s="2">
        <v>8.559877937157E-6</v>
      </c>
      <c r="AO1206" s="2">
        <v>210.34975285518499</v>
      </c>
      <c r="AP1206" s="2">
        <v>3668.1894690454301</v>
      </c>
      <c r="AQ1206" s="2">
        <v>8994.8757731477599</v>
      </c>
      <c r="AR1206" s="2">
        <v>3307.33395680075</v>
      </c>
      <c r="AS1206" s="2">
        <v>8.559877937157E-6</v>
      </c>
      <c r="AT1206" s="2">
        <v>253.28616311956699</v>
      </c>
      <c r="AU1206" s="2">
        <v>5913.3286475810501</v>
      </c>
      <c r="AV1206" s="2">
        <v>56549.785157958002</v>
      </c>
      <c r="AW1206" s="2">
        <v>10476.901872669099</v>
      </c>
      <c r="AX1206" s="2">
        <v>12209.6099284825</v>
      </c>
    </row>
    <row r="1207" spans="1:50" x14ac:dyDescent="0.25">
      <c r="A1207" s="2" t="s">
        <v>8390</v>
      </c>
      <c r="B1207" s="2">
        <v>550.35189655022498</v>
      </c>
      <c r="C1207" s="2">
        <v>11.505183333333299</v>
      </c>
      <c r="D1207" s="2" t="s">
        <v>51</v>
      </c>
      <c r="E1207" s="2" t="s">
        <v>8391</v>
      </c>
      <c r="F1207" s="2">
        <v>18284</v>
      </c>
      <c r="G1207" s="3" t="str">
        <f>HYPERLINK("https://cloud.oebiotech.com/#/lm/network/18284", "https://cloud.oebiotech.com/#/lm/network/18284")</f>
        <v>https://cloud.oebiotech.com/#/lm/network/18284</v>
      </c>
      <c r="H1207" s="2"/>
      <c r="I1207" s="2">
        <v>39407</v>
      </c>
      <c r="J1207" s="2" t="s">
        <v>8392</v>
      </c>
      <c r="K1207" s="2">
        <v>18631367</v>
      </c>
      <c r="L1207" s="2"/>
      <c r="M1207" s="2"/>
      <c r="N1207" s="2"/>
      <c r="O1207" s="2">
        <v>77831</v>
      </c>
      <c r="P1207" s="2"/>
      <c r="Q1207" s="2"/>
      <c r="R1207" s="2"/>
      <c r="S1207" s="2" t="s">
        <v>8393</v>
      </c>
      <c r="T1207" s="2" t="s">
        <v>8394</v>
      </c>
      <c r="U1207" s="2" t="s">
        <v>56</v>
      </c>
      <c r="V1207" s="2" t="s">
        <v>57</v>
      </c>
      <c r="W1207" s="2" t="s">
        <v>58</v>
      </c>
      <c r="X1207" s="2" t="s">
        <v>83</v>
      </c>
      <c r="Y1207" s="2">
        <v>45.1</v>
      </c>
      <c r="Z1207" s="2">
        <v>2.8000000000000001E-2</v>
      </c>
      <c r="AA1207" s="2" t="s">
        <v>163</v>
      </c>
      <c r="AB1207" s="2" t="s">
        <v>8395</v>
      </c>
      <c r="AC1207" s="2">
        <v>0.85000773865432999</v>
      </c>
      <c r="AD1207" s="2"/>
      <c r="AE1207" s="2">
        <v>0.51079428668323901</v>
      </c>
      <c r="AF1207" s="2">
        <v>148512.379742602</v>
      </c>
      <c r="AG1207" s="2">
        <v>132039.184516982</v>
      </c>
      <c r="AH1207" s="5">
        <v>1.1247598982520399</v>
      </c>
      <c r="AI1207" s="5">
        <v>0.16961706315727201</v>
      </c>
      <c r="AJ1207" s="5" t="s">
        <v>139</v>
      </c>
      <c r="AK1207" s="2">
        <v>0.35795691261892398</v>
      </c>
      <c r="AL1207" s="2">
        <v>0.64449606579735297</v>
      </c>
      <c r="AM1207" s="2">
        <v>172970.63233040299</v>
      </c>
      <c r="AN1207" s="2">
        <v>153148.69145561499</v>
      </c>
      <c r="AO1207" s="2">
        <v>133882.25081528799</v>
      </c>
      <c r="AP1207" s="2">
        <v>125291.50509469899</v>
      </c>
      <c r="AQ1207" s="2">
        <v>132134.13224425699</v>
      </c>
      <c r="AR1207" s="2">
        <v>173647.06651535199</v>
      </c>
      <c r="AS1207" s="2">
        <v>148037.042761102</v>
      </c>
      <c r="AT1207" s="2">
        <v>74044.623514711799</v>
      </c>
      <c r="AU1207" s="2">
        <v>161216.20128649299</v>
      </c>
      <c r="AV1207" s="2">
        <v>157456.791275617</v>
      </c>
      <c r="AW1207" s="2">
        <v>151217.88672901201</v>
      </c>
      <c r="AX1207" s="2">
        <v>100262.56153495501</v>
      </c>
    </row>
    <row r="1208" spans="1:50" x14ac:dyDescent="0.25">
      <c r="A1208" s="2" t="s">
        <v>8396</v>
      </c>
      <c r="B1208" s="2">
        <v>559.28682906902202</v>
      </c>
      <c r="C1208" s="2">
        <v>4.1098999999999997</v>
      </c>
      <c r="D1208" s="2" t="s">
        <v>51</v>
      </c>
      <c r="E1208" s="2" t="s">
        <v>8397</v>
      </c>
      <c r="F1208" s="2">
        <v>256061</v>
      </c>
      <c r="G1208" s="3" t="str">
        <f>HYPERLINK("https://cloud.oebiotech.com/#/lm/network/256061", "https://cloud.oebiotech.com/#/lm/network/256061")</f>
        <v>https://cloud.oebiotech.com/#/lm/network/256061</v>
      </c>
      <c r="H1208" s="2" t="s">
        <v>8398</v>
      </c>
      <c r="I1208" s="2"/>
      <c r="J1208" s="2"/>
      <c r="K1208" s="2">
        <v>72981537</v>
      </c>
      <c r="L1208" s="2"/>
      <c r="M1208" s="2"/>
      <c r="N1208" s="2"/>
      <c r="O1208" s="2"/>
      <c r="P1208" s="2"/>
      <c r="Q1208" s="2"/>
      <c r="R1208" s="2"/>
      <c r="S1208" s="2" t="s">
        <v>8399</v>
      </c>
      <c r="T1208" s="2" t="s">
        <v>8400</v>
      </c>
      <c r="U1208" s="2" t="s">
        <v>103</v>
      </c>
      <c r="V1208" s="2" t="s">
        <v>104</v>
      </c>
      <c r="W1208" s="2" t="s">
        <v>105</v>
      </c>
      <c r="X1208" s="2" t="s">
        <v>59</v>
      </c>
      <c r="Y1208" s="2">
        <v>51.7</v>
      </c>
      <c r="Z1208" s="2">
        <v>66.5</v>
      </c>
      <c r="AA1208" s="2" t="s">
        <v>259</v>
      </c>
      <c r="AB1208" s="2" t="s">
        <v>8401</v>
      </c>
      <c r="AC1208" s="2">
        <v>-1.15523953814701</v>
      </c>
      <c r="AD1208" s="2"/>
      <c r="AE1208" s="2">
        <v>0.51078656565885205</v>
      </c>
      <c r="AF1208" s="2">
        <v>2299.6948190122298</v>
      </c>
      <c r="AG1208" s="2">
        <v>15181.406276195299</v>
      </c>
      <c r="AH1208" s="4">
        <v>0.15148101415467699</v>
      </c>
      <c r="AI1208" s="4">
        <v>-2.72279110977879</v>
      </c>
      <c r="AJ1208" s="4" t="s">
        <v>62</v>
      </c>
      <c r="AK1208" s="2">
        <v>0.40477439560355499</v>
      </c>
      <c r="AL1208" s="2">
        <v>0.67145727485283802</v>
      </c>
      <c r="AM1208" s="2">
        <v>3310.4899580808301</v>
      </c>
      <c r="AN1208" s="2">
        <v>239.74889998215599</v>
      </c>
      <c r="AO1208" s="2">
        <v>743.35094378944598</v>
      </c>
      <c r="AP1208" s="2">
        <v>8.559877937157E-6</v>
      </c>
      <c r="AQ1208" s="2">
        <v>6062.6547673679997</v>
      </c>
      <c r="AR1208" s="2">
        <v>3441.9243362930902</v>
      </c>
      <c r="AS1208" s="2">
        <v>8.559877937157E-6</v>
      </c>
      <c r="AT1208" s="2">
        <v>8.559877937157E-6</v>
      </c>
      <c r="AU1208" s="2">
        <v>1729.21660896297</v>
      </c>
      <c r="AV1208" s="2">
        <v>89053.460426593301</v>
      </c>
      <c r="AW1208" s="2">
        <v>8.559877937157E-6</v>
      </c>
      <c r="AX1208" s="2">
        <v>305.76059593576201</v>
      </c>
    </row>
    <row r="1209" spans="1:50" x14ac:dyDescent="0.25">
      <c r="A1209" s="2" t="s">
        <v>8402</v>
      </c>
      <c r="B1209" s="2">
        <v>395.24224006428602</v>
      </c>
      <c r="C1209" s="2">
        <v>6.0442833333333299</v>
      </c>
      <c r="D1209" s="2" t="s">
        <v>51</v>
      </c>
      <c r="E1209" s="2" t="s">
        <v>8403</v>
      </c>
      <c r="F1209" s="2">
        <v>198533</v>
      </c>
      <c r="G1209" s="3" t="str">
        <f>HYPERLINK("https://cloud.oebiotech.com/#/lm/network/198533", "https://cloud.oebiotech.com/#/lm/network/198533")</f>
        <v>https://cloud.oebiotech.com/#/lm/network/198533</v>
      </c>
      <c r="H1209" s="2" t="s">
        <v>8404</v>
      </c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 t="s">
        <v>8405</v>
      </c>
      <c r="T1209" s="2" t="s">
        <v>8406</v>
      </c>
      <c r="U1209" s="2" t="s">
        <v>103</v>
      </c>
      <c r="V1209" s="2" t="s">
        <v>104</v>
      </c>
      <c r="W1209" s="2" t="s">
        <v>105</v>
      </c>
      <c r="X1209" s="2" t="s">
        <v>59</v>
      </c>
      <c r="Y1209" s="2">
        <v>47.6</v>
      </c>
      <c r="Z1209" s="2">
        <v>46.6</v>
      </c>
      <c r="AA1209" s="2" t="s">
        <v>395</v>
      </c>
      <c r="AB1209" s="2" t="s">
        <v>8407</v>
      </c>
      <c r="AC1209" s="2">
        <v>0.95698072036537896</v>
      </c>
      <c r="AD1209" s="2"/>
      <c r="AE1209" s="2">
        <v>0.51064233997465303</v>
      </c>
      <c r="AF1209" s="2">
        <v>9290.2529046487598</v>
      </c>
      <c r="AG1209" s="2">
        <v>3738.8716050815801</v>
      </c>
      <c r="AH1209" s="5">
        <v>2.4847745218162101</v>
      </c>
      <c r="AI1209" s="5">
        <v>1.31311494192178</v>
      </c>
      <c r="AJ1209" s="5" t="s">
        <v>139</v>
      </c>
      <c r="AK1209" s="2">
        <v>4.9610337274082199E-2</v>
      </c>
      <c r="AL1209" s="2">
        <v>0.30959808608949102</v>
      </c>
      <c r="AM1209" s="2">
        <v>18021.339633586402</v>
      </c>
      <c r="AN1209" s="2">
        <v>11712.5537822847</v>
      </c>
      <c r="AO1209" s="2">
        <v>6380.9743756122798</v>
      </c>
      <c r="AP1209" s="2">
        <v>5413.2426766047402</v>
      </c>
      <c r="AQ1209" s="2">
        <v>6085.8704360418296</v>
      </c>
      <c r="AR1209" s="2">
        <v>8127.5365237626302</v>
      </c>
      <c r="AS1209" s="2">
        <v>3583.6202084561801</v>
      </c>
      <c r="AT1209" s="2">
        <v>389.67802083200303</v>
      </c>
      <c r="AU1209" s="2">
        <v>10709.6753441854</v>
      </c>
      <c r="AV1209" s="2">
        <v>947.98665730524203</v>
      </c>
      <c r="AW1209" s="2">
        <v>2958.69504964005</v>
      </c>
      <c r="AX1209" s="2">
        <v>3843.5743500705898</v>
      </c>
    </row>
    <row r="1210" spans="1:50" x14ac:dyDescent="0.25">
      <c r="A1210" s="2" t="s">
        <v>8408</v>
      </c>
      <c r="B1210" s="2">
        <v>605.238863625097</v>
      </c>
      <c r="C1210" s="2">
        <v>8.5905500000000004</v>
      </c>
      <c r="D1210" s="2" t="s">
        <v>51</v>
      </c>
      <c r="E1210" s="2" t="s">
        <v>8409</v>
      </c>
      <c r="F1210" s="2">
        <v>55484</v>
      </c>
      <c r="G1210" s="3" t="str">
        <f>HYPERLINK("https://cloud.oebiotech.com/#/lm/network/55484", "https://cloud.oebiotech.com/#/lm/network/55484")</f>
        <v>https://cloud.oebiotech.com/#/lm/network/55484</v>
      </c>
      <c r="H1210" s="2" t="s">
        <v>8410</v>
      </c>
      <c r="I1210" s="2">
        <v>87160</v>
      </c>
      <c r="J1210" s="2"/>
      <c r="K1210" s="2">
        <v>12294</v>
      </c>
      <c r="L1210" s="2"/>
      <c r="M1210" s="2"/>
      <c r="N1210" s="2"/>
      <c r="O1210" s="2"/>
      <c r="P1210" s="2"/>
      <c r="Q1210" s="2"/>
      <c r="R1210" s="2"/>
      <c r="S1210" s="2" t="s">
        <v>8411</v>
      </c>
      <c r="T1210" s="2" t="s">
        <v>8412</v>
      </c>
      <c r="U1210" s="2" t="s">
        <v>266</v>
      </c>
      <c r="V1210" s="2" t="s">
        <v>1785</v>
      </c>
      <c r="W1210" s="2" t="s">
        <v>1786</v>
      </c>
      <c r="X1210" s="2" t="s">
        <v>147</v>
      </c>
      <c r="Y1210" s="2">
        <v>38.6</v>
      </c>
      <c r="Z1210" s="2">
        <v>0</v>
      </c>
      <c r="AA1210" s="2" t="s">
        <v>241</v>
      </c>
      <c r="AB1210" s="2" t="s">
        <v>8413</v>
      </c>
      <c r="AC1210" s="2">
        <v>-0.63786101162367403</v>
      </c>
      <c r="AD1210" s="2"/>
      <c r="AE1210" s="2">
        <v>0.51048223914650503</v>
      </c>
      <c r="AF1210" s="2">
        <v>23980.789250468701</v>
      </c>
      <c r="AG1210" s="2">
        <v>30601.4641264007</v>
      </c>
      <c r="AH1210" s="4">
        <v>0.78364842778159205</v>
      </c>
      <c r="AI1210" s="4">
        <v>-0.351721539086994</v>
      </c>
      <c r="AJ1210" s="4" t="s">
        <v>62</v>
      </c>
      <c r="AK1210" s="2">
        <v>3.21654756152394E-2</v>
      </c>
      <c r="AL1210" s="2">
        <v>0.26523115101066103</v>
      </c>
      <c r="AM1210" s="2">
        <v>21882.2006364062</v>
      </c>
      <c r="AN1210" s="2">
        <v>19296.773280657799</v>
      </c>
      <c r="AO1210" s="2">
        <v>30004.527594086001</v>
      </c>
      <c r="AP1210" s="2">
        <v>25219.119424013701</v>
      </c>
      <c r="AQ1210" s="2">
        <v>27593.712812627899</v>
      </c>
      <c r="AR1210" s="2">
        <v>19888.401755020601</v>
      </c>
      <c r="AS1210" s="2">
        <v>37889.778715894499</v>
      </c>
      <c r="AT1210" s="2">
        <v>32464.8377199674</v>
      </c>
      <c r="AU1210" s="2">
        <v>24499.450439872198</v>
      </c>
      <c r="AV1210" s="2">
        <v>26608.012326013799</v>
      </c>
      <c r="AW1210" s="2">
        <v>33129.4114656538</v>
      </c>
      <c r="AX1210" s="2">
        <v>29017.294091002601</v>
      </c>
    </row>
    <row r="1211" spans="1:50" x14ac:dyDescent="0.25">
      <c r="A1211" s="2" t="s">
        <v>8414</v>
      </c>
      <c r="B1211" s="2">
        <v>676.343380400162</v>
      </c>
      <c r="C1211" s="2">
        <v>10.9866666666667</v>
      </c>
      <c r="D1211" s="2" t="s">
        <v>51</v>
      </c>
      <c r="E1211" s="2" t="s">
        <v>8415</v>
      </c>
      <c r="F1211" s="2">
        <v>27965</v>
      </c>
      <c r="G1211" s="3" t="str">
        <f>HYPERLINK("https://cloud.oebiotech.com/#/lm/network/27965", "https://cloud.oebiotech.com/#/lm/network/27965")</f>
        <v>https://cloud.oebiotech.com/#/lm/network/27965</v>
      </c>
      <c r="H1211" s="2"/>
      <c r="I1211" s="2"/>
      <c r="J1211" s="2" t="s">
        <v>8416</v>
      </c>
      <c r="K1211" s="2">
        <v>134812412</v>
      </c>
      <c r="L1211" s="2"/>
      <c r="M1211" s="2"/>
      <c r="N1211" s="2"/>
      <c r="O1211" s="2"/>
      <c r="P1211" s="2"/>
      <c r="Q1211" s="2"/>
      <c r="R1211" s="2"/>
      <c r="S1211" s="2" t="s">
        <v>8417</v>
      </c>
      <c r="T1211" s="2" t="s">
        <v>8418</v>
      </c>
      <c r="U1211" s="2" t="s">
        <v>56</v>
      </c>
      <c r="V1211" s="2" t="s">
        <v>57</v>
      </c>
      <c r="W1211" s="2" t="s">
        <v>82</v>
      </c>
      <c r="X1211" s="2" t="s">
        <v>59</v>
      </c>
      <c r="Y1211" s="2">
        <v>48.5</v>
      </c>
      <c r="Z1211" s="2">
        <v>60.4</v>
      </c>
      <c r="AA1211" s="2" t="s">
        <v>163</v>
      </c>
      <c r="AB1211" s="2" t="s">
        <v>8419</v>
      </c>
      <c r="AC1211" s="2">
        <v>-4.9546222715931902</v>
      </c>
      <c r="AD1211" s="2"/>
      <c r="AE1211" s="2">
        <v>0.51018643725206703</v>
      </c>
      <c r="AF1211" s="2">
        <v>6836.6257348384197</v>
      </c>
      <c r="AG1211" s="2">
        <v>701.62842261645505</v>
      </c>
      <c r="AH1211" s="5">
        <v>9.7439406877843293</v>
      </c>
      <c r="AI1211" s="5">
        <v>3.2845053514606</v>
      </c>
      <c r="AJ1211" s="5" t="s">
        <v>139</v>
      </c>
      <c r="AK1211" s="2">
        <v>1.9323700891103499E-2</v>
      </c>
      <c r="AL1211" s="2">
        <v>0.21866290477890701</v>
      </c>
      <c r="AM1211" s="2">
        <v>9765.5368706199697</v>
      </c>
      <c r="AN1211" s="2">
        <v>14082.6625408909</v>
      </c>
      <c r="AO1211" s="2">
        <v>1514.77281955731</v>
      </c>
      <c r="AP1211" s="2">
        <v>4876.7099695305797</v>
      </c>
      <c r="AQ1211" s="2">
        <v>606.57358682034805</v>
      </c>
      <c r="AR1211" s="2">
        <v>10173.498621611399</v>
      </c>
      <c r="AS1211" s="2">
        <v>1010.10085450587</v>
      </c>
      <c r="AT1211" s="2">
        <v>945.07436381838204</v>
      </c>
      <c r="AU1211" s="2">
        <v>221.99358097474601</v>
      </c>
      <c r="AV1211" s="2">
        <v>113.061829749872</v>
      </c>
      <c r="AW1211" s="2">
        <v>53.205776469501799</v>
      </c>
      <c r="AX1211" s="2">
        <v>1866.33413018036</v>
      </c>
    </row>
    <row r="1212" spans="1:50" x14ac:dyDescent="0.25">
      <c r="A1212" s="2" t="s">
        <v>8420</v>
      </c>
      <c r="B1212" s="2">
        <v>671.32647474178395</v>
      </c>
      <c r="C1212" s="2">
        <v>4.6470166666666701</v>
      </c>
      <c r="D1212" s="2" t="s">
        <v>51</v>
      </c>
      <c r="E1212" s="2" t="s">
        <v>8421</v>
      </c>
      <c r="F1212" s="2">
        <v>18025</v>
      </c>
      <c r="G1212" s="3" t="str">
        <f>HYPERLINK("https://cloud.oebiotech.com/#/lm/network/18025", "https://cloud.oebiotech.com/#/lm/network/18025")</f>
        <v>https://cloud.oebiotech.com/#/lm/network/18025</v>
      </c>
      <c r="H1212" s="2"/>
      <c r="I1212" s="2"/>
      <c r="J1212" s="2" t="s">
        <v>8422</v>
      </c>
      <c r="K1212" s="2"/>
      <c r="L1212" s="2"/>
      <c r="M1212" s="2"/>
      <c r="N1212" s="2"/>
      <c r="O1212" s="2"/>
      <c r="P1212" s="2"/>
      <c r="Q1212" s="2"/>
      <c r="R1212" s="2"/>
      <c r="S1212" s="2" t="s">
        <v>8423</v>
      </c>
      <c r="T1212" s="2" t="s">
        <v>8424</v>
      </c>
      <c r="U1212" s="2" t="s">
        <v>56</v>
      </c>
      <c r="V1212" s="2" t="s">
        <v>3215</v>
      </c>
      <c r="W1212" s="2" t="s">
        <v>5428</v>
      </c>
      <c r="X1212" s="2" t="s">
        <v>59</v>
      </c>
      <c r="Y1212" s="2">
        <v>49.7</v>
      </c>
      <c r="Z1212" s="2">
        <v>60.9</v>
      </c>
      <c r="AA1212" s="2" t="s">
        <v>163</v>
      </c>
      <c r="AB1212" s="2" t="s">
        <v>8425</v>
      </c>
      <c r="AC1212" s="2">
        <v>-2.9080229966970901</v>
      </c>
      <c r="AD1212" s="2"/>
      <c r="AE1212" s="2">
        <v>0.51018197403188204</v>
      </c>
      <c r="AF1212" s="2">
        <v>1061.71506088205</v>
      </c>
      <c r="AG1212" s="2">
        <v>13500.4217069358</v>
      </c>
      <c r="AH1212" s="4">
        <v>7.8643103447398596E-2</v>
      </c>
      <c r="AI1212" s="4">
        <v>-3.6685359347311799</v>
      </c>
      <c r="AJ1212" s="4" t="s">
        <v>62</v>
      </c>
      <c r="AK1212" s="2">
        <v>0.36073908141905803</v>
      </c>
      <c r="AL1212" s="2">
        <v>0.64548561867063303</v>
      </c>
      <c r="AM1212" s="2">
        <v>4847.2307799852097</v>
      </c>
      <c r="AN1212" s="2">
        <v>118.91821094167599</v>
      </c>
      <c r="AO1212" s="2">
        <v>8.559877937157E-6</v>
      </c>
      <c r="AP1212" s="2">
        <v>8.559877937157E-6</v>
      </c>
      <c r="AQ1212" s="2">
        <v>1288.8054355568599</v>
      </c>
      <c r="AR1212" s="2">
        <v>115.335921688824</v>
      </c>
      <c r="AS1212" s="2">
        <v>8.559877937157E-6</v>
      </c>
      <c r="AT1212" s="2">
        <v>8.559877937157E-6</v>
      </c>
      <c r="AU1212" s="2">
        <v>8.559877937157E-6</v>
      </c>
      <c r="AV1212" s="2">
        <v>78276.521400110199</v>
      </c>
      <c r="AW1212" s="2">
        <v>8.559877937157E-6</v>
      </c>
      <c r="AX1212" s="2">
        <v>2726.00880726488</v>
      </c>
    </row>
    <row r="1213" spans="1:50" x14ac:dyDescent="0.25">
      <c r="A1213" s="2" t="s">
        <v>8426</v>
      </c>
      <c r="B1213" s="2">
        <v>397.06528673054498</v>
      </c>
      <c r="C1213" s="2">
        <v>4.8599833333333304</v>
      </c>
      <c r="D1213" s="2" t="s">
        <v>51</v>
      </c>
      <c r="E1213" s="2" t="s">
        <v>8427</v>
      </c>
      <c r="F1213" s="2">
        <v>212807</v>
      </c>
      <c r="G1213" s="3" t="str">
        <f>HYPERLINK("https://cloud.oebiotech.com/#/lm/network/212807", "https://cloud.oebiotech.com/#/lm/network/212807")</f>
        <v>https://cloud.oebiotech.com/#/lm/network/212807</v>
      </c>
      <c r="H1213" s="2" t="s">
        <v>8428</v>
      </c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 t="s">
        <v>8429</v>
      </c>
      <c r="T1213" s="2" t="s">
        <v>8430</v>
      </c>
      <c r="U1213" s="2" t="s">
        <v>56</v>
      </c>
      <c r="V1213" s="2" t="s">
        <v>283</v>
      </c>
      <c r="W1213" s="2" t="s">
        <v>1944</v>
      </c>
      <c r="X1213" s="2" t="s">
        <v>147</v>
      </c>
      <c r="Y1213" s="2">
        <v>38.1</v>
      </c>
      <c r="Z1213" s="2">
        <v>0.36399999999999999</v>
      </c>
      <c r="AA1213" s="2" t="s">
        <v>163</v>
      </c>
      <c r="AB1213" s="2" t="s">
        <v>8431</v>
      </c>
      <c r="AC1213" s="2">
        <v>-4.3077744030066301</v>
      </c>
      <c r="AD1213" s="2"/>
      <c r="AE1213" s="2">
        <v>0.51010761377563596</v>
      </c>
      <c r="AF1213" s="2">
        <v>18828.614942587799</v>
      </c>
      <c r="AG1213" s="2">
        <v>3893.1775717567298</v>
      </c>
      <c r="AH1213" s="5">
        <v>4.8363103391895104</v>
      </c>
      <c r="AI1213" s="5">
        <v>2.2739068232562798</v>
      </c>
      <c r="AJ1213" s="5" t="s">
        <v>139</v>
      </c>
      <c r="AK1213" s="2">
        <v>0.44174913304003799</v>
      </c>
      <c r="AL1213" s="2">
        <v>0.69844596614080001</v>
      </c>
      <c r="AM1213" s="2">
        <v>8.7310011602696704</v>
      </c>
      <c r="AN1213" s="2">
        <v>109997.451247176</v>
      </c>
      <c r="AO1213" s="2">
        <v>18.1743213729956</v>
      </c>
      <c r="AP1213" s="2">
        <v>8.559877937157E-6</v>
      </c>
      <c r="AQ1213" s="2">
        <v>8.559877937157E-6</v>
      </c>
      <c r="AR1213" s="2">
        <v>2947.3330686979102</v>
      </c>
      <c r="AS1213" s="2">
        <v>25.7189222634595</v>
      </c>
      <c r="AT1213" s="2">
        <v>8.559877937157E-6</v>
      </c>
      <c r="AU1213" s="2">
        <v>30.604308340084199</v>
      </c>
      <c r="AV1213" s="2">
        <v>47.103388769995298</v>
      </c>
      <c r="AW1213" s="2">
        <v>23241.775925471</v>
      </c>
      <c r="AX1213" s="2">
        <v>13.8628771359867</v>
      </c>
    </row>
    <row r="1214" spans="1:50" x14ac:dyDescent="0.25">
      <c r="A1214" s="2" t="s">
        <v>8432</v>
      </c>
      <c r="B1214" s="2">
        <v>340.06093745322499</v>
      </c>
      <c r="C1214" s="2">
        <v>4.3658666666666699</v>
      </c>
      <c r="D1214" s="2" t="s">
        <v>51</v>
      </c>
      <c r="E1214" s="2" t="s">
        <v>8433</v>
      </c>
      <c r="F1214" s="2">
        <v>52477</v>
      </c>
      <c r="G1214" s="3" t="str">
        <f>HYPERLINK("https://cloud.oebiotech.com/#/lm/network/52477", "https://cloud.oebiotech.com/#/lm/network/52477")</f>
        <v>https://cloud.oebiotech.com/#/lm/network/52477</v>
      </c>
      <c r="H1214" s="2" t="s">
        <v>8434</v>
      </c>
      <c r="I1214" s="2">
        <v>2549</v>
      </c>
      <c r="J1214" s="2"/>
      <c r="K1214" s="2">
        <v>80641</v>
      </c>
      <c r="L1214" s="2" t="s">
        <v>8435</v>
      </c>
      <c r="M1214" s="2"/>
      <c r="N1214" s="2"/>
      <c r="O1214" s="2">
        <v>31169</v>
      </c>
      <c r="P1214" s="2"/>
      <c r="Q1214" s="2"/>
      <c r="R1214" s="2" t="s">
        <v>8436</v>
      </c>
      <c r="S1214" s="2" t="s">
        <v>8437</v>
      </c>
      <c r="T1214" s="2" t="s">
        <v>8438</v>
      </c>
      <c r="U1214" s="2" t="s">
        <v>610</v>
      </c>
      <c r="V1214" s="2" t="s">
        <v>611</v>
      </c>
      <c r="W1214" s="2" t="s">
        <v>5656</v>
      </c>
      <c r="X1214" s="2" t="s">
        <v>147</v>
      </c>
      <c r="Y1214" s="2">
        <v>46.1</v>
      </c>
      <c r="Z1214" s="2">
        <v>35.1</v>
      </c>
      <c r="AA1214" s="2" t="s">
        <v>218</v>
      </c>
      <c r="AB1214" s="2" t="s">
        <v>8439</v>
      </c>
      <c r="AC1214" s="2">
        <v>0.19546245459205899</v>
      </c>
      <c r="AD1214" s="2"/>
      <c r="AE1214" s="2">
        <v>0.50998795502891603</v>
      </c>
      <c r="AF1214" s="2">
        <v>10102.6941543172</v>
      </c>
      <c r="AG1214" s="2">
        <v>50801.659969348002</v>
      </c>
      <c r="AH1214" s="4">
        <v>0.198865433932922</v>
      </c>
      <c r="AI1214" s="4">
        <v>-2.33013556093425</v>
      </c>
      <c r="AJ1214" s="4" t="s">
        <v>62</v>
      </c>
      <c r="AK1214" s="2">
        <v>0.44004309076686499</v>
      </c>
      <c r="AL1214" s="2">
        <v>0.696825248373656</v>
      </c>
      <c r="AM1214" s="2">
        <v>5160.01217620028</v>
      </c>
      <c r="AN1214" s="2">
        <v>21137.462304938301</v>
      </c>
      <c r="AO1214" s="2">
        <v>33968.275912688201</v>
      </c>
      <c r="AP1214" s="2">
        <v>110.795256937261</v>
      </c>
      <c r="AQ1214" s="2">
        <v>239.619266579016</v>
      </c>
      <c r="AR1214" s="2">
        <v>8.559877937157E-6</v>
      </c>
      <c r="AS1214" s="2">
        <v>8.559877937157E-6</v>
      </c>
      <c r="AT1214" s="2">
        <v>8.559877937157E-6</v>
      </c>
      <c r="AU1214" s="2">
        <v>302191.625327015</v>
      </c>
      <c r="AV1214" s="2">
        <v>2618.3344548333198</v>
      </c>
      <c r="AW1214" s="2">
        <v>8.559877937157E-6</v>
      </c>
      <c r="AX1214" s="2">
        <v>8.559877937157E-6</v>
      </c>
    </row>
    <row r="1215" spans="1:50" x14ac:dyDescent="0.25">
      <c r="A1215" s="2" t="s">
        <v>8440</v>
      </c>
      <c r="B1215" s="2">
        <v>304.300756388926</v>
      </c>
      <c r="C1215" s="2">
        <v>15.047183333333299</v>
      </c>
      <c r="D1215" s="2" t="s">
        <v>51</v>
      </c>
      <c r="E1215" s="2" t="s">
        <v>8441</v>
      </c>
      <c r="F1215" s="2">
        <v>258320</v>
      </c>
      <c r="G1215" s="3" t="str">
        <f>HYPERLINK("https://cloud.oebiotech.com/#/lm/network/258320", "https://cloud.oebiotech.com/#/lm/network/258320")</f>
        <v>https://cloud.oebiotech.com/#/lm/network/258320</v>
      </c>
      <c r="H1215" s="2"/>
      <c r="I1215" s="2">
        <v>3997</v>
      </c>
      <c r="J1215" s="2"/>
      <c r="K1215" s="2">
        <v>2683</v>
      </c>
      <c r="L1215" s="2" t="s">
        <v>8442</v>
      </c>
      <c r="M1215" s="2"/>
      <c r="N1215" s="2"/>
      <c r="O1215" s="2"/>
      <c r="P1215" s="2"/>
      <c r="Q1215" s="2"/>
      <c r="R1215" s="2" t="s">
        <v>8443</v>
      </c>
      <c r="S1215" s="2" t="s">
        <v>8444</v>
      </c>
      <c r="T1215" s="2" t="s">
        <v>8445</v>
      </c>
      <c r="U1215" s="2" t="s">
        <v>266</v>
      </c>
      <c r="V1215" s="2" t="s">
        <v>2143</v>
      </c>
      <c r="W1215" s="2" t="s">
        <v>8446</v>
      </c>
      <c r="X1215" s="2" t="s">
        <v>147</v>
      </c>
      <c r="Y1215" s="2">
        <v>38.799999999999997</v>
      </c>
      <c r="Z1215" s="2">
        <v>0</v>
      </c>
      <c r="AA1215" s="2" t="s">
        <v>122</v>
      </c>
      <c r="AB1215" s="2" t="s">
        <v>8447</v>
      </c>
      <c r="AC1215" s="2">
        <v>1.0879559769553799</v>
      </c>
      <c r="AD1215" s="2"/>
      <c r="AE1215" s="2">
        <v>0.50968602706843003</v>
      </c>
      <c r="AF1215" s="2">
        <v>33002.181454519203</v>
      </c>
      <c r="AG1215" s="2">
        <v>39701.879369148803</v>
      </c>
      <c r="AH1215" s="4">
        <v>0.83124985463948098</v>
      </c>
      <c r="AI1215" s="4">
        <v>-0.26664591166998303</v>
      </c>
      <c r="AJ1215" s="4" t="s">
        <v>62</v>
      </c>
      <c r="AK1215" s="2">
        <v>6.0396273617382E-2</v>
      </c>
      <c r="AL1215" s="2">
        <v>0.33189438633172902</v>
      </c>
      <c r="AM1215" s="2">
        <v>26793.082898981898</v>
      </c>
      <c r="AN1215" s="2">
        <v>34536.719263513201</v>
      </c>
      <c r="AO1215" s="2">
        <v>32719.7791723587</v>
      </c>
      <c r="AP1215" s="2">
        <v>34273.576081482897</v>
      </c>
      <c r="AQ1215" s="2">
        <v>38293.379843354298</v>
      </c>
      <c r="AR1215" s="2">
        <v>31396.551467424</v>
      </c>
      <c r="AS1215" s="2">
        <v>40956.359824500498</v>
      </c>
      <c r="AT1215" s="2">
        <v>45563.780781365</v>
      </c>
      <c r="AU1215" s="2">
        <v>27610.392674233499</v>
      </c>
      <c r="AV1215" s="2">
        <v>38657.719606272301</v>
      </c>
      <c r="AW1215" s="2">
        <v>39096.9394007351</v>
      </c>
      <c r="AX1215" s="2">
        <v>46326.0839277864</v>
      </c>
    </row>
    <row r="1216" spans="1:50" x14ac:dyDescent="0.25">
      <c r="A1216" s="2" t="s">
        <v>8448</v>
      </c>
      <c r="B1216" s="2">
        <v>420.16097933167799</v>
      </c>
      <c r="C1216" s="2">
        <v>6.8908500000000004</v>
      </c>
      <c r="D1216" s="2" t="s">
        <v>51</v>
      </c>
      <c r="E1216" s="2" t="s">
        <v>8449</v>
      </c>
      <c r="F1216" s="2">
        <v>210025</v>
      </c>
      <c r="G1216" s="3" t="str">
        <f>HYPERLINK("https://cloud.oebiotech.com/#/lm/network/210025", "https://cloud.oebiotech.com/#/lm/network/210025")</f>
        <v>https://cloud.oebiotech.com/#/lm/network/210025</v>
      </c>
      <c r="H1216" s="2" t="s">
        <v>8450</v>
      </c>
      <c r="I1216" s="2">
        <v>321971</v>
      </c>
      <c r="J1216" s="2"/>
      <c r="K1216" s="2">
        <v>10113978</v>
      </c>
      <c r="L1216" s="2"/>
      <c r="M1216" s="2"/>
      <c r="N1216" s="2"/>
      <c r="O1216" s="2">
        <v>71219</v>
      </c>
      <c r="P1216" s="2" t="s">
        <v>8451</v>
      </c>
      <c r="Q1216" s="2" t="s">
        <v>8452</v>
      </c>
      <c r="R1216" s="2"/>
      <c r="S1216" s="2" t="s">
        <v>8453</v>
      </c>
      <c r="T1216" s="2" t="s">
        <v>8454</v>
      </c>
      <c r="U1216" s="2" t="s">
        <v>119</v>
      </c>
      <c r="V1216" s="2" t="s">
        <v>120</v>
      </c>
      <c r="W1216" s="2" t="s">
        <v>1887</v>
      </c>
      <c r="X1216" s="2" t="s">
        <v>147</v>
      </c>
      <c r="Y1216" s="2">
        <v>38</v>
      </c>
      <c r="Z1216" s="2">
        <v>0</v>
      </c>
      <c r="AA1216" s="2" t="s">
        <v>786</v>
      </c>
      <c r="AB1216" s="2" t="s">
        <v>8455</v>
      </c>
      <c r="AC1216" s="2">
        <v>1.99827194962563</v>
      </c>
      <c r="AD1216" s="2"/>
      <c r="AE1216" s="2">
        <v>0.50960300037529505</v>
      </c>
      <c r="AF1216" s="2">
        <v>9402.7592082913907</v>
      </c>
      <c r="AG1216" s="2">
        <v>18366.018483870401</v>
      </c>
      <c r="AH1216" s="4">
        <v>0.51196503022956097</v>
      </c>
      <c r="AI1216" s="4">
        <v>-0.96588282457882801</v>
      </c>
      <c r="AJ1216" s="4" t="s">
        <v>62</v>
      </c>
      <c r="AK1216" s="2">
        <v>9.9793838927061701E-2</v>
      </c>
      <c r="AL1216" s="2">
        <v>0.40172900346892498</v>
      </c>
      <c r="AM1216" s="2">
        <v>8340.4060973300893</v>
      </c>
      <c r="AN1216" s="2">
        <v>6107.0831117170201</v>
      </c>
      <c r="AO1216" s="2">
        <v>16144.656401279401</v>
      </c>
      <c r="AP1216" s="2">
        <v>392.419124038414</v>
      </c>
      <c r="AQ1216" s="2">
        <v>7542.8033535951299</v>
      </c>
      <c r="AR1216" s="2">
        <v>17889.187161788301</v>
      </c>
      <c r="AS1216" s="2">
        <v>15011.066233830101</v>
      </c>
      <c r="AT1216" s="2">
        <v>12884.675239001101</v>
      </c>
      <c r="AU1216" s="2">
        <v>20012.515666444298</v>
      </c>
      <c r="AV1216" s="2">
        <v>31955.624291109201</v>
      </c>
      <c r="AW1216" s="2">
        <v>26772.0647700632</v>
      </c>
      <c r="AX1216" s="2">
        <v>3560.1647027744998</v>
      </c>
    </row>
    <row r="1217" spans="1:50" x14ac:dyDescent="0.25">
      <c r="A1217" s="2" t="s">
        <v>8456</v>
      </c>
      <c r="B1217" s="2">
        <v>341.20823174081102</v>
      </c>
      <c r="C1217" s="2">
        <v>10.6304833333333</v>
      </c>
      <c r="D1217" s="2" t="s">
        <v>51</v>
      </c>
      <c r="E1217" s="2" t="s">
        <v>8457</v>
      </c>
      <c r="F1217" s="2">
        <v>4063</v>
      </c>
      <c r="G1217" s="3" t="str">
        <f>HYPERLINK("https://cloud.oebiotech.com/#/lm/network/4063", "https://cloud.oebiotech.com/#/lm/network/4063")</f>
        <v>https://cloud.oebiotech.com/#/lm/network/4063</v>
      </c>
      <c r="H1217" s="2" t="s">
        <v>8458</v>
      </c>
      <c r="I1217" s="2">
        <v>36341</v>
      </c>
      <c r="J1217" s="2" t="s">
        <v>8459</v>
      </c>
      <c r="K1217" s="2">
        <v>5283188</v>
      </c>
      <c r="L1217" s="2"/>
      <c r="M1217" s="2"/>
      <c r="N1217" s="2"/>
      <c r="O1217" s="2">
        <v>91264</v>
      </c>
      <c r="P1217" s="2"/>
      <c r="Q1217" s="2"/>
      <c r="R1217" s="2" t="s">
        <v>8460</v>
      </c>
      <c r="S1217" s="2" t="s">
        <v>8461</v>
      </c>
      <c r="T1217" s="2" t="s">
        <v>8462</v>
      </c>
      <c r="U1217" s="2" t="s">
        <v>56</v>
      </c>
      <c r="V1217" s="2" t="s">
        <v>145</v>
      </c>
      <c r="W1217" s="2" t="s">
        <v>187</v>
      </c>
      <c r="X1217" s="2" t="s">
        <v>69</v>
      </c>
      <c r="Y1217" s="2">
        <v>63.8</v>
      </c>
      <c r="Z1217" s="2">
        <v>68.7</v>
      </c>
      <c r="AA1217" s="2" t="s">
        <v>95</v>
      </c>
      <c r="AB1217" s="2" t="s">
        <v>180</v>
      </c>
      <c r="AC1217" s="2">
        <v>-1.52020846307732</v>
      </c>
      <c r="AD1217" s="2"/>
      <c r="AE1217" s="2">
        <v>0.50904568351856305</v>
      </c>
      <c r="AF1217" s="2">
        <v>33758.989553927997</v>
      </c>
      <c r="AG1217" s="2">
        <v>25945.965583828201</v>
      </c>
      <c r="AH1217" s="5">
        <v>1.3011267375984401</v>
      </c>
      <c r="AI1217" s="5">
        <v>0.37976149610600801</v>
      </c>
      <c r="AJ1217" s="5" t="s">
        <v>139</v>
      </c>
      <c r="AK1217" s="2">
        <v>0.11971060846352399</v>
      </c>
      <c r="AL1217" s="2">
        <v>0.43766036031086097</v>
      </c>
      <c r="AM1217" s="2">
        <v>33536.875601730702</v>
      </c>
      <c r="AN1217" s="2">
        <v>39465.424472362</v>
      </c>
      <c r="AO1217" s="2">
        <v>31166.395742029901</v>
      </c>
      <c r="AP1217" s="2">
        <v>28819.060097383401</v>
      </c>
      <c r="AQ1217" s="2">
        <v>35550.975519723303</v>
      </c>
      <c r="AR1217" s="2">
        <v>34015.205890338497</v>
      </c>
      <c r="AS1217" s="2">
        <v>39646.1276283712</v>
      </c>
      <c r="AT1217" s="2">
        <v>31467.753795249799</v>
      </c>
      <c r="AU1217" s="2">
        <v>29101.273307091102</v>
      </c>
      <c r="AV1217" s="2">
        <v>11811.416786204099</v>
      </c>
      <c r="AW1217" s="2">
        <v>14621.9870818093</v>
      </c>
      <c r="AX1217" s="2">
        <v>29027.234904244</v>
      </c>
    </row>
    <row r="1218" spans="1:50" x14ac:dyDescent="0.25">
      <c r="A1218" s="2" t="s">
        <v>8463</v>
      </c>
      <c r="B1218" s="2">
        <v>637.45597669588005</v>
      </c>
      <c r="C1218" s="2">
        <v>11.5340333333333</v>
      </c>
      <c r="D1218" s="2" t="s">
        <v>51</v>
      </c>
      <c r="E1218" s="2" t="s">
        <v>8464</v>
      </c>
      <c r="F1218" s="2">
        <v>20072</v>
      </c>
      <c r="G1218" s="3" t="str">
        <f>HYPERLINK("https://cloud.oebiotech.com/#/lm/network/20072", "https://cloud.oebiotech.com/#/lm/network/20072")</f>
        <v>https://cloud.oebiotech.com/#/lm/network/20072</v>
      </c>
      <c r="H1218" s="2"/>
      <c r="I1218" s="2">
        <v>76618</v>
      </c>
      <c r="J1218" s="2" t="s">
        <v>8465</v>
      </c>
      <c r="K1218" s="2">
        <v>52924089</v>
      </c>
      <c r="L1218" s="2"/>
      <c r="M1218" s="2"/>
      <c r="N1218" s="2"/>
      <c r="O1218" s="2"/>
      <c r="P1218" s="2"/>
      <c r="Q1218" s="2"/>
      <c r="R1218" s="2"/>
      <c r="S1218" s="2" t="s">
        <v>8466</v>
      </c>
      <c r="T1218" s="2" t="s">
        <v>8467</v>
      </c>
      <c r="U1218" s="2" t="s">
        <v>56</v>
      </c>
      <c r="V1218" s="2" t="s">
        <v>57</v>
      </c>
      <c r="W1218" s="2" t="s">
        <v>155</v>
      </c>
      <c r="X1218" s="2" t="s">
        <v>83</v>
      </c>
      <c r="Y1218" s="2">
        <v>37.200000000000003</v>
      </c>
      <c r="Z1218" s="2">
        <v>0</v>
      </c>
      <c r="AA1218" s="2" t="s">
        <v>512</v>
      </c>
      <c r="AB1218" s="2" t="s">
        <v>8468</v>
      </c>
      <c r="AC1218" s="2">
        <v>1.3667373942118199</v>
      </c>
      <c r="AD1218" s="2"/>
      <c r="AE1218" s="2">
        <v>0.50899946619938496</v>
      </c>
      <c r="AF1218" s="2">
        <v>11464.2993109489</v>
      </c>
      <c r="AG1218" s="2">
        <v>17118.6826542979</v>
      </c>
      <c r="AH1218" s="4">
        <v>0.66969518288666996</v>
      </c>
      <c r="AI1218" s="4">
        <v>-0.57842350409652499</v>
      </c>
      <c r="AJ1218" s="4" t="s">
        <v>62</v>
      </c>
      <c r="AK1218" s="2">
        <v>1.7070939856243601E-2</v>
      </c>
      <c r="AL1218" s="2">
        <v>0.20682300499176201</v>
      </c>
      <c r="AM1218" s="2">
        <v>6525.7857874446599</v>
      </c>
      <c r="AN1218" s="2">
        <v>6982.4830057646795</v>
      </c>
      <c r="AO1218" s="2">
        <v>9865.7796790990797</v>
      </c>
      <c r="AP1218" s="2">
        <v>14600.6173571007</v>
      </c>
      <c r="AQ1218" s="2">
        <v>16745.412909484901</v>
      </c>
      <c r="AR1218" s="2">
        <v>14065.7171267995</v>
      </c>
      <c r="AS1218" s="2">
        <v>17822.536529461999</v>
      </c>
      <c r="AT1218" s="2">
        <v>17181.3610802312</v>
      </c>
      <c r="AU1218" s="2">
        <v>20666.267819427201</v>
      </c>
      <c r="AV1218" s="2">
        <v>15539.8672986613</v>
      </c>
      <c r="AW1218" s="2">
        <v>13915.170962525901</v>
      </c>
      <c r="AX1218" s="2">
        <v>17586.892235480002</v>
      </c>
    </row>
    <row r="1219" spans="1:50" x14ac:dyDescent="0.25">
      <c r="A1219" s="2" t="s">
        <v>8469</v>
      </c>
      <c r="B1219" s="2">
        <v>301.15564662386902</v>
      </c>
      <c r="C1219" s="2">
        <v>4.0250333333333304</v>
      </c>
      <c r="D1219" s="2" t="s">
        <v>51</v>
      </c>
      <c r="E1219" s="2" t="s">
        <v>8470</v>
      </c>
      <c r="F1219" s="2">
        <v>204466</v>
      </c>
      <c r="G1219" s="3" t="str">
        <f>HYPERLINK("https://cloud.oebiotech.com/#/lm/network/204466", "https://cloud.oebiotech.com/#/lm/network/204466")</f>
        <v>https://cloud.oebiotech.com/#/lm/network/204466</v>
      </c>
      <c r="H1219" s="2" t="s">
        <v>8471</v>
      </c>
      <c r="I1219" s="2">
        <v>835599</v>
      </c>
      <c r="J1219" s="2"/>
      <c r="K1219" s="2">
        <v>54239304</v>
      </c>
      <c r="L1219" s="2"/>
      <c r="M1219" s="2"/>
      <c r="N1219" s="2"/>
      <c r="O1219" s="2"/>
      <c r="P1219" s="2"/>
      <c r="Q1219" s="2"/>
      <c r="R1219" s="2"/>
      <c r="S1219" s="2" t="s">
        <v>8472</v>
      </c>
      <c r="T1219" s="2" t="s">
        <v>8473</v>
      </c>
      <c r="U1219" s="2" t="s">
        <v>610</v>
      </c>
      <c r="V1219" s="2" t="s">
        <v>895</v>
      </c>
      <c r="W1219" s="2" t="s">
        <v>5219</v>
      </c>
      <c r="X1219" s="2" t="s">
        <v>147</v>
      </c>
      <c r="Y1219" s="2">
        <v>43</v>
      </c>
      <c r="Z1219" s="2">
        <v>23.7</v>
      </c>
      <c r="AA1219" s="2" t="s">
        <v>512</v>
      </c>
      <c r="AB1219" s="2" t="s">
        <v>8474</v>
      </c>
      <c r="AC1219" s="2">
        <v>3.4532434533863001</v>
      </c>
      <c r="AD1219" s="2"/>
      <c r="AE1219" s="2">
        <v>0.50888962179082997</v>
      </c>
      <c r="AF1219" s="2">
        <v>13484.2342116205</v>
      </c>
      <c r="AG1219" s="2">
        <v>4713.9803987531104</v>
      </c>
      <c r="AH1219" s="5">
        <v>2.8604773611674799</v>
      </c>
      <c r="AI1219" s="5">
        <v>1.5162559264166899</v>
      </c>
      <c r="AJ1219" s="5" t="s">
        <v>139</v>
      </c>
      <c r="AK1219" s="2">
        <v>0.15454860409611099</v>
      </c>
      <c r="AL1219" s="2">
        <v>0.47517092828514201</v>
      </c>
      <c r="AM1219" s="2">
        <v>7463.2600971050597</v>
      </c>
      <c r="AN1219" s="2">
        <v>16792.3728971448</v>
      </c>
      <c r="AO1219" s="2">
        <v>34479.636940064796</v>
      </c>
      <c r="AP1219" s="2">
        <v>17672.432075687699</v>
      </c>
      <c r="AQ1219" s="2">
        <v>2037.43821222257</v>
      </c>
      <c r="AR1219" s="2">
        <v>2460.2650474980901</v>
      </c>
      <c r="AS1219" s="2">
        <v>6012.5113227116399</v>
      </c>
      <c r="AT1219" s="2">
        <v>17369.680126765099</v>
      </c>
      <c r="AU1219" s="2">
        <v>743.48127680737002</v>
      </c>
      <c r="AV1219" s="2">
        <v>445.01913594282797</v>
      </c>
      <c r="AW1219" s="2">
        <v>732.21472419163695</v>
      </c>
      <c r="AX1219" s="2">
        <v>2980.9758061000598</v>
      </c>
    </row>
    <row r="1220" spans="1:50" x14ac:dyDescent="0.25">
      <c r="A1220" s="2" t="s">
        <v>8475</v>
      </c>
      <c r="B1220" s="2">
        <v>427.22518489056603</v>
      </c>
      <c r="C1220" s="2">
        <v>7.1716333333333298</v>
      </c>
      <c r="D1220" s="2" t="s">
        <v>51</v>
      </c>
      <c r="E1220" s="2" t="s">
        <v>8476</v>
      </c>
      <c r="F1220" s="2">
        <v>53268</v>
      </c>
      <c r="G1220" s="3" t="str">
        <f>HYPERLINK("https://cloud.oebiotech.com/#/lm/network/53268", "https://cloud.oebiotech.com/#/lm/network/53268")</f>
        <v>https://cloud.oebiotech.com/#/lm/network/53268</v>
      </c>
      <c r="H1220" s="2" t="s">
        <v>8477</v>
      </c>
      <c r="I1220" s="2">
        <v>43218</v>
      </c>
      <c r="J1220" s="2"/>
      <c r="K1220" s="2">
        <v>3749</v>
      </c>
      <c r="L1220" s="2" t="s">
        <v>8478</v>
      </c>
      <c r="M1220" s="2"/>
      <c r="N1220" s="2"/>
      <c r="O1220" s="2">
        <v>5959</v>
      </c>
      <c r="P1220" s="2" t="s">
        <v>2109</v>
      </c>
      <c r="Q1220" s="2" t="s">
        <v>2110</v>
      </c>
      <c r="R1220" s="2" t="s">
        <v>8479</v>
      </c>
      <c r="S1220" s="2" t="s">
        <v>8480</v>
      </c>
      <c r="T1220" s="2" t="s">
        <v>8481</v>
      </c>
      <c r="U1220" s="2" t="s">
        <v>610</v>
      </c>
      <c r="V1220" s="2" t="s">
        <v>611</v>
      </c>
      <c r="W1220" s="2" t="s">
        <v>8482</v>
      </c>
      <c r="X1220" s="2" t="s">
        <v>59</v>
      </c>
      <c r="Y1220" s="2">
        <v>47.8</v>
      </c>
      <c r="Z1220" s="2">
        <v>45.8</v>
      </c>
      <c r="AA1220" s="2" t="s">
        <v>163</v>
      </c>
      <c r="AB1220" s="2" t="s">
        <v>8483</v>
      </c>
      <c r="AC1220" s="2">
        <v>4.1478553046454397E-3</v>
      </c>
      <c r="AD1220" s="2"/>
      <c r="AE1220" s="2">
        <v>0.508380529818244</v>
      </c>
      <c r="AF1220" s="2">
        <v>18848.840481702398</v>
      </c>
      <c r="AG1220" s="2">
        <v>1383.2914591926401</v>
      </c>
      <c r="AH1220" s="5">
        <v>13.626080285859301</v>
      </c>
      <c r="AI1220" s="5">
        <v>3.7682987072554499</v>
      </c>
      <c r="AJ1220" s="5" t="s">
        <v>139</v>
      </c>
      <c r="AK1220" s="2">
        <v>0.22857151093415801</v>
      </c>
      <c r="AL1220" s="2">
        <v>0.55425453586297302</v>
      </c>
      <c r="AM1220" s="2">
        <v>279.85834758973903</v>
      </c>
      <c r="AN1220" s="2">
        <v>726.16608997766605</v>
      </c>
      <c r="AO1220" s="2">
        <v>1894.1457373143401</v>
      </c>
      <c r="AP1220" s="2">
        <v>3142.02821764183</v>
      </c>
      <c r="AQ1220" s="2">
        <v>84688.6075177233</v>
      </c>
      <c r="AR1220" s="2">
        <v>22362.236979967402</v>
      </c>
      <c r="AS1220" s="2">
        <v>3300.1145425721602</v>
      </c>
      <c r="AT1220" s="2">
        <v>889.40860892562705</v>
      </c>
      <c r="AU1220" s="2">
        <v>178.24599548928799</v>
      </c>
      <c r="AV1220" s="2">
        <v>1078.1044270197699</v>
      </c>
      <c r="AW1220" s="2">
        <v>2658.0709089930901</v>
      </c>
      <c r="AX1220" s="2">
        <v>195.804272155902</v>
      </c>
    </row>
    <row r="1221" spans="1:50" x14ac:dyDescent="0.25">
      <c r="A1221" s="2" t="s">
        <v>8484</v>
      </c>
      <c r="B1221" s="2">
        <v>336.32667570679598</v>
      </c>
      <c r="C1221" s="2">
        <v>11.880366666666699</v>
      </c>
      <c r="D1221" s="2" t="s">
        <v>51</v>
      </c>
      <c r="E1221" s="2" t="s">
        <v>8485</v>
      </c>
      <c r="F1221" s="2">
        <v>38973</v>
      </c>
      <c r="G1221" s="3" t="str">
        <f>HYPERLINK("https://cloud.oebiotech.com/#/lm/network/38973", "https://cloud.oebiotech.com/#/lm/network/38973")</f>
        <v>https://cloud.oebiotech.com/#/lm/network/38973</v>
      </c>
      <c r="H1221" s="2"/>
      <c r="I1221" s="2">
        <v>53931</v>
      </c>
      <c r="J1221" s="2" t="s">
        <v>8486</v>
      </c>
      <c r="K1221" s="2">
        <v>10236627</v>
      </c>
      <c r="L1221" s="2"/>
      <c r="M1221" s="2"/>
      <c r="N1221" s="2"/>
      <c r="O1221" s="2"/>
      <c r="P1221" s="2"/>
      <c r="Q1221" s="2"/>
      <c r="R1221" s="2"/>
      <c r="S1221" s="2" t="s">
        <v>8487</v>
      </c>
      <c r="T1221" s="2" t="s">
        <v>8488</v>
      </c>
      <c r="U1221" s="2" t="s">
        <v>119</v>
      </c>
      <c r="V1221" s="2" t="s">
        <v>120</v>
      </c>
      <c r="W1221" s="2" t="s">
        <v>1887</v>
      </c>
      <c r="X1221" s="2" t="s">
        <v>69</v>
      </c>
      <c r="Y1221" s="2">
        <v>68.599999999999994</v>
      </c>
      <c r="Z1221" s="2">
        <v>91.4</v>
      </c>
      <c r="AA1221" s="2" t="s">
        <v>95</v>
      </c>
      <c r="AB1221" s="2" t="s">
        <v>8489</v>
      </c>
      <c r="AC1221" s="2">
        <v>9.5425934905098906</v>
      </c>
      <c r="AD1221" s="2"/>
      <c r="AE1221" s="2">
        <v>0.50823123392147396</v>
      </c>
      <c r="AF1221" s="2">
        <v>43011.85823423</v>
      </c>
      <c r="AG1221" s="2">
        <v>29516.214029408198</v>
      </c>
      <c r="AH1221" s="5">
        <v>1.4572281591187599</v>
      </c>
      <c r="AI1221" s="5">
        <v>0.54322677874705205</v>
      </c>
      <c r="AJ1221" s="5" t="s">
        <v>139</v>
      </c>
      <c r="AK1221" s="2">
        <v>0.437147512841363</v>
      </c>
      <c r="AL1221" s="2">
        <v>0.69389880990636499</v>
      </c>
      <c r="AM1221" s="2">
        <v>45364.328147169697</v>
      </c>
      <c r="AN1221" s="2">
        <v>25472.1800933472</v>
      </c>
      <c r="AO1221" s="2">
        <v>120038.789742947</v>
      </c>
      <c r="AP1221" s="2">
        <v>10136.5329501734</v>
      </c>
      <c r="AQ1221" s="2">
        <v>34495.071508014298</v>
      </c>
      <c r="AR1221" s="2">
        <v>22564.246963728499</v>
      </c>
      <c r="AS1221" s="2">
        <v>44155.306635110297</v>
      </c>
      <c r="AT1221" s="2">
        <v>19975.009879266901</v>
      </c>
      <c r="AU1221" s="2">
        <v>27353.0758725452</v>
      </c>
      <c r="AV1221" s="2">
        <v>35764.940755536198</v>
      </c>
      <c r="AW1221" s="2">
        <v>33059.455324792303</v>
      </c>
      <c r="AX1221" s="2">
        <v>16789.4957091986</v>
      </c>
    </row>
    <row r="1222" spans="1:50" x14ac:dyDescent="0.25">
      <c r="A1222" s="2" t="s">
        <v>8490</v>
      </c>
      <c r="B1222" s="2">
        <v>380.257154425012</v>
      </c>
      <c r="C1222" s="2">
        <v>9.6451499999999992</v>
      </c>
      <c r="D1222" s="2" t="s">
        <v>51</v>
      </c>
      <c r="E1222" s="2" t="s">
        <v>8491</v>
      </c>
      <c r="F1222" s="2">
        <v>38933</v>
      </c>
      <c r="G1222" s="3" t="str">
        <f>HYPERLINK("https://cloud.oebiotech.com/#/lm/network/38933", "https://cloud.oebiotech.com/#/lm/network/38933")</f>
        <v>https://cloud.oebiotech.com/#/lm/network/38933</v>
      </c>
      <c r="H1222" s="2" t="s">
        <v>8492</v>
      </c>
      <c r="I1222" s="2">
        <v>3891</v>
      </c>
      <c r="J1222" s="2" t="s">
        <v>8493</v>
      </c>
      <c r="K1222" s="2">
        <v>5283560</v>
      </c>
      <c r="L1222" s="2" t="s">
        <v>8494</v>
      </c>
      <c r="M1222" s="2" t="s">
        <v>8495</v>
      </c>
      <c r="N1222" s="2" t="s">
        <v>8496</v>
      </c>
      <c r="O1222" s="2">
        <v>37550</v>
      </c>
      <c r="P1222" s="2"/>
      <c r="Q1222" s="2"/>
      <c r="R1222" s="2" t="s">
        <v>8497</v>
      </c>
      <c r="S1222" s="2" t="s">
        <v>8498</v>
      </c>
      <c r="T1222" s="2" t="s">
        <v>8499</v>
      </c>
      <c r="U1222" s="2" t="s">
        <v>56</v>
      </c>
      <c r="V1222" s="2" t="s">
        <v>344</v>
      </c>
      <c r="W1222" s="2" t="s">
        <v>1239</v>
      </c>
      <c r="X1222" s="2" t="s">
        <v>69</v>
      </c>
      <c r="Y1222" s="2">
        <v>60.3</v>
      </c>
      <c r="Z1222" s="2">
        <v>83</v>
      </c>
      <c r="AA1222" s="2" t="s">
        <v>196</v>
      </c>
      <c r="AB1222" s="2" t="s">
        <v>8500</v>
      </c>
      <c r="AC1222" s="2">
        <v>2.9480432642503498</v>
      </c>
      <c r="AD1222" s="2"/>
      <c r="AE1222" s="2">
        <v>0.50815807389579704</v>
      </c>
      <c r="AF1222" s="2">
        <v>281899.91692081001</v>
      </c>
      <c r="AG1222" s="2">
        <v>241356.192983619</v>
      </c>
      <c r="AH1222" s="5">
        <v>1.16798294436117</v>
      </c>
      <c r="AI1222" s="5">
        <v>0.22401920721004001</v>
      </c>
      <c r="AJ1222" s="5" t="s">
        <v>139</v>
      </c>
      <c r="AK1222" s="2">
        <v>0.44370846338481501</v>
      </c>
      <c r="AL1222" s="2">
        <v>0.69908803275019105</v>
      </c>
      <c r="AM1222" s="2">
        <v>140267.44521436401</v>
      </c>
      <c r="AN1222" s="2">
        <v>272021.50406990602</v>
      </c>
      <c r="AO1222" s="2">
        <v>310820.11796290497</v>
      </c>
      <c r="AP1222" s="2">
        <v>379485.03640158498</v>
      </c>
      <c r="AQ1222" s="2">
        <v>313619.37850155501</v>
      </c>
      <c r="AR1222" s="2">
        <v>275186.01937454799</v>
      </c>
      <c r="AS1222" s="2">
        <v>398171.94918544299</v>
      </c>
      <c r="AT1222" s="2">
        <v>314988.40369149501</v>
      </c>
      <c r="AU1222" s="2">
        <v>220281.09422297199</v>
      </c>
      <c r="AV1222" s="2">
        <v>159052.73266822699</v>
      </c>
      <c r="AW1222" s="2">
        <v>159478.724330531</v>
      </c>
      <c r="AX1222" s="2">
        <v>196164.25380304901</v>
      </c>
    </row>
    <row r="1223" spans="1:50" x14ac:dyDescent="0.25">
      <c r="A1223" s="2" t="s">
        <v>8501</v>
      </c>
      <c r="B1223" s="2">
        <v>454.29417342674998</v>
      </c>
      <c r="C1223" s="2">
        <v>7.5302333333333298</v>
      </c>
      <c r="D1223" s="2" t="s">
        <v>51</v>
      </c>
      <c r="E1223" s="2" t="s">
        <v>8502</v>
      </c>
      <c r="F1223" s="2">
        <v>267366</v>
      </c>
      <c r="G1223" s="3" t="str">
        <f>HYPERLINK("https://cloud.oebiotech.com/#/lm/network/267366", "https://cloud.oebiotech.com/#/lm/network/267366")</f>
        <v>https://cloud.oebiotech.com/#/lm/network/267366</v>
      </c>
      <c r="H1223" s="2"/>
      <c r="I1223" s="2">
        <v>45334</v>
      </c>
      <c r="J1223" s="2"/>
      <c r="K1223" s="2">
        <v>53393933</v>
      </c>
      <c r="L1223" s="2"/>
      <c r="M1223" s="2"/>
      <c r="N1223" s="2"/>
      <c r="O1223" s="2"/>
      <c r="P1223" s="2"/>
      <c r="Q1223" s="2"/>
      <c r="R1223" s="2" t="s">
        <v>8503</v>
      </c>
      <c r="S1223" s="2" t="s">
        <v>8504</v>
      </c>
      <c r="T1223" s="2" t="s">
        <v>8505</v>
      </c>
      <c r="U1223" s="2" t="s">
        <v>56</v>
      </c>
      <c r="V1223" s="2" t="s">
        <v>57</v>
      </c>
      <c r="W1223" s="2" t="s">
        <v>155</v>
      </c>
      <c r="X1223" s="2" t="s">
        <v>59</v>
      </c>
      <c r="Y1223" s="2">
        <v>47.5</v>
      </c>
      <c r="Z1223" s="2">
        <v>48</v>
      </c>
      <c r="AA1223" s="2" t="s">
        <v>259</v>
      </c>
      <c r="AB1223" s="2" t="s">
        <v>2669</v>
      </c>
      <c r="AC1223" s="2">
        <v>2.9950480027455</v>
      </c>
      <c r="AD1223" s="2"/>
      <c r="AE1223" s="2">
        <v>0.50809830642396903</v>
      </c>
      <c r="AF1223" s="2">
        <v>554.37757547826004</v>
      </c>
      <c r="AG1223" s="2">
        <v>8639.8426514801395</v>
      </c>
      <c r="AH1223" s="4">
        <v>6.4165239789787901E-2</v>
      </c>
      <c r="AI1223" s="4">
        <v>-3.9620642314282799</v>
      </c>
      <c r="AJ1223" s="4" t="s">
        <v>62</v>
      </c>
      <c r="AK1223" s="2">
        <v>9.2637079755086005E-2</v>
      </c>
      <c r="AL1223" s="2">
        <v>0.39171747207476998</v>
      </c>
      <c r="AM1223" s="2">
        <v>8.559877937157E-6</v>
      </c>
      <c r="AN1223" s="2">
        <v>1896.63074257991</v>
      </c>
      <c r="AO1223" s="2">
        <v>368.56338126418899</v>
      </c>
      <c r="AP1223" s="2">
        <v>487.18773534885401</v>
      </c>
      <c r="AQ1223" s="2">
        <v>126.32496744583</v>
      </c>
      <c r="AR1223" s="2">
        <v>447.55861767089903</v>
      </c>
      <c r="AS1223" s="2">
        <v>234.49436638456299</v>
      </c>
      <c r="AT1223" s="2">
        <v>9532.4531169213296</v>
      </c>
      <c r="AU1223" s="2">
        <v>560.55898228519698</v>
      </c>
      <c r="AV1223" s="2">
        <v>27834.757615917999</v>
      </c>
      <c r="AW1223" s="2">
        <v>12005.0864445601</v>
      </c>
      <c r="AX1223" s="2">
        <v>1671.70538281164</v>
      </c>
    </row>
    <row r="1224" spans="1:50" x14ac:dyDescent="0.25">
      <c r="A1224" s="2" t="s">
        <v>8506</v>
      </c>
      <c r="B1224" s="2">
        <v>581.24136878441402</v>
      </c>
      <c r="C1224" s="2">
        <v>4.6885500000000002</v>
      </c>
      <c r="D1224" s="2" t="s">
        <v>51</v>
      </c>
      <c r="E1224" s="2" t="s">
        <v>8507</v>
      </c>
      <c r="F1224" s="2">
        <v>48445</v>
      </c>
      <c r="G1224" s="3" t="str">
        <f>HYPERLINK("https://cloud.oebiotech.com/#/lm/network/48445", "https://cloud.oebiotech.com/#/lm/network/48445")</f>
        <v>https://cloud.oebiotech.com/#/lm/network/48445</v>
      </c>
      <c r="H1224" s="2" t="s">
        <v>8508</v>
      </c>
      <c r="I1224" s="2">
        <v>1136</v>
      </c>
      <c r="J1224" s="2"/>
      <c r="K1224" s="2">
        <v>60823</v>
      </c>
      <c r="L1224" s="2" t="s">
        <v>8509</v>
      </c>
      <c r="M1224" s="2"/>
      <c r="N1224" s="2"/>
      <c r="O1224" s="2">
        <v>39548</v>
      </c>
      <c r="P1224" s="2"/>
      <c r="Q1224" s="2"/>
      <c r="R1224" s="2" t="s">
        <v>8510</v>
      </c>
      <c r="S1224" s="2" t="s">
        <v>8511</v>
      </c>
      <c r="T1224" s="2" t="s">
        <v>8512</v>
      </c>
      <c r="U1224" s="2" t="s">
        <v>266</v>
      </c>
      <c r="V1224" s="2" t="s">
        <v>8513</v>
      </c>
      <c r="W1224" s="2" t="s">
        <v>8514</v>
      </c>
      <c r="X1224" s="2" t="s">
        <v>147</v>
      </c>
      <c r="Y1224" s="2">
        <v>45.9</v>
      </c>
      <c r="Z1224" s="2">
        <v>41.1</v>
      </c>
      <c r="AA1224" s="2" t="s">
        <v>95</v>
      </c>
      <c r="AB1224" s="2" t="s">
        <v>8515</v>
      </c>
      <c r="AC1224" s="2">
        <v>-1.52680851766904</v>
      </c>
      <c r="AD1224" s="2"/>
      <c r="AE1224" s="2">
        <v>0.50773840817082205</v>
      </c>
      <c r="AF1224" s="2">
        <v>177.16646424075901</v>
      </c>
      <c r="AG1224" s="2">
        <v>11849.7858969067</v>
      </c>
      <c r="AH1224" s="4">
        <v>1.4951026607747201E-2</v>
      </c>
      <c r="AI1224" s="4">
        <v>-6.0636116397288902</v>
      </c>
      <c r="AJ1224" s="4" t="s">
        <v>62</v>
      </c>
      <c r="AK1224" s="2">
        <v>0.33492642779096798</v>
      </c>
      <c r="AL1224" s="2">
        <v>0.63560179716806797</v>
      </c>
      <c r="AM1224" s="2">
        <v>8.559877937157E-6</v>
      </c>
      <c r="AN1224" s="2">
        <v>212.95053960620001</v>
      </c>
      <c r="AO1224" s="2">
        <v>144.32763396265301</v>
      </c>
      <c r="AP1224" s="2">
        <v>190.50838435539401</v>
      </c>
      <c r="AQ1224" s="2">
        <v>8.559877937157E-6</v>
      </c>
      <c r="AR1224" s="2">
        <v>515.21221040055298</v>
      </c>
      <c r="AS1224" s="2">
        <v>8.559877937157E-6</v>
      </c>
      <c r="AT1224" s="2">
        <v>21.9144706211783</v>
      </c>
      <c r="AU1224" s="2">
        <v>8.559877937157E-6</v>
      </c>
      <c r="AV1224" s="2">
        <v>813.67608883757202</v>
      </c>
      <c r="AW1224" s="2">
        <v>69454.968126809996</v>
      </c>
      <c r="AX1224" s="2">
        <v>808.15667805162798</v>
      </c>
    </row>
    <row r="1225" spans="1:50" x14ac:dyDescent="0.25">
      <c r="A1225" s="2" t="s">
        <v>8516</v>
      </c>
      <c r="B1225" s="2">
        <v>526.24820720273897</v>
      </c>
      <c r="C1225" s="2">
        <v>5.9890833333333298</v>
      </c>
      <c r="D1225" s="2" t="s">
        <v>51</v>
      </c>
      <c r="E1225" s="2" t="s">
        <v>8517</v>
      </c>
      <c r="F1225" s="2">
        <v>46734</v>
      </c>
      <c r="G1225" s="3" t="str">
        <f>HYPERLINK("https://cloud.oebiotech.com/#/lm/network/46734", "https://cloud.oebiotech.com/#/lm/network/46734")</f>
        <v>https://cloud.oebiotech.com/#/lm/network/46734</v>
      </c>
      <c r="H1225" s="2" t="s">
        <v>8518</v>
      </c>
      <c r="I1225" s="2">
        <v>6726</v>
      </c>
      <c r="J1225" s="2" t="s">
        <v>8519</v>
      </c>
      <c r="K1225" s="2">
        <v>20849198</v>
      </c>
      <c r="L1225" s="2"/>
      <c r="M1225" s="2"/>
      <c r="N1225" s="2"/>
      <c r="O1225" s="2"/>
      <c r="P1225" s="2"/>
      <c r="Q1225" s="2"/>
      <c r="R1225" s="2"/>
      <c r="S1225" s="2" t="s">
        <v>8520</v>
      </c>
      <c r="T1225" s="2" t="s">
        <v>8521</v>
      </c>
      <c r="U1225" s="2" t="s">
        <v>56</v>
      </c>
      <c r="V1225" s="2" t="s">
        <v>283</v>
      </c>
      <c r="W1225" s="2" t="s">
        <v>2042</v>
      </c>
      <c r="X1225" s="2" t="s">
        <v>83</v>
      </c>
      <c r="Y1225" s="2">
        <v>41.2</v>
      </c>
      <c r="Z1225" s="2">
        <v>0.28100000000000003</v>
      </c>
      <c r="AA1225" s="2" t="s">
        <v>379</v>
      </c>
      <c r="AB1225" s="2" t="s">
        <v>5885</v>
      </c>
      <c r="AC1225" s="2">
        <v>0.35828924199773798</v>
      </c>
      <c r="AD1225" s="2"/>
      <c r="AE1225" s="2">
        <v>0.50773252504106903</v>
      </c>
      <c r="AF1225" s="2">
        <v>4649.7121751350496</v>
      </c>
      <c r="AG1225" s="2">
        <v>10461.1803754455</v>
      </c>
      <c r="AH1225" s="4">
        <v>0.44447299523186501</v>
      </c>
      <c r="AI1225" s="4">
        <v>-1.16983232674025</v>
      </c>
      <c r="AJ1225" s="4" t="s">
        <v>62</v>
      </c>
      <c r="AK1225" s="2">
        <v>9.5030376807057095E-3</v>
      </c>
      <c r="AL1225" s="2">
        <v>0.16028276906349401</v>
      </c>
      <c r="AM1225" s="2">
        <v>5699.1337268339403</v>
      </c>
      <c r="AN1225" s="2">
        <v>3783.7052232169299</v>
      </c>
      <c r="AO1225" s="2">
        <v>2045.4790038086201</v>
      </c>
      <c r="AP1225" s="2">
        <v>7198.7823204021597</v>
      </c>
      <c r="AQ1225" s="2">
        <v>4851.7636817191997</v>
      </c>
      <c r="AR1225" s="2">
        <v>4319.4090948294597</v>
      </c>
      <c r="AS1225" s="2">
        <v>5982.3757211041402</v>
      </c>
      <c r="AT1225" s="2">
        <v>8701.3474798627303</v>
      </c>
      <c r="AU1225" s="2">
        <v>8984.80188011672</v>
      </c>
      <c r="AV1225" s="2">
        <v>12698.471292030899</v>
      </c>
      <c r="AW1225" s="2">
        <v>17579.6994303342</v>
      </c>
      <c r="AX1225" s="2">
        <v>8820.3864492241592</v>
      </c>
    </row>
    <row r="1226" spans="1:50" x14ac:dyDescent="0.25">
      <c r="A1226" s="2" t="s">
        <v>8522</v>
      </c>
      <c r="B1226" s="2">
        <v>165.01848295174401</v>
      </c>
      <c r="C1226" s="2">
        <v>4.2766000000000002</v>
      </c>
      <c r="D1226" s="2" t="s">
        <v>51</v>
      </c>
      <c r="E1226" s="2" t="s">
        <v>8523</v>
      </c>
      <c r="F1226" s="2">
        <v>47810</v>
      </c>
      <c r="G1226" s="3" t="str">
        <f>HYPERLINK("https://cloud.oebiotech.com/#/lm/network/47810", "https://cloud.oebiotech.com/#/lm/network/47810")</f>
        <v>https://cloud.oebiotech.com/#/lm/network/47810</v>
      </c>
      <c r="H1226" s="2" t="s">
        <v>8524</v>
      </c>
      <c r="I1226" s="2">
        <v>268522</v>
      </c>
      <c r="J1226" s="2"/>
      <c r="K1226" s="2">
        <v>1017</v>
      </c>
      <c r="L1226" s="2" t="s">
        <v>8525</v>
      </c>
      <c r="M1226" s="2" t="s">
        <v>1638</v>
      </c>
      <c r="N1226" s="2" t="s">
        <v>1639</v>
      </c>
      <c r="O1226" s="2">
        <v>29069</v>
      </c>
      <c r="P1226" s="2"/>
      <c r="Q1226" s="2"/>
      <c r="R1226" s="2" t="s">
        <v>8526</v>
      </c>
      <c r="S1226" s="2" t="s">
        <v>8527</v>
      </c>
      <c r="T1226" s="2" t="s">
        <v>8528</v>
      </c>
      <c r="U1226" s="2" t="s">
        <v>610</v>
      </c>
      <c r="V1226" s="2" t="s">
        <v>611</v>
      </c>
      <c r="W1226" s="2" t="s">
        <v>1122</v>
      </c>
      <c r="X1226" s="2" t="s">
        <v>69</v>
      </c>
      <c r="Y1226" s="2">
        <v>55.5</v>
      </c>
      <c r="Z1226" s="2">
        <v>66.7</v>
      </c>
      <c r="AA1226" s="2" t="s">
        <v>163</v>
      </c>
      <c r="AB1226" s="2" t="s">
        <v>8529</v>
      </c>
      <c r="AC1226" s="2">
        <v>-5.1153662798587201</v>
      </c>
      <c r="AD1226" s="2"/>
      <c r="AE1226" s="2">
        <v>0.50752048858347198</v>
      </c>
      <c r="AF1226" s="2">
        <v>17858.088373509101</v>
      </c>
      <c r="AG1226" s="2">
        <v>25008.392689247201</v>
      </c>
      <c r="AH1226" s="4">
        <v>0.71408381159927303</v>
      </c>
      <c r="AI1226" s="4">
        <v>-0.48583468242216599</v>
      </c>
      <c r="AJ1226" s="4" t="s">
        <v>62</v>
      </c>
      <c r="AK1226" s="2">
        <v>6.8237578032902299E-2</v>
      </c>
      <c r="AL1226" s="2">
        <v>0.34626196647977903</v>
      </c>
      <c r="AM1226" s="2">
        <v>13673.084841150299</v>
      </c>
      <c r="AN1226" s="2">
        <v>18717.544605617601</v>
      </c>
      <c r="AO1226" s="2">
        <v>20588.798929422901</v>
      </c>
      <c r="AP1226" s="2">
        <v>23152.591842151</v>
      </c>
      <c r="AQ1226" s="2">
        <v>16567.205583774499</v>
      </c>
      <c r="AR1226" s="2">
        <v>14449.304438937999</v>
      </c>
      <c r="AS1226" s="2">
        <v>27757.928513230501</v>
      </c>
      <c r="AT1226" s="2">
        <v>26973.8095452651</v>
      </c>
      <c r="AU1226" s="2">
        <v>19555.5040460696</v>
      </c>
      <c r="AV1226" s="2">
        <v>37321.746883003703</v>
      </c>
      <c r="AW1226" s="2">
        <v>14722.168278016299</v>
      </c>
      <c r="AX1226" s="2">
        <v>23719.1988698981</v>
      </c>
    </row>
    <row r="1227" spans="1:50" x14ac:dyDescent="0.25">
      <c r="A1227" s="2" t="s">
        <v>8530</v>
      </c>
      <c r="B1227" s="2">
        <v>389.197100095292</v>
      </c>
      <c r="C1227" s="2">
        <v>6.8612500000000001</v>
      </c>
      <c r="D1227" s="2" t="s">
        <v>51</v>
      </c>
      <c r="E1227" s="2" t="s">
        <v>8531</v>
      </c>
      <c r="F1227" s="2">
        <v>210655</v>
      </c>
      <c r="G1227" s="3" t="str">
        <f>HYPERLINK("https://cloud.oebiotech.com/#/lm/network/210655", "https://cloud.oebiotech.com/#/lm/network/210655")</f>
        <v>https://cloud.oebiotech.com/#/lm/network/210655</v>
      </c>
      <c r="H1227" s="2" t="s">
        <v>8532</v>
      </c>
      <c r="I1227" s="2"/>
      <c r="J1227" s="2"/>
      <c r="K1227" s="2">
        <v>4962</v>
      </c>
      <c r="L1227" s="2"/>
      <c r="M1227" s="2"/>
      <c r="N1227" s="2"/>
      <c r="O1227" s="2"/>
      <c r="P1227" s="2"/>
      <c r="Q1227" s="2"/>
      <c r="R1227" s="2"/>
      <c r="S1227" s="2" t="s">
        <v>8533</v>
      </c>
      <c r="T1227" s="2" t="s">
        <v>8534</v>
      </c>
      <c r="U1227" s="2" t="s">
        <v>56</v>
      </c>
      <c r="V1227" s="2" t="s">
        <v>177</v>
      </c>
      <c r="W1227" s="2" t="s">
        <v>178</v>
      </c>
      <c r="X1227" s="2" t="s">
        <v>83</v>
      </c>
      <c r="Y1227" s="2">
        <v>44.6</v>
      </c>
      <c r="Z1227" s="2">
        <v>0</v>
      </c>
      <c r="AA1227" s="2" t="s">
        <v>163</v>
      </c>
      <c r="AB1227" s="2" t="s">
        <v>8535</v>
      </c>
      <c r="AC1227" s="2">
        <v>0.35327097460969298</v>
      </c>
      <c r="AD1227" s="2"/>
      <c r="AE1227" s="2">
        <v>0.50643101576675797</v>
      </c>
      <c r="AF1227" s="2">
        <v>10635.4842702435</v>
      </c>
      <c r="AG1227" s="2">
        <v>4224.5056098107698</v>
      </c>
      <c r="AH1227" s="5">
        <v>2.51756897790459</v>
      </c>
      <c r="AI1227" s="5">
        <v>1.3320313066203799</v>
      </c>
      <c r="AJ1227" s="5" t="s">
        <v>139</v>
      </c>
      <c r="AK1227" s="2">
        <v>9.5786910110284507E-2</v>
      </c>
      <c r="AL1227" s="2">
        <v>0.39524362296311799</v>
      </c>
      <c r="AM1227" s="2">
        <v>26428.029354873299</v>
      </c>
      <c r="AN1227" s="2">
        <v>8730.7127257105294</v>
      </c>
      <c r="AO1227" s="2">
        <v>6532.8046177165097</v>
      </c>
      <c r="AP1227" s="2">
        <v>9597.1875753040003</v>
      </c>
      <c r="AQ1227" s="2">
        <v>3282.5420472145302</v>
      </c>
      <c r="AR1227" s="2">
        <v>9241.6293006420292</v>
      </c>
      <c r="AS1227" s="2">
        <v>7897.5690170532598</v>
      </c>
      <c r="AT1227" s="2">
        <v>4257.2658535129804</v>
      </c>
      <c r="AU1227" s="2">
        <v>3081.58334176679</v>
      </c>
      <c r="AV1227" s="2">
        <v>615.05011686820399</v>
      </c>
      <c r="AW1227" s="2">
        <v>2586.1079225731301</v>
      </c>
      <c r="AX1227" s="2">
        <v>6909.4574070902299</v>
      </c>
    </row>
    <row r="1228" spans="1:50" x14ac:dyDescent="0.25">
      <c r="A1228" s="2" t="s">
        <v>8536</v>
      </c>
      <c r="B1228" s="2">
        <v>617.29565624698603</v>
      </c>
      <c r="C1228" s="2">
        <v>4.5102333333333302</v>
      </c>
      <c r="D1228" s="2" t="s">
        <v>51</v>
      </c>
      <c r="E1228" s="2" t="s">
        <v>8537</v>
      </c>
      <c r="F1228" s="2">
        <v>59796</v>
      </c>
      <c r="G1228" s="3" t="str">
        <f>HYPERLINK("https://cloud.oebiotech.com/#/lm/network/59796", "https://cloud.oebiotech.com/#/lm/network/59796")</f>
        <v>https://cloud.oebiotech.com/#/lm/network/59796</v>
      </c>
      <c r="H1228" s="2" t="s">
        <v>8538</v>
      </c>
      <c r="I1228" s="2">
        <v>91172</v>
      </c>
      <c r="J1228" s="2"/>
      <c r="K1228" s="2">
        <v>73657194</v>
      </c>
      <c r="L1228" s="2"/>
      <c r="M1228" s="2"/>
      <c r="N1228" s="2"/>
      <c r="O1228" s="2"/>
      <c r="P1228" s="2"/>
      <c r="Q1228" s="2"/>
      <c r="R1228" s="2" t="s">
        <v>8539</v>
      </c>
      <c r="S1228" s="2" t="s">
        <v>8540</v>
      </c>
      <c r="T1228" s="2" t="s">
        <v>8541</v>
      </c>
      <c r="U1228" s="2" t="s">
        <v>56</v>
      </c>
      <c r="V1228" s="2" t="s">
        <v>177</v>
      </c>
      <c r="W1228" s="2" t="s">
        <v>3270</v>
      </c>
      <c r="X1228" s="2" t="s">
        <v>147</v>
      </c>
      <c r="Y1228" s="2">
        <v>39.700000000000003</v>
      </c>
      <c r="Z1228" s="2">
        <v>6.23</v>
      </c>
      <c r="AA1228" s="2" t="s">
        <v>218</v>
      </c>
      <c r="AB1228" s="2" t="s">
        <v>8542</v>
      </c>
      <c r="AC1228" s="2">
        <v>-1.8864457472817699</v>
      </c>
      <c r="AD1228" s="2"/>
      <c r="AE1228" s="2">
        <v>0.50627311844404599</v>
      </c>
      <c r="AF1228" s="2">
        <v>1697.8525923613799</v>
      </c>
      <c r="AG1228" s="2">
        <v>13204.7394726784</v>
      </c>
      <c r="AH1228" s="4">
        <v>0.12857902996680601</v>
      </c>
      <c r="AI1228" s="4">
        <v>-2.9592727230596201</v>
      </c>
      <c r="AJ1228" s="4" t="s">
        <v>62</v>
      </c>
      <c r="AK1228" s="2">
        <v>0.37200409058200501</v>
      </c>
      <c r="AL1228" s="2">
        <v>0.65427414400572603</v>
      </c>
      <c r="AM1228" s="2">
        <v>894.57205740007601</v>
      </c>
      <c r="AN1228" s="2">
        <v>189.14570090607</v>
      </c>
      <c r="AO1228" s="2">
        <v>619.06767443987997</v>
      </c>
      <c r="AP1228" s="2">
        <v>1228.54470336647</v>
      </c>
      <c r="AQ1228" s="2">
        <v>1607.07729641372</v>
      </c>
      <c r="AR1228" s="2">
        <v>5648.7081216420602</v>
      </c>
      <c r="AS1228" s="2">
        <v>1757.9104325585599</v>
      </c>
      <c r="AT1228" s="2">
        <v>440.35368383613002</v>
      </c>
      <c r="AU1228" s="2">
        <v>4.8056317457836801</v>
      </c>
      <c r="AV1228" s="2">
        <v>74596.163771660998</v>
      </c>
      <c r="AW1228" s="2">
        <v>10.021026161156501</v>
      </c>
      <c r="AX1228" s="2">
        <v>2419.1822901078499</v>
      </c>
    </row>
    <row r="1229" spans="1:50" x14ac:dyDescent="0.25">
      <c r="A1229" s="2" t="s">
        <v>8543</v>
      </c>
      <c r="B1229" s="2">
        <v>137.132871096527</v>
      </c>
      <c r="C1229" s="2">
        <v>2.8218000000000001</v>
      </c>
      <c r="D1229" s="2" t="s">
        <v>51</v>
      </c>
      <c r="E1229" s="2" t="s">
        <v>8544</v>
      </c>
      <c r="F1229" s="2">
        <v>35365</v>
      </c>
      <c r="G1229" s="3" t="str">
        <f>HYPERLINK("https://cloud.oebiotech.com/#/lm/network/35365", "https://cloud.oebiotech.com/#/lm/network/35365")</f>
        <v>https://cloud.oebiotech.com/#/lm/network/35365</v>
      </c>
      <c r="H1229" s="2" t="s">
        <v>8545</v>
      </c>
      <c r="I1229" s="2">
        <v>4020</v>
      </c>
      <c r="J1229" s="2" t="s">
        <v>8546</v>
      </c>
      <c r="K1229" s="2">
        <v>2758</v>
      </c>
      <c r="L1229" s="2" t="s">
        <v>8547</v>
      </c>
      <c r="M1229" s="2" t="s">
        <v>8548</v>
      </c>
      <c r="N1229" s="2" t="s">
        <v>8549</v>
      </c>
      <c r="O1229" s="2">
        <v>27961</v>
      </c>
      <c r="P1229" s="2"/>
      <c r="Q1229" s="2"/>
      <c r="R1229" s="2" t="s">
        <v>8550</v>
      </c>
      <c r="S1229" s="2" t="s">
        <v>8551</v>
      </c>
      <c r="T1229" s="2" t="s">
        <v>8552</v>
      </c>
      <c r="U1229" s="2" t="s">
        <v>266</v>
      </c>
      <c r="V1229" s="2" t="s">
        <v>2128</v>
      </c>
      <c r="W1229" s="2" t="s">
        <v>240</v>
      </c>
      <c r="X1229" s="2" t="s">
        <v>147</v>
      </c>
      <c r="Y1229" s="2">
        <v>38.6</v>
      </c>
      <c r="Z1229" s="2">
        <v>0</v>
      </c>
      <c r="AA1229" s="2" t="s">
        <v>156</v>
      </c>
      <c r="AB1229" s="2" t="s">
        <v>8553</v>
      </c>
      <c r="AC1229" s="2">
        <v>2.5571593107405901</v>
      </c>
      <c r="AD1229" s="2"/>
      <c r="AE1229" s="2">
        <v>0.50624479835270897</v>
      </c>
      <c r="AF1229" s="2">
        <v>25051.631850445199</v>
      </c>
      <c r="AG1229" s="2">
        <v>32789.582730873401</v>
      </c>
      <c r="AH1229" s="4">
        <v>0.764011913663592</v>
      </c>
      <c r="AI1229" s="4">
        <v>-0.38833295970307502</v>
      </c>
      <c r="AJ1229" s="4" t="s">
        <v>62</v>
      </c>
      <c r="AK1229" s="2">
        <v>3.6324911703634097E-2</v>
      </c>
      <c r="AL1229" s="2">
        <v>0.27827225907674302</v>
      </c>
      <c r="AM1229" s="2">
        <v>20818.514707489401</v>
      </c>
      <c r="AN1229" s="2">
        <v>25298.3192729822</v>
      </c>
      <c r="AO1229" s="2">
        <v>23142.629465947801</v>
      </c>
      <c r="AP1229" s="2">
        <v>24774.723466827199</v>
      </c>
      <c r="AQ1229" s="2">
        <v>30858.386512353802</v>
      </c>
      <c r="AR1229" s="2">
        <v>25417.217677070999</v>
      </c>
      <c r="AS1229" s="2">
        <v>30732.081327317999</v>
      </c>
      <c r="AT1229" s="2">
        <v>42369.323677434899</v>
      </c>
      <c r="AU1229" s="2">
        <v>28071.4466744044</v>
      </c>
      <c r="AV1229" s="2">
        <v>23830.647131315</v>
      </c>
      <c r="AW1229" s="2">
        <v>31696.893076782599</v>
      </c>
      <c r="AX1229" s="2">
        <v>40037.104497985303</v>
      </c>
    </row>
    <row r="1230" spans="1:50" x14ac:dyDescent="0.25">
      <c r="A1230" s="2" t="s">
        <v>8554</v>
      </c>
      <c r="B1230" s="2">
        <v>373.274891022519</v>
      </c>
      <c r="C1230" s="2">
        <v>11.4845333333333</v>
      </c>
      <c r="D1230" s="2" t="s">
        <v>51</v>
      </c>
      <c r="E1230" s="2" t="s">
        <v>8555</v>
      </c>
      <c r="F1230" s="2">
        <v>46074</v>
      </c>
      <c r="G1230" s="3" t="str">
        <f>HYPERLINK("https://cloud.oebiotech.com/#/lm/network/46074", "https://cloud.oebiotech.com/#/lm/network/46074")</f>
        <v>https://cloud.oebiotech.com/#/lm/network/46074</v>
      </c>
      <c r="H1230" s="2"/>
      <c r="I1230" s="2">
        <v>84527</v>
      </c>
      <c r="J1230" s="2" t="s">
        <v>8556</v>
      </c>
      <c r="K1230" s="2">
        <v>5283975</v>
      </c>
      <c r="L1230" s="2"/>
      <c r="M1230" s="2"/>
      <c r="N1230" s="2"/>
      <c r="O1230" s="2"/>
      <c r="P1230" s="2"/>
      <c r="Q1230" s="2"/>
      <c r="R1230" s="2"/>
      <c r="S1230" s="2" t="s">
        <v>8557</v>
      </c>
      <c r="T1230" s="2" t="s">
        <v>8558</v>
      </c>
      <c r="U1230" s="2" t="s">
        <v>56</v>
      </c>
      <c r="V1230" s="2" t="s">
        <v>283</v>
      </c>
      <c r="W1230" s="2" t="s">
        <v>2042</v>
      </c>
      <c r="X1230" s="2" t="s">
        <v>83</v>
      </c>
      <c r="Y1230" s="2">
        <v>51.6</v>
      </c>
      <c r="Z1230" s="2">
        <v>3.61</v>
      </c>
      <c r="AA1230" s="2" t="s">
        <v>241</v>
      </c>
      <c r="AB1230" s="2" t="s">
        <v>3396</v>
      </c>
      <c r="AC1230" s="2">
        <v>0.19337601173601701</v>
      </c>
      <c r="AD1230" s="2"/>
      <c r="AE1230" s="2">
        <v>0.50583882884925202</v>
      </c>
      <c r="AF1230" s="2">
        <v>21564.0151990827</v>
      </c>
      <c r="AG1230" s="2">
        <v>4082.4260515122501</v>
      </c>
      <c r="AH1230" s="5">
        <v>5.2821569642626498</v>
      </c>
      <c r="AI1230" s="5">
        <v>2.4011271731821502</v>
      </c>
      <c r="AJ1230" s="5" t="s">
        <v>139</v>
      </c>
      <c r="AK1230" s="2">
        <v>0.28022473023245598</v>
      </c>
      <c r="AL1230" s="2">
        <v>0.59978920543246905</v>
      </c>
      <c r="AM1230" s="2">
        <v>6905.8495276068397</v>
      </c>
      <c r="AN1230" s="2">
        <v>1721.3351560460101</v>
      </c>
      <c r="AO1230" s="2">
        <v>1598.4318103636999</v>
      </c>
      <c r="AP1230" s="2">
        <v>953.59527902401101</v>
      </c>
      <c r="AQ1230" s="2">
        <v>95833.083662237099</v>
      </c>
      <c r="AR1230" s="2">
        <v>22371.795759218501</v>
      </c>
      <c r="AS1230" s="2">
        <v>1293.0794832463801</v>
      </c>
      <c r="AT1230" s="2">
        <v>223.21137148305701</v>
      </c>
      <c r="AU1230" s="2">
        <v>11710.2593334147</v>
      </c>
      <c r="AV1230" s="2">
        <v>5086.8532438230104</v>
      </c>
      <c r="AW1230" s="2">
        <v>4235.3012944894599</v>
      </c>
      <c r="AX1230" s="2">
        <v>1945.85158261687</v>
      </c>
    </row>
    <row r="1231" spans="1:50" x14ac:dyDescent="0.25">
      <c r="A1231" s="2" t="s">
        <v>8559</v>
      </c>
      <c r="B1231" s="2">
        <v>311.22290730593397</v>
      </c>
      <c r="C1231" s="2">
        <v>9.7672000000000008</v>
      </c>
      <c r="D1231" s="2" t="s">
        <v>51</v>
      </c>
      <c r="E1231" s="2" t="s">
        <v>8560</v>
      </c>
      <c r="F1231" s="2">
        <v>2969</v>
      </c>
      <c r="G1231" s="3" t="str">
        <f>HYPERLINK("https://cloud.oebiotech.com/#/lm/network/2969", "https://cloud.oebiotech.com/#/lm/network/2969")</f>
        <v>https://cloud.oebiotech.com/#/lm/network/2969</v>
      </c>
      <c r="H1231" s="2"/>
      <c r="I1231" s="2">
        <v>36016</v>
      </c>
      <c r="J1231" s="2" t="s">
        <v>8561</v>
      </c>
      <c r="K1231" s="2">
        <v>16061048</v>
      </c>
      <c r="L1231" s="2"/>
      <c r="M1231" s="2"/>
      <c r="N1231" s="2"/>
      <c r="O1231" s="2"/>
      <c r="P1231" s="2"/>
      <c r="Q1231" s="2"/>
      <c r="R1231" s="2"/>
      <c r="S1231" s="2" t="s">
        <v>8562</v>
      </c>
      <c r="T1231" s="2" t="s">
        <v>8563</v>
      </c>
      <c r="U1231" s="2" t="s">
        <v>56</v>
      </c>
      <c r="V1231" s="2" t="s">
        <v>145</v>
      </c>
      <c r="W1231" s="2" t="s">
        <v>203</v>
      </c>
      <c r="X1231" s="2" t="s">
        <v>69</v>
      </c>
      <c r="Y1231" s="2">
        <v>64</v>
      </c>
      <c r="Z1231" s="2">
        <v>70.099999999999994</v>
      </c>
      <c r="AA1231" s="2" t="s">
        <v>163</v>
      </c>
      <c r="AB1231" s="2" t="s">
        <v>714</v>
      </c>
      <c r="AC1231" s="2">
        <v>0.39789075433688798</v>
      </c>
      <c r="AD1231" s="2"/>
      <c r="AE1231" s="2">
        <v>0.50564804266016805</v>
      </c>
      <c r="AF1231" s="2">
        <v>270949.32592322002</v>
      </c>
      <c r="AG1231" s="2">
        <v>250438.77524400401</v>
      </c>
      <c r="AH1231" s="5">
        <v>1.08189846264514</v>
      </c>
      <c r="AI1231" s="5">
        <v>0.113565107009361</v>
      </c>
      <c r="AJ1231" s="5" t="s">
        <v>139</v>
      </c>
      <c r="AK1231" s="2">
        <v>0.79507138717024095</v>
      </c>
      <c r="AL1231" s="2">
        <v>0.90954932814260703</v>
      </c>
      <c r="AM1231" s="2">
        <v>248892.348362469</v>
      </c>
      <c r="AN1231" s="2">
        <v>437099.11318367103</v>
      </c>
      <c r="AO1231" s="2">
        <v>323888.50480820303</v>
      </c>
      <c r="AP1231" s="2">
        <v>129197.310165997</v>
      </c>
      <c r="AQ1231" s="2">
        <v>234557.80114310799</v>
      </c>
      <c r="AR1231" s="2">
        <v>252060.87787587199</v>
      </c>
      <c r="AS1231" s="2">
        <v>171306.271834991</v>
      </c>
      <c r="AT1231" s="2">
        <v>108268.931037751</v>
      </c>
      <c r="AU1231" s="2">
        <v>431427.27642021602</v>
      </c>
      <c r="AV1231" s="2">
        <v>148971.916804454</v>
      </c>
      <c r="AW1231" s="2">
        <v>471494.76189847599</v>
      </c>
      <c r="AX1231" s="2">
        <v>171163.493468136</v>
      </c>
    </row>
    <row r="1232" spans="1:50" x14ac:dyDescent="0.25">
      <c r="A1232" s="2" t="s">
        <v>8564</v>
      </c>
      <c r="B1232" s="2">
        <v>365.19704178582799</v>
      </c>
      <c r="C1232" s="2">
        <v>8.8124500000000001</v>
      </c>
      <c r="D1232" s="2" t="s">
        <v>51</v>
      </c>
      <c r="E1232" s="2" t="s">
        <v>8565</v>
      </c>
      <c r="F1232" s="2">
        <v>61127</v>
      </c>
      <c r="G1232" s="3" t="str">
        <f>HYPERLINK("https://cloud.oebiotech.com/#/lm/network/61127", "https://cloud.oebiotech.com/#/lm/network/61127")</f>
        <v>https://cloud.oebiotech.com/#/lm/network/61127</v>
      </c>
      <c r="H1232" s="2" t="s">
        <v>8566</v>
      </c>
      <c r="I1232" s="2">
        <v>92439</v>
      </c>
      <c r="J1232" s="2"/>
      <c r="K1232" s="2">
        <v>131752210</v>
      </c>
      <c r="L1232" s="2"/>
      <c r="M1232" s="2"/>
      <c r="N1232" s="2"/>
      <c r="O1232" s="2">
        <v>138787</v>
      </c>
      <c r="P1232" s="2"/>
      <c r="Q1232" s="2"/>
      <c r="R1232" s="2" t="s">
        <v>8567</v>
      </c>
      <c r="S1232" s="2" t="s">
        <v>8568</v>
      </c>
      <c r="T1232" s="2" t="s">
        <v>8569</v>
      </c>
      <c r="U1232" s="2" t="s">
        <v>56</v>
      </c>
      <c r="V1232" s="2" t="s">
        <v>177</v>
      </c>
      <c r="W1232" s="2" t="s">
        <v>806</v>
      </c>
      <c r="X1232" s="2" t="s">
        <v>83</v>
      </c>
      <c r="Y1232" s="2">
        <v>43.5</v>
      </c>
      <c r="Z1232" s="2">
        <v>0</v>
      </c>
      <c r="AA1232" s="2" t="s">
        <v>218</v>
      </c>
      <c r="AB1232" s="2" t="s">
        <v>8570</v>
      </c>
      <c r="AC1232" s="2">
        <v>0.24840704727971799</v>
      </c>
      <c r="AD1232" s="2"/>
      <c r="AE1232" s="2">
        <v>0.50557187922379199</v>
      </c>
      <c r="AF1232" s="2">
        <v>9275.62731715058</v>
      </c>
      <c r="AG1232" s="2">
        <v>3863.5181421307798</v>
      </c>
      <c r="AH1232" s="5">
        <v>2.4008240613657201</v>
      </c>
      <c r="AI1232" s="5">
        <v>1.2635296829954601</v>
      </c>
      <c r="AJ1232" s="5" t="s">
        <v>139</v>
      </c>
      <c r="AK1232" s="2">
        <v>1.0524058506099001E-2</v>
      </c>
      <c r="AL1232" s="2">
        <v>0.165526976781455</v>
      </c>
      <c r="AM1232" s="2">
        <v>11418.629794328701</v>
      </c>
      <c r="AN1232" s="2">
        <v>14672.1751244803</v>
      </c>
      <c r="AO1232" s="2">
        <v>8680.5004402606992</v>
      </c>
      <c r="AP1232" s="2">
        <v>6628.1561610471399</v>
      </c>
      <c r="AQ1232" s="2">
        <v>5107.5961223366903</v>
      </c>
      <c r="AR1232" s="2">
        <v>9146.7062604499606</v>
      </c>
      <c r="AS1232" s="2">
        <v>6923.4496041602197</v>
      </c>
      <c r="AT1232" s="2">
        <v>1865.7038622504699</v>
      </c>
      <c r="AU1232" s="2">
        <v>6311.0847209558897</v>
      </c>
      <c r="AV1232" s="2">
        <v>1398.47699888898</v>
      </c>
      <c r="AW1232" s="2">
        <v>1802.7722286215101</v>
      </c>
      <c r="AX1232" s="2">
        <v>4879.62143790762</v>
      </c>
    </row>
    <row r="1233" spans="1:50" x14ac:dyDescent="0.25">
      <c r="A1233" s="2" t="s">
        <v>8571</v>
      </c>
      <c r="B1233" s="2">
        <v>996.52466319564701</v>
      </c>
      <c r="C1233" s="2">
        <v>4.7092833333333299</v>
      </c>
      <c r="D1233" s="2" t="s">
        <v>51</v>
      </c>
      <c r="E1233" s="2" t="s">
        <v>8572</v>
      </c>
      <c r="F1233" s="2">
        <v>231443</v>
      </c>
      <c r="G1233" s="3" t="str">
        <f>HYPERLINK("https://cloud.oebiotech.com/#/lm/network/231443", "https://cloud.oebiotech.com/#/lm/network/231443")</f>
        <v>https://cloud.oebiotech.com/#/lm/network/231443</v>
      </c>
      <c r="H1233" s="2" t="s">
        <v>8573</v>
      </c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 t="s">
        <v>8574</v>
      </c>
      <c r="T1233" s="2" t="s">
        <v>8575</v>
      </c>
      <c r="U1233" s="2" t="s">
        <v>56</v>
      </c>
      <c r="V1233" s="2" t="s">
        <v>57</v>
      </c>
      <c r="W1233" s="2" t="s">
        <v>240</v>
      </c>
      <c r="X1233" s="2" t="s">
        <v>147</v>
      </c>
      <c r="Y1233" s="2">
        <v>38.4</v>
      </c>
      <c r="Z1233" s="2">
        <v>0</v>
      </c>
      <c r="AA1233" s="2" t="s">
        <v>122</v>
      </c>
      <c r="AB1233" s="2" t="s">
        <v>8576</v>
      </c>
      <c r="AC1233" s="2">
        <v>3.5376424285425299</v>
      </c>
      <c r="AD1233" s="2"/>
      <c r="AE1233" s="2">
        <v>0.50556164480852295</v>
      </c>
      <c r="AF1233" s="2">
        <v>1320.5724592394999</v>
      </c>
      <c r="AG1233" s="2">
        <v>13451.4022264086</v>
      </c>
      <c r="AH1233" s="4">
        <v>9.8173590902431995E-2</v>
      </c>
      <c r="AI1233" s="4">
        <v>-3.3485212039129699</v>
      </c>
      <c r="AJ1233" s="4" t="s">
        <v>62</v>
      </c>
      <c r="AK1233" s="2">
        <v>0.36861452201445699</v>
      </c>
      <c r="AL1233" s="2">
        <v>0.65222958973558298</v>
      </c>
      <c r="AM1233" s="2">
        <v>4033.7002209716902</v>
      </c>
      <c r="AN1233" s="2">
        <v>94.689439560408999</v>
      </c>
      <c r="AO1233" s="2">
        <v>8.559877937157E-6</v>
      </c>
      <c r="AP1233" s="2">
        <v>124.544588732785</v>
      </c>
      <c r="AQ1233" s="2">
        <v>2123.9408651652002</v>
      </c>
      <c r="AR1233" s="2">
        <v>1546.55963244702</v>
      </c>
      <c r="AS1233" s="2">
        <v>8.559877937157E-6</v>
      </c>
      <c r="AT1233" s="2">
        <v>8.559877937157E-6</v>
      </c>
      <c r="AU1233" s="2">
        <v>214.12758366988899</v>
      </c>
      <c r="AV1233" s="2">
        <v>77772.606334586701</v>
      </c>
      <c r="AW1233" s="2">
        <v>871.51361730708402</v>
      </c>
      <c r="AX1233" s="2">
        <v>1850.1658057679299</v>
      </c>
    </row>
    <row r="1234" spans="1:50" x14ac:dyDescent="0.25">
      <c r="A1234" s="2" t="s">
        <v>8577</v>
      </c>
      <c r="B1234" s="2">
        <v>163.14849174705299</v>
      </c>
      <c r="C1234" s="2">
        <v>9.3200333333333294</v>
      </c>
      <c r="D1234" s="2" t="s">
        <v>51</v>
      </c>
      <c r="E1234" s="2" t="s">
        <v>8578</v>
      </c>
      <c r="F1234" s="2">
        <v>61553</v>
      </c>
      <c r="G1234" s="3" t="str">
        <f>HYPERLINK("https://cloud.oebiotech.com/#/lm/network/61553", "https://cloud.oebiotech.com/#/lm/network/61553")</f>
        <v>https://cloud.oebiotech.com/#/lm/network/61553</v>
      </c>
      <c r="H1234" s="2" t="s">
        <v>8579</v>
      </c>
      <c r="I1234" s="2">
        <v>92864</v>
      </c>
      <c r="J1234" s="2"/>
      <c r="K1234" s="2">
        <v>131752305</v>
      </c>
      <c r="L1234" s="2"/>
      <c r="M1234" s="2"/>
      <c r="N1234" s="2"/>
      <c r="O1234" s="2">
        <v>171896</v>
      </c>
      <c r="P1234" s="2"/>
      <c r="Q1234" s="2"/>
      <c r="R1234" s="2" t="s">
        <v>8580</v>
      </c>
      <c r="S1234" s="2" t="s">
        <v>8581</v>
      </c>
      <c r="T1234" s="2" t="s">
        <v>8582</v>
      </c>
      <c r="U1234" s="2" t="s">
        <v>266</v>
      </c>
      <c r="V1234" s="2" t="s">
        <v>4491</v>
      </c>
      <c r="W1234" s="2" t="s">
        <v>240</v>
      </c>
      <c r="X1234" s="2" t="s">
        <v>147</v>
      </c>
      <c r="Y1234" s="2">
        <v>41.5</v>
      </c>
      <c r="Z1234" s="2">
        <v>12.8</v>
      </c>
      <c r="AA1234" s="2" t="s">
        <v>156</v>
      </c>
      <c r="AB1234" s="2" t="s">
        <v>8583</v>
      </c>
      <c r="AC1234" s="2">
        <v>2.0246085340748201</v>
      </c>
      <c r="AD1234" s="2"/>
      <c r="AE1234" s="2">
        <v>0.50507716109537804</v>
      </c>
      <c r="AF1234" s="2">
        <v>11552.7854895581</v>
      </c>
      <c r="AG1234" s="2">
        <v>6491.5143271204897</v>
      </c>
      <c r="AH1234" s="5">
        <v>1.7796749583209599</v>
      </c>
      <c r="AI1234" s="5">
        <v>0.831613769933636</v>
      </c>
      <c r="AJ1234" s="5" t="s">
        <v>139</v>
      </c>
      <c r="AK1234" s="2">
        <v>1.9835895778593802E-3</v>
      </c>
      <c r="AL1234" s="2">
        <v>0.10025137111515001</v>
      </c>
      <c r="AM1234" s="2">
        <v>12363.2111898606</v>
      </c>
      <c r="AN1234" s="2">
        <v>14063.758496557701</v>
      </c>
      <c r="AO1234" s="2">
        <v>11639.540732130799</v>
      </c>
      <c r="AP1234" s="2">
        <v>9421.2124478358091</v>
      </c>
      <c r="AQ1234" s="2">
        <v>11239.8432761655</v>
      </c>
      <c r="AR1234" s="2">
        <v>10589.146794798</v>
      </c>
      <c r="AS1234" s="2">
        <v>10481.085649320699</v>
      </c>
      <c r="AT1234" s="2">
        <v>6160.50076193316</v>
      </c>
      <c r="AU1234" s="2">
        <v>8079.0820771026802</v>
      </c>
      <c r="AV1234" s="2">
        <v>3355.3327296189</v>
      </c>
      <c r="AW1234" s="2">
        <v>4571.0355098565897</v>
      </c>
      <c r="AX1234" s="2">
        <v>6302.0492348908901</v>
      </c>
    </row>
    <row r="1235" spans="1:50" x14ac:dyDescent="0.25">
      <c r="A1235" s="2" t="s">
        <v>8584</v>
      </c>
      <c r="B1235" s="2">
        <v>193.08634876207901</v>
      </c>
      <c r="C1235" s="2">
        <v>8.0600333333333296</v>
      </c>
      <c r="D1235" s="2" t="s">
        <v>51</v>
      </c>
      <c r="E1235" s="2" t="s">
        <v>8585</v>
      </c>
      <c r="F1235" s="2">
        <v>64296</v>
      </c>
      <c r="G1235" s="3" t="str">
        <f>HYPERLINK("https://cloud.oebiotech.com/#/lm/network/64296", "https://cloud.oebiotech.com/#/lm/network/64296")</f>
        <v>https://cloud.oebiotech.com/#/lm/network/64296</v>
      </c>
      <c r="H1235" s="2" t="s">
        <v>8586</v>
      </c>
      <c r="I1235" s="2">
        <v>95616</v>
      </c>
      <c r="J1235" s="2"/>
      <c r="K1235" s="2">
        <v>226486</v>
      </c>
      <c r="L1235" s="2"/>
      <c r="M1235" s="2"/>
      <c r="N1235" s="2"/>
      <c r="O1235" s="2">
        <v>86562</v>
      </c>
      <c r="P1235" s="2"/>
      <c r="Q1235" s="2"/>
      <c r="R1235" s="2" t="s">
        <v>8587</v>
      </c>
      <c r="S1235" s="2" t="s">
        <v>8588</v>
      </c>
      <c r="T1235" s="2" t="s">
        <v>8589</v>
      </c>
      <c r="U1235" s="2" t="s">
        <v>610</v>
      </c>
      <c r="V1235" s="2" t="s">
        <v>895</v>
      </c>
      <c r="W1235" s="2" t="s">
        <v>896</v>
      </c>
      <c r="X1235" s="2" t="s">
        <v>83</v>
      </c>
      <c r="Y1235" s="2">
        <v>48</v>
      </c>
      <c r="Z1235" s="2">
        <v>20.100000000000001</v>
      </c>
      <c r="AA1235" s="2" t="s">
        <v>163</v>
      </c>
      <c r="AB1235" s="2" t="s">
        <v>2402</v>
      </c>
      <c r="AC1235" s="2">
        <v>-3.44736347688147</v>
      </c>
      <c r="AD1235" s="2"/>
      <c r="AE1235" s="2">
        <v>0.50475431398950599</v>
      </c>
      <c r="AF1235" s="2">
        <v>57358.212892903</v>
      </c>
      <c r="AG1235" s="2">
        <v>69619.458181940994</v>
      </c>
      <c r="AH1235" s="4">
        <v>0.82388192023852103</v>
      </c>
      <c r="AI1235" s="4">
        <v>-0.27949051147563903</v>
      </c>
      <c r="AJ1235" s="4" t="s">
        <v>62</v>
      </c>
      <c r="AK1235" s="2">
        <v>0.13815802173306299</v>
      </c>
      <c r="AL1235" s="2">
        <v>0.458819266663407</v>
      </c>
      <c r="AM1235" s="2">
        <v>55196.782415303504</v>
      </c>
      <c r="AN1235" s="2">
        <v>49673.472124323103</v>
      </c>
      <c r="AO1235" s="2">
        <v>64446.561419437698</v>
      </c>
      <c r="AP1235" s="2">
        <v>55795.802564693899</v>
      </c>
      <c r="AQ1235" s="2">
        <v>64874.389194432799</v>
      </c>
      <c r="AR1235" s="2">
        <v>54162.269639226797</v>
      </c>
      <c r="AS1235" s="2">
        <v>63450.3427027621</v>
      </c>
      <c r="AT1235" s="2">
        <v>103368.72661182001</v>
      </c>
      <c r="AU1235" s="2">
        <v>52156.170176347398</v>
      </c>
      <c r="AV1235" s="2">
        <v>64188.347061824999</v>
      </c>
      <c r="AW1235" s="2">
        <v>71225.731335509699</v>
      </c>
      <c r="AX1235" s="2">
        <v>63327.431203381901</v>
      </c>
    </row>
    <row r="1236" spans="1:50" x14ac:dyDescent="0.25">
      <c r="A1236" s="2" t="s">
        <v>8590</v>
      </c>
      <c r="B1236" s="2">
        <v>626.53718933843004</v>
      </c>
      <c r="C1236" s="2">
        <v>14.459250000000001</v>
      </c>
      <c r="D1236" s="2" t="s">
        <v>51</v>
      </c>
      <c r="E1236" s="2" t="s">
        <v>8591</v>
      </c>
      <c r="F1236" s="2">
        <v>28188</v>
      </c>
      <c r="G1236" s="3" t="str">
        <f>HYPERLINK("https://cloud.oebiotech.com/#/lm/network/28188", "https://cloud.oebiotech.com/#/lm/network/28188")</f>
        <v>https://cloud.oebiotech.com/#/lm/network/28188</v>
      </c>
      <c r="H1236" s="2"/>
      <c r="I1236" s="2"/>
      <c r="J1236" s="2" t="s">
        <v>8592</v>
      </c>
      <c r="K1236" s="2"/>
      <c r="L1236" s="2"/>
      <c r="M1236" s="2"/>
      <c r="N1236" s="2"/>
      <c r="O1236" s="2"/>
      <c r="P1236" s="2"/>
      <c r="Q1236" s="2"/>
      <c r="R1236" s="2"/>
      <c r="S1236" s="2" t="s">
        <v>8593</v>
      </c>
      <c r="T1236" s="2" t="s">
        <v>8594</v>
      </c>
      <c r="U1236" s="2" t="s">
        <v>56</v>
      </c>
      <c r="V1236" s="2" t="s">
        <v>145</v>
      </c>
      <c r="W1236" s="2" t="s">
        <v>146</v>
      </c>
      <c r="X1236" s="2" t="s">
        <v>59</v>
      </c>
      <c r="Y1236" s="2">
        <v>57.2</v>
      </c>
      <c r="Z1236" s="2">
        <v>91.8</v>
      </c>
      <c r="AA1236" s="2" t="s">
        <v>512</v>
      </c>
      <c r="AB1236" s="2" t="s">
        <v>3348</v>
      </c>
      <c r="AC1236" s="2">
        <v>2.9152106411392702</v>
      </c>
      <c r="AD1236" s="2"/>
      <c r="AE1236" s="2">
        <v>0.50458186370406599</v>
      </c>
      <c r="AF1236" s="2">
        <v>190048.08533897201</v>
      </c>
      <c r="AG1236" s="2">
        <v>231787.92623806201</v>
      </c>
      <c r="AH1236" s="4">
        <v>0.81992228164542003</v>
      </c>
      <c r="AI1236" s="4">
        <v>-0.28644092808168897</v>
      </c>
      <c r="AJ1236" s="4" t="s">
        <v>62</v>
      </c>
      <c r="AK1236" s="2">
        <v>0.48499757448133002</v>
      </c>
      <c r="AL1236" s="2">
        <v>0.72896977207484903</v>
      </c>
      <c r="AM1236" s="2">
        <v>162036.26370359099</v>
      </c>
      <c r="AN1236" s="2">
        <v>394138.85949807399</v>
      </c>
      <c r="AO1236" s="2">
        <v>195006.08704534199</v>
      </c>
      <c r="AP1236" s="2">
        <v>108918.09865045401</v>
      </c>
      <c r="AQ1236" s="2">
        <v>201715.30071479201</v>
      </c>
      <c r="AR1236" s="2">
        <v>78473.902421581006</v>
      </c>
      <c r="AS1236" s="2">
        <v>87846.988810669907</v>
      </c>
      <c r="AT1236" s="2">
        <v>241906.77663528701</v>
      </c>
      <c r="AU1236" s="2">
        <v>248866.74265807201</v>
      </c>
      <c r="AV1236" s="2">
        <v>355975.77165237599</v>
      </c>
      <c r="AW1236" s="2">
        <v>203470.489548218</v>
      </c>
      <c r="AX1236" s="2">
        <v>252660.78812375001</v>
      </c>
    </row>
    <row r="1237" spans="1:50" x14ac:dyDescent="0.25">
      <c r="A1237" s="2" t="s">
        <v>8595</v>
      </c>
      <c r="B1237" s="2">
        <v>732.40828404536603</v>
      </c>
      <c r="C1237" s="2">
        <v>11.842883333333299</v>
      </c>
      <c r="D1237" s="2" t="s">
        <v>51</v>
      </c>
      <c r="E1237" s="2" t="s">
        <v>8596</v>
      </c>
      <c r="F1237" s="2">
        <v>27921</v>
      </c>
      <c r="G1237" s="3" t="str">
        <f>HYPERLINK("https://cloud.oebiotech.com/#/lm/network/27921", "https://cloud.oebiotech.com/#/lm/network/27921")</f>
        <v>https://cloud.oebiotech.com/#/lm/network/27921</v>
      </c>
      <c r="H1237" s="2"/>
      <c r="I1237" s="2"/>
      <c r="J1237" s="2" t="s">
        <v>8597</v>
      </c>
      <c r="K1237" s="2">
        <v>134812378</v>
      </c>
      <c r="L1237" s="2"/>
      <c r="M1237" s="2"/>
      <c r="N1237" s="2"/>
      <c r="O1237" s="2"/>
      <c r="P1237" s="2"/>
      <c r="Q1237" s="2"/>
      <c r="R1237" s="2"/>
      <c r="S1237" s="2" t="s">
        <v>8598</v>
      </c>
      <c r="T1237" s="2" t="s">
        <v>8599</v>
      </c>
      <c r="U1237" s="2" t="s">
        <v>56</v>
      </c>
      <c r="V1237" s="2" t="s">
        <v>57</v>
      </c>
      <c r="W1237" s="2" t="s">
        <v>155</v>
      </c>
      <c r="X1237" s="2" t="s">
        <v>59</v>
      </c>
      <c r="Y1237" s="2">
        <v>48.9</v>
      </c>
      <c r="Z1237" s="2">
        <v>60.3</v>
      </c>
      <c r="AA1237" s="2" t="s">
        <v>218</v>
      </c>
      <c r="AB1237" s="2" t="s">
        <v>8600</v>
      </c>
      <c r="AC1237" s="2">
        <v>-1.5313155717940501</v>
      </c>
      <c r="AD1237" s="2"/>
      <c r="AE1237" s="2">
        <v>0.50452610091140804</v>
      </c>
      <c r="AF1237" s="2">
        <v>8604.9864840076498</v>
      </c>
      <c r="AG1237" s="2">
        <v>2317.4384692067802</v>
      </c>
      <c r="AH1237" s="5">
        <v>3.7131456124282698</v>
      </c>
      <c r="AI1237" s="5">
        <v>1.89264189214095</v>
      </c>
      <c r="AJ1237" s="5" t="s">
        <v>139</v>
      </c>
      <c r="AK1237" s="2">
        <v>4.6708328717592904E-3</v>
      </c>
      <c r="AL1237" s="2">
        <v>0.12174388396289799</v>
      </c>
      <c r="AM1237" s="2">
        <v>9421.2027860261005</v>
      </c>
      <c r="AN1237" s="2">
        <v>8636.3957243634504</v>
      </c>
      <c r="AO1237" s="2">
        <v>7187.8812328400099</v>
      </c>
      <c r="AP1237" s="2">
        <v>13994.160561373699</v>
      </c>
      <c r="AQ1237" s="2">
        <v>2199.13495702203</v>
      </c>
      <c r="AR1237" s="2">
        <v>10191.1436424206</v>
      </c>
      <c r="AS1237" s="2">
        <v>4533.1853313535703</v>
      </c>
      <c r="AT1237" s="2">
        <v>4217.0042870519601</v>
      </c>
      <c r="AU1237" s="2">
        <v>1392.4267765506299</v>
      </c>
      <c r="AV1237" s="2">
        <v>1019.03080965918</v>
      </c>
      <c r="AW1237" s="2">
        <v>307.50906334211601</v>
      </c>
      <c r="AX1237" s="2">
        <v>2435.4745472832501</v>
      </c>
    </row>
    <row r="1238" spans="1:50" x14ac:dyDescent="0.25">
      <c r="A1238" s="2" t="s">
        <v>8601</v>
      </c>
      <c r="B1238" s="2">
        <v>417.28352463255601</v>
      </c>
      <c r="C1238" s="2">
        <v>9.1758500000000005</v>
      </c>
      <c r="D1238" s="2" t="s">
        <v>51</v>
      </c>
      <c r="E1238" s="2" t="s">
        <v>8602</v>
      </c>
      <c r="F1238" s="2">
        <v>45224</v>
      </c>
      <c r="G1238" s="3" t="str">
        <f>HYPERLINK("https://cloud.oebiotech.com/#/lm/network/45224", "https://cloud.oebiotech.com/#/lm/network/45224")</f>
        <v>https://cloud.oebiotech.com/#/lm/network/45224</v>
      </c>
      <c r="H1238" s="2"/>
      <c r="I1238" s="2"/>
      <c r="J1238" s="2" t="s">
        <v>8603</v>
      </c>
      <c r="K1238" s="2">
        <v>24779621</v>
      </c>
      <c r="L1238" s="2"/>
      <c r="M1238" s="2"/>
      <c r="N1238" s="2"/>
      <c r="O1238" s="2"/>
      <c r="P1238" s="2"/>
      <c r="Q1238" s="2"/>
      <c r="R1238" s="2"/>
      <c r="S1238" s="2" t="s">
        <v>8604</v>
      </c>
      <c r="T1238" s="2" t="s">
        <v>8605</v>
      </c>
      <c r="U1238" s="2" t="s">
        <v>56</v>
      </c>
      <c r="V1238" s="2" t="s">
        <v>283</v>
      </c>
      <c r="W1238" s="2" t="s">
        <v>420</v>
      </c>
      <c r="X1238" s="2" t="s">
        <v>147</v>
      </c>
      <c r="Y1238" s="2">
        <v>41.3</v>
      </c>
      <c r="Z1238" s="2">
        <v>25.5</v>
      </c>
      <c r="AA1238" s="2" t="s">
        <v>156</v>
      </c>
      <c r="AB1238" s="2" t="s">
        <v>8606</v>
      </c>
      <c r="AC1238" s="2">
        <v>3.1009026101911799</v>
      </c>
      <c r="AD1238" s="2"/>
      <c r="AE1238" s="2">
        <v>0.50382045112158003</v>
      </c>
      <c r="AF1238" s="2">
        <v>29019.448615565299</v>
      </c>
      <c r="AG1238" s="2">
        <v>22866.0095833128</v>
      </c>
      <c r="AH1238" s="5">
        <v>1.26910856526288</v>
      </c>
      <c r="AI1238" s="5">
        <v>0.34381548908989801</v>
      </c>
      <c r="AJ1238" s="5" t="s">
        <v>139</v>
      </c>
      <c r="AK1238" s="2">
        <v>1.9065968063103001E-2</v>
      </c>
      <c r="AL1238" s="2">
        <v>0.21722101985835399</v>
      </c>
      <c r="AM1238" s="2">
        <v>29620.772645745499</v>
      </c>
      <c r="AN1238" s="2">
        <v>24804.0198985678</v>
      </c>
      <c r="AO1238" s="2">
        <v>25936.8085611729</v>
      </c>
      <c r="AP1238" s="2">
        <v>30952.261728769401</v>
      </c>
      <c r="AQ1238" s="2">
        <v>30614.989818431601</v>
      </c>
      <c r="AR1238" s="2">
        <v>32187.839040704599</v>
      </c>
      <c r="AS1238" s="2">
        <v>19056.0303512336</v>
      </c>
      <c r="AT1238" s="2">
        <v>29530.844538648202</v>
      </c>
      <c r="AU1238" s="2">
        <v>26491.6725831246</v>
      </c>
      <c r="AV1238" s="2">
        <v>18013.3196703834</v>
      </c>
      <c r="AW1238" s="2">
        <v>23609.411508154601</v>
      </c>
      <c r="AX1238" s="2">
        <v>20494.7788483322</v>
      </c>
    </row>
    <row r="1239" spans="1:50" x14ac:dyDescent="0.25">
      <c r="A1239" s="2" t="s">
        <v>8607</v>
      </c>
      <c r="B1239" s="2">
        <v>271.22786855814201</v>
      </c>
      <c r="C1239" s="2">
        <v>12.092183333333301</v>
      </c>
      <c r="D1239" s="2" t="s">
        <v>51</v>
      </c>
      <c r="E1239" s="2" t="s">
        <v>8608</v>
      </c>
      <c r="F1239" s="2">
        <v>2276</v>
      </c>
      <c r="G1239" s="3" t="str">
        <f>HYPERLINK("https://cloud.oebiotech.com/#/lm/network/2276", "https://cloud.oebiotech.com/#/lm/network/2276")</f>
        <v>https://cloud.oebiotech.com/#/lm/network/2276</v>
      </c>
      <c r="H1239" s="2"/>
      <c r="I1239" s="2">
        <v>96774</v>
      </c>
      <c r="J1239" s="2" t="s">
        <v>8609</v>
      </c>
      <c r="K1239" s="2">
        <v>15389269</v>
      </c>
      <c r="L1239" s="2"/>
      <c r="M1239" s="2"/>
      <c r="N1239" s="2"/>
      <c r="O1239" s="2"/>
      <c r="P1239" s="2"/>
      <c r="Q1239" s="2"/>
      <c r="R1239" s="2"/>
      <c r="S1239" s="2" t="s">
        <v>8610</v>
      </c>
      <c r="T1239" s="2" t="s">
        <v>8611</v>
      </c>
      <c r="U1239" s="2" t="s">
        <v>56</v>
      </c>
      <c r="V1239" s="2" t="s">
        <v>145</v>
      </c>
      <c r="W1239" s="2" t="s">
        <v>231</v>
      </c>
      <c r="X1239" s="2" t="s">
        <v>69</v>
      </c>
      <c r="Y1239" s="2">
        <v>66.8</v>
      </c>
      <c r="Z1239" s="2">
        <v>74.599999999999994</v>
      </c>
      <c r="AA1239" s="2" t="s">
        <v>163</v>
      </c>
      <c r="AB1239" s="2" t="s">
        <v>8612</v>
      </c>
      <c r="AC1239" s="2">
        <v>3.8650977741719398E-4</v>
      </c>
      <c r="AD1239" s="2"/>
      <c r="AE1239" s="2">
        <v>0.50364847803222501</v>
      </c>
      <c r="AF1239" s="2">
        <v>244975.69345800701</v>
      </c>
      <c r="AG1239" s="2">
        <v>271414.56424248702</v>
      </c>
      <c r="AH1239" s="4">
        <v>0.90258860699583099</v>
      </c>
      <c r="AI1239" s="4">
        <v>-0.147859526767221</v>
      </c>
      <c r="AJ1239" s="4" t="s">
        <v>62</v>
      </c>
      <c r="AK1239" s="2">
        <v>0.37025030658545</v>
      </c>
      <c r="AL1239" s="2">
        <v>0.65343886725755396</v>
      </c>
      <c r="AM1239" s="2">
        <v>251656.37494344101</v>
      </c>
      <c r="AN1239" s="2">
        <v>332017.74251126603</v>
      </c>
      <c r="AO1239" s="2">
        <v>188357.77611512801</v>
      </c>
      <c r="AP1239" s="2">
        <v>203635.437910568</v>
      </c>
      <c r="AQ1239" s="2">
        <v>222960.43886837101</v>
      </c>
      <c r="AR1239" s="2">
        <v>271226.39039926801</v>
      </c>
      <c r="AS1239" s="2">
        <v>207889.11101302001</v>
      </c>
      <c r="AT1239" s="2">
        <v>306835.05666434398</v>
      </c>
      <c r="AU1239" s="2">
        <v>247384.77787833099</v>
      </c>
      <c r="AV1239" s="2">
        <v>255950.49362347601</v>
      </c>
      <c r="AW1239" s="2">
        <v>275858.47417610901</v>
      </c>
      <c r="AX1239" s="2">
        <v>334569.47209964402</v>
      </c>
    </row>
    <row r="1240" spans="1:50" x14ac:dyDescent="0.25">
      <c r="A1240" s="2" t="s">
        <v>8613</v>
      </c>
      <c r="B1240" s="2">
        <v>539.31399302756404</v>
      </c>
      <c r="C1240" s="2">
        <v>10.4101833333333</v>
      </c>
      <c r="D1240" s="2" t="s">
        <v>51</v>
      </c>
      <c r="E1240" s="2" t="s">
        <v>8614</v>
      </c>
      <c r="F1240" s="2">
        <v>203914</v>
      </c>
      <c r="G1240" s="3" t="str">
        <f>HYPERLINK("https://cloud.oebiotech.com/#/lm/network/203914", "https://cloud.oebiotech.com/#/lm/network/203914")</f>
        <v>https://cloud.oebiotech.com/#/lm/network/203914</v>
      </c>
      <c r="H1240" s="2" t="s">
        <v>8615</v>
      </c>
      <c r="I1240" s="2"/>
      <c r="J1240" s="2"/>
      <c r="K1240" s="2">
        <v>12300006</v>
      </c>
      <c r="L1240" s="2"/>
      <c r="M1240" s="2"/>
      <c r="N1240" s="2"/>
      <c r="O1240" s="2"/>
      <c r="P1240" s="2"/>
      <c r="Q1240" s="2"/>
      <c r="R1240" s="2"/>
      <c r="S1240" s="2" t="s">
        <v>8616</v>
      </c>
      <c r="T1240" s="2" t="s">
        <v>8617</v>
      </c>
      <c r="U1240" s="2" t="s">
        <v>266</v>
      </c>
      <c r="V1240" s="2" t="s">
        <v>8513</v>
      </c>
      <c r="W1240" s="2" t="s">
        <v>8618</v>
      </c>
      <c r="X1240" s="2" t="s">
        <v>147</v>
      </c>
      <c r="Y1240" s="2">
        <v>36.5</v>
      </c>
      <c r="Z1240" s="2">
        <v>9.84</v>
      </c>
      <c r="AA1240" s="2" t="s">
        <v>179</v>
      </c>
      <c r="AB1240" s="2" t="s">
        <v>8619</v>
      </c>
      <c r="AC1240" s="2">
        <v>4.5132868575729903</v>
      </c>
      <c r="AD1240" s="2"/>
      <c r="AE1240" s="2">
        <v>0.503150569999264</v>
      </c>
      <c r="AF1240" s="2">
        <v>27637.772611256201</v>
      </c>
      <c r="AG1240" s="2">
        <v>36635.546576979497</v>
      </c>
      <c r="AH1240" s="4">
        <v>0.75439771461258398</v>
      </c>
      <c r="AI1240" s="4">
        <v>-0.406602789396735</v>
      </c>
      <c r="AJ1240" s="4" t="s">
        <v>62</v>
      </c>
      <c r="AK1240" s="2">
        <v>0.103711773885813</v>
      </c>
      <c r="AL1240" s="2">
        <v>0.40912744289705999</v>
      </c>
      <c r="AM1240" s="2">
        <v>26231.5890077228</v>
      </c>
      <c r="AN1240" s="2">
        <v>28612.769059792299</v>
      </c>
      <c r="AO1240" s="2">
        <v>38664.9740846352</v>
      </c>
      <c r="AP1240" s="2">
        <v>18197.085010846</v>
      </c>
      <c r="AQ1240" s="2">
        <v>24433.282256161601</v>
      </c>
      <c r="AR1240" s="2">
        <v>29686.936248379399</v>
      </c>
      <c r="AS1240" s="2">
        <v>29227.112383991702</v>
      </c>
      <c r="AT1240" s="2">
        <v>22108.950349159499</v>
      </c>
      <c r="AU1240" s="2">
        <v>38823.884317496901</v>
      </c>
      <c r="AV1240" s="2">
        <v>37582.774330493899</v>
      </c>
      <c r="AW1240" s="2">
        <v>39650.647365705103</v>
      </c>
      <c r="AX1240" s="2">
        <v>52419.910715029902</v>
      </c>
    </row>
    <row r="1241" spans="1:50" x14ac:dyDescent="0.25">
      <c r="A1241" s="2" t="s">
        <v>8620</v>
      </c>
      <c r="B1241" s="2">
        <v>646.297673779408</v>
      </c>
      <c r="C1241" s="2">
        <v>8.94478333333333</v>
      </c>
      <c r="D1241" s="2" t="s">
        <v>51</v>
      </c>
      <c r="E1241" s="2" t="s">
        <v>8621</v>
      </c>
      <c r="F1241" s="2">
        <v>27942</v>
      </c>
      <c r="G1241" s="3" t="str">
        <f>HYPERLINK("https://cloud.oebiotech.com/#/lm/network/27942", "https://cloud.oebiotech.com/#/lm/network/27942")</f>
        <v>https://cloud.oebiotech.com/#/lm/network/27942</v>
      </c>
      <c r="H1241" s="2"/>
      <c r="I1241" s="2"/>
      <c r="J1241" s="2" t="s">
        <v>8622</v>
      </c>
      <c r="K1241" s="2">
        <v>134812389</v>
      </c>
      <c r="L1241" s="2"/>
      <c r="M1241" s="2"/>
      <c r="N1241" s="2"/>
      <c r="O1241" s="2"/>
      <c r="P1241" s="2"/>
      <c r="Q1241" s="2"/>
      <c r="R1241" s="2"/>
      <c r="S1241" s="2" t="s">
        <v>8623</v>
      </c>
      <c r="T1241" s="2" t="s">
        <v>8624</v>
      </c>
      <c r="U1241" s="2" t="s">
        <v>56</v>
      </c>
      <c r="V1241" s="2" t="s">
        <v>57</v>
      </c>
      <c r="W1241" s="2" t="s">
        <v>82</v>
      </c>
      <c r="X1241" s="2" t="s">
        <v>147</v>
      </c>
      <c r="Y1241" s="2">
        <v>36.9</v>
      </c>
      <c r="Z1241" s="2">
        <v>0</v>
      </c>
      <c r="AA1241" s="2" t="s">
        <v>379</v>
      </c>
      <c r="AB1241" s="2" t="s">
        <v>8625</v>
      </c>
      <c r="AC1241" s="2">
        <v>-3.1751109918354299</v>
      </c>
      <c r="AD1241" s="2"/>
      <c r="AE1241" s="2">
        <v>0.50239795903081796</v>
      </c>
      <c r="AF1241" s="2">
        <v>14530.660353326</v>
      </c>
      <c r="AG1241" s="2">
        <v>7050.4681982418897</v>
      </c>
      <c r="AH1241" s="5">
        <v>2.06094970500674</v>
      </c>
      <c r="AI1241" s="5">
        <v>1.0433092980733201</v>
      </c>
      <c r="AJ1241" s="5" t="s">
        <v>139</v>
      </c>
      <c r="AK1241" s="2">
        <v>6.4301307877870501E-2</v>
      </c>
      <c r="AL1241" s="2">
        <v>0.33753922623423299</v>
      </c>
      <c r="AM1241" s="2">
        <v>13271.516894750301</v>
      </c>
      <c r="AN1241" s="2">
        <v>25828.870287072499</v>
      </c>
      <c r="AO1241" s="2">
        <v>14125.269846764801</v>
      </c>
      <c r="AP1241" s="2">
        <v>7197.0098906939702</v>
      </c>
      <c r="AQ1241" s="2">
        <v>10233.5222149863</v>
      </c>
      <c r="AR1241" s="2">
        <v>16527.7729856882</v>
      </c>
      <c r="AS1241" s="2">
        <v>16739.040013998499</v>
      </c>
      <c r="AT1241" s="2">
        <v>4532.4760436972301</v>
      </c>
      <c r="AU1241" s="2">
        <v>5464.0673693498502</v>
      </c>
      <c r="AV1241" s="2">
        <v>2015.4223766276</v>
      </c>
      <c r="AW1241" s="2">
        <v>1556.4882612685401</v>
      </c>
      <c r="AX1241" s="2">
        <v>11995.3151245096</v>
      </c>
    </row>
    <row r="1242" spans="1:50" x14ac:dyDescent="0.25">
      <c r="A1242" s="2" t="s">
        <v>8626</v>
      </c>
      <c r="B1242" s="2">
        <v>565.28749068358502</v>
      </c>
      <c r="C1242" s="2">
        <v>11.56945</v>
      </c>
      <c r="D1242" s="2" t="s">
        <v>51</v>
      </c>
      <c r="E1242" s="2" t="s">
        <v>8627</v>
      </c>
      <c r="F1242" s="2">
        <v>55274</v>
      </c>
      <c r="G1242" s="3" t="str">
        <f>HYPERLINK("https://cloud.oebiotech.com/#/lm/network/55274", "https://cloud.oebiotech.com/#/lm/network/55274")</f>
        <v>https://cloud.oebiotech.com/#/lm/network/55274</v>
      </c>
      <c r="H1242" s="2" t="s">
        <v>8628</v>
      </c>
      <c r="I1242" s="2"/>
      <c r="J1242" s="2"/>
      <c r="K1242" s="2">
        <v>131751023</v>
      </c>
      <c r="L1242" s="2" t="s">
        <v>8629</v>
      </c>
      <c r="M1242" s="2"/>
      <c r="N1242" s="2"/>
      <c r="O1242" s="2"/>
      <c r="P1242" s="2"/>
      <c r="Q1242" s="2"/>
      <c r="R1242" s="2" t="s">
        <v>8630</v>
      </c>
      <c r="S1242" s="2" t="s">
        <v>8631</v>
      </c>
      <c r="T1242" s="2" t="s">
        <v>8632</v>
      </c>
      <c r="U1242" s="2" t="s">
        <v>540</v>
      </c>
      <c r="V1242" s="2" t="s">
        <v>5605</v>
      </c>
      <c r="W1242" s="2" t="s">
        <v>240</v>
      </c>
      <c r="X1242" s="2" t="s">
        <v>147</v>
      </c>
      <c r="Y1242" s="2">
        <v>36.799999999999997</v>
      </c>
      <c r="Z1242" s="2">
        <v>0</v>
      </c>
      <c r="AA1242" s="2" t="s">
        <v>163</v>
      </c>
      <c r="AB1242" s="2" t="s">
        <v>8633</v>
      </c>
      <c r="AC1242" s="2">
        <v>-3.0889105340646901</v>
      </c>
      <c r="AD1242" s="2"/>
      <c r="AE1242" s="2">
        <v>0.50229645061755201</v>
      </c>
      <c r="AF1242" s="2">
        <v>10147.5187835345</v>
      </c>
      <c r="AG1242" s="2">
        <v>19469.1849594249</v>
      </c>
      <c r="AH1242" s="4">
        <v>0.52120922394453495</v>
      </c>
      <c r="AI1242" s="4">
        <v>-0.94006547909089699</v>
      </c>
      <c r="AJ1242" s="4" t="s">
        <v>62</v>
      </c>
      <c r="AK1242" s="2">
        <v>3.4004579795678697E-2</v>
      </c>
      <c r="AL1242" s="2">
        <v>0.27081853690800001</v>
      </c>
      <c r="AM1242" s="2">
        <v>20487.367272769101</v>
      </c>
      <c r="AN1242" s="2">
        <v>11744.426926019099</v>
      </c>
      <c r="AO1242" s="2">
        <v>8076.22902994171</v>
      </c>
      <c r="AP1242" s="2">
        <v>7361.0638569783796</v>
      </c>
      <c r="AQ1242" s="2">
        <v>7083.3097871611499</v>
      </c>
      <c r="AR1242" s="2">
        <v>6132.7158283373401</v>
      </c>
      <c r="AS1242" s="2">
        <v>8189.8184057565304</v>
      </c>
      <c r="AT1242" s="2">
        <v>12248.039676922999</v>
      </c>
      <c r="AU1242" s="2">
        <v>26023.2961645535</v>
      </c>
      <c r="AV1242" s="2">
        <v>26520.1844911228</v>
      </c>
      <c r="AW1242" s="2">
        <v>22839.905528958701</v>
      </c>
      <c r="AX1242" s="2">
        <v>20993.8654892349</v>
      </c>
    </row>
    <row r="1243" spans="1:50" x14ac:dyDescent="0.25">
      <c r="A1243" s="2" t="s">
        <v>8634</v>
      </c>
      <c r="B1243" s="2">
        <v>548.37272775691201</v>
      </c>
      <c r="C1243" s="2">
        <v>9.9291999999999998</v>
      </c>
      <c r="D1243" s="2" t="s">
        <v>51</v>
      </c>
      <c r="E1243" s="2" t="s">
        <v>8635</v>
      </c>
      <c r="F1243" s="2">
        <v>19586</v>
      </c>
      <c r="G1243" s="3" t="str">
        <f>HYPERLINK("https://cloud.oebiotech.com/#/lm/network/19586", "https://cloud.oebiotech.com/#/lm/network/19586")</f>
        <v>https://cloud.oebiotech.com/#/lm/network/19586</v>
      </c>
      <c r="H1243" s="2"/>
      <c r="I1243" s="2"/>
      <c r="J1243" s="2" t="s">
        <v>8636</v>
      </c>
      <c r="K1243" s="2">
        <v>24779380</v>
      </c>
      <c r="L1243" s="2"/>
      <c r="M1243" s="2"/>
      <c r="N1243" s="2"/>
      <c r="O1243" s="2"/>
      <c r="P1243" s="2"/>
      <c r="Q1243" s="2"/>
      <c r="R1243" s="2"/>
      <c r="S1243" s="2" t="s">
        <v>8637</v>
      </c>
      <c r="T1243" s="2" t="s">
        <v>8638</v>
      </c>
      <c r="U1243" s="2" t="s">
        <v>56</v>
      </c>
      <c r="V1243" s="2" t="s">
        <v>57</v>
      </c>
      <c r="W1243" s="2" t="s">
        <v>58</v>
      </c>
      <c r="X1243" s="2" t="s">
        <v>147</v>
      </c>
      <c r="Y1243" s="2">
        <v>39.200000000000003</v>
      </c>
      <c r="Z1243" s="2">
        <v>5.07</v>
      </c>
      <c r="AA1243" s="2" t="s">
        <v>259</v>
      </c>
      <c r="AB1243" s="2" t="s">
        <v>8639</v>
      </c>
      <c r="AC1243" s="2">
        <v>3.03568018780854</v>
      </c>
      <c r="AD1243" s="2"/>
      <c r="AE1243" s="2">
        <v>0.50189173665209996</v>
      </c>
      <c r="AF1243" s="2">
        <v>19289.745045863401</v>
      </c>
      <c r="AG1243" s="2">
        <v>12023.574168953901</v>
      </c>
      <c r="AH1243" s="5">
        <v>1.60432703078186</v>
      </c>
      <c r="AI1243" s="5">
        <v>0.681968255007802</v>
      </c>
      <c r="AJ1243" s="5" t="s">
        <v>139</v>
      </c>
      <c r="AK1243" s="2">
        <v>0.104584148601381</v>
      </c>
      <c r="AL1243" s="2">
        <v>0.410930569322566</v>
      </c>
      <c r="AM1243" s="2">
        <v>21108.9107065727</v>
      </c>
      <c r="AN1243" s="2">
        <v>31751.075624324101</v>
      </c>
      <c r="AO1243" s="2">
        <v>16077.406289628199</v>
      </c>
      <c r="AP1243" s="2">
        <v>14149.187558171499</v>
      </c>
      <c r="AQ1243" s="2">
        <v>11732.8492903111</v>
      </c>
      <c r="AR1243" s="2">
        <v>20919.040806172801</v>
      </c>
      <c r="AS1243" s="2">
        <v>18124.5116456871</v>
      </c>
      <c r="AT1243" s="2">
        <v>6892.8580025477404</v>
      </c>
      <c r="AU1243" s="2">
        <v>19097.389905631298</v>
      </c>
      <c r="AV1243" s="2">
        <v>3846.1093109031799</v>
      </c>
      <c r="AW1243" s="2">
        <v>6541.2580215787702</v>
      </c>
      <c r="AX1243" s="2">
        <v>17639.318127375602</v>
      </c>
    </row>
    <row r="1244" spans="1:50" x14ac:dyDescent="0.25">
      <c r="A1244" s="2" t="s">
        <v>8640</v>
      </c>
      <c r="B1244" s="2">
        <v>361.237922642201</v>
      </c>
      <c r="C1244" s="2">
        <v>9.7259833333333301</v>
      </c>
      <c r="D1244" s="2" t="s">
        <v>51</v>
      </c>
      <c r="E1244" s="2" t="s">
        <v>8641</v>
      </c>
      <c r="F1244" s="2">
        <v>4864</v>
      </c>
      <c r="G1244" s="3" t="str">
        <f>HYPERLINK("https://cloud.oebiotech.com/#/lm/network/4864", "https://cloud.oebiotech.com/#/lm/network/4864")</f>
        <v>https://cloud.oebiotech.com/#/lm/network/4864</v>
      </c>
      <c r="H1244" s="2"/>
      <c r="I1244" s="2">
        <v>75213</v>
      </c>
      <c r="J1244" s="2" t="s">
        <v>8642</v>
      </c>
      <c r="K1244" s="2">
        <v>52921994</v>
      </c>
      <c r="L1244" s="2"/>
      <c r="M1244" s="2"/>
      <c r="N1244" s="2"/>
      <c r="O1244" s="2">
        <v>137360</v>
      </c>
      <c r="P1244" s="2" t="s">
        <v>8643</v>
      </c>
      <c r="Q1244" s="2" t="s">
        <v>8644</v>
      </c>
      <c r="R1244" s="2"/>
      <c r="S1244" s="2" t="s">
        <v>8645</v>
      </c>
      <c r="T1244" s="2" t="s">
        <v>8646</v>
      </c>
      <c r="U1244" s="2" t="s">
        <v>56</v>
      </c>
      <c r="V1244" s="2" t="s">
        <v>145</v>
      </c>
      <c r="W1244" s="2" t="s">
        <v>231</v>
      </c>
      <c r="X1244" s="2" t="s">
        <v>69</v>
      </c>
      <c r="Y1244" s="2">
        <v>65.5</v>
      </c>
      <c r="Z1244" s="2">
        <v>75.7</v>
      </c>
      <c r="AA1244" s="2" t="s">
        <v>259</v>
      </c>
      <c r="AB1244" s="2" t="s">
        <v>1865</v>
      </c>
      <c r="AC1244" s="2">
        <v>1.62869728852933</v>
      </c>
      <c r="AD1244" s="2"/>
      <c r="AE1244" s="2">
        <v>0.50186894028478102</v>
      </c>
      <c r="AF1244" s="2">
        <v>21998.378327978498</v>
      </c>
      <c r="AG1244" s="2">
        <v>15326.1077888415</v>
      </c>
      <c r="AH1244" s="5">
        <v>1.4353532306483501</v>
      </c>
      <c r="AI1244" s="5">
        <v>0.52140581801209795</v>
      </c>
      <c r="AJ1244" s="5" t="s">
        <v>139</v>
      </c>
      <c r="AK1244" s="2">
        <v>5.5580605021270997E-2</v>
      </c>
      <c r="AL1244" s="2">
        <v>0.32359872657055999</v>
      </c>
      <c r="AM1244" s="2">
        <v>33216.537593601999</v>
      </c>
      <c r="AN1244" s="2">
        <v>23779.215579660799</v>
      </c>
      <c r="AO1244" s="2">
        <v>15347.8051423631</v>
      </c>
      <c r="AP1244" s="2">
        <v>18832.7355507588</v>
      </c>
      <c r="AQ1244" s="2">
        <v>19130.702269915699</v>
      </c>
      <c r="AR1244" s="2">
        <v>21683.273831570601</v>
      </c>
      <c r="AS1244" s="2">
        <v>15785.071555857499</v>
      </c>
      <c r="AT1244" s="2">
        <v>8173.4800768845398</v>
      </c>
      <c r="AU1244" s="2">
        <v>17495.045906703399</v>
      </c>
      <c r="AV1244" s="2">
        <v>13248.5885457486</v>
      </c>
      <c r="AW1244" s="2">
        <v>20972.494002593801</v>
      </c>
      <c r="AX1244" s="2">
        <v>16281.9666452609</v>
      </c>
    </row>
    <row r="1245" spans="1:50" x14ac:dyDescent="0.25">
      <c r="A1245" s="2" t="s">
        <v>8647</v>
      </c>
      <c r="B1245" s="2">
        <v>586.31524178545601</v>
      </c>
      <c r="C1245" s="2">
        <v>9.95386666666667</v>
      </c>
      <c r="D1245" s="2" t="s">
        <v>51</v>
      </c>
      <c r="E1245" s="2" t="s">
        <v>8648</v>
      </c>
      <c r="F1245" s="2">
        <v>19847</v>
      </c>
      <c r="G1245" s="3" t="str">
        <f>HYPERLINK("https://cloud.oebiotech.com/#/lm/network/19847", "https://cloud.oebiotech.com/#/lm/network/19847")</f>
        <v>https://cloud.oebiotech.com/#/lm/network/19847</v>
      </c>
      <c r="H1245" s="2" t="s">
        <v>8649</v>
      </c>
      <c r="I1245" s="2">
        <v>40316</v>
      </c>
      <c r="J1245" s="2" t="s">
        <v>8650</v>
      </c>
      <c r="K1245" s="2">
        <v>11757087</v>
      </c>
      <c r="L1245" s="2" t="s">
        <v>691</v>
      </c>
      <c r="M1245" s="2" t="s">
        <v>692</v>
      </c>
      <c r="N1245" s="2" t="s">
        <v>693</v>
      </c>
      <c r="O1245" s="2"/>
      <c r="P1245" s="2"/>
      <c r="Q1245" s="2"/>
      <c r="R1245" s="2"/>
      <c r="S1245" s="2" t="s">
        <v>8651</v>
      </c>
      <c r="T1245" s="2" t="s">
        <v>8652</v>
      </c>
      <c r="U1245" s="2" t="s">
        <v>56</v>
      </c>
      <c r="V1245" s="2" t="s">
        <v>57</v>
      </c>
      <c r="W1245" s="2" t="s">
        <v>58</v>
      </c>
      <c r="X1245" s="2" t="s">
        <v>69</v>
      </c>
      <c r="Y1245" s="2">
        <v>63.4</v>
      </c>
      <c r="Z1245" s="2">
        <v>97</v>
      </c>
      <c r="AA1245" s="2" t="s">
        <v>218</v>
      </c>
      <c r="AB1245" s="2" t="s">
        <v>8653</v>
      </c>
      <c r="AC1245" s="2">
        <v>0.36836906053278001</v>
      </c>
      <c r="AD1245" s="2"/>
      <c r="AE1245" s="2">
        <v>0.50176046152388798</v>
      </c>
      <c r="AF1245" s="2">
        <v>107344.790914289</v>
      </c>
      <c r="AG1245" s="2">
        <v>97646.878364278804</v>
      </c>
      <c r="AH1245" s="5">
        <v>1.09931615544157</v>
      </c>
      <c r="AI1245" s="5">
        <v>0.13660635470714599</v>
      </c>
      <c r="AJ1245" s="5" t="s">
        <v>139</v>
      </c>
      <c r="AK1245" s="2">
        <v>0.84252631648285203</v>
      </c>
      <c r="AL1245" s="2">
        <v>0.93010017496442798</v>
      </c>
      <c r="AM1245" s="2">
        <v>324247.85850749601</v>
      </c>
      <c r="AN1245" s="2">
        <v>110981.696974345</v>
      </c>
      <c r="AO1245" s="2">
        <v>45853.198476557503</v>
      </c>
      <c r="AP1245" s="2">
        <v>85839.538803596806</v>
      </c>
      <c r="AQ1245" s="2">
        <v>32903.085987997903</v>
      </c>
      <c r="AR1245" s="2">
        <v>44243.3667357425</v>
      </c>
      <c r="AS1245" s="2">
        <v>83681.039966423705</v>
      </c>
      <c r="AT1245" s="2">
        <v>37712.380187656003</v>
      </c>
      <c r="AU1245" s="2">
        <v>111044.87725309801</v>
      </c>
      <c r="AV1245" s="2">
        <v>137822.959771061</v>
      </c>
      <c r="AW1245" s="2">
        <v>82766.460550592907</v>
      </c>
      <c r="AX1245" s="2">
        <v>132853.55245684099</v>
      </c>
    </row>
    <row r="1246" spans="1:50" x14ac:dyDescent="0.25">
      <c r="A1246" s="2" t="s">
        <v>8654</v>
      </c>
      <c r="B1246" s="2">
        <v>137.10765447849599</v>
      </c>
      <c r="C1246" s="2">
        <v>14.5834166666667</v>
      </c>
      <c r="D1246" s="2" t="s">
        <v>51</v>
      </c>
      <c r="E1246" s="2" t="s">
        <v>8655</v>
      </c>
      <c r="F1246" s="2">
        <v>53672</v>
      </c>
      <c r="G1246" s="3" t="str">
        <f>HYPERLINK("https://cloud.oebiotech.com/#/lm/network/53672", "https://cloud.oebiotech.com/#/lm/network/53672")</f>
        <v>https://cloud.oebiotech.com/#/lm/network/53672</v>
      </c>
      <c r="H1246" s="2" t="s">
        <v>8656</v>
      </c>
      <c r="I1246" s="2">
        <v>1304</v>
      </c>
      <c r="J1246" s="2"/>
      <c r="K1246" s="2">
        <v>2366</v>
      </c>
      <c r="L1246" s="2"/>
      <c r="M1246" s="2"/>
      <c r="N1246" s="2"/>
      <c r="O1246" s="2">
        <v>35677</v>
      </c>
      <c r="P1246" s="2"/>
      <c r="Q1246" s="2"/>
      <c r="R1246" s="2" t="s">
        <v>8657</v>
      </c>
      <c r="S1246" s="2" t="s">
        <v>8658</v>
      </c>
      <c r="T1246" s="2" t="s">
        <v>8659</v>
      </c>
      <c r="U1246" s="2" t="s">
        <v>119</v>
      </c>
      <c r="V1246" s="2" t="s">
        <v>120</v>
      </c>
      <c r="W1246" s="2" t="s">
        <v>1887</v>
      </c>
      <c r="X1246" s="2" t="s">
        <v>147</v>
      </c>
      <c r="Y1246" s="2">
        <v>38.9</v>
      </c>
      <c r="Z1246" s="2">
        <v>0</v>
      </c>
      <c r="AA1246" s="2" t="s">
        <v>259</v>
      </c>
      <c r="AB1246" s="2" t="s">
        <v>8660</v>
      </c>
      <c r="AC1246" s="2">
        <v>2.4221303342675098</v>
      </c>
      <c r="AD1246" s="2"/>
      <c r="AE1246" s="2">
        <v>0.50169468743190104</v>
      </c>
      <c r="AF1246" s="2">
        <v>66653.607373936495</v>
      </c>
      <c r="AG1246" s="2">
        <v>76048.058045860103</v>
      </c>
      <c r="AH1246" s="4">
        <v>0.87646692218940803</v>
      </c>
      <c r="AI1246" s="4">
        <v>-0.19022845010196701</v>
      </c>
      <c r="AJ1246" s="4" t="s">
        <v>62</v>
      </c>
      <c r="AK1246" s="2">
        <v>0.113458653459471</v>
      </c>
      <c r="AL1246" s="2">
        <v>0.42768509561198897</v>
      </c>
      <c r="AM1246" s="2">
        <v>57210.254502004398</v>
      </c>
      <c r="AN1246" s="2">
        <v>71828.007913732494</v>
      </c>
      <c r="AO1246" s="2">
        <v>67062.932860602203</v>
      </c>
      <c r="AP1246" s="2">
        <v>70743.105412385004</v>
      </c>
      <c r="AQ1246" s="2">
        <v>74238.325380861599</v>
      </c>
      <c r="AR1246" s="2">
        <v>58839.018174033001</v>
      </c>
      <c r="AS1246" s="2">
        <v>83496.139190076196</v>
      </c>
      <c r="AT1246" s="2">
        <v>93728.054626996105</v>
      </c>
      <c r="AU1246" s="2">
        <v>66101.006834642802</v>
      </c>
      <c r="AV1246" s="2">
        <v>67205.931637637506</v>
      </c>
      <c r="AW1246" s="2">
        <v>67257.612457777504</v>
      </c>
      <c r="AX1246" s="2">
        <v>78499.603528030304</v>
      </c>
    </row>
    <row r="1247" spans="1:50" x14ac:dyDescent="0.25">
      <c r="A1247" s="2" t="s">
        <v>8661</v>
      </c>
      <c r="B1247" s="2">
        <v>444.11900958422302</v>
      </c>
      <c r="C1247" s="2">
        <v>4.3064166666666699</v>
      </c>
      <c r="D1247" s="2" t="s">
        <v>51</v>
      </c>
      <c r="E1247" s="2" t="s">
        <v>8662</v>
      </c>
      <c r="F1247" s="2">
        <v>204349</v>
      </c>
      <c r="G1247" s="3" t="str">
        <f>HYPERLINK("https://cloud.oebiotech.com/#/lm/network/204349", "https://cloud.oebiotech.com/#/lm/network/204349")</f>
        <v>https://cloud.oebiotech.com/#/lm/network/204349</v>
      </c>
      <c r="H1247" s="2" t="s">
        <v>8663</v>
      </c>
      <c r="I1247" s="2"/>
      <c r="J1247" s="2"/>
      <c r="K1247" s="2">
        <v>4649133</v>
      </c>
      <c r="L1247" s="2"/>
      <c r="M1247" s="2"/>
      <c r="N1247" s="2"/>
      <c r="O1247" s="2"/>
      <c r="P1247" s="2"/>
      <c r="Q1247" s="2"/>
      <c r="R1247" s="2"/>
      <c r="S1247" s="2" t="s">
        <v>8664</v>
      </c>
      <c r="T1247" s="2" t="s">
        <v>8665</v>
      </c>
      <c r="U1247" s="2" t="s">
        <v>331</v>
      </c>
      <c r="V1247" s="2" t="s">
        <v>332</v>
      </c>
      <c r="W1247" s="2" t="s">
        <v>333</v>
      </c>
      <c r="X1247" s="2" t="s">
        <v>147</v>
      </c>
      <c r="Y1247" s="2">
        <v>38.9</v>
      </c>
      <c r="Z1247" s="2">
        <v>8.1299999999999997E-2</v>
      </c>
      <c r="AA1247" s="2" t="s">
        <v>163</v>
      </c>
      <c r="AB1247" s="2" t="s">
        <v>8666</v>
      </c>
      <c r="AC1247" s="2">
        <v>2.85318968160048</v>
      </c>
      <c r="AD1247" s="2"/>
      <c r="AE1247" s="2">
        <v>0.50154207422959696</v>
      </c>
      <c r="AF1247" s="2">
        <v>2.7418158768113701</v>
      </c>
      <c r="AG1247" s="2">
        <v>11255.382436624701</v>
      </c>
      <c r="AH1247" s="4">
        <v>2.43600418932864E-4</v>
      </c>
      <c r="AI1247" s="4">
        <v>-12.003195765222101</v>
      </c>
      <c r="AJ1247" s="4" t="s">
        <v>62</v>
      </c>
      <c r="AK1247" s="2">
        <v>0.34096262910375502</v>
      </c>
      <c r="AL1247" s="2">
        <v>0.63815037094278604</v>
      </c>
      <c r="AM1247" s="2">
        <v>2.70909874281223</v>
      </c>
      <c r="AN1247" s="2">
        <v>8.559877937157E-6</v>
      </c>
      <c r="AO1247" s="2">
        <v>0.64398860391896595</v>
      </c>
      <c r="AP1247" s="2">
        <v>2.7509408691363499</v>
      </c>
      <c r="AQ1247" s="2">
        <v>4.70468207570632E-2</v>
      </c>
      <c r="AR1247" s="2">
        <v>10.2998116643657</v>
      </c>
      <c r="AS1247" s="2">
        <v>9.9428234847268399E-2</v>
      </c>
      <c r="AT1247" s="2">
        <v>8.559877937157E-6</v>
      </c>
      <c r="AU1247" s="2">
        <v>8.559877937157E-6</v>
      </c>
      <c r="AV1247" s="2">
        <v>67527.072349246606</v>
      </c>
      <c r="AW1247" s="2">
        <v>8.559877937157E-6</v>
      </c>
      <c r="AX1247" s="2">
        <v>5.1228165870574403</v>
      </c>
    </row>
    <row r="1248" spans="1:50" x14ac:dyDescent="0.25">
      <c r="A1248" s="2" t="s">
        <v>8667</v>
      </c>
      <c r="B1248" s="2">
        <v>411.06855547777599</v>
      </c>
      <c r="C1248" s="2">
        <v>5.7116499999999997</v>
      </c>
      <c r="D1248" s="2" t="s">
        <v>51</v>
      </c>
      <c r="E1248" s="2" t="s">
        <v>8668</v>
      </c>
      <c r="F1248" s="2">
        <v>56229</v>
      </c>
      <c r="G1248" s="3" t="str">
        <f>HYPERLINK("https://cloud.oebiotech.com/#/lm/network/56229", "https://cloud.oebiotech.com/#/lm/network/56229")</f>
        <v>https://cloud.oebiotech.com/#/lm/network/56229</v>
      </c>
      <c r="H1248" s="2" t="s">
        <v>8669</v>
      </c>
      <c r="I1248" s="2"/>
      <c r="J1248" s="2"/>
      <c r="K1248" s="2">
        <v>85216671</v>
      </c>
      <c r="L1248" s="2"/>
      <c r="M1248" s="2"/>
      <c r="N1248" s="2"/>
      <c r="O1248" s="2"/>
      <c r="P1248" s="2"/>
      <c r="Q1248" s="2"/>
      <c r="R1248" s="2" t="s">
        <v>8670</v>
      </c>
      <c r="S1248" s="2" t="s">
        <v>8671</v>
      </c>
      <c r="T1248" s="2" t="s">
        <v>8672</v>
      </c>
      <c r="U1248" s="2" t="s">
        <v>56</v>
      </c>
      <c r="V1248" s="2" t="s">
        <v>177</v>
      </c>
      <c r="W1248" s="2" t="s">
        <v>806</v>
      </c>
      <c r="X1248" s="2" t="s">
        <v>147</v>
      </c>
      <c r="Y1248" s="2">
        <v>41.4</v>
      </c>
      <c r="Z1248" s="2">
        <v>14.7</v>
      </c>
      <c r="AA1248" s="2" t="s">
        <v>1123</v>
      </c>
      <c r="AB1248" s="2" t="s">
        <v>8673</v>
      </c>
      <c r="AC1248" s="2">
        <v>-0.67034517270090199</v>
      </c>
      <c r="AD1248" s="2"/>
      <c r="AE1248" s="2">
        <v>0.50131418147548801</v>
      </c>
      <c r="AF1248" s="2">
        <v>2160.34166188169</v>
      </c>
      <c r="AG1248" s="2">
        <v>10027.423993930701</v>
      </c>
      <c r="AH1248" s="4">
        <v>0.21544333451834599</v>
      </c>
      <c r="AI1248" s="4">
        <v>-2.2146196304891101</v>
      </c>
      <c r="AJ1248" s="4" t="s">
        <v>62</v>
      </c>
      <c r="AK1248" s="2">
        <v>5.4402935427085297E-2</v>
      </c>
      <c r="AL1248" s="2">
        <v>0.31944806275085003</v>
      </c>
      <c r="AM1248" s="2">
        <v>4376.0631242407899</v>
      </c>
      <c r="AN1248" s="2">
        <v>8.559877937157E-6</v>
      </c>
      <c r="AO1248" s="2">
        <v>3402.0961775669498</v>
      </c>
      <c r="AP1248" s="2">
        <v>8.559877937157E-6</v>
      </c>
      <c r="AQ1248" s="2">
        <v>1684.5120213436401</v>
      </c>
      <c r="AR1248" s="2">
        <v>3499.3786310190198</v>
      </c>
      <c r="AS1248" s="2">
        <v>2007.8586100365201</v>
      </c>
      <c r="AT1248" s="2">
        <v>3852.0718932590198</v>
      </c>
      <c r="AU1248" s="2">
        <v>13046.692136653501</v>
      </c>
      <c r="AV1248" s="2">
        <v>9520.3344188755891</v>
      </c>
      <c r="AW1248" s="2">
        <v>25703.3918843053</v>
      </c>
      <c r="AX1248" s="2">
        <v>6034.1950204541799</v>
      </c>
    </row>
    <row r="1249" spans="1:50" x14ac:dyDescent="0.25">
      <c r="A1249" s="2" t="s">
        <v>8674</v>
      </c>
      <c r="B1249" s="2">
        <v>421.16874380336998</v>
      </c>
      <c r="C1249" s="2">
        <v>11.068</v>
      </c>
      <c r="D1249" s="2" t="s">
        <v>51</v>
      </c>
      <c r="E1249" s="2" t="s">
        <v>8675</v>
      </c>
      <c r="F1249" s="2">
        <v>205241</v>
      </c>
      <c r="G1249" s="3" t="str">
        <f>HYPERLINK("https://cloud.oebiotech.com/#/lm/network/205241", "https://cloud.oebiotech.com/#/lm/network/205241")</f>
        <v>https://cloud.oebiotech.com/#/lm/network/205241</v>
      </c>
      <c r="H1249" s="2" t="s">
        <v>8676</v>
      </c>
      <c r="I1249" s="2"/>
      <c r="J1249" s="2"/>
      <c r="K1249" s="2">
        <v>12881369</v>
      </c>
      <c r="L1249" s="2"/>
      <c r="M1249" s="2"/>
      <c r="N1249" s="2"/>
      <c r="O1249" s="2"/>
      <c r="P1249" s="2"/>
      <c r="Q1249" s="2"/>
      <c r="R1249" s="2"/>
      <c r="S1249" s="2" t="s">
        <v>8677</v>
      </c>
      <c r="T1249" s="2" t="s">
        <v>8678</v>
      </c>
      <c r="U1249" s="2" t="s">
        <v>56</v>
      </c>
      <c r="V1249" s="2" t="s">
        <v>283</v>
      </c>
      <c r="W1249" s="2" t="s">
        <v>3686</v>
      </c>
      <c r="X1249" s="2" t="s">
        <v>147</v>
      </c>
      <c r="Y1249" s="2">
        <v>41.9</v>
      </c>
      <c r="Z1249" s="2">
        <v>19.399999999999999</v>
      </c>
      <c r="AA1249" s="2" t="s">
        <v>379</v>
      </c>
      <c r="AB1249" s="2" t="s">
        <v>8679</v>
      </c>
      <c r="AC1249" s="2">
        <v>-0.657538437772345</v>
      </c>
      <c r="AD1249" s="2"/>
      <c r="AE1249" s="2">
        <v>0.50129269314223501</v>
      </c>
      <c r="AF1249" s="2">
        <v>11905.3853747187</v>
      </c>
      <c r="AG1249" s="2">
        <v>6010.9735614643296</v>
      </c>
      <c r="AH1249" s="5">
        <v>1.9806085075873201</v>
      </c>
      <c r="AI1249" s="5">
        <v>0.98594374141922303</v>
      </c>
      <c r="AJ1249" s="5" t="s">
        <v>139</v>
      </c>
      <c r="AK1249" s="2">
        <v>5.6194868909004603E-2</v>
      </c>
      <c r="AL1249" s="2">
        <v>0.32510032444738302</v>
      </c>
      <c r="AM1249" s="2">
        <v>23053.6472631701</v>
      </c>
      <c r="AN1249" s="2">
        <v>12975.946803045401</v>
      </c>
      <c r="AO1249" s="2">
        <v>7425.8728089972101</v>
      </c>
      <c r="AP1249" s="2">
        <v>7438.06419591945</v>
      </c>
      <c r="AQ1249" s="2">
        <v>13215.138302036899</v>
      </c>
      <c r="AR1249" s="2">
        <v>7323.6428751431804</v>
      </c>
      <c r="AS1249" s="2">
        <v>4701.4206734093204</v>
      </c>
      <c r="AT1249" s="2">
        <v>1354.83883656635</v>
      </c>
      <c r="AU1249" s="2">
        <v>8894.0540261009101</v>
      </c>
      <c r="AV1249" s="2">
        <v>7409.0512609895904</v>
      </c>
      <c r="AW1249" s="2">
        <v>6434.0128882988402</v>
      </c>
      <c r="AX1249" s="2">
        <v>7272.4636834209696</v>
      </c>
    </row>
    <row r="1250" spans="1:50" x14ac:dyDescent="0.25">
      <c r="A1250" s="2" t="s">
        <v>8680</v>
      </c>
      <c r="B1250" s="2">
        <v>411.35949656988703</v>
      </c>
      <c r="C1250" s="2">
        <v>10.331950000000001</v>
      </c>
      <c r="D1250" s="2" t="s">
        <v>51</v>
      </c>
      <c r="E1250" s="2" t="s">
        <v>8681</v>
      </c>
      <c r="F1250" s="2">
        <v>198485</v>
      </c>
      <c r="G1250" s="3" t="str">
        <f>HYPERLINK("https://cloud.oebiotech.com/#/lm/network/198485", "https://cloud.oebiotech.com/#/lm/network/198485")</f>
        <v>https://cloud.oebiotech.com/#/lm/network/198485</v>
      </c>
      <c r="H1250" s="2" t="s">
        <v>8682</v>
      </c>
      <c r="I1250" s="2"/>
      <c r="J1250" s="2"/>
      <c r="K1250" s="2">
        <v>72996889</v>
      </c>
      <c r="L1250" s="2"/>
      <c r="M1250" s="2"/>
      <c r="N1250" s="2"/>
      <c r="O1250" s="2"/>
      <c r="P1250" s="2"/>
      <c r="Q1250" s="2"/>
      <c r="R1250" s="2"/>
      <c r="S1250" s="2" t="s">
        <v>8683</v>
      </c>
      <c r="T1250" s="2" t="s">
        <v>8684</v>
      </c>
      <c r="U1250" s="2" t="s">
        <v>103</v>
      </c>
      <c r="V1250" s="2" t="s">
        <v>104</v>
      </c>
      <c r="W1250" s="2" t="s">
        <v>105</v>
      </c>
      <c r="X1250" s="2" t="s">
        <v>59</v>
      </c>
      <c r="Y1250" s="2">
        <v>48.8</v>
      </c>
      <c r="Z1250" s="2">
        <v>53.6</v>
      </c>
      <c r="AA1250" s="2" t="s">
        <v>512</v>
      </c>
      <c r="AB1250" s="2" t="s">
        <v>8685</v>
      </c>
      <c r="AC1250" s="2">
        <v>3.5004128084139698</v>
      </c>
      <c r="AD1250" s="2"/>
      <c r="AE1250" s="2">
        <v>0.50126600310670499</v>
      </c>
      <c r="AF1250" s="2">
        <v>2496.73898938504</v>
      </c>
      <c r="AG1250" s="2">
        <v>24508.118603209601</v>
      </c>
      <c r="AH1250" s="4">
        <v>0.101873955720863</v>
      </c>
      <c r="AI1250" s="4">
        <v>-3.2951428240987801</v>
      </c>
      <c r="AJ1250" s="4" t="s">
        <v>62</v>
      </c>
      <c r="AK1250" s="2">
        <v>0.31585723044811698</v>
      </c>
      <c r="AL1250" s="2">
        <v>0.62466501571301503</v>
      </c>
      <c r="AM1250" s="2">
        <v>251.050389363612</v>
      </c>
      <c r="AN1250" s="2">
        <v>1609.42560285287</v>
      </c>
      <c r="AO1250" s="2">
        <v>1524.3696173580299</v>
      </c>
      <c r="AP1250" s="2">
        <v>726.53202047331501</v>
      </c>
      <c r="AQ1250" s="2">
        <v>9288.7772572687209</v>
      </c>
      <c r="AR1250" s="2">
        <v>1580.2790489936899</v>
      </c>
      <c r="AS1250" s="2">
        <v>815.71024451256801</v>
      </c>
      <c r="AT1250" s="2">
        <v>8.559877937157E-6</v>
      </c>
      <c r="AU1250" s="2">
        <v>128083.889761921</v>
      </c>
      <c r="AV1250" s="2">
        <v>5659.6398381357903</v>
      </c>
      <c r="AW1250" s="2">
        <v>12062.610311025701</v>
      </c>
      <c r="AX1250" s="2">
        <v>426.86145510280801</v>
      </c>
    </row>
    <row r="1251" spans="1:50" x14ac:dyDescent="0.25">
      <c r="A1251" s="2" t="s">
        <v>8686</v>
      </c>
      <c r="B1251" s="2">
        <v>362.23727127302698</v>
      </c>
      <c r="C1251" s="2">
        <v>13.862733333333299</v>
      </c>
      <c r="D1251" s="2" t="s">
        <v>51</v>
      </c>
      <c r="E1251" s="2" t="s">
        <v>8687</v>
      </c>
      <c r="F1251" s="2">
        <v>8657</v>
      </c>
      <c r="G1251" s="3" t="str">
        <f>HYPERLINK("https://cloud.oebiotech.com/#/lm/network/8657", "https://cloud.oebiotech.com/#/lm/network/8657")</f>
        <v>https://cloud.oebiotech.com/#/lm/network/8657</v>
      </c>
      <c r="H1251" s="2" t="s">
        <v>8688</v>
      </c>
      <c r="I1251" s="2">
        <v>44910</v>
      </c>
      <c r="J1251" s="2" t="s">
        <v>8689</v>
      </c>
      <c r="K1251" s="2">
        <v>14504290</v>
      </c>
      <c r="L1251" s="2"/>
      <c r="M1251" s="2"/>
      <c r="N1251" s="2"/>
      <c r="O1251" s="2">
        <v>132477</v>
      </c>
      <c r="P1251" s="2"/>
      <c r="Q1251" s="2"/>
      <c r="R1251" s="2" t="s">
        <v>8690</v>
      </c>
      <c r="S1251" s="2" t="s">
        <v>8691</v>
      </c>
      <c r="T1251" s="2" t="s">
        <v>8692</v>
      </c>
      <c r="U1251" s="2" t="s">
        <v>56</v>
      </c>
      <c r="V1251" s="2" t="s">
        <v>145</v>
      </c>
      <c r="W1251" s="2" t="s">
        <v>1617</v>
      </c>
      <c r="X1251" s="2" t="s">
        <v>147</v>
      </c>
      <c r="Y1251" s="2">
        <v>38</v>
      </c>
      <c r="Z1251" s="2">
        <v>0.97599999999999998</v>
      </c>
      <c r="AA1251" s="2" t="s">
        <v>163</v>
      </c>
      <c r="AB1251" s="2" t="s">
        <v>8693</v>
      </c>
      <c r="AC1251" s="2">
        <v>0.60024446208400795</v>
      </c>
      <c r="AD1251" s="2"/>
      <c r="AE1251" s="2">
        <v>0.50109120699951404</v>
      </c>
      <c r="AF1251" s="2">
        <v>15863.6729029866</v>
      </c>
      <c r="AG1251" s="2">
        <v>34337.647537865501</v>
      </c>
      <c r="AH1251" s="4">
        <v>0.46199067322515602</v>
      </c>
      <c r="AI1251" s="4">
        <v>-1.1140643684140801</v>
      </c>
      <c r="AJ1251" s="4" t="s">
        <v>62</v>
      </c>
      <c r="AK1251" s="2">
        <v>0.284244357526929</v>
      </c>
      <c r="AL1251" s="2">
        <v>0.60000138164408201</v>
      </c>
      <c r="AM1251" s="2">
        <v>20819.002857199601</v>
      </c>
      <c r="AN1251" s="2">
        <v>15749.596430412201</v>
      </c>
      <c r="AO1251" s="2">
        <v>10873.090153532299</v>
      </c>
      <c r="AP1251" s="2">
        <v>14949.7486720334</v>
      </c>
      <c r="AQ1251" s="2">
        <v>13170.853194612901</v>
      </c>
      <c r="AR1251" s="2">
        <v>19619.746110129199</v>
      </c>
      <c r="AS1251" s="2">
        <v>8816.3195863543497</v>
      </c>
      <c r="AT1251" s="2">
        <v>9199.8176225605293</v>
      </c>
      <c r="AU1251" s="2">
        <v>105166.960970086</v>
      </c>
      <c r="AV1251" s="2">
        <v>13431.422817807201</v>
      </c>
      <c r="AW1251" s="2">
        <v>59076.643373727602</v>
      </c>
      <c r="AX1251" s="2">
        <v>10334.720856657301</v>
      </c>
    </row>
    <row r="1252" spans="1:50" x14ac:dyDescent="0.25">
      <c r="A1252" s="2" t="s">
        <v>8694</v>
      </c>
      <c r="B1252" s="2">
        <v>350.23149772482299</v>
      </c>
      <c r="C1252" s="2">
        <v>9.9106500000000004</v>
      </c>
      <c r="D1252" s="2" t="s">
        <v>51</v>
      </c>
      <c r="E1252" s="2" t="s">
        <v>8695</v>
      </c>
      <c r="F1252" s="2">
        <v>52085</v>
      </c>
      <c r="G1252" s="3" t="str">
        <f>HYPERLINK("https://cloud.oebiotech.com/#/lm/network/52085", "https://cloud.oebiotech.com/#/lm/network/52085")</f>
        <v>https://cloud.oebiotech.com/#/lm/network/52085</v>
      </c>
      <c r="H1252" s="2" t="s">
        <v>8696</v>
      </c>
      <c r="I1252" s="2"/>
      <c r="J1252" s="2"/>
      <c r="K1252" s="2">
        <v>53481532</v>
      </c>
      <c r="L1252" s="2"/>
      <c r="M1252" s="2"/>
      <c r="N1252" s="2"/>
      <c r="O1252" s="2"/>
      <c r="P1252" s="2"/>
      <c r="Q1252" s="2"/>
      <c r="R1252" s="2" t="s">
        <v>8697</v>
      </c>
      <c r="S1252" s="2" t="s">
        <v>8698</v>
      </c>
      <c r="T1252" s="2" t="s">
        <v>8699</v>
      </c>
      <c r="U1252" s="2" t="s">
        <v>266</v>
      </c>
      <c r="V1252" s="2" t="s">
        <v>1785</v>
      </c>
      <c r="W1252" s="2" t="s">
        <v>1786</v>
      </c>
      <c r="X1252" s="2" t="s">
        <v>69</v>
      </c>
      <c r="Y1252" s="2">
        <v>54.5</v>
      </c>
      <c r="Z1252" s="2">
        <v>60.2</v>
      </c>
      <c r="AA1252" s="2" t="s">
        <v>512</v>
      </c>
      <c r="AB1252" s="2" t="s">
        <v>1500</v>
      </c>
      <c r="AC1252" s="2">
        <v>-3.2726834342952902</v>
      </c>
      <c r="AD1252" s="2"/>
      <c r="AE1252" s="2">
        <v>0.50076088459580803</v>
      </c>
      <c r="AF1252" s="2">
        <v>15656.4464489535</v>
      </c>
      <c r="AG1252" s="2">
        <v>1159.89857039819</v>
      </c>
      <c r="AH1252" s="5">
        <v>13.4981168599756</v>
      </c>
      <c r="AI1252" s="5">
        <v>3.7546862439206801</v>
      </c>
      <c r="AJ1252" s="5" t="s">
        <v>139</v>
      </c>
      <c r="AK1252" s="2">
        <v>0.22473871896262501</v>
      </c>
      <c r="AL1252" s="2">
        <v>0.55090354983928802</v>
      </c>
      <c r="AM1252" s="2">
        <v>1122.6858752215101</v>
      </c>
      <c r="AN1252" s="2">
        <v>932.45645876778201</v>
      </c>
      <c r="AO1252" s="2">
        <v>21665.861696472799</v>
      </c>
      <c r="AP1252" s="2">
        <v>796.97309247509202</v>
      </c>
      <c r="AQ1252" s="2">
        <v>68880.349923392205</v>
      </c>
      <c r="AR1252" s="2">
        <v>540.35164739134905</v>
      </c>
      <c r="AS1252" s="2">
        <v>5043.0501261601203</v>
      </c>
      <c r="AT1252" s="2">
        <v>317.07008495567999</v>
      </c>
      <c r="AU1252" s="2">
        <v>8.559877937157E-6</v>
      </c>
      <c r="AV1252" s="2">
        <v>1010.47057562252</v>
      </c>
      <c r="AW1252" s="2">
        <v>449.05770611391</v>
      </c>
      <c r="AX1252" s="2">
        <v>139.74292097706001</v>
      </c>
    </row>
    <row r="1253" spans="1:50" x14ac:dyDescent="0.25">
      <c r="A1253" s="2" t="s">
        <v>8700</v>
      </c>
      <c r="B1253" s="2">
        <v>130.065508928897</v>
      </c>
      <c r="C1253" s="2">
        <v>6.1269833333333299</v>
      </c>
      <c r="D1253" s="2" t="s">
        <v>51</v>
      </c>
      <c r="E1253" s="2" t="s">
        <v>8701</v>
      </c>
      <c r="F1253" s="2">
        <v>58307</v>
      </c>
      <c r="G1253" s="3" t="str">
        <f>HYPERLINK("https://cloud.oebiotech.com/#/lm/network/58307", "https://cloud.oebiotech.com/#/lm/network/58307")</f>
        <v>https://cloud.oebiotech.com/#/lm/network/58307</v>
      </c>
      <c r="H1253" s="2" t="s">
        <v>8702</v>
      </c>
      <c r="I1253" s="2">
        <v>44763</v>
      </c>
      <c r="J1253" s="2"/>
      <c r="K1253" s="2">
        <v>8405</v>
      </c>
      <c r="L1253" s="2" t="s">
        <v>8703</v>
      </c>
      <c r="M1253" s="2"/>
      <c r="N1253" s="2"/>
      <c r="O1253" s="2">
        <v>16092</v>
      </c>
      <c r="P1253" s="2"/>
      <c r="Q1253" s="2"/>
      <c r="R1253" s="2" t="s">
        <v>8704</v>
      </c>
      <c r="S1253" s="2" t="s">
        <v>8705</v>
      </c>
      <c r="T1253" s="2" t="s">
        <v>8706</v>
      </c>
      <c r="U1253" s="2" t="s">
        <v>266</v>
      </c>
      <c r="V1253" s="2" t="s">
        <v>1074</v>
      </c>
      <c r="W1253" s="2" t="s">
        <v>240</v>
      </c>
      <c r="X1253" s="2" t="s">
        <v>147</v>
      </c>
      <c r="Y1253" s="2">
        <v>41.1</v>
      </c>
      <c r="Z1253" s="2">
        <v>18.399999999999999</v>
      </c>
      <c r="AA1253" s="2" t="s">
        <v>259</v>
      </c>
      <c r="AB1253" s="2" t="s">
        <v>8707</v>
      </c>
      <c r="AC1253" s="2">
        <v>2.96973496079623</v>
      </c>
      <c r="AD1253" s="2"/>
      <c r="AE1253" s="2">
        <v>0.50071428494749204</v>
      </c>
      <c r="AF1253" s="2">
        <v>28818.824728527499</v>
      </c>
      <c r="AG1253" s="2">
        <v>3773.6690393614799</v>
      </c>
      <c r="AH1253" s="5">
        <v>7.6368182869062</v>
      </c>
      <c r="AI1253" s="5">
        <v>2.9329716961430901</v>
      </c>
      <c r="AJ1253" s="5" t="s">
        <v>139</v>
      </c>
      <c r="AK1253" s="2">
        <v>0.38649593234757401</v>
      </c>
      <c r="AL1253" s="2">
        <v>0.66261228713472298</v>
      </c>
      <c r="AM1253" s="2">
        <v>778.47277885295398</v>
      </c>
      <c r="AN1253" s="2">
        <v>1577.1638963407199</v>
      </c>
      <c r="AO1253" s="2">
        <v>907.70448390401498</v>
      </c>
      <c r="AP1253" s="2">
        <v>1144.4503869887001</v>
      </c>
      <c r="AQ1253" s="2">
        <v>1543.07478793069</v>
      </c>
      <c r="AR1253" s="2">
        <v>166962.08203714801</v>
      </c>
      <c r="AS1253" s="2">
        <v>1312.73031446702</v>
      </c>
      <c r="AT1253" s="2">
        <v>1407.7671542307901</v>
      </c>
      <c r="AU1253" s="2">
        <v>8204.1861737505806</v>
      </c>
      <c r="AV1253" s="2">
        <v>3241.8515113166</v>
      </c>
      <c r="AW1253" s="2">
        <v>7198.7612967185896</v>
      </c>
      <c r="AX1253" s="2">
        <v>1276.71778568532</v>
      </c>
    </row>
    <row r="1254" spans="1:50" x14ac:dyDescent="0.25">
      <c r="A1254" s="2" t="s">
        <v>8708</v>
      </c>
      <c r="B1254" s="2">
        <v>589.44766018129201</v>
      </c>
      <c r="C1254" s="2">
        <v>13.262283333333301</v>
      </c>
      <c r="D1254" s="2" t="s">
        <v>51</v>
      </c>
      <c r="E1254" s="2" t="s">
        <v>8709</v>
      </c>
      <c r="F1254" s="2">
        <v>37542</v>
      </c>
      <c r="G1254" s="3" t="str">
        <f>HYPERLINK("https://cloud.oebiotech.com/#/lm/network/37542", "https://cloud.oebiotech.com/#/lm/network/37542")</f>
        <v>https://cloud.oebiotech.com/#/lm/network/37542</v>
      </c>
      <c r="H1254" s="2"/>
      <c r="I1254" s="2">
        <v>53887</v>
      </c>
      <c r="J1254" s="2" t="s">
        <v>8710</v>
      </c>
      <c r="K1254" s="2">
        <v>42608334</v>
      </c>
      <c r="L1254" s="2"/>
      <c r="M1254" s="2"/>
      <c r="N1254" s="2"/>
      <c r="O1254" s="2"/>
      <c r="P1254" s="2"/>
      <c r="Q1254" s="2"/>
      <c r="R1254" s="2"/>
      <c r="S1254" s="2" t="s">
        <v>8711</v>
      </c>
      <c r="T1254" s="2" t="s">
        <v>8712</v>
      </c>
      <c r="U1254" s="2" t="s">
        <v>56</v>
      </c>
      <c r="V1254" s="2" t="s">
        <v>177</v>
      </c>
      <c r="W1254" s="2" t="s">
        <v>8713</v>
      </c>
      <c r="X1254" s="2" t="s">
        <v>83</v>
      </c>
      <c r="Y1254" s="2">
        <v>44.1</v>
      </c>
      <c r="Z1254" s="2">
        <v>0</v>
      </c>
      <c r="AA1254" s="2" t="s">
        <v>218</v>
      </c>
      <c r="AB1254" s="2" t="s">
        <v>8714</v>
      </c>
      <c r="AC1254" s="2">
        <v>0.54533806520710304</v>
      </c>
      <c r="AD1254" s="2"/>
      <c r="AE1254" s="2">
        <v>0.50066272745311902</v>
      </c>
      <c r="AF1254" s="2">
        <v>37390.092734633799</v>
      </c>
      <c r="AG1254" s="2">
        <v>24338.248506064101</v>
      </c>
      <c r="AH1254" s="5">
        <v>1.5362688373125</v>
      </c>
      <c r="AI1254" s="5">
        <v>0.61943070064233796</v>
      </c>
      <c r="AJ1254" s="5" t="s">
        <v>139</v>
      </c>
      <c r="AK1254" s="2">
        <v>0.13017069706815501</v>
      </c>
      <c r="AL1254" s="2">
        <v>0.44957732896663</v>
      </c>
      <c r="AM1254" s="2">
        <v>14696.4625844084</v>
      </c>
      <c r="AN1254" s="2">
        <v>45352.547871632902</v>
      </c>
      <c r="AO1254" s="2">
        <v>59236.618497507901</v>
      </c>
      <c r="AP1254" s="2">
        <v>53730.845800050804</v>
      </c>
      <c r="AQ1254" s="2">
        <v>18456.747568260402</v>
      </c>
      <c r="AR1254" s="2">
        <v>32867.334085942399</v>
      </c>
      <c r="AS1254" s="2">
        <v>17654.090534224899</v>
      </c>
      <c r="AT1254" s="2">
        <v>22301.620291964598</v>
      </c>
      <c r="AU1254" s="2">
        <v>22706.6427482955</v>
      </c>
      <c r="AV1254" s="2">
        <v>20119.163528625799</v>
      </c>
      <c r="AW1254" s="2">
        <v>32725.3479608325</v>
      </c>
      <c r="AX1254" s="2">
        <v>30522.625972441401</v>
      </c>
    </row>
    <row r="1255" spans="1:50" x14ac:dyDescent="0.25">
      <c r="A1255" s="2" t="s">
        <v>8715</v>
      </c>
      <c r="B1255" s="2">
        <v>480.34678914659497</v>
      </c>
      <c r="C1255" s="2">
        <v>10.37285</v>
      </c>
      <c r="D1255" s="2" t="s">
        <v>51</v>
      </c>
      <c r="E1255" s="2" t="s">
        <v>8716</v>
      </c>
      <c r="F1255" s="2">
        <v>197452</v>
      </c>
      <c r="G1255" s="3" t="str">
        <f>HYPERLINK("https://cloud.oebiotech.com/#/lm/network/197452", "https://cloud.oebiotech.com/#/lm/network/197452")</f>
        <v>https://cloud.oebiotech.com/#/lm/network/197452</v>
      </c>
      <c r="H1255" s="2" t="s">
        <v>8717</v>
      </c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 t="s">
        <v>8718</v>
      </c>
      <c r="T1255" s="2" t="s">
        <v>8719</v>
      </c>
      <c r="U1255" s="2" t="s">
        <v>56</v>
      </c>
      <c r="V1255" s="2" t="s">
        <v>177</v>
      </c>
      <c r="W1255" s="2" t="s">
        <v>178</v>
      </c>
      <c r="X1255" s="2" t="s">
        <v>83</v>
      </c>
      <c r="Y1255" s="2">
        <v>42.2</v>
      </c>
      <c r="Z1255" s="2">
        <v>10.5</v>
      </c>
      <c r="AA1255" s="2" t="s">
        <v>395</v>
      </c>
      <c r="AB1255" s="2" t="s">
        <v>8720</v>
      </c>
      <c r="AC1255" s="2">
        <v>4.1278275346626998</v>
      </c>
      <c r="AD1255" s="2"/>
      <c r="AE1255" s="2">
        <v>0.49914229916446901</v>
      </c>
      <c r="AF1255" s="2">
        <v>28340.692266030299</v>
      </c>
      <c r="AG1255" s="2">
        <v>20462.214526777199</v>
      </c>
      <c r="AH1255" s="5">
        <v>1.3850256642037999</v>
      </c>
      <c r="AI1255" s="5">
        <v>0.46991270932610002</v>
      </c>
      <c r="AJ1255" s="5" t="s">
        <v>139</v>
      </c>
      <c r="AK1255" s="2">
        <v>0.58395795021297403</v>
      </c>
      <c r="AL1255" s="2">
        <v>0.79094895237117502</v>
      </c>
      <c r="AM1255" s="2">
        <v>80023.974173566399</v>
      </c>
      <c r="AN1255" s="2">
        <v>44193.702345581201</v>
      </c>
      <c r="AO1255" s="2">
        <v>7525.2385637348998</v>
      </c>
      <c r="AP1255" s="2">
        <v>14898.493828664499</v>
      </c>
      <c r="AQ1255" s="2">
        <v>6435.4836158427697</v>
      </c>
      <c r="AR1255" s="2">
        <v>16967.261068791999</v>
      </c>
      <c r="AS1255" s="2">
        <v>7942.6578900367304</v>
      </c>
      <c r="AT1255" s="2">
        <v>3883.4309680617798</v>
      </c>
      <c r="AU1255" s="2">
        <v>54322.379973688003</v>
      </c>
      <c r="AV1255" s="2">
        <v>16551.3579559182</v>
      </c>
      <c r="AW1255" s="2">
        <v>26199.599154187399</v>
      </c>
      <c r="AX1255" s="2">
        <v>13873.861218771</v>
      </c>
    </row>
    <row r="1256" spans="1:50" x14ac:dyDescent="0.25">
      <c r="A1256" s="2" t="s">
        <v>8721</v>
      </c>
      <c r="B1256" s="2">
        <v>188.985706222332</v>
      </c>
      <c r="C1256" s="2">
        <v>3.36438333333333</v>
      </c>
      <c r="D1256" s="2" t="s">
        <v>51</v>
      </c>
      <c r="E1256" s="2" t="s">
        <v>8722</v>
      </c>
      <c r="F1256" s="2">
        <v>197025</v>
      </c>
      <c r="G1256" s="3" t="str">
        <f>HYPERLINK("https://cloud.oebiotech.com/#/lm/network/197025", "https://cloud.oebiotech.com/#/lm/network/197025")</f>
        <v>https://cloud.oebiotech.com/#/lm/network/197025</v>
      </c>
      <c r="H1256" s="2" t="s">
        <v>8723</v>
      </c>
      <c r="I1256" s="2">
        <v>1830</v>
      </c>
      <c r="J1256" s="2"/>
      <c r="K1256" s="2">
        <v>161220</v>
      </c>
      <c r="L1256" s="2"/>
      <c r="M1256" s="2"/>
      <c r="N1256" s="2"/>
      <c r="O1256" s="2">
        <v>71062</v>
      </c>
      <c r="P1256" s="2"/>
      <c r="Q1256" s="2"/>
      <c r="R1256" s="2" t="s">
        <v>8724</v>
      </c>
      <c r="S1256" s="2" t="s">
        <v>8725</v>
      </c>
      <c r="T1256" s="2" t="s">
        <v>8726</v>
      </c>
      <c r="U1256" s="2" t="s">
        <v>103</v>
      </c>
      <c r="V1256" s="2" t="s">
        <v>4820</v>
      </c>
      <c r="W1256" s="2" t="s">
        <v>4821</v>
      </c>
      <c r="X1256" s="2" t="s">
        <v>147</v>
      </c>
      <c r="Y1256" s="2">
        <v>40.9</v>
      </c>
      <c r="Z1256" s="2">
        <v>16.3</v>
      </c>
      <c r="AA1256" s="2" t="s">
        <v>163</v>
      </c>
      <c r="AB1256" s="2" t="s">
        <v>8727</v>
      </c>
      <c r="AC1256" s="2">
        <v>-3.2192447880997599</v>
      </c>
      <c r="AD1256" s="2"/>
      <c r="AE1256" s="2">
        <v>0.49900333457160201</v>
      </c>
      <c r="AF1256" s="2">
        <v>466.165150900269</v>
      </c>
      <c r="AG1256" s="2">
        <v>11655.394617002399</v>
      </c>
      <c r="AH1256" s="4">
        <v>3.9995655764434403E-2</v>
      </c>
      <c r="AI1256" s="4">
        <v>-4.64401288346148</v>
      </c>
      <c r="AJ1256" s="4" t="s">
        <v>62</v>
      </c>
      <c r="AK1256" s="2">
        <v>0.33354912638245399</v>
      </c>
      <c r="AL1256" s="2">
        <v>0.63450213499924102</v>
      </c>
      <c r="AM1256" s="2">
        <v>8.559877937157E-6</v>
      </c>
      <c r="AN1256" s="2">
        <v>458.61780594511902</v>
      </c>
      <c r="AO1256" s="2">
        <v>8.559877937157E-6</v>
      </c>
      <c r="AP1256" s="2">
        <v>320.75783557086299</v>
      </c>
      <c r="AQ1256" s="2">
        <v>172.29772484640699</v>
      </c>
      <c r="AR1256" s="2">
        <v>1845.31752191947</v>
      </c>
      <c r="AS1256" s="2">
        <v>8.559877937157E-6</v>
      </c>
      <c r="AT1256" s="2">
        <v>8.559877937157E-6</v>
      </c>
      <c r="AU1256" s="2">
        <v>1131.4566659044599</v>
      </c>
      <c r="AV1256" s="2">
        <v>2130.6070820274399</v>
      </c>
      <c r="AW1256" s="2">
        <v>66670.303928402805</v>
      </c>
      <c r="AX1256" s="2">
        <v>8.559877937157E-6</v>
      </c>
    </row>
    <row r="1257" spans="1:50" x14ac:dyDescent="0.25">
      <c r="A1257" s="2" t="s">
        <v>8728</v>
      </c>
      <c r="B1257" s="2">
        <v>792.57590396998603</v>
      </c>
      <c r="C1257" s="2">
        <v>10.8035333333333</v>
      </c>
      <c r="D1257" s="2" t="s">
        <v>51</v>
      </c>
      <c r="E1257" s="2" t="s">
        <v>8729</v>
      </c>
      <c r="F1257" s="2">
        <v>18842</v>
      </c>
      <c r="G1257" s="3" t="str">
        <f>HYPERLINK("https://cloud.oebiotech.com/#/lm/network/18842", "https://cloud.oebiotech.com/#/lm/network/18842")</f>
        <v>https://cloud.oebiotech.com/#/lm/network/18842</v>
      </c>
      <c r="H1257" s="2" t="s">
        <v>8730</v>
      </c>
      <c r="I1257" s="2">
        <v>59481</v>
      </c>
      <c r="J1257" s="2" t="s">
        <v>8731</v>
      </c>
      <c r="K1257" s="2">
        <v>52922645</v>
      </c>
      <c r="L1257" s="2" t="s">
        <v>90</v>
      </c>
      <c r="M1257" s="2" t="s">
        <v>91</v>
      </c>
      <c r="N1257" s="2" t="s">
        <v>92</v>
      </c>
      <c r="O1257" s="2">
        <v>134076</v>
      </c>
      <c r="P1257" s="2"/>
      <c r="Q1257" s="2"/>
      <c r="R1257" s="2"/>
      <c r="S1257" s="2" t="s">
        <v>8732</v>
      </c>
      <c r="T1257" s="2" t="s">
        <v>8733</v>
      </c>
      <c r="U1257" s="2" t="s">
        <v>56</v>
      </c>
      <c r="V1257" s="2" t="s">
        <v>57</v>
      </c>
      <c r="W1257" s="2" t="s">
        <v>58</v>
      </c>
      <c r="X1257" s="2" t="s">
        <v>147</v>
      </c>
      <c r="Y1257" s="2">
        <v>40.4</v>
      </c>
      <c r="Z1257" s="2">
        <v>18.399999999999999</v>
      </c>
      <c r="AA1257" s="2" t="s">
        <v>218</v>
      </c>
      <c r="AB1257" s="2" t="s">
        <v>8734</v>
      </c>
      <c r="AC1257" s="2">
        <v>-0.139277855575516</v>
      </c>
      <c r="AD1257" s="2"/>
      <c r="AE1257" s="2">
        <v>0.49788261487416402</v>
      </c>
      <c r="AF1257" s="2">
        <v>9391.3043769538708</v>
      </c>
      <c r="AG1257" s="2">
        <v>2870.6220719286598</v>
      </c>
      <c r="AH1257" s="5">
        <v>3.2715223884014102</v>
      </c>
      <c r="AI1257" s="5">
        <v>1.70996214370155</v>
      </c>
      <c r="AJ1257" s="5" t="s">
        <v>139</v>
      </c>
      <c r="AK1257" s="2">
        <v>0.28813882843441602</v>
      </c>
      <c r="AL1257" s="2">
        <v>0.60256436224555399</v>
      </c>
      <c r="AM1257" s="2">
        <v>36665.858103793602</v>
      </c>
      <c r="AN1257" s="2">
        <v>2465.95006582203</v>
      </c>
      <c r="AO1257" s="2">
        <v>6664.8951984973301</v>
      </c>
      <c r="AP1257" s="2">
        <v>8.559877937157E-6</v>
      </c>
      <c r="AQ1257" s="2">
        <v>9587.9217053564098</v>
      </c>
      <c r="AR1257" s="2">
        <v>963.20117969394801</v>
      </c>
      <c r="AS1257" s="2">
        <v>2273.2883897800298</v>
      </c>
      <c r="AT1257" s="2">
        <v>1221.89593579249</v>
      </c>
      <c r="AU1257" s="2">
        <v>9247.4987196649508</v>
      </c>
      <c r="AV1257" s="2">
        <v>1183.4420710055499</v>
      </c>
      <c r="AW1257" s="2">
        <v>3290.0180944057602</v>
      </c>
      <c r="AX1257" s="2">
        <v>7.5892209232054704</v>
      </c>
    </row>
    <row r="1258" spans="1:50" x14ac:dyDescent="0.25">
      <c r="A1258" s="2" t="s">
        <v>8735</v>
      </c>
      <c r="B1258" s="2">
        <v>636.44791650143702</v>
      </c>
      <c r="C1258" s="2">
        <v>11.251533333333301</v>
      </c>
      <c r="D1258" s="2" t="s">
        <v>51</v>
      </c>
      <c r="E1258" s="2" t="s">
        <v>8736</v>
      </c>
      <c r="F1258" s="2">
        <v>59296</v>
      </c>
      <c r="G1258" s="3" t="str">
        <f>HYPERLINK("https://cloud.oebiotech.com/#/lm/network/59296", "https://cloud.oebiotech.com/#/lm/network/59296")</f>
        <v>https://cloud.oebiotech.com/#/lm/network/59296</v>
      </c>
      <c r="H1258" s="2" t="s">
        <v>8737</v>
      </c>
      <c r="I1258" s="2"/>
      <c r="J1258" s="2"/>
      <c r="K1258" s="2">
        <v>131751744</v>
      </c>
      <c r="L1258" s="2"/>
      <c r="M1258" s="2"/>
      <c r="N1258" s="2"/>
      <c r="O1258" s="2"/>
      <c r="P1258" s="2"/>
      <c r="Q1258" s="2"/>
      <c r="R1258" s="2" t="s">
        <v>8738</v>
      </c>
      <c r="S1258" s="2" t="s">
        <v>8739</v>
      </c>
      <c r="T1258" s="2" t="s">
        <v>8740</v>
      </c>
      <c r="U1258" s="2" t="s">
        <v>56</v>
      </c>
      <c r="V1258" s="2" t="s">
        <v>283</v>
      </c>
      <c r="W1258" s="2" t="s">
        <v>3462</v>
      </c>
      <c r="X1258" s="2" t="s">
        <v>147</v>
      </c>
      <c r="Y1258" s="2">
        <v>36.1</v>
      </c>
      <c r="Z1258" s="2">
        <v>0</v>
      </c>
      <c r="AA1258" s="2" t="s">
        <v>512</v>
      </c>
      <c r="AB1258" s="2" t="s">
        <v>8741</v>
      </c>
      <c r="AC1258" s="2">
        <v>1.4911630991260201</v>
      </c>
      <c r="AD1258" s="2"/>
      <c r="AE1258" s="2">
        <v>0.49785035934486699</v>
      </c>
      <c r="AF1258" s="2">
        <v>2603.2924232587902</v>
      </c>
      <c r="AG1258" s="2">
        <v>7559.1775030832996</v>
      </c>
      <c r="AH1258" s="4">
        <v>0.34438831767039901</v>
      </c>
      <c r="AI1258" s="4">
        <v>-1.5378918903780401</v>
      </c>
      <c r="AJ1258" s="4" t="s">
        <v>62</v>
      </c>
      <c r="AK1258" s="2">
        <v>8.0365105414514307E-3</v>
      </c>
      <c r="AL1258" s="2">
        <v>0.147905063558916</v>
      </c>
      <c r="AM1258" s="2">
        <v>1246.3304719657101</v>
      </c>
      <c r="AN1258" s="2">
        <v>756.56141074975005</v>
      </c>
      <c r="AO1258" s="2">
        <v>1922.97844271086</v>
      </c>
      <c r="AP1258" s="2">
        <v>1787.33054613083</v>
      </c>
      <c r="AQ1258" s="2">
        <v>2632.0630561743001</v>
      </c>
      <c r="AR1258" s="2">
        <v>7274.4906118212803</v>
      </c>
      <c r="AS1258" s="2">
        <v>12065.525376097699</v>
      </c>
      <c r="AT1258" s="2">
        <v>5954.63945950179</v>
      </c>
      <c r="AU1258" s="2">
        <v>4027.6114526761198</v>
      </c>
      <c r="AV1258" s="2">
        <v>9216.4537848535801</v>
      </c>
      <c r="AW1258" s="2">
        <v>6374.28655803942</v>
      </c>
      <c r="AX1258" s="2">
        <v>7716.5483873312096</v>
      </c>
    </row>
    <row r="1259" spans="1:50" x14ac:dyDescent="0.25">
      <c r="A1259" s="2" t="s">
        <v>8742</v>
      </c>
      <c r="B1259" s="2">
        <v>299.25886279959798</v>
      </c>
      <c r="C1259" s="2">
        <v>11.5945</v>
      </c>
      <c r="D1259" s="2" t="s">
        <v>51</v>
      </c>
      <c r="E1259" s="2" t="s">
        <v>8743</v>
      </c>
      <c r="F1259" s="2">
        <v>3211</v>
      </c>
      <c r="G1259" s="3" t="str">
        <f>HYPERLINK("https://cloud.oebiotech.com/#/lm/network/3211", "https://cloud.oebiotech.com/#/lm/network/3211")</f>
        <v>https://cloud.oebiotech.com/#/lm/network/3211</v>
      </c>
      <c r="H1259" s="2"/>
      <c r="I1259" s="2">
        <v>74752</v>
      </c>
      <c r="J1259" s="2" t="s">
        <v>8744</v>
      </c>
      <c r="K1259" s="2">
        <v>4163990</v>
      </c>
      <c r="L1259" s="2"/>
      <c r="M1259" s="2"/>
      <c r="N1259" s="2"/>
      <c r="O1259" s="2"/>
      <c r="P1259" s="2"/>
      <c r="Q1259" s="2"/>
      <c r="R1259" s="2"/>
      <c r="S1259" s="2" t="s">
        <v>8745</v>
      </c>
      <c r="T1259" s="2" t="s">
        <v>8746</v>
      </c>
      <c r="U1259" s="2" t="s">
        <v>56</v>
      </c>
      <c r="V1259" s="2" t="s">
        <v>145</v>
      </c>
      <c r="W1259" s="2" t="s">
        <v>231</v>
      </c>
      <c r="X1259" s="2" t="s">
        <v>69</v>
      </c>
      <c r="Y1259" s="2">
        <v>60.1</v>
      </c>
      <c r="Z1259" s="2">
        <v>76.099999999999994</v>
      </c>
      <c r="AA1259" s="2" t="s">
        <v>259</v>
      </c>
      <c r="AB1259" s="2" t="s">
        <v>8747</v>
      </c>
      <c r="AC1259" s="2">
        <v>2.6535337071242</v>
      </c>
      <c r="AD1259" s="2"/>
      <c r="AE1259" s="2">
        <v>0.497201864819591</v>
      </c>
      <c r="AF1259" s="2">
        <v>41985.481939932302</v>
      </c>
      <c r="AG1259" s="2">
        <v>25213.366312990802</v>
      </c>
      <c r="AH1259" s="5">
        <v>1.6652073118177799</v>
      </c>
      <c r="AI1259" s="5">
        <v>0.73570179838544003</v>
      </c>
      <c r="AJ1259" s="5" t="s">
        <v>139</v>
      </c>
      <c r="AK1259" s="2">
        <v>0.29728219036512199</v>
      </c>
      <c r="AL1259" s="2">
        <v>0.60851020272258705</v>
      </c>
      <c r="AM1259" s="2">
        <v>27992.0214533084</v>
      </c>
      <c r="AN1259" s="2">
        <v>20289.2845473538</v>
      </c>
      <c r="AO1259" s="2">
        <v>25244.026753237998</v>
      </c>
      <c r="AP1259" s="2">
        <v>26510.794804910201</v>
      </c>
      <c r="AQ1259" s="2">
        <v>115852.75117379399</v>
      </c>
      <c r="AR1259" s="2">
        <v>36024.012906989097</v>
      </c>
      <c r="AS1259" s="2">
        <v>17503.0709473155</v>
      </c>
      <c r="AT1259" s="2">
        <v>21669.747667830899</v>
      </c>
      <c r="AU1259" s="2">
        <v>39465.9389645923</v>
      </c>
      <c r="AV1259" s="2">
        <v>23297.632563480998</v>
      </c>
      <c r="AW1259" s="2">
        <v>28006.480102339101</v>
      </c>
      <c r="AX1259" s="2">
        <v>21337.327632385899</v>
      </c>
    </row>
    <row r="1260" spans="1:50" x14ac:dyDescent="0.25">
      <c r="A1260" s="2" t="s">
        <v>8748</v>
      </c>
      <c r="B1260" s="2">
        <v>361.21</v>
      </c>
      <c r="C1260" s="2">
        <v>25.437999999999999</v>
      </c>
      <c r="D1260" s="2" t="s">
        <v>125</v>
      </c>
      <c r="E1260" s="2" t="s">
        <v>8749</v>
      </c>
      <c r="F1260" s="2">
        <v>48004</v>
      </c>
      <c r="G1260" s="3" t="str">
        <f>HYPERLINK("https://cloud.oebiotech.com/#/lm/network/48004", "https://cloud.oebiotech.com/#/lm/network/48004")</f>
        <v>https://cloud.oebiotech.com/#/lm/network/48004</v>
      </c>
      <c r="H1260" s="2" t="s">
        <v>8750</v>
      </c>
      <c r="I1260" s="2">
        <v>3484</v>
      </c>
      <c r="J1260" s="2"/>
      <c r="K1260" s="2">
        <v>493591</v>
      </c>
      <c r="L1260" s="2"/>
      <c r="M1260" s="2"/>
      <c r="N1260" s="2"/>
      <c r="O1260" s="2">
        <v>68428</v>
      </c>
      <c r="P1260" s="2"/>
      <c r="Q1260" s="2"/>
      <c r="R1260" s="2" t="s">
        <v>8751</v>
      </c>
      <c r="S1260" s="2" t="s">
        <v>8752</v>
      </c>
      <c r="T1260" s="2" t="s">
        <v>8753</v>
      </c>
      <c r="U1260" s="2" t="s">
        <v>56</v>
      </c>
      <c r="V1260" s="2" t="s">
        <v>145</v>
      </c>
      <c r="W1260" s="2" t="s">
        <v>3263</v>
      </c>
      <c r="X1260" s="2" t="s">
        <v>69</v>
      </c>
      <c r="Y1260" s="2">
        <v>94.3</v>
      </c>
      <c r="Z1260" s="2">
        <v>95.2</v>
      </c>
      <c r="AA1260" s="2"/>
      <c r="AB1260" s="2" t="s">
        <v>8754</v>
      </c>
      <c r="AC1260" s="2"/>
      <c r="AD1260" s="2">
        <v>946719.07881269197</v>
      </c>
      <c r="AE1260" s="2">
        <v>0.497084912867576</v>
      </c>
      <c r="AF1260" s="2">
        <v>45044.3492028119</v>
      </c>
      <c r="AG1260" s="2">
        <v>183934.60770362799</v>
      </c>
      <c r="AH1260" s="4">
        <v>0.24489327900376101</v>
      </c>
      <c r="AI1260" s="4">
        <v>-2.0297749146195998</v>
      </c>
      <c r="AJ1260" s="4" t="s">
        <v>62</v>
      </c>
      <c r="AK1260" s="2">
        <v>0.101586349293803</v>
      </c>
      <c r="AL1260" s="2">
        <v>0.40585561807393</v>
      </c>
      <c r="AM1260" s="2">
        <v>52983.346036507603</v>
      </c>
      <c r="AN1260" s="2">
        <v>82588.297545213194</v>
      </c>
      <c r="AO1260" s="2">
        <v>46427.123469323597</v>
      </c>
      <c r="AP1260" s="2">
        <v>15328.2664177077</v>
      </c>
      <c r="AQ1260" s="2">
        <v>21653.216687646702</v>
      </c>
      <c r="AR1260" s="2">
        <v>51285.845060472602</v>
      </c>
      <c r="AS1260" s="2">
        <v>373140.01012860099</v>
      </c>
      <c r="AT1260" s="2">
        <v>467572.95095214702</v>
      </c>
      <c r="AU1260" s="2">
        <v>90094.468400454702</v>
      </c>
      <c r="AV1260" s="2">
        <v>80810.710554315403</v>
      </c>
      <c r="AW1260" s="2">
        <v>72180.078794168105</v>
      </c>
      <c r="AX1260" s="2">
        <v>19809.427392079899</v>
      </c>
    </row>
    <row r="1261" spans="1:50" x14ac:dyDescent="0.25">
      <c r="A1261" s="2" t="s">
        <v>8755</v>
      </c>
      <c r="B1261" s="2">
        <v>473.36389201872299</v>
      </c>
      <c r="C1261" s="2">
        <v>13.533483333333299</v>
      </c>
      <c r="D1261" s="2" t="s">
        <v>51</v>
      </c>
      <c r="E1261" s="2" t="s">
        <v>8756</v>
      </c>
      <c r="F1261" s="2">
        <v>45579</v>
      </c>
      <c r="G1261" s="3" t="str">
        <f>HYPERLINK("https://cloud.oebiotech.com/#/lm/network/45579", "https://cloud.oebiotech.com/#/lm/network/45579")</f>
        <v>https://cloud.oebiotech.com/#/lm/network/45579</v>
      </c>
      <c r="H1261" s="2"/>
      <c r="I1261" s="2"/>
      <c r="J1261" s="2" t="s">
        <v>8757</v>
      </c>
      <c r="K1261" s="2">
        <v>9547522</v>
      </c>
      <c r="L1261" s="2"/>
      <c r="M1261" s="2"/>
      <c r="N1261" s="2"/>
      <c r="O1261" s="2"/>
      <c r="P1261" s="2"/>
      <c r="Q1261" s="2"/>
      <c r="R1261" s="2"/>
      <c r="S1261" s="2" t="s">
        <v>8758</v>
      </c>
      <c r="T1261" s="2" t="s">
        <v>8759</v>
      </c>
      <c r="U1261" s="2" t="s">
        <v>56</v>
      </c>
      <c r="V1261" s="2" t="s">
        <v>283</v>
      </c>
      <c r="W1261" s="2" t="s">
        <v>420</v>
      </c>
      <c r="X1261" s="2" t="s">
        <v>83</v>
      </c>
      <c r="Y1261" s="2">
        <v>52</v>
      </c>
      <c r="Z1261" s="2">
        <v>0</v>
      </c>
      <c r="AA1261" s="2" t="s">
        <v>218</v>
      </c>
      <c r="AB1261" s="2" t="s">
        <v>8760</v>
      </c>
      <c r="AC1261" s="2">
        <v>0.60315381393013201</v>
      </c>
      <c r="AD1261" s="2"/>
      <c r="AE1261" s="2">
        <v>0.496991262360649</v>
      </c>
      <c r="AF1261" s="2">
        <v>116546.739608296</v>
      </c>
      <c r="AG1261" s="2">
        <v>91460.715058983595</v>
      </c>
      <c r="AH1261" s="5">
        <v>1.2742819639353899</v>
      </c>
      <c r="AI1261" s="5">
        <v>0.34968454208590399</v>
      </c>
      <c r="AJ1261" s="5" t="s">
        <v>139</v>
      </c>
      <c r="AK1261" s="2">
        <v>0.33342341846560097</v>
      </c>
      <c r="AL1261" s="2">
        <v>0.63450213499924102</v>
      </c>
      <c r="AM1261" s="2">
        <v>45738.247077857501</v>
      </c>
      <c r="AN1261" s="2">
        <v>116635.066057253</v>
      </c>
      <c r="AO1261" s="2">
        <v>135733.712159541</v>
      </c>
      <c r="AP1261" s="2">
        <v>156281.555695538</v>
      </c>
      <c r="AQ1261" s="2">
        <v>175943.59580151201</v>
      </c>
      <c r="AR1261" s="2">
        <v>68948.260858075897</v>
      </c>
      <c r="AS1261" s="2">
        <v>68869.303926014894</v>
      </c>
      <c r="AT1261" s="2">
        <v>125389.355506099</v>
      </c>
      <c r="AU1261" s="2">
        <v>63755.406733723998</v>
      </c>
      <c r="AV1261" s="2">
        <v>52333.514492654504</v>
      </c>
      <c r="AW1261" s="2">
        <v>122562.047419261</v>
      </c>
      <c r="AX1261" s="2">
        <v>115854.662276148</v>
      </c>
    </row>
    <row r="1262" spans="1:50" x14ac:dyDescent="0.25">
      <c r="A1262" s="2" t="s">
        <v>8761</v>
      </c>
      <c r="B1262" s="2">
        <v>606.34168560151795</v>
      </c>
      <c r="C1262" s="2">
        <v>9.0288666666666693</v>
      </c>
      <c r="D1262" s="2" t="s">
        <v>51</v>
      </c>
      <c r="E1262" s="2" t="s">
        <v>8762</v>
      </c>
      <c r="F1262" s="2">
        <v>27896</v>
      </c>
      <c r="G1262" s="3" t="str">
        <f>HYPERLINK("https://cloud.oebiotech.com/#/lm/network/27896", "https://cloud.oebiotech.com/#/lm/network/27896")</f>
        <v>https://cloud.oebiotech.com/#/lm/network/27896</v>
      </c>
      <c r="H1262" s="2"/>
      <c r="I1262" s="2"/>
      <c r="J1262" s="2" t="s">
        <v>8763</v>
      </c>
      <c r="K1262" s="2">
        <v>134812353</v>
      </c>
      <c r="L1262" s="2"/>
      <c r="M1262" s="2"/>
      <c r="N1262" s="2"/>
      <c r="O1262" s="2"/>
      <c r="P1262" s="2"/>
      <c r="Q1262" s="2"/>
      <c r="R1262" s="2"/>
      <c r="S1262" s="2" t="s">
        <v>8764</v>
      </c>
      <c r="T1262" s="2" t="s">
        <v>8765</v>
      </c>
      <c r="U1262" s="2" t="s">
        <v>56</v>
      </c>
      <c r="V1262" s="2" t="s">
        <v>57</v>
      </c>
      <c r="W1262" s="2" t="s">
        <v>155</v>
      </c>
      <c r="X1262" s="2" t="s">
        <v>59</v>
      </c>
      <c r="Y1262" s="2">
        <v>54.6</v>
      </c>
      <c r="Z1262" s="2">
        <v>77.599999999999994</v>
      </c>
      <c r="AA1262" s="2" t="s">
        <v>163</v>
      </c>
      <c r="AB1262" s="2" t="s">
        <v>8766</v>
      </c>
      <c r="AC1262" s="2">
        <v>0.70547850983761695</v>
      </c>
      <c r="AD1262" s="2"/>
      <c r="AE1262" s="2">
        <v>0.49651036387216402</v>
      </c>
      <c r="AF1262" s="2">
        <v>57878.535444423498</v>
      </c>
      <c r="AG1262" s="2">
        <v>47026.638655458599</v>
      </c>
      <c r="AH1262" s="5">
        <v>1.23076063055392</v>
      </c>
      <c r="AI1262" s="5">
        <v>0.29955020073970001</v>
      </c>
      <c r="AJ1262" s="5" t="s">
        <v>139</v>
      </c>
      <c r="AK1262" s="2">
        <v>0.43827175944261998</v>
      </c>
      <c r="AL1262" s="2">
        <v>0.69498382366742395</v>
      </c>
      <c r="AM1262" s="2">
        <v>87871.632631641507</v>
      </c>
      <c r="AN1262" s="2">
        <v>61229.806074637701</v>
      </c>
      <c r="AO1262" s="2">
        <v>28079.406012122901</v>
      </c>
      <c r="AP1262" s="2">
        <v>43978.136759075896</v>
      </c>
      <c r="AQ1262" s="2">
        <v>56808.431314670401</v>
      </c>
      <c r="AR1262" s="2">
        <v>69303.799874392702</v>
      </c>
      <c r="AS1262" s="2">
        <v>32809.152496128598</v>
      </c>
      <c r="AT1262" s="2">
        <v>18293.669269445501</v>
      </c>
      <c r="AU1262" s="2">
        <v>89534.715819763194</v>
      </c>
      <c r="AV1262" s="2">
        <v>41624.893981478497</v>
      </c>
      <c r="AW1262" s="2">
        <v>35524.446676184598</v>
      </c>
      <c r="AX1262" s="2">
        <v>64372.953689751499</v>
      </c>
    </row>
    <row r="1263" spans="1:50" x14ac:dyDescent="0.25">
      <c r="A1263" s="2" t="s">
        <v>8767</v>
      </c>
      <c r="B1263" s="2">
        <v>355.05862178210299</v>
      </c>
      <c r="C1263" s="2">
        <v>0.63544999999999996</v>
      </c>
      <c r="D1263" s="2" t="s">
        <v>51</v>
      </c>
      <c r="E1263" s="2" t="s">
        <v>8768</v>
      </c>
      <c r="F1263" s="2">
        <v>200387</v>
      </c>
      <c r="G1263" s="3" t="str">
        <f>HYPERLINK("https://cloud.oebiotech.com/#/lm/network/200387", "https://cloud.oebiotech.com/#/lm/network/200387")</f>
        <v>https://cloud.oebiotech.com/#/lm/network/200387</v>
      </c>
      <c r="H1263" s="2" t="s">
        <v>8769</v>
      </c>
      <c r="I1263" s="2"/>
      <c r="J1263" s="2"/>
      <c r="K1263" s="2"/>
      <c r="L1263" s="2"/>
      <c r="M1263" s="2"/>
      <c r="N1263" s="2"/>
      <c r="O1263" s="2">
        <v>172923</v>
      </c>
      <c r="P1263" s="2"/>
      <c r="Q1263" s="2"/>
      <c r="R1263" s="2"/>
      <c r="S1263" s="2" t="s">
        <v>8770</v>
      </c>
      <c r="T1263" s="2" t="s">
        <v>8771</v>
      </c>
      <c r="U1263" s="2" t="s">
        <v>266</v>
      </c>
      <c r="V1263" s="2" t="s">
        <v>1785</v>
      </c>
      <c r="W1263" s="2" t="s">
        <v>1786</v>
      </c>
      <c r="X1263" s="2" t="s">
        <v>147</v>
      </c>
      <c r="Y1263" s="2">
        <v>37.4</v>
      </c>
      <c r="Z1263" s="2">
        <v>8.17</v>
      </c>
      <c r="AA1263" s="2" t="s">
        <v>95</v>
      </c>
      <c r="AB1263" s="2" t="s">
        <v>8772</v>
      </c>
      <c r="AC1263" s="2">
        <v>2.7934583874536401</v>
      </c>
      <c r="AD1263" s="2"/>
      <c r="AE1263" s="2">
        <v>0.49514601252402202</v>
      </c>
      <c r="AF1263" s="2">
        <v>13258.5715343498</v>
      </c>
      <c r="AG1263" s="2">
        <v>22278.1516885729</v>
      </c>
      <c r="AH1263" s="4">
        <v>0.59513786061302698</v>
      </c>
      <c r="AI1263" s="4">
        <v>-0.74870419489543205</v>
      </c>
      <c r="AJ1263" s="4" t="s">
        <v>62</v>
      </c>
      <c r="AK1263" s="2">
        <v>0.25868314510488</v>
      </c>
      <c r="AL1263" s="2">
        <v>0.58064341492917704</v>
      </c>
      <c r="AM1263" s="2">
        <v>10676.288496667999</v>
      </c>
      <c r="AN1263" s="2">
        <v>14960.9782582278</v>
      </c>
      <c r="AO1263" s="2">
        <v>9690.4790745859409</v>
      </c>
      <c r="AP1263" s="2">
        <v>8904.6225869338596</v>
      </c>
      <c r="AQ1263" s="2">
        <v>14557.237700449699</v>
      </c>
      <c r="AR1263" s="2">
        <v>20761.823089233199</v>
      </c>
      <c r="AS1263" s="2">
        <v>9757.4211775033691</v>
      </c>
      <c r="AT1263" s="2">
        <v>12903.439415942999</v>
      </c>
      <c r="AU1263" s="2">
        <v>9676.3351648734406</v>
      </c>
      <c r="AV1263" s="2">
        <v>53537.715516876597</v>
      </c>
      <c r="AW1263" s="2">
        <v>13492.51571704</v>
      </c>
      <c r="AX1263" s="2">
        <v>34301.483139200798</v>
      </c>
    </row>
    <row r="1264" spans="1:50" x14ac:dyDescent="0.25">
      <c r="A1264" s="2" t="s">
        <v>8773</v>
      </c>
      <c r="B1264" s="2">
        <v>379.08240411844298</v>
      </c>
      <c r="C1264" s="2">
        <v>0.68473333333333297</v>
      </c>
      <c r="D1264" s="2" t="s">
        <v>51</v>
      </c>
      <c r="E1264" s="2" t="s">
        <v>8774</v>
      </c>
      <c r="F1264" s="2">
        <v>207515</v>
      </c>
      <c r="G1264" s="3" t="str">
        <f>HYPERLINK("https://cloud.oebiotech.com/#/lm/network/207515", "https://cloud.oebiotech.com/#/lm/network/207515")</f>
        <v>https://cloud.oebiotech.com/#/lm/network/207515</v>
      </c>
      <c r="H1264" s="2" t="s">
        <v>8775</v>
      </c>
      <c r="I1264" s="2"/>
      <c r="J1264" s="2"/>
      <c r="K1264" s="2"/>
      <c r="L1264" s="2"/>
      <c r="M1264" s="2"/>
      <c r="N1264" s="2"/>
      <c r="O1264" s="2">
        <v>24558</v>
      </c>
      <c r="P1264" s="2"/>
      <c r="Q1264" s="2"/>
      <c r="R1264" s="2"/>
      <c r="S1264" s="2" t="s">
        <v>8776</v>
      </c>
      <c r="T1264" s="2" t="s">
        <v>8777</v>
      </c>
      <c r="U1264" s="2" t="s">
        <v>266</v>
      </c>
      <c r="V1264" s="2" t="s">
        <v>8778</v>
      </c>
      <c r="W1264" s="2" t="s">
        <v>8779</v>
      </c>
      <c r="X1264" s="2" t="s">
        <v>147</v>
      </c>
      <c r="Y1264" s="2">
        <v>38.799999999999997</v>
      </c>
      <c r="Z1264" s="2">
        <v>0.23</v>
      </c>
      <c r="AA1264" s="2" t="s">
        <v>478</v>
      </c>
      <c r="AB1264" s="2" t="s">
        <v>8780</v>
      </c>
      <c r="AC1264" s="2">
        <v>-1.1177572666205</v>
      </c>
      <c r="AD1264" s="2"/>
      <c r="AE1264" s="2">
        <v>0.49502874603238101</v>
      </c>
      <c r="AF1264" s="2">
        <v>13987.975347146999</v>
      </c>
      <c r="AG1264" s="2">
        <v>30239.4397354022</v>
      </c>
      <c r="AH1264" s="4">
        <v>0.46257389255697501</v>
      </c>
      <c r="AI1264" s="4">
        <v>-1.1122442516142199</v>
      </c>
      <c r="AJ1264" s="4" t="s">
        <v>62</v>
      </c>
      <c r="AK1264" s="2">
        <v>0.36674279639973101</v>
      </c>
      <c r="AL1264" s="2">
        <v>0.65124657451608803</v>
      </c>
      <c r="AM1264" s="2">
        <v>2840.802475987</v>
      </c>
      <c r="AN1264" s="2">
        <v>8167.6762315427504</v>
      </c>
      <c r="AO1264" s="2">
        <v>5832.4329200134798</v>
      </c>
      <c r="AP1264" s="2">
        <v>910.30466808156802</v>
      </c>
      <c r="AQ1264" s="2">
        <v>50591.218549301499</v>
      </c>
      <c r="AR1264" s="2">
        <v>15585.4172379559</v>
      </c>
      <c r="AS1264" s="2">
        <v>73994.414720052999</v>
      </c>
      <c r="AT1264" s="2">
        <v>81805.277870147795</v>
      </c>
      <c r="AU1264" s="2">
        <v>8.559877937157E-6</v>
      </c>
      <c r="AV1264" s="2">
        <v>20613.217096406599</v>
      </c>
      <c r="AW1264" s="2">
        <v>4615.9254025045902</v>
      </c>
      <c r="AX1264" s="2">
        <v>407.80331474116298</v>
      </c>
    </row>
    <row r="1265" spans="1:50" x14ac:dyDescent="0.25">
      <c r="A1265" s="2" t="s">
        <v>8781</v>
      </c>
      <c r="B1265" s="2">
        <v>409.343632214715</v>
      </c>
      <c r="C1265" s="2">
        <v>9.8706166666666704</v>
      </c>
      <c r="D1265" s="2" t="s">
        <v>51</v>
      </c>
      <c r="E1265" s="2" t="s">
        <v>8782</v>
      </c>
      <c r="F1265" s="2">
        <v>198486</v>
      </c>
      <c r="G1265" s="3" t="str">
        <f>HYPERLINK("https://cloud.oebiotech.com/#/lm/network/198486", "https://cloud.oebiotech.com/#/lm/network/198486")</f>
        <v>https://cloud.oebiotech.com/#/lm/network/198486</v>
      </c>
      <c r="H1265" s="2" t="s">
        <v>8783</v>
      </c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 t="s">
        <v>8784</v>
      </c>
      <c r="T1265" s="2" t="s">
        <v>8785</v>
      </c>
      <c r="U1265" s="2" t="s">
        <v>103</v>
      </c>
      <c r="V1265" s="2" t="s">
        <v>104</v>
      </c>
      <c r="W1265" s="2" t="s">
        <v>105</v>
      </c>
      <c r="X1265" s="2" t="s">
        <v>147</v>
      </c>
      <c r="Y1265" s="2">
        <v>42.8</v>
      </c>
      <c r="Z1265" s="2">
        <v>22.8</v>
      </c>
      <c r="AA1265" s="2" t="s">
        <v>259</v>
      </c>
      <c r="AB1265" s="2" t="s">
        <v>8786</v>
      </c>
      <c r="AC1265" s="2">
        <v>2.8469340240798999</v>
      </c>
      <c r="AD1265" s="2"/>
      <c r="AE1265" s="2">
        <v>0.49443475696580802</v>
      </c>
      <c r="AF1265" s="2">
        <v>2275.6461969624102</v>
      </c>
      <c r="AG1265" s="2">
        <v>17735.1505606459</v>
      </c>
      <c r="AH1265" s="4">
        <v>0.128312764483209</v>
      </c>
      <c r="AI1265" s="4">
        <v>-2.9622633988118698</v>
      </c>
      <c r="AJ1265" s="4" t="s">
        <v>62</v>
      </c>
      <c r="AK1265" s="2">
        <v>0.22250692505802999</v>
      </c>
      <c r="AL1265" s="2">
        <v>0.54873825251944697</v>
      </c>
      <c r="AM1265" s="2">
        <v>932.91340184039905</v>
      </c>
      <c r="AN1265" s="2">
        <v>3409.3105330164499</v>
      </c>
      <c r="AO1265" s="2">
        <v>490.59042490703899</v>
      </c>
      <c r="AP1265" s="2">
        <v>622.183451979452</v>
      </c>
      <c r="AQ1265" s="2">
        <v>6416.2561783689898</v>
      </c>
      <c r="AR1265" s="2">
        <v>1782.62319166213</v>
      </c>
      <c r="AS1265" s="2">
        <v>281.24213389512602</v>
      </c>
      <c r="AT1265" s="2">
        <v>345.454401871958</v>
      </c>
      <c r="AU1265" s="2">
        <v>74584.141670024896</v>
      </c>
      <c r="AV1265" s="2">
        <v>8285.1209632305199</v>
      </c>
      <c r="AW1265" s="2">
        <v>21558.175223388</v>
      </c>
      <c r="AX1265" s="2">
        <v>1356.7689714650901</v>
      </c>
    </row>
    <row r="1266" spans="1:50" x14ac:dyDescent="0.25">
      <c r="A1266" s="2" t="s">
        <v>8787</v>
      </c>
      <c r="B1266" s="2">
        <v>672.24462421756004</v>
      </c>
      <c r="C1266" s="2">
        <v>4.8395999999999999</v>
      </c>
      <c r="D1266" s="2" t="s">
        <v>51</v>
      </c>
      <c r="E1266" s="2" t="s">
        <v>8788</v>
      </c>
      <c r="F1266" s="2">
        <v>206668</v>
      </c>
      <c r="G1266" s="3" t="str">
        <f>HYPERLINK("https://cloud.oebiotech.com/#/lm/network/206668", "https://cloud.oebiotech.com/#/lm/network/206668")</f>
        <v>https://cloud.oebiotech.com/#/lm/network/206668</v>
      </c>
      <c r="H1266" s="2" t="s">
        <v>8789</v>
      </c>
      <c r="I1266" s="2"/>
      <c r="J1266" s="2"/>
      <c r="K1266" s="2">
        <v>72813999</v>
      </c>
      <c r="L1266" s="2"/>
      <c r="M1266" s="2"/>
      <c r="N1266" s="2"/>
      <c r="O1266" s="2"/>
      <c r="P1266" s="2"/>
      <c r="Q1266" s="2"/>
      <c r="R1266" s="2"/>
      <c r="S1266" s="2" t="s">
        <v>8790</v>
      </c>
      <c r="T1266" s="2" t="s">
        <v>8791</v>
      </c>
      <c r="U1266" s="2" t="s">
        <v>331</v>
      </c>
      <c r="V1266" s="2" t="s">
        <v>332</v>
      </c>
      <c r="W1266" s="2" t="s">
        <v>333</v>
      </c>
      <c r="X1266" s="2" t="s">
        <v>147</v>
      </c>
      <c r="Y1266" s="2">
        <v>37.1</v>
      </c>
      <c r="Z1266" s="2">
        <v>3.72</v>
      </c>
      <c r="AA1266" s="2" t="s">
        <v>163</v>
      </c>
      <c r="AB1266" s="2" t="s">
        <v>8792</v>
      </c>
      <c r="AC1266" s="2">
        <v>-3.35816109036092</v>
      </c>
      <c r="AD1266" s="2"/>
      <c r="AE1266" s="2">
        <v>0.49410361518357698</v>
      </c>
      <c r="AF1266" s="2">
        <v>22206.1123040278</v>
      </c>
      <c r="AG1266" s="2">
        <v>35909.373547251802</v>
      </c>
      <c r="AH1266" s="4">
        <v>0.61839319682944505</v>
      </c>
      <c r="AI1266" s="4">
        <v>-0.69340364715502001</v>
      </c>
      <c r="AJ1266" s="4" t="s">
        <v>62</v>
      </c>
      <c r="AK1266" s="2">
        <v>0.63010311068368896</v>
      </c>
      <c r="AL1266" s="2">
        <v>0.81894092997571399</v>
      </c>
      <c r="AM1266" s="2">
        <v>8.559877937157E-6</v>
      </c>
      <c r="AN1266" s="2">
        <v>8.559877937157E-6</v>
      </c>
      <c r="AO1266" s="2">
        <v>35341.596101980802</v>
      </c>
      <c r="AP1266" s="2">
        <v>5728.2984776996</v>
      </c>
      <c r="AQ1266" s="2">
        <v>42838.3578389662</v>
      </c>
      <c r="AR1266" s="2">
        <v>49328.421388400297</v>
      </c>
      <c r="AS1266" s="2">
        <v>162660.543001093</v>
      </c>
      <c r="AT1266" s="2">
        <v>16448.1071075256</v>
      </c>
      <c r="AU1266" s="2">
        <v>8.559877937157E-6</v>
      </c>
      <c r="AV1266" s="2">
        <v>1070.82186801323</v>
      </c>
      <c r="AW1266" s="2">
        <v>8.559877937157E-6</v>
      </c>
      <c r="AX1266" s="2">
        <v>35276.769289759497</v>
      </c>
    </row>
    <row r="1267" spans="1:50" x14ac:dyDescent="0.25">
      <c r="A1267" s="2" t="s">
        <v>8793</v>
      </c>
      <c r="B1267" s="2">
        <v>305.248189529439</v>
      </c>
      <c r="C1267" s="2">
        <v>12.530250000000001</v>
      </c>
      <c r="D1267" s="2" t="s">
        <v>51</v>
      </c>
      <c r="E1267" s="2" t="s">
        <v>8794</v>
      </c>
      <c r="F1267" s="2">
        <v>1229</v>
      </c>
      <c r="G1267" s="3" t="str">
        <f>HYPERLINK("https://cloud.oebiotech.com/#/lm/network/1229", "https://cloud.oebiotech.com/#/lm/network/1229")</f>
        <v>https://cloud.oebiotech.com/#/lm/network/1229</v>
      </c>
      <c r="H1267" s="2" t="s">
        <v>8795</v>
      </c>
      <c r="I1267" s="2">
        <v>74354</v>
      </c>
      <c r="J1267" s="2" t="s">
        <v>8796</v>
      </c>
      <c r="K1267" s="2">
        <v>11722594</v>
      </c>
      <c r="L1267" s="2"/>
      <c r="M1267" s="2"/>
      <c r="N1267" s="2"/>
      <c r="O1267" s="2">
        <v>71488</v>
      </c>
      <c r="P1267" s="2"/>
      <c r="Q1267" s="2"/>
      <c r="R1267" s="2" t="s">
        <v>8797</v>
      </c>
      <c r="S1267" s="2" t="s">
        <v>8798</v>
      </c>
      <c r="T1267" s="2" t="s">
        <v>8799</v>
      </c>
      <c r="U1267" s="2" t="s">
        <v>56</v>
      </c>
      <c r="V1267" s="2" t="s">
        <v>145</v>
      </c>
      <c r="W1267" s="2" t="s">
        <v>231</v>
      </c>
      <c r="X1267" s="2" t="s">
        <v>69</v>
      </c>
      <c r="Y1267" s="2">
        <v>69</v>
      </c>
      <c r="Z1267" s="2">
        <v>52.9</v>
      </c>
      <c r="AA1267" s="2" t="s">
        <v>259</v>
      </c>
      <c r="AB1267" s="2" t="s">
        <v>1794</v>
      </c>
      <c r="AC1267" s="2">
        <v>2.2443845715001798</v>
      </c>
      <c r="AD1267" s="2"/>
      <c r="AE1267" s="2">
        <v>0.49383830277469598</v>
      </c>
      <c r="AF1267" s="2">
        <v>50371.022044884201</v>
      </c>
      <c r="AG1267" s="2">
        <v>63049.252953287301</v>
      </c>
      <c r="AH1267" s="4">
        <v>0.79891544602762599</v>
      </c>
      <c r="AI1267" s="4">
        <v>-0.323885272649798</v>
      </c>
      <c r="AJ1267" s="4" t="s">
        <v>62</v>
      </c>
      <c r="AK1267" s="2">
        <v>0.380890080087949</v>
      </c>
      <c r="AL1267" s="2">
        <v>0.65913977412323299</v>
      </c>
      <c r="AM1267" s="2">
        <v>58901.2410539962</v>
      </c>
      <c r="AN1267" s="2">
        <v>57204.147901036296</v>
      </c>
      <c r="AO1267" s="2">
        <v>43833.909823599097</v>
      </c>
      <c r="AP1267" s="2">
        <v>37020.104346852197</v>
      </c>
      <c r="AQ1267" s="2">
        <v>55676.989807738901</v>
      </c>
      <c r="AR1267" s="2">
        <v>49589.739336082399</v>
      </c>
      <c r="AS1267" s="2">
        <v>35615.672993872598</v>
      </c>
      <c r="AT1267" s="2">
        <v>27953.128078511902</v>
      </c>
      <c r="AU1267" s="2">
        <v>56653.489717611701</v>
      </c>
      <c r="AV1267" s="2">
        <v>68511.543172493693</v>
      </c>
      <c r="AW1267" s="2">
        <v>120281.73734410699</v>
      </c>
      <c r="AX1267" s="2">
        <v>69279.946413127196</v>
      </c>
    </row>
    <row r="1268" spans="1:50" x14ac:dyDescent="0.25">
      <c r="A1268" s="2" t="s">
        <v>8800</v>
      </c>
      <c r="B1268" s="2">
        <v>373.275155311388</v>
      </c>
      <c r="C1268" s="2">
        <v>9.5639333333333294</v>
      </c>
      <c r="D1268" s="2" t="s">
        <v>51</v>
      </c>
      <c r="E1268" s="2" t="s">
        <v>8801</v>
      </c>
      <c r="F1268" s="2">
        <v>46156</v>
      </c>
      <c r="G1268" s="3" t="str">
        <f>HYPERLINK("https://cloud.oebiotech.com/#/lm/network/46156", "https://cloud.oebiotech.com/#/lm/network/46156")</f>
        <v>https://cloud.oebiotech.com/#/lm/network/46156</v>
      </c>
      <c r="H1268" s="2"/>
      <c r="I1268" s="2">
        <v>84609</v>
      </c>
      <c r="J1268" s="2" t="s">
        <v>8802</v>
      </c>
      <c r="K1268" s="2">
        <v>5284049</v>
      </c>
      <c r="L1268" s="2"/>
      <c r="M1268" s="2"/>
      <c r="N1268" s="2"/>
      <c r="O1268" s="2"/>
      <c r="P1268" s="2"/>
      <c r="Q1268" s="2"/>
      <c r="R1268" s="2"/>
      <c r="S1268" s="2" t="s">
        <v>8803</v>
      </c>
      <c r="T1268" s="2" t="s">
        <v>8804</v>
      </c>
      <c r="U1268" s="2" t="s">
        <v>56</v>
      </c>
      <c r="V1268" s="2" t="s">
        <v>283</v>
      </c>
      <c r="W1268" s="2" t="s">
        <v>2042</v>
      </c>
      <c r="X1268" s="2" t="s">
        <v>69</v>
      </c>
      <c r="Y1268" s="2">
        <v>71.3</v>
      </c>
      <c r="Z1268" s="2">
        <v>83.6</v>
      </c>
      <c r="AA1268" s="2" t="s">
        <v>179</v>
      </c>
      <c r="AB1268" s="2" t="s">
        <v>2554</v>
      </c>
      <c r="AC1268" s="2">
        <v>3.8517202037250602</v>
      </c>
      <c r="AD1268" s="2"/>
      <c r="AE1268" s="2">
        <v>0.49355415355304799</v>
      </c>
      <c r="AF1268" s="2">
        <v>25960.2167590996</v>
      </c>
      <c r="AG1268" s="2">
        <v>6356.0407999331601</v>
      </c>
      <c r="AH1268" s="5">
        <v>4.0843376523593999</v>
      </c>
      <c r="AI1268" s="5">
        <v>2.0301021388034699</v>
      </c>
      <c r="AJ1268" s="5" t="s">
        <v>139</v>
      </c>
      <c r="AK1268" s="2">
        <v>0.35800694056722099</v>
      </c>
      <c r="AL1268" s="2">
        <v>0.64449606579735297</v>
      </c>
      <c r="AM1268" s="2">
        <v>3513.8205384524599</v>
      </c>
      <c r="AN1268" s="2">
        <v>2148.81482969222</v>
      </c>
      <c r="AO1268" s="2">
        <v>2017.4088919092901</v>
      </c>
      <c r="AP1268" s="2">
        <v>1544.80529915287</v>
      </c>
      <c r="AQ1268" s="2">
        <v>124339.704816204</v>
      </c>
      <c r="AR1268" s="2">
        <v>22196.746179186601</v>
      </c>
      <c r="AS1268" s="2">
        <v>1281.63619630415</v>
      </c>
      <c r="AT1268" s="2">
        <v>816.25877301910305</v>
      </c>
      <c r="AU1268" s="2">
        <v>25231.073723519799</v>
      </c>
      <c r="AV1268" s="2">
        <v>9429.1043391655203</v>
      </c>
      <c r="AW1268" s="2">
        <v>638.00878199716306</v>
      </c>
      <c r="AX1268" s="2">
        <v>740.16298559324605</v>
      </c>
    </row>
    <row r="1269" spans="1:50" x14ac:dyDescent="0.25">
      <c r="A1269" s="2" t="s">
        <v>8805</v>
      </c>
      <c r="B1269" s="2">
        <v>299.11219999999997</v>
      </c>
      <c r="C1269" s="2">
        <v>10.329000000000001</v>
      </c>
      <c r="D1269" s="2" t="s">
        <v>125</v>
      </c>
      <c r="E1269" s="2" t="s">
        <v>8806</v>
      </c>
      <c r="F1269" s="2">
        <v>47581</v>
      </c>
      <c r="G1269" s="3" t="str">
        <f>HYPERLINK("https://cloud.oebiotech.com/#/lm/network/47581", "https://cloud.oebiotech.com/#/lm/network/47581")</f>
        <v>https://cloud.oebiotech.com/#/lm/network/47581</v>
      </c>
      <c r="H1269" s="2" t="s">
        <v>8807</v>
      </c>
      <c r="I1269" s="2">
        <v>3231</v>
      </c>
      <c r="J1269" s="2"/>
      <c r="K1269" s="2">
        <v>1004</v>
      </c>
      <c r="L1269" s="2" t="s">
        <v>8808</v>
      </c>
      <c r="M1269" s="2" t="s">
        <v>8809</v>
      </c>
      <c r="N1269" s="2" t="s">
        <v>8810</v>
      </c>
      <c r="O1269" s="2">
        <v>26078</v>
      </c>
      <c r="P1269" s="2"/>
      <c r="Q1269" s="2"/>
      <c r="R1269" s="2" t="s">
        <v>8811</v>
      </c>
      <c r="S1269" s="2" t="s">
        <v>8812</v>
      </c>
      <c r="T1269" s="2" t="s">
        <v>8813</v>
      </c>
      <c r="U1269" s="2" t="s">
        <v>683</v>
      </c>
      <c r="V1269" s="2" t="s">
        <v>684</v>
      </c>
      <c r="W1269" s="2" t="s">
        <v>8814</v>
      </c>
      <c r="X1269" s="2" t="s">
        <v>69</v>
      </c>
      <c r="Y1269" s="2">
        <v>96.9</v>
      </c>
      <c r="Z1269" s="2">
        <v>95.1</v>
      </c>
      <c r="AA1269" s="2"/>
      <c r="AB1269" s="2" t="s">
        <v>8815</v>
      </c>
      <c r="AC1269" s="2"/>
      <c r="AD1269" s="2">
        <v>349269.49554896099</v>
      </c>
      <c r="AE1269" s="2">
        <v>0.49354996573923998</v>
      </c>
      <c r="AF1269" s="2">
        <v>9216243.7363907509</v>
      </c>
      <c r="AG1269" s="2">
        <v>9303519.3524538297</v>
      </c>
      <c r="AH1269" s="4">
        <v>0.99061907513095404</v>
      </c>
      <c r="AI1269" s="4">
        <v>-1.35976934467595E-2</v>
      </c>
      <c r="AJ1269" s="4" t="s">
        <v>62</v>
      </c>
      <c r="AK1269" s="2">
        <v>0.936926438036356</v>
      </c>
      <c r="AL1269" s="2">
        <v>0.97288634998159795</v>
      </c>
      <c r="AM1269" s="2">
        <v>7947179.4729489703</v>
      </c>
      <c r="AN1269" s="2">
        <v>7559235.3706131196</v>
      </c>
      <c r="AO1269" s="2">
        <v>7873823.6719374703</v>
      </c>
      <c r="AP1269" s="2">
        <v>13485782.501613701</v>
      </c>
      <c r="AQ1269" s="2">
        <v>8744944.3403763808</v>
      </c>
      <c r="AR1269" s="2">
        <v>9686497.0608548298</v>
      </c>
      <c r="AS1269" s="2">
        <v>7660204.6009977702</v>
      </c>
      <c r="AT1269" s="2">
        <v>8405362.6065589096</v>
      </c>
      <c r="AU1269" s="2">
        <v>10870099.9140456</v>
      </c>
      <c r="AV1269" s="2">
        <v>11176173.6349827</v>
      </c>
      <c r="AW1269" s="2">
        <v>8830019.2937712409</v>
      </c>
      <c r="AX1269" s="2">
        <v>8879256.0643667802</v>
      </c>
    </row>
    <row r="1270" spans="1:50" x14ac:dyDescent="0.25">
      <c r="A1270" s="2" t="s">
        <v>8816</v>
      </c>
      <c r="B1270" s="2">
        <v>556.23354861119901</v>
      </c>
      <c r="C1270" s="2">
        <v>7.7576166666666699</v>
      </c>
      <c r="D1270" s="2" t="s">
        <v>51</v>
      </c>
      <c r="E1270" s="2" t="s">
        <v>8817</v>
      </c>
      <c r="F1270" s="2">
        <v>54965</v>
      </c>
      <c r="G1270" s="3" t="str">
        <f>HYPERLINK("https://cloud.oebiotech.com/#/lm/network/54965", "https://cloud.oebiotech.com/#/lm/network/54965")</f>
        <v>https://cloud.oebiotech.com/#/lm/network/54965</v>
      </c>
      <c r="H1270" s="2" t="s">
        <v>8818</v>
      </c>
      <c r="I1270" s="2"/>
      <c r="J1270" s="2"/>
      <c r="K1270" s="2">
        <v>131750963</v>
      </c>
      <c r="L1270" s="2"/>
      <c r="M1270" s="2"/>
      <c r="N1270" s="2"/>
      <c r="O1270" s="2"/>
      <c r="P1270" s="2"/>
      <c r="Q1270" s="2"/>
      <c r="R1270" s="2" t="s">
        <v>8819</v>
      </c>
      <c r="S1270" s="2" t="s">
        <v>8820</v>
      </c>
      <c r="T1270" s="2" t="s">
        <v>8821</v>
      </c>
      <c r="U1270" s="2" t="s">
        <v>266</v>
      </c>
      <c r="V1270" s="2" t="s">
        <v>1785</v>
      </c>
      <c r="W1270" s="2" t="s">
        <v>1786</v>
      </c>
      <c r="X1270" s="2" t="s">
        <v>147</v>
      </c>
      <c r="Y1270" s="2">
        <v>36.5</v>
      </c>
      <c r="Z1270" s="2">
        <v>0</v>
      </c>
      <c r="AA1270" s="2" t="s">
        <v>512</v>
      </c>
      <c r="AB1270" s="2" t="s">
        <v>8822</v>
      </c>
      <c r="AC1270" s="2">
        <v>1.0586827865894</v>
      </c>
      <c r="AD1270" s="2"/>
      <c r="AE1270" s="2">
        <v>0.493399693900898</v>
      </c>
      <c r="AF1270" s="2">
        <v>2793.2003843143202</v>
      </c>
      <c r="AG1270" s="2">
        <v>9805.2615965939804</v>
      </c>
      <c r="AH1270" s="4">
        <v>0.28486750269718197</v>
      </c>
      <c r="AI1270" s="4">
        <v>-1.8116370445549399</v>
      </c>
      <c r="AJ1270" s="4" t="s">
        <v>62</v>
      </c>
      <c r="AK1270" s="2">
        <v>1.9377730346559801E-2</v>
      </c>
      <c r="AL1270" s="2">
        <v>0.21871784233369901</v>
      </c>
      <c r="AM1270" s="2">
        <v>1016.8792287193</v>
      </c>
      <c r="AN1270" s="2">
        <v>1029.19217835888</v>
      </c>
      <c r="AO1270" s="2">
        <v>2364.2016993827301</v>
      </c>
      <c r="AP1270" s="2">
        <v>1593.4405536399199</v>
      </c>
      <c r="AQ1270" s="2">
        <v>6343.1580388027596</v>
      </c>
      <c r="AR1270" s="2">
        <v>4412.3306069823102</v>
      </c>
      <c r="AS1270" s="2">
        <v>11608.863162252999</v>
      </c>
      <c r="AT1270" s="2">
        <v>19846.563974885499</v>
      </c>
      <c r="AU1270" s="2">
        <v>5056.2836883802202</v>
      </c>
      <c r="AV1270" s="2">
        <v>4812.5291167988498</v>
      </c>
      <c r="AW1270" s="2">
        <v>11368.6624202236</v>
      </c>
      <c r="AX1270" s="2">
        <v>6138.6672170227403</v>
      </c>
    </row>
    <row r="1271" spans="1:50" x14ac:dyDescent="0.25">
      <c r="A1271" s="2" t="s">
        <v>8823</v>
      </c>
      <c r="B1271" s="2">
        <v>764.42648808164904</v>
      </c>
      <c r="C1271" s="2">
        <v>6.9315166666666697</v>
      </c>
      <c r="D1271" s="2" t="s">
        <v>51</v>
      </c>
      <c r="E1271" s="2" t="s">
        <v>8824</v>
      </c>
      <c r="F1271" s="2">
        <v>213740</v>
      </c>
      <c r="G1271" s="3" t="str">
        <f>HYPERLINK("https://cloud.oebiotech.com/#/lm/network/213740", "https://cloud.oebiotech.com/#/lm/network/213740")</f>
        <v>https://cloud.oebiotech.com/#/lm/network/213740</v>
      </c>
      <c r="H1271" s="2" t="s">
        <v>8825</v>
      </c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 t="s">
        <v>8826</v>
      </c>
      <c r="T1271" s="2" t="s">
        <v>8827</v>
      </c>
      <c r="U1271" s="2" t="s">
        <v>56</v>
      </c>
      <c r="V1271" s="2" t="s">
        <v>57</v>
      </c>
      <c r="W1271" s="2" t="s">
        <v>155</v>
      </c>
      <c r="X1271" s="2" t="s">
        <v>147</v>
      </c>
      <c r="Y1271" s="2">
        <v>38</v>
      </c>
      <c r="Z1271" s="2">
        <v>0</v>
      </c>
      <c r="AA1271" s="2" t="s">
        <v>395</v>
      </c>
      <c r="AB1271" s="2" t="s">
        <v>8828</v>
      </c>
      <c r="AC1271" s="2">
        <v>0.22138966674357299</v>
      </c>
      <c r="AD1271" s="2"/>
      <c r="AE1271" s="2">
        <v>0.49328270530417201</v>
      </c>
      <c r="AF1271" s="2">
        <v>23287.819310660099</v>
      </c>
      <c r="AG1271" s="2">
        <v>14796.7324582903</v>
      </c>
      <c r="AH1271" s="5">
        <v>1.57384877886418</v>
      </c>
      <c r="AI1271" s="5">
        <v>0.65429692809858497</v>
      </c>
      <c r="AJ1271" s="5" t="s">
        <v>139</v>
      </c>
      <c r="AK1271" s="2">
        <v>0.62487841982177905</v>
      </c>
      <c r="AL1271" s="2">
        <v>0.81536333593008903</v>
      </c>
      <c r="AM1271" s="2">
        <v>102330.379924992</v>
      </c>
      <c r="AN1271" s="2">
        <v>1270.82927097435</v>
      </c>
      <c r="AO1271" s="2">
        <v>9132.6834722166204</v>
      </c>
      <c r="AP1271" s="2">
        <v>5408.6136894237898</v>
      </c>
      <c r="AQ1271" s="2">
        <v>5571.1535633984004</v>
      </c>
      <c r="AR1271" s="2">
        <v>16013.2559429553</v>
      </c>
      <c r="AS1271" s="2">
        <v>8.559877937157E-6</v>
      </c>
      <c r="AT1271" s="2">
        <v>489.65719503697198</v>
      </c>
      <c r="AU1271" s="2">
        <v>35097.243004997297</v>
      </c>
      <c r="AV1271" s="2">
        <v>20174.1988318535</v>
      </c>
      <c r="AW1271" s="2">
        <v>18772.346620023902</v>
      </c>
      <c r="AX1271" s="2">
        <v>14246.9490892701</v>
      </c>
    </row>
    <row r="1272" spans="1:50" x14ac:dyDescent="0.25">
      <c r="A1272" s="2" t="s">
        <v>8829</v>
      </c>
      <c r="B1272" s="2">
        <v>475.14074570836999</v>
      </c>
      <c r="C1272" s="2">
        <v>9.2752833333333307</v>
      </c>
      <c r="D1272" s="2" t="s">
        <v>51</v>
      </c>
      <c r="E1272" s="2" t="s">
        <v>8830</v>
      </c>
      <c r="F1272" s="2">
        <v>203141</v>
      </c>
      <c r="G1272" s="3" t="str">
        <f>HYPERLINK("https://cloud.oebiotech.com/#/lm/network/203141", "https://cloud.oebiotech.com/#/lm/network/203141")</f>
        <v>https://cloud.oebiotech.com/#/lm/network/203141</v>
      </c>
      <c r="H1272" s="2" t="s">
        <v>8831</v>
      </c>
      <c r="I1272" s="2"/>
      <c r="J1272" s="2"/>
      <c r="K1272" s="2">
        <v>21739048</v>
      </c>
      <c r="L1272" s="2"/>
      <c r="M1272" s="2"/>
      <c r="N1272" s="2"/>
      <c r="O1272" s="2"/>
      <c r="P1272" s="2"/>
      <c r="Q1272" s="2"/>
      <c r="R1272" s="2"/>
      <c r="S1272" s="2" t="s">
        <v>8832</v>
      </c>
      <c r="T1272" s="2" t="s">
        <v>8833</v>
      </c>
      <c r="U1272" s="2" t="s">
        <v>266</v>
      </c>
      <c r="V1272" s="2" t="s">
        <v>1393</v>
      </c>
      <c r="W1272" s="2" t="s">
        <v>1394</v>
      </c>
      <c r="X1272" s="2" t="s">
        <v>147</v>
      </c>
      <c r="Y1272" s="2">
        <v>39.4</v>
      </c>
      <c r="Z1272" s="2">
        <v>6.7799999999999999E-2</v>
      </c>
      <c r="AA1272" s="2" t="s">
        <v>478</v>
      </c>
      <c r="AB1272" s="2" t="s">
        <v>8834</v>
      </c>
      <c r="AC1272" s="2">
        <v>-0.90937703399541303</v>
      </c>
      <c r="AD1272" s="2"/>
      <c r="AE1272" s="2">
        <v>0.49308160426727798</v>
      </c>
      <c r="AF1272" s="2">
        <v>9027.8501491206007</v>
      </c>
      <c r="AG1272" s="2">
        <v>3802.0080539215601</v>
      </c>
      <c r="AH1272" s="5">
        <v>2.3744952722572199</v>
      </c>
      <c r="AI1272" s="5">
        <v>1.2476208837187399</v>
      </c>
      <c r="AJ1272" s="5" t="s">
        <v>139</v>
      </c>
      <c r="AK1272" s="2">
        <v>7.6271947023584703E-4</v>
      </c>
      <c r="AL1272" s="2">
        <v>6.9665622996772703E-2</v>
      </c>
      <c r="AM1272" s="2">
        <v>9179.8488471919809</v>
      </c>
      <c r="AN1272" s="2">
        <v>10289.2916308117</v>
      </c>
      <c r="AO1272" s="2">
        <v>7882.4610869462504</v>
      </c>
      <c r="AP1272" s="2">
        <v>9423.2811444544095</v>
      </c>
      <c r="AQ1272" s="2">
        <v>7016.5325674830401</v>
      </c>
      <c r="AR1272" s="2">
        <v>10375.6856178362</v>
      </c>
      <c r="AS1272" s="2">
        <v>8034.1962932801498</v>
      </c>
      <c r="AT1272" s="2">
        <v>3404.7397194978098</v>
      </c>
      <c r="AU1272" s="2">
        <v>4683.7722328928703</v>
      </c>
      <c r="AV1272" s="2">
        <v>1468.7970509552099</v>
      </c>
      <c r="AW1272" s="2">
        <v>2669.1932289030201</v>
      </c>
      <c r="AX1272" s="2">
        <v>2551.3497980002799</v>
      </c>
    </row>
    <row r="1273" spans="1:50" x14ac:dyDescent="0.25">
      <c r="A1273" s="2" t="s">
        <v>8835</v>
      </c>
      <c r="B1273" s="2">
        <v>499.27995798526399</v>
      </c>
      <c r="C1273" s="2">
        <v>10.8089833333333</v>
      </c>
      <c r="D1273" s="2" t="s">
        <v>51</v>
      </c>
      <c r="E1273" s="2" t="s">
        <v>8836</v>
      </c>
      <c r="F1273" s="2">
        <v>45841</v>
      </c>
      <c r="G1273" s="3" t="str">
        <f>HYPERLINK("https://cloud.oebiotech.com/#/lm/network/45841", "https://cloud.oebiotech.com/#/lm/network/45841")</f>
        <v>https://cloud.oebiotech.com/#/lm/network/45841</v>
      </c>
      <c r="H1273" s="2"/>
      <c r="I1273" s="2">
        <v>42606</v>
      </c>
      <c r="J1273" s="2" t="s">
        <v>8837</v>
      </c>
      <c r="K1273" s="2">
        <v>10367008</v>
      </c>
      <c r="L1273" s="2"/>
      <c r="M1273" s="2"/>
      <c r="N1273" s="2"/>
      <c r="O1273" s="2"/>
      <c r="P1273" s="2"/>
      <c r="Q1273" s="2"/>
      <c r="R1273" s="2"/>
      <c r="S1273" s="2" t="s">
        <v>8838</v>
      </c>
      <c r="T1273" s="2" t="s">
        <v>8839</v>
      </c>
      <c r="U1273" s="2" t="s">
        <v>56</v>
      </c>
      <c r="V1273" s="2" t="s">
        <v>177</v>
      </c>
      <c r="W1273" s="2" t="s">
        <v>584</v>
      </c>
      <c r="X1273" s="2" t="s">
        <v>83</v>
      </c>
      <c r="Y1273" s="2">
        <v>37.700000000000003</v>
      </c>
      <c r="Z1273" s="2">
        <v>0</v>
      </c>
      <c r="AA1273" s="2" t="s">
        <v>395</v>
      </c>
      <c r="AB1273" s="2" t="s">
        <v>8840</v>
      </c>
      <c r="AC1273" s="2">
        <v>-4.5068836656326203</v>
      </c>
      <c r="AD1273" s="2"/>
      <c r="AE1273" s="2">
        <v>0.49288066829015997</v>
      </c>
      <c r="AF1273" s="2">
        <v>17284.348390227002</v>
      </c>
      <c r="AG1273" s="2">
        <v>29598.622206061002</v>
      </c>
      <c r="AH1273" s="4">
        <v>0.58395787040004998</v>
      </c>
      <c r="AI1273" s="4">
        <v>-0.77606380516111195</v>
      </c>
      <c r="AJ1273" s="4" t="s">
        <v>62</v>
      </c>
      <c r="AK1273" s="2">
        <v>0.118512098163746</v>
      </c>
      <c r="AL1273" s="2">
        <v>0.43690844816567598</v>
      </c>
      <c r="AM1273" s="2">
        <v>34182.644126025603</v>
      </c>
      <c r="AN1273" s="2">
        <v>14739.2262496412</v>
      </c>
      <c r="AO1273" s="2">
        <v>21959.833777363699</v>
      </c>
      <c r="AP1273" s="2">
        <v>15752.159605397601</v>
      </c>
      <c r="AQ1273" s="2">
        <v>13801.617312922799</v>
      </c>
      <c r="AR1273" s="2">
        <v>3270.6092700111099</v>
      </c>
      <c r="AS1273" s="2">
        <v>13559.682180890501</v>
      </c>
      <c r="AT1273" s="2">
        <v>11420.8703668947</v>
      </c>
      <c r="AU1273" s="2">
        <v>47364.827628036801</v>
      </c>
      <c r="AV1273" s="2">
        <v>37888.611394248801</v>
      </c>
      <c r="AW1273" s="2">
        <v>29802.7528485982</v>
      </c>
      <c r="AX1273" s="2">
        <v>37554.988817696998</v>
      </c>
    </row>
    <row r="1274" spans="1:50" x14ac:dyDescent="0.25">
      <c r="A1274" s="2" t="s">
        <v>8841</v>
      </c>
      <c r="B1274" s="2">
        <v>638.33153590729</v>
      </c>
      <c r="C1274" s="2">
        <v>6.2822500000000003</v>
      </c>
      <c r="D1274" s="2" t="s">
        <v>51</v>
      </c>
      <c r="E1274" s="2" t="s">
        <v>8842</v>
      </c>
      <c r="F1274" s="2">
        <v>27909</v>
      </c>
      <c r="G1274" s="3" t="str">
        <f>HYPERLINK("https://cloud.oebiotech.com/#/lm/network/27909", "https://cloud.oebiotech.com/#/lm/network/27909")</f>
        <v>https://cloud.oebiotech.com/#/lm/network/27909</v>
      </c>
      <c r="H1274" s="2"/>
      <c r="I1274" s="2"/>
      <c r="J1274" s="2" t="s">
        <v>8843</v>
      </c>
      <c r="K1274" s="2">
        <v>134812366</v>
      </c>
      <c r="L1274" s="2"/>
      <c r="M1274" s="2"/>
      <c r="N1274" s="2"/>
      <c r="O1274" s="2"/>
      <c r="P1274" s="2"/>
      <c r="Q1274" s="2"/>
      <c r="R1274" s="2"/>
      <c r="S1274" s="2" t="s">
        <v>8844</v>
      </c>
      <c r="T1274" s="2" t="s">
        <v>8845</v>
      </c>
      <c r="U1274" s="2" t="s">
        <v>56</v>
      </c>
      <c r="V1274" s="2" t="s">
        <v>57</v>
      </c>
      <c r="W1274" s="2" t="s">
        <v>155</v>
      </c>
      <c r="X1274" s="2" t="s">
        <v>59</v>
      </c>
      <c r="Y1274" s="2">
        <v>56</v>
      </c>
      <c r="Z1274" s="2">
        <v>91.4</v>
      </c>
      <c r="AA1274" s="2" t="s">
        <v>218</v>
      </c>
      <c r="AB1274" s="2" t="s">
        <v>8846</v>
      </c>
      <c r="AC1274" s="2">
        <v>0.75765099516051704</v>
      </c>
      <c r="AD1274" s="2"/>
      <c r="AE1274" s="2">
        <v>0.49275823991280299</v>
      </c>
      <c r="AF1274" s="2">
        <v>9924.1254016756502</v>
      </c>
      <c r="AG1274" s="2">
        <v>3697.2017181514402</v>
      </c>
      <c r="AH1274" s="5">
        <v>2.6842261142942401</v>
      </c>
      <c r="AI1274" s="5">
        <v>1.42450620664643</v>
      </c>
      <c r="AJ1274" s="5" t="s">
        <v>139</v>
      </c>
      <c r="AK1274" s="2">
        <v>7.5683211114110097E-2</v>
      </c>
      <c r="AL1274" s="2">
        <v>0.35959750056178102</v>
      </c>
      <c r="AM1274" s="2">
        <v>18532.175489790501</v>
      </c>
      <c r="AN1274" s="2">
        <v>14250.935032883501</v>
      </c>
      <c r="AO1274" s="2">
        <v>3242.4455745720202</v>
      </c>
      <c r="AP1274" s="2">
        <v>3872.8034320509801</v>
      </c>
      <c r="AQ1274" s="2">
        <v>6650.0571021261003</v>
      </c>
      <c r="AR1274" s="2">
        <v>12996.335778630801</v>
      </c>
      <c r="AS1274" s="2">
        <v>3076.76206661478</v>
      </c>
      <c r="AT1274" s="2">
        <v>8.559877937157E-6</v>
      </c>
      <c r="AU1274" s="2">
        <v>6107.4413483234903</v>
      </c>
      <c r="AV1274" s="2">
        <v>1066.2405340662201</v>
      </c>
      <c r="AW1274" s="2">
        <v>268.18111905379999</v>
      </c>
      <c r="AX1274" s="2">
        <v>11664.585232290499</v>
      </c>
    </row>
    <row r="1275" spans="1:50" x14ac:dyDescent="0.25">
      <c r="A1275" s="2" t="s">
        <v>8847</v>
      </c>
      <c r="B1275" s="2">
        <v>331.19154215943797</v>
      </c>
      <c r="C1275" s="2">
        <v>10.4937</v>
      </c>
      <c r="D1275" s="2" t="s">
        <v>51</v>
      </c>
      <c r="E1275" s="2" t="s">
        <v>8848</v>
      </c>
      <c r="F1275" s="2">
        <v>55948</v>
      </c>
      <c r="G1275" s="3" t="str">
        <f>HYPERLINK("https://cloud.oebiotech.com/#/lm/network/55948", "https://cloud.oebiotech.com/#/lm/network/55948")</f>
        <v>https://cloud.oebiotech.com/#/lm/network/55948</v>
      </c>
      <c r="H1275" s="2" t="s">
        <v>8849</v>
      </c>
      <c r="I1275" s="2">
        <v>87627</v>
      </c>
      <c r="J1275" s="2"/>
      <c r="K1275" s="2">
        <v>131751161</v>
      </c>
      <c r="L1275" s="2"/>
      <c r="M1275" s="2"/>
      <c r="N1275" s="2"/>
      <c r="O1275" s="2"/>
      <c r="P1275" s="2"/>
      <c r="Q1275" s="2"/>
      <c r="R1275" s="2"/>
      <c r="S1275" s="2" t="s">
        <v>8850</v>
      </c>
      <c r="T1275" s="2" t="s">
        <v>8851</v>
      </c>
      <c r="U1275" s="2" t="s">
        <v>56</v>
      </c>
      <c r="V1275" s="2" t="s">
        <v>177</v>
      </c>
      <c r="W1275" s="2" t="s">
        <v>806</v>
      </c>
      <c r="X1275" s="2" t="s">
        <v>83</v>
      </c>
      <c r="Y1275" s="2">
        <v>52.2</v>
      </c>
      <c r="Z1275" s="2">
        <v>0</v>
      </c>
      <c r="AA1275" s="2" t="s">
        <v>163</v>
      </c>
      <c r="AB1275" s="2" t="s">
        <v>1500</v>
      </c>
      <c r="AC1275" s="2">
        <v>0.17825243596040899</v>
      </c>
      <c r="AD1275" s="2"/>
      <c r="AE1275" s="2">
        <v>0.49085253995933698</v>
      </c>
      <c r="AF1275" s="2">
        <v>11559.590642176599</v>
      </c>
      <c r="AG1275" s="2">
        <v>6271.12771399333</v>
      </c>
      <c r="AH1275" s="5">
        <v>1.84330333703501</v>
      </c>
      <c r="AI1275" s="5">
        <v>0.88229350277882002</v>
      </c>
      <c r="AJ1275" s="5" t="s">
        <v>139</v>
      </c>
      <c r="AK1275" s="2">
        <v>3.1812376163070501E-3</v>
      </c>
      <c r="AL1275" s="2">
        <v>0.1120315017845</v>
      </c>
      <c r="AM1275" s="2">
        <v>9615.6512101226308</v>
      </c>
      <c r="AN1275" s="2">
        <v>15545.7462123154</v>
      </c>
      <c r="AO1275" s="2">
        <v>11951.348331375601</v>
      </c>
      <c r="AP1275" s="2">
        <v>10275.253604584501</v>
      </c>
      <c r="AQ1275" s="2">
        <v>9168.1554277915602</v>
      </c>
      <c r="AR1275" s="2">
        <v>12801.389066870201</v>
      </c>
      <c r="AS1275" s="2">
        <v>9591.1919833646098</v>
      </c>
      <c r="AT1275" s="2">
        <v>6296.8727699016399</v>
      </c>
      <c r="AU1275" s="2">
        <v>8161.9309778063998</v>
      </c>
      <c r="AV1275" s="2">
        <v>4236.4086895051596</v>
      </c>
      <c r="AW1275" s="2">
        <v>3285.6092422460501</v>
      </c>
      <c r="AX1275" s="2">
        <v>6054.7526211361101</v>
      </c>
    </row>
    <row r="1276" spans="1:50" x14ac:dyDescent="0.25">
      <c r="A1276" s="2" t="s">
        <v>8852</v>
      </c>
      <c r="B1276" s="2">
        <v>303.14630472098798</v>
      </c>
      <c r="C1276" s="2">
        <v>1.5302500000000001</v>
      </c>
      <c r="D1276" s="2" t="s">
        <v>51</v>
      </c>
      <c r="E1276" s="2" t="s">
        <v>8853</v>
      </c>
      <c r="F1276" s="2">
        <v>53916</v>
      </c>
      <c r="G1276" s="3" t="str">
        <f>HYPERLINK("https://cloud.oebiotech.com/#/lm/network/53916", "https://cloud.oebiotech.com/#/lm/network/53916")</f>
        <v>https://cloud.oebiotech.com/#/lm/network/53916</v>
      </c>
      <c r="H1276" s="2" t="s">
        <v>8854</v>
      </c>
      <c r="I1276" s="2">
        <v>439333</v>
      </c>
      <c r="J1276" s="2"/>
      <c r="K1276" s="2">
        <v>152198</v>
      </c>
      <c r="L1276" s="2"/>
      <c r="M1276" s="2"/>
      <c r="N1276" s="2"/>
      <c r="O1276" s="2">
        <v>141438</v>
      </c>
      <c r="P1276" s="2"/>
      <c r="Q1276" s="2"/>
      <c r="R1276" s="2" t="s">
        <v>8855</v>
      </c>
      <c r="S1276" s="2" t="s">
        <v>8856</v>
      </c>
      <c r="T1276" s="2" t="s">
        <v>8857</v>
      </c>
      <c r="U1276" s="2" t="s">
        <v>103</v>
      </c>
      <c r="V1276" s="2" t="s">
        <v>104</v>
      </c>
      <c r="W1276" s="2" t="s">
        <v>105</v>
      </c>
      <c r="X1276" s="2" t="s">
        <v>69</v>
      </c>
      <c r="Y1276" s="2">
        <v>57.1</v>
      </c>
      <c r="Z1276" s="2">
        <v>89.1</v>
      </c>
      <c r="AA1276" s="2" t="s">
        <v>259</v>
      </c>
      <c r="AB1276" s="2" t="s">
        <v>8858</v>
      </c>
      <c r="AC1276" s="2">
        <v>3.7659422522769899</v>
      </c>
      <c r="AD1276" s="2"/>
      <c r="AE1276" s="2">
        <v>0.49069719632555298</v>
      </c>
      <c r="AF1276" s="2">
        <v>35994.435406064003</v>
      </c>
      <c r="AG1276" s="2">
        <v>26213.569946939198</v>
      </c>
      <c r="AH1276" s="5">
        <v>1.3731222217699799</v>
      </c>
      <c r="AI1276" s="5">
        <v>0.45746004565521797</v>
      </c>
      <c r="AJ1276" s="5" t="s">
        <v>139</v>
      </c>
      <c r="AK1276" s="2">
        <v>0.22320169560663899</v>
      </c>
      <c r="AL1276" s="2">
        <v>0.54894302685029694</v>
      </c>
      <c r="AM1276" s="2">
        <v>41567.245808589301</v>
      </c>
      <c r="AN1276" s="2">
        <v>43714.175844662503</v>
      </c>
      <c r="AO1276" s="2">
        <v>27968.325468364001</v>
      </c>
      <c r="AP1276" s="2">
        <v>25560.822674479401</v>
      </c>
      <c r="AQ1276" s="2">
        <v>30467.124265600902</v>
      </c>
      <c r="AR1276" s="2">
        <v>46688.918374688197</v>
      </c>
      <c r="AS1276" s="2">
        <v>2364.7391875601202</v>
      </c>
      <c r="AT1276" s="2">
        <v>10291.097092166199</v>
      </c>
      <c r="AU1276" s="2">
        <v>42420.761360912998</v>
      </c>
      <c r="AV1276" s="2">
        <v>37384.350620346901</v>
      </c>
      <c r="AW1276" s="2">
        <v>34178.923813627698</v>
      </c>
      <c r="AX1276" s="2">
        <v>30641.547607021399</v>
      </c>
    </row>
    <row r="1277" spans="1:50" x14ac:dyDescent="0.25">
      <c r="A1277" s="2" t="s">
        <v>8859</v>
      </c>
      <c r="B1277" s="2">
        <v>358.26002102972899</v>
      </c>
      <c r="C1277" s="2">
        <v>10.473283333333301</v>
      </c>
      <c r="D1277" s="2" t="s">
        <v>51</v>
      </c>
      <c r="E1277" s="2" t="s">
        <v>8860</v>
      </c>
      <c r="F1277" s="2">
        <v>8656</v>
      </c>
      <c r="G1277" s="3" t="str">
        <f>HYPERLINK("https://cloud.oebiotech.com/#/lm/network/8656", "https://cloud.oebiotech.com/#/lm/network/8656")</f>
        <v>https://cloud.oebiotech.com/#/lm/network/8656</v>
      </c>
      <c r="H1277" s="2" t="s">
        <v>8861</v>
      </c>
      <c r="I1277" s="2">
        <v>45157</v>
      </c>
      <c r="J1277" s="2" t="s">
        <v>8862</v>
      </c>
      <c r="K1277" s="2">
        <v>151008</v>
      </c>
      <c r="L1277" s="2"/>
      <c r="M1277" s="2"/>
      <c r="N1277" s="2"/>
      <c r="O1277" s="2">
        <v>39540</v>
      </c>
      <c r="P1277" s="2"/>
      <c r="Q1277" s="2"/>
      <c r="R1277" s="2" t="s">
        <v>8863</v>
      </c>
      <c r="S1277" s="2" t="s">
        <v>8864</v>
      </c>
      <c r="T1277" s="2" t="s">
        <v>8865</v>
      </c>
      <c r="U1277" s="2" t="s">
        <v>103</v>
      </c>
      <c r="V1277" s="2" t="s">
        <v>104</v>
      </c>
      <c r="W1277" s="2" t="s">
        <v>105</v>
      </c>
      <c r="X1277" s="2" t="s">
        <v>147</v>
      </c>
      <c r="Y1277" s="2">
        <v>39.1</v>
      </c>
      <c r="Z1277" s="2">
        <v>0</v>
      </c>
      <c r="AA1277" s="2" t="s">
        <v>218</v>
      </c>
      <c r="AB1277" s="2" t="s">
        <v>3599</v>
      </c>
      <c r="AC1277" s="2">
        <v>0.39638998837017703</v>
      </c>
      <c r="AD1277" s="2"/>
      <c r="AE1277" s="2">
        <v>0.48983903310825</v>
      </c>
      <c r="AF1277" s="2">
        <v>15050.8821441291</v>
      </c>
      <c r="AG1277" s="2">
        <v>1568.58905047148</v>
      </c>
      <c r="AH1277" s="5">
        <v>9.5951722598122</v>
      </c>
      <c r="AI1277" s="5">
        <v>3.2623087070090899</v>
      </c>
      <c r="AJ1277" s="5" t="s">
        <v>139</v>
      </c>
      <c r="AK1277" s="2">
        <v>0.22022597505871699</v>
      </c>
      <c r="AL1277" s="2">
        <v>0.54569349495976804</v>
      </c>
      <c r="AM1277" s="2">
        <v>8.559877937157E-6</v>
      </c>
      <c r="AN1277" s="2">
        <v>8.559877937157E-6</v>
      </c>
      <c r="AO1277" s="2">
        <v>29966.856096661799</v>
      </c>
      <c r="AP1277" s="2">
        <v>8.559877937157E-6</v>
      </c>
      <c r="AQ1277" s="2">
        <v>59914.610342370703</v>
      </c>
      <c r="AR1277" s="2">
        <v>423.82640006270498</v>
      </c>
      <c r="AS1277" s="2">
        <v>8600.5936437027303</v>
      </c>
      <c r="AT1277" s="2">
        <v>8.559877937157E-6</v>
      </c>
      <c r="AU1277" s="2">
        <v>810.94062488665895</v>
      </c>
      <c r="AV1277" s="2">
        <v>8.559877937157E-6</v>
      </c>
      <c r="AW1277" s="2">
        <v>8.559877937157E-6</v>
      </c>
      <c r="AX1277" s="2">
        <v>8.559877937157E-6</v>
      </c>
    </row>
    <row r="1278" spans="1:50" x14ac:dyDescent="0.25">
      <c r="A1278" s="2" t="s">
        <v>8866</v>
      </c>
      <c r="B1278" s="2">
        <v>293.21184695238497</v>
      </c>
      <c r="C1278" s="2">
        <v>14.479983333333299</v>
      </c>
      <c r="D1278" s="2" t="s">
        <v>51</v>
      </c>
      <c r="E1278" s="2" t="s">
        <v>8867</v>
      </c>
      <c r="F1278" s="2">
        <v>256969</v>
      </c>
      <c r="G1278" s="3" t="str">
        <f>HYPERLINK("https://cloud.oebiotech.com/#/lm/network/256969", "https://cloud.oebiotech.com/#/lm/network/256969")</f>
        <v>https://cloud.oebiotech.com/#/lm/network/256969</v>
      </c>
      <c r="H1278" s="2" t="s">
        <v>8868</v>
      </c>
      <c r="I1278" s="2"/>
      <c r="J1278" s="2"/>
      <c r="K1278" s="2">
        <v>25200693</v>
      </c>
      <c r="L1278" s="2"/>
      <c r="M1278" s="2"/>
      <c r="N1278" s="2"/>
      <c r="O1278" s="2"/>
      <c r="P1278" s="2"/>
      <c r="Q1278" s="2"/>
      <c r="R1278" s="2"/>
      <c r="S1278" s="2" t="s">
        <v>8869</v>
      </c>
      <c r="T1278" s="2" t="s">
        <v>8870</v>
      </c>
      <c r="U1278" s="2" t="s">
        <v>56</v>
      </c>
      <c r="V1278" s="2" t="s">
        <v>145</v>
      </c>
      <c r="W1278" s="2" t="s">
        <v>187</v>
      </c>
      <c r="X1278" s="2" t="s">
        <v>147</v>
      </c>
      <c r="Y1278" s="2">
        <v>37.799999999999997</v>
      </c>
      <c r="Z1278" s="2">
        <v>0</v>
      </c>
      <c r="AA1278" s="2" t="s">
        <v>122</v>
      </c>
      <c r="AB1278" s="2" t="s">
        <v>8871</v>
      </c>
      <c r="AC1278" s="2">
        <v>0.60387662867928904</v>
      </c>
      <c r="AD1278" s="2"/>
      <c r="AE1278" s="2">
        <v>0.489708067812609</v>
      </c>
      <c r="AF1278" s="2">
        <v>9990.7191076316794</v>
      </c>
      <c r="AG1278" s="2">
        <v>14681.680415381599</v>
      </c>
      <c r="AH1278" s="4">
        <v>0.68048880134760703</v>
      </c>
      <c r="AI1278" s="4">
        <v>-0.55535667507317199</v>
      </c>
      <c r="AJ1278" s="4" t="s">
        <v>62</v>
      </c>
      <c r="AK1278" s="2">
        <v>1.1366165348902099E-2</v>
      </c>
      <c r="AL1278" s="2">
        <v>0.17165665021883</v>
      </c>
      <c r="AM1278" s="2">
        <v>5801.8087658862596</v>
      </c>
      <c r="AN1278" s="2">
        <v>9199.7918510737909</v>
      </c>
      <c r="AO1278" s="2">
        <v>9362.7555458935003</v>
      </c>
      <c r="AP1278" s="2">
        <v>9622.1979604853404</v>
      </c>
      <c r="AQ1278" s="2">
        <v>11923.410020502</v>
      </c>
      <c r="AR1278" s="2">
        <v>14034.3505019492</v>
      </c>
      <c r="AS1278" s="2">
        <v>15737.3510275138</v>
      </c>
      <c r="AT1278" s="2">
        <v>15113.5159935745</v>
      </c>
      <c r="AU1278" s="2">
        <v>10422.9871292486</v>
      </c>
      <c r="AV1278" s="2">
        <v>13940.207023057401</v>
      </c>
      <c r="AW1278" s="2">
        <v>17854.954030737201</v>
      </c>
      <c r="AX1278" s="2">
        <v>15021.0672881583</v>
      </c>
    </row>
    <row r="1279" spans="1:50" x14ac:dyDescent="0.25">
      <c r="A1279" s="2" t="s">
        <v>8872</v>
      </c>
      <c r="B1279" s="2">
        <v>590.41285546982203</v>
      </c>
      <c r="C1279" s="2">
        <v>6.0031333333333299</v>
      </c>
      <c r="D1279" s="2" t="s">
        <v>51</v>
      </c>
      <c r="E1279" s="2" t="s">
        <v>8873</v>
      </c>
      <c r="F1279" s="2">
        <v>21260</v>
      </c>
      <c r="G1279" s="3" t="str">
        <f>HYPERLINK("https://cloud.oebiotech.com/#/lm/network/21260", "https://cloud.oebiotech.com/#/lm/network/21260")</f>
        <v>https://cloud.oebiotech.com/#/lm/network/21260</v>
      </c>
      <c r="H1279" s="2"/>
      <c r="I1279" s="2"/>
      <c r="J1279" s="2" t="s">
        <v>8874</v>
      </c>
      <c r="K1279" s="2">
        <v>137323930</v>
      </c>
      <c r="L1279" s="2"/>
      <c r="M1279" s="2"/>
      <c r="N1279" s="2"/>
      <c r="O1279" s="2"/>
      <c r="P1279" s="2"/>
      <c r="Q1279" s="2"/>
      <c r="R1279" s="2"/>
      <c r="S1279" s="2" t="s">
        <v>8875</v>
      </c>
      <c r="T1279" s="2" t="s">
        <v>8876</v>
      </c>
      <c r="U1279" s="2" t="s">
        <v>56</v>
      </c>
      <c r="V1279" s="2" t="s">
        <v>57</v>
      </c>
      <c r="W1279" s="2" t="s">
        <v>155</v>
      </c>
      <c r="X1279" s="2" t="s">
        <v>59</v>
      </c>
      <c r="Y1279" s="2">
        <v>47.5</v>
      </c>
      <c r="Z1279" s="2">
        <v>50.3</v>
      </c>
      <c r="AA1279" s="2" t="s">
        <v>95</v>
      </c>
      <c r="AB1279" s="2" t="s">
        <v>8877</v>
      </c>
      <c r="AC1279" s="2">
        <v>-4.8555553406111702</v>
      </c>
      <c r="AD1279" s="2"/>
      <c r="AE1279" s="2">
        <v>0.48963229029244798</v>
      </c>
      <c r="AF1279" s="2">
        <v>30425.149338368901</v>
      </c>
      <c r="AG1279" s="2">
        <v>23162.786705691</v>
      </c>
      <c r="AH1279" s="5">
        <v>1.3135357901859701</v>
      </c>
      <c r="AI1279" s="5">
        <v>0.39345551042233101</v>
      </c>
      <c r="AJ1279" s="5" t="s">
        <v>139</v>
      </c>
      <c r="AK1279" s="2">
        <v>2.9741482997880701E-2</v>
      </c>
      <c r="AL1279" s="2">
        <v>0.25908320162100301</v>
      </c>
      <c r="AM1279" s="2">
        <v>26948.8133836384</v>
      </c>
      <c r="AN1279" s="2">
        <v>26624.0888315048</v>
      </c>
      <c r="AO1279" s="2">
        <v>29346.900111242299</v>
      </c>
      <c r="AP1279" s="2">
        <v>27778.8642740506</v>
      </c>
      <c r="AQ1279" s="2">
        <v>30263.845550775401</v>
      </c>
      <c r="AR1279" s="2">
        <v>41588.383879001602</v>
      </c>
      <c r="AS1279" s="2">
        <v>24913.140315230299</v>
      </c>
      <c r="AT1279" s="2">
        <v>28027.068519623299</v>
      </c>
      <c r="AU1279" s="2">
        <v>23653.8699871143</v>
      </c>
      <c r="AV1279" s="2">
        <v>17832.560629133601</v>
      </c>
      <c r="AW1279" s="2">
        <v>26173.9428337891</v>
      </c>
      <c r="AX1279" s="2">
        <v>18376.137949255299</v>
      </c>
    </row>
    <row r="1280" spans="1:50" x14ac:dyDescent="0.25">
      <c r="A1280" s="2" t="s">
        <v>8878</v>
      </c>
      <c r="B1280" s="2">
        <v>442.09031736969803</v>
      </c>
      <c r="C1280" s="2">
        <v>13.510733333333301</v>
      </c>
      <c r="D1280" s="2" t="s">
        <v>51</v>
      </c>
      <c r="E1280" s="2" t="s">
        <v>8879</v>
      </c>
      <c r="F1280" s="2">
        <v>54219</v>
      </c>
      <c r="G1280" s="3" t="str">
        <f>HYPERLINK("https://cloud.oebiotech.com/#/lm/network/54219", "https://cloud.oebiotech.com/#/lm/network/54219")</f>
        <v>https://cloud.oebiotech.com/#/lm/network/54219</v>
      </c>
      <c r="H1280" s="2" t="s">
        <v>8880</v>
      </c>
      <c r="I1280" s="2">
        <v>86116</v>
      </c>
      <c r="J1280" s="2"/>
      <c r="K1280" s="2">
        <v>131750819</v>
      </c>
      <c r="L1280" s="2"/>
      <c r="M1280" s="2"/>
      <c r="N1280" s="2"/>
      <c r="O1280" s="2"/>
      <c r="P1280" s="2"/>
      <c r="Q1280" s="2"/>
      <c r="R1280" s="2"/>
      <c r="S1280" s="2" t="s">
        <v>8881</v>
      </c>
      <c r="T1280" s="2" t="s">
        <v>8882</v>
      </c>
      <c r="U1280" s="2" t="s">
        <v>540</v>
      </c>
      <c r="V1280" s="2" t="s">
        <v>541</v>
      </c>
      <c r="W1280" s="2" t="s">
        <v>542</v>
      </c>
      <c r="X1280" s="2" t="s">
        <v>147</v>
      </c>
      <c r="Y1280" s="2">
        <v>37.5</v>
      </c>
      <c r="Z1280" s="2">
        <v>0.50700000000000001</v>
      </c>
      <c r="AA1280" s="2" t="s">
        <v>379</v>
      </c>
      <c r="AB1280" s="2" t="s">
        <v>8883</v>
      </c>
      <c r="AC1280" s="2">
        <v>-0.49445843701023501</v>
      </c>
      <c r="AD1280" s="2"/>
      <c r="AE1280" s="2">
        <v>0.489443456315313</v>
      </c>
      <c r="AF1280" s="2">
        <v>5237.0765337043904</v>
      </c>
      <c r="AG1280" s="2">
        <v>889.00401954149197</v>
      </c>
      <c r="AH1280" s="5">
        <v>5.8909480931317297</v>
      </c>
      <c r="AI1280" s="5">
        <v>2.5584998410481701</v>
      </c>
      <c r="AJ1280" s="5" t="s">
        <v>139</v>
      </c>
      <c r="AK1280" s="2">
        <v>1.98907237378467E-3</v>
      </c>
      <c r="AL1280" s="2">
        <v>0.10025137111515001</v>
      </c>
      <c r="AM1280" s="2">
        <v>5958.0041560600603</v>
      </c>
      <c r="AN1280" s="2">
        <v>8394.2165584771701</v>
      </c>
      <c r="AO1280" s="2">
        <v>6772.0713820730098</v>
      </c>
      <c r="AP1280" s="2">
        <v>3376.4557540041401</v>
      </c>
      <c r="AQ1280" s="2">
        <v>5032.6062469704902</v>
      </c>
      <c r="AR1280" s="2">
        <v>1889.10510464149</v>
      </c>
      <c r="AS1280" s="2">
        <v>1145.04893205436</v>
      </c>
      <c r="AT1280" s="2">
        <v>2292.5792702825502</v>
      </c>
      <c r="AU1280" s="2">
        <v>1896.3958892324099</v>
      </c>
      <c r="AV1280" s="2">
        <v>8.559877937157E-6</v>
      </c>
      <c r="AW1280" s="2">
        <v>8.559877937157E-6</v>
      </c>
      <c r="AX1280" s="2">
        <v>8.559877937157E-6</v>
      </c>
    </row>
    <row r="1281" spans="1:50" x14ac:dyDescent="0.25">
      <c r="A1281" s="2" t="s">
        <v>8884</v>
      </c>
      <c r="B1281" s="2">
        <v>117.0133</v>
      </c>
      <c r="C1281" s="2">
        <v>9.5719999999999992</v>
      </c>
      <c r="D1281" s="2" t="s">
        <v>125</v>
      </c>
      <c r="E1281" s="2" t="s">
        <v>8885</v>
      </c>
      <c r="F1281" s="2">
        <v>545913</v>
      </c>
      <c r="G1281" s="3" t="str">
        <f>HYPERLINK("https://cloud.oebiotech.com/#/lm/network/545913", "https://cloud.oebiotech.com/#/lm/network/545913")</f>
        <v>https://cloud.oebiotech.com/#/lm/network/545913</v>
      </c>
      <c r="H1281" s="2"/>
      <c r="I1281" s="2"/>
      <c r="J1281" s="2"/>
      <c r="K1281" s="2">
        <v>25484</v>
      </c>
      <c r="L1281" s="2"/>
      <c r="M1281" s="2"/>
      <c r="N1281" s="2"/>
      <c r="O1281" s="2"/>
      <c r="P1281" s="2"/>
      <c r="Q1281" s="2"/>
      <c r="R1281" s="2"/>
      <c r="S1281" s="2" t="s">
        <v>8886</v>
      </c>
      <c r="T1281" s="2" t="s">
        <v>8887</v>
      </c>
      <c r="U1281" s="2" t="s">
        <v>331</v>
      </c>
      <c r="V1281" s="2" t="s">
        <v>332</v>
      </c>
      <c r="W1281" s="2" t="s">
        <v>519</v>
      </c>
      <c r="X1281" s="2" t="s">
        <v>83</v>
      </c>
      <c r="Y1281" s="2">
        <v>81.5</v>
      </c>
      <c r="Z1281" s="2">
        <v>69.2</v>
      </c>
      <c r="AA1281" s="2"/>
      <c r="AB1281" s="2" t="s">
        <v>8888</v>
      </c>
      <c r="AC1281" s="2"/>
      <c r="AD1281" s="2">
        <v>323257.44807121699</v>
      </c>
      <c r="AE1281" s="2">
        <v>0.48919893724949398</v>
      </c>
      <c r="AF1281" s="2">
        <v>77055.635385847796</v>
      </c>
      <c r="AG1281" s="2">
        <v>32327.393237828499</v>
      </c>
      <c r="AH1281" s="5">
        <v>2.38360188274258</v>
      </c>
      <c r="AI1281" s="5">
        <v>1.25314329211038</v>
      </c>
      <c r="AJ1281" s="5" t="s">
        <v>139</v>
      </c>
      <c r="AK1281" s="2">
        <v>2.17593852732062E-2</v>
      </c>
      <c r="AL1281" s="2">
        <v>0.229052252423803</v>
      </c>
      <c r="AM1281" s="2">
        <v>109318.253218406</v>
      </c>
      <c r="AN1281" s="2">
        <v>101118.74600529201</v>
      </c>
      <c r="AO1281" s="2">
        <v>53335.2220383436</v>
      </c>
      <c r="AP1281" s="2">
        <v>101841.072892964</v>
      </c>
      <c r="AQ1281" s="2">
        <v>43090.859390773701</v>
      </c>
      <c r="AR1281" s="2">
        <v>53629.6587693072</v>
      </c>
      <c r="AS1281" s="2">
        <v>70411.609662004106</v>
      </c>
      <c r="AT1281" s="2">
        <v>51469.887912789098</v>
      </c>
      <c r="AU1281" s="2">
        <v>2299.8352172700202</v>
      </c>
      <c r="AV1281" s="2">
        <v>2299.8352172700202</v>
      </c>
      <c r="AW1281" s="2">
        <v>36979.636202441798</v>
      </c>
      <c r="AX1281" s="2">
        <v>30503.555215196</v>
      </c>
    </row>
    <row r="1282" spans="1:50" x14ac:dyDescent="0.25">
      <c r="A1282" s="2" t="s">
        <v>8889</v>
      </c>
      <c r="B1282" s="2">
        <v>672.31375379747794</v>
      </c>
      <c r="C1282" s="2">
        <v>8.94478333333333</v>
      </c>
      <c r="D1282" s="2" t="s">
        <v>51</v>
      </c>
      <c r="E1282" s="2" t="s">
        <v>8890</v>
      </c>
      <c r="F1282" s="2">
        <v>53669</v>
      </c>
      <c r="G1282" s="3" t="str">
        <f>HYPERLINK("https://cloud.oebiotech.com/#/lm/network/53669", "https://cloud.oebiotech.com/#/lm/network/53669")</f>
        <v>https://cloud.oebiotech.com/#/lm/network/53669</v>
      </c>
      <c r="H1282" s="2" t="s">
        <v>8891</v>
      </c>
      <c r="I1282" s="2">
        <v>85565</v>
      </c>
      <c r="J1282" s="2"/>
      <c r="K1282" s="2">
        <v>213023</v>
      </c>
      <c r="L1282" s="2"/>
      <c r="M1282" s="2"/>
      <c r="N1282" s="2"/>
      <c r="O1282" s="2">
        <v>70746</v>
      </c>
      <c r="P1282" s="2"/>
      <c r="Q1282" s="2"/>
      <c r="R1282" s="2" t="s">
        <v>8892</v>
      </c>
      <c r="S1282" s="2" t="s">
        <v>8893</v>
      </c>
      <c r="T1282" s="2" t="s">
        <v>8894</v>
      </c>
      <c r="U1282" s="2" t="s">
        <v>266</v>
      </c>
      <c r="V1282" s="2" t="s">
        <v>2963</v>
      </c>
      <c r="W1282" s="2" t="s">
        <v>240</v>
      </c>
      <c r="X1282" s="2" t="s">
        <v>147</v>
      </c>
      <c r="Y1282" s="2">
        <v>40.799999999999997</v>
      </c>
      <c r="Z1282" s="2">
        <v>18.3</v>
      </c>
      <c r="AA1282" s="2" t="s">
        <v>218</v>
      </c>
      <c r="AB1282" s="2" t="s">
        <v>8895</v>
      </c>
      <c r="AC1282" s="2">
        <v>-2.1783547574407498</v>
      </c>
      <c r="AD1282" s="2"/>
      <c r="AE1282" s="2">
        <v>0.48880673914285799</v>
      </c>
      <c r="AF1282" s="2">
        <v>31110.9018596348</v>
      </c>
      <c r="AG1282" s="2">
        <v>24150.746012313699</v>
      </c>
      <c r="AH1282" s="5">
        <v>1.28819630846071</v>
      </c>
      <c r="AI1282" s="5">
        <v>0.36535246275548</v>
      </c>
      <c r="AJ1282" s="5" t="s">
        <v>139</v>
      </c>
      <c r="AK1282" s="2">
        <v>0.13375788056021401</v>
      </c>
      <c r="AL1282" s="2">
        <v>0.45430236663958301</v>
      </c>
      <c r="AM1282" s="2">
        <v>37713.815401558197</v>
      </c>
      <c r="AN1282" s="2">
        <v>35656.443362735299</v>
      </c>
      <c r="AO1282" s="2">
        <v>24006.2867964221</v>
      </c>
      <c r="AP1282" s="2">
        <v>27820.394496398199</v>
      </c>
      <c r="AQ1282" s="2">
        <v>27523.760915814099</v>
      </c>
      <c r="AR1282" s="2">
        <v>33944.7101848807</v>
      </c>
      <c r="AS1282" s="2">
        <v>27709.745171623301</v>
      </c>
      <c r="AT1282" s="2">
        <v>16985.7502950612</v>
      </c>
      <c r="AU1282" s="2">
        <v>39858.996239493099</v>
      </c>
      <c r="AV1282" s="2">
        <v>21355.249123225502</v>
      </c>
      <c r="AW1282" s="2">
        <v>15172.6971047224</v>
      </c>
      <c r="AX1282" s="2">
        <v>23822.0381397567</v>
      </c>
    </row>
    <row r="1283" spans="1:50" x14ac:dyDescent="0.25">
      <c r="A1283" s="2" t="s">
        <v>8896</v>
      </c>
      <c r="B1283" s="2">
        <v>213.08767618745799</v>
      </c>
      <c r="C1283" s="2">
        <v>3.6690166666666699</v>
      </c>
      <c r="D1283" s="2" t="s">
        <v>51</v>
      </c>
      <c r="E1283" s="2" t="s">
        <v>8897</v>
      </c>
      <c r="F1283" s="2">
        <v>202563</v>
      </c>
      <c r="G1283" s="3" t="str">
        <f>HYPERLINK("https://cloud.oebiotech.com/#/lm/network/202563", "https://cloud.oebiotech.com/#/lm/network/202563")</f>
        <v>https://cloud.oebiotech.com/#/lm/network/202563</v>
      </c>
      <c r="H1283" s="2" t="s">
        <v>8898</v>
      </c>
      <c r="I1283" s="2"/>
      <c r="J1283" s="2"/>
      <c r="K1283" s="2">
        <v>92743</v>
      </c>
      <c r="L1283" s="2"/>
      <c r="M1283" s="2"/>
      <c r="N1283" s="2"/>
      <c r="O1283" s="2"/>
      <c r="P1283" s="2"/>
      <c r="Q1283" s="2"/>
      <c r="R1283" s="2"/>
      <c r="S1283" s="2" t="s">
        <v>8899</v>
      </c>
      <c r="T1283" s="2" t="s">
        <v>8900</v>
      </c>
      <c r="U1283" s="2" t="s">
        <v>610</v>
      </c>
      <c r="V1283" s="2" t="s">
        <v>611</v>
      </c>
      <c r="W1283" s="2" t="s">
        <v>8369</v>
      </c>
      <c r="X1283" s="2" t="s">
        <v>147</v>
      </c>
      <c r="Y1283" s="2">
        <v>38.799999999999997</v>
      </c>
      <c r="Z1283" s="2">
        <v>6.25</v>
      </c>
      <c r="AA1283" s="2" t="s">
        <v>60</v>
      </c>
      <c r="AB1283" s="2" t="s">
        <v>8901</v>
      </c>
      <c r="AC1283" s="2">
        <v>3.26708664405264</v>
      </c>
      <c r="AD1283" s="2"/>
      <c r="AE1283" s="2">
        <v>0.488304648361086</v>
      </c>
      <c r="AF1283" s="2">
        <v>16502.4671888618</v>
      </c>
      <c r="AG1283" s="2">
        <v>7120.7388211304797</v>
      </c>
      <c r="AH1283" s="5">
        <v>2.3175217633163898</v>
      </c>
      <c r="AI1283" s="5">
        <v>1.21258288693331</v>
      </c>
      <c r="AJ1283" s="5" t="s">
        <v>139</v>
      </c>
      <c r="AK1283" s="2">
        <v>0.45880108388912699</v>
      </c>
      <c r="AL1283" s="2">
        <v>0.70929339009649395</v>
      </c>
      <c r="AM1283" s="2">
        <v>6430.3586304230203</v>
      </c>
      <c r="AN1283" s="2">
        <v>35500.254109590402</v>
      </c>
      <c r="AO1283" s="2">
        <v>57084.190367477699</v>
      </c>
      <c r="AP1283" s="2">
        <v>8.559877937157E-6</v>
      </c>
      <c r="AQ1283" s="2">
        <v>8.559877937157E-6</v>
      </c>
      <c r="AR1283" s="2">
        <v>8.559877937157E-6</v>
      </c>
      <c r="AS1283" s="2">
        <v>8.559877937157E-6</v>
      </c>
      <c r="AT1283" s="2">
        <v>8.559877937157E-6</v>
      </c>
      <c r="AU1283" s="2">
        <v>42724.4328839835</v>
      </c>
      <c r="AV1283" s="2">
        <v>8.559877937157E-6</v>
      </c>
      <c r="AW1283" s="2">
        <v>8.559877937157E-6</v>
      </c>
      <c r="AX1283" s="2">
        <v>8.559877937157E-6</v>
      </c>
    </row>
    <row r="1284" spans="1:50" x14ac:dyDescent="0.25">
      <c r="A1284" s="2" t="s">
        <v>8902</v>
      </c>
      <c r="B1284" s="2">
        <v>217.11884398452</v>
      </c>
      <c r="C1284" s="2">
        <v>0.72640000000000005</v>
      </c>
      <c r="D1284" s="2" t="s">
        <v>51</v>
      </c>
      <c r="E1284" s="2" t="s">
        <v>8903</v>
      </c>
      <c r="F1284" s="2">
        <v>276620</v>
      </c>
      <c r="G1284" s="3" t="str">
        <f>HYPERLINK("https://cloud.oebiotech.com/#/lm/network/276620", "https://cloud.oebiotech.com/#/lm/network/276620")</f>
        <v>https://cloud.oebiotech.com/#/lm/network/276620</v>
      </c>
      <c r="H1284" s="2"/>
      <c r="I1284" s="2">
        <v>68140</v>
      </c>
      <c r="J1284" s="2"/>
      <c r="K1284" s="2">
        <v>176662</v>
      </c>
      <c r="L1284" s="2" t="s">
        <v>8904</v>
      </c>
      <c r="M1284" s="2"/>
      <c r="N1284" s="2"/>
      <c r="O1284" s="2"/>
      <c r="P1284" s="2"/>
      <c r="Q1284" s="2"/>
      <c r="R1284" s="2" t="s">
        <v>8905</v>
      </c>
      <c r="S1284" s="2" t="s">
        <v>8906</v>
      </c>
      <c r="T1284" s="2" t="s">
        <v>8907</v>
      </c>
      <c r="U1284" s="2" t="s">
        <v>266</v>
      </c>
      <c r="V1284" s="2" t="s">
        <v>8513</v>
      </c>
      <c r="W1284" s="2" t="s">
        <v>8514</v>
      </c>
      <c r="X1284" s="2" t="s">
        <v>83</v>
      </c>
      <c r="Y1284" s="2">
        <v>38.9</v>
      </c>
      <c r="Z1284" s="2">
        <v>0</v>
      </c>
      <c r="AA1284" s="2" t="s">
        <v>478</v>
      </c>
      <c r="AB1284" s="2" t="s">
        <v>8908</v>
      </c>
      <c r="AC1284" s="2">
        <v>-8.5915669125392995</v>
      </c>
      <c r="AD1284" s="2"/>
      <c r="AE1284" s="2">
        <v>0.48786149695176001</v>
      </c>
      <c r="AF1284" s="2">
        <v>31053.245303793599</v>
      </c>
      <c r="AG1284" s="2">
        <v>21942.7691426846</v>
      </c>
      <c r="AH1284" s="5">
        <v>1.4151926359825999</v>
      </c>
      <c r="AI1284" s="5">
        <v>0.50099844603316601</v>
      </c>
      <c r="AJ1284" s="5" t="s">
        <v>139</v>
      </c>
      <c r="AK1284" s="2">
        <v>0.37297816559766001</v>
      </c>
      <c r="AL1284" s="2">
        <v>0.65472164164869395</v>
      </c>
      <c r="AM1284" s="2">
        <v>62789.8454645327</v>
      </c>
      <c r="AN1284" s="2">
        <v>13697.258773101001</v>
      </c>
      <c r="AO1284" s="2">
        <v>18491.570683107198</v>
      </c>
      <c r="AP1284" s="2">
        <v>45317.341830199301</v>
      </c>
      <c r="AQ1284" s="2">
        <v>28212.982370485501</v>
      </c>
      <c r="AR1284" s="2">
        <v>17810.472701336101</v>
      </c>
      <c r="AS1284" s="2">
        <v>6128.3207665078598</v>
      </c>
      <c r="AT1284" s="2">
        <v>17684.388756879998</v>
      </c>
      <c r="AU1284" s="2">
        <v>48456.460532172801</v>
      </c>
      <c r="AV1284" s="2">
        <v>23531.0152125282</v>
      </c>
      <c r="AW1284" s="2">
        <v>19273.280296177902</v>
      </c>
      <c r="AX1284" s="2">
        <v>16583.149291841099</v>
      </c>
    </row>
    <row r="1285" spans="1:50" x14ac:dyDescent="0.25">
      <c r="A1285" s="2" t="s">
        <v>8909</v>
      </c>
      <c r="B1285" s="2">
        <v>443.25720539156799</v>
      </c>
      <c r="C1285" s="2">
        <v>6.8612500000000001</v>
      </c>
      <c r="D1285" s="2" t="s">
        <v>51</v>
      </c>
      <c r="E1285" s="2" t="s">
        <v>8910</v>
      </c>
      <c r="F1285" s="2">
        <v>26110</v>
      </c>
      <c r="G1285" s="3" t="str">
        <f>HYPERLINK("https://cloud.oebiotech.com/#/lm/network/26110", "https://cloud.oebiotech.com/#/lm/network/26110")</f>
        <v>https://cloud.oebiotech.com/#/lm/network/26110</v>
      </c>
      <c r="H1285" s="2"/>
      <c r="I1285" s="2">
        <v>46751</v>
      </c>
      <c r="J1285" s="2" t="s">
        <v>8911</v>
      </c>
      <c r="K1285" s="2">
        <v>11705814</v>
      </c>
      <c r="L1285" s="2" t="s">
        <v>8912</v>
      </c>
      <c r="M1285" s="2" t="s">
        <v>8913</v>
      </c>
      <c r="N1285" s="2" t="s">
        <v>8914</v>
      </c>
      <c r="O1285" s="2">
        <v>16206</v>
      </c>
      <c r="P1285" s="2"/>
      <c r="Q1285" s="2"/>
      <c r="R1285" s="2"/>
      <c r="S1285" s="2" t="s">
        <v>8915</v>
      </c>
      <c r="T1285" s="2" t="s">
        <v>8916</v>
      </c>
      <c r="U1285" s="2" t="s">
        <v>56</v>
      </c>
      <c r="V1285" s="2" t="s">
        <v>177</v>
      </c>
      <c r="W1285" s="2" t="s">
        <v>178</v>
      </c>
      <c r="X1285" s="2" t="s">
        <v>147</v>
      </c>
      <c r="Y1285" s="2">
        <v>39</v>
      </c>
      <c r="Z1285" s="2">
        <v>0</v>
      </c>
      <c r="AA1285" s="2" t="s">
        <v>163</v>
      </c>
      <c r="AB1285" s="2" t="s">
        <v>8917</v>
      </c>
      <c r="AC1285" s="2">
        <v>0.91423403385999302</v>
      </c>
      <c r="AD1285" s="2"/>
      <c r="AE1285" s="2">
        <v>0.48747677437047898</v>
      </c>
      <c r="AF1285" s="2">
        <v>16778.116961792301</v>
      </c>
      <c r="AG1285" s="2">
        <v>248.71557589577699</v>
      </c>
      <c r="AH1285" s="5">
        <v>67.459051976797198</v>
      </c>
      <c r="AI1285" s="5">
        <v>6.0759401387402301</v>
      </c>
      <c r="AJ1285" s="5" t="s">
        <v>139</v>
      </c>
      <c r="AK1285" s="2">
        <v>0.26424527384184898</v>
      </c>
      <c r="AL1285" s="2">
        <v>0.58625717144957401</v>
      </c>
      <c r="AM1285" s="2">
        <v>84.182527859111502</v>
      </c>
      <c r="AN1285" s="2">
        <v>8.559877937157E-6</v>
      </c>
      <c r="AO1285" s="2">
        <v>8.559877937157E-6</v>
      </c>
      <c r="AP1285" s="2">
        <v>8.559877937157E-6</v>
      </c>
      <c r="AQ1285" s="2">
        <v>85565.132065527505</v>
      </c>
      <c r="AR1285" s="2">
        <v>15019.387151687501</v>
      </c>
      <c r="AS1285" s="2">
        <v>8.559877937157E-6</v>
      </c>
      <c r="AT1285" s="2">
        <v>8.559877937157E-6</v>
      </c>
      <c r="AU1285" s="2">
        <v>493.90933958239901</v>
      </c>
      <c r="AV1285" s="2">
        <v>998.38408155275397</v>
      </c>
      <c r="AW1285" s="2">
        <v>8.559877937157E-6</v>
      </c>
      <c r="AX1285" s="2">
        <v>8.559877937157E-6</v>
      </c>
    </row>
    <row r="1286" spans="1:50" x14ac:dyDescent="0.25">
      <c r="A1286" s="2" t="s">
        <v>8918</v>
      </c>
      <c r="B1286" s="2">
        <v>423.12753286860999</v>
      </c>
      <c r="C1286" s="2">
        <v>4.8935333333333304</v>
      </c>
      <c r="D1286" s="2" t="s">
        <v>51</v>
      </c>
      <c r="E1286" s="2" t="s">
        <v>8919</v>
      </c>
      <c r="F1286" s="2">
        <v>60531</v>
      </c>
      <c r="G1286" s="3" t="str">
        <f>HYPERLINK("https://cloud.oebiotech.com/#/lm/network/60531", "https://cloud.oebiotech.com/#/lm/network/60531")</f>
        <v>https://cloud.oebiotech.com/#/lm/network/60531</v>
      </c>
      <c r="H1286" s="2" t="s">
        <v>8920</v>
      </c>
      <c r="I1286" s="2"/>
      <c r="J1286" s="2"/>
      <c r="K1286" s="2">
        <v>161120</v>
      </c>
      <c r="L1286" s="2" t="s">
        <v>8921</v>
      </c>
      <c r="M1286" s="2"/>
      <c r="N1286" s="2"/>
      <c r="O1286" s="2"/>
      <c r="P1286" s="2"/>
      <c r="Q1286" s="2"/>
      <c r="R1286" s="2" t="s">
        <v>8922</v>
      </c>
      <c r="S1286" s="2" t="s">
        <v>8923</v>
      </c>
      <c r="T1286" s="2" t="s">
        <v>8924</v>
      </c>
      <c r="U1286" s="2" t="s">
        <v>56</v>
      </c>
      <c r="V1286" s="2" t="s">
        <v>177</v>
      </c>
      <c r="W1286" s="2" t="s">
        <v>806</v>
      </c>
      <c r="X1286" s="2" t="s">
        <v>147</v>
      </c>
      <c r="Y1286" s="2">
        <v>37.799999999999997</v>
      </c>
      <c r="Z1286" s="2">
        <v>0</v>
      </c>
      <c r="AA1286" s="2" t="s">
        <v>179</v>
      </c>
      <c r="AB1286" s="2" t="s">
        <v>8925</v>
      </c>
      <c r="AC1286" s="2">
        <v>-2.3639875254413099</v>
      </c>
      <c r="AD1286" s="2"/>
      <c r="AE1286" s="2">
        <v>0.487222639176704</v>
      </c>
      <c r="AF1286" s="2">
        <v>2925.38356303411</v>
      </c>
      <c r="AG1286" s="2">
        <v>9854.9724013110808</v>
      </c>
      <c r="AH1286" s="4">
        <v>0.296843404923684</v>
      </c>
      <c r="AI1286" s="4">
        <v>-1.75222603429751</v>
      </c>
      <c r="AJ1286" s="4" t="s">
        <v>62</v>
      </c>
      <c r="AK1286" s="2">
        <v>4.2082276688752501E-2</v>
      </c>
      <c r="AL1286" s="2">
        <v>0.29293759539812297</v>
      </c>
      <c r="AM1286" s="2">
        <v>2970.8090865733102</v>
      </c>
      <c r="AN1286" s="2">
        <v>1974.05238098358</v>
      </c>
      <c r="AO1286" s="2">
        <v>2683.6486192654102</v>
      </c>
      <c r="AP1286" s="2">
        <v>8.559877937157E-6</v>
      </c>
      <c r="AQ1286" s="2">
        <v>1045.07058609256</v>
      </c>
      <c r="AR1286" s="2">
        <v>8878.7206967299408</v>
      </c>
      <c r="AS1286" s="2">
        <v>6479.2000645277403</v>
      </c>
      <c r="AT1286" s="2">
        <v>8234.7751247342294</v>
      </c>
      <c r="AU1286" s="2">
        <v>9963.7568234215105</v>
      </c>
      <c r="AV1286" s="2">
        <v>8226.9867360679109</v>
      </c>
      <c r="AW1286" s="2">
        <v>22574.2478327397</v>
      </c>
      <c r="AX1286" s="2">
        <v>3650.86782637537</v>
      </c>
    </row>
    <row r="1287" spans="1:50" x14ac:dyDescent="0.25">
      <c r="A1287" s="2" t="s">
        <v>8926</v>
      </c>
      <c r="B1287" s="2">
        <v>752.37138887073297</v>
      </c>
      <c r="C1287" s="2">
        <v>3.9009</v>
      </c>
      <c r="D1287" s="2" t="s">
        <v>51</v>
      </c>
      <c r="E1287" s="2" t="s">
        <v>8927</v>
      </c>
      <c r="F1287" s="2">
        <v>28001</v>
      </c>
      <c r="G1287" s="3" t="str">
        <f>HYPERLINK("https://cloud.oebiotech.com/#/lm/network/28001", "https://cloud.oebiotech.com/#/lm/network/28001")</f>
        <v>https://cloud.oebiotech.com/#/lm/network/28001</v>
      </c>
      <c r="H1287" s="2"/>
      <c r="I1287" s="2"/>
      <c r="J1287" s="2" t="s">
        <v>8928</v>
      </c>
      <c r="K1287" s="2">
        <v>134812448</v>
      </c>
      <c r="L1287" s="2"/>
      <c r="M1287" s="2"/>
      <c r="N1287" s="2"/>
      <c r="O1287" s="2"/>
      <c r="P1287" s="2"/>
      <c r="Q1287" s="2"/>
      <c r="R1287" s="2"/>
      <c r="S1287" s="2" t="s">
        <v>8929</v>
      </c>
      <c r="T1287" s="2" t="s">
        <v>8930</v>
      </c>
      <c r="U1287" s="2" t="s">
        <v>56</v>
      </c>
      <c r="V1287" s="2" t="s">
        <v>57</v>
      </c>
      <c r="W1287" s="2" t="s">
        <v>1097</v>
      </c>
      <c r="X1287" s="2" t="s">
        <v>147</v>
      </c>
      <c r="Y1287" s="2">
        <v>36.299999999999997</v>
      </c>
      <c r="Z1287" s="2">
        <v>0</v>
      </c>
      <c r="AA1287" s="2" t="s">
        <v>122</v>
      </c>
      <c r="AB1287" s="2" t="s">
        <v>8931</v>
      </c>
      <c r="AC1287" s="2">
        <v>-4.5444224091518599</v>
      </c>
      <c r="AD1287" s="2"/>
      <c r="AE1287" s="2">
        <v>0.48700876562026302</v>
      </c>
      <c r="AF1287" s="2">
        <v>1799.7649529559601</v>
      </c>
      <c r="AG1287" s="2">
        <v>13566.9418541819</v>
      </c>
      <c r="AH1287" s="4">
        <v>0.13265811649374701</v>
      </c>
      <c r="AI1287" s="4">
        <v>-2.91421514742439</v>
      </c>
      <c r="AJ1287" s="4" t="s">
        <v>62</v>
      </c>
      <c r="AK1287" s="2">
        <v>0.40138322929374398</v>
      </c>
      <c r="AL1287" s="2">
        <v>0.66938545851599895</v>
      </c>
      <c r="AM1287" s="2">
        <v>4048.82221427477</v>
      </c>
      <c r="AN1287" s="2">
        <v>8.559877937157E-6</v>
      </c>
      <c r="AO1287" s="2">
        <v>8.559877937157E-6</v>
      </c>
      <c r="AP1287" s="2">
        <v>8.559877937157E-6</v>
      </c>
      <c r="AQ1287" s="2">
        <v>2993.5254777422101</v>
      </c>
      <c r="AR1287" s="2">
        <v>3756.2420000391498</v>
      </c>
      <c r="AS1287" s="2">
        <v>8.559877937157E-6</v>
      </c>
      <c r="AT1287" s="2">
        <v>488.56605346882299</v>
      </c>
      <c r="AU1287" s="2">
        <v>8.559877937157E-6</v>
      </c>
      <c r="AV1287" s="2">
        <v>80575.969273745097</v>
      </c>
      <c r="AW1287" s="2">
        <v>8.559877937157E-6</v>
      </c>
      <c r="AX1287" s="2">
        <v>337.11577219802302</v>
      </c>
    </row>
    <row r="1288" spans="1:50" x14ac:dyDescent="0.25">
      <c r="A1288" s="2" t="s">
        <v>8932</v>
      </c>
      <c r="B1288" s="2">
        <v>404.28061513955601</v>
      </c>
      <c r="C1288" s="2">
        <v>9.2584999999999997</v>
      </c>
      <c r="D1288" s="2" t="s">
        <v>51</v>
      </c>
      <c r="E1288" s="2" t="s">
        <v>8933</v>
      </c>
      <c r="F1288" s="2">
        <v>46105</v>
      </c>
      <c r="G1288" s="3" t="str">
        <f>HYPERLINK("https://cloud.oebiotech.com/#/lm/network/46105", "https://cloud.oebiotech.com/#/lm/network/46105")</f>
        <v>https://cloud.oebiotech.com/#/lm/network/46105</v>
      </c>
      <c r="H1288" s="2" t="s">
        <v>8934</v>
      </c>
      <c r="I1288" s="2">
        <v>84558</v>
      </c>
      <c r="J1288" s="2" t="s">
        <v>8935</v>
      </c>
      <c r="K1288" s="2">
        <v>166839</v>
      </c>
      <c r="L1288" s="2" t="s">
        <v>8936</v>
      </c>
      <c r="M1288" s="2"/>
      <c r="N1288" s="2"/>
      <c r="O1288" s="2">
        <v>49270</v>
      </c>
      <c r="P1288" s="2"/>
      <c r="Q1288" s="2"/>
      <c r="R1288" s="2"/>
      <c r="S1288" s="2" t="s">
        <v>8937</v>
      </c>
      <c r="T1288" s="2" t="s">
        <v>8938</v>
      </c>
      <c r="U1288" s="2" t="s">
        <v>56</v>
      </c>
      <c r="V1288" s="2" t="s">
        <v>283</v>
      </c>
      <c r="W1288" s="2" t="s">
        <v>2042</v>
      </c>
      <c r="X1288" s="2" t="s">
        <v>59</v>
      </c>
      <c r="Y1288" s="2">
        <v>47.3</v>
      </c>
      <c r="Z1288" s="2">
        <v>46.6</v>
      </c>
      <c r="AA1288" s="2" t="s">
        <v>512</v>
      </c>
      <c r="AB1288" s="2" t="s">
        <v>8939</v>
      </c>
      <c r="AC1288" s="2">
        <v>2.7962535483171398</v>
      </c>
      <c r="AD1288" s="2"/>
      <c r="AE1288" s="2">
        <v>0.48643271723517501</v>
      </c>
      <c r="AF1288" s="2">
        <v>9328.7410188455597</v>
      </c>
      <c r="AG1288" s="2">
        <v>2953.06619749322</v>
      </c>
      <c r="AH1288" s="5">
        <v>3.1590016596188999</v>
      </c>
      <c r="AI1288" s="5">
        <v>1.6594686950219</v>
      </c>
      <c r="AJ1288" s="5" t="s">
        <v>139</v>
      </c>
      <c r="AK1288" s="2">
        <v>7.5468028333802506E-2</v>
      </c>
      <c r="AL1288" s="2">
        <v>0.35933708527399399</v>
      </c>
      <c r="AM1288" s="2">
        <v>19401.9735017897</v>
      </c>
      <c r="AN1288" s="2">
        <v>3719.7175105084698</v>
      </c>
      <c r="AO1288" s="2">
        <v>3230.3086878551999</v>
      </c>
      <c r="AP1288" s="2">
        <v>3747.85476910737</v>
      </c>
      <c r="AQ1288" s="2">
        <v>18619.829115782901</v>
      </c>
      <c r="AR1288" s="2">
        <v>7252.7625280297098</v>
      </c>
      <c r="AS1288" s="2">
        <v>5366.1441283350496</v>
      </c>
      <c r="AT1288" s="2">
        <v>4424.9714699310098</v>
      </c>
      <c r="AU1288" s="2">
        <v>2331.4599680390002</v>
      </c>
      <c r="AV1288" s="2">
        <v>872.05902458017397</v>
      </c>
      <c r="AW1288" s="2">
        <v>821.75703544286705</v>
      </c>
      <c r="AX1288" s="2">
        <v>3902.0055586312201</v>
      </c>
    </row>
    <row r="1289" spans="1:50" x14ac:dyDescent="0.25">
      <c r="A1289" s="2" t="s">
        <v>8940</v>
      </c>
      <c r="B1289" s="2">
        <v>400.98296261744798</v>
      </c>
      <c r="C1289" s="2">
        <v>5.5480499999999999</v>
      </c>
      <c r="D1289" s="2" t="s">
        <v>51</v>
      </c>
      <c r="E1289" s="2" t="s">
        <v>8941</v>
      </c>
      <c r="F1289" s="2">
        <v>210185</v>
      </c>
      <c r="G1289" s="3" t="str">
        <f>HYPERLINK("https://cloud.oebiotech.com/#/lm/network/210185", "https://cloud.oebiotech.com/#/lm/network/210185")</f>
        <v>https://cloud.oebiotech.com/#/lm/network/210185</v>
      </c>
      <c r="H1289" s="2" t="s">
        <v>8942</v>
      </c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 t="s">
        <v>8943</v>
      </c>
      <c r="T1289" s="2" t="s">
        <v>8944</v>
      </c>
      <c r="U1289" s="2" t="s">
        <v>1357</v>
      </c>
      <c r="V1289" s="2" t="s">
        <v>4878</v>
      </c>
      <c r="W1289" s="2" t="s">
        <v>8945</v>
      </c>
      <c r="X1289" s="2" t="s">
        <v>147</v>
      </c>
      <c r="Y1289" s="2">
        <v>38.799999999999997</v>
      </c>
      <c r="Z1289" s="2">
        <v>0</v>
      </c>
      <c r="AA1289" s="2" t="s">
        <v>259</v>
      </c>
      <c r="AB1289" s="2" t="s">
        <v>8946</v>
      </c>
      <c r="AC1289" s="2">
        <v>3.0868607822373502</v>
      </c>
      <c r="AD1289" s="2"/>
      <c r="AE1289" s="2">
        <v>0.486416494033799</v>
      </c>
      <c r="AF1289" s="2">
        <v>18383.511554622401</v>
      </c>
      <c r="AG1289" s="2">
        <v>7027.4187153472403</v>
      </c>
      <c r="AH1289" s="5">
        <v>2.6159692910391801</v>
      </c>
      <c r="AI1289" s="5">
        <v>1.38734560508465</v>
      </c>
      <c r="AJ1289" s="5" t="s">
        <v>139</v>
      </c>
      <c r="AK1289" s="2">
        <v>0.22274872638906301</v>
      </c>
      <c r="AL1289" s="2">
        <v>0.54873825251944697</v>
      </c>
      <c r="AM1289" s="2">
        <v>9962.0834988424594</v>
      </c>
      <c r="AN1289" s="2">
        <v>24763.117925420102</v>
      </c>
      <c r="AO1289" s="2">
        <v>4141.1086553741998</v>
      </c>
      <c r="AP1289" s="2">
        <v>43849.696109109304</v>
      </c>
      <c r="AQ1289" s="2">
        <v>5903.7488096875504</v>
      </c>
      <c r="AR1289" s="2">
        <v>21681.314329300702</v>
      </c>
      <c r="AS1289" s="2">
        <v>8.559877937157E-6</v>
      </c>
      <c r="AT1289" s="2">
        <v>38037.602898782898</v>
      </c>
      <c r="AU1289" s="2">
        <v>1625.53175818926</v>
      </c>
      <c r="AV1289" s="2">
        <v>2501.3776094316299</v>
      </c>
      <c r="AW1289" s="2">
        <v>8.559877937157E-6</v>
      </c>
      <c r="AX1289" s="2">
        <v>8.559877937157E-6</v>
      </c>
    </row>
    <row r="1290" spans="1:50" x14ac:dyDescent="0.25">
      <c r="A1290" s="2" t="s">
        <v>8947</v>
      </c>
      <c r="B1290" s="2">
        <v>463.00319422466799</v>
      </c>
      <c r="C1290" s="2">
        <v>12.383366666666699</v>
      </c>
      <c r="D1290" s="2" t="s">
        <v>51</v>
      </c>
      <c r="E1290" s="2" t="s">
        <v>8948</v>
      </c>
      <c r="F1290" s="2">
        <v>257646</v>
      </c>
      <c r="G1290" s="3" t="str">
        <f>HYPERLINK("https://cloud.oebiotech.com/#/lm/network/257646", "https://cloud.oebiotech.com/#/lm/network/257646")</f>
        <v>https://cloud.oebiotech.com/#/lm/network/257646</v>
      </c>
      <c r="H1290" s="2" t="s">
        <v>8949</v>
      </c>
      <c r="I1290" s="2"/>
      <c r="J1290" s="2"/>
      <c r="K1290" s="2">
        <v>129846758</v>
      </c>
      <c r="L1290" s="2"/>
      <c r="M1290" s="2"/>
      <c r="N1290" s="2"/>
      <c r="O1290" s="2">
        <v>149607</v>
      </c>
      <c r="P1290" s="2"/>
      <c r="Q1290" s="2"/>
      <c r="R1290" s="2"/>
      <c r="S1290" s="2" t="s">
        <v>8950</v>
      </c>
      <c r="T1290" s="2" t="s">
        <v>8951</v>
      </c>
      <c r="U1290" s="2" t="s">
        <v>610</v>
      </c>
      <c r="V1290" s="2" t="s">
        <v>895</v>
      </c>
      <c r="W1290" s="2" t="s">
        <v>919</v>
      </c>
      <c r="X1290" s="2" t="s">
        <v>147</v>
      </c>
      <c r="Y1290" s="2">
        <v>36.299999999999997</v>
      </c>
      <c r="Z1290" s="2">
        <v>0</v>
      </c>
      <c r="AA1290" s="2" t="s">
        <v>478</v>
      </c>
      <c r="AB1290" s="2" t="s">
        <v>4145</v>
      </c>
      <c r="AC1290" s="2">
        <v>4.6393755127960201</v>
      </c>
      <c r="AD1290" s="2"/>
      <c r="AE1290" s="2">
        <v>0.48623372851846502</v>
      </c>
      <c r="AF1290" s="2">
        <v>24054.6342879066</v>
      </c>
      <c r="AG1290" s="2">
        <v>28672.597273575499</v>
      </c>
      <c r="AH1290" s="4">
        <v>0.83894158796961005</v>
      </c>
      <c r="AI1290" s="4">
        <v>-0.25335772960988601</v>
      </c>
      <c r="AJ1290" s="4" t="s">
        <v>62</v>
      </c>
      <c r="AK1290" s="2">
        <v>1.07839812789638E-2</v>
      </c>
      <c r="AL1290" s="2">
        <v>0.16592979635359201</v>
      </c>
      <c r="AM1290" s="2">
        <v>21337.873831527701</v>
      </c>
      <c r="AN1290" s="2">
        <v>21708.081197129399</v>
      </c>
      <c r="AO1290" s="2">
        <v>23982.509059997101</v>
      </c>
      <c r="AP1290" s="2">
        <v>27383.9246298691</v>
      </c>
      <c r="AQ1290" s="2">
        <v>24848.267613583699</v>
      </c>
      <c r="AR1290" s="2">
        <v>25067.149395332501</v>
      </c>
      <c r="AS1290" s="2">
        <v>27185.266826803901</v>
      </c>
      <c r="AT1290" s="2">
        <v>29770.329294168601</v>
      </c>
      <c r="AU1290" s="2">
        <v>24259.277366453502</v>
      </c>
      <c r="AV1290" s="2">
        <v>28691.229569831401</v>
      </c>
      <c r="AW1290" s="2">
        <v>32729.968774634701</v>
      </c>
      <c r="AX1290" s="2">
        <v>29399.511809561202</v>
      </c>
    </row>
    <row r="1291" spans="1:50" x14ac:dyDescent="0.25">
      <c r="A1291" s="2" t="s">
        <v>8952</v>
      </c>
      <c r="B1291" s="2">
        <v>465.35901696362401</v>
      </c>
      <c r="C1291" s="2">
        <v>11.615016666666699</v>
      </c>
      <c r="D1291" s="2" t="s">
        <v>51</v>
      </c>
      <c r="E1291" s="2" t="s">
        <v>8953</v>
      </c>
      <c r="F1291" s="2">
        <v>43577</v>
      </c>
      <c r="G1291" s="3" t="str">
        <f>HYPERLINK("https://cloud.oebiotech.com/#/lm/network/43577", "https://cloud.oebiotech.com/#/lm/network/43577")</f>
        <v>https://cloud.oebiotech.com/#/lm/network/43577</v>
      </c>
      <c r="H1291" s="2" t="s">
        <v>8954</v>
      </c>
      <c r="I1291" s="2"/>
      <c r="J1291" s="2" t="s">
        <v>8955</v>
      </c>
      <c r="K1291" s="2">
        <v>44263325</v>
      </c>
      <c r="L1291" s="2"/>
      <c r="M1291" s="2"/>
      <c r="N1291" s="2"/>
      <c r="O1291" s="2"/>
      <c r="P1291" s="2"/>
      <c r="Q1291" s="2"/>
      <c r="R1291" s="2"/>
      <c r="S1291" s="2" t="s">
        <v>8956</v>
      </c>
      <c r="T1291" s="2" t="s">
        <v>8957</v>
      </c>
      <c r="U1291" s="2" t="s">
        <v>56</v>
      </c>
      <c r="V1291" s="2" t="s">
        <v>283</v>
      </c>
      <c r="W1291" s="2" t="s">
        <v>1108</v>
      </c>
      <c r="X1291" s="2" t="s">
        <v>59</v>
      </c>
      <c r="Y1291" s="2">
        <v>51.3</v>
      </c>
      <c r="Z1291" s="2">
        <v>70.400000000000006</v>
      </c>
      <c r="AA1291" s="2" t="s">
        <v>60</v>
      </c>
      <c r="AB1291" s="2" t="s">
        <v>8958</v>
      </c>
      <c r="AC1291" s="2">
        <v>3.3722275764099798</v>
      </c>
      <c r="AD1291" s="2"/>
      <c r="AE1291" s="2">
        <v>0.48608834614874702</v>
      </c>
      <c r="AF1291" s="2">
        <v>58331.912937118497</v>
      </c>
      <c r="AG1291" s="2">
        <v>44428.057813621199</v>
      </c>
      <c r="AH1291" s="5">
        <v>1.3129521254749601</v>
      </c>
      <c r="AI1291" s="5">
        <v>0.392814311814145</v>
      </c>
      <c r="AJ1291" s="5" t="s">
        <v>139</v>
      </c>
      <c r="AK1291" s="2">
        <v>0.28155920777076399</v>
      </c>
      <c r="AL1291" s="2">
        <v>0.60000138164408201</v>
      </c>
      <c r="AM1291" s="2">
        <v>43206.227151474297</v>
      </c>
      <c r="AN1291" s="2">
        <v>84776.295872895003</v>
      </c>
      <c r="AO1291" s="2">
        <v>51807.446460642299</v>
      </c>
      <c r="AP1291" s="2">
        <v>81703.848551267394</v>
      </c>
      <c r="AQ1291" s="2">
        <v>47007.613075554698</v>
      </c>
      <c r="AR1291" s="2">
        <v>41490.046510877597</v>
      </c>
      <c r="AS1291" s="2">
        <v>31156.075099154699</v>
      </c>
      <c r="AT1291" s="2">
        <v>50825.5681415238</v>
      </c>
      <c r="AU1291" s="2">
        <v>37917.146571068901</v>
      </c>
      <c r="AV1291" s="2">
        <v>12557.504040522501</v>
      </c>
      <c r="AW1291" s="2">
        <v>55911.854765568598</v>
      </c>
      <c r="AX1291" s="2">
        <v>78200.198263888698</v>
      </c>
    </row>
    <row r="1292" spans="1:50" x14ac:dyDescent="0.25">
      <c r="A1292" s="2" t="s">
        <v>8959</v>
      </c>
      <c r="B1292" s="2">
        <v>217.10669999999999</v>
      </c>
      <c r="C1292" s="2">
        <v>18.809000000000001</v>
      </c>
      <c r="D1292" s="2" t="s">
        <v>125</v>
      </c>
      <c r="E1292" s="2" t="s">
        <v>8960</v>
      </c>
      <c r="F1292" s="2">
        <v>257730</v>
      </c>
      <c r="G1292" s="3" t="str">
        <f>HYPERLINK("https://cloud.oebiotech.com/#/lm/network/257730", "https://cloud.oebiotech.com/#/lm/network/257730")</f>
        <v>https://cloud.oebiotech.com/#/lm/network/257730</v>
      </c>
      <c r="H1292" s="2" t="s">
        <v>8961</v>
      </c>
      <c r="I1292" s="2">
        <v>348</v>
      </c>
      <c r="J1292" s="2"/>
      <c r="K1292" s="2">
        <v>439507</v>
      </c>
      <c r="L1292" s="2" t="s">
        <v>8962</v>
      </c>
      <c r="M1292" s="2"/>
      <c r="N1292" s="2"/>
      <c r="O1292" s="2"/>
      <c r="P1292" s="2"/>
      <c r="Q1292" s="2"/>
      <c r="R1292" s="2" t="s">
        <v>8963</v>
      </c>
      <c r="S1292" s="2" t="s">
        <v>2375</v>
      </c>
      <c r="T1292" s="2" t="s">
        <v>8964</v>
      </c>
      <c r="U1292" s="2" t="s">
        <v>331</v>
      </c>
      <c r="V1292" s="2" t="s">
        <v>332</v>
      </c>
      <c r="W1292" s="2" t="s">
        <v>333</v>
      </c>
      <c r="X1292" s="2" t="s">
        <v>69</v>
      </c>
      <c r="Y1292" s="2">
        <v>85.1</v>
      </c>
      <c r="Z1292" s="2">
        <v>94.4</v>
      </c>
      <c r="AA1292" s="2"/>
      <c r="AB1292" s="2" t="s">
        <v>1085</v>
      </c>
      <c r="AC1292" s="2"/>
      <c r="AD1292" s="2">
        <v>631231.8010027</v>
      </c>
      <c r="AE1292" s="2">
        <v>0.48586558838173799</v>
      </c>
      <c r="AF1292" s="2">
        <v>326590.72294309398</v>
      </c>
      <c r="AG1292" s="2">
        <v>155825.042235728</v>
      </c>
      <c r="AH1292" s="5">
        <v>2.0958808562300102</v>
      </c>
      <c r="AI1292" s="5">
        <v>1.0675567068507199</v>
      </c>
      <c r="AJ1292" s="5" t="s">
        <v>139</v>
      </c>
      <c r="AK1292" s="2">
        <v>0.55203487269054896</v>
      </c>
      <c r="AL1292" s="2">
        <v>0.77264014149694005</v>
      </c>
      <c r="AM1292" s="2">
        <v>29891.945822621201</v>
      </c>
      <c r="AN1292" s="2">
        <v>34356.406833172099</v>
      </c>
      <c r="AO1292" s="2">
        <v>26575.358334892098</v>
      </c>
      <c r="AP1292" s="2">
        <v>26280.492292363801</v>
      </c>
      <c r="AQ1292" s="2">
        <v>1696840.7514070801</v>
      </c>
      <c r="AR1292" s="2">
        <v>145599.382968433</v>
      </c>
      <c r="AS1292" s="2">
        <v>327054.14581408101</v>
      </c>
      <c r="AT1292" s="2">
        <v>171943.68795813201</v>
      </c>
      <c r="AU1292" s="2">
        <v>128851.547534884</v>
      </c>
      <c r="AV1292" s="2">
        <v>128797.944834325</v>
      </c>
      <c r="AW1292" s="2">
        <v>34177.914528756301</v>
      </c>
      <c r="AX1292" s="2">
        <v>144125.01274418799</v>
      </c>
    </row>
    <row r="1293" spans="1:50" x14ac:dyDescent="0.25">
      <c r="A1293" s="2" t="s">
        <v>8965</v>
      </c>
      <c r="B1293" s="2">
        <v>779.36567071732804</v>
      </c>
      <c r="C1293" s="2">
        <v>4.1298500000000002</v>
      </c>
      <c r="D1293" s="2" t="s">
        <v>51</v>
      </c>
      <c r="E1293" s="2" t="s">
        <v>8966</v>
      </c>
      <c r="F1293" s="2">
        <v>263433</v>
      </c>
      <c r="G1293" s="3" t="str">
        <f>HYPERLINK("https://cloud.oebiotech.com/#/lm/network/263433", "https://cloud.oebiotech.com/#/lm/network/263433")</f>
        <v>https://cloud.oebiotech.com/#/lm/network/263433</v>
      </c>
      <c r="H1293" s="2"/>
      <c r="I1293" s="2">
        <v>20842</v>
      </c>
      <c r="J1293" s="2"/>
      <c r="K1293" s="2">
        <v>132610065</v>
      </c>
      <c r="L1293" s="2"/>
      <c r="M1293" s="2"/>
      <c r="N1293" s="2"/>
      <c r="O1293" s="2"/>
      <c r="P1293" s="2"/>
      <c r="Q1293" s="2"/>
      <c r="R1293" s="2"/>
      <c r="S1293" s="2" t="s">
        <v>8967</v>
      </c>
      <c r="T1293" s="2" t="s">
        <v>8968</v>
      </c>
      <c r="U1293" s="2" t="s">
        <v>103</v>
      </c>
      <c r="V1293" s="2" t="s">
        <v>104</v>
      </c>
      <c r="W1293" s="2" t="s">
        <v>105</v>
      </c>
      <c r="X1293" s="2" t="s">
        <v>83</v>
      </c>
      <c r="Y1293" s="2">
        <v>39.1</v>
      </c>
      <c r="Z1293" s="2">
        <v>0</v>
      </c>
      <c r="AA1293" s="2" t="s">
        <v>478</v>
      </c>
      <c r="AB1293" s="2" t="s">
        <v>8969</v>
      </c>
      <c r="AC1293" s="2">
        <v>-9.8576924120086105</v>
      </c>
      <c r="AD1293" s="2"/>
      <c r="AE1293" s="2">
        <v>0.48581601760943199</v>
      </c>
      <c r="AF1293" s="2">
        <v>6950.3068854267503</v>
      </c>
      <c r="AG1293" s="2">
        <v>494.22685943472698</v>
      </c>
      <c r="AH1293" s="5">
        <v>14.0629889953294</v>
      </c>
      <c r="AI1293" s="5">
        <v>3.8138313571812201</v>
      </c>
      <c r="AJ1293" s="5" t="s">
        <v>139</v>
      </c>
      <c r="AK1293" s="2">
        <v>0.23818326411726801</v>
      </c>
      <c r="AL1293" s="2">
        <v>0.56226403143706405</v>
      </c>
      <c r="AM1293" s="2">
        <v>32222.8120490523</v>
      </c>
      <c r="AN1293" s="2">
        <v>1931.97787002942</v>
      </c>
      <c r="AO1293" s="2">
        <v>1271.3658437700201</v>
      </c>
      <c r="AP1293" s="2">
        <v>8.559877937157E-6</v>
      </c>
      <c r="AQ1293" s="2">
        <v>8.559877937157E-6</v>
      </c>
      <c r="AR1293" s="2">
        <v>6275.6855325890101</v>
      </c>
      <c r="AS1293" s="2">
        <v>8.559877937157E-6</v>
      </c>
      <c r="AT1293" s="2">
        <v>8.559877937157E-6</v>
      </c>
      <c r="AU1293" s="2">
        <v>423.23014146901102</v>
      </c>
      <c r="AV1293" s="2">
        <v>1378.3697876792301</v>
      </c>
      <c r="AW1293" s="2">
        <v>458.95239670790301</v>
      </c>
      <c r="AX1293" s="2">
        <v>704.80881363246203</v>
      </c>
    </row>
    <row r="1294" spans="1:50" x14ac:dyDescent="0.25">
      <c r="A1294" s="2" t="s">
        <v>8970</v>
      </c>
      <c r="B1294" s="2">
        <v>300.03950351095</v>
      </c>
      <c r="C1294" s="2">
        <v>0.70636666666666703</v>
      </c>
      <c r="D1294" s="2" t="s">
        <v>51</v>
      </c>
      <c r="E1294" s="2" t="s">
        <v>8971</v>
      </c>
      <c r="F1294" s="2">
        <v>47237</v>
      </c>
      <c r="G1294" s="3" t="str">
        <f>HYPERLINK("https://cloud.oebiotech.com/#/lm/network/47237", "https://cloud.oebiotech.com/#/lm/network/47237")</f>
        <v>https://cloud.oebiotech.com/#/lm/network/47237</v>
      </c>
      <c r="H1294" s="2" t="s">
        <v>8972</v>
      </c>
      <c r="I1294" s="2">
        <v>5778</v>
      </c>
      <c r="J1294" s="2"/>
      <c r="K1294" s="2">
        <v>440235</v>
      </c>
      <c r="L1294" s="2" t="s">
        <v>8973</v>
      </c>
      <c r="M1294" s="2"/>
      <c r="N1294" s="2"/>
      <c r="O1294" s="2">
        <v>28132</v>
      </c>
      <c r="P1294" s="2"/>
      <c r="Q1294" s="2"/>
      <c r="R1294" s="2" t="s">
        <v>8974</v>
      </c>
      <c r="S1294" s="2" t="s">
        <v>8975</v>
      </c>
      <c r="T1294" s="2" t="s">
        <v>8976</v>
      </c>
      <c r="U1294" s="2" t="s">
        <v>331</v>
      </c>
      <c r="V1294" s="2" t="s">
        <v>332</v>
      </c>
      <c r="W1294" s="2" t="s">
        <v>333</v>
      </c>
      <c r="X1294" s="2" t="s">
        <v>69</v>
      </c>
      <c r="Y1294" s="2">
        <v>43.5</v>
      </c>
      <c r="Z1294" s="2">
        <v>65.7</v>
      </c>
      <c r="AA1294" s="2" t="s">
        <v>163</v>
      </c>
      <c r="AB1294" s="2" t="s">
        <v>8977</v>
      </c>
      <c r="AC1294" s="2">
        <v>9.2613722333743098E-2</v>
      </c>
      <c r="AD1294" s="2"/>
      <c r="AE1294" s="2">
        <v>0.48564205335720401</v>
      </c>
      <c r="AF1294" s="2">
        <v>65107.859404901697</v>
      </c>
      <c r="AG1294" s="2">
        <v>49660.465002482801</v>
      </c>
      <c r="AH1294" s="5">
        <v>1.31106020456406</v>
      </c>
      <c r="AI1294" s="5">
        <v>0.39073393638478399</v>
      </c>
      <c r="AJ1294" s="5" t="s">
        <v>139</v>
      </c>
      <c r="AK1294" s="2">
        <v>0.25447528907026301</v>
      </c>
      <c r="AL1294" s="2">
        <v>0.57740713044883996</v>
      </c>
      <c r="AM1294" s="2">
        <v>55394.690756954697</v>
      </c>
      <c r="AN1294" s="2">
        <v>46548.997763567197</v>
      </c>
      <c r="AO1294" s="2">
        <v>57199.051638191297</v>
      </c>
      <c r="AP1294" s="2">
        <v>114028.658414352</v>
      </c>
      <c r="AQ1294" s="2">
        <v>68477.403904509498</v>
      </c>
      <c r="AR1294" s="2">
        <v>48998.353951835299</v>
      </c>
      <c r="AS1294" s="2">
        <v>34387.867593977498</v>
      </c>
      <c r="AT1294" s="2">
        <v>63535.083258080398</v>
      </c>
      <c r="AU1294" s="2">
        <v>63834.247648340403</v>
      </c>
      <c r="AV1294" s="2">
        <v>30411.644739941399</v>
      </c>
      <c r="AW1294" s="2">
        <v>71792.359025068305</v>
      </c>
      <c r="AX1294" s="2">
        <v>34001.587749489001</v>
      </c>
    </row>
    <row r="1295" spans="1:50" x14ac:dyDescent="0.25">
      <c r="A1295" s="2" t="s">
        <v>8978</v>
      </c>
      <c r="B1295" s="2">
        <v>648.31399395445806</v>
      </c>
      <c r="C1295" s="2">
        <v>8.2316333333333294</v>
      </c>
      <c r="D1295" s="2" t="s">
        <v>51</v>
      </c>
      <c r="E1295" s="2" t="s">
        <v>8979</v>
      </c>
      <c r="F1295" s="2">
        <v>27940</v>
      </c>
      <c r="G1295" s="3" t="str">
        <f>HYPERLINK("https://cloud.oebiotech.com/#/lm/network/27940", "https://cloud.oebiotech.com/#/lm/network/27940")</f>
        <v>https://cloud.oebiotech.com/#/lm/network/27940</v>
      </c>
      <c r="H1295" s="2"/>
      <c r="I1295" s="2"/>
      <c r="J1295" s="2" t="s">
        <v>8980</v>
      </c>
      <c r="K1295" s="2">
        <v>134812387</v>
      </c>
      <c r="L1295" s="2"/>
      <c r="M1295" s="2"/>
      <c r="N1295" s="2"/>
      <c r="O1295" s="2"/>
      <c r="P1295" s="2"/>
      <c r="Q1295" s="2"/>
      <c r="R1295" s="2"/>
      <c r="S1295" s="2" t="s">
        <v>8981</v>
      </c>
      <c r="T1295" s="2" t="s">
        <v>8982</v>
      </c>
      <c r="U1295" s="2" t="s">
        <v>56</v>
      </c>
      <c r="V1295" s="2" t="s">
        <v>57</v>
      </c>
      <c r="W1295" s="2" t="s">
        <v>82</v>
      </c>
      <c r="X1295" s="2" t="s">
        <v>147</v>
      </c>
      <c r="Y1295" s="2">
        <v>37.5</v>
      </c>
      <c r="Z1295" s="2">
        <v>0</v>
      </c>
      <c r="AA1295" s="2" t="s">
        <v>163</v>
      </c>
      <c r="AB1295" s="2" t="s">
        <v>8983</v>
      </c>
      <c r="AC1295" s="2">
        <v>-2.22131564747471</v>
      </c>
      <c r="AD1295" s="2"/>
      <c r="AE1295" s="2">
        <v>0.48485591769897302</v>
      </c>
      <c r="AF1295" s="2">
        <v>26198.782178038498</v>
      </c>
      <c r="AG1295" s="2">
        <v>17102.567973747799</v>
      </c>
      <c r="AH1295" s="5">
        <v>1.53186247926354</v>
      </c>
      <c r="AI1295" s="5">
        <v>0.61528678721730401</v>
      </c>
      <c r="AJ1295" s="5" t="s">
        <v>139</v>
      </c>
      <c r="AK1295" s="2">
        <v>0.16129656229045899</v>
      </c>
      <c r="AL1295" s="2">
        <v>0.48399353100485398</v>
      </c>
      <c r="AM1295" s="2">
        <v>21168.261913958599</v>
      </c>
      <c r="AN1295" s="2">
        <v>43440.214371044996</v>
      </c>
      <c r="AO1295" s="2">
        <v>28273.937472041402</v>
      </c>
      <c r="AP1295" s="2">
        <v>18029.553018246701</v>
      </c>
      <c r="AQ1295" s="2">
        <v>18225.6668288582</v>
      </c>
      <c r="AR1295" s="2">
        <v>28055.059464080801</v>
      </c>
      <c r="AS1295" s="2">
        <v>31591.377847425301</v>
      </c>
      <c r="AT1295" s="2">
        <v>13225.053964017899</v>
      </c>
      <c r="AU1295" s="2">
        <v>14705.0169220515</v>
      </c>
      <c r="AV1295" s="2">
        <v>7218.6280573008598</v>
      </c>
      <c r="AW1295" s="2">
        <v>5806.4421976083904</v>
      </c>
      <c r="AX1295" s="2">
        <v>30068.888854082801</v>
      </c>
    </row>
    <row r="1296" spans="1:50" x14ac:dyDescent="0.25">
      <c r="A1296" s="2" t="s">
        <v>8984</v>
      </c>
      <c r="B1296" s="2">
        <v>333.206983851384</v>
      </c>
      <c r="C1296" s="2">
        <v>8.2528666666666695</v>
      </c>
      <c r="D1296" s="2" t="s">
        <v>51</v>
      </c>
      <c r="E1296" s="2" t="s">
        <v>8985</v>
      </c>
      <c r="F1296" s="2">
        <v>200070</v>
      </c>
      <c r="G1296" s="3" t="str">
        <f>HYPERLINK("https://cloud.oebiotech.com/#/lm/network/200070", "https://cloud.oebiotech.com/#/lm/network/200070")</f>
        <v>https://cloud.oebiotech.com/#/lm/network/200070</v>
      </c>
      <c r="H1296" s="2" t="s">
        <v>8986</v>
      </c>
      <c r="I1296" s="2"/>
      <c r="J1296" s="2"/>
      <c r="K1296" s="2">
        <v>4262071</v>
      </c>
      <c r="L1296" s="2"/>
      <c r="M1296" s="2"/>
      <c r="N1296" s="2"/>
      <c r="O1296" s="2"/>
      <c r="P1296" s="2"/>
      <c r="Q1296" s="2"/>
      <c r="R1296" s="2"/>
      <c r="S1296" s="2" t="s">
        <v>8987</v>
      </c>
      <c r="T1296" s="2" t="s">
        <v>8988</v>
      </c>
      <c r="U1296" s="2" t="s">
        <v>56</v>
      </c>
      <c r="V1296" s="2" t="s">
        <v>177</v>
      </c>
      <c r="W1296" s="2" t="s">
        <v>806</v>
      </c>
      <c r="X1296" s="2" t="s">
        <v>69</v>
      </c>
      <c r="Y1296" s="2">
        <v>54.4</v>
      </c>
      <c r="Z1296" s="2">
        <v>75.3</v>
      </c>
      <c r="AA1296" s="2" t="s">
        <v>259</v>
      </c>
      <c r="AB1296" s="2" t="s">
        <v>1500</v>
      </c>
      <c r="AC1296" s="2">
        <v>2.8538432404729299</v>
      </c>
      <c r="AD1296" s="2"/>
      <c r="AE1296" s="2">
        <v>0.48383990272988298</v>
      </c>
      <c r="AF1296" s="2">
        <v>13873.2611532144</v>
      </c>
      <c r="AG1296" s="2">
        <v>8303.1481418854892</v>
      </c>
      <c r="AH1296" s="5">
        <v>1.67084350611912</v>
      </c>
      <c r="AI1296" s="5">
        <v>0.74057661459678303</v>
      </c>
      <c r="AJ1296" s="5" t="s">
        <v>139</v>
      </c>
      <c r="AK1296" s="2">
        <v>0.205613476460485</v>
      </c>
      <c r="AL1296" s="2">
        <v>0.53096870391533402</v>
      </c>
      <c r="AM1296" s="2">
        <v>29437.508783082099</v>
      </c>
      <c r="AN1296" s="2">
        <v>15453.7808366589</v>
      </c>
      <c r="AO1296" s="2">
        <v>12448.121178695301</v>
      </c>
      <c r="AP1296" s="2">
        <v>8948.8528828349008</v>
      </c>
      <c r="AQ1296" s="2">
        <v>7511.8864210457396</v>
      </c>
      <c r="AR1296" s="2">
        <v>9439.4168169695095</v>
      </c>
      <c r="AS1296" s="2">
        <v>9316.1678393943203</v>
      </c>
      <c r="AT1296" s="2">
        <v>5276.7874869682801</v>
      </c>
      <c r="AU1296" s="2">
        <v>19502.091727229301</v>
      </c>
      <c r="AV1296" s="2">
        <v>2514.6322117278</v>
      </c>
      <c r="AW1296" s="2">
        <v>7566.0171547065402</v>
      </c>
      <c r="AX1296" s="2">
        <v>5643.1924312867004</v>
      </c>
    </row>
    <row r="1297" spans="1:50" x14ac:dyDescent="0.25">
      <c r="A1297" s="2" t="s">
        <v>8989</v>
      </c>
      <c r="B1297" s="2">
        <v>313.05186787250898</v>
      </c>
      <c r="C1297" s="2">
        <v>0.84924999999999995</v>
      </c>
      <c r="D1297" s="2" t="s">
        <v>51</v>
      </c>
      <c r="E1297" s="2" t="s">
        <v>8990</v>
      </c>
      <c r="F1297" s="2">
        <v>47102</v>
      </c>
      <c r="G1297" s="3" t="str">
        <f>HYPERLINK("https://cloud.oebiotech.com/#/lm/network/47102", "https://cloud.oebiotech.com/#/lm/network/47102")</f>
        <v>https://cloud.oebiotech.com/#/lm/network/47102</v>
      </c>
      <c r="H1297" s="2" t="s">
        <v>8991</v>
      </c>
      <c r="I1297" s="2">
        <v>4189</v>
      </c>
      <c r="J1297" s="2"/>
      <c r="K1297" s="2">
        <v>10010</v>
      </c>
      <c r="L1297" s="2" t="s">
        <v>8992</v>
      </c>
      <c r="M1297" s="2" t="s">
        <v>8993</v>
      </c>
      <c r="N1297" s="2" t="s">
        <v>8994</v>
      </c>
      <c r="O1297" s="2">
        <v>17485</v>
      </c>
      <c r="P1297" s="2"/>
      <c r="Q1297" s="2"/>
      <c r="R1297" s="2" t="s">
        <v>8995</v>
      </c>
      <c r="S1297" s="2" t="s">
        <v>8996</v>
      </c>
      <c r="T1297" s="2" t="s">
        <v>8997</v>
      </c>
      <c r="U1297" s="2" t="s">
        <v>103</v>
      </c>
      <c r="V1297" s="2" t="s">
        <v>104</v>
      </c>
      <c r="W1297" s="2" t="s">
        <v>105</v>
      </c>
      <c r="X1297" s="2" t="s">
        <v>83</v>
      </c>
      <c r="Y1297" s="2">
        <v>36.6</v>
      </c>
      <c r="Z1297" s="2">
        <v>0</v>
      </c>
      <c r="AA1297" s="2" t="s">
        <v>218</v>
      </c>
      <c r="AB1297" s="2" t="s">
        <v>8998</v>
      </c>
      <c r="AC1297" s="2">
        <v>-5.5361684194385701</v>
      </c>
      <c r="AD1297" s="2"/>
      <c r="AE1297" s="2">
        <v>0.48355704098046898</v>
      </c>
      <c r="AF1297" s="2">
        <v>31046.404053518199</v>
      </c>
      <c r="AG1297" s="2">
        <v>23911.069883578301</v>
      </c>
      <c r="AH1297" s="5">
        <v>1.29841133017809</v>
      </c>
      <c r="AI1297" s="5">
        <v>0.376747494277961</v>
      </c>
      <c r="AJ1297" s="5" t="s">
        <v>139</v>
      </c>
      <c r="AK1297" s="2">
        <v>0.31431379453464098</v>
      </c>
      <c r="AL1297" s="2">
        <v>0.62389869547046595</v>
      </c>
      <c r="AM1297" s="2">
        <v>54098.283875703703</v>
      </c>
      <c r="AN1297" s="2">
        <v>28936.289183398301</v>
      </c>
      <c r="AO1297" s="2">
        <v>25002.6711385907</v>
      </c>
      <c r="AP1297" s="2">
        <v>40099.176892890398</v>
      </c>
      <c r="AQ1297" s="2">
        <v>22295.9331742719</v>
      </c>
      <c r="AR1297" s="2">
        <v>15846.0700562539</v>
      </c>
      <c r="AS1297" s="2">
        <v>16490.657763423998</v>
      </c>
      <c r="AT1297" s="2">
        <v>31602.6714322761</v>
      </c>
      <c r="AU1297" s="2">
        <v>31850.748409404801</v>
      </c>
      <c r="AV1297" s="2">
        <v>21171.446378041401</v>
      </c>
      <c r="AW1297" s="2">
        <v>31153.077759857901</v>
      </c>
      <c r="AX1297" s="2">
        <v>11197.8175584655</v>
      </c>
    </row>
    <row r="1298" spans="1:50" x14ac:dyDescent="0.25">
      <c r="A1298" s="2" t="s">
        <v>8999</v>
      </c>
      <c r="B1298" s="2">
        <v>659.25336154499098</v>
      </c>
      <c r="C1298" s="2">
        <v>4.1373666666666704</v>
      </c>
      <c r="D1298" s="2" t="s">
        <v>51</v>
      </c>
      <c r="E1298" s="2" t="s">
        <v>9000</v>
      </c>
      <c r="F1298" s="2">
        <v>61709</v>
      </c>
      <c r="G1298" s="3" t="str">
        <f>HYPERLINK("https://cloud.oebiotech.com/#/lm/network/61709", "https://cloud.oebiotech.com/#/lm/network/61709")</f>
        <v>https://cloud.oebiotech.com/#/lm/network/61709</v>
      </c>
      <c r="H1298" s="2" t="s">
        <v>9001</v>
      </c>
      <c r="I1298" s="2">
        <v>93028</v>
      </c>
      <c r="J1298" s="2"/>
      <c r="K1298" s="2">
        <v>85366474</v>
      </c>
      <c r="L1298" s="2"/>
      <c r="M1298" s="2"/>
      <c r="N1298" s="2"/>
      <c r="O1298" s="2">
        <v>169117</v>
      </c>
      <c r="P1298" s="2"/>
      <c r="Q1298" s="2"/>
      <c r="R1298" s="2"/>
      <c r="S1298" s="2" t="s">
        <v>9002</v>
      </c>
      <c r="T1298" s="2" t="s">
        <v>9003</v>
      </c>
      <c r="U1298" s="2" t="s">
        <v>331</v>
      </c>
      <c r="V1298" s="2" t="s">
        <v>332</v>
      </c>
      <c r="W1298" s="2" t="s">
        <v>333</v>
      </c>
      <c r="X1298" s="2" t="s">
        <v>59</v>
      </c>
      <c r="Y1298" s="2">
        <v>47.8</v>
      </c>
      <c r="Z1298" s="2">
        <v>50.5</v>
      </c>
      <c r="AA1298" s="2" t="s">
        <v>478</v>
      </c>
      <c r="AB1298" s="2" t="s">
        <v>9004</v>
      </c>
      <c r="AC1298" s="2">
        <v>-3.4794426986984499</v>
      </c>
      <c r="AD1298" s="2"/>
      <c r="AE1298" s="2">
        <v>0.483294929849093</v>
      </c>
      <c r="AF1298" s="2">
        <v>12775.828791714999</v>
      </c>
      <c r="AG1298" s="2">
        <v>3846.0564456960901</v>
      </c>
      <c r="AH1298" s="5">
        <v>3.3217996074945102</v>
      </c>
      <c r="AI1298" s="5">
        <v>1.73196504319972</v>
      </c>
      <c r="AJ1298" s="5" t="s">
        <v>139</v>
      </c>
      <c r="AK1298" s="2">
        <v>0.10172025597002</v>
      </c>
      <c r="AL1298" s="2">
        <v>0.40585561807393</v>
      </c>
      <c r="AM1298" s="2">
        <v>17764.168755822</v>
      </c>
      <c r="AN1298" s="2">
        <v>8459.2145204903009</v>
      </c>
      <c r="AO1298" s="2">
        <v>11139.426669815701</v>
      </c>
      <c r="AP1298" s="2">
        <v>33331.687754956503</v>
      </c>
      <c r="AQ1298" s="2">
        <v>5960.4750406455196</v>
      </c>
      <c r="AR1298" s="2">
        <v>8.559877937157E-6</v>
      </c>
      <c r="AS1298" s="2">
        <v>8.559877937157E-6</v>
      </c>
      <c r="AT1298" s="2">
        <v>6610.3050593628504</v>
      </c>
      <c r="AU1298" s="2">
        <v>4716.8465766375402</v>
      </c>
      <c r="AV1298" s="2">
        <v>3416.8836330188701</v>
      </c>
      <c r="AW1298" s="2">
        <v>8332.3033880375206</v>
      </c>
      <c r="AX1298" s="2">
        <v>8.559877937157E-6</v>
      </c>
    </row>
    <row r="1299" spans="1:50" x14ac:dyDescent="0.25">
      <c r="A1299" s="2" t="s">
        <v>9005</v>
      </c>
      <c r="B1299" s="2">
        <v>394.259984628974</v>
      </c>
      <c r="C1299" s="2">
        <v>8.8032666666666692</v>
      </c>
      <c r="D1299" s="2" t="s">
        <v>51</v>
      </c>
      <c r="E1299" s="2" t="s">
        <v>9006</v>
      </c>
      <c r="F1299" s="2">
        <v>5295</v>
      </c>
      <c r="G1299" s="3" t="str">
        <f>HYPERLINK("https://cloud.oebiotech.com/#/lm/network/5295", "https://cloud.oebiotech.com/#/lm/network/5295")</f>
        <v>https://cloud.oebiotech.com/#/lm/network/5295</v>
      </c>
      <c r="H1299" s="2"/>
      <c r="I1299" s="2"/>
      <c r="J1299" s="2" t="s">
        <v>9007</v>
      </c>
      <c r="K1299" s="2">
        <v>131840713</v>
      </c>
      <c r="L1299" s="2"/>
      <c r="M1299" s="2"/>
      <c r="N1299" s="2"/>
      <c r="O1299" s="2"/>
      <c r="P1299" s="2"/>
      <c r="Q1299" s="2"/>
      <c r="R1299" s="2"/>
      <c r="S1299" s="2" t="s">
        <v>9008</v>
      </c>
      <c r="T1299" s="2" t="s">
        <v>9009</v>
      </c>
      <c r="U1299" s="2" t="s">
        <v>56</v>
      </c>
      <c r="V1299" s="2" t="s">
        <v>145</v>
      </c>
      <c r="W1299" s="2" t="s">
        <v>231</v>
      </c>
      <c r="X1299" s="2" t="s">
        <v>147</v>
      </c>
      <c r="Y1299" s="2">
        <v>41.7</v>
      </c>
      <c r="Z1299" s="2">
        <v>28.4</v>
      </c>
      <c r="AA1299" s="2" t="s">
        <v>512</v>
      </c>
      <c r="AB1299" s="2" t="s">
        <v>1366</v>
      </c>
      <c r="AC1299" s="2">
        <v>3.1496445361674099</v>
      </c>
      <c r="AD1299" s="2"/>
      <c r="AE1299" s="2">
        <v>0.48321417618456902</v>
      </c>
      <c r="AF1299" s="2">
        <v>16177.5622745491</v>
      </c>
      <c r="AG1299" s="2">
        <v>11124.089755770399</v>
      </c>
      <c r="AH1299" s="5">
        <v>1.45428188999979</v>
      </c>
      <c r="AI1299" s="5">
        <v>0.54030694043205596</v>
      </c>
      <c r="AJ1299" s="5" t="s">
        <v>139</v>
      </c>
      <c r="AK1299" s="2">
        <v>3.7273819103492797E-2</v>
      </c>
      <c r="AL1299" s="2">
        <v>0.28190403059546099</v>
      </c>
      <c r="AM1299" s="2">
        <v>25440.933275252901</v>
      </c>
      <c r="AN1299" s="2">
        <v>16443.8948705894</v>
      </c>
      <c r="AO1299" s="2">
        <v>13657.574060110401</v>
      </c>
      <c r="AP1299" s="2">
        <v>15453.321578597301</v>
      </c>
      <c r="AQ1299" s="2">
        <v>11607.903672505699</v>
      </c>
      <c r="AR1299" s="2">
        <v>14461.7461902387</v>
      </c>
      <c r="AS1299" s="2">
        <v>13817.406679182601</v>
      </c>
      <c r="AT1299" s="2">
        <v>10515.2910836501</v>
      </c>
      <c r="AU1299" s="2">
        <v>12488.568987955299</v>
      </c>
      <c r="AV1299" s="2">
        <v>9233.80844046331</v>
      </c>
      <c r="AW1299" s="2">
        <v>9325.0436395614306</v>
      </c>
      <c r="AX1299" s="2">
        <v>11364.419703809601</v>
      </c>
    </row>
    <row r="1300" spans="1:50" x14ac:dyDescent="0.25">
      <c r="A1300" s="2" t="s">
        <v>9010</v>
      </c>
      <c r="B1300" s="2">
        <v>504.44273608227599</v>
      </c>
      <c r="C1300" s="2">
        <v>14.626300000000001</v>
      </c>
      <c r="D1300" s="2" t="s">
        <v>51</v>
      </c>
      <c r="E1300" s="2" t="s">
        <v>9011</v>
      </c>
      <c r="F1300" s="2">
        <v>1604</v>
      </c>
      <c r="G1300" s="3" t="str">
        <f>HYPERLINK("https://cloud.oebiotech.com/#/lm/network/1604", "https://cloud.oebiotech.com/#/lm/network/1604")</f>
        <v>https://cloud.oebiotech.com/#/lm/network/1604</v>
      </c>
      <c r="H1300" s="2"/>
      <c r="I1300" s="2"/>
      <c r="J1300" s="2" t="s">
        <v>9012</v>
      </c>
      <c r="K1300" s="2">
        <v>102316945</v>
      </c>
      <c r="L1300" s="2"/>
      <c r="M1300" s="2"/>
      <c r="N1300" s="2"/>
      <c r="O1300" s="2"/>
      <c r="P1300" s="2"/>
      <c r="Q1300" s="2"/>
      <c r="R1300" s="2"/>
      <c r="S1300" s="2" t="s">
        <v>9013</v>
      </c>
      <c r="T1300" s="2" t="s">
        <v>9014</v>
      </c>
      <c r="U1300" s="2" t="s">
        <v>56</v>
      </c>
      <c r="V1300" s="2" t="s">
        <v>145</v>
      </c>
      <c r="W1300" s="2" t="s">
        <v>231</v>
      </c>
      <c r="X1300" s="2" t="s">
        <v>83</v>
      </c>
      <c r="Y1300" s="2">
        <v>44.3</v>
      </c>
      <c r="Z1300" s="2">
        <v>1.9800000000000002E-2</v>
      </c>
      <c r="AA1300" s="2" t="s">
        <v>512</v>
      </c>
      <c r="AB1300" s="2" t="s">
        <v>9015</v>
      </c>
      <c r="AC1300" s="2">
        <v>3.3201841957263998</v>
      </c>
      <c r="AD1300" s="2"/>
      <c r="AE1300" s="2">
        <v>0.48300370174659502</v>
      </c>
      <c r="AF1300" s="2">
        <v>33708.1113867026</v>
      </c>
      <c r="AG1300" s="2">
        <v>24668.186419553302</v>
      </c>
      <c r="AH1300" s="5">
        <v>1.3664608663725599</v>
      </c>
      <c r="AI1300" s="5">
        <v>0.45044414357961798</v>
      </c>
      <c r="AJ1300" s="5" t="s">
        <v>139</v>
      </c>
      <c r="AK1300" s="2">
        <v>0.28773662600800598</v>
      </c>
      <c r="AL1300" s="2">
        <v>0.602556997361406</v>
      </c>
      <c r="AM1300" s="2">
        <v>41462.786791026003</v>
      </c>
      <c r="AN1300" s="2">
        <v>61619.404922685397</v>
      </c>
      <c r="AO1300" s="2">
        <v>28024.6791365791</v>
      </c>
      <c r="AP1300" s="2">
        <v>32837.344506175403</v>
      </c>
      <c r="AQ1300" s="2">
        <v>29333.198500618299</v>
      </c>
      <c r="AR1300" s="2">
        <v>8971.2544631314504</v>
      </c>
      <c r="AS1300" s="2">
        <v>14441.1768339956</v>
      </c>
      <c r="AT1300" s="2">
        <v>27202.5773180734</v>
      </c>
      <c r="AU1300" s="2">
        <v>16324.6981118934</v>
      </c>
      <c r="AV1300" s="2">
        <v>40014.730188767899</v>
      </c>
      <c r="AW1300" s="2">
        <v>28536.755355713402</v>
      </c>
      <c r="AX1300" s="2">
        <v>21489.180708876102</v>
      </c>
    </row>
    <row r="1301" spans="1:50" x14ac:dyDescent="0.25">
      <c r="A1301" s="2" t="s">
        <v>9016</v>
      </c>
      <c r="B1301" s="2">
        <v>380.08436053660802</v>
      </c>
      <c r="C1301" s="2">
        <v>4.5859833333333304</v>
      </c>
      <c r="D1301" s="2" t="s">
        <v>51</v>
      </c>
      <c r="E1301" s="2" t="s">
        <v>9017</v>
      </c>
      <c r="F1301" s="2">
        <v>53257</v>
      </c>
      <c r="G1301" s="3" t="str">
        <f>HYPERLINK("https://cloud.oebiotech.com/#/lm/network/53257", "https://cloud.oebiotech.com/#/lm/network/53257")</f>
        <v>https://cloud.oebiotech.com/#/lm/network/53257</v>
      </c>
      <c r="H1301" s="2" t="s">
        <v>9018</v>
      </c>
      <c r="I1301" s="2"/>
      <c r="J1301" s="2"/>
      <c r="K1301" s="2"/>
      <c r="L1301" s="2"/>
      <c r="M1301" s="2"/>
      <c r="N1301" s="2"/>
      <c r="O1301" s="2">
        <v>267413</v>
      </c>
      <c r="P1301" s="2"/>
      <c r="Q1301" s="2"/>
      <c r="R1301" s="2" t="s">
        <v>9019</v>
      </c>
      <c r="S1301" s="2" t="s">
        <v>9020</v>
      </c>
      <c r="T1301" s="2" t="s">
        <v>9021</v>
      </c>
      <c r="U1301" s="2" t="s">
        <v>266</v>
      </c>
      <c r="V1301" s="2" t="s">
        <v>9022</v>
      </c>
      <c r="W1301" s="2" t="s">
        <v>240</v>
      </c>
      <c r="X1301" s="2" t="s">
        <v>59</v>
      </c>
      <c r="Y1301" s="2">
        <v>48.6</v>
      </c>
      <c r="Z1301" s="2">
        <v>53.4</v>
      </c>
      <c r="AA1301" s="2" t="s">
        <v>95</v>
      </c>
      <c r="AB1301" s="2" t="s">
        <v>9023</v>
      </c>
      <c r="AC1301" s="2">
        <v>-2.64734406568284</v>
      </c>
      <c r="AD1301" s="2"/>
      <c r="AE1301" s="2">
        <v>0.48294528842595802</v>
      </c>
      <c r="AF1301" s="2">
        <v>125.79610598988999</v>
      </c>
      <c r="AG1301" s="2">
        <v>10441.2515971026</v>
      </c>
      <c r="AH1301" s="4">
        <v>1.20479910688866E-2</v>
      </c>
      <c r="AI1301" s="4">
        <v>-6.3750635841142103</v>
      </c>
      <c r="AJ1301" s="4" t="s">
        <v>62</v>
      </c>
      <c r="AK1301" s="2">
        <v>0.30157383361441298</v>
      </c>
      <c r="AL1301" s="2">
        <v>0.61086450022817096</v>
      </c>
      <c r="AM1301" s="2">
        <v>8.559877937157E-6</v>
      </c>
      <c r="AN1301" s="2">
        <v>14.8694729466654</v>
      </c>
      <c r="AO1301" s="2">
        <v>202.37609138856399</v>
      </c>
      <c r="AP1301" s="2">
        <v>149.970281648118</v>
      </c>
      <c r="AQ1301" s="2">
        <v>290.04634188283802</v>
      </c>
      <c r="AR1301" s="2">
        <v>97.514439513279299</v>
      </c>
      <c r="AS1301" s="2">
        <v>486.31371173572802</v>
      </c>
      <c r="AT1301" s="2">
        <v>158.35339023049599</v>
      </c>
      <c r="AU1301" s="2">
        <v>3800.2524213531101</v>
      </c>
      <c r="AV1301" s="2">
        <v>470.311550424134</v>
      </c>
      <c r="AW1301" s="2">
        <v>57701.195864625603</v>
      </c>
      <c r="AX1301" s="2">
        <v>31.082644246478001</v>
      </c>
    </row>
    <row r="1302" spans="1:50" x14ac:dyDescent="0.25">
      <c r="A1302" s="2" t="s">
        <v>9024</v>
      </c>
      <c r="B1302" s="2">
        <v>299.258985683942</v>
      </c>
      <c r="C1302" s="2">
        <v>11.0475666666667</v>
      </c>
      <c r="D1302" s="2" t="s">
        <v>51</v>
      </c>
      <c r="E1302" s="2" t="s">
        <v>9025</v>
      </c>
      <c r="F1302" s="2">
        <v>3165</v>
      </c>
      <c r="G1302" s="3" t="str">
        <f>HYPERLINK("https://cloud.oebiotech.com/#/lm/network/3165", "https://cloud.oebiotech.com/#/lm/network/3165")</f>
        <v>https://cloud.oebiotech.com/#/lm/network/3165</v>
      </c>
      <c r="H1302" s="2"/>
      <c r="I1302" s="2">
        <v>35657</v>
      </c>
      <c r="J1302" s="2" t="s">
        <v>9026</v>
      </c>
      <c r="K1302" s="2">
        <v>5312851</v>
      </c>
      <c r="L1302" s="2"/>
      <c r="M1302" s="2"/>
      <c r="N1302" s="2"/>
      <c r="O1302" s="2"/>
      <c r="P1302" s="2"/>
      <c r="Q1302" s="2"/>
      <c r="R1302" s="2"/>
      <c r="S1302" s="2" t="s">
        <v>9027</v>
      </c>
      <c r="T1302" s="2" t="s">
        <v>9028</v>
      </c>
      <c r="U1302" s="2" t="s">
        <v>56</v>
      </c>
      <c r="V1302" s="2" t="s">
        <v>145</v>
      </c>
      <c r="W1302" s="2" t="s">
        <v>231</v>
      </c>
      <c r="X1302" s="2" t="s">
        <v>69</v>
      </c>
      <c r="Y1302" s="2">
        <v>61.6</v>
      </c>
      <c r="Z1302" s="2">
        <v>49.6</v>
      </c>
      <c r="AA1302" s="2" t="s">
        <v>259</v>
      </c>
      <c r="AB1302" s="2" t="s">
        <v>8747</v>
      </c>
      <c r="AC1302" s="2">
        <v>3.0655505285903599</v>
      </c>
      <c r="AD1302" s="2"/>
      <c r="AE1302" s="2">
        <v>0.482495784257923</v>
      </c>
      <c r="AF1302" s="2">
        <v>20679.9128819496</v>
      </c>
      <c r="AG1302" s="2">
        <v>9008.0980104059709</v>
      </c>
      <c r="AH1302" s="5">
        <v>2.29570247327023</v>
      </c>
      <c r="AI1302" s="5">
        <v>1.1989356785329901</v>
      </c>
      <c r="AJ1302" s="5" t="s">
        <v>139</v>
      </c>
      <c r="AK1302" s="2">
        <v>0.187944571747622</v>
      </c>
      <c r="AL1302" s="2">
        <v>0.51257428194174204</v>
      </c>
      <c r="AM1302" s="2">
        <v>7093.8879802998099</v>
      </c>
      <c r="AN1302" s="2">
        <v>7791.2632578837201</v>
      </c>
      <c r="AO1302" s="2">
        <v>32938.433246590001</v>
      </c>
      <c r="AP1302" s="2">
        <v>7387.6988955166598</v>
      </c>
      <c r="AQ1302" s="2">
        <v>56332.197341701001</v>
      </c>
      <c r="AR1302" s="2">
        <v>12535.9965697064</v>
      </c>
      <c r="AS1302" s="2">
        <v>12315.8523797454</v>
      </c>
      <c r="AT1302" s="2">
        <v>10234.876199644899</v>
      </c>
      <c r="AU1302" s="2">
        <v>10912.3213499221</v>
      </c>
      <c r="AV1302" s="2">
        <v>6814.6039577747697</v>
      </c>
      <c r="AW1302" s="2">
        <v>6080.6630458460604</v>
      </c>
      <c r="AX1302" s="2">
        <v>7690.2711295026102</v>
      </c>
    </row>
    <row r="1303" spans="1:50" x14ac:dyDescent="0.25">
      <c r="A1303" s="2" t="s">
        <v>9029</v>
      </c>
      <c r="B1303" s="2">
        <v>334.23640420876399</v>
      </c>
      <c r="C1303" s="2">
        <v>8.9899833333333294</v>
      </c>
      <c r="D1303" s="2" t="s">
        <v>51</v>
      </c>
      <c r="E1303" s="2" t="s">
        <v>9030</v>
      </c>
      <c r="F1303" s="2">
        <v>35959</v>
      </c>
      <c r="G1303" s="3" t="str">
        <f>HYPERLINK("https://cloud.oebiotech.com/#/lm/network/35959", "https://cloud.oebiotech.com/#/lm/network/35959")</f>
        <v>https://cloud.oebiotech.com/#/lm/network/35959</v>
      </c>
      <c r="H1303" s="2"/>
      <c r="I1303" s="2"/>
      <c r="J1303" s="2" t="s">
        <v>9031</v>
      </c>
      <c r="K1303" s="2"/>
      <c r="L1303" s="2"/>
      <c r="M1303" s="2"/>
      <c r="N1303" s="2"/>
      <c r="O1303" s="2"/>
      <c r="P1303" s="2"/>
      <c r="Q1303" s="2"/>
      <c r="R1303" s="2"/>
      <c r="S1303" s="2" t="s">
        <v>9032</v>
      </c>
      <c r="T1303" s="2" t="s">
        <v>9033</v>
      </c>
      <c r="U1303" s="2" t="s">
        <v>56</v>
      </c>
      <c r="V1303" s="2" t="s">
        <v>283</v>
      </c>
      <c r="W1303" s="2" t="s">
        <v>5158</v>
      </c>
      <c r="X1303" s="2" t="s">
        <v>69</v>
      </c>
      <c r="Y1303" s="2">
        <v>52.8</v>
      </c>
      <c r="Z1303" s="2">
        <v>56.9</v>
      </c>
      <c r="AA1303" s="2" t="s">
        <v>512</v>
      </c>
      <c r="AB1303" s="2" t="s">
        <v>708</v>
      </c>
      <c r="AC1303" s="2">
        <v>-4.0039926684865597</v>
      </c>
      <c r="AD1303" s="2"/>
      <c r="AE1303" s="2">
        <v>0.48214272514169798</v>
      </c>
      <c r="AF1303" s="2">
        <v>42582.357451132797</v>
      </c>
      <c r="AG1303" s="2">
        <v>22043.060340502299</v>
      </c>
      <c r="AH1303" s="5">
        <v>1.9317806508423501</v>
      </c>
      <c r="AI1303" s="5">
        <v>0.94993128883849798</v>
      </c>
      <c r="AJ1303" s="5" t="s">
        <v>139</v>
      </c>
      <c r="AK1303" s="2">
        <v>0.554408751956041</v>
      </c>
      <c r="AL1303" s="2">
        <v>0.77434749273136905</v>
      </c>
      <c r="AM1303" s="2">
        <v>1733.814400577</v>
      </c>
      <c r="AN1303" s="2">
        <v>732.54895184502902</v>
      </c>
      <c r="AO1303" s="2">
        <v>77565.385740272599</v>
      </c>
      <c r="AP1303" s="2">
        <v>105.824403858849</v>
      </c>
      <c r="AQ1303" s="2">
        <v>172112.60601698299</v>
      </c>
      <c r="AR1303" s="2">
        <v>3243.9651932605202</v>
      </c>
      <c r="AS1303" s="2">
        <v>23738.529183471699</v>
      </c>
      <c r="AT1303" s="2">
        <v>126.408382854857</v>
      </c>
      <c r="AU1303" s="2">
        <v>106790.258034632</v>
      </c>
      <c r="AV1303" s="2">
        <v>763.30081945874201</v>
      </c>
      <c r="AW1303" s="2">
        <v>326.20613470394102</v>
      </c>
      <c r="AX1303" s="2">
        <v>513.65948789280401</v>
      </c>
    </row>
    <row r="1304" spans="1:50" x14ac:dyDescent="0.25">
      <c r="A1304" s="2" t="s">
        <v>9034</v>
      </c>
      <c r="B1304" s="2">
        <v>328.116715322917</v>
      </c>
      <c r="C1304" s="2">
        <v>0.77381666666666704</v>
      </c>
      <c r="D1304" s="2" t="s">
        <v>51</v>
      </c>
      <c r="E1304" s="2" t="s">
        <v>9035</v>
      </c>
      <c r="F1304" s="2">
        <v>260793</v>
      </c>
      <c r="G1304" s="3" t="str">
        <f>HYPERLINK("https://cloud.oebiotech.com/#/lm/network/260793", "https://cloud.oebiotech.com/#/lm/network/260793")</f>
        <v>https://cloud.oebiotech.com/#/lm/network/260793</v>
      </c>
      <c r="H1304" s="2"/>
      <c r="I1304" s="2">
        <v>18077</v>
      </c>
      <c r="J1304" s="2"/>
      <c r="K1304" s="2">
        <v>145453574</v>
      </c>
      <c r="L1304" s="2"/>
      <c r="M1304" s="2"/>
      <c r="N1304" s="2"/>
      <c r="O1304" s="2"/>
      <c r="P1304" s="2"/>
      <c r="Q1304" s="2"/>
      <c r="R1304" s="2"/>
      <c r="S1304" s="2" t="s">
        <v>9036</v>
      </c>
      <c r="T1304" s="2" t="s">
        <v>9037</v>
      </c>
      <c r="U1304" s="2" t="s">
        <v>103</v>
      </c>
      <c r="V1304" s="2" t="s">
        <v>104</v>
      </c>
      <c r="W1304" s="2" t="s">
        <v>105</v>
      </c>
      <c r="X1304" s="2" t="s">
        <v>83</v>
      </c>
      <c r="Y1304" s="2">
        <v>36.5</v>
      </c>
      <c r="Z1304" s="2">
        <v>0</v>
      </c>
      <c r="AA1304" s="2" t="s">
        <v>379</v>
      </c>
      <c r="AB1304" s="2" t="s">
        <v>9038</v>
      </c>
      <c r="AC1304" s="2">
        <v>4.8736341021114402</v>
      </c>
      <c r="AD1304" s="2"/>
      <c r="AE1304" s="2">
        <v>0.48194710928846701</v>
      </c>
      <c r="AF1304" s="2">
        <v>5485.4430841878102</v>
      </c>
      <c r="AG1304" s="2">
        <v>12057.259256183301</v>
      </c>
      <c r="AH1304" s="4">
        <v>0.45494941824152402</v>
      </c>
      <c r="AI1304" s="4">
        <v>-1.1362219410235599</v>
      </c>
      <c r="AJ1304" s="4" t="s">
        <v>62</v>
      </c>
      <c r="AK1304" s="2">
        <v>0.11418032853619101</v>
      </c>
      <c r="AL1304" s="2">
        <v>0.42835315311351202</v>
      </c>
      <c r="AM1304" s="2">
        <v>18.081016974898098</v>
      </c>
      <c r="AN1304" s="2">
        <v>13226.9888902397</v>
      </c>
      <c r="AO1304" s="2">
        <v>5028.6135866929699</v>
      </c>
      <c r="AP1304" s="2">
        <v>688.85545664521703</v>
      </c>
      <c r="AQ1304" s="2">
        <v>3242.10598284977</v>
      </c>
      <c r="AR1304" s="2">
        <v>10708.013571724299</v>
      </c>
      <c r="AS1304" s="2">
        <v>16849.498720339499</v>
      </c>
      <c r="AT1304" s="2">
        <v>5958.4469931683398</v>
      </c>
      <c r="AU1304" s="2">
        <v>3513.8361806231601</v>
      </c>
      <c r="AV1304" s="2">
        <v>22058.9050352056</v>
      </c>
      <c r="AW1304" s="2">
        <v>6785.0942973184301</v>
      </c>
      <c r="AX1304" s="2">
        <v>17177.774310444602</v>
      </c>
    </row>
    <row r="1305" spans="1:50" x14ac:dyDescent="0.25">
      <c r="A1305" s="2" t="s">
        <v>9039</v>
      </c>
      <c r="B1305" s="2">
        <v>281.11419639778501</v>
      </c>
      <c r="C1305" s="2">
        <v>1.9114500000000001</v>
      </c>
      <c r="D1305" s="2" t="s">
        <v>51</v>
      </c>
      <c r="E1305" s="2" t="s">
        <v>9040</v>
      </c>
      <c r="F1305" s="2">
        <v>48211</v>
      </c>
      <c r="G1305" s="3" t="str">
        <f>HYPERLINK("https://cloud.oebiotech.com/#/lm/network/48211", "https://cloud.oebiotech.com/#/lm/network/48211")</f>
        <v>https://cloud.oebiotech.com/#/lm/network/48211</v>
      </c>
      <c r="H1305" s="2" t="s">
        <v>9041</v>
      </c>
      <c r="I1305" s="2">
        <v>58196</v>
      </c>
      <c r="J1305" s="2"/>
      <c r="K1305" s="2">
        <v>102175</v>
      </c>
      <c r="L1305" s="2"/>
      <c r="M1305" s="2"/>
      <c r="N1305" s="2"/>
      <c r="O1305" s="2">
        <v>21891</v>
      </c>
      <c r="P1305" s="2" t="s">
        <v>9042</v>
      </c>
      <c r="Q1305" s="2" t="s">
        <v>9043</v>
      </c>
      <c r="R1305" s="2" t="s">
        <v>9044</v>
      </c>
      <c r="S1305" s="2" t="s">
        <v>9045</v>
      </c>
      <c r="T1305" s="2" t="s">
        <v>9046</v>
      </c>
      <c r="U1305" s="2" t="s">
        <v>295</v>
      </c>
      <c r="V1305" s="2" t="s">
        <v>5395</v>
      </c>
      <c r="W1305" s="2" t="s">
        <v>240</v>
      </c>
      <c r="X1305" s="2" t="s">
        <v>83</v>
      </c>
      <c r="Y1305" s="2">
        <v>45.8</v>
      </c>
      <c r="Z1305" s="2">
        <v>0</v>
      </c>
      <c r="AA1305" s="2" t="s">
        <v>122</v>
      </c>
      <c r="AB1305" s="2" t="s">
        <v>9047</v>
      </c>
      <c r="AC1305" s="2">
        <v>6.3757929895561603</v>
      </c>
      <c r="AD1305" s="2"/>
      <c r="AE1305" s="2">
        <v>0.481667563974852</v>
      </c>
      <c r="AF1305" s="2">
        <v>13089.273786393</v>
      </c>
      <c r="AG1305" s="2">
        <v>6568.33154259201</v>
      </c>
      <c r="AH1305" s="5">
        <v>1.9927851847179601</v>
      </c>
      <c r="AI1305" s="5">
        <v>0.99478620107246696</v>
      </c>
      <c r="AJ1305" s="5" t="s">
        <v>139</v>
      </c>
      <c r="AK1305" s="2">
        <v>4.5638258299684001E-2</v>
      </c>
      <c r="AL1305" s="2">
        <v>0.30240439679154502</v>
      </c>
      <c r="AM1305" s="2">
        <v>10347.6977788779</v>
      </c>
      <c r="AN1305" s="2">
        <v>9721.1381156339703</v>
      </c>
      <c r="AO1305" s="2">
        <v>25172.521668816</v>
      </c>
      <c r="AP1305" s="2">
        <v>11511.207111261299</v>
      </c>
      <c r="AQ1305" s="2">
        <v>11669.858212531</v>
      </c>
      <c r="AR1305" s="2">
        <v>10113.219831237901</v>
      </c>
      <c r="AS1305" s="2">
        <v>10243.784375708599</v>
      </c>
      <c r="AT1305" s="2">
        <v>9934.2580396476897</v>
      </c>
      <c r="AU1305" s="2">
        <v>6707.2972026396201</v>
      </c>
      <c r="AV1305" s="2">
        <v>1522.44474450641</v>
      </c>
      <c r="AW1305" s="2">
        <v>8162.5645117480999</v>
      </c>
      <c r="AX1305" s="2">
        <v>2839.64038130167</v>
      </c>
    </row>
    <row r="1306" spans="1:50" x14ac:dyDescent="0.25">
      <c r="A1306" s="2" t="s">
        <v>9048</v>
      </c>
      <c r="B1306" s="2">
        <v>330.26488783040202</v>
      </c>
      <c r="C1306" s="2">
        <v>9.7668833333333307</v>
      </c>
      <c r="D1306" s="2" t="s">
        <v>51</v>
      </c>
      <c r="E1306" s="2" t="s">
        <v>9049</v>
      </c>
      <c r="F1306" s="2">
        <v>3000</v>
      </c>
      <c r="G1306" s="3" t="str">
        <f>HYPERLINK("https://cloud.oebiotech.com/#/lm/network/3000", "https://cloud.oebiotech.com/#/lm/network/3000")</f>
        <v>https://cloud.oebiotech.com/#/lm/network/3000</v>
      </c>
      <c r="H1306" s="2" t="s">
        <v>9050</v>
      </c>
      <c r="I1306" s="2"/>
      <c r="J1306" s="2" t="s">
        <v>9051</v>
      </c>
      <c r="K1306" s="2">
        <v>16061066</v>
      </c>
      <c r="L1306" s="2"/>
      <c r="M1306" s="2"/>
      <c r="N1306" s="2"/>
      <c r="O1306" s="2">
        <v>88440</v>
      </c>
      <c r="P1306" s="2"/>
      <c r="Q1306" s="2"/>
      <c r="R1306" s="2"/>
      <c r="S1306" s="2" t="s">
        <v>9052</v>
      </c>
      <c r="T1306" s="2" t="s">
        <v>9053</v>
      </c>
      <c r="U1306" s="2" t="s">
        <v>56</v>
      </c>
      <c r="V1306" s="2" t="s">
        <v>145</v>
      </c>
      <c r="W1306" s="2" t="s">
        <v>203</v>
      </c>
      <c r="X1306" s="2" t="s">
        <v>69</v>
      </c>
      <c r="Y1306" s="2">
        <v>62.2</v>
      </c>
      <c r="Z1306" s="2">
        <v>66.900000000000006</v>
      </c>
      <c r="AA1306" s="2" t="s">
        <v>512</v>
      </c>
      <c r="AB1306" s="2" t="s">
        <v>714</v>
      </c>
      <c r="AC1306" s="2">
        <v>3.2117212644857598</v>
      </c>
      <c r="AD1306" s="2"/>
      <c r="AE1306" s="2">
        <v>0.481331691863158</v>
      </c>
      <c r="AF1306" s="2">
        <v>43469.518327935803</v>
      </c>
      <c r="AG1306" s="2">
        <v>32885.622239502401</v>
      </c>
      <c r="AH1306" s="5">
        <v>1.3218396176709699</v>
      </c>
      <c r="AI1306" s="5">
        <v>0.40254714142403403</v>
      </c>
      <c r="AJ1306" s="5" t="s">
        <v>139</v>
      </c>
      <c r="AK1306" s="2">
        <v>0.35434329428232803</v>
      </c>
      <c r="AL1306" s="2">
        <v>0.644232435870006</v>
      </c>
      <c r="AM1306" s="2">
        <v>34078.564146510202</v>
      </c>
      <c r="AN1306" s="2">
        <v>76335.997266857594</v>
      </c>
      <c r="AO1306" s="2">
        <v>52209.868889512101</v>
      </c>
      <c r="AP1306" s="2">
        <v>15321.277379975099</v>
      </c>
      <c r="AQ1306" s="2">
        <v>46185.134029867899</v>
      </c>
      <c r="AR1306" s="2">
        <v>36686.268254891897</v>
      </c>
      <c r="AS1306" s="2">
        <v>32669.412835738101</v>
      </c>
      <c r="AT1306" s="2">
        <v>12994.2766480263</v>
      </c>
      <c r="AU1306" s="2">
        <v>51487.4920111744</v>
      </c>
      <c r="AV1306" s="2">
        <v>16382.020353338001</v>
      </c>
      <c r="AW1306" s="2">
        <v>54053.6528180858</v>
      </c>
      <c r="AX1306" s="2">
        <v>29726.878770651801</v>
      </c>
    </row>
    <row r="1307" spans="1:50" x14ac:dyDescent="0.25">
      <c r="A1307" s="2" t="s">
        <v>9054</v>
      </c>
      <c r="B1307" s="2">
        <v>395.20572567849302</v>
      </c>
      <c r="C1307" s="2">
        <v>9.99465</v>
      </c>
      <c r="D1307" s="2" t="s">
        <v>51</v>
      </c>
      <c r="E1307" s="2" t="s">
        <v>9055</v>
      </c>
      <c r="F1307" s="2">
        <v>52155</v>
      </c>
      <c r="G1307" s="3" t="str">
        <f>HYPERLINK("https://cloud.oebiotech.com/#/lm/network/52155", "https://cloud.oebiotech.com/#/lm/network/52155")</f>
        <v>https://cloud.oebiotech.com/#/lm/network/52155</v>
      </c>
      <c r="H1307" s="2" t="s">
        <v>9056</v>
      </c>
      <c r="I1307" s="2"/>
      <c r="J1307" s="2"/>
      <c r="K1307" s="2">
        <v>101600091</v>
      </c>
      <c r="L1307" s="2"/>
      <c r="M1307" s="2"/>
      <c r="N1307" s="2"/>
      <c r="O1307" s="2">
        <v>134407</v>
      </c>
      <c r="P1307" s="2" t="s">
        <v>4520</v>
      </c>
      <c r="Q1307" s="2" t="s">
        <v>4521</v>
      </c>
      <c r="R1307" s="2" t="s">
        <v>9057</v>
      </c>
      <c r="S1307" s="2" t="s">
        <v>9058</v>
      </c>
      <c r="T1307" s="2" t="s">
        <v>9059</v>
      </c>
      <c r="U1307" s="2" t="s">
        <v>56</v>
      </c>
      <c r="V1307" s="2" t="s">
        <v>145</v>
      </c>
      <c r="W1307" s="2" t="s">
        <v>187</v>
      </c>
      <c r="X1307" s="2" t="s">
        <v>83</v>
      </c>
      <c r="Y1307" s="2">
        <v>44.9</v>
      </c>
      <c r="Z1307" s="2">
        <v>20.6</v>
      </c>
      <c r="AA1307" s="2" t="s">
        <v>218</v>
      </c>
      <c r="AB1307" s="2" t="s">
        <v>950</v>
      </c>
      <c r="AC1307" s="2">
        <v>-5.1433565112016302</v>
      </c>
      <c r="AD1307" s="2"/>
      <c r="AE1307" s="2">
        <v>0.48113512793836199</v>
      </c>
      <c r="AF1307" s="2">
        <v>8075.4678163871404</v>
      </c>
      <c r="AG1307" s="2">
        <v>3999.0720631910199</v>
      </c>
      <c r="AH1307" s="5">
        <v>2.0193354080104799</v>
      </c>
      <c r="AI1307" s="5">
        <v>1.0138805596463101</v>
      </c>
      <c r="AJ1307" s="5" t="s">
        <v>139</v>
      </c>
      <c r="AK1307" s="2">
        <v>1.7099183262831599E-3</v>
      </c>
      <c r="AL1307" s="2">
        <v>9.9661006488224596E-2</v>
      </c>
      <c r="AM1307" s="2">
        <v>9830.5489416044402</v>
      </c>
      <c r="AN1307" s="2">
        <v>10057.7737334836</v>
      </c>
      <c r="AO1307" s="2">
        <v>8573.5634833987806</v>
      </c>
      <c r="AP1307" s="2">
        <v>5352.4383225803604</v>
      </c>
      <c r="AQ1307" s="2">
        <v>6923.6512562918997</v>
      </c>
      <c r="AR1307" s="2">
        <v>7714.8311609637403</v>
      </c>
      <c r="AS1307" s="2">
        <v>4487.7955742658796</v>
      </c>
      <c r="AT1307" s="2">
        <v>4469.1724533514098</v>
      </c>
      <c r="AU1307" s="2">
        <v>6223.3197012067603</v>
      </c>
      <c r="AV1307" s="2">
        <v>4201.3298441747302</v>
      </c>
      <c r="AW1307" s="2">
        <v>1864.6526646274301</v>
      </c>
      <c r="AX1307" s="2">
        <v>2748.1621415198902</v>
      </c>
    </row>
    <row r="1308" spans="1:50" x14ac:dyDescent="0.25">
      <c r="A1308" s="2" t="s">
        <v>9060</v>
      </c>
      <c r="B1308" s="2">
        <v>395.01351242528301</v>
      </c>
      <c r="C1308" s="2">
        <v>9.6842500000000005</v>
      </c>
      <c r="D1308" s="2" t="s">
        <v>51</v>
      </c>
      <c r="E1308" s="2" t="s">
        <v>9061</v>
      </c>
      <c r="F1308" s="2">
        <v>211386</v>
      </c>
      <c r="G1308" s="3" t="str">
        <f>HYPERLINK("https://cloud.oebiotech.com/#/lm/network/211386", "https://cloud.oebiotech.com/#/lm/network/211386")</f>
        <v>https://cloud.oebiotech.com/#/lm/network/211386</v>
      </c>
      <c r="H1308" s="2" t="s">
        <v>9062</v>
      </c>
      <c r="I1308" s="2"/>
      <c r="J1308" s="2"/>
      <c r="K1308" s="2">
        <v>22027528</v>
      </c>
      <c r="L1308" s="2"/>
      <c r="M1308" s="2"/>
      <c r="N1308" s="2"/>
      <c r="O1308" s="2"/>
      <c r="P1308" s="2"/>
      <c r="Q1308" s="2"/>
      <c r="R1308" s="2"/>
      <c r="S1308" s="2" t="s">
        <v>9063</v>
      </c>
      <c r="T1308" s="2" t="s">
        <v>9064</v>
      </c>
      <c r="U1308" s="2" t="s">
        <v>266</v>
      </c>
      <c r="V1308" s="2" t="s">
        <v>9065</v>
      </c>
      <c r="W1308" s="2" t="s">
        <v>240</v>
      </c>
      <c r="X1308" s="2" t="s">
        <v>147</v>
      </c>
      <c r="Y1308" s="2">
        <v>37.799999999999997</v>
      </c>
      <c r="Z1308" s="2">
        <v>4.46</v>
      </c>
      <c r="AA1308" s="2" t="s">
        <v>478</v>
      </c>
      <c r="AB1308" s="2" t="s">
        <v>9066</v>
      </c>
      <c r="AC1308" s="2">
        <v>2.4310295076664499</v>
      </c>
      <c r="AD1308" s="2"/>
      <c r="AE1308" s="2">
        <v>0.48087144411128102</v>
      </c>
      <c r="AF1308" s="2">
        <v>21245.7116338878</v>
      </c>
      <c r="AG1308" s="2">
        <v>25437.409194233202</v>
      </c>
      <c r="AH1308" s="4">
        <v>0.83521523248146901</v>
      </c>
      <c r="AI1308" s="4">
        <v>-0.25978007116792801</v>
      </c>
      <c r="AJ1308" s="4" t="s">
        <v>62</v>
      </c>
      <c r="AK1308" s="2">
        <v>1.36462539351152E-3</v>
      </c>
      <c r="AL1308" s="2">
        <v>9.6009314101857798E-2</v>
      </c>
      <c r="AM1308" s="2">
        <v>19102.945073581599</v>
      </c>
      <c r="AN1308" s="2">
        <v>20612.859026661099</v>
      </c>
      <c r="AO1308" s="2">
        <v>21084.089419073302</v>
      </c>
      <c r="AP1308" s="2">
        <v>22281.942913221799</v>
      </c>
      <c r="AQ1308" s="2">
        <v>24407.458953415899</v>
      </c>
      <c r="AR1308" s="2">
        <v>19984.974417373</v>
      </c>
      <c r="AS1308" s="2">
        <v>26719.021002057299</v>
      </c>
      <c r="AT1308" s="2">
        <v>24460.794037112199</v>
      </c>
      <c r="AU1308" s="2">
        <v>23456.427888199702</v>
      </c>
      <c r="AV1308" s="2">
        <v>26548.266919627898</v>
      </c>
      <c r="AW1308" s="2">
        <v>24768.9141728412</v>
      </c>
      <c r="AX1308" s="2">
        <v>26671.031145561199</v>
      </c>
    </row>
    <row r="1309" spans="1:50" x14ac:dyDescent="0.25">
      <c r="A1309" s="2" t="s">
        <v>9067</v>
      </c>
      <c r="B1309" s="2">
        <v>465.03668894653799</v>
      </c>
      <c r="C1309" s="2">
        <v>7.2455166666666697</v>
      </c>
      <c r="D1309" s="2" t="s">
        <v>51</v>
      </c>
      <c r="E1309" s="2" t="s">
        <v>9068</v>
      </c>
      <c r="F1309" s="2">
        <v>204787</v>
      </c>
      <c r="G1309" s="3" t="str">
        <f>HYPERLINK("https://cloud.oebiotech.com/#/lm/network/204787", "https://cloud.oebiotech.com/#/lm/network/204787")</f>
        <v>https://cloud.oebiotech.com/#/lm/network/204787</v>
      </c>
      <c r="H1309" s="2" t="s">
        <v>9069</v>
      </c>
      <c r="I1309" s="2"/>
      <c r="J1309" s="2"/>
      <c r="K1309" s="2">
        <v>169445</v>
      </c>
      <c r="L1309" s="2"/>
      <c r="M1309" s="2"/>
      <c r="N1309" s="2"/>
      <c r="O1309" s="2"/>
      <c r="P1309" s="2"/>
      <c r="Q1309" s="2"/>
      <c r="R1309" s="2"/>
      <c r="S1309" s="2" t="s">
        <v>9070</v>
      </c>
      <c r="T1309" s="2" t="s">
        <v>9071</v>
      </c>
      <c r="U1309" s="2" t="s">
        <v>103</v>
      </c>
      <c r="V1309" s="2" t="s">
        <v>9072</v>
      </c>
      <c r="W1309" s="2" t="s">
        <v>9073</v>
      </c>
      <c r="X1309" s="2" t="s">
        <v>147</v>
      </c>
      <c r="Y1309" s="2">
        <v>38.4</v>
      </c>
      <c r="Z1309" s="2">
        <v>0</v>
      </c>
      <c r="AA1309" s="2" t="s">
        <v>478</v>
      </c>
      <c r="AB1309" s="2" t="s">
        <v>9074</v>
      </c>
      <c r="AC1309" s="2">
        <v>0.73937370421326698</v>
      </c>
      <c r="AD1309" s="2"/>
      <c r="AE1309" s="2">
        <v>0.48058719265523298</v>
      </c>
      <c r="AF1309" s="2">
        <v>9797.0815466687109</v>
      </c>
      <c r="AG1309" s="2">
        <v>17479.5286789538</v>
      </c>
      <c r="AH1309" s="4">
        <v>0.56048888540483899</v>
      </c>
      <c r="AI1309" s="4">
        <v>-0.83524233047451601</v>
      </c>
      <c r="AJ1309" s="4" t="s">
        <v>62</v>
      </c>
      <c r="AK1309" s="2">
        <v>0.122348514187617</v>
      </c>
      <c r="AL1309" s="2">
        <v>0.44023219923144402</v>
      </c>
      <c r="AM1309" s="2">
        <v>14479.2268146527</v>
      </c>
      <c r="AN1309" s="2">
        <v>8179.9884316054604</v>
      </c>
      <c r="AO1309" s="2">
        <v>6069.3952453647898</v>
      </c>
      <c r="AP1309" s="2">
        <v>17139.7068865529</v>
      </c>
      <c r="AQ1309" s="2">
        <v>2871.1546642667199</v>
      </c>
      <c r="AR1309" s="2">
        <v>10043.0172375697</v>
      </c>
      <c r="AS1309" s="2">
        <v>33250.044873129002</v>
      </c>
      <c r="AT1309" s="2">
        <v>11921.3280976388</v>
      </c>
      <c r="AU1309" s="2">
        <v>17813.143075524102</v>
      </c>
      <c r="AV1309" s="2">
        <v>15289.4971800166</v>
      </c>
      <c r="AW1309" s="2">
        <v>22295.672545855799</v>
      </c>
      <c r="AX1309" s="2">
        <v>4307.4863015583396</v>
      </c>
    </row>
    <row r="1310" spans="1:50" x14ac:dyDescent="0.25">
      <c r="A1310" s="2" t="s">
        <v>9075</v>
      </c>
      <c r="B1310" s="2">
        <v>449.25467125947199</v>
      </c>
      <c r="C1310" s="2">
        <v>10.2053333333333</v>
      </c>
      <c r="D1310" s="2" t="s">
        <v>51</v>
      </c>
      <c r="E1310" s="2" t="s">
        <v>9076</v>
      </c>
      <c r="F1310" s="2">
        <v>52625</v>
      </c>
      <c r="G1310" s="3" t="str">
        <f>HYPERLINK("https://cloud.oebiotech.com/#/lm/network/52625", "https://cloud.oebiotech.com/#/lm/network/52625")</f>
        <v>https://cloud.oebiotech.com/#/lm/network/52625</v>
      </c>
      <c r="H1310" s="2" t="s">
        <v>9077</v>
      </c>
      <c r="I1310" s="2">
        <v>1036</v>
      </c>
      <c r="J1310" s="2"/>
      <c r="K1310" s="2">
        <v>53232</v>
      </c>
      <c r="L1310" s="2" t="s">
        <v>9078</v>
      </c>
      <c r="M1310" s="2"/>
      <c r="N1310" s="2"/>
      <c r="O1310" s="2">
        <v>40303</v>
      </c>
      <c r="P1310" s="2"/>
      <c r="Q1310" s="2"/>
      <c r="R1310" s="2" t="s">
        <v>9079</v>
      </c>
      <c r="S1310" s="2" t="s">
        <v>9080</v>
      </c>
      <c r="T1310" s="2" t="s">
        <v>9081</v>
      </c>
      <c r="U1310" s="2" t="s">
        <v>266</v>
      </c>
      <c r="V1310" s="2" t="s">
        <v>3994</v>
      </c>
      <c r="W1310" s="2" t="s">
        <v>8308</v>
      </c>
      <c r="X1310" s="2" t="s">
        <v>147</v>
      </c>
      <c r="Y1310" s="2">
        <v>42.7</v>
      </c>
      <c r="Z1310" s="2">
        <v>16.3</v>
      </c>
      <c r="AA1310" s="2" t="s">
        <v>218</v>
      </c>
      <c r="AB1310" s="2" t="s">
        <v>9082</v>
      </c>
      <c r="AC1310" s="2">
        <v>0.48023287224963601</v>
      </c>
      <c r="AD1310" s="2"/>
      <c r="AE1310" s="2">
        <v>0.480451399515474</v>
      </c>
      <c r="AF1310" s="2">
        <v>39630.743585497003</v>
      </c>
      <c r="AG1310" s="2">
        <v>54134.187731802202</v>
      </c>
      <c r="AH1310" s="4">
        <v>0.73208346233696397</v>
      </c>
      <c r="AI1310" s="4">
        <v>-0.44991996026387598</v>
      </c>
      <c r="AJ1310" s="4" t="s">
        <v>62</v>
      </c>
      <c r="AK1310" s="2">
        <v>0.47194496022297799</v>
      </c>
      <c r="AL1310" s="2">
        <v>0.71844544329328797</v>
      </c>
      <c r="AM1310" s="2">
        <v>17458.141682107202</v>
      </c>
      <c r="AN1310" s="2">
        <v>23431.3076517728</v>
      </c>
      <c r="AO1310" s="2">
        <v>91784.833204453505</v>
      </c>
      <c r="AP1310" s="2">
        <v>60417.585337990298</v>
      </c>
      <c r="AQ1310" s="2">
        <v>36068.962798045497</v>
      </c>
      <c r="AR1310" s="2">
        <v>8623.6308386124892</v>
      </c>
      <c r="AS1310" s="2">
        <v>57685.706651279703</v>
      </c>
      <c r="AT1310" s="2">
        <v>88597.483900650797</v>
      </c>
      <c r="AU1310" s="2">
        <v>19962.072769656901</v>
      </c>
      <c r="AV1310" s="2">
        <v>101310.371035248</v>
      </c>
      <c r="AW1310" s="2">
        <v>44701.266755960401</v>
      </c>
      <c r="AX1310" s="2">
        <v>12548.2252780175</v>
      </c>
    </row>
    <row r="1311" spans="1:50" x14ac:dyDescent="0.25">
      <c r="A1311" s="2" t="s">
        <v>9083</v>
      </c>
      <c r="B1311" s="2">
        <v>370.260005480708</v>
      </c>
      <c r="C1311" s="2">
        <v>8.8032666666666692</v>
      </c>
      <c r="D1311" s="2" t="s">
        <v>51</v>
      </c>
      <c r="E1311" s="2" t="s">
        <v>9084</v>
      </c>
      <c r="F1311" s="2">
        <v>52021</v>
      </c>
      <c r="G1311" s="3" t="str">
        <f>HYPERLINK("https://cloud.oebiotech.com/#/lm/network/52021", "https://cloud.oebiotech.com/#/lm/network/52021")</f>
        <v>https://cloud.oebiotech.com/#/lm/network/52021</v>
      </c>
      <c r="H1311" s="2" t="s">
        <v>9085</v>
      </c>
      <c r="I1311" s="2"/>
      <c r="J1311" s="2"/>
      <c r="K1311" s="2">
        <v>53481436</v>
      </c>
      <c r="L1311" s="2" t="s">
        <v>1454</v>
      </c>
      <c r="M1311" s="2" t="s">
        <v>305</v>
      </c>
      <c r="N1311" s="2" t="s">
        <v>306</v>
      </c>
      <c r="O1311" s="2">
        <v>15550</v>
      </c>
      <c r="P1311" s="2" t="s">
        <v>307</v>
      </c>
      <c r="Q1311" s="2" t="s">
        <v>308</v>
      </c>
      <c r="R1311" s="2"/>
      <c r="S1311" s="2" t="s">
        <v>9086</v>
      </c>
      <c r="T1311" s="2" t="s">
        <v>9087</v>
      </c>
      <c r="U1311" s="2" t="s">
        <v>56</v>
      </c>
      <c r="V1311" s="2" t="s">
        <v>145</v>
      </c>
      <c r="W1311" s="2" t="s">
        <v>187</v>
      </c>
      <c r="X1311" s="2" t="s">
        <v>147</v>
      </c>
      <c r="Y1311" s="2">
        <v>42.8</v>
      </c>
      <c r="Z1311" s="2">
        <v>22.3</v>
      </c>
      <c r="AA1311" s="2" t="s">
        <v>512</v>
      </c>
      <c r="AB1311" s="2" t="s">
        <v>380</v>
      </c>
      <c r="AC1311" s="2">
        <v>3.42345590727263</v>
      </c>
      <c r="AD1311" s="2"/>
      <c r="AE1311" s="2">
        <v>0.47978927463633297</v>
      </c>
      <c r="AF1311" s="2">
        <v>11828.965352527501</v>
      </c>
      <c r="AG1311" s="2">
        <v>5976.72028080364</v>
      </c>
      <c r="AH1311" s="5">
        <v>1.9791733252968999</v>
      </c>
      <c r="AI1311" s="5">
        <v>0.98489796134788998</v>
      </c>
      <c r="AJ1311" s="5" t="s">
        <v>139</v>
      </c>
      <c r="AK1311" s="2">
        <v>2.1869273041628601E-2</v>
      </c>
      <c r="AL1311" s="2">
        <v>0.229801546987874</v>
      </c>
      <c r="AM1311" s="2">
        <v>9991.7682222933599</v>
      </c>
      <c r="AN1311" s="2">
        <v>20158.0991634932</v>
      </c>
      <c r="AO1311" s="2">
        <v>10407.9320375691</v>
      </c>
      <c r="AP1311" s="2">
        <v>9123.3527360518092</v>
      </c>
      <c r="AQ1311" s="2">
        <v>7751.24875464244</v>
      </c>
      <c r="AR1311" s="2">
        <v>13541.391201115301</v>
      </c>
      <c r="AS1311" s="2">
        <v>10167.856488674501</v>
      </c>
      <c r="AT1311" s="2">
        <v>5511.8624045878296</v>
      </c>
      <c r="AU1311" s="2">
        <v>6542.5878503608601</v>
      </c>
      <c r="AV1311" s="2">
        <v>2143.6868717881998</v>
      </c>
      <c r="AW1311" s="2">
        <v>4138.1877573968904</v>
      </c>
      <c r="AX1311" s="2">
        <v>7356.1403120135401</v>
      </c>
    </row>
    <row r="1312" spans="1:50" x14ac:dyDescent="0.25">
      <c r="A1312" s="2" t="s">
        <v>9088</v>
      </c>
      <c r="B1312" s="2">
        <v>323.07178090080703</v>
      </c>
      <c r="C1312" s="2">
        <v>7.8818000000000001</v>
      </c>
      <c r="D1312" s="2" t="s">
        <v>51</v>
      </c>
      <c r="E1312" s="2" t="s">
        <v>9089</v>
      </c>
      <c r="F1312" s="2">
        <v>257039</v>
      </c>
      <c r="G1312" s="3" t="str">
        <f>HYPERLINK("https://cloud.oebiotech.com/#/lm/network/257039", "https://cloud.oebiotech.com/#/lm/network/257039")</f>
        <v>https://cloud.oebiotech.com/#/lm/network/257039</v>
      </c>
      <c r="H1312" s="2" t="s">
        <v>9090</v>
      </c>
      <c r="I1312" s="2"/>
      <c r="J1312" s="2"/>
      <c r="K1312" s="2">
        <v>195334</v>
      </c>
      <c r="L1312" s="2"/>
      <c r="M1312" s="2"/>
      <c r="N1312" s="2"/>
      <c r="O1312" s="2"/>
      <c r="P1312" s="2"/>
      <c r="Q1312" s="2"/>
      <c r="R1312" s="2"/>
      <c r="S1312" s="2" t="s">
        <v>9091</v>
      </c>
      <c r="T1312" s="2" t="s">
        <v>9092</v>
      </c>
      <c r="U1312" s="2" t="s">
        <v>103</v>
      </c>
      <c r="V1312" s="2" t="s">
        <v>104</v>
      </c>
      <c r="W1312" s="2" t="s">
        <v>105</v>
      </c>
      <c r="X1312" s="2" t="s">
        <v>147</v>
      </c>
      <c r="Y1312" s="2">
        <v>40.799999999999997</v>
      </c>
      <c r="Z1312" s="2">
        <v>16.899999999999999</v>
      </c>
      <c r="AA1312" s="2" t="s">
        <v>218</v>
      </c>
      <c r="AB1312" s="2" t="s">
        <v>9093</v>
      </c>
      <c r="AC1312" s="2">
        <v>3.8289061166874898</v>
      </c>
      <c r="AD1312" s="2"/>
      <c r="AE1312" s="2">
        <v>0.47960421499462802</v>
      </c>
      <c r="AF1312" s="2">
        <v>13729.547409708301</v>
      </c>
      <c r="AG1312" s="2">
        <v>22981.244137951398</v>
      </c>
      <c r="AH1312" s="4">
        <v>0.59742402662331295</v>
      </c>
      <c r="AI1312" s="4">
        <v>-0.74317283515417598</v>
      </c>
      <c r="AJ1312" s="4" t="s">
        <v>62</v>
      </c>
      <c r="AK1312" s="2">
        <v>5.0025654714651598E-2</v>
      </c>
      <c r="AL1312" s="2">
        <v>0.31056432836569098</v>
      </c>
      <c r="AM1312" s="2">
        <v>23333.629616440401</v>
      </c>
      <c r="AN1312" s="2">
        <v>5382.6529895956101</v>
      </c>
      <c r="AO1312" s="2">
        <v>20638.344449755099</v>
      </c>
      <c r="AP1312" s="2">
        <v>857.37072702871603</v>
      </c>
      <c r="AQ1312" s="2">
        <v>14249.842186407999</v>
      </c>
      <c r="AR1312" s="2">
        <v>17915.444489022</v>
      </c>
      <c r="AS1312" s="2">
        <v>28505.8624867053</v>
      </c>
      <c r="AT1312" s="2">
        <v>17712.629363679502</v>
      </c>
      <c r="AU1312" s="2">
        <v>28318.039461339999</v>
      </c>
      <c r="AV1312" s="2">
        <v>21911.306606343001</v>
      </c>
      <c r="AW1312" s="2">
        <v>24332.681651733201</v>
      </c>
      <c r="AX1312" s="2">
        <v>17106.9452579071</v>
      </c>
    </row>
    <row r="1313" spans="1:50" x14ac:dyDescent="0.25">
      <c r="A1313" s="2" t="s">
        <v>9094</v>
      </c>
      <c r="B1313" s="2">
        <v>557.45780434672997</v>
      </c>
      <c r="C1313" s="2">
        <v>14.465633333333299</v>
      </c>
      <c r="D1313" s="2" t="s">
        <v>51</v>
      </c>
      <c r="E1313" s="2" t="s">
        <v>9095</v>
      </c>
      <c r="F1313" s="2">
        <v>205006</v>
      </c>
      <c r="G1313" s="3" t="str">
        <f>HYPERLINK("https://cloud.oebiotech.com/#/lm/network/205006", "https://cloud.oebiotech.com/#/lm/network/205006")</f>
        <v>https://cloud.oebiotech.com/#/lm/network/205006</v>
      </c>
      <c r="H1313" s="2" t="s">
        <v>9096</v>
      </c>
      <c r="I1313" s="2"/>
      <c r="J1313" s="2"/>
      <c r="K1313" s="2">
        <v>3647021</v>
      </c>
      <c r="L1313" s="2"/>
      <c r="M1313" s="2"/>
      <c r="N1313" s="2"/>
      <c r="O1313" s="2"/>
      <c r="P1313" s="2"/>
      <c r="Q1313" s="2"/>
      <c r="R1313" s="2"/>
      <c r="S1313" s="2" t="s">
        <v>9097</v>
      </c>
      <c r="T1313" s="2" t="s">
        <v>9098</v>
      </c>
      <c r="U1313" s="2" t="s">
        <v>56</v>
      </c>
      <c r="V1313" s="2" t="s">
        <v>283</v>
      </c>
      <c r="W1313" s="2" t="s">
        <v>1663</v>
      </c>
      <c r="X1313" s="2" t="s">
        <v>83</v>
      </c>
      <c r="Y1313" s="2">
        <v>41</v>
      </c>
      <c r="Z1313" s="2">
        <v>0</v>
      </c>
      <c r="AA1313" s="2" t="s">
        <v>218</v>
      </c>
      <c r="AB1313" s="2" t="s">
        <v>9099</v>
      </c>
      <c r="AC1313" s="2">
        <v>0.527482657876571</v>
      </c>
      <c r="AD1313" s="2"/>
      <c r="AE1313" s="2">
        <v>0.47951903126124401</v>
      </c>
      <c r="AF1313" s="2">
        <v>28163.210411135598</v>
      </c>
      <c r="AG1313" s="2">
        <v>20920.234736940001</v>
      </c>
      <c r="AH1313" s="5">
        <v>1.34621866175365</v>
      </c>
      <c r="AI1313" s="5">
        <v>0.428912761067478</v>
      </c>
      <c r="AJ1313" s="5" t="s">
        <v>139</v>
      </c>
      <c r="AK1313" s="2">
        <v>0.285616999118321</v>
      </c>
      <c r="AL1313" s="2">
        <v>0.600675920568711</v>
      </c>
      <c r="AM1313" s="2">
        <v>28901.5645695311</v>
      </c>
      <c r="AN1313" s="2">
        <v>39306.025939838699</v>
      </c>
      <c r="AO1313" s="2">
        <v>31596.027966074798</v>
      </c>
      <c r="AP1313" s="2">
        <v>22037.6293138765</v>
      </c>
      <c r="AQ1313" s="2">
        <v>20460.843253503499</v>
      </c>
      <c r="AR1313" s="2">
        <v>26677.171423989199</v>
      </c>
      <c r="AS1313" s="2">
        <v>23115.934015411902</v>
      </c>
      <c r="AT1313" s="2">
        <v>48244.221343415898</v>
      </c>
      <c r="AU1313" s="2">
        <v>9852.0498287208193</v>
      </c>
      <c r="AV1313" s="2">
        <v>14648.1516891712</v>
      </c>
      <c r="AW1313" s="2">
        <v>12212.168237850599</v>
      </c>
      <c r="AX1313" s="2">
        <v>17448.8833070695</v>
      </c>
    </row>
    <row r="1314" spans="1:50" x14ac:dyDescent="0.25">
      <c r="A1314" s="2" t="s">
        <v>9100</v>
      </c>
      <c r="B1314" s="2">
        <v>663.45919627821695</v>
      </c>
      <c r="C1314" s="2">
        <v>10.9866666666667</v>
      </c>
      <c r="D1314" s="2" t="s">
        <v>51</v>
      </c>
      <c r="E1314" s="2" t="s">
        <v>9101</v>
      </c>
      <c r="F1314" s="2">
        <v>25888</v>
      </c>
      <c r="G1314" s="3" t="str">
        <f>HYPERLINK("https://cloud.oebiotech.com/#/lm/network/25888", "https://cloud.oebiotech.com/#/lm/network/25888")</f>
        <v>https://cloud.oebiotech.com/#/lm/network/25888</v>
      </c>
      <c r="H1314" s="2"/>
      <c r="I1314" s="2">
        <v>82153</v>
      </c>
      <c r="J1314" s="2" t="s">
        <v>9102</v>
      </c>
      <c r="K1314" s="2">
        <v>52929570</v>
      </c>
      <c r="L1314" s="2"/>
      <c r="M1314" s="2"/>
      <c r="N1314" s="2"/>
      <c r="O1314" s="2"/>
      <c r="P1314" s="2"/>
      <c r="Q1314" s="2"/>
      <c r="R1314" s="2"/>
      <c r="S1314" s="2" t="s">
        <v>9103</v>
      </c>
      <c r="T1314" s="2" t="s">
        <v>9104</v>
      </c>
      <c r="U1314" s="2" t="s">
        <v>56</v>
      </c>
      <c r="V1314" s="2" t="s">
        <v>57</v>
      </c>
      <c r="W1314" s="2" t="s">
        <v>702</v>
      </c>
      <c r="X1314" s="2" t="s">
        <v>59</v>
      </c>
      <c r="Y1314" s="2">
        <v>49.6</v>
      </c>
      <c r="Z1314" s="2">
        <v>63.4</v>
      </c>
      <c r="AA1314" s="2" t="s">
        <v>218</v>
      </c>
      <c r="AB1314" s="2" t="s">
        <v>9105</v>
      </c>
      <c r="AC1314" s="2">
        <v>-2.3408169957034102</v>
      </c>
      <c r="AD1314" s="2"/>
      <c r="AE1314" s="2">
        <v>0.47905050039501701</v>
      </c>
      <c r="AF1314" s="2">
        <v>18321.199108214299</v>
      </c>
      <c r="AG1314" s="2">
        <v>11115.4494695018</v>
      </c>
      <c r="AH1314" s="5">
        <v>1.64826435120626</v>
      </c>
      <c r="AI1314" s="5">
        <v>0.72094764275758305</v>
      </c>
      <c r="AJ1314" s="5" t="s">
        <v>139</v>
      </c>
      <c r="AK1314" s="2">
        <v>0.207972798987661</v>
      </c>
      <c r="AL1314" s="2">
        <v>0.53290224755707505</v>
      </c>
      <c r="AM1314" s="2">
        <v>32784.658180152997</v>
      </c>
      <c r="AN1314" s="2">
        <v>13281.062047114499</v>
      </c>
      <c r="AO1314" s="2">
        <v>10818.1220573918</v>
      </c>
      <c r="AP1314" s="2">
        <v>14338.4043427914</v>
      </c>
      <c r="AQ1314" s="2">
        <v>18280.794218737301</v>
      </c>
      <c r="AR1314" s="2">
        <v>20424.153803098001</v>
      </c>
      <c r="AS1314" s="2">
        <v>5922.9679227540601</v>
      </c>
      <c r="AT1314" s="2">
        <v>2076.37020669092</v>
      </c>
      <c r="AU1314" s="2">
        <v>30976.7123336779</v>
      </c>
      <c r="AV1314" s="2">
        <v>10354.101731856799</v>
      </c>
      <c r="AW1314" s="2">
        <v>12733.3834023409</v>
      </c>
      <c r="AX1314" s="2">
        <v>4629.1612196902697</v>
      </c>
    </row>
    <row r="1315" spans="1:50" x14ac:dyDescent="0.25">
      <c r="A1315" s="2" t="s">
        <v>9106</v>
      </c>
      <c r="B1315" s="2">
        <v>652.30127296755404</v>
      </c>
      <c r="C1315" s="2">
        <v>4.0044000000000004</v>
      </c>
      <c r="D1315" s="2" t="s">
        <v>51</v>
      </c>
      <c r="E1315" s="2" t="s">
        <v>9107</v>
      </c>
      <c r="F1315" s="2">
        <v>28272</v>
      </c>
      <c r="G1315" s="3" t="str">
        <f>HYPERLINK("https://cloud.oebiotech.com/#/lm/network/28272", "https://cloud.oebiotech.com/#/lm/network/28272")</f>
        <v>https://cloud.oebiotech.com/#/lm/network/28272</v>
      </c>
      <c r="H1315" s="2"/>
      <c r="I1315" s="2">
        <v>41004</v>
      </c>
      <c r="J1315" s="2" t="s">
        <v>9108</v>
      </c>
      <c r="K1315" s="2">
        <v>5282049</v>
      </c>
      <c r="L1315" s="2" t="s">
        <v>9109</v>
      </c>
      <c r="M1315" s="2"/>
      <c r="N1315" s="2"/>
      <c r="O1315" s="2">
        <v>29515</v>
      </c>
      <c r="P1315" s="2"/>
      <c r="Q1315" s="2"/>
      <c r="R1315" s="2"/>
      <c r="S1315" s="2" t="s">
        <v>9110</v>
      </c>
      <c r="T1315" s="2" t="s">
        <v>9111</v>
      </c>
      <c r="U1315" s="2" t="s">
        <v>540</v>
      </c>
      <c r="V1315" s="2" t="s">
        <v>1380</v>
      </c>
      <c r="W1315" s="2" t="s">
        <v>240</v>
      </c>
      <c r="X1315" s="2" t="s">
        <v>147</v>
      </c>
      <c r="Y1315" s="2">
        <v>37.4</v>
      </c>
      <c r="Z1315" s="2">
        <v>24.3</v>
      </c>
      <c r="AA1315" s="2" t="s">
        <v>512</v>
      </c>
      <c r="AB1315" s="2" t="s">
        <v>9112</v>
      </c>
      <c r="AC1315" s="2">
        <v>2.7413950981740598</v>
      </c>
      <c r="AD1315" s="2"/>
      <c r="AE1315" s="2">
        <v>0.47862505839326602</v>
      </c>
      <c r="AF1315" s="2">
        <v>9076.1098531197204</v>
      </c>
      <c r="AG1315" s="2">
        <v>23617.1752001325</v>
      </c>
      <c r="AH1315" s="4">
        <v>0.38430124586063102</v>
      </c>
      <c r="AI1315" s="4">
        <v>-1.37969044142695</v>
      </c>
      <c r="AJ1315" s="4" t="s">
        <v>62</v>
      </c>
      <c r="AK1315" s="2">
        <v>0.54531298301976705</v>
      </c>
      <c r="AL1315" s="2">
        <v>0.76919058688247999</v>
      </c>
      <c r="AM1315" s="2">
        <v>19921.630740647201</v>
      </c>
      <c r="AN1315" s="2">
        <v>8.559877937157E-6</v>
      </c>
      <c r="AO1315" s="2">
        <v>8.559877937157E-6</v>
      </c>
      <c r="AP1315" s="2">
        <v>8.559877937157E-6</v>
      </c>
      <c r="AQ1315" s="2">
        <v>16211.456915421701</v>
      </c>
      <c r="AR1315" s="2">
        <v>18323.5714369698</v>
      </c>
      <c r="AS1315" s="2">
        <v>8.559877937157E-6</v>
      </c>
      <c r="AT1315" s="2">
        <v>8.559877937157E-6</v>
      </c>
      <c r="AU1315" s="2">
        <v>771.10618651667596</v>
      </c>
      <c r="AV1315" s="2">
        <v>137915.58705101101</v>
      </c>
      <c r="AW1315" s="2">
        <v>8.559877937157E-6</v>
      </c>
      <c r="AX1315" s="2">
        <v>3016.3579375878699</v>
      </c>
    </row>
    <row r="1316" spans="1:50" x14ac:dyDescent="0.25">
      <c r="A1316" s="2" t="s">
        <v>9113</v>
      </c>
      <c r="B1316" s="2">
        <v>288.29052114614598</v>
      </c>
      <c r="C1316" s="2">
        <v>8.5398833333333304</v>
      </c>
      <c r="D1316" s="2" t="s">
        <v>51</v>
      </c>
      <c r="E1316" s="2" t="s">
        <v>9114</v>
      </c>
      <c r="F1316" s="2">
        <v>38930</v>
      </c>
      <c r="G1316" s="3" t="str">
        <f>HYPERLINK("https://cloud.oebiotech.com/#/lm/network/38930", "https://cloud.oebiotech.com/#/lm/network/38930")</f>
        <v>https://cloud.oebiotech.com/#/lm/network/38930</v>
      </c>
      <c r="H1316" s="2"/>
      <c r="I1316" s="2">
        <v>41558</v>
      </c>
      <c r="J1316" s="2" t="s">
        <v>9115</v>
      </c>
      <c r="K1316" s="2">
        <v>3247037</v>
      </c>
      <c r="L1316" s="2"/>
      <c r="M1316" s="2"/>
      <c r="N1316" s="2"/>
      <c r="O1316" s="2">
        <v>137124</v>
      </c>
      <c r="P1316" s="2"/>
      <c r="Q1316" s="2"/>
      <c r="R1316" s="2"/>
      <c r="S1316" s="2" t="s">
        <v>9116</v>
      </c>
      <c r="T1316" s="2" t="s">
        <v>9117</v>
      </c>
      <c r="U1316" s="2" t="s">
        <v>119</v>
      </c>
      <c r="V1316" s="2" t="s">
        <v>120</v>
      </c>
      <c r="W1316" s="2" t="s">
        <v>1887</v>
      </c>
      <c r="X1316" s="2" t="s">
        <v>147</v>
      </c>
      <c r="Y1316" s="2">
        <v>45.5</v>
      </c>
      <c r="Z1316" s="2">
        <v>34.4</v>
      </c>
      <c r="AA1316" s="2" t="s">
        <v>60</v>
      </c>
      <c r="AB1316" s="2" t="s">
        <v>9118</v>
      </c>
      <c r="AC1316" s="2">
        <v>2.83791681194392</v>
      </c>
      <c r="AD1316" s="2"/>
      <c r="AE1316" s="2">
        <v>0.478571434924697</v>
      </c>
      <c r="AF1316" s="2">
        <v>392683.146088054</v>
      </c>
      <c r="AG1316" s="2">
        <v>362708.90559956298</v>
      </c>
      <c r="AH1316" s="5">
        <v>1.0826399352917599</v>
      </c>
      <c r="AI1316" s="5">
        <v>0.114553510775342</v>
      </c>
      <c r="AJ1316" s="5" t="s">
        <v>139</v>
      </c>
      <c r="AK1316" s="2">
        <v>0.70082374674190895</v>
      </c>
      <c r="AL1316" s="2">
        <v>0.85630594451671405</v>
      </c>
      <c r="AM1316" s="2">
        <v>483562.14715722698</v>
      </c>
      <c r="AN1316" s="2">
        <v>496021.58903006598</v>
      </c>
      <c r="AO1316" s="2">
        <v>273468.085360403</v>
      </c>
      <c r="AP1316" s="2">
        <v>300072.74846168101</v>
      </c>
      <c r="AQ1316" s="2">
        <v>542096.94972323196</v>
      </c>
      <c r="AR1316" s="2">
        <v>260877.356795717</v>
      </c>
      <c r="AS1316" s="2">
        <v>307298.222123546</v>
      </c>
      <c r="AT1316" s="2">
        <v>344610.83286786597</v>
      </c>
      <c r="AU1316" s="2">
        <v>195088.91918877399</v>
      </c>
      <c r="AV1316" s="2">
        <v>382038.89304821298</v>
      </c>
      <c r="AW1316" s="2">
        <v>604909.42114911601</v>
      </c>
      <c r="AX1316" s="2">
        <v>342307.14521986397</v>
      </c>
    </row>
    <row r="1317" spans="1:50" x14ac:dyDescent="0.25">
      <c r="A1317" s="2" t="s">
        <v>9119</v>
      </c>
      <c r="B1317" s="2">
        <v>395.08519999999999</v>
      </c>
      <c r="C1317" s="2">
        <v>26.071000000000002</v>
      </c>
      <c r="D1317" s="2" t="s">
        <v>125</v>
      </c>
      <c r="E1317" s="2" t="s">
        <v>9120</v>
      </c>
      <c r="F1317" s="2">
        <v>275473</v>
      </c>
      <c r="G1317" s="3" t="str">
        <f>HYPERLINK("https://cloud.oebiotech.com/#/lm/network/275473", "https://cloud.oebiotech.com/#/lm/network/275473")</f>
        <v>https://cloud.oebiotech.com/#/lm/network/275473</v>
      </c>
      <c r="H1317" s="2"/>
      <c r="I1317" s="2">
        <v>66677</v>
      </c>
      <c r="J1317" s="2"/>
      <c r="K1317" s="2">
        <v>5761</v>
      </c>
      <c r="L1317" s="2" t="s">
        <v>9121</v>
      </c>
      <c r="M1317" s="2"/>
      <c r="N1317" s="2"/>
      <c r="O1317" s="2"/>
      <c r="P1317" s="2"/>
      <c r="Q1317" s="2"/>
      <c r="R1317" s="2" t="s">
        <v>9122</v>
      </c>
      <c r="S1317" s="2" t="s">
        <v>9123</v>
      </c>
      <c r="T1317" s="2" t="s">
        <v>9124</v>
      </c>
      <c r="U1317" s="2" t="s">
        <v>238</v>
      </c>
      <c r="V1317" s="2" t="s">
        <v>860</v>
      </c>
      <c r="W1317" s="2" t="s">
        <v>861</v>
      </c>
      <c r="X1317" s="2" t="s">
        <v>59</v>
      </c>
      <c r="Y1317" s="2">
        <v>71</v>
      </c>
      <c r="Z1317" s="2">
        <v>73.099999999999994</v>
      </c>
      <c r="AA1317" s="2"/>
      <c r="AB1317" s="2" t="s">
        <v>9125</v>
      </c>
      <c r="AC1317" s="2"/>
      <c r="AD1317" s="2">
        <v>987018.56704196497</v>
      </c>
      <c r="AE1317" s="2">
        <v>0.47845638361669401</v>
      </c>
      <c r="AF1317" s="2">
        <v>61284.814941360499</v>
      </c>
      <c r="AG1317" s="2">
        <v>116346.913737371</v>
      </c>
      <c r="AH1317" s="4">
        <v>0.52674207654272998</v>
      </c>
      <c r="AI1317" s="4">
        <v>-0.92483138725624003</v>
      </c>
      <c r="AJ1317" s="4" t="s">
        <v>62</v>
      </c>
      <c r="AK1317" s="2">
        <v>3.1454114645842898E-2</v>
      </c>
      <c r="AL1317" s="2">
        <v>0.26207053756745102</v>
      </c>
      <c r="AM1317" s="2">
        <v>57528.894266991803</v>
      </c>
      <c r="AN1317" s="2">
        <v>38826.101361652698</v>
      </c>
      <c r="AO1317" s="2">
        <v>36100.5576202226</v>
      </c>
      <c r="AP1317" s="2">
        <v>48403.794734291499</v>
      </c>
      <c r="AQ1317" s="2">
        <v>86422.057020245702</v>
      </c>
      <c r="AR1317" s="2">
        <v>100427.484644759</v>
      </c>
      <c r="AS1317" s="2">
        <v>100285.86795285701</v>
      </c>
      <c r="AT1317" s="2">
        <v>98459.901163626506</v>
      </c>
      <c r="AU1317" s="2">
        <v>182660.82210174901</v>
      </c>
      <c r="AV1317" s="2">
        <v>167436.01086210099</v>
      </c>
      <c r="AW1317" s="2">
        <v>73244.1068619242</v>
      </c>
      <c r="AX1317" s="2">
        <v>75994.773481967393</v>
      </c>
    </row>
    <row r="1318" spans="1:50" x14ac:dyDescent="0.25">
      <c r="A1318" s="2" t="s">
        <v>9126</v>
      </c>
      <c r="B1318" s="2">
        <v>439.231942874548</v>
      </c>
      <c r="C1318" s="2">
        <v>6.3627833333333301</v>
      </c>
      <c r="D1318" s="2" t="s">
        <v>51</v>
      </c>
      <c r="E1318" s="2" t="s">
        <v>9127</v>
      </c>
      <c r="F1318" s="2">
        <v>5753</v>
      </c>
      <c r="G1318" s="3" t="str">
        <f>HYPERLINK("https://cloud.oebiotech.com/#/lm/network/5753", "https://cloud.oebiotech.com/#/lm/network/5753")</f>
        <v>https://cloud.oebiotech.com/#/lm/network/5753</v>
      </c>
      <c r="H1318" s="2"/>
      <c r="I1318" s="2"/>
      <c r="J1318" s="2" t="s">
        <v>9128</v>
      </c>
      <c r="K1318" s="2">
        <v>131841151</v>
      </c>
      <c r="L1318" s="2"/>
      <c r="M1318" s="2"/>
      <c r="N1318" s="2"/>
      <c r="O1318" s="2"/>
      <c r="P1318" s="2"/>
      <c r="Q1318" s="2"/>
      <c r="R1318" s="2"/>
      <c r="S1318" s="2" t="s">
        <v>9129</v>
      </c>
      <c r="T1318" s="2" t="s">
        <v>9130</v>
      </c>
      <c r="U1318" s="2" t="s">
        <v>56</v>
      </c>
      <c r="V1318" s="2" t="s">
        <v>145</v>
      </c>
      <c r="W1318" s="2" t="s">
        <v>231</v>
      </c>
      <c r="X1318" s="2" t="s">
        <v>147</v>
      </c>
      <c r="Y1318" s="2">
        <v>43.4</v>
      </c>
      <c r="Z1318" s="2">
        <v>31.7</v>
      </c>
      <c r="AA1318" s="2" t="s">
        <v>218</v>
      </c>
      <c r="AB1318" s="2" t="s">
        <v>414</v>
      </c>
      <c r="AC1318" s="2">
        <v>-4.5627626511552597</v>
      </c>
      <c r="AD1318" s="2"/>
      <c r="AE1318" s="2">
        <v>0.47836152188153702</v>
      </c>
      <c r="AF1318" s="2">
        <v>11463.464717988199</v>
      </c>
      <c r="AG1318" s="2">
        <v>5542.1885355418099</v>
      </c>
      <c r="AH1318" s="5">
        <v>2.0684003520402698</v>
      </c>
      <c r="AI1318" s="5">
        <v>1.0485154554796301</v>
      </c>
      <c r="AJ1318" s="5" t="s">
        <v>139</v>
      </c>
      <c r="AK1318" s="2">
        <v>0.15983751056734299</v>
      </c>
      <c r="AL1318" s="2">
        <v>0.482327607117922</v>
      </c>
      <c r="AM1318" s="2">
        <v>24527.457514736801</v>
      </c>
      <c r="AN1318" s="2">
        <v>10428.296670366</v>
      </c>
      <c r="AO1318" s="2">
        <v>6537.42170861049</v>
      </c>
      <c r="AP1318" s="2">
        <v>8449.5747734854995</v>
      </c>
      <c r="AQ1318" s="2">
        <v>8822.4226716144494</v>
      </c>
      <c r="AR1318" s="2">
        <v>10015.614969116101</v>
      </c>
      <c r="AS1318" s="2">
        <v>3399.3981028180101</v>
      </c>
      <c r="AT1318" s="2">
        <v>258.59987039526902</v>
      </c>
      <c r="AU1318" s="2">
        <v>19155.505347955499</v>
      </c>
      <c r="AV1318" s="2">
        <v>856.40008136573499</v>
      </c>
      <c r="AW1318" s="2">
        <v>5519.8329821134103</v>
      </c>
      <c r="AX1318" s="2">
        <v>4063.3948286029199</v>
      </c>
    </row>
    <row r="1319" spans="1:50" x14ac:dyDescent="0.25">
      <c r="A1319" s="2" t="s">
        <v>9131</v>
      </c>
      <c r="B1319" s="2">
        <v>207.13863180778301</v>
      </c>
      <c r="C1319" s="2">
        <v>8.3552166666666707</v>
      </c>
      <c r="D1319" s="2" t="s">
        <v>51</v>
      </c>
      <c r="E1319" s="2" t="s">
        <v>9132</v>
      </c>
      <c r="F1319" s="2">
        <v>61136</v>
      </c>
      <c r="G1319" s="3" t="str">
        <f>HYPERLINK("https://cloud.oebiotech.com/#/lm/network/61136", "https://cloud.oebiotech.com/#/lm/network/61136")</f>
        <v>https://cloud.oebiotech.com/#/lm/network/61136</v>
      </c>
      <c r="H1319" s="2" t="s">
        <v>9133</v>
      </c>
      <c r="I1319" s="2">
        <v>92447</v>
      </c>
      <c r="J1319" s="2"/>
      <c r="K1319" s="2">
        <v>85239007</v>
      </c>
      <c r="L1319" s="2"/>
      <c r="M1319" s="2"/>
      <c r="N1319" s="2"/>
      <c r="O1319" s="2">
        <v>138757</v>
      </c>
      <c r="P1319" s="2"/>
      <c r="Q1319" s="2"/>
      <c r="R1319" s="2" t="s">
        <v>9134</v>
      </c>
      <c r="S1319" s="2" t="s">
        <v>9135</v>
      </c>
      <c r="T1319" s="2" t="s">
        <v>9136</v>
      </c>
      <c r="U1319" s="2" t="s">
        <v>331</v>
      </c>
      <c r="V1319" s="2" t="s">
        <v>332</v>
      </c>
      <c r="W1319" s="2" t="s">
        <v>1207</v>
      </c>
      <c r="X1319" s="2" t="s">
        <v>83</v>
      </c>
      <c r="Y1319" s="2">
        <v>54.7</v>
      </c>
      <c r="Z1319" s="2">
        <v>36.700000000000003</v>
      </c>
      <c r="AA1319" s="2" t="s">
        <v>179</v>
      </c>
      <c r="AB1319" s="2" t="s">
        <v>9137</v>
      </c>
      <c r="AC1319" s="2">
        <v>3.2773355389157901</v>
      </c>
      <c r="AD1319" s="2"/>
      <c r="AE1319" s="2">
        <v>0.47764791874732498</v>
      </c>
      <c r="AF1319" s="2">
        <v>10968.319141555699</v>
      </c>
      <c r="AG1319" s="2">
        <v>5757.40101132986</v>
      </c>
      <c r="AH1319" s="5">
        <v>1.90508167139503</v>
      </c>
      <c r="AI1319" s="5">
        <v>0.92985284779257404</v>
      </c>
      <c r="AJ1319" s="5" t="s">
        <v>139</v>
      </c>
      <c r="AK1319" s="2">
        <v>4.1522508338607003E-2</v>
      </c>
      <c r="AL1319" s="2">
        <v>0.29243076157332099</v>
      </c>
      <c r="AM1319" s="2">
        <v>15940.954561369101</v>
      </c>
      <c r="AN1319" s="2">
        <v>17526.411522534399</v>
      </c>
      <c r="AO1319" s="2">
        <v>6348.9766072796201</v>
      </c>
      <c r="AP1319" s="2">
        <v>6896.0118773411496</v>
      </c>
      <c r="AQ1319" s="2">
        <v>7525.3349715397098</v>
      </c>
      <c r="AR1319" s="2">
        <v>11572.2253092705</v>
      </c>
      <c r="AS1319" s="2">
        <v>7411.1700709701299</v>
      </c>
      <c r="AT1319" s="2">
        <v>5145.6976246588802</v>
      </c>
      <c r="AU1319" s="2">
        <v>6589.5740328052398</v>
      </c>
      <c r="AV1319" s="2">
        <v>3126.8502123491298</v>
      </c>
      <c r="AW1319" s="2">
        <v>2956.1819508121198</v>
      </c>
      <c r="AX1319" s="2">
        <v>9314.9321763836506</v>
      </c>
    </row>
    <row r="1320" spans="1:50" x14ac:dyDescent="0.25">
      <c r="A1320" s="2" t="s">
        <v>9138</v>
      </c>
      <c r="B1320" s="2">
        <v>518.32578528827798</v>
      </c>
      <c r="C1320" s="2">
        <v>8.2118333333333293</v>
      </c>
      <c r="D1320" s="2" t="s">
        <v>51</v>
      </c>
      <c r="E1320" s="2" t="s">
        <v>9139</v>
      </c>
      <c r="F1320" s="2">
        <v>19878</v>
      </c>
      <c r="G1320" s="3" t="str">
        <f>HYPERLINK("https://cloud.oebiotech.com/#/lm/network/19878", "https://cloud.oebiotech.com/#/lm/network/19878")</f>
        <v>https://cloud.oebiotech.com/#/lm/network/19878</v>
      </c>
      <c r="H1320" s="2" t="s">
        <v>9140</v>
      </c>
      <c r="I1320" s="2">
        <v>61697</v>
      </c>
      <c r="J1320" s="2" t="s">
        <v>9141</v>
      </c>
      <c r="K1320" s="2">
        <v>52924045</v>
      </c>
      <c r="L1320" s="2" t="s">
        <v>691</v>
      </c>
      <c r="M1320" s="2" t="s">
        <v>692</v>
      </c>
      <c r="N1320" s="2" t="s">
        <v>693</v>
      </c>
      <c r="O1320" s="2">
        <v>88698</v>
      </c>
      <c r="P1320" s="2"/>
      <c r="Q1320" s="2"/>
      <c r="R1320" s="2"/>
      <c r="S1320" s="2" t="s">
        <v>9142</v>
      </c>
      <c r="T1320" s="2" t="s">
        <v>9143</v>
      </c>
      <c r="U1320" s="2" t="s">
        <v>56</v>
      </c>
      <c r="V1320" s="2" t="s">
        <v>57</v>
      </c>
      <c r="W1320" s="2" t="s">
        <v>58</v>
      </c>
      <c r="X1320" s="2" t="s">
        <v>59</v>
      </c>
      <c r="Y1320" s="2">
        <v>50.7</v>
      </c>
      <c r="Z1320" s="2">
        <v>59.4</v>
      </c>
      <c r="AA1320" s="2" t="s">
        <v>259</v>
      </c>
      <c r="AB1320" s="2" t="s">
        <v>2972</v>
      </c>
      <c r="AC1320" s="2">
        <v>3.2269299391719102</v>
      </c>
      <c r="AD1320" s="2"/>
      <c r="AE1320" s="2">
        <v>0.47720951777590498</v>
      </c>
      <c r="AF1320" s="2">
        <v>31967.915957929399</v>
      </c>
      <c r="AG1320" s="2">
        <v>23535.4424519042</v>
      </c>
      <c r="AH1320" s="5">
        <v>1.3582882932095801</v>
      </c>
      <c r="AI1320" s="5">
        <v>0.44178972040869402</v>
      </c>
      <c r="AJ1320" s="5" t="s">
        <v>139</v>
      </c>
      <c r="AK1320" s="2">
        <v>0.17552288477911801</v>
      </c>
      <c r="AL1320" s="2">
        <v>0.49660090720040001</v>
      </c>
      <c r="AM1320" s="2">
        <v>23533.331560571201</v>
      </c>
      <c r="AN1320" s="2">
        <v>52441.663419711498</v>
      </c>
      <c r="AO1320" s="2">
        <v>30087.514025719702</v>
      </c>
      <c r="AP1320" s="2">
        <v>21554.2052485397</v>
      </c>
      <c r="AQ1320" s="2">
        <v>25671.1448316264</v>
      </c>
      <c r="AR1320" s="2">
        <v>38519.636661407698</v>
      </c>
      <c r="AS1320" s="2">
        <v>30055.382652216998</v>
      </c>
      <c r="AT1320" s="2">
        <v>24101.911178408602</v>
      </c>
      <c r="AU1320" s="2">
        <v>25365.794438553101</v>
      </c>
      <c r="AV1320" s="2">
        <v>13676.8130868841</v>
      </c>
      <c r="AW1320" s="2">
        <v>14656.885860358099</v>
      </c>
      <c r="AX1320" s="2">
        <v>33355.867495004401</v>
      </c>
    </row>
    <row r="1321" spans="1:50" x14ac:dyDescent="0.25">
      <c r="A1321" s="2" t="s">
        <v>9144</v>
      </c>
      <c r="B1321" s="2">
        <v>395.24429981950902</v>
      </c>
      <c r="C1321" s="2">
        <v>8.0245666666666704</v>
      </c>
      <c r="D1321" s="2" t="s">
        <v>51</v>
      </c>
      <c r="E1321" s="2" t="s">
        <v>9145</v>
      </c>
      <c r="F1321" s="2">
        <v>1619</v>
      </c>
      <c r="G1321" s="3" t="str">
        <f>HYPERLINK("https://cloud.oebiotech.com/#/lm/network/1619", "https://cloud.oebiotech.com/#/lm/network/1619")</f>
        <v>https://cloud.oebiotech.com/#/lm/network/1619</v>
      </c>
      <c r="H1321" s="2"/>
      <c r="I1321" s="2"/>
      <c r="J1321" s="2" t="s">
        <v>9146</v>
      </c>
      <c r="K1321" s="2"/>
      <c r="L1321" s="2"/>
      <c r="M1321" s="2"/>
      <c r="N1321" s="2"/>
      <c r="O1321" s="2"/>
      <c r="P1321" s="2"/>
      <c r="Q1321" s="2"/>
      <c r="R1321" s="2"/>
      <c r="S1321" s="2" t="s">
        <v>9147</v>
      </c>
      <c r="T1321" s="2" t="s">
        <v>9148</v>
      </c>
      <c r="U1321" s="2" t="s">
        <v>56</v>
      </c>
      <c r="V1321" s="2" t="s">
        <v>145</v>
      </c>
      <c r="W1321" s="2" t="s">
        <v>231</v>
      </c>
      <c r="X1321" s="2" t="s">
        <v>147</v>
      </c>
      <c r="Y1321" s="2">
        <v>39.299999999999997</v>
      </c>
      <c r="Z1321" s="2">
        <v>0</v>
      </c>
      <c r="AA1321" s="2" t="s">
        <v>478</v>
      </c>
      <c r="AB1321" s="2" t="s">
        <v>9149</v>
      </c>
      <c r="AC1321" s="2">
        <v>0.97761127237374901</v>
      </c>
      <c r="AD1321" s="2"/>
      <c r="AE1321" s="2">
        <v>0.47704165420773198</v>
      </c>
      <c r="AF1321" s="2">
        <v>10530.2482042137</v>
      </c>
      <c r="AG1321" s="2">
        <v>4947.8289200792697</v>
      </c>
      <c r="AH1321" s="5">
        <v>2.1282563270285801</v>
      </c>
      <c r="AI1321" s="5">
        <v>1.08967191938358</v>
      </c>
      <c r="AJ1321" s="5" t="s">
        <v>139</v>
      </c>
      <c r="AK1321" s="2">
        <v>1.23933610586711E-2</v>
      </c>
      <c r="AL1321" s="2">
        <v>0.17723008223994699</v>
      </c>
      <c r="AM1321" s="2">
        <v>11938.4866804706</v>
      </c>
      <c r="AN1321" s="2">
        <v>10751.811471094699</v>
      </c>
      <c r="AO1321" s="2">
        <v>6661.8753588321597</v>
      </c>
      <c r="AP1321" s="2">
        <v>8300.9840361346505</v>
      </c>
      <c r="AQ1321" s="2">
        <v>10748.388068915199</v>
      </c>
      <c r="AR1321" s="2">
        <v>14779.9436098348</v>
      </c>
      <c r="AS1321" s="2">
        <v>5642.7209859252198</v>
      </c>
      <c r="AT1321" s="2">
        <v>1441.6202183995899</v>
      </c>
      <c r="AU1321" s="2">
        <v>10924.4562284278</v>
      </c>
      <c r="AV1321" s="2">
        <v>1908.3300334821699</v>
      </c>
      <c r="AW1321" s="2">
        <v>6135.7148864978299</v>
      </c>
      <c r="AX1321" s="2">
        <v>3634.1311677429899</v>
      </c>
    </row>
    <row r="1322" spans="1:50" x14ac:dyDescent="0.25">
      <c r="A1322" s="2" t="s">
        <v>9150</v>
      </c>
      <c r="B1322" s="2">
        <v>336.252005876434</v>
      </c>
      <c r="C1322" s="2">
        <v>8.3964499999999997</v>
      </c>
      <c r="D1322" s="2" t="s">
        <v>51</v>
      </c>
      <c r="E1322" s="2" t="s">
        <v>9151</v>
      </c>
      <c r="F1322" s="2">
        <v>60427</v>
      </c>
      <c r="G1322" s="3" t="str">
        <f>HYPERLINK("https://cloud.oebiotech.com/#/lm/network/60427", "https://cloud.oebiotech.com/#/lm/network/60427")</f>
        <v>https://cloud.oebiotech.com/#/lm/network/60427</v>
      </c>
      <c r="H1322" s="2" t="s">
        <v>9152</v>
      </c>
      <c r="I1322" s="2">
        <v>91779</v>
      </c>
      <c r="J1322" s="2"/>
      <c r="K1322" s="2">
        <v>14191204</v>
      </c>
      <c r="L1322" s="2"/>
      <c r="M1322" s="2"/>
      <c r="N1322" s="2"/>
      <c r="O1322" s="2"/>
      <c r="P1322" s="2"/>
      <c r="Q1322" s="2"/>
      <c r="R1322" s="2" t="s">
        <v>9153</v>
      </c>
      <c r="S1322" s="2" t="s">
        <v>9154</v>
      </c>
      <c r="T1322" s="2" t="s">
        <v>9155</v>
      </c>
      <c r="U1322" s="2" t="s">
        <v>56</v>
      </c>
      <c r="V1322" s="2" t="s">
        <v>177</v>
      </c>
      <c r="W1322" s="2" t="s">
        <v>178</v>
      </c>
      <c r="X1322" s="2" t="s">
        <v>83</v>
      </c>
      <c r="Y1322" s="2">
        <v>50.9</v>
      </c>
      <c r="Z1322" s="2">
        <v>25</v>
      </c>
      <c r="AA1322" s="2" t="s">
        <v>512</v>
      </c>
      <c r="AB1322" s="2" t="s">
        <v>180</v>
      </c>
      <c r="AC1322" s="2">
        <v>-4.13071595961845</v>
      </c>
      <c r="AD1322" s="2"/>
      <c r="AE1322" s="2">
        <v>0.47665413907950399</v>
      </c>
      <c r="AF1322" s="2">
        <v>21197.391181455099</v>
      </c>
      <c r="AG1322" s="2">
        <v>5258.9279635851399</v>
      </c>
      <c r="AH1322" s="5">
        <v>4.0307437805260102</v>
      </c>
      <c r="AI1322" s="5">
        <v>2.0110460793158098</v>
      </c>
      <c r="AJ1322" s="5" t="s">
        <v>139</v>
      </c>
      <c r="AK1322" s="2">
        <v>0.30927146650493498</v>
      </c>
      <c r="AL1322" s="2">
        <v>0.61930646855745797</v>
      </c>
      <c r="AM1322" s="2">
        <v>2037.7743166892401</v>
      </c>
      <c r="AN1322" s="2">
        <v>147.91658729046</v>
      </c>
      <c r="AO1322" s="2">
        <v>34595.787266803301</v>
      </c>
      <c r="AP1322" s="2">
        <v>1152.9980896336799</v>
      </c>
      <c r="AQ1322" s="2">
        <v>87818.879356736405</v>
      </c>
      <c r="AR1322" s="2">
        <v>1430.9914715776999</v>
      </c>
      <c r="AS1322" s="2">
        <v>22592.898652412401</v>
      </c>
      <c r="AT1322" s="2">
        <v>8.559877937157E-6</v>
      </c>
      <c r="AU1322" s="2">
        <v>8778.7154834202101</v>
      </c>
      <c r="AV1322" s="2">
        <v>130.692911149932</v>
      </c>
      <c r="AW1322" s="2">
        <v>11.077100355232799</v>
      </c>
      <c r="AX1322" s="2">
        <v>40.183625613167202</v>
      </c>
    </row>
    <row r="1323" spans="1:50" x14ac:dyDescent="0.25">
      <c r="A1323" s="2" t="s">
        <v>9156</v>
      </c>
      <c r="B1323" s="2">
        <v>661.32580151851505</v>
      </c>
      <c r="C1323" s="2">
        <v>4.7920333333333298</v>
      </c>
      <c r="D1323" s="2" t="s">
        <v>51</v>
      </c>
      <c r="E1323" s="2" t="s">
        <v>9157</v>
      </c>
      <c r="F1323" s="2">
        <v>211177</v>
      </c>
      <c r="G1323" s="3" t="str">
        <f>HYPERLINK("https://cloud.oebiotech.com/#/lm/network/211177", "https://cloud.oebiotech.com/#/lm/network/211177")</f>
        <v>https://cloud.oebiotech.com/#/lm/network/211177</v>
      </c>
      <c r="H1323" s="2" t="s">
        <v>9158</v>
      </c>
      <c r="I1323" s="2"/>
      <c r="J1323" s="2"/>
      <c r="K1323" s="2">
        <v>158348</v>
      </c>
      <c r="L1323" s="2"/>
      <c r="M1323" s="2"/>
      <c r="N1323" s="2"/>
      <c r="O1323" s="2"/>
      <c r="P1323" s="2"/>
      <c r="Q1323" s="2"/>
      <c r="R1323" s="2"/>
      <c r="S1323" s="2" t="s">
        <v>9159</v>
      </c>
      <c r="T1323" s="2" t="s">
        <v>9160</v>
      </c>
      <c r="U1323" s="2" t="s">
        <v>610</v>
      </c>
      <c r="V1323" s="2" t="s">
        <v>611</v>
      </c>
      <c r="W1323" s="2" t="s">
        <v>5656</v>
      </c>
      <c r="X1323" s="2" t="s">
        <v>147</v>
      </c>
      <c r="Y1323" s="2">
        <v>42.5</v>
      </c>
      <c r="Z1323" s="2">
        <v>36.9</v>
      </c>
      <c r="AA1323" s="2" t="s">
        <v>512</v>
      </c>
      <c r="AB1323" s="2" t="s">
        <v>9161</v>
      </c>
      <c r="AC1323" s="2">
        <v>-1.18208316684419</v>
      </c>
      <c r="AD1323" s="2"/>
      <c r="AE1323" s="2">
        <v>0.47635098178691099</v>
      </c>
      <c r="AF1323" s="2">
        <v>1784.34908909659</v>
      </c>
      <c r="AG1323" s="2">
        <v>13288.0590137083</v>
      </c>
      <c r="AH1323" s="4">
        <v>0.13428214664427701</v>
      </c>
      <c r="AI1323" s="4">
        <v>-2.8966605895258302</v>
      </c>
      <c r="AJ1323" s="4" t="s">
        <v>62</v>
      </c>
      <c r="AK1323" s="2">
        <v>0.39559833899552299</v>
      </c>
      <c r="AL1323" s="2">
        <v>0.66752996494649497</v>
      </c>
      <c r="AM1323" s="2">
        <v>5507.17871007741</v>
      </c>
      <c r="AN1323" s="2">
        <v>8.559877937157E-6</v>
      </c>
      <c r="AO1323" s="2">
        <v>8.559877937157E-6</v>
      </c>
      <c r="AP1323" s="2">
        <v>8.559877937157E-6</v>
      </c>
      <c r="AQ1323" s="2">
        <v>2412.56636097828</v>
      </c>
      <c r="AR1323" s="2">
        <v>2786.3494378442301</v>
      </c>
      <c r="AS1323" s="2">
        <v>8.559877937157E-6</v>
      </c>
      <c r="AT1323" s="2">
        <v>8.559877937157E-6</v>
      </c>
      <c r="AU1323" s="2">
        <v>1815.2708918688099</v>
      </c>
      <c r="AV1323" s="2">
        <v>77913.083156141598</v>
      </c>
      <c r="AW1323" s="2">
        <v>8.559877937157E-6</v>
      </c>
      <c r="AX1323" s="2">
        <v>8.559877937157E-6</v>
      </c>
    </row>
    <row r="1324" spans="1:50" x14ac:dyDescent="0.25">
      <c r="A1324" s="2" t="s">
        <v>9162</v>
      </c>
      <c r="B1324" s="2">
        <v>620.354756773041</v>
      </c>
      <c r="C1324" s="2">
        <v>11.7151666666667</v>
      </c>
      <c r="D1324" s="2" t="s">
        <v>51</v>
      </c>
      <c r="E1324" s="2" t="s">
        <v>9163</v>
      </c>
      <c r="F1324" s="2">
        <v>27843</v>
      </c>
      <c r="G1324" s="3" t="str">
        <f>HYPERLINK("https://cloud.oebiotech.com/#/lm/network/27843", "https://cloud.oebiotech.com/#/lm/network/27843")</f>
        <v>https://cloud.oebiotech.com/#/lm/network/27843</v>
      </c>
      <c r="H1324" s="2"/>
      <c r="I1324" s="2"/>
      <c r="J1324" s="2" t="s">
        <v>9164</v>
      </c>
      <c r="K1324" s="2">
        <v>134812297</v>
      </c>
      <c r="L1324" s="2"/>
      <c r="M1324" s="2"/>
      <c r="N1324" s="2"/>
      <c r="O1324" s="2"/>
      <c r="P1324" s="2"/>
      <c r="Q1324" s="2"/>
      <c r="R1324" s="2"/>
      <c r="S1324" s="2" t="s">
        <v>9165</v>
      </c>
      <c r="T1324" s="2" t="s">
        <v>9166</v>
      </c>
      <c r="U1324" s="2" t="s">
        <v>56</v>
      </c>
      <c r="V1324" s="2" t="s">
        <v>57</v>
      </c>
      <c r="W1324" s="2" t="s">
        <v>58</v>
      </c>
      <c r="X1324" s="2" t="s">
        <v>147</v>
      </c>
      <c r="Y1324" s="2">
        <v>40.200000000000003</v>
      </c>
      <c r="Z1324" s="2">
        <v>10.8</v>
      </c>
      <c r="AA1324" s="2" t="s">
        <v>163</v>
      </c>
      <c r="AB1324" s="2" t="s">
        <v>9167</v>
      </c>
      <c r="AC1324" s="2">
        <v>-3.4608066180031498</v>
      </c>
      <c r="AD1324" s="2"/>
      <c r="AE1324" s="2">
        <v>0.47592709277888801</v>
      </c>
      <c r="AF1324" s="2">
        <v>92072.699114743897</v>
      </c>
      <c r="AG1324" s="2">
        <v>112515.376207234</v>
      </c>
      <c r="AH1324" s="4">
        <v>0.81831214735630498</v>
      </c>
      <c r="AI1324" s="4">
        <v>-0.28927682685285999</v>
      </c>
      <c r="AJ1324" s="4" t="s">
        <v>62</v>
      </c>
      <c r="AK1324" s="2">
        <v>0.27912402894923999</v>
      </c>
      <c r="AL1324" s="2">
        <v>0.59871863544779103</v>
      </c>
      <c r="AM1324" s="2">
        <v>141760.24866468701</v>
      </c>
      <c r="AN1324" s="2">
        <v>91026.064536308302</v>
      </c>
      <c r="AO1324" s="2">
        <v>78766.290974362899</v>
      </c>
      <c r="AP1324" s="2">
        <v>64813.955729354799</v>
      </c>
      <c r="AQ1324" s="2">
        <v>74355.325131067206</v>
      </c>
      <c r="AR1324" s="2">
        <v>101714.309652683</v>
      </c>
      <c r="AS1324" s="2">
        <v>102540.014477037</v>
      </c>
      <c r="AT1324" s="2">
        <v>63890.825776728503</v>
      </c>
      <c r="AU1324" s="2">
        <v>164952.86876061099</v>
      </c>
      <c r="AV1324" s="2">
        <v>104542.467481101</v>
      </c>
      <c r="AW1324" s="2">
        <v>133716.011985369</v>
      </c>
      <c r="AX1324" s="2">
        <v>105450.06876255501</v>
      </c>
    </row>
    <row r="1325" spans="1:50" x14ac:dyDescent="0.25">
      <c r="A1325" s="2" t="s">
        <v>9168</v>
      </c>
      <c r="B1325" s="2">
        <v>314.085599598025</v>
      </c>
      <c r="C1325" s="2">
        <v>0.74455000000000005</v>
      </c>
      <c r="D1325" s="2" t="s">
        <v>51</v>
      </c>
      <c r="E1325" s="2" t="s">
        <v>9169</v>
      </c>
      <c r="F1325" s="2">
        <v>201084</v>
      </c>
      <c r="G1325" s="3" t="str">
        <f>HYPERLINK("https://cloud.oebiotech.com/#/lm/network/201084", "https://cloud.oebiotech.com/#/lm/network/201084")</f>
        <v>https://cloud.oebiotech.com/#/lm/network/201084</v>
      </c>
      <c r="H1325" s="2" t="s">
        <v>9170</v>
      </c>
      <c r="I1325" s="2"/>
      <c r="J1325" s="2"/>
      <c r="K1325" s="2">
        <v>1553</v>
      </c>
      <c r="L1325" s="2"/>
      <c r="M1325" s="2"/>
      <c r="N1325" s="2"/>
      <c r="O1325" s="2"/>
      <c r="P1325" s="2"/>
      <c r="Q1325" s="2"/>
      <c r="R1325" s="2"/>
      <c r="S1325" s="2" t="s">
        <v>9171</v>
      </c>
      <c r="T1325" s="2" t="s">
        <v>9172</v>
      </c>
      <c r="U1325" s="2" t="s">
        <v>103</v>
      </c>
      <c r="V1325" s="2" t="s">
        <v>104</v>
      </c>
      <c r="W1325" s="2" t="s">
        <v>9173</v>
      </c>
      <c r="X1325" s="2" t="s">
        <v>69</v>
      </c>
      <c r="Y1325" s="2">
        <v>48.2</v>
      </c>
      <c r="Z1325" s="2">
        <v>52.9</v>
      </c>
      <c r="AA1325" s="2" t="s">
        <v>9174</v>
      </c>
      <c r="AB1325" s="2" t="s">
        <v>9175</v>
      </c>
      <c r="AC1325" s="2">
        <v>3.3061721369088799</v>
      </c>
      <c r="AD1325" s="2"/>
      <c r="AE1325" s="2">
        <v>0.47580877400939198</v>
      </c>
      <c r="AF1325" s="2">
        <v>28388.471327172101</v>
      </c>
      <c r="AG1325" s="2">
        <v>37860.450188622097</v>
      </c>
      <c r="AH1325" s="4">
        <v>0.74981864150425404</v>
      </c>
      <c r="AI1325" s="4">
        <v>-0.41538640146804301</v>
      </c>
      <c r="AJ1325" s="4" t="s">
        <v>62</v>
      </c>
      <c r="AK1325" s="2">
        <v>0.56193341743594505</v>
      </c>
      <c r="AL1325" s="2">
        <v>0.78064040599162898</v>
      </c>
      <c r="AM1325" s="2">
        <v>20041.637555443001</v>
      </c>
      <c r="AN1325" s="2">
        <v>16116.5453904736</v>
      </c>
      <c r="AO1325" s="2">
        <v>10335.2795441751</v>
      </c>
      <c r="AP1325" s="2">
        <v>14478.525509211</v>
      </c>
      <c r="AQ1325" s="2">
        <v>55127.672855339602</v>
      </c>
      <c r="AR1325" s="2">
        <v>54231.1671083904</v>
      </c>
      <c r="AS1325" s="2">
        <v>53276.901257669</v>
      </c>
      <c r="AT1325" s="2">
        <v>12019.646269920901</v>
      </c>
      <c r="AU1325" s="2">
        <v>19627.495386004</v>
      </c>
      <c r="AV1325" s="2">
        <v>97375.334366985597</v>
      </c>
      <c r="AW1325" s="2">
        <v>15321.7734610814</v>
      </c>
      <c r="AX1325" s="2">
        <v>29541.550390071901</v>
      </c>
    </row>
    <row r="1326" spans="1:50" x14ac:dyDescent="0.25">
      <c r="A1326" s="2" t="s">
        <v>9176</v>
      </c>
      <c r="B1326" s="2">
        <v>339.08199398906498</v>
      </c>
      <c r="C1326" s="2">
        <v>5.5480499999999999</v>
      </c>
      <c r="D1326" s="2" t="s">
        <v>51</v>
      </c>
      <c r="E1326" s="2" t="s">
        <v>9177</v>
      </c>
      <c r="F1326" s="2">
        <v>204237</v>
      </c>
      <c r="G1326" s="3" t="str">
        <f>HYPERLINK("https://cloud.oebiotech.com/#/lm/network/204237", "https://cloud.oebiotech.com/#/lm/network/204237")</f>
        <v>https://cloud.oebiotech.com/#/lm/network/204237</v>
      </c>
      <c r="H1326" s="2" t="s">
        <v>9178</v>
      </c>
      <c r="I1326" s="2"/>
      <c r="J1326" s="2"/>
      <c r="K1326" s="2">
        <v>5114266</v>
      </c>
      <c r="L1326" s="2"/>
      <c r="M1326" s="2"/>
      <c r="N1326" s="2"/>
      <c r="O1326" s="2"/>
      <c r="P1326" s="2"/>
      <c r="Q1326" s="2"/>
      <c r="R1326" s="2"/>
      <c r="S1326" s="2" t="s">
        <v>9179</v>
      </c>
      <c r="T1326" s="2" t="s">
        <v>9180</v>
      </c>
      <c r="U1326" s="2" t="s">
        <v>103</v>
      </c>
      <c r="V1326" s="2" t="s">
        <v>104</v>
      </c>
      <c r="W1326" s="2" t="s">
        <v>105</v>
      </c>
      <c r="X1326" s="2" t="s">
        <v>147</v>
      </c>
      <c r="Y1326" s="2">
        <v>41.6</v>
      </c>
      <c r="Z1326" s="2">
        <v>29.1</v>
      </c>
      <c r="AA1326" s="2" t="s">
        <v>156</v>
      </c>
      <c r="AB1326" s="2" t="s">
        <v>9181</v>
      </c>
      <c r="AC1326" s="2">
        <v>-3.2769856248486899</v>
      </c>
      <c r="AD1326" s="2"/>
      <c r="AE1326" s="2">
        <v>0.47577596417391699</v>
      </c>
      <c r="AF1326" s="2">
        <v>24592.584321387101</v>
      </c>
      <c r="AG1326" s="2">
        <v>9015.3282905427204</v>
      </c>
      <c r="AH1326" s="5">
        <v>2.7278634264694799</v>
      </c>
      <c r="AI1326" s="5">
        <v>1.4477714160309001</v>
      </c>
      <c r="AJ1326" s="5" t="s">
        <v>139</v>
      </c>
      <c r="AK1326" s="2">
        <v>0.28315580239386001</v>
      </c>
      <c r="AL1326" s="2">
        <v>0.60000138164408201</v>
      </c>
      <c r="AM1326" s="2">
        <v>6706.9535090077998</v>
      </c>
      <c r="AN1326" s="2">
        <v>32330.158147567301</v>
      </c>
      <c r="AO1326" s="2">
        <v>2550.4617076376599</v>
      </c>
      <c r="AP1326" s="2">
        <v>76548.962380544195</v>
      </c>
      <c r="AQ1326" s="2">
        <v>3432.3201300239698</v>
      </c>
      <c r="AR1326" s="2">
        <v>25986.6500535415</v>
      </c>
      <c r="AS1326" s="2">
        <v>8.559877937157E-6</v>
      </c>
      <c r="AT1326" s="2">
        <v>45733.228360060297</v>
      </c>
      <c r="AU1326" s="2">
        <v>1500.1565230491599</v>
      </c>
      <c r="AV1326" s="2">
        <v>6081.9109445474596</v>
      </c>
      <c r="AW1326" s="2">
        <v>776.67389847963102</v>
      </c>
      <c r="AX1326" s="2">
        <v>8.559877937157E-6</v>
      </c>
    </row>
    <row r="1327" spans="1:50" x14ac:dyDescent="0.25">
      <c r="A1327" s="2" t="s">
        <v>9182</v>
      </c>
      <c r="B1327" s="2">
        <v>477.22494021150499</v>
      </c>
      <c r="C1327" s="2">
        <v>5.1289166666666697</v>
      </c>
      <c r="D1327" s="2" t="s">
        <v>51</v>
      </c>
      <c r="E1327" s="2" t="s">
        <v>9183</v>
      </c>
      <c r="F1327" s="2">
        <v>26099</v>
      </c>
      <c r="G1327" s="3" t="str">
        <f>HYPERLINK("https://cloud.oebiotech.com/#/lm/network/26099", "https://cloud.oebiotech.com/#/lm/network/26099")</f>
        <v>https://cloud.oebiotech.com/#/lm/network/26099</v>
      </c>
      <c r="H1327" s="2" t="s">
        <v>9184</v>
      </c>
      <c r="I1327" s="2">
        <v>82354</v>
      </c>
      <c r="J1327" s="2" t="s">
        <v>9185</v>
      </c>
      <c r="K1327" s="2">
        <v>52929766</v>
      </c>
      <c r="L1327" s="2"/>
      <c r="M1327" s="2"/>
      <c r="N1327" s="2"/>
      <c r="O1327" s="2">
        <v>74831</v>
      </c>
      <c r="P1327" s="2"/>
      <c r="Q1327" s="2"/>
      <c r="R1327" s="2"/>
      <c r="S1327" s="2" t="s">
        <v>9186</v>
      </c>
      <c r="T1327" s="2" t="s">
        <v>9187</v>
      </c>
      <c r="U1327" s="2" t="s">
        <v>56</v>
      </c>
      <c r="V1327" s="2" t="s">
        <v>57</v>
      </c>
      <c r="W1327" s="2" t="s">
        <v>702</v>
      </c>
      <c r="X1327" s="2" t="s">
        <v>147</v>
      </c>
      <c r="Y1327" s="2">
        <v>41.9</v>
      </c>
      <c r="Z1327" s="2">
        <v>14.1</v>
      </c>
      <c r="AA1327" s="2" t="s">
        <v>218</v>
      </c>
      <c r="AB1327" s="2" t="s">
        <v>9188</v>
      </c>
      <c r="AC1327" s="2">
        <v>-2.2044214812887302</v>
      </c>
      <c r="AD1327" s="2"/>
      <c r="AE1327" s="2">
        <v>0.47565244687983099</v>
      </c>
      <c r="AF1327" s="2">
        <v>16453.4281868943</v>
      </c>
      <c r="AG1327" s="2">
        <v>1689.69047569796</v>
      </c>
      <c r="AH1327" s="5">
        <v>9.7375397586341297</v>
      </c>
      <c r="AI1327" s="5">
        <v>3.2835573137486</v>
      </c>
      <c r="AJ1327" s="5" t="s">
        <v>139</v>
      </c>
      <c r="AK1327" s="2">
        <v>0.236280247990513</v>
      </c>
      <c r="AL1327" s="2">
        <v>0.56083325745832202</v>
      </c>
      <c r="AM1327" s="2">
        <v>3966.9142016492101</v>
      </c>
      <c r="AN1327" s="2">
        <v>946.42903938246604</v>
      </c>
      <c r="AO1327" s="2">
        <v>1347.37547606317</v>
      </c>
      <c r="AP1327" s="2">
        <v>2125.4234904936602</v>
      </c>
      <c r="AQ1327" s="2">
        <v>73680.206676592206</v>
      </c>
      <c r="AR1327" s="2">
        <v>16654.220237185302</v>
      </c>
      <c r="AS1327" s="2">
        <v>1778.16108443237</v>
      </c>
      <c r="AT1327" s="2">
        <v>144.624246128712</v>
      </c>
      <c r="AU1327" s="2">
        <v>1866.1574205071199</v>
      </c>
      <c r="AV1327" s="2">
        <v>4771.1272532786898</v>
      </c>
      <c r="AW1327" s="2">
        <v>297.50261497115002</v>
      </c>
      <c r="AX1327" s="2">
        <v>1280.57023486974</v>
      </c>
    </row>
    <row r="1328" spans="1:50" x14ac:dyDescent="0.25">
      <c r="A1328" s="2" t="s">
        <v>9189</v>
      </c>
      <c r="B1328" s="2">
        <v>241.07462499696501</v>
      </c>
      <c r="C1328" s="2">
        <v>4.23708333333333</v>
      </c>
      <c r="D1328" s="2" t="s">
        <v>51</v>
      </c>
      <c r="E1328" s="2" t="s">
        <v>9190</v>
      </c>
      <c r="F1328" s="2">
        <v>53906</v>
      </c>
      <c r="G1328" s="3" t="str">
        <f>HYPERLINK("https://cloud.oebiotech.com/#/lm/network/53906", "https://cloud.oebiotech.com/#/lm/network/53906")</f>
        <v>https://cloud.oebiotech.com/#/lm/network/53906</v>
      </c>
      <c r="H1328" s="2" t="s">
        <v>9191</v>
      </c>
      <c r="I1328" s="2">
        <v>23651</v>
      </c>
      <c r="J1328" s="2"/>
      <c r="K1328" s="2">
        <v>15294281</v>
      </c>
      <c r="L1328" s="2"/>
      <c r="M1328" s="2"/>
      <c r="N1328" s="2"/>
      <c r="O1328" s="2"/>
      <c r="P1328" s="2"/>
      <c r="Q1328" s="2"/>
      <c r="R1328" s="2" t="s">
        <v>9192</v>
      </c>
      <c r="S1328" s="2" t="s">
        <v>9193</v>
      </c>
      <c r="T1328" s="2" t="s">
        <v>9194</v>
      </c>
      <c r="U1328" s="2" t="s">
        <v>103</v>
      </c>
      <c r="V1328" s="2" t="s">
        <v>104</v>
      </c>
      <c r="W1328" s="2" t="s">
        <v>105</v>
      </c>
      <c r="X1328" s="2" t="s">
        <v>147</v>
      </c>
      <c r="Y1328" s="2">
        <v>42.7</v>
      </c>
      <c r="Z1328" s="2">
        <v>26.5</v>
      </c>
      <c r="AA1328" s="2" t="s">
        <v>156</v>
      </c>
      <c r="AB1328" s="2" t="s">
        <v>9195</v>
      </c>
      <c r="AC1328" s="2">
        <v>-2.8986507086765201</v>
      </c>
      <c r="AD1328" s="2"/>
      <c r="AE1328" s="2">
        <v>0.47545574214714798</v>
      </c>
      <c r="AF1328" s="2">
        <v>9805.4534539404103</v>
      </c>
      <c r="AG1328" s="2">
        <v>15884.5370610111</v>
      </c>
      <c r="AH1328" s="4">
        <v>0.61729551300604801</v>
      </c>
      <c r="AI1328" s="4">
        <v>-0.695966790141475</v>
      </c>
      <c r="AJ1328" s="4" t="s">
        <v>62</v>
      </c>
      <c r="AK1328" s="2">
        <v>5.4454194683272499E-2</v>
      </c>
      <c r="AL1328" s="2">
        <v>0.31944806275085003</v>
      </c>
      <c r="AM1328" s="2">
        <v>4955.2980038919204</v>
      </c>
      <c r="AN1328" s="2">
        <v>12924.9845177713</v>
      </c>
      <c r="AO1328" s="2">
        <v>9950.7098814149995</v>
      </c>
      <c r="AP1328" s="2">
        <v>10644.7713838527</v>
      </c>
      <c r="AQ1328" s="2">
        <v>11683.385722798999</v>
      </c>
      <c r="AR1328" s="2">
        <v>8673.5712139125608</v>
      </c>
      <c r="AS1328" s="2">
        <v>22053.7353882936</v>
      </c>
      <c r="AT1328" s="2">
        <v>19126.380918206502</v>
      </c>
      <c r="AU1328" s="2">
        <v>7885.9133875838297</v>
      </c>
      <c r="AV1328" s="2">
        <v>8335.5135363342797</v>
      </c>
      <c r="AW1328" s="2">
        <v>17133.6834871295</v>
      </c>
      <c r="AX1328" s="2">
        <v>20771.995648518699</v>
      </c>
    </row>
    <row r="1329" spans="1:50" x14ac:dyDescent="0.25">
      <c r="A1329" s="2" t="s">
        <v>9196</v>
      </c>
      <c r="B1329" s="2">
        <v>509.12188740512897</v>
      </c>
      <c r="C1329" s="2">
        <v>6.9221166666666702</v>
      </c>
      <c r="D1329" s="2" t="s">
        <v>51</v>
      </c>
      <c r="E1329" s="2" t="s">
        <v>9197</v>
      </c>
      <c r="F1329" s="2">
        <v>255964</v>
      </c>
      <c r="G1329" s="3" t="str">
        <f>HYPERLINK("https://cloud.oebiotech.com/#/lm/network/255964", "https://cloud.oebiotech.com/#/lm/network/255964")</f>
        <v>https://cloud.oebiotech.com/#/lm/network/255964</v>
      </c>
      <c r="H1329" s="2" t="s">
        <v>9198</v>
      </c>
      <c r="I1329" s="2"/>
      <c r="J1329" s="2"/>
      <c r="K1329" s="2">
        <v>441647</v>
      </c>
      <c r="L1329" s="2" t="s">
        <v>9199</v>
      </c>
      <c r="M1329" s="2"/>
      <c r="N1329" s="2"/>
      <c r="O1329" s="2">
        <v>2772</v>
      </c>
      <c r="P1329" s="2"/>
      <c r="Q1329" s="2"/>
      <c r="R1329" s="2"/>
      <c r="S1329" s="2" t="s">
        <v>9200</v>
      </c>
      <c r="T1329" s="2" t="s">
        <v>9201</v>
      </c>
      <c r="U1329" s="2" t="s">
        <v>540</v>
      </c>
      <c r="V1329" s="2" t="s">
        <v>541</v>
      </c>
      <c r="W1329" s="2" t="s">
        <v>9202</v>
      </c>
      <c r="X1329" s="2" t="s">
        <v>147</v>
      </c>
      <c r="Y1329" s="2">
        <v>38.200000000000003</v>
      </c>
      <c r="Z1329" s="2">
        <v>0</v>
      </c>
      <c r="AA1329" s="2" t="s">
        <v>478</v>
      </c>
      <c r="AB1329" s="2" t="s">
        <v>9203</v>
      </c>
      <c r="AC1329" s="2">
        <v>-4.5161395385892602</v>
      </c>
      <c r="AD1329" s="2"/>
      <c r="AE1329" s="2">
        <v>0.47536860796841701</v>
      </c>
      <c r="AF1329" s="2">
        <v>11317.2919178555</v>
      </c>
      <c r="AG1329" s="2">
        <v>18946.6488737457</v>
      </c>
      <c r="AH1329" s="4">
        <v>0.59732420193514302</v>
      </c>
      <c r="AI1329" s="4">
        <v>-0.74341391788520395</v>
      </c>
      <c r="AJ1329" s="4" t="s">
        <v>62</v>
      </c>
      <c r="AK1329" s="2">
        <v>6.3557274506547495E-2</v>
      </c>
      <c r="AL1329" s="2">
        <v>0.33601027492909402</v>
      </c>
      <c r="AM1329" s="2">
        <v>13259.9164626331</v>
      </c>
      <c r="AN1329" s="2">
        <v>8670.3134851702507</v>
      </c>
      <c r="AO1329" s="2">
        <v>17100.234734241199</v>
      </c>
      <c r="AP1329" s="2">
        <v>949.23803053106496</v>
      </c>
      <c r="AQ1329" s="2">
        <v>12045.368209901</v>
      </c>
      <c r="AR1329" s="2">
        <v>15878.6805846565</v>
      </c>
      <c r="AS1329" s="2">
        <v>20547.2663730692</v>
      </c>
      <c r="AT1329" s="2">
        <v>15974.405949440301</v>
      </c>
      <c r="AU1329" s="2">
        <v>16504.7966539995</v>
      </c>
      <c r="AV1329" s="2">
        <v>26855.552681057699</v>
      </c>
      <c r="AW1329" s="2">
        <v>25264.279151418399</v>
      </c>
      <c r="AX1329" s="2">
        <v>8533.5924334889696</v>
      </c>
    </row>
    <row r="1330" spans="1:50" x14ac:dyDescent="0.25">
      <c r="A1330" s="2" t="s">
        <v>9204</v>
      </c>
      <c r="B1330" s="2">
        <v>345.24359339624101</v>
      </c>
      <c r="C1330" s="2">
        <v>11.528283333333301</v>
      </c>
      <c r="D1330" s="2" t="s">
        <v>51</v>
      </c>
      <c r="E1330" s="2" t="s">
        <v>9205</v>
      </c>
      <c r="F1330" s="2">
        <v>468319</v>
      </c>
      <c r="G1330" s="3" t="str">
        <f>HYPERLINK("https://cloud.oebiotech.com/#/lm/network/468319", "https://cloud.oebiotech.com/#/lm/network/468319")</f>
        <v>https://cloud.oebiotech.com/#/lm/network/468319</v>
      </c>
      <c r="H1330" s="2" t="s">
        <v>9206</v>
      </c>
      <c r="I1330" s="2">
        <v>90321</v>
      </c>
      <c r="J1330" s="2"/>
      <c r="K1330" s="2">
        <v>12315548</v>
      </c>
      <c r="L1330" s="2"/>
      <c r="M1330" s="2"/>
      <c r="N1330" s="2"/>
      <c r="O1330" s="2"/>
      <c r="P1330" s="2"/>
      <c r="Q1330" s="2"/>
      <c r="R1330" s="2" t="s">
        <v>9207</v>
      </c>
      <c r="S1330" s="2" t="s">
        <v>9208</v>
      </c>
      <c r="T1330" s="2" t="s">
        <v>9209</v>
      </c>
      <c r="U1330" s="2" t="s">
        <v>56</v>
      </c>
      <c r="V1330" s="2" t="s">
        <v>177</v>
      </c>
      <c r="W1330" s="2" t="s">
        <v>178</v>
      </c>
      <c r="X1330" s="2" t="s">
        <v>83</v>
      </c>
      <c r="Y1330" s="2">
        <v>45.8</v>
      </c>
      <c r="Z1330" s="2">
        <v>0</v>
      </c>
      <c r="AA1330" s="2" t="s">
        <v>163</v>
      </c>
      <c r="AB1330" s="2" t="s">
        <v>7389</v>
      </c>
      <c r="AC1330" s="2">
        <v>0.216257065132475</v>
      </c>
      <c r="AD1330" s="2"/>
      <c r="AE1330" s="2">
        <v>0.47531787960554001</v>
      </c>
      <c r="AF1330" s="2">
        <v>60607.157951009103</v>
      </c>
      <c r="AG1330" s="2">
        <v>47683.228364464201</v>
      </c>
      <c r="AH1330" s="5">
        <v>1.2710372185323</v>
      </c>
      <c r="AI1330" s="5">
        <v>0.34600627598081501</v>
      </c>
      <c r="AJ1330" s="5" t="s">
        <v>139</v>
      </c>
      <c r="AK1330" s="2">
        <v>0.49338420708932601</v>
      </c>
      <c r="AL1330" s="2">
        <v>0.735068318071466</v>
      </c>
      <c r="AM1330" s="2">
        <v>115385.15925219101</v>
      </c>
      <c r="AN1330" s="2">
        <v>33646.820989628002</v>
      </c>
      <c r="AO1330" s="2">
        <v>20656.629159660199</v>
      </c>
      <c r="AP1330" s="2">
        <v>47762.819231294903</v>
      </c>
      <c r="AQ1330" s="2">
        <v>65013.205265529497</v>
      </c>
      <c r="AR1330" s="2">
        <v>81178.313807751096</v>
      </c>
      <c r="AS1330" s="2">
        <v>22991.3258150244</v>
      </c>
      <c r="AT1330" s="2">
        <v>13653.3511317637</v>
      </c>
      <c r="AU1330" s="2">
        <v>85047.164177610495</v>
      </c>
      <c r="AV1330" s="2">
        <v>63810.440354676299</v>
      </c>
      <c r="AW1330" s="2">
        <v>66820.185136069806</v>
      </c>
      <c r="AX1330" s="2">
        <v>33776.9035716402</v>
      </c>
    </row>
    <row r="1331" spans="1:50" x14ac:dyDescent="0.25">
      <c r="A1331" s="2" t="s">
        <v>9210</v>
      </c>
      <c r="B1331" s="2">
        <v>512.35972147820996</v>
      </c>
      <c r="C1331" s="2">
        <v>13.4911166666667</v>
      </c>
      <c r="D1331" s="2" t="s">
        <v>51</v>
      </c>
      <c r="E1331" s="2" t="s">
        <v>9211</v>
      </c>
      <c r="F1331" s="2">
        <v>198116</v>
      </c>
      <c r="G1331" s="3" t="str">
        <f>HYPERLINK("https://cloud.oebiotech.com/#/lm/network/198116", "https://cloud.oebiotech.com/#/lm/network/198116")</f>
        <v>https://cloud.oebiotech.com/#/lm/network/198116</v>
      </c>
      <c r="H1331" s="2" t="s">
        <v>9212</v>
      </c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 t="s">
        <v>9213</v>
      </c>
      <c r="T1331" s="2" t="s">
        <v>9214</v>
      </c>
      <c r="U1331" s="2" t="s">
        <v>56</v>
      </c>
      <c r="V1331" s="2" t="s">
        <v>145</v>
      </c>
      <c r="W1331" s="2" t="s">
        <v>1188</v>
      </c>
      <c r="X1331" s="2" t="s">
        <v>147</v>
      </c>
      <c r="Y1331" s="2">
        <v>37.5</v>
      </c>
      <c r="Z1331" s="2">
        <v>0</v>
      </c>
      <c r="AA1331" s="2" t="s">
        <v>218</v>
      </c>
      <c r="AB1331" s="2" t="s">
        <v>9215</v>
      </c>
      <c r="AC1331" s="2">
        <v>0.95201377369601903</v>
      </c>
      <c r="AD1331" s="2"/>
      <c r="AE1331" s="2">
        <v>0.47527909631619097</v>
      </c>
      <c r="AF1331" s="2">
        <v>14594.3950137055</v>
      </c>
      <c r="AG1331" s="2">
        <v>6204.9621746413704</v>
      </c>
      <c r="AH1331" s="5">
        <v>2.3520522128805701</v>
      </c>
      <c r="AI1331" s="5">
        <v>1.2339200867166999</v>
      </c>
      <c r="AJ1331" s="5" t="s">
        <v>139</v>
      </c>
      <c r="AK1331" s="2">
        <v>6.2094725619467099E-2</v>
      </c>
      <c r="AL1331" s="2">
        <v>0.33514216909343297</v>
      </c>
      <c r="AM1331" s="2">
        <v>4624.95842078235</v>
      </c>
      <c r="AN1331" s="2">
        <v>25734.000444338399</v>
      </c>
      <c r="AO1331" s="2">
        <v>15686.1762677347</v>
      </c>
      <c r="AP1331" s="2">
        <v>23274.309700494501</v>
      </c>
      <c r="AQ1331" s="2">
        <v>10953.812659112</v>
      </c>
      <c r="AR1331" s="2">
        <v>7293.1125897709298</v>
      </c>
      <c r="AS1331" s="2">
        <v>352.86142983529101</v>
      </c>
      <c r="AT1331" s="2">
        <v>7592.3537748464996</v>
      </c>
      <c r="AU1331" s="2">
        <v>5791.9357318647399</v>
      </c>
      <c r="AV1331" s="2">
        <v>1291.5638628916699</v>
      </c>
      <c r="AW1331" s="2">
        <v>12492.716708731899</v>
      </c>
      <c r="AX1331" s="2">
        <v>9708.3415396781402</v>
      </c>
    </row>
    <row r="1332" spans="1:50" x14ac:dyDescent="0.25">
      <c r="A1332" s="2" t="s">
        <v>9216</v>
      </c>
      <c r="B1332" s="2">
        <v>118.06564947032101</v>
      </c>
      <c r="C1332" s="2">
        <v>3.62381666666667</v>
      </c>
      <c r="D1332" s="2" t="s">
        <v>51</v>
      </c>
      <c r="E1332" s="2" t="s">
        <v>9217</v>
      </c>
      <c r="F1332" s="2">
        <v>47192</v>
      </c>
      <c r="G1332" s="3" t="str">
        <f>HYPERLINK("https://cloud.oebiotech.com/#/lm/network/47192", "https://cloud.oebiotech.com/#/lm/network/47192")</f>
        <v>https://cloud.oebiotech.com/#/lm/network/47192</v>
      </c>
      <c r="H1332" s="2" t="s">
        <v>9218</v>
      </c>
      <c r="I1332" s="2">
        <v>286</v>
      </c>
      <c r="J1332" s="2"/>
      <c r="K1332" s="2">
        <v>798</v>
      </c>
      <c r="L1332" s="2" t="s">
        <v>9219</v>
      </c>
      <c r="M1332" s="2" t="s">
        <v>9220</v>
      </c>
      <c r="N1332" s="2" t="s">
        <v>9221</v>
      </c>
      <c r="O1332" s="2">
        <v>16881</v>
      </c>
      <c r="P1332" s="2" t="s">
        <v>9222</v>
      </c>
      <c r="Q1332" s="2" t="s">
        <v>9223</v>
      </c>
      <c r="R1332" s="2" t="s">
        <v>9224</v>
      </c>
      <c r="S1332" s="2" t="s">
        <v>9225</v>
      </c>
      <c r="T1332" s="2" t="s">
        <v>9226</v>
      </c>
      <c r="U1332" s="2" t="s">
        <v>266</v>
      </c>
      <c r="V1332" s="2" t="s">
        <v>445</v>
      </c>
      <c r="W1332" s="2" t="s">
        <v>446</v>
      </c>
      <c r="X1332" s="2" t="s">
        <v>83</v>
      </c>
      <c r="Y1332" s="2">
        <v>39.5</v>
      </c>
      <c r="Z1332" s="2">
        <v>0</v>
      </c>
      <c r="AA1332" s="2" t="s">
        <v>259</v>
      </c>
      <c r="AB1332" s="2" t="s">
        <v>9227</v>
      </c>
      <c r="AC1332" s="2">
        <v>4.4747877628664101</v>
      </c>
      <c r="AD1332" s="2"/>
      <c r="AE1332" s="2">
        <v>0.47476019029836197</v>
      </c>
      <c r="AF1332" s="2">
        <v>189317.10388320999</v>
      </c>
      <c r="AG1332" s="2">
        <v>175038.93125948301</v>
      </c>
      <c r="AH1332" s="5">
        <v>1.0815714111197401</v>
      </c>
      <c r="AI1332" s="5">
        <v>0.113128922874669</v>
      </c>
      <c r="AJ1332" s="5" t="s">
        <v>139</v>
      </c>
      <c r="AK1332" s="2">
        <v>0.34556156205397898</v>
      </c>
      <c r="AL1332" s="2">
        <v>0.63919755662431299</v>
      </c>
      <c r="AM1332" s="2">
        <v>169228.02878367301</v>
      </c>
      <c r="AN1332" s="2">
        <v>219290.65064896501</v>
      </c>
      <c r="AO1332" s="2">
        <v>183459.712986553</v>
      </c>
      <c r="AP1332" s="2">
        <v>206756.47821670701</v>
      </c>
      <c r="AQ1332" s="2">
        <v>201484.22302358301</v>
      </c>
      <c r="AR1332" s="2">
        <v>155683.52963978</v>
      </c>
      <c r="AS1332" s="2">
        <v>188347.23082627699</v>
      </c>
      <c r="AT1332" s="2">
        <v>202789.260556981</v>
      </c>
      <c r="AU1332" s="2">
        <v>151000.18853253601</v>
      </c>
      <c r="AV1332" s="2">
        <v>136731.87596048901</v>
      </c>
      <c r="AW1332" s="2">
        <v>178524.90964111601</v>
      </c>
      <c r="AX1332" s="2">
        <v>192840.122039501</v>
      </c>
    </row>
    <row r="1333" spans="1:50" x14ac:dyDescent="0.25">
      <c r="A1333" s="2" t="s">
        <v>9228</v>
      </c>
      <c r="B1333" s="2">
        <v>842.591272193191</v>
      </c>
      <c r="C1333" s="2">
        <v>11.0881833333333</v>
      </c>
      <c r="D1333" s="2" t="s">
        <v>51</v>
      </c>
      <c r="E1333" s="2" t="s">
        <v>9229</v>
      </c>
      <c r="F1333" s="2">
        <v>20580</v>
      </c>
      <c r="G1333" s="3" t="str">
        <f>HYPERLINK("https://cloud.oebiotech.com/#/lm/network/20580", "https://cloud.oebiotech.com/#/lm/network/20580")</f>
        <v>https://cloud.oebiotech.com/#/lm/network/20580</v>
      </c>
      <c r="H1333" s="2" t="s">
        <v>9230</v>
      </c>
      <c r="I1333" s="2">
        <v>60692</v>
      </c>
      <c r="J1333" s="2" t="s">
        <v>9231</v>
      </c>
      <c r="K1333" s="2">
        <v>52924592</v>
      </c>
      <c r="L1333" s="2" t="s">
        <v>254</v>
      </c>
      <c r="M1333" s="2" t="s">
        <v>255</v>
      </c>
      <c r="N1333" s="2" t="s">
        <v>256</v>
      </c>
      <c r="O1333" s="2"/>
      <c r="P1333" s="2"/>
      <c r="Q1333" s="2"/>
      <c r="R1333" s="2"/>
      <c r="S1333" s="2" t="s">
        <v>9232</v>
      </c>
      <c r="T1333" s="2" t="s">
        <v>9233</v>
      </c>
      <c r="U1333" s="2" t="s">
        <v>56</v>
      </c>
      <c r="V1333" s="2" t="s">
        <v>57</v>
      </c>
      <c r="W1333" s="2" t="s">
        <v>155</v>
      </c>
      <c r="X1333" s="2" t="s">
        <v>59</v>
      </c>
      <c r="Y1333" s="2">
        <v>47.7</v>
      </c>
      <c r="Z1333" s="2">
        <v>54.5</v>
      </c>
      <c r="AA1333" s="2" t="s">
        <v>218</v>
      </c>
      <c r="AB1333" s="2" t="s">
        <v>9234</v>
      </c>
      <c r="AC1333" s="2">
        <v>-0.48390814386321401</v>
      </c>
      <c r="AD1333" s="2"/>
      <c r="AE1333" s="2">
        <v>0.47408872899349302</v>
      </c>
      <c r="AF1333" s="2">
        <v>16119.429418420599</v>
      </c>
      <c r="AG1333" s="2">
        <v>9602.3459845205507</v>
      </c>
      <c r="AH1333" s="5">
        <v>1.6786970022123699</v>
      </c>
      <c r="AI1333" s="5">
        <v>0.74734185335200298</v>
      </c>
      <c r="AJ1333" s="5" t="s">
        <v>139</v>
      </c>
      <c r="AK1333" s="2">
        <v>0.404338610551286</v>
      </c>
      <c r="AL1333" s="2">
        <v>0.67110940196896396</v>
      </c>
      <c r="AM1333" s="2">
        <v>46326.547641039098</v>
      </c>
      <c r="AN1333" s="2">
        <v>13908.533485397</v>
      </c>
      <c r="AO1333" s="2">
        <v>6266.6236042459304</v>
      </c>
      <c r="AP1333" s="2">
        <v>4120.5115135235801</v>
      </c>
      <c r="AQ1333" s="2">
        <v>11862.4131430452</v>
      </c>
      <c r="AR1333" s="2">
        <v>14231.947123272999</v>
      </c>
      <c r="AS1333" s="2">
        <v>2191.4207355316898</v>
      </c>
      <c r="AT1333" s="2">
        <v>1674.52483527193</v>
      </c>
      <c r="AU1333" s="2">
        <v>28663.848774755599</v>
      </c>
      <c r="AV1333" s="2">
        <v>6220.2335735664801</v>
      </c>
      <c r="AW1333" s="2">
        <v>11434.741462927799</v>
      </c>
      <c r="AX1333" s="2">
        <v>7429.3065250698</v>
      </c>
    </row>
    <row r="1334" spans="1:50" x14ac:dyDescent="0.25">
      <c r="A1334" s="2" t="s">
        <v>9235</v>
      </c>
      <c r="B1334" s="2">
        <v>329.11767244276501</v>
      </c>
      <c r="C1334" s="2">
        <v>1.0683</v>
      </c>
      <c r="D1334" s="2" t="s">
        <v>51</v>
      </c>
      <c r="E1334" s="2" t="s">
        <v>9236</v>
      </c>
      <c r="F1334" s="2">
        <v>212712</v>
      </c>
      <c r="G1334" s="3" t="str">
        <f>HYPERLINK("https://cloud.oebiotech.com/#/lm/network/212712", "https://cloud.oebiotech.com/#/lm/network/212712")</f>
        <v>https://cloud.oebiotech.com/#/lm/network/212712</v>
      </c>
      <c r="H1334" s="2" t="s">
        <v>9237</v>
      </c>
      <c r="I1334" s="2"/>
      <c r="J1334" s="2"/>
      <c r="K1334" s="2">
        <v>10125800</v>
      </c>
      <c r="L1334" s="2"/>
      <c r="M1334" s="2"/>
      <c r="N1334" s="2"/>
      <c r="O1334" s="2"/>
      <c r="P1334" s="2"/>
      <c r="Q1334" s="2"/>
      <c r="R1334" s="2"/>
      <c r="S1334" s="2" t="s">
        <v>9238</v>
      </c>
      <c r="T1334" s="2" t="s">
        <v>9239</v>
      </c>
      <c r="U1334" s="2" t="s">
        <v>610</v>
      </c>
      <c r="V1334" s="2" t="s">
        <v>9240</v>
      </c>
      <c r="W1334" s="2" t="s">
        <v>240</v>
      </c>
      <c r="X1334" s="2" t="s">
        <v>147</v>
      </c>
      <c r="Y1334" s="2">
        <v>37.4</v>
      </c>
      <c r="Z1334" s="2">
        <v>0</v>
      </c>
      <c r="AA1334" s="2" t="s">
        <v>60</v>
      </c>
      <c r="AB1334" s="2" t="s">
        <v>9241</v>
      </c>
      <c r="AC1334" s="2">
        <v>1.37648667185358</v>
      </c>
      <c r="AD1334" s="2"/>
      <c r="AE1334" s="2">
        <v>0.473748175751951</v>
      </c>
      <c r="AF1334" s="2">
        <v>13159.075876650701</v>
      </c>
      <c r="AG1334" s="2">
        <v>6766.98355011067</v>
      </c>
      <c r="AH1334" s="5">
        <v>1.94459995051051</v>
      </c>
      <c r="AI1334" s="5">
        <v>0.95947338977338803</v>
      </c>
      <c r="AJ1334" s="5" t="s">
        <v>139</v>
      </c>
      <c r="AK1334" s="2">
        <v>0.46382761046889498</v>
      </c>
      <c r="AL1334" s="2">
        <v>0.71273629533134197</v>
      </c>
      <c r="AM1334" s="2">
        <v>47584.541728623502</v>
      </c>
      <c r="AN1334" s="2">
        <v>8577.5790786061407</v>
      </c>
      <c r="AO1334" s="2">
        <v>5999.5930343791597</v>
      </c>
      <c r="AP1334" s="2">
        <v>5563.7137258163402</v>
      </c>
      <c r="AQ1334" s="2">
        <v>3761.9391376495</v>
      </c>
      <c r="AR1334" s="2">
        <v>7467.0885548292699</v>
      </c>
      <c r="AS1334" s="2">
        <v>572.38651844570097</v>
      </c>
      <c r="AT1334" s="2">
        <v>1214.7700439165701</v>
      </c>
      <c r="AU1334" s="2">
        <v>30295.837443972701</v>
      </c>
      <c r="AV1334" s="2">
        <v>5062.0596577135202</v>
      </c>
      <c r="AW1334" s="2">
        <v>2226.96563857817</v>
      </c>
      <c r="AX1334" s="2">
        <v>1229.8819980373801</v>
      </c>
    </row>
    <row r="1335" spans="1:50" x14ac:dyDescent="0.25">
      <c r="A1335" s="2" t="s">
        <v>9242</v>
      </c>
      <c r="B1335" s="2">
        <v>301.01171026615202</v>
      </c>
      <c r="C1335" s="2">
        <v>5.9063833333333298</v>
      </c>
      <c r="D1335" s="2" t="s">
        <v>51</v>
      </c>
      <c r="E1335" s="2" t="s">
        <v>9243</v>
      </c>
      <c r="F1335" s="2">
        <v>201856</v>
      </c>
      <c r="G1335" s="3" t="str">
        <f>HYPERLINK("https://cloud.oebiotech.com/#/lm/network/201856", "https://cloud.oebiotech.com/#/lm/network/201856")</f>
        <v>https://cloud.oebiotech.com/#/lm/network/201856</v>
      </c>
      <c r="H1335" s="2" t="s">
        <v>9244</v>
      </c>
      <c r="I1335" s="2">
        <v>348000</v>
      </c>
      <c r="J1335" s="2"/>
      <c r="K1335" s="2">
        <v>65118</v>
      </c>
      <c r="L1335" s="2"/>
      <c r="M1335" s="2"/>
      <c r="N1335" s="2"/>
      <c r="O1335" s="2"/>
      <c r="P1335" s="2"/>
      <c r="Q1335" s="2"/>
      <c r="R1335" s="2"/>
      <c r="S1335" s="2" t="s">
        <v>9245</v>
      </c>
      <c r="T1335" s="2" t="s">
        <v>9246</v>
      </c>
      <c r="U1335" s="2" t="s">
        <v>540</v>
      </c>
      <c r="V1335" s="2" t="s">
        <v>1826</v>
      </c>
      <c r="W1335" s="2" t="s">
        <v>240</v>
      </c>
      <c r="X1335" s="2" t="s">
        <v>147</v>
      </c>
      <c r="Y1335" s="2">
        <v>40.299999999999997</v>
      </c>
      <c r="Z1335" s="2">
        <v>13.8</v>
      </c>
      <c r="AA1335" s="2" t="s">
        <v>218</v>
      </c>
      <c r="AB1335" s="2" t="s">
        <v>9247</v>
      </c>
      <c r="AC1335" s="2">
        <v>-0.65324572347105403</v>
      </c>
      <c r="AD1335" s="2"/>
      <c r="AE1335" s="2">
        <v>0.47340408025163899</v>
      </c>
      <c r="AF1335" s="2">
        <v>27770.869437998601</v>
      </c>
      <c r="AG1335" s="2">
        <v>32583.666874207302</v>
      </c>
      <c r="AH1335" s="4">
        <v>0.85229417380220096</v>
      </c>
      <c r="AI1335" s="4">
        <v>-0.23057662472417001</v>
      </c>
      <c r="AJ1335" s="4" t="s">
        <v>62</v>
      </c>
      <c r="AK1335" s="2">
        <v>1.2135069272960399E-2</v>
      </c>
      <c r="AL1335" s="2">
        <v>0.17463872408012501</v>
      </c>
      <c r="AM1335" s="2">
        <v>24406.250127146101</v>
      </c>
      <c r="AN1335" s="2">
        <v>30056.9532711416</v>
      </c>
      <c r="AO1335" s="2">
        <v>28196.6533992654</v>
      </c>
      <c r="AP1335" s="2">
        <v>27221.186407381301</v>
      </c>
      <c r="AQ1335" s="2">
        <v>27884.1796503683</v>
      </c>
      <c r="AR1335" s="2">
        <v>28859.9937726891</v>
      </c>
      <c r="AS1335" s="2">
        <v>32662.059327946801</v>
      </c>
      <c r="AT1335" s="2">
        <v>33732.614037815401</v>
      </c>
      <c r="AU1335" s="2">
        <v>26611.8729743802</v>
      </c>
      <c r="AV1335" s="2">
        <v>36938.5763681635</v>
      </c>
      <c r="AW1335" s="2">
        <v>32489.944517335</v>
      </c>
      <c r="AX1335" s="2">
        <v>33066.934019602799</v>
      </c>
    </row>
    <row r="1336" spans="1:50" x14ac:dyDescent="0.25">
      <c r="A1336" s="2" t="s">
        <v>9248</v>
      </c>
      <c r="B1336" s="2">
        <v>515.33951293737505</v>
      </c>
      <c r="C1336" s="2">
        <v>10.09835</v>
      </c>
      <c r="D1336" s="2" t="s">
        <v>51</v>
      </c>
      <c r="E1336" s="2" t="s">
        <v>9249</v>
      </c>
      <c r="F1336" s="2">
        <v>58634</v>
      </c>
      <c r="G1336" s="3" t="str">
        <f>HYPERLINK("https://cloud.oebiotech.com/#/lm/network/58634", "https://cloud.oebiotech.com/#/lm/network/58634")</f>
        <v>https://cloud.oebiotech.com/#/lm/network/58634</v>
      </c>
      <c r="H1336" s="2" t="s">
        <v>9250</v>
      </c>
      <c r="I1336" s="2">
        <v>90102</v>
      </c>
      <c r="J1336" s="2"/>
      <c r="K1336" s="2">
        <v>13878339</v>
      </c>
      <c r="L1336" s="2"/>
      <c r="M1336" s="2"/>
      <c r="N1336" s="2"/>
      <c r="O1336" s="2">
        <v>168218</v>
      </c>
      <c r="P1336" s="2"/>
      <c r="Q1336" s="2"/>
      <c r="R1336" s="2" t="s">
        <v>9251</v>
      </c>
      <c r="S1336" s="2" t="s">
        <v>9252</v>
      </c>
      <c r="T1336" s="2" t="s">
        <v>9253</v>
      </c>
      <c r="U1336" s="2" t="s">
        <v>56</v>
      </c>
      <c r="V1336" s="2" t="s">
        <v>177</v>
      </c>
      <c r="W1336" s="2" t="s">
        <v>3270</v>
      </c>
      <c r="X1336" s="2" t="s">
        <v>83</v>
      </c>
      <c r="Y1336" s="2">
        <v>41.7</v>
      </c>
      <c r="Z1336" s="2">
        <v>0</v>
      </c>
      <c r="AA1336" s="2" t="s">
        <v>163</v>
      </c>
      <c r="AB1336" s="2" t="s">
        <v>9254</v>
      </c>
      <c r="AC1336" s="2">
        <v>3.2925899568542398</v>
      </c>
      <c r="AD1336" s="2"/>
      <c r="AE1336" s="2">
        <v>0.47334566414474499</v>
      </c>
      <c r="AF1336" s="2">
        <v>28573.142560243399</v>
      </c>
      <c r="AG1336" s="2">
        <v>33949.180274965103</v>
      </c>
      <c r="AH1336" s="4">
        <v>0.84164455014290696</v>
      </c>
      <c r="AI1336" s="4">
        <v>-0.24871702313597999</v>
      </c>
      <c r="AJ1336" s="4" t="s">
        <v>62</v>
      </c>
      <c r="AK1336" s="2">
        <v>4.2907371478151102E-2</v>
      </c>
      <c r="AL1336" s="2">
        <v>0.29518083947367701</v>
      </c>
      <c r="AM1336" s="2">
        <v>23186.964207386802</v>
      </c>
      <c r="AN1336" s="2">
        <v>29648.7082899329</v>
      </c>
      <c r="AO1336" s="2">
        <v>29545.402139153699</v>
      </c>
      <c r="AP1336" s="2">
        <v>28560.808646346999</v>
      </c>
      <c r="AQ1336" s="2">
        <v>31496.8969424731</v>
      </c>
      <c r="AR1336" s="2">
        <v>29000.075136166899</v>
      </c>
      <c r="AS1336" s="2">
        <v>38462.7237308084</v>
      </c>
      <c r="AT1336" s="2">
        <v>37656.9624126864</v>
      </c>
      <c r="AU1336" s="2">
        <v>25073.4863938698</v>
      </c>
      <c r="AV1336" s="2">
        <v>33207.4653472586</v>
      </c>
      <c r="AW1336" s="2">
        <v>32765.621550526099</v>
      </c>
      <c r="AX1336" s="2">
        <v>36528.822214640997</v>
      </c>
    </row>
    <row r="1337" spans="1:50" x14ac:dyDescent="0.25">
      <c r="A1337" s="2" t="s">
        <v>9255</v>
      </c>
      <c r="B1337" s="2">
        <v>145.0735</v>
      </c>
      <c r="C1337" s="2">
        <v>8.4489999999999998</v>
      </c>
      <c r="D1337" s="2" t="s">
        <v>125</v>
      </c>
      <c r="E1337" s="2" t="s">
        <v>9256</v>
      </c>
      <c r="F1337" s="2">
        <v>1875</v>
      </c>
      <c r="G1337" s="3" t="str">
        <f>HYPERLINK("https://cloud.oebiotech.com/#/lm/network/1875", "https://cloud.oebiotech.com/#/lm/network/1875")</f>
        <v>https://cloud.oebiotech.com/#/lm/network/1875</v>
      </c>
      <c r="H1337" s="2" t="s">
        <v>9257</v>
      </c>
      <c r="I1337" s="2">
        <v>45847</v>
      </c>
      <c r="J1337" s="2" t="s">
        <v>9258</v>
      </c>
      <c r="K1337" s="2">
        <v>95433</v>
      </c>
      <c r="L1337" s="2"/>
      <c r="M1337" s="2"/>
      <c r="N1337" s="2"/>
      <c r="O1337" s="2">
        <v>68454</v>
      </c>
      <c r="P1337" s="2"/>
      <c r="Q1337" s="2"/>
      <c r="R1337" s="2" t="s">
        <v>9259</v>
      </c>
      <c r="S1337" s="2" t="s">
        <v>9260</v>
      </c>
      <c r="T1337" s="2" t="s">
        <v>9261</v>
      </c>
      <c r="U1337" s="2" t="s">
        <v>56</v>
      </c>
      <c r="V1337" s="2" t="s">
        <v>145</v>
      </c>
      <c r="W1337" s="2" t="s">
        <v>231</v>
      </c>
      <c r="X1337" s="2" t="s">
        <v>69</v>
      </c>
      <c r="Y1337" s="2">
        <v>89.2</v>
      </c>
      <c r="Z1337" s="2">
        <v>96.3</v>
      </c>
      <c r="AA1337" s="2"/>
      <c r="AB1337" s="2" t="s">
        <v>1611</v>
      </c>
      <c r="AC1337" s="2"/>
      <c r="AD1337" s="2">
        <v>282790.89508002403</v>
      </c>
      <c r="AE1337" s="2">
        <v>0.47312620256628601</v>
      </c>
      <c r="AF1337" s="2">
        <v>257549.965123373</v>
      </c>
      <c r="AG1337" s="2">
        <v>177255.57320313901</v>
      </c>
      <c r="AH1337" s="5">
        <v>1.45298655759734</v>
      </c>
      <c r="AI1337" s="5">
        <v>0.539021355842495</v>
      </c>
      <c r="AJ1337" s="5" t="s">
        <v>139</v>
      </c>
      <c r="AK1337" s="2">
        <v>0.12394503190339</v>
      </c>
      <c r="AL1337" s="2">
        <v>0.44128813217080598</v>
      </c>
      <c r="AM1337" s="2">
        <v>181231.49345737699</v>
      </c>
      <c r="AN1337" s="2">
        <v>184796.273799296</v>
      </c>
      <c r="AO1337" s="2">
        <v>261725.118246734</v>
      </c>
      <c r="AP1337" s="2">
        <v>311240.01599329599</v>
      </c>
      <c r="AQ1337" s="2">
        <v>452443.48889529897</v>
      </c>
      <c r="AR1337" s="2">
        <v>153863.400348233</v>
      </c>
      <c r="AS1337" s="2">
        <v>242553.91528839999</v>
      </c>
      <c r="AT1337" s="2">
        <v>172761.92430085299</v>
      </c>
      <c r="AU1337" s="2">
        <v>172599.18330008001</v>
      </c>
      <c r="AV1337" s="2">
        <v>175809.09694955399</v>
      </c>
      <c r="AW1337" s="2">
        <v>150286.298798509</v>
      </c>
      <c r="AX1337" s="2">
        <v>149523.02058143701</v>
      </c>
    </row>
    <row r="1338" spans="1:50" x14ac:dyDescent="0.25">
      <c r="A1338" s="2" t="s">
        <v>9262</v>
      </c>
      <c r="B1338" s="2">
        <v>497.27420565437097</v>
      </c>
      <c r="C1338" s="2">
        <v>8.5796666666666699</v>
      </c>
      <c r="D1338" s="2" t="s">
        <v>51</v>
      </c>
      <c r="E1338" s="2" t="s">
        <v>9263</v>
      </c>
      <c r="F1338" s="2">
        <v>22469</v>
      </c>
      <c r="G1338" s="3" t="str">
        <f>HYPERLINK("https://cloud.oebiotech.com/#/lm/network/22469", "https://cloud.oebiotech.com/#/lm/network/22469")</f>
        <v>https://cloud.oebiotech.com/#/lm/network/22469</v>
      </c>
      <c r="H1338" s="2"/>
      <c r="I1338" s="2"/>
      <c r="J1338" s="2" t="s">
        <v>9264</v>
      </c>
      <c r="K1338" s="2">
        <v>137323942</v>
      </c>
      <c r="L1338" s="2"/>
      <c r="M1338" s="2"/>
      <c r="N1338" s="2"/>
      <c r="O1338" s="2"/>
      <c r="P1338" s="2"/>
      <c r="Q1338" s="2"/>
      <c r="R1338" s="2"/>
      <c r="S1338" s="2" t="s">
        <v>9265</v>
      </c>
      <c r="T1338" s="2" t="s">
        <v>9266</v>
      </c>
      <c r="U1338" s="2" t="s">
        <v>56</v>
      </c>
      <c r="V1338" s="2" t="s">
        <v>57</v>
      </c>
      <c r="W1338" s="2" t="s">
        <v>82</v>
      </c>
      <c r="X1338" s="2" t="s">
        <v>147</v>
      </c>
      <c r="Y1338" s="2">
        <v>37.200000000000003</v>
      </c>
      <c r="Z1338" s="2">
        <v>0</v>
      </c>
      <c r="AA1338" s="2" t="s">
        <v>122</v>
      </c>
      <c r="AB1338" s="2" t="s">
        <v>9267</v>
      </c>
      <c r="AC1338" s="2">
        <v>-2.3388802712406198</v>
      </c>
      <c r="AD1338" s="2"/>
      <c r="AE1338" s="2">
        <v>0.472585725563193</v>
      </c>
      <c r="AF1338" s="2">
        <v>10724.616280829699</v>
      </c>
      <c r="AG1338" s="2">
        <v>15411.1094501648</v>
      </c>
      <c r="AH1338" s="4">
        <v>0.69590163612230904</v>
      </c>
      <c r="AI1338" s="4">
        <v>-0.52304469557674105</v>
      </c>
      <c r="AJ1338" s="4" t="s">
        <v>62</v>
      </c>
      <c r="AK1338" s="2">
        <v>5.1286959235030097E-4</v>
      </c>
      <c r="AL1338" s="2">
        <v>6.2396646922794598E-2</v>
      </c>
      <c r="AM1338" s="2">
        <v>9152.4131301375292</v>
      </c>
      <c r="AN1338" s="2">
        <v>12565.4760448529</v>
      </c>
      <c r="AO1338" s="2">
        <v>10517.797299191199</v>
      </c>
      <c r="AP1338" s="2">
        <v>11980.038244408801</v>
      </c>
      <c r="AQ1338" s="2">
        <v>11727.607791942</v>
      </c>
      <c r="AR1338" s="2">
        <v>8404.3651744457293</v>
      </c>
      <c r="AS1338" s="2">
        <v>14740.1435311117</v>
      </c>
      <c r="AT1338" s="2">
        <v>17402.281212471498</v>
      </c>
      <c r="AU1338" s="2">
        <v>14124.6139672874</v>
      </c>
      <c r="AV1338" s="2">
        <v>14081.944681869199</v>
      </c>
      <c r="AW1338" s="2">
        <v>17378.0012596862</v>
      </c>
      <c r="AX1338" s="2">
        <v>14739.672048563099</v>
      </c>
    </row>
    <row r="1339" spans="1:50" x14ac:dyDescent="0.25">
      <c r="A1339" s="2" t="s">
        <v>9268</v>
      </c>
      <c r="B1339" s="2">
        <v>517.39006388672703</v>
      </c>
      <c r="C1339" s="2">
        <v>13.510733333333301</v>
      </c>
      <c r="D1339" s="2" t="s">
        <v>51</v>
      </c>
      <c r="E1339" s="2" t="s">
        <v>9269</v>
      </c>
      <c r="F1339" s="2">
        <v>58507</v>
      </c>
      <c r="G1339" s="3" t="str">
        <f>HYPERLINK("https://cloud.oebiotech.com/#/lm/network/58507", "https://cloud.oebiotech.com/#/lm/network/58507")</f>
        <v>https://cloud.oebiotech.com/#/lm/network/58507</v>
      </c>
      <c r="H1339" s="2" t="s">
        <v>9270</v>
      </c>
      <c r="I1339" s="2"/>
      <c r="J1339" s="2"/>
      <c r="K1339" s="2">
        <v>75144764</v>
      </c>
      <c r="L1339" s="2" t="s">
        <v>9271</v>
      </c>
      <c r="M1339" s="2"/>
      <c r="N1339" s="2"/>
      <c r="O1339" s="2"/>
      <c r="P1339" s="2"/>
      <c r="Q1339" s="2"/>
      <c r="R1339" s="2" t="s">
        <v>9272</v>
      </c>
      <c r="S1339" s="2" t="s">
        <v>9273</v>
      </c>
      <c r="T1339" s="2" t="s">
        <v>9274</v>
      </c>
      <c r="U1339" s="2" t="s">
        <v>56</v>
      </c>
      <c r="V1339" s="2" t="s">
        <v>177</v>
      </c>
      <c r="W1339" s="2" t="s">
        <v>3270</v>
      </c>
      <c r="X1339" s="2" t="s">
        <v>83</v>
      </c>
      <c r="Y1339" s="2">
        <v>41.9</v>
      </c>
      <c r="Z1339" s="2">
        <v>0</v>
      </c>
      <c r="AA1339" s="2" t="s">
        <v>218</v>
      </c>
      <c r="AB1339" s="2" t="s">
        <v>4448</v>
      </c>
      <c r="AC1339" s="2">
        <v>0.456168962283377</v>
      </c>
      <c r="AD1339" s="2"/>
      <c r="AE1339" s="2">
        <v>0.472370179497073</v>
      </c>
      <c r="AF1339" s="2">
        <v>50529.611945338998</v>
      </c>
      <c r="AG1339" s="2">
        <v>38926.289392451697</v>
      </c>
      <c r="AH1339" s="5">
        <v>1.29808447540179</v>
      </c>
      <c r="AI1339" s="5">
        <v>0.37638427261102397</v>
      </c>
      <c r="AJ1339" s="5" t="s">
        <v>139</v>
      </c>
      <c r="AK1339" s="2">
        <v>0.17519368322921799</v>
      </c>
      <c r="AL1339" s="2">
        <v>0.496012085097987</v>
      </c>
      <c r="AM1339" s="2">
        <v>27200.832379835199</v>
      </c>
      <c r="AN1339" s="2">
        <v>55453.820219211797</v>
      </c>
      <c r="AO1339" s="2">
        <v>57320.063399082697</v>
      </c>
      <c r="AP1339" s="2">
        <v>65488.660610609302</v>
      </c>
      <c r="AQ1339" s="2">
        <v>45245.3716463448</v>
      </c>
      <c r="AR1339" s="2">
        <v>52468.923416950201</v>
      </c>
      <c r="AS1339" s="2">
        <v>20373.054109542802</v>
      </c>
      <c r="AT1339" s="2">
        <v>38053.664394011503</v>
      </c>
      <c r="AU1339" s="2">
        <v>59588.842888771498</v>
      </c>
      <c r="AV1339" s="2">
        <v>28044.170862086699</v>
      </c>
      <c r="AW1339" s="2">
        <v>50457.879447771098</v>
      </c>
      <c r="AX1339" s="2">
        <v>37040.124652526902</v>
      </c>
    </row>
    <row r="1340" spans="1:50" x14ac:dyDescent="0.25">
      <c r="A1340" s="2" t="s">
        <v>9275</v>
      </c>
      <c r="B1340" s="2">
        <v>286.31130563080802</v>
      </c>
      <c r="C1340" s="2">
        <v>9.8490833333333292</v>
      </c>
      <c r="D1340" s="2" t="s">
        <v>51</v>
      </c>
      <c r="E1340" s="2" t="s">
        <v>9276</v>
      </c>
      <c r="F1340" s="2">
        <v>6190</v>
      </c>
      <c r="G1340" s="3" t="str">
        <f>HYPERLINK("https://cloud.oebiotech.com/#/lm/network/6190", "https://cloud.oebiotech.com/#/lm/network/6190")</f>
        <v>https://cloud.oebiotech.com/#/lm/network/6190</v>
      </c>
      <c r="H1340" s="2" t="s">
        <v>9277</v>
      </c>
      <c r="I1340" s="2">
        <v>46164</v>
      </c>
      <c r="J1340" s="2" t="s">
        <v>9278</v>
      </c>
      <c r="K1340" s="2">
        <v>5284499</v>
      </c>
      <c r="L1340" s="2"/>
      <c r="M1340" s="2"/>
      <c r="N1340" s="2"/>
      <c r="O1340" s="2">
        <v>73504</v>
      </c>
      <c r="P1340" s="2"/>
      <c r="Q1340" s="2"/>
      <c r="R1340" s="2" t="s">
        <v>9279</v>
      </c>
      <c r="S1340" s="2" t="s">
        <v>9280</v>
      </c>
      <c r="T1340" s="2" t="s">
        <v>9281</v>
      </c>
      <c r="U1340" s="2" t="s">
        <v>56</v>
      </c>
      <c r="V1340" s="2" t="s">
        <v>145</v>
      </c>
      <c r="W1340" s="2" t="s">
        <v>146</v>
      </c>
      <c r="X1340" s="2" t="s">
        <v>147</v>
      </c>
      <c r="Y1340" s="2">
        <v>45</v>
      </c>
      <c r="Z1340" s="2">
        <v>32.6</v>
      </c>
      <c r="AA1340" s="2" t="s">
        <v>512</v>
      </c>
      <c r="AB1340" s="2" t="s">
        <v>9282</v>
      </c>
      <c r="AC1340" s="2">
        <v>3.2217743828535199</v>
      </c>
      <c r="AD1340" s="2"/>
      <c r="AE1340" s="2">
        <v>0.47234026706584797</v>
      </c>
      <c r="AF1340" s="2">
        <v>8571.3033229182493</v>
      </c>
      <c r="AG1340" s="2">
        <v>15998.128722650599</v>
      </c>
      <c r="AH1340" s="4">
        <v>0.53576911847088404</v>
      </c>
      <c r="AI1340" s="4">
        <v>-0.900316667706481</v>
      </c>
      <c r="AJ1340" s="4" t="s">
        <v>62</v>
      </c>
      <c r="AK1340" s="2">
        <v>4.1029303595482097E-2</v>
      </c>
      <c r="AL1340" s="2">
        <v>0.29172571909745698</v>
      </c>
      <c r="AM1340" s="2">
        <v>6159.2586652098698</v>
      </c>
      <c r="AN1340" s="2">
        <v>6534.1632148245299</v>
      </c>
      <c r="AO1340" s="2">
        <v>11059.546733118599</v>
      </c>
      <c r="AP1340" s="2">
        <v>8862.9156859957893</v>
      </c>
      <c r="AQ1340" s="2">
        <v>12370.534596216799</v>
      </c>
      <c r="AR1340" s="2">
        <v>6441.4010421439298</v>
      </c>
      <c r="AS1340" s="2">
        <v>17931.641952542101</v>
      </c>
      <c r="AT1340" s="2">
        <v>26937.325373871801</v>
      </c>
      <c r="AU1340" s="2">
        <v>11227.131922076</v>
      </c>
      <c r="AV1340" s="2">
        <v>9472.9929825373802</v>
      </c>
      <c r="AW1340" s="2">
        <v>9051.0672591544408</v>
      </c>
      <c r="AX1340" s="2">
        <v>21368.612845722</v>
      </c>
    </row>
    <row r="1341" spans="1:50" x14ac:dyDescent="0.25">
      <c r="A1341" s="2" t="s">
        <v>9283</v>
      </c>
      <c r="B1341" s="2">
        <v>405.13229828406799</v>
      </c>
      <c r="C1341" s="2">
        <v>4.9007166666666704</v>
      </c>
      <c r="D1341" s="2" t="s">
        <v>51</v>
      </c>
      <c r="E1341" s="2" t="s">
        <v>9284</v>
      </c>
      <c r="F1341" s="2">
        <v>82648</v>
      </c>
      <c r="G1341" s="3" t="str">
        <f>HYPERLINK("https://cloud.oebiotech.com/#/lm/network/82648", "https://cloud.oebiotech.com/#/lm/network/82648")</f>
        <v>https://cloud.oebiotech.com/#/lm/network/82648</v>
      </c>
      <c r="H1341" s="2" t="s">
        <v>9285</v>
      </c>
      <c r="I1341" s="2"/>
      <c r="J1341" s="2"/>
      <c r="K1341" s="2">
        <v>131769951</v>
      </c>
      <c r="L1341" s="2"/>
      <c r="M1341" s="2"/>
      <c r="N1341" s="2"/>
      <c r="O1341" s="2"/>
      <c r="P1341" s="2"/>
      <c r="Q1341" s="2"/>
      <c r="R1341" s="2"/>
      <c r="S1341" s="2" t="s">
        <v>9286</v>
      </c>
      <c r="T1341" s="2" t="s">
        <v>9287</v>
      </c>
      <c r="U1341" s="2" t="s">
        <v>331</v>
      </c>
      <c r="V1341" s="2" t="s">
        <v>332</v>
      </c>
      <c r="W1341" s="2" t="s">
        <v>333</v>
      </c>
      <c r="X1341" s="2" t="s">
        <v>147</v>
      </c>
      <c r="Y1341" s="2">
        <v>36.1</v>
      </c>
      <c r="Z1341" s="2">
        <v>2.31</v>
      </c>
      <c r="AA1341" s="2" t="s">
        <v>379</v>
      </c>
      <c r="AB1341" s="2" t="s">
        <v>9288</v>
      </c>
      <c r="AC1341" s="2">
        <v>4.6187838091830002</v>
      </c>
      <c r="AD1341" s="2"/>
      <c r="AE1341" s="2">
        <v>0.47160052985749701</v>
      </c>
      <c r="AF1341" s="2">
        <v>2481.80175204135</v>
      </c>
      <c r="AG1341" s="2">
        <v>8583.8201490232004</v>
      </c>
      <c r="AH1341" s="4">
        <v>0.28912555353618002</v>
      </c>
      <c r="AI1341" s="4">
        <v>-1.79023197195711</v>
      </c>
      <c r="AJ1341" s="4" t="s">
        <v>62</v>
      </c>
      <c r="AK1341" s="2">
        <v>3.06210208415609E-2</v>
      </c>
      <c r="AL1341" s="2">
        <v>0.26106571279324903</v>
      </c>
      <c r="AM1341" s="2">
        <v>2549.1135527469801</v>
      </c>
      <c r="AN1341" s="2">
        <v>1285.2565710318099</v>
      </c>
      <c r="AO1341" s="2">
        <v>2604.3264823037398</v>
      </c>
      <c r="AP1341" s="2">
        <v>8.559877937157E-6</v>
      </c>
      <c r="AQ1341" s="2">
        <v>1056.39549269395</v>
      </c>
      <c r="AR1341" s="2">
        <v>7395.7184049117404</v>
      </c>
      <c r="AS1341" s="2">
        <v>3238.3926128641001</v>
      </c>
      <c r="AT1341" s="2">
        <v>6597.9029052455899</v>
      </c>
      <c r="AU1341" s="2">
        <v>8963.4351977707993</v>
      </c>
      <c r="AV1341" s="2">
        <v>14073.7079779369</v>
      </c>
      <c r="AW1341" s="2">
        <v>15594.4035256344</v>
      </c>
      <c r="AX1341" s="2">
        <v>3035.0786746874301</v>
      </c>
    </row>
    <row r="1342" spans="1:50" x14ac:dyDescent="0.25">
      <c r="A1342" s="2" t="s">
        <v>9289</v>
      </c>
      <c r="B1342" s="2">
        <v>341.30607998330299</v>
      </c>
      <c r="C1342" s="2">
        <v>11.5544166666667</v>
      </c>
      <c r="D1342" s="2" t="s">
        <v>51</v>
      </c>
      <c r="E1342" s="2" t="s">
        <v>9290</v>
      </c>
      <c r="F1342" s="2">
        <v>2138</v>
      </c>
      <c r="G1342" s="3" t="str">
        <f>HYPERLINK("https://cloud.oebiotech.com/#/lm/network/2138", "https://cloud.oebiotech.com/#/lm/network/2138")</f>
        <v>https://cloud.oebiotech.com/#/lm/network/2138</v>
      </c>
      <c r="H1342" s="2"/>
      <c r="I1342" s="2">
        <v>74775</v>
      </c>
      <c r="J1342" s="2" t="s">
        <v>9291</v>
      </c>
      <c r="K1342" s="2">
        <v>5312925</v>
      </c>
      <c r="L1342" s="2"/>
      <c r="M1342" s="2"/>
      <c r="N1342" s="2"/>
      <c r="O1342" s="2"/>
      <c r="P1342" s="2"/>
      <c r="Q1342" s="2"/>
      <c r="R1342" s="2"/>
      <c r="S1342" s="2" t="s">
        <v>9292</v>
      </c>
      <c r="T1342" s="2" t="s">
        <v>9293</v>
      </c>
      <c r="U1342" s="2" t="s">
        <v>56</v>
      </c>
      <c r="V1342" s="2" t="s">
        <v>145</v>
      </c>
      <c r="W1342" s="2" t="s">
        <v>231</v>
      </c>
      <c r="X1342" s="2" t="s">
        <v>147</v>
      </c>
      <c r="Y1342" s="2">
        <v>38</v>
      </c>
      <c r="Z1342" s="2">
        <v>0</v>
      </c>
      <c r="AA1342" s="2" t="s">
        <v>259</v>
      </c>
      <c r="AB1342" s="2" t="s">
        <v>9294</v>
      </c>
      <c r="AC1342" s="2">
        <v>3.1102463588373599</v>
      </c>
      <c r="AD1342" s="2"/>
      <c r="AE1342" s="2">
        <v>0.47112702239723397</v>
      </c>
      <c r="AF1342" s="2">
        <v>12233.074695694</v>
      </c>
      <c r="AG1342" s="2">
        <v>21359.519294639002</v>
      </c>
      <c r="AH1342" s="4">
        <v>0.57272237857732899</v>
      </c>
      <c r="AI1342" s="4">
        <v>-0.80409211839875006</v>
      </c>
      <c r="AJ1342" s="4" t="s">
        <v>62</v>
      </c>
      <c r="AK1342" s="2">
        <v>5.3145834515025997E-2</v>
      </c>
      <c r="AL1342" s="2">
        <v>0.31731303224527402</v>
      </c>
      <c r="AM1342" s="2">
        <v>19072.374332162501</v>
      </c>
      <c r="AN1342" s="2">
        <v>16085.2445082961</v>
      </c>
      <c r="AO1342" s="2">
        <v>11772.140240716401</v>
      </c>
      <c r="AP1342" s="2">
        <v>10273.777943872599</v>
      </c>
      <c r="AQ1342" s="2">
        <v>9147.2312527804697</v>
      </c>
      <c r="AR1342" s="2">
        <v>7047.6798963358697</v>
      </c>
      <c r="AS1342" s="2">
        <v>6532.3802654716201</v>
      </c>
      <c r="AT1342" s="2">
        <v>15062.8341405347</v>
      </c>
      <c r="AU1342" s="2">
        <v>31598.138511149002</v>
      </c>
      <c r="AV1342" s="2">
        <v>28053.554337592101</v>
      </c>
      <c r="AW1342" s="2">
        <v>23413.568354806201</v>
      </c>
      <c r="AX1342" s="2">
        <v>23496.640158280301</v>
      </c>
    </row>
    <row r="1343" spans="1:50" x14ac:dyDescent="0.25">
      <c r="A1343" s="2" t="s">
        <v>9295</v>
      </c>
      <c r="B1343" s="2">
        <v>389.26954028958301</v>
      </c>
      <c r="C1343" s="2">
        <v>7.6753666666666698</v>
      </c>
      <c r="D1343" s="2" t="s">
        <v>51</v>
      </c>
      <c r="E1343" s="2" t="s">
        <v>9296</v>
      </c>
      <c r="F1343" s="2">
        <v>46087</v>
      </c>
      <c r="G1343" s="3" t="str">
        <f>HYPERLINK("https://cloud.oebiotech.com/#/lm/network/46087", "https://cloud.oebiotech.com/#/lm/network/46087")</f>
        <v>https://cloud.oebiotech.com/#/lm/network/46087</v>
      </c>
      <c r="H1343" s="2"/>
      <c r="I1343" s="2">
        <v>84540</v>
      </c>
      <c r="J1343" s="2" t="s">
        <v>9297</v>
      </c>
      <c r="K1343" s="2">
        <v>194799</v>
      </c>
      <c r="L1343" s="2"/>
      <c r="M1343" s="2"/>
      <c r="N1343" s="2"/>
      <c r="O1343" s="2"/>
      <c r="P1343" s="2"/>
      <c r="Q1343" s="2"/>
      <c r="R1343" s="2"/>
      <c r="S1343" s="2" t="s">
        <v>9298</v>
      </c>
      <c r="T1343" s="2" t="s">
        <v>9299</v>
      </c>
      <c r="U1343" s="2" t="s">
        <v>56</v>
      </c>
      <c r="V1343" s="2" t="s">
        <v>283</v>
      </c>
      <c r="W1343" s="2" t="s">
        <v>2042</v>
      </c>
      <c r="X1343" s="2" t="s">
        <v>69</v>
      </c>
      <c r="Y1343" s="2">
        <v>66.900000000000006</v>
      </c>
      <c r="Z1343" s="2">
        <v>81.400000000000006</v>
      </c>
      <c r="AA1343" s="2" t="s">
        <v>156</v>
      </c>
      <c r="AB1343" s="2" t="s">
        <v>4227</v>
      </c>
      <c r="AC1343" s="2">
        <v>2.2256598820227098</v>
      </c>
      <c r="AD1343" s="2"/>
      <c r="AE1343" s="2">
        <v>0.47067333561670299</v>
      </c>
      <c r="AF1343" s="2">
        <v>16656.327502653399</v>
      </c>
      <c r="AG1343" s="2">
        <v>1019.97097993994</v>
      </c>
      <c r="AH1343" s="5">
        <v>16.330197456827801</v>
      </c>
      <c r="AI1343" s="5">
        <v>4.0294703302611898</v>
      </c>
      <c r="AJ1343" s="5" t="s">
        <v>139</v>
      </c>
      <c r="AK1343" s="2">
        <v>0.266831460897894</v>
      </c>
      <c r="AL1343" s="2">
        <v>0.58823162872384205</v>
      </c>
      <c r="AM1343" s="2">
        <v>56.324942310089703</v>
      </c>
      <c r="AN1343" s="2">
        <v>278.18089609416899</v>
      </c>
      <c r="AO1343" s="2">
        <v>794.16104605147405</v>
      </c>
      <c r="AP1343" s="2">
        <v>18.124287728306999</v>
      </c>
      <c r="AQ1343" s="2">
        <v>81641.9543994259</v>
      </c>
      <c r="AR1343" s="2">
        <v>17149.2194443107</v>
      </c>
      <c r="AS1343" s="2">
        <v>5.8266495085387398</v>
      </c>
      <c r="AT1343" s="2">
        <v>162.01141261557001</v>
      </c>
      <c r="AU1343" s="2">
        <v>2479.42111604929</v>
      </c>
      <c r="AV1343" s="2">
        <v>2795.0676401197002</v>
      </c>
      <c r="AW1343" s="2">
        <v>539.24224510698798</v>
      </c>
      <c r="AX1343" s="2">
        <v>138.25681623956899</v>
      </c>
    </row>
    <row r="1344" spans="1:50" x14ac:dyDescent="0.25">
      <c r="A1344" s="2" t="s">
        <v>9300</v>
      </c>
      <c r="B1344" s="2">
        <v>432.224052891626</v>
      </c>
      <c r="C1344" s="2">
        <v>7.3937166666666698</v>
      </c>
      <c r="D1344" s="2" t="s">
        <v>51</v>
      </c>
      <c r="E1344" s="2" t="s">
        <v>9301</v>
      </c>
      <c r="F1344" s="2">
        <v>197783</v>
      </c>
      <c r="G1344" s="3" t="str">
        <f>HYPERLINK("https://cloud.oebiotech.com/#/lm/network/197783", "https://cloud.oebiotech.com/#/lm/network/197783")</f>
        <v>https://cloud.oebiotech.com/#/lm/network/197783</v>
      </c>
      <c r="H1344" s="2" t="s">
        <v>9302</v>
      </c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 t="s">
        <v>9303</v>
      </c>
      <c r="T1344" s="2" t="s">
        <v>9304</v>
      </c>
      <c r="U1344" s="2" t="s">
        <v>56</v>
      </c>
      <c r="V1344" s="2" t="s">
        <v>145</v>
      </c>
      <c r="W1344" s="2" t="s">
        <v>1188</v>
      </c>
      <c r="X1344" s="2" t="s">
        <v>147</v>
      </c>
      <c r="Y1344" s="2">
        <v>36</v>
      </c>
      <c r="Z1344" s="2">
        <v>0.83099999999999996</v>
      </c>
      <c r="AA1344" s="2" t="s">
        <v>218</v>
      </c>
      <c r="AB1344" s="2" t="s">
        <v>9305</v>
      </c>
      <c r="AC1344" s="2">
        <v>0.381228815134179</v>
      </c>
      <c r="AD1344" s="2"/>
      <c r="AE1344" s="2">
        <v>0.47037766370725898</v>
      </c>
      <c r="AF1344" s="2">
        <v>8081.6851850453304</v>
      </c>
      <c r="AG1344" s="2">
        <v>3312.2428419923599</v>
      </c>
      <c r="AH1344" s="5">
        <v>2.43994343729462</v>
      </c>
      <c r="AI1344" s="5">
        <v>1.28684770365685</v>
      </c>
      <c r="AJ1344" s="5" t="s">
        <v>139</v>
      </c>
      <c r="AK1344" s="2">
        <v>1.7961474977665601E-3</v>
      </c>
      <c r="AL1344" s="2">
        <v>9.9661006488224596E-2</v>
      </c>
      <c r="AM1344" s="2">
        <v>6766.5296871130004</v>
      </c>
      <c r="AN1344" s="2">
        <v>10490.963068565999</v>
      </c>
      <c r="AO1344" s="2">
        <v>8602.5386009739104</v>
      </c>
      <c r="AP1344" s="2">
        <v>5785.0680298426896</v>
      </c>
      <c r="AQ1344" s="2">
        <v>7115.62910892529</v>
      </c>
      <c r="AR1344" s="2">
        <v>9729.3826148510798</v>
      </c>
      <c r="AS1344" s="2">
        <v>6399.3695864838501</v>
      </c>
      <c r="AT1344" s="2">
        <v>2383.1810897103501</v>
      </c>
      <c r="AU1344" s="2">
        <v>4958.9702158629798</v>
      </c>
      <c r="AV1344" s="2">
        <v>1600.5224652890499</v>
      </c>
      <c r="AW1344" s="2">
        <v>938.16272967951204</v>
      </c>
      <c r="AX1344" s="2">
        <v>3593.2509649284302</v>
      </c>
    </row>
    <row r="1345" spans="1:50" x14ac:dyDescent="0.25">
      <c r="A1345" s="2" t="s">
        <v>9306</v>
      </c>
      <c r="B1345" s="2">
        <v>725.42520766701898</v>
      </c>
      <c r="C1345" s="2">
        <v>9.5426500000000001</v>
      </c>
      <c r="D1345" s="2" t="s">
        <v>51</v>
      </c>
      <c r="E1345" s="2" t="s">
        <v>9307</v>
      </c>
      <c r="F1345" s="2">
        <v>24664</v>
      </c>
      <c r="G1345" s="3" t="str">
        <f>HYPERLINK("https://cloud.oebiotech.com/#/lm/network/24664", "https://cloud.oebiotech.com/#/lm/network/24664")</f>
        <v>https://cloud.oebiotech.com/#/lm/network/24664</v>
      </c>
      <c r="H1345" s="2"/>
      <c r="I1345" s="2"/>
      <c r="J1345" s="2" t="s">
        <v>9308</v>
      </c>
      <c r="K1345" s="2">
        <v>52928402</v>
      </c>
      <c r="L1345" s="2"/>
      <c r="M1345" s="2"/>
      <c r="N1345" s="2"/>
      <c r="O1345" s="2"/>
      <c r="P1345" s="2"/>
      <c r="Q1345" s="2"/>
      <c r="R1345" s="2"/>
      <c r="S1345" s="2" t="s">
        <v>9309</v>
      </c>
      <c r="T1345" s="2" t="s">
        <v>9310</v>
      </c>
      <c r="U1345" s="2" t="s">
        <v>56</v>
      </c>
      <c r="V1345" s="2" t="s">
        <v>57</v>
      </c>
      <c r="W1345" s="2" t="s">
        <v>1097</v>
      </c>
      <c r="X1345" s="2" t="s">
        <v>147</v>
      </c>
      <c r="Y1345" s="2">
        <v>38.9</v>
      </c>
      <c r="Z1345" s="2">
        <v>0</v>
      </c>
      <c r="AA1345" s="2" t="s">
        <v>163</v>
      </c>
      <c r="AB1345" s="2" t="s">
        <v>9311</v>
      </c>
      <c r="AC1345" s="2">
        <v>0.76437450924944605</v>
      </c>
      <c r="AD1345" s="2"/>
      <c r="AE1345" s="2">
        <v>0.47024303882630503</v>
      </c>
      <c r="AF1345" s="2">
        <v>5498.4953118736703</v>
      </c>
      <c r="AG1345" s="2">
        <v>801.29529527921397</v>
      </c>
      <c r="AH1345" s="5">
        <v>6.8620087304490003</v>
      </c>
      <c r="AI1345" s="5">
        <v>2.7786309614198301</v>
      </c>
      <c r="AJ1345" s="5" t="s">
        <v>139</v>
      </c>
      <c r="AK1345" s="2">
        <v>7.36137599235931E-3</v>
      </c>
      <c r="AL1345" s="2">
        <v>0.14489874833036501</v>
      </c>
      <c r="AM1345" s="2">
        <v>6828.5295093233199</v>
      </c>
      <c r="AN1345" s="2">
        <v>11139.526413769499</v>
      </c>
      <c r="AO1345" s="2">
        <v>3438.8690693101798</v>
      </c>
      <c r="AP1345" s="2">
        <v>4372.2484679244899</v>
      </c>
      <c r="AQ1345" s="2">
        <v>1676.3216960815701</v>
      </c>
      <c r="AR1345" s="2">
        <v>5535.4767148329902</v>
      </c>
      <c r="AS1345" s="2">
        <v>1922.7863913270501</v>
      </c>
      <c r="AT1345" s="2">
        <v>8.559877937157E-6</v>
      </c>
      <c r="AU1345" s="2">
        <v>2233.72905512945</v>
      </c>
      <c r="AV1345" s="2">
        <v>8.559877937157E-6</v>
      </c>
      <c r="AW1345" s="2">
        <v>8.559877937157E-6</v>
      </c>
      <c r="AX1345" s="2">
        <v>651.25629953914904</v>
      </c>
    </row>
    <row r="1346" spans="1:50" x14ac:dyDescent="0.25">
      <c r="A1346" s="2" t="s">
        <v>9312</v>
      </c>
      <c r="B1346" s="2">
        <v>257.125283843972</v>
      </c>
      <c r="C1346" s="2">
        <v>0.58143333333333302</v>
      </c>
      <c r="D1346" s="2" t="s">
        <v>51</v>
      </c>
      <c r="E1346" s="2" t="s">
        <v>9313</v>
      </c>
      <c r="F1346" s="2">
        <v>54074</v>
      </c>
      <c r="G1346" s="3" t="str">
        <f>HYPERLINK("https://cloud.oebiotech.com/#/lm/network/54074", "https://cloud.oebiotech.com/#/lm/network/54074")</f>
        <v>https://cloud.oebiotech.com/#/lm/network/54074</v>
      </c>
      <c r="H1346" s="2" t="s">
        <v>9314</v>
      </c>
      <c r="I1346" s="2">
        <v>23735</v>
      </c>
      <c r="J1346" s="2"/>
      <c r="K1346" s="2">
        <v>9943049</v>
      </c>
      <c r="L1346" s="2"/>
      <c r="M1346" s="2"/>
      <c r="N1346" s="2"/>
      <c r="O1346" s="2">
        <v>73663</v>
      </c>
      <c r="P1346" s="2"/>
      <c r="Q1346" s="2"/>
      <c r="R1346" s="2" t="s">
        <v>9315</v>
      </c>
      <c r="S1346" s="2" t="s">
        <v>9316</v>
      </c>
      <c r="T1346" s="2" t="s">
        <v>9317</v>
      </c>
      <c r="U1346" s="2" t="s">
        <v>103</v>
      </c>
      <c r="V1346" s="2" t="s">
        <v>104</v>
      </c>
      <c r="W1346" s="2" t="s">
        <v>105</v>
      </c>
      <c r="X1346" s="2" t="s">
        <v>83</v>
      </c>
      <c r="Y1346" s="2">
        <v>38.6</v>
      </c>
      <c r="Z1346" s="2">
        <v>0</v>
      </c>
      <c r="AA1346" s="2" t="s">
        <v>259</v>
      </c>
      <c r="AB1346" s="2" t="s">
        <v>9318</v>
      </c>
      <c r="AC1346" s="2">
        <v>3.3281699235178599</v>
      </c>
      <c r="AD1346" s="2"/>
      <c r="AE1346" s="2">
        <v>0.46935012605374499</v>
      </c>
      <c r="AF1346" s="2">
        <v>5477.8815135651903</v>
      </c>
      <c r="AG1346" s="2">
        <v>664.46469796962697</v>
      </c>
      <c r="AH1346" s="5">
        <v>8.2440519869658804</v>
      </c>
      <c r="AI1346" s="5">
        <v>3.0433536025362402</v>
      </c>
      <c r="AJ1346" s="5" t="s">
        <v>139</v>
      </c>
      <c r="AK1346" s="2">
        <v>1.62030692642896E-3</v>
      </c>
      <c r="AL1346" s="2">
        <v>9.8160839002130199E-2</v>
      </c>
      <c r="AM1346" s="2">
        <v>5091.5623501651899</v>
      </c>
      <c r="AN1346" s="2">
        <v>3330.61445539338</v>
      </c>
      <c r="AO1346" s="2">
        <v>7583.3339941003296</v>
      </c>
      <c r="AP1346" s="2">
        <v>2004.6658750936399</v>
      </c>
      <c r="AQ1346" s="2">
        <v>5511.8964681493298</v>
      </c>
      <c r="AR1346" s="2">
        <v>9345.2159384892493</v>
      </c>
      <c r="AS1346" s="2">
        <v>1166.11205023096</v>
      </c>
      <c r="AT1346" s="2">
        <v>299.05773982432203</v>
      </c>
      <c r="AU1346" s="2">
        <v>1599.37892923048</v>
      </c>
      <c r="AV1346" s="2">
        <v>527.78684944776296</v>
      </c>
      <c r="AW1346" s="2">
        <v>8.559877937157E-6</v>
      </c>
      <c r="AX1346" s="2">
        <v>394.45261052435802</v>
      </c>
    </row>
    <row r="1347" spans="1:50" x14ac:dyDescent="0.25">
      <c r="A1347" s="2" t="s">
        <v>9319</v>
      </c>
      <c r="B1347" s="2">
        <v>536.35967217667201</v>
      </c>
      <c r="C1347" s="2">
        <v>13.554083333333301</v>
      </c>
      <c r="D1347" s="2" t="s">
        <v>51</v>
      </c>
      <c r="E1347" s="2" t="s">
        <v>9320</v>
      </c>
      <c r="F1347" s="2">
        <v>198854</v>
      </c>
      <c r="G1347" s="3" t="str">
        <f>HYPERLINK("https://cloud.oebiotech.com/#/lm/network/198854", "https://cloud.oebiotech.com/#/lm/network/198854")</f>
        <v>https://cloud.oebiotech.com/#/lm/network/198854</v>
      </c>
      <c r="H1347" s="2" t="s">
        <v>9321</v>
      </c>
      <c r="I1347" s="2"/>
      <c r="J1347" s="2"/>
      <c r="K1347" s="2">
        <v>11204859</v>
      </c>
      <c r="L1347" s="2"/>
      <c r="M1347" s="2"/>
      <c r="N1347" s="2"/>
      <c r="O1347" s="2"/>
      <c r="P1347" s="2"/>
      <c r="Q1347" s="2"/>
      <c r="R1347" s="2"/>
      <c r="S1347" s="2" t="s">
        <v>9322</v>
      </c>
      <c r="T1347" s="2" t="s">
        <v>9323</v>
      </c>
      <c r="U1347" s="2" t="s">
        <v>240</v>
      </c>
      <c r="V1347" s="2" t="s">
        <v>240</v>
      </c>
      <c r="W1347" s="2" t="s">
        <v>240</v>
      </c>
      <c r="X1347" s="2" t="s">
        <v>147</v>
      </c>
      <c r="Y1347" s="2">
        <v>37.700000000000003</v>
      </c>
      <c r="Z1347" s="2">
        <v>0</v>
      </c>
      <c r="AA1347" s="2" t="s">
        <v>218</v>
      </c>
      <c r="AB1347" s="2" t="s">
        <v>9324</v>
      </c>
      <c r="AC1347" s="2">
        <v>0.80517701411466602</v>
      </c>
      <c r="AD1347" s="2"/>
      <c r="AE1347" s="2">
        <v>0.46922482911744201</v>
      </c>
      <c r="AF1347" s="2">
        <v>14946.7034032309</v>
      </c>
      <c r="AG1347" s="2">
        <v>6013.3418536104</v>
      </c>
      <c r="AH1347" s="5">
        <v>2.4855901705067498</v>
      </c>
      <c r="AI1347" s="5">
        <v>1.3135884413144301</v>
      </c>
      <c r="AJ1347" s="5" t="s">
        <v>139</v>
      </c>
      <c r="AK1347" s="2">
        <v>5.6659944080513697E-2</v>
      </c>
      <c r="AL1347" s="2">
        <v>0.325203556477003</v>
      </c>
      <c r="AM1347" s="2">
        <v>2877.20902099453</v>
      </c>
      <c r="AN1347" s="2">
        <v>18432.686897984699</v>
      </c>
      <c r="AO1347" s="2">
        <v>17973.1466531226</v>
      </c>
      <c r="AP1347" s="2">
        <v>22617.2418480878</v>
      </c>
      <c r="AQ1347" s="2">
        <v>23708.902258875001</v>
      </c>
      <c r="AR1347" s="2">
        <v>4071.0337403207</v>
      </c>
      <c r="AS1347" s="2">
        <v>3018.5518271533801</v>
      </c>
      <c r="AT1347" s="2">
        <v>9755.3734490539791</v>
      </c>
      <c r="AU1347" s="2">
        <v>1805.69137941691</v>
      </c>
      <c r="AV1347" s="2">
        <v>1675.3848749562201</v>
      </c>
      <c r="AW1347" s="2">
        <v>8311.0323366384291</v>
      </c>
      <c r="AX1347" s="2">
        <v>11514.017254443501</v>
      </c>
    </row>
    <row r="1348" spans="1:50" x14ac:dyDescent="0.25">
      <c r="A1348" s="2" t="s">
        <v>9325</v>
      </c>
      <c r="B1348" s="2">
        <v>747.29194614886399</v>
      </c>
      <c r="C1348" s="2">
        <v>6.9113499999999997</v>
      </c>
      <c r="D1348" s="2" t="s">
        <v>51</v>
      </c>
      <c r="E1348" s="2" t="s">
        <v>9326</v>
      </c>
      <c r="F1348" s="2">
        <v>56707</v>
      </c>
      <c r="G1348" s="3" t="str">
        <f>HYPERLINK("https://cloud.oebiotech.com/#/lm/network/56707", "https://cloud.oebiotech.com/#/lm/network/56707")</f>
        <v>https://cloud.oebiotech.com/#/lm/network/56707</v>
      </c>
      <c r="H1348" s="2" t="s">
        <v>9327</v>
      </c>
      <c r="I1348" s="2"/>
      <c r="J1348" s="2"/>
      <c r="K1348" s="2">
        <v>134159055</v>
      </c>
      <c r="L1348" s="2"/>
      <c r="M1348" s="2"/>
      <c r="N1348" s="2"/>
      <c r="O1348" s="2"/>
      <c r="P1348" s="2"/>
      <c r="Q1348" s="2"/>
      <c r="R1348" s="2" t="s">
        <v>9328</v>
      </c>
      <c r="S1348" s="2" t="s">
        <v>9329</v>
      </c>
      <c r="T1348" s="2" t="s">
        <v>9330</v>
      </c>
      <c r="U1348" s="2" t="s">
        <v>331</v>
      </c>
      <c r="V1348" s="2" t="s">
        <v>332</v>
      </c>
      <c r="W1348" s="2" t="s">
        <v>333</v>
      </c>
      <c r="X1348" s="2" t="s">
        <v>147</v>
      </c>
      <c r="Y1348" s="2">
        <v>38.1</v>
      </c>
      <c r="Z1348" s="2">
        <v>0</v>
      </c>
      <c r="AA1348" s="2" t="s">
        <v>95</v>
      </c>
      <c r="AB1348" s="2" t="s">
        <v>9331</v>
      </c>
      <c r="AC1348" s="2">
        <v>3.6128538882375398</v>
      </c>
      <c r="AD1348" s="2"/>
      <c r="AE1348" s="2">
        <v>0.46912308852196999</v>
      </c>
      <c r="AF1348" s="2">
        <v>3629.8893927296599</v>
      </c>
      <c r="AG1348" s="2">
        <v>10618.2853994374</v>
      </c>
      <c r="AH1348" s="4">
        <v>0.34185268677389402</v>
      </c>
      <c r="AI1348" s="4">
        <v>-1.5485533307297701</v>
      </c>
      <c r="AJ1348" s="4" t="s">
        <v>62</v>
      </c>
      <c r="AK1348" s="2">
        <v>0.110802825661869</v>
      </c>
      <c r="AL1348" s="2">
        <v>0.42261842103963698</v>
      </c>
      <c r="AM1348" s="2">
        <v>3287.1661572887001</v>
      </c>
      <c r="AN1348" s="2">
        <v>925.42887302800602</v>
      </c>
      <c r="AO1348" s="2">
        <v>5825.7980079436302</v>
      </c>
      <c r="AP1348" s="2">
        <v>8.559877937157E-6</v>
      </c>
      <c r="AQ1348" s="2">
        <v>1398.3497838835699</v>
      </c>
      <c r="AR1348" s="2">
        <v>10342.5935256742</v>
      </c>
      <c r="AS1348" s="2">
        <v>6583.8095193894096</v>
      </c>
      <c r="AT1348" s="2">
        <v>4133.5531730278299</v>
      </c>
      <c r="AU1348" s="2">
        <v>10911.464434527899</v>
      </c>
      <c r="AV1348" s="2">
        <v>23770.542458289299</v>
      </c>
      <c r="AW1348" s="2">
        <v>18310.3428028298</v>
      </c>
      <c r="AX1348" s="2">
        <v>8.559877937157E-6</v>
      </c>
    </row>
    <row r="1349" spans="1:50" x14ac:dyDescent="0.25">
      <c r="A1349" s="2" t="s">
        <v>9332</v>
      </c>
      <c r="B1349" s="2">
        <v>529.28013074462604</v>
      </c>
      <c r="C1349" s="2">
        <v>13.3257833333333</v>
      </c>
      <c r="D1349" s="2" t="s">
        <v>51</v>
      </c>
      <c r="E1349" s="2" t="s">
        <v>9333</v>
      </c>
      <c r="F1349" s="2">
        <v>23670</v>
      </c>
      <c r="G1349" s="3" t="str">
        <f>HYPERLINK("https://cloud.oebiotech.com/#/lm/network/23670", "https://cloud.oebiotech.com/#/lm/network/23670")</f>
        <v>https://cloud.oebiotech.com/#/lm/network/23670</v>
      </c>
      <c r="H1349" s="2" t="s">
        <v>9334</v>
      </c>
      <c r="I1349" s="2">
        <v>46733</v>
      </c>
      <c r="J1349" s="2" t="s">
        <v>9335</v>
      </c>
      <c r="K1349" s="2">
        <v>42607483</v>
      </c>
      <c r="L1349" s="2"/>
      <c r="M1349" s="2"/>
      <c r="N1349" s="2"/>
      <c r="O1349" s="2">
        <v>75376</v>
      </c>
      <c r="P1349" s="2"/>
      <c r="Q1349" s="2"/>
      <c r="R1349" s="2" t="s">
        <v>9336</v>
      </c>
      <c r="S1349" s="2" t="s">
        <v>9337</v>
      </c>
      <c r="T1349" s="2" t="s">
        <v>9338</v>
      </c>
      <c r="U1349" s="2" t="s">
        <v>56</v>
      </c>
      <c r="V1349" s="2" t="s">
        <v>57</v>
      </c>
      <c r="W1349" s="2" t="s">
        <v>570</v>
      </c>
      <c r="X1349" s="2" t="s">
        <v>147</v>
      </c>
      <c r="Y1349" s="2">
        <v>39.200000000000003</v>
      </c>
      <c r="Z1349" s="2">
        <v>4.4000000000000004</v>
      </c>
      <c r="AA1349" s="2" t="s">
        <v>218</v>
      </c>
      <c r="AB1349" s="2" t="s">
        <v>9339</v>
      </c>
      <c r="AC1349" s="2">
        <v>3.7338419703457801</v>
      </c>
      <c r="AD1349" s="2"/>
      <c r="AE1349" s="2">
        <v>0.46904952183762599</v>
      </c>
      <c r="AF1349" s="2">
        <v>25327.0449974683</v>
      </c>
      <c r="AG1349" s="2">
        <v>33423.033146567999</v>
      </c>
      <c r="AH1349" s="4">
        <v>0.75777218920865497</v>
      </c>
      <c r="AI1349" s="4">
        <v>-0.40016390202808499</v>
      </c>
      <c r="AJ1349" s="4" t="s">
        <v>62</v>
      </c>
      <c r="AK1349" s="2">
        <v>0.21708510130578701</v>
      </c>
      <c r="AL1349" s="2">
        <v>0.54227595765134895</v>
      </c>
      <c r="AM1349" s="2">
        <v>20418.026751488502</v>
      </c>
      <c r="AN1349" s="2">
        <v>28422.327776792401</v>
      </c>
      <c r="AO1349" s="2">
        <v>30967.9381711032</v>
      </c>
      <c r="AP1349" s="2">
        <v>28527.0977813278</v>
      </c>
      <c r="AQ1349" s="2">
        <v>25623.8412659405</v>
      </c>
      <c r="AR1349" s="2">
        <v>18003.038238157202</v>
      </c>
      <c r="AS1349" s="2">
        <v>16846.459874899199</v>
      </c>
      <c r="AT1349" s="2">
        <v>16945.093104700401</v>
      </c>
      <c r="AU1349" s="2">
        <v>35999.750379721401</v>
      </c>
      <c r="AV1349" s="2">
        <v>33992.425829324398</v>
      </c>
      <c r="AW1349" s="2">
        <v>47158.6156103549</v>
      </c>
      <c r="AX1349" s="2">
        <v>49595.854080407502</v>
      </c>
    </row>
    <row r="1350" spans="1:50" x14ac:dyDescent="0.25">
      <c r="A1350" s="2" t="s">
        <v>9340</v>
      </c>
      <c r="B1350" s="2">
        <v>337.07137260136602</v>
      </c>
      <c r="C1350" s="2">
        <v>5.8543500000000002</v>
      </c>
      <c r="D1350" s="2" t="s">
        <v>51</v>
      </c>
      <c r="E1350" s="2" t="s">
        <v>9341</v>
      </c>
      <c r="F1350" s="2">
        <v>34169</v>
      </c>
      <c r="G1350" s="3" t="str">
        <f>HYPERLINK("https://cloud.oebiotech.com/#/lm/network/34169", "https://cloud.oebiotech.com/#/lm/network/34169")</f>
        <v>https://cloud.oebiotech.com/#/lm/network/34169</v>
      </c>
      <c r="H1350" s="2"/>
      <c r="I1350" s="2">
        <v>52479</v>
      </c>
      <c r="J1350" s="2" t="s">
        <v>9342</v>
      </c>
      <c r="K1350" s="2">
        <v>180424</v>
      </c>
      <c r="L1350" s="2"/>
      <c r="M1350" s="2"/>
      <c r="N1350" s="2"/>
      <c r="O1350" s="2"/>
      <c r="P1350" s="2"/>
      <c r="Q1350" s="2"/>
      <c r="R1350" s="2"/>
      <c r="S1350" s="2" t="s">
        <v>9343</v>
      </c>
      <c r="T1350" s="2" t="s">
        <v>9344</v>
      </c>
      <c r="U1350" s="2" t="s">
        <v>540</v>
      </c>
      <c r="V1350" s="2" t="s">
        <v>9345</v>
      </c>
      <c r="W1350" s="2" t="s">
        <v>240</v>
      </c>
      <c r="X1350" s="2" t="s">
        <v>59</v>
      </c>
      <c r="Y1350" s="2">
        <v>46.6</v>
      </c>
      <c r="Z1350" s="2">
        <v>48.5</v>
      </c>
      <c r="AA1350" s="2" t="s">
        <v>298</v>
      </c>
      <c r="AB1350" s="2" t="s">
        <v>9346</v>
      </c>
      <c r="AC1350" s="2">
        <v>-1.1510118337736199</v>
      </c>
      <c r="AD1350" s="2"/>
      <c r="AE1350" s="2">
        <v>0.468836057182348</v>
      </c>
      <c r="AF1350" s="2">
        <v>8041.7319523011101</v>
      </c>
      <c r="AG1350" s="2">
        <v>12844.9452016178</v>
      </c>
      <c r="AH1350" s="4">
        <v>0.62606198983925898</v>
      </c>
      <c r="AI1350" s="4">
        <v>-0.67562258148994903</v>
      </c>
      <c r="AJ1350" s="4" t="s">
        <v>62</v>
      </c>
      <c r="AK1350" s="2">
        <v>2.3806485554600599E-3</v>
      </c>
      <c r="AL1350" s="2">
        <v>0.101912249503871</v>
      </c>
      <c r="AM1350" s="2">
        <v>5237.5056057486599</v>
      </c>
      <c r="AN1350" s="2">
        <v>9149.8153619041004</v>
      </c>
      <c r="AO1350" s="2">
        <v>8587.9653419132901</v>
      </c>
      <c r="AP1350" s="2">
        <v>7219.7958696708702</v>
      </c>
      <c r="AQ1350" s="2">
        <v>8682.2034713591693</v>
      </c>
      <c r="AR1350" s="2">
        <v>9373.10606321056</v>
      </c>
      <c r="AS1350" s="2">
        <v>10962.059860523201</v>
      </c>
      <c r="AT1350" s="2">
        <v>15814.573664894901</v>
      </c>
      <c r="AU1350" s="2">
        <v>10559.491103124599</v>
      </c>
      <c r="AV1350" s="2">
        <v>16092.7789256045</v>
      </c>
      <c r="AW1350" s="2">
        <v>11941.3992937393</v>
      </c>
      <c r="AX1350" s="2">
        <v>11699.3683618206</v>
      </c>
    </row>
    <row r="1351" spans="1:50" x14ac:dyDescent="0.25">
      <c r="A1351" s="2" t="s">
        <v>9347</v>
      </c>
      <c r="B1351" s="2">
        <v>511.19272745993402</v>
      </c>
      <c r="C1351" s="2">
        <v>8.1107833333333303</v>
      </c>
      <c r="D1351" s="2" t="s">
        <v>51</v>
      </c>
      <c r="E1351" s="2" t="s">
        <v>9348</v>
      </c>
      <c r="F1351" s="2">
        <v>204408</v>
      </c>
      <c r="G1351" s="3" t="str">
        <f>HYPERLINK("https://cloud.oebiotech.com/#/lm/network/204408", "https://cloud.oebiotech.com/#/lm/network/204408")</f>
        <v>https://cloud.oebiotech.com/#/lm/network/204408</v>
      </c>
      <c r="H1351" s="2" t="s">
        <v>9349</v>
      </c>
      <c r="I1351" s="2">
        <v>72854</v>
      </c>
      <c r="J1351" s="2"/>
      <c r="K1351" s="2">
        <v>41462</v>
      </c>
      <c r="L1351" s="2" t="s">
        <v>9350</v>
      </c>
      <c r="M1351" s="2"/>
      <c r="N1351" s="2"/>
      <c r="O1351" s="2"/>
      <c r="P1351" s="2"/>
      <c r="Q1351" s="2"/>
      <c r="R1351" s="2" t="s">
        <v>9351</v>
      </c>
      <c r="S1351" s="2" t="s">
        <v>9352</v>
      </c>
      <c r="T1351" s="2" t="s">
        <v>9353</v>
      </c>
      <c r="U1351" s="2" t="s">
        <v>266</v>
      </c>
      <c r="V1351" s="2" t="s">
        <v>1585</v>
      </c>
      <c r="W1351" s="2" t="s">
        <v>9354</v>
      </c>
      <c r="X1351" s="2" t="s">
        <v>147</v>
      </c>
      <c r="Y1351" s="2">
        <v>39.299999999999997</v>
      </c>
      <c r="Z1351" s="2">
        <v>10.6</v>
      </c>
      <c r="AA1351" s="2" t="s">
        <v>478</v>
      </c>
      <c r="AB1351" s="2" t="s">
        <v>9355</v>
      </c>
      <c r="AC1351" s="2">
        <v>2.3630454995628001</v>
      </c>
      <c r="AD1351" s="2"/>
      <c r="AE1351" s="2">
        <v>0.46826221229227799</v>
      </c>
      <c r="AF1351" s="2">
        <v>8378.3851490404595</v>
      </c>
      <c r="AG1351" s="2">
        <v>3563.16991275482</v>
      </c>
      <c r="AH1351" s="5">
        <v>2.3513852424070398</v>
      </c>
      <c r="AI1351" s="5">
        <v>1.23351092426469</v>
      </c>
      <c r="AJ1351" s="5" t="s">
        <v>139</v>
      </c>
      <c r="AK1351" s="2">
        <v>4.4490900586718903E-2</v>
      </c>
      <c r="AL1351" s="2">
        <v>0.297793096711781</v>
      </c>
      <c r="AM1351" s="2">
        <v>17413.284051066999</v>
      </c>
      <c r="AN1351" s="2">
        <v>6561.9755262377303</v>
      </c>
      <c r="AO1351" s="2">
        <v>7828.9384486704002</v>
      </c>
      <c r="AP1351" s="2">
        <v>4581.88860018583</v>
      </c>
      <c r="AQ1351" s="2">
        <v>5417.4202320086797</v>
      </c>
      <c r="AR1351" s="2">
        <v>8466.8040360731302</v>
      </c>
      <c r="AS1351" s="2">
        <v>7077.4175660330002</v>
      </c>
      <c r="AT1351" s="2">
        <v>3368.9855813714298</v>
      </c>
      <c r="AU1351" s="2">
        <v>3441.9571059518098</v>
      </c>
      <c r="AV1351" s="2">
        <v>736.81883022273701</v>
      </c>
      <c r="AW1351" s="2">
        <v>2158.0755190923201</v>
      </c>
      <c r="AX1351" s="2">
        <v>4595.7648738576499</v>
      </c>
    </row>
    <row r="1352" spans="1:50" x14ac:dyDescent="0.25">
      <c r="A1352" s="2" t="s">
        <v>9356</v>
      </c>
      <c r="B1352" s="2">
        <v>633.34142452692095</v>
      </c>
      <c r="C1352" s="2">
        <v>15.0035833333333</v>
      </c>
      <c r="D1352" s="2" t="s">
        <v>51</v>
      </c>
      <c r="E1352" s="2" t="s">
        <v>9357</v>
      </c>
      <c r="F1352" s="2">
        <v>44536</v>
      </c>
      <c r="G1352" s="3" t="str">
        <f>HYPERLINK("https://cloud.oebiotech.com/#/lm/network/44536", "https://cloud.oebiotech.com/#/lm/network/44536")</f>
        <v>https://cloud.oebiotech.com/#/lm/network/44536</v>
      </c>
      <c r="H1352" s="2"/>
      <c r="I1352" s="2"/>
      <c r="J1352" s="2" t="s">
        <v>9358</v>
      </c>
      <c r="K1352" s="2">
        <v>52931479</v>
      </c>
      <c r="L1352" s="2"/>
      <c r="M1352" s="2"/>
      <c r="N1352" s="2"/>
      <c r="O1352" s="2"/>
      <c r="P1352" s="2"/>
      <c r="Q1352" s="2"/>
      <c r="R1352" s="2"/>
      <c r="S1352" s="2" t="s">
        <v>9359</v>
      </c>
      <c r="T1352" s="2" t="s">
        <v>9360</v>
      </c>
      <c r="U1352" s="2" t="s">
        <v>56</v>
      </c>
      <c r="V1352" s="2" t="s">
        <v>283</v>
      </c>
      <c r="W1352" s="2" t="s">
        <v>3462</v>
      </c>
      <c r="X1352" s="2" t="s">
        <v>147</v>
      </c>
      <c r="Y1352" s="2">
        <v>39.200000000000003</v>
      </c>
      <c r="Z1352" s="2">
        <v>1.97</v>
      </c>
      <c r="AA1352" s="2" t="s">
        <v>395</v>
      </c>
      <c r="AB1352" s="2" t="s">
        <v>9361</v>
      </c>
      <c r="AC1352" s="2">
        <v>2.4952843762089101</v>
      </c>
      <c r="AD1352" s="2"/>
      <c r="AE1352" s="2">
        <v>0.46809569318412098</v>
      </c>
      <c r="AF1352" s="2">
        <v>10220.335707820301</v>
      </c>
      <c r="AG1352" s="2">
        <v>15444.541565580201</v>
      </c>
      <c r="AH1352" s="4">
        <v>0.66174419385793903</v>
      </c>
      <c r="AI1352" s="4">
        <v>-0.59565446331418503</v>
      </c>
      <c r="AJ1352" s="4" t="s">
        <v>62</v>
      </c>
      <c r="AK1352" s="2">
        <v>3.4298298973237197E-2</v>
      </c>
      <c r="AL1352" s="2">
        <v>0.27137913321326701</v>
      </c>
      <c r="AM1352" s="2">
        <v>8390.0492973800392</v>
      </c>
      <c r="AN1352" s="2">
        <v>10900.116277719901</v>
      </c>
      <c r="AO1352" s="2">
        <v>11489.128218247501</v>
      </c>
      <c r="AP1352" s="2">
        <v>9739.6568336000691</v>
      </c>
      <c r="AQ1352" s="2">
        <v>12012.767522341601</v>
      </c>
      <c r="AR1352" s="2">
        <v>8790.2960976327304</v>
      </c>
      <c r="AS1352" s="2">
        <v>23324.903452193201</v>
      </c>
      <c r="AT1352" s="2">
        <v>15416.6210272387</v>
      </c>
      <c r="AU1352" s="2">
        <v>7591.4563813362602</v>
      </c>
      <c r="AV1352" s="2">
        <v>16007.023530063399</v>
      </c>
      <c r="AW1352" s="2">
        <v>15977.545073823499</v>
      </c>
      <c r="AX1352" s="2">
        <v>14349.6999288262</v>
      </c>
    </row>
    <row r="1353" spans="1:50" x14ac:dyDescent="0.25">
      <c r="A1353" s="2" t="s">
        <v>9362</v>
      </c>
      <c r="B1353" s="2">
        <v>561.41482441534299</v>
      </c>
      <c r="C1353" s="2">
        <v>13.5068</v>
      </c>
      <c r="D1353" s="2" t="s">
        <v>51</v>
      </c>
      <c r="E1353" s="2" t="s">
        <v>9363</v>
      </c>
      <c r="F1353" s="2">
        <v>198591</v>
      </c>
      <c r="G1353" s="3" t="str">
        <f>HYPERLINK("https://cloud.oebiotech.com/#/lm/network/198591", "https://cloud.oebiotech.com/#/lm/network/198591")</f>
        <v>https://cloud.oebiotech.com/#/lm/network/198591</v>
      </c>
      <c r="H1353" s="2" t="s">
        <v>9364</v>
      </c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 t="s">
        <v>9365</v>
      </c>
      <c r="T1353" s="2" t="s">
        <v>9366</v>
      </c>
      <c r="U1353" s="2" t="s">
        <v>103</v>
      </c>
      <c r="V1353" s="2" t="s">
        <v>104</v>
      </c>
      <c r="W1353" s="2" t="s">
        <v>105</v>
      </c>
      <c r="X1353" s="2" t="s">
        <v>147</v>
      </c>
      <c r="Y1353" s="2">
        <v>38.6</v>
      </c>
      <c r="Z1353" s="2">
        <v>0</v>
      </c>
      <c r="AA1353" s="2" t="s">
        <v>395</v>
      </c>
      <c r="AB1353" s="2" t="s">
        <v>9367</v>
      </c>
      <c r="AC1353" s="2">
        <v>1.48262241521094</v>
      </c>
      <c r="AD1353" s="2"/>
      <c r="AE1353" s="2">
        <v>0.46724294896698598</v>
      </c>
      <c r="AF1353" s="2">
        <v>19341.607163668101</v>
      </c>
      <c r="AG1353" s="2">
        <v>11449.4182930558</v>
      </c>
      <c r="AH1353" s="5">
        <v>1.6893091569026699</v>
      </c>
      <c r="AI1353" s="5">
        <v>0.75643337687543399</v>
      </c>
      <c r="AJ1353" s="5" t="s">
        <v>139</v>
      </c>
      <c r="AK1353" s="2">
        <v>8.7874613870145404E-2</v>
      </c>
      <c r="AL1353" s="2">
        <v>0.38035924608661198</v>
      </c>
      <c r="AM1353" s="2">
        <v>10045.6287907596</v>
      </c>
      <c r="AN1353" s="2">
        <v>22582.8264246002</v>
      </c>
      <c r="AO1353" s="2">
        <v>32866.214724678197</v>
      </c>
      <c r="AP1353" s="2">
        <v>21181.491194832201</v>
      </c>
      <c r="AQ1353" s="2">
        <v>20266.630437389402</v>
      </c>
      <c r="AR1353" s="2">
        <v>9106.8514097488696</v>
      </c>
      <c r="AS1353" s="2">
        <v>3107.0241933247398</v>
      </c>
      <c r="AT1353" s="2">
        <v>10113.257547306701</v>
      </c>
      <c r="AU1353" s="2">
        <v>14879.728461799201</v>
      </c>
      <c r="AV1353" s="2">
        <v>9652.9674624691506</v>
      </c>
      <c r="AW1353" s="2">
        <v>18195.185626315801</v>
      </c>
      <c r="AX1353" s="2">
        <v>12748.3464671193</v>
      </c>
    </row>
    <row r="1354" spans="1:50" x14ac:dyDescent="0.25">
      <c r="A1354" s="2" t="s">
        <v>9368</v>
      </c>
      <c r="B1354" s="2">
        <v>584.35733418106702</v>
      </c>
      <c r="C1354" s="2">
        <v>10.61675</v>
      </c>
      <c r="D1354" s="2" t="s">
        <v>51</v>
      </c>
      <c r="E1354" s="2" t="s">
        <v>9369</v>
      </c>
      <c r="F1354" s="2">
        <v>198866</v>
      </c>
      <c r="G1354" s="3" t="str">
        <f>HYPERLINK("https://cloud.oebiotech.com/#/lm/network/198866", "https://cloud.oebiotech.com/#/lm/network/198866")</f>
        <v>https://cloud.oebiotech.com/#/lm/network/198866</v>
      </c>
      <c r="H1354" s="2" t="s">
        <v>9370</v>
      </c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 t="s">
        <v>9371</v>
      </c>
      <c r="T1354" s="2" t="s">
        <v>9372</v>
      </c>
      <c r="U1354" s="2" t="s">
        <v>56</v>
      </c>
      <c r="V1354" s="2" t="s">
        <v>283</v>
      </c>
      <c r="W1354" s="2" t="s">
        <v>2042</v>
      </c>
      <c r="X1354" s="2" t="s">
        <v>69</v>
      </c>
      <c r="Y1354" s="2">
        <v>59.2</v>
      </c>
      <c r="Z1354" s="2">
        <v>62.8</v>
      </c>
      <c r="AA1354" s="2" t="s">
        <v>218</v>
      </c>
      <c r="AB1354" s="2" t="s">
        <v>9373</v>
      </c>
      <c r="AC1354" s="2">
        <v>-3.6012294142284902</v>
      </c>
      <c r="AD1354" s="2"/>
      <c r="AE1354" s="2">
        <v>0.466902598896067</v>
      </c>
      <c r="AF1354" s="2">
        <v>48250.671000464499</v>
      </c>
      <c r="AG1354" s="2">
        <v>39337.253715726503</v>
      </c>
      <c r="AH1354" s="5">
        <v>1.2265897194845199</v>
      </c>
      <c r="AI1354" s="5">
        <v>0.29465276436545201</v>
      </c>
      <c r="AJ1354" s="5" t="s">
        <v>139</v>
      </c>
      <c r="AK1354" s="2">
        <v>0.287908316738131</v>
      </c>
      <c r="AL1354" s="2">
        <v>0.602556997361406</v>
      </c>
      <c r="AM1354" s="2">
        <v>75785.884970420797</v>
      </c>
      <c r="AN1354" s="2">
        <v>36890.9648449905</v>
      </c>
      <c r="AO1354" s="2">
        <v>51491.2374430204</v>
      </c>
      <c r="AP1354" s="2">
        <v>46356.155757404398</v>
      </c>
      <c r="AQ1354" s="2">
        <v>41308.491121215899</v>
      </c>
      <c r="AR1354" s="2">
        <v>37671.291865734798</v>
      </c>
      <c r="AS1354" s="2">
        <v>28048.766173547599</v>
      </c>
      <c r="AT1354" s="2">
        <v>21147.880880503901</v>
      </c>
      <c r="AU1354" s="2">
        <v>44832.474760686702</v>
      </c>
      <c r="AV1354" s="2">
        <v>56433.954234102697</v>
      </c>
      <c r="AW1354" s="2">
        <v>46383.281653787599</v>
      </c>
      <c r="AX1354" s="2">
        <v>39177.164591730798</v>
      </c>
    </row>
    <row r="1355" spans="1:50" x14ac:dyDescent="0.25">
      <c r="A1355" s="2" t="s">
        <v>9374</v>
      </c>
      <c r="B1355" s="2">
        <v>315.19637253265398</v>
      </c>
      <c r="C1355" s="2">
        <v>9.5221499999999999</v>
      </c>
      <c r="D1355" s="2" t="s">
        <v>51</v>
      </c>
      <c r="E1355" s="2" t="s">
        <v>9375</v>
      </c>
      <c r="F1355" s="2">
        <v>4088</v>
      </c>
      <c r="G1355" s="3" t="str">
        <f>HYPERLINK("https://cloud.oebiotech.com/#/lm/network/4088", "https://cloud.oebiotech.com/#/lm/network/4088")</f>
        <v>https://cloud.oebiotech.com/#/lm/network/4088</v>
      </c>
      <c r="H1355" s="2"/>
      <c r="I1355" s="2">
        <v>75040</v>
      </c>
      <c r="J1355" s="2" t="s">
        <v>9376</v>
      </c>
      <c r="K1355" s="2">
        <v>52921895</v>
      </c>
      <c r="L1355" s="2"/>
      <c r="M1355" s="2"/>
      <c r="N1355" s="2"/>
      <c r="O1355" s="2">
        <v>138490</v>
      </c>
      <c r="P1355" s="2" t="s">
        <v>9377</v>
      </c>
      <c r="Q1355" s="2" t="s">
        <v>9378</v>
      </c>
      <c r="R1355" s="2"/>
      <c r="S1355" s="2" t="s">
        <v>9379</v>
      </c>
      <c r="T1355" s="2" t="s">
        <v>9380</v>
      </c>
      <c r="U1355" s="2" t="s">
        <v>56</v>
      </c>
      <c r="V1355" s="2" t="s">
        <v>145</v>
      </c>
      <c r="W1355" s="2" t="s">
        <v>146</v>
      </c>
      <c r="X1355" s="2" t="s">
        <v>83</v>
      </c>
      <c r="Y1355" s="2">
        <v>46.1</v>
      </c>
      <c r="Z1355" s="2">
        <v>0</v>
      </c>
      <c r="AA1355" s="2" t="s">
        <v>156</v>
      </c>
      <c r="AB1355" s="2" t="s">
        <v>1500</v>
      </c>
      <c r="AC1355" s="2">
        <v>2.7134552103120599</v>
      </c>
      <c r="AD1355" s="2"/>
      <c r="AE1355" s="2">
        <v>0.46686316300374298</v>
      </c>
      <c r="AF1355" s="2">
        <v>9938.1522502362495</v>
      </c>
      <c r="AG1355" s="2">
        <v>5183.5410492341398</v>
      </c>
      <c r="AH1355" s="5">
        <v>1.91725157683561</v>
      </c>
      <c r="AI1355" s="5">
        <v>0.93903965617116403</v>
      </c>
      <c r="AJ1355" s="5" t="s">
        <v>139</v>
      </c>
      <c r="AK1355" s="2">
        <v>2.7709257299165499E-2</v>
      </c>
      <c r="AL1355" s="2">
        <v>0.25505404741882998</v>
      </c>
      <c r="AM1355" s="2">
        <v>13123.6174024432</v>
      </c>
      <c r="AN1355" s="2">
        <v>15621.400908068401</v>
      </c>
      <c r="AO1355" s="2">
        <v>8851.3758745513805</v>
      </c>
      <c r="AP1355" s="2">
        <v>7739.9168427779196</v>
      </c>
      <c r="AQ1355" s="2">
        <v>6359.5434561315296</v>
      </c>
      <c r="AR1355" s="2">
        <v>7933.0590174450899</v>
      </c>
      <c r="AS1355" s="2">
        <v>8505.8479054992094</v>
      </c>
      <c r="AT1355" s="2">
        <v>3463.7496005039302</v>
      </c>
      <c r="AU1355" s="2">
        <v>8305.8153594164505</v>
      </c>
      <c r="AV1355" s="2">
        <v>2098.50621339703</v>
      </c>
      <c r="AW1355" s="2">
        <v>3249.2151905945202</v>
      </c>
      <c r="AX1355" s="2">
        <v>5478.1120259936897</v>
      </c>
    </row>
    <row r="1356" spans="1:50" x14ac:dyDescent="0.25">
      <c r="A1356" s="2" t="s">
        <v>9381</v>
      </c>
      <c r="B1356" s="2">
        <v>218.102953435258</v>
      </c>
      <c r="C1356" s="2">
        <v>2.59588333333333</v>
      </c>
      <c r="D1356" s="2" t="s">
        <v>51</v>
      </c>
      <c r="E1356" s="2" t="s">
        <v>9382</v>
      </c>
      <c r="F1356" s="2">
        <v>46931</v>
      </c>
      <c r="G1356" s="3" t="str">
        <f>HYPERLINK("https://cloud.oebiotech.com/#/lm/network/46931", "https://cloud.oebiotech.com/#/lm/network/46931")</f>
        <v>https://cloud.oebiotech.com/#/lm/network/46931</v>
      </c>
      <c r="H1356" s="2" t="s">
        <v>9383</v>
      </c>
      <c r="I1356" s="2">
        <v>241</v>
      </c>
      <c r="J1356" s="2"/>
      <c r="K1356" s="2">
        <v>6613</v>
      </c>
      <c r="L1356" s="2" t="s">
        <v>9384</v>
      </c>
      <c r="M1356" s="2" t="s">
        <v>9385</v>
      </c>
      <c r="N1356" s="2" t="s">
        <v>9386</v>
      </c>
      <c r="O1356" s="2">
        <v>46905</v>
      </c>
      <c r="P1356" s="2"/>
      <c r="Q1356" s="2"/>
      <c r="R1356" s="2" t="s">
        <v>9387</v>
      </c>
      <c r="S1356" s="2" t="s">
        <v>9388</v>
      </c>
      <c r="T1356" s="2" t="s">
        <v>9389</v>
      </c>
      <c r="U1356" s="2" t="s">
        <v>331</v>
      </c>
      <c r="V1356" s="2" t="s">
        <v>332</v>
      </c>
      <c r="W1356" s="2" t="s">
        <v>519</v>
      </c>
      <c r="X1356" s="2" t="s">
        <v>69</v>
      </c>
      <c r="Y1356" s="2">
        <v>51.1</v>
      </c>
      <c r="Z1356" s="2">
        <v>57.9</v>
      </c>
      <c r="AA1356" s="2" t="s">
        <v>163</v>
      </c>
      <c r="AB1356" s="2" t="s">
        <v>9390</v>
      </c>
      <c r="AC1356" s="2">
        <v>-2.0208076881457302</v>
      </c>
      <c r="AD1356" s="2"/>
      <c r="AE1356" s="2">
        <v>0.46681669261561198</v>
      </c>
      <c r="AF1356" s="2">
        <v>15495.1372929102</v>
      </c>
      <c r="AG1356" s="2">
        <v>8262.4230986726398</v>
      </c>
      <c r="AH1356" s="5">
        <v>1.8753744643504799</v>
      </c>
      <c r="AI1356" s="5">
        <v>0.90717869370024495</v>
      </c>
      <c r="AJ1356" s="5" t="s">
        <v>139</v>
      </c>
      <c r="AK1356" s="2">
        <v>7.9675089523471104E-2</v>
      </c>
      <c r="AL1356" s="2">
        <v>0.36520736260394099</v>
      </c>
      <c r="AM1356" s="2">
        <v>19615.456163309798</v>
      </c>
      <c r="AN1356" s="2">
        <v>8536.7936424567506</v>
      </c>
      <c r="AO1356" s="2">
        <v>6820.4208539751298</v>
      </c>
      <c r="AP1356" s="2">
        <v>9530.64139805798</v>
      </c>
      <c r="AQ1356" s="2">
        <v>30219.5582643589</v>
      </c>
      <c r="AR1356" s="2">
        <v>18247.953435302701</v>
      </c>
      <c r="AS1356" s="2">
        <v>7976.3382265724604</v>
      </c>
      <c r="AT1356" s="2">
        <v>9566.7659132081099</v>
      </c>
      <c r="AU1356" s="2">
        <v>9735.9021079981903</v>
      </c>
      <c r="AV1356" s="2">
        <v>8518.6847643309793</v>
      </c>
      <c r="AW1356" s="2">
        <v>8316.8788010051903</v>
      </c>
      <c r="AX1356" s="2">
        <v>5459.9687789208901</v>
      </c>
    </row>
    <row r="1357" spans="1:50" x14ac:dyDescent="0.25">
      <c r="A1357" s="2" t="s">
        <v>9391</v>
      </c>
      <c r="B1357" s="2">
        <v>245.04922945214699</v>
      </c>
      <c r="C1357" s="2">
        <v>0.61653333333333304</v>
      </c>
      <c r="D1357" s="2" t="s">
        <v>51</v>
      </c>
      <c r="E1357" s="2" t="s">
        <v>9392</v>
      </c>
      <c r="F1357" s="2">
        <v>201255</v>
      </c>
      <c r="G1357" s="3" t="str">
        <f>HYPERLINK("https://cloud.oebiotech.com/#/lm/network/201255", "https://cloud.oebiotech.com/#/lm/network/201255")</f>
        <v>https://cloud.oebiotech.com/#/lm/network/201255</v>
      </c>
      <c r="H1357" s="2" t="s">
        <v>9393</v>
      </c>
      <c r="I1357" s="2"/>
      <c r="J1357" s="2"/>
      <c r="K1357" s="2">
        <v>90877554</v>
      </c>
      <c r="L1357" s="2"/>
      <c r="M1357" s="2"/>
      <c r="N1357" s="2"/>
      <c r="O1357" s="2"/>
      <c r="P1357" s="2"/>
      <c r="Q1357" s="2"/>
      <c r="R1357" s="2"/>
      <c r="S1357" s="2" t="s">
        <v>9394</v>
      </c>
      <c r="T1357" s="2" t="s">
        <v>9395</v>
      </c>
      <c r="U1357" s="2" t="s">
        <v>610</v>
      </c>
      <c r="V1357" s="2" t="s">
        <v>611</v>
      </c>
      <c r="W1357" s="2" t="s">
        <v>9396</v>
      </c>
      <c r="X1357" s="2" t="s">
        <v>147</v>
      </c>
      <c r="Y1357" s="2">
        <v>37.1</v>
      </c>
      <c r="Z1357" s="2">
        <v>0</v>
      </c>
      <c r="AA1357" s="2" t="s">
        <v>95</v>
      </c>
      <c r="AB1357" s="2" t="s">
        <v>9397</v>
      </c>
      <c r="AC1357" s="2">
        <v>3.0726836293062698</v>
      </c>
      <c r="AD1357" s="2"/>
      <c r="AE1357" s="2">
        <v>0.466801964742802</v>
      </c>
      <c r="AF1357" s="2">
        <v>19221.1282205518</v>
      </c>
      <c r="AG1357" s="2">
        <v>29403.9279087543</v>
      </c>
      <c r="AH1357" s="4">
        <v>0.65369253659574</v>
      </c>
      <c r="AI1357" s="4">
        <v>-0.61331586930146598</v>
      </c>
      <c r="AJ1357" s="4" t="s">
        <v>62</v>
      </c>
      <c r="AK1357" s="2">
        <v>0.33688415770977198</v>
      </c>
      <c r="AL1357" s="2">
        <v>0.63815037094278604</v>
      </c>
      <c r="AM1357" s="2">
        <v>24039.109228032899</v>
      </c>
      <c r="AN1357" s="2">
        <v>16528.767801194601</v>
      </c>
      <c r="AO1357" s="2">
        <v>18841.4388402123</v>
      </c>
      <c r="AP1357" s="2">
        <v>29240.718809358699</v>
      </c>
      <c r="AQ1357" s="2">
        <v>16779.740730429901</v>
      </c>
      <c r="AR1357" s="2">
        <v>9896.9939140826791</v>
      </c>
      <c r="AS1357" s="2">
        <v>8436.9553124163904</v>
      </c>
      <c r="AT1357" s="2">
        <v>11914.7179374273</v>
      </c>
      <c r="AU1357" s="2">
        <v>32367.2394208326</v>
      </c>
      <c r="AV1357" s="2">
        <v>71744.803098459801</v>
      </c>
      <c r="AW1357" s="2">
        <v>37439.671079655098</v>
      </c>
      <c r="AX1357" s="2">
        <v>14520.180603734399</v>
      </c>
    </row>
    <row r="1358" spans="1:50" x14ac:dyDescent="0.25">
      <c r="A1358" s="2" t="s">
        <v>9398</v>
      </c>
      <c r="B1358" s="2">
        <v>433.18443172238898</v>
      </c>
      <c r="C1358" s="2">
        <v>7.65811666666667</v>
      </c>
      <c r="D1358" s="2" t="s">
        <v>51</v>
      </c>
      <c r="E1358" s="2" t="s">
        <v>9399</v>
      </c>
      <c r="F1358" s="2">
        <v>200580</v>
      </c>
      <c r="G1358" s="3" t="str">
        <f>HYPERLINK("https://cloud.oebiotech.com/#/lm/network/200580", "https://cloud.oebiotech.com/#/lm/network/200580")</f>
        <v>https://cloud.oebiotech.com/#/lm/network/200580</v>
      </c>
      <c r="H1358" s="2" t="s">
        <v>9400</v>
      </c>
      <c r="I1358" s="2"/>
      <c r="J1358" s="2"/>
      <c r="K1358" s="2">
        <v>4438292</v>
      </c>
      <c r="L1358" s="2"/>
      <c r="M1358" s="2"/>
      <c r="N1358" s="2"/>
      <c r="O1358" s="2"/>
      <c r="P1358" s="2"/>
      <c r="Q1358" s="2"/>
      <c r="R1358" s="2"/>
      <c r="S1358" s="2" t="s">
        <v>9401</v>
      </c>
      <c r="T1358" s="2" t="s">
        <v>9402</v>
      </c>
      <c r="U1358" s="2" t="s">
        <v>295</v>
      </c>
      <c r="V1358" s="2" t="s">
        <v>5395</v>
      </c>
      <c r="W1358" s="2" t="s">
        <v>240</v>
      </c>
      <c r="X1358" s="2" t="s">
        <v>147</v>
      </c>
      <c r="Y1358" s="2">
        <v>40.700000000000003</v>
      </c>
      <c r="Z1358" s="2">
        <v>12.4</v>
      </c>
      <c r="AA1358" s="2" t="s">
        <v>218</v>
      </c>
      <c r="AB1358" s="2" t="s">
        <v>9403</v>
      </c>
      <c r="AC1358" s="2">
        <v>0.83871069591223002</v>
      </c>
      <c r="AD1358" s="2"/>
      <c r="AE1358" s="2">
        <v>0.466695063195467</v>
      </c>
      <c r="AF1358" s="2">
        <v>6629.2647232776299</v>
      </c>
      <c r="AG1358" s="2">
        <v>2084.32156853163</v>
      </c>
      <c r="AH1358" s="5">
        <v>3.1805383695893998</v>
      </c>
      <c r="AI1358" s="5">
        <v>1.6692709911061201</v>
      </c>
      <c r="AJ1358" s="5" t="s">
        <v>139</v>
      </c>
      <c r="AK1358" s="2">
        <v>7.1141812938419705E-4</v>
      </c>
      <c r="AL1358" s="2">
        <v>6.5995147408655905E-2</v>
      </c>
      <c r="AM1358" s="2">
        <v>8449.6029180897403</v>
      </c>
      <c r="AN1358" s="2">
        <v>7028.4160659111703</v>
      </c>
      <c r="AO1358" s="2">
        <v>5629.0296026329397</v>
      </c>
      <c r="AP1358" s="2">
        <v>8240.7721840334307</v>
      </c>
      <c r="AQ1358" s="2">
        <v>4118.2163541084201</v>
      </c>
      <c r="AR1358" s="2">
        <v>6309.5512148900598</v>
      </c>
      <c r="AS1358" s="2">
        <v>4941.4979420243099</v>
      </c>
      <c r="AT1358" s="2">
        <v>2584.9300847814002</v>
      </c>
      <c r="AU1358" s="2">
        <v>1120.2814386104701</v>
      </c>
      <c r="AV1358" s="2">
        <v>534.01913294517396</v>
      </c>
      <c r="AW1358" s="2">
        <v>891.434399517918</v>
      </c>
      <c r="AX1358" s="2">
        <v>2433.76641331052</v>
      </c>
    </row>
    <row r="1359" spans="1:50" x14ac:dyDescent="0.25">
      <c r="A1359" s="2" t="s">
        <v>9404</v>
      </c>
      <c r="B1359" s="2">
        <v>498.25810748105499</v>
      </c>
      <c r="C1359" s="2">
        <v>10.5316333333333</v>
      </c>
      <c r="D1359" s="2" t="s">
        <v>51</v>
      </c>
      <c r="E1359" s="2" t="s">
        <v>9405</v>
      </c>
      <c r="F1359" s="2">
        <v>22511</v>
      </c>
      <c r="G1359" s="3" t="str">
        <f>HYPERLINK("https://cloud.oebiotech.com/#/lm/network/22511", "https://cloud.oebiotech.com/#/lm/network/22511")</f>
        <v>https://cloud.oebiotech.com/#/lm/network/22511</v>
      </c>
      <c r="H1359" s="2"/>
      <c r="I1359" s="2">
        <v>40862</v>
      </c>
      <c r="J1359" s="2" t="s">
        <v>9406</v>
      </c>
      <c r="K1359" s="2">
        <v>9547125</v>
      </c>
      <c r="L1359" s="2"/>
      <c r="M1359" s="2"/>
      <c r="N1359" s="2"/>
      <c r="O1359" s="2"/>
      <c r="P1359" s="2"/>
      <c r="Q1359" s="2"/>
      <c r="R1359" s="2"/>
      <c r="S1359" s="2" t="s">
        <v>9407</v>
      </c>
      <c r="T1359" s="2" t="s">
        <v>9408</v>
      </c>
      <c r="U1359" s="2" t="s">
        <v>56</v>
      </c>
      <c r="V1359" s="2" t="s">
        <v>57</v>
      </c>
      <c r="W1359" s="2" t="s">
        <v>570</v>
      </c>
      <c r="X1359" s="2" t="s">
        <v>147</v>
      </c>
      <c r="Y1359" s="2">
        <v>38.6</v>
      </c>
      <c r="Z1359" s="2">
        <v>0</v>
      </c>
      <c r="AA1359" s="2" t="s">
        <v>3659</v>
      </c>
      <c r="AB1359" s="2" t="s">
        <v>9409</v>
      </c>
      <c r="AC1359" s="2">
        <v>-2.5625680025187498</v>
      </c>
      <c r="AD1359" s="2"/>
      <c r="AE1359" s="2">
        <v>0.46665078702469898</v>
      </c>
      <c r="AF1359" s="2">
        <v>15722.4831302742</v>
      </c>
      <c r="AG1359" s="2">
        <v>26111.5503152407</v>
      </c>
      <c r="AH1359" s="4">
        <v>0.60212752366133204</v>
      </c>
      <c r="AI1359" s="4">
        <v>-0.73185902938038905</v>
      </c>
      <c r="AJ1359" s="4" t="s">
        <v>62</v>
      </c>
      <c r="AK1359" s="2">
        <v>5.4758848665324197E-2</v>
      </c>
      <c r="AL1359" s="2">
        <v>0.32061467901975299</v>
      </c>
      <c r="AM1359" s="2">
        <v>34929.456857177502</v>
      </c>
      <c r="AN1359" s="2">
        <v>14585.147105672801</v>
      </c>
      <c r="AO1359" s="2">
        <v>13116.5248578148</v>
      </c>
      <c r="AP1359" s="2">
        <v>10086.9666097023</v>
      </c>
      <c r="AQ1359" s="2">
        <v>10472.109426578299</v>
      </c>
      <c r="AR1359" s="2">
        <v>11144.693924699201</v>
      </c>
      <c r="AS1359" s="2">
        <v>14065.6655404597</v>
      </c>
      <c r="AT1359" s="2">
        <v>23983.891521355501</v>
      </c>
      <c r="AU1359" s="2">
        <v>27447.204040509499</v>
      </c>
      <c r="AV1359" s="2">
        <v>27034.926766028901</v>
      </c>
      <c r="AW1359" s="2">
        <v>33537.548114871301</v>
      </c>
      <c r="AX1359" s="2">
        <v>30600.065908219301</v>
      </c>
    </row>
    <row r="1360" spans="1:50" x14ac:dyDescent="0.25">
      <c r="A1360" s="2" t="s">
        <v>9410</v>
      </c>
      <c r="B1360" s="2">
        <v>361.23690668285002</v>
      </c>
      <c r="C1360" s="2">
        <v>9.5221499999999999</v>
      </c>
      <c r="D1360" s="2" t="s">
        <v>51</v>
      </c>
      <c r="E1360" s="2" t="s">
        <v>9411</v>
      </c>
      <c r="F1360" s="2">
        <v>267262</v>
      </c>
      <c r="G1360" s="3" t="str">
        <f>HYPERLINK("https://cloud.oebiotech.com/#/lm/network/267262", "https://cloud.oebiotech.com/#/lm/network/267262")</f>
        <v>https://cloud.oebiotech.com/#/lm/network/267262</v>
      </c>
      <c r="H1360" s="2"/>
      <c r="I1360" s="2">
        <v>45129</v>
      </c>
      <c r="J1360" s="2"/>
      <c r="K1360" s="2">
        <v>10937300</v>
      </c>
      <c r="L1360" s="2"/>
      <c r="M1360" s="2"/>
      <c r="N1360" s="2"/>
      <c r="O1360" s="2"/>
      <c r="P1360" s="2"/>
      <c r="Q1360" s="2"/>
      <c r="R1360" s="2"/>
      <c r="S1360" s="2" t="s">
        <v>2650</v>
      </c>
      <c r="T1360" s="2" t="s">
        <v>9412</v>
      </c>
      <c r="U1360" s="2" t="s">
        <v>56</v>
      </c>
      <c r="V1360" s="2" t="s">
        <v>145</v>
      </c>
      <c r="W1360" s="2" t="s">
        <v>187</v>
      </c>
      <c r="X1360" s="2" t="s">
        <v>69</v>
      </c>
      <c r="Y1360" s="2">
        <v>60.9</v>
      </c>
      <c r="Z1360" s="2">
        <v>61.7</v>
      </c>
      <c r="AA1360" s="2" t="s">
        <v>259</v>
      </c>
      <c r="AB1360" s="2" t="s">
        <v>1865</v>
      </c>
      <c r="AC1360" s="2">
        <v>-1.1916096917330401</v>
      </c>
      <c r="AD1360" s="2"/>
      <c r="AE1360" s="2">
        <v>0.46633826135977002</v>
      </c>
      <c r="AF1360" s="2">
        <v>13003.500926148699</v>
      </c>
      <c r="AG1360" s="2">
        <v>7627.5202583320897</v>
      </c>
      <c r="AH1360" s="5">
        <v>1.7048136859347001</v>
      </c>
      <c r="AI1360" s="5">
        <v>0.76961407997355602</v>
      </c>
      <c r="AJ1360" s="5" t="s">
        <v>139</v>
      </c>
      <c r="AK1360" s="2">
        <v>0.14562475493845001</v>
      </c>
      <c r="AL1360" s="2">
        <v>0.46813495501649</v>
      </c>
      <c r="AM1360" s="2">
        <v>28298.5902628275</v>
      </c>
      <c r="AN1360" s="2">
        <v>11562.0579037934</v>
      </c>
      <c r="AO1360" s="2">
        <v>8949.1623359785808</v>
      </c>
      <c r="AP1360" s="2">
        <v>8399.8895770158906</v>
      </c>
      <c r="AQ1360" s="2">
        <v>10783.5804169248</v>
      </c>
      <c r="AR1360" s="2">
        <v>10027.725060352101</v>
      </c>
      <c r="AS1360" s="2">
        <v>7242.47597329569</v>
      </c>
      <c r="AT1360" s="2">
        <v>3662.9839652389501</v>
      </c>
      <c r="AU1360" s="2">
        <v>13158.3934578632</v>
      </c>
      <c r="AV1360" s="2">
        <v>4221.3105685170904</v>
      </c>
      <c r="AW1360" s="2">
        <v>9048.5778495600098</v>
      </c>
      <c r="AX1360" s="2">
        <v>8431.3797355175902</v>
      </c>
    </row>
    <row r="1361" spans="1:50" x14ac:dyDescent="0.25">
      <c r="A1361" s="2" t="s">
        <v>9413</v>
      </c>
      <c r="B1361" s="2">
        <v>259.18142550280203</v>
      </c>
      <c r="C1361" s="2">
        <v>5.4257166666666699</v>
      </c>
      <c r="D1361" s="2" t="s">
        <v>51</v>
      </c>
      <c r="E1361" s="2" t="s">
        <v>9414</v>
      </c>
      <c r="F1361" s="2">
        <v>8941</v>
      </c>
      <c r="G1361" s="3" t="str">
        <f>HYPERLINK("https://cloud.oebiotech.com/#/lm/network/8941", "https://cloud.oebiotech.com/#/lm/network/8941")</f>
        <v>https://cloud.oebiotech.com/#/lm/network/8941</v>
      </c>
      <c r="H1361" s="2"/>
      <c r="I1361" s="2"/>
      <c r="J1361" s="2" t="s">
        <v>9415</v>
      </c>
      <c r="K1361" s="2">
        <v>101589680</v>
      </c>
      <c r="L1361" s="2"/>
      <c r="M1361" s="2"/>
      <c r="N1361" s="2"/>
      <c r="O1361" s="2"/>
      <c r="P1361" s="2"/>
      <c r="Q1361" s="2"/>
      <c r="R1361" s="2"/>
      <c r="S1361" s="2" t="s">
        <v>9416</v>
      </c>
      <c r="T1361" s="2" t="s">
        <v>9417</v>
      </c>
      <c r="U1361" s="2" t="s">
        <v>266</v>
      </c>
      <c r="V1361" s="2" t="s">
        <v>1742</v>
      </c>
      <c r="W1361" s="2" t="s">
        <v>9418</v>
      </c>
      <c r="X1361" s="2" t="s">
        <v>147</v>
      </c>
      <c r="Y1361" s="2">
        <v>42.2</v>
      </c>
      <c r="Z1361" s="2">
        <v>17.899999999999999</v>
      </c>
      <c r="AA1361" s="2" t="s">
        <v>512</v>
      </c>
      <c r="AB1361" s="2" t="s">
        <v>9419</v>
      </c>
      <c r="AC1361" s="2">
        <v>3.88037344273449</v>
      </c>
      <c r="AD1361" s="2"/>
      <c r="AE1361" s="2">
        <v>0.46597978407132401</v>
      </c>
      <c r="AF1361" s="2">
        <v>535.58206792077397</v>
      </c>
      <c r="AG1361" s="2">
        <v>11471.8677623412</v>
      </c>
      <c r="AH1361" s="4">
        <v>4.6686562207327302E-2</v>
      </c>
      <c r="AI1361" s="4">
        <v>-4.4208488309877403</v>
      </c>
      <c r="AJ1361" s="4" t="s">
        <v>62</v>
      </c>
      <c r="AK1361" s="2">
        <v>0.34041848850393902</v>
      </c>
      <c r="AL1361" s="2">
        <v>0.63815037094278604</v>
      </c>
      <c r="AM1361" s="2">
        <v>1149.6927948805701</v>
      </c>
      <c r="AN1361" s="2">
        <v>106.336541382821</v>
      </c>
      <c r="AO1361" s="2">
        <v>8.559877937157E-6</v>
      </c>
      <c r="AP1361" s="2">
        <v>1957.46304558162</v>
      </c>
      <c r="AQ1361" s="2">
        <v>8.559877937157E-6</v>
      </c>
      <c r="AR1361" s="2">
        <v>8.559877937157E-6</v>
      </c>
      <c r="AS1361" s="2">
        <v>2571.9346514546401</v>
      </c>
      <c r="AT1361" s="2">
        <v>134.71578339709799</v>
      </c>
      <c r="AU1361" s="2">
        <v>8.559877937157E-6</v>
      </c>
      <c r="AV1361" s="2">
        <v>92.577059648918706</v>
      </c>
      <c r="AW1361" s="2">
        <v>8.559877937157E-6</v>
      </c>
      <c r="AX1361" s="2">
        <v>66031.979062426704</v>
      </c>
    </row>
    <row r="1362" spans="1:50" x14ac:dyDescent="0.25">
      <c r="A1362" s="2" t="s">
        <v>9420</v>
      </c>
      <c r="B1362" s="2">
        <v>603.00799989641098</v>
      </c>
      <c r="C1362" s="2">
        <v>13.8001166666667</v>
      </c>
      <c r="D1362" s="2" t="s">
        <v>51</v>
      </c>
      <c r="E1362" s="2" t="s">
        <v>9421</v>
      </c>
      <c r="F1362" s="2">
        <v>48000</v>
      </c>
      <c r="G1362" s="3" t="str">
        <f>HYPERLINK("https://cloud.oebiotech.com/#/lm/network/48000", "https://cloud.oebiotech.com/#/lm/network/48000")</f>
        <v>https://cloud.oebiotech.com/#/lm/network/48000</v>
      </c>
      <c r="H1362" s="2" t="s">
        <v>9422</v>
      </c>
      <c r="I1362" s="2">
        <v>3430</v>
      </c>
      <c r="J1362" s="2"/>
      <c r="K1362" s="2">
        <v>5281855</v>
      </c>
      <c r="L1362" s="2" t="s">
        <v>9423</v>
      </c>
      <c r="M1362" s="2"/>
      <c r="N1362" s="2"/>
      <c r="O1362" s="2">
        <v>4775</v>
      </c>
      <c r="P1362" s="2"/>
      <c r="Q1362" s="2"/>
      <c r="R1362" s="2" t="s">
        <v>9424</v>
      </c>
      <c r="S1362" s="2" t="s">
        <v>9425</v>
      </c>
      <c r="T1362" s="2" t="s">
        <v>9426</v>
      </c>
      <c r="U1362" s="2" t="s">
        <v>540</v>
      </c>
      <c r="V1362" s="2" t="s">
        <v>935</v>
      </c>
      <c r="W1362" s="2" t="s">
        <v>936</v>
      </c>
      <c r="X1362" s="2" t="s">
        <v>147</v>
      </c>
      <c r="Y1362" s="2">
        <v>37.4</v>
      </c>
      <c r="Z1362" s="2">
        <v>0</v>
      </c>
      <c r="AA1362" s="2" t="s">
        <v>478</v>
      </c>
      <c r="AB1362" s="2" t="s">
        <v>9427</v>
      </c>
      <c r="AC1362" s="2">
        <v>4.5396915710520398</v>
      </c>
      <c r="AD1362" s="2"/>
      <c r="AE1362" s="2">
        <v>0.46571032744277502</v>
      </c>
      <c r="AF1362" s="2">
        <v>5198.2599930920596</v>
      </c>
      <c r="AG1362" s="2">
        <v>9407.3705881467104</v>
      </c>
      <c r="AH1362" s="4">
        <v>0.55257310684048799</v>
      </c>
      <c r="AI1362" s="4">
        <v>-0.85576274549843101</v>
      </c>
      <c r="AJ1362" s="4" t="s">
        <v>62</v>
      </c>
      <c r="AK1362" s="2">
        <v>2.2295692933420701E-4</v>
      </c>
      <c r="AL1362" s="2">
        <v>4.4123176315239501E-2</v>
      </c>
      <c r="AM1362" s="2">
        <v>5028.8211251722796</v>
      </c>
      <c r="AN1362" s="2">
        <v>3841.4938414714102</v>
      </c>
      <c r="AO1362" s="2">
        <v>4183.8523839730497</v>
      </c>
      <c r="AP1362" s="2">
        <v>5432.4926601048601</v>
      </c>
      <c r="AQ1362" s="2">
        <v>5593.0730323322196</v>
      </c>
      <c r="AR1362" s="2">
        <v>7109.8269154985501</v>
      </c>
      <c r="AS1362" s="2">
        <v>11843.798095275901</v>
      </c>
      <c r="AT1362" s="2">
        <v>9927.8780555932899</v>
      </c>
      <c r="AU1362" s="2">
        <v>9048.0288783839696</v>
      </c>
      <c r="AV1362" s="2">
        <v>9509.7605210676593</v>
      </c>
      <c r="AW1362" s="2">
        <v>8283.2109726332092</v>
      </c>
      <c r="AX1362" s="2">
        <v>7831.5470059262398</v>
      </c>
    </row>
    <row r="1363" spans="1:50" x14ac:dyDescent="0.25">
      <c r="A1363" s="2" t="s">
        <v>9428</v>
      </c>
      <c r="B1363" s="2">
        <v>201.12799809596299</v>
      </c>
      <c r="C1363" s="2">
        <v>9.5437499999999993</v>
      </c>
      <c r="D1363" s="2" t="s">
        <v>51</v>
      </c>
      <c r="E1363" s="2" t="s">
        <v>9429</v>
      </c>
      <c r="F1363" s="2">
        <v>58990</v>
      </c>
      <c r="G1363" s="3" t="str">
        <f>HYPERLINK("https://cloud.oebiotech.com/#/lm/network/58990", "https://cloud.oebiotech.com/#/lm/network/58990")</f>
        <v>https://cloud.oebiotech.com/#/lm/network/58990</v>
      </c>
      <c r="H1363" s="2" t="s">
        <v>9430</v>
      </c>
      <c r="I1363" s="2">
        <v>90426</v>
      </c>
      <c r="J1363" s="2"/>
      <c r="K1363" s="2">
        <v>16582</v>
      </c>
      <c r="L1363" s="2"/>
      <c r="M1363" s="2"/>
      <c r="N1363" s="2"/>
      <c r="O1363" s="2"/>
      <c r="P1363" s="2"/>
      <c r="Q1363" s="2"/>
      <c r="R1363" s="2" t="s">
        <v>9431</v>
      </c>
      <c r="S1363" s="2" t="s">
        <v>9432</v>
      </c>
      <c r="T1363" s="2" t="s">
        <v>9433</v>
      </c>
      <c r="U1363" s="2" t="s">
        <v>610</v>
      </c>
      <c r="V1363" s="2" t="s">
        <v>813</v>
      </c>
      <c r="W1363" s="2" t="s">
        <v>240</v>
      </c>
      <c r="X1363" s="2" t="s">
        <v>147</v>
      </c>
      <c r="Y1363" s="2">
        <v>38.700000000000003</v>
      </c>
      <c r="Z1363" s="2">
        <v>1.08</v>
      </c>
      <c r="AA1363" s="2" t="s">
        <v>179</v>
      </c>
      <c r="AB1363" s="2" t="s">
        <v>9434</v>
      </c>
      <c r="AC1363" s="2">
        <v>3.0308361671955999</v>
      </c>
      <c r="AD1363" s="2"/>
      <c r="AE1363" s="2">
        <v>0.465704770444339</v>
      </c>
      <c r="AF1363" s="2">
        <v>6982.4067197621098</v>
      </c>
      <c r="AG1363" s="2">
        <v>2472.6911953024601</v>
      </c>
      <c r="AH1363" s="5">
        <v>2.8238086231823298</v>
      </c>
      <c r="AI1363" s="5">
        <v>1.4976423167459501</v>
      </c>
      <c r="AJ1363" s="5" t="s">
        <v>139</v>
      </c>
      <c r="AK1363" s="2">
        <v>6.2233688253625196E-3</v>
      </c>
      <c r="AL1363" s="2">
        <v>0.13330813664095001</v>
      </c>
      <c r="AM1363" s="2">
        <v>7787.51762670274</v>
      </c>
      <c r="AN1363" s="2">
        <v>11997.0083344091</v>
      </c>
      <c r="AO1363" s="2">
        <v>6144.5127658974197</v>
      </c>
      <c r="AP1363" s="2">
        <v>3939.92321731121</v>
      </c>
      <c r="AQ1363" s="2">
        <v>5771.3437917804304</v>
      </c>
      <c r="AR1363" s="2">
        <v>6254.13458247178</v>
      </c>
      <c r="AS1363" s="2">
        <v>5181.2697870645598</v>
      </c>
      <c r="AT1363" s="2">
        <v>1657.6547355555599</v>
      </c>
      <c r="AU1363" s="2">
        <v>3266.6158493000398</v>
      </c>
      <c r="AV1363" s="2">
        <v>751.67420667532201</v>
      </c>
      <c r="AW1363" s="2">
        <v>1140.30527548073</v>
      </c>
      <c r="AX1363" s="2">
        <v>2838.6273177385401</v>
      </c>
    </row>
    <row r="1364" spans="1:50" x14ac:dyDescent="0.25">
      <c r="A1364" s="2" t="s">
        <v>9435</v>
      </c>
      <c r="B1364" s="2">
        <v>592.326684733668</v>
      </c>
      <c r="C1364" s="2">
        <v>7.4684833333333298</v>
      </c>
      <c r="D1364" s="2" t="s">
        <v>51</v>
      </c>
      <c r="E1364" s="2" t="s">
        <v>9436</v>
      </c>
      <c r="F1364" s="2">
        <v>28068</v>
      </c>
      <c r="G1364" s="3" t="str">
        <f>HYPERLINK("https://cloud.oebiotech.com/#/lm/network/28068", "https://cloud.oebiotech.com/#/lm/network/28068")</f>
        <v>https://cloud.oebiotech.com/#/lm/network/28068</v>
      </c>
      <c r="H1364" s="2"/>
      <c r="I1364" s="2"/>
      <c r="J1364" s="2" t="s">
        <v>9437</v>
      </c>
      <c r="K1364" s="2">
        <v>134812513</v>
      </c>
      <c r="L1364" s="2"/>
      <c r="M1364" s="2"/>
      <c r="N1364" s="2"/>
      <c r="O1364" s="2"/>
      <c r="P1364" s="2"/>
      <c r="Q1364" s="2"/>
      <c r="R1364" s="2"/>
      <c r="S1364" s="2" t="s">
        <v>9438</v>
      </c>
      <c r="T1364" s="2" t="s">
        <v>9439</v>
      </c>
      <c r="U1364" s="2" t="s">
        <v>56</v>
      </c>
      <c r="V1364" s="2" t="s">
        <v>57</v>
      </c>
      <c r="W1364" s="2" t="s">
        <v>702</v>
      </c>
      <c r="X1364" s="2" t="s">
        <v>147</v>
      </c>
      <c r="Y1364" s="2">
        <v>45.8</v>
      </c>
      <c r="Z1364" s="2">
        <v>44.8</v>
      </c>
      <c r="AA1364" s="2" t="s">
        <v>512</v>
      </c>
      <c r="AB1364" s="2" t="s">
        <v>9440</v>
      </c>
      <c r="AC1364" s="2">
        <v>3.7870556445369101</v>
      </c>
      <c r="AD1364" s="2"/>
      <c r="AE1364" s="2">
        <v>0.46568074972319101</v>
      </c>
      <c r="AF1364" s="2">
        <v>14392.3395323727</v>
      </c>
      <c r="AG1364" s="2">
        <v>8104.3125103489601</v>
      </c>
      <c r="AH1364" s="5">
        <v>1.77588654361418</v>
      </c>
      <c r="AI1364" s="5">
        <v>0.828539414912289</v>
      </c>
      <c r="AJ1364" s="5" t="s">
        <v>139</v>
      </c>
      <c r="AK1364" s="2">
        <v>4.1431397424979699E-2</v>
      </c>
      <c r="AL1364" s="2">
        <v>0.29243076157332099</v>
      </c>
      <c r="AM1364" s="2">
        <v>11990.208016246301</v>
      </c>
      <c r="AN1364" s="2">
        <v>24224.266867394199</v>
      </c>
      <c r="AO1364" s="2">
        <v>12174.395700552999</v>
      </c>
      <c r="AP1364" s="2">
        <v>14574.005413216701</v>
      </c>
      <c r="AQ1364" s="2">
        <v>8285.5908865503407</v>
      </c>
      <c r="AR1364" s="2">
        <v>15105.5703102759</v>
      </c>
      <c r="AS1364" s="2">
        <v>10832.3551080404</v>
      </c>
      <c r="AT1364" s="2">
        <v>5170.19370466284</v>
      </c>
      <c r="AU1364" s="2">
        <v>10967.7900783721</v>
      </c>
      <c r="AV1364" s="2">
        <v>3027.8368066828698</v>
      </c>
      <c r="AW1364" s="2">
        <v>6253.34685692736</v>
      </c>
      <c r="AX1364" s="2">
        <v>12374.352507408201</v>
      </c>
    </row>
    <row r="1365" spans="1:50" x14ac:dyDescent="0.25">
      <c r="A1365" s="2" t="s">
        <v>9441</v>
      </c>
      <c r="B1365" s="2">
        <v>469.24534311367501</v>
      </c>
      <c r="C1365" s="2">
        <v>7.58348333333333</v>
      </c>
      <c r="D1365" s="2" t="s">
        <v>51</v>
      </c>
      <c r="E1365" s="2" t="s">
        <v>9442</v>
      </c>
      <c r="F1365" s="2">
        <v>6404</v>
      </c>
      <c r="G1365" s="3" t="str">
        <f>HYPERLINK("https://cloud.oebiotech.com/#/lm/network/6404", "https://cloud.oebiotech.com/#/lm/network/6404")</f>
        <v>https://cloud.oebiotech.com/#/lm/network/6404</v>
      </c>
      <c r="H1365" s="2" t="s">
        <v>9443</v>
      </c>
      <c r="I1365" s="2">
        <v>2053</v>
      </c>
      <c r="J1365" s="2" t="s">
        <v>9444</v>
      </c>
      <c r="K1365" s="2">
        <v>54687</v>
      </c>
      <c r="L1365" s="2" t="s">
        <v>9445</v>
      </c>
      <c r="M1365" s="2"/>
      <c r="N1365" s="2"/>
      <c r="O1365" s="2">
        <v>63618</v>
      </c>
      <c r="P1365" s="2"/>
      <c r="Q1365" s="2"/>
      <c r="R1365" s="2" t="s">
        <v>9446</v>
      </c>
      <c r="S1365" s="2" t="s">
        <v>9447</v>
      </c>
      <c r="T1365" s="2" t="s">
        <v>9448</v>
      </c>
      <c r="U1365" s="2" t="s">
        <v>103</v>
      </c>
      <c r="V1365" s="2" t="s">
        <v>377</v>
      </c>
      <c r="W1365" s="2" t="s">
        <v>378</v>
      </c>
      <c r="X1365" s="2" t="s">
        <v>147</v>
      </c>
      <c r="Y1365" s="2">
        <v>36.700000000000003</v>
      </c>
      <c r="Z1365" s="2">
        <v>0</v>
      </c>
      <c r="AA1365" s="2" t="s">
        <v>218</v>
      </c>
      <c r="AB1365" s="2" t="s">
        <v>9449</v>
      </c>
      <c r="AC1365" s="2">
        <v>2.4437519306633901</v>
      </c>
      <c r="AD1365" s="2"/>
      <c r="AE1365" s="2">
        <v>0.46523931882200198</v>
      </c>
      <c r="AF1365" s="2">
        <v>5160.1924517544303</v>
      </c>
      <c r="AG1365" s="2">
        <v>863.84752596109695</v>
      </c>
      <c r="AH1365" s="5">
        <v>5.97349913807221</v>
      </c>
      <c r="AI1365" s="5">
        <v>2.5785762765987901</v>
      </c>
      <c r="AJ1365" s="5" t="s">
        <v>139</v>
      </c>
      <c r="AK1365" s="2">
        <v>4.21835147011476E-3</v>
      </c>
      <c r="AL1365" s="2">
        <v>0.118133739047506</v>
      </c>
      <c r="AM1365" s="2">
        <v>6514.2287719249798</v>
      </c>
      <c r="AN1365" s="2">
        <v>6273.2914658838199</v>
      </c>
      <c r="AO1365" s="2">
        <v>8411.6899905494301</v>
      </c>
      <c r="AP1365" s="2">
        <v>4029.1189965469798</v>
      </c>
      <c r="AQ1365" s="2">
        <v>5376.8879717579603</v>
      </c>
      <c r="AR1365" s="2">
        <v>355.93751386339301</v>
      </c>
      <c r="AS1365" s="2">
        <v>738.07974831654997</v>
      </c>
      <c r="AT1365" s="2">
        <v>1616.6027846248501</v>
      </c>
      <c r="AU1365" s="2">
        <v>417.07561265241299</v>
      </c>
      <c r="AV1365" s="2">
        <v>13.020114854082401</v>
      </c>
      <c r="AW1365" s="2">
        <v>485.34429459746798</v>
      </c>
      <c r="AX1365" s="2">
        <v>1912.96260072122</v>
      </c>
    </row>
    <row r="1366" spans="1:50" x14ac:dyDescent="0.25">
      <c r="A1366" s="2" t="s">
        <v>9450</v>
      </c>
      <c r="B1366" s="2">
        <v>427.17934363141597</v>
      </c>
      <c r="C1366" s="2">
        <v>6.0580999999999996</v>
      </c>
      <c r="D1366" s="2" t="s">
        <v>51</v>
      </c>
      <c r="E1366" s="2" t="s">
        <v>9451</v>
      </c>
      <c r="F1366" s="2">
        <v>45078</v>
      </c>
      <c r="G1366" s="3" t="str">
        <f>HYPERLINK("https://cloud.oebiotech.com/#/lm/network/45078", "https://cloud.oebiotech.com/#/lm/network/45078")</f>
        <v>https://cloud.oebiotech.com/#/lm/network/45078</v>
      </c>
      <c r="H1366" s="2"/>
      <c r="I1366" s="2">
        <v>84302</v>
      </c>
      <c r="J1366" s="2" t="s">
        <v>9452</v>
      </c>
      <c r="K1366" s="2">
        <v>42640653</v>
      </c>
      <c r="L1366" s="2"/>
      <c r="M1366" s="2"/>
      <c r="N1366" s="2"/>
      <c r="O1366" s="2"/>
      <c r="P1366" s="2"/>
      <c r="Q1366" s="2"/>
      <c r="R1366" s="2"/>
      <c r="S1366" s="2" t="s">
        <v>9453</v>
      </c>
      <c r="T1366" s="2" t="s">
        <v>9454</v>
      </c>
      <c r="U1366" s="2" t="s">
        <v>56</v>
      </c>
      <c r="V1366" s="2" t="s">
        <v>283</v>
      </c>
      <c r="W1366" s="2" t="s">
        <v>2305</v>
      </c>
      <c r="X1366" s="2" t="s">
        <v>147</v>
      </c>
      <c r="Y1366" s="2">
        <v>37.5</v>
      </c>
      <c r="Z1366" s="2">
        <v>1.57</v>
      </c>
      <c r="AA1366" s="2" t="s">
        <v>379</v>
      </c>
      <c r="AB1366" s="2" t="s">
        <v>9455</v>
      </c>
      <c r="AC1366" s="2">
        <v>-0.56991686069192204</v>
      </c>
      <c r="AD1366" s="2"/>
      <c r="AE1366" s="2">
        <v>0.46472514872533599</v>
      </c>
      <c r="AF1366" s="2">
        <v>6541.63548752526</v>
      </c>
      <c r="AG1366" s="2">
        <v>12513.1075115074</v>
      </c>
      <c r="AH1366" s="4">
        <v>0.52278264863539303</v>
      </c>
      <c r="AI1366" s="4">
        <v>-0.93571683658318605</v>
      </c>
      <c r="AJ1366" s="4" t="s">
        <v>62</v>
      </c>
      <c r="AK1366" s="2">
        <v>4.4381401002186703E-2</v>
      </c>
      <c r="AL1366" s="2">
        <v>0.297793096711781</v>
      </c>
      <c r="AM1366" s="2">
        <v>927.27774739048698</v>
      </c>
      <c r="AN1366" s="2">
        <v>8335.9391648151104</v>
      </c>
      <c r="AO1366" s="2">
        <v>11053.778850000999</v>
      </c>
      <c r="AP1366" s="2">
        <v>5787.8039504999297</v>
      </c>
      <c r="AQ1366" s="2">
        <v>3748.8655960676501</v>
      </c>
      <c r="AR1366" s="2">
        <v>9396.1476163774096</v>
      </c>
      <c r="AS1366" s="2">
        <v>9676.4607258077904</v>
      </c>
      <c r="AT1366" s="2">
        <v>13665.0166677162</v>
      </c>
      <c r="AU1366" s="2">
        <v>11683.005611717301</v>
      </c>
      <c r="AV1366" s="2">
        <v>22162.747410084699</v>
      </c>
      <c r="AW1366" s="2">
        <v>10011.5019072941</v>
      </c>
      <c r="AX1366" s="2">
        <v>7879.9127464242501</v>
      </c>
    </row>
    <row r="1367" spans="1:50" x14ac:dyDescent="0.25">
      <c r="A1367" s="2" t="s">
        <v>9456</v>
      </c>
      <c r="B1367" s="2">
        <v>392.182826506693</v>
      </c>
      <c r="C1367" s="2">
        <v>8.4367166666666709</v>
      </c>
      <c r="D1367" s="2" t="s">
        <v>51</v>
      </c>
      <c r="E1367" s="2" t="s">
        <v>9457</v>
      </c>
      <c r="F1367" s="2">
        <v>205245</v>
      </c>
      <c r="G1367" s="3" t="str">
        <f>HYPERLINK("https://cloud.oebiotech.com/#/lm/network/205245", "https://cloud.oebiotech.com/#/lm/network/205245")</f>
        <v>https://cloud.oebiotech.com/#/lm/network/205245</v>
      </c>
      <c r="H1367" s="2" t="s">
        <v>9458</v>
      </c>
      <c r="I1367" s="2"/>
      <c r="J1367" s="2"/>
      <c r="K1367" s="2">
        <v>326549</v>
      </c>
      <c r="L1367" s="2"/>
      <c r="M1367" s="2"/>
      <c r="N1367" s="2"/>
      <c r="O1367" s="2"/>
      <c r="P1367" s="2"/>
      <c r="Q1367" s="2"/>
      <c r="R1367" s="2"/>
      <c r="S1367" s="2" t="s">
        <v>9459</v>
      </c>
      <c r="T1367" s="2" t="s">
        <v>9460</v>
      </c>
      <c r="U1367" s="2" t="s">
        <v>238</v>
      </c>
      <c r="V1367" s="2" t="s">
        <v>9461</v>
      </c>
      <c r="W1367" s="2" t="s">
        <v>240</v>
      </c>
      <c r="X1367" s="2" t="s">
        <v>147</v>
      </c>
      <c r="Y1367" s="2">
        <v>38.299999999999997</v>
      </c>
      <c r="Z1367" s="2">
        <v>0</v>
      </c>
      <c r="AA1367" s="2" t="s">
        <v>95</v>
      </c>
      <c r="AB1367" s="2" t="s">
        <v>9462</v>
      </c>
      <c r="AC1367" s="2">
        <v>-1.0902729398787501</v>
      </c>
      <c r="AD1367" s="2"/>
      <c r="AE1367" s="2">
        <v>0.46419974926652802</v>
      </c>
      <c r="AF1367" s="2">
        <v>10804.8973134721</v>
      </c>
      <c r="AG1367" s="2">
        <v>164.41487682016799</v>
      </c>
      <c r="AH1367" s="5">
        <v>65.7172728067072</v>
      </c>
      <c r="AI1367" s="5">
        <v>6.0382007061875704</v>
      </c>
      <c r="AJ1367" s="5" t="s">
        <v>139</v>
      </c>
      <c r="AK1367" s="2">
        <v>0.14362726565347</v>
      </c>
      <c r="AL1367" s="2">
        <v>0.46691644728252502</v>
      </c>
      <c r="AM1367" s="2">
        <v>8.559877937157E-6</v>
      </c>
      <c r="AN1367" s="2">
        <v>10381.622466520201</v>
      </c>
      <c r="AO1367" s="2">
        <v>8.559877937157E-6</v>
      </c>
      <c r="AP1367" s="2">
        <v>70.388562107567694</v>
      </c>
      <c r="AQ1367" s="2">
        <v>42402.492919737801</v>
      </c>
      <c r="AR1367" s="2">
        <v>11974.879915347499</v>
      </c>
      <c r="AS1367" s="2">
        <v>8.559877937157E-6</v>
      </c>
      <c r="AT1367" s="2">
        <v>8.559877937157E-6</v>
      </c>
      <c r="AU1367" s="2">
        <v>336.13924897490801</v>
      </c>
      <c r="AV1367" s="2">
        <v>238.27105277025501</v>
      </c>
      <c r="AW1367" s="2">
        <v>412.07893349621099</v>
      </c>
      <c r="AX1367" s="2">
        <v>8.559877937157E-6</v>
      </c>
    </row>
    <row r="1368" spans="1:50" x14ac:dyDescent="0.25">
      <c r="A1368" s="2" t="s">
        <v>9463</v>
      </c>
      <c r="B1368" s="2">
        <v>595.49463025710997</v>
      </c>
      <c r="C1368" s="2">
        <v>15.0309333333333</v>
      </c>
      <c r="D1368" s="2" t="s">
        <v>51</v>
      </c>
      <c r="E1368" s="2" t="s">
        <v>9464</v>
      </c>
      <c r="F1368" s="2">
        <v>57821</v>
      </c>
      <c r="G1368" s="3" t="str">
        <f>HYPERLINK("https://cloud.oebiotech.com/#/lm/network/57821", "https://cloud.oebiotech.com/#/lm/network/57821")</f>
        <v>https://cloud.oebiotech.com/#/lm/network/57821</v>
      </c>
      <c r="H1368" s="2" t="s">
        <v>9465</v>
      </c>
      <c r="I1368" s="2">
        <v>89408</v>
      </c>
      <c r="J1368" s="2"/>
      <c r="K1368" s="2">
        <v>129011026</v>
      </c>
      <c r="L1368" s="2"/>
      <c r="M1368" s="2"/>
      <c r="N1368" s="2"/>
      <c r="O1368" s="2">
        <v>134012</v>
      </c>
      <c r="P1368" s="2"/>
      <c r="Q1368" s="2"/>
      <c r="R1368" s="2"/>
      <c r="S1368" s="2" t="s">
        <v>9466</v>
      </c>
      <c r="T1368" s="2" t="s">
        <v>9467</v>
      </c>
      <c r="U1368" s="2" t="s">
        <v>56</v>
      </c>
      <c r="V1368" s="2" t="s">
        <v>145</v>
      </c>
      <c r="W1368" s="2" t="s">
        <v>146</v>
      </c>
      <c r="X1368" s="2" t="s">
        <v>69</v>
      </c>
      <c r="Y1368" s="2">
        <v>52.8</v>
      </c>
      <c r="Z1368" s="2">
        <v>45.6</v>
      </c>
      <c r="AA1368" s="2" t="s">
        <v>218</v>
      </c>
      <c r="AB1368" s="2" t="s">
        <v>9468</v>
      </c>
      <c r="AC1368" s="2">
        <v>0.57546682636697799</v>
      </c>
      <c r="AD1368" s="2"/>
      <c r="AE1368" s="2">
        <v>0.46415450476801201</v>
      </c>
      <c r="AF1368" s="2">
        <v>241864.73881273301</v>
      </c>
      <c r="AG1368" s="2">
        <v>278240.389518891</v>
      </c>
      <c r="AH1368" s="4">
        <v>0.86926538318517899</v>
      </c>
      <c r="AI1368" s="4">
        <v>-0.202131401673492</v>
      </c>
      <c r="AJ1368" s="4" t="s">
        <v>62</v>
      </c>
      <c r="AK1368" s="2">
        <v>0.74560879039666905</v>
      </c>
      <c r="AL1368" s="2">
        <v>0.88357647227571201</v>
      </c>
      <c r="AM1368" s="2">
        <v>49357.032308720001</v>
      </c>
      <c r="AN1368" s="2">
        <v>171697.092732966</v>
      </c>
      <c r="AO1368" s="2">
        <v>219735.45440868899</v>
      </c>
      <c r="AP1368" s="2">
        <v>381532.92348037602</v>
      </c>
      <c r="AQ1368" s="2">
        <v>462132.99896684999</v>
      </c>
      <c r="AR1368" s="2">
        <v>166732.93097879499</v>
      </c>
      <c r="AS1368" s="2">
        <v>191050.194040501</v>
      </c>
      <c r="AT1368" s="2">
        <v>714425.882515779</v>
      </c>
      <c r="AU1368" s="2">
        <v>199775.56556022799</v>
      </c>
      <c r="AV1368" s="2">
        <v>131352.74129642599</v>
      </c>
      <c r="AW1368" s="2">
        <v>277333.30815751798</v>
      </c>
      <c r="AX1368" s="2">
        <v>155504.645542896</v>
      </c>
    </row>
    <row r="1369" spans="1:50" x14ac:dyDescent="0.25">
      <c r="A1369" s="2" t="s">
        <v>9469</v>
      </c>
      <c r="B1369" s="2">
        <v>539.18560507959603</v>
      </c>
      <c r="C1369" s="2">
        <v>9.8903166666666706</v>
      </c>
      <c r="D1369" s="2" t="s">
        <v>51</v>
      </c>
      <c r="E1369" s="2" t="s">
        <v>9470</v>
      </c>
      <c r="F1369" s="2">
        <v>53793</v>
      </c>
      <c r="G1369" s="3" t="str">
        <f>HYPERLINK("https://cloud.oebiotech.com/#/lm/network/53793", "https://cloud.oebiotech.com/#/lm/network/53793")</f>
        <v>https://cloud.oebiotech.com/#/lm/network/53793</v>
      </c>
      <c r="H1369" s="2" t="s">
        <v>9471</v>
      </c>
      <c r="I1369" s="2">
        <v>85669</v>
      </c>
      <c r="J1369" s="2"/>
      <c r="K1369" s="2">
        <v>14717808</v>
      </c>
      <c r="L1369" s="2"/>
      <c r="M1369" s="2"/>
      <c r="N1369" s="2"/>
      <c r="O1369" s="2">
        <v>174549</v>
      </c>
      <c r="P1369" s="2"/>
      <c r="Q1369" s="2"/>
      <c r="R1369" s="2"/>
      <c r="S1369" s="2" t="s">
        <v>9472</v>
      </c>
      <c r="T1369" s="2" t="s">
        <v>9473</v>
      </c>
      <c r="U1369" s="2" t="s">
        <v>103</v>
      </c>
      <c r="V1369" s="2" t="s">
        <v>104</v>
      </c>
      <c r="W1369" s="2" t="s">
        <v>105</v>
      </c>
      <c r="X1369" s="2" t="s">
        <v>147</v>
      </c>
      <c r="Y1369" s="2">
        <v>41</v>
      </c>
      <c r="Z1369" s="2">
        <v>9.4700000000000006</v>
      </c>
      <c r="AA1369" s="2" t="s">
        <v>478</v>
      </c>
      <c r="AB1369" s="2" t="s">
        <v>8322</v>
      </c>
      <c r="AC1369" s="2">
        <v>7.8452791695536706E-2</v>
      </c>
      <c r="AD1369" s="2"/>
      <c r="AE1369" s="2">
        <v>0.464138353201898</v>
      </c>
      <c r="AF1369" s="2">
        <v>6801.37205796129</v>
      </c>
      <c r="AG1369" s="2">
        <v>2372.85642739371</v>
      </c>
      <c r="AH1369" s="5">
        <v>2.86632262257509</v>
      </c>
      <c r="AI1369" s="5">
        <v>1.5192010031079899</v>
      </c>
      <c r="AJ1369" s="5" t="s">
        <v>139</v>
      </c>
      <c r="AK1369" s="2">
        <v>4.3729421968614597E-3</v>
      </c>
      <c r="AL1369" s="2">
        <v>0.12174388396289799</v>
      </c>
      <c r="AM1369" s="2">
        <v>8443.6718969685899</v>
      </c>
      <c r="AN1369" s="2">
        <v>10313.5897060643</v>
      </c>
      <c r="AO1369" s="2">
        <v>5837.00250376446</v>
      </c>
      <c r="AP1369" s="2">
        <v>4636.1749416601197</v>
      </c>
      <c r="AQ1369" s="2">
        <v>4816.7493897294598</v>
      </c>
      <c r="AR1369" s="2">
        <v>6761.0439095808197</v>
      </c>
      <c r="AS1369" s="2">
        <v>5473.5385474919804</v>
      </c>
      <c r="AT1369" s="2">
        <v>1865.6370559991101</v>
      </c>
      <c r="AU1369" s="2">
        <v>2452.00430347984</v>
      </c>
      <c r="AV1369" s="2">
        <v>8.559877937157E-6</v>
      </c>
      <c r="AW1369" s="2">
        <v>858.52039693207405</v>
      </c>
      <c r="AX1369" s="2">
        <v>3587.4382518993798</v>
      </c>
    </row>
    <row r="1370" spans="1:50" x14ac:dyDescent="0.25">
      <c r="A1370" s="2" t="s">
        <v>9474</v>
      </c>
      <c r="B1370" s="2">
        <v>411.23906523720598</v>
      </c>
      <c r="C1370" s="2">
        <v>6.0798500000000004</v>
      </c>
      <c r="D1370" s="2" t="s">
        <v>51</v>
      </c>
      <c r="E1370" s="2" t="s">
        <v>9475</v>
      </c>
      <c r="F1370" s="2">
        <v>45093</v>
      </c>
      <c r="G1370" s="3" t="str">
        <f>HYPERLINK("https://cloud.oebiotech.com/#/lm/network/45093", "https://cloud.oebiotech.com/#/lm/network/45093")</f>
        <v>https://cloud.oebiotech.com/#/lm/network/45093</v>
      </c>
      <c r="H1370" s="2" t="s">
        <v>9476</v>
      </c>
      <c r="I1370" s="2">
        <v>63340</v>
      </c>
      <c r="J1370" s="2" t="s">
        <v>9477</v>
      </c>
      <c r="K1370" s="2">
        <v>160499</v>
      </c>
      <c r="L1370" s="2" t="s">
        <v>9478</v>
      </c>
      <c r="M1370" s="2" t="s">
        <v>2681</v>
      </c>
      <c r="N1370" s="2" t="s">
        <v>2682</v>
      </c>
      <c r="O1370" s="2">
        <v>3899</v>
      </c>
      <c r="P1370" s="2"/>
      <c r="Q1370" s="2"/>
      <c r="R1370" s="2" t="s">
        <v>9479</v>
      </c>
      <c r="S1370" s="2" t="s">
        <v>9480</v>
      </c>
      <c r="T1370" s="2" t="s">
        <v>9481</v>
      </c>
      <c r="U1370" s="2" t="s">
        <v>56</v>
      </c>
      <c r="V1370" s="2" t="s">
        <v>283</v>
      </c>
      <c r="W1370" s="2" t="s">
        <v>492</v>
      </c>
      <c r="X1370" s="2" t="s">
        <v>83</v>
      </c>
      <c r="Y1370" s="2">
        <v>39.9</v>
      </c>
      <c r="Z1370" s="2">
        <v>0</v>
      </c>
      <c r="AA1370" s="2" t="s">
        <v>218</v>
      </c>
      <c r="AB1370" s="2" t="s">
        <v>9482</v>
      </c>
      <c r="AC1370" s="2">
        <v>0.65033480900848395</v>
      </c>
      <c r="AD1370" s="2"/>
      <c r="AE1370" s="2">
        <v>0.46387396722964502</v>
      </c>
      <c r="AF1370" s="2">
        <v>15205.9780817343</v>
      </c>
      <c r="AG1370" s="2">
        <v>9195.8268013777906</v>
      </c>
      <c r="AH1370" s="5">
        <v>1.6535737797340899</v>
      </c>
      <c r="AI1370" s="5">
        <v>0.725587417637785</v>
      </c>
      <c r="AJ1370" s="5" t="s">
        <v>139</v>
      </c>
      <c r="AK1370" s="2">
        <v>7.6867197166666595E-2</v>
      </c>
      <c r="AL1370" s="2">
        <v>0.361044738590585</v>
      </c>
      <c r="AM1370" s="2">
        <v>20657.310261263799</v>
      </c>
      <c r="AN1370" s="2">
        <v>19942.2991679609</v>
      </c>
      <c r="AO1370" s="2">
        <v>6592.5708972969196</v>
      </c>
      <c r="AP1370" s="2">
        <v>9857.8738569370907</v>
      </c>
      <c r="AQ1370" s="2">
        <v>12838.9772934188</v>
      </c>
      <c r="AR1370" s="2">
        <v>21346.8370135285</v>
      </c>
      <c r="AS1370" s="2">
        <v>10789.3287166146</v>
      </c>
      <c r="AT1370" s="2">
        <v>4786.62230005729</v>
      </c>
      <c r="AU1370" s="2">
        <v>14548.3754893148</v>
      </c>
      <c r="AV1370" s="2">
        <v>5925.5411707555704</v>
      </c>
      <c r="AW1370" s="2">
        <v>6499.3968942880001</v>
      </c>
      <c r="AX1370" s="2">
        <v>12625.6962372365</v>
      </c>
    </row>
    <row r="1371" spans="1:50" x14ac:dyDescent="0.25">
      <c r="A1371" s="2" t="s">
        <v>9483</v>
      </c>
      <c r="B1371" s="2">
        <v>360.12775382559801</v>
      </c>
      <c r="C1371" s="2">
        <v>1.2974333333333301</v>
      </c>
      <c r="D1371" s="2" t="s">
        <v>51</v>
      </c>
      <c r="E1371" s="2" t="s">
        <v>9484</v>
      </c>
      <c r="F1371" s="2">
        <v>54334</v>
      </c>
      <c r="G1371" s="3" t="str">
        <f>HYPERLINK("https://cloud.oebiotech.com/#/lm/network/54334", "https://cloud.oebiotech.com/#/lm/network/54334")</f>
        <v>https://cloud.oebiotech.com/#/lm/network/54334</v>
      </c>
      <c r="H1371" s="2" t="s">
        <v>9485</v>
      </c>
      <c r="I1371" s="2"/>
      <c r="J1371" s="2"/>
      <c r="K1371" s="2">
        <v>104753</v>
      </c>
      <c r="L1371" s="2" t="s">
        <v>9486</v>
      </c>
      <c r="M1371" s="2"/>
      <c r="N1371" s="2"/>
      <c r="O1371" s="2">
        <v>167561</v>
      </c>
      <c r="P1371" s="2"/>
      <c r="Q1371" s="2"/>
      <c r="R1371" s="2" t="s">
        <v>9487</v>
      </c>
      <c r="S1371" s="2" t="s">
        <v>9488</v>
      </c>
      <c r="T1371" s="2" t="s">
        <v>9489</v>
      </c>
      <c r="U1371" s="2" t="s">
        <v>540</v>
      </c>
      <c r="V1371" s="2" t="s">
        <v>9490</v>
      </c>
      <c r="W1371" s="2" t="s">
        <v>240</v>
      </c>
      <c r="X1371" s="2" t="s">
        <v>83</v>
      </c>
      <c r="Y1371" s="2">
        <v>46.9</v>
      </c>
      <c r="Z1371" s="2">
        <v>36.9</v>
      </c>
      <c r="AA1371" s="2" t="s">
        <v>218</v>
      </c>
      <c r="AB1371" s="2" t="s">
        <v>9491</v>
      </c>
      <c r="AC1371" s="2">
        <v>1.37809864390054</v>
      </c>
      <c r="AD1371" s="2"/>
      <c r="AE1371" s="2">
        <v>0.46373554481206303</v>
      </c>
      <c r="AF1371" s="2">
        <v>7810.8341576759804</v>
      </c>
      <c r="AG1371" s="2">
        <v>13726.4905590052</v>
      </c>
      <c r="AH1371" s="4">
        <v>0.56903358685164596</v>
      </c>
      <c r="AI1371" s="4">
        <v>-0.81341428566965202</v>
      </c>
      <c r="AJ1371" s="4" t="s">
        <v>62</v>
      </c>
      <c r="AK1371" s="2">
        <v>0.186301346072614</v>
      </c>
      <c r="AL1371" s="2">
        <v>0.51040020334889302</v>
      </c>
      <c r="AM1371" s="2">
        <v>8.559877937157E-6</v>
      </c>
      <c r="AN1371" s="2">
        <v>12286.998645149701</v>
      </c>
      <c r="AO1371" s="2">
        <v>9318.9357999524691</v>
      </c>
      <c r="AP1371" s="2">
        <v>2515.1539149022801</v>
      </c>
      <c r="AQ1371" s="2">
        <v>7556.9438372842596</v>
      </c>
      <c r="AR1371" s="2">
        <v>15186.9727402073</v>
      </c>
      <c r="AS1371" s="2">
        <v>20800.043555590401</v>
      </c>
      <c r="AT1371" s="2">
        <v>6949.2932204672197</v>
      </c>
      <c r="AU1371" s="2">
        <v>2311.65956354334</v>
      </c>
      <c r="AV1371" s="2">
        <v>24914.964385482599</v>
      </c>
      <c r="AW1371" s="2">
        <v>12261.553818233901</v>
      </c>
      <c r="AX1371" s="2">
        <v>15121.4288107137</v>
      </c>
    </row>
    <row r="1372" spans="1:50" x14ac:dyDescent="0.25">
      <c r="A1372" s="2" t="s">
        <v>9492</v>
      </c>
      <c r="B1372" s="2">
        <v>341.21209353148498</v>
      </c>
      <c r="C1372" s="2">
        <v>10.8570333333333</v>
      </c>
      <c r="D1372" s="2" t="s">
        <v>51</v>
      </c>
      <c r="E1372" s="2" t="s">
        <v>9493</v>
      </c>
      <c r="F1372" s="2">
        <v>273718</v>
      </c>
      <c r="G1372" s="3" t="str">
        <f>HYPERLINK("https://cloud.oebiotech.com/#/lm/network/273718", "https://cloud.oebiotech.com/#/lm/network/273718")</f>
        <v>https://cloud.oebiotech.com/#/lm/network/273718</v>
      </c>
      <c r="H1372" s="2"/>
      <c r="I1372" s="2">
        <v>62998</v>
      </c>
      <c r="J1372" s="2"/>
      <c r="K1372" s="2">
        <v>52195784</v>
      </c>
      <c r="L1372" s="2"/>
      <c r="M1372" s="2"/>
      <c r="N1372" s="2"/>
      <c r="O1372" s="2"/>
      <c r="P1372" s="2"/>
      <c r="Q1372" s="2"/>
      <c r="R1372" s="2"/>
      <c r="S1372" s="2" t="s">
        <v>9494</v>
      </c>
      <c r="T1372" s="2" t="s">
        <v>9495</v>
      </c>
      <c r="U1372" s="2" t="s">
        <v>56</v>
      </c>
      <c r="V1372" s="2" t="s">
        <v>145</v>
      </c>
      <c r="W1372" s="2" t="s">
        <v>231</v>
      </c>
      <c r="X1372" s="2" t="s">
        <v>69</v>
      </c>
      <c r="Y1372" s="2">
        <v>62</v>
      </c>
      <c r="Z1372" s="2">
        <v>68.2</v>
      </c>
      <c r="AA1372" s="2" t="s">
        <v>163</v>
      </c>
      <c r="AB1372" s="2" t="s">
        <v>2007</v>
      </c>
      <c r="AC1372" s="2">
        <v>-0.36484565305828298</v>
      </c>
      <c r="AD1372" s="2"/>
      <c r="AE1372" s="2">
        <v>0.46342107185753201</v>
      </c>
      <c r="AF1372" s="2">
        <v>47515.542299848603</v>
      </c>
      <c r="AG1372" s="2">
        <v>36719.430166556704</v>
      </c>
      <c r="AH1372" s="5">
        <v>1.2940163309812101</v>
      </c>
      <c r="AI1372" s="5">
        <v>0.37185582480873502</v>
      </c>
      <c r="AJ1372" s="5" t="s">
        <v>139</v>
      </c>
      <c r="AK1372" s="2">
        <v>0.237140281866107</v>
      </c>
      <c r="AL1372" s="2">
        <v>0.56158829415200495</v>
      </c>
      <c r="AM1372" s="2">
        <v>69921.147406053802</v>
      </c>
      <c r="AN1372" s="2">
        <v>34497.833853040102</v>
      </c>
      <c r="AO1372" s="2">
        <v>44518.313340045301</v>
      </c>
      <c r="AP1372" s="2">
        <v>41765.713488606103</v>
      </c>
      <c r="AQ1372" s="2">
        <v>32421.714252457499</v>
      </c>
      <c r="AR1372" s="2">
        <v>61968.531458888698</v>
      </c>
      <c r="AS1372" s="2">
        <v>37854.240434581203</v>
      </c>
      <c r="AT1372" s="2">
        <v>18791.491128804701</v>
      </c>
      <c r="AU1372" s="2">
        <v>31271.548736123401</v>
      </c>
      <c r="AV1372" s="2">
        <v>62153.149170236698</v>
      </c>
      <c r="AW1372" s="2">
        <v>29801.989888100299</v>
      </c>
      <c r="AX1372" s="2">
        <v>40444.1616414936</v>
      </c>
    </row>
    <row r="1373" spans="1:50" x14ac:dyDescent="0.25">
      <c r="A1373" s="2" t="s">
        <v>9496</v>
      </c>
      <c r="B1373" s="2">
        <v>250.144728883536</v>
      </c>
      <c r="C1373" s="2">
        <v>11.337949999999999</v>
      </c>
      <c r="D1373" s="2" t="s">
        <v>51</v>
      </c>
      <c r="E1373" s="2" t="s">
        <v>9497</v>
      </c>
      <c r="F1373" s="2">
        <v>82701</v>
      </c>
      <c r="G1373" s="3" t="str">
        <f>HYPERLINK("https://cloud.oebiotech.com/#/lm/network/82701", "https://cloud.oebiotech.com/#/lm/network/82701")</f>
        <v>https://cloud.oebiotech.com/#/lm/network/82701</v>
      </c>
      <c r="H1373" s="2" t="s">
        <v>9498</v>
      </c>
      <c r="I1373" s="2"/>
      <c r="J1373" s="2"/>
      <c r="K1373" s="2">
        <v>10375676</v>
      </c>
      <c r="L1373" s="2"/>
      <c r="M1373" s="2"/>
      <c r="N1373" s="2"/>
      <c r="O1373" s="2"/>
      <c r="P1373" s="2"/>
      <c r="Q1373" s="2"/>
      <c r="R1373" s="2"/>
      <c r="S1373" s="2" t="s">
        <v>9499</v>
      </c>
      <c r="T1373" s="2" t="s">
        <v>9500</v>
      </c>
      <c r="U1373" s="2" t="s">
        <v>610</v>
      </c>
      <c r="V1373" s="2" t="s">
        <v>9501</v>
      </c>
      <c r="W1373" s="2" t="s">
        <v>240</v>
      </c>
      <c r="X1373" s="2" t="s">
        <v>147</v>
      </c>
      <c r="Y1373" s="2">
        <v>40.1</v>
      </c>
      <c r="Z1373" s="2">
        <v>4.1399999999999997</v>
      </c>
      <c r="AA1373" s="2" t="s">
        <v>218</v>
      </c>
      <c r="AB1373" s="2" t="s">
        <v>9502</v>
      </c>
      <c r="AC1373" s="2">
        <v>-0.67376262252842101</v>
      </c>
      <c r="AD1373" s="2"/>
      <c r="AE1373" s="2">
        <v>0.463321543971698</v>
      </c>
      <c r="AF1373" s="2">
        <v>12267.452561354799</v>
      </c>
      <c r="AG1373" s="2">
        <v>16235.1627768984</v>
      </c>
      <c r="AH1373" s="4">
        <v>0.75561007486851695</v>
      </c>
      <c r="AI1373" s="4">
        <v>-0.404286156970045</v>
      </c>
      <c r="AJ1373" s="4" t="s">
        <v>62</v>
      </c>
      <c r="AK1373" s="2">
        <v>9.2606498433528699E-4</v>
      </c>
      <c r="AL1373" s="2">
        <v>7.8543540171408605E-2</v>
      </c>
      <c r="AM1373" s="2">
        <v>10963.6228412652</v>
      </c>
      <c r="AN1373" s="2">
        <v>12787.710369501299</v>
      </c>
      <c r="AO1373" s="2">
        <v>13117.501150710799</v>
      </c>
      <c r="AP1373" s="2">
        <v>13753.6698522318</v>
      </c>
      <c r="AQ1373" s="2">
        <v>11550.841215132699</v>
      </c>
      <c r="AR1373" s="2">
        <v>11431.3699392868</v>
      </c>
      <c r="AS1373" s="2">
        <v>16039.5557596212</v>
      </c>
      <c r="AT1373" s="2">
        <v>14262.313931694</v>
      </c>
      <c r="AU1373" s="2">
        <v>14902.5550347758</v>
      </c>
      <c r="AV1373" s="2">
        <v>19329.360371702998</v>
      </c>
      <c r="AW1373" s="2">
        <v>15945.637826935201</v>
      </c>
      <c r="AX1373" s="2">
        <v>16931.553736661299</v>
      </c>
    </row>
    <row r="1374" spans="1:50" x14ac:dyDescent="0.25">
      <c r="A1374" s="2" t="s">
        <v>9503</v>
      </c>
      <c r="B1374" s="2">
        <v>648.42801631129703</v>
      </c>
      <c r="C1374" s="2">
        <v>11.349600000000001</v>
      </c>
      <c r="D1374" s="2" t="s">
        <v>51</v>
      </c>
      <c r="E1374" s="2" t="s">
        <v>9504</v>
      </c>
      <c r="F1374" s="2">
        <v>204756</v>
      </c>
      <c r="G1374" s="3" t="str">
        <f>HYPERLINK("https://cloud.oebiotech.com/#/lm/network/204756", "https://cloud.oebiotech.com/#/lm/network/204756")</f>
        <v>https://cloud.oebiotech.com/#/lm/network/204756</v>
      </c>
      <c r="H1374" s="2" t="s">
        <v>9505</v>
      </c>
      <c r="I1374" s="2"/>
      <c r="J1374" s="2"/>
      <c r="K1374" s="2">
        <v>3253738</v>
      </c>
      <c r="L1374" s="2"/>
      <c r="M1374" s="2"/>
      <c r="N1374" s="2"/>
      <c r="O1374" s="2"/>
      <c r="P1374" s="2"/>
      <c r="Q1374" s="2"/>
      <c r="R1374" s="2"/>
      <c r="S1374" s="2" t="s">
        <v>9506</v>
      </c>
      <c r="T1374" s="2" t="s">
        <v>9507</v>
      </c>
      <c r="U1374" s="2" t="s">
        <v>56</v>
      </c>
      <c r="V1374" s="2" t="s">
        <v>283</v>
      </c>
      <c r="W1374" s="2" t="s">
        <v>2042</v>
      </c>
      <c r="X1374" s="2" t="s">
        <v>147</v>
      </c>
      <c r="Y1374" s="2">
        <v>38.299999999999997</v>
      </c>
      <c r="Z1374" s="2">
        <v>0</v>
      </c>
      <c r="AA1374" s="2" t="s">
        <v>512</v>
      </c>
      <c r="AB1374" s="2" t="s">
        <v>9508</v>
      </c>
      <c r="AC1374" s="2">
        <v>4.4463728587529197</v>
      </c>
      <c r="AD1374" s="2"/>
      <c r="AE1374" s="2">
        <v>0.46322455068709001</v>
      </c>
      <c r="AF1374" s="2">
        <v>13608.8558621087</v>
      </c>
      <c r="AG1374" s="2">
        <v>20460.8130087151</v>
      </c>
      <c r="AH1374" s="4">
        <v>0.66511804082819503</v>
      </c>
      <c r="AI1374" s="4">
        <v>-0.58831769140891899</v>
      </c>
      <c r="AJ1374" s="4" t="s">
        <v>62</v>
      </c>
      <c r="AK1374" s="2">
        <v>0.125021103410874</v>
      </c>
      <c r="AL1374" s="2">
        <v>0.44234224728865301</v>
      </c>
      <c r="AM1374" s="2">
        <v>7942.0174489756</v>
      </c>
      <c r="AN1374" s="2">
        <v>9970.3475361982491</v>
      </c>
      <c r="AO1374" s="2">
        <v>4098.7913909442696</v>
      </c>
      <c r="AP1374" s="2">
        <v>18767.498538703901</v>
      </c>
      <c r="AQ1374" s="2">
        <v>19602.4648267632</v>
      </c>
      <c r="AR1374" s="2">
        <v>21272.015431066699</v>
      </c>
      <c r="AS1374" s="2">
        <v>22418.306761937201</v>
      </c>
      <c r="AT1374" s="2">
        <v>17863.598220880202</v>
      </c>
      <c r="AU1374" s="2">
        <v>33805.252026934599</v>
      </c>
      <c r="AV1374" s="2">
        <v>17616.255966591401</v>
      </c>
      <c r="AW1374" s="2">
        <v>15360.622397678901</v>
      </c>
      <c r="AX1374" s="2">
        <v>15700.8426782685</v>
      </c>
    </row>
    <row r="1375" spans="1:50" x14ac:dyDescent="0.25">
      <c r="A1375" s="2" t="s">
        <v>9509</v>
      </c>
      <c r="B1375" s="2">
        <v>485.36176558442003</v>
      </c>
      <c r="C1375" s="2">
        <v>13.263166666666701</v>
      </c>
      <c r="D1375" s="2" t="s">
        <v>51</v>
      </c>
      <c r="E1375" s="2" t="s">
        <v>9510</v>
      </c>
      <c r="F1375" s="2">
        <v>57646</v>
      </c>
      <c r="G1375" s="3" t="str">
        <f>HYPERLINK("https://cloud.oebiotech.com/#/lm/network/57646", "https://cloud.oebiotech.com/#/lm/network/57646")</f>
        <v>https://cloud.oebiotech.com/#/lm/network/57646</v>
      </c>
      <c r="H1375" s="2" t="s">
        <v>9511</v>
      </c>
      <c r="I1375" s="2">
        <v>89249</v>
      </c>
      <c r="J1375" s="2"/>
      <c r="K1375" s="2">
        <v>131751418</v>
      </c>
      <c r="L1375" s="2"/>
      <c r="M1375" s="2"/>
      <c r="N1375" s="2"/>
      <c r="O1375" s="2"/>
      <c r="P1375" s="2"/>
      <c r="Q1375" s="2"/>
      <c r="R1375" s="2" t="s">
        <v>9512</v>
      </c>
      <c r="S1375" s="2" t="s">
        <v>9513</v>
      </c>
      <c r="T1375" s="2" t="s">
        <v>9514</v>
      </c>
      <c r="U1375" s="2" t="s">
        <v>56</v>
      </c>
      <c r="V1375" s="2" t="s">
        <v>177</v>
      </c>
      <c r="W1375" s="2" t="s">
        <v>3270</v>
      </c>
      <c r="X1375" s="2" t="s">
        <v>83</v>
      </c>
      <c r="Y1375" s="2">
        <v>42.4</v>
      </c>
      <c r="Z1375" s="2">
        <v>0</v>
      </c>
      <c r="AA1375" s="2" t="s">
        <v>259</v>
      </c>
      <c r="AB1375" s="2" t="s">
        <v>9515</v>
      </c>
      <c r="AC1375" s="2">
        <v>-1.59152845853029</v>
      </c>
      <c r="AD1375" s="2"/>
      <c r="AE1375" s="2">
        <v>0.46295222501654099</v>
      </c>
      <c r="AF1375" s="2">
        <v>14752.1414843454</v>
      </c>
      <c r="AG1375" s="2">
        <v>6821.6552772309396</v>
      </c>
      <c r="AH1375" s="5">
        <v>2.1625457289793801</v>
      </c>
      <c r="AI1375" s="5">
        <v>1.1127306401594099</v>
      </c>
      <c r="AJ1375" s="5" t="s">
        <v>139</v>
      </c>
      <c r="AK1375" s="2">
        <v>7.7159891821568405E-2</v>
      </c>
      <c r="AL1375" s="2">
        <v>0.36167090103694299</v>
      </c>
      <c r="AM1375" s="2">
        <v>16759.659958475098</v>
      </c>
      <c r="AN1375" s="2">
        <v>7147.7996490043297</v>
      </c>
      <c r="AO1375" s="2">
        <v>12365.419248611201</v>
      </c>
      <c r="AP1375" s="2">
        <v>9622.9431745223192</v>
      </c>
      <c r="AQ1375" s="2">
        <v>32120.884934995502</v>
      </c>
      <c r="AR1375" s="2">
        <v>10496.1419404639</v>
      </c>
      <c r="AS1375" s="2">
        <v>2028.7585020824199</v>
      </c>
      <c r="AT1375" s="2">
        <v>5148.4360373209101</v>
      </c>
      <c r="AU1375" s="2">
        <v>3678.6684684547699</v>
      </c>
      <c r="AV1375" s="2">
        <v>11860.1038468398</v>
      </c>
      <c r="AW1375" s="2">
        <v>8365.2032351981507</v>
      </c>
      <c r="AX1375" s="2">
        <v>9848.7615734895808</v>
      </c>
    </row>
    <row r="1376" spans="1:50" x14ac:dyDescent="0.25">
      <c r="A1376" s="2" t="s">
        <v>9516</v>
      </c>
      <c r="B1376" s="2">
        <v>336.06617240688303</v>
      </c>
      <c r="C1376" s="2">
        <v>4.6849833333333297</v>
      </c>
      <c r="D1376" s="2" t="s">
        <v>51</v>
      </c>
      <c r="E1376" s="2" t="s">
        <v>9517</v>
      </c>
      <c r="F1376" s="2">
        <v>198642</v>
      </c>
      <c r="G1376" s="3" t="str">
        <f>HYPERLINK("https://cloud.oebiotech.com/#/lm/network/198642", "https://cloud.oebiotech.com/#/lm/network/198642")</f>
        <v>https://cloud.oebiotech.com/#/lm/network/198642</v>
      </c>
      <c r="H1376" s="2" t="s">
        <v>9518</v>
      </c>
      <c r="I1376" s="2">
        <v>2555</v>
      </c>
      <c r="J1376" s="2"/>
      <c r="K1376" s="2">
        <v>58638</v>
      </c>
      <c r="L1376" s="2"/>
      <c r="M1376" s="2"/>
      <c r="N1376" s="2"/>
      <c r="O1376" s="2"/>
      <c r="P1376" s="2"/>
      <c r="Q1376" s="2"/>
      <c r="R1376" s="2" t="s">
        <v>9519</v>
      </c>
      <c r="S1376" s="2" t="s">
        <v>9520</v>
      </c>
      <c r="T1376" s="2" t="s">
        <v>9521</v>
      </c>
      <c r="U1376" s="2" t="s">
        <v>610</v>
      </c>
      <c r="V1376" s="2" t="s">
        <v>611</v>
      </c>
      <c r="W1376" s="2" t="s">
        <v>5656</v>
      </c>
      <c r="X1376" s="2" t="s">
        <v>147</v>
      </c>
      <c r="Y1376" s="2">
        <v>44</v>
      </c>
      <c r="Z1376" s="2">
        <v>28</v>
      </c>
      <c r="AA1376" s="2" t="s">
        <v>218</v>
      </c>
      <c r="AB1376" s="2" t="s">
        <v>9522</v>
      </c>
      <c r="AC1376" s="2">
        <v>0.71202283250832199</v>
      </c>
      <c r="AD1376" s="2"/>
      <c r="AE1376" s="2">
        <v>0.46287514818481601</v>
      </c>
      <c r="AF1376" s="2">
        <v>1356.8165390705899</v>
      </c>
      <c r="AG1376" s="2">
        <v>24778.154797547701</v>
      </c>
      <c r="AH1376" s="4">
        <v>5.47585786817699E-2</v>
      </c>
      <c r="AI1376" s="4">
        <v>-4.1907711894056101</v>
      </c>
      <c r="AJ1376" s="4" t="s">
        <v>62</v>
      </c>
      <c r="AK1376" s="2">
        <v>0.361762744511537</v>
      </c>
      <c r="AL1376" s="2">
        <v>0.64653383930312802</v>
      </c>
      <c r="AM1376" s="2">
        <v>8.559877937157E-6</v>
      </c>
      <c r="AN1376" s="2">
        <v>1407.14882621381</v>
      </c>
      <c r="AO1376" s="2">
        <v>6320.0130928686503</v>
      </c>
      <c r="AP1376" s="2">
        <v>86.726007603127499</v>
      </c>
      <c r="AQ1376" s="2">
        <v>8.559877937157E-6</v>
      </c>
      <c r="AR1376" s="2">
        <v>327.01129061817397</v>
      </c>
      <c r="AS1376" s="2">
        <v>66.131160890604804</v>
      </c>
      <c r="AT1376" s="2">
        <v>8.559877937157E-6</v>
      </c>
      <c r="AU1376" s="2">
        <v>147207.45353848999</v>
      </c>
      <c r="AV1376" s="2">
        <v>815.22554906466405</v>
      </c>
      <c r="AW1376" s="2">
        <v>580.11851972090301</v>
      </c>
      <c r="AX1376" s="2">
        <v>8.559877937157E-6</v>
      </c>
    </row>
    <row r="1377" spans="1:50" x14ac:dyDescent="0.25">
      <c r="A1377" s="2" t="s">
        <v>9523</v>
      </c>
      <c r="B1377" s="2">
        <v>258.28017328423999</v>
      </c>
      <c r="C1377" s="2">
        <v>9.1758500000000005</v>
      </c>
      <c r="D1377" s="2" t="s">
        <v>51</v>
      </c>
      <c r="E1377" s="2" t="s">
        <v>9524</v>
      </c>
      <c r="F1377" s="2">
        <v>6035</v>
      </c>
      <c r="G1377" s="3" t="str">
        <f>HYPERLINK("https://cloud.oebiotech.com/#/lm/network/6035", "https://cloud.oebiotech.com/#/lm/network/6035")</f>
        <v>https://cloud.oebiotech.com/#/lm/network/6035</v>
      </c>
      <c r="H1377" s="2"/>
      <c r="I1377" s="2">
        <v>36512</v>
      </c>
      <c r="J1377" s="2" t="s">
        <v>9525</v>
      </c>
      <c r="K1377" s="2">
        <v>5283304</v>
      </c>
      <c r="L1377" s="2"/>
      <c r="M1377" s="2"/>
      <c r="N1377" s="2"/>
      <c r="O1377" s="2"/>
      <c r="P1377" s="2"/>
      <c r="Q1377" s="2"/>
      <c r="R1377" s="2"/>
      <c r="S1377" s="2" t="s">
        <v>9526</v>
      </c>
      <c r="T1377" s="2" t="s">
        <v>9527</v>
      </c>
      <c r="U1377" s="2" t="s">
        <v>56</v>
      </c>
      <c r="V1377" s="2" t="s">
        <v>145</v>
      </c>
      <c r="W1377" s="2" t="s">
        <v>146</v>
      </c>
      <c r="X1377" s="2" t="s">
        <v>147</v>
      </c>
      <c r="Y1377" s="2">
        <v>44.6</v>
      </c>
      <c r="Z1377" s="2">
        <v>31.4</v>
      </c>
      <c r="AA1377" s="2" t="s">
        <v>512</v>
      </c>
      <c r="AB1377" s="2" t="s">
        <v>9528</v>
      </c>
      <c r="AC1377" s="2">
        <v>4.2960606194185802</v>
      </c>
      <c r="AD1377" s="2"/>
      <c r="AE1377" s="2">
        <v>0.46282318742796402</v>
      </c>
      <c r="AF1377" s="2">
        <v>2227.9763529617799</v>
      </c>
      <c r="AG1377" s="2">
        <v>11892.180437835201</v>
      </c>
      <c r="AH1377" s="4">
        <v>0.187348011124472</v>
      </c>
      <c r="AI1377" s="4">
        <v>-2.4162074327052099</v>
      </c>
      <c r="AJ1377" s="4" t="s">
        <v>62</v>
      </c>
      <c r="AK1377" s="2">
        <v>0.10195551398316299</v>
      </c>
      <c r="AL1377" s="2">
        <v>0.40647423480565198</v>
      </c>
      <c r="AM1377" s="2">
        <v>8.559877937157E-6</v>
      </c>
      <c r="AN1377" s="2">
        <v>8.559877937157E-6</v>
      </c>
      <c r="AO1377" s="2">
        <v>6706.8768021793103</v>
      </c>
      <c r="AP1377" s="2">
        <v>2069.72296825885</v>
      </c>
      <c r="AQ1377" s="2">
        <v>4591.2583216529101</v>
      </c>
      <c r="AR1377" s="2">
        <v>8.559877937157E-6</v>
      </c>
      <c r="AS1377" s="2">
        <v>14551.671825117601</v>
      </c>
      <c r="AT1377" s="2">
        <v>32021.386205259001</v>
      </c>
      <c r="AU1377" s="2">
        <v>4288.4023861942196</v>
      </c>
      <c r="AV1377" s="2">
        <v>78.612452229792794</v>
      </c>
      <c r="AW1377" s="2">
        <v>8.559877937157E-6</v>
      </c>
      <c r="AX1377" s="2">
        <v>20413.009749650799</v>
      </c>
    </row>
    <row r="1378" spans="1:50" x14ac:dyDescent="0.25">
      <c r="A1378" s="2" t="s">
        <v>9529</v>
      </c>
      <c r="B1378" s="2">
        <v>270.31618960040402</v>
      </c>
      <c r="C1378" s="2">
        <v>10.4500166666667</v>
      </c>
      <c r="D1378" s="2" t="s">
        <v>51</v>
      </c>
      <c r="E1378" s="2" t="s">
        <v>9530</v>
      </c>
      <c r="F1378" s="2">
        <v>9436</v>
      </c>
      <c r="G1378" s="3" t="str">
        <f>HYPERLINK("https://cloud.oebiotech.com/#/lm/network/9436", "https://cloud.oebiotech.com/#/lm/network/9436")</f>
        <v>https://cloud.oebiotech.com/#/lm/network/9436</v>
      </c>
      <c r="H1378" s="2"/>
      <c r="I1378" s="2">
        <v>97733</v>
      </c>
      <c r="J1378" s="2" t="s">
        <v>9531</v>
      </c>
      <c r="K1378" s="2">
        <v>8217</v>
      </c>
      <c r="L1378" s="2"/>
      <c r="M1378" s="2"/>
      <c r="N1378" s="2"/>
      <c r="O1378" s="2">
        <v>30824</v>
      </c>
      <c r="P1378" s="2"/>
      <c r="Q1378" s="2"/>
      <c r="R1378" s="2"/>
      <c r="S1378" s="2" t="s">
        <v>9532</v>
      </c>
      <c r="T1378" s="2" t="s">
        <v>9533</v>
      </c>
      <c r="U1378" s="2" t="s">
        <v>1491</v>
      </c>
      <c r="V1378" s="2" t="s">
        <v>1492</v>
      </c>
      <c r="W1378" s="2" t="s">
        <v>1493</v>
      </c>
      <c r="X1378" s="2" t="s">
        <v>147</v>
      </c>
      <c r="Y1378" s="2">
        <v>39.200000000000003</v>
      </c>
      <c r="Z1378" s="2">
        <v>4.45</v>
      </c>
      <c r="AA1378" s="2" t="s">
        <v>512</v>
      </c>
      <c r="AB1378" s="2" t="s">
        <v>9534</v>
      </c>
      <c r="AC1378" s="2">
        <v>2.62768120224395</v>
      </c>
      <c r="AD1378" s="2"/>
      <c r="AE1378" s="2">
        <v>0.46192014740801701</v>
      </c>
      <c r="AF1378" s="2">
        <v>22645.753049086601</v>
      </c>
      <c r="AG1378" s="2">
        <v>28074.939630794299</v>
      </c>
      <c r="AH1378" s="4">
        <v>0.80661804965191397</v>
      </c>
      <c r="AI1378" s="4">
        <v>-0.31004240566731001</v>
      </c>
      <c r="AJ1378" s="4" t="s">
        <v>62</v>
      </c>
      <c r="AK1378" s="2">
        <v>1.03930247488881E-2</v>
      </c>
      <c r="AL1378" s="2">
        <v>0.16498232067954199</v>
      </c>
      <c r="AM1378" s="2">
        <v>21522.668460029301</v>
      </c>
      <c r="AN1378" s="2">
        <v>21736.048806552699</v>
      </c>
      <c r="AO1378" s="2">
        <v>26292.9147132371</v>
      </c>
      <c r="AP1378" s="2">
        <v>21897.189760670601</v>
      </c>
      <c r="AQ1378" s="2">
        <v>25907.5084580933</v>
      </c>
      <c r="AR1378" s="2">
        <v>18518.188095936301</v>
      </c>
      <c r="AS1378" s="2">
        <v>33663.451130861104</v>
      </c>
      <c r="AT1378" s="2">
        <v>28994.034843139401</v>
      </c>
      <c r="AU1378" s="2">
        <v>26717.761327362001</v>
      </c>
      <c r="AV1378" s="2">
        <v>26359.472207487699</v>
      </c>
      <c r="AW1378" s="2">
        <v>27566.752423349699</v>
      </c>
      <c r="AX1378" s="2">
        <v>25148.165852566101</v>
      </c>
    </row>
    <row r="1379" spans="1:50" x14ac:dyDescent="0.25">
      <c r="A1379" s="2" t="s">
        <v>9535</v>
      </c>
      <c r="B1379" s="2">
        <v>353.220862901462</v>
      </c>
      <c r="C1379" s="2">
        <v>4.2797999999999998</v>
      </c>
      <c r="D1379" s="2" t="s">
        <v>51</v>
      </c>
      <c r="E1379" s="2" t="s">
        <v>9536</v>
      </c>
      <c r="F1379" s="2">
        <v>265142</v>
      </c>
      <c r="G1379" s="3" t="str">
        <f>HYPERLINK("https://cloud.oebiotech.com/#/lm/network/265142", "https://cloud.oebiotech.com/#/lm/network/265142")</f>
        <v>https://cloud.oebiotech.com/#/lm/network/265142</v>
      </c>
      <c r="H1379" s="2"/>
      <c r="I1379" s="2">
        <v>22620</v>
      </c>
      <c r="J1379" s="2"/>
      <c r="K1379" s="2">
        <v>91976188</v>
      </c>
      <c r="L1379" s="2"/>
      <c r="M1379" s="2"/>
      <c r="N1379" s="2"/>
      <c r="O1379" s="2"/>
      <c r="P1379" s="2"/>
      <c r="Q1379" s="2"/>
      <c r="R1379" s="2"/>
      <c r="S1379" s="2" t="s">
        <v>9537</v>
      </c>
      <c r="T1379" s="2" t="s">
        <v>9538</v>
      </c>
      <c r="U1379" s="2" t="s">
        <v>103</v>
      </c>
      <c r="V1379" s="2" t="s">
        <v>104</v>
      </c>
      <c r="W1379" s="2" t="s">
        <v>105</v>
      </c>
      <c r="X1379" s="2" t="s">
        <v>83</v>
      </c>
      <c r="Y1379" s="2">
        <v>39.9</v>
      </c>
      <c r="Z1379" s="2">
        <v>0.16600000000000001</v>
      </c>
      <c r="AA1379" s="2" t="s">
        <v>512</v>
      </c>
      <c r="AB1379" s="2" t="s">
        <v>9539</v>
      </c>
      <c r="AC1379" s="2">
        <v>7.5512949571394499</v>
      </c>
      <c r="AD1379" s="2"/>
      <c r="AE1379" s="2">
        <v>0.461457617986752</v>
      </c>
      <c r="AF1379" s="2">
        <v>1679.52341912068</v>
      </c>
      <c r="AG1379" s="2">
        <v>8413.7217546563406</v>
      </c>
      <c r="AH1379" s="4">
        <v>0.199617181087691</v>
      </c>
      <c r="AI1379" s="4">
        <v>-2.3246921958391198</v>
      </c>
      <c r="AJ1379" s="4" t="s">
        <v>62</v>
      </c>
      <c r="AK1379" s="2">
        <v>7.3960899435680502E-2</v>
      </c>
      <c r="AL1379" s="2">
        <v>0.35728711143176201</v>
      </c>
      <c r="AM1379" s="2">
        <v>2836.5331883122199</v>
      </c>
      <c r="AN1379" s="2">
        <v>870.02145486091194</v>
      </c>
      <c r="AO1379" s="2">
        <v>1756.5100372910199</v>
      </c>
      <c r="AP1379" s="2">
        <v>557.21013214977495</v>
      </c>
      <c r="AQ1379" s="2">
        <v>1388.6953633185201</v>
      </c>
      <c r="AR1379" s="2">
        <v>2668.17033879164</v>
      </c>
      <c r="AS1379" s="2">
        <v>547.673843576232</v>
      </c>
      <c r="AT1379" s="2">
        <v>3717.8009120146498</v>
      </c>
      <c r="AU1379" s="2">
        <v>10025.4042209852</v>
      </c>
      <c r="AV1379" s="2">
        <v>19362.621446605099</v>
      </c>
      <c r="AW1379" s="2">
        <v>16507.310742187499</v>
      </c>
      <c r="AX1379" s="2">
        <v>321.51936256938899</v>
      </c>
    </row>
    <row r="1380" spans="1:50" x14ac:dyDescent="0.25">
      <c r="A1380" s="2" t="s">
        <v>9540</v>
      </c>
      <c r="B1380" s="2">
        <v>600.46967866248394</v>
      </c>
      <c r="C1380" s="2">
        <v>11.7985333333333</v>
      </c>
      <c r="D1380" s="2" t="s">
        <v>51</v>
      </c>
      <c r="E1380" s="2" t="s">
        <v>9541</v>
      </c>
      <c r="F1380" s="2">
        <v>38917</v>
      </c>
      <c r="G1380" s="3" t="str">
        <f>HYPERLINK("https://cloud.oebiotech.com/#/lm/network/38917", "https://cloud.oebiotech.com/#/lm/network/38917")</f>
        <v>https://cloud.oebiotech.com/#/lm/network/38917</v>
      </c>
      <c r="H1380" s="2"/>
      <c r="I1380" s="2"/>
      <c r="J1380" s="2" t="s">
        <v>9542</v>
      </c>
      <c r="K1380" s="2"/>
      <c r="L1380" s="2"/>
      <c r="M1380" s="2"/>
      <c r="N1380" s="2"/>
      <c r="O1380" s="2"/>
      <c r="P1380" s="2"/>
      <c r="Q1380" s="2"/>
      <c r="R1380" s="2"/>
      <c r="S1380" s="2" t="s">
        <v>9543</v>
      </c>
      <c r="T1380" s="2" t="s">
        <v>9544</v>
      </c>
      <c r="U1380" s="2" t="s">
        <v>56</v>
      </c>
      <c r="V1380" s="2" t="s">
        <v>145</v>
      </c>
      <c r="W1380" s="2" t="s">
        <v>1617</v>
      </c>
      <c r="X1380" s="2" t="s">
        <v>83</v>
      </c>
      <c r="Y1380" s="2">
        <v>44.3</v>
      </c>
      <c r="Z1380" s="2">
        <v>0</v>
      </c>
      <c r="AA1380" s="2" t="s">
        <v>156</v>
      </c>
      <c r="AB1380" s="2" t="s">
        <v>9545</v>
      </c>
      <c r="AC1380" s="2">
        <v>6.5704387209246802</v>
      </c>
      <c r="AD1380" s="2"/>
      <c r="AE1380" s="2">
        <v>0.46144109427284402</v>
      </c>
      <c r="AF1380" s="2">
        <v>15239.7063034189</v>
      </c>
      <c r="AG1380" s="2">
        <v>24155.784187253201</v>
      </c>
      <c r="AH1380" s="4">
        <v>0.63089263363516601</v>
      </c>
      <c r="AI1380" s="4">
        <v>-0.66453358904826398</v>
      </c>
      <c r="AJ1380" s="4" t="s">
        <v>62</v>
      </c>
      <c r="AK1380" s="2">
        <v>0.11362212141388101</v>
      </c>
      <c r="AL1380" s="2">
        <v>0.428029527179069</v>
      </c>
      <c r="AM1380" s="2">
        <v>11036.009445223999</v>
      </c>
      <c r="AN1380" s="2">
        <v>16043.545721124399</v>
      </c>
      <c r="AO1380" s="2">
        <v>14002.9238798226</v>
      </c>
      <c r="AP1380" s="2">
        <v>18283.633921817302</v>
      </c>
      <c r="AQ1380" s="2">
        <v>17149.1110128414</v>
      </c>
      <c r="AR1380" s="2">
        <v>14923.013839683599</v>
      </c>
      <c r="AS1380" s="2">
        <v>22449.562389528299</v>
      </c>
      <c r="AT1380" s="2">
        <v>47268.986833182702</v>
      </c>
      <c r="AU1380" s="2">
        <v>12317.909860600301</v>
      </c>
      <c r="AV1380" s="2">
        <v>20862.780265341</v>
      </c>
      <c r="AW1380" s="2">
        <v>15883.206278072899</v>
      </c>
      <c r="AX1380" s="2">
        <v>26152.259496794199</v>
      </c>
    </row>
    <row r="1381" spans="1:50" x14ac:dyDescent="0.25">
      <c r="A1381" s="2" t="s">
        <v>9546</v>
      </c>
      <c r="B1381" s="2">
        <v>386.08633627641098</v>
      </c>
      <c r="C1381" s="2">
        <v>5.7323666666666702</v>
      </c>
      <c r="D1381" s="2" t="s">
        <v>51</v>
      </c>
      <c r="E1381" s="2" t="s">
        <v>9547</v>
      </c>
      <c r="F1381" s="2">
        <v>208088</v>
      </c>
      <c r="G1381" s="3" t="str">
        <f>HYPERLINK("https://cloud.oebiotech.com/#/lm/network/208088", "https://cloud.oebiotech.com/#/lm/network/208088")</f>
        <v>https://cloud.oebiotech.com/#/lm/network/208088</v>
      </c>
      <c r="H1381" s="2" t="s">
        <v>9548</v>
      </c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 t="s">
        <v>9549</v>
      </c>
      <c r="T1381" s="2" t="s">
        <v>9550</v>
      </c>
      <c r="U1381" s="2" t="s">
        <v>295</v>
      </c>
      <c r="V1381" s="2" t="s">
        <v>5395</v>
      </c>
      <c r="W1381" s="2" t="s">
        <v>240</v>
      </c>
      <c r="X1381" s="2" t="s">
        <v>59</v>
      </c>
      <c r="Y1381" s="2">
        <v>51.1</v>
      </c>
      <c r="Z1381" s="2">
        <v>61.1</v>
      </c>
      <c r="AA1381" s="2" t="s">
        <v>395</v>
      </c>
      <c r="AB1381" s="2" t="s">
        <v>9551</v>
      </c>
      <c r="AC1381" s="2">
        <v>0.60361727629355399</v>
      </c>
      <c r="AD1381" s="2"/>
      <c r="AE1381" s="2">
        <v>0.46137524206126002</v>
      </c>
      <c r="AF1381" s="2">
        <v>1625.2678042075099</v>
      </c>
      <c r="AG1381" s="2">
        <v>7939.2315591284796</v>
      </c>
      <c r="AH1381" s="4">
        <v>0.20471349048117801</v>
      </c>
      <c r="AI1381" s="4">
        <v>-2.2883219167615398</v>
      </c>
      <c r="AJ1381" s="4" t="s">
        <v>62</v>
      </c>
      <c r="AK1381" s="2">
        <v>4.3679222845949897E-2</v>
      </c>
      <c r="AL1381" s="2">
        <v>0.29773082208542401</v>
      </c>
      <c r="AM1381" s="2">
        <v>2849.7509655162598</v>
      </c>
      <c r="AN1381" s="2">
        <v>621.07316959222101</v>
      </c>
      <c r="AO1381" s="2">
        <v>2214.5937887610398</v>
      </c>
      <c r="AP1381" s="2">
        <v>8.559877937157E-6</v>
      </c>
      <c r="AQ1381" s="2">
        <v>1273.68906766807</v>
      </c>
      <c r="AR1381" s="2">
        <v>2792.49982514762</v>
      </c>
      <c r="AS1381" s="2">
        <v>2035.4612587634899</v>
      </c>
      <c r="AT1381" s="2">
        <v>3055.6305934010402</v>
      </c>
      <c r="AU1381" s="2">
        <v>10153.541105156601</v>
      </c>
      <c r="AV1381" s="2">
        <v>7963.2457226182096</v>
      </c>
      <c r="AW1381" s="2">
        <v>19876.887138518701</v>
      </c>
      <c r="AX1381" s="2">
        <v>4550.6235363128599</v>
      </c>
    </row>
    <row r="1382" spans="1:50" x14ac:dyDescent="0.25">
      <c r="A1382" s="2" t="s">
        <v>9552</v>
      </c>
      <c r="B1382" s="2">
        <v>151.11214967930599</v>
      </c>
      <c r="C1382" s="2">
        <v>9.5437499999999993</v>
      </c>
      <c r="D1382" s="2" t="s">
        <v>51</v>
      </c>
      <c r="E1382" s="2" t="s">
        <v>9553</v>
      </c>
      <c r="F1382" s="2">
        <v>59661</v>
      </c>
      <c r="G1382" s="3" t="str">
        <f>HYPERLINK("https://cloud.oebiotech.com/#/lm/network/59661", "https://cloud.oebiotech.com/#/lm/network/59661")</f>
        <v>https://cloud.oebiotech.com/#/lm/network/59661</v>
      </c>
      <c r="H1382" s="2" t="s">
        <v>9554</v>
      </c>
      <c r="I1382" s="2">
        <v>91053</v>
      </c>
      <c r="J1382" s="2"/>
      <c r="K1382" s="2">
        <v>519465</v>
      </c>
      <c r="L1382" s="2"/>
      <c r="M1382" s="2"/>
      <c r="N1382" s="2"/>
      <c r="O1382" s="2"/>
      <c r="P1382" s="2"/>
      <c r="Q1382" s="2"/>
      <c r="R1382" s="2" t="s">
        <v>9555</v>
      </c>
      <c r="S1382" s="2" t="s">
        <v>9556</v>
      </c>
      <c r="T1382" s="2" t="s">
        <v>9557</v>
      </c>
      <c r="U1382" s="2" t="s">
        <v>56</v>
      </c>
      <c r="V1382" s="2" t="s">
        <v>177</v>
      </c>
      <c r="W1382" s="2" t="s">
        <v>806</v>
      </c>
      <c r="X1382" s="2" t="s">
        <v>83</v>
      </c>
      <c r="Y1382" s="2">
        <v>44.4</v>
      </c>
      <c r="Z1382" s="2">
        <v>0</v>
      </c>
      <c r="AA1382" s="2" t="s">
        <v>156</v>
      </c>
      <c r="AB1382" s="2" t="s">
        <v>9558</v>
      </c>
      <c r="AC1382" s="2">
        <v>2.4279629665670601</v>
      </c>
      <c r="AD1382" s="2"/>
      <c r="AE1382" s="2">
        <v>0.46077654290342002</v>
      </c>
      <c r="AF1382" s="2">
        <v>11529.008657976499</v>
      </c>
      <c r="AG1382" s="2">
        <v>7086.6084735191298</v>
      </c>
      <c r="AH1382" s="5">
        <v>1.62687253021773</v>
      </c>
      <c r="AI1382" s="5">
        <v>0.70210121645169599</v>
      </c>
      <c r="AJ1382" s="5" t="s">
        <v>139</v>
      </c>
      <c r="AK1382" s="2">
        <v>1.07534556687146E-2</v>
      </c>
      <c r="AL1382" s="2">
        <v>0.16592979635359201</v>
      </c>
      <c r="AM1382" s="2">
        <v>12807.0889522791</v>
      </c>
      <c r="AN1382" s="2">
        <v>16461.993290666898</v>
      </c>
      <c r="AO1382" s="2">
        <v>11108.500930198599</v>
      </c>
      <c r="AP1382" s="2">
        <v>8329.8514436165606</v>
      </c>
      <c r="AQ1382" s="2">
        <v>10755.8710179271</v>
      </c>
      <c r="AR1382" s="2">
        <v>9710.7463131707591</v>
      </c>
      <c r="AS1382" s="2">
        <v>10656.165043552901</v>
      </c>
      <c r="AT1382" s="2">
        <v>6824.6348940165199</v>
      </c>
      <c r="AU1382" s="2">
        <v>7751.6109749440802</v>
      </c>
      <c r="AV1382" s="2">
        <v>5040.2770839027899</v>
      </c>
      <c r="AW1382" s="2">
        <v>5420.8970770822198</v>
      </c>
      <c r="AX1382" s="2">
        <v>6826.06576761626</v>
      </c>
    </row>
    <row r="1383" spans="1:50" x14ac:dyDescent="0.25">
      <c r="A1383" s="2" t="s">
        <v>9559</v>
      </c>
      <c r="B1383" s="2">
        <v>666.53220757224699</v>
      </c>
      <c r="C1383" s="2">
        <v>15.135350000000001</v>
      </c>
      <c r="D1383" s="2" t="s">
        <v>51</v>
      </c>
      <c r="E1383" s="2" t="s">
        <v>9560</v>
      </c>
      <c r="F1383" s="2">
        <v>248647</v>
      </c>
      <c r="G1383" s="3" t="str">
        <f>HYPERLINK("https://cloud.oebiotech.com/#/lm/network/248647", "https://cloud.oebiotech.com/#/lm/network/248647")</f>
        <v>https://cloud.oebiotech.com/#/lm/network/248647</v>
      </c>
      <c r="H1383" s="2" t="s">
        <v>9561</v>
      </c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 t="s">
        <v>9562</v>
      </c>
      <c r="T1383" s="2" t="s">
        <v>9563</v>
      </c>
      <c r="U1383" s="2" t="s">
        <v>56</v>
      </c>
      <c r="V1383" s="2" t="s">
        <v>145</v>
      </c>
      <c r="W1383" s="2" t="s">
        <v>187</v>
      </c>
      <c r="X1383" s="2" t="s">
        <v>59</v>
      </c>
      <c r="Y1383" s="2">
        <v>53.1</v>
      </c>
      <c r="Z1383" s="2">
        <v>74.400000000000006</v>
      </c>
      <c r="AA1383" s="2" t="s">
        <v>512</v>
      </c>
      <c r="AB1383" s="2" t="s">
        <v>9564</v>
      </c>
      <c r="AC1383" s="2">
        <v>2.89519612422469</v>
      </c>
      <c r="AD1383" s="2"/>
      <c r="AE1383" s="2">
        <v>0.46071181128843902</v>
      </c>
      <c r="AF1383" s="2">
        <v>20255.338563421599</v>
      </c>
      <c r="AG1383" s="2">
        <v>37270.329837597499</v>
      </c>
      <c r="AH1383" s="4">
        <v>0.54347086950082402</v>
      </c>
      <c r="AI1383" s="4">
        <v>-0.87972538723920501</v>
      </c>
      <c r="AJ1383" s="4" t="s">
        <v>62</v>
      </c>
      <c r="AK1383" s="2">
        <v>0.223529863396461</v>
      </c>
      <c r="AL1383" s="2">
        <v>0.54906776954273495</v>
      </c>
      <c r="AM1383" s="2">
        <v>35541.1862096287</v>
      </c>
      <c r="AN1383" s="2">
        <v>25983.939179549201</v>
      </c>
      <c r="AO1383" s="2">
        <v>16920.8818805144</v>
      </c>
      <c r="AP1383" s="2">
        <v>18174.0047456137</v>
      </c>
      <c r="AQ1383" s="2">
        <v>10470.6619513109</v>
      </c>
      <c r="AR1383" s="2">
        <v>14441.357413912699</v>
      </c>
      <c r="AS1383" s="2">
        <v>11520.999411749201</v>
      </c>
      <c r="AT1383" s="2">
        <v>18315.380945227102</v>
      </c>
      <c r="AU1383" s="2">
        <v>96586.656615309097</v>
      </c>
      <c r="AV1383" s="2">
        <v>33714.195489493199</v>
      </c>
      <c r="AW1383" s="2">
        <v>39854.1161818623</v>
      </c>
      <c r="AX1383" s="2">
        <v>23630.630381944</v>
      </c>
    </row>
    <row r="1384" spans="1:50" x14ac:dyDescent="0.25">
      <c r="A1384" s="2" t="s">
        <v>9565</v>
      </c>
      <c r="B1384" s="2">
        <v>254.09062354473599</v>
      </c>
      <c r="C1384" s="2">
        <v>5.2056333333333296</v>
      </c>
      <c r="D1384" s="2" t="s">
        <v>51</v>
      </c>
      <c r="E1384" s="2" t="s">
        <v>9566</v>
      </c>
      <c r="F1384" s="2">
        <v>47261</v>
      </c>
      <c r="G1384" s="3" t="str">
        <f>HYPERLINK("https://cloud.oebiotech.com/#/lm/network/47261", "https://cloud.oebiotech.com/#/lm/network/47261")</f>
        <v>https://cloud.oebiotech.com/#/lm/network/47261</v>
      </c>
      <c r="H1384" s="2" t="s">
        <v>9567</v>
      </c>
      <c r="I1384" s="2">
        <v>5818</v>
      </c>
      <c r="J1384" s="2"/>
      <c r="K1384" s="2">
        <v>439924</v>
      </c>
      <c r="L1384" s="2" t="s">
        <v>9568</v>
      </c>
      <c r="M1384" s="2" t="s">
        <v>7772</v>
      </c>
      <c r="N1384" s="2" t="s">
        <v>7773</v>
      </c>
      <c r="O1384" s="2">
        <v>15927</v>
      </c>
      <c r="P1384" s="2" t="s">
        <v>9569</v>
      </c>
      <c r="Q1384" s="2" t="s">
        <v>9570</v>
      </c>
      <c r="R1384" s="2" t="s">
        <v>9571</v>
      </c>
      <c r="S1384" s="2" t="s">
        <v>9572</v>
      </c>
      <c r="T1384" s="2" t="s">
        <v>9573</v>
      </c>
      <c r="U1384" s="2" t="s">
        <v>331</v>
      </c>
      <c r="V1384" s="2" t="s">
        <v>332</v>
      </c>
      <c r="W1384" s="2" t="s">
        <v>333</v>
      </c>
      <c r="X1384" s="2" t="s">
        <v>147</v>
      </c>
      <c r="Y1384" s="2">
        <v>37.200000000000003</v>
      </c>
      <c r="Z1384" s="2">
        <v>0</v>
      </c>
      <c r="AA1384" s="2" t="s">
        <v>163</v>
      </c>
      <c r="AB1384" s="2" t="s">
        <v>9574</v>
      </c>
      <c r="AC1384" s="2">
        <v>-0.77072983537722395</v>
      </c>
      <c r="AD1384" s="2"/>
      <c r="AE1384" s="2">
        <v>0.460543585389598</v>
      </c>
      <c r="AF1384" s="2">
        <v>278.75659025277002</v>
      </c>
      <c r="AG1384" s="2">
        <v>11437.9976136036</v>
      </c>
      <c r="AH1384" s="4">
        <v>2.4371100578062299E-2</v>
      </c>
      <c r="AI1384" s="4">
        <v>-5.3586847863679496</v>
      </c>
      <c r="AJ1384" s="4" t="s">
        <v>62</v>
      </c>
      <c r="AK1384" s="2">
        <v>0.34721520257625998</v>
      </c>
      <c r="AL1384" s="2">
        <v>0.64019150860101004</v>
      </c>
      <c r="AM1384" s="2">
        <v>1580.6601265445599</v>
      </c>
      <c r="AN1384" s="2">
        <v>8.559877937157E-6</v>
      </c>
      <c r="AO1384" s="2">
        <v>91.879380732547503</v>
      </c>
      <c r="AP1384" s="2">
        <v>8.559877937157E-6</v>
      </c>
      <c r="AQ1384" s="2">
        <v>8.559877937157E-6</v>
      </c>
      <c r="AR1384" s="2">
        <v>8.559877937157E-6</v>
      </c>
      <c r="AS1384" s="2">
        <v>79.934557394444596</v>
      </c>
      <c r="AT1384" s="2">
        <v>8.559877937157E-6</v>
      </c>
      <c r="AU1384" s="2">
        <v>8.559877937157E-6</v>
      </c>
      <c r="AV1384" s="2">
        <v>71.184292457750999</v>
      </c>
      <c r="AW1384" s="2">
        <v>487.97593601132297</v>
      </c>
      <c r="AX1384" s="2">
        <v>67988.890878638194</v>
      </c>
    </row>
    <row r="1385" spans="1:50" x14ac:dyDescent="0.25">
      <c r="A1385" s="2" t="s">
        <v>9575</v>
      </c>
      <c r="B1385" s="2">
        <v>445.22105328800302</v>
      </c>
      <c r="C1385" s="2">
        <v>7.21756666666667</v>
      </c>
      <c r="D1385" s="2" t="s">
        <v>51</v>
      </c>
      <c r="E1385" s="2" t="s">
        <v>9576</v>
      </c>
      <c r="F1385" s="2">
        <v>44710</v>
      </c>
      <c r="G1385" s="3" t="str">
        <f>HYPERLINK("https://cloud.oebiotech.com/#/lm/network/44710", "https://cloud.oebiotech.com/#/lm/network/44710")</f>
        <v>https://cloud.oebiotech.com/#/lm/network/44710</v>
      </c>
      <c r="H1385" s="2"/>
      <c r="I1385" s="2"/>
      <c r="J1385" s="2" t="s">
        <v>9577</v>
      </c>
      <c r="K1385" s="2"/>
      <c r="L1385" s="2"/>
      <c r="M1385" s="2"/>
      <c r="N1385" s="2"/>
      <c r="O1385" s="2"/>
      <c r="P1385" s="2"/>
      <c r="Q1385" s="2"/>
      <c r="R1385" s="2"/>
      <c r="S1385" s="2" t="s">
        <v>9578</v>
      </c>
      <c r="T1385" s="2" t="s">
        <v>9579</v>
      </c>
      <c r="U1385" s="2" t="s">
        <v>56</v>
      </c>
      <c r="V1385" s="2" t="s">
        <v>283</v>
      </c>
      <c r="W1385" s="2" t="s">
        <v>1338</v>
      </c>
      <c r="X1385" s="2" t="s">
        <v>83</v>
      </c>
      <c r="Y1385" s="2">
        <v>41.2</v>
      </c>
      <c r="Z1385" s="2">
        <v>0</v>
      </c>
      <c r="AA1385" s="2" t="s">
        <v>218</v>
      </c>
      <c r="AB1385" s="2" t="s">
        <v>7062</v>
      </c>
      <c r="AC1385" s="2">
        <v>-5.3062806525328501</v>
      </c>
      <c r="AD1385" s="2"/>
      <c r="AE1385" s="2">
        <v>0.45952201502467199</v>
      </c>
      <c r="AF1385" s="2">
        <v>10266.3998705177</v>
      </c>
      <c r="AG1385" s="2">
        <v>5287.9720245273302</v>
      </c>
      <c r="AH1385" s="5">
        <v>1.94146259149989</v>
      </c>
      <c r="AI1385" s="5">
        <v>0.95714390936972904</v>
      </c>
      <c r="AJ1385" s="5" t="s">
        <v>139</v>
      </c>
      <c r="AK1385" s="2">
        <v>6.9851071484810706E-2</v>
      </c>
      <c r="AL1385" s="2">
        <v>0.34931101666430697</v>
      </c>
      <c r="AM1385" s="2">
        <v>17492.844938343202</v>
      </c>
      <c r="AN1385" s="2">
        <v>11877.797440369401</v>
      </c>
      <c r="AO1385" s="2">
        <v>8706.9961765879998</v>
      </c>
      <c r="AP1385" s="2">
        <v>6753.8041297232503</v>
      </c>
      <c r="AQ1385" s="2">
        <v>8109.4875233865496</v>
      </c>
      <c r="AR1385" s="2">
        <v>8657.4690146960002</v>
      </c>
      <c r="AS1385" s="2">
        <v>9164.5607617580008</v>
      </c>
      <c r="AT1385" s="2">
        <v>1461.3703612049601</v>
      </c>
      <c r="AU1385" s="2">
        <v>11050.299324309201</v>
      </c>
      <c r="AV1385" s="2">
        <v>315.17929488810103</v>
      </c>
      <c r="AW1385" s="2">
        <v>2064.8711308334</v>
      </c>
      <c r="AX1385" s="2">
        <v>7671.5512741702996</v>
      </c>
    </row>
    <row r="1386" spans="1:50" x14ac:dyDescent="0.25">
      <c r="A1386" s="2" t="s">
        <v>9580</v>
      </c>
      <c r="B1386" s="2">
        <v>728.38555210866105</v>
      </c>
      <c r="C1386" s="2">
        <v>4.42221666666667</v>
      </c>
      <c r="D1386" s="2" t="s">
        <v>51</v>
      </c>
      <c r="E1386" s="2" t="s">
        <v>9581</v>
      </c>
      <c r="F1386" s="2">
        <v>38966</v>
      </c>
      <c r="G1386" s="3" t="str">
        <f>HYPERLINK("https://cloud.oebiotech.com/#/lm/network/38966", "https://cloud.oebiotech.com/#/lm/network/38966")</f>
        <v>https://cloud.oebiotech.com/#/lm/network/38966</v>
      </c>
      <c r="H1386" s="2"/>
      <c r="I1386" s="2"/>
      <c r="J1386" s="2" t="s">
        <v>9582</v>
      </c>
      <c r="K1386" s="2">
        <v>42608358</v>
      </c>
      <c r="L1386" s="2"/>
      <c r="M1386" s="2"/>
      <c r="N1386" s="2"/>
      <c r="O1386" s="2"/>
      <c r="P1386" s="2"/>
      <c r="Q1386" s="2"/>
      <c r="R1386" s="2"/>
      <c r="S1386" s="2" t="s">
        <v>9583</v>
      </c>
      <c r="T1386" s="2" t="s">
        <v>9584</v>
      </c>
      <c r="U1386" s="2" t="s">
        <v>103</v>
      </c>
      <c r="V1386" s="2" t="s">
        <v>104</v>
      </c>
      <c r="W1386" s="2" t="s">
        <v>9585</v>
      </c>
      <c r="X1386" s="2" t="s">
        <v>59</v>
      </c>
      <c r="Y1386" s="2">
        <v>48.5</v>
      </c>
      <c r="Z1386" s="2">
        <v>58.1</v>
      </c>
      <c r="AA1386" s="2" t="s">
        <v>95</v>
      </c>
      <c r="AB1386" s="2" t="s">
        <v>9586</v>
      </c>
      <c r="AC1386" s="2">
        <v>3.93519031926165</v>
      </c>
      <c r="AD1386" s="2"/>
      <c r="AE1386" s="2">
        <v>0.45924941817267201</v>
      </c>
      <c r="AF1386" s="2">
        <v>1065.47884794228</v>
      </c>
      <c r="AG1386" s="2">
        <v>11003.418286387099</v>
      </c>
      <c r="AH1386" s="4">
        <v>9.6831622702232806E-2</v>
      </c>
      <c r="AI1386" s="4">
        <v>-3.36837791845862</v>
      </c>
      <c r="AJ1386" s="4" t="s">
        <v>62</v>
      </c>
      <c r="AK1386" s="2">
        <v>0.37947778391658499</v>
      </c>
      <c r="AL1386" s="2">
        <v>0.65913977412323299</v>
      </c>
      <c r="AM1386" s="2">
        <v>1377.33214421601</v>
      </c>
      <c r="AN1386" s="2">
        <v>52.742527460805199</v>
      </c>
      <c r="AO1386" s="2">
        <v>524.28607801396902</v>
      </c>
      <c r="AP1386" s="2">
        <v>202.517992595305</v>
      </c>
      <c r="AQ1386" s="2">
        <v>50.509834613768902</v>
      </c>
      <c r="AR1386" s="2">
        <v>4185.4845107538404</v>
      </c>
      <c r="AS1386" s="2">
        <v>305.783262720045</v>
      </c>
      <c r="AT1386" s="2">
        <v>55.848430693601003</v>
      </c>
      <c r="AU1386" s="2">
        <v>692.05619992828201</v>
      </c>
      <c r="AV1386" s="2">
        <v>64940.679949570898</v>
      </c>
      <c r="AW1386" s="2">
        <v>8.559877937157E-6</v>
      </c>
      <c r="AX1386" s="2">
        <v>26.1418668498278</v>
      </c>
    </row>
    <row r="1387" spans="1:50" x14ac:dyDescent="0.25">
      <c r="A1387" s="2" t="s">
        <v>9587</v>
      </c>
      <c r="B1387" s="2">
        <v>175.07156633043601</v>
      </c>
      <c r="C1387" s="2">
        <v>0.68473333333333297</v>
      </c>
      <c r="D1387" s="2" t="s">
        <v>51</v>
      </c>
      <c r="E1387" s="2" t="s">
        <v>9588</v>
      </c>
      <c r="F1387" s="2">
        <v>53736</v>
      </c>
      <c r="G1387" s="3" t="str">
        <f>HYPERLINK("https://cloud.oebiotech.com/#/lm/network/53736", "https://cloud.oebiotech.com/#/lm/network/53736")</f>
        <v>https://cloud.oebiotech.com/#/lm/network/53736</v>
      </c>
      <c r="H1387" s="2" t="s">
        <v>9589</v>
      </c>
      <c r="I1387" s="2">
        <v>23694</v>
      </c>
      <c r="J1387" s="2"/>
      <c r="K1387" s="2">
        <v>1549432</v>
      </c>
      <c r="L1387" s="2"/>
      <c r="M1387" s="2"/>
      <c r="N1387" s="2"/>
      <c r="O1387" s="2">
        <v>73394</v>
      </c>
      <c r="P1387" s="2"/>
      <c r="Q1387" s="2"/>
      <c r="R1387" s="2" t="s">
        <v>9590</v>
      </c>
      <c r="S1387" s="2" t="s">
        <v>9591</v>
      </c>
      <c r="T1387" s="2" t="s">
        <v>9592</v>
      </c>
      <c r="U1387" s="2" t="s">
        <v>103</v>
      </c>
      <c r="V1387" s="2" t="s">
        <v>104</v>
      </c>
      <c r="W1387" s="2" t="s">
        <v>105</v>
      </c>
      <c r="X1387" s="2" t="s">
        <v>83</v>
      </c>
      <c r="Y1387" s="2">
        <v>45.5</v>
      </c>
      <c r="Z1387" s="2">
        <v>0</v>
      </c>
      <c r="AA1387" s="2" t="s">
        <v>163</v>
      </c>
      <c r="AB1387" s="2" t="s">
        <v>9593</v>
      </c>
      <c r="AC1387" s="2">
        <v>-4.9074947891492799</v>
      </c>
      <c r="AD1387" s="2"/>
      <c r="AE1387" s="2">
        <v>0.45906963729658001</v>
      </c>
      <c r="AF1387" s="2">
        <v>9542.4622357033004</v>
      </c>
      <c r="AG1387" s="2">
        <v>4282.6949736147399</v>
      </c>
      <c r="AH1387" s="5">
        <v>2.2281442630150998</v>
      </c>
      <c r="AI1387" s="5">
        <v>1.1558426441674601</v>
      </c>
      <c r="AJ1387" s="5" t="s">
        <v>139</v>
      </c>
      <c r="AK1387" s="2">
        <v>4.8610973889854199E-2</v>
      </c>
      <c r="AL1387" s="2">
        <v>0.30691247078395001</v>
      </c>
      <c r="AM1387" s="2">
        <v>16775.087757568799</v>
      </c>
      <c r="AN1387" s="2">
        <v>3566.1704949822902</v>
      </c>
      <c r="AO1387" s="2">
        <v>9718.8569023406108</v>
      </c>
      <c r="AP1387" s="2">
        <v>4027.3024079146899</v>
      </c>
      <c r="AQ1387" s="2">
        <v>12788.7465607429</v>
      </c>
      <c r="AR1387" s="2">
        <v>10378.6092906705</v>
      </c>
      <c r="AS1387" s="2">
        <v>4927.6401827856798</v>
      </c>
      <c r="AT1387" s="2">
        <v>3505.6735615033699</v>
      </c>
      <c r="AU1387" s="2">
        <v>5886.92789717704</v>
      </c>
      <c r="AV1387" s="2">
        <v>8291.5381039474505</v>
      </c>
      <c r="AW1387" s="2">
        <v>1147.07223261941</v>
      </c>
      <c r="AX1387" s="2">
        <v>1937.3178636554601</v>
      </c>
    </row>
    <row r="1388" spans="1:50" x14ac:dyDescent="0.25">
      <c r="A1388" s="2" t="s">
        <v>9594</v>
      </c>
      <c r="B1388" s="2">
        <v>203.139613792294</v>
      </c>
      <c r="C1388" s="2">
        <v>2.2141000000000002</v>
      </c>
      <c r="D1388" s="2" t="s">
        <v>51</v>
      </c>
      <c r="E1388" s="2" t="s">
        <v>9595</v>
      </c>
      <c r="F1388" s="2">
        <v>266173</v>
      </c>
      <c r="G1388" s="3" t="str">
        <f>HYPERLINK("https://cloud.oebiotech.com/#/lm/network/266173", "https://cloud.oebiotech.com/#/lm/network/266173")</f>
        <v>https://cloud.oebiotech.com/#/lm/network/266173</v>
      </c>
      <c r="H1388" s="2"/>
      <c r="I1388" s="2">
        <v>23864</v>
      </c>
      <c r="J1388" s="2"/>
      <c r="K1388" s="2">
        <v>7009577</v>
      </c>
      <c r="L1388" s="2"/>
      <c r="M1388" s="2"/>
      <c r="N1388" s="2"/>
      <c r="O1388" s="2"/>
      <c r="P1388" s="2"/>
      <c r="Q1388" s="2"/>
      <c r="R1388" s="2"/>
      <c r="S1388" s="2" t="s">
        <v>9596</v>
      </c>
      <c r="T1388" s="2" t="s">
        <v>9597</v>
      </c>
      <c r="U1388" s="2" t="s">
        <v>103</v>
      </c>
      <c r="V1388" s="2" t="s">
        <v>104</v>
      </c>
      <c r="W1388" s="2" t="s">
        <v>105</v>
      </c>
      <c r="X1388" s="2" t="s">
        <v>83</v>
      </c>
      <c r="Y1388" s="2">
        <v>47.9</v>
      </c>
      <c r="Z1388" s="2">
        <v>44.8</v>
      </c>
      <c r="AA1388" s="2" t="s">
        <v>259</v>
      </c>
      <c r="AB1388" s="2" t="s">
        <v>6386</v>
      </c>
      <c r="AC1388" s="2">
        <v>2.9432030167455498</v>
      </c>
      <c r="AD1388" s="2"/>
      <c r="AE1388" s="2">
        <v>0.45856457044405802</v>
      </c>
      <c r="AF1388" s="2">
        <v>11615.7069991832</v>
      </c>
      <c r="AG1388" s="2">
        <v>4766.9672398454004</v>
      </c>
      <c r="AH1388" s="5">
        <v>2.4367079559707499</v>
      </c>
      <c r="AI1388" s="5">
        <v>1.2849333517094499</v>
      </c>
      <c r="AJ1388" s="5" t="s">
        <v>139</v>
      </c>
      <c r="AK1388" s="2">
        <v>0.111756770475074</v>
      </c>
      <c r="AL1388" s="2">
        <v>0.42455885035465601</v>
      </c>
      <c r="AM1388" s="2">
        <v>18267.1896511003</v>
      </c>
      <c r="AN1388" s="2">
        <v>5929.9166106059502</v>
      </c>
      <c r="AO1388" s="2">
        <v>6230.9074886994104</v>
      </c>
      <c r="AP1388" s="2">
        <v>2561.9184271704898</v>
      </c>
      <c r="AQ1388" s="2">
        <v>26010.892682590998</v>
      </c>
      <c r="AR1388" s="2">
        <v>10693.4171349321</v>
      </c>
      <c r="AS1388" s="2">
        <v>426.02809230117498</v>
      </c>
      <c r="AT1388" s="2">
        <v>1486.54394154838</v>
      </c>
      <c r="AU1388" s="2">
        <v>7837.8273632481196</v>
      </c>
      <c r="AV1388" s="2">
        <v>9087.9240819350307</v>
      </c>
      <c r="AW1388" s="2">
        <v>2725.8416593403299</v>
      </c>
      <c r="AX1388" s="2">
        <v>7037.6383006993401</v>
      </c>
    </row>
    <row r="1389" spans="1:50" x14ac:dyDescent="0.25">
      <c r="A1389" s="2" t="s">
        <v>9598</v>
      </c>
      <c r="B1389" s="2">
        <v>591.46347391809604</v>
      </c>
      <c r="C1389" s="2">
        <v>14.299383333333299</v>
      </c>
      <c r="D1389" s="2" t="s">
        <v>51</v>
      </c>
      <c r="E1389" s="2" t="s">
        <v>9599</v>
      </c>
      <c r="F1389" s="2">
        <v>8547</v>
      </c>
      <c r="G1389" s="3" t="str">
        <f>HYPERLINK("https://cloud.oebiotech.com/#/lm/network/8547", "https://cloud.oebiotech.com/#/lm/network/8547")</f>
        <v>https://cloud.oebiotech.com/#/lm/network/8547</v>
      </c>
      <c r="H1389" s="2"/>
      <c r="I1389" s="2"/>
      <c r="J1389" s="2" t="s">
        <v>9600</v>
      </c>
      <c r="K1389" s="2">
        <v>73242178</v>
      </c>
      <c r="L1389" s="2"/>
      <c r="M1389" s="2"/>
      <c r="N1389" s="2"/>
      <c r="O1389" s="2"/>
      <c r="P1389" s="2"/>
      <c r="Q1389" s="2"/>
      <c r="R1389" s="2"/>
      <c r="S1389" s="2" t="s">
        <v>9601</v>
      </c>
      <c r="T1389" s="2" t="s">
        <v>9602</v>
      </c>
      <c r="U1389" s="2" t="s">
        <v>56</v>
      </c>
      <c r="V1389" s="2" t="s">
        <v>145</v>
      </c>
      <c r="W1389" s="2" t="s">
        <v>203</v>
      </c>
      <c r="X1389" s="2" t="s">
        <v>83</v>
      </c>
      <c r="Y1389" s="2">
        <v>45.8</v>
      </c>
      <c r="Z1389" s="2">
        <v>0</v>
      </c>
      <c r="AA1389" s="2" t="s">
        <v>218</v>
      </c>
      <c r="AB1389" s="2" t="s">
        <v>9603</v>
      </c>
      <c r="AC1389" s="2">
        <v>0.842838380965927</v>
      </c>
      <c r="AD1389" s="2"/>
      <c r="AE1389" s="2">
        <v>0.45854962407045502</v>
      </c>
      <c r="AF1389" s="2">
        <v>62043.6729519785</v>
      </c>
      <c r="AG1389" s="2">
        <v>46145.497892252599</v>
      </c>
      <c r="AH1389" s="5">
        <v>1.34452277656311</v>
      </c>
      <c r="AI1389" s="5">
        <v>0.42709419504441698</v>
      </c>
      <c r="AJ1389" s="5" t="s">
        <v>139</v>
      </c>
      <c r="AK1389" s="2">
        <v>0.26573599197785702</v>
      </c>
      <c r="AL1389" s="2">
        <v>0.58715094319781702</v>
      </c>
      <c r="AM1389" s="2">
        <v>17684.635023356699</v>
      </c>
      <c r="AN1389" s="2">
        <v>84916.641933859602</v>
      </c>
      <c r="AO1389" s="2">
        <v>90514.393913422799</v>
      </c>
      <c r="AP1389" s="2">
        <v>84153.680708115397</v>
      </c>
      <c r="AQ1389" s="2">
        <v>48321.965570728004</v>
      </c>
      <c r="AR1389" s="2">
        <v>46670.720562388502</v>
      </c>
      <c r="AS1389" s="2">
        <v>25376.252964943302</v>
      </c>
      <c r="AT1389" s="2">
        <v>56549.598207729097</v>
      </c>
      <c r="AU1389" s="2">
        <v>31526.603624554999</v>
      </c>
      <c r="AV1389" s="2">
        <v>42967.484935117602</v>
      </c>
      <c r="AW1389" s="2">
        <v>53856.781504757302</v>
      </c>
      <c r="AX1389" s="2">
        <v>66596.266116413302</v>
      </c>
    </row>
    <row r="1390" spans="1:50" x14ac:dyDescent="0.25">
      <c r="A1390" s="2" t="s">
        <v>9604</v>
      </c>
      <c r="B1390" s="2">
        <v>199.096977444717</v>
      </c>
      <c r="C1390" s="2">
        <v>5.5300333333333302</v>
      </c>
      <c r="D1390" s="2" t="s">
        <v>51</v>
      </c>
      <c r="E1390" s="2" t="s">
        <v>9605</v>
      </c>
      <c r="F1390" s="2">
        <v>58494</v>
      </c>
      <c r="G1390" s="3" t="str">
        <f>HYPERLINK("https://cloud.oebiotech.com/#/lm/network/58494", "https://cloud.oebiotech.com/#/lm/network/58494")</f>
        <v>https://cloud.oebiotech.com/#/lm/network/58494</v>
      </c>
      <c r="H1390" s="2" t="s">
        <v>9606</v>
      </c>
      <c r="I1390" s="2">
        <v>89970</v>
      </c>
      <c r="J1390" s="2"/>
      <c r="K1390" s="2">
        <v>21491</v>
      </c>
      <c r="L1390" s="2"/>
      <c r="M1390" s="2"/>
      <c r="N1390" s="2"/>
      <c r="O1390" s="2"/>
      <c r="P1390" s="2"/>
      <c r="Q1390" s="2"/>
      <c r="R1390" s="2" t="s">
        <v>9607</v>
      </c>
      <c r="S1390" s="2" t="s">
        <v>9608</v>
      </c>
      <c r="T1390" s="2" t="s">
        <v>9609</v>
      </c>
      <c r="U1390" s="2" t="s">
        <v>103</v>
      </c>
      <c r="V1390" s="2" t="s">
        <v>104</v>
      </c>
      <c r="W1390" s="2" t="s">
        <v>3415</v>
      </c>
      <c r="X1390" s="2" t="s">
        <v>69</v>
      </c>
      <c r="Y1390" s="2">
        <v>60.3</v>
      </c>
      <c r="Z1390" s="2">
        <v>84</v>
      </c>
      <c r="AA1390" s="2" t="s">
        <v>163</v>
      </c>
      <c r="AB1390" s="2" t="s">
        <v>6355</v>
      </c>
      <c r="AC1390" s="2">
        <v>-3.0239877546485001</v>
      </c>
      <c r="AD1390" s="2"/>
      <c r="AE1390" s="2">
        <v>0.45837729227650598</v>
      </c>
      <c r="AF1390" s="2">
        <v>9522.0905269192408</v>
      </c>
      <c r="AG1390" s="2">
        <v>4342.5016779044799</v>
      </c>
      <c r="AH1390" s="5">
        <v>2.1927661134524299</v>
      </c>
      <c r="AI1390" s="5">
        <v>1.1327519383420499</v>
      </c>
      <c r="AJ1390" s="5" t="s">
        <v>139</v>
      </c>
      <c r="AK1390" s="2">
        <v>1.21429080413878E-2</v>
      </c>
      <c r="AL1390" s="2">
        <v>0.17463872408012501</v>
      </c>
      <c r="AM1390" s="2">
        <v>6023.5869745390601</v>
      </c>
      <c r="AN1390" s="2">
        <v>12033.4754961013</v>
      </c>
      <c r="AO1390" s="2">
        <v>14038.948314556699</v>
      </c>
      <c r="AP1390" s="2">
        <v>3677.15492773499</v>
      </c>
      <c r="AQ1390" s="2">
        <v>12281.045359588999</v>
      </c>
      <c r="AR1390" s="2">
        <v>9078.3320889944207</v>
      </c>
      <c r="AS1390" s="2">
        <v>4161.7293423287201</v>
      </c>
      <c r="AT1390" s="2">
        <v>3172.9975375648601</v>
      </c>
      <c r="AU1390" s="2">
        <v>5132.0699685358404</v>
      </c>
      <c r="AV1390" s="2">
        <v>3564.07227476663</v>
      </c>
      <c r="AW1390" s="2">
        <v>4069.6789199284199</v>
      </c>
      <c r="AX1390" s="2">
        <v>5954.4620243023901</v>
      </c>
    </row>
    <row r="1391" spans="1:50" x14ac:dyDescent="0.25">
      <c r="A1391" s="2" t="s">
        <v>9610</v>
      </c>
      <c r="B1391" s="2">
        <v>513.30549338001799</v>
      </c>
      <c r="C1391" s="2">
        <v>4.0687333333333298</v>
      </c>
      <c r="D1391" s="2" t="s">
        <v>51</v>
      </c>
      <c r="E1391" s="2" t="s">
        <v>9611</v>
      </c>
      <c r="F1391" s="2">
        <v>43513</v>
      </c>
      <c r="G1391" s="3" t="str">
        <f>HYPERLINK("https://cloud.oebiotech.com/#/lm/network/43513", "https://cloud.oebiotech.com/#/lm/network/43513")</f>
        <v>https://cloud.oebiotech.com/#/lm/network/43513</v>
      </c>
      <c r="H1391" s="2"/>
      <c r="I1391" s="2">
        <v>57622</v>
      </c>
      <c r="J1391" s="2" t="s">
        <v>9612</v>
      </c>
      <c r="K1391" s="2">
        <v>16755634</v>
      </c>
      <c r="L1391" s="2"/>
      <c r="M1391" s="2"/>
      <c r="N1391" s="2"/>
      <c r="O1391" s="2">
        <v>18531</v>
      </c>
      <c r="P1391" s="2"/>
      <c r="Q1391" s="2"/>
      <c r="R1391" s="2"/>
      <c r="S1391" s="2" t="s">
        <v>9613</v>
      </c>
      <c r="T1391" s="2" t="s">
        <v>9614</v>
      </c>
      <c r="U1391" s="2" t="s">
        <v>56</v>
      </c>
      <c r="V1391" s="2" t="s">
        <v>283</v>
      </c>
      <c r="W1391" s="2" t="s">
        <v>2042</v>
      </c>
      <c r="X1391" s="2" t="s">
        <v>147</v>
      </c>
      <c r="Y1391" s="2">
        <v>45.3</v>
      </c>
      <c r="Z1391" s="2">
        <v>34.299999999999997</v>
      </c>
      <c r="AA1391" s="2" t="s">
        <v>60</v>
      </c>
      <c r="AB1391" s="2" t="s">
        <v>9615</v>
      </c>
      <c r="AC1391" s="2">
        <v>-0.61690417076456805</v>
      </c>
      <c r="AD1391" s="2"/>
      <c r="AE1391" s="2">
        <v>0.45806204150437102</v>
      </c>
      <c r="AF1391" s="2">
        <v>414.10902470639599</v>
      </c>
      <c r="AG1391" s="2">
        <v>9972.8751483046999</v>
      </c>
      <c r="AH1391" s="4">
        <v>4.1523534442E-2</v>
      </c>
      <c r="AI1391" s="4">
        <v>-4.58992694008366</v>
      </c>
      <c r="AJ1391" s="4" t="s">
        <v>62</v>
      </c>
      <c r="AK1391" s="2">
        <v>0.35906550295852402</v>
      </c>
      <c r="AL1391" s="2">
        <v>0.64449606579735297</v>
      </c>
      <c r="AM1391" s="2">
        <v>305.23439902812601</v>
      </c>
      <c r="AN1391" s="2">
        <v>0.62541570292147897</v>
      </c>
      <c r="AO1391" s="2">
        <v>18.7798515411118</v>
      </c>
      <c r="AP1391" s="2">
        <v>8.559877937157E-6</v>
      </c>
      <c r="AQ1391" s="2">
        <v>865.857949476199</v>
      </c>
      <c r="AR1391" s="2">
        <v>1294.1565239301401</v>
      </c>
      <c r="AS1391" s="2">
        <v>8.559877937157E-6</v>
      </c>
      <c r="AT1391" s="2">
        <v>8.559877937157E-6</v>
      </c>
      <c r="AU1391" s="2">
        <v>8.559877937157E-6</v>
      </c>
      <c r="AV1391" s="2">
        <v>59677.771219479502</v>
      </c>
      <c r="AW1391" s="2">
        <v>159.47963610917299</v>
      </c>
      <c r="AX1391" s="2">
        <v>8.559877937157E-6</v>
      </c>
    </row>
    <row r="1392" spans="1:50" x14ac:dyDescent="0.25">
      <c r="A1392" s="2" t="s">
        <v>9616</v>
      </c>
      <c r="B1392" s="2">
        <v>425.13991290771099</v>
      </c>
      <c r="C1392" s="2">
        <v>6.8908500000000004</v>
      </c>
      <c r="D1392" s="2" t="s">
        <v>51</v>
      </c>
      <c r="E1392" s="2" t="s">
        <v>9617</v>
      </c>
      <c r="F1392" s="2">
        <v>209841</v>
      </c>
      <c r="G1392" s="3" t="str">
        <f>HYPERLINK("https://cloud.oebiotech.com/#/lm/network/209841", "https://cloud.oebiotech.com/#/lm/network/209841")</f>
        <v>https://cloud.oebiotech.com/#/lm/network/209841</v>
      </c>
      <c r="H1392" s="2" t="s">
        <v>9618</v>
      </c>
      <c r="I1392" s="2"/>
      <c r="J1392" s="2"/>
      <c r="K1392" s="2">
        <v>22633931</v>
      </c>
      <c r="L1392" s="2"/>
      <c r="M1392" s="2"/>
      <c r="N1392" s="2"/>
      <c r="O1392" s="2"/>
      <c r="P1392" s="2"/>
      <c r="Q1392" s="2"/>
      <c r="R1392" s="2"/>
      <c r="S1392" s="2" t="s">
        <v>9619</v>
      </c>
      <c r="T1392" s="2" t="s">
        <v>9620</v>
      </c>
      <c r="U1392" s="2" t="s">
        <v>266</v>
      </c>
      <c r="V1392" s="2" t="s">
        <v>1393</v>
      </c>
      <c r="W1392" s="2" t="s">
        <v>1643</v>
      </c>
      <c r="X1392" s="2" t="s">
        <v>147</v>
      </c>
      <c r="Y1392" s="2">
        <v>47.1</v>
      </c>
      <c r="Z1392" s="2">
        <v>44.8</v>
      </c>
      <c r="AA1392" s="2" t="s">
        <v>395</v>
      </c>
      <c r="AB1392" s="2" t="s">
        <v>9621</v>
      </c>
      <c r="AC1392" s="2">
        <v>3.45954754171213</v>
      </c>
      <c r="AD1392" s="2"/>
      <c r="AE1392" s="2">
        <v>0.45747453891309697</v>
      </c>
      <c r="AF1392" s="2">
        <v>10510.878450813099</v>
      </c>
      <c r="AG1392" s="2">
        <v>18168.489609488599</v>
      </c>
      <c r="AH1392" s="4">
        <v>0.57852241307520103</v>
      </c>
      <c r="AI1392" s="4">
        <v>-0.78955524168066404</v>
      </c>
      <c r="AJ1392" s="4" t="s">
        <v>62</v>
      </c>
      <c r="AK1392" s="2">
        <v>0.122691278324421</v>
      </c>
      <c r="AL1392" s="2">
        <v>0.44047290513653697</v>
      </c>
      <c r="AM1392" s="2">
        <v>9958.81872084934</v>
      </c>
      <c r="AN1392" s="2">
        <v>8901.1482807749308</v>
      </c>
      <c r="AO1392" s="2">
        <v>15074.866468534499</v>
      </c>
      <c r="AP1392" s="2">
        <v>799.87063003657101</v>
      </c>
      <c r="AQ1392" s="2">
        <v>9184.4748249954391</v>
      </c>
      <c r="AR1392" s="2">
        <v>19146.0917796877</v>
      </c>
      <c r="AS1392" s="2">
        <v>15594.634652541999</v>
      </c>
      <c r="AT1392" s="2">
        <v>11840.524160154</v>
      </c>
      <c r="AU1392" s="2">
        <v>19915.404304829299</v>
      </c>
      <c r="AV1392" s="2">
        <v>28717.543750504399</v>
      </c>
      <c r="AW1392" s="2">
        <v>27823.366632132602</v>
      </c>
      <c r="AX1392" s="2">
        <v>5119.4641567695799</v>
      </c>
    </row>
    <row r="1393" spans="1:50" x14ac:dyDescent="0.25">
      <c r="A1393" s="2" t="s">
        <v>9622</v>
      </c>
      <c r="B1393" s="2">
        <v>312.23905212065898</v>
      </c>
      <c r="C1393" s="2">
        <v>4.3206499999999997</v>
      </c>
      <c r="D1393" s="2" t="s">
        <v>51</v>
      </c>
      <c r="E1393" s="2" t="s">
        <v>9623</v>
      </c>
      <c r="F1393" s="2">
        <v>91</v>
      </c>
      <c r="G1393" s="3" t="str">
        <f>HYPERLINK("https://cloud.oebiotech.com/#/lm/network/91", "https://cloud.oebiotech.com/#/lm/network/91")</f>
        <v>https://cloud.oebiotech.com/#/lm/network/91</v>
      </c>
      <c r="H1393" s="2"/>
      <c r="I1393" s="2">
        <v>96757</v>
      </c>
      <c r="J1393" s="2" t="s">
        <v>9624</v>
      </c>
      <c r="K1393" s="2">
        <v>44256491</v>
      </c>
      <c r="L1393" s="2"/>
      <c r="M1393" s="2"/>
      <c r="N1393" s="2"/>
      <c r="O1393" s="2"/>
      <c r="P1393" s="2"/>
      <c r="Q1393" s="2"/>
      <c r="R1393" s="2"/>
      <c r="S1393" s="2" t="s">
        <v>9625</v>
      </c>
      <c r="T1393" s="2" t="s">
        <v>9626</v>
      </c>
      <c r="U1393" s="2" t="s">
        <v>56</v>
      </c>
      <c r="V1393" s="2" t="s">
        <v>145</v>
      </c>
      <c r="W1393" s="2" t="s">
        <v>231</v>
      </c>
      <c r="X1393" s="2" t="s">
        <v>147</v>
      </c>
      <c r="Y1393" s="2">
        <v>38</v>
      </c>
      <c r="Z1393" s="2">
        <v>0.82199999999999995</v>
      </c>
      <c r="AA1393" s="2" t="s">
        <v>395</v>
      </c>
      <c r="AB1393" s="2" t="s">
        <v>9627</v>
      </c>
      <c r="AC1393" s="2">
        <v>4.3307116345055299</v>
      </c>
      <c r="AD1393" s="2"/>
      <c r="AE1393" s="2">
        <v>0.45740737030677903</v>
      </c>
      <c r="AF1393" s="2">
        <v>9927.0609960727397</v>
      </c>
      <c r="AG1393" s="2">
        <v>5557.0735096769804</v>
      </c>
      <c r="AH1393" s="5">
        <v>1.7863828827864101</v>
      </c>
      <c r="AI1393" s="5">
        <v>0.837041332360418</v>
      </c>
      <c r="AJ1393" s="5" t="s">
        <v>139</v>
      </c>
      <c r="AK1393" s="2">
        <v>8.7134390128780492E-3</v>
      </c>
      <c r="AL1393" s="2">
        <v>0.15175780220000001</v>
      </c>
      <c r="AM1393" s="2">
        <v>10621.2214537661</v>
      </c>
      <c r="AN1393" s="2">
        <v>9421.9402798896899</v>
      </c>
      <c r="AO1393" s="2">
        <v>10800.3031401764</v>
      </c>
      <c r="AP1393" s="2">
        <v>11957.8998601361</v>
      </c>
      <c r="AQ1393" s="2">
        <v>7116.6467995775402</v>
      </c>
      <c r="AR1393" s="2">
        <v>9644.3544428906298</v>
      </c>
      <c r="AS1393" s="2">
        <v>5902.2715149323403</v>
      </c>
      <c r="AT1393" s="2">
        <v>9740.6833751231297</v>
      </c>
      <c r="AU1393" s="2">
        <v>7597.9907079919103</v>
      </c>
      <c r="AV1393" s="2">
        <v>1654.4133979943899</v>
      </c>
      <c r="AW1393" s="2">
        <v>4376.4622127955499</v>
      </c>
      <c r="AX1393" s="2">
        <v>4070.6198492245799</v>
      </c>
    </row>
    <row r="1394" spans="1:50" x14ac:dyDescent="0.25">
      <c r="A1394" s="2" t="s">
        <v>9628</v>
      </c>
      <c r="B1394" s="2">
        <v>435.20025617646201</v>
      </c>
      <c r="C1394" s="2">
        <v>7.2403166666666703</v>
      </c>
      <c r="D1394" s="2" t="s">
        <v>51</v>
      </c>
      <c r="E1394" s="2" t="s">
        <v>9629</v>
      </c>
      <c r="F1394" s="2">
        <v>204532</v>
      </c>
      <c r="G1394" s="3" t="str">
        <f>HYPERLINK("https://cloud.oebiotech.com/#/lm/network/204532", "https://cloud.oebiotech.com/#/lm/network/204532")</f>
        <v>https://cloud.oebiotech.com/#/lm/network/204532</v>
      </c>
      <c r="H1394" s="2" t="s">
        <v>9630</v>
      </c>
      <c r="I1394" s="2">
        <v>351491</v>
      </c>
      <c r="J1394" s="2"/>
      <c r="K1394" s="2">
        <v>2134</v>
      </c>
      <c r="L1394" s="2"/>
      <c r="M1394" s="2"/>
      <c r="N1394" s="2"/>
      <c r="O1394" s="2"/>
      <c r="P1394" s="2"/>
      <c r="Q1394" s="2"/>
      <c r="R1394" s="2"/>
      <c r="S1394" s="2" t="s">
        <v>9631</v>
      </c>
      <c r="T1394" s="2" t="s">
        <v>9632</v>
      </c>
      <c r="U1394" s="2" t="s">
        <v>610</v>
      </c>
      <c r="V1394" s="2" t="s">
        <v>9240</v>
      </c>
      <c r="W1394" s="2" t="s">
        <v>9633</v>
      </c>
      <c r="X1394" s="2" t="s">
        <v>59</v>
      </c>
      <c r="Y1394" s="2">
        <v>53.3</v>
      </c>
      <c r="Z1394" s="2">
        <v>76.8</v>
      </c>
      <c r="AA1394" s="2" t="s">
        <v>95</v>
      </c>
      <c r="AB1394" s="2" t="s">
        <v>9634</v>
      </c>
      <c r="AC1394" s="2">
        <v>-4.82736632935871E-2</v>
      </c>
      <c r="AD1394" s="2"/>
      <c r="AE1394" s="2">
        <v>0.45737824394188997</v>
      </c>
      <c r="AF1394" s="2">
        <v>9751.60790588081</v>
      </c>
      <c r="AG1394" s="2">
        <v>4822.7610283010399</v>
      </c>
      <c r="AH1394" s="5">
        <v>2.0219969118635999</v>
      </c>
      <c r="AI1394" s="5">
        <v>1.0157807938569099</v>
      </c>
      <c r="AJ1394" s="5" t="s">
        <v>139</v>
      </c>
      <c r="AK1394" s="2">
        <v>1.43001934068702E-2</v>
      </c>
      <c r="AL1394" s="2">
        <v>0.189933441289907</v>
      </c>
      <c r="AM1394" s="2">
        <v>10711.0472871247</v>
      </c>
      <c r="AN1394" s="2">
        <v>14478.965120950499</v>
      </c>
      <c r="AO1394" s="2">
        <v>8187.0059729414097</v>
      </c>
      <c r="AP1394" s="2">
        <v>9913.3804850477809</v>
      </c>
      <c r="AQ1394" s="2">
        <v>5601.2243165460104</v>
      </c>
      <c r="AR1394" s="2">
        <v>9618.0242526744696</v>
      </c>
      <c r="AS1394" s="2">
        <v>9088.7837364495008</v>
      </c>
      <c r="AT1394" s="2">
        <v>3779.8299686339401</v>
      </c>
      <c r="AU1394" s="2">
        <v>6608.3627271996402</v>
      </c>
      <c r="AV1394" s="2">
        <v>1668.1509263201599</v>
      </c>
      <c r="AW1394" s="2">
        <v>2152.4350507510599</v>
      </c>
      <c r="AX1394" s="2">
        <v>5639.0037604519403</v>
      </c>
    </row>
    <row r="1395" spans="1:50" x14ac:dyDescent="0.25">
      <c r="A1395" s="2" t="s">
        <v>9635</v>
      </c>
      <c r="B1395" s="2">
        <v>357.27999948924798</v>
      </c>
      <c r="C1395" s="2">
        <v>8.8669333333333302</v>
      </c>
      <c r="D1395" s="2" t="s">
        <v>51</v>
      </c>
      <c r="E1395" s="2" t="s">
        <v>9636</v>
      </c>
      <c r="F1395" s="2">
        <v>1233</v>
      </c>
      <c r="G1395" s="3" t="str">
        <f>HYPERLINK("https://cloud.oebiotech.com/#/lm/network/1233", "https://cloud.oebiotech.com/#/lm/network/1233")</f>
        <v>https://cloud.oebiotech.com/#/lm/network/1233</v>
      </c>
      <c r="H1395" s="2" t="s">
        <v>9637</v>
      </c>
      <c r="I1395" s="2">
        <v>6430</v>
      </c>
      <c r="J1395" s="2" t="s">
        <v>9638</v>
      </c>
      <c r="K1395" s="2">
        <v>11792612</v>
      </c>
      <c r="L1395" s="2"/>
      <c r="M1395" s="2"/>
      <c r="N1395" s="2"/>
      <c r="O1395" s="2">
        <v>77366</v>
      </c>
      <c r="P1395" s="2"/>
      <c r="Q1395" s="2"/>
      <c r="R1395" s="2" t="s">
        <v>9639</v>
      </c>
      <c r="S1395" s="2" t="s">
        <v>9640</v>
      </c>
      <c r="T1395" s="2" t="s">
        <v>9641</v>
      </c>
      <c r="U1395" s="2" t="s">
        <v>56</v>
      </c>
      <c r="V1395" s="2" t="s">
        <v>145</v>
      </c>
      <c r="W1395" s="2" t="s">
        <v>231</v>
      </c>
      <c r="X1395" s="2" t="s">
        <v>59</v>
      </c>
      <c r="Y1395" s="2">
        <v>48.1</v>
      </c>
      <c r="Z1395" s="2">
        <v>47.9</v>
      </c>
      <c r="AA1395" s="2" t="s">
        <v>259</v>
      </c>
      <c r="AB1395" s="2" t="s">
        <v>9642</v>
      </c>
      <c r="AC1395" s="2">
        <v>3.3476253544319499</v>
      </c>
      <c r="AD1395" s="2"/>
      <c r="AE1395" s="2">
        <v>0.45705081138155301</v>
      </c>
      <c r="AF1395" s="2">
        <v>18306.046140959101</v>
      </c>
      <c r="AG1395" s="2">
        <v>2282.0591995868499</v>
      </c>
      <c r="AH1395" s="5">
        <v>8.0217227249289795</v>
      </c>
      <c r="AI1395" s="5">
        <v>3.0039120995003001</v>
      </c>
      <c r="AJ1395" s="5" t="s">
        <v>139</v>
      </c>
      <c r="AK1395" s="2">
        <v>0.31804095699796198</v>
      </c>
      <c r="AL1395" s="2">
        <v>0.62647948297840095</v>
      </c>
      <c r="AM1395" s="2">
        <v>62.6217289605882</v>
      </c>
      <c r="AN1395" s="2">
        <v>491.17098059591899</v>
      </c>
      <c r="AO1395" s="2">
        <v>126.270062456088</v>
      </c>
      <c r="AP1395" s="2">
        <v>608.86603315115701</v>
      </c>
      <c r="AQ1395" s="2">
        <v>93397.310820266095</v>
      </c>
      <c r="AR1395" s="2">
        <v>15150.037220324701</v>
      </c>
      <c r="AS1395" s="2">
        <v>186.23649432954201</v>
      </c>
      <c r="AT1395" s="2">
        <v>2990.1623743299101</v>
      </c>
      <c r="AU1395" s="2">
        <v>6812.9941725215003</v>
      </c>
      <c r="AV1395" s="2">
        <v>2752.5007167653998</v>
      </c>
      <c r="AW1395" s="2">
        <v>879.55750572292504</v>
      </c>
      <c r="AX1395" s="2">
        <v>70.903933851841899</v>
      </c>
    </row>
    <row r="1396" spans="1:50" x14ac:dyDescent="0.25">
      <c r="A1396" s="2" t="s">
        <v>9643</v>
      </c>
      <c r="B1396" s="2">
        <v>463.343323965124</v>
      </c>
      <c r="C1396" s="2">
        <v>11.822150000000001</v>
      </c>
      <c r="D1396" s="2" t="s">
        <v>51</v>
      </c>
      <c r="E1396" s="2" t="s">
        <v>9644</v>
      </c>
      <c r="F1396" s="2">
        <v>48921</v>
      </c>
      <c r="G1396" s="3" t="str">
        <f>HYPERLINK("https://cloud.oebiotech.com/#/lm/network/48921", "https://cloud.oebiotech.com/#/lm/network/48921")</f>
        <v>https://cloud.oebiotech.com/#/lm/network/48921</v>
      </c>
      <c r="H1396" s="2" t="s">
        <v>9645</v>
      </c>
      <c r="I1396" s="2"/>
      <c r="J1396" s="2"/>
      <c r="K1396" s="2">
        <v>53477906</v>
      </c>
      <c r="L1396" s="2" t="s">
        <v>9646</v>
      </c>
      <c r="M1396" s="2" t="s">
        <v>3331</v>
      </c>
      <c r="N1396" s="2" t="s">
        <v>3332</v>
      </c>
      <c r="O1396" s="2">
        <v>27428</v>
      </c>
      <c r="P1396" s="2" t="s">
        <v>9647</v>
      </c>
      <c r="Q1396" s="2" t="s">
        <v>9648</v>
      </c>
      <c r="R1396" s="2"/>
      <c r="S1396" s="2" t="s">
        <v>9649</v>
      </c>
      <c r="T1396" s="2" t="s">
        <v>9650</v>
      </c>
      <c r="U1396" s="2" t="s">
        <v>56</v>
      </c>
      <c r="V1396" s="2" t="s">
        <v>283</v>
      </c>
      <c r="W1396" s="2" t="s">
        <v>2042</v>
      </c>
      <c r="X1396" s="2" t="s">
        <v>83</v>
      </c>
      <c r="Y1396" s="2">
        <v>56.5</v>
      </c>
      <c r="Z1396" s="2">
        <v>0</v>
      </c>
      <c r="AA1396" s="2" t="s">
        <v>218</v>
      </c>
      <c r="AB1396" s="2" t="s">
        <v>9651</v>
      </c>
      <c r="AC1396" s="2">
        <v>1.0177282713152001</v>
      </c>
      <c r="AD1396" s="2"/>
      <c r="AE1396" s="2">
        <v>0.456890594556913</v>
      </c>
      <c r="AF1396" s="2">
        <v>113063.534139779</v>
      </c>
      <c r="AG1396" s="2">
        <v>94468.485687888606</v>
      </c>
      <c r="AH1396" s="5">
        <v>1.1968386421830199</v>
      </c>
      <c r="AI1396" s="5">
        <v>0.25922866120869698</v>
      </c>
      <c r="AJ1396" s="5" t="s">
        <v>139</v>
      </c>
      <c r="AK1396" s="2">
        <v>0.40012462251823699</v>
      </c>
      <c r="AL1396" s="2">
        <v>0.66855529949520398</v>
      </c>
      <c r="AM1396" s="2">
        <v>75017.744974582296</v>
      </c>
      <c r="AN1396" s="2">
        <v>142262.682378878</v>
      </c>
      <c r="AO1396" s="2">
        <v>125072.26441943699</v>
      </c>
      <c r="AP1396" s="2">
        <v>157027.903035892</v>
      </c>
      <c r="AQ1396" s="2">
        <v>97901.937111647407</v>
      </c>
      <c r="AR1396" s="2">
        <v>81098.672918236101</v>
      </c>
      <c r="AS1396" s="2">
        <v>86302.922450656799</v>
      </c>
      <c r="AT1396" s="2">
        <v>117702.25473797</v>
      </c>
      <c r="AU1396" s="2">
        <v>68739.024704853204</v>
      </c>
      <c r="AV1396" s="2">
        <v>35413.1514572585</v>
      </c>
      <c r="AW1396" s="2">
        <v>111772.002902288</v>
      </c>
      <c r="AX1396" s="2">
        <v>146881.557874305</v>
      </c>
    </row>
    <row r="1397" spans="1:50" x14ac:dyDescent="0.25">
      <c r="A1397" s="2" t="s">
        <v>9652</v>
      </c>
      <c r="B1397" s="2">
        <v>353.02434970406398</v>
      </c>
      <c r="C1397" s="2">
        <v>6.6295999999999999</v>
      </c>
      <c r="D1397" s="2" t="s">
        <v>51</v>
      </c>
      <c r="E1397" s="2" t="s">
        <v>9653</v>
      </c>
      <c r="F1397" s="2">
        <v>256940</v>
      </c>
      <c r="G1397" s="3" t="str">
        <f>HYPERLINK("https://cloud.oebiotech.com/#/lm/network/256940", "https://cloud.oebiotech.com/#/lm/network/256940")</f>
        <v>https://cloud.oebiotech.com/#/lm/network/256940</v>
      </c>
      <c r="H1397" s="2" t="s">
        <v>9654</v>
      </c>
      <c r="I1397" s="2"/>
      <c r="J1397" s="2"/>
      <c r="K1397" s="2">
        <v>4479904</v>
      </c>
      <c r="L1397" s="2"/>
      <c r="M1397" s="2"/>
      <c r="N1397" s="2"/>
      <c r="O1397" s="2"/>
      <c r="P1397" s="2"/>
      <c r="Q1397" s="2"/>
      <c r="R1397" s="2"/>
      <c r="S1397" s="2" t="s">
        <v>9655</v>
      </c>
      <c r="T1397" s="2" t="s">
        <v>9656</v>
      </c>
      <c r="U1397" s="2" t="s">
        <v>331</v>
      </c>
      <c r="V1397" s="2" t="s">
        <v>332</v>
      </c>
      <c r="W1397" s="2" t="s">
        <v>333</v>
      </c>
      <c r="X1397" s="2" t="s">
        <v>147</v>
      </c>
      <c r="Y1397" s="2">
        <v>36.299999999999997</v>
      </c>
      <c r="Z1397" s="2">
        <v>0</v>
      </c>
      <c r="AA1397" s="2" t="s">
        <v>379</v>
      </c>
      <c r="AB1397" s="2" t="s">
        <v>9657</v>
      </c>
      <c r="AC1397" s="2">
        <v>-0.28849955180812697</v>
      </c>
      <c r="AD1397" s="2"/>
      <c r="AE1397" s="2">
        <v>0.45651299677510898</v>
      </c>
      <c r="AF1397" s="2">
        <v>12874.3143741358</v>
      </c>
      <c r="AG1397" s="2">
        <v>17513.1472669295</v>
      </c>
      <c r="AH1397" s="4">
        <v>0.73512282960394404</v>
      </c>
      <c r="AI1397" s="4">
        <v>-0.443942768944806</v>
      </c>
      <c r="AJ1397" s="4" t="s">
        <v>62</v>
      </c>
      <c r="AK1397" s="2">
        <v>4.4878040055290804E-3</v>
      </c>
      <c r="AL1397" s="2">
        <v>0.12174388396289799</v>
      </c>
      <c r="AM1397" s="2">
        <v>12112.511079198101</v>
      </c>
      <c r="AN1397" s="2">
        <v>12040.657645601201</v>
      </c>
      <c r="AO1397" s="2">
        <v>15290.463522006399</v>
      </c>
      <c r="AP1397" s="2">
        <v>14490.823046658499</v>
      </c>
      <c r="AQ1397" s="2">
        <v>12140.301002369401</v>
      </c>
      <c r="AR1397" s="2">
        <v>11171.129948981001</v>
      </c>
      <c r="AS1397" s="2">
        <v>14945.803678206399</v>
      </c>
      <c r="AT1397" s="2">
        <v>18809.888807769799</v>
      </c>
      <c r="AU1397" s="2">
        <v>14331.1730178736</v>
      </c>
      <c r="AV1397" s="2">
        <v>21304.727746485201</v>
      </c>
      <c r="AW1397" s="2">
        <v>16750.473465351799</v>
      </c>
      <c r="AX1397" s="2">
        <v>18936.816885889999</v>
      </c>
    </row>
    <row r="1398" spans="1:50" x14ac:dyDescent="0.25">
      <c r="A1398" s="2" t="s">
        <v>9658</v>
      </c>
      <c r="B1398" s="2">
        <v>379.17957359334901</v>
      </c>
      <c r="C1398" s="2">
        <v>13.510733333333301</v>
      </c>
      <c r="D1398" s="2" t="s">
        <v>51</v>
      </c>
      <c r="E1398" s="2" t="s">
        <v>9659</v>
      </c>
      <c r="F1398" s="2">
        <v>204241</v>
      </c>
      <c r="G1398" s="3" t="str">
        <f>HYPERLINK("https://cloud.oebiotech.com/#/lm/network/204241", "https://cloud.oebiotech.com/#/lm/network/204241")</f>
        <v>https://cloud.oebiotech.com/#/lm/network/204241</v>
      </c>
      <c r="H1398" s="2" t="s">
        <v>9660</v>
      </c>
      <c r="I1398" s="2"/>
      <c r="J1398" s="2"/>
      <c r="K1398" s="2">
        <v>51323</v>
      </c>
      <c r="L1398" s="2"/>
      <c r="M1398" s="2"/>
      <c r="N1398" s="2"/>
      <c r="O1398" s="2">
        <v>88337</v>
      </c>
      <c r="P1398" s="2"/>
      <c r="Q1398" s="2"/>
      <c r="R1398" s="2"/>
      <c r="S1398" s="2" t="s">
        <v>9661</v>
      </c>
      <c r="T1398" s="2" t="s">
        <v>9662</v>
      </c>
      <c r="U1398" s="2" t="s">
        <v>610</v>
      </c>
      <c r="V1398" s="2" t="s">
        <v>9240</v>
      </c>
      <c r="W1398" s="2" t="s">
        <v>240</v>
      </c>
      <c r="X1398" s="2" t="s">
        <v>147</v>
      </c>
      <c r="Y1398" s="2">
        <v>37.5</v>
      </c>
      <c r="Z1398" s="2">
        <v>0</v>
      </c>
      <c r="AA1398" s="2" t="s">
        <v>379</v>
      </c>
      <c r="AB1398" s="2" t="s">
        <v>9663</v>
      </c>
      <c r="AC1398" s="2">
        <v>1.68753115488562</v>
      </c>
      <c r="AD1398" s="2"/>
      <c r="AE1398" s="2">
        <v>0.45614380050341002</v>
      </c>
      <c r="AF1398" s="2">
        <v>15992.4299923778</v>
      </c>
      <c r="AG1398" s="2">
        <v>24297.865015068601</v>
      </c>
      <c r="AH1398" s="4">
        <v>0.65818251860646704</v>
      </c>
      <c r="AI1398" s="4">
        <v>-0.60344038604084205</v>
      </c>
      <c r="AJ1398" s="4" t="s">
        <v>62</v>
      </c>
      <c r="AK1398" s="2">
        <v>0.11974045447672001</v>
      </c>
      <c r="AL1398" s="2">
        <v>0.43766036031086097</v>
      </c>
      <c r="AM1398" s="2">
        <v>16886.7169397793</v>
      </c>
      <c r="AN1398" s="2">
        <v>9345.7926862887107</v>
      </c>
      <c r="AO1398" s="2">
        <v>20323.003952037801</v>
      </c>
      <c r="AP1398" s="2">
        <v>10230.590711995501</v>
      </c>
      <c r="AQ1398" s="2">
        <v>22365.4061544381</v>
      </c>
      <c r="AR1398" s="2">
        <v>16803.0695097274</v>
      </c>
      <c r="AS1398" s="2">
        <v>13748.3606275817</v>
      </c>
      <c r="AT1398" s="2">
        <v>13431.4243768819</v>
      </c>
      <c r="AU1398" s="2">
        <v>38837.1426372032</v>
      </c>
      <c r="AV1398" s="2">
        <v>27903.143612648299</v>
      </c>
      <c r="AW1398" s="2">
        <v>33606.360851696198</v>
      </c>
      <c r="AX1398" s="2">
        <v>18260.757984400101</v>
      </c>
    </row>
    <row r="1399" spans="1:50" x14ac:dyDescent="0.25">
      <c r="A1399" s="2" t="s">
        <v>9664</v>
      </c>
      <c r="B1399" s="2">
        <v>403.23388917296302</v>
      </c>
      <c r="C1399" s="2">
        <v>5.2853833333333302</v>
      </c>
      <c r="D1399" s="2" t="s">
        <v>51</v>
      </c>
      <c r="E1399" s="2" t="s">
        <v>9665</v>
      </c>
      <c r="F1399" s="2">
        <v>83450</v>
      </c>
      <c r="G1399" s="3" t="str">
        <f>HYPERLINK("https://cloud.oebiotech.com/#/lm/network/83450", "https://cloud.oebiotech.com/#/lm/network/83450")</f>
        <v>https://cloud.oebiotech.com/#/lm/network/83450</v>
      </c>
      <c r="H1399" s="2" t="s">
        <v>9666</v>
      </c>
      <c r="I1399" s="2"/>
      <c r="J1399" s="2"/>
      <c r="K1399" s="2">
        <v>131770416</v>
      </c>
      <c r="L1399" s="2"/>
      <c r="M1399" s="2"/>
      <c r="N1399" s="2"/>
      <c r="O1399" s="2"/>
      <c r="P1399" s="2"/>
      <c r="Q1399" s="2"/>
      <c r="R1399" s="2"/>
      <c r="S1399" s="2" t="s">
        <v>9667</v>
      </c>
      <c r="T1399" s="2" t="s">
        <v>9668</v>
      </c>
      <c r="U1399" s="2" t="s">
        <v>103</v>
      </c>
      <c r="V1399" s="2" t="s">
        <v>2602</v>
      </c>
      <c r="W1399" s="2" t="s">
        <v>2603</v>
      </c>
      <c r="X1399" s="2" t="s">
        <v>147</v>
      </c>
      <c r="Y1399" s="2">
        <v>40.6</v>
      </c>
      <c r="Z1399" s="2">
        <v>6.69</v>
      </c>
      <c r="AA1399" s="2" t="s">
        <v>478</v>
      </c>
      <c r="AB1399" s="2" t="s">
        <v>9669</v>
      </c>
      <c r="AC1399" s="2">
        <v>0.36486639509339802</v>
      </c>
      <c r="AD1399" s="2"/>
      <c r="AE1399" s="2">
        <v>0.45483795106470198</v>
      </c>
      <c r="AF1399" s="2">
        <v>10529.095826049699</v>
      </c>
      <c r="AG1399" s="2">
        <v>4218.8894514964804</v>
      </c>
      <c r="AH1399" s="5">
        <v>2.4957031813940902</v>
      </c>
      <c r="AI1399" s="5">
        <v>1.3194463620069701</v>
      </c>
      <c r="AJ1399" s="5" t="s">
        <v>139</v>
      </c>
      <c r="AK1399" s="2">
        <v>6.2845021430864706E-2</v>
      </c>
      <c r="AL1399" s="2">
        <v>0.33601027492909402</v>
      </c>
      <c r="AM1399" s="2">
        <v>5087.7195449296996</v>
      </c>
      <c r="AN1399" s="2">
        <v>23713.330883964201</v>
      </c>
      <c r="AO1399" s="2">
        <v>10980.3163851436</v>
      </c>
      <c r="AP1399" s="2">
        <v>7055.7455169143404</v>
      </c>
      <c r="AQ1399" s="2">
        <v>7733.9470211365397</v>
      </c>
      <c r="AR1399" s="2">
        <v>8603.5156042098806</v>
      </c>
      <c r="AS1399" s="2">
        <v>9743.86853075</v>
      </c>
      <c r="AT1399" s="2">
        <v>3174.71179303806</v>
      </c>
      <c r="AU1399" s="2">
        <v>5462.0812984351396</v>
      </c>
      <c r="AV1399" s="2">
        <v>1336.75321967067</v>
      </c>
      <c r="AW1399" s="2">
        <v>2948.8474630728001</v>
      </c>
      <c r="AX1399" s="2">
        <v>2647.0744040121899</v>
      </c>
    </row>
    <row r="1400" spans="1:50" x14ac:dyDescent="0.25">
      <c r="A1400" s="2" t="s">
        <v>9670</v>
      </c>
      <c r="B1400" s="2">
        <v>189.087246124606</v>
      </c>
      <c r="C1400" s="2">
        <v>0.69840000000000002</v>
      </c>
      <c r="D1400" s="2" t="s">
        <v>51</v>
      </c>
      <c r="E1400" s="2" t="s">
        <v>9671</v>
      </c>
      <c r="F1400" s="2">
        <v>55983</v>
      </c>
      <c r="G1400" s="3" t="str">
        <f>HYPERLINK("https://cloud.oebiotech.com/#/lm/network/55983", "https://cloud.oebiotech.com/#/lm/network/55983")</f>
        <v>https://cloud.oebiotech.com/#/lm/network/55983</v>
      </c>
      <c r="H1400" s="2" t="s">
        <v>9672</v>
      </c>
      <c r="I1400" s="2">
        <v>87663</v>
      </c>
      <c r="J1400" s="2"/>
      <c r="K1400" s="2">
        <v>131751168</v>
      </c>
      <c r="L1400" s="2"/>
      <c r="M1400" s="2"/>
      <c r="N1400" s="2"/>
      <c r="O1400" s="2"/>
      <c r="P1400" s="2"/>
      <c r="Q1400" s="2"/>
      <c r="R1400" s="2" t="s">
        <v>9673</v>
      </c>
      <c r="S1400" s="2" t="s">
        <v>9674</v>
      </c>
      <c r="T1400" s="2" t="s">
        <v>9675</v>
      </c>
      <c r="U1400" s="2" t="s">
        <v>103</v>
      </c>
      <c r="V1400" s="2" t="s">
        <v>104</v>
      </c>
      <c r="W1400" s="2" t="s">
        <v>105</v>
      </c>
      <c r="X1400" s="2" t="s">
        <v>69</v>
      </c>
      <c r="Y1400" s="2">
        <v>60.4</v>
      </c>
      <c r="Z1400" s="2">
        <v>77.7</v>
      </c>
      <c r="AA1400" s="2" t="s">
        <v>163</v>
      </c>
      <c r="AB1400" s="2" t="s">
        <v>9676</v>
      </c>
      <c r="AC1400" s="2">
        <v>-4.3892719303153296</v>
      </c>
      <c r="AD1400" s="2"/>
      <c r="AE1400" s="2">
        <v>0.45452560038690798</v>
      </c>
      <c r="AF1400" s="2">
        <v>14198.1089694483</v>
      </c>
      <c r="AG1400" s="2">
        <v>7582.3575404165904</v>
      </c>
      <c r="AH1400" s="5">
        <v>1.87251905410256</v>
      </c>
      <c r="AI1400" s="5">
        <v>0.90498039912163097</v>
      </c>
      <c r="AJ1400" s="5" t="s">
        <v>139</v>
      </c>
      <c r="AK1400" s="2">
        <v>0.40110023968144898</v>
      </c>
      <c r="AL1400" s="2">
        <v>0.66938545851599895</v>
      </c>
      <c r="AM1400" s="2">
        <v>46265.059932162803</v>
      </c>
      <c r="AN1400" s="2">
        <v>3473.9846551014498</v>
      </c>
      <c r="AO1400" s="2">
        <v>4595.4652807678103</v>
      </c>
      <c r="AP1400" s="2">
        <v>5241.64733337292</v>
      </c>
      <c r="AQ1400" s="2">
        <v>15240.440974949201</v>
      </c>
      <c r="AR1400" s="2">
        <v>10372.0556403357</v>
      </c>
      <c r="AS1400" s="2">
        <v>8.559877937157E-6</v>
      </c>
      <c r="AT1400" s="2">
        <v>1592.2782591443899</v>
      </c>
      <c r="AU1400" s="2">
        <v>22058.232215857599</v>
      </c>
      <c r="AV1400" s="2">
        <v>14076.0040401445</v>
      </c>
      <c r="AW1400" s="2">
        <v>2550.88988529469</v>
      </c>
      <c r="AX1400" s="2">
        <v>5216.7408334985003</v>
      </c>
    </row>
    <row r="1401" spans="1:50" x14ac:dyDescent="0.25">
      <c r="A1401" s="2" t="s">
        <v>9677</v>
      </c>
      <c r="B1401" s="2">
        <v>568.428923170448</v>
      </c>
      <c r="C1401" s="2">
        <v>14.8775166666667</v>
      </c>
      <c r="D1401" s="2" t="s">
        <v>51</v>
      </c>
      <c r="E1401" s="2" t="s">
        <v>9678</v>
      </c>
      <c r="F1401" s="2">
        <v>37029</v>
      </c>
      <c r="G1401" s="3" t="str">
        <f>HYPERLINK("https://cloud.oebiotech.com/#/lm/network/37029", "https://cloud.oebiotech.com/#/lm/network/37029")</f>
        <v>https://cloud.oebiotech.com/#/lm/network/37029</v>
      </c>
      <c r="H1401" s="2" t="s">
        <v>9679</v>
      </c>
      <c r="I1401" s="2"/>
      <c r="J1401" s="2" t="s">
        <v>9680</v>
      </c>
      <c r="K1401" s="2">
        <v>15847405</v>
      </c>
      <c r="L1401" s="2"/>
      <c r="M1401" s="2"/>
      <c r="N1401" s="2"/>
      <c r="O1401" s="2"/>
      <c r="P1401" s="2"/>
      <c r="Q1401" s="2"/>
      <c r="R1401" s="2"/>
      <c r="S1401" s="2" t="s">
        <v>9681</v>
      </c>
      <c r="T1401" s="2" t="s">
        <v>9682</v>
      </c>
      <c r="U1401" s="2" t="s">
        <v>56</v>
      </c>
      <c r="V1401" s="2" t="s">
        <v>177</v>
      </c>
      <c r="W1401" s="2" t="s">
        <v>928</v>
      </c>
      <c r="X1401" s="2" t="s">
        <v>83</v>
      </c>
      <c r="Y1401" s="2">
        <v>43.4</v>
      </c>
      <c r="Z1401" s="2">
        <v>0.52100000000000002</v>
      </c>
      <c r="AA1401" s="2" t="s">
        <v>3659</v>
      </c>
      <c r="AB1401" s="2" t="s">
        <v>9683</v>
      </c>
      <c r="AC1401" s="2">
        <v>1.56930228609377</v>
      </c>
      <c r="AD1401" s="2"/>
      <c r="AE1401" s="2">
        <v>0.454478583771809</v>
      </c>
      <c r="AF1401" s="2">
        <v>9145.6514902712097</v>
      </c>
      <c r="AG1401" s="2">
        <v>16338.993647359201</v>
      </c>
      <c r="AH1401" s="4">
        <v>0.55974386719645797</v>
      </c>
      <c r="AI1401" s="4">
        <v>-0.83716127853343303</v>
      </c>
      <c r="AJ1401" s="4" t="s">
        <v>62</v>
      </c>
      <c r="AK1401" s="2">
        <v>0.26196527670578601</v>
      </c>
      <c r="AL1401" s="2">
        <v>0.584255389858096</v>
      </c>
      <c r="AM1401" s="2">
        <v>5338.3136818515404</v>
      </c>
      <c r="AN1401" s="2">
        <v>11100.456428776601</v>
      </c>
      <c r="AO1401" s="2">
        <v>13509.584636813501</v>
      </c>
      <c r="AP1401" s="2">
        <v>7669.2131348751</v>
      </c>
      <c r="AQ1401" s="2">
        <v>9774.1810243319305</v>
      </c>
      <c r="AR1401" s="2">
        <v>7482.1600349786104</v>
      </c>
      <c r="AS1401" s="2">
        <v>40070.404553313201</v>
      </c>
      <c r="AT1401" s="2">
        <v>5820.8995425521698</v>
      </c>
      <c r="AU1401" s="2">
        <v>3341.5067431478101</v>
      </c>
      <c r="AV1401" s="2">
        <v>10932.6816420123</v>
      </c>
      <c r="AW1401" s="2">
        <v>9709.7504556398508</v>
      </c>
      <c r="AX1401" s="2">
        <v>28158.718947490099</v>
      </c>
    </row>
    <row r="1402" spans="1:50" x14ac:dyDescent="0.25">
      <c r="A1402" s="2" t="s">
        <v>9684</v>
      </c>
      <c r="B1402" s="2">
        <v>154.98954710636599</v>
      </c>
      <c r="C1402" s="2">
        <v>6.7341333333333298</v>
      </c>
      <c r="D1402" s="2" t="s">
        <v>51</v>
      </c>
      <c r="E1402" s="2" t="s">
        <v>9685</v>
      </c>
      <c r="F1402" s="2">
        <v>200514</v>
      </c>
      <c r="G1402" s="3" t="str">
        <f>HYPERLINK("https://cloud.oebiotech.com/#/lm/network/200514", "https://cloud.oebiotech.com/#/lm/network/200514")</f>
        <v>https://cloud.oebiotech.com/#/lm/network/200514</v>
      </c>
      <c r="H1402" s="2" t="s">
        <v>9686</v>
      </c>
      <c r="I1402" s="2"/>
      <c r="J1402" s="2"/>
      <c r="K1402" s="2">
        <v>8374</v>
      </c>
      <c r="L1402" s="2" t="s">
        <v>9687</v>
      </c>
      <c r="M1402" s="2"/>
      <c r="N1402" s="2"/>
      <c r="O1402" s="2">
        <v>30793</v>
      </c>
      <c r="P1402" s="2"/>
      <c r="Q1402" s="2"/>
      <c r="R1402" s="2"/>
      <c r="S1402" s="2" t="s">
        <v>9688</v>
      </c>
      <c r="T1402" s="2" t="s">
        <v>9689</v>
      </c>
      <c r="U1402" s="2" t="s">
        <v>610</v>
      </c>
      <c r="V1402" s="2" t="s">
        <v>611</v>
      </c>
      <c r="W1402" s="2" t="s">
        <v>1122</v>
      </c>
      <c r="X1402" s="2" t="s">
        <v>69</v>
      </c>
      <c r="Y1402" s="2">
        <v>54.4</v>
      </c>
      <c r="Z1402" s="2">
        <v>74.099999999999994</v>
      </c>
      <c r="AA1402" s="2" t="s">
        <v>163</v>
      </c>
      <c r="AB1402" s="2" t="s">
        <v>9690</v>
      </c>
      <c r="AC1402" s="2">
        <v>-6.3049675033928603</v>
      </c>
      <c r="AD1402" s="2"/>
      <c r="AE1402" s="2">
        <v>0.45409958215894702</v>
      </c>
      <c r="AF1402" s="2">
        <v>29019.721417397101</v>
      </c>
      <c r="AG1402" s="2">
        <v>33931.705987204397</v>
      </c>
      <c r="AH1402" s="4">
        <v>0.85523909196726899</v>
      </c>
      <c r="AI1402" s="4">
        <v>-0.22560029643798599</v>
      </c>
      <c r="AJ1402" s="4" t="s">
        <v>62</v>
      </c>
      <c r="AK1402" s="2">
        <v>3.3374982303567099E-2</v>
      </c>
      <c r="AL1402" s="2">
        <v>0.27023848021491997</v>
      </c>
      <c r="AM1402" s="2">
        <v>25835.9006123898</v>
      </c>
      <c r="AN1402" s="2">
        <v>26513.169352244699</v>
      </c>
      <c r="AO1402" s="2">
        <v>30125.041323063298</v>
      </c>
      <c r="AP1402" s="2">
        <v>31067.9010269713</v>
      </c>
      <c r="AQ1402" s="2">
        <v>34444.436472112997</v>
      </c>
      <c r="AR1402" s="2">
        <v>26131.879717600299</v>
      </c>
      <c r="AS1402" s="2">
        <v>33736.360253836603</v>
      </c>
      <c r="AT1402" s="2">
        <v>37284.882869496003</v>
      </c>
      <c r="AU1402" s="2">
        <v>27731.390137164799</v>
      </c>
      <c r="AV1402" s="2">
        <v>32906.875397060299</v>
      </c>
      <c r="AW1402" s="2">
        <v>35491.560996212</v>
      </c>
      <c r="AX1402" s="2">
        <v>36439.166269456902</v>
      </c>
    </row>
    <row r="1403" spans="1:50" x14ac:dyDescent="0.25">
      <c r="A1403" s="2" t="s">
        <v>9691</v>
      </c>
      <c r="B1403" s="2">
        <v>195.10211467957001</v>
      </c>
      <c r="C1403" s="2">
        <v>9.8284666666666691</v>
      </c>
      <c r="D1403" s="2" t="s">
        <v>51</v>
      </c>
      <c r="E1403" s="2" t="s">
        <v>9692</v>
      </c>
      <c r="F1403" s="2">
        <v>56867</v>
      </c>
      <c r="G1403" s="3" t="str">
        <f>HYPERLINK("https://cloud.oebiotech.com/#/lm/network/56867", "https://cloud.oebiotech.com/#/lm/network/56867")</f>
        <v>https://cloud.oebiotech.com/#/lm/network/56867</v>
      </c>
      <c r="H1403" s="2" t="s">
        <v>9693</v>
      </c>
      <c r="I1403" s="2">
        <v>88536</v>
      </c>
      <c r="J1403" s="2"/>
      <c r="K1403" s="2">
        <v>7184</v>
      </c>
      <c r="L1403" s="2"/>
      <c r="M1403" s="2"/>
      <c r="N1403" s="2"/>
      <c r="O1403" s="2"/>
      <c r="P1403" s="2"/>
      <c r="Q1403" s="2"/>
      <c r="R1403" s="2" t="s">
        <v>9694</v>
      </c>
      <c r="S1403" s="2" t="s">
        <v>9695</v>
      </c>
      <c r="T1403" s="2" t="s">
        <v>9696</v>
      </c>
      <c r="U1403" s="2" t="s">
        <v>610</v>
      </c>
      <c r="V1403" s="2" t="s">
        <v>611</v>
      </c>
      <c r="W1403" s="2" t="s">
        <v>1122</v>
      </c>
      <c r="X1403" s="2" t="s">
        <v>147</v>
      </c>
      <c r="Y1403" s="2">
        <v>44.3</v>
      </c>
      <c r="Z1403" s="2">
        <v>28.3</v>
      </c>
      <c r="AA1403" s="2" t="s">
        <v>259</v>
      </c>
      <c r="AB1403" s="2" t="s">
        <v>2402</v>
      </c>
      <c r="AC1403" s="2">
        <v>2.8024518276448398</v>
      </c>
      <c r="AD1403" s="2"/>
      <c r="AE1403" s="2">
        <v>0.453505984296384</v>
      </c>
      <c r="AF1403" s="2">
        <v>19311.002537095999</v>
      </c>
      <c r="AG1403" s="2">
        <v>23717.4830594247</v>
      </c>
      <c r="AH1403" s="4">
        <v>0.81420960599873804</v>
      </c>
      <c r="AI1403" s="4">
        <v>-0.29652785247479102</v>
      </c>
      <c r="AJ1403" s="4" t="s">
        <v>62</v>
      </c>
      <c r="AK1403" s="2">
        <v>5.1280467629402603E-3</v>
      </c>
      <c r="AL1403" s="2">
        <v>0.123740271492219</v>
      </c>
      <c r="AM1403" s="2">
        <v>16639.442066796099</v>
      </c>
      <c r="AN1403" s="2">
        <v>20400.244261986601</v>
      </c>
      <c r="AO1403" s="2">
        <v>19247.988074911202</v>
      </c>
      <c r="AP1403" s="2">
        <v>20571.487396034801</v>
      </c>
      <c r="AQ1403" s="2">
        <v>22831.172526041501</v>
      </c>
      <c r="AR1403" s="2">
        <v>16175.680896805499</v>
      </c>
      <c r="AS1403" s="2">
        <v>23648.496968532701</v>
      </c>
      <c r="AT1403" s="2">
        <v>25274.7902335365</v>
      </c>
      <c r="AU1403" s="2">
        <v>20975.717116404201</v>
      </c>
      <c r="AV1403" s="2">
        <v>24171.046414962901</v>
      </c>
      <c r="AW1403" s="2">
        <v>22854.147809484999</v>
      </c>
      <c r="AX1403" s="2">
        <v>25380.6998136271</v>
      </c>
    </row>
    <row r="1404" spans="1:50" x14ac:dyDescent="0.25">
      <c r="A1404" s="2" t="s">
        <v>9697</v>
      </c>
      <c r="B1404" s="2">
        <v>266.02348515545299</v>
      </c>
      <c r="C1404" s="2">
        <v>5.1756500000000001</v>
      </c>
      <c r="D1404" s="2" t="s">
        <v>51</v>
      </c>
      <c r="E1404" s="2" t="s">
        <v>9698</v>
      </c>
      <c r="F1404" s="2">
        <v>209557</v>
      </c>
      <c r="G1404" s="3" t="str">
        <f>HYPERLINK("https://cloud.oebiotech.com/#/lm/network/209557", "https://cloud.oebiotech.com/#/lm/network/209557")</f>
        <v>https://cloud.oebiotech.com/#/lm/network/209557</v>
      </c>
      <c r="H1404" s="2" t="s">
        <v>9699</v>
      </c>
      <c r="I1404" s="2"/>
      <c r="J1404" s="2"/>
      <c r="K1404" s="2">
        <v>21054</v>
      </c>
      <c r="L1404" s="2"/>
      <c r="M1404" s="2"/>
      <c r="N1404" s="2"/>
      <c r="O1404" s="2"/>
      <c r="P1404" s="2"/>
      <c r="Q1404" s="2"/>
      <c r="R1404" s="2"/>
      <c r="S1404" s="2" t="s">
        <v>9700</v>
      </c>
      <c r="T1404" s="2" t="s">
        <v>9701</v>
      </c>
      <c r="U1404" s="2" t="s">
        <v>266</v>
      </c>
      <c r="V1404" s="2" t="s">
        <v>9702</v>
      </c>
      <c r="W1404" s="2" t="s">
        <v>9703</v>
      </c>
      <c r="X1404" s="2" t="s">
        <v>147</v>
      </c>
      <c r="Y1404" s="2">
        <v>40.200000000000003</v>
      </c>
      <c r="Z1404" s="2">
        <v>11.8</v>
      </c>
      <c r="AA1404" s="2" t="s">
        <v>379</v>
      </c>
      <c r="AB1404" s="2" t="s">
        <v>9704</v>
      </c>
      <c r="AC1404" s="2">
        <v>-2.1582420947887999</v>
      </c>
      <c r="AD1404" s="2"/>
      <c r="AE1404" s="2">
        <v>0.45312728032548399</v>
      </c>
      <c r="AF1404" s="2">
        <v>4502.5133811371697</v>
      </c>
      <c r="AG1404" s="2">
        <v>19304.274140941801</v>
      </c>
      <c r="AH1404" s="4">
        <v>0.23323919605907101</v>
      </c>
      <c r="AI1404" s="4">
        <v>-2.1001178397610101</v>
      </c>
      <c r="AJ1404" s="4" t="s">
        <v>62</v>
      </c>
      <c r="AK1404" s="2">
        <v>0.17001496102043101</v>
      </c>
      <c r="AL1404" s="2">
        <v>0.491550366774546</v>
      </c>
      <c r="AM1404" s="2">
        <v>10317.3401815093</v>
      </c>
      <c r="AN1404" s="2">
        <v>2350.25220236617</v>
      </c>
      <c r="AO1404" s="2">
        <v>4250.1231718910103</v>
      </c>
      <c r="AP1404" s="2">
        <v>7437.8795068419604</v>
      </c>
      <c r="AQ1404" s="2">
        <v>808.68008893040803</v>
      </c>
      <c r="AR1404" s="2">
        <v>1850.8051352841501</v>
      </c>
      <c r="AS1404" s="2">
        <v>3083.6978059581002</v>
      </c>
      <c r="AT1404" s="2">
        <v>22931.222435097399</v>
      </c>
      <c r="AU1404" s="2">
        <v>66134.429882084296</v>
      </c>
      <c r="AV1404" s="2">
        <v>14930.8000314868</v>
      </c>
      <c r="AW1404" s="2">
        <v>2987.1533043515501</v>
      </c>
      <c r="AX1404" s="2">
        <v>5758.3413866725004</v>
      </c>
    </row>
    <row r="1405" spans="1:50" x14ac:dyDescent="0.25">
      <c r="A1405" s="2" t="s">
        <v>9705</v>
      </c>
      <c r="B1405" s="2">
        <v>677.46116529552705</v>
      </c>
      <c r="C1405" s="2">
        <v>14.9618</v>
      </c>
      <c r="D1405" s="2" t="s">
        <v>51</v>
      </c>
      <c r="E1405" s="2" t="s">
        <v>9706</v>
      </c>
      <c r="F1405" s="2">
        <v>248184</v>
      </c>
      <c r="G1405" s="3" t="str">
        <f>HYPERLINK("https://cloud.oebiotech.com/#/lm/network/248184", "https://cloud.oebiotech.com/#/lm/network/248184")</f>
        <v>https://cloud.oebiotech.com/#/lm/network/248184</v>
      </c>
      <c r="H1405" s="2" t="s">
        <v>9707</v>
      </c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 t="s">
        <v>9708</v>
      </c>
      <c r="T1405" s="2" t="s">
        <v>9709</v>
      </c>
      <c r="U1405" s="2" t="s">
        <v>56</v>
      </c>
      <c r="V1405" s="2" t="s">
        <v>145</v>
      </c>
      <c r="W1405" s="2" t="s">
        <v>187</v>
      </c>
      <c r="X1405" s="2" t="s">
        <v>147</v>
      </c>
      <c r="Y1405" s="2">
        <v>38.9</v>
      </c>
      <c r="Z1405" s="2">
        <v>0.23799999999999999</v>
      </c>
      <c r="AA1405" s="2" t="s">
        <v>95</v>
      </c>
      <c r="AB1405" s="2" t="s">
        <v>9710</v>
      </c>
      <c r="AC1405" s="2">
        <v>1.9266300210785701</v>
      </c>
      <c r="AD1405" s="2"/>
      <c r="AE1405" s="2">
        <v>0.45278077127104599</v>
      </c>
      <c r="AF1405" s="2">
        <v>7479.8042122683801</v>
      </c>
      <c r="AG1405" s="2">
        <v>12075.9229595866</v>
      </c>
      <c r="AH1405" s="4">
        <v>0.61939813936378796</v>
      </c>
      <c r="AI1405" s="4">
        <v>-0.69106104564079895</v>
      </c>
      <c r="AJ1405" s="4" t="s">
        <v>62</v>
      </c>
      <c r="AK1405" s="2">
        <v>1.2778971333183601E-3</v>
      </c>
      <c r="AL1405" s="2">
        <v>9.4480288960798894E-2</v>
      </c>
      <c r="AM1405" s="2">
        <v>6456.7133075064903</v>
      </c>
      <c r="AN1405" s="2">
        <v>8123.3569441224499</v>
      </c>
      <c r="AO1405" s="2">
        <v>6911.6275563652398</v>
      </c>
      <c r="AP1405" s="2">
        <v>6907.4540594465498</v>
      </c>
      <c r="AQ1405" s="2">
        <v>9382.9730638999408</v>
      </c>
      <c r="AR1405" s="2">
        <v>7096.7003422696198</v>
      </c>
      <c r="AS1405" s="2">
        <v>15727.012168761599</v>
      </c>
      <c r="AT1405" s="2">
        <v>13333.2596217436</v>
      </c>
      <c r="AU1405" s="2">
        <v>12293.0412300673</v>
      </c>
      <c r="AV1405" s="2">
        <v>9271.5606310973999</v>
      </c>
      <c r="AW1405" s="2">
        <v>11594.590568015001</v>
      </c>
      <c r="AX1405" s="2">
        <v>10236.0735378347</v>
      </c>
    </row>
    <row r="1406" spans="1:50" x14ac:dyDescent="0.25">
      <c r="A1406" s="2" t="s">
        <v>9711</v>
      </c>
      <c r="B1406" s="2">
        <v>296.25947737391903</v>
      </c>
      <c r="C1406" s="2">
        <v>8.72068333333333</v>
      </c>
      <c r="D1406" s="2" t="s">
        <v>51</v>
      </c>
      <c r="E1406" s="2" t="s">
        <v>9712</v>
      </c>
      <c r="F1406" s="2">
        <v>661</v>
      </c>
      <c r="G1406" s="3" t="str">
        <f>HYPERLINK("https://cloud.oebiotech.com/#/lm/network/661", "https://cloud.oebiotech.com/#/lm/network/661")</f>
        <v>https://cloud.oebiotech.com/#/lm/network/661</v>
      </c>
      <c r="H1406" s="2"/>
      <c r="I1406" s="2">
        <v>34826</v>
      </c>
      <c r="J1406" s="2" t="s">
        <v>9713</v>
      </c>
      <c r="K1406" s="2">
        <v>5282824</v>
      </c>
      <c r="L1406" s="2"/>
      <c r="M1406" s="2"/>
      <c r="N1406" s="2"/>
      <c r="O1406" s="2"/>
      <c r="P1406" s="2"/>
      <c r="Q1406" s="2"/>
      <c r="R1406" s="2"/>
      <c r="S1406" s="2" t="s">
        <v>9714</v>
      </c>
      <c r="T1406" s="2" t="s">
        <v>9715</v>
      </c>
      <c r="U1406" s="2" t="s">
        <v>56</v>
      </c>
      <c r="V1406" s="2" t="s">
        <v>145</v>
      </c>
      <c r="W1406" s="2" t="s">
        <v>203</v>
      </c>
      <c r="X1406" s="2" t="s">
        <v>59</v>
      </c>
      <c r="Y1406" s="2">
        <v>52.7</v>
      </c>
      <c r="Z1406" s="2">
        <v>72.2</v>
      </c>
      <c r="AA1406" s="2" t="s">
        <v>512</v>
      </c>
      <c r="AB1406" s="2" t="s">
        <v>2258</v>
      </c>
      <c r="AC1406" s="2">
        <v>3.8517182726366399</v>
      </c>
      <c r="AD1406" s="2"/>
      <c r="AE1406" s="2">
        <v>0.45241157669663701</v>
      </c>
      <c r="AF1406" s="2">
        <v>13626.461685813099</v>
      </c>
      <c r="AG1406" s="2">
        <v>2008.77191296362</v>
      </c>
      <c r="AH1406" s="5">
        <v>6.7834788000940698</v>
      </c>
      <c r="AI1406" s="5">
        <v>2.7620253265335202</v>
      </c>
      <c r="AJ1406" s="5" t="s">
        <v>139</v>
      </c>
      <c r="AK1406" s="2">
        <v>0.231140541486474</v>
      </c>
      <c r="AL1406" s="2">
        <v>0.55533919412968602</v>
      </c>
      <c r="AM1406" s="2">
        <v>96.415744888658097</v>
      </c>
      <c r="AN1406" s="2">
        <v>8.559877937157E-6</v>
      </c>
      <c r="AO1406" s="2">
        <v>26190.209465753102</v>
      </c>
      <c r="AP1406" s="2">
        <v>195.68004151701399</v>
      </c>
      <c r="AQ1406" s="2">
        <v>53722.568702498502</v>
      </c>
      <c r="AR1406" s="2">
        <v>1553.89615166155</v>
      </c>
      <c r="AS1406" s="2">
        <v>5925.60781681972</v>
      </c>
      <c r="AT1406" s="2">
        <v>289.624093997871</v>
      </c>
      <c r="AU1406" s="2">
        <v>4151.4537446085997</v>
      </c>
      <c r="AV1406" s="2">
        <v>1486.7810953334099</v>
      </c>
      <c r="AW1406" s="2">
        <v>108.96094953990701</v>
      </c>
      <c r="AX1406" s="2">
        <v>90.203777482203506</v>
      </c>
    </row>
    <row r="1407" spans="1:50" x14ac:dyDescent="0.25">
      <c r="A1407" s="2" t="s">
        <v>9716</v>
      </c>
      <c r="B1407" s="2">
        <v>567.31771247431504</v>
      </c>
      <c r="C1407" s="2">
        <v>7.2863499999999997</v>
      </c>
      <c r="D1407" s="2" t="s">
        <v>51</v>
      </c>
      <c r="E1407" s="2" t="s">
        <v>9717</v>
      </c>
      <c r="F1407" s="2">
        <v>46644</v>
      </c>
      <c r="G1407" s="3" t="str">
        <f>HYPERLINK("https://cloud.oebiotech.com/#/lm/network/46644", "https://cloud.oebiotech.com/#/lm/network/46644")</f>
        <v>https://cloud.oebiotech.com/#/lm/network/46644</v>
      </c>
      <c r="H1407" s="2" t="s">
        <v>9718</v>
      </c>
      <c r="I1407" s="2">
        <v>57946</v>
      </c>
      <c r="J1407" s="2" t="s">
        <v>9719</v>
      </c>
      <c r="K1407" s="2">
        <v>20849182</v>
      </c>
      <c r="L1407" s="2"/>
      <c r="M1407" s="2"/>
      <c r="N1407" s="2"/>
      <c r="O1407" s="2">
        <v>137725</v>
      </c>
      <c r="P1407" s="2"/>
      <c r="Q1407" s="2"/>
      <c r="R1407" s="2"/>
      <c r="S1407" s="2" t="s">
        <v>9720</v>
      </c>
      <c r="T1407" s="2" t="s">
        <v>9721</v>
      </c>
      <c r="U1407" s="2" t="s">
        <v>56</v>
      </c>
      <c r="V1407" s="2" t="s">
        <v>283</v>
      </c>
      <c r="W1407" s="2" t="s">
        <v>3462</v>
      </c>
      <c r="X1407" s="2" t="s">
        <v>59</v>
      </c>
      <c r="Y1407" s="2">
        <v>53.6</v>
      </c>
      <c r="Z1407" s="2">
        <v>80.7</v>
      </c>
      <c r="AA1407" s="2" t="s">
        <v>163</v>
      </c>
      <c r="AB1407" s="2" t="s">
        <v>9722</v>
      </c>
      <c r="AC1407" s="2">
        <v>0.424354836414918</v>
      </c>
      <c r="AD1407" s="2"/>
      <c r="AE1407" s="2">
        <v>0.45231731584811402</v>
      </c>
      <c r="AF1407" s="2">
        <v>16508.1332962081</v>
      </c>
      <c r="AG1407" s="2">
        <v>26133.105967213702</v>
      </c>
      <c r="AH1407" s="4">
        <v>0.63169426997766898</v>
      </c>
      <c r="AI1407" s="4">
        <v>-0.66270160912193798</v>
      </c>
      <c r="AJ1407" s="4" t="s">
        <v>62</v>
      </c>
      <c r="AK1407" s="2">
        <v>0.32596165791944098</v>
      </c>
      <c r="AL1407" s="2">
        <v>0.62992073899545697</v>
      </c>
      <c r="AM1407" s="2">
        <v>19194.445760009701</v>
      </c>
      <c r="AN1407" s="2">
        <v>13264.8211194796</v>
      </c>
      <c r="AO1407" s="2">
        <v>2588.1005090856902</v>
      </c>
      <c r="AP1407" s="2">
        <v>12175.571064850301</v>
      </c>
      <c r="AQ1407" s="2">
        <v>15149.466952671901</v>
      </c>
      <c r="AR1407" s="2">
        <v>36676.394371151502</v>
      </c>
      <c r="AS1407" s="2">
        <v>62249.619647997497</v>
      </c>
      <c r="AT1407" s="2">
        <v>24932.749161303698</v>
      </c>
      <c r="AU1407" s="2">
        <v>20262.111816109598</v>
      </c>
      <c r="AV1407" s="2">
        <v>16336.641926284199</v>
      </c>
      <c r="AW1407" s="2">
        <v>29629.4327729578</v>
      </c>
      <c r="AX1407" s="2">
        <v>3388.0804786292902</v>
      </c>
    </row>
    <row r="1408" spans="1:50" x14ac:dyDescent="0.25">
      <c r="A1408" s="2" t="s">
        <v>9723</v>
      </c>
      <c r="B1408" s="2">
        <v>342.26510628404901</v>
      </c>
      <c r="C1408" s="2">
        <v>7.8820833333333304</v>
      </c>
      <c r="D1408" s="2" t="s">
        <v>51</v>
      </c>
      <c r="E1408" s="2" t="s">
        <v>9724</v>
      </c>
      <c r="F1408" s="2">
        <v>197849</v>
      </c>
      <c r="G1408" s="3" t="str">
        <f>HYPERLINK("https://cloud.oebiotech.com/#/lm/network/197849", "https://cloud.oebiotech.com/#/lm/network/197849")</f>
        <v>https://cloud.oebiotech.com/#/lm/network/197849</v>
      </c>
      <c r="H1408" s="2" t="s">
        <v>9725</v>
      </c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 t="s">
        <v>9726</v>
      </c>
      <c r="T1408" s="2" t="s">
        <v>9727</v>
      </c>
      <c r="U1408" s="2" t="s">
        <v>56</v>
      </c>
      <c r="V1408" s="2" t="s">
        <v>145</v>
      </c>
      <c r="W1408" s="2" t="s">
        <v>1188</v>
      </c>
      <c r="X1408" s="2" t="s">
        <v>59</v>
      </c>
      <c r="Y1408" s="2">
        <v>48.2</v>
      </c>
      <c r="Z1408" s="2">
        <v>49.4</v>
      </c>
      <c r="AA1408" s="2" t="s">
        <v>156</v>
      </c>
      <c r="AB1408" s="2" t="s">
        <v>9728</v>
      </c>
      <c r="AC1408" s="2">
        <v>3.39926647785243</v>
      </c>
      <c r="AD1408" s="2"/>
      <c r="AE1408" s="2">
        <v>0.45222976279525001</v>
      </c>
      <c r="AF1408" s="2">
        <v>45155.384164550203</v>
      </c>
      <c r="AG1408" s="2">
        <v>29306.162314288202</v>
      </c>
      <c r="AH1408" s="5">
        <v>1.5408153302465899</v>
      </c>
      <c r="AI1408" s="5">
        <v>0.62369396237027197</v>
      </c>
      <c r="AJ1408" s="5" t="s">
        <v>139</v>
      </c>
      <c r="AK1408" s="2">
        <v>0.155793589815787</v>
      </c>
      <c r="AL1408" s="2">
        <v>0.47702245628485002</v>
      </c>
      <c r="AM1408" s="2">
        <v>24450.921444115502</v>
      </c>
      <c r="AN1408" s="2">
        <v>40311.7083341178</v>
      </c>
      <c r="AO1408" s="2">
        <v>48296.860045404501</v>
      </c>
      <c r="AP1408" s="2">
        <v>58126.793399311602</v>
      </c>
      <c r="AQ1408" s="2">
        <v>53894.123915818898</v>
      </c>
      <c r="AR1408" s="2">
        <v>45851.897848532601</v>
      </c>
      <c r="AS1408" s="2">
        <v>31412.1413125545</v>
      </c>
      <c r="AT1408" s="2">
        <v>17822.733935319498</v>
      </c>
      <c r="AU1408" s="2">
        <v>14447.174685444201</v>
      </c>
      <c r="AV1408" s="2">
        <v>12595.3736175717</v>
      </c>
      <c r="AW1408" s="2">
        <v>72324.213243356397</v>
      </c>
      <c r="AX1408" s="2">
        <v>27235.337091483001</v>
      </c>
    </row>
    <row r="1409" spans="1:50" x14ac:dyDescent="0.25">
      <c r="A1409" s="2" t="s">
        <v>9729</v>
      </c>
      <c r="B1409" s="2">
        <v>424.07428343122803</v>
      </c>
      <c r="C1409" s="2">
        <v>4.57921666666667</v>
      </c>
      <c r="D1409" s="2" t="s">
        <v>51</v>
      </c>
      <c r="E1409" s="2" t="s">
        <v>9730</v>
      </c>
      <c r="F1409" s="2">
        <v>199062</v>
      </c>
      <c r="G1409" s="3" t="str">
        <f>HYPERLINK("https://cloud.oebiotech.com/#/lm/network/199062", "https://cloud.oebiotech.com/#/lm/network/199062")</f>
        <v>https://cloud.oebiotech.com/#/lm/network/199062</v>
      </c>
      <c r="H1409" s="2" t="s">
        <v>9731</v>
      </c>
      <c r="I1409" s="2"/>
      <c r="J1409" s="2"/>
      <c r="K1409" s="2">
        <v>127607</v>
      </c>
      <c r="L1409" s="2"/>
      <c r="M1409" s="2"/>
      <c r="N1409" s="2"/>
      <c r="O1409" s="2"/>
      <c r="P1409" s="2"/>
      <c r="Q1409" s="2"/>
      <c r="R1409" s="2"/>
      <c r="S1409" s="2" t="s">
        <v>9732</v>
      </c>
      <c r="T1409" s="2" t="s">
        <v>9733</v>
      </c>
      <c r="U1409" s="2" t="s">
        <v>266</v>
      </c>
      <c r="V1409" s="2" t="s">
        <v>2772</v>
      </c>
      <c r="W1409" s="2" t="s">
        <v>2773</v>
      </c>
      <c r="X1409" s="2" t="s">
        <v>147</v>
      </c>
      <c r="Y1409" s="2">
        <v>40.799999999999997</v>
      </c>
      <c r="Z1409" s="2">
        <v>11.1</v>
      </c>
      <c r="AA1409" s="2" t="s">
        <v>218</v>
      </c>
      <c r="AB1409" s="2" t="s">
        <v>9734</v>
      </c>
      <c r="AC1409" s="2">
        <v>-0.87538066640273704</v>
      </c>
      <c r="AD1409" s="2"/>
      <c r="AE1409" s="2">
        <v>0.45181063550789002</v>
      </c>
      <c r="AF1409" s="2">
        <v>0.71906323438533304</v>
      </c>
      <c r="AG1409" s="2">
        <v>9380.2326695795</v>
      </c>
      <c r="AH1409" s="4">
        <v>7.6657291957936798E-5</v>
      </c>
      <c r="AI1409" s="4">
        <v>-13.6712174409196</v>
      </c>
      <c r="AJ1409" s="4" t="s">
        <v>62</v>
      </c>
      <c r="AK1409" s="2">
        <v>0.33765513800214902</v>
      </c>
      <c r="AL1409" s="2">
        <v>0.63815037094278604</v>
      </c>
      <c r="AM1409" s="2">
        <v>8.559877937157E-6</v>
      </c>
      <c r="AN1409" s="2">
        <v>8.559877937157E-6</v>
      </c>
      <c r="AO1409" s="2">
        <v>8.559877937157E-6</v>
      </c>
      <c r="AP1409" s="2">
        <v>8.559877937157E-6</v>
      </c>
      <c r="AQ1409" s="2">
        <v>8.559877937157E-6</v>
      </c>
      <c r="AR1409" s="2">
        <v>4.3143366069223097</v>
      </c>
      <c r="AS1409" s="2">
        <v>8.559877937157E-6</v>
      </c>
      <c r="AT1409" s="2">
        <v>8.559877937157E-6</v>
      </c>
      <c r="AU1409" s="2">
        <v>332.23881237928498</v>
      </c>
      <c r="AV1409" s="2">
        <v>8.559877937157E-6</v>
      </c>
      <c r="AW1409" s="2">
        <v>55948.562985836499</v>
      </c>
      <c r="AX1409" s="2">
        <v>0.59419358159465496</v>
      </c>
    </row>
    <row r="1410" spans="1:50" x14ac:dyDescent="0.25">
      <c r="A1410" s="2" t="s">
        <v>9735</v>
      </c>
      <c r="B1410" s="2">
        <v>174.09620000000001</v>
      </c>
      <c r="C1410" s="2">
        <v>10.204000000000001</v>
      </c>
      <c r="D1410" s="2" t="s">
        <v>125</v>
      </c>
      <c r="E1410" s="2" t="s">
        <v>9736</v>
      </c>
      <c r="F1410" s="2">
        <v>46896</v>
      </c>
      <c r="G1410" s="3" t="str">
        <f>HYPERLINK("https://cloud.oebiotech.com/#/lm/network/46896", "https://cloud.oebiotech.com/#/lm/network/46896")</f>
        <v>https://cloud.oebiotech.com/#/lm/network/46896</v>
      </c>
      <c r="H1410" s="2" t="s">
        <v>9737</v>
      </c>
      <c r="I1410" s="2">
        <v>3207</v>
      </c>
      <c r="J1410" s="2"/>
      <c r="K1410" s="2">
        <v>700</v>
      </c>
      <c r="L1410" s="2" t="s">
        <v>9738</v>
      </c>
      <c r="M1410" s="2" t="s">
        <v>8913</v>
      </c>
      <c r="N1410" s="2" t="s">
        <v>8914</v>
      </c>
      <c r="O1410" s="2">
        <v>16000</v>
      </c>
      <c r="P1410" s="2" t="s">
        <v>9739</v>
      </c>
      <c r="Q1410" s="2" t="s">
        <v>9740</v>
      </c>
      <c r="R1410" s="2" t="s">
        <v>9741</v>
      </c>
      <c r="S1410" s="2" t="s">
        <v>9742</v>
      </c>
      <c r="T1410" s="2" t="s">
        <v>9743</v>
      </c>
      <c r="U1410" s="2" t="s">
        <v>119</v>
      </c>
      <c r="V1410" s="2" t="s">
        <v>120</v>
      </c>
      <c r="W1410" s="2" t="s">
        <v>1887</v>
      </c>
      <c r="X1410" s="2" t="s">
        <v>69</v>
      </c>
      <c r="Y1410" s="2">
        <v>97.4</v>
      </c>
      <c r="Z1410" s="2">
        <v>99.2</v>
      </c>
      <c r="AA1410" s="2"/>
      <c r="AB1410" s="2" t="s">
        <v>9744</v>
      </c>
      <c r="AC1410" s="2"/>
      <c r="AD1410" s="2">
        <v>344974.243323442</v>
      </c>
      <c r="AE1410" s="2">
        <v>0.45180818391384198</v>
      </c>
      <c r="AF1410" s="2">
        <v>325641.37344182603</v>
      </c>
      <c r="AG1410" s="2">
        <v>404522.25246669701</v>
      </c>
      <c r="AH1410" s="4">
        <v>0.80500237367939298</v>
      </c>
      <c r="AI1410" s="4">
        <v>-0.31293505763471702</v>
      </c>
      <c r="AJ1410" s="4" t="s">
        <v>62</v>
      </c>
      <c r="AK1410" s="2">
        <v>0.31736707888582599</v>
      </c>
      <c r="AL1410" s="2">
        <v>0.62577494099805597</v>
      </c>
      <c r="AM1410" s="2">
        <v>371499.12860441703</v>
      </c>
      <c r="AN1410" s="2">
        <v>349868.02718620602</v>
      </c>
      <c r="AO1410" s="2">
        <v>351124.63019363303</v>
      </c>
      <c r="AP1410" s="2">
        <v>465040.41467667598</v>
      </c>
      <c r="AQ1410" s="2">
        <v>131300.41259377101</v>
      </c>
      <c r="AR1410" s="2">
        <v>285015.627396253</v>
      </c>
      <c r="AS1410" s="2">
        <v>236634.879128172</v>
      </c>
      <c r="AT1410" s="2">
        <v>312926.82597596198</v>
      </c>
      <c r="AU1410" s="2">
        <v>501742.38318986603</v>
      </c>
      <c r="AV1410" s="2">
        <v>501145.21243469103</v>
      </c>
      <c r="AW1410" s="2">
        <v>593581.28073078103</v>
      </c>
      <c r="AX1410" s="2">
        <v>281102.93334071297</v>
      </c>
    </row>
    <row r="1411" spans="1:50" x14ac:dyDescent="0.25">
      <c r="A1411" s="2" t="s">
        <v>9745</v>
      </c>
      <c r="B1411" s="2">
        <v>398.21809723350901</v>
      </c>
      <c r="C1411" s="2">
        <v>9.6639666666666706</v>
      </c>
      <c r="D1411" s="2" t="s">
        <v>51</v>
      </c>
      <c r="E1411" s="2" t="s">
        <v>9746</v>
      </c>
      <c r="F1411" s="2">
        <v>204502</v>
      </c>
      <c r="G1411" s="3" t="str">
        <f>HYPERLINK("https://cloud.oebiotech.com/#/lm/network/204502", "https://cloud.oebiotech.com/#/lm/network/204502")</f>
        <v>https://cloud.oebiotech.com/#/lm/network/204502</v>
      </c>
      <c r="H1411" s="2" t="s">
        <v>9747</v>
      </c>
      <c r="I1411" s="2"/>
      <c r="J1411" s="2"/>
      <c r="K1411" s="2">
        <v>123697</v>
      </c>
      <c r="L1411" s="2"/>
      <c r="M1411" s="2"/>
      <c r="N1411" s="2"/>
      <c r="O1411" s="2"/>
      <c r="P1411" s="2"/>
      <c r="Q1411" s="2"/>
      <c r="R1411" s="2"/>
      <c r="S1411" s="2" t="s">
        <v>9748</v>
      </c>
      <c r="T1411" s="2" t="s">
        <v>9749</v>
      </c>
      <c r="U1411" s="2" t="s">
        <v>103</v>
      </c>
      <c r="V1411" s="2" t="s">
        <v>104</v>
      </c>
      <c r="W1411" s="2" t="s">
        <v>3415</v>
      </c>
      <c r="X1411" s="2" t="s">
        <v>147</v>
      </c>
      <c r="Y1411" s="2">
        <v>38.9</v>
      </c>
      <c r="Z1411" s="2">
        <v>3.04</v>
      </c>
      <c r="AA1411" s="2" t="s">
        <v>163</v>
      </c>
      <c r="AB1411" s="2" t="s">
        <v>9750</v>
      </c>
      <c r="AC1411" s="2">
        <v>-0.82343025229307998</v>
      </c>
      <c r="AD1411" s="2"/>
      <c r="AE1411" s="2">
        <v>0.45165498178855501</v>
      </c>
      <c r="AF1411" s="2">
        <v>12930.5050303261</v>
      </c>
      <c r="AG1411" s="2">
        <v>8073.8607180562003</v>
      </c>
      <c r="AH1411" s="5">
        <v>1.60152688804857</v>
      </c>
      <c r="AI1411" s="5">
        <v>0.67944801973526003</v>
      </c>
      <c r="AJ1411" s="5" t="s">
        <v>139</v>
      </c>
      <c r="AK1411" s="2">
        <v>2.95503609897061E-2</v>
      </c>
      <c r="AL1411" s="2">
        <v>0.25908320162100301</v>
      </c>
      <c r="AM1411" s="2">
        <v>15965.613585801801</v>
      </c>
      <c r="AN1411" s="2">
        <v>12108.094675570301</v>
      </c>
      <c r="AO1411" s="2">
        <v>11010.1682248243</v>
      </c>
      <c r="AP1411" s="2">
        <v>14360.491293737599</v>
      </c>
      <c r="AQ1411" s="2">
        <v>9401.2850721206905</v>
      </c>
      <c r="AR1411" s="2">
        <v>14737.3773299021</v>
      </c>
      <c r="AS1411" s="2">
        <v>11116.1494727956</v>
      </c>
      <c r="AT1411" s="2">
        <v>8314.8265712099692</v>
      </c>
      <c r="AU1411" s="2">
        <v>13722.2742006181</v>
      </c>
      <c r="AV1411" s="2">
        <v>3285.4847723288799</v>
      </c>
      <c r="AW1411" s="2">
        <v>4280.3763802885696</v>
      </c>
      <c r="AX1411" s="2">
        <v>7724.0529110960697</v>
      </c>
    </row>
    <row r="1412" spans="1:50" x14ac:dyDescent="0.25">
      <c r="A1412" s="2" t="s">
        <v>9751</v>
      </c>
      <c r="B1412" s="2">
        <v>331.21019553648301</v>
      </c>
      <c r="C1412" s="2">
        <v>5.5057499999999999</v>
      </c>
      <c r="D1412" s="2" t="s">
        <v>51</v>
      </c>
      <c r="E1412" s="2" t="s">
        <v>9752</v>
      </c>
      <c r="F1412" s="2">
        <v>53071</v>
      </c>
      <c r="G1412" s="3" t="str">
        <f>HYPERLINK("https://cloud.oebiotech.com/#/lm/network/53071", "https://cloud.oebiotech.com/#/lm/network/53071")</f>
        <v>https://cloud.oebiotech.com/#/lm/network/53071</v>
      </c>
      <c r="H1412" s="2" t="s">
        <v>9753</v>
      </c>
      <c r="I1412" s="2">
        <v>85431</v>
      </c>
      <c r="J1412" s="2"/>
      <c r="K1412" s="2">
        <v>119031</v>
      </c>
      <c r="L1412" s="2"/>
      <c r="M1412" s="2"/>
      <c r="N1412" s="2"/>
      <c r="O1412" s="2">
        <v>50662</v>
      </c>
      <c r="P1412" s="2"/>
      <c r="Q1412" s="2"/>
      <c r="R1412" s="2" t="s">
        <v>9754</v>
      </c>
      <c r="S1412" s="2" t="s">
        <v>9755</v>
      </c>
      <c r="T1412" s="2" t="s">
        <v>9756</v>
      </c>
      <c r="U1412" s="2" t="s">
        <v>331</v>
      </c>
      <c r="V1412" s="2" t="s">
        <v>332</v>
      </c>
      <c r="W1412" s="2" t="s">
        <v>519</v>
      </c>
      <c r="X1412" s="2" t="s">
        <v>147</v>
      </c>
      <c r="Y1412" s="2">
        <v>41.1</v>
      </c>
      <c r="Z1412" s="2">
        <v>16.7</v>
      </c>
      <c r="AA1412" s="2" t="s">
        <v>122</v>
      </c>
      <c r="AB1412" s="2" t="s">
        <v>3032</v>
      </c>
      <c r="AC1412" s="2">
        <v>-1.5869225052857401</v>
      </c>
      <c r="AD1412" s="2"/>
      <c r="AE1412" s="2">
        <v>0.45139028255714703</v>
      </c>
      <c r="AF1412" s="2">
        <v>23401.6386054615</v>
      </c>
      <c r="AG1412" s="2">
        <v>18701.544850398801</v>
      </c>
      <c r="AH1412" s="5">
        <v>1.2513211498119901</v>
      </c>
      <c r="AI1412" s="5">
        <v>0.323452102677735</v>
      </c>
      <c r="AJ1412" s="5" t="s">
        <v>139</v>
      </c>
      <c r="AK1412" s="2">
        <v>1.19944375160763E-2</v>
      </c>
      <c r="AL1412" s="2">
        <v>0.17463872408012501</v>
      </c>
      <c r="AM1412" s="2">
        <v>25061.4488181706</v>
      </c>
      <c r="AN1412" s="2">
        <v>23708.565414126799</v>
      </c>
      <c r="AO1412" s="2">
        <v>25873.1690708854</v>
      </c>
      <c r="AP1412" s="2">
        <v>26647.679332195101</v>
      </c>
      <c r="AQ1412" s="2">
        <v>20553.705325680901</v>
      </c>
      <c r="AR1412" s="2">
        <v>18565.263671710101</v>
      </c>
      <c r="AS1412" s="2">
        <v>21093.9748605452</v>
      </c>
      <c r="AT1412" s="2">
        <v>21172.7851434609</v>
      </c>
      <c r="AU1412" s="2">
        <v>17742.4710921726</v>
      </c>
      <c r="AV1412" s="2">
        <v>17966.548682182802</v>
      </c>
      <c r="AW1412" s="2">
        <v>16293.805725002299</v>
      </c>
      <c r="AX1412" s="2">
        <v>17939.6835990291</v>
      </c>
    </row>
    <row r="1413" spans="1:50" x14ac:dyDescent="0.25">
      <c r="A1413" s="2" t="s">
        <v>9757</v>
      </c>
      <c r="B1413" s="2">
        <v>268.14124927595498</v>
      </c>
      <c r="C1413" s="2">
        <v>1.00901666666667</v>
      </c>
      <c r="D1413" s="2" t="s">
        <v>51</v>
      </c>
      <c r="E1413" s="2" t="s">
        <v>9758</v>
      </c>
      <c r="F1413" s="2">
        <v>64957</v>
      </c>
      <c r="G1413" s="3" t="str">
        <f>HYPERLINK("https://cloud.oebiotech.com/#/lm/network/64957", "https://cloud.oebiotech.com/#/lm/network/64957")</f>
        <v>https://cloud.oebiotech.com/#/lm/network/64957</v>
      </c>
      <c r="H1413" s="2" t="s">
        <v>9759</v>
      </c>
      <c r="I1413" s="2"/>
      <c r="J1413" s="2"/>
      <c r="K1413" s="2">
        <v>389613</v>
      </c>
      <c r="L1413" s="2"/>
      <c r="M1413" s="2"/>
      <c r="N1413" s="2"/>
      <c r="O1413" s="2"/>
      <c r="P1413" s="2"/>
      <c r="Q1413" s="2"/>
      <c r="R1413" s="2"/>
      <c r="S1413" s="2" t="s">
        <v>9760</v>
      </c>
      <c r="T1413" s="2" t="s">
        <v>9761</v>
      </c>
      <c r="U1413" s="2" t="s">
        <v>103</v>
      </c>
      <c r="V1413" s="2" t="s">
        <v>104</v>
      </c>
      <c r="W1413" s="2" t="s">
        <v>9173</v>
      </c>
      <c r="X1413" s="2" t="s">
        <v>147</v>
      </c>
      <c r="Y1413" s="2">
        <v>37.700000000000003</v>
      </c>
      <c r="Z1413" s="2">
        <v>0</v>
      </c>
      <c r="AA1413" s="2" t="s">
        <v>2087</v>
      </c>
      <c r="AB1413" s="2" t="s">
        <v>9762</v>
      </c>
      <c r="AC1413" s="2">
        <v>-4.0832496216515297</v>
      </c>
      <c r="AD1413" s="2"/>
      <c r="AE1413" s="2">
        <v>0.45119282625682999</v>
      </c>
      <c r="AF1413" s="2">
        <v>9247.2067365554703</v>
      </c>
      <c r="AG1413" s="2">
        <v>3324.5368585518099</v>
      </c>
      <c r="AH1413" s="5">
        <v>2.7815022452732299</v>
      </c>
      <c r="AI1413" s="5">
        <v>1.47586427015857</v>
      </c>
      <c r="AJ1413" s="5" t="s">
        <v>139</v>
      </c>
      <c r="AK1413" s="2">
        <v>4.8314765388338003E-2</v>
      </c>
      <c r="AL1413" s="2">
        <v>0.30691247078395001</v>
      </c>
      <c r="AM1413" s="2">
        <v>15670.686003937401</v>
      </c>
      <c r="AN1413" s="2">
        <v>3817.9327023679498</v>
      </c>
      <c r="AO1413" s="2">
        <v>4600.7240290858299</v>
      </c>
      <c r="AP1413" s="2">
        <v>9943.7822222340892</v>
      </c>
      <c r="AQ1413" s="2">
        <v>17481.106474091299</v>
      </c>
      <c r="AR1413" s="2">
        <v>3969.0089876162301</v>
      </c>
      <c r="AS1413" s="2">
        <v>496.61308086865603</v>
      </c>
      <c r="AT1413" s="2">
        <v>4089.6408138194001</v>
      </c>
      <c r="AU1413" s="2">
        <v>2194.9157054823299</v>
      </c>
      <c r="AV1413" s="2">
        <v>6187.66040606766</v>
      </c>
      <c r="AW1413" s="2">
        <v>2596.15430024428</v>
      </c>
      <c r="AX1413" s="2">
        <v>4382.2368448285297</v>
      </c>
    </row>
    <row r="1414" spans="1:50" x14ac:dyDescent="0.25">
      <c r="A1414" s="2" t="s">
        <v>9763</v>
      </c>
      <c r="B1414" s="2">
        <v>435.25801736173798</v>
      </c>
      <c r="C1414" s="2">
        <v>4.9764666666666697</v>
      </c>
      <c r="D1414" s="2" t="s">
        <v>51</v>
      </c>
      <c r="E1414" s="2" t="s">
        <v>9764</v>
      </c>
      <c r="F1414" s="2">
        <v>289969</v>
      </c>
      <c r="G1414" s="3" t="str">
        <f>HYPERLINK("https://cloud.oebiotech.com/#/lm/network/289969", "https://cloud.oebiotech.com/#/lm/network/289969")</f>
        <v>https://cloud.oebiotech.com/#/lm/network/289969</v>
      </c>
      <c r="H1414" s="2"/>
      <c r="I1414" s="2">
        <v>985542</v>
      </c>
      <c r="J1414" s="2"/>
      <c r="K1414" s="2">
        <v>38354665</v>
      </c>
      <c r="L1414" s="2"/>
      <c r="M1414" s="2"/>
      <c r="N1414" s="2"/>
      <c r="O1414" s="2"/>
      <c r="P1414" s="2"/>
      <c r="Q1414" s="2"/>
      <c r="R1414" s="2"/>
      <c r="S1414" s="2" t="s">
        <v>9765</v>
      </c>
      <c r="T1414" s="2" t="s">
        <v>9766</v>
      </c>
      <c r="U1414" s="2" t="s">
        <v>103</v>
      </c>
      <c r="V1414" s="2" t="s">
        <v>104</v>
      </c>
      <c r="W1414" s="2" t="s">
        <v>105</v>
      </c>
      <c r="X1414" s="2" t="s">
        <v>147</v>
      </c>
      <c r="Y1414" s="2">
        <v>36.799999999999997</v>
      </c>
      <c r="Z1414" s="2">
        <v>0</v>
      </c>
      <c r="AA1414" s="2" t="s">
        <v>156</v>
      </c>
      <c r="AB1414" s="2" t="s">
        <v>9767</v>
      </c>
      <c r="AC1414" s="2">
        <v>-4.81860555890432</v>
      </c>
      <c r="AD1414" s="2"/>
      <c r="AE1414" s="2">
        <v>0.45050383904270302</v>
      </c>
      <c r="AF1414" s="2">
        <v>15600.685579266599</v>
      </c>
      <c r="AG1414" s="2">
        <v>10742.251273088301</v>
      </c>
      <c r="AH1414" s="5">
        <v>1.45227338131159</v>
      </c>
      <c r="AI1414" s="5">
        <v>0.53831305714768396</v>
      </c>
      <c r="AJ1414" s="5" t="s">
        <v>139</v>
      </c>
      <c r="AK1414" s="2">
        <v>3.7699730483723298E-3</v>
      </c>
      <c r="AL1414" s="2">
        <v>0.1120315017845</v>
      </c>
      <c r="AM1414" s="2">
        <v>15309.408312021</v>
      </c>
      <c r="AN1414" s="2">
        <v>13289.436403293001</v>
      </c>
      <c r="AO1414" s="2">
        <v>15475.413010030399</v>
      </c>
      <c r="AP1414" s="2">
        <v>14192.482642184999</v>
      </c>
      <c r="AQ1414" s="2">
        <v>14161.3403871792</v>
      </c>
      <c r="AR1414" s="2">
        <v>21176.0327208909</v>
      </c>
      <c r="AS1414" s="2">
        <v>11376.708341764001</v>
      </c>
      <c r="AT1414" s="2">
        <v>13194.695667476901</v>
      </c>
      <c r="AU1414" s="2">
        <v>9447.8796232642908</v>
      </c>
      <c r="AV1414" s="2">
        <v>9835.8227481265403</v>
      </c>
      <c r="AW1414" s="2">
        <v>10750.811545537799</v>
      </c>
      <c r="AX1414" s="2">
        <v>9847.5897123600698</v>
      </c>
    </row>
    <row r="1415" spans="1:50" x14ac:dyDescent="0.25">
      <c r="A1415" s="2" t="s">
        <v>9768</v>
      </c>
      <c r="B1415" s="2">
        <v>279.13526019392299</v>
      </c>
      <c r="C1415" s="2">
        <v>3.2863333333333302</v>
      </c>
      <c r="D1415" s="2" t="s">
        <v>51</v>
      </c>
      <c r="E1415" s="2" t="s">
        <v>9769</v>
      </c>
      <c r="F1415" s="2">
        <v>54124</v>
      </c>
      <c r="G1415" s="3" t="str">
        <f>HYPERLINK("https://cloud.oebiotech.com/#/lm/network/54124", "https://cloud.oebiotech.com/#/lm/network/54124")</f>
        <v>https://cloud.oebiotech.com/#/lm/network/54124</v>
      </c>
      <c r="H1415" s="2" t="s">
        <v>9770</v>
      </c>
      <c r="I1415" s="2">
        <v>86005</v>
      </c>
      <c r="J1415" s="2"/>
      <c r="K1415" s="2">
        <v>13055260</v>
      </c>
      <c r="L1415" s="2"/>
      <c r="M1415" s="2"/>
      <c r="N1415" s="2"/>
      <c r="O1415" s="2"/>
      <c r="P1415" s="2"/>
      <c r="Q1415" s="2"/>
      <c r="R1415" s="2"/>
      <c r="S1415" s="2" t="s">
        <v>9771</v>
      </c>
      <c r="T1415" s="2" t="s">
        <v>9772</v>
      </c>
      <c r="U1415" s="2" t="s">
        <v>103</v>
      </c>
      <c r="V1415" s="2" t="s">
        <v>104</v>
      </c>
      <c r="W1415" s="2" t="s">
        <v>105</v>
      </c>
      <c r="X1415" s="2" t="s">
        <v>83</v>
      </c>
      <c r="Y1415" s="2">
        <v>52</v>
      </c>
      <c r="Z1415" s="2">
        <v>30.7</v>
      </c>
      <c r="AA1415" s="2" t="s">
        <v>259</v>
      </c>
      <c r="AB1415" s="2" t="s">
        <v>5189</v>
      </c>
      <c r="AC1415" s="2">
        <v>4.7701174589766904</v>
      </c>
      <c r="AD1415" s="2"/>
      <c r="AE1415" s="2">
        <v>0.44926835043664898</v>
      </c>
      <c r="AF1415" s="2">
        <v>25581.5921601068</v>
      </c>
      <c r="AG1415" s="2">
        <v>41648.078623287402</v>
      </c>
      <c r="AH1415" s="4">
        <v>0.61423222885011897</v>
      </c>
      <c r="AI1415" s="4">
        <v>-0.70314388217894397</v>
      </c>
      <c r="AJ1415" s="4" t="s">
        <v>62</v>
      </c>
      <c r="AK1415" s="2">
        <v>0.66975612503800297</v>
      </c>
      <c r="AL1415" s="2">
        <v>0.84084206266665795</v>
      </c>
      <c r="AM1415" s="2">
        <v>50888.919447979199</v>
      </c>
      <c r="AN1415" s="2">
        <v>2212.5473151195101</v>
      </c>
      <c r="AO1415" s="2">
        <v>1368.1047579439401</v>
      </c>
      <c r="AP1415" s="2">
        <v>1576.5982430556701</v>
      </c>
      <c r="AQ1415" s="2">
        <v>67727.452540385901</v>
      </c>
      <c r="AR1415" s="2">
        <v>29715.930656156601</v>
      </c>
      <c r="AS1415" s="2">
        <v>311.54173753602203</v>
      </c>
      <c r="AT1415" s="2">
        <v>1753.0216435597199</v>
      </c>
      <c r="AU1415" s="2">
        <v>1469.7818656383599</v>
      </c>
      <c r="AV1415" s="2">
        <v>212902.56517688601</v>
      </c>
      <c r="AW1415" s="2">
        <v>1034.70388773744</v>
      </c>
      <c r="AX1415" s="2">
        <v>32416.857428366799</v>
      </c>
    </row>
    <row r="1416" spans="1:50" x14ac:dyDescent="0.25">
      <c r="A1416" s="2" t="s">
        <v>9773</v>
      </c>
      <c r="B1416" s="2">
        <v>338.19705245349201</v>
      </c>
      <c r="C1416" s="2">
        <v>5.4257166666666699</v>
      </c>
      <c r="D1416" s="2" t="s">
        <v>51</v>
      </c>
      <c r="E1416" s="2" t="s">
        <v>9774</v>
      </c>
      <c r="F1416" s="2">
        <v>213204</v>
      </c>
      <c r="G1416" s="3" t="str">
        <f>HYPERLINK("https://cloud.oebiotech.com/#/lm/network/213204", "https://cloud.oebiotech.com/#/lm/network/213204")</f>
        <v>https://cloud.oebiotech.com/#/lm/network/213204</v>
      </c>
      <c r="H1416" s="2" t="s">
        <v>9775</v>
      </c>
      <c r="I1416" s="2"/>
      <c r="J1416" s="2"/>
      <c r="K1416" s="2">
        <v>4371409</v>
      </c>
      <c r="L1416" s="2"/>
      <c r="M1416" s="2"/>
      <c r="N1416" s="2"/>
      <c r="O1416" s="2"/>
      <c r="P1416" s="2"/>
      <c r="Q1416" s="2"/>
      <c r="R1416" s="2"/>
      <c r="S1416" s="2" t="s">
        <v>9776</v>
      </c>
      <c r="T1416" s="2" t="s">
        <v>9777</v>
      </c>
      <c r="U1416" s="2" t="s">
        <v>540</v>
      </c>
      <c r="V1416" s="2" t="s">
        <v>563</v>
      </c>
      <c r="W1416" s="2" t="s">
        <v>6159</v>
      </c>
      <c r="X1416" s="2" t="s">
        <v>59</v>
      </c>
      <c r="Y1416" s="2">
        <v>46.8</v>
      </c>
      <c r="Z1416" s="2">
        <v>51.1</v>
      </c>
      <c r="AA1416" s="2" t="s">
        <v>512</v>
      </c>
      <c r="AB1416" s="2" t="s">
        <v>9778</v>
      </c>
      <c r="AC1416" s="2">
        <v>2.66444804674481</v>
      </c>
      <c r="AD1416" s="2"/>
      <c r="AE1416" s="2">
        <v>0.44914513703382603</v>
      </c>
      <c r="AF1416" s="2">
        <v>11804.7249320306</v>
      </c>
      <c r="AG1416" s="2">
        <v>6439.2290149100099</v>
      </c>
      <c r="AH1416" s="5">
        <v>1.8332512952555</v>
      </c>
      <c r="AI1416" s="5">
        <v>0.87440455869274503</v>
      </c>
      <c r="AJ1416" s="5" t="s">
        <v>139</v>
      </c>
      <c r="AK1416" s="2">
        <v>0.141794532697222</v>
      </c>
      <c r="AL1416" s="2">
        <v>0.46330992879659</v>
      </c>
      <c r="AM1416" s="2">
        <v>22544.198728846299</v>
      </c>
      <c r="AN1416" s="2">
        <v>17990.172792543999</v>
      </c>
      <c r="AO1416" s="2">
        <v>6484.8818608404099</v>
      </c>
      <c r="AP1416" s="2">
        <v>7919.7842041903796</v>
      </c>
      <c r="AQ1416" s="2">
        <v>6162.6346282816403</v>
      </c>
      <c r="AR1416" s="2">
        <v>9726.6773774808298</v>
      </c>
      <c r="AS1416" s="2">
        <v>8674.8202814116794</v>
      </c>
      <c r="AT1416" s="2">
        <v>1728.0884542275701</v>
      </c>
      <c r="AU1416" s="2">
        <v>10137.3303241754</v>
      </c>
      <c r="AV1416" s="2">
        <v>1510.0164405053299</v>
      </c>
      <c r="AW1416" s="2">
        <v>4151.0541252954799</v>
      </c>
      <c r="AX1416" s="2">
        <v>12434.064463844599</v>
      </c>
    </row>
    <row r="1417" spans="1:50" x14ac:dyDescent="0.25">
      <c r="A1417" s="2" t="s">
        <v>9779</v>
      </c>
      <c r="B1417" s="2">
        <v>178.05020478741099</v>
      </c>
      <c r="C1417" s="2">
        <v>4.2211666666666696</v>
      </c>
      <c r="D1417" s="2" t="s">
        <v>51</v>
      </c>
      <c r="E1417" s="2" t="s">
        <v>9780</v>
      </c>
      <c r="F1417" s="2">
        <v>47175</v>
      </c>
      <c r="G1417" s="3" t="str">
        <f>HYPERLINK("https://cloud.oebiotech.com/#/lm/network/47175", "https://cloud.oebiotech.com/#/lm/network/47175")</f>
        <v>https://cloud.oebiotech.com/#/lm/network/47175</v>
      </c>
      <c r="H1417" s="2" t="s">
        <v>9781</v>
      </c>
      <c r="I1417" s="2">
        <v>1301</v>
      </c>
      <c r="J1417" s="2"/>
      <c r="K1417" s="2">
        <v>464</v>
      </c>
      <c r="L1417" s="2" t="s">
        <v>9782</v>
      </c>
      <c r="M1417" s="2"/>
      <c r="N1417" s="2"/>
      <c r="O1417" s="2">
        <v>18089</v>
      </c>
      <c r="P1417" s="2"/>
      <c r="Q1417" s="2"/>
      <c r="R1417" s="2" t="s">
        <v>9783</v>
      </c>
      <c r="S1417" s="2" t="s">
        <v>9784</v>
      </c>
      <c r="T1417" s="2" t="s">
        <v>9785</v>
      </c>
      <c r="U1417" s="2" t="s">
        <v>610</v>
      </c>
      <c r="V1417" s="2" t="s">
        <v>611</v>
      </c>
      <c r="W1417" s="2" t="s">
        <v>1122</v>
      </c>
      <c r="X1417" s="2" t="s">
        <v>69</v>
      </c>
      <c r="Y1417" s="2">
        <v>58</v>
      </c>
      <c r="Z1417" s="2">
        <v>92.4</v>
      </c>
      <c r="AA1417" s="2" t="s">
        <v>163</v>
      </c>
      <c r="AB1417" s="2" t="s">
        <v>9786</v>
      </c>
      <c r="AC1417" s="2">
        <v>-4.2552226910293696</v>
      </c>
      <c r="AD1417" s="2"/>
      <c r="AE1417" s="2">
        <v>0.44901909909358401</v>
      </c>
      <c r="AF1417" s="2">
        <v>4557.14358858785</v>
      </c>
      <c r="AG1417" s="2">
        <v>13990.7434746245</v>
      </c>
      <c r="AH1417" s="4">
        <v>0.325725619718015</v>
      </c>
      <c r="AI1417" s="4">
        <v>-1.6182708965336401</v>
      </c>
      <c r="AJ1417" s="4" t="s">
        <v>62</v>
      </c>
      <c r="AK1417" s="2">
        <v>0.43211109595556602</v>
      </c>
      <c r="AL1417" s="2">
        <v>0.68976665455098896</v>
      </c>
      <c r="AM1417" s="2">
        <v>781.95028453618795</v>
      </c>
      <c r="AN1417" s="2">
        <v>2859.2819834568299</v>
      </c>
      <c r="AO1417" s="2">
        <v>2051.2933219055799</v>
      </c>
      <c r="AP1417" s="2">
        <v>9629.2680979583802</v>
      </c>
      <c r="AQ1417" s="2">
        <v>5270.5556221099396</v>
      </c>
      <c r="AR1417" s="2">
        <v>6750.5122215602096</v>
      </c>
      <c r="AS1417" s="2">
        <v>1511.24438904829</v>
      </c>
      <c r="AT1417" s="2">
        <v>2593.2296109692902</v>
      </c>
      <c r="AU1417" s="2">
        <v>3282.0437202601202</v>
      </c>
      <c r="AV1417" s="2">
        <v>2734.1493974477198</v>
      </c>
      <c r="AW1417" s="2">
        <v>71206.690036497093</v>
      </c>
      <c r="AX1417" s="2">
        <v>2617.1036935246402</v>
      </c>
    </row>
    <row r="1418" spans="1:50" x14ac:dyDescent="0.25">
      <c r="A1418" s="2" t="s">
        <v>9787</v>
      </c>
      <c r="B1418" s="2">
        <v>416.28679848574097</v>
      </c>
      <c r="C1418" s="2">
        <v>4.7092833333333299</v>
      </c>
      <c r="D1418" s="2" t="s">
        <v>51</v>
      </c>
      <c r="E1418" s="2" t="s">
        <v>9788</v>
      </c>
      <c r="F1418" s="2">
        <v>281143</v>
      </c>
      <c r="G1418" s="3" t="str">
        <f>HYPERLINK("https://cloud.oebiotech.com/#/lm/network/281143", "https://cloud.oebiotech.com/#/lm/network/281143")</f>
        <v>https://cloud.oebiotech.com/#/lm/network/281143</v>
      </c>
      <c r="H1418" s="2"/>
      <c r="I1418" s="2">
        <v>164386</v>
      </c>
      <c r="J1418" s="2"/>
      <c r="K1418" s="2">
        <v>23277019</v>
      </c>
      <c r="L1418" s="2"/>
      <c r="M1418" s="2"/>
      <c r="N1418" s="2"/>
      <c r="O1418" s="2"/>
      <c r="P1418" s="2"/>
      <c r="Q1418" s="2"/>
      <c r="R1418" s="2"/>
      <c r="S1418" s="2" t="s">
        <v>9789</v>
      </c>
      <c r="T1418" s="2" t="s">
        <v>9790</v>
      </c>
      <c r="U1418" s="2" t="s">
        <v>103</v>
      </c>
      <c r="V1418" s="2" t="s">
        <v>104</v>
      </c>
      <c r="W1418" s="2" t="s">
        <v>105</v>
      </c>
      <c r="X1418" s="2" t="s">
        <v>69</v>
      </c>
      <c r="Y1418" s="2">
        <v>53.2</v>
      </c>
      <c r="Z1418" s="2">
        <v>56.7</v>
      </c>
      <c r="AA1418" s="2" t="s">
        <v>526</v>
      </c>
      <c r="AB1418" s="2" t="s">
        <v>9791</v>
      </c>
      <c r="AC1418" s="2">
        <v>0.132449401219181</v>
      </c>
      <c r="AD1418" s="2"/>
      <c r="AE1418" s="2">
        <v>0.44889473094509103</v>
      </c>
      <c r="AF1418" s="2">
        <v>16489.658681577199</v>
      </c>
      <c r="AG1418" s="2">
        <v>11795.0486304719</v>
      </c>
      <c r="AH1418" s="5">
        <v>1.39801531966363</v>
      </c>
      <c r="AI1418" s="5">
        <v>0.48338017007075501</v>
      </c>
      <c r="AJ1418" s="5" t="s">
        <v>139</v>
      </c>
      <c r="AK1418" s="2">
        <v>1.21989126888039E-2</v>
      </c>
      <c r="AL1418" s="2">
        <v>0.174939479790891</v>
      </c>
      <c r="AM1418" s="2">
        <v>15716.1103117558</v>
      </c>
      <c r="AN1418" s="2">
        <v>14803.9257224178</v>
      </c>
      <c r="AO1418" s="2">
        <v>19519.086234061499</v>
      </c>
      <c r="AP1418" s="2">
        <v>14247.5143311017</v>
      </c>
      <c r="AQ1418" s="2">
        <v>13956.3453515785</v>
      </c>
      <c r="AR1418" s="2">
        <v>20694.970138547898</v>
      </c>
      <c r="AS1418" s="2">
        <v>11737.234278628701</v>
      </c>
      <c r="AT1418" s="2">
        <v>15391.3977473783</v>
      </c>
      <c r="AU1418" s="2">
        <v>12183.1452877965</v>
      </c>
      <c r="AV1418" s="2">
        <v>10135.213963599899</v>
      </c>
      <c r="AW1418" s="2">
        <v>12985.313395948901</v>
      </c>
      <c r="AX1418" s="2">
        <v>8337.9871094788705</v>
      </c>
    </row>
    <row r="1419" spans="1:50" x14ac:dyDescent="0.25">
      <c r="A1419" s="2" t="s">
        <v>9792</v>
      </c>
      <c r="B1419" s="2">
        <v>387.25151194383801</v>
      </c>
      <c r="C1419" s="2">
        <v>9.9106500000000004</v>
      </c>
      <c r="D1419" s="2" t="s">
        <v>51</v>
      </c>
      <c r="E1419" s="2" t="s">
        <v>9793</v>
      </c>
      <c r="F1419" s="2">
        <v>46102</v>
      </c>
      <c r="G1419" s="3" t="str">
        <f>HYPERLINK("https://cloud.oebiotech.com/#/lm/network/46102", "https://cloud.oebiotech.com/#/lm/network/46102")</f>
        <v>https://cloud.oebiotech.com/#/lm/network/46102</v>
      </c>
      <c r="H1419" s="2"/>
      <c r="I1419" s="2">
        <v>84555</v>
      </c>
      <c r="J1419" s="2" t="s">
        <v>9794</v>
      </c>
      <c r="K1419" s="2">
        <v>5283997</v>
      </c>
      <c r="L1419" s="2"/>
      <c r="M1419" s="2"/>
      <c r="N1419" s="2"/>
      <c r="O1419" s="2"/>
      <c r="P1419" s="2"/>
      <c r="Q1419" s="2"/>
      <c r="R1419" s="2"/>
      <c r="S1419" s="2" t="s">
        <v>9795</v>
      </c>
      <c r="T1419" s="2" t="s">
        <v>9796</v>
      </c>
      <c r="U1419" s="2" t="s">
        <v>56</v>
      </c>
      <c r="V1419" s="2" t="s">
        <v>283</v>
      </c>
      <c r="W1419" s="2" t="s">
        <v>2042</v>
      </c>
      <c r="X1419" s="2" t="s">
        <v>83</v>
      </c>
      <c r="Y1419" s="2">
        <v>45.4</v>
      </c>
      <c r="Z1419" s="2">
        <v>0</v>
      </c>
      <c r="AA1419" s="2" t="s">
        <v>259</v>
      </c>
      <c r="AB1419" s="2" t="s">
        <v>8939</v>
      </c>
      <c r="AC1419" s="2">
        <v>-3.8163706290736501</v>
      </c>
      <c r="AD1419" s="2"/>
      <c r="AE1419" s="2">
        <v>0.44852598549223699</v>
      </c>
      <c r="AF1419" s="2">
        <v>17911.535205189499</v>
      </c>
      <c r="AG1419" s="2">
        <v>13019.3026775652</v>
      </c>
      <c r="AH1419" s="5">
        <v>1.37576763124607</v>
      </c>
      <c r="AI1419" s="5">
        <v>0.46023681774470598</v>
      </c>
      <c r="AJ1419" s="5" t="s">
        <v>139</v>
      </c>
      <c r="AK1419" s="2">
        <v>1.5929311613969599E-2</v>
      </c>
      <c r="AL1419" s="2">
        <v>0.199280416991126</v>
      </c>
      <c r="AM1419" s="2">
        <v>20094.915426762698</v>
      </c>
      <c r="AN1419" s="2">
        <v>21324.788208707501</v>
      </c>
      <c r="AO1419" s="2">
        <v>15246.420460797601</v>
      </c>
      <c r="AP1419" s="2">
        <v>16904.192798645301</v>
      </c>
      <c r="AQ1419" s="2">
        <v>19023.812227122198</v>
      </c>
      <c r="AR1419" s="2">
        <v>14875.082109101901</v>
      </c>
      <c r="AS1419" s="2">
        <v>10794.6060390696</v>
      </c>
      <c r="AT1419" s="2">
        <v>10195.908620090901</v>
      </c>
      <c r="AU1419" s="2">
        <v>14664.954133138999</v>
      </c>
      <c r="AV1419" s="2">
        <v>10737.2950508991</v>
      </c>
      <c r="AW1419" s="2">
        <v>18469.111362272299</v>
      </c>
      <c r="AX1419" s="2">
        <v>13253.9408599205</v>
      </c>
    </row>
    <row r="1420" spans="1:50" x14ac:dyDescent="0.25">
      <c r="A1420" s="2" t="s">
        <v>9797</v>
      </c>
      <c r="B1420" s="2">
        <v>329.23940537119699</v>
      </c>
      <c r="C1420" s="2">
        <v>12.363666666666701</v>
      </c>
      <c r="D1420" s="2" t="s">
        <v>51</v>
      </c>
      <c r="E1420" s="2" t="s">
        <v>9798</v>
      </c>
      <c r="F1420" s="2">
        <v>208986</v>
      </c>
      <c r="G1420" s="3" t="str">
        <f>HYPERLINK("https://cloud.oebiotech.com/#/lm/network/208986", "https://cloud.oebiotech.com/#/lm/network/208986")</f>
        <v>https://cloud.oebiotech.com/#/lm/network/208986</v>
      </c>
      <c r="H1420" s="2" t="s">
        <v>9799</v>
      </c>
      <c r="I1420" s="2"/>
      <c r="J1420" s="2"/>
      <c r="K1420" s="2">
        <v>431865</v>
      </c>
      <c r="L1420" s="2"/>
      <c r="M1420" s="2"/>
      <c r="N1420" s="2"/>
      <c r="O1420" s="2"/>
      <c r="P1420" s="2"/>
      <c r="Q1420" s="2"/>
      <c r="R1420" s="2"/>
      <c r="S1420" s="2" t="s">
        <v>9800</v>
      </c>
      <c r="T1420" s="2" t="s">
        <v>9801</v>
      </c>
      <c r="U1420" s="2" t="s">
        <v>540</v>
      </c>
      <c r="V1420" s="2" t="s">
        <v>7590</v>
      </c>
      <c r="W1420" s="2" t="s">
        <v>240</v>
      </c>
      <c r="X1420" s="2" t="s">
        <v>147</v>
      </c>
      <c r="Y1420" s="2">
        <v>36</v>
      </c>
      <c r="Z1420" s="2">
        <v>0</v>
      </c>
      <c r="AA1420" s="2" t="s">
        <v>379</v>
      </c>
      <c r="AB1420" s="2" t="s">
        <v>9802</v>
      </c>
      <c r="AC1420" s="2">
        <v>2.0027056462931099</v>
      </c>
      <c r="AD1420" s="2"/>
      <c r="AE1420" s="2">
        <v>0.448239811996202</v>
      </c>
      <c r="AF1420" s="2">
        <v>13028.465701646701</v>
      </c>
      <c r="AG1420" s="2">
        <v>21260.5229686438</v>
      </c>
      <c r="AH1420" s="4">
        <v>0.61280081025578503</v>
      </c>
      <c r="AI1420" s="4">
        <v>-0.70650989006700204</v>
      </c>
      <c r="AJ1420" s="4" t="s">
        <v>62</v>
      </c>
      <c r="AK1420" s="2">
        <v>0.16907326221551799</v>
      </c>
      <c r="AL1420" s="2">
        <v>0.49098458663462602</v>
      </c>
      <c r="AM1420" s="2">
        <v>23696.453446173899</v>
      </c>
      <c r="AN1420" s="2">
        <v>9504.9625859469597</v>
      </c>
      <c r="AO1420" s="2">
        <v>10576.4901732452</v>
      </c>
      <c r="AP1420" s="2">
        <v>11576.084008317899</v>
      </c>
      <c r="AQ1420" s="2">
        <v>10491.205008180399</v>
      </c>
      <c r="AR1420" s="2">
        <v>12325.598988015599</v>
      </c>
      <c r="AS1420" s="2">
        <v>9417.2871928771601</v>
      </c>
      <c r="AT1420" s="2">
        <v>11744.6016044726</v>
      </c>
      <c r="AU1420" s="2">
        <v>16006.2523518167</v>
      </c>
      <c r="AV1420" s="2">
        <v>22493.509355088401</v>
      </c>
      <c r="AW1420" s="2">
        <v>43999.759924058897</v>
      </c>
      <c r="AX1420" s="2">
        <v>23901.727383549201</v>
      </c>
    </row>
    <row r="1421" spans="1:50" x14ac:dyDescent="0.25">
      <c r="A1421" s="2" t="s">
        <v>9803</v>
      </c>
      <c r="B1421" s="2">
        <v>324.32710313392602</v>
      </c>
      <c r="C1421" s="2">
        <v>14.416449999999999</v>
      </c>
      <c r="D1421" s="2" t="s">
        <v>51</v>
      </c>
      <c r="E1421" s="2" t="s">
        <v>9804</v>
      </c>
      <c r="F1421" s="2">
        <v>10107</v>
      </c>
      <c r="G1421" s="3" t="str">
        <f>HYPERLINK("https://cloud.oebiotech.com/#/lm/network/10107", "https://cloud.oebiotech.com/#/lm/network/10107")</f>
        <v>https://cloud.oebiotech.com/#/lm/network/10107</v>
      </c>
      <c r="H1421" s="2"/>
      <c r="I1421" s="2">
        <v>98312</v>
      </c>
      <c r="J1421" s="2" t="s">
        <v>9805</v>
      </c>
      <c r="K1421" s="2">
        <v>56936264</v>
      </c>
      <c r="L1421" s="2"/>
      <c r="M1421" s="2"/>
      <c r="N1421" s="2"/>
      <c r="O1421" s="2"/>
      <c r="P1421" s="2"/>
      <c r="Q1421" s="2"/>
      <c r="R1421" s="2"/>
      <c r="S1421" s="2" t="s">
        <v>9806</v>
      </c>
      <c r="T1421" s="2" t="s">
        <v>9807</v>
      </c>
      <c r="U1421" s="2" t="s">
        <v>266</v>
      </c>
      <c r="V1421" s="2" t="s">
        <v>1593</v>
      </c>
      <c r="W1421" s="2" t="s">
        <v>240</v>
      </c>
      <c r="X1421" s="2" t="s">
        <v>69</v>
      </c>
      <c r="Y1421" s="2">
        <v>59.5</v>
      </c>
      <c r="Z1421" s="2">
        <v>84</v>
      </c>
      <c r="AA1421" s="2" t="s">
        <v>512</v>
      </c>
      <c r="AB1421" s="2" t="s">
        <v>9808</v>
      </c>
      <c r="AC1421" s="2">
        <v>3.3032688680454299</v>
      </c>
      <c r="AD1421" s="2"/>
      <c r="AE1421" s="2">
        <v>0.448159889671712</v>
      </c>
      <c r="AF1421" s="2">
        <v>3473.5419054466602</v>
      </c>
      <c r="AG1421" s="2">
        <v>9041.7384319258199</v>
      </c>
      <c r="AH1421" s="4">
        <v>0.384167484118076</v>
      </c>
      <c r="AI1421" s="4">
        <v>-1.3801926802222699</v>
      </c>
      <c r="AJ1421" s="4" t="s">
        <v>62</v>
      </c>
      <c r="AK1421" s="2">
        <v>7.6791122087693495E-2</v>
      </c>
      <c r="AL1421" s="2">
        <v>0.36102259885854299</v>
      </c>
      <c r="AM1421" s="2">
        <v>3929.2771873740999</v>
      </c>
      <c r="AN1421" s="2">
        <v>3298.9046307062399</v>
      </c>
      <c r="AO1421" s="2">
        <v>6217.7270393578901</v>
      </c>
      <c r="AP1421" s="2">
        <v>1560.7368995372699</v>
      </c>
      <c r="AQ1421" s="2">
        <v>3925.7029113358899</v>
      </c>
      <c r="AR1421" s="2">
        <v>1908.9027643685899</v>
      </c>
      <c r="AS1421" s="2">
        <v>19962.015453862699</v>
      </c>
      <c r="AT1421" s="2">
        <v>3812.2826633725499</v>
      </c>
      <c r="AU1421" s="2">
        <v>3263.2820108191199</v>
      </c>
      <c r="AV1421" s="2">
        <v>11388.8875389641</v>
      </c>
      <c r="AW1421" s="2">
        <v>12205.5486500886</v>
      </c>
      <c r="AX1421" s="2">
        <v>3618.41427444787</v>
      </c>
    </row>
    <row r="1422" spans="1:50" x14ac:dyDescent="0.25">
      <c r="A1422" s="2" t="s">
        <v>9809</v>
      </c>
      <c r="B1422" s="2">
        <v>295.16591408775099</v>
      </c>
      <c r="C1422" s="2">
        <v>3.8572500000000001</v>
      </c>
      <c r="D1422" s="2" t="s">
        <v>51</v>
      </c>
      <c r="E1422" s="2" t="s">
        <v>9810</v>
      </c>
      <c r="F1422" s="2">
        <v>53962</v>
      </c>
      <c r="G1422" s="3" t="str">
        <f>HYPERLINK("https://cloud.oebiotech.com/#/lm/network/53962", "https://cloud.oebiotech.com/#/lm/network/53962")</f>
        <v>https://cloud.oebiotech.com/#/lm/network/53962</v>
      </c>
      <c r="H1422" s="2" t="s">
        <v>9811</v>
      </c>
      <c r="I1422" s="2">
        <v>24011</v>
      </c>
      <c r="J1422" s="2"/>
      <c r="K1422" s="2">
        <v>273262</v>
      </c>
      <c r="L1422" s="2"/>
      <c r="M1422" s="2"/>
      <c r="N1422" s="2"/>
      <c r="O1422" s="2"/>
      <c r="P1422" s="2"/>
      <c r="Q1422" s="2"/>
      <c r="R1422" s="2"/>
      <c r="S1422" s="2" t="s">
        <v>9812</v>
      </c>
      <c r="T1422" s="2" t="s">
        <v>9813</v>
      </c>
      <c r="U1422" s="2" t="s">
        <v>103</v>
      </c>
      <c r="V1422" s="2" t="s">
        <v>104</v>
      </c>
      <c r="W1422" s="2" t="s">
        <v>105</v>
      </c>
      <c r="X1422" s="2" t="s">
        <v>69</v>
      </c>
      <c r="Y1422" s="2">
        <v>52.3</v>
      </c>
      <c r="Z1422" s="2">
        <v>52.3</v>
      </c>
      <c r="AA1422" s="2" t="s">
        <v>259</v>
      </c>
      <c r="AB1422" s="2" t="s">
        <v>9814</v>
      </c>
      <c r="AC1422" s="2">
        <v>2.3132550183565601</v>
      </c>
      <c r="AD1422" s="2"/>
      <c r="AE1422" s="2">
        <v>0.44800154823566701</v>
      </c>
      <c r="AF1422" s="2">
        <v>13277.0096716198</v>
      </c>
      <c r="AG1422" s="2">
        <v>7313.5417581296497</v>
      </c>
      <c r="AH1422" s="5">
        <v>1.8154008154614301</v>
      </c>
      <c r="AI1422" s="5">
        <v>0.86028811055629395</v>
      </c>
      <c r="AJ1422" s="5" t="s">
        <v>139</v>
      </c>
      <c r="AK1422" s="2">
        <v>3.8873814888070402E-2</v>
      </c>
      <c r="AL1422" s="2">
        <v>0.28885336544489898</v>
      </c>
      <c r="AM1422" s="2">
        <v>12252.7350045325</v>
      </c>
      <c r="AN1422" s="2">
        <v>9237.0397833066709</v>
      </c>
      <c r="AO1422" s="2">
        <v>10390.0479104723</v>
      </c>
      <c r="AP1422" s="2">
        <v>9523.0722396892106</v>
      </c>
      <c r="AQ1422" s="2">
        <v>20237.518496940102</v>
      </c>
      <c r="AR1422" s="2">
        <v>18021.644594777899</v>
      </c>
      <c r="AS1422" s="2">
        <v>9034.5895286886298</v>
      </c>
      <c r="AT1422" s="2">
        <v>5816.5692373990496</v>
      </c>
      <c r="AU1422" s="2">
        <v>14601.9259667285</v>
      </c>
      <c r="AV1422" s="2">
        <v>5477.9923208237697</v>
      </c>
      <c r="AW1422" s="2">
        <v>4929.5785439473602</v>
      </c>
      <c r="AX1422" s="2">
        <v>4020.5949511905601</v>
      </c>
    </row>
    <row r="1423" spans="1:50" x14ac:dyDescent="0.25">
      <c r="A1423" s="2" t="s">
        <v>9815</v>
      </c>
      <c r="B1423" s="2">
        <v>526.24823104568497</v>
      </c>
      <c r="C1423" s="2">
        <v>5.8543500000000002</v>
      </c>
      <c r="D1423" s="2" t="s">
        <v>51</v>
      </c>
      <c r="E1423" s="2" t="s">
        <v>9816</v>
      </c>
      <c r="F1423" s="2">
        <v>47966</v>
      </c>
      <c r="G1423" s="3" t="str">
        <f>HYPERLINK("https://cloud.oebiotech.com/#/lm/network/47966", "https://cloud.oebiotech.com/#/lm/network/47966")</f>
        <v>https://cloud.oebiotech.com/#/lm/network/47966</v>
      </c>
      <c r="H1423" s="2" t="s">
        <v>9817</v>
      </c>
      <c r="I1423" s="2">
        <v>6726</v>
      </c>
      <c r="J1423" s="2"/>
      <c r="K1423" s="2">
        <v>21252317</v>
      </c>
      <c r="L1423" s="2"/>
      <c r="M1423" s="2"/>
      <c r="N1423" s="2"/>
      <c r="O1423" s="2"/>
      <c r="P1423" s="2"/>
      <c r="Q1423" s="2"/>
      <c r="R1423" s="2" t="s">
        <v>9818</v>
      </c>
      <c r="S1423" s="2" t="s">
        <v>9819</v>
      </c>
      <c r="T1423" s="2" t="s">
        <v>9820</v>
      </c>
      <c r="U1423" s="2" t="s">
        <v>56</v>
      </c>
      <c r="V1423" s="2" t="s">
        <v>283</v>
      </c>
      <c r="W1423" s="2" t="s">
        <v>2042</v>
      </c>
      <c r="X1423" s="2" t="s">
        <v>83</v>
      </c>
      <c r="Y1423" s="2">
        <v>44.6</v>
      </c>
      <c r="Z1423" s="2">
        <v>0.123</v>
      </c>
      <c r="AA1423" s="2" t="s">
        <v>379</v>
      </c>
      <c r="AB1423" s="2" t="s">
        <v>5885</v>
      </c>
      <c r="AC1423" s="2">
        <v>0.40201643608128601</v>
      </c>
      <c r="AD1423" s="2"/>
      <c r="AE1423" s="2">
        <v>0.447896686976896</v>
      </c>
      <c r="AF1423" s="2">
        <v>5142.5835879850201</v>
      </c>
      <c r="AG1423" s="2">
        <v>11324.8649010383</v>
      </c>
      <c r="AH1423" s="4">
        <v>0.45409668308833501</v>
      </c>
      <c r="AI1423" s="4">
        <v>-1.1389285961332301</v>
      </c>
      <c r="AJ1423" s="4" t="s">
        <v>62</v>
      </c>
      <c r="AK1423" s="2">
        <v>1.3119999962200099E-2</v>
      </c>
      <c r="AL1423" s="2">
        <v>0.180727238458427</v>
      </c>
      <c r="AM1423" s="2">
        <v>4072.9084840451301</v>
      </c>
      <c r="AN1423" s="2">
        <v>5502.6512689005403</v>
      </c>
      <c r="AO1423" s="2">
        <v>2524.80954907362</v>
      </c>
      <c r="AP1423" s="2">
        <v>4901.0620736200799</v>
      </c>
      <c r="AQ1423" s="2">
        <v>4427.0228897728002</v>
      </c>
      <c r="AR1423" s="2">
        <v>9427.0472624979593</v>
      </c>
      <c r="AS1423" s="2">
        <v>8815.9977489827306</v>
      </c>
      <c r="AT1423" s="2">
        <v>19965.546908243901</v>
      </c>
      <c r="AU1423" s="2">
        <v>12372.0325177837</v>
      </c>
      <c r="AV1423" s="2">
        <v>9296.2218562493199</v>
      </c>
      <c r="AW1423" s="2">
        <v>8547.8134159763995</v>
      </c>
      <c r="AX1423" s="2">
        <v>8951.5769589940392</v>
      </c>
    </row>
    <row r="1424" spans="1:50" x14ac:dyDescent="0.25">
      <c r="A1424" s="2" t="s">
        <v>9821</v>
      </c>
      <c r="B1424" s="2">
        <v>310.00213630474002</v>
      </c>
      <c r="C1424" s="2">
        <v>2.0702500000000001</v>
      </c>
      <c r="D1424" s="2" t="s">
        <v>51</v>
      </c>
      <c r="E1424" s="2" t="s">
        <v>9822</v>
      </c>
      <c r="F1424" s="2">
        <v>206864</v>
      </c>
      <c r="G1424" s="3" t="str">
        <f>HYPERLINK("https://cloud.oebiotech.com/#/lm/network/206864", "https://cloud.oebiotech.com/#/lm/network/206864")</f>
        <v>https://cloud.oebiotech.com/#/lm/network/206864</v>
      </c>
      <c r="H1424" s="2" t="s">
        <v>9823</v>
      </c>
      <c r="I1424" s="2">
        <v>68841</v>
      </c>
      <c r="J1424" s="2"/>
      <c r="K1424" s="2">
        <v>91677</v>
      </c>
      <c r="L1424" s="2" t="s">
        <v>9824</v>
      </c>
      <c r="M1424" s="2"/>
      <c r="N1424" s="2"/>
      <c r="O1424" s="2"/>
      <c r="P1424" s="2"/>
      <c r="Q1424" s="2"/>
      <c r="R1424" s="2" t="s">
        <v>9825</v>
      </c>
      <c r="S1424" s="2" t="s">
        <v>9826</v>
      </c>
      <c r="T1424" s="2" t="s">
        <v>9827</v>
      </c>
      <c r="U1424" s="2" t="s">
        <v>266</v>
      </c>
      <c r="V1424" s="2" t="s">
        <v>2432</v>
      </c>
      <c r="W1424" s="2" t="s">
        <v>9828</v>
      </c>
      <c r="X1424" s="2" t="s">
        <v>147</v>
      </c>
      <c r="Y1424" s="2">
        <v>37.9</v>
      </c>
      <c r="Z1424" s="2">
        <v>33.700000000000003</v>
      </c>
      <c r="AA1424" s="2" t="s">
        <v>163</v>
      </c>
      <c r="AB1424" s="2" t="s">
        <v>9829</v>
      </c>
      <c r="AC1424" s="2">
        <v>0.83191017600861705</v>
      </c>
      <c r="AD1424" s="2"/>
      <c r="AE1424" s="2">
        <v>0.44788156541760599</v>
      </c>
      <c r="AF1424" s="2">
        <v>39507.4943819482</v>
      </c>
      <c r="AG1424" s="2">
        <v>32894.640690522501</v>
      </c>
      <c r="AH1424" s="5">
        <v>1.2010313398355801</v>
      </c>
      <c r="AI1424" s="5">
        <v>0.26427379736783002</v>
      </c>
      <c r="AJ1424" s="5" t="s">
        <v>139</v>
      </c>
      <c r="AK1424" s="2">
        <v>6.5103096921209594E-2</v>
      </c>
      <c r="AL1424" s="2">
        <v>0.34084399155310502</v>
      </c>
      <c r="AM1424" s="2">
        <v>45193.074594342703</v>
      </c>
      <c r="AN1424" s="2">
        <v>39901.453822477502</v>
      </c>
      <c r="AO1424" s="2">
        <v>33696.376803007202</v>
      </c>
      <c r="AP1424" s="2">
        <v>42260.645254224502</v>
      </c>
      <c r="AQ1424" s="2">
        <v>46502.682014827296</v>
      </c>
      <c r="AR1424" s="2">
        <v>29490.733802810199</v>
      </c>
      <c r="AS1424" s="2">
        <v>30345.640124003101</v>
      </c>
      <c r="AT1424" s="2">
        <v>29914.395621472999</v>
      </c>
      <c r="AU1424" s="2">
        <v>29821.327554601401</v>
      </c>
      <c r="AV1424" s="2">
        <v>32925.295089214997</v>
      </c>
      <c r="AW1424" s="2">
        <v>33938.959332568404</v>
      </c>
      <c r="AX1424" s="2">
        <v>40422.226421273801</v>
      </c>
    </row>
    <row r="1425" spans="1:50" x14ac:dyDescent="0.25">
      <c r="A1425" s="2" t="s">
        <v>9830</v>
      </c>
      <c r="B1425" s="2">
        <v>154.06118343683099</v>
      </c>
      <c r="C1425" s="2">
        <v>0.65100000000000002</v>
      </c>
      <c r="D1425" s="2" t="s">
        <v>51</v>
      </c>
      <c r="E1425" s="2" t="s">
        <v>9831</v>
      </c>
      <c r="F1425" s="2">
        <v>46913</v>
      </c>
      <c r="G1425" s="3" t="str">
        <f>HYPERLINK("https://cloud.oebiotech.com/#/lm/network/46913", "https://cloud.oebiotech.com/#/lm/network/46913")</f>
        <v>https://cloud.oebiotech.com/#/lm/network/46913</v>
      </c>
      <c r="H1425" s="2" t="s">
        <v>9832</v>
      </c>
      <c r="I1425" s="2">
        <v>21</v>
      </c>
      <c r="J1425" s="2"/>
      <c r="K1425" s="2">
        <v>6274</v>
      </c>
      <c r="L1425" s="2" t="s">
        <v>9833</v>
      </c>
      <c r="M1425" s="2" t="s">
        <v>9834</v>
      </c>
      <c r="N1425" s="2" t="s">
        <v>9835</v>
      </c>
      <c r="O1425" s="2">
        <v>15971</v>
      </c>
      <c r="P1425" s="2"/>
      <c r="Q1425" s="2"/>
      <c r="R1425" s="2" t="s">
        <v>9836</v>
      </c>
      <c r="S1425" s="2" t="s">
        <v>9837</v>
      </c>
      <c r="T1425" s="2" t="s">
        <v>9838</v>
      </c>
      <c r="U1425" s="2" t="s">
        <v>103</v>
      </c>
      <c r="V1425" s="2" t="s">
        <v>104</v>
      </c>
      <c r="W1425" s="2" t="s">
        <v>105</v>
      </c>
      <c r="X1425" s="2" t="s">
        <v>69</v>
      </c>
      <c r="Y1425" s="2">
        <v>54.4</v>
      </c>
      <c r="Z1425" s="2">
        <v>75.400000000000006</v>
      </c>
      <c r="AA1425" s="2" t="s">
        <v>163</v>
      </c>
      <c r="AB1425" s="2" t="s">
        <v>9839</v>
      </c>
      <c r="AC1425" s="2">
        <v>-6.5562439612700603</v>
      </c>
      <c r="AD1425" s="2"/>
      <c r="AE1425" s="2">
        <v>0.44785267925261701</v>
      </c>
      <c r="AF1425" s="2">
        <v>37211.076811992301</v>
      </c>
      <c r="AG1425" s="2">
        <v>30300.249944911498</v>
      </c>
      <c r="AH1425" s="5">
        <v>1.2280782132043599</v>
      </c>
      <c r="AI1425" s="5">
        <v>0.29640244524294701</v>
      </c>
      <c r="AJ1425" s="5" t="s">
        <v>139</v>
      </c>
      <c r="AK1425" s="2">
        <v>0.50115906859251402</v>
      </c>
      <c r="AL1425" s="2">
        <v>0.73848792999006296</v>
      </c>
      <c r="AM1425" s="2">
        <v>74379.170180079396</v>
      </c>
      <c r="AN1425" s="2">
        <v>44645.733505120603</v>
      </c>
      <c r="AO1425" s="2">
        <v>27063.215074732401</v>
      </c>
      <c r="AP1425" s="2">
        <v>39128.9872377313</v>
      </c>
      <c r="AQ1425" s="2">
        <v>19374.260382470198</v>
      </c>
      <c r="AR1425" s="2">
        <v>18675.09449182</v>
      </c>
      <c r="AS1425" s="2">
        <v>15871.8465632319</v>
      </c>
      <c r="AT1425" s="2">
        <v>18789.379316684001</v>
      </c>
      <c r="AU1425" s="2">
        <v>48905.908087175601</v>
      </c>
      <c r="AV1425" s="2">
        <v>34655.0229299071</v>
      </c>
      <c r="AW1425" s="2">
        <v>35429.344005586099</v>
      </c>
      <c r="AX1425" s="2">
        <v>28149.998766884499</v>
      </c>
    </row>
    <row r="1426" spans="1:50" x14ac:dyDescent="0.25">
      <c r="A1426" s="2" t="s">
        <v>9840</v>
      </c>
      <c r="B1426" s="2">
        <v>385.23629840618798</v>
      </c>
      <c r="C1426" s="2">
        <v>9.8077500000000004</v>
      </c>
      <c r="D1426" s="2" t="s">
        <v>51</v>
      </c>
      <c r="E1426" s="2" t="s">
        <v>9841</v>
      </c>
      <c r="F1426" s="2">
        <v>257613</v>
      </c>
      <c r="G1426" s="3" t="str">
        <f>HYPERLINK("https://cloud.oebiotech.com/#/lm/network/257613", "https://cloud.oebiotech.com/#/lm/network/257613")</f>
        <v>https://cloud.oebiotech.com/#/lm/network/257613</v>
      </c>
      <c r="H1426" s="2" t="s">
        <v>9842</v>
      </c>
      <c r="I1426" s="2"/>
      <c r="J1426" s="2"/>
      <c r="K1426" s="2">
        <v>11750009</v>
      </c>
      <c r="L1426" s="2"/>
      <c r="M1426" s="2"/>
      <c r="N1426" s="2"/>
      <c r="O1426" s="2"/>
      <c r="P1426" s="2"/>
      <c r="Q1426" s="2"/>
      <c r="R1426" s="2"/>
      <c r="S1426" s="2" t="s">
        <v>9843</v>
      </c>
      <c r="T1426" s="2" t="s">
        <v>9844</v>
      </c>
      <c r="U1426" s="2" t="s">
        <v>56</v>
      </c>
      <c r="V1426" s="2" t="s">
        <v>283</v>
      </c>
      <c r="W1426" s="2" t="s">
        <v>492</v>
      </c>
      <c r="X1426" s="2" t="s">
        <v>83</v>
      </c>
      <c r="Y1426" s="2">
        <v>51.5</v>
      </c>
      <c r="Z1426" s="2">
        <v>0</v>
      </c>
      <c r="AA1426" s="2" t="s">
        <v>156</v>
      </c>
      <c r="AB1426" s="2" t="s">
        <v>9845</v>
      </c>
      <c r="AC1426" s="2">
        <v>-2.5793814192456801</v>
      </c>
      <c r="AD1426" s="2"/>
      <c r="AE1426" s="2">
        <v>0.44763569304193102</v>
      </c>
      <c r="AF1426" s="2">
        <v>11054.567160688001</v>
      </c>
      <c r="AG1426" s="2">
        <v>5536.4935843103503</v>
      </c>
      <c r="AH1426" s="5">
        <v>1.9966729830619001</v>
      </c>
      <c r="AI1426" s="5">
        <v>0.99759806620825997</v>
      </c>
      <c r="AJ1426" s="5" t="s">
        <v>139</v>
      </c>
      <c r="AK1426" s="2">
        <v>5.6686243316196303E-2</v>
      </c>
      <c r="AL1426" s="2">
        <v>0.325203556477003</v>
      </c>
      <c r="AM1426" s="2">
        <v>20276.492754447801</v>
      </c>
      <c r="AN1426" s="2">
        <v>8081.5111259264304</v>
      </c>
      <c r="AO1426" s="2">
        <v>4400.2972265575099</v>
      </c>
      <c r="AP1426" s="2">
        <v>6839.7863995675898</v>
      </c>
      <c r="AQ1426" s="2">
        <v>12605.0536908921</v>
      </c>
      <c r="AR1426" s="2">
        <v>14124.261766736499</v>
      </c>
      <c r="AS1426" s="2">
        <v>7355.6093674376098</v>
      </c>
      <c r="AT1426" s="2">
        <v>1558.1692253711799</v>
      </c>
      <c r="AU1426" s="2">
        <v>7126.2720458596204</v>
      </c>
      <c r="AV1426" s="2">
        <v>4574.8087012451297</v>
      </c>
      <c r="AW1426" s="2">
        <v>7941.8446980466597</v>
      </c>
      <c r="AX1426" s="2">
        <v>4662.2574679018899</v>
      </c>
    </row>
    <row r="1427" spans="1:50" x14ac:dyDescent="0.25">
      <c r="A1427" s="2" t="s">
        <v>9846</v>
      </c>
      <c r="B1427" s="2">
        <v>211.07202442234501</v>
      </c>
      <c r="C1427" s="2">
        <v>3.4837333333333298</v>
      </c>
      <c r="D1427" s="2" t="s">
        <v>51</v>
      </c>
      <c r="E1427" s="2" t="s">
        <v>9847</v>
      </c>
      <c r="F1427" s="2">
        <v>47473</v>
      </c>
      <c r="G1427" s="3" t="str">
        <f>HYPERLINK("https://cloud.oebiotech.com/#/lm/network/47473", "https://cloud.oebiotech.com/#/lm/network/47473")</f>
        <v>https://cloud.oebiotech.com/#/lm/network/47473</v>
      </c>
      <c r="H1427" s="2" t="s">
        <v>9848</v>
      </c>
      <c r="I1427" s="2">
        <v>6110</v>
      </c>
      <c r="J1427" s="2"/>
      <c r="K1427" s="2">
        <v>119405</v>
      </c>
      <c r="L1427" s="2" t="s">
        <v>9849</v>
      </c>
      <c r="M1427" s="2" t="s">
        <v>9850</v>
      </c>
      <c r="N1427" s="2" t="s">
        <v>9851</v>
      </c>
      <c r="O1427" s="2">
        <v>2003</v>
      </c>
      <c r="P1427" s="2"/>
      <c r="Q1427" s="2"/>
      <c r="R1427" s="2" t="s">
        <v>9852</v>
      </c>
      <c r="S1427" s="2" t="s">
        <v>9853</v>
      </c>
      <c r="T1427" s="2" t="s">
        <v>9854</v>
      </c>
      <c r="U1427" s="2" t="s">
        <v>266</v>
      </c>
      <c r="V1427" s="2" t="s">
        <v>445</v>
      </c>
      <c r="W1427" s="2" t="s">
        <v>5555</v>
      </c>
      <c r="X1427" s="2" t="s">
        <v>83</v>
      </c>
      <c r="Y1427" s="2">
        <v>40</v>
      </c>
      <c r="Z1427" s="2">
        <v>0</v>
      </c>
      <c r="AA1427" s="2" t="s">
        <v>512</v>
      </c>
      <c r="AB1427" s="2" t="s">
        <v>9855</v>
      </c>
      <c r="AC1427" s="2">
        <v>3.5805726206430299</v>
      </c>
      <c r="AD1427" s="2"/>
      <c r="AE1427" s="2">
        <v>0.44754714263780598</v>
      </c>
      <c r="AF1427" s="2">
        <v>8620.8696398140492</v>
      </c>
      <c r="AG1427" s="2">
        <v>39185.691401126896</v>
      </c>
      <c r="AH1427" s="4">
        <v>0.22000044739713701</v>
      </c>
      <c r="AI1427" s="4">
        <v>-2.1844216372420902</v>
      </c>
      <c r="AJ1427" s="4" t="s">
        <v>62</v>
      </c>
      <c r="AK1427" s="2">
        <v>0.43841960563714499</v>
      </c>
      <c r="AL1427" s="2">
        <v>0.69503262981781799</v>
      </c>
      <c r="AM1427" s="2">
        <v>3897.4748881324499</v>
      </c>
      <c r="AN1427" s="2">
        <v>15955.6523037201</v>
      </c>
      <c r="AO1427" s="2">
        <v>26221.9505335385</v>
      </c>
      <c r="AP1427" s="2">
        <v>2042.1755467661701</v>
      </c>
      <c r="AQ1427" s="2">
        <v>2082.1050982152801</v>
      </c>
      <c r="AR1427" s="2">
        <v>1525.8594685118301</v>
      </c>
      <c r="AS1427" s="2">
        <v>1291.8643187141699</v>
      </c>
      <c r="AT1427" s="2">
        <v>1033.17182928744</v>
      </c>
      <c r="AU1427" s="2">
        <v>227385.603328823</v>
      </c>
      <c r="AV1427" s="2">
        <v>3629.08795804073</v>
      </c>
      <c r="AW1427" s="2">
        <v>965.81709698640702</v>
      </c>
      <c r="AX1427" s="2">
        <v>808.60387490960397</v>
      </c>
    </row>
    <row r="1428" spans="1:50" x14ac:dyDescent="0.25">
      <c r="A1428" s="2" t="s">
        <v>9856</v>
      </c>
      <c r="B1428" s="2">
        <v>494.25566754106598</v>
      </c>
      <c r="C1428" s="2">
        <v>9.6638500000000001</v>
      </c>
      <c r="D1428" s="2" t="s">
        <v>51</v>
      </c>
      <c r="E1428" s="2" t="s">
        <v>9857</v>
      </c>
      <c r="F1428" s="2">
        <v>257418</v>
      </c>
      <c r="G1428" s="3" t="str">
        <f>HYPERLINK("https://cloud.oebiotech.com/#/lm/network/257418", "https://cloud.oebiotech.com/#/lm/network/257418")</f>
        <v>https://cloud.oebiotech.com/#/lm/network/257418</v>
      </c>
      <c r="H1428" s="2" t="s">
        <v>9858</v>
      </c>
      <c r="I1428" s="2"/>
      <c r="J1428" s="2"/>
      <c r="K1428" s="2">
        <v>5324264</v>
      </c>
      <c r="L1428" s="2"/>
      <c r="M1428" s="2"/>
      <c r="N1428" s="2"/>
      <c r="O1428" s="2"/>
      <c r="P1428" s="2"/>
      <c r="Q1428" s="2"/>
      <c r="R1428" s="2"/>
      <c r="S1428" s="2" t="s">
        <v>9859</v>
      </c>
      <c r="T1428" s="2" t="s">
        <v>9860</v>
      </c>
      <c r="U1428" s="2" t="s">
        <v>266</v>
      </c>
      <c r="V1428" s="2" t="s">
        <v>1785</v>
      </c>
      <c r="W1428" s="2" t="s">
        <v>1786</v>
      </c>
      <c r="X1428" s="2" t="s">
        <v>147</v>
      </c>
      <c r="Y1428" s="2">
        <v>37.9</v>
      </c>
      <c r="Z1428" s="2">
        <v>0</v>
      </c>
      <c r="AA1428" s="2" t="s">
        <v>512</v>
      </c>
      <c r="AB1428" s="2" t="s">
        <v>9861</v>
      </c>
      <c r="AC1428" s="2">
        <v>4.1016083361765601</v>
      </c>
      <c r="AD1428" s="2"/>
      <c r="AE1428" s="2">
        <v>0.44712938463493002</v>
      </c>
      <c r="AF1428" s="2">
        <v>4958.52886701639</v>
      </c>
      <c r="AG1428" s="2">
        <v>12573.1577687398</v>
      </c>
      <c r="AH1428" s="4">
        <v>0.39437418651856898</v>
      </c>
      <c r="AI1428" s="4">
        <v>-1.3423629706573701</v>
      </c>
      <c r="AJ1428" s="4" t="s">
        <v>62</v>
      </c>
      <c r="AK1428" s="2">
        <v>0.104513286785723</v>
      </c>
      <c r="AL1428" s="2">
        <v>0.41092409513035599</v>
      </c>
      <c r="AM1428" s="2">
        <v>8.559877937157E-6</v>
      </c>
      <c r="AN1428" s="2">
        <v>8.559877937157E-6</v>
      </c>
      <c r="AO1428" s="2">
        <v>8828.3968081474795</v>
      </c>
      <c r="AP1428" s="2">
        <v>5095.2053709196598</v>
      </c>
      <c r="AQ1428" s="2">
        <v>15577.985445414</v>
      </c>
      <c r="AR1428" s="2">
        <v>249.58556049747099</v>
      </c>
      <c r="AS1428" s="2">
        <v>18876.888882748099</v>
      </c>
      <c r="AT1428" s="2">
        <v>14153.869530162099</v>
      </c>
      <c r="AU1428" s="2">
        <v>20448.775497072002</v>
      </c>
      <c r="AV1428" s="2">
        <v>2093.31873991873</v>
      </c>
      <c r="AW1428" s="2">
        <v>2233.2187138255099</v>
      </c>
      <c r="AX1428" s="2">
        <v>17632.8752487126</v>
      </c>
    </row>
    <row r="1429" spans="1:50" x14ac:dyDescent="0.25">
      <c r="A1429" s="2" t="s">
        <v>9862</v>
      </c>
      <c r="B1429" s="2">
        <v>371.24434510507399</v>
      </c>
      <c r="C1429" s="2">
        <v>6.9602500000000003</v>
      </c>
      <c r="D1429" s="2" t="s">
        <v>51</v>
      </c>
      <c r="E1429" s="2" t="s">
        <v>9863</v>
      </c>
      <c r="F1429" s="2">
        <v>1860</v>
      </c>
      <c r="G1429" s="3" t="str">
        <f>HYPERLINK("https://cloud.oebiotech.com/#/lm/network/1860", "https://cloud.oebiotech.com/#/lm/network/1860")</f>
        <v>https://cloud.oebiotech.com/#/lm/network/1860</v>
      </c>
      <c r="H1429" s="2"/>
      <c r="I1429" s="2">
        <v>45834</v>
      </c>
      <c r="J1429" s="2" t="s">
        <v>9864</v>
      </c>
      <c r="K1429" s="2">
        <v>4488499</v>
      </c>
      <c r="L1429" s="2"/>
      <c r="M1429" s="2"/>
      <c r="N1429" s="2"/>
      <c r="O1429" s="2">
        <v>50452</v>
      </c>
      <c r="P1429" s="2"/>
      <c r="Q1429" s="2"/>
      <c r="R1429" s="2"/>
      <c r="S1429" s="2" t="s">
        <v>9865</v>
      </c>
      <c r="T1429" s="2" t="s">
        <v>9866</v>
      </c>
      <c r="U1429" s="2" t="s">
        <v>103</v>
      </c>
      <c r="V1429" s="2" t="s">
        <v>377</v>
      </c>
      <c r="W1429" s="2" t="s">
        <v>378</v>
      </c>
      <c r="X1429" s="2" t="s">
        <v>83</v>
      </c>
      <c r="Y1429" s="2">
        <v>40.9</v>
      </c>
      <c r="Z1429" s="2">
        <v>0</v>
      </c>
      <c r="AA1429" s="2" t="s">
        <v>478</v>
      </c>
      <c r="AB1429" s="2" t="s">
        <v>5454</v>
      </c>
      <c r="AC1429" s="2">
        <v>1.16229365126133</v>
      </c>
      <c r="AD1429" s="2"/>
      <c r="AE1429" s="2">
        <v>0.447088478140998</v>
      </c>
      <c r="AF1429" s="2">
        <v>7872.9856875548803</v>
      </c>
      <c r="AG1429" s="2">
        <v>3317.3908471566301</v>
      </c>
      <c r="AH1429" s="5">
        <v>2.3732463403589898</v>
      </c>
      <c r="AI1429" s="5">
        <v>1.2468618584622799</v>
      </c>
      <c r="AJ1429" s="5" t="s">
        <v>139</v>
      </c>
      <c r="AK1429" s="2">
        <v>4.0187188742803102E-2</v>
      </c>
      <c r="AL1429" s="2">
        <v>0.29155452793099101</v>
      </c>
      <c r="AM1429" s="2">
        <v>14195.000331552001</v>
      </c>
      <c r="AN1429" s="2">
        <v>10247.7526105542</v>
      </c>
      <c r="AO1429" s="2">
        <v>3979.7919372207598</v>
      </c>
      <c r="AP1429" s="2">
        <v>7763.4244286182602</v>
      </c>
      <c r="AQ1429" s="2">
        <v>6532.7472113208696</v>
      </c>
      <c r="AR1429" s="2">
        <v>4519.1976060631996</v>
      </c>
      <c r="AS1429" s="2">
        <v>2903.70927116745</v>
      </c>
      <c r="AT1429" s="2">
        <v>273.01526842783198</v>
      </c>
      <c r="AU1429" s="2">
        <v>8333.4538043482899</v>
      </c>
      <c r="AV1429" s="2">
        <v>1517.2518438995801</v>
      </c>
      <c r="AW1429" s="2">
        <v>3896.90734025859</v>
      </c>
      <c r="AX1429" s="2">
        <v>2980.00755483803</v>
      </c>
    </row>
    <row r="1430" spans="1:50" x14ac:dyDescent="0.25">
      <c r="A1430" s="2" t="s">
        <v>9867</v>
      </c>
      <c r="B1430" s="2">
        <v>252.19644959793999</v>
      </c>
      <c r="C1430" s="2">
        <v>4.4428333333333301</v>
      </c>
      <c r="D1430" s="2" t="s">
        <v>51</v>
      </c>
      <c r="E1430" s="2" t="s">
        <v>9868</v>
      </c>
      <c r="F1430" s="2">
        <v>60152</v>
      </c>
      <c r="G1430" s="3" t="str">
        <f>HYPERLINK("https://cloud.oebiotech.com/#/lm/network/60152", "https://cloud.oebiotech.com/#/lm/network/60152")</f>
        <v>https://cloud.oebiotech.com/#/lm/network/60152</v>
      </c>
      <c r="H1430" s="2" t="s">
        <v>9869</v>
      </c>
      <c r="I1430" s="2">
        <v>91535</v>
      </c>
      <c r="J1430" s="2"/>
      <c r="K1430" s="2">
        <v>14059031</v>
      </c>
      <c r="L1430" s="2"/>
      <c r="M1430" s="2"/>
      <c r="N1430" s="2"/>
      <c r="O1430" s="2"/>
      <c r="P1430" s="2"/>
      <c r="Q1430" s="2"/>
      <c r="R1430" s="2" t="s">
        <v>9870</v>
      </c>
      <c r="S1430" s="2" t="s">
        <v>9871</v>
      </c>
      <c r="T1430" s="2" t="s">
        <v>9872</v>
      </c>
      <c r="U1430" s="2" t="s">
        <v>56</v>
      </c>
      <c r="V1430" s="2" t="s">
        <v>177</v>
      </c>
      <c r="W1430" s="2" t="s">
        <v>584</v>
      </c>
      <c r="X1430" s="2" t="s">
        <v>147</v>
      </c>
      <c r="Y1430" s="2">
        <v>37.799999999999997</v>
      </c>
      <c r="Z1430" s="2">
        <v>4.45</v>
      </c>
      <c r="AA1430" s="2" t="s">
        <v>512</v>
      </c>
      <c r="AB1430" s="2" t="s">
        <v>4027</v>
      </c>
      <c r="AC1430" s="2">
        <v>2.7507594532569302</v>
      </c>
      <c r="AD1430" s="2"/>
      <c r="AE1430" s="2">
        <v>0.44707805768471198</v>
      </c>
      <c r="AF1430" s="2">
        <v>111.460664254973</v>
      </c>
      <c r="AG1430" s="2">
        <v>10340.051445561799</v>
      </c>
      <c r="AH1430" s="4">
        <v>1.0779507707654099E-2</v>
      </c>
      <c r="AI1430" s="4">
        <v>-6.5355648970223097</v>
      </c>
      <c r="AJ1430" s="4" t="s">
        <v>62</v>
      </c>
      <c r="AK1430" s="2">
        <v>0.14954802397203601</v>
      </c>
      <c r="AL1430" s="2">
        <v>0.47031936617444198</v>
      </c>
      <c r="AM1430" s="2">
        <v>112.80720602735001</v>
      </c>
      <c r="AN1430" s="2">
        <v>35.271603085131403</v>
      </c>
      <c r="AO1430" s="2">
        <v>29.079500361329298</v>
      </c>
      <c r="AP1430" s="2">
        <v>8.559877937157E-6</v>
      </c>
      <c r="AQ1430" s="2">
        <v>126.992717101547</v>
      </c>
      <c r="AR1430" s="2">
        <v>364.61295039459998</v>
      </c>
      <c r="AS1430" s="2">
        <v>41.473397314875697</v>
      </c>
      <c r="AT1430" s="2">
        <v>317.937682717592</v>
      </c>
      <c r="AU1430" s="2">
        <v>41427.973997790898</v>
      </c>
      <c r="AV1430" s="2">
        <v>12111.9398005206</v>
      </c>
      <c r="AW1430" s="2">
        <v>8133.8018644159501</v>
      </c>
      <c r="AX1430" s="2">
        <v>7.1819306105907303</v>
      </c>
    </row>
    <row r="1431" spans="1:50" x14ac:dyDescent="0.25">
      <c r="A1431" s="2" t="s">
        <v>9873</v>
      </c>
      <c r="B1431" s="2">
        <v>292.20273638089202</v>
      </c>
      <c r="C1431" s="2">
        <v>6.2703499999999996</v>
      </c>
      <c r="D1431" s="2" t="s">
        <v>51</v>
      </c>
      <c r="E1431" s="2" t="s">
        <v>9874</v>
      </c>
      <c r="F1431" s="2">
        <v>39016</v>
      </c>
      <c r="G1431" s="3" t="str">
        <f>HYPERLINK("https://cloud.oebiotech.com/#/lm/network/39016", "https://cloud.oebiotech.com/#/lm/network/39016")</f>
        <v>https://cloud.oebiotech.com/#/lm/network/39016</v>
      </c>
      <c r="H1431" s="2"/>
      <c r="I1431" s="2"/>
      <c r="J1431" s="2" t="s">
        <v>9875</v>
      </c>
      <c r="K1431" s="2">
        <v>101101126</v>
      </c>
      <c r="L1431" s="2"/>
      <c r="M1431" s="2"/>
      <c r="N1431" s="2"/>
      <c r="O1431" s="2"/>
      <c r="P1431" s="2"/>
      <c r="Q1431" s="2"/>
      <c r="R1431" s="2"/>
      <c r="S1431" s="2" t="s">
        <v>9876</v>
      </c>
      <c r="T1431" s="2" t="s">
        <v>9877</v>
      </c>
      <c r="U1431" s="2" t="s">
        <v>119</v>
      </c>
      <c r="V1431" s="2" t="s">
        <v>120</v>
      </c>
      <c r="W1431" s="2" t="s">
        <v>1887</v>
      </c>
      <c r="X1431" s="2" t="s">
        <v>59</v>
      </c>
      <c r="Y1431" s="2">
        <v>48.4</v>
      </c>
      <c r="Z1431" s="2">
        <v>49.5</v>
      </c>
      <c r="AA1431" s="2" t="s">
        <v>395</v>
      </c>
      <c r="AB1431" s="2" t="s">
        <v>9878</v>
      </c>
      <c r="AC1431" s="2">
        <v>-3.89478533649724</v>
      </c>
      <c r="AD1431" s="2"/>
      <c r="AE1431" s="2">
        <v>0.44690322528402199</v>
      </c>
      <c r="AF1431" s="2">
        <v>2618.84613845271</v>
      </c>
      <c r="AG1431" s="2">
        <v>9731.6409816198302</v>
      </c>
      <c r="AH1431" s="4">
        <v>0.26910632476053398</v>
      </c>
      <c r="AI1431" s="4">
        <v>-1.8937517960925001</v>
      </c>
      <c r="AJ1431" s="4" t="s">
        <v>62</v>
      </c>
      <c r="AK1431" s="2">
        <v>0.25677847165893197</v>
      </c>
      <c r="AL1431" s="2">
        <v>0.57898146204444401</v>
      </c>
      <c r="AM1431" s="2">
        <v>3450.5775607957698</v>
      </c>
      <c r="AN1431" s="2">
        <v>275.317899369987</v>
      </c>
      <c r="AO1431" s="2">
        <v>1960.90943045888</v>
      </c>
      <c r="AP1431" s="2">
        <v>8678.4117992144693</v>
      </c>
      <c r="AQ1431" s="2">
        <v>979.05060255359604</v>
      </c>
      <c r="AR1431" s="2">
        <v>368.80953832353703</v>
      </c>
      <c r="AS1431" s="2">
        <v>30268.956956045</v>
      </c>
      <c r="AT1431" s="2">
        <v>349.48782719078201</v>
      </c>
      <c r="AU1431" s="2">
        <v>274.72215901310199</v>
      </c>
      <c r="AV1431" s="2">
        <v>355.81793712086898</v>
      </c>
      <c r="AW1431" s="2">
        <v>1706.9190285106399</v>
      </c>
      <c r="AX1431" s="2">
        <v>25433.941981838601</v>
      </c>
    </row>
    <row r="1432" spans="1:50" x14ac:dyDescent="0.25">
      <c r="A1432" s="2" t="s">
        <v>9879</v>
      </c>
      <c r="B1432" s="2">
        <v>450.35888269694402</v>
      </c>
      <c r="C1432" s="2">
        <v>10.073</v>
      </c>
      <c r="D1432" s="2" t="s">
        <v>51</v>
      </c>
      <c r="E1432" s="2" t="s">
        <v>9880</v>
      </c>
      <c r="F1432" s="2">
        <v>198117</v>
      </c>
      <c r="G1432" s="3" t="str">
        <f>HYPERLINK("https://cloud.oebiotech.com/#/lm/network/198117", "https://cloud.oebiotech.com/#/lm/network/198117")</f>
        <v>https://cloud.oebiotech.com/#/lm/network/198117</v>
      </c>
      <c r="H1432" s="2" t="s">
        <v>9881</v>
      </c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 t="s">
        <v>9882</v>
      </c>
      <c r="T1432" s="2" t="s">
        <v>9883</v>
      </c>
      <c r="U1432" s="2" t="s">
        <v>56</v>
      </c>
      <c r="V1432" s="2" t="s">
        <v>145</v>
      </c>
      <c r="W1432" s="2" t="s">
        <v>1188</v>
      </c>
      <c r="X1432" s="2" t="s">
        <v>69</v>
      </c>
      <c r="Y1432" s="2">
        <v>54.2</v>
      </c>
      <c r="Z1432" s="2">
        <v>64.900000000000006</v>
      </c>
      <c r="AA1432" s="2" t="s">
        <v>259</v>
      </c>
      <c r="AB1432" s="2" t="s">
        <v>9884</v>
      </c>
      <c r="AC1432" s="2">
        <v>2.4419124764667299</v>
      </c>
      <c r="AD1432" s="2"/>
      <c r="AE1432" s="2">
        <v>0.44647601223967498</v>
      </c>
      <c r="AF1432" s="2">
        <v>43902.485586900802</v>
      </c>
      <c r="AG1432" s="2">
        <v>35891.813654970698</v>
      </c>
      <c r="AH1432" s="5">
        <v>1.22318938822476</v>
      </c>
      <c r="AI1432" s="5">
        <v>0.29064779576989003</v>
      </c>
      <c r="AJ1432" s="5" t="s">
        <v>139</v>
      </c>
      <c r="AK1432" s="2">
        <v>0.701349267478099</v>
      </c>
      <c r="AL1432" s="2">
        <v>0.85669709430500596</v>
      </c>
      <c r="AM1432" s="2">
        <v>119987.368139742</v>
      </c>
      <c r="AN1432" s="2">
        <v>21452.817283297802</v>
      </c>
      <c r="AO1432" s="2">
        <v>44894.1569346744</v>
      </c>
      <c r="AP1432" s="2">
        <v>47303.056187852897</v>
      </c>
      <c r="AQ1432" s="2">
        <v>16804.4546284639</v>
      </c>
      <c r="AR1432" s="2">
        <v>12973.060347373799</v>
      </c>
      <c r="AS1432" s="2">
        <v>16599.3255362452</v>
      </c>
      <c r="AT1432" s="2">
        <v>10470.414909056501</v>
      </c>
      <c r="AU1432" s="2">
        <v>84341.642309027593</v>
      </c>
      <c r="AV1432" s="2">
        <v>35247.081254987497</v>
      </c>
      <c r="AW1432" s="2">
        <v>56591.891373693798</v>
      </c>
      <c r="AX1432" s="2">
        <v>12100.5265468139</v>
      </c>
    </row>
    <row r="1433" spans="1:50" x14ac:dyDescent="0.25">
      <c r="A1433" s="2" t="s">
        <v>9885</v>
      </c>
      <c r="B1433" s="2">
        <v>259.00096914896199</v>
      </c>
      <c r="C1433" s="2">
        <v>7.0490333333333304</v>
      </c>
      <c r="D1433" s="2" t="s">
        <v>51</v>
      </c>
      <c r="E1433" s="2" t="s">
        <v>9886</v>
      </c>
      <c r="F1433" s="2">
        <v>201532</v>
      </c>
      <c r="G1433" s="3" t="str">
        <f>HYPERLINK("https://cloud.oebiotech.com/#/lm/network/201532", "https://cloud.oebiotech.com/#/lm/network/201532")</f>
        <v>https://cloud.oebiotech.com/#/lm/network/201532</v>
      </c>
      <c r="H1433" s="2" t="s">
        <v>9887</v>
      </c>
      <c r="I1433" s="2"/>
      <c r="J1433" s="2"/>
      <c r="K1433" s="2">
        <v>1478348</v>
      </c>
      <c r="L1433" s="2"/>
      <c r="M1433" s="2"/>
      <c r="N1433" s="2"/>
      <c r="O1433" s="2"/>
      <c r="P1433" s="2"/>
      <c r="Q1433" s="2"/>
      <c r="R1433" s="2"/>
      <c r="S1433" s="2" t="s">
        <v>9888</v>
      </c>
      <c r="T1433" s="2" t="s">
        <v>9889</v>
      </c>
      <c r="U1433" s="2" t="s">
        <v>266</v>
      </c>
      <c r="V1433" s="2" t="s">
        <v>4093</v>
      </c>
      <c r="W1433" s="2" t="s">
        <v>240</v>
      </c>
      <c r="X1433" s="2" t="s">
        <v>147</v>
      </c>
      <c r="Y1433" s="2">
        <v>37.200000000000003</v>
      </c>
      <c r="Z1433" s="2">
        <v>0</v>
      </c>
      <c r="AA1433" s="2" t="s">
        <v>163</v>
      </c>
      <c r="AB1433" s="2" t="s">
        <v>9890</v>
      </c>
      <c r="AC1433" s="2">
        <v>1.6949308199735</v>
      </c>
      <c r="AD1433" s="2"/>
      <c r="AE1433" s="2">
        <v>0.44624475459533303</v>
      </c>
      <c r="AF1433" s="2">
        <v>29343.136230415701</v>
      </c>
      <c r="AG1433" s="2">
        <v>35075.5358803532</v>
      </c>
      <c r="AH1433" s="4">
        <v>0.83656986255345001</v>
      </c>
      <c r="AI1433" s="4">
        <v>-0.25744206908786899</v>
      </c>
      <c r="AJ1433" s="4" t="s">
        <v>62</v>
      </c>
      <c r="AK1433" s="2">
        <v>7.8512338320323602E-2</v>
      </c>
      <c r="AL1433" s="2">
        <v>0.36259246282337698</v>
      </c>
      <c r="AM1433" s="2">
        <v>22774.0286112633</v>
      </c>
      <c r="AN1433" s="2">
        <v>29587.356618519101</v>
      </c>
      <c r="AO1433" s="2">
        <v>33667.075817328601</v>
      </c>
      <c r="AP1433" s="2">
        <v>29965.1699147207</v>
      </c>
      <c r="AQ1433" s="2">
        <v>33999.008432180999</v>
      </c>
      <c r="AR1433" s="2">
        <v>26066.177988481501</v>
      </c>
      <c r="AS1433" s="2">
        <v>33787.0595648175</v>
      </c>
      <c r="AT1433" s="2">
        <v>39466.734380335802</v>
      </c>
      <c r="AU1433" s="2">
        <v>27947.0452673537</v>
      </c>
      <c r="AV1433" s="2">
        <v>38461.567894503802</v>
      </c>
      <c r="AW1433" s="2">
        <v>29125.3069728464</v>
      </c>
      <c r="AX1433" s="2">
        <v>41665.501202262101</v>
      </c>
    </row>
    <row r="1434" spans="1:50" x14ac:dyDescent="0.25">
      <c r="A1434" s="2" t="s">
        <v>9891</v>
      </c>
      <c r="B1434" s="2">
        <v>432.99204326494601</v>
      </c>
      <c r="C1434" s="2">
        <v>15.3635</v>
      </c>
      <c r="D1434" s="2" t="s">
        <v>51</v>
      </c>
      <c r="E1434" s="2" t="s">
        <v>9892</v>
      </c>
      <c r="F1434" s="2">
        <v>64835</v>
      </c>
      <c r="G1434" s="3" t="str">
        <f>HYPERLINK("https://cloud.oebiotech.com/#/lm/network/64835", "https://cloud.oebiotech.com/#/lm/network/64835")</f>
        <v>https://cloud.oebiotech.com/#/lm/network/64835</v>
      </c>
      <c r="H1434" s="2" t="s">
        <v>9893</v>
      </c>
      <c r="I1434" s="2">
        <v>96133</v>
      </c>
      <c r="J1434" s="2"/>
      <c r="K1434" s="2">
        <v>29986831</v>
      </c>
      <c r="L1434" s="2"/>
      <c r="M1434" s="2"/>
      <c r="N1434" s="2"/>
      <c r="O1434" s="2"/>
      <c r="P1434" s="2"/>
      <c r="Q1434" s="2"/>
      <c r="R1434" s="2"/>
      <c r="S1434" s="2" t="s">
        <v>9894</v>
      </c>
      <c r="T1434" s="2" t="s">
        <v>9895</v>
      </c>
      <c r="U1434" s="2" t="s">
        <v>540</v>
      </c>
      <c r="V1434" s="2" t="s">
        <v>7590</v>
      </c>
      <c r="W1434" s="2" t="s">
        <v>240</v>
      </c>
      <c r="X1434" s="2" t="s">
        <v>147</v>
      </c>
      <c r="Y1434" s="2">
        <v>38</v>
      </c>
      <c r="Z1434" s="2">
        <v>15.5</v>
      </c>
      <c r="AA1434" s="2" t="s">
        <v>218</v>
      </c>
      <c r="AB1434" s="2" t="s">
        <v>9896</v>
      </c>
      <c r="AC1434" s="2">
        <v>4.0372815941103699</v>
      </c>
      <c r="AD1434" s="2"/>
      <c r="AE1434" s="2">
        <v>0.44614706277286598</v>
      </c>
      <c r="AF1434" s="2">
        <v>24143.4028250669</v>
      </c>
      <c r="AG1434" s="2">
        <v>28980.1991232369</v>
      </c>
      <c r="AH1434" s="4">
        <v>0.83309996326796099</v>
      </c>
      <c r="AI1434" s="4">
        <v>-0.26343848061901598</v>
      </c>
      <c r="AJ1434" s="4" t="s">
        <v>62</v>
      </c>
      <c r="AK1434" s="2">
        <v>3.78076404531082E-2</v>
      </c>
      <c r="AL1434" s="2">
        <v>0.28485274285546103</v>
      </c>
      <c r="AM1434" s="2">
        <v>20548.703877326599</v>
      </c>
      <c r="AN1434" s="2">
        <v>26184.6693951626</v>
      </c>
      <c r="AO1434" s="2">
        <v>26514.584183024399</v>
      </c>
      <c r="AP1434" s="2">
        <v>25595.177159287501</v>
      </c>
      <c r="AQ1434" s="2">
        <v>26429.220598425902</v>
      </c>
      <c r="AR1434" s="2">
        <v>19588.061737174299</v>
      </c>
      <c r="AS1434" s="2">
        <v>27346.6763651527</v>
      </c>
      <c r="AT1434" s="2">
        <v>29663.6971773353</v>
      </c>
      <c r="AU1434" s="2">
        <v>22315.713124710699</v>
      </c>
      <c r="AV1434" s="2">
        <v>33055.647625845297</v>
      </c>
      <c r="AW1434" s="2">
        <v>29909.628605129699</v>
      </c>
      <c r="AX1434" s="2">
        <v>31589.831841247898</v>
      </c>
    </row>
    <row r="1435" spans="1:50" x14ac:dyDescent="0.25">
      <c r="A1435" s="2" t="s">
        <v>9897</v>
      </c>
      <c r="B1435" s="2">
        <v>133.09757966147899</v>
      </c>
      <c r="C1435" s="2">
        <v>0.59993333333333299</v>
      </c>
      <c r="D1435" s="2" t="s">
        <v>51</v>
      </c>
      <c r="E1435" s="2" t="s">
        <v>9898</v>
      </c>
      <c r="F1435" s="2">
        <v>48082</v>
      </c>
      <c r="G1435" s="3" t="str">
        <f>HYPERLINK("https://cloud.oebiotech.com/#/lm/network/48082", "https://cloud.oebiotech.com/#/lm/network/48082")</f>
        <v>https://cloud.oebiotech.com/#/lm/network/48082</v>
      </c>
      <c r="H1435" s="2" t="s">
        <v>9899</v>
      </c>
      <c r="I1435" s="2">
        <v>6910</v>
      </c>
      <c r="J1435" s="2"/>
      <c r="K1435" s="2">
        <v>71082</v>
      </c>
      <c r="L1435" s="2" t="s">
        <v>9900</v>
      </c>
      <c r="M1435" s="2" t="s">
        <v>9901</v>
      </c>
      <c r="N1435" s="2" t="s">
        <v>9902</v>
      </c>
      <c r="O1435" s="2">
        <v>16176</v>
      </c>
      <c r="P1435" s="2"/>
      <c r="Q1435" s="2"/>
      <c r="R1435" s="2" t="s">
        <v>9903</v>
      </c>
      <c r="S1435" s="2" t="s">
        <v>9904</v>
      </c>
      <c r="T1435" s="2" t="s">
        <v>9905</v>
      </c>
      <c r="U1435" s="2" t="s">
        <v>103</v>
      </c>
      <c r="V1435" s="2" t="s">
        <v>104</v>
      </c>
      <c r="W1435" s="2" t="s">
        <v>105</v>
      </c>
      <c r="X1435" s="2" t="s">
        <v>69</v>
      </c>
      <c r="Y1435" s="2">
        <v>56.1</v>
      </c>
      <c r="Z1435" s="2">
        <v>86.5</v>
      </c>
      <c r="AA1435" s="2" t="s">
        <v>179</v>
      </c>
      <c r="AB1435" s="2" t="s">
        <v>3193</v>
      </c>
      <c r="AC1435" s="2">
        <v>3.2220176675370502</v>
      </c>
      <c r="AD1435" s="2"/>
      <c r="AE1435" s="2">
        <v>0.44582114403915202</v>
      </c>
      <c r="AF1435" s="2">
        <v>79775.9835428222</v>
      </c>
      <c r="AG1435" s="2">
        <v>96851.088678178799</v>
      </c>
      <c r="AH1435" s="4">
        <v>0.82369733403725998</v>
      </c>
      <c r="AI1435" s="4">
        <v>-0.27981377555850201</v>
      </c>
      <c r="AJ1435" s="4" t="s">
        <v>62</v>
      </c>
      <c r="AK1435" s="2">
        <v>0.60793243236676897</v>
      </c>
      <c r="AL1435" s="2">
        <v>0.80448616752299296</v>
      </c>
      <c r="AM1435" s="2">
        <v>122971.39510210999</v>
      </c>
      <c r="AN1435" s="2">
        <v>54904.942424951601</v>
      </c>
      <c r="AO1435" s="2">
        <v>68064.2392784892</v>
      </c>
      <c r="AP1435" s="2">
        <v>98739.462656558506</v>
      </c>
      <c r="AQ1435" s="2">
        <v>81733.151853921197</v>
      </c>
      <c r="AR1435" s="2">
        <v>52242.709940902598</v>
      </c>
      <c r="AS1435" s="2">
        <v>29298.903015889198</v>
      </c>
      <c r="AT1435" s="2">
        <v>38762.093689026398</v>
      </c>
      <c r="AU1435" s="2">
        <v>106869.220446038</v>
      </c>
      <c r="AV1435" s="2">
        <v>229368.15246192701</v>
      </c>
      <c r="AW1435" s="2">
        <v>117546.71933204299</v>
      </c>
      <c r="AX1435" s="2">
        <v>59261.443124149497</v>
      </c>
    </row>
    <row r="1436" spans="1:50" x14ac:dyDescent="0.25">
      <c r="A1436" s="2" t="s">
        <v>9906</v>
      </c>
      <c r="B1436" s="2">
        <v>459.00969140793597</v>
      </c>
      <c r="C1436" s="2">
        <v>13.159000000000001</v>
      </c>
      <c r="D1436" s="2" t="s">
        <v>51</v>
      </c>
      <c r="E1436" s="2" t="s">
        <v>9907</v>
      </c>
      <c r="F1436" s="2">
        <v>54807</v>
      </c>
      <c r="G1436" s="3" t="str">
        <f>HYPERLINK("https://cloud.oebiotech.com/#/lm/network/54807", "https://cloud.oebiotech.com/#/lm/network/54807")</f>
        <v>https://cloud.oebiotech.com/#/lm/network/54807</v>
      </c>
      <c r="H1436" s="2" t="s">
        <v>9908</v>
      </c>
      <c r="I1436" s="2"/>
      <c r="J1436" s="2"/>
      <c r="K1436" s="2">
        <v>131704328</v>
      </c>
      <c r="L1436" s="2" t="s">
        <v>9909</v>
      </c>
      <c r="M1436" s="2" t="s">
        <v>9910</v>
      </c>
      <c r="N1436" s="2" t="s">
        <v>9911</v>
      </c>
      <c r="O1436" s="2">
        <v>17548</v>
      </c>
      <c r="P1436" s="2"/>
      <c r="Q1436" s="2"/>
      <c r="R1436" s="2" t="s">
        <v>9912</v>
      </c>
      <c r="S1436" s="2" t="s">
        <v>9913</v>
      </c>
      <c r="T1436" s="2" t="s">
        <v>9914</v>
      </c>
      <c r="U1436" s="2" t="s">
        <v>331</v>
      </c>
      <c r="V1436" s="2" t="s">
        <v>332</v>
      </c>
      <c r="W1436" s="2" t="s">
        <v>333</v>
      </c>
      <c r="X1436" s="2" t="s">
        <v>147</v>
      </c>
      <c r="Y1436" s="2">
        <v>37.6</v>
      </c>
      <c r="Z1436" s="2">
        <v>0</v>
      </c>
      <c r="AA1436" s="2" t="s">
        <v>218</v>
      </c>
      <c r="AB1436" s="2" t="s">
        <v>9915</v>
      </c>
      <c r="AC1436" s="2">
        <v>-0.50885012364848003</v>
      </c>
      <c r="AD1436" s="2"/>
      <c r="AE1436" s="2">
        <v>0.44559199146978301</v>
      </c>
      <c r="AF1436" s="2">
        <v>21496.990227497401</v>
      </c>
      <c r="AG1436" s="2">
        <v>25351.278182137401</v>
      </c>
      <c r="AH1436" s="4">
        <v>0.847964748485313</v>
      </c>
      <c r="AI1436" s="4">
        <v>-0.237923804441485</v>
      </c>
      <c r="AJ1436" s="4" t="s">
        <v>62</v>
      </c>
      <c r="AK1436" s="2">
        <v>6.1122095985417801E-4</v>
      </c>
      <c r="AL1436" s="2">
        <v>6.2440111341753798E-2</v>
      </c>
      <c r="AM1436" s="2">
        <v>20060.2491947036</v>
      </c>
      <c r="AN1436" s="2">
        <v>21436.852582331499</v>
      </c>
      <c r="AO1436" s="2">
        <v>21816.633705419099</v>
      </c>
      <c r="AP1436" s="2">
        <v>22550.8549335936</v>
      </c>
      <c r="AQ1436" s="2">
        <v>22785.197895178899</v>
      </c>
      <c r="AR1436" s="2">
        <v>20332.1530537576</v>
      </c>
      <c r="AS1436" s="2">
        <v>26605.864477818599</v>
      </c>
      <c r="AT1436" s="2">
        <v>26878.150773706599</v>
      </c>
      <c r="AU1436" s="2">
        <v>22742.907178701102</v>
      </c>
      <c r="AV1436" s="2">
        <v>24639.844513190401</v>
      </c>
      <c r="AW1436" s="2">
        <v>24985.250816600699</v>
      </c>
      <c r="AX1436" s="2">
        <v>26255.6513328072</v>
      </c>
    </row>
    <row r="1437" spans="1:50" x14ac:dyDescent="0.25">
      <c r="A1437" s="2" t="s">
        <v>9916</v>
      </c>
      <c r="B1437" s="2">
        <v>431.18961765846302</v>
      </c>
      <c r="C1437" s="2">
        <v>13.346133333333301</v>
      </c>
      <c r="D1437" s="2" t="s">
        <v>51</v>
      </c>
      <c r="E1437" s="2" t="s">
        <v>9917</v>
      </c>
      <c r="F1437" s="2">
        <v>210971</v>
      </c>
      <c r="G1437" s="3" t="str">
        <f>HYPERLINK("https://cloud.oebiotech.com/#/lm/network/210971", "https://cloud.oebiotech.com/#/lm/network/210971")</f>
        <v>https://cloud.oebiotech.com/#/lm/network/210971</v>
      </c>
      <c r="H1437" s="2" t="s">
        <v>9918</v>
      </c>
      <c r="I1437" s="2"/>
      <c r="J1437" s="2"/>
      <c r="K1437" s="2">
        <v>53393991</v>
      </c>
      <c r="L1437" s="2"/>
      <c r="M1437" s="2"/>
      <c r="N1437" s="2"/>
      <c r="O1437" s="2"/>
      <c r="P1437" s="2"/>
      <c r="Q1437" s="2"/>
      <c r="R1437" s="2"/>
      <c r="S1437" s="2" t="s">
        <v>9919</v>
      </c>
      <c r="T1437" s="2" t="s">
        <v>9920</v>
      </c>
      <c r="U1437" s="2" t="s">
        <v>610</v>
      </c>
      <c r="V1437" s="2" t="s">
        <v>611</v>
      </c>
      <c r="W1437" s="2" t="s">
        <v>9921</v>
      </c>
      <c r="X1437" s="2" t="s">
        <v>147</v>
      </c>
      <c r="Y1437" s="2">
        <v>41</v>
      </c>
      <c r="Z1437" s="2">
        <v>14.2</v>
      </c>
      <c r="AA1437" s="2" t="s">
        <v>379</v>
      </c>
      <c r="AB1437" s="2" t="s">
        <v>9922</v>
      </c>
      <c r="AC1437" s="2">
        <v>-0.33546584677570501</v>
      </c>
      <c r="AD1437" s="2"/>
      <c r="AE1437" s="2">
        <v>0.44552056158161002</v>
      </c>
      <c r="AF1437" s="2">
        <v>21898.550059659101</v>
      </c>
      <c r="AG1437" s="2">
        <v>29696.368196956199</v>
      </c>
      <c r="AH1437" s="4">
        <v>0.73741509111217196</v>
      </c>
      <c r="AI1437" s="4">
        <v>-0.43945115357102099</v>
      </c>
      <c r="AJ1437" s="4" t="s">
        <v>62</v>
      </c>
      <c r="AK1437" s="2">
        <v>0.20302335681411901</v>
      </c>
      <c r="AL1437" s="2">
        <v>0.52773628257680505</v>
      </c>
      <c r="AM1437" s="2">
        <v>18257.825141978199</v>
      </c>
      <c r="AN1437" s="2">
        <v>18027.4814632044</v>
      </c>
      <c r="AO1437" s="2">
        <v>21651.212720522999</v>
      </c>
      <c r="AP1437" s="2">
        <v>19752.0271579002</v>
      </c>
      <c r="AQ1437" s="2">
        <v>26872.859132201502</v>
      </c>
      <c r="AR1437" s="2">
        <v>26829.894742147098</v>
      </c>
      <c r="AS1437" s="2">
        <v>11070.982971572501</v>
      </c>
      <c r="AT1437" s="2">
        <v>16575.8959501551</v>
      </c>
      <c r="AU1437" s="2">
        <v>43219.580335088998</v>
      </c>
      <c r="AV1437" s="2">
        <v>37098.248951735499</v>
      </c>
      <c r="AW1437" s="2">
        <v>41657.386662982703</v>
      </c>
      <c r="AX1437" s="2">
        <v>28556.114310202302</v>
      </c>
    </row>
    <row r="1438" spans="1:50" x14ac:dyDescent="0.25">
      <c r="A1438" s="2" t="s">
        <v>9923</v>
      </c>
      <c r="B1438" s="2">
        <v>578.28363785362797</v>
      </c>
      <c r="C1438" s="2">
        <v>4.5660166666666697</v>
      </c>
      <c r="D1438" s="2" t="s">
        <v>51</v>
      </c>
      <c r="E1438" s="2" t="s">
        <v>9924</v>
      </c>
      <c r="F1438" s="2">
        <v>22458</v>
      </c>
      <c r="G1438" s="3" t="str">
        <f>HYPERLINK("https://cloud.oebiotech.com/#/lm/network/22458", "https://cloud.oebiotech.com/#/lm/network/22458")</f>
        <v>https://cloud.oebiotech.com/#/lm/network/22458</v>
      </c>
      <c r="H1438" s="2"/>
      <c r="I1438" s="2">
        <v>78855</v>
      </c>
      <c r="J1438" s="2" t="s">
        <v>9925</v>
      </c>
      <c r="K1438" s="2">
        <v>52926296</v>
      </c>
      <c r="L1438" s="2"/>
      <c r="M1438" s="2"/>
      <c r="N1438" s="2"/>
      <c r="O1438" s="2"/>
      <c r="P1438" s="2"/>
      <c r="Q1438" s="2"/>
      <c r="R1438" s="2"/>
      <c r="S1438" s="2" t="s">
        <v>9926</v>
      </c>
      <c r="T1438" s="2" t="s">
        <v>9927</v>
      </c>
      <c r="U1438" s="2" t="s">
        <v>56</v>
      </c>
      <c r="V1438" s="2" t="s">
        <v>57</v>
      </c>
      <c r="W1438" s="2" t="s">
        <v>82</v>
      </c>
      <c r="X1438" s="2" t="s">
        <v>147</v>
      </c>
      <c r="Y1438" s="2">
        <v>41.3</v>
      </c>
      <c r="Z1438" s="2">
        <v>12</v>
      </c>
      <c r="AA1438" s="2" t="s">
        <v>395</v>
      </c>
      <c r="AB1438" s="2" t="s">
        <v>9928</v>
      </c>
      <c r="AC1438" s="2">
        <v>-3.40991026601453</v>
      </c>
      <c r="AD1438" s="2"/>
      <c r="AE1438" s="2">
        <v>0.44518676789057399</v>
      </c>
      <c r="AF1438" s="2">
        <v>18204.638315088701</v>
      </c>
      <c r="AG1438" s="2">
        <v>33395.978786899002</v>
      </c>
      <c r="AH1438" s="4">
        <v>0.54511468076001501</v>
      </c>
      <c r="AI1438" s="4">
        <v>-0.87536832011891696</v>
      </c>
      <c r="AJ1438" s="4" t="s">
        <v>62</v>
      </c>
      <c r="AK1438" s="2">
        <v>0.65038793718769905</v>
      </c>
      <c r="AL1438" s="2">
        <v>0.83021999206264596</v>
      </c>
      <c r="AM1438" s="2">
        <v>38293.601561255702</v>
      </c>
      <c r="AN1438" s="2">
        <v>713.71509592017799</v>
      </c>
      <c r="AO1438" s="2">
        <v>22.557112907164001</v>
      </c>
      <c r="AP1438" s="2">
        <v>8.559877937157E-6</v>
      </c>
      <c r="AQ1438" s="2">
        <v>38621.424944402999</v>
      </c>
      <c r="AR1438" s="2">
        <v>31576.531167486301</v>
      </c>
      <c r="AS1438" s="2">
        <v>1736.40276998996</v>
      </c>
      <c r="AT1438" s="2">
        <v>8.559877937157E-6</v>
      </c>
      <c r="AU1438" s="2">
        <v>100.442479789841</v>
      </c>
      <c r="AV1438" s="2">
        <v>190743.914772761</v>
      </c>
      <c r="AW1438" s="2">
        <v>58.277487528470097</v>
      </c>
      <c r="AX1438" s="2">
        <v>7736.8352027651399</v>
      </c>
    </row>
    <row r="1439" spans="1:50" x14ac:dyDescent="0.25">
      <c r="A1439" s="2" t="s">
        <v>9929</v>
      </c>
      <c r="B1439" s="2">
        <v>288.06286729560401</v>
      </c>
      <c r="C1439" s="2">
        <v>3.9181166666666698</v>
      </c>
      <c r="D1439" s="2" t="s">
        <v>51</v>
      </c>
      <c r="E1439" s="2" t="s">
        <v>9930</v>
      </c>
      <c r="F1439" s="2">
        <v>257259</v>
      </c>
      <c r="G1439" s="3" t="str">
        <f>HYPERLINK("https://cloud.oebiotech.com/#/lm/network/257259", "https://cloud.oebiotech.com/#/lm/network/257259")</f>
        <v>https://cloud.oebiotech.com/#/lm/network/257259</v>
      </c>
      <c r="H1439" s="2" t="s">
        <v>9931</v>
      </c>
      <c r="I1439" s="2"/>
      <c r="J1439" s="2"/>
      <c r="K1439" s="2">
        <v>25203328</v>
      </c>
      <c r="L1439" s="2"/>
      <c r="M1439" s="2"/>
      <c r="N1439" s="2"/>
      <c r="O1439" s="2"/>
      <c r="P1439" s="2"/>
      <c r="Q1439" s="2"/>
      <c r="R1439" s="2"/>
      <c r="S1439" s="2" t="s">
        <v>9932</v>
      </c>
      <c r="T1439" s="2" t="s">
        <v>9933</v>
      </c>
      <c r="U1439" s="2" t="s">
        <v>540</v>
      </c>
      <c r="V1439" s="2" t="s">
        <v>3291</v>
      </c>
      <c r="W1439" s="2" t="s">
        <v>3292</v>
      </c>
      <c r="X1439" s="2" t="s">
        <v>147</v>
      </c>
      <c r="Y1439" s="2">
        <v>42.6</v>
      </c>
      <c r="Z1439" s="2">
        <v>23.2</v>
      </c>
      <c r="AA1439" s="2" t="s">
        <v>163</v>
      </c>
      <c r="AB1439" s="2" t="s">
        <v>9934</v>
      </c>
      <c r="AC1439" s="2">
        <v>-3.6994574964290199</v>
      </c>
      <c r="AD1439" s="2"/>
      <c r="AE1439" s="2">
        <v>0.44503860154616398</v>
      </c>
      <c r="AF1439" s="2">
        <v>340.96558873086002</v>
      </c>
      <c r="AG1439" s="2">
        <v>9457.6705573214895</v>
      </c>
      <c r="AH1439" s="4">
        <v>3.6051751503112697E-2</v>
      </c>
      <c r="AI1439" s="4">
        <v>-4.7937868381179998</v>
      </c>
      <c r="AJ1439" s="4" t="s">
        <v>62</v>
      </c>
      <c r="AK1439" s="2">
        <v>0.34990154039271398</v>
      </c>
      <c r="AL1439" s="2">
        <v>0.64268828073190598</v>
      </c>
      <c r="AM1439" s="2">
        <v>8.559877937157E-6</v>
      </c>
      <c r="AN1439" s="2">
        <v>4.3174040589003804</v>
      </c>
      <c r="AO1439" s="2">
        <v>3.6758592153995999</v>
      </c>
      <c r="AP1439" s="2">
        <v>2.2914522135018101</v>
      </c>
      <c r="AQ1439" s="2">
        <v>124.91013080159</v>
      </c>
      <c r="AR1439" s="2">
        <v>1910.5986775358899</v>
      </c>
      <c r="AS1439" s="2">
        <v>8.559877937157E-6</v>
      </c>
      <c r="AT1439" s="2">
        <v>6.71409066479346</v>
      </c>
      <c r="AU1439" s="2">
        <v>1.84923095390923</v>
      </c>
      <c r="AV1439" s="2">
        <v>0.647950955213762</v>
      </c>
      <c r="AW1439" s="2">
        <v>55909.856259523302</v>
      </c>
      <c r="AX1439" s="2">
        <v>826.95580327187895</v>
      </c>
    </row>
    <row r="1440" spans="1:50" x14ac:dyDescent="0.25">
      <c r="A1440" s="2" t="s">
        <v>9935</v>
      </c>
      <c r="B1440" s="2">
        <v>379.21057461843299</v>
      </c>
      <c r="C1440" s="2">
        <v>10.534700000000001</v>
      </c>
      <c r="D1440" s="2" t="s">
        <v>51</v>
      </c>
      <c r="E1440" s="2" t="s">
        <v>9936</v>
      </c>
      <c r="F1440" s="2">
        <v>4059</v>
      </c>
      <c r="G1440" s="3" t="str">
        <f>HYPERLINK("https://cloud.oebiotech.com/#/lm/network/4059", "https://cloud.oebiotech.com/#/lm/network/4059")</f>
        <v>https://cloud.oebiotech.com/#/lm/network/4059</v>
      </c>
      <c r="H1440" s="2"/>
      <c r="I1440" s="2">
        <v>3850</v>
      </c>
      <c r="J1440" s="2" t="s">
        <v>9937</v>
      </c>
      <c r="K1440" s="2">
        <v>5283184</v>
      </c>
      <c r="L1440" s="2"/>
      <c r="M1440" s="2"/>
      <c r="N1440" s="2"/>
      <c r="O1440" s="2"/>
      <c r="P1440" s="2"/>
      <c r="Q1440" s="2"/>
      <c r="R1440" s="2"/>
      <c r="S1440" s="2" t="s">
        <v>9938</v>
      </c>
      <c r="T1440" s="2" t="s">
        <v>9939</v>
      </c>
      <c r="U1440" s="2" t="s">
        <v>56</v>
      </c>
      <c r="V1440" s="2" t="s">
        <v>145</v>
      </c>
      <c r="W1440" s="2" t="s">
        <v>187</v>
      </c>
      <c r="X1440" s="2" t="s">
        <v>83</v>
      </c>
      <c r="Y1440" s="2">
        <v>61.2</v>
      </c>
      <c r="Z1440" s="2">
        <v>44</v>
      </c>
      <c r="AA1440" s="2" t="s">
        <v>218</v>
      </c>
      <c r="AB1440" s="2" t="s">
        <v>212</v>
      </c>
      <c r="AC1440" s="2">
        <v>-6.0969600646539899</v>
      </c>
      <c r="AD1440" s="2"/>
      <c r="AE1440" s="2">
        <v>0.44480116261399499</v>
      </c>
      <c r="AF1440" s="2">
        <v>6921.8035775198996</v>
      </c>
      <c r="AG1440" s="2">
        <v>2376.98459997397</v>
      </c>
      <c r="AH1440" s="5">
        <v>2.91201027452836</v>
      </c>
      <c r="AI1440" s="5">
        <v>1.54201544584738</v>
      </c>
      <c r="AJ1440" s="5" t="s">
        <v>139</v>
      </c>
      <c r="AK1440" s="2">
        <v>9.5535564782431304E-3</v>
      </c>
      <c r="AL1440" s="2">
        <v>0.16067837057033801</v>
      </c>
      <c r="AM1440" s="2">
        <v>7382.3115544950997</v>
      </c>
      <c r="AN1440" s="2">
        <v>9912.2069201406102</v>
      </c>
      <c r="AO1440" s="2">
        <v>8475.4463795749507</v>
      </c>
      <c r="AP1440" s="2">
        <v>2699.5688432061902</v>
      </c>
      <c r="AQ1440" s="2">
        <v>5495.19793554021</v>
      </c>
      <c r="AR1440" s="2">
        <v>7566.0898321623399</v>
      </c>
      <c r="AS1440" s="2">
        <v>6939.51120907728</v>
      </c>
      <c r="AT1440" s="2">
        <v>1311.84187654941</v>
      </c>
      <c r="AU1440" s="2">
        <v>1161.6362517673099</v>
      </c>
      <c r="AV1440" s="2">
        <v>718.73234162190397</v>
      </c>
      <c r="AW1440" s="2">
        <v>960.48867266878597</v>
      </c>
      <c r="AX1440" s="2">
        <v>3169.6972481591501</v>
      </c>
    </row>
    <row r="1441" spans="1:50" x14ac:dyDescent="0.25">
      <c r="A1441" s="2" t="s">
        <v>9940</v>
      </c>
      <c r="B1441" s="2">
        <v>261.12449165307999</v>
      </c>
      <c r="C1441" s="2">
        <v>4.2136500000000003</v>
      </c>
      <c r="D1441" s="2" t="s">
        <v>51</v>
      </c>
      <c r="E1441" s="2" t="s">
        <v>9941</v>
      </c>
      <c r="F1441" s="2">
        <v>51197</v>
      </c>
      <c r="G1441" s="3" t="str">
        <f>HYPERLINK("https://cloud.oebiotech.com/#/lm/network/51197", "https://cloud.oebiotech.com/#/lm/network/51197")</f>
        <v>https://cloud.oebiotech.com/#/lm/network/51197</v>
      </c>
      <c r="H1441" s="2" t="s">
        <v>9942</v>
      </c>
      <c r="I1441" s="2">
        <v>23690</v>
      </c>
      <c r="J1441" s="2"/>
      <c r="K1441" s="2">
        <v>6351946</v>
      </c>
      <c r="L1441" s="2"/>
      <c r="M1441" s="2"/>
      <c r="N1441" s="2"/>
      <c r="O1441" s="2">
        <v>74795</v>
      </c>
      <c r="P1441" s="2"/>
      <c r="Q1441" s="2"/>
      <c r="R1441" s="2" t="s">
        <v>9943</v>
      </c>
      <c r="S1441" s="2" t="s">
        <v>9944</v>
      </c>
      <c r="T1441" s="2" t="s">
        <v>9945</v>
      </c>
      <c r="U1441" s="2" t="s">
        <v>103</v>
      </c>
      <c r="V1441" s="2" t="s">
        <v>104</v>
      </c>
      <c r="W1441" s="2" t="s">
        <v>105</v>
      </c>
      <c r="X1441" s="2" t="s">
        <v>83</v>
      </c>
      <c r="Y1441" s="2">
        <v>49.1</v>
      </c>
      <c r="Z1441" s="2">
        <v>6.68</v>
      </c>
      <c r="AA1441" s="2" t="s">
        <v>163</v>
      </c>
      <c r="AB1441" s="2" t="s">
        <v>5748</v>
      </c>
      <c r="AC1441" s="2">
        <v>9.7811655439462103E-2</v>
      </c>
      <c r="AD1441" s="2"/>
      <c r="AE1441" s="2">
        <v>0.44469371102977701</v>
      </c>
      <c r="AF1441" s="2">
        <v>21506.546506268998</v>
      </c>
      <c r="AG1441" s="2">
        <v>12364.919981482601</v>
      </c>
      <c r="AH1441" s="5">
        <v>1.7393195053810799</v>
      </c>
      <c r="AI1441" s="5">
        <v>0.79852297375380599</v>
      </c>
      <c r="AJ1441" s="5" t="s">
        <v>139</v>
      </c>
      <c r="AK1441" s="2">
        <v>0.103417033272974</v>
      </c>
      <c r="AL1441" s="2">
        <v>0.40823598839205399</v>
      </c>
      <c r="AM1441" s="2">
        <v>4939.79049198351</v>
      </c>
      <c r="AN1441" s="2">
        <v>34791.943879792903</v>
      </c>
      <c r="AO1441" s="2">
        <v>14943.0579732388</v>
      </c>
      <c r="AP1441" s="2">
        <v>16763.422670055101</v>
      </c>
      <c r="AQ1441" s="2">
        <v>34889.674576392201</v>
      </c>
      <c r="AR1441" s="2">
        <v>22711.389446151399</v>
      </c>
      <c r="AS1441" s="2">
        <v>6005.8516024682604</v>
      </c>
      <c r="AT1441" s="2">
        <v>14843.615193635</v>
      </c>
      <c r="AU1441" s="2">
        <v>8881.6748288556992</v>
      </c>
      <c r="AV1441" s="2">
        <v>13613.6176691905</v>
      </c>
      <c r="AW1441" s="2">
        <v>13875.0649667711</v>
      </c>
      <c r="AX1441" s="2">
        <v>16969.695627975299</v>
      </c>
    </row>
    <row r="1442" spans="1:50" x14ac:dyDescent="0.25">
      <c r="A1442" s="2" t="s">
        <v>9946</v>
      </c>
      <c r="B1442" s="2">
        <v>411.14800879778801</v>
      </c>
      <c r="C1442" s="2">
        <v>10.72105</v>
      </c>
      <c r="D1442" s="2" t="s">
        <v>51</v>
      </c>
      <c r="E1442" s="2" t="s">
        <v>9947</v>
      </c>
      <c r="F1442" s="2">
        <v>208400</v>
      </c>
      <c r="G1442" s="3" t="str">
        <f>HYPERLINK("https://cloud.oebiotech.com/#/lm/network/208400", "https://cloud.oebiotech.com/#/lm/network/208400")</f>
        <v>https://cloud.oebiotech.com/#/lm/network/208400</v>
      </c>
      <c r="H1442" s="2" t="s">
        <v>9948</v>
      </c>
      <c r="I1442" s="2">
        <v>437631</v>
      </c>
      <c r="J1442" s="2"/>
      <c r="K1442" s="2">
        <v>155922</v>
      </c>
      <c r="L1442" s="2"/>
      <c r="M1442" s="2"/>
      <c r="N1442" s="2"/>
      <c r="O1442" s="2"/>
      <c r="P1442" s="2"/>
      <c r="Q1442" s="2"/>
      <c r="R1442" s="2"/>
      <c r="S1442" s="2" t="s">
        <v>9949</v>
      </c>
      <c r="T1442" s="2" t="s">
        <v>9950</v>
      </c>
      <c r="U1442" s="2" t="s">
        <v>266</v>
      </c>
      <c r="V1442" s="2" t="s">
        <v>445</v>
      </c>
      <c r="W1442" s="2" t="s">
        <v>9951</v>
      </c>
      <c r="X1442" s="2" t="s">
        <v>147</v>
      </c>
      <c r="Y1442" s="2">
        <v>39</v>
      </c>
      <c r="Z1442" s="2">
        <v>0</v>
      </c>
      <c r="AA1442" s="2" t="s">
        <v>379</v>
      </c>
      <c r="AB1442" s="2" t="s">
        <v>9952</v>
      </c>
      <c r="AC1442" s="2">
        <v>0.21227746742329201</v>
      </c>
      <c r="AD1442" s="2"/>
      <c r="AE1442" s="2">
        <v>0.44469019608861998</v>
      </c>
      <c r="AF1442" s="2">
        <v>6159.9383361147302</v>
      </c>
      <c r="AG1442" s="2">
        <v>1691.3693252328001</v>
      </c>
      <c r="AH1442" s="5">
        <v>3.6419830040768102</v>
      </c>
      <c r="AI1442" s="5">
        <v>1.8647241897526099</v>
      </c>
      <c r="AJ1442" s="5" t="s">
        <v>139</v>
      </c>
      <c r="AK1442" s="2">
        <v>9.8039124207059195E-3</v>
      </c>
      <c r="AL1442" s="2">
        <v>0.16151302423615199</v>
      </c>
      <c r="AM1442" s="2">
        <v>6099.7331494038599</v>
      </c>
      <c r="AN1442" s="2">
        <v>9828.9598406917994</v>
      </c>
      <c r="AO1442" s="2">
        <v>9471.3112841855891</v>
      </c>
      <c r="AP1442" s="2">
        <v>2932.6739725848402</v>
      </c>
      <c r="AQ1442" s="2">
        <v>2576.0540140408898</v>
      </c>
      <c r="AR1442" s="2">
        <v>6050.8977557813796</v>
      </c>
      <c r="AS1442" s="2">
        <v>3898.98916354723</v>
      </c>
      <c r="AT1442" s="2">
        <v>570.377568752554</v>
      </c>
      <c r="AU1442" s="2">
        <v>864.04306277955504</v>
      </c>
      <c r="AV1442" s="2">
        <v>1219.64843622122</v>
      </c>
      <c r="AW1442" s="2">
        <v>307.25790648329502</v>
      </c>
      <c r="AX1442" s="2">
        <v>3287.8998136129499</v>
      </c>
    </row>
    <row r="1443" spans="1:50" x14ac:dyDescent="0.25">
      <c r="A1443" s="2" t="s">
        <v>9953</v>
      </c>
      <c r="B1443" s="2">
        <v>834.657750846</v>
      </c>
      <c r="C1443" s="2">
        <v>5.6691833333333301</v>
      </c>
      <c r="D1443" s="2" t="s">
        <v>51</v>
      </c>
      <c r="E1443" s="2" t="s">
        <v>9954</v>
      </c>
      <c r="F1443" s="2">
        <v>22330</v>
      </c>
      <c r="G1443" s="3" t="str">
        <f>HYPERLINK("https://cloud.oebiotech.com/#/lm/network/22330", "https://cloud.oebiotech.com/#/lm/network/22330")</f>
        <v>https://cloud.oebiotech.com/#/lm/network/22330</v>
      </c>
      <c r="H1443" s="2"/>
      <c r="I1443" s="2">
        <v>78731</v>
      </c>
      <c r="J1443" s="2" t="s">
        <v>9955</v>
      </c>
      <c r="K1443" s="2">
        <v>52926173</v>
      </c>
      <c r="L1443" s="2"/>
      <c r="M1443" s="2"/>
      <c r="N1443" s="2"/>
      <c r="O1443" s="2"/>
      <c r="P1443" s="2"/>
      <c r="Q1443" s="2"/>
      <c r="R1443" s="2"/>
      <c r="S1443" s="2" t="s">
        <v>9956</v>
      </c>
      <c r="T1443" s="2" t="s">
        <v>9957</v>
      </c>
      <c r="U1443" s="2" t="s">
        <v>56</v>
      </c>
      <c r="V1443" s="2" t="s">
        <v>57</v>
      </c>
      <c r="W1443" s="2" t="s">
        <v>82</v>
      </c>
      <c r="X1443" s="2" t="s">
        <v>147</v>
      </c>
      <c r="Y1443" s="2">
        <v>36.799999999999997</v>
      </c>
      <c r="Z1443" s="2">
        <v>0</v>
      </c>
      <c r="AA1443" s="2" t="s">
        <v>259</v>
      </c>
      <c r="AB1443" s="2" t="s">
        <v>9958</v>
      </c>
      <c r="AC1443" s="2">
        <v>-0.59467006941910205</v>
      </c>
      <c r="AD1443" s="2"/>
      <c r="AE1443" s="2">
        <v>0.44457335606444598</v>
      </c>
      <c r="AF1443" s="2">
        <v>7895.77882722698</v>
      </c>
      <c r="AG1443" s="2">
        <v>2898.7592959639101</v>
      </c>
      <c r="AH1443" s="5">
        <v>2.7238476951917598</v>
      </c>
      <c r="AI1443" s="5">
        <v>1.4456460368541899</v>
      </c>
      <c r="AJ1443" s="5" t="s">
        <v>139</v>
      </c>
      <c r="AK1443" s="2">
        <v>2.7269220614237599E-2</v>
      </c>
      <c r="AL1443" s="2">
        <v>0.25495647682949402</v>
      </c>
      <c r="AM1443" s="2">
        <v>11993.7437832429</v>
      </c>
      <c r="AN1443" s="2">
        <v>3071.16643565393</v>
      </c>
      <c r="AO1443" s="2">
        <v>10991.3287955141</v>
      </c>
      <c r="AP1443" s="2">
        <v>10703.641787161599</v>
      </c>
      <c r="AQ1443" s="2">
        <v>6898.0266602926204</v>
      </c>
      <c r="AR1443" s="2">
        <v>3716.7655014966999</v>
      </c>
      <c r="AS1443" s="2">
        <v>444.00217249183299</v>
      </c>
      <c r="AT1443" s="2">
        <v>1425.8868120808199</v>
      </c>
      <c r="AU1443" s="2">
        <v>6834.9591141379296</v>
      </c>
      <c r="AV1443" s="2">
        <v>4316.1812907223702</v>
      </c>
      <c r="AW1443" s="2">
        <v>4371.5263777906002</v>
      </c>
      <c r="AX1443" s="2">
        <v>8.559877937157E-6</v>
      </c>
    </row>
    <row r="1444" spans="1:50" x14ac:dyDescent="0.25">
      <c r="A1444" s="2" t="s">
        <v>9959</v>
      </c>
      <c r="B1444" s="2">
        <v>409.34376620477798</v>
      </c>
      <c r="C1444" s="2">
        <v>15.024316666666699</v>
      </c>
      <c r="D1444" s="2" t="s">
        <v>51</v>
      </c>
      <c r="E1444" s="2" t="s">
        <v>9960</v>
      </c>
      <c r="F1444" s="2">
        <v>55713</v>
      </c>
      <c r="G1444" s="3" t="str">
        <f>HYPERLINK("https://cloud.oebiotech.com/#/lm/network/55713", "https://cloud.oebiotech.com/#/lm/network/55713")</f>
        <v>https://cloud.oebiotech.com/#/lm/network/55713</v>
      </c>
      <c r="H1444" s="2" t="s">
        <v>9961</v>
      </c>
      <c r="I1444" s="2">
        <v>87392</v>
      </c>
      <c r="J1444" s="2"/>
      <c r="K1444" s="2">
        <v>85724901</v>
      </c>
      <c r="L1444" s="2"/>
      <c r="M1444" s="2"/>
      <c r="N1444" s="2"/>
      <c r="O1444" s="2"/>
      <c r="P1444" s="2"/>
      <c r="Q1444" s="2"/>
      <c r="R1444" s="2" t="s">
        <v>9962</v>
      </c>
      <c r="S1444" s="2" t="s">
        <v>9963</v>
      </c>
      <c r="T1444" s="2" t="s">
        <v>9964</v>
      </c>
      <c r="U1444" s="2" t="s">
        <v>56</v>
      </c>
      <c r="V1444" s="2" t="s">
        <v>283</v>
      </c>
      <c r="W1444" s="2" t="s">
        <v>1215</v>
      </c>
      <c r="X1444" s="2" t="s">
        <v>83</v>
      </c>
      <c r="Y1444" s="2">
        <v>54.6</v>
      </c>
      <c r="Z1444" s="2">
        <v>3.1300000000000001E-2</v>
      </c>
      <c r="AA1444" s="2" t="s">
        <v>156</v>
      </c>
      <c r="AB1444" s="2" t="s">
        <v>9965</v>
      </c>
      <c r="AC1444" s="2">
        <v>-6.39441999396713</v>
      </c>
      <c r="AD1444" s="2"/>
      <c r="AE1444" s="2">
        <v>0.44408839682975099</v>
      </c>
      <c r="AF1444" s="2">
        <v>2607.87900490021</v>
      </c>
      <c r="AG1444" s="2">
        <v>7605.7030524911597</v>
      </c>
      <c r="AH1444" s="4">
        <v>0.34288467310671999</v>
      </c>
      <c r="AI1444" s="4">
        <v>-1.5442046774237399</v>
      </c>
      <c r="AJ1444" s="4" t="s">
        <v>62</v>
      </c>
      <c r="AK1444" s="2">
        <v>4.6556696607722499E-2</v>
      </c>
      <c r="AL1444" s="2">
        <v>0.303077969035141</v>
      </c>
      <c r="AM1444" s="2">
        <v>3306.0760895521998</v>
      </c>
      <c r="AN1444" s="2">
        <v>2594.9576305088899</v>
      </c>
      <c r="AO1444" s="2">
        <v>3414.16995385462</v>
      </c>
      <c r="AP1444" s="2">
        <v>1231.35751731242</v>
      </c>
      <c r="AQ1444" s="2">
        <v>3133.1934410511599</v>
      </c>
      <c r="AR1444" s="2">
        <v>1967.5193971219901</v>
      </c>
      <c r="AS1444" s="2">
        <v>15960.094076937999</v>
      </c>
      <c r="AT1444" s="2">
        <v>3282.86965530916</v>
      </c>
      <c r="AU1444" s="2">
        <v>2869.7983570625202</v>
      </c>
      <c r="AV1444" s="2">
        <v>11078.160731206201</v>
      </c>
      <c r="AW1444" s="2">
        <v>8949.3458613136499</v>
      </c>
      <c r="AX1444" s="2">
        <v>3493.94963311742</v>
      </c>
    </row>
    <row r="1445" spans="1:50" x14ac:dyDescent="0.25">
      <c r="A1445" s="2" t="s">
        <v>9966</v>
      </c>
      <c r="B1445" s="2">
        <v>439.12905263499499</v>
      </c>
      <c r="C1445" s="2">
        <v>6.8908500000000004</v>
      </c>
      <c r="D1445" s="2" t="s">
        <v>51</v>
      </c>
      <c r="E1445" s="2" t="s">
        <v>9967</v>
      </c>
      <c r="F1445" s="2">
        <v>82086</v>
      </c>
      <c r="G1445" s="3" t="str">
        <f>HYPERLINK("https://cloud.oebiotech.com/#/lm/network/82086", "https://cloud.oebiotech.com/#/lm/network/82086")</f>
        <v>https://cloud.oebiotech.com/#/lm/network/82086</v>
      </c>
      <c r="H1445" s="2" t="s">
        <v>9968</v>
      </c>
      <c r="I1445" s="2"/>
      <c r="J1445" s="2"/>
      <c r="K1445" s="2">
        <v>131769818</v>
      </c>
      <c r="L1445" s="2"/>
      <c r="M1445" s="2"/>
      <c r="N1445" s="2"/>
      <c r="O1445" s="2"/>
      <c r="P1445" s="2"/>
      <c r="Q1445" s="2"/>
      <c r="R1445" s="2"/>
      <c r="S1445" s="2" t="s">
        <v>9969</v>
      </c>
      <c r="T1445" s="2" t="s">
        <v>9970</v>
      </c>
      <c r="U1445" s="2" t="s">
        <v>103</v>
      </c>
      <c r="V1445" s="2" t="s">
        <v>104</v>
      </c>
      <c r="W1445" s="2" t="s">
        <v>105</v>
      </c>
      <c r="X1445" s="2" t="s">
        <v>147</v>
      </c>
      <c r="Y1445" s="2">
        <v>43.5</v>
      </c>
      <c r="Z1445" s="2">
        <v>31.5</v>
      </c>
      <c r="AA1445" s="2" t="s">
        <v>156</v>
      </c>
      <c r="AB1445" s="2" t="s">
        <v>9971</v>
      </c>
      <c r="AC1445" s="2">
        <v>1.8769579898619999</v>
      </c>
      <c r="AD1445" s="2"/>
      <c r="AE1445" s="2">
        <v>0.44381204183991602</v>
      </c>
      <c r="AF1445" s="2">
        <v>7969.2013448683101</v>
      </c>
      <c r="AG1445" s="2">
        <v>14301.084030286</v>
      </c>
      <c r="AH1445" s="4">
        <v>0.55724456467716599</v>
      </c>
      <c r="AI1445" s="4">
        <v>-0.84361745527589405</v>
      </c>
      <c r="AJ1445" s="4" t="s">
        <v>62</v>
      </c>
      <c r="AK1445" s="2">
        <v>4.2127249842084401E-2</v>
      </c>
      <c r="AL1445" s="2">
        <v>0.29293759539812297</v>
      </c>
      <c r="AM1445" s="2">
        <v>8190.5847371784403</v>
      </c>
      <c r="AN1445" s="2">
        <v>6630.9138312253799</v>
      </c>
      <c r="AO1445" s="2">
        <v>11239.1406759902</v>
      </c>
      <c r="AP1445" s="2">
        <v>1059.84551060319</v>
      </c>
      <c r="AQ1445" s="2">
        <v>8281.3539813225707</v>
      </c>
      <c r="AR1445" s="2">
        <v>12413.369332890101</v>
      </c>
      <c r="AS1445" s="2">
        <v>13476.771152400201</v>
      </c>
      <c r="AT1445" s="2">
        <v>13247.913326071401</v>
      </c>
      <c r="AU1445" s="2">
        <v>15282.859437555901</v>
      </c>
      <c r="AV1445" s="2">
        <v>19782.991681837098</v>
      </c>
      <c r="AW1445" s="2">
        <v>19019.2566331198</v>
      </c>
      <c r="AX1445" s="2">
        <v>4996.7119507318102</v>
      </c>
    </row>
    <row r="1446" spans="1:50" x14ac:dyDescent="0.25">
      <c r="A1446" s="2" t="s">
        <v>9972</v>
      </c>
      <c r="B1446" s="2">
        <v>425.21589332789802</v>
      </c>
      <c r="C1446" s="2">
        <v>14.459250000000001</v>
      </c>
      <c r="D1446" s="2" t="s">
        <v>51</v>
      </c>
      <c r="E1446" s="2" t="s">
        <v>9973</v>
      </c>
      <c r="F1446" s="2">
        <v>53716</v>
      </c>
      <c r="G1446" s="3" t="str">
        <f>HYPERLINK("https://cloud.oebiotech.com/#/lm/network/53716", "https://cloud.oebiotech.com/#/lm/network/53716")</f>
        <v>https://cloud.oebiotech.com/#/lm/network/53716</v>
      </c>
      <c r="H1446" s="2" t="s">
        <v>9974</v>
      </c>
      <c r="I1446" s="2">
        <v>85593</v>
      </c>
      <c r="J1446" s="2"/>
      <c r="K1446" s="2">
        <v>68867</v>
      </c>
      <c r="L1446" s="2"/>
      <c r="M1446" s="2"/>
      <c r="N1446" s="2"/>
      <c r="O1446" s="2"/>
      <c r="P1446" s="2"/>
      <c r="Q1446" s="2"/>
      <c r="R1446" s="2" t="s">
        <v>9975</v>
      </c>
      <c r="S1446" s="2" t="s">
        <v>9976</v>
      </c>
      <c r="T1446" s="2" t="s">
        <v>9977</v>
      </c>
      <c r="U1446" s="2" t="s">
        <v>610</v>
      </c>
      <c r="V1446" s="2" t="s">
        <v>611</v>
      </c>
      <c r="W1446" s="2" t="s">
        <v>8369</v>
      </c>
      <c r="X1446" s="2" t="s">
        <v>147</v>
      </c>
      <c r="Y1446" s="2">
        <v>38</v>
      </c>
      <c r="Z1446" s="2">
        <v>0</v>
      </c>
      <c r="AA1446" s="2" t="s">
        <v>95</v>
      </c>
      <c r="AB1446" s="2" t="s">
        <v>5107</v>
      </c>
      <c r="AC1446" s="2">
        <v>-8.1574995500674305E-2</v>
      </c>
      <c r="AD1446" s="2"/>
      <c r="AE1446" s="2">
        <v>0.44362808345982002</v>
      </c>
      <c r="AF1446" s="2">
        <v>21286.0832733362</v>
      </c>
      <c r="AG1446" s="2">
        <v>26540.227501305199</v>
      </c>
      <c r="AH1446" s="4">
        <v>0.80203092728912795</v>
      </c>
      <c r="AI1446" s="4">
        <v>-0.31827022505708302</v>
      </c>
      <c r="AJ1446" s="4" t="s">
        <v>62</v>
      </c>
      <c r="AK1446" s="2">
        <v>2.75720215488157E-2</v>
      </c>
      <c r="AL1446" s="2">
        <v>0.25505404741882998</v>
      </c>
      <c r="AM1446" s="2">
        <v>19353.286446481499</v>
      </c>
      <c r="AN1446" s="2">
        <v>22874.184890183798</v>
      </c>
      <c r="AO1446" s="2">
        <v>23089.515067961202</v>
      </c>
      <c r="AP1446" s="2">
        <v>20211.026191597</v>
      </c>
      <c r="AQ1446" s="2">
        <v>24142.666644081099</v>
      </c>
      <c r="AR1446" s="2">
        <v>18045.820399712698</v>
      </c>
      <c r="AS1446" s="2">
        <v>24242.435232721102</v>
      </c>
      <c r="AT1446" s="2">
        <v>29218.2736803564</v>
      </c>
      <c r="AU1446" s="2">
        <v>19344.5233663293</v>
      </c>
      <c r="AV1446" s="2">
        <v>27801.322668834298</v>
      </c>
      <c r="AW1446" s="2">
        <v>26655.9398191584</v>
      </c>
      <c r="AX1446" s="2">
        <v>31978.870240431599</v>
      </c>
    </row>
    <row r="1447" spans="1:50" x14ac:dyDescent="0.25">
      <c r="A1447" s="2" t="s">
        <v>9978</v>
      </c>
      <c r="B1447" s="2">
        <v>970.63037144591306</v>
      </c>
      <c r="C1447" s="2">
        <v>8.59643333333333</v>
      </c>
      <c r="D1447" s="2" t="s">
        <v>51</v>
      </c>
      <c r="E1447" s="2" t="s">
        <v>9979</v>
      </c>
      <c r="F1447" s="2">
        <v>241881</v>
      </c>
      <c r="G1447" s="3" t="str">
        <f>HYPERLINK("https://cloud.oebiotech.com/#/lm/network/241881", "https://cloud.oebiotech.com/#/lm/network/241881")</f>
        <v>https://cloud.oebiotech.com/#/lm/network/241881</v>
      </c>
      <c r="H1447" s="2" t="s">
        <v>9980</v>
      </c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 t="s">
        <v>9981</v>
      </c>
      <c r="T1447" s="2" t="s">
        <v>9982</v>
      </c>
      <c r="U1447" s="2" t="s">
        <v>56</v>
      </c>
      <c r="V1447" s="2" t="s">
        <v>57</v>
      </c>
      <c r="W1447" s="2" t="s">
        <v>58</v>
      </c>
      <c r="X1447" s="2" t="s">
        <v>147</v>
      </c>
      <c r="Y1447" s="2">
        <v>38.9</v>
      </c>
      <c r="Z1447" s="2">
        <v>0</v>
      </c>
      <c r="AA1447" s="2" t="s">
        <v>395</v>
      </c>
      <c r="AB1447" s="2" t="s">
        <v>9983</v>
      </c>
      <c r="AC1447" s="2">
        <v>0.63664456784665102</v>
      </c>
      <c r="AD1447" s="2"/>
      <c r="AE1447" s="2">
        <v>0.44354199454586601</v>
      </c>
      <c r="AF1447" s="2">
        <v>64882.144824055897</v>
      </c>
      <c r="AG1447" s="2">
        <v>54805.272793257798</v>
      </c>
      <c r="AH1447" s="5">
        <v>1.18386683465314</v>
      </c>
      <c r="AI1447" s="5">
        <v>0.243506810873861</v>
      </c>
      <c r="AJ1447" s="5" t="s">
        <v>139</v>
      </c>
      <c r="AK1447" s="2">
        <v>0.54669612568666404</v>
      </c>
      <c r="AL1447" s="2">
        <v>0.77012905997405201</v>
      </c>
      <c r="AM1447" s="2">
        <v>64314.745623708797</v>
      </c>
      <c r="AN1447" s="2">
        <v>103167.74999420901</v>
      </c>
      <c r="AO1447" s="2">
        <v>55665.532287733498</v>
      </c>
      <c r="AP1447" s="2">
        <v>43809.325836967102</v>
      </c>
      <c r="AQ1447" s="2">
        <v>36450.210413541703</v>
      </c>
      <c r="AR1447" s="2">
        <v>85885.304788175505</v>
      </c>
      <c r="AS1447" s="2">
        <v>63531.012039184097</v>
      </c>
      <c r="AT1447" s="2">
        <v>34676.244641148398</v>
      </c>
      <c r="AU1447" s="2">
        <v>98525.244298551203</v>
      </c>
      <c r="AV1447" s="2">
        <v>25234.1642110434</v>
      </c>
      <c r="AW1447" s="2">
        <v>27821.4418814979</v>
      </c>
      <c r="AX1447" s="2">
        <v>79043.529688121896</v>
      </c>
    </row>
    <row r="1448" spans="1:50" x14ac:dyDescent="0.25">
      <c r="A1448" s="2" t="s">
        <v>9984</v>
      </c>
      <c r="B1448" s="2">
        <v>193.15520599751099</v>
      </c>
      <c r="C1448" s="2">
        <v>0.68110000000000004</v>
      </c>
      <c r="D1448" s="2" t="s">
        <v>51</v>
      </c>
      <c r="E1448" s="2" t="s">
        <v>9985</v>
      </c>
      <c r="F1448" s="2">
        <v>209041</v>
      </c>
      <c r="G1448" s="3" t="str">
        <f>HYPERLINK("https://cloud.oebiotech.com/#/lm/network/209041", "https://cloud.oebiotech.com/#/lm/network/209041")</f>
        <v>https://cloud.oebiotech.com/#/lm/network/209041</v>
      </c>
      <c r="H1448" s="2" t="s">
        <v>9986</v>
      </c>
      <c r="I1448" s="2"/>
      <c r="J1448" s="2"/>
      <c r="K1448" s="2">
        <v>43468391</v>
      </c>
      <c r="L1448" s="2"/>
      <c r="M1448" s="2"/>
      <c r="N1448" s="2"/>
      <c r="O1448" s="2"/>
      <c r="P1448" s="2"/>
      <c r="Q1448" s="2"/>
      <c r="R1448" s="2"/>
      <c r="S1448" s="2" t="s">
        <v>9987</v>
      </c>
      <c r="T1448" s="2" t="s">
        <v>9988</v>
      </c>
      <c r="U1448" s="2" t="s">
        <v>103</v>
      </c>
      <c r="V1448" s="2" t="s">
        <v>104</v>
      </c>
      <c r="W1448" s="2" t="s">
        <v>105</v>
      </c>
      <c r="X1448" s="2" t="s">
        <v>147</v>
      </c>
      <c r="Y1448" s="2">
        <v>42</v>
      </c>
      <c r="Z1448" s="2">
        <v>16.8</v>
      </c>
      <c r="AA1448" s="2" t="s">
        <v>512</v>
      </c>
      <c r="AB1448" s="2" t="s">
        <v>1324</v>
      </c>
      <c r="AC1448" s="2">
        <v>3.0667899388535198</v>
      </c>
      <c r="AD1448" s="2"/>
      <c r="AE1448" s="2">
        <v>0.44347145766529</v>
      </c>
      <c r="AF1448" s="2">
        <v>26435.023725727799</v>
      </c>
      <c r="AG1448" s="2">
        <v>38000.063403524997</v>
      </c>
      <c r="AH1448" s="4">
        <v>0.69565735838418596</v>
      </c>
      <c r="AI1448" s="4">
        <v>-0.52355120415654399</v>
      </c>
      <c r="AJ1448" s="4" t="s">
        <v>62</v>
      </c>
      <c r="AK1448" s="2">
        <v>0.47445328962931699</v>
      </c>
      <c r="AL1448" s="2">
        <v>0.72078535837493696</v>
      </c>
      <c r="AM1448" s="2">
        <v>14043.790264572601</v>
      </c>
      <c r="AN1448" s="2">
        <v>35143.843308660696</v>
      </c>
      <c r="AO1448" s="2">
        <v>20824.184431225101</v>
      </c>
      <c r="AP1448" s="2">
        <v>20439.794992097999</v>
      </c>
      <c r="AQ1448" s="2">
        <v>29724.764085730301</v>
      </c>
      <c r="AR1448" s="2">
        <v>38433.765272079901</v>
      </c>
      <c r="AS1448" s="2">
        <v>2500.31358223194</v>
      </c>
      <c r="AT1448" s="2">
        <v>39553.9402012957</v>
      </c>
      <c r="AU1448" s="2">
        <v>23907.012722780499</v>
      </c>
      <c r="AV1448" s="2">
        <v>46880.411010416698</v>
      </c>
      <c r="AW1448" s="2">
        <v>105044.41486223</v>
      </c>
      <c r="AX1448" s="2">
        <v>10114.2880421952</v>
      </c>
    </row>
    <row r="1449" spans="1:50" x14ac:dyDescent="0.25">
      <c r="A1449" s="2" t="s">
        <v>9989</v>
      </c>
      <c r="B1449" s="2">
        <v>644.321099432295</v>
      </c>
      <c r="C1449" s="2">
        <v>6.84148333333333</v>
      </c>
      <c r="D1449" s="2" t="s">
        <v>51</v>
      </c>
      <c r="E1449" s="2" t="s">
        <v>9990</v>
      </c>
      <c r="F1449" s="2">
        <v>241969</v>
      </c>
      <c r="G1449" s="3" t="str">
        <f>HYPERLINK("https://cloud.oebiotech.com/#/lm/network/241969", "https://cloud.oebiotech.com/#/lm/network/241969")</f>
        <v>https://cloud.oebiotech.com/#/lm/network/241969</v>
      </c>
      <c r="H1449" s="2" t="s">
        <v>9991</v>
      </c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 t="s">
        <v>9992</v>
      </c>
      <c r="T1449" s="2" t="s">
        <v>9993</v>
      </c>
      <c r="U1449" s="2" t="s">
        <v>56</v>
      </c>
      <c r="V1449" s="2" t="s">
        <v>57</v>
      </c>
      <c r="W1449" s="2" t="s">
        <v>58</v>
      </c>
      <c r="X1449" s="2" t="s">
        <v>59</v>
      </c>
      <c r="Y1449" s="2">
        <v>56.5</v>
      </c>
      <c r="Z1449" s="2">
        <v>95</v>
      </c>
      <c r="AA1449" s="2" t="s">
        <v>218</v>
      </c>
      <c r="AB1449" s="2" t="s">
        <v>4473</v>
      </c>
      <c r="AC1449" s="2">
        <v>0.96400206833299196</v>
      </c>
      <c r="AD1449" s="2"/>
      <c r="AE1449" s="2">
        <v>0.44329563502390501</v>
      </c>
      <c r="AF1449" s="2">
        <v>23475.755034228401</v>
      </c>
      <c r="AG1449" s="2">
        <v>15966.682559208901</v>
      </c>
      <c r="AH1449" s="5">
        <v>1.4702963466063601</v>
      </c>
      <c r="AI1449" s="5">
        <v>0.55610696777602697</v>
      </c>
      <c r="AJ1449" s="5" t="s">
        <v>139</v>
      </c>
      <c r="AK1449" s="2">
        <v>0.182455101059153</v>
      </c>
      <c r="AL1449" s="2">
        <v>0.50524064131911905</v>
      </c>
      <c r="AM1449" s="2">
        <v>37446.154466054497</v>
      </c>
      <c r="AN1449" s="2">
        <v>19929.9588272318</v>
      </c>
      <c r="AO1449" s="2">
        <v>11250.204786821099</v>
      </c>
      <c r="AP1449" s="2">
        <v>25772.450612369801</v>
      </c>
      <c r="AQ1449" s="2">
        <v>15691.299669279</v>
      </c>
      <c r="AR1449" s="2">
        <v>30764.461843613899</v>
      </c>
      <c r="AS1449" s="2">
        <v>24112.028194258299</v>
      </c>
      <c r="AT1449" s="2">
        <v>21461.497847243099</v>
      </c>
      <c r="AU1449" s="2">
        <v>6758.3534173628104</v>
      </c>
      <c r="AV1449" s="2">
        <v>6850.1113828392499</v>
      </c>
      <c r="AW1449" s="2">
        <v>12288.990793270001</v>
      </c>
      <c r="AX1449" s="2">
        <v>24329.1137202799</v>
      </c>
    </row>
    <row r="1450" spans="1:50" x14ac:dyDescent="0.25">
      <c r="A1450" s="2" t="s">
        <v>9994</v>
      </c>
      <c r="B1450" s="2">
        <v>278.08183342585602</v>
      </c>
      <c r="C1450" s="2">
        <v>0.78368333333333295</v>
      </c>
      <c r="D1450" s="2" t="s">
        <v>51</v>
      </c>
      <c r="E1450" s="2" t="s">
        <v>9995</v>
      </c>
      <c r="F1450" s="2">
        <v>202516</v>
      </c>
      <c r="G1450" s="3" t="str">
        <f>HYPERLINK("https://cloud.oebiotech.com/#/lm/network/202516", "https://cloud.oebiotech.com/#/lm/network/202516")</f>
        <v>https://cloud.oebiotech.com/#/lm/network/202516</v>
      </c>
      <c r="H1450" s="2" t="s">
        <v>9996</v>
      </c>
      <c r="I1450" s="2"/>
      <c r="J1450" s="2"/>
      <c r="K1450" s="2">
        <v>162938</v>
      </c>
      <c r="L1450" s="2"/>
      <c r="M1450" s="2"/>
      <c r="N1450" s="2"/>
      <c r="O1450" s="2"/>
      <c r="P1450" s="2"/>
      <c r="Q1450" s="2"/>
      <c r="R1450" s="2"/>
      <c r="S1450" s="2" t="s">
        <v>9997</v>
      </c>
      <c r="T1450" s="2" t="s">
        <v>9998</v>
      </c>
      <c r="U1450" s="2" t="s">
        <v>266</v>
      </c>
      <c r="V1450" s="2" t="s">
        <v>1393</v>
      </c>
      <c r="W1450" s="2" t="s">
        <v>1643</v>
      </c>
      <c r="X1450" s="2" t="s">
        <v>147</v>
      </c>
      <c r="Y1450" s="2">
        <v>41.8</v>
      </c>
      <c r="Z1450" s="2">
        <v>21.2</v>
      </c>
      <c r="AA1450" s="2" t="s">
        <v>259</v>
      </c>
      <c r="AB1450" s="2" t="s">
        <v>9999</v>
      </c>
      <c r="AC1450" s="2">
        <v>-1.7291129168305299</v>
      </c>
      <c r="AD1450" s="2"/>
      <c r="AE1450" s="2">
        <v>0.44308010278571203</v>
      </c>
      <c r="AF1450" s="2">
        <v>660.77563509551499</v>
      </c>
      <c r="AG1450" s="2">
        <v>9812.4720346328995</v>
      </c>
      <c r="AH1450" s="4">
        <v>6.7340384029969502E-2</v>
      </c>
      <c r="AI1450" s="4">
        <v>-3.8923842411581302</v>
      </c>
      <c r="AJ1450" s="4" t="s">
        <v>62</v>
      </c>
      <c r="AK1450" s="2">
        <v>0.35069958722022698</v>
      </c>
      <c r="AL1450" s="2">
        <v>0.64273559662805702</v>
      </c>
      <c r="AM1450" s="2">
        <v>204.73385323496001</v>
      </c>
      <c r="AN1450" s="2">
        <v>1734.5040640433699</v>
      </c>
      <c r="AO1450" s="2">
        <v>580.25859645985497</v>
      </c>
      <c r="AP1450" s="2">
        <v>522.93497262134599</v>
      </c>
      <c r="AQ1450" s="2">
        <v>449.68569129719498</v>
      </c>
      <c r="AR1450" s="2">
        <v>472.53663291636502</v>
      </c>
      <c r="AS1450" s="2">
        <v>898.63560347478904</v>
      </c>
      <c r="AT1450" s="2">
        <v>319.09378957998098</v>
      </c>
      <c r="AU1450" s="2">
        <v>284.106814612471</v>
      </c>
      <c r="AV1450" s="2">
        <v>282.025426065754</v>
      </c>
      <c r="AW1450" s="2">
        <v>56539.897092470303</v>
      </c>
      <c r="AX1450" s="2">
        <v>551.07348159409401</v>
      </c>
    </row>
    <row r="1451" spans="1:50" x14ac:dyDescent="0.25">
      <c r="A1451" s="2" t="s">
        <v>10000</v>
      </c>
      <c r="B1451" s="2">
        <v>530.04251012883196</v>
      </c>
      <c r="C1451" s="2">
        <v>10.511383333333301</v>
      </c>
      <c r="D1451" s="2" t="s">
        <v>51</v>
      </c>
      <c r="E1451" s="2" t="s">
        <v>10001</v>
      </c>
      <c r="F1451" s="2">
        <v>205288</v>
      </c>
      <c r="G1451" s="3" t="str">
        <f>HYPERLINK("https://cloud.oebiotech.com/#/lm/network/205288", "https://cloud.oebiotech.com/#/lm/network/205288")</f>
        <v>https://cloud.oebiotech.com/#/lm/network/205288</v>
      </c>
      <c r="H1451" s="2" t="s">
        <v>10002</v>
      </c>
      <c r="I1451" s="2"/>
      <c r="J1451" s="2"/>
      <c r="K1451" s="2">
        <v>129774006</v>
      </c>
      <c r="L1451" s="2"/>
      <c r="M1451" s="2"/>
      <c r="N1451" s="2"/>
      <c r="O1451" s="2"/>
      <c r="P1451" s="2"/>
      <c r="Q1451" s="2"/>
      <c r="R1451" s="2"/>
      <c r="S1451" s="2" t="s">
        <v>10003</v>
      </c>
      <c r="T1451" s="2" t="s">
        <v>10004</v>
      </c>
      <c r="U1451" s="2" t="s">
        <v>103</v>
      </c>
      <c r="V1451" s="2" t="s">
        <v>1372</v>
      </c>
      <c r="W1451" s="2" t="s">
        <v>10005</v>
      </c>
      <c r="X1451" s="2" t="s">
        <v>147</v>
      </c>
      <c r="Y1451" s="2">
        <v>36.299999999999997</v>
      </c>
      <c r="Z1451" s="2">
        <v>0</v>
      </c>
      <c r="AA1451" s="2" t="s">
        <v>395</v>
      </c>
      <c r="AB1451" s="2" t="s">
        <v>10006</v>
      </c>
      <c r="AC1451" s="2">
        <v>1.0149194736676601</v>
      </c>
      <c r="AD1451" s="2"/>
      <c r="AE1451" s="2">
        <v>0.44288438816438302</v>
      </c>
      <c r="AF1451" s="2">
        <v>12929.582273563299</v>
      </c>
      <c r="AG1451" s="2">
        <v>17559.0630791648</v>
      </c>
      <c r="AH1451" s="4">
        <v>0.73634807365691801</v>
      </c>
      <c r="AI1451" s="4">
        <v>-0.44154020165827601</v>
      </c>
      <c r="AJ1451" s="4" t="s">
        <v>62</v>
      </c>
      <c r="AK1451" s="2">
        <v>1.14658771782591E-2</v>
      </c>
      <c r="AL1451" s="2">
        <v>0.17165665021883</v>
      </c>
      <c r="AM1451" s="2">
        <v>8478.2219100109905</v>
      </c>
      <c r="AN1451" s="2">
        <v>10918.4200425094</v>
      </c>
      <c r="AO1451" s="2">
        <v>13587.237620903101</v>
      </c>
      <c r="AP1451" s="2">
        <v>12780.1003998756</v>
      </c>
      <c r="AQ1451" s="2">
        <v>17771.132005395801</v>
      </c>
      <c r="AR1451" s="2">
        <v>14042.381662685</v>
      </c>
      <c r="AS1451" s="2">
        <v>17004.742531962998</v>
      </c>
      <c r="AT1451" s="2">
        <v>20994.1463809735</v>
      </c>
      <c r="AU1451" s="2">
        <v>17912.396342267199</v>
      </c>
      <c r="AV1451" s="2">
        <v>16339.3205085791</v>
      </c>
      <c r="AW1451" s="2">
        <v>15401.531107401701</v>
      </c>
      <c r="AX1451" s="2">
        <v>17702.241603804399</v>
      </c>
    </row>
    <row r="1452" spans="1:50" x14ac:dyDescent="0.25">
      <c r="A1452" s="2" t="s">
        <v>10007</v>
      </c>
      <c r="B1452" s="2">
        <v>662.50095636174501</v>
      </c>
      <c r="C1452" s="2">
        <v>14.35215</v>
      </c>
      <c r="D1452" s="2" t="s">
        <v>51</v>
      </c>
      <c r="E1452" s="2" t="s">
        <v>10008</v>
      </c>
      <c r="F1452" s="2">
        <v>7716</v>
      </c>
      <c r="G1452" s="3" t="str">
        <f>HYPERLINK("https://cloud.oebiotech.com/#/lm/network/7716", "https://cloud.oebiotech.com/#/lm/network/7716")</f>
        <v>https://cloud.oebiotech.com/#/lm/network/7716</v>
      </c>
      <c r="H1452" s="2"/>
      <c r="I1452" s="2">
        <v>97369</v>
      </c>
      <c r="J1452" s="2" t="s">
        <v>10009</v>
      </c>
      <c r="K1452" s="2">
        <v>10261025</v>
      </c>
      <c r="L1452" s="2"/>
      <c r="M1452" s="2"/>
      <c r="N1452" s="2"/>
      <c r="O1452" s="2"/>
      <c r="P1452" s="2"/>
      <c r="Q1452" s="2"/>
      <c r="R1452" s="2"/>
      <c r="S1452" s="2" t="s">
        <v>10010</v>
      </c>
      <c r="T1452" s="2" t="s">
        <v>10011</v>
      </c>
      <c r="U1452" s="2" t="s">
        <v>56</v>
      </c>
      <c r="V1452" s="2" t="s">
        <v>145</v>
      </c>
      <c r="W1452" s="2" t="s">
        <v>1188</v>
      </c>
      <c r="X1452" s="2" t="s">
        <v>59</v>
      </c>
      <c r="Y1452" s="2">
        <v>46.7</v>
      </c>
      <c r="Z1452" s="2">
        <v>46.8</v>
      </c>
      <c r="AA1452" s="2" t="s">
        <v>512</v>
      </c>
      <c r="AB1452" s="2" t="s">
        <v>10012</v>
      </c>
      <c r="AC1452" s="2">
        <v>-2.2416700982264701</v>
      </c>
      <c r="AD1452" s="2"/>
      <c r="AE1452" s="2">
        <v>0.442883619874889</v>
      </c>
      <c r="AF1452" s="2">
        <v>64918.297784986498</v>
      </c>
      <c r="AG1452" s="2">
        <v>56436.326845231502</v>
      </c>
      <c r="AH1452" s="5">
        <v>1.1502927531590701</v>
      </c>
      <c r="AI1452" s="5">
        <v>0.20200107837059</v>
      </c>
      <c r="AJ1452" s="5" t="s">
        <v>139</v>
      </c>
      <c r="AK1452" s="2">
        <v>0.801169740128856</v>
      </c>
      <c r="AL1452" s="2">
        <v>0.91034349227655897</v>
      </c>
      <c r="AM1452" s="2">
        <v>89977.913466022103</v>
      </c>
      <c r="AN1452" s="2">
        <v>178845.09102825701</v>
      </c>
      <c r="AO1452" s="2">
        <v>37915.215345268</v>
      </c>
      <c r="AP1452" s="2">
        <v>25682.1597862624</v>
      </c>
      <c r="AQ1452" s="2">
        <v>20752.689530687101</v>
      </c>
      <c r="AR1452" s="2">
        <v>36336.717553422597</v>
      </c>
      <c r="AS1452" s="2">
        <v>10789.3559018161</v>
      </c>
      <c r="AT1452" s="2">
        <v>15088.6769988087</v>
      </c>
      <c r="AU1452" s="2">
        <v>134663.79054228001</v>
      </c>
      <c r="AV1452" s="2">
        <v>35171.395273546499</v>
      </c>
      <c r="AW1452" s="2">
        <v>33978.039151748402</v>
      </c>
      <c r="AX1452" s="2">
        <v>108926.703203189</v>
      </c>
    </row>
    <row r="1453" spans="1:50" x14ac:dyDescent="0.25">
      <c r="A1453" s="2" t="s">
        <v>10013</v>
      </c>
      <c r="B1453" s="2">
        <v>213.01479200976601</v>
      </c>
      <c r="C1453" s="2">
        <v>6.63723333333333</v>
      </c>
      <c r="D1453" s="2" t="s">
        <v>51</v>
      </c>
      <c r="E1453" s="2" t="s">
        <v>10014</v>
      </c>
      <c r="F1453" s="2">
        <v>199610</v>
      </c>
      <c r="G1453" s="3" t="str">
        <f>HYPERLINK("https://cloud.oebiotech.com/#/lm/network/199610", "https://cloud.oebiotech.com/#/lm/network/199610")</f>
        <v>https://cloud.oebiotech.com/#/lm/network/199610</v>
      </c>
      <c r="H1453" s="2" t="s">
        <v>10015</v>
      </c>
      <c r="I1453" s="2">
        <v>70273</v>
      </c>
      <c r="J1453" s="2"/>
      <c r="K1453" s="2">
        <v>10707</v>
      </c>
      <c r="L1453" s="2" t="s">
        <v>10016</v>
      </c>
      <c r="M1453" s="2"/>
      <c r="N1453" s="2"/>
      <c r="O1453" s="2">
        <v>34053</v>
      </c>
      <c r="P1453" s="2"/>
      <c r="Q1453" s="2"/>
      <c r="R1453" s="2" t="s">
        <v>10017</v>
      </c>
      <c r="S1453" s="2" t="s">
        <v>10018</v>
      </c>
      <c r="T1453" s="2" t="s">
        <v>10019</v>
      </c>
      <c r="U1453" s="2" t="s">
        <v>610</v>
      </c>
      <c r="V1453" s="2" t="s">
        <v>611</v>
      </c>
      <c r="W1453" s="2" t="s">
        <v>8369</v>
      </c>
      <c r="X1453" s="2" t="s">
        <v>147</v>
      </c>
      <c r="Y1453" s="2">
        <v>38.799999999999997</v>
      </c>
      <c r="Z1453" s="2">
        <v>0</v>
      </c>
      <c r="AA1453" s="2" t="s">
        <v>218</v>
      </c>
      <c r="AB1453" s="2" t="s">
        <v>10020</v>
      </c>
      <c r="AC1453" s="2">
        <v>-3.0799027807321302</v>
      </c>
      <c r="AD1453" s="2"/>
      <c r="AE1453" s="2">
        <v>0.44275921104931498</v>
      </c>
      <c r="AF1453" s="2">
        <v>2602.0824898168398</v>
      </c>
      <c r="AG1453" s="2">
        <v>9068.3397414891297</v>
      </c>
      <c r="AH1453" s="4">
        <v>0.28694144286543299</v>
      </c>
      <c r="AI1453" s="4">
        <v>-1.8011717437255399</v>
      </c>
      <c r="AJ1453" s="4" t="s">
        <v>62</v>
      </c>
      <c r="AK1453" s="2">
        <v>0.14752913943672799</v>
      </c>
      <c r="AL1453" s="2">
        <v>0.46813495501649</v>
      </c>
      <c r="AM1453" s="2">
        <v>4333.16975613677</v>
      </c>
      <c r="AN1453" s="2">
        <v>1444.11624245348</v>
      </c>
      <c r="AO1453" s="2">
        <v>2657.1766996648598</v>
      </c>
      <c r="AP1453" s="2">
        <v>4435.1042792409198</v>
      </c>
      <c r="AQ1453" s="2">
        <v>1053.4668896834901</v>
      </c>
      <c r="AR1453" s="2">
        <v>1689.4610717215201</v>
      </c>
      <c r="AS1453" s="2">
        <v>4018.3123343546399</v>
      </c>
      <c r="AT1453" s="2">
        <v>2252.5196403237901</v>
      </c>
      <c r="AU1453" s="2">
        <v>2588.4679875007901</v>
      </c>
      <c r="AV1453" s="2">
        <v>1863.94025928167</v>
      </c>
      <c r="AW1453" s="2">
        <v>23549.815083797301</v>
      </c>
      <c r="AX1453" s="2">
        <v>20136.9831436766</v>
      </c>
    </row>
    <row r="1454" spans="1:50" x14ac:dyDescent="0.25">
      <c r="A1454" s="2" t="s">
        <v>10021</v>
      </c>
      <c r="B1454" s="2">
        <v>279.062226276785</v>
      </c>
      <c r="C1454" s="2">
        <v>5.1480166666666696</v>
      </c>
      <c r="D1454" s="2" t="s">
        <v>51</v>
      </c>
      <c r="E1454" s="2" t="s">
        <v>10022</v>
      </c>
      <c r="F1454" s="2">
        <v>207313</v>
      </c>
      <c r="G1454" s="3" t="str">
        <f>HYPERLINK("https://cloud.oebiotech.com/#/lm/network/207313", "https://cloud.oebiotech.com/#/lm/network/207313")</f>
        <v>https://cloud.oebiotech.com/#/lm/network/207313</v>
      </c>
      <c r="H1454" s="2" t="s">
        <v>10023</v>
      </c>
      <c r="I1454" s="2"/>
      <c r="J1454" s="2"/>
      <c r="K1454" s="2">
        <v>133440</v>
      </c>
      <c r="L1454" s="2"/>
      <c r="M1454" s="2"/>
      <c r="N1454" s="2"/>
      <c r="O1454" s="2"/>
      <c r="P1454" s="2"/>
      <c r="Q1454" s="2"/>
      <c r="R1454" s="2"/>
      <c r="S1454" s="2" t="s">
        <v>10024</v>
      </c>
      <c r="T1454" s="2" t="s">
        <v>10025</v>
      </c>
      <c r="U1454" s="2" t="s">
        <v>266</v>
      </c>
      <c r="V1454" s="2" t="s">
        <v>2432</v>
      </c>
      <c r="W1454" s="2" t="s">
        <v>10026</v>
      </c>
      <c r="X1454" s="2" t="s">
        <v>147</v>
      </c>
      <c r="Y1454" s="2">
        <v>43.8</v>
      </c>
      <c r="Z1454" s="2">
        <v>21.6</v>
      </c>
      <c r="AA1454" s="2" t="s">
        <v>163</v>
      </c>
      <c r="AB1454" s="2" t="s">
        <v>10027</v>
      </c>
      <c r="AC1454" s="2">
        <v>-0.119266861941057</v>
      </c>
      <c r="AD1454" s="2"/>
      <c r="AE1454" s="2">
        <v>0.44261187433792498</v>
      </c>
      <c r="AF1454" s="2">
        <v>446.95525938213399</v>
      </c>
      <c r="AG1454" s="2">
        <v>19480.612311139401</v>
      </c>
      <c r="AH1454" s="4">
        <v>2.2943593981722899E-2</v>
      </c>
      <c r="AI1454" s="4">
        <v>-5.4457647908583997</v>
      </c>
      <c r="AJ1454" s="4" t="s">
        <v>62</v>
      </c>
      <c r="AK1454" s="2">
        <v>0.33079052018964</v>
      </c>
      <c r="AL1454" s="2">
        <v>0.63290471104282697</v>
      </c>
      <c r="AM1454" s="2">
        <v>5.6075850171311199</v>
      </c>
      <c r="AN1454" s="2">
        <v>183.10075464957001</v>
      </c>
      <c r="AO1454" s="2">
        <v>1140.15138356732</v>
      </c>
      <c r="AP1454" s="2">
        <v>1352.8718159390301</v>
      </c>
      <c r="AQ1454" s="2">
        <v>8.559877937157E-6</v>
      </c>
      <c r="AR1454" s="2">
        <v>8.559877937157E-6</v>
      </c>
      <c r="AS1454" s="2">
        <v>802.28142470809701</v>
      </c>
      <c r="AT1454" s="2">
        <v>993.36719736545695</v>
      </c>
      <c r="AU1454" s="2">
        <v>112565.413310185</v>
      </c>
      <c r="AV1454" s="2">
        <v>2040.51940591894</v>
      </c>
      <c r="AW1454" s="2">
        <v>8.559877937157E-6</v>
      </c>
      <c r="AX1454" s="2">
        <v>482.09252009876201</v>
      </c>
    </row>
    <row r="1455" spans="1:50" x14ac:dyDescent="0.25">
      <c r="A1455" s="2" t="s">
        <v>10028</v>
      </c>
      <c r="B1455" s="2">
        <v>717.34404110913999</v>
      </c>
      <c r="C1455" s="2">
        <v>3.9009</v>
      </c>
      <c r="D1455" s="2" t="s">
        <v>51</v>
      </c>
      <c r="E1455" s="2" t="s">
        <v>10029</v>
      </c>
      <c r="F1455" s="2">
        <v>64202</v>
      </c>
      <c r="G1455" s="3" t="str">
        <f>HYPERLINK("https://cloud.oebiotech.com/#/lm/network/64202", "https://cloud.oebiotech.com/#/lm/network/64202")</f>
        <v>https://cloud.oebiotech.com/#/lm/network/64202</v>
      </c>
      <c r="H1455" s="2" t="s">
        <v>10030</v>
      </c>
      <c r="I1455" s="2"/>
      <c r="J1455" s="2"/>
      <c r="K1455" s="2">
        <v>131753023</v>
      </c>
      <c r="L1455" s="2"/>
      <c r="M1455" s="2"/>
      <c r="N1455" s="2"/>
      <c r="O1455" s="2"/>
      <c r="P1455" s="2"/>
      <c r="Q1455" s="2"/>
      <c r="R1455" s="2" t="s">
        <v>10031</v>
      </c>
      <c r="S1455" s="2" t="s">
        <v>10032</v>
      </c>
      <c r="T1455" s="2" t="s">
        <v>10033</v>
      </c>
      <c r="U1455" s="2" t="s">
        <v>56</v>
      </c>
      <c r="V1455" s="2" t="s">
        <v>3215</v>
      </c>
      <c r="W1455" s="2" t="s">
        <v>5428</v>
      </c>
      <c r="X1455" s="2" t="s">
        <v>147</v>
      </c>
      <c r="Y1455" s="2">
        <v>39.299999999999997</v>
      </c>
      <c r="Z1455" s="2">
        <v>31</v>
      </c>
      <c r="AA1455" s="2" t="s">
        <v>395</v>
      </c>
      <c r="AB1455" s="2" t="s">
        <v>10034</v>
      </c>
      <c r="AC1455" s="2">
        <v>-2.6143132388269699</v>
      </c>
      <c r="AD1455" s="2"/>
      <c r="AE1455" s="2">
        <v>0.44230588732957699</v>
      </c>
      <c r="AF1455" s="2">
        <v>6408.1567473113801</v>
      </c>
      <c r="AG1455" s="2">
        <v>18521.236680945902</v>
      </c>
      <c r="AH1455" s="4">
        <v>0.34598967972283901</v>
      </c>
      <c r="AI1455" s="4">
        <v>-1.5311990894956999</v>
      </c>
      <c r="AJ1455" s="4" t="s">
        <v>62</v>
      </c>
      <c r="AK1455" s="2">
        <v>0.52223902451180704</v>
      </c>
      <c r="AL1455" s="2">
        <v>0.753042437774049</v>
      </c>
      <c r="AM1455" s="2">
        <v>15061.7278885533</v>
      </c>
      <c r="AN1455" s="2">
        <v>8.559877937157E-6</v>
      </c>
      <c r="AO1455" s="2">
        <v>8.559877937157E-6</v>
      </c>
      <c r="AP1455" s="2">
        <v>304.606357414738</v>
      </c>
      <c r="AQ1455" s="2">
        <v>12376.9681596133</v>
      </c>
      <c r="AR1455" s="2">
        <v>10705.638061167199</v>
      </c>
      <c r="AS1455" s="2">
        <v>8.559877937157E-6</v>
      </c>
      <c r="AT1455" s="2">
        <v>8.559877937157E-6</v>
      </c>
      <c r="AU1455" s="2">
        <v>1213.0594965457301</v>
      </c>
      <c r="AV1455" s="2">
        <v>108708.64707422099</v>
      </c>
      <c r="AW1455" s="2">
        <v>787.71323941569699</v>
      </c>
      <c r="AX1455" s="2">
        <v>418.000258373527</v>
      </c>
    </row>
    <row r="1456" spans="1:50" x14ac:dyDescent="0.25">
      <c r="A1456" s="2" t="s">
        <v>10035</v>
      </c>
      <c r="B1456" s="2">
        <v>421.296944373119</v>
      </c>
      <c r="C1456" s="2">
        <v>6.8290333333333297</v>
      </c>
      <c r="D1456" s="2" t="s">
        <v>51</v>
      </c>
      <c r="E1456" s="2" t="s">
        <v>10036</v>
      </c>
      <c r="F1456" s="2">
        <v>209716</v>
      </c>
      <c r="G1456" s="3" t="str">
        <f>HYPERLINK("https://cloud.oebiotech.com/#/lm/network/209716", "https://cloud.oebiotech.com/#/lm/network/209716")</f>
        <v>https://cloud.oebiotech.com/#/lm/network/209716</v>
      </c>
      <c r="H1456" s="2" t="s">
        <v>10037</v>
      </c>
      <c r="I1456" s="2"/>
      <c r="J1456" s="2"/>
      <c r="K1456" s="2">
        <v>409805</v>
      </c>
      <c r="L1456" s="2"/>
      <c r="M1456" s="2"/>
      <c r="N1456" s="2"/>
      <c r="O1456" s="2">
        <v>144984</v>
      </c>
      <c r="P1456" s="2"/>
      <c r="Q1456" s="2"/>
      <c r="R1456" s="2"/>
      <c r="S1456" s="2" t="s">
        <v>10038</v>
      </c>
      <c r="T1456" s="2" t="s">
        <v>10039</v>
      </c>
      <c r="U1456" s="2" t="s">
        <v>266</v>
      </c>
      <c r="V1456" s="2" t="s">
        <v>1393</v>
      </c>
      <c r="W1456" s="2" t="s">
        <v>4835</v>
      </c>
      <c r="X1456" s="2" t="s">
        <v>147</v>
      </c>
      <c r="Y1456" s="2">
        <v>41.8</v>
      </c>
      <c r="Z1456" s="2">
        <v>19</v>
      </c>
      <c r="AA1456" s="2" t="s">
        <v>122</v>
      </c>
      <c r="AB1456" s="2" t="s">
        <v>10040</v>
      </c>
      <c r="AC1456" s="2">
        <v>3.67940663667253</v>
      </c>
      <c r="AD1456" s="2"/>
      <c r="AE1456" s="2">
        <v>0.44226510338654401</v>
      </c>
      <c r="AF1456" s="2">
        <v>11116.4365926634</v>
      </c>
      <c r="AG1456" s="2">
        <v>7004.4605937516499</v>
      </c>
      <c r="AH1456" s="5">
        <v>1.58705105751895</v>
      </c>
      <c r="AI1456" s="5">
        <v>0.66634854231581597</v>
      </c>
      <c r="AJ1456" s="5" t="s">
        <v>139</v>
      </c>
      <c r="AK1456" s="2">
        <v>3.26403658602799E-2</v>
      </c>
      <c r="AL1456" s="2">
        <v>0.26655550496902602</v>
      </c>
      <c r="AM1456" s="2">
        <v>16934.895377783301</v>
      </c>
      <c r="AN1456" s="2">
        <v>8896.5817923250106</v>
      </c>
      <c r="AO1456" s="2">
        <v>10925.894517945901</v>
      </c>
      <c r="AP1456" s="2">
        <v>7881.5887898341098</v>
      </c>
      <c r="AQ1456" s="2">
        <v>9879.0530447047204</v>
      </c>
      <c r="AR1456" s="2">
        <v>12180.606033387099</v>
      </c>
      <c r="AS1456" s="2">
        <v>10233.0155209065</v>
      </c>
      <c r="AT1456" s="2">
        <v>8129.9707975935899</v>
      </c>
      <c r="AU1456" s="2">
        <v>8919.0142430770902</v>
      </c>
      <c r="AV1456" s="2">
        <v>3729.09737492263</v>
      </c>
      <c r="AW1456" s="2">
        <v>5708.7665293689997</v>
      </c>
      <c r="AX1456" s="2">
        <v>5306.8990966410702</v>
      </c>
    </row>
    <row r="1457" spans="1:50" x14ac:dyDescent="0.25">
      <c r="A1457" s="2" t="s">
        <v>10041</v>
      </c>
      <c r="B1457" s="2">
        <v>233.05777539214901</v>
      </c>
      <c r="C1457" s="2">
        <v>1.0131666666666701</v>
      </c>
      <c r="D1457" s="2" t="s">
        <v>51</v>
      </c>
      <c r="E1457" s="2" t="s">
        <v>10042</v>
      </c>
      <c r="F1457" s="2">
        <v>199409</v>
      </c>
      <c r="G1457" s="3" t="str">
        <f>HYPERLINK("https://cloud.oebiotech.com/#/lm/network/199409", "https://cloud.oebiotech.com/#/lm/network/199409")</f>
        <v>https://cloud.oebiotech.com/#/lm/network/199409</v>
      </c>
      <c r="H1457" s="2" t="s">
        <v>10043</v>
      </c>
      <c r="I1457" s="2"/>
      <c r="J1457" s="2"/>
      <c r="K1457" s="2">
        <v>124352</v>
      </c>
      <c r="L1457" s="2"/>
      <c r="M1457" s="2"/>
      <c r="N1457" s="2"/>
      <c r="O1457" s="2"/>
      <c r="P1457" s="2"/>
      <c r="Q1457" s="2"/>
      <c r="R1457" s="2"/>
      <c r="S1457" s="2" t="s">
        <v>10044</v>
      </c>
      <c r="T1457" s="2" t="s">
        <v>10045</v>
      </c>
      <c r="U1457" s="2" t="s">
        <v>266</v>
      </c>
      <c r="V1457" s="2" t="s">
        <v>3926</v>
      </c>
      <c r="W1457" s="2" t="s">
        <v>4115</v>
      </c>
      <c r="X1457" s="2" t="s">
        <v>147</v>
      </c>
      <c r="Y1457" s="2">
        <v>39.700000000000003</v>
      </c>
      <c r="Z1457" s="2">
        <v>2.63</v>
      </c>
      <c r="AA1457" s="2" t="s">
        <v>218</v>
      </c>
      <c r="AB1457" s="2" t="s">
        <v>10046</v>
      </c>
      <c r="AC1457" s="2">
        <v>-0.78621174358301005</v>
      </c>
      <c r="AD1457" s="2"/>
      <c r="AE1457" s="2">
        <v>0.44217109476303301</v>
      </c>
      <c r="AF1457" s="2">
        <v>121086.207849275</v>
      </c>
      <c r="AG1457" s="2">
        <v>113617.13337440199</v>
      </c>
      <c r="AH1457" s="5">
        <v>1.0657389801436099</v>
      </c>
      <c r="AI1457" s="5">
        <v>9.1854137756116297E-2</v>
      </c>
      <c r="AJ1457" s="5" t="s">
        <v>139</v>
      </c>
      <c r="AK1457" s="2">
        <v>0.55921214358049998</v>
      </c>
      <c r="AL1457" s="2">
        <v>0.778439037851683</v>
      </c>
      <c r="AM1457" s="2">
        <v>157166.32978886299</v>
      </c>
      <c r="AN1457" s="2">
        <v>127383.557510759</v>
      </c>
      <c r="AO1457" s="2">
        <v>107287.427601916</v>
      </c>
      <c r="AP1457" s="2">
        <v>136716.36985461699</v>
      </c>
      <c r="AQ1457" s="2">
        <v>110439.228190432</v>
      </c>
      <c r="AR1457" s="2">
        <v>87524.334149063303</v>
      </c>
      <c r="AS1457" s="2">
        <v>106907.205254214</v>
      </c>
      <c r="AT1457" s="2">
        <v>139269.931758349</v>
      </c>
      <c r="AU1457" s="2">
        <v>111823.055737855</v>
      </c>
      <c r="AV1457" s="2">
        <v>115455.388936498</v>
      </c>
      <c r="AW1457" s="2">
        <v>122558.95079770801</v>
      </c>
      <c r="AX1457" s="2">
        <v>85688.267761786599</v>
      </c>
    </row>
    <row r="1458" spans="1:50" x14ac:dyDescent="0.25">
      <c r="A1458" s="2" t="s">
        <v>10047</v>
      </c>
      <c r="B1458" s="2">
        <v>352.24699441505498</v>
      </c>
      <c r="C1458" s="2">
        <v>9.6251166666666705</v>
      </c>
      <c r="D1458" s="2" t="s">
        <v>51</v>
      </c>
      <c r="E1458" s="2" t="s">
        <v>10048</v>
      </c>
      <c r="F1458" s="2">
        <v>3799</v>
      </c>
      <c r="G1458" s="3" t="str">
        <f>HYPERLINK("https://cloud.oebiotech.com/#/lm/network/3799", "https://cloud.oebiotech.com/#/lm/network/3799")</f>
        <v>https://cloud.oebiotech.com/#/lm/network/3799</v>
      </c>
      <c r="H1458" s="2"/>
      <c r="I1458" s="2">
        <v>45953</v>
      </c>
      <c r="J1458" s="2" t="s">
        <v>10049</v>
      </c>
      <c r="K1458" s="2">
        <v>11067624</v>
      </c>
      <c r="L1458" s="2"/>
      <c r="M1458" s="2"/>
      <c r="N1458" s="2"/>
      <c r="O1458" s="2"/>
      <c r="P1458" s="2"/>
      <c r="Q1458" s="2"/>
      <c r="R1458" s="2"/>
      <c r="S1458" s="2" t="s">
        <v>10050</v>
      </c>
      <c r="T1458" s="2" t="s">
        <v>10051</v>
      </c>
      <c r="U1458" s="2" t="s">
        <v>56</v>
      </c>
      <c r="V1458" s="2" t="s">
        <v>145</v>
      </c>
      <c r="W1458" s="2" t="s">
        <v>187</v>
      </c>
      <c r="X1458" s="2" t="s">
        <v>83</v>
      </c>
      <c r="Y1458" s="2">
        <v>57.3</v>
      </c>
      <c r="Z1458" s="2">
        <v>0.36699999999999999</v>
      </c>
      <c r="AA1458" s="2" t="s">
        <v>512</v>
      </c>
      <c r="AB1458" s="2" t="s">
        <v>212</v>
      </c>
      <c r="AC1458" s="2">
        <v>-3.71185457737469</v>
      </c>
      <c r="AD1458" s="2"/>
      <c r="AE1458" s="2">
        <v>0.44107079665916399</v>
      </c>
      <c r="AF1458" s="2">
        <v>12438.377771502999</v>
      </c>
      <c r="AG1458" s="2">
        <v>1314.38100619336</v>
      </c>
      <c r="AH1458" s="5">
        <v>9.4632969533897793</v>
      </c>
      <c r="AI1458" s="5">
        <v>3.2423428970575001</v>
      </c>
      <c r="AJ1458" s="5" t="s">
        <v>139</v>
      </c>
      <c r="AK1458" s="2">
        <v>0.227232647030957</v>
      </c>
      <c r="AL1458" s="2">
        <v>0.55318612061801498</v>
      </c>
      <c r="AM1458" s="2">
        <v>328.82560878716998</v>
      </c>
      <c r="AN1458" s="2">
        <v>39.174713185029702</v>
      </c>
      <c r="AO1458" s="2">
        <v>22331.837601204399</v>
      </c>
      <c r="AP1458" s="2">
        <v>0.64256215096850799</v>
      </c>
      <c r="AQ1458" s="2">
        <v>51379.938334825601</v>
      </c>
      <c r="AR1458" s="2">
        <v>549.84780886509202</v>
      </c>
      <c r="AS1458" s="2">
        <v>6380.9177452347303</v>
      </c>
      <c r="AT1458" s="2">
        <v>0.881766548576147</v>
      </c>
      <c r="AU1458" s="2">
        <v>1278.82355510559</v>
      </c>
      <c r="AV1458" s="2">
        <v>141.374818825782</v>
      </c>
      <c r="AW1458" s="2">
        <v>37.278033415534402</v>
      </c>
      <c r="AX1458" s="2">
        <v>47.010118029964801</v>
      </c>
    </row>
    <row r="1459" spans="1:50" x14ac:dyDescent="0.25">
      <c r="A1459" s="2" t="s">
        <v>10052</v>
      </c>
      <c r="B1459" s="2">
        <v>231.09832559134401</v>
      </c>
      <c r="C1459" s="2">
        <v>0.99048333333333305</v>
      </c>
      <c r="D1459" s="2" t="s">
        <v>51</v>
      </c>
      <c r="E1459" s="2" t="s">
        <v>10053</v>
      </c>
      <c r="F1459" s="2">
        <v>54651</v>
      </c>
      <c r="G1459" s="3" t="str">
        <f>HYPERLINK("https://cloud.oebiotech.com/#/lm/network/54651", "https://cloud.oebiotech.com/#/lm/network/54651")</f>
        <v>https://cloud.oebiotech.com/#/lm/network/54651</v>
      </c>
      <c r="H1459" s="2" t="s">
        <v>10054</v>
      </c>
      <c r="I1459" s="2"/>
      <c r="J1459" s="2"/>
      <c r="K1459" s="2"/>
      <c r="L1459" s="2"/>
      <c r="M1459" s="2"/>
      <c r="N1459" s="2"/>
      <c r="O1459" s="2"/>
      <c r="P1459" s="2"/>
      <c r="Q1459" s="2"/>
      <c r="R1459" s="2" t="s">
        <v>10055</v>
      </c>
      <c r="S1459" s="2" t="s">
        <v>10056</v>
      </c>
      <c r="T1459" s="2" t="s">
        <v>10057</v>
      </c>
      <c r="U1459" s="2" t="s">
        <v>331</v>
      </c>
      <c r="V1459" s="2" t="s">
        <v>332</v>
      </c>
      <c r="W1459" s="2" t="s">
        <v>1207</v>
      </c>
      <c r="X1459" s="2" t="s">
        <v>83</v>
      </c>
      <c r="Y1459" s="2">
        <v>38.799999999999997</v>
      </c>
      <c r="Z1459" s="2">
        <v>0</v>
      </c>
      <c r="AA1459" s="2" t="s">
        <v>259</v>
      </c>
      <c r="AB1459" s="2" t="s">
        <v>4243</v>
      </c>
      <c r="AC1459" s="2">
        <v>3.3795560276808301</v>
      </c>
      <c r="AD1459" s="2"/>
      <c r="AE1459" s="2">
        <v>0.44056949922419902</v>
      </c>
      <c r="AF1459" s="2">
        <v>5407.6699437276402</v>
      </c>
      <c r="AG1459" s="2">
        <v>12224.068368734401</v>
      </c>
      <c r="AH1459" s="4">
        <v>0.44237890206495301</v>
      </c>
      <c r="AI1459" s="4">
        <v>-1.17664551268743</v>
      </c>
      <c r="AJ1459" s="4" t="s">
        <v>62</v>
      </c>
      <c r="AK1459" s="2">
        <v>0.16399849350097101</v>
      </c>
      <c r="AL1459" s="2">
        <v>0.484889968085291</v>
      </c>
      <c r="AM1459" s="2">
        <v>6168.8598412095898</v>
      </c>
      <c r="AN1459" s="2">
        <v>5150.8219191593198</v>
      </c>
      <c r="AO1459" s="2">
        <v>3262.7070816273299</v>
      </c>
      <c r="AP1459" s="2">
        <v>6644.96755789896</v>
      </c>
      <c r="AQ1459" s="2">
        <v>3911.6740561859901</v>
      </c>
      <c r="AR1459" s="2">
        <v>7306.9892062846502</v>
      </c>
      <c r="AS1459" s="2">
        <v>1061.84856666007</v>
      </c>
      <c r="AT1459" s="2">
        <v>2345.3655148103599</v>
      </c>
      <c r="AU1459" s="2">
        <v>11264.964222586799</v>
      </c>
      <c r="AV1459" s="2">
        <v>13177.872397009</v>
      </c>
      <c r="AW1459" s="2">
        <v>13809.765370687201</v>
      </c>
      <c r="AX1459" s="2">
        <v>31684.594140652898</v>
      </c>
    </row>
    <row r="1460" spans="1:50" x14ac:dyDescent="0.25">
      <c r="A1460" s="2" t="s">
        <v>10058</v>
      </c>
      <c r="B1460" s="2">
        <v>369.204805952247</v>
      </c>
      <c r="C1460" s="2">
        <v>11.948033333333299</v>
      </c>
      <c r="D1460" s="2" t="s">
        <v>51</v>
      </c>
      <c r="E1460" s="2" t="s">
        <v>10059</v>
      </c>
      <c r="F1460" s="2">
        <v>274678</v>
      </c>
      <c r="G1460" s="3" t="str">
        <f>HYPERLINK("https://cloud.oebiotech.com/#/lm/network/274678", "https://cloud.oebiotech.com/#/lm/network/274678")</f>
        <v>https://cloud.oebiotech.com/#/lm/network/274678</v>
      </c>
      <c r="H1460" s="2"/>
      <c r="I1460" s="2">
        <v>64852</v>
      </c>
      <c r="J1460" s="2"/>
      <c r="K1460" s="2">
        <v>322968</v>
      </c>
      <c r="L1460" s="2"/>
      <c r="M1460" s="2"/>
      <c r="N1460" s="2"/>
      <c r="O1460" s="2"/>
      <c r="P1460" s="2"/>
      <c r="Q1460" s="2"/>
      <c r="R1460" s="2" t="s">
        <v>10060</v>
      </c>
      <c r="S1460" s="2" t="s">
        <v>10061</v>
      </c>
      <c r="T1460" s="2" t="s">
        <v>10062</v>
      </c>
      <c r="U1460" s="2" t="s">
        <v>266</v>
      </c>
      <c r="V1460" s="2" t="s">
        <v>10063</v>
      </c>
      <c r="W1460" s="2" t="s">
        <v>10064</v>
      </c>
      <c r="X1460" s="2" t="s">
        <v>147</v>
      </c>
      <c r="Y1460" s="2">
        <v>37</v>
      </c>
      <c r="Z1460" s="2">
        <v>0</v>
      </c>
      <c r="AA1460" s="2" t="s">
        <v>478</v>
      </c>
      <c r="AB1460" s="2" t="s">
        <v>10065</v>
      </c>
      <c r="AC1460" s="2">
        <v>4.5803555156994902</v>
      </c>
      <c r="AD1460" s="2"/>
      <c r="AE1460" s="2">
        <v>0.43975708860975499</v>
      </c>
      <c r="AF1460" s="2">
        <v>8927.2645019741594</v>
      </c>
      <c r="AG1460" s="2">
        <v>17049.978512407801</v>
      </c>
      <c r="AH1460" s="4">
        <v>0.52359388579155797</v>
      </c>
      <c r="AI1460" s="4">
        <v>-0.93347984441417797</v>
      </c>
      <c r="AJ1460" s="4" t="s">
        <v>62</v>
      </c>
      <c r="AK1460" s="2">
        <v>6.9281443951626998E-2</v>
      </c>
      <c r="AL1460" s="2">
        <v>0.34853904559419902</v>
      </c>
      <c r="AM1460" s="2">
        <v>17408.660655103598</v>
      </c>
      <c r="AN1460" s="2">
        <v>9863.8519211378698</v>
      </c>
      <c r="AO1460" s="2">
        <v>6965.4179168112096</v>
      </c>
      <c r="AP1460" s="2">
        <v>6275.3373712145503</v>
      </c>
      <c r="AQ1460" s="2">
        <v>6544.5037810932599</v>
      </c>
      <c r="AR1460" s="2">
        <v>6505.8153664844504</v>
      </c>
      <c r="AS1460" s="2">
        <v>9788.9894960500806</v>
      </c>
      <c r="AT1460" s="2">
        <v>5192.4003159939002</v>
      </c>
      <c r="AU1460" s="2">
        <v>30166.748075283998</v>
      </c>
      <c r="AV1460" s="2">
        <v>18054.451192045199</v>
      </c>
      <c r="AW1460" s="2">
        <v>18117.767272767702</v>
      </c>
      <c r="AX1460" s="2">
        <v>20979.514722305699</v>
      </c>
    </row>
    <row r="1461" spans="1:50" x14ac:dyDescent="0.25">
      <c r="A1461" s="2" t="s">
        <v>10066</v>
      </c>
      <c r="B1461" s="2">
        <v>427.00284839010197</v>
      </c>
      <c r="C1461" s="2">
        <v>13.533483333333299</v>
      </c>
      <c r="D1461" s="2" t="s">
        <v>51</v>
      </c>
      <c r="E1461" s="2" t="s">
        <v>10067</v>
      </c>
      <c r="F1461" s="2">
        <v>209356</v>
      </c>
      <c r="G1461" s="3" t="str">
        <f>HYPERLINK("https://cloud.oebiotech.com/#/lm/network/209356", "https://cloud.oebiotech.com/#/lm/network/209356")</f>
        <v>https://cloud.oebiotech.com/#/lm/network/209356</v>
      </c>
      <c r="H1461" s="2" t="s">
        <v>10068</v>
      </c>
      <c r="I1461" s="2"/>
      <c r="J1461" s="2"/>
      <c r="K1461" s="2">
        <v>54314512</v>
      </c>
      <c r="L1461" s="2"/>
      <c r="M1461" s="2"/>
      <c r="N1461" s="2"/>
      <c r="O1461" s="2"/>
      <c r="P1461" s="2"/>
      <c r="Q1461" s="2"/>
      <c r="R1461" s="2"/>
      <c r="S1461" s="2" t="s">
        <v>10069</v>
      </c>
      <c r="T1461" s="2" t="s">
        <v>10070</v>
      </c>
      <c r="U1461" s="2" t="s">
        <v>266</v>
      </c>
      <c r="V1461" s="2" t="s">
        <v>3926</v>
      </c>
      <c r="W1461" s="2" t="s">
        <v>4115</v>
      </c>
      <c r="X1461" s="2" t="s">
        <v>147</v>
      </c>
      <c r="Y1461" s="2">
        <v>38.700000000000003</v>
      </c>
      <c r="Z1461" s="2">
        <v>6.05</v>
      </c>
      <c r="AA1461" s="2" t="s">
        <v>478</v>
      </c>
      <c r="AB1461" s="2" t="s">
        <v>10071</v>
      </c>
      <c r="AC1461" s="2">
        <v>1.09684811076674</v>
      </c>
      <c r="AD1461" s="2"/>
      <c r="AE1461" s="2">
        <v>0.43948292219051199</v>
      </c>
      <c r="AF1461" s="2">
        <v>20131.7605441009</v>
      </c>
      <c r="AG1461" s="2">
        <v>24138.998653148199</v>
      </c>
      <c r="AH1461" s="4">
        <v>0.83399319223522494</v>
      </c>
      <c r="AI1461" s="4">
        <v>-0.26189248767853401</v>
      </c>
      <c r="AJ1461" s="4" t="s">
        <v>62</v>
      </c>
      <c r="AK1461" s="2">
        <v>7.54630476599032E-3</v>
      </c>
      <c r="AL1461" s="2">
        <v>0.14489874833036501</v>
      </c>
      <c r="AM1461" s="2">
        <v>18249.599705509401</v>
      </c>
      <c r="AN1461" s="2">
        <v>19384.411169938201</v>
      </c>
      <c r="AO1461" s="2">
        <v>19952.9043909543</v>
      </c>
      <c r="AP1461" s="2">
        <v>20629.711975198501</v>
      </c>
      <c r="AQ1461" s="2">
        <v>22207.1901879857</v>
      </c>
      <c r="AR1461" s="2">
        <v>20366.745835019199</v>
      </c>
      <c r="AS1461" s="2">
        <v>24463.113475743001</v>
      </c>
      <c r="AT1461" s="2">
        <v>26040.118064696198</v>
      </c>
      <c r="AU1461" s="2">
        <v>19990.4451067757</v>
      </c>
      <c r="AV1461" s="2">
        <v>27519.536375311</v>
      </c>
      <c r="AW1461" s="2">
        <v>24163.5281480003</v>
      </c>
      <c r="AX1461" s="2">
        <v>22657.2507483632</v>
      </c>
    </row>
    <row r="1462" spans="1:50" x14ac:dyDescent="0.25">
      <c r="A1462" s="2" t="s">
        <v>10072</v>
      </c>
      <c r="B1462" s="2">
        <v>263.201388533304</v>
      </c>
      <c r="C1462" s="2">
        <v>9.9498999999999995</v>
      </c>
      <c r="D1462" s="2" t="s">
        <v>51</v>
      </c>
      <c r="E1462" s="2" t="s">
        <v>10073</v>
      </c>
      <c r="F1462" s="2">
        <v>1770</v>
      </c>
      <c r="G1462" s="3" t="str">
        <f>HYPERLINK("https://cloud.oebiotech.com/#/lm/network/1770", "https://cloud.oebiotech.com/#/lm/network/1770")</f>
        <v>https://cloud.oebiotech.com/#/lm/network/1770</v>
      </c>
      <c r="H1462" s="2"/>
      <c r="I1462" s="2">
        <v>74573</v>
      </c>
      <c r="J1462" s="2" t="s">
        <v>10074</v>
      </c>
      <c r="K1462" s="2">
        <v>5312765</v>
      </c>
      <c r="L1462" s="2"/>
      <c r="M1462" s="2"/>
      <c r="N1462" s="2"/>
      <c r="O1462" s="2">
        <v>72783</v>
      </c>
      <c r="P1462" s="2"/>
      <c r="Q1462" s="2"/>
      <c r="R1462" s="2"/>
      <c r="S1462" s="2" t="s">
        <v>10075</v>
      </c>
      <c r="T1462" s="2" t="s">
        <v>10076</v>
      </c>
      <c r="U1462" s="2" t="s">
        <v>56</v>
      </c>
      <c r="V1462" s="2" t="s">
        <v>145</v>
      </c>
      <c r="W1462" s="2" t="s">
        <v>231</v>
      </c>
      <c r="X1462" s="2" t="s">
        <v>59</v>
      </c>
      <c r="Y1462" s="2">
        <v>53.1</v>
      </c>
      <c r="Z1462" s="2">
        <v>72.900000000000006</v>
      </c>
      <c r="AA1462" s="2" t="s">
        <v>156</v>
      </c>
      <c r="AB1462" s="2" t="s">
        <v>10077</v>
      </c>
      <c r="AC1462" s="2">
        <v>2.9693620543863402</v>
      </c>
      <c r="AD1462" s="2"/>
      <c r="AE1462" s="2">
        <v>0.439267398510578</v>
      </c>
      <c r="AF1462" s="2">
        <v>5852.7796059900102</v>
      </c>
      <c r="AG1462" s="2">
        <v>13244.543527927401</v>
      </c>
      <c r="AH1462" s="4">
        <v>0.44190119452957</v>
      </c>
      <c r="AI1462" s="4">
        <v>-1.17820426395185</v>
      </c>
      <c r="AJ1462" s="4" t="s">
        <v>62</v>
      </c>
      <c r="AK1462" s="2">
        <v>0.181920671423489</v>
      </c>
      <c r="AL1462" s="2">
        <v>0.50503247306174104</v>
      </c>
      <c r="AM1462" s="2">
        <v>473.97739248579802</v>
      </c>
      <c r="AN1462" s="2">
        <v>16056.705383942</v>
      </c>
      <c r="AO1462" s="2">
        <v>882.94303194737597</v>
      </c>
      <c r="AP1462" s="2">
        <v>5391.7858710187902</v>
      </c>
      <c r="AQ1462" s="2">
        <v>556.96602145516999</v>
      </c>
      <c r="AR1462" s="2">
        <v>11754.299935090899</v>
      </c>
      <c r="AS1462" s="2">
        <v>31309.565989921299</v>
      </c>
      <c r="AT1462" s="2">
        <v>6674.2666419511697</v>
      </c>
      <c r="AU1462" s="2">
        <v>19167.529288125599</v>
      </c>
      <c r="AV1462" s="2">
        <v>9959.7538048753504</v>
      </c>
      <c r="AW1462" s="2">
        <v>11670.3991879198</v>
      </c>
      <c r="AX1462" s="2">
        <v>685.74625477122902</v>
      </c>
    </row>
    <row r="1463" spans="1:50" x14ac:dyDescent="0.25">
      <c r="A1463" s="2" t="s">
        <v>10078</v>
      </c>
      <c r="B1463" s="2">
        <v>188.17617035767299</v>
      </c>
      <c r="C1463" s="2">
        <v>0.65129999999999999</v>
      </c>
      <c r="D1463" s="2" t="s">
        <v>51</v>
      </c>
      <c r="E1463" s="2" t="s">
        <v>10079</v>
      </c>
      <c r="F1463" s="2">
        <v>47491</v>
      </c>
      <c r="G1463" s="3" t="str">
        <f>HYPERLINK("https://cloud.oebiotech.com/#/lm/network/47491", "https://cloud.oebiotech.com/#/lm/network/47491")</f>
        <v>https://cloud.oebiotech.com/#/lm/network/47491</v>
      </c>
      <c r="H1463" s="2" t="s">
        <v>10080</v>
      </c>
      <c r="I1463" s="2">
        <v>3323</v>
      </c>
      <c r="J1463" s="2"/>
      <c r="K1463" s="2">
        <v>496</v>
      </c>
      <c r="L1463" s="2" t="s">
        <v>10081</v>
      </c>
      <c r="M1463" s="2"/>
      <c r="N1463" s="2"/>
      <c r="O1463" s="2">
        <v>17927</v>
      </c>
      <c r="P1463" s="2" t="s">
        <v>10082</v>
      </c>
      <c r="Q1463" s="2" t="s">
        <v>10083</v>
      </c>
      <c r="R1463" s="2" t="s">
        <v>10084</v>
      </c>
      <c r="S1463" s="2" t="s">
        <v>10085</v>
      </c>
      <c r="T1463" s="2" t="s">
        <v>10086</v>
      </c>
      <c r="U1463" s="2" t="s">
        <v>103</v>
      </c>
      <c r="V1463" s="2" t="s">
        <v>7841</v>
      </c>
      <c r="W1463" s="2" t="s">
        <v>7842</v>
      </c>
      <c r="X1463" s="2" t="s">
        <v>69</v>
      </c>
      <c r="Y1463" s="2">
        <v>52.1</v>
      </c>
      <c r="Z1463" s="2">
        <v>61.7</v>
      </c>
      <c r="AA1463" s="2" t="s">
        <v>259</v>
      </c>
      <c r="AB1463" s="2" t="s">
        <v>10087</v>
      </c>
      <c r="AC1463" s="2">
        <v>2.30604150488948</v>
      </c>
      <c r="AD1463" s="2"/>
      <c r="AE1463" s="2">
        <v>0.43878432726040301</v>
      </c>
      <c r="AF1463" s="2">
        <v>10086.6592042633</v>
      </c>
      <c r="AG1463" s="2">
        <v>2058.2968849489798</v>
      </c>
      <c r="AH1463" s="5">
        <v>4.9004880092957803</v>
      </c>
      <c r="AI1463" s="5">
        <v>2.2929254254592402</v>
      </c>
      <c r="AJ1463" s="5" t="s">
        <v>139</v>
      </c>
      <c r="AK1463" s="2">
        <v>0.128926651111436</v>
      </c>
      <c r="AL1463" s="2">
        <v>0.44773421075434799</v>
      </c>
      <c r="AM1463" s="2">
        <v>10876.070224499599</v>
      </c>
      <c r="AN1463" s="2">
        <v>1309.0513634661399</v>
      </c>
      <c r="AO1463" s="2">
        <v>1592.3170337384299</v>
      </c>
      <c r="AP1463" s="2">
        <v>3560.2278452462601</v>
      </c>
      <c r="AQ1463" s="2">
        <v>32359.583857539401</v>
      </c>
      <c r="AR1463" s="2">
        <v>10822.704901090099</v>
      </c>
      <c r="AS1463" s="2">
        <v>2389.9900576260702</v>
      </c>
      <c r="AT1463" s="2">
        <v>3868.0949367107301</v>
      </c>
      <c r="AU1463" s="2">
        <v>1324.03598893763</v>
      </c>
      <c r="AV1463" s="2">
        <v>316.336530429611</v>
      </c>
      <c r="AW1463" s="2">
        <v>8.559877937157E-6</v>
      </c>
      <c r="AX1463" s="2">
        <v>4451.3237874299502</v>
      </c>
    </row>
    <row r="1464" spans="1:50" x14ac:dyDescent="0.25">
      <c r="A1464" s="2" t="s">
        <v>10088</v>
      </c>
      <c r="B1464" s="2">
        <v>357.06184310103203</v>
      </c>
      <c r="C1464" s="2">
        <v>6.5073166666666697</v>
      </c>
      <c r="D1464" s="2" t="s">
        <v>51</v>
      </c>
      <c r="E1464" s="2" t="s">
        <v>10089</v>
      </c>
      <c r="F1464" s="2">
        <v>64205</v>
      </c>
      <c r="G1464" s="3" t="str">
        <f>HYPERLINK("https://cloud.oebiotech.com/#/lm/network/64205", "https://cloud.oebiotech.com/#/lm/network/64205")</f>
        <v>https://cloud.oebiotech.com/#/lm/network/64205</v>
      </c>
      <c r="H1464" s="2" t="s">
        <v>10090</v>
      </c>
      <c r="I1464" s="2">
        <v>95530</v>
      </c>
      <c r="J1464" s="2"/>
      <c r="K1464" s="2">
        <v>131753025</v>
      </c>
      <c r="L1464" s="2"/>
      <c r="M1464" s="2"/>
      <c r="N1464" s="2"/>
      <c r="O1464" s="2">
        <v>174249</v>
      </c>
      <c r="P1464" s="2"/>
      <c r="Q1464" s="2"/>
      <c r="R1464" s="2"/>
      <c r="S1464" s="2" t="s">
        <v>10091</v>
      </c>
      <c r="T1464" s="2" t="s">
        <v>10092</v>
      </c>
      <c r="U1464" s="2" t="s">
        <v>610</v>
      </c>
      <c r="V1464" s="2" t="s">
        <v>895</v>
      </c>
      <c r="W1464" s="2" t="s">
        <v>5219</v>
      </c>
      <c r="X1464" s="2" t="s">
        <v>83</v>
      </c>
      <c r="Y1464" s="2">
        <v>42.9</v>
      </c>
      <c r="Z1464" s="2">
        <v>8.24</v>
      </c>
      <c r="AA1464" s="2" t="s">
        <v>218</v>
      </c>
      <c r="AB1464" s="2" t="s">
        <v>7288</v>
      </c>
      <c r="AC1464" s="2">
        <v>0.80794108258632302</v>
      </c>
      <c r="AD1464" s="2"/>
      <c r="AE1464" s="2">
        <v>0.43864260274415201</v>
      </c>
      <c r="AF1464" s="2">
        <v>22550.833428587001</v>
      </c>
      <c r="AG1464" s="2">
        <v>27988.812776631599</v>
      </c>
      <c r="AH1464" s="4">
        <v>0.80570882404183597</v>
      </c>
      <c r="AI1464" s="4">
        <v>-0.31166953902240901</v>
      </c>
      <c r="AJ1464" s="4" t="s">
        <v>62</v>
      </c>
      <c r="AK1464" s="2">
        <v>3.2819103832949899E-2</v>
      </c>
      <c r="AL1464" s="2">
        <v>0.26764700474755998</v>
      </c>
      <c r="AM1464" s="2">
        <v>21318.5528835162</v>
      </c>
      <c r="AN1464" s="2">
        <v>24298.098237458002</v>
      </c>
      <c r="AO1464" s="2">
        <v>26239.187503735298</v>
      </c>
      <c r="AP1464" s="2">
        <v>24313.978599057202</v>
      </c>
      <c r="AQ1464" s="2">
        <v>22943.340533792802</v>
      </c>
      <c r="AR1464" s="2">
        <v>16191.842813962299</v>
      </c>
      <c r="AS1464" s="2">
        <v>22889.058491925902</v>
      </c>
      <c r="AT1464" s="2">
        <v>29725.383300168902</v>
      </c>
      <c r="AU1464" s="2">
        <v>23132.159360702899</v>
      </c>
      <c r="AV1464" s="2">
        <v>31503.544760321802</v>
      </c>
      <c r="AW1464" s="2">
        <v>32200.2490286713</v>
      </c>
      <c r="AX1464" s="2">
        <v>28482.481717998799</v>
      </c>
    </row>
    <row r="1465" spans="1:50" x14ac:dyDescent="0.25">
      <c r="A1465" s="2" t="s">
        <v>10093</v>
      </c>
      <c r="B1465" s="2">
        <v>967.63267563094996</v>
      </c>
      <c r="C1465" s="2">
        <v>12.55655</v>
      </c>
      <c r="D1465" s="2" t="s">
        <v>51</v>
      </c>
      <c r="E1465" s="2" t="s">
        <v>10094</v>
      </c>
      <c r="F1465" s="2">
        <v>43744</v>
      </c>
      <c r="G1465" s="3" t="str">
        <f>HYPERLINK("https://cloud.oebiotech.com/#/lm/network/43744", "https://cloud.oebiotech.com/#/lm/network/43744")</f>
        <v>https://cloud.oebiotech.com/#/lm/network/43744</v>
      </c>
      <c r="H1465" s="2"/>
      <c r="I1465" s="2"/>
      <c r="J1465" s="2" t="s">
        <v>10095</v>
      </c>
      <c r="K1465" s="2"/>
      <c r="L1465" s="2"/>
      <c r="M1465" s="2"/>
      <c r="N1465" s="2"/>
      <c r="O1465" s="2"/>
      <c r="P1465" s="2"/>
      <c r="Q1465" s="2"/>
      <c r="R1465" s="2"/>
      <c r="S1465" s="2" t="s">
        <v>10096</v>
      </c>
      <c r="T1465" s="2" t="s">
        <v>10097</v>
      </c>
      <c r="U1465" s="2" t="s">
        <v>56</v>
      </c>
      <c r="V1465" s="2" t="s">
        <v>177</v>
      </c>
      <c r="W1465" s="2" t="s">
        <v>3270</v>
      </c>
      <c r="X1465" s="2" t="s">
        <v>147</v>
      </c>
      <c r="Y1465" s="2">
        <v>37.1</v>
      </c>
      <c r="Z1465" s="2">
        <v>0</v>
      </c>
      <c r="AA1465" s="2" t="s">
        <v>163</v>
      </c>
      <c r="AB1465" s="2" t="s">
        <v>10098</v>
      </c>
      <c r="AC1465" s="2">
        <v>2.2743747010702902</v>
      </c>
      <c r="AD1465" s="2"/>
      <c r="AE1465" s="2">
        <v>0.43862791965005099</v>
      </c>
      <c r="AF1465" s="2">
        <v>10601.2447865996</v>
      </c>
      <c r="AG1465" s="2">
        <v>17907.6841383625</v>
      </c>
      <c r="AH1465" s="4">
        <v>0.59199417996709303</v>
      </c>
      <c r="AI1465" s="4">
        <v>-0.75634510243497199</v>
      </c>
      <c r="AJ1465" s="4" t="s">
        <v>62</v>
      </c>
      <c r="AK1465" s="2">
        <v>0.18487398038428901</v>
      </c>
      <c r="AL1465" s="2">
        <v>0.50956212699235004</v>
      </c>
      <c r="AM1465" s="2">
        <v>9615.8839020163305</v>
      </c>
      <c r="AN1465" s="2">
        <v>8891.2018889258798</v>
      </c>
      <c r="AO1465" s="2">
        <v>7337.0517969336297</v>
      </c>
      <c r="AP1465" s="2">
        <v>6099.79856016145</v>
      </c>
      <c r="AQ1465" s="2">
        <v>12395.341800349201</v>
      </c>
      <c r="AR1465" s="2">
        <v>19268.190771211401</v>
      </c>
      <c r="AS1465" s="2">
        <v>6315.5371926318703</v>
      </c>
      <c r="AT1465" s="2">
        <v>896.04297404630097</v>
      </c>
      <c r="AU1465" s="2">
        <v>31063.4087167082</v>
      </c>
      <c r="AV1465" s="2">
        <v>23360.195469904</v>
      </c>
      <c r="AW1465" s="2">
        <v>22773.053634553398</v>
      </c>
      <c r="AX1465" s="2">
        <v>23037.866842331401</v>
      </c>
    </row>
    <row r="1466" spans="1:50" x14ac:dyDescent="0.25">
      <c r="A1466" s="2" t="s">
        <v>10099</v>
      </c>
      <c r="B1466" s="2">
        <v>653.40663707872602</v>
      </c>
      <c r="C1466" s="2">
        <v>12.5286166666667</v>
      </c>
      <c r="D1466" s="2" t="s">
        <v>51</v>
      </c>
      <c r="E1466" s="2" t="s">
        <v>10100</v>
      </c>
      <c r="F1466" s="2">
        <v>560715</v>
      </c>
      <c r="G1466" s="3" t="str">
        <f>HYPERLINK("https://cloud.oebiotech.com/#/lm/network/560715", "https://cloud.oebiotech.com/#/lm/network/560715")</f>
        <v>https://cloud.oebiotech.com/#/lm/network/560715</v>
      </c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 t="s">
        <v>10101</v>
      </c>
      <c r="S1466" s="2" t="s">
        <v>10102</v>
      </c>
      <c r="T1466" s="2" t="s">
        <v>10103</v>
      </c>
      <c r="U1466" s="2" t="s">
        <v>240</v>
      </c>
      <c r="V1466" s="2" t="s">
        <v>240</v>
      </c>
      <c r="W1466" s="2" t="s">
        <v>240</v>
      </c>
      <c r="X1466" s="2" t="s">
        <v>147</v>
      </c>
      <c r="Y1466" s="2">
        <v>36.799999999999997</v>
      </c>
      <c r="Z1466" s="2">
        <v>0</v>
      </c>
      <c r="AA1466" s="2" t="s">
        <v>478</v>
      </c>
      <c r="AB1466" s="2" t="s">
        <v>10104</v>
      </c>
      <c r="AC1466" s="2">
        <v>3.1977113478472798</v>
      </c>
      <c r="AD1466" s="2"/>
      <c r="AE1466" s="2">
        <v>0.43858329656429901</v>
      </c>
      <c r="AF1466" s="2">
        <v>4232.0314400346297</v>
      </c>
      <c r="AG1466" s="2">
        <v>9107.8406512933998</v>
      </c>
      <c r="AH1466" s="4">
        <v>0.46465804596983701</v>
      </c>
      <c r="AI1466" s="4">
        <v>-1.1057587052650399</v>
      </c>
      <c r="AJ1466" s="4" t="s">
        <v>62</v>
      </c>
      <c r="AK1466" s="2">
        <v>2.1672423826877198E-2</v>
      </c>
      <c r="AL1466" s="2">
        <v>0.22894871932414601</v>
      </c>
      <c r="AM1466" s="2">
        <v>2154.4005333668601</v>
      </c>
      <c r="AN1466" s="2">
        <v>6253.2607594729698</v>
      </c>
      <c r="AO1466" s="2">
        <v>4298.8510358311996</v>
      </c>
      <c r="AP1466" s="2">
        <v>1891.73773945172</v>
      </c>
      <c r="AQ1466" s="2">
        <v>5101.2220138618204</v>
      </c>
      <c r="AR1466" s="2">
        <v>5692.7165582232301</v>
      </c>
      <c r="AS1466" s="2">
        <v>5891.68659034354</v>
      </c>
      <c r="AT1466" s="2">
        <v>5675.0796041211297</v>
      </c>
      <c r="AU1466" s="2">
        <v>8912.4995774830495</v>
      </c>
      <c r="AV1466" s="2">
        <v>11027.5415675286</v>
      </c>
      <c r="AW1466" s="2">
        <v>6994.8871297612704</v>
      </c>
      <c r="AX1466" s="2">
        <v>16145.3494385228</v>
      </c>
    </row>
    <row r="1467" spans="1:50" x14ac:dyDescent="0.25">
      <c r="A1467" s="2" t="s">
        <v>10105</v>
      </c>
      <c r="B1467" s="2">
        <v>443.16673814235997</v>
      </c>
      <c r="C1467" s="2">
        <v>4.5257666666666703</v>
      </c>
      <c r="D1467" s="2" t="s">
        <v>51</v>
      </c>
      <c r="E1467" s="2" t="s">
        <v>10106</v>
      </c>
      <c r="F1467" s="2">
        <v>256437</v>
      </c>
      <c r="G1467" s="3" t="str">
        <f>HYPERLINK("https://cloud.oebiotech.com/#/lm/network/256437", "https://cloud.oebiotech.com/#/lm/network/256437")</f>
        <v>https://cloud.oebiotech.com/#/lm/network/256437</v>
      </c>
      <c r="H1467" s="2" t="s">
        <v>10107</v>
      </c>
      <c r="I1467" s="2"/>
      <c r="J1467" s="2"/>
      <c r="K1467" s="2">
        <v>54600668</v>
      </c>
      <c r="L1467" s="2"/>
      <c r="M1467" s="2"/>
      <c r="N1467" s="2"/>
      <c r="O1467" s="2"/>
      <c r="P1467" s="2"/>
      <c r="Q1467" s="2"/>
      <c r="R1467" s="2"/>
      <c r="S1467" s="2" t="s">
        <v>10108</v>
      </c>
      <c r="T1467" s="2" t="s">
        <v>10109</v>
      </c>
      <c r="U1467" s="2" t="s">
        <v>56</v>
      </c>
      <c r="V1467" s="2" t="s">
        <v>177</v>
      </c>
      <c r="W1467" s="2" t="s">
        <v>806</v>
      </c>
      <c r="X1467" s="2" t="s">
        <v>147</v>
      </c>
      <c r="Y1467" s="2">
        <v>40.4</v>
      </c>
      <c r="Z1467" s="2">
        <v>13.3</v>
      </c>
      <c r="AA1467" s="2" t="s">
        <v>786</v>
      </c>
      <c r="AB1467" s="2" t="s">
        <v>10110</v>
      </c>
      <c r="AC1467" s="2">
        <v>-2.1428803622662298</v>
      </c>
      <c r="AD1467" s="2"/>
      <c r="AE1467" s="2">
        <v>0.43814498833368298</v>
      </c>
      <c r="AF1467" s="2">
        <v>1076.08691490964</v>
      </c>
      <c r="AG1467" s="2">
        <v>10089.1514250249</v>
      </c>
      <c r="AH1467" s="4">
        <v>0.106657821810517</v>
      </c>
      <c r="AI1467" s="4">
        <v>-3.2289383244882299</v>
      </c>
      <c r="AJ1467" s="4" t="s">
        <v>62</v>
      </c>
      <c r="AK1467" s="2">
        <v>0.38087148717736202</v>
      </c>
      <c r="AL1467" s="2">
        <v>0.65913977412323299</v>
      </c>
      <c r="AM1467" s="2">
        <v>0.11901376282696199</v>
      </c>
      <c r="AN1467" s="2">
        <v>0.29972653333233401</v>
      </c>
      <c r="AO1467" s="2">
        <v>8.559877937157E-6</v>
      </c>
      <c r="AP1467" s="2">
        <v>8.559877937157E-6</v>
      </c>
      <c r="AQ1467" s="2">
        <v>553.33584156213794</v>
      </c>
      <c r="AR1467" s="2">
        <v>5902.7668904797601</v>
      </c>
      <c r="AS1467" s="2">
        <v>1252.1741223041599</v>
      </c>
      <c r="AT1467" s="2">
        <v>264.39994031323602</v>
      </c>
      <c r="AU1467" s="2">
        <v>7.1801997279109004</v>
      </c>
      <c r="AV1467" s="2">
        <v>11.664009936948499</v>
      </c>
      <c r="AW1467" s="2">
        <v>58999.490269307498</v>
      </c>
      <c r="AX1467" s="2">
        <v>8.559877937157E-6</v>
      </c>
    </row>
    <row r="1468" spans="1:50" x14ac:dyDescent="0.25">
      <c r="A1468" s="2" t="s">
        <v>10111</v>
      </c>
      <c r="B1468" s="2">
        <v>202.14431215073199</v>
      </c>
      <c r="C1468" s="2">
        <v>0.74455000000000005</v>
      </c>
      <c r="D1468" s="2" t="s">
        <v>51</v>
      </c>
      <c r="E1468" s="2" t="s">
        <v>10112</v>
      </c>
      <c r="F1468" s="2">
        <v>47640</v>
      </c>
      <c r="G1468" s="3" t="str">
        <f>HYPERLINK("https://cloud.oebiotech.com/#/lm/network/47640", "https://cloud.oebiotech.com/#/lm/network/47640")</f>
        <v>https://cloud.oebiotech.com/#/lm/network/47640</v>
      </c>
      <c r="H1468" s="2" t="s">
        <v>10113</v>
      </c>
      <c r="I1468" s="2">
        <v>6891</v>
      </c>
      <c r="J1468" s="2"/>
      <c r="K1468" s="2">
        <v>123831</v>
      </c>
      <c r="L1468" s="2" t="s">
        <v>10114</v>
      </c>
      <c r="M1468" s="2"/>
      <c r="N1468" s="2"/>
      <c r="O1468" s="2">
        <v>17929</v>
      </c>
      <c r="P1468" s="2"/>
      <c r="Q1468" s="2"/>
      <c r="R1468" s="2" t="s">
        <v>10115</v>
      </c>
      <c r="S1468" s="2" t="s">
        <v>10116</v>
      </c>
      <c r="T1468" s="2" t="s">
        <v>10117</v>
      </c>
      <c r="U1468" s="2" t="s">
        <v>103</v>
      </c>
      <c r="V1468" s="2" t="s">
        <v>104</v>
      </c>
      <c r="W1468" s="2" t="s">
        <v>105</v>
      </c>
      <c r="X1468" s="2" t="s">
        <v>83</v>
      </c>
      <c r="Y1468" s="2">
        <v>43.7</v>
      </c>
      <c r="Z1468" s="2">
        <v>0</v>
      </c>
      <c r="AA1468" s="2" t="s">
        <v>122</v>
      </c>
      <c r="AB1468" s="2" t="s">
        <v>10118</v>
      </c>
      <c r="AC1468" s="2">
        <v>6.6102477562714803</v>
      </c>
      <c r="AD1468" s="2"/>
      <c r="AE1468" s="2">
        <v>0.43778866382439502</v>
      </c>
      <c r="AF1468" s="2">
        <v>19144.509540864899</v>
      </c>
      <c r="AG1468" s="2">
        <v>7456.5191761140304</v>
      </c>
      <c r="AH1468" s="5">
        <v>2.56748612706473</v>
      </c>
      <c r="AI1468" s="5">
        <v>1.36035648122935</v>
      </c>
      <c r="AJ1468" s="5" t="s">
        <v>139</v>
      </c>
      <c r="AK1468" s="2">
        <v>0.19091219351159799</v>
      </c>
      <c r="AL1468" s="2">
        <v>0.51567137983546596</v>
      </c>
      <c r="AM1468" s="2">
        <v>3719.5516979620502</v>
      </c>
      <c r="AN1468" s="2">
        <v>28910.6204741539</v>
      </c>
      <c r="AO1468" s="2">
        <v>2959.6392980252599</v>
      </c>
      <c r="AP1468" s="2">
        <v>16363.0200196071</v>
      </c>
      <c r="AQ1468" s="2">
        <v>53747.149507882299</v>
      </c>
      <c r="AR1468" s="2">
        <v>9167.0762475586107</v>
      </c>
      <c r="AS1468" s="2">
        <v>14945.085818191699</v>
      </c>
      <c r="AT1468" s="2">
        <v>9294.4848266582503</v>
      </c>
      <c r="AU1468" s="2">
        <v>8.559877937157E-6</v>
      </c>
      <c r="AV1468" s="2">
        <v>271.62992781015498</v>
      </c>
      <c r="AW1468" s="2">
        <v>10984.339896166601</v>
      </c>
      <c r="AX1468" s="2">
        <v>9243.5745792975995</v>
      </c>
    </row>
    <row r="1469" spans="1:50" x14ac:dyDescent="0.25">
      <c r="A1469" s="2" t="s">
        <v>10119</v>
      </c>
      <c r="B1469" s="2">
        <v>446.25513320218403</v>
      </c>
      <c r="C1469" s="2">
        <v>9.6638500000000001</v>
      </c>
      <c r="D1469" s="2" t="s">
        <v>51</v>
      </c>
      <c r="E1469" s="2" t="s">
        <v>10120</v>
      </c>
      <c r="F1469" s="2">
        <v>213193</v>
      </c>
      <c r="G1469" s="3" t="str">
        <f>HYPERLINK("https://cloud.oebiotech.com/#/lm/network/213193", "https://cloud.oebiotech.com/#/lm/network/213193")</f>
        <v>https://cloud.oebiotech.com/#/lm/network/213193</v>
      </c>
      <c r="H1469" s="2" t="s">
        <v>10121</v>
      </c>
      <c r="I1469" s="2">
        <v>314003</v>
      </c>
      <c r="J1469" s="2"/>
      <c r="K1469" s="2">
        <v>65909</v>
      </c>
      <c r="L1469" s="2"/>
      <c r="M1469" s="2"/>
      <c r="N1469" s="2"/>
      <c r="O1469" s="2"/>
      <c r="P1469" s="2"/>
      <c r="Q1469" s="2"/>
      <c r="R1469" s="2"/>
      <c r="S1469" s="2" t="s">
        <v>10122</v>
      </c>
      <c r="T1469" s="2" t="s">
        <v>10123</v>
      </c>
      <c r="U1469" s="2" t="s">
        <v>266</v>
      </c>
      <c r="V1469" s="2" t="s">
        <v>2963</v>
      </c>
      <c r="W1469" s="2" t="s">
        <v>240</v>
      </c>
      <c r="X1469" s="2" t="s">
        <v>147</v>
      </c>
      <c r="Y1469" s="2">
        <v>46</v>
      </c>
      <c r="Z1469" s="2">
        <v>38.5</v>
      </c>
      <c r="AA1469" s="2" t="s">
        <v>512</v>
      </c>
      <c r="AB1469" s="2" t="s">
        <v>10124</v>
      </c>
      <c r="AC1469" s="2">
        <v>0.19035932605696201</v>
      </c>
      <c r="AD1469" s="2"/>
      <c r="AE1469" s="2">
        <v>0.437687965048009</v>
      </c>
      <c r="AF1469" s="2">
        <v>5919.5686061582701</v>
      </c>
      <c r="AG1469" s="2">
        <v>12659.2695257494</v>
      </c>
      <c r="AH1469" s="4">
        <v>0.46760743928531301</v>
      </c>
      <c r="AI1469" s="4">
        <v>-1.0966302126340099</v>
      </c>
      <c r="AJ1469" s="4" t="s">
        <v>62</v>
      </c>
      <c r="AK1469" s="2">
        <v>0.151479583267737</v>
      </c>
      <c r="AL1469" s="2">
        <v>0.47308484264100698</v>
      </c>
      <c r="AM1469" s="2">
        <v>142.51099000992201</v>
      </c>
      <c r="AN1469" s="2">
        <v>612.13478068262305</v>
      </c>
      <c r="AO1469" s="2">
        <v>11775.4758203849</v>
      </c>
      <c r="AP1469" s="2">
        <v>6501.3441048596997</v>
      </c>
      <c r="AQ1469" s="2">
        <v>15876.834943449499</v>
      </c>
      <c r="AR1469" s="2">
        <v>609.11099756298404</v>
      </c>
      <c r="AS1469" s="2">
        <v>21278.851625679301</v>
      </c>
      <c r="AT1469" s="2">
        <v>11284.9515888898</v>
      </c>
      <c r="AU1469" s="2">
        <v>13074.0732944016</v>
      </c>
      <c r="AV1469" s="2">
        <v>3529.5013388382899</v>
      </c>
      <c r="AW1469" s="2">
        <v>3888.2219652322801</v>
      </c>
      <c r="AX1469" s="2">
        <v>22900.017341455001</v>
      </c>
    </row>
    <row r="1470" spans="1:50" x14ac:dyDescent="0.25">
      <c r="A1470" s="2" t="s">
        <v>10125</v>
      </c>
      <c r="B1470" s="2">
        <v>305.24870112800801</v>
      </c>
      <c r="C1470" s="2">
        <v>13.262283333333301</v>
      </c>
      <c r="D1470" s="2" t="s">
        <v>51</v>
      </c>
      <c r="E1470" s="2" t="s">
        <v>10126</v>
      </c>
      <c r="F1470" s="2">
        <v>872</v>
      </c>
      <c r="G1470" s="3" t="str">
        <f>HYPERLINK("https://cloud.oebiotech.com/#/lm/network/872", "https://cloud.oebiotech.com/#/lm/network/872")</f>
        <v>https://cloud.oebiotech.com/#/lm/network/872</v>
      </c>
      <c r="H1470" s="2"/>
      <c r="I1470" s="2">
        <v>35044</v>
      </c>
      <c r="J1470" s="2" t="s">
        <v>10127</v>
      </c>
      <c r="K1470" s="2">
        <v>445084</v>
      </c>
      <c r="L1470" s="2"/>
      <c r="M1470" s="2"/>
      <c r="N1470" s="2"/>
      <c r="O1470" s="2">
        <v>82832</v>
      </c>
      <c r="P1470" s="2"/>
      <c r="Q1470" s="2"/>
      <c r="R1470" s="2" t="s">
        <v>10128</v>
      </c>
      <c r="S1470" s="2" t="s">
        <v>10129</v>
      </c>
      <c r="T1470" s="2" t="s">
        <v>10130</v>
      </c>
      <c r="U1470" s="2" t="s">
        <v>56</v>
      </c>
      <c r="V1470" s="2" t="s">
        <v>145</v>
      </c>
      <c r="W1470" s="2" t="s">
        <v>231</v>
      </c>
      <c r="X1470" s="2" t="s">
        <v>83</v>
      </c>
      <c r="Y1470" s="2">
        <v>54.9</v>
      </c>
      <c r="Z1470" s="2">
        <v>0</v>
      </c>
      <c r="AA1470" s="2" t="s">
        <v>163</v>
      </c>
      <c r="AB1470" s="2" t="s">
        <v>10131</v>
      </c>
      <c r="AC1470" s="2">
        <v>0.31748127690667699</v>
      </c>
      <c r="AD1470" s="2"/>
      <c r="AE1470" s="2">
        <v>0.436955742283131</v>
      </c>
      <c r="AF1470" s="2">
        <v>8853.0244495737006</v>
      </c>
      <c r="AG1470" s="2">
        <v>17478.053429004001</v>
      </c>
      <c r="AH1470" s="4">
        <v>0.506522335884527</v>
      </c>
      <c r="AI1470" s="4">
        <v>-0.98130220659273604</v>
      </c>
      <c r="AJ1470" s="4" t="s">
        <v>62</v>
      </c>
      <c r="AK1470" s="2">
        <v>0.144139349697403</v>
      </c>
      <c r="AL1470" s="2">
        <v>0.467881530428365</v>
      </c>
      <c r="AM1470" s="2">
        <v>8884.4223968209208</v>
      </c>
      <c r="AN1470" s="2">
        <v>5446.9355655438303</v>
      </c>
      <c r="AO1470" s="2">
        <v>6815.2930091031803</v>
      </c>
      <c r="AP1470" s="2">
        <v>6369.4457073941603</v>
      </c>
      <c r="AQ1470" s="2">
        <v>14121.0034562904</v>
      </c>
      <c r="AR1470" s="2">
        <v>11481.046562289701</v>
      </c>
      <c r="AS1470" s="2">
        <v>8212.2267848597203</v>
      </c>
      <c r="AT1470" s="2">
        <v>5987.0700825088798</v>
      </c>
      <c r="AU1470" s="2">
        <v>41520.537611398198</v>
      </c>
      <c r="AV1470" s="2">
        <v>14898.8667138251</v>
      </c>
      <c r="AW1470" s="2">
        <v>20957.0664760047</v>
      </c>
      <c r="AX1470" s="2">
        <v>13292.552905427699</v>
      </c>
    </row>
    <row r="1471" spans="1:50" x14ac:dyDescent="0.25">
      <c r="A1471" s="2" t="s">
        <v>10132</v>
      </c>
      <c r="B1471" s="2">
        <v>379.24733870077199</v>
      </c>
      <c r="C1471" s="2">
        <v>8.1293166666666696</v>
      </c>
      <c r="D1471" s="2" t="s">
        <v>51</v>
      </c>
      <c r="E1471" s="2" t="s">
        <v>10133</v>
      </c>
      <c r="F1471" s="2">
        <v>4905</v>
      </c>
      <c r="G1471" s="3" t="str">
        <f>HYPERLINK("https://cloud.oebiotech.com/#/lm/network/4905", "https://cloud.oebiotech.com/#/lm/network/4905")</f>
        <v>https://cloud.oebiotech.com/#/lm/network/4905</v>
      </c>
      <c r="H1471" s="2"/>
      <c r="I1471" s="2"/>
      <c r="J1471" s="2" t="s">
        <v>10134</v>
      </c>
      <c r="K1471" s="2">
        <v>101946676</v>
      </c>
      <c r="L1471" s="2"/>
      <c r="M1471" s="2"/>
      <c r="N1471" s="2"/>
      <c r="O1471" s="2"/>
      <c r="P1471" s="2"/>
      <c r="Q1471" s="2"/>
      <c r="R1471" s="2"/>
      <c r="S1471" s="2" t="s">
        <v>10135</v>
      </c>
      <c r="T1471" s="2" t="s">
        <v>10136</v>
      </c>
      <c r="U1471" s="2" t="s">
        <v>56</v>
      </c>
      <c r="V1471" s="2" t="s">
        <v>145</v>
      </c>
      <c r="W1471" s="2" t="s">
        <v>231</v>
      </c>
      <c r="X1471" s="2" t="s">
        <v>83</v>
      </c>
      <c r="Y1471" s="2">
        <v>48.9</v>
      </c>
      <c r="Z1471" s="2">
        <v>38.9</v>
      </c>
      <c r="AA1471" s="2" t="s">
        <v>259</v>
      </c>
      <c r="AB1471" s="2" t="s">
        <v>3507</v>
      </c>
      <c r="AC1471" s="2">
        <v>-1.4856135813503799</v>
      </c>
      <c r="AD1471" s="2"/>
      <c r="AE1471" s="2">
        <v>0.43667366198861801</v>
      </c>
      <c r="AF1471" s="2">
        <v>11253.742870063301</v>
      </c>
      <c r="AG1471" s="2">
        <v>6348.4424201556003</v>
      </c>
      <c r="AH1471" s="5">
        <v>1.77267778854447</v>
      </c>
      <c r="AI1471" s="5">
        <v>0.82593032805073996</v>
      </c>
      <c r="AJ1471" s="5" t="s">
        <v>139</v>
      </c>
      <c r="AK1471" s="2">
        <v>0.176669365385896</v>
      </c>
      <c r="AL1471" s="2">
        <v>0.49851997257417502</v>
      </c>
      <c r="AM1471" s="2">
        <v>23161.940739829399</v>
      </c>
      <c r="AN1471" s="2">
        <v>12589.7879857223</v>
      </c>
      <c r="AO1471" s="2">
        <v>6703.7083941634201</v>
      </c>
      <c r="AP1471" s="2">
        <v>7780.3182664027599</v>
      </c>
      <c r="AQ1471" s="2">
        <v>8777.6782715256304</v>
      </c>
      <c r="AR1471" s="2">
        <v>8509.0235627364891</v>
      </c>
      <c r="AS1471" s="2">
        <v>3695.4334294212899</v>
      </c>
      <c r="AT1471" s="2">
        <v>2055.8056730450899</v>
      </c>
      <c r="AU1471" s="2">
        <v>16013.669529766799</v>
      </c>
      <c r="AV1471" s="2">
        <v>2393.51507839238</v>
      </c>
      <c r="AW1471" s="2">
        <v>9817.2630003999893</v>
      </c>
      <c r="AX1471" s="2">
        <v>4114.9678099080702</v>
      </c>
    </row>
    <row r="1472" spans="1:50" x14ac:dyDescent="0.25">
      <c r="A1472" s="2" t="s">
        <v>10137</v>
      </c>
      <c r="B1472" s="2">
        <v>206.021480003183</v>
      </c>
      <c r="C1472" s="2">
        <v>1.1926000000000001</v>
      </c>
      <c r="D1472" s="2" t="s">
        <v>51</v>
      </c>
      <c r="E1472" s="2" t="s">
        <v>10138</v>
      </c>
      <c r="F1472" s="2">
        <v>202449</v>
      </c>
      <c r="G1472" s="3" t="str">
        <f>HYPERLINK("https://cloud.oebiotech.com/#/lm/network/202449", "https://cloud.oebiotech.com/#/lm/network/202449")</f>
        <v>https://cloud.oebiotech.com/#/lm/network/202449</v>
      </c>
      <c r="H1472" s="2" t="s">
        <v>10139</v>
      </c>
      <c r="I1472" s="2"/>
      <c r="J1472" s="2"/>
      <c r="K1472" s="2">
        <v>3435</v>
      </c>
      <c r="L1472" s="2"/>
      <c r="M1472" s="2"/>
      <c r="N1472" s="2"/>
      <c r="O1472" s="2">
        <v>5195</v>
      </c>
      <c r="P1472" s="2"/>
      <c r="Q1472" s="2"/>
      <c r="R1472" s="2"/>
      <c r="S1472" s="2" t="s">
        <v>10140</v>
      </c>
      <c r="T1472" s="2" t="s">
        <v>10141</v>
      </c>
      <c r="U1472" s="2" t="s">
        <v>266</v>
      </c>
      <c r="V1472" s="2" t="s">
        <v>9702</v>
      </c>
      <c r="W1472" s="2" t="s">
        <v>9703</v>
      </c>
      <c r="X1472" s="2" t="s">
        <v>147</v>
      </c>
      <c r="Y1472" s="2">
        <v>38.799999999999997</v>
      </c>
      <c r="Z1472" s="2">
        <v>4.6900000000000004</v>
      </c>
      <c r="AA1472" s="2" t="s">
        <v>379</v>
      </c>
      <c r="AB1472" s="2" t="s">
        <v>10142</v>
      </c>
      <c r="AC1472" s="2">
        <v>3.3362569431981099</v>
      </c>
      <c r="AD1472" s="2"/>
      <c r="AE1472" s="2">
        <v>0.43658652926671798</v>
      </c>
      <c r="AF1472" s="2">
        <v>102446.485281649</v>
      </c>
      <c r="AG1472" s="2">
        <v>109010.57798295699</v>
      </c>
      <c r="AH1472" s="4">
        <v>0.93978480966925904</v>
      </c>
      <c r="AI1472" s="4">
        <v>-8.9597646143802501E-2</v>
      </c>
      <c r="AJ1472" s="4" t="s">
        <v>62</v>
      </c>
      <c r="AK1472" s="2">
        <v>0.29339509333303698</v>
      </c>
      <c r="AL1472" s="2">
        <v>0.60629539475051897</v>
      </c>
      <c r="AM1472" s="2">
        <v>91775.559452241301</v>
      </c>
      <c r="AN1472" s="2">
        <v>109317.111282657</v>
      </c>
      <c r="AO1472" s="2">
        <v>100365.913976921</v>
      </c>
      <c r="AP1472" s="2">
        <v>97106.030548080307</v>
      </c>
      <c r="AQ1472" s="2">
        <v>111020.36773142101</v>
      </c>
      <c r="AR1472" s="2">
        <v>105093.92869857499</v>
      </c>
      <c r="AS1472" s="2">
        <v>111168.709288518</v>
      </c>
      <c r="AT1472" s="2">
        <v>113196.746998209</v>
      </c>
      <c r="AU1472" s="2">
        <v>86950.098944164696</v>
      </c>
      <c r="AV1472" s="2">
        <v>125331.55932789099</v>
      </c>
      <c r="AW1472" s="2">
        <v>107934.604811777</v>
      </c>
      <c r="AX1472" s="2">
        <v>109481.74852718299</v>
      </c>
    </row>
    <row r="1473" spans="1:50" x14ac:dyDescent="0.25">
      <c r="A1473" s="2" t="s">
        <v>10143</v>
      </c>
      <c r="B1473" s="2">
        <v>418.39057225806999</v>
      </c>
      <c r="C1473" s="2">
        <v>10.311249999999999</v>
      </c>
      <c r="D1473" s="2" t="s">
        <v>51</v>
      </c>
      <c r="E1473" s="2" t="s">
        <v>10144</v>
      </c>
      <c r="F1473" s="2">
        <v>10487</v>
      </c>
      <c r="G1473" s="3" t="str">
        <f>HYPERLINK("https://cloud.oebiotech.com/#/lm/network/10487", "https://cloud.oebiotech.com/#/lm/network/10487")</f>
        <v>https://cloud.oebiotech.com/#/lm/network/10487</v>
      </c>
      <c r="H1473" s="2"/>
      <c r="I1473" s="2"/>
      <c r="J1473" s="2" t="s">
        <v>10145</v>
      </c>
      <c r="K1473" s="2">
        <v>137323860</v>
      </c>
      <c r="L1473" s="2"/>
      <c r="M1473" s="2"/>
      <c r="N1473" s="2"/>
      <c r="O1473" s="2"/>
      <c r="P1473" s="2"/>
      <c r="Q1473" s="2"/>
      <c r="R1473" s="2"/>
      <c r="S1473" s="2" t="s">
        <v>10146</v>
      </c>
      <c r="T1473" s="2" t="s">
        <v>10147</v>
      </c>
      <c r="U1473" s="2" t="s">
        <v>56</v>
      </c>
      <c r="V1473" s="2" t="s">
        <v>145</v>
      </c>
      <c r="W1473" s="2" t="s">
        <v>146</v>
      </c>
      <c r="X1473" s="2" t="s">
        <v>59</v>
      </c>
      <c r="Y1473" s="2">
        <v>47.7</v>
      </c>
      <c r="Z1473" s="2">
        <v>49.4</v>
      </c>
      <c r="AA1473" s="2" t="s">
        <v>512</v>
      </c>
      <c r="AB1473" s="2" t="s">
        <v>10148</v>
      </c>
      <c r="AC1473" s="2">
        <v>3.7134780485374099</v>
      </c>
      <c r="AD1473" s="2"/>
      <c r="AE1473" s="2">
        <v>0.43644989525998701</v>
      </c>
      <c r="AF1473" s="2">
        <v>1915.05578617167</v>
      </c>
      <c r="AG1473" s="2">
        <v>11197.1153220055</v>
      </c>
      <c r="AH1473" s="4">
        <v>0.17103117464620901</v>
      </c>
      <c r="AI1473" s="4">
        <v>-2.5476687790844301</v>
      </c>
      <c r="AJ1473" s="4" t="s">
        <v>62</v>
      </c>
      <c r="AK1473" s="2">
        <v>0.31287420438901797</v>
      </c>
      <c r="AL1473" s="2">
        <v>0.62238589757555196</v>
      </c>
      <c r="AM1473" s="2">
        <v>8.559877937157E-6</v>
      </c>
      <c r="AN1473" s="2">
        <v>8.559877937157E-6</v>
      </c>
      <c r="AO1473" s="2">
        <v>1444.55372528424</v>
      </c>
      <c r="AP1473" s="2">
        <v>3977.75355893602</v>
      </c>
      <c r="AQ1473" s="2">
        <v>6068.0274071301201</v>
      </c>
      <c r="AR1473" s="2">
        <v>8.559877937157E-6</v>
      </c>
      <c r="AS1473" s="2">
        <v>3073.6714906828902</v>
      </c>
      <c r="AT1473" s="2">
        <v>4801.4530785363604</v>
      </c>
      <c r="AU1473" s="2">
        <v>4989.0353193871497</v>
      </c>
      <c r="AV1473" s="2">
        <v>8.559877937157E-6</v>
      </c>
      <c r="AW1473" s="2">
        <v>8.559877937157E-6</v>
      </c>
      <c r="AX1473" s="2">
        <v>54318.532026306799</v>
      </c>
    </row>
    <row r="1474" spans="1:50" x14ac:dyDescent="0.25">
      <c r="A1474" s="2" t="s">
        <v>10149</v>
      </c>
      <c r="B1474" s="2">
        <v>682.35553240485206</v>
      </c>
      <c r="C1474" s="2">
        <v>4.5462333333333298</v>
      </c>
      <c r="D1474" s="2" t="s">
        <v>51</v>
      </c>
      <c r="E1474" s="2" t="s">
        <v>10150</v>
      </c>
      <c r="F1474" s="2">
        <v>203794</v>
      </c>
      <c r="G1474" s="3" t="str">
        <f>HYPERLINK("https://cloud.oebiotech.com/#/lm/network/203794", "https://cloud.oebiotech.com/#/lm/network/203794")</f>
        <v>https://cloud.oebiotech.com/#/lm/network/203794</v>
      </c>
      <c r="H1474" s="2" t="s">
        <v>10151</v>
      </c>
      <c r="I1474" s="2"/>
      <c r="J1474" s="2"/>
      <c r="K1474" s="2">
        <v>85798446</v>
      </c>
      <c r="L1474" s="2"/>
      <c r="M1474" s="2"/>
      <c r="N1474" s="2"/>
      <c r="O1474" s="2"/>
      <c r="P1474" s="2"/>
      <c r="Q1474" s="2"/>
      <c r="R1474" s="2"/>
      <c r="S1474" s="2" t="s">
        <v>10152</v>
      </c>
      <c r="T1474" s="2" t="s">
        <v>10153</v>
      </c>
      <c r="U1474" s="2" t="s">
        <v>103</v>
      </c>
      <c r="V1474" s="2" t="s">
        <v>104</v>
      </c>
      <c r="W1474" s="2" t="s">
        <v>105</v>
      </c>
      <c r="X1474" s="2" t="s">
        <v>59</v>
      </c>
      <c r="Y1474" s="2">
        <v>44.7</v>
      </c>
      <c r="Z1474" s="2">
        <v>53.2</v>
      </c>
      <c r="AA1474" s="2" t="s">
        <v>179</v>
      </c>
      <c r="AB1474" s="2" t="s">
        <v>10154</v>
      </c>
      <c r="AC1474" s="2">
        <v>-0.52179532114040095</v>
      </c>
      <c r="AD1474" s="2"/>
      <c r="AE1474" s="2">
        <v>0.436192937446646</v>
      </c>
      <c r="AF1474" s="2">
        <v>5052.9839108462102</v>
      </c>
      <c r="AG1474" s="2">
        <v>11407.592768242799</v>
      </c>
      <c r="AH1474" s="4">
        <v>0.44294918424096102</v>
      </c>
      <c r="AI1474" s="4">
        <v>-1.17478689463667</v>
      </c>
      <c r="AJ1474" s="4" t="s">
        <v>62</v>
      </c>
      <c r="AK1474" s="2">
        <v>0.14503482069621901</v>
      </c>
      <c r="AL1474" s="2">
        <v>0.46795150714190697</v>
      </c>
      <c r="AM1474" s="2">
        <v>3863.31260181791</v>
      </c>
      <c r="AN1474" s="2">
        <v>1822.9549845673</v>
      </c>
      <c r="AO1474" s="2">
        <v>1265.07994933175</v>
      </c>
      <c r="AP1474" s="2">
        <v>4457.3954738143902</v>
      </c>
      <c r="AQ1474" s="2">
        <v>4035.8017808343302</v>
      </c>
      <c r="AR1474" s="2">
        <v>14873.358674711601</v>
      </c>
      <c r="AS1474" s="2">
        <v>1040.7271140943101</v>
      </c>
      <c r="AT1474" s="2">
        <v>7670.1938662965904</v>
      </c>
      <c r="AU1474" s="2">
        <v>9926.9983307485709</v>
      </c>
      <c r="AV1474" s="2">
        <v>10427.061474656701</v>
      </c>
      <c r="AW1474" s="2">
        <v>12653.409926156401</v>
      </c>
      <c r="AX1474" s="2">
        <v>26727.165897504001</v>
      </c>
    </row>
    <row r="1475" spans="1:50" x14ac:dyDescent="0.25">
      <c r="A1475" s="2" t="s">
        <v>10155</v>
      </c>
      <c r="B1475" s="2">
        <v>430.29665119883401</v>
      </c>
      <c r="C1475" s="2">
        <v>7.3238666666666701</v>
      </c>
      <c r="D1475" s="2" t="s">
        <v>51</v>
      </c>
      <c r="E1475" s="2" t="s">
        <v>10156</v>
      </c>
      <c r="F1475" s="2">
        <v>198528</v>
      </c>
      <c r="G1475" s="3" t="str">
        <f>HYPERLINK("https://cloud.oebiotech.com/#/lm/network/198528", "https://cloud.oebiotech.com/#/lm/network/198528")</f>
        <v>https://cloud.oebiotech.com/#/lm/network/198528</v>
      </c>
      <c r="H1475" s="2" t="s">
        <v>10157</v>
      </c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 t="s">
        <v>10158</v>
      </c>
      <c r="T1475" s="2" t="s">
        <v>10159</v>
      </c>
      <c r="U1475" s="2" t="s">
        <v>103</v>
      </c>
      <c r="V1475" s="2" t="s">
        <v>104</v>
      </c>
      <c r="W1475" s="2" t="s">
        <v>105</v>
      </c>
      <c r="X1475" s="2" t="s">
        <v>147</v>
      </c>
      <c r="Y1475" s="2">
        <v>39</v>
      </c>
      <c r="Z1475" s="2">
        <v>3</v>
      </c>
      <c r="AA1475" s="2" t="s">
        <v>179</v>
      </c>
      <c r="AB1475" s="2" t="s">
        <v>10160</v>
      </c>
      <c r="AC1475" s="2">
        <v>3.4150346052342</v>
      </c>
      <c r="AD1475" s="2"/>
      <c r="AE1475" s="2">
        <v>0.43615962431774502</v>
      </c>
      <c r="AF1475" s="2">
        <v>3949.9906758770699</v>
      </c>
      <c r="AG1475" s="2">
        <v>11200.343094513601</v>
      </c>
      <c r="AH1475" s="4">
        <v>0.35266693551663802</v>
      </c>
      <c r="AI1475" s="4">
        <v>-1.5036217734534201</v>
      </c>
      <c r="AJ1475" s="4" t="s">
        <v>62</v>
      </c>
      <c r="AK1475" s="2">
        <v>0.17835643812806601</v>
      </c>
      <c r="AL1475" s="2">
        <v>0.50018997315367297</v>
      </c>
      <c r="AM1475" s="2">
        <v>932.34267182039696</v>
      </c>
      <c r="AN1475" s="2">
        <v>3760.9006894979998</v>
      </c>
      <c r="AO1475" s="2">
        <v>758.52903508041095</v>
      </c>
      <c r="AP1475" s="2">
        <v>13803.216107975801</v>
      </c>
      <c r="AQ1475" s="2">
        <v>1992.5274992299201</v>
      </c>
      <c r="AR1475" s="2">
        <v>2452.4280516578701</v>
      </c>
      <c r="AS1475" s="2">
        <v>545.28396034959496</v>
      </c>
      <c r="AT1475" s="2">
        <v>6709.2415027996003</v>
      </c>
      <c r="AU1475" s="2">
        <v>22228.772862153601</v>
      </c>
      <c r="AV1475" s="2">
        <v>28245.412983867802</v>
      </c>
      <c r="AW1475" s="2">
        <v>4141.4960087953796</v>
      </c>
      <c r="AX1475" s="2">
        <v>5331.8512491158699</v>
      </c>
    </row>
    <row r="1476" spans="1:50" x14ac:dyDescent="0.25">
      <c r="A1476" s="2" t="s">
        <v>10161</v>
      </c>
      <c r="B1476" s="2">
        <v>423.23893254269899</v>
      </c>
      <c r="C1476" s="2">
        <v>9.7876499999999993</v>
      </c>
      <c r="D1476" s="2" t="s">
        <v>51</v>
      </c>
      <c r="E1476" s="2" t="s">
        <v>10162</v>
      </c>
      <c r="F1476" s="2">
        <v>267288</v>
      </c>
      <c r="G1476" s="3" t="str">
        <f>HYPERLINK("https://cloud.oebiotech.com/#/lm/network/267288", "https://cloud.oebiotech.com/#/lm/network/267288")</f>
        <v>https://cloud.oebiotech.com/#/lm/network/267288</v>
      </c>
      <c r="H1476" s="2"/>
      <c r="I1476" s="2">
        <v>45175</v>
      </c>
      <c r="J1476" s="2"/>
      <c r="K1476" s="2">
        <v>91886116</v>
      </c>
      <c r="L1476" s="2"/>
      <c r="M1476" s="2"/>
      <c r="N1476" s="2"/>
      <c r="O1476" s="2"/>
      <c r="P1476" s="2"/>
      <c r="Q1476" s="2"/>
      <c r="R1476" s="2" t="s">
        <v>10163</v>
      </c>
      <c r="S1476" s="2" t="s">
        <v>10164</v>
      </c>
      <c r="T1476" s="2" t="s">
        <v>10165</v>
      </c>
      <c r="U1476" s="2" t="s">
        <v>56</v>
      </c>
      <c r="V1476" s="2" t="s">
        <v>145</v>
      </c>
      <c r="W1476" s="2" t="s">
        <v>187</v>
      </c>
      <c r="X1476" s="2" t="s">
        <v>83</v>
      </c>
      <c r="Y1476" s="2">
        <v>42.3</v>
      </c>
      <c r="Z1476" s="2">
        <v>0</v>
      </c>
      <c r="AA1476" s="2" t="s">
        <v>218</v>
      </c>
      <c r="AB1476" s="2" t="s">
        <v>3507</v>
      </c>
      <c r="AC1476" s="2">
        <v>0.27888204558499702</v>
      </c>
      <c r="AD1476" s="2"/>
      <c r="AE1476" s="2">
        <v>0.436015086672907</v>
      </c>
      <c r="AF1476" s="2">
        <v>10570.7697304754</v>
      </c>
      <c r="AG1476" s="2">
        <v>5196.5489466511899</v>
      </c>
      <c r="AH1476" s="5">
        <v>2.03419035190413</v>
      </c>
      <c r="AI1476" s="5">
        <v>1.0244546875035601</v>
      </c>
      <c r="AJ1476" s="5" t="s">
        <v>139</v>
      </c>
      <c r="AK1476" s="2">
        <v>8.2047273963875997E-2</v>
      </c>
      <c r="AL1476" s="2">
        <v>0.37042940343994801</v>
      </c>
      <c r="AM1476" s="2">
        <v>20138.158216942302</v>
      </c>
      <c r="AN1476" s="2">
        <v>4581.25726010586</v>
      </c>
      <c r="AO1476" s="2">
        <v>5464.0826575266101</v>
      </c>
      <c r="AP1476" s="2">
        <v>10592.7438562769</v>
      </c>
      <c r="AQ1476" s="2">
        <v>8473.6633577900793</v>
      </c>
      <c r="AR1476" s="2">
        <v>14174.713034210899</v>
      </c>
      <c r="AS1476" s="2">
        <v>4517.4409421172204</v>
      </c>
      <c r="AT1476" s="2">
        <v>1752.7123297917699</v>
      </c>
      <c r="AU1476" s="2">
        <v>11693.019879080101</v>
      </c>
      <c r="AV1476" s="2">
        <v>5840.5495335074102</v>
      </c>
      <c r="AW1476" s="2">
        <v>2803.5302707990099</v>
      </c>
      <c r="AX1476" s="2">
        <v>4572.0407246116201</v>
      </c>
    </row>
    <row r="1477" spans="1:50" x14ac:dyDescent="0.25">
      <c r="A1477" s="2" t="s">
        <v>10166</v>
      </c>
      <c r="B1477" s="2">
        <v>489.35894028134601</v>
      </c>
      <c r="C1477" s="2">
        <v>11.2763333333333</v>
      </c>
      <c r="D1477" s="2" t="s">
        <v>51</v>
      </c>
      <c r="E1477" s="2" t="s">
        <v>10167</v>
      </c>
      <c r="F1477" s="2">
        <v>44138</v>
      </c>
      <c r="G1477" s="3" t="str">
        <f>HYPERLINK("https://cloud.oebiotech.com/#/lm/network/44138", "https://cloud.oebiotech.com/#/lm/network/44138")</f>
        <v>https://cloud.oebiotech.com/#/lm/network/44138</v>
      </c>
      <c r="H1477" s="2"/>
      <c r="I1477" s="2"/>
      <c r="J1477" s="2" t="s">
        <v>10168</v>
      </c>
      <c r="K1477" s="2">
        <v>11386309</v>
      </c>
      <c r="L1477" s="2"/>
      <c r="M1477" s="2"/>
      <c r="N1477" s="2"/>
      <c r="O1477" s="2"/>
      <c r="P1477" s="2"/>
      <c r="Q1477" s="2"/>
      <c r="R1477" s="2"/>
      <c r="S1477" s="2" t="s">
        <v>10169</v>
      </c>
      <c r="T1477" s="2" t="s">
        <v>10170</v>
      </c>
      <c r="U1477" s="2" t="s">
        <v>56</v>
      </c>
      <c r="V1477" s="2" t="s">
        <v>283</v>
      </c>
      <c r="W1477" s="2" t="s">
        <v>1215</v>
      </c>
      <c r="X1477" s="2" t="s">
        <v>69</v>
      </c>
      <c r="Y1477" s="2">
        <v>61.2</v>
      </c>
      <c r="Z1477" s="2">
        <v>60.5</v>
      </c>
      <c r="AA1477" s="2" t="s">
        <v>163</v>
      </c>
      <c r="AB1477" s="2" t="s">
        <v>3868</v>
      </c>
      <c r="AC1477" s="2">
        <v>0.79942774587051801</v>
      </c>
      <c r="AD1477" s="2"/>
      <c r="AE1477" s="2">
        <v>0.43600806075267301</v>
      </c>
      <c r="AF1477" s="2">
        <v>46464.163597243998</v>
      </c>
      <c r="AG1477" s="2">
        <v>34831.336673465303</v>
      </c>
      <c r="AH1477" s="5">
        <v>1.3339758974177001</v>
      </c>
      <c r="AI1477" s="5">
        <v>0.41573259981328298</v>
      </c>
      <c r="AJ1477" s="5" t="s">
        <v>139</v>
      </c>
      <c r="AK1477" s="2">
        <v>0.33409559049907001</v>
      </c>
      <c r="AL1477" s="2">
        <v>0.635100591125773</v>
      </c>
      <c r="AM1477" s="2">
        <v>44496.853208671702</v>
      </c>
      <c r="AN1477" s="2">
        <v>66043.431349914696</v>
      </c>
      <c r="AO1477" s="2">
        <v>42635.500178202601</v>
      </c>
      <c r="AP1477" s="2">
        <v>35950.055223800802</v>
      </c>
      <c r="AQ1477" s="2">
        <v>61460.616241182499</v>
      </c>
      <c r="AR1477" s="2">
        <v>28198.525381691699</v>
      </c>
      <c r="AS1477" s="2">
        <v>37302.092577759598</v>
      </c>
      <c r="AT1477" s="2">
        <v>30411.3417760144</v>
      </c>
      <c r="AU1477" s="2">
        <v>11582.9896823203</v>
      </c>
      <c r="AV1477" s="2">
        <v>12394.3212982246</v>
      </c>
      <c r="AW1477" s="2">
        <v>40392.067004436401</v>
      </c>
      <c r="AX1477" s="2">
        <v>76905.207702036598</v>
      </c>
    </row>
    <row r="1478" spans="1:50" x14ac:dyDescent="0.25">
      <c r="A1478" s="2" t="s">
        <v>10171</v>
      </c>
      <c r="B1478" s="2">
        <v>325.20181133697997</v>
      </c>
      <c r="C1478" s="2">
        <v>10.430199999999999</v>
      </c>
      <c r="D1478" s="2" t="s">
        <v>51</v>
      </c>
      <c r="E1478" s="2" t="s">
        <v>10172</v>
      </c>
      <c r="F1478" s="2">
        <v>210234</v>
      </c>
      <c r="G1478" s="3" t="str">
        <f>HYPERLINK("https://cloud.oebiotech.com/#/lm/network/210234", "https://cloud.oebiotech.com/#/lm/network/210234")</f>
        <v>https://cloud.oebiotech.com/#/lm/network/210234</v>
      </c>
      <c r="H1478" s="2" t="s">
        <v>10173</v>
      </c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 t="s">
        <v>10174</v>
      </c>
      <c r="T1478" s="2" t="s">
        <v>10175</v>
      </c>
      <c r="U1478" s="2" t="s">
        <v>56</v>
      </c>
      <c r="V1478" s="2" t="s">
        <v>145</v>
      </c>
      <c r="W1478" s="2" t="s">
        <v>187</v>
      </c>
      <c r="X1478" s="2" t="s">
        <v>59</v>
      </c>
      <c r="Y1478" s="2">
        <v>52.1</v>
      </c>
      <c r="Z1478" s="2">
        <v>71.900000000000006</v>
      </c>
      <c r="AA1478" s="2" t="s">
        <v>156</v>
      </c>
      <c r="AB1478" s="2" t="s">
        <v>10176</v>
      </c>
      <c r="AC1478" s="2">
        <v>2.5157710583742698</v>
      </c>
      <c r="AD1478" s="2"/>
      <c r="AE1478" s="2">
        <v>0.43593044164113298</v>
      </c>
      <c r="AF1478" s="2">
        <v>6585.2757361174699</v>
      </c>
      <c r="AG1478" s="2">
        <v>10994.923474535301</v>
      </c>
      <c r="AH1478" s="4">
        <v>0.59893784175662801</v>
      </c>
      <c r="AI1478" s="4">
        <v>-0.73952180813806501</v>
      </c>
      <c r="AJ1478" s="4" t="s">
        <v>62</v>
      </c>
      <c r="AK1478" s="2">
        <v>2.52444171081345E-2</v>
      </c>
      <c r="AL1478" s="2">
        <v>0.245411442075921</v>
      </c>
      <c r="AM1478" s="2">
        <v>3016.6718260386601</v>
      </c>
      <c r="AN1478" s="2">
        <v>5258.6097113762999</v>
      </c>
      <c r="AO1478" s="2">
        <v>7824.5395174406303</v>
      </c>
      <c r="AP1478" s="2">
        <v>5788.2585756510498</v>
      </c>
      <c r="AQ1478" s="2">
        <v>9326.6181265784398</v>
      </c>
      <c r="AR1478" s="2">
        <v>8296.9566596197692</v>
      </c>
      <c r="AS1478" s="2">
        <v>7384.4021473103303</v>
      </c>
      <c r="AT1478" s="2">
        <v>11545.6093360512</v>
      </c>
      <c r="AU1478" s="2">
        <v>7537.2659392471996</v>
      </c>
      <c r="AV1478" s="2">
        <v>12333.9031755373</v>
      </c>
      <c r="AW1478" s="2">
        <v>10681.396086349499</v>
      </c>
      <c r="AX1478" s="2">
        <v>16486.964162716398</v>
      </c>
    </row>
    <row r="1479" spans="1:50" x14ac:dyDescent="0.25">
      <c r="A1479" s="2" t="s">
        <v>10177</v>
      </c>
      <c r="B1479" s="2">
        <v>330.33762668396503</v>
      </c>
      <c r="C1479" s="2">
        <v>13.547333333333301</v>
      </c>
      <c r="D1479" s="2" t="s">
        <v>51</v>
      </c>
      <c r="E1479" s="2" t="s">
        <v>10178</v>
      </c>
      <c r="F1479" s="2">
        <v>257299</v>
      </c>
      <c r="G1479" s="3" t="str">
        <f>HYPERLINK("https://cloud.oebiotech.com/#/lm/network/257299", "https://cloud.oebiotech.com/#/lm/network/257299")</f>
        <v>https://cloud.oebiotech.com/#/lm/network/257299</v>
      </c>
      <c r="H1479" s="2" t="s">
        <v>10179</v>
      </c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 t="s">
        <v>10180</v>
      </c>
      <c r="T1479" s="2" t="s">
        <v>10181</v>
      </c>
      <c r="U1479" s="2" t="s">
        <v>331</v>
      </c>
      <c r="V1479" s="2" t="s">
        <v>332</v>
      </c>
      <c r="W1479" s="2" t="s">
        <v>519</v>
      </c>
      <c r="X1479" s="2" t="s">
        <v>147</v>
      </c>
      <c r="Y1479" s="2">
        <v>36.799999999999997</v>
      </c>
      <c r="Z1479" s="2">
        <v>0</v>
      </c>
      <c r="AA1479" s="2" t="s">
        <v>122</v>
      </c>
      <c r="AB1479" s="2" t="s">
        <v>10182</v>
      </c>
      <c r="AC1479" s="2">
        <v>1.2772674675898099</v>
      </c>
      <c r="AD1479" s="2"/>
      <c r="AE1479" s="2">
        <v>0.43591889940319001</v>
      </c>
      <c r="AF1479" s="2">
        <v>6000.5689741384704</v>
      </c>
      <c r="AG1479" s="2">
        <v>9940.3231745367793</v>
      </c>
      <c r="AH1479" s="4">
        <v>0.60365934474943195</v>
      </c>
      <c r="AI1479" s="4">
        <v>-0.72819345309306405</v>
      </c>
      <c r="AJ1479" s="4" t="s">
        <v>62</v>
      </c>
      <c r="AK1479" s="2">
        <v>2.2673981352944898E-5</v>
      </c>
      <c r="AL1479" s="2">
        <v>1.5488881376670999E-2</v>
      </c>
      <c r="AM1479" s="2">
        <v>5711.8702718918603</v>
      </c>
      <c r="AN1479" s="2">
        <v>7269.1324878227597</v>
      </c>
      <c r="AO1479" s="2">
        <v>6089.2953037555499</v>
      </c>
      <c r="AP1479" s="2">
        <v>4299.2165926408097</v>
      </c>
      <c r="AQ1479" s="2">
        <v>7122.3152013735598</v>
      </c>
      <c r="AR1479" s="2">
        <v>5511.5839873462601</v>
      </c>
      <c r="AS1479" s="2">
        <v>8943.9982515973297</v>
      </c>
      <c r="AT1479" s="2">
        <v>9889.6919588657092</v>
      </c>
      <c r="AU1479" s="2">
        <v>9926.6592697066699</v>
      </c>
      <c r="AV1479" s="2">
        <v>9579.8492703189804</v>
      </c>
      <c r="AW1479" s="2">
        <v>10308.3161113479</v>
      </c>
      <c r="AX1479" s="2">
        <v>10993.424185384099</v>
      </c>
    </row>
    <row r="1480" spans="1:50" x14ac:dyDescent="0.25">
      <c r="A1480" s="2" t="s">
        <v>10183</v>
      </c>
      <c r="B1480" s="2">
        <v>543.381207394287</v>
      </c>
      <c r="C1480" s="2">
        <v>5.48515</v>
      </c>
      <c r="D1480" s="2" t="s">
        <v>51</v>
      </c>
      <c r="E1480" s="2" t="s">
        <v>10184</v>
      </c>
      <c r="F1480" s="2">
        <v>8545</v>
      </c>
      <c r="G1480" s="3" t="str">
        <f>HYPERLINK("https://cloud.oebiotech.com/#/lm/network/8545", "https://cloud.oebiotech.com/#/lm/network/8545")</f>
        <v>https://cloud.oebiotech.com/#/lm/network/8545</v>
      </c>
      <c r="H1480" s="2"/>
      <c r="I1480" s="2"/>
      <c r="J1480" s="2" t="s">
        <v>10185</v>
      </c>
      <c r="K1480" s="2">
        <v>73242176</v>
      </c>
      <c r="L1480" s="2"/>
      <c r="M1480" s="2"/>
      <c r="N1480" s="2"/>
      <c r="O1480" s="2"/>
      <c r="P1480" s="2"/>
      <c r="Q1480" s="2"/>
      <c r="R1480" s="2"/>
      <c r="S1480" s="2" t="s">
        <v>10186</v>
      </c>
      <c r="T1480" s="2" t="s">
        <v>10187</v>
      </c>
      <c r="U1480" s="2" t="s">
        <v>56</v>
      </c>
      <c r="V1480" s="2" t="s">
        <v>145</v>
      </c>
      <c r="W1480" s="2" t="s">
        <v>203</v>
      </c>
      <c r="X1480" s="2" t="s">
        <v>147</v>
      </c>
      <c r="Y1480" s="2">
        <v>44.5</v>
      </c>
      <c r="Z1480" s="2">
        <v>35</v>
      </c>
      <c r="AA1480" s="2" t="s">
        <v>395</v>
      </c>
      <c r="AB1480" s="2" t="s">
        <v>10188</v>
      </c>
      <c r="AC1480" s="2">
        <v>0.37476890105612198</v>
      </c>
      <c r="AD1480" s="2"/>
      <c r="AE1480" s="2">
        <v>0.435178867369588</v>
      </c>
      <c r="AF1480" s="2">
        <v>157.01830906683901</v>
      </c>
      <c r="AG1480" s="2">
        <v>6345.59575505473</v>
      </c>
      <c r="AH1480" s="4">
        <v>2.4744455072128201E-2</v>
      </c>
      <c r="AI1480" s="4">
        <v>-5.3367509185698001</v>
      </c>
      <c r="AJ1480" s="4" t="s">
        <v>62</v>
      </c>
      <c r="AK1480" s="2">
        <v>0.12067526560210499</v>
      </c>
      <c r="AL1480" s="2">
        <v>0.43792729332499802</v>
      </c>
      <c r="AM1480" s="2">
        <v>8.559877937157E-6</v>
      </c>
      <c r="AN1480" s="2">
        <v>8.559877937157E-6</v>
      </c>
      <c r="AO1480" s="2">
        <v>8.559877937157E-6</v>
      </c>
      <c r="AP1480" s="2">
        <v>8.559877937157E-6</v>
      </c>
      <c r="AQ1480" s="2">
        <v>8.559877937157E-6</v>
      </c>
      <c r="AR1480" s="2">
        <v>942.10981160164499</v>
      </c>
      <c r="AS1480" s="2">
        <v>8.559877937157E-6</v>
      </c>
      <c r="AT1480" s="2">
        <v>1966.4292299450501</v>
      </c>
      <c r="AU1480" s="2">
        <v>5459.8099347960497</v>
      </c>
      <c r="AV1480" s="2">
        <v>23595.039451469998</v>
      </c>
      <c r="AW1480" s="2">
        <v>7052.2958969974998</v>
      </c>
      <c r="AX1480" s="2">
        <v>8.559877937157E-6</v>
      </c>
    </row>
    <row r="1481" spans="1:50" x14ac:dyDescent="0.25">
      <c r="A1481" s="2" t="s">
        <v>10189</v>
      </c>
      <c r="B1481" s="2">
        <v>189.07054837624699</v>
      </c>
      <c r="C1481" s="2">
        <v>2.2141000000000002</v>
      </c>
      <c r="D1481" s="2" t="s">
        <v>51</v>
      </c>
      <c r="E1481" s="2" t="s">
        <v>10190</v>
      </c>
      <c r="F1481" s="2">
        <v>61613</v>
      </c>
      <c r="G1481" s="3" t="str">
        <f>HYPERLINK("https://cloud.oebiotech.com/#/lm/network/61613", "https://cloud.oebiotech.com/#/lm/network/61613")</f>
        <v>https://cloud.oebiotech.com/#/lm/network/61613</v>
      </c>
      <c r="H1481" s="2" t="s">
        <v>10191</v>
      </c>
      <c r="I1481" s="2">
        <v>92919</v>
      </c>
      <c r="J1481" s="2"/>
      <c r="K1481" s="2">
        <v>566107</v>
      </c>
      <c r="L1481" s="2"/>
      <c r="M1481" s="2"/>
      <c r="N1481" s="2"/>
      <c r="O1481" s="2"/>
      <c r="P1481" s="2"/>
      <c r="Q1481" s="2"/>
      <c r="R1481" s="2" t="s">
        <v>10192</v>
      </c>
      <c r="S1481" s="2" t="s">
        <v>10193</v>
      </c>
      <c r="T1481" s="2" t="s">
        <v>10194</v>
      </c>
      <c r="U1481" s="2" t="s">
        <v>266</v>
      </c>
      <c r="V1481" s="2" t="s">
        <v>7754</v>
      </c>
      <c r="W1481" s="2" t="s">
        <v>240</v>
      </c>
      <c r="X1481" s="2" t="s">
        <v>147</v>
      </c>
      <c r="Y1481" s="2">
        <v>36.6</v>
      </c>
      <c r="Z1481" s="2">
        <v>0</v>
      </c>
      <c r="AA1481" s="2" t="s">
        <v>95</v>
      </c>
      <c r="AB1481" s="2" t="s">
        <v>10195</v>
      </c>
      <c r="AC1481" s="2">
        <v>-1.76872510246686</v>
      </c>
      <c r="AD1481" s="2"/>
      <c r="AE1481" s="2">
        <v>0.4351363496606</v>
      </c>
      <c r="AF1481" s="2">
        <v>282.12379742795702</v>
      </c>
      <c r="AG1481" s="2">
        <v>10495.716758157199</v>
      </c>
      <c r="AH1481" s="4">
        <v>2.68798981459453E-2</v>
      </c>
      <c r="AI1481" s="4">
        <v>-5.2173285183477098</v>
      </c>
      <c r="AJ1481" s="4" t="s">
        <v>62</v>
      </c>
      <c r="AK1481" s="2">
        <v>0.14790932995251299</v>
      </c>
      <c r="AL1481" s="2">
        <v>0.468840198573449</v>
      </c>
      <c r="AM1481" s="2">
        <v>328.79108661292298</v>
      </c>
      <c r="AN1481" s="2">
        <v>3.8999147814874902</v>
      </c>
      <c r="AO1481" s="2">
        <v>147.82173462789601</v>
      </c>
      <c r="AP1481" s="2">
        <v>609.95397810638201</v>
      </c>
      <c r="AQ1481" s="2">
        <v>442.653208616489</v>
      </c>
      <c r="AR1481" s="2">
        <v>159.622861822564</v>
      </c>
      <c r="AS1481" s="2">
        <v>19302.146489254599</v>
      </c>
      <c r="AT1481" s="2">
        <v>39356.918736100299</v>
      </c>
      <c r="AU1481" s="2">
        <v>180.01794769216301</v>
      </c>
      <c r="AV1481" s="2">
        <v>3363.3228386959499</v>
      </c>
      <c r="AW1481" s="2">
        <v>149.97530296123699</v>
      </c>
      <c r="AX1481" s="2">
        <v>621.919234239003</v>
      </c>
    </row>
    <row r="1482" spans="1:50" x14ac:dyDescent="0.25">
      <c r="A1482" s="2" t="s">
        <v>10196</v>
      </c>
      <c r="B1482" s="2">
        <v>717.33917853588798</v>
      </c>
      <c r="C1482" s="2">
        <v>4.6687166666666702</v>
      </c>
      <c r="D1482" s="2" t="s">
        <v>51</v>
      </c>
      <c r="E1482" s="2" t="s">
        <v>10197</v>
      </c>
      <c r="F1482" s="2">
        <v>215773</v>
      </c>
      <c r="G1482" s="3" t="str">
        <f>HYPERLINK("https://cloud.oebiotech.com/#/lm/network/215773", "https://cloud.oebiotech.com/#/lm/network/215773")</f>
        <v>https://cloud.oebiotech.com/#/lm/network/215773</v>
      </c>
      <c r="H1482" s="2" t="s">
        <v>10198</v>
      </c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 t="s">
        <v>10199</v>
      </c>
      <c r="T1482" s="2" t="s">
        <v>10200</v>
      </c>
      <c r="U1482" s="2" t="s">
        <v>56</v>
      </c>
      <c r="V1482" s="2" t="s">
        <v>145</v>
      </c>
      <c r="W1482" s="2" t="s">
        <v>187</v>
      </c>
      <c r="X1482" s="2" t="s">
        <v>147</v>
      </c>
      <c r="Y1482" s="2">
        <v>37.799999999999997</v>
      </c>
      <c r="Z1482" s="2">
        <v>0</v>
      </c>
      <c r="AA1482" s="2" t="s">
        <v>395</v>
      </c>
      <c r="AB1482" s="2" t="s">
        <v>10201</v>
      </c>
      <c r="AC1482" s="2">
        <v>2.3681598318325001</v>
      </c>
      <c r="AD1482" s="2"/>
      <c r="AE1482" s="2">
        <v>0.435072355385689</v>
      </c>
      <c r="AF1482" s="2">
        <v>12801.905417743999</v>
      </c>
      <c r="AG1482" s="2">
        <v>4678.67518491993</v>
      </c>
      <c r="AH1482" s="5">
        <v>2.7362244464002101</v>
      </c>
      <c r="AI1482" s="5">
        <v>1.4521865761403201</v>
      </c>
      <c r="AJ1482" s="5" t="s">
        <v>139</v>
      </c>
      <c r="AK1482" s="2">
        <v>8.3074812591255001E-2</v>
      </c>
      <c r="AL1482" s="2">
        <v>0.37259997232052</v>
      </c>
      <c r="AM1482" s="2">
        <v>3286.2826050249801</v>
      </c>
      <c r="AN1482" s="2">
        <v>11474.383699538899</v>
      </c>
      <c r="AO1482" s="2">
        <v>13289.9137815382</v>
      </c>
      <c r="AP1482" s="2">
        <v>22861.7309027056</v>
      </c>
      <c r="AQ1482" s="2">
        <v>23281.7067830343</v>
      </c>
      <c r="AR1482" s="2">
        <v>2617.4147346217401</v>
      </c>
      <c r="AS1482" s="2">
        <v>8.559877937157E-6</v>
      </c>
      <c r="AT1482" s="2">
        <v>5575.7254351134497</v>
      </c>
      <c r="AU1482" s="2">
        <v>11101.963730777999</v>
      </c>
      <c r="AV1482" s="2">
        <v>10146.8643221234</v>
      </c>
      <c r="AW1482" s="2">
        <v>601.36796589006201</v>
      </c>
      <c r="AX1482" s="2">
        <v>646.12964705479897</v>
      </c>
    </row>
    <row r="1483" spans="1:50" x14ac:dyDescent="0.25">
      <c r="A1483" s="2" t="s">
        <v>10202</v>
      </c>
      <c r="B1483" s="2">
        <v>692.481201131803</v>
      </c>
      <c r="C1483" s="2">
        <v>6.6227666666666698</v>
      </c>
      <c r="D1483" s="2" t="s">
        <v>51</v>
      </c>
      <c r="E1483" s="2" t="s">
        <v>10203</v>
      </c>
      <c r="F1483" s="2">
        <v>242954</v>
      </c>
      <c r="G1483" s="3" t="str">
        <f>HYPERLINK("https://cloud.oebiotech.com/#/lm/network/242954", "https://cloud.oebiotech.com/#/lm/network/242954")</f>
        <v>https://cloud.oebiotech.com/#/lm/network/242954</v>
      </c>
      <c r="H1483" s="2" t="s">
        <v>10204</v>
      </c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 t="s">
        <v>10205</v>
      </c>
      <c r="T1483" s="2" t="s">
        <v>10206</v>
      </c>
      <c r="U1483" s="2" t="s">
        <v>56</v>
      </c>
      <c r="V1483" s="2" t="s">
        <v>145</v>
      </c>
      <c r="W1483" s="2" t="s">
        <v>187</v>
      </c>
      <c r="X1483" s="2" t="s">
        <v>59</v>
      </c>
      <c r="Y1483" s="2">
        <v>46.4</v>
      </c>
      <c r="Z1483" s="2">
        <v>52</v>
      </c>
      <c r="AA1483" s="2" t="s">
        <v>122</v>
      </c>
      <c r="AB1483" s="2" t="s">
        <v>10207</v>
      </c>
      <c r="AC1483" s="2">
        <v>2.0103461000020499</v>
      </c>
      <c r="AD1483" s="2"/>
      <c r="AE1483" s="2">
        <v>0.43470415514102101</v>
      </c>
      <c r="AF1483" s="2">
        <v>20818.721118614201</v>
      </c>
      <c r="AG1483" s="2">
        <v>15569.316827241601</v>
      </c>
      <c r="AH1483" s="5">
        <v>1.33716343174337</v>
      </c>
      <c r="AI1483" s="5">
        <v>0.41917580631094098</v>
      </c>
      <c r="AJ1483" s="5" t="s">
        <v>139</v>
      </c>
      <c r="AK1483" s="2">
        <v>1.55044186895456E-2</v>
      </c>
      <c r="AL1483" s="2">
        <v>0.197108637601354</v>
      </c>
      <c r="AM1483" s="2">
        <v>18599.717508006401</v>
      </c>
      <c r="AN1483" s="2">
        <v>17443.8463311491</v>
      </c>
      <c r="AO1483" s="2">
        <v>20111.653633864898</v>
      </c>
      <c r="AP1483" s="2">
        <v>21463.670332614602</v>
      </c>
      <c r="AQ1483" s="2">
        <v>20536.104941428701</v>
      </c>
      <c r="AR1483" s="2">
        <v>26757.333964621299</v>
      </c>
      <c r="AS1483" s="2">
        <v>16320.386004256299</v>
      </c>
      <c r="AT1483" s="2">
        <v>20285.5315054448</v>
      </c>
      <c r="AU1483" s="2">
        <v>16007.5349832599</v>
      </c>
      <c r="AV1483" s="2">
        <v>12455.4908128473</v>
      </c>
      <c r="AW1483" s="2">
        <v>16211.0841481315</v>
      </c>
      <c r="AX1483" s="2">
        <v>12135.8735095099</v>
      </c>
    </row>
    <row r="1484" spans="1:50" x14ac:dyDescent="0.25">
      <c r="A1484" s="2" t="s">
        <v>10208</v>
      </c>
      <c r="B1484" s="2">
        <v>573.45266884891601</v>
      </c>
      <c r="C1484" s="2">
        <v>13.903266666666701</v>
      </c>
      <c r="D1484" s="2" t="s">
        <v>51</v>
      </c>
      <c r="E1484" s="2" t="s">
        <v>10209</v>
      </c>
      <c r="F1484" s="2">
        <v>250567</v>
      </c>
      <c r="G1484" s="3" t="str">
        <f>HYPERLINK("https://cloud.oebiotech.com/#/lm/network/250567", "https://cloud.oebiotech.com/#/lm/network/250567")</f>
        <v>https://cloud.oebiotech.com/#/lm/network/250567</v>
      </c>
      <c r="H1484" s="2" t="s">
        <v>10210</v>
      </c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 t="s">
        <v>10211</v>
      </c>
      <c r="T1484" s="2" t="s">
        <v>10212</v>
      </c>
      <c r="U1484" s="2" t="s">
        <v>56</v>
      </c>
      <c r="V1484" s="2" t="s">
        <v>145</v>
      </c>
      <c r="W1484" s="2" t="s">
        <v>187</v>
      </c>
      <c r="X1484" s="2" t="s">
        <v>83</v>
      </c>
      <c r="Y1484" s="2">
        <v>40.1</v>
      </c>
      <c r="Z1484" s="2">
        <v>0</v>
      </c>
      <c r="AA1484" s="2" t="s">
        <v>379</v>
      </c>
      <c r="AB1484" s="2" t="s">
        <v>2231</v>
      </c>
      <c r="AC1484" s="2">
        <v>0.37166264597358101</v>
      </c>
      <c r="AD1484" s="2"/>
      <c r="AE1484" s="2">
        <v>0.434504426721189</v>
      </c>
      <c r="AF1484" s="2">
        <v>27385.839184568202</v>
      </c>
      <c r="AG1484" s="2">
        <v>17187.149192572699</v>
      </c>
      <c r="AH1484" s="5">
        <v>1.59339043827017</v>
      </c>
      <c r="AI1484" s="5">
        <v>0.67209982263102996</v>
      </c>
      <c r="AJ1484" s="5" t="s">
        <v>139</v>
      </c>
      <c r="AK1484" s="2">
        <v>0.11122969522321199</v>
      </c>
      <c r="AL1484" s="2">
        <v>0.42304336998091602</v>
      </c>
      <c r="AM1484" s="2">
        <v>6652.5291526623796</v>
      </c>
      <c r="AN1484" s="2">
        <v>37546.632844317901</v>
      </c>
      <c r="AO1484" s="2">
        <v>36535.7146239344</v>
      </c>
      <c r="AP1484" s="2">
        <v>35555.680204015</v>
      </c>
      <c r="AQ1484" s="2">
        <v>23354.762357645599</v>
      </c>
      <c r="AR1484" s="2">
        <v>24669.715924833799</v>
      </c>
      <c r="AS1484" s="2">
        <v>16344.5968633466</v>
      </c>
      <c r="AT1484" s="2">
        <v>22109.6118053879</v>
      </c>
      <c r="AU1484" s="2">
        <v>5172.6554572020996</v>
      </c>
      <c r="AV1484" s="2">
        <v>11881.347318132001</v>
      </c>
      <c r="AW1484" s="2">
        <v>19922.978420940901</v>
      </c>
      <c r="AX1484" s="2">
        <v>27691.7052904265</v>
      </c>
    </row>
    <row r="1485" spans="1:50" x14ac:dyDescent="0.25">
      <c r="A1485" s="2" t="s">
        <v>10213</v>
      </c>
      <c r="B1485" s="2">
        <v>461.36369518031699</v>
      </c>
      <c r="C1485" s="2">
        <v>13.24255</v>
      </c>
      <c r="D1485" s="2" t="s">
        <v>51</v>
      </c>
      <c r="E1485" s="2" t="s">
        <v>10214</v>
      </c>
      <c r="F1485" s="2">
        <v>44431</v>
      </c>
      <c r="G1485" s="3" t="str">
        <f>HYPERLINK("https://cloud.oebiotech.com/#/lm/network/44431", "https://cloud.oebiotech.com/#/lm/network/44431")</f>
        <v>https://cloud.oebiotech.com/#/lm/network/44431</v>
      </c>
      <c r="H1485" s="2"/>
      <c r="I1485" s="2"/>
      <c r="J1485" s="2" t="s">
        <v>10215</v>
      </c>
      <c r="K1485" s="2">
        <v>137642282</v>
      </c>
      <c r="L1485" s="2"/>
      <c r="M1485" s="2"/>
      <c r="N1485" s="2"/>
      <c r="O1485" s="2"/>
      <c r="P1485" s="2"/>
      <c r="Q1485" s="2"/>
      <c r="R1485" s="2"/>
      <c r="S1485" s="2" t="s">
        <v>10216</v>
      </c>
      <c r="T1485" s="2" t="s">
        <v>10217</v>
      </c>
      <c r="U1485" s="2" t="s">
        <v>56</v>
      </c>
      <c r="V1485" s="2" t="s">
        <v>283</v>
      </c>
      <c r="W1485" s="2" t="s">
        <v>492</v>
      </c>
      <c r="X1485" s="2" t="s">
        <v>59</v>
      </c>
      <c r="Y1485" s="2">
        <v>46.6</v>
      </c>
      <c r="Z1485" s="2">
        <v>47.4</v>
      </c>
      <c r="AA1485" s="2" t="s">
        <v>259</v>
      </c>
      <c r="AB1485" s="2" t="s">
        <v>10218</v>
      </c>
      <c r="AC1485" s="2">
        <v>2.5170359018411901</v>
      </c>
      <c r="AD1485" s="2"/>
      <c r="AE1485" s="2">
        <v>0.43443633865609299</v>
      </c>
      <c r="AF1485" s="2">
        <v>10711.171116273001</v>
      </c>
      <c r="AG1485" s="2">
        <v>4807.6856887744198</v>
      </c>
      <c r="AH1485" s="5">
        <v>2.2279266594492202</v>
      </c>
      <c r="AI1485" s="5">
        <v>1.1557017417486699</v>
      </c>
      <c r="AJ1485" s="5" t="s">
        <v>139</v>
      </c>
      <c r="AK1485" s="2">
        <v>4.6838421745239001E-2</v>
      </c>
      <c r="AL1485" s="2">
        <v>0.303912251258453</v>
      </c>
      <c r="AM1485" s="2">
        <v>7839.1172222053901</v>
      </c>
      <c r="AN1485" s="2">
        <v>18254.411595334499</v>
      </c>
      <c r="AO1485" s="2">
        <v>8806.1548974081597</v>
      </c>
      <c r="AP1485" s="2">
        <v>12018.222332908899</v>
      </c>
      <c r="AQ1485" s="2">
        <v>5642.3638223562302</v>
      </c>
      <c r="AR1485" s="2">
        <v>11706.756827425001</v>
      </c>
      <c r="AS1485" s="2">
        <v>3731.2117622105102</v>
      </c>
      <c r="AT1485" s="2">
        <v>6566.7129884166698</v>
      </c>
      <c r="AU1485" s="2">
        <v>1521.4046546136799</v>
      </c>
      <c r="AV1485" s="2">
        <v>1211.0163289863301</v>
      </c>
      <c r="AW1485" s="2">
        <v>2470.7407729584202</v>
      </c>
      <c r="AX1485" s="2">
        <v>13345.0276254609</v>
      </c>
    </row>
    <row r="1486" spans="1:50" x14ac:dyDescent="0.25">
      <c r="A1486" s="2" t="s">
        <v>10219</v>
      </c>
      <c r="B1486" s="2">
        <v>556.29338666003002</v>
      </c>
      <c r="C1486" s="2">
        <v>4.1329500000000001</v>
      </c>
      <c r="D1486" s="2" t="s">
        <v>51</v>
      </c>
      <c r="E1486" s="2" t="s">
        <v>10220</v>
      </c>
      <c r="F1486" s="2">
        <v>250022</v>
      </c>
      <c r="G1486" s="3" t="str">
        <f>HYPERLINK("https://cloud.oebiotech.com/#/lm/network/250022", "https://cloud.oebiotech.com/#/lm/network/250022")</f>
        <v>https://cloud.oebiotech.com/#/lm/network/250022</v>
      </c>
      <c r="H1486" s="2" t="s">
        <v>10221</v>
      </c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 t="s">
        <v>10222</v>
      </c>
      <c r="T1486" s="2" t="s">
        <v>10223</v>
      </c>
      <c r="U1486" s="2" t="s">
        <v>56</v>
      </c>
      <c r="V1486" s="2" t="s">
        <v>145</v>
      </c>
      <c r="W1486" s="2" t="s">
        <v>187</v>
      </c>
      <c r="X1486" s="2" t="s">
        <v>147</v>
      </c>
      <c r="Y1486" s="2">
        <v>37.299999999999997</v>
      </c>
      <c r="Z1486" s="2">
        <v>5.65</v>
      </c>
      <c r="AA1486" s="2" t="s">
        <v>259</v>
      </c>
      <c r="AB1486" s="2" t="s">
        <v>10224</v>
      </c>
      <c r="AC1486" s="2">
        <v>-0.86113442967292797</v>
      </c>
      <c r="AD1486" s="2"/>
      <c r="AE1486" s="2">
        <v>0.43395001438060199</v>
      </c>
      <c r="AF1486" s="2">
        <v>1609.4011729702199</v>
      </c>
      <c r="AG1486" s="2">
        <v>10447.428252534501</v>
      </c>
      <c r="AH1486" s="4">
        <v>0.154047592772871</v>
      </c>
      <c r="AI1486" s="4">
        <v>-2.6985519566306801</v>
      </c>
      <c r="AJ1486" s="4" t="s">
        <v>62</v>
      </c>
      <c r="AK1486" s="2">
        <v>0.38729576952523098</v>
      </c>
      <c r="AL1486" s="2">
        <v>0.66321747437879897</v>
      </c>
      <c r="AM1486" s="2">
        <v>2019.91761976373</v>
      </c>
      <c r="AN1486" s="2">
        <v>457.058497595049</v>
      </c>
      <c r="AO1486" s="2">
        <v>8.559877937157E-6</v>
      </c>
      <c r="AP1486" s="2">
        <v>1191.23298105855</v>
      </c>
      <c r="AQ1486" s="2">
        <v>783.82970913286601</v>
      </c>
      <c r="AR1486" s="2">
        <v>5204.36822171123</v>
      </c>
      <c r="AS1486" s="2">
        <v>8.559877937157E-6</v>
      </c>
      <c r="AT1486" s="2">
        <v>539.30553440408801</v>
      </c>
      <c r="AU1486" s="2">
        <v>439.88498816283499</v>
      </c>
      <c r="AV1486" s="2">
        <v>59143.363489107098</v>
      </c>
      <c r="AW1486" s="2">
        <v>8.559877937157E-6</v>
      </c>
      <c r="AX1486" s="2">
        <v>2562.01548641307</v>
      </c>
    </row>
    <row r="1487" spans="1:50" x14ac:dyDescent="0.25">
      <c r="A1487" s="2" t="s">
        <v>10225</v>
      </c>
      <c r="B1487" s="2">
        <v>221.15427995623901</v>
      </c>
      <c r="C1487" s="2">
        <v>9.7668833333333307</v>
      </c>
      <c r="D1487" s="2" t="s">
        <v>51</v>
      </c>
      <c r="E1487" s="2" t="s">
        <v>10226</v>
      </c>
      <c r="F1487" s="2">
        <v>2177</v>
      </c>
      <c r="G1487" s="3" t="str">
        <f>HYPERLINK("https://cloud.oebiotech.com/#/lm/network/2177", "https://cloud.oebiotech.com/#/lm/network/2177")</f>
        <v>https://cloud.oebiotech.com/#/lm/network/2177</v>
      </c>
      <c r="H1487" s="2"/>
      <c r="I1487" s="2">
        <v>45867</v>
      </c>
      <c r="J1487" s="2" t="s">
        <v>10227</v>
      </c>
      <c r="K1487" s="2">
        <v>44256504</v>
      </c>
      <c r="L1487" s="2"/>
      <c r="M1487" s="2"/>
      <c r="N1487" s="2"/>
      <c r="O1487" s="2"/>
      <c r="P1487" s="2"/>
      <c r="Q1487" s="2"/>
      <c r="R1487" s="2"/>
      <c r="S1487" s="2" t="s">
        <v>10228</v>
      </c>
      <c r="T1487" s="2" t="s">
        <v>10229</v>
      </c>
      <c r="U1487" s="2" t="s">
        <v>56</v>
      </c>
      <c r="V1487" s="2" t="s">
        <v>145</v>
      </c>
      <c r="W1487" s="2" t="s">
        <v>231</v>
      </c>
      <c r="X1487" s="2" t="s">
        <v>147</v>
      </c>
      <c r="Y1487" s="2">
        <v>46.3</v>
      </c>
      <c r="Z1487" s="2">
        <v>39.299999999999997</v>
      </c>
      <c r="AA1487" s="2" t="s">
        <v>156</v>
      </c>
      <c r="AB1487" s="2" t="s">
        <v>10230</v>
      </c>
      <c r="AC1487" s="2">
        <v>2.8285640047608198</v>
      </c>
      <c r="AD1487" s="2"/>
      <c r="AE1487" s="2">
        <v>0.43368011714132698</v>
      </c>
      <c r="AF1487" s="2">
        <v>13597.9555446635</v>
      </c>
      <c r="AG1487" s="2">
        <v>8085.5084832584798</v>
      </c>
      <c r="AH1487" s="5">
        <v>1.68176875614179</v>
      </c>
      <c r="AI1487" s="5">
        <v>0.74997934810050604</v>
      </c>
      <c r="AJ1487" s="5" t="s">
        <v>139</v>
      </c>
      <c r="AK1487" s="2">
        <v>2.0898466341616E-2</v>
      </c>
      <c r="AL1487" s="2">
        <v>0.22558944485486199</v>
      </c>
      <c r="AM1487" s="2">
        <v>10312.382586120601</v>
      </c>
      <c r="AN1487" s="2">
        <v>20452.6264541456</v>
      </c>
      <c r="AO1487" s="2">
        <v>11572.4803601858</v>
      </c>
      <c r="AP1487" s="2">
        <v>13220.5402909064</v>
      </c>
      <c r="AQ1487" s="2">
        <v>11003.2881332578</v>
      </c>
      <c r="AR1487" s="2">
        <v>15026.415443365</v>
      </c>
      <c r="AS1487" s="2">
        <v>13888.420288339399</v>
      </c>
      <c r="AT1487" s="2">
        <v>7531.5357520646203</v>
      </c>
      <c r="AU1487" s="2">
        <v>6985.52518995214</v>
      </c>
      <c r="AV1487" s="2">
        <v>4513.4789782950202</v>
      </c>
      <c r="AW1487" s="2">
        <v>6641.1246868112403</v>
      </c>
      <c r="AX1487" s="2">
        <v>8952.9660040884501</v>
      </c>
    </row>
    <row r="1488" spans="1:50" x14ac:dyDescent="0.25">
      <c r="A1488" s="2" t="s">
        <v>10231</v>
      </c>
      <c r="B1488" s="2">
        <v>357.23711136170698</v>
      </c>
      <c r="C1488" s="2">
        <v>4.8125</v>
      </c>
      <c r="D1488" s="2" t="s">
        <v>51</v>
      </c>
      <c r="E1488" s="2" t="s">
        <v>10232</v>
      </c>
      <c r="F1488" s="2">
        <v>204395</v>
      </c>
      <c r="G1488" s="3" t="str">
        <f>HYPERLINK("https://cloud.oebiotech.com/#/lm/network/204395", "https://cloud.oebiotech.com/#/lm/network/204395")</f>
        <v>https://cloud.oebiotech.com/#/lm/network/204395</v>
      </c>
      <c r="H1488" s="2" t="s">
        <v>10233</v>
      </c>
      <c r="I1488" s="2"/>
      <c r="J1488" s="2"/>
      <c r="K1488" s="2">
        <v>3336368</v>
      </c>
      <c r="L1488" s="2"/>
      <c r="M1488" s="2"/>
      <c r="N1488" s="2"/>
      <c r="O1488" s="2"/>
      <c r="P1488" s="2"/>
      <c r="Q1488" s="2"/>
      <c r="R1488" s="2"/>
      <c r="S1488" s="2" t="s">
        <v>10234</v>
      </c>
      <c r="T1488" s="2" t="s">
        <v>10235</v>
      </c>
      <c r="U1488" s="2" t="s">
        <v>103</v>
      </c>
      <c r="V1488" s="2" t="s">
        <v>104</v>
      </c>
      <c r="W1488" s="2" t="s">
        <v>105</v>
      </c>
      <c r="X1488" s="2" t="s">
        <v>147</v>
      </c>
      <c r="Y1488" s="2">
        <v>39.1</v>
      </c>
      <c r="Z1488" s="2">
        <v>10.8</v>
      </c>
      <c r="AA1488" s="2" t="s">
        <v>148</v>
      </c>
      <c r="AB1488" s="2" t="s">
        <v>10236</v>
      </c>
      <c r="AC1488" s="2">
        <v>4.1218452114820501</v>
      </c>
      <c r="AD1488" s="2"/>
      <c r="AE1488" s="2">
        <v>0.43362546810090902</v>
      </c>
      <c r="AF1488" s="2">
        <v>20248.330843639302</v>
      </c>
      <c r="AG1488" s="2">
        <v>11035.0671835142</v>
      </c>
      <c r="AH1488" s="5">
        <v>1.8349077995546099</v>
      </c>
      <c r="AI1488" s="5">
        <v>0.87570757235066599</v>
      </c>
      <c r="AJ1488" s="5" t="s">
        <v>139</v>
      </c>
      <c r="AK1488" s="2">
        <v>0.24319043352710301</v>
      </c>
      <c r="AL1488" s="2">
        <v>0.56753993862044305</v>
      </c>
      <c r="AM1488" s="2">
        <v>6212.7222652620203</v>
      </c>
      <c r="AN1488" s="2">
        <v>5618.4033249276399</v>
      </c>
      <c r="AO1488" s="2">
        <v>50621.079256116704</v>
      </c>
      <c r="AP1488" s="2">
        <v>17930.935667289901</v>
      </c>
      <c r="AQ1488" s="2">
        <v>27402.698207084901</v>
      </c>
      <c r="AR1488" s="2">
        <v>13704.146341154799</v>
      </c>
      <c r="AS1488" s="2">
        <v>5752.0726912787904</v>
      </c>
      <c r="AT1488" s="2">
        <v>24200.210560185598</v>
      </c>
      <c r="AU1488" s="2">
        <v>8926.3508722949191</v>
      </c>
      <c r="AV1488" s="2">
        <v>7782.7311490754601</v>
      </c>
      <c r="AW1488" s="2">
        <v>8526.1734058900893</v>
      </c>
      <c r="AX1488" s="2">
        <v>11022.864422360501</v>
      </c>
    </row>
    <row r="1489" spans="1:50" x14ac:dyDescent="0.25">
      <c r="A1489" s="2" t="s">
        <v>10237</v>
      </c>
      <c r="B1489" s="2">
        <v>201.123816650968</v>
      </c>
      <c r="C1489" s="2">
        <v>2.6437333333333299</v>
      </c>
      <c r="D1489" s="2" t="s">
        <v>51</v>
      </c>
      <c r="E1489" s="2" t="s">
        <v>10238</v>
      </c>
      <c r="F1489" s="2">
        <v>53924</v>
      </c>
      <c r="G1489" s="3" t="str">
        <f>HYPERLINK("https://cloud.oebiotech.com/#/lm/network/53924", "https://cloud.oebiotech.com/#/lm/network/53924")</f>
        <v>https://cloud.oebiotech.com/#/lm/network/53924</v>
      </c>
      <c r="H1489" s="2" t="s">
        <v>10239</v>
      </c>
      <c r="I1489" s="2"/>
      <c r="J1489" s="2"/>
      <c r="K1489" s="2">
        <v>5246009</v>
      </c>
      <c r="L1489" s="2"/>
      <c r="M1489" s="2"/>
      <c r="N1489" s="2"/>
      <c r="O1489" s="2"/>
      <c r="P1489" s="2"/>
      <c r="Q1489" s="2"/>
      <c r="R1489" s="2"/>
      <c r="S1489" s="2" t="s">
        <v>10240</v>
      </c>
      <c r="T1489" s="2" t="s">
        <v>10241</v>
      </c>
      <c r="U1489" s="2" t="s">
        <v>103</v>
      </c>
      <c r="V1489" s="2" t="s">
        <v>104</v>
      </c>
      <c r="W1489" s="2" t="s">
        <v>105</v>
      </c>
      <c r="X1489" s="2" t="s">
        <v>83</v>
      </c>
      <c r="Y1489" s="2">
        <v>49</v>
      </c>
      <c r="Z1489" s="2">
        <v>13.7</v>
      </c>
      <c r="AA1489" s="2" t="s">
        <v>163</v>
      </c>
      <c r="AB1489" s="2" t="s">
        <v>6386</v>
      </c>
      <c r="AC1489" s="2">
        <v>-3.21257098934589</v>
      </c>
      <c r="AD1489" s="2"/>
      <c r="AE1489" s="2">
        <v>0.43362194309645402</v>
      </c>
      <c r="AF1489" s="2">
        <v>13413.2313557002</v>
      </c>
      <c r="AG1489" s="2">
        <v>7111.7359575056698</v>
      </c>
      <c r="AH1489" s="5">
        <v>1.8860699322707599</v>
      </c>
      <c r="AI1489" s="5">
        <v>0.91538316968732902</v>
      </c>
      <c r="AJ1489" s="5" t="s">
        <v>139</v>
      </c>
      <c r="AK1489" s="2">
        <v>0.134699434656817</v>
      </c>
      <c r="AL1489" s="2">
        <v>0.45541602708287199</v>
      </c>
      <c r="AM1489" s="2">
        <v>17556.463541052199</v>
      </c>
      <c r="AN1489" s="2">
        <v>14167.168932434601</v>
      </c>
      <c r="AO1489" s="2">
        <v>13081.081055807301</v>
      </c>
      <c r="AP1489" s="2">
        <v>4745.93017613758</v>
      </c>
      <c r="AQ1489" s="2">
        <v>9411.5815479307294</v>
      </c>
      <c r="AR1489" s="2">
        <v>21517.162880839001</v>
      </c>
      <c r="AS1489" s="2">
        <v>8.559877937157E-6</v>
      </c>
      <c r="AT1489" s="2">
        <v>1399.9134392399501</v>
      </c>
      <c r="AU1489" s="2">
        <v>9315.1713663749197</v>
      </c>
      <c r="AV1489" s="2">
        <v>7066.9657975486898</v>
      </c>
      <c r="AW1489" s="2">
        <v>4376.0656927318596</v>
      </c>
      <c r="AX1489" s="2">
        <v>20512.299440578699</v>
      </c>
    </row>
    <row r="1490" spans="1:50" x14ac:dyDescent="0.25">
      <c r="A1490" s="2" t="s">
        <v>10242</v>
      </c>
      <c r="B1490" s="2">
        <v>533.18051412349803</v>
      </c>
      <c r="C1490" s="2">
        <v>7.6020666666666701</v>
      </c>
      <c r="D1490" s="2" t="s">
        <v>51</v>
      </c>
      <c r="E1490" s="2" t="s">
        <v>10243</v>
      </c>
      <c r="F1490" s="2">
        <v>211956</v>
      </c>
      <c r="G1490" s="3" t="str">
        <f>HYPERLINK("https://cloud.oebiotech.com/#/lm/network/211956", "https://cloud.oebiotech.com/#/lm/network/211956")</f>
        <v>https://cloud.oebiotech.com/#/lm/network/211956</v>
      </c>
      <c r="H1490" s="2" t="s">
        <v>10244</v>
      </c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 t="s">
        <v>10245</v>
      </c>
      <c r="T1490" s="2" t="s">
        <v>10246</v>
      </c>
      <c r="U1490" s="2" t="s">
        <v>103</v>
      </c>
      <c r="V1490" s="2" t="s">
        <v>104</v>
      </c>
      <c r="W1490" s="2" t="s">
        <v>105</v>
      </c>
      <c r="X1490" s="2" t="s">
        <v>147</v>
      </c>
      <c r="Y1490" s="2">
        <v>37.299999999999997</v>
      </c>
      <c r="Z1490" s="2">
        <v>9.9500000000000005E-3</v>
      </c>
      <c r="AA1490" s="2" t="s">
        <v>478</v>
      </c>
      <c r="AB1490" s="2" t="s">
        <v>10247</v>
      </c>
      <c r="AC1490" s="2">
        <v>3.6723889934940699</v>
      </c>
      <c r="AD1490" s="2"/>
      <c r="AE1490" s="2">
        <v>0.43341575711035901</v>
      </c>
      <c r="AF1490" s="2">
        <v>2877.5963731622001</v>
      </c>
      <c r="AG1490" s="2">
        <v>8462.0112846947995</v>
      </c>
      <c r="AH1490" s="4">
        <v>0.34006056909506799</v>
      </c>
      <c r="AI1490" s="4">
        <v>-1.5561363633754499</v>
      </c>
      <c r="AJ1490" s="4" t="s">
        <v>62</v>
      </c>
      <c r="AK1490" s="2">
        <v>4.8238974651486702E-2</v>
      </c>
      <c r="AL1490" s="2">
        <v>0.30691247078395001</v>
      </c>
      <c r="AM1490" s="2">
        <v>2241.7287191120199</v>
      </c>
      <c r="AN1490" s="2">
        <v>5509.5524879167597</v>
      </c>
      <c r="AO1490" s="2">
        <v>3153.0807556692798</v>
      </c>
      <c r="AP1490" s="2">
        <v>4109.5525253915202</v>
      </c>
      <c r="AQ1490" s="2">
        <v>1461.0462912119999</v>
      </c>
      <c r="AR1490" s="2">
        <v>790.61745967163301</v>
      </c>
      <c r="AS1490" s="2">
        <v>11156.841199873001</v>
      </c>
      <c r="AT1490" s="2">
        <v>10924.5497447814</v>
      </c>
      <c r="AU1490" s="2">
        <v>4370.8262568334103</v>
      </c>
      <c r="AV1490" s="2">
        <v>17536.979347143701</v>
      </c>
      <c r="AW1490" s="2">
        <v>5093.7120061114802</v>
      </c>
      <c r="AX1490" s="2">
        <v>1689.15915342583</v>
      </c>
    </row>
    <row r="1491" spans="1:50" x14ac:dyDescent="0.25">
      <c r="A1491" s="2" t="s">
        <v>10248</v>
      </c>
      <c r="B1491" s="2">
        <v>325.21685992514398</v>
      </c>
      <c r="C1491" s="2">
        <v>10.8476833333333</v>
      </c>
      <c r="D1491" s="2" t="s">
        <v>51</v>
      </c>
      <c r="E1491" s="2" t="s">
        <v>10249</v>
      </c>
      <c r="F1491" s="2">
        <v>4838</v>
      </c>
      <c r="G1491" s="3" t="str">
        <f>HYPERLINK("https://cloud.oebiotech.com/#/lm/network/4838", "https://cloud.oebiotech.com/#/lm/network/4838")</f>
        <v>https://cloud.oebiotech.com/#/lm/network/4838</v>
      </c>
      <c r="H1491" s="2"/>
      <c r="I1491" s="2">
        <v>36438</v>
      </c>
      <c r="J1491" s="2" t="s">
        <v>10250</v>
      </c>
      <c r="K1491" s="2">
        <v>16061141</v>
      </c>
      <c r="L1491" s="2"/>
      <c r="M1491" s="2"/>
      <c r="N1491" s="2"/>
      <c r="O1491" s="2"/>
      <c r="P1491" s="2"/>
      <c r="Q1491" s="2"/>
      <c r="R1491" s="2"/>
      <c r="S1491" s="2" t="s">
        <v>10251</v>
      </c>
      <c r="T1491" s="2" t="s">
        <v>10252</v>
      </c>
      <c r="U1491" s="2" t="s">
        <v>56</v>
      </c>
      <c r="V1491" s="2" t="s">
        <v>145</v>
      </c>
      <c r="W1491" s="2" t="s">
        <v>231</v>
      </c>
      <c r="X1491" s="2" t="s">
        <v>69</v>
      </c>
      <c r="Y1491" s="2">
        <v>56.4</v>
      </c>
      <c r="Z1491" s="2">
        <v>77.599999999999994</v>
      </c>
      <c r="AA1491" s="2" t="s">
        <v>156</v>
      </c>
      <c r="AB1491" s="2" t="s">
        <v>2007</v>
      </c>
      <c r="AC1491" s="2">
        <v>1.9091675767252201</v>
      </c>
      <c r="AD1491" s="2"/>
      <c r="AE1491" s="2">
        <v>0.43296218566955202</v>
      </c>
      <c r="AF1491" s="2">
        <v>11184.558336640799</v>
      </c>
      <c r="AG1491" s="2">
        <v>5288.2337224319499</v>
      </c>
      <c r="AH1491" s="5">
        <v>2.11498941304305</v>
      </c>
      <c r="AI1491" s="5">
        <v>1.08065044169581</v>
      </c>
      <c r="AJ1491" s="5" t="s">
        <v>139</v>
      </c>
      <c r="AK1491" s="2">
        <v>0.20646722790928401</v>
      </c>
      <c r="AL1491" s="2">
        <v>0.53156805381501204</v>
      </c>
      <c r="AM1491" s="2">
        <v>25167.134393876</v>
      </c>
      <c r="AN1491" s="2">
        <v>6380.2837839173499</v>
      </c>
      <c r="AO1491" s="2">
        <v>4383.7673515031402</v>
      </c>
      <c r="AP1491" s="2">
        <v>16757.5777885551</v>
      </c>
      <c r="AQ1491" s="2">
        <v>6447.3201443708103</v>
      </c>
      <c r="AR1491" s="2">
        <v>7971.26655762255</v>
      </c>
      <c r="AS1491" s="2">
        <v>9712.0710165888395</v>
      </c>
      <c r="AT1491" s="2">
        <v>17441.312277413101</v>
      </c>
      <c r="AU1491" s="2">
        <v>8.559877937157E-6</v>
      </c>
      <c r="AV1491" s="2">
        <v>1402.88205386596</v>
      </c>
      <c r="AW1491" s="2">
        <v>8.559877937157E-6</v>
      </c>
      <c r="AX1491" s="2">
        <v>3173.1369696040601</v>
      </c>
    </row>
    <row r="1492" spans="1:50" x14ac:dyDescent="0.25">
      <c r="A1492" s="2" t="s">
        <v>10253</v>
      </c>
      <c r="B1492" s="2">
        <v>271.09375020616898</v>
      </c>
      <c r="C1492" s="2">
        <v>2.4151833333333301</v>
      </c>
      <c r="D1492" s="2" t="s">
        <v>51</v>
      </c>
      <c r="E1492" s="2" t="s">
        <v>10254</v>
      </c>
      <c r="F1492" s="2">
        <v>201463</v>
      </c>
      <c r="G1492" s="3" t="str">
        <f>HYPERLINK("https://cloud.oebiotech.com/#/lm/network/201463", "https://cloud.oebiotech.com/#/lm/network/201463")</f>
        <v>https://cloud.oebiotech.com/#/lm/network/201463</v>
      </c>
      <c r="H1492" s="2" t="s">
        <v>10255</v>
      </c>
      <c r="I1492" s="2"/>
      <c r="J1492" s="2"/>
      <c r="K1492" s="2">
        <v>5280</v>
      </c>
      <c r="L1492" s="2"/>
      <c r="M1492" s="2"/>
      <c r="N1492" s="2"/>
      <c r="O1492" s="2"/>
      <c r="P1492" s="2"/>
      <c r="Q1492" s="2"/>
      <c r="R1492" s="2"/>
      <c r="S1492" s="2" t="s">
        <v>10256</v>
      </c>
      <c r="T1492" s="2" t="s">
        <v>10257</v>
      </c>
      <c r="U1492" s="2" t="s">
        <v>295</v>
      </c>
      <c r="V1492" s="2" t="s">
        <v>1818</v>
      </c>
      <c r="W1492" s="2" t="s">
        <v>8257</v>
      </c>
      <c r="X1492" s="2" t="s">
        <v>59</v>
      </c>
      <c r="Y1492" s="2">
        <v>49.5</v>
      </c>
      <c r="Z1492" s="2">
        <v>50.1</v>
      </c>
      <c r="AA1492" s="2" t="s">
        <v>218</v>
      </c>
      <c r="AB1492" s="2" t="s">
        <v>10258</v>
      </c>
      <c r="AC1492" s="2">
        <v>0.842119675981993</v>
      </c>
      <c r="AD1492" s="2"/>
      <c r="AE1492" s="2">
        <v>0.432686383786546</v>
      </c>
      <c r="AF1492" s="2">
        <v>2432.04632690881</v>
      </c>
      <c r="AG1492" s="2">
        <v>12088.822098214299</v>
      </c>
      <c r="AH1492" s="4">
        <v>0.201181414297433</v>
      </c>
      <c r="AI1492" s="4">
        <v>-2.3134310637967999</v>
      </c>
      <c r="AJ1492" s="4" t="s">
        <v>62</v>
      </c>
      <c r="AK1492" s="2">
        <v>0.42430387720387702</v>
      </c>
      <c r="AL1492" s="2">
        <v>0.68369640456422398</v>
      </c>
      <c r="AM1492" s="2">
        <v>5791.4448623619101</v>
      </c>
      <c r="AN1492" s="2">
        <v>8.559877937157E-6</v>
      </c>
      <c r="AO1492" s="2">
        <v>8.559877937157E-6</v>
      </c>
      <c r="AP1492" s="2">
        <v>8.559877937157E-6</v>
      </c>
      <c r="AQ1492" s="2">
        <v>4589.4861066765798</v>
      </c>
      <c r="AR1492" s="2">
        <v>4211.3469667347299</v>
      </c>
      <c r="AS1492" s="2">
        <v>8.559877937157E-6</v>
      </c>
      <c r="AT1492" s="2">
        <v>8.559877937157E-6</v>
      </c>
      <c r="AU1492" s="2">
        <v>13.146119214433201</v>
      </c>
      <c r="AV1492" s="2">
        <v>69744.151316038799</v>
      </c>
      <c r="AW1492" s="2">
        <v>8.559877937157E-6</v>
      </c>
      <c r="AX1492" s="2">
        <v>2775.6351283527902</v>
      </c>
    </row>
    <row r="1493" spans="1:50" x14ac:dyDescent="0.25">
      <c r="A1493" s="2" t="s">
        <v>10259</v>
      </c>
      <c r="B1493" s="2">
        <v>450.29923931934297</v>
      </c>
      <c r="C1493" s="2">
        <v>11.337949999999999</v>
      </c>
      <c r="D1493" s="2" t="s">
        <v>51</v>
      </c>
      <c r="E1493" s="2" t="s">
        <v>10260</v>
      </c>
      <c r="F1493" s="2">
        <v>21247</v>
      </c>
      <c r="G1493" s="3" t="str">
        <f>HYPERLINK("https://cloud.oebiotech.com/#/lm/network/21247", "https://cloud.oebiotech.com/#/lm/network/21247")</f>
        <v>https://cloud.oebiotech.com/#/lm/network/21247</v>
      </c>
      <c r="H1493" s="2"/>
      <c r="I1493" s="2"/>
      <c r="J1493" s="2" t="s">
        <v>10261</v>
      </c>
      <c r="K1493" s="2">
        <v>137323917</v>
      </c>
      <c r="L1493" s="2"/>
      <c r="M1493" s="2"/>
      <c r="N1493" s="2"/>
      <c r="O1493" s="2"/>
      <c r="P1493" s="2"/>
      <c r="Q1493" s="2"/>
      <c r="R1493" s="2"/>
      <c r="S1493" s="2" t="s">
        <v>10262</v>
      </c>
      <c r="T1493" s="2" t="s">
        <v>10263</v>
      </c>
      <c r="U1493" s="2" t="s">
        <v>56</v>
      </c>
      <c r="V1493" s="2" t="s">
        <v>57</v>
      </c>
      <c r="W1493" s="2" t="s">
        <v>155</v>
      </c>
      <c r="X1493" s="2" t="s">
        <v>147</v>
      </c>
      <c r="Y1493" s="2">
        <v>42.9</v>
      </c>
      <c r="Z1493" s="2">
        <v>25.7</v>
      </c>
      <c r="AA1493" s="2" t="s">
        <v>379</v>
      </c>
      <c r="AB1493" s="2" t="s">
        <v>10264</v>
      </c>
      <c r="AC1493" s="2">
        <v>0.51335951109732203</v>
      </c>
      <c r="AD1493" s="2"/>
      <c r="AE1493" s="2">
        <v>0.43230169313533301</v>
      </c>
      <c r="AF1493" s="2">
        <v>26659.678047206598</v>
      </c>
      <c r="AG1493" s="2">
        <v>20419.152111144602</v>
      </c>
      <c r="AH1493" s="5">
        <v>1.3056212080743499</v>
      </c>
      <c r="AI1493" s="5">
        <v>0.38473639726824099</v>
      </c>
      <c r="AJ1493" s="5" t="s">
        <v>139</v>
      </c>
      <c r="AK1493" s="2">
        <v>0.283052198352023</v>
      </c>
      <c r="AL1493" s="2">
        <v>0.60000138164408201</v>
      </c>
      <c r="AM1493" s="2">
        <v>49069.284223082897</v>
      </c>
      <c r="AN1493" s="2">
        <v>23340.894544284401</v>
      </c>
      <c r="AO1493" s="2">
        <v>19721.233005980601</v>
      </c>
      <c r="AP1493" s="2">
        <v>18788.4096584994</v>
      </c>
      <c r="AQ1493" s="2">
        <v>22130.921505941202</v>
      </c>
      <c r="AR1493" s="2">
        <v>26907.325345451402</v>
      </c>
      <c r="AS1493" s="2">
        <v>13750.7982713807</v>
      </c>
      <c r="AT1493" s="2">
        <v>12079.587624771701</v>
      </c>
      <c r="AU1493" s="2">
        <v>25380.158057106</v>
      </c>
      <c r="AV1493" s="2">
        <v>29633.571515932599</v>
      </c>
      <c r="AW1493" s="2">
        <v>25307.015310447601</v>
      </c>
      <c r="AX1493" s="2">
        <v>16363.781887229299</v>
      </c>
    </row>
    <row r="1494" spans="1:50" x14ac:dyDescent="0.25">
      <c r="A1494" s="2" t="s">
        <v>10265</v>
      </c>
      <c r="B1494" s="2">
        <v>324.16771485781601</v>
      </c>
      <c r="C1494" s="2">
        <v>0.74113333333333298</v>
      </c>
      <c r="D1494" s="2" t="s">
        <v>51</v>
      </c>
      <c r="E1494" s="2" t="s">
        <v>10266</v>
      </c>
      <c r="F1494" s="2">
        <v>64911</v>
      </c>
      <c r="G1494" s="3" t="str">
        <f>HYPERLINK("https://cloud.oebiotech.com/#/lm/network/64911", "https://cloud.oebiotech.com/#/lm/network/64911")</f>
        <v>https://cloud.oebiotech.com/#/lm/network/64911</v>
      </c>
      <c r="H1494" s="2" t="s">
        <v>10267</v>
      </c>
      <c r="I1494" s="2">
        <v>96165</v>
      </c>
      <c r="J1494" s="2"/>
      <c r="K1494" s="2">
        <v>28329</v>
      </c>
      <c r="L1494" s="2"/>
      <c r="M1494" s="2"/>
      <c r="N1494" s="2"/>
      <c r="O1494" s="2"/>
      <c r="P1494" s="2"/>
      <c r="Q1494" s="2"/>
      <c r="R1494" s="2" t="s">
        <v>10268</v>
      </c>
      <c r="S1494" s="2" t="s">
        <v>10269</v>
      </c>
      <c r="T1494" s="2" t="s">
        <v>10270</v>
      </c>
      <c r="U1494" s="2" t="s">
        <v>266</v>
      </c>
      <c r="V1494" s="2" t="s">
        <v>2772</v>
      </c>
      <c r="W1494" s="2" t="s">
        <v>2773</v>
      </c>
      <c r="X1494" s="2" t="s">
        <v>147</v>
      </c>
      <c r="Y1494" s="2">
        <v>37.700000000000003</v>
      </c>
      <c r="Z1494" s="2">
        <v>0</v>
      </c>
      <c r="AA1494" s="2" t="s">
        <v>218</v>
      </c>
      <c r="AB1494" s="2" t="s">
        <v>10271</v>
      </c>
      <c r="AC1494" s="2">
        <v>-4.6383194535093E-2</v>
      </c>
      <c r="AD1494" s="2"/>
      <c r="AE1494" s="2">
        <v>0.43218168502062498</v>
      </c>
      <c r="AF1494" s="2">
        <v>8080.7433457353</v>
      </c>
      <c r="AG1494" s="2">
        <v>2571.9471095558401</v>
      </c>
      <c r="AH1494" s="5">
        <v>3.1418777297993499</v>
      </c>
      <c r="AI1494" s="5">
        <v>1.6516270373970801</v>
      </c>
      <c r="AJ1494" s="5" t="s">
        <v>139</v>
      </c>
      <c r="AK1494" s="2">
        <v>7.0212326378343307E-2</v>
      </c>
      <c r="AL1494" s="2">
        <v>0.34954547296639299</v>
      </c>
      <c r="AM1494" s="2">
        <v>12299.876370657399</v>
      </c>
      <c r="AN1494" s="2">
        <v>5711.5437846471996</v>
      </c>
      <c r="AO1494" s="2">
        <v>3908.6712487642299</v>
      </c>
      <c r="AP1494" s="2">
        <v>8.559877937157E-6</v>
      </c>
      <c r="AQ1494" s="2">
        <v>9445.16539830279</v>
      </c>
      <c r="AR1494" s="2">
        <v>17119.2032634803</v>
      </c>
      <c r="AS1494" s="2">
        <v>8.559877937157E-6</v>
      </c>
      <c r="AT1494" s="2">
        <v>1065.7627142096601</v>
      </c>
      <c r="AU1494" s="2">
        <v>3716.9941432874998</v>
      </c>
      <c r="AV1494" s="2">
        <v>5479.5633134151803</v>
      </c>
      <c r="AW1494" s="2">
        <v>8.559877937157E-6</v>
      </c>
      <c r="AX1494" s="2">
        <v>5169.3624693029597</v>
      </c>
    </row>
    <row r="1495" spans="1:50" x14ac:dyDescent="0.25">
      <c r="A1495" s="2" t="s">
        <v>10272</v>
      </c>
      <c r="B1495" s="2">
        <v>509.00557221465999</v>
      </c>
      <c r="C1495" s="2">
        <v>14.9279166666667</v>
      </c>
      <c r="D1495" s="2" t="s">
        <v>51</v>
      </c>
      <c r="E1495" s="2" t="s">
        <v>10273</v>
      </c>
      <c r="F1495" s="2">
        <v>202458</v>
      </c>
      <c r="G1495" s="3" t="str">
        <f>HYPERLINK("https://cloud.oebiotech.com/#/lm/network/202458", "https://cloud.oebiotech.com/#/lm/network/202458")</f>
        <v>https://cloud.oebiotech.com/#/lm/network/202458</v>
      </c>
      <c r="H1495" s="2" t="s">
        <v>10274</v>
      </c>
      <c r="I1495" s="2"/>
      <c r="J1495" s="2"/>
      <c r="K1495" s="2"/>
      <c r="L1495" s="2"/>
      <c r="M1495" s="2"/>
      <c r="N1495" s="2"/>
      <c r="O1495" s="2">
        <v>63919</v>
      </c>
      <c r="P1495" s="2"/>
      <c r="Q1495" s="2"/>
      <c r="R1495" s="2"/>
      <c r="S1495" s="2" t="s">
        <v>10275</v>
      </c>
      <c r="T1495" s="2" t="s">
        <v>10276</v>
      </c>
      <c r="U1495" s="2" t="s">
        <v>1357</v>
      </c>
      <c r="V1495" s="2" t="s">
        <v>4878</v>
      </c>
      <c r="W1495" s="2" t="s">
        <v>4879</v>
      </c>
      <c r="X1495" s="2" t="s">
        <v>147</v>
      </c>
      <c r="Y1495" s="2">
        <v>43.6</v>
      </c>
      <c r="Z1495" s="2">
        <v>23.3</v>
      </c>
      <c r="AA1495" s="2" t="s">
        <v>218</v>
      </c>
      <c r="AB1495" s="2" t="s">
        <v>10277</v>
      </c>
      <c r="AC1495" s="2">
        <v>1.02331399771681</v>
      </c>
      <c r="AD1495" s="2"/>
      <c r="AE1495" s="2">
        <v>0.43187839042931803</v>
      </c>
      <c r="AF1495" s="2">
        <v>13841.768105810699</v>
      </c>
      <c r="AG1495" s="2">
        <v>17722.750520195001</v>
      </c>
      <c r="AH1495" s="4">
        <v>0.78101692454780502</v>
      </c>
      <c r="AI1495" s="4">
        <v>-0.35657428314414102</v>
      </c>
      <c r="AJ1495" s="4" t="s">
        <v>62</v>
      </c>
      <c r="AK1495" s="2">
        <v>4.6958648185116397E-3</v>
      </c>
      <c r="AL1495" s="2">
        <v>0.12174388396289799</v>
      </c>
      <c r="AM1495" s="2">
        <v>11095.5190533901</v>
      </c>
      <c r="AN1495" s="2">
        <v>13920.079841409501</v>
      </c>
      <c r="AO1495" s="2">
        <v>13000.3414000509</v>
      </c>
      <c r="AP1495" s="2">
        <v>14248.6885150486</v>
      </c>
      <c r="AQ1495" s="2">
        <v>16597.818629474299</v>
      </c>
      <c r="AR1495" s="2">
        <v>14188.1611954909</v>
      </c>
      <c r="AS1495" s="2">
        <v>19835.096571836999</v>
      </c>
      <c r="AT1495" s="2">
        <v>20186.926255714501</v>
      </c>
      <c r="AU1495" s="2">
        <v>15366.8698261304</v>
      </c>
      <c r="AV1495" s="2">
        <v>17542.353629973899</v>
      </c>
      <c r="AW1495" s="2">
        <v>16986.527014745501</v>
      </c>
      <c r="AX1495" s="2">
        <v>16418.729822768699</v>
      </c>
    </row>
    <row r="1496" spans="1:50" x14ac:dyDescent="0.25">
      <c r="A1496" s="2" t="s">
        <v>10278</v>
      </c>
      <c r="B1496" s="2">
        <v>339.25411278575802</v>
      </c>
      <c r="C1496" s="2">
        <v>11.1923833333333</v>
      </c>
      <c r="D1496" s="2" t="s">
        <v>51</v>
      </c>
      <c r="E1496" s="2" t="s">
        <v>10279</v>
      </c>
      <c r="F1496" s="2">
        <v>2266</v>
      </c>
      <c r="G1496" s="3" t="str">
        <f>HYPERLINK("https://cloud.oebiotech.com/#/lm/network/2266", "https://cloud.oebiotech.com/#/lm/network/2266")</f>
        <v>https://cloud.oebiotech.com/#/lm/network/2266</v>
      </c>
      <c r="H1496" s="2"/>
      <c r="I1496" s="2">
        <v>74814</v>
      </c>
      <c r="J1496" s="2" t="s">
        <v>10280</v>
      </c>
      <c r="K1496" s="2">
        <v>5283023</v>
      </c>
      <c r="L1496" s="2"/>
      <c r="M1496" s="2"/>
      <c r="N1496" s="2"/>
      <c r="O1496" s="2"/>
      <c r="P1496" s="2"/>
      <c r="Q1496" s="2"/>
      <c r="R1496" s="2"/>
      <c r="S1496" s="2" t="s">
        <v>10281</v>
      </c>
      <c r="T1496" s="2" t="s">
        <v>10282</v>
      </c>
      <c r="U1496" s="2" t="s">
        <v>56</v>
      </c>
      <c r="V1496" s="2" t="s">
        <v>145</v>
      </c>
      <c r="W1496" s="2" t="s">
        <v>231</v>
      </c>
      <c r="X1496" s="2" t="s">
        <v>69</v>
      </c>
      <c r="Y1496" s="2">
        <v>54.7</v>
      </c>
      <c r="Z1496" s="2">
        <v>61.6</v>
      </c>
      <c r="AA1496" s="2" t="s">
        <v>379</v>
      </c>
      <c r="AB1496" s="2" t="s">
        <v>10283</v>
      </c>
      <c r="AC1496" s="2">
        <v>8.2588937548598307E-2</v>
      </c>
      <c r="AD1496" s="2"/>
      <c r="AE1496" s="2">
        <v>0.43167307764359097</v>
      </c>
      <c r="AF1496" s="2">
        <v>19886.800287846399</v>
      </c>
      <c r="AG1496" s="2">
        <v>13422.4252819143</v>
      </c>
      <c r="AH1496" s="5">
        <v>1.48161005706191</v>
      </c>
      <c r="AI1496" s="5">
        <v>0.56716579665362299</v>
      </c>
      <c r="AJ1496" s="5" t="s">
        <v>139</v>
      </c>
      <c r="AK1496" s="2">
        <v>7.2009792233674194E-2</v>
      </c>
      <c r="AL1496" s="2">
        <v>0.353616324641293</v>
      </c>
      <c r="AM1496" s="2">
        <v>13639.8268737501</v>
      </c>
      <c r="AN1496" s="2">
        <v>24100.651370507199</v>
      </c>
      <c r="AO1496" s="2">
        <v>31222.685950900799</v>
      </c>
      <c r="AP1496" s="2">
        <v>24130.665315815899</v>
      </c>
      <c r="AQ1496" s="2">
        <v>12114.785978975</v>
      </c>
      <c r="AR1496" s="2">
        <v>14112.186237129399</v>
      </c>
      <c r="AS1496" s="2">
        <v>14208.9883849506</v>
      </c>
      <c r="AT1496" s="2">
        <v>13462.2831865305</v>
      </c>
      <c r="AU1496" s="2">
        <v>13375.909821847101</v>
      </c>
      <c r="AV1496" s="2">
        <v>13366.866702523699</v>
      </c>
      <c r="AW1496" s="2">
        <v>10616.3576846327</v>
      </c>
      <c r="AX1496" s="2">
        <v>15504.1459110015</v>
      </c>
    </row>
    <row r="1497" spans="1:50" x14ac:dyDescent="0.25">
      <c r="A1497" s="2" t="s">
        <v>10284</v>
      </c>
      <c r="B1497" s="2">
        <v>553.27878892400702</v>
      </c>
      <c r="C1497" s="2">
        <v>5.2635500000000004</v>
      </c>
      <c r="D1497" s="2" t="s">
        <v>51</v>
      </c>
      <c r="E1497" s="2" t="s">
        <v>10285</v>
      </c>
      <c r="F1497" s="2">
        <v>57814</v>
      </c>
      <c r="G1497" s="3" t="str">
        <f>HYPERLINK("https://cloud.oebiotech.com/#/lm/network/57814", "https://cloud.oebiotech.com/#/lm/network/57814")</f>
        <v>https://cloud.oebiotech.com/#/lm/network/57814</v>
      </c>
      <c r="H1497" s="2" t="s">
        <v>10286</v>
      </c>
      <c r="I1497" s="2">
        <v>89402</v>
      </c>
      <c r="J1497" s="2"/>
      <c r="K1497" s="2">
        <v>85210698</v>
      </c>
      <c r="L1497" s="2"/>
      <c r="M1497" s="2"/>
      <c r="N1497" s="2"/>
      <c r="O1497" s="2">
        <v>170134</v>
      </c>
      <c r="P1497" s="2"/>
      <c r="Q1497" s="2"/>
      <c r="R1497" s="2" t="s">
        <v>10287</v>
      </c>
      <c r="S1497" s="2" t="s">
        <v>10288</v>
      </c>
      <c r="T1497" s="2" t="s">
        <v>10289</v>
      </c>
      <c r="U1497" s="2" t="s">
        <v>103</v>
      </c>
      <c r="V1497" s="2" t="s">
        <v>104</v>
      </c>
      <c r="W1497" s="2" t="s">
        <v>105</v>
      </c>
      <c r="X1497" s="2" t="s">
        <v>147</v>
      </c>
      <c r="Y1497" s="2">
        <v>40.9</v>
      </c>
      <c r="Z1497" s="2">
        <v>12.5</v>
      </c>
      <c r="AA1497" s="2" t="s">
        <v>122</v>
      </c>
      <c r="AB1497" s="2" t="s">
        <v>10290</v>
      </c>
      <c r="AC1497" s="2">
        <v>-2.1287717676561398E-2</v>
      </c>
      <c r="AD1497" s="2"/>
      <c r="AE1497" s="2">
        <v>0.43159389389585101</v>
      </c>
      <c r="AF1497" s="2">
        <v>3938.67514401484</v>
      </c>
      <c r="AG1497" s="2">
        <v>339.59383464304602</v>
      </c>
      <c r="AH1497" s="5">
        <v>11.5981939075981</v>
      </c>
      <c r="AI1497" s="5">
        <v>3.53582825856618</v>
      </c>
      <c r="AJ1497" s="5" t="s">
        <v>139</v>
      </c>
      <c r="AK1497" s="2">
        <v>3.3487432602694701E-4</v>
      </c>
      <c r="AL1497" s="2">
        <v>5.3199942447790097E-2</v>
      </c>
      <c r="AM1497" s="2">
        <v>3816.8783571122099</v>
      </c>
      <c r="AN1497" s="2">
        <v>3758.0826465088498</v>
      </c>
      <c r="AO1497" s="2">
        <v>5298.25298017159</v>
      </c>
      <c r="AP1497" s="2">
        <v>1082.2227999778399</v>
      </c>
      <c r="AQ1497" s="2">
        <v>4092.6863577720401</v>
      </c>
      <c r="AR1497" s="2">
        <v>5583.9277225464903</v>
      </c>
      <c r="AS1497" s="2">
        <v>769.93418760074996</v>
      </c>
      <c r="AT1497" s="2">
        <v>310.230904736291</v>
      </c>
      <c r="AU1497" s="2">
        <v>957.39788984159998</v>
      </c>
      <c r="AV1497" s="2">
        <v>8.559877937157E-6</v>
      </c>
      <c r="AW1497" s="2">
        <v>8.559877937157E-6</v>
      </c>
      <c r="AX1497" s="2">
        <v>8.559877937157E-6</v>
      </c>
    </row>
    <row r="1498" spans="1:50" x14ac:dyDescent="0.25">
      <c r="A1498" s="2" t="s">
        <v>10291</v>
      </c>
      <c r="B1498" s="2">
        <v>373.21182648701898</v>
      </c>
      <c r="C1498" s="2">
        <v>12.332233333333299</v>
      </c>
      <c r="D1498" s="2" t="s">
        <v>51</v>
      </c>
      <c r="E1498" s="2" t="s">
        <v>10292</v>
      </c>
      <c r="F1498" s="2">
        <v>204388</v>
      </c>
      <c r="G1498" s="3" t="str">
        <f>HYPERLINK("https://cloud.oebiotech.com/#/lm/network/204388", "https://cloud.oebiotech.com/#/lm/network/204388")</f>
        <v>https://cloud.oebiotech.com/#/lm/network/204388</v>
      </c>
      <c r="H1498" s="2" t="s">
        <v>10293</v>
      </c>
      <c r="I1498" s="2">
        <v>1403</v>
      </c>
      <c r="J1498" s="2"/>
      <c r="K1498" s="2">
        <v>2472</v>
      </c>
      <c r="L1498" s="2"/>
      <c r="M1498" s="2"/>
      <c r="N1498" s="2"/>
      <c r="O1498" s="2"/>
      <c r="P1498" s="2"/>
      <c r="Q1498" s="2"/>
      <c r="R1498" s="2" t="s">
        <v>10294</v>
      </c>
      <c r="S1498" s="2" t="s">
        <v>10295</v>
      </c>
      <c r="T1498" s="2" t="s">
        <v>10296</v>
      </c>
      <c r="U1498" s="2" t="s">
        <v>266</v>
      </c>
      <c r="V1498" s="2" t="s">
        <v>6667</v>
      </c>
      <c r="W1498" s="2" t="s">
        <v>6668</v>
      </c>
      <c r="X1498" s="2" t="s">
        <v>147</v>
      </c>
      <c r="Y1498" s="2">
        <v>39.1</v>
      </c>
      <c r="Z1498" s="2">
        <v>2.33</v>
      </c>
      <c r="AA1498" s="2" t="s">
        <v>122</v>
      </c>
      <c r="AB1498" s="2" t="s">
        <v>10297</v>
      </c>
      <c r="AC1498" s="2">
        <v>1.16994942129597</v>
      </c>
      <c r="AD1498" s="2"/>
      <c r="AE1498" s="2">
        <v>0.43134858937536602</v>
      </c>
      <c r="AF1498" s="2">
        <v>7285.3544220740596</v>
      </c>
      <c r="AG1498" s="2">
        <v>14083.9729717556</v>
      </c>
      <c r="AH1498" s="4">
        <v>0.51727977870195596</v>
      </c>
      <c r="AI1498" s="4">
        <v>-0.950983299511581</v>
      </c>
      <c r="AJ1498" s="4" t="s">
        <v>62</v>
      </c>
      <c r="AK1498" s="2">
        <v>0.123102716821786</v>
      </c>
      <c r="AL1498" s="2">
        <v>0.44054299564251997</v>
      </c>
      <c r="AM1498" s="2">
        <v>15241.538240289199</v>
      </c>
      <c r="AN1498" s="2">
        <v>3456.80277155165</v>
      </c>
      <c r="AO1498" s="2">
        <v>6653.4519018065403</v>
      </c>
      <c r="AP1498" s="2">
        <v>6678.8336257915598</v>
      </c>
      <c r="AQ1498" s="2">
        <v>6397.8538003170997</v>
      </c>
      <c r="AR1498" s="2">
        <v>5283.6461926883003</v>
      </c>
      <c r="AS1498" s="2">
        <v>5635.0257479000302</v>
      </c>
      <c r="AT1498" s="2">
        <v>6145.8720910469001</v>
      </c>
      <c r="AU1498" s="2">
        <v>9380.3240425536096</v>
      </c>
      <c r="AV1498" s="2">
        <v>13220.8576830358</v>
      </c>
      <c r="AW1498" s="2">
        <v>26963.302189746199</v>
      </c>
      <c r="AX1498" s="2">
        <v>23158.456076250899</v>
      </c>
    </row>
    <row r="1499" spans="1:50" x14ac:dyDescent="0.25">
      <c r="A1499" s="2" t="s">
        <v>10298</v>
      </c>
      <c r="B1499" s="2">
        <v>297.24349429460301</v>
      </c>
      <c r="C1499" s="2">
        <v>11.9894</v>
      </c>
      <c r="D1499" s="2" t="s">
        <v>51</v>
      </c>
      <c r="E1499" s="2" t="s">
        <v>10299</v>
      </c>
      <c r="F1499" s="2">
        <v>1893</v>
      </c>
      <c r="G1499" s="3" t="str">
        <f>HYPERLINK("https://cloud.oebiotech.com/#/lm/network/1893", "https://cloud.oebiotech.com/#/lm/network/1893")</f>
        <v>https://cloud.oebiotech.com/#/lm/network/1893</v>
      </c>
      <c r="H1499" s="2"/>
      <c r="I1499" s="2">
        <v>96772</v>
      </c>
      <c r="J1499" s="2" t="s">
        <v>10300</v>
      </c>
      <c r="K1499" s="2">
        <v>44256501</v>
      </c>
      <c r="L1499" s="2"/>
      <c r="M1499" s="2"/>
      <c r="N1499" s="2"/>
      <c r="O1499" s="2"/>
      <c r="P1499" s="2"/>
      <c r="Q1499" s="2"/>
      <c r="R1499" s="2"/>
      <c r="S1499" s="2" t="s">
        <v>10301</v>
      </c>
      <c r="T1499" s="2" t="s">
        <v>10302</v>
      </c>
      <c r="U1499" s="2" t="s">
        <v>56</v>
      </c>
      <c r="V1499" s="2" t="s">
        <v>145</v>
      </c>
      <c r="W1499" s="2" t="s">
        <v>231</v>
      </c>
      <c r="X1499" s="2" t="s">
        <v>83</v>
      </c>
      <c r="Y1499" s="2">
        <v>43.6</v>
      </c>
      <c r="Z1499" s="2">
        <v>0</v>
      </c>
      <c r="AA1499" s="2" t="s">
        <v>163</v>
      </c>
      <c r="AB1499" s="2" t="s">
        <v>8747</v>
      </c>
      <c r="AC1499" s="2">
        <v>-8.1215063612931196E-2</v>
      </c>
      <c r="AD1499" s="2"/>
      <c r="AE1499" s="2">
        <v>0.431152296644781</v>
      </c>
      <c r="AF1499" s="2">
        <v>32616.586237186199</v>
      </c>
      <c r="AG1499" s="2">
        <v>27555.6502256883</v>
      </c>
      <c r="AH1499" s="5">
        <v>1.1836623694250501</v>
      </c>
      <c r="AI1499" s="5">
        <v>0.243257621997271</v>
      </c>
      <c r="AJ1499" s="5" t="s">
        <v>139</v>
      </c>
      <c r="AK1499" s="2">
        <v>4.27047661766769E-2</v>
      </c>
      <c r="AL1499" s="2">
        <v>0.29432048957002199</v>
      </c>
      <c r="AM1499" s="2">
        <v>36025.512897300803</v>
      </c>
      <c r="AN1499" s="2">
        <v>30722.600089998399</v>
      </c>
      <c r="AO1499" s="2">
        <v>28105.485831514001</v>
      </c>
      <c r="AP1499" s="2">
        <v>32512.8560489679</v>
      </c>
      <c r="AQ1499" s="2">
        <v>33607.6475943076</v>
      </c>
      <c r="AR1499" s="2">
        <v>34725.414961028197</v>
      </c>
      <c r="AS1499" s="2">
        <v>25718.491494597802</v>
      </c>
      <c r="AT1499" s="2">
        <v>25925.2853692155</v>
      </c>
      <c r="AU1499" s="2">
        <v>32744.689788874301</v>
      </c>
      <c r="AV1499" s="2">
        <v>20764.3746561976</v>
      </c>
      <c r="AW1499" s="2">
        <v>32294.517922659099</v>
      </c>
      <c r="AX1499" s="2">
        <v>27886.542122585401</v>
      </c>
    </row>
    <row r="1500" spans="1:50" x14ac:dyDescent="0.25">
      <c r="A1500" s="2" t="s">
        <v>10303</v>
      </c>
      <c r="B1500" s="2">
        <v>207.040556732493</v>
      </c>
      <c r="C1500" s="2">
        <v>4.6849833333333297</v>
      </c>
      <c r="D1500" s="2" t="s">
        <v>51</v>
      </c>
      <c r="E1500" s="2" t="s">
        <v>10304</v>
      </c>
      <c r="F1500" s="2">
        <v>199845</v>
      </c>
      <c r="G1500" s="3" t="str">
        <f>HYPERLINK("https://cloud.oebiotech.com/#/lm/network/199845", "https://cloud.oebiotech.com/#/lm/network/199845")</f>
        <v>https://cloud.oebiotech.com/#/lm/network/199845</v>
      </c>
      <c r="H1500" s="2" t="s">
        <v>10305</v>
      </c>
      <c r="I1500" s="2"/>
      <c r="J1500" s="2"/>
      <c r="K1500" s="2">
        <v>21121227</v>
      </c>
      <c r="L1500" s="2"/>
      <c r="M1500" s="2"/>
      <c r="N1500" s="2"/>
      <c r="O1500" s="2"/>
      <c r="P1500" s="2"/>
      <c r="Q1500" s="2"/>
      <c r="R1500" s="2"/>
      <c r="S1500" s="2" t="s">
        <v>10306</v>
      </c>
      <c r="T1500" s="2" t="s">
        <v>10307</v>
      </c>
      <c r="U1500" s="2" t="s">
        <v>266</v>
      </c>
      <c r="V1500" s="2" t="s">
        <v>10308</v>
      </c>
      <c r="W1500" s="2" t="s">
        <v>10309</v>
      </c>
      <c r="X1500" s="2" t="s">
        <v>147</v>
      </c>
      <c r="Y1500" s="2">
        <v>40.799999999999997</v>
      </c>
      <c r="Z1500" s="2">
        <v>10.3</v>
      </c>
      <c r="AA1500" s="2" t="s">
        <v>379</v>
      </c>
      <c r="AB1500" s="2" t="s">
        <v>10310</v>
      </c>
      <c r="AC1500" s="2">
        <v>-2.53728309570125</v>
      </c>
      <c r="AD1500" s="2"/>
      <c r="AE1500" s="2">
        <v>0.43076086857705498</v>
      </c>
      <c r="AF1500" s="2">
        <v>880.42215684360099</v>
      </c>
      <c r="AG1500" s="2">
        <v>20876.207979664799</v>
      </c>
      <c r="AH1500" s="4">
        <v>4.2173471240620403E-2</v>
      </c>
      <c r="AI1500" s="4">
        <v>-4.5675204170188399</v>
      </c>
      <c r="AJ1500" s="4" t="s">
        <v>62</v>
      </c>
      <c r="AK1500" s="2">
        <v>0.35755741629318599</v>
      </c>
      <c r="AL1500" s="2">
        <v>0.64449606579735297</v>
      </c>
      <c r="AM1500" s="2">
        <v>8.559877937157E-6</v>
      </c>
      <c r="AN1500" s="2">
        <v>757.50860822316599</v>
      </c>
      <c r="AO1500" s="2">
        <v>4525.0242985989298</v>
      </c>
      <c r="AP1500" s="2">
        <v>8.559877937157E-6</v>
      </c>
      <c r="AQ1500" s="2">
        <v>8.559877937157E-6</v>
      </c>
      <c r="AR1500" s="2">
        <v>8.559877937157E-6</v>
      </c>
      <c r="AS1500" s="2">
        <v>8.559877937157E-6</v>
      </c>
      <c r="AT1500" s="2">
        <v>8.559877937157E-6</v>
      </c>
      <c r="AU1500" s="2">
        <v>124471.089448845</v>
      </c>
      <c r="AV1500" s="2">
        <v>786.15839490404596</v>
      </c>
      <c r="AW1500" s="2">
        <v>8.559877937157E-6</v>
      </c>
      <c r="AX1500" s="2">
        <v>8.559877937157E-6</v>
      </c>
    </row>
    <row r="1501" spans="1:50" x14ac:dyDescent="0.25">
      <c r="A1501" s="2" t="s">
        <v>10311</v>
      </c>
      <c r="B1501" s="2">
        <v>270.24359768003899</v>
      </c>
      <c r="C1501" s="2">
        <v>9.9705999999999992</v>
      </c>
      <c r="D1501" s="2" t="s">
        <v>51</v>
      </c>
      <c r="E1501" s="2" t="s">
        <v>10312</v>
      </c>
      <c r="F1501" s="2">
        <v>769</v>
      </c>
      <c r="G1501" s="3" t="str">
        <f>HYPERLINK("https://cloud.oebiotech.com/#/lm/network/769", "https://cloud.oebiotech.com/#/lm/network/769")</f>
        <v>https://cloud.oebiotech.com/#/lm/network/769</v>
      </c>
      <c r="H1501" s="2"/>
      <c r="I1501" s="2">
        <v>34938</v>
      </c>
      <c r="J1501" s="2" t="s">
        <v>10313</v>
      </c>
      <c r="K1501" s="2">
        <v>5312426</v>
      </c>
      <c r="L1501" s="2"/>
      <c r="M1501" s="2"/>
      <c r="N1501" s="2"/>
      <c r="O1501" s="2"/>
      <c r="P1501" s="2"/>
      <c r="Q1501" s="2"/>
      <c r="R1501" s="2"/>
      <c r="S1501" s="2" t="s">
        <v>10314</v>
      </c>
      <c r="T1501" s="2" t="s">
        <v>10315</v>
      </c>
      <c r="U1501" s="2" t="s">
        <v>56</v>
      </c>
      <c r="V1501" s="2" t="s">
        <v>145</v>
      </c>
      <c r="W1501" s="2" t="s">
        <v>231</v>
      </c>
      <c r="X1501" s="2" t="s">
        <v>59</v>
      </c>
      <c r="Y1501" s="2">
        <v>50.5</v>
      </c>
      <c r="Z1501" s="2">
        <v>61</v>
      </c>
      <c r="AA1501" s="2" t="s">
        <v>512</v>
      </c>
      <c r="AB1501" s="2" t="s">
        <v>10316</v>
      </c>
      <c r="AC1501" s="2">
        <v>3.33855331324428</v>
      </c>
      <c r="AD1501" s="2"/>
      <c r="AE1501" s="2">
        <v>0.430475556799499</v>
      </c>
      <c r="AF1501" s="2">
        <v>15039.6502125602</v>
      </c>
      <c r="AG1501" s="2">
        <v>4458.1765647566599</v>
      </c>
      <c r="AH1501" s="5">
        <v>3.3734981093960101</v>
      </c>
      <c r="AI1501" s="5">
        <v>1.75424535330991</v>
      </c>
      <c r="AJ1501" s="5" t="s">
        <v>139</v>
      </c>
      <c r="AK1501" s="2">
        <v>0.27011376901196998</v>
      </c>
      <c r="AL1501" s="2">
        <v>0.59023387803609295</v>
      </c>
      <c r="AM1501" s="2">
        <v>980.27331860756999</v>
      </c>
      <c r="AN1501" s="2">
        <v>300.29540126051899</v>
      </c>
      <c r="AO1501" s="2">
        <v>39188.900349805801</v>
      </c>
      <c r="AP1501" s="2">
        <v>1323.5636945546401</v>
      </c>
      <c r="AQ1501" s="2">
        <v>46447.949780142</v>
      </c>
      <c r="AR1501" s="2">
        <v>1996.9187309905601</v>
      </c>
      <c r="AS1501" s="2">
        <v>11286.9841879823</v>
      </c>
      <c r="AT1501" s="2">
        <v>1394.6247649332099</v>
      </c>
      <c r="AU1501" s="2">
        <v>10308.537061765601</v>
      </c>
      <c r="AV1501" s="2">
        <v>1898.43261661055</v>
      </c>
      <c r="AW1501" s="2">
        <v>1100.4022924451599</v>
      </c>
      <c r="AX1501" s="2">
        <v>760.07846480314402</v>
      </c>
    </row>
    <row r="1502" spans="1:50" x14ac:dyDescent="0.25">
      <c r="A1502" s="2" t="s">
        <v>10317</v>
      </c>
      <c r="B1502" s="2">
        <v>181.08644009393501</v>
      </c>
      <c r="C1502" s="2">
        <v>7.2403166666666703</v>
      </c>
      <c r="D1502" s="2" t="s">
        <v>51</v>
      </c>
      <c r="E1502" s="2" t="s">
        <v>10318</v>
      </c>
      <c r="F1502" s="2">
        <v>61134</v>
      </c>
      <c r="G1502" s="3" t="str">
        <f>HYPERLINK("https://cloud.oebiotech.com/#/lm/network/61134", "https://cloud.oebiotech.com/#/lm/network/61134")</f>
        <v>https://cloud.oebiotech.com/#/lm/network/61134</v>
      </c>
      <c r="H1502" s="2" t="s">
        <v>10319</v>
      </c>
      <c r="I1502" s="2">
        <v>92445</v>
      </c>
      <c r="J1502" s="2"/>
      <c r="K1502" s="2">
        <v>15715950</v>
      </c>
      <c r="L1502" s="2"/>
      <c r="M1502" s="2"/>
      <c r="N1502" s="2"/>
      <c r="O1502" s="2">
        <v>169848</v>
      </c>
      <c r="P1502" s="2"/>
      <c r="Q1502" s="2"/>
      <c r="R1502" s="2" t="s">
        <v>10320</v>
      </c>
      <c r="S1502" s="2" t="s">
        <v>10321</v>
      </c>
      <c r="T1502" s="2" t="s">
        <v>10322</v>
      </c>
      <c r="U1502" s="2" t="s">
        <v>331</v>
      </c>
      <c r="V1502" s="2" t="s">
        <v>332</v>
      </c>
      <c r="W1502" s="2" t="s">
        <v>1207</v>
      </c>
      <c r="X1502" s="2" t="s">
        <v>69</v>
      </c>
      <c r="Y1502" s="2">
        <v>77.7</v>
      </c>
      <c r="Z1502" s="2">
        <v>98.4</v>
      </c>
      <c r="AA1502" s="2" t="s">
        <v>259</v>
      </c>
      <c r="AB1502" s="2" t="s">
        <v>10323</v>
      </c>
      <c r="AC1502" s="2">
        <v>2.8843976314950801</v>
      </c>
      <c r="AD1502" s="2"/>
      <c r="AE1502" s="2">
        <v>0.42983119892763999</v>
      </c>
      <c r="AF1502" s="2">
        <v>30378.038833044</v>
      </c>
      <c r="AG1502" s="2">
        <v>43204.283581508898</v>
      </c>
      <c r="AH1502" s="4">
        <v>0.703125623544548</v>
      </c>
      <c r="AI1502" s="4">
        <v>-0.508145624261645</v>
      </c>
      <c r="AJ1502" s="4" t="s">
        <v>62</v>
      </c>
      <c r="AK1502" s="2">
        <v>0.42846168653753702</v>
      </c>
      <c r="AL1502" s="2">
        <v>0.68709503232720004</v>
      </c>
      <c r="AM1502" s="2">
        <v>54555.089843956499</v>
      </c>
      <c r="AN1502" s="2">
        <v>28838.165731675999</v>
      </c>
      <c r="AO1502" s="2">
        <v>16550.4530823737</v>
      </c>
      <c r="AP1502" s="2">
        <v>52114.833642888298</v>
      </c>
      <c r="AQ1502" s="2">
        <v>4725.0150093886004</v>
      </c>
      <c r="AR1502" s="2">
        <v>25484.6756879807</v>
      </c>
      <c r="AS1502" s="2">
        <v>95986.802599889998</v>
      </c>
      <c r="AT1502" s="2">
        <v>24982.950840289901</v>
      </c>
      <c r="AU1502" s="2">
        <v>52013.2674903796</v>
      </c>
      <c r="AV1502" s="2">
        <v>19911.836409661599</v>
      </c>
      <c r="AW1502" s="2">
        <v>59376.419591352402</v>
      </c>
      <c r="AX1502" s="2">
        <v>6954.4245574801898</v>
      </c>
    </row>
    <row r="1503" spans="1:50" x14ac:dyDescent="0.25">
      <c r="A1503" s="2" t="s">
        <v>10324</v>
      </c>
      <c r="B1503" s="2">
        <v>247.17004742278399</v>
      </c>
      <c r="C1503" s="2">
        <v>10.783149999999999</v>
      </c>
      <c r="D1503" s="2" t="s">
        <v>51</v>
      </c>
      <c r="E1503" s="2" t="s">
        <v>10325</v>
      </c>
      <c r="F1503" s="2">
        <v>2214</v>
      </c>
      <c r="G1503" s="3" t="str">
        <f>HYPERLINK("https://cloud.oebiotech.com/#/lm/network/2214", "https://cloud.oebiotech.com/#/lm/network/2214")</f>
        <v>https://cloud.oebiotech.com/#/lm/network/2214</v>
      </c>
      <c r="H1503" s="2"/>
      <c r="I1503" s="2"/>
      <c r="J1503" s="2" t="s">
        <v>10326</v>
      </c>
      <c r="K1503" s="2">
        <v>11425609</v>
      </c>
      <c r="L1503" s="2"/>
      <c r="M1503" s="2"/>
      <c r="N1503" s="2"/>
      <c r="O1503" s="2"/>
      <c r="P1503" s="2"/>
      <c r="Q1503" s="2"/>
      <c r="R1503" s="2"/>
      <c r="S1503" s="2" t="s">
        <v>10327</v>
      </c>
      <c r="T1503" s="2" t="s">
        <v>10328</v>
      </c>
      <c r="U1503" s="2" t="s">
        <v>56</v>
      </c>
      <c r="V1503" s="2" t="s">
        <v>145</v>
      </c>
      <c r="W1503" s="2" t="s">
        <v>231</v>
      </c>
      <c r="X1503" s="2" t="s">
        <v>83</v>
      </c>
      <c r="Y1503" s="2">
        <v>54.2</v>
      </c>
      <c r="Z1503" s="2">
        <v>0</v>
      </c>
      <c r="AA1503" s="2" t="s">
        <v>379</v>
      </c>
      <c r="AB1503" s="2" t="s">
        <v>10329</v>
      </c>
      <c r="AC1503" s="2">
        <v>-1.15012506994339</v>
      </c>
      <c r="AD1503" s="2"/>
      <c r="AE1503" s="2">
        <v>0.42977017038023002</v>
      </c>
      <c r="AF1503" s="2">
        <v>7618.7581413256303</v>
      </c>
      <c r="AG1503" s="2">
        <v>12682.776372386101</v>
      </c>
      <c r="AH1503" s="4">
        <v>0.60071690280006496</v>
      </c>
      <c r="AI1503" s="4">
        <v>-0.73524283631222498</v>
      </c>
      <c r="AJ1503" s="4" t="s">
        <v>62</v>
      </c>
      <c r="AK1503" s="2">
        <v>6.1730686486950299E-2</v>
      </c>
      <c r="AL1503" s="2">
        <v>0.33469870837719101</v>
      </c>
      <c r="AM1503" s="2">
        <v>9160.2471009339097</v>
      </c>
      <c r="AN1503" s="2">
        <v>5901.7316886606304</v>
      </c>
      <c r="AO1503" s="2">
        <v>5958.3602605740898</v>
      </c>
      <c r="AP1503" s="2">
        <v>8082.1131932856897</v>
      </c>
      <c r="AQ1503" s="2">
        <v>6335.1152095441403</v>
      </c>
      <c r="AR1503" s="2">
        <v>10274.981394955301</v>
      </c>
      <c r="AS1503" s="2">
        <v>6311.3523389717402</v>
      </c>
      <c r="AT1503" s="2">
        <v>6060.4395840243997</v>
      </c>
      <c r="AU1503" s="2">
        <v>13496.1106338063</v>
      </c>
      <c r="AV1503" s="2">
        <v>20409.773128998899</v>
      </c>
      <c r="AW1503" s="2">
        <v>15949.8622653614</v>
      </c>
      <c r="AX1503" s="2">
        <v>13869.120283153899</v>
      </c>
    </row>
    <row r="1504" spans="1:50" x14ac:dyDescent="0.25">
      <c r="A1504" s="2" t="s">
        <v>10330</v>
      </c>
      <c r="B1504" s="2">
        <v>838.560394601913</v>
      </c>
      <c r="C1504" s="2">
        <v>10.660450000000001</v>
      </c>
      <c r="D1504" s="2" t="s">
        <v>51</v>
      </c>
      <c r="E1504" s="2" t="s">
        <v>10331</v>
      </c>
      <c r="F1504" s="2">
        <v>49990</v>
      </c>
      <c r="G1504" s="3" t="str">
        <f>HYPERLINK("https://cloud.oebiotech.com/#/lm/network/49990", "https://cloud.oebiotech.com/#/lm/network/49990")</f>
        <v>https://cloud.oebiotech.com/#/lm/network/49990</v>
      </c>
      <c r="H1504" s="2" t="s">
        <v>10332</v>
      </c>
      <c r="I1504" s="2">
        <v>60431</v>
      </c>
      <c r="J1504" s="2"/>
      <c r="K1504" s="2">
        <v>53479612</v>
      </c>
      <c r="L1504" s="2" t="s">
        <v>254</v>
      </c>
      <c r="M1504" s="2" t="s">
        <v>255</v>
      </c>
      <c r="N1504" s="2" t="s">
        <v>256</v>
      </c>
      <c r="O1504" s="2"/>
      <c r="P1504" s="2"/>
      <c r="Q1504" s="2"/>
      <c r="R1504" s="2"/>
      <c r="S1504" s="2" t="s">
        <v>10333</v>
      </c>
      <c r="T1504" s="2" t="s">
        <v>10334</v>
      </c>
      <c r="U1504" s="2" t="s">
        <v>56</v>
      </c>
      <c r="V1504" s="2" t="s">
        <v>57</v>
      </c>
      <c r="W1504" s="2" t="s">
        <v>155</v>
      </c>
      <c r="X1504" s="2" t="s">
        <v>59</v>
      </c>
      <c r="Y1504" s="2">
        <v>52.9</v>
      </c>
      <c r="Z1504" s="2">
        <v>73.400000000000006</v>
      </c>
      <c r="AA1504" s="2" t="s">
        <v>218</v>
      </c>
      <c r="AB1504" s="2" t="s">
        <v>578</v>
      </c>
      <c r="AC1504" s="2">
        <v>4.6089689004001198E-2</v>
      </c>
      <c r="AD1504" s="2"/>
      <c r="AE1504" s="2">
        <v>0.42960429008338402</v>
      </c>
      <c r="AF1504" s="2">
        <v>30299.887060864901</v>
      </c>
      <c r="AG1504" s="2">
        <v>21210.1243263248</v>
      </c>
      <c r="AH1504" s="5">
        <v>1.42855773001096</v>
      </c>
      <c r="AI1504" s="5">
        <v>0.51455933877175497</v>
      </c>
      <c r="AJ1504" s="5" t="s">
        <v>139</v>
      </c>
      <c r="AK1504" s="2">
        <v>0.32766256043271302</v>
      </c>
      <c r="AL1504" s="2">
        <v>0.630373500093655</v>
      </c>
      <c r="AM1504" s="2">
        <v>58593.5505516509</v>
      </c>
      <c r="AN1504" s="2">
        <v>15928.508015100801</v>
      </c>
      <c r="AO1504" s="2">
        <v>24551.8870398689</v>
      </c>
      <c r="AP1504" s="2">
        <v>16814.852706150599</v>
      </c>
      <c r="AQ1504" s="2">
        <v>34609.013872821102</v>
      </c>
      <c r="AR1504" s="2">
        <v>31301.510179597099</v>
      </c>
      <c r="AS1504" s="2">
        <v>8422.9992570864997</v>
      </c>
      <c r="AT1504" s="2">
        <v>4944.0533922718296</v>
      </c>
      <c r="AU1504" s="2">
        <v>16751.480564140398</v>
      </c>
      <c r="AV1504" s="2">
        <v>36432.8385984259</v>
      </c>
      <c r="AW1504" s="2">
        <v>41576.339890573203</v>
      </c>
      <c r="AX1504" s="2">
        <v>19133.034255451101</v>
      </c>
    </row>
    <row r="1505" spans="1:50" x14ac:dyDescent="0.25">
      <c r="A1505" s="2" t="s">
        <v>10335</v>
      </c>
      <c r="B1505" s="2">
        <v>538.31533323434098</v>
      </c>
      <c r="C1505" s="2">
        <v>10.09835</v>
      </c>
      <c r="D1505" s="2" t="s">
        <v>51</v>
      </c>
      <c r="E1505" s="2" t="s">
        <v>10336</v>
      </c>
      <c r="F1505" s="2">
        <v>19832</v>
      </c>
      <c r="G1505" s="3" t="str">
        <f>HYPERLINK("https://cloud.oebiotech.com/#/lm/network/19832", "https://cloud.oebiotech.com/#/lm/network/19832")</f>
        <v>https://cloud.oebiotech.com/#/lm/network/19832</v>
      </c>
      <c r="H1505" s="2" t="s">
        <v>10337</v>
      </c>
      <c r="I1505" s="2">
        <v>40288</v>
      </c>
      <c r="J1505" s="2" t="s">
        <v>10338</v>
      </c>
      <c r="K1505" s="2">
        <v>24779461</v>
      </c>
      <c r="L1505" s="2" t="s">
        <v>691</v>
      </c>
      <c r="M1505" s="2" t="s">
        <v>692</v>
      </c>
      <c r="N1505" s="2" t="s">
        <v>693</v>
      </c>
      <c r="O1505" s="2">
        <v>73851</v>
      </c>
      <c r="P1505" s="2"/>
      <c r="Q1505" s="2"/>
      <c r="R1505" s="2" t="s">
        <v>10339</v>
      </c>
      <c r="S1505" s="2" t="s">
        <v>10340</v>
      </c>
      <c r="T1505" s="2" t="s">
        <v>10341</v>
      </c>
      <c r="U1505" s="2" t="s">
        <v>56</v>
      </c>
      <c r="V1505" s="2" t="s">
        <v>57</v>
      </c>
      <c r="W1505" s="2" t="s">
        <v>58</v>
      </c>
      <c r="X1505" s="2" t="s">
        <v>69</v>
      </c>
      <c r="Y1505" s="2">
        <v>71</v>
      </c>
      <c r="Z1505" s="2">
        <v>97.8</v>
      </c>
      <c r="AA1505" s="2" t="s">
        <v>218</v>
      </c>
      <c r="AB1505" s="2" t="s">
        <v>2074</v>
      </c>
      <c r="AC1505" s="2">
        <v>0.58958713353780701</v>
      </c>
      <c r="AD1505" s="2"/>
      <c r="AE1505" s="2">
        <v>0.42953440561587802</v>
      </c>
      <c r="AF1505" s="2">
        <v>943180.73939857201</v>
      </c>
      <c r="AG1505" s="2">
        <v>972883.74915580498</v>
      </c>
      <c r="AH1505" s="4">
        <v>0.96946910688660703</v>
      </c>
      <c r="AI1505" s="4">
        <v>-4.4733168759117002E-2</v>
      </c>
      <c r="AJ1505" s="4" t="s">
        <v>62</v>
      </c>
      <c r="AK1505" s="2">
        <v>0.899549706586666</v>
      </c>
      <c r="AL1505" s="2">
        <v>0.95813179189182596</v>
      </c>
      <c r="AM1505" s="2">
        <v>1036040.3563838199</v>
      </c>
      <c r="AN1505" s="2">
        <v>940155.44765719504</v>
      </c>
      <c r="AO1505" s="2">
        <v>810492.36218798603</v>
      </c>
      <c r="AP1505" s="2">
        <v>1052522.84619418</v>
      </c>
      <c r="AQ1505" s="2">
        <v>767054.69319996296</v>
      </c>
      <c r="AR1505" s="2">
        <v>1052818.7307682901</v>
      </c>
      <c r="AS1505" s="2">
        <v>459436.28040964401</v>
      </c>
      <c r="AT1505" s="2">
        <v>303370.89319312101</v>
      </c>
      <c r="AU1505" s="2">
        <v>1506539.58730261</v>
      </c>
      <c r="AV1505" s="2">
        <v>1613848.8785077001</v>
      </c>
      <c r="AW1505" s="2">
        <v>1189344.6015012499</v>
      </c>
      <c r="AX1505" s="2">
        <v>764762.25402050698</v>
      </c>
    </row>
    <row r="1506" spans="1:50" x14ac:dyDescent="0.25">
      <c r="A1506" s="2" t="s">
        <v>10342</v>
      </c>
      <c r="B1506" s="2">
        <v>145.133900361912</v>
      </c>
      <c r="C1506" s="2">
        <v>0.74455000000000005</v>
      </c>
      <c r="D1506" s="2" t="s">
        <v>51</v>
      </c>
      <c r="E1506" s="2" t="s">
        <v>10343</v>
      </c>
      <c r="F1506" s="2">
        <v>205399</v>
      </c>
      <c r="G1506" s="3" t="str">
        <f>HYPERLINK("https://cloud.oebiotech.com/#/lm/network/205399", "https://cloud.oebiotech.com/#/lm/network/205399")</f>
        <v>https://cloud.oebiotech.com/#/lm/network/205399</v>
      </c>
      <c r="H1506" s="2" t="s">
        <v>10344</v>
      </c>
      <c r="I1506" s="2">
        <v>342774</v>
      </c>
      <c r="J1506" s="2"/>
      <c r="K1506" s="2">
        <v>14283</v>
      </c>
      <c r="L1506" s="2"/>
      <c r="M1506" s="2"/>
      <c r="N1506" s="2"/>
      <c r="O1506" s="2"/>
      <c r="P1506" s="2"/>
      <c r="Q1506" s="2"/>
      <c r="R1506" s="2"/>
      <c r="S1506" s="2" t="s">
        <v>10345</v>
      </c>
      <c r="T1506" s="2" t="s">
        <v>10346</v>
      </c>
      <c r="U1506" s="2" t="s">
        <v>103</v>
      </c>
      <c r="V1506" s="2" t="s">
        <v>104</v>
      </c>
      <c r="W1506" s="2" t="s">
        <v>9173</v>
      </c>
      <c r="X1506" s="2" t="s">
        <v>147</v>
      </c>
      <c r="Y1506" s="2">
        <v>39.299999999999997</v>
      </c>
      <c r="Z1506" s="2">
        <v>3.44</v>
      </c>
      <c r="AA1506" s="2" t="s">
        <v>2589</v>
      </c>
      <c r="AB1506" s="2" t="s">
        <v>10347</v>
      </c>
      <c r="AC1506" s="2">
        <v>2.8386424342982401</v>
      </c>
      <c r="AD1506" s="2"/>
      <c r="AE1506" s="2">
        <v>0.42937668922418498</v>
      </c>
      <c r="AF1506" s="2">
        <v>28688.560861096801</v>
      </c>
      <c r="AG1506" s="2">
        <v>11749.995205761799</v>
      </c>
      <c r="AH1506" s="5">
        <v>2.4415806439673302</v>
      </c>
      <c r="AI1506" s="5">
        <v>1.2878154301278699</v>
      </c>
      <c r="AJ1506" s="5" t="s">
        <v>139</v>
      </c>
      <c r="AK1506" s="2">
        <v>0.41105382194155299</v>
      </c>
      <c r="AL1506" s="2">
        <v>0.67548655599718399</v>
      </c>
      <c r="AM1506" s="2">
        <v>3054.42679352915</v>
      </c>
      <c r="AN1506" s="2">
        <v>5901.00534539613</v>
      </c>
      <c r="AO1506" s="2">
        <v>4531.9143778827502</v>
      </c>
      <c r="AP1506" s="2">
        <v>2893.4671591589499</v>
      </c>
      <c r="AQ1506" s="2">
        <v>119184.571829202</v>
      </c>
      <c r="AR1506" s="2">
        <v>36565.979661411598</v>
      </c>
      <c r="AS1506" s="2">
        <v>3439.8873510242302</v>
      </c>
      <c r="AT1506" s="2">
        <v>5136.2195873861701</v>
      </c>
      <c r="AU1506" s="2">
        <v>39268.051030796203</v>
      </c>
      <c r="AV1506" s="2">
        <v>15547.927532061</v>
      </c>
      <c r="AW1506" s="2">
        <v>3281.7701988202598</v>
      </c>
      <c r="AX1506" s="2">
        <v>3826.1155344826502</v>
      </c>
    </row>
    <row r="1507" spans="1:50" x14ac:dyDescent="0.25">
      <c r="A1507" s="2" t="s">
        <v>10348</v>
      </c>
      <c r="B1507" s="2">
        <v>295.06002402270502</v>
      </c>
      <c r="C1507" s="2">
        <v>5.8543500000000002</v>
      </c>
      <c r="D1507" s="2" t="s">
        <v>51</v>
      </c>
      <c r="E1507" s="2" t="s">
        <v>10349</v>
      </c>
      <c r="F1507" s="2">
        <v>202291</v>
      </c>
      <c r="G1507" s="3" t="str">
        <f>HYPERLINK("https://cloud.oebiotech.com/#/lm/network/202291", "https://cloud.oebiotech.com/#/lm/network/202291")</f>
        <v>https://cloud.oebiotech.com/#/lm/network/202291</v>
      </c>
      <c r="H1507" s="2" t="s">
        <v>10350</v>
      </c>
      <c r="I1507" s="2">
        <v>318348</v>
      </c>
      <c r="J1507" s="2"/>
      <c r="K1507" s="2">
        <v>119411</v>
      </c>
      <c r="L1507" s="2"/>
      <c r="M1507" s="2"/>
      <c r="N1507" s="2"/>
      <c r="O1507" s="2">
        <v>63213</v>
      </c>
      <c r="P1507" s="2"/>
      <c r="Q1507" s="2"/>
      <c r="R1507" s="2"/>
      <c r="S1507" s="2" t="s">
        <v>10351</v>
      </c>
      <c r="T1507" s="2" t="s">
        <v>10352</v>
      </c>
      <c r="U1507" s="2" t="s">
        <v>103</v>
      </c>
      <c r="V1507" s="2" t="s">
        <v>104</v>
      </c>
      <c r="W1507" s="2" t="s">
        <v>1139</v>
      </c>
      <c r="X1507" s="2" t="s">
        <v>147</v>
      </c>
      <c r="Y1507" s="2">
        <v>45.4</v>
      </c>
      <c r="Z1507" s="2">
        <v>37.5</v>
      </c>
      <c r="AA1507" s="2" t="s">
        <v>218</v>
      </c>
      <c r="AB1507" s="2" t="s">
        <v>10353</v>
      </c>
      <c r="AC1507" s="2">
        <v>4.7841370315098697</v>
      </c>
      <c r="AD1507" s="2"/>
      <c r="AE1507" s="2">
        <v>0.42906163312092299</v>
      </c>
      <c r="AF1507" s="2">
        <v>9277.3248967921609</v>
      </c>
      <c r="AG1507" s="2">
        <v>13462.4908769708</v>
      </c>
      <c r="AH1507" s="4">
        <v>0.68912395050622699</v>
      </c>
      <c r="AI1507" s="4">
        <v>-0.53716459570591502</v>
      </c>
      <c r="AJ1507" s="4" t="s">
        <v>62</v>
      </c>
      <c r="AK1507" s="2">
        <v>2.8230441908701602E-3</v>
      </c>
      <c r="AL1507" s="2">
        <v>0.108131699104491</v>
      </c>
      <c r="AM1507" s="2">
        <v>7034.4123690648403</v>
      </c>
      <c r="AN1507" s="2">
        <v>11259.895295242301</v>
      </c>
      <c r="AO1507" s="2">
        <v>9530.7527658955405</v>
      </c>
      <c r="AP1507" s="2">
        <v>9079.7088271139091</v>
      </c>
      <c r="AQ1507" s="2">
        <v>8686.4010748287401</v>
      </c>
      <c r="AR1507" s="2">
        <v>10072.779048607599</v>
      </c>
      <c r="AS1507" s="2">
        <v>12421.2419661146</v>
      </c>
      <c r="AT1507" s="2">
        <v>16735.580739169</v>
      </c>
      <c r="AU1507" s="2">
        <v>10955.154472783101</v>
      </c>
      <c r="AV1507" s="2">
        <v>15530.1052573057</v>
      </c>
      <c r="AW1507" s="2">
        <v>12462.989114902201</v>
      </c>
      <c r="AX1507" s="2">
        <v>12669.873711550201</v>
      </c>
    </row>
    <row r="1508" spans="1:50" x14ac:dyDescent="0.25">
      <c r="A1508" s="2" t="s">
        <v>10354</v>
      </c>
      <c r="B1508" s="2">
        <v>389.19719123541898</v>
      </c>
      <c r="C1508" s="2">
        <v>6.2539666666666696</v>
      </c>
      <c r="D1508" s="2" t="s">
        <v>51</v>
      </c>
      <c r="E1508" s="2" t="s">
        <v>10355</v>
      </c>
      <c r="F1508" s="2">
        <v>45109</v>
      </c>
      <c r="G1508" s="3" t="str">
        <f>HYPERLINK("https://cloud.oebiotech.com/#/lm/network/45109", "https://cloud.oebiotech.com/#/lm/network/45109")</f>
        <v>https://cloud.oebiotech.com/#/lm/network/45109</v>
      </c>
      <c r="H1508" s="2"/>
      <c r="I1508" s="2"/>
      <c r="J1508" s="2" t="s">
        <v>10356</v>
      </c>
      <c r="K1508" s="2"/>
      <c r="L1508" s="2"/>
      <c r="M1508" s="2"/>
      <c r="N1508" s="2"/>
      <c r="O1508" s="2"/>
      <c r="P1508" s="2"/>
      <c r="Q1508" s="2"/>
      <c r="R1508" s="2"/>
      <c r="S1508" s="2" t="s">
        <v>10357</v>
      </c>
      <c r="T1508" s="2" t="s">
        <v>10358</v>
      </c>
      <c r="U1508" s="2" t="s">
        <v>56</v>
      </c>
      <c r="V1508" s="2" t="s">
        <v>283</v>
      </c>
      <c r="W1508" s="2" t="s">
        <v>3686</v>
      </c>
      <c r="X1508" s="2" t="s">
        <v>83</v>
      </c>
      <c r="Y1508" s="2">
        <v>42.3</v>
      </c>
      <c r="Z1508" s="2">
        <v>0</v>
      </c>
      <c r="AA1508" s="2" t="s">
        <v>218</v>
      </c>
      <c r="AB1508" s="2" t="s">
        <v>10359</v>
      </c>
      <c r="AC1508" s="2">
        <v>0.66528194099649296</v>
      </c>
      <c r="AD1508" s="2"/>
      <c r="AE1508" s="2">
        <v>0.42897633292576198</v>
      </c>
      <c r="AF1508" s="2">
        <v>10042.450713791301</v>
      </c>
      <c r="AG1508" s="2">
        <v>5269.8756356619597</v>
      </c>
      <c r="AH1508" s="5">
        <v>1.90563334091467</v>
      </c>
      <c r="AI1508" s="5">
        <v>0.93027055989288698</v>
      </c>
      <c r="AJ1508" s="5" t="s">
        <v>139</v>
      </c>
      <c r="AK1508" s="2">
        <v>0.124326089548011</v>
      </c>
      <c r="AL1508" s="2">
        <v>0.44128813217080598</v>
      </c>
      <c r="AM1508" s="2">
        <v>22803.593146049901</v>
      </c>
      <c r="AN1508" s="2">
        <v>7904.5118967184399</v>
      </c>
      <c r="AO1508" s="2">
        <v>6864.9896852074899</v>
      </c>
      <c r="AP1508" s="2">
        <v>10251.420372295701</v>
      </c>
      <c r="AQ1508" s="2">
        <v>4269.26091416687</v>
      </c>
      <c r="AR1508" s="2">
        <v>8160.9282683094098</v>
      </c>
      <c r="AS1508" s="2">
        <v>8413.4473727150707</v>
      </c>
      <c r="AT1508" s="2">
        <v>4850.6888416863303</v>
      </c>
      <c r="AU1508" s="2">
        <v>6101.9956919183396</v>
      </c>
      <c r="AV1508" s="2">
        <v>1410.2106641335999</v>
      </c>
      <c r="AW1508" s="2">
        <v>4272.8778916895699</v>
      </c>
      <c r="AX1508" s="2">
        <v>6570.0333518288598</v>
      </c>
    </row>
    <row r="1509" spans="1:50" x14ac:dyDescent="0.25">
      <c r="A1509" s="2" t="s">
        <v>10360</v>
      </c>
      <c r="B1509" s="2">
        <v>313.12257864658</v>
      </c>
      <c r="C1509" s="2">
        <v>2.00475</v>
      </c>
      <c r="D1509" s="2" t="s">
        <v>51</v>
      </c>
      <c r="E1509" s="2" t="s">
        <v>10361</v>
      </c>
      <c r="F1509" s="2">
        <v>54122</v>
      </c>
      <c r="G1509" s="3" t="str">
        <f>HYPERLINK("https://cloud.oebiotech.com/#/lm/network/54122", "https://cloud.oebiotech.com/#/lm/network/54122")</f>
        <v>https://cloud.oebiotech.com/#/lm/network/54122</v>
      </c>
      <c r="H1509" s="2" t="s">
        <v>10362</v>
      </c>
      <c r="I1509" s="2"/>
      <c r="J1509" s="2"/>
      <c r="K1509" s="2">
        <v>18218252</v>
      </c>
      <c r="L1509" s="2"/>
      <c r="M1509" s="2"/>
      <c r="N1509" s="2"/>
      <c r="O1509" s="2"/>
      <c r="P1509" s="2"/>
      <c r="Q1509" s="2"/>
      <c r="R1509" s="2"/>
      <c r="S1509" s="2" t="s">
        <v>10363</v>
      </c>
      <c r="T1509" s="2" t="s">
        <v>10364</v>
      </c>
      <c r="U1509" s="2" t="s">
        <v>103</v>
      </c>
      <c r="V1509" s="2" t="s">
        <v>104</v>
      </c>
      <c r="W1509" s="2" t="s">
        <v>105</v>
      </c>
      <c r="X1509" s="2" t="s">
        <v>147</v>
      </c>
      <c r="Y1509" s="2">
        <v>45.4</v>
      </c>
      <c r="Z1509" s="2">
        <v>39.9</v>
      </c>
      <c r="AA1509" s="2" t="s">
        <v>259</v>
      </c>
      <c r="AB1509" s="2" t="s">
        <v>10365</v>
      </c>
      <c r="AC1509" s="2">
        <v>2.9607265954811699</v>
      </c>
      <c r="AD1509" s="2"/>
      <c r="AE1509" s="2">
        <v>0.42882555696931202</v>
      </c>
      <c r="AF1509" s="2">
        <v>19537.1435030865</v>
      </c>
      <c r="AG1509" s="2">
        <v>13777.4933067007</v>
      </c>
      <c r="AH1509" s="5">
        <v>1.4180477586285301</v>
      </c>
      <c r="AI1509" s="5">
        <v>0.50390612212345498</v>
      </c>
      <c r="AJ1509" s="5" t="s">
        <v>139</v>
      </c>
      <c r="AK1509" s="2">
        <v>0.66710878124791895</v>
      </c>
      <c r="AL1509" s="2">
        <v>0.83893768995316498</v>
      </c>
      <c r="AM1509" s="2">
        <v>55765.470517138099</v>
      </c>
      <c r="AN1509" s="2">
        <v>17344.997716227499</v>
      </c>
      <c r="AO1509" s="2">
        <v>13434.4491958822</v>
      </c>
      <c r="AP1509" s="2">
        <v>10465.669705640499</v>
      </c>
      <c r="AQ1509" s="2">
        <v>8106.5685087603897</v>
      </c>
      <c r="AR1509" s="2">
        <v>12105.7053748705</v>
      </c>
      <c r="AS1509" s="2">
        <v>1684.3767107230999</v>
      </c>
      <c r="AT1509" s="2">
        <v>3468.5071314982101</v>
      </c>
      <c r="AU1509" s="2">
        <v>67291.370410355099</v>
      </c>
      <c r="AV1509" s="2">
        <v>3926.1699011695</v>
      </c>
      <c r="AW1509" s="2">
        <v>4921.5656892132401</v>
      </c>
      <c r="AX1509" s="2">
        <v>1372.9699972450601</v>
      </c>
    </row>
    <row r="1510" spans="1:50" x14ac:dyDescent="0.25">
      <c r="A1510" s="2" t="s">
        <v>10366</v>
      </c>
      <c r="B1510" s="2">
        <v>297.23391710745301</v>
      </c>
      <c r="C1510" s="2">
        <v>10.644133333333301</v>
      </c>
      <c r="D1510" s="2" t="s">
        <v>51</v>
      </c>
      <c r="E1510" s="2" t="s">
        <v>10367</v>
      </c>
      <c r="F1510" s="2">
        <v>295866</v>
      </c>
      <c r="G1510" s="3" t="str">
        <f>HYPERLINK("https://cloud.oebiotech.com/#/lm/network/295866", "https://cloud.oebiotech.com/#/lm/network/295866")</f>
        <v>https://cloud.oebiotech.com/#/lm/network/295866</v>
      </c>
      <c r="H1510" s="2"/>
      <c r="I1510" s="2">
        <v>320189</v>
      </c>
      <c r="J1510" s="2"/>
      <c r="K1510" s="2">
        <v>69861</v>
      </c>
      <c r="L1510" s="2"/>
      <c r="M1510" s="2"/>
      <c r="N1510" s="2"/>
      <c r="O1510" s="2"/>
      <c r="P1510" s="2"/>
      <c r="Q1510" s="2"/>
      <c r="R1510" s="2"/>
      <c r="S1510" s="2" t="s">
        <v>10368</v>
      </c>
      <c r="T1510" s="2" t="s">
        <v>10369</v>
      </c>
      <c r="U1510" s="2" t="s">
        <v>610</v>
      </c>
      <c r="V1510" s="2" t="s">
        <v>611</v>
      </c>
      <c r="W1510" s="2" t="s">
        <v>2744</v>
      </c>
      <c r="X1510" s="2" t="s">
        <v>147</v>
      </c>
      <c r="Y1510" s="2">
        <v>39</v>
      </c>
      <c r="Z1510" s="2">
        <v>0</v>
      </c>
      <c r="AA1510" s="2" t="s">
        <v>478</v>
      </c>
      <c r="AB1510" s="2" t="s">
        <v>10370</v>
      </c>
      <c r="AC1510" s="2">
        <v>0.98768396378100598</v>
      </c>
      <c r="AD1510" s="2"/>
      <c r="AE1510" s="2">
        <v>0.42821050337903899</v>
      </c>
      <c r="AF1510" s="2">
        <v>59786.183991933402</v>
      </c>
      <c r="AG1510" s="2">
        <v>51408.9149305217</v>
      </c>
      <c r="AH1510" s="5">
        <v>1.1629536253144701</v>
      </c>
      <c r="AI1510" s="5">
        <v>0.217793568124304</v>
      </c>
      <c r="AJ1510" s="5" t="s">
        <v>139</v>
      </c>
      <c r="AK1510" s="2">
        <v>0.537967297154469</v>
      </c>
      <c r="AL1510" s="2">
        <v>0.76438476096000296</v>
      </c>
      <c r="AM1510" s="2">
        <v>58421.1101641407</v>
      </c>
      <c r="AN1510" s="2">
        <v>70336.338354196501</v>
      </c>
      <c r="AO1510" s="2">
        <v>68962.827738797496</v>
      </c>
      <c r="AP1510" s="2">
        <v>29986.093223900702</v>
      </c>
      <c r="AQ1510" s="2">
        <v>58184.467441007699</v>
      </c>
      <c r="AR1510" s="2">
        <v>72826.267029557595</v>
      </c>
      <c r="AS1510" s="2">
        <v>35862.341056095698</v>
      </c>
      <c r="AT1510" s="2">
        <v>29769.177394378701</v>
      </c>
      <c r="AU1510" s="2">
        <v>106865.987027938</v>
      </c>
      <c r="AV1510" s="2">
        <v>49100.398500578704</v>
      </c>
      <c r="AW1510" s="2">
        <v>43098.425507109401</v>
      </c>
      <c r="AX1510" s="2">
        <v>43757.160097029497</v>
      </c>
    </row>
    <row r="1511" spans="1:50" x14ac:dyDescent="0.25">
      <c r="A1511" s="2" t="s">
        <v>10371</v>
      </c>
      <c r="B1511" s="2">
        <v>283.04112992118701</v>
      </c>
      <c r="C1511" s="2">
        <v>1.55508333333333</v>
      </c>
      <c r="D1511" s="2" t="s">
        <v>51</v>
      </c>
      <c r="E1511" s="2" t="s">
        <v>10372</v>
      </c>
      <c r="F1511" s="2">
        <v>256516</v>
      </c>
      <c r="G1511" s="3" t="str">
        <f>HYPERLINK("https://cloud.oebiotech.com/#/lm/network/256516", "https://cloud.oebiotech.com/#/lm/network/256516")</f>
        <v>https://cloud.oebiotech.com/#/lm/network/256516</v>
      </c>
      <c r="H1511" s="2" t="s">
        <v>10373</v>
      </c>
      <c r="I1511" s="2"/>
      <c r="J1511" s="2"/>
      <c r="K1511" s="2">
        <v>31367</v>
      </c>
      <c r="L1511" s="2"/>
      <c r="M1511" s="2"/>
      <c r="N1511" s="2"/>
      <c r="O1511" s="2"/>
      <c r="P1511" s="2"/>
      <c r="Q1511" s="2"/>
      <c r="R1511" s="2"/>
      <c r="S1511" s="2" t="s">
        <v>10374</v>
      </c>
      <c r="T1511" s="2" t="s">
        <v>10375</v>
      </c>
      <c r="U1511" s="2" t="s">
        <v>103</v>
      </c>
      <c r="V1511" s="2" t="s">
        <v>104</v>
      </c>
      <c r="W1511" s="2" t="s">
        <v>9173</v>
      </c>
      <c r="X1511" s="2" t="s">
        <v>147</v>
      </c>
      <c r="Y1511" s="2">
        <v>39.4</v>
      </c>
      <c r="Z1511" s="2">
        <v>0</v>
      </c>
      <c r="AA1511" s="2" t="s">
        <v>478</v>
      </c>
      <c r="AB1511" s="2" t="s">
        <v>10376</v>
      </c>
      <c r="AC1511" s="2">
        <v>1.35866539416198E-3</v>
      </c>
      <c r="AD1511" s="2"/>
      <c r="AE1511" s="2">
        <v>0.42796512492251598</v>
      </c>
      <c r="AF1511" s="2">
        <v>16806.540831332499</v>
      </c>
      <c r="AG1511" s="2">
        <v>10959.6340739562</v>
      </c>
      <c r="AH1511" s="5">
        <v>1.5334947059291399</v>
      </c>
      <c r="AI1511" s="5">
        <v>0.61682318600958896</v>
      </c>
      <c r="AJ1511" s="5" t="s">
        <v>139</v>
      </c>
      <c r="AK1511" s="2">
        <v>5.7842619157762599E-2</v>
      </c>
      <c r="AL1511" s="2">
        <v>0.32737047658688001</v>
      </c>
      <c r="AM1511" s="2">
        <v>21716.766584064899</v>
      </c>
      <c r="AN1511" s="2">
        <v>14135.608643649</v>
      </c>
      <c r="AO1511" s="2">
        <v>18698.393168860101</v>
      </c>
      <c r="AP1511" s="2">
        <v>25187.4811083682</v>
      </c>
      <c r="AQ1511" s="2">
        <v>8148.79331480564</v>
      </c>
      <c r="AR1511" s="2">
        <v>12952.2021682471</v>
      </c>
      <c r="AS1511" s="2">
        <v>8562.1611496884907</v>
      </c>
      <c r="AT1511" s="2">
        <v>8856.7155279497601</v>
      </c>
      <c r="AU1511" s="2">
        <v>11735.993920204501</v>
      </c>
      <c r="AV1511" s="2">
        <v>15068.510595928699</v>
      </c>
      <c r="AW1511" s="2">
        <v>10085.279997928899</v>
      </c>
      <c r="AX1511" s="2">
        <v>11449.143252037</v>
      </c>
    </row>
    <row r="1512" spans="1:50" x14ac:dyDescent="0.25">
      <c r="A1512" s="2" t="s">
        <v>10377</v>
      </c>
      <c r="B1512" s="2">
        <v>489.20849765908099</v>
      </c>
      <c r="C1512" s="2">
        <v>9.3782999999999994</v>
      </c>
      <c r="D1512" s="2" t="s">
        <v>51</v>
      </c>
      <c r="E1512" s="2" t="s">
        <v>10378</v>
      </c>
      <c r="F1512" s="2">
        <v>207255</v>
      </c>
      <c r="G1512" s="3" t="str">
        <f>HYPERLINK("https://cloud.oebiotech.com/#/lm/network/207255", "https://cloud.oebiotech.com/#/lm/network/207255")</f>
        <v>https://cloud.oebiotech.com/#/lm/network/207255</v>
      </c>
      <c r="H1512" s="2" t="s">
        <v>10379</v>
      </c>
      <c r="I1512" s="2"/>
      <c r="J1512" s="2"/>
      <c r="K1512" s="2">
        <v>3611371</v>
      </c>
      <c r="L1512" s="2"/>
      <c r="M1512" s="2"/>
      <c r="N1512" s="2"/>
      <c r="O1512" s="2"/>
      <c r="P1512" s="2"/>
      <c r="Q1512" s="2"/>
      <c r="R1512" s="2"/>
      <c r="S1512" s="2" t="s">
        <v>10380</v>
      </c>
      <c r="T1512" s="2" t="s">
        <v>10381</v>
      </c>
      <c r="U1512" s="2" t="s">
        <v>103</v>
      </c>
      <c r="V1512" s="2" t="s">
        <v>104</v>
      </c>
      <c r="W1512" s="2" t="s">
        <v>105</v>
      </c>
      <c r="X1512" s="2" t="s">
        <v>147</v>
      </c>
      <c r="Y1512" s="2">
        <v>39</v>
      </c>
      <c r="Z1512" s="2">
        <v>9.43</v>
      </c>
      <c r="AA1512" s="2" t="s">
        <v>163</v>
      </c>
      <c r="AB1512" s="2" t="s">
        <v>10382</v>
      </c>
      <c r="AC1512" s="2">
        <v>4.4868495191301196</v>
      </c>
      <c r="AD1512" s="2"/>
      <c r="AE1512" s="2">
        <v>0.42770905196782899</v>
      </c>
      <c r="AF1512" s="2">
        <v>8439.7130324055706</v>
      </c>
      <c r="AG1512" s="2">
        <v>4437.0643715624501</v>
      </c>
      <c r="AH1512" s="5">
        <v>1.9020938903876301</v>
      </c>
      <c r="AI1512" s="5">
        <v>0.92758846168397802</v>
      </c>
      <c r="AJ1512" s="5" t="s">
        <v>139</v>
      </c>
      <c r="AK1512" s="2">
        <v>4.2493703616153298E-4</v>
      </c>
      <c r="AL1512" s="2">
        <v>5.7808428828157503E-2</v>
      </c>
      <c r="AM1512" s="2">
        <v>7026.5265632689798</v>
      </c>
      <c r="AN1512" s="2">
        <v>9746.0309816092504</v>
      </c>
      <c r="AO1512" s="2">
        <v>9727.7431847551306</v>
      </c>
      <c r="AP1512" s="2">
        <v>7012.1059025104096</v>
      </c>
      <c r="AQ1512" s="2">
        <v>6958.6576397069402</v>
      </c>
      <c r="AR1512" s="2">
        <v>10167.2139225827</v>
      </c>
      <c r="AS1512" s="2">
        <v>5387.2734344517903</v>
      </c>
      <c r="AT1512" s="2">
        <v>2587.3763435524702</v>
      </c>
      <c r="AU1512" s="2">
        <v>5414.3200479307197</v>
      </c>
      <c r="AV1512" s="2">
        <v>4110.4941961411396</v>
      </c>
      <c r="AW1512" s="2">
        <v>4724.3200878712596</v>
      </c>
      <c r="AX1512" s="2">
        <v>4398.6021194273198</v>
      </c>
    </row>
    <row r="1513" spans="1:50" x14ac:dyDescent="0.25">
      <c r="A1513" s="2" t="s">
        <v>10383</v>
      </c>
      <c r="B1513" s="2">
        <v>425.363968216827</v>
      </c>
      <c r="C1513" s="2">
        <v>13.862733333333299</v>
      </c>
      <c r="D1513" s="2" t="s">
        <v>51</v>
      </c>
      <c r="E1513" s="2" t="s">
        <v>10384</v>
      </c>
      <c r="F1513" s="2">
        <v>2854</v>
      </c>
      <c r="G1513" s="3" t="str">
        <f>HYPERLINK("https://cloud.oebiotech.com/#/lm/network/2854", "https://cloud.oebiotech.com/#/lm/network/2854")</f>
        <v>https://cloud.oebiotech.com/#/lm/network/2854</v>
      </c>
      <c r="H1513" s="2"/>
      <c r="I1513" s="2">
        <v>35992</v>
      </c>
      <c r="J1513" s="2" t="s">
        <v>10385</v>
      </c>
      <c r="K1513" s="2">
        <v>9543670</v>
      </c>
      <c r="L1513" s="2"/>
      <c r="M1513" s="2"/>
      <c r="N1513" s="2"/>
      <c r="O1513" s="2">
        <v>76334</v>
      </c>
      <c r="P1513" s="2"/>
      <c r="Q1513" s="2"/>
      <c r="R1513" s="2"/>
      <c r="S1513" s="2" t="s">
        <v>10386</v>
      </c>
      <c r="T1513" s="2" t="s">
        <v>10387</v>
      </c>
      <c r="U1513" s="2" t="s">
        <v>56</v>
      </c>
      <c r="V1513" s="2" t="s">
        <v>145</v>
      </c>
      <c r="W1513" s="2" t="s">
        <v>231</v>
      </c>
      <c r="X1513" s="2" t="s">
        <v>83</v>
      </c>
      <c r="Y1513" s="2">
        <v>57.2</v>
      </c>
      <c r="Z1513" s="2">
        <v>0</v>
      </c>
      <c r="AA1513" s="2" t="s">
        <v>163</v>
      </c>
      <c r="AB1513" s="2" t="s">
        <v>10388</v>
      </c>
      <c r="AC1513" s="2">
        <v>0.78468553903625204</v>
      </c>
      <c r="AD1513" s="2"/>
      <c r="AE1513" s="2">
        <v>0.42759293703096701</v>
      </c>
      <c r="AF1513" s="2">
        <v>54981.384613428403</v>
      </c>
      <c r="AG1513" s="2">
        <v>42649.167703964602</v>
      </c>
      <c r="AH1513" s="5">
        <v>1.28915492548563</v>
      </c>
      <c r="AI1513" s="5">
        <v>0.36642565144122402</v>
      </c>
      <c r="AJ1513" s="5" t="s">
        <v>139</v>
      </c>
      <c r="AK1513" s="2">
        <v>0.299888524364742</v>
      </c>
      <c r="AL1513" s="2">
        <v>0.61037838979491599</v>
      </c>
      <c r="AM1513" s="2">
        <v>33598.7253204218</v>
      </c>
      <c r="AN1513" s="2">
        <v>51219.537274814596</v>
      </c>
      <c r="AO1513" s="2">
        <v>78649.2302669255</v>
      </c>
      <c r="AP1513" s="2">
        <v>78458.720639476596</v>
      </c>
      <c r="AQ1513" s="2">
        <v>60642.624436214101</v>
      </c>
      <c r="AR1513" s="2">
        <v>27319.469742717902</v>
      </c>
      <c r="AS1513" s="2">
        <v>51880.516208220099</v>
      </c>
      <c r="AT1513" s="2">
        <v>64191.759795516999</v>
      </c>
      <c r="AU1513" s="2">
        <v>31959.6645002695</v>
      </c>
      <c r="AV1513" s="2">
        <v>20357.034759952599</v>
      </c>
      <c r="AW1513" s="2">
        <v>55456.783873906599</v>
      </c>
      <c r="AX1513" s="2">
        <v>32049.247085921499</v>
      </c>
    </row>
    <row r="1514" spans="1:50" x14ac:dyDescent="0.25">
      <c r="A1514" s="2" t="s">
        <v>10389</v>
      </c>
      <c r="B1514" s="2">
        <v>299.25893476732</v>
      </c>
      <c r="C1514" s="2">
        <v>13.79095</v>
      </c>
      <c r="D1514" s="2" t="s">
        <v>51</v>
      </c>
      <c r="E1514" s="2" t="s">
        <v>10390</v>
      </c>
      <c r="F1514" s="2">
        <v>3135</v>
      </c>
      <c r="G1514" s="3" t="str">
        <f>HYPERLINK("https://cloud.oebiotech.com/#/lm/network/3135", "https://cloud.oebiotech.com/#/lm/network/3135")</f>
        <v>https://cloud.oebiotech.com/#/lm/network/3135</v>
      </c>
      <c r="H1514" s="2"/>
      <c r="I1514" s="2">
        <v>35569</v>
      </c>
      <c r="J1514" s="2" t="s">
        <v>10391</v>
      </c>
      <c r="K1514" s="2">
        <v>5312773</v>
      </c>
      <c r="L1514" s="2" t="s">
        <v>10392</v>
      </c>
      <c r="M1514" s="2"/>
      <c r="N1514" s="2"/>
      <c r="O1514" s="2">
        <v>79312</v>
      </c>
      <c r="P1514" s="2"/>
      <c r="Q1514" s="2"/>
      <c r="R1514" s="2"/>
      <c r="S1514" s="2" t="s">
        <v>10393</v>
      </c>
      <c r="T1514" s="2" t="s">
        <v>10394</v>
      </c>
      <c r="U1514" s="2" t="s">
        <v>56</v>
      </c>
      <c r="V1514" s="2" t="s">
        <v>145</v>
      </c>
      <c r="W1514" s="2" t="s">
        <v>231</v>
      </c>
      <c r="X1514" s="2" t="s">
        <v>147</v>
      </c>
      <c r="Y1514" s="2">
        <v>45.5</v>
      </c>
      <c r="Z1514" s="2">
        <v>38</v>
      </c>
      <c r="AA1514" s="2" t="s">
        <v>179</v>
      </c>
      <c r="AB1514" s="2" t="s">
        <v>8747</v>
      </c>
      <c r="AC1514" s="2">
        <v>2.89483305360335</v>
      </c>
      <c r="AD1514" s="2"/>
      <c r="AE1514" s="2">
        <v>0.42758420190853003</v>
      </c>
      <c r="AF1514" s="2">
        <v>13600.0197093528</v>
      </c>
      <c r="AG1514" s="2">
        <v>8653.9913250386107</v>
      </c>
      <c r="AH1514" s="5">
        <v>1.57153147010951</v>
      </c>
      <c r="AI1514" s="5">
        <v>0.65217116257021701</v>
      </c>
      <c r="AJ1514" s="5" t="s">
        <v>139</v>
      </c>
      <c r="AK1514" s="2">
        <v>0.11370924749955</v>
      </c>
      <c r="AL1514" s="2">
        <v>0.42808611439748101</v>
      </c>
      <c r="AM1514" s="2">
        <v>21425.477844845402</v>
      </c>
      <c r="AN1514" s="2">
        <v>11727.916161950299</v>
      </c>
      <c r="AO1514" s="2">
        <v>14339.0943430444</v>
      </c>
      <c r="AP1514" s="2">
        <v>15955.2211734012</v>
      </c>
      <c r="AQ1514" s="2">
        <v>12867.7539904062</v>
      </c>
      <c r="AR1514" s="2">
        <v>5284.65474246953</v>
      </c>
      <c r="AS1514" s="2">
        <v>4508.1065963092697</v>
      </c>
      <c r="AT1514" s="2">
        <v>14975.0635269514</v>
      </c>
      <c r="AU1514" s="2">
        <v>4696.2224137044104</v>
      </c>
      <c r="AV1514" s="2">
        <v>5987.2935040375696</v>
      </c>
      <c r="AW1514" s="2">
        <v>13519.328927099101</v>
      </c>
      <c r="AX1514" s="2">
        <v>8237.9329821299307</v>
      </c>
    </row>
    <row r="1515" spans="1:50" x14ac:dyDescent="0.25">
      <c r="A1515" s="2" t="s">
        <v>10395</v>
      </c>
      <c r="B1515" s="2">
        <v>352.24941493628</v>
      </c>
      <c r="C1515" s="2">
        <v>13.510733333333301</v>
      </c>
      <c r="D1515" s="2" t="s">
        <v>51</v>
      </c>
      <c r="E1515" s="2" t="s">
        <v>10396</v>
      </c>
      <c r="F1515" s="2">
        <v>206764</v>
      </c>
      <c r="G1515" s="3" t="str">
        <f>HYPERLINK("https://cloud.oebiotech.com/#/lm/network/206764", "https://cloud.oebiotech.com/#/lm/network/206764")</f>
        <v>https://cloud.oebiotech.com/#/lm/network/206764</v>
      </c>
      <c r="H1515" s="2" t="s">
        <v>10397</v>
      </c>
      <c r="I1515" s="2">
        <v>436992</v>
      </c>
      <c r="J1515" s="2"/>
      <c r="K1515" s="2">
        <v>107970</v>
      </c>
      <c r="L1515" s="2"/>
      <c r="M1515" s="2"/>
      <c r="N1515" s="2"/>
      <c r="O1515" s="2">
        <v>63115</v>
      </c>
      <c r="P1515" s="2"/>
      <c r="Q1515" s="2"/>
      <c r="R1515" s="2"/>
      <c r="S1515" s="2" t="s">
        <v>10398</v>
      </c>
      <c r="T1515" s="2" t="s">
        <v>10399</v>
      </c>
      <c r="U1515" s="2" t="s">
        <v>119</v>
      </c>
      <c r="V1515" s="2" t="s">
        <v>120</v>
      </c>
      <c r="W1515" s="2" t="s">
        <v>1887</v>
      </c>
      <c r="X1515" s="2" t="s">
        <v>147</v>
      </c>
      <c r="Y1515" s="2">
        <v>41</v>
      </c>
      <c r="Z1515" s="2">
        <v>11.4</v>
      </c>
      <c r="AA1515" s="2" t="s">
        <v>218</v>
      </c>
      <c r="AB1515" s="2" t="s">
        <v>10400</v>
      </c>
      <c r="AC1515" s="2">
        <v>0.26936939246625202</v>
      </c>
      <c r="AD1515" s="2"/>
      <c r="AE1515" s="2">
        <v>0.42700112809792601</v>
      </c>
      <c r="AF1515" s="2">
        <v>7525.33782809684</v>
      </c>
      <c r="AG1515" s="2">
        <v>14864.322476457301</v>
      </c>
      <c r="AH1515" s="4">
        <v>0.50626847204208203</v>
      </c>
      <c r="AI1515" s="4">
        <v>-0.98202545192900903</v>
      </c>
      <c r="AJ1515" s="4" t="s">
        <v>62</v>
      </c>
      <c r="AK1515" s="2">
        <v>0.116512695732251</v>
      </c>
      <c r="AL1515" s="2">
        <v>0.43396228015205501</v>
      </c>
      <c r="AM1515" s="2">
        <v>6628.4074357885702</v>
      </c>
      <c r="AN1515" s="2">
        <v>4310.7970306507796</v>
      </c>
      <c r="AO1515" s="2">
        <v>10339.5389683092</v>
      </c>
      <c r="AP1515" s="2">
        <v>3719.10854899369</v>
      </c>
      <c r="AQ1515" s="2">
        <v>11266.600274885801</v>
      </c>
      <c r="AR1515" s="2">
        <v>8887.5747099529799</v>
      </c>
      <c r="AS1515" s="2">
        <v>6094.5672664311696</v>
      </c>
      <c r="AT1515" s="2">
        <v>6882.4296643712496</v>
      </c>
      <c r="AU1515" s="2">
        <v>29433.735270456698</v>
      </c>
      <c r="AV1515" s="2">
        <v>19884.062066214701</v>
      </c>
      <c r="AW1515" s="2">
        <v>21055.700398041099</v>
      </c>
      <c r="AX1515" s="2">
        <v>5835.4401932291003</v>
      </c>
    </row>
    <row r="1516" spans="1:50" x14ac:dyDescent="0.25">
      <c r="A1516" s="2" t="s">
        <v>10401</v>
      </c>
      <c r="B1516" s="2">
        <v>297.05676041089703</v>
      </c>
      <c r="C1516" s="2">
        <v>1.5632666666666699</v>
      </c>
      <c r="D1516" s="2" t="s">
        <v>51</v>
      </c>
      <c r="E1516" s="2" t="s">
        <v>10402</v>
      </c>
      <c r="F1516" s="2">
        <v>212469</v>
      </c>
      <c r="G1516" s="3" t="str">
        <f>HYPERLINK("https://cloud.oebiotech.com/#/lm/network/212469", "https://cloud.oebiotech.com/#/lm/network/212469")</f>
        <v>https://cloud.oebiotech.com/#/lm/network/212469</v>
      </c>
      <c r="H1516" s="2" t="s">
        <v>10403</v>
      </c>
      <c r="I1516" s="2"/>
      <c r="J1516" s="2"/>
      <c r="K1516" s="2">
        <v>10313218</v>
      </c>
      <c r="L1516" s="2"/>
      <c r="M1516" s="2"/>
      <c r="N1516" s="2"/>
      <c r="O1516" s="2"/>
      <c r="P1516" s="2"/>
      <c r="Q1516" s="2"/>
      <c r="R1516" s="2"/>
      <c r="S1516" s="2" t="s">
        <v>10404</v>
      </c>
      <c r="T1516" s="2" t="s">
        <v>10405</v>
      </c>
      <c r="U1516" s="2" t="s">
        <v>103</v>
      </c>
      <c r="V1516" s="2" t="s">
        <v>104</v>
      </c>
      <c r="W1516" s="2" t="s">
        <v>105</v>
      </c>
      <c r="X1516" s="2" t="s">
        <v>147</v>
      </c>
      <c r="Y1516" s="2">
        <v>38.799999999999997</v>
      </c>
      <c r="Z1516" s="2">
        <v>0</v>
      </c>
      <c r="AA1516" s="2" t="s">
        <v>478</v>
      </c>
      <c r="AB1516" s="2" t="s">
        <v>10406</v>
      </c>
      <c r="AC1516" s="2">
        <v>-2.71018638234982</v>
      </c>
      <c r="AD1516" s="2"/>
      <c r="AE1516" s="2">
        <v>0.42697334203890602</v>
      </c>
      <c r="AF1516" s="2">
        <v>27907.7716836851</v>
      </c>
      <c r="AG1516" s="2">
        <v>17272.618705271601</v>
      </c>
      <c r="AH1516" s="5">
        <v>1.61572325307961</v>
      </c>
      <c r="AI1516" s="5">
        <v>0.69218010922760997</v>
      </c>
      <c r="AJ1516" s="5" t="s">
        <v>139</v>
      </c>
      <c r="AK1516" s="2">
        <v>0.16074716163189601</v>
      </c>
      <c r="AL1516" s="2">
        <v>0.48395329544044802</v>
      </c>
      <c r="AM1516" s="2">
        <v>21610.971554916501</v>
      </c>
      <c r="AN1516" s="2">
        <v>19027.040420352201</v>
      </c>
      <c r="AO1516" s="2">
        <v>44556.289290812601</v>
      </c>
      <c r="AP1516" s="2">
        <v>45110.248298942199</v>
      </c>
      <c r="AQ1516" s="2">
        <v>6863.5760201282401</v>
      </c>
      <c r="AR1516" s="2">
        <v>30278.504516958801</v>
      </c>
      <c r="AS1516" s="2">
        <v>9780.0027503220699</v>
      </c>
      <c r="AT1516" s="2">
        <v>8457.3962055432694</v>
      </c>
      <c r="AU1516" s="2">
        <v>17590.6718426019</v>
      </c>
      <c r="AV1516" s="2">
        <v>29200.4651804225</v>
      </c>
      <c r="AW1516" s="2">
        <v>14107.5013569044</v>
      </c>
      <c r="AX1516" s="2">
        <v>24499.674895835498</v>
      </c>
    </row>
    <row r="1517" spans="1:50" x14ac:dyDescent="0.25">
      <c r="A1517" s="2" t="s">
        <v>10407</v>
      </c>
      <c r="B1517" s="2">
        <v>221.11791625776399</v>
      </c>
      <c r="C1517" s="2">
        <v>8.7080833333333292</v>
      </c>
      <c r="D1517" s="2" t="s">
        <v>51</v>
      </c>
      <c r="E1517" s="2" t="s">
        <v>10408</v>
      </c>
      <c r="F1517" s="2">
        <v>201260</v>
      </c>
      <c r="G1517" s="3" t="str">
        <f>HYPERLINK("https://cloud.oebiotech.com/#/lm/network/201260", "https://cloud.oebiotech.com/#/lm/network/201260")</f>
        <v>https://cloud.oebiotech.com/#/lm/network/201260</v>
      </c>
      <c r="H1517" s="2" t="s">
        <v>10409</v>
      </c>
      <c r="I1517" s="2"/>
      <c r="J1517" s="2"/>
      <c r="K1517" s="2">
        <v>153705</v>
      </c>
      <c r="L1517" s="2"/>
      <c r="M1517" s="2"/>
      <c r="N1517" s="2"/>
      <c r="O1517" s="2"/>
      <c r="P1517" s="2"/>
      <c r="Q1517" s="2"/>
      <c r="R1517" s="2"/>
      <c r="S1517" s="2" t="s">
        <v>10410</v>
      </c>
      <c r="T1517" s="2" t="s">
        <v>10411</v>
      </c>
      <c r="U1517" s="2" t="s">
        <v>610</v>
      </c>
      <c r="V1517" s="2" t="s">
        <v>611</v>
      </c>
      <c r="W1517" s="2" t="s">
        <v>1122</v>
      </c>
      <c r="X1517" s="2" t="s">
        <v>83</v>
      </c>
      <c r="Y1517" s="2">
        <v>57.2</v>
      </c>
      <c r="Z1517" s="2">
        <v>38.299999999999997</v>
      </c>
      <c r="AA1517" s="2" t="s">
        <v>163</v>
      </c>
      <c r="AB1517" s="2" t="s">
        <v>10412</v>
      </c>
      <c r="AC1517" s="2">
        <v>-1.8086442371234399</v>
      </c>
      <c r="AD1517" s="2"/>
      <c r="AE1517" s="2">
        <v>0.42689239314744698</v>
      </c>
      <c r="AF1517" s="2">
        <v>7403.2700266771799</v>
      </c>
      <c r="AG1517" s="2">
        <v>2799.13976301295</v>
      </c>
      <c r="AH1517" s="5">
        <v>2.6448375763518199</v>
      </c>
      <c r="AI1517" s="5">
        <v>1.40317912688114</v>
      </c>
      <c r="AJ1517" s="5" t="s">
        <v>139</v>
      </c>
      <c r="AK1517" s="2">
        <v>5.00941547537746E-2</v>
      </c>
      <c r="AL1517" s="2">
        <v>0.31056432836569098</v>
      </c>
      <c r="AM1517" s="2">
        <v>10374.962707541599</v>
      </c>
      <c r="AN1517" s="2">
        <v>13748.9063739229</v>
      </c>
      <c r="AO1517" s="2">
        <v>3568.33108494422</v>
      </c>
      <c r="AP1517" s="2">
        <v>3262.0008120375401</v>
      </c>
      <c r="AQ1517" s="2">
        <v>3433.5364073907199</v>
      </c>
      <c r="AR1517" s="2">
        <v>10031.8827742261</v>
      </c>
      <c r="AS1517" s="2">
        <v>5893.8240802189503</v>
      </c>
      <c r="AT1517" s="2">
        <v>1472.9727208484201</v>
      </c>
      <c r="AU1517" s="2">
        <v>3338.5652087050798</v>
      </c>
      <c r="AV1517" s="2">
        <v>548.66017071927297</v>
      </c>
      <c r="AW1517" s="2">
        <v>782.16425246749805</v>
      </c>
      <c r="AX1517" s="2">
        <v>4758.6521451184899</v>
      </c>
    </row>
    <row r="1518" spans="1:50" x14ac:dyDescent="0.25">
      <c r="A1518" s="2" t="s">
        <v>10413</v>
      </c>
      <c r="B1518" s="2">
        <v>354.26517551453998</v>
      </c>
      <c r="C1518" s="2">
        <v>13.510733333333301</v>
      </c>
      <c r="D1518" s="2" t="s">
        <v>51</v>
      </c>
      <c r="E1518" s="2" t="s">
        <v>10414</v>
      </c>
      <c r="F1518" s="2">
        <v>53087</v>
      </c>
      <c r="G1518" s="3" t="str">
        <f>HYPERLINK("https://cloud.oebiotech.com/#/lm/network/53087", "https://cloud.oebiotech.com/#/lm/network/53087")</f>
        <v>https://cloud.oebiotech.com/#/lm/network/53087</v>
      </c>
      <c r="H1518" s="2" t="s">
        <v>10415</v>
      </c>
      <c r="I1518" s="2">
        <v>1997</v>
      </c>
      <c r="J1518" s="2"/>
      <c r="K1518" s="2">
        <v>3042</v>
      </c>
      <c r="L1518" s="2" t="s">
        <v>10416</v>
      </c>
      <c r="M1518" s="2"/>
      <c r="N1518" s="2"/>
      <c r="O1518" s="2">
        <v>4514</v>
      </c>
      <c r="P1518" s="2"/>
      <c r="Q1518" s="2"/>
      <c r="R1518" s="2" t="s">
        <v>10417</v>
      </c>
      <c r="S1518" s="2" t="s">
        <v>10418</v>
      </c>
      <c r="T1518" s="2" t="s">
        <v>10419</v>
      </c>
      <c r="U1518" s="2" t="s">
        <v>103</v>
      </c>
      <c r="V1518" s="2" t="s">
        <v>104</v>
      </c>
      <c r="W1518" s="2" t="s">
        <v>9173</v>
      </c>
      <c r="X1518" s="2" t="s">
        <v>147</v>
      </c>
      <c r="Y1518" s="2">
        <v>38.799999999999997</v>
      </c>
      <c r="Z1518" s="2">
        <v>0</v>
      </c>
      <c r="AA1518" s="2" t="s">
        <v>218</v>
      </c>
      <c r="AB1518" s="2" t="s">
        <v>10420</v>
      </c>
      <c r="AC1518" s="2">
        <v>0.62495613084435397</v>
      </c>
      <c r="AD1518" s="2"/>
      <c r="AE1518" s="2">
        <v>0.426474374145623</v>
      </c>
      <c r="AF1518" s="2">
        <v>10941.6126816386</v>
      </c>
      <c r="AG1518" s="2">
        <v>18246.377694982399</v>
      </c>
      <c r="AH1518" s="4">
        <v>0.59965944279710104</v>
      </c>
      <c r="AI1518" s="4">
        <v>-0.73778469362632304</v>
      </c>
      <c r="AJ1518" s="4" t="s">
        <v>62</v>
      </c>
      <c r="AK1518" s="2">
        <v>0.14500275189221301</v>
      </c>
      <c r="AL1518" s="2">
        <v>0.46795150714190697</v>
      </c>
      <c r="AM1518" s="2">
        <v>9000.3751383829203</v>
      </c>
      <c r="AN1518" s="2">
        <v>6346.3533829943999</v>
      </c>
      <c r="AO1518" s="2">
        <v>14526.3981584176</v>
      </c>
      <c r="AP1518" s="2">
        <v>6986.0179660867097</v>
      </c>
      <c r="AQ1518" s="2">
        <v>16644.681223225802</v>
      </c>
      <c r="AR1518" s="2">
        <v>12145.850220724</v>
      </c>
      <c r="AS1518" s="2">
        <v>7726.9613209105601</v>
      </c>
      <c r="AT1518" s="2">
        <v>9466.3398157531301</v>
      </c>
      <c r="AU1518" s="2">
        <v>31823.381563864099</v>
      </c>
      <c r="AV1518" s="2">
        <v>24573.3475293265</v>
      </c>
      <c r="AW1518" s="2">
        <v>26338.433877371899</v>
      </c>
      <c r="AX1518" s="2">
        <v>9549.80206266799</v>
      </c>
    </row>
    <row r="1519" spans="1:50" x14ac:dyDescent="0.25">
      <c r="A1519" s="2" t="s">
        <v>10421</v>
      </c>
      <c r="B1519" s="2">
        <v>346.198454823725</v>
      </c>
      <c r="C1519" s="2">
        <v>0.71519999999999995</v>
      </c>
      <c r="D1519" s="2" t="s">
        <v>51</v>
      </c>
      <c r="E1519" s="2" t="s">
        <v>10422</v>
      </c>
      <c r="F1519" s="2">
        <v>267452</v>
      </c>
      <c r="G1519" s="3" t="str">
        <f>HYPERLINK("https://cloud.oebiotech.com/#/lm/network/267452", "https://cloud.oebiotech.com/#/lm/network/267452")</f>
        <v>https://cloud.oebiotech.com/#/lm/network/267452</v>
      </c>
      <c r="H1519" s="2"/>
      <c r="I1519" s="2">
        <v>45495</v>
      </c>
      <c r="J1519" s="2"/>
      <c r="K1519" s="2">
        <v>10881846</v>
      </c>
      <c r="L1519" s="2"/>
      <c r="M1519" s="2"/>
      <c r="N1519" s="2"/>
      <c r="O1519" s="2"/>
      <c r="P1519" s="2"/>
      <c r="Q1519" s="2"/>
      <c r="R1519" s="2" t="s">
        <v>10423</v>
      </c>
      <c r="S1519" s="2" t="s">
        <v>10424</v>
      </c>
      <c r="T1519" s="2" t="s">
        <v>10425</v>
      </c>
      <c r="U1519" s="2" t="s">
        <v>103</v>
      </c>
      <c r="V1519" s="2" t="s">
        <v>104</v>
      </c>
      <c r="W1519" s="2" t="s">
        <v>105</v>
      </c>
      <c r="X1519" s="2" t="s">
        <v>147</v>
      </c>
      <c r="Y1519" s="2">
        <v>38.299999999999997</v>
      </c>
      <c r="Z1519" s="2">
        <v>0</v>
      </c>
      <c r="AA1519" s="2" t="s">
        <v>95</v>
      </c>
      <c r="AB1519" s="2" t="s">
        <v>10426</v>
      </c>
      <c r="AC1519" s="2">
        <v>-1.3126753316753701</v>
      </c>
      <c r="AD1519" s="2"/>
      <c r="AE1519" s="2">
        <v>0.42631381439420102</v>
      </c>
      <c r="AF1519" s="2">
        <v>4046.5533509269098</v>
      </c>
      <c r="AG1519" s="2">
        <v>14803.634228769701</v>
      </c>
      <c r="AH1519" s="4">
        <v>0.27334864455531799</v>
      </c>
      <c r="AI1519" s="4">
        <v>-1.87118587317525</v>
      </c>
      <c r="AJ1519" s="4" t="s">
        <v>62</v>
      </c>
      <c r="AK1519" s="2">
        <v>0.44331682344763901</v>
      </c>
      <c r="AL1519" s="2">
        <v>0.69908803275019105</v>
      </c>
      <c r="AM1519" s="2">
        <v>14466.0038742245</v>
      </c>
      <c r="AN1519" s="2">
        <v>8.559877937157E-6</v>
      </c>
      <c r="AO1519" s="2">
        <v>3163.9461014048602</v>
      </c>
      <c r="AP1519" s="2">
        <v>708.04889894142605</v>
      </c>
      <c r="AQ1519" s="2">
        <v>1906.1897510405599</v>
      </c>
      <c r="AR1519" s="2">
        <v>4035.1314713902102</v>
      </c>
      <c r="AS1519" s="2">
        <v>1504.3975729087001</v>
      </c>
      <c r="AT1519" s="2">
        <v>1602.6981315809201</v>
      </c>
      <c r="AU1519" s="2">
        <v>8.559877937157E-6</v>
      </c>
      <c r="AV1519" s="2">
        <v>81225.392686153398</v>
      </c>
      <c r="AW1519" s="2">
        <v>8.559877937157E-6</v>
      </c>
      <c r="AX1519" s="2">
        <v>4489.3169648553803</v>
      </c>
    </row>
    <row r="1520" spans="1:50" x14ac:dyDescent="0.25">
      <c r="A1520" s="2" t="s">
        <v>10427</v>
      </c>
      <c r="B1520" s="2">
        <v>365.26979614179697</v>
      </c>
      <c r="C1520" s="2">
        <v>11.3173666666667</v>
      </c>
      <c r="D1520" s="2" t="s">
        <v>51</v>
      </c>
      <c r="E1520" s="2" t="s">
        <v>10428</v>
      </c>
      <c r="F1520" s="2">
        <v>48647</v>
      </c>
      <c r="G1520" s="3" t="str">
        <f>HYPERLINK("https://cloud.oebiotech.com/#/lm/network/48647", "https://cloud.oebiotech.com/#/lm/network/48647")</f>
        <v>https://cloud.oebiotech.com/#/lm/network/48647</v>
      </c>
      <c r="H1520" s="2" t="s">
        <v>10429</v>
      </c>
      <c r="I1520" s="2"/>
      <c r="J1520" s="2"/>
      <c r="K1520" s="2">
        <v>15706076</v>
      </c>
      <c r="L1520" s="2"/>
      <c r="M1520" s="2"/>
      <c r="N1520" s="2"/>
      <c r="O1520" s="2"/>
      <c r="P1520" s="2"/>
      <c r="Q1520" s="2"/>
      <c r="R1520" s="2" t="s">
        <v>10430</v>
      </c>
      <c r="S1520" s="2" t="s">
        <v>10431</v>
      </c>
      <c r="T1520" s="2" t="s">
        <v>10432</v>
      </c>
      <c r="U1520" s="2" t="s">
        <v>56</v>
      </c>
      <c r="V1520" s="2" t="s">
        <v>283</v>
      </c>
      <c r="W1520" s="2" t="s">
        <v>284</v>
      </c>
      <c r="X1520" s="2" t="s">
        <v>69</v>
      </c>
      <c r="Y1520" s="2">
        <v>64.3</v>
      </c>
      <c r="Z1520" s="2">
        <v>93</v>
      </c>
      <c r="AA1520" s="2" t="s">
        <v>218</v>
      </c>
      <c r="AB1520" s="2" t="s">
        <v>10433</v>
      </c>
      <c r="AC1520" s="2">
        <v>0.19632764915898299</v>
      </c>
      <c r="AD1520" s="2"/>
      <c r="AE1520" s="2">
        <v>0.42624085451649502</v>
      </c>
      <c r="AF1520" s="2">
        <v>70555.661971705602</v>
      </c>
      <c r="AG1520" s="2">
        <v>53372.275421947401</v>
      </c>
      <c r="AH1520" s="5">
        <v>1.3219534189597599</v>
      </c>
      <c r="AI1520" s="5">
        <v>0.40267134218620898</v>
      </c>
      <c r="AJ1520" s="5" t="s">
        <v>139</v>
      </c>
      <c r="AK1520" s="2">
        <v>0.37154168882905497</v>
      </c>
      <c r="AL1520" s="2">
        <v>0.65414666455875103</v>
      </c>
      <c r="AM1520" s="2">
        <v>32769.5159650118</v>
      </c>
      <c r="AN1520" s="2">
        <v>69736.865215129801</v>
      </c>
      <c r="AO1520" s="2">
        <v>68086.506499178693</v>
      </c>
      <c r="AP1520" s="2">
        <v>80416.533545437604</v>
      </c>
      <c r="AQ1520" s="2">
        <v>134412.11776730401</v>
      </c>
      <c r="AR1520" s="2">
        <v>37912.432838171597</v>
      </c>
      <c r="AS1520" s="2">
        <v>43125.752801864997</v>
      </c>
      <c r="AT1520" s="2">
        <v>80795.554480622202</v>
      </c>
      <c r="AU1520" s="2">
        <v>26454.276183927199</v>
      </c>
      <c r="AV1520" s="2">
        <v>23330.0937446852</v>
      </c>
      <c r="AW1520" s="2">
        <v>64049.365912324</v>
      </c>
      <c r="AX1520" s="2">
        <v>82478.609408261007</v>
      </c>
    </row>
    <row r="1521" spans="1:50" x14ac:dyDescent="0.25">
      <c r="A1521" s="2" t="s">
        <v>10434</v>
      </c>
      <c r="B1521" s="2">
        <v>247.00051557309001</v>
      </c>
      <c r="C1521" s="2">
        <v>6.7265666666666704</v>
      </c>
      <c r="D1521" s="2" t="s">
        <v>51</v>
      </c>
      <c r="E1521" s="2" t="s">
        <v>10435</v>
      </c>
      <c r="F1521" s="2">
        <v>82336</v>
      </c>
      <c r="G1521" s="3" t="str">
        <f>HYPERLINK("https://cloud.oebiotech.com/#/lm/network/82336", "https://cloud.oebiotech.com/#/lm/network/82336")</f>
        <v>https://cloud.oebiotech.com/#/lm/network/82336</v>
      </c>
      <c r="H1521" s="2" t="s">
        <v>10436</v>
      </c>
      <c r="I1521" s="2">
        <v>66355</v>
      </c>
      <c r="J1521" s="2"/>
      <c r="K1521" s="2">
        <v>151426</v>
      </c>
      <c r="L1521" s="2" t="s">
        <v>10437</v>
      </c>
      <c r="M1521" s="2"/>
      <c r="N1521" s="2"/>
      <c r="O1521" s="2"/>
      <c r="P1521" s="2"/>
      <c r="Q1521" s="2"/>
      <c r="R1521" s="2" t="s">
        <v>10438</v>
      </c>
      <c r="S1521" s="2" t="s">
        <v>10439</v>
      </c>
      <c r="T1521" s="2" t="s">
        <v>10440</v>
      </c>
      <c r="U1521" s="2" t="s">
        <v>610</v>
      </c>
      <c r="V1521" s="2" t="s">
        <v>611</v>
      </c>
      <c r="W1521" s="2" t="s">
        <v>1122</v>
      </c>
      <c r="X1521" s="2" t="s">
        <v>147</v>
      </c>
      <c r="Y1521" s="2">
        <v>37.9</v>
      </c>
      <c r="Z1521" s="2">
        <v>0</v>
      </c>
      <c r="AA1521" s="2" t="s">
        <v>218</v>
      </c>
      <c r="AB1521" s="2" t="s">
        <v>10441</v>
      </c>
      <c r="AC1521" s="2">
        <v>-3.9467174572820598</v>
      </c>
      <c r="AD1521" s="2"/>
      <c r="AE1521" s="2">
        <v>0.42607377641446298</v>
      </c>
      <c r="AF1521" s="2">
        <v>20679.6852912211</v>
      </c>
      <c r="AG1521" s="2">
        <v>24897.2421153904</v>
      </c>
      <c r="AH1521" s="4">
        <v>0.83060144554877802</v>
      </c>
      <c r="AI1521" s="4">
        <v>-0.26777171230808999</v>
      </c>
      <c r="AJ1521" s="4" t="s">
        <v>62</v>
      </c>
      <c r="AK1521" s="2">
        <v>1.76849115381928E-2</v>
      </c>
      <c r="AL1521" s="2">
        <v>0.20999063960450201</v>
      </c>
      <c r="AM1521" s="2">
        <v>19261.237926054</v>
      </c>
      <c r="AN1521" s="2">
        <v>18197.915175630402</v>
      </c>
      <c r="AO1521" s="2">
        <v>21203.265143036599</v>
      </c>
      <c r="AP1521" s="2">
        <v>22453.981823914201</v>
      </c>
      <c r="AQ1521" s="2">
        <v>25087.240060691001</v>
      </c>
      <c r="AR1521" s="2">
        <v>17874.4716180006</v>
      </c>
      <c r="AS1521" s="2">
        <v>25604.180425743201</v>
      </c>
      <c r="AT1521" s="2">
        <v>27633.519295174701</v>
      </c>
      <c r="AU1521" s="2">
        <v>20663.529965292601</v>
      </c>
      <c r="AV1521" s="2">
        <v>24334.353763824001</v>
      </c>
      <c r="AW1521" s="2">
        <v>25985.987994291601</v>
      </c>
      <c r="AX1521" s="2">
        <v>25161.881248016001</v>
      </c>
    </row>
    <row r="1522" spans="1:50" x14ac:dyDescent="0.25">
      <c r="A1522" s="2" t="s">
        <v>10442</v>
      </c>
      <c r="B1522" s="2">
        <v>396.18477092817699</v>
      </c>
      <c r="C1522" s="2">
        <v>10.6304833333333</v>
      </c>
      <c r="D1522" s="2" t="s">
        <v>51</v>
      </c>
      <c r="E1522" s="2" t="s">
        <v>10443</v>
      </c>
      <c r="F1522" s="2">
        <v>206384</v>
      </c>
      <c r="G1522" s="3" t="str">
        <f>HYPERLINK("https://cloud.oebiotech.com/#/lm/network/206384", "https://cloud.oebiotech.com/#/lm/network/206384")</f>
        <v>https://cloud.oebiotech.com/#/lm/network/206384</v>
      </c>
      <c r="H1522" s="2" t="s">
        <v>10444</v>
      </c>
      <c r="I1522" s="2"/>
      <c r="J1522" s="2"/>
      <c r="K1522" s="2">
        <v>6433114</v>
      </c>
      <c r="L1522" s="2"/>
      <c r="M1522" s="2"/>
      <c r="N1522" s="2"/>
      <c r="O1522" s="2"/>
      <c r="P1522" s="2"/>
      <c r="Q1522" s="2"/>
      <c r="R1522" s="2"/>
      <c r="S1522" s="2" t="s">
        <v>10445</v>
      </c>
      <c r="T1522" s="2" t="s">
        <v>10446</v>
      </c>
      <c r="U1522" s="2" t="s">
        <v>266</v>
      </c>
      <c r="V1522" s="2" t="s">
        <v>3926</v>
      </c>
      <c r="W1522" s="2" t="s">
        <v>4115</v>
      </c>
      <c r="X1522" s="2" t="s">
        <v>147</v>
      </c>
      <c r="Y1522" s="2">
        <v>38.299999999999997</v>
      </c>
      <c r="Z1522" s="2">
        <v>0</v>
      </c>
      <c r="AA1522" s="2" t="s">
        <v>395</v>
      </c>
      <c r="AB1522" s="2" t="s">
        <v>10447</v>
      </c>
      <c r="AC1522" s="2">
        <v>-7.8113248251585402E-2</v>
      </c>
      <c r="AD1522" s="2"/>
      <c r="AE1522" s="2">
        <v>0.42566543638686</v>
      </c>
      <c r="AF1522" s="2">
        <v>21740.126990815101</v>
      </c>
      <c r="AG1522" s="2">
        <v>15931.930174098799</v>
      </c>
      <c r="AH1522" s="5">
        <v>1.3645632860078001</v>
      </c>
      <c r="AI1522" s="5">
        <v>0.44843930578270902</v>
      </c>
      <c r="AJ1522" s="5" t="s">
        <v>139</v>
      </c>
      <c r="AK1522" s="2">
        <v>0.19557118950788699</v>
      </c>
      <c r="AL1522" s="2">
        <v>0.51964149120632097</v>
      </c>
      <c r="AM1522" s="2">
        <v>14527.276428573899</v>
      </c>
      <c r="AN1522" s="2">
        <v>34940.933736573199</v>
      </c>
      <c r="AO1522" s="2">
        <v>27342.579256651799</v>
      </c>
      <c r="AP1522" s="2">
        <v>12952.499911156599</v>
      </c>
      <c r="AQ1522" s="2">
        <v>21283.178818672299</v>
      </c>
      <c r="AR1522" s="2">
        <v>19394.293793263099</v>
      </c>
      <c r="AS1522" s="2">
        <v>19789.900331628902</v>
      </c>
      <c r="AT1522" s="2">
        <v>16452.489132247902</v>
      </c>
      <c r="AU1522" s="2">
        <v>25651.7844127565</v>
      </c>
      <c r="AV1522" s="2">
        <v>8719.2620379006494</v>
      </c>
      <c r="AW1522" s="2">
        <v>12270.6032241497</v>
      </c>
      <c r="AX1522" s="2">
        <v>12707.5419059093</v>
      </c>
    </row>
    <row r="1523" spans="1:50" x14ac:dyDescent="0.25">
      <c r="A1523" s="2" t="s">
        <v>10448</v>
      </c>
      <c r="B1523" s="2">
        <v>423.20243584612501</v>
      </c>
      <c r="C1523" s="2">
        <v>5.5510999999999999</v>
      </c>
      <c r="D1523" s="2" t="s">
        <v>51</v>
      </c>
      <c r="E1523" s="2" t="s">
        <v>10449</v>
      </c>
      <c r="F1523" s="2">
        <v>207624</v>
      </c>
      <c r="G1523" s="3" t="str">
        <f>HYPERLINK("https://cloud.oebiotech.com/#/lm/network/207624", "https://cloud.oebiotech.com/#/lm/network/207624")</f>
        <v>https://cloud.oebiotech.com/#/lm/network/207624</v>
      </c>
      <c r="H1523" s="2" t="s">
        <v>10450</v>
      </c>
      <c r="I1523" s="2"/>
      <c r="J1523" s="2"/>
      <c r="K1523" s="2"/>
      <c r="L1523" s="2"/>
      <c r="M1523" s="2"/>
      <c r="N1523" s="2"/>
      <c r="O1523" s="2"/>
      <c r="P1523" s="2"/>
      <c r="Q1523" s="2"/>
      <c r="R1523" s="2"/>
      <c r="S1523" s="2" t="s">
        <v>10451</v>
      </c>
      <c r="T1523" s="2" t="s">
        <v>10452</v>
      </c>
      <c r="U1523" s="2" t="s">
        <v>56</v>
      </c>
      <c r="V1523" s="2" t="s">
        <v>283</v>
      </c>
      <c r="W1523" s="2" t="s">
        <v>492</v>
      </c>
      <c r="X1523" s="2" t="s">
        <v>83</v>
      </c>
      <c r="Y1523" s="2">
        <v>43.7</v>
      </c>
      <c r="Z1523" s="2">
        <v>9.0800000000000006E-2</v>
      </c>
      <c r="AA1523" s="2" t="s">
        <v>218</v>
      </c>
      <c r="AB1523" s="2" t="s">
        <v>1531</v>
      </c>
      <c r="AC1523" s="2">
        <v>-1.50800392141687E-2</v>
      </c>
      <c r="AD1523" s="2"/>
      <c r="AE1523" s="2">
        <v>0.42507921875800603</v>
      </c>
      <c r="AF1523" s="2">
        <v>5558.8008896562797</v>
      </c>
      <c r="AG1523" s="2">
        <v>1679.78179498442</v>
      </c>
      <c r="AH1523" s="5">
        <v>3.3092398704724899</v>
      </c>
      <c r="AI1523" s="5">
        <v>1.7264998692868101</v>
      </c>
      <c r="AJ1523" s="5" t="s">
        <v>139</v>
      </c>
      <c r="AK1523" s="2">
        <v>2.3238115197899499E-2</v>
      </c>
      <c r="AL1523" s="2">
        <v>0.23583707680329799</v>
      </c>
      <c r="AM1523" s="2">
        <v>12063.770073612901</v>
      </c>
      <c r="AN1523" s="2">
        <v>4017.09623602598</v>
      </c>
      <c r="AO1523" s="2">
        <v>5465.0095764669804</v>
      </c>
      <c r="AP1523" s="2">
        <v>4821.1145599579804</v>
      </c>
      <c r="AQ1523" s="2">
        <v>2432.30122343429</v>
      </c>
      <c r="AR1523" s="2">
        <v>4553.5136684395402</v>
      </c>
      <c r="AS1523" s="2">
        <v>3432.8394488096201</v>
      </c>
      <c r="AT1523" s="2">
        <v>994.10954285355604</v>
      </c>
      <c r="AU1523" s="2">
        <v>1880.9283375324301</v>
      </c>
      <c r="AV1523" s="2">
        <v>8.559877937157E-6</v>
      </c>
      <c r="AW1523" s="2">
        <v>1385.24790844023</v>
      </c>
      <c r="AX1523" s="2">
        <v>2385.5655237107999</v>
      </c>
    </row>
    <row r="1524" spans="1:50" x14ac:dyDescent="0.25">
      <c r="A1524" s="2" t="s">
        <v>10453</v>
      </c>
      <c r="B1524" s="2">
        <v>433.18477776157999</v>
      </c>
      <c r="C1524" s="2">
        <v>7.8285</v>
      </c>
      <c r="D1524" s="2" t="s">
        <v>51</v>
      </c>
      <c r="E1524" s="2" t="s">
        <v>10454</v>
      </c>
      <c r="F1524" s="2">
        <v>279671</v>
      </c>
      <c r="G1524" s="3" t="str">
        <f>HYPERLINK("https://cloud.oebiotech.com/#/lm/network/279671", "https://cloud.oebiotech.com/#/lm/network/279671")</f>
        <v>https://cloud.oebiotech.com/#/lm/network/279671</v>
      </c>
      <c r="H1524" s="2"/>
      <c r="I1524" s="2">
        <v>72391</v>
      </c>
      <c r="J1524" s="2"/>
      <c r="K1524" s="2">
        <v>9576037</v>
      </c>
      <c r="L1524" s="2" t="s">
        <v>10455</v>
      </c>
      <c r="M1524" s="2"/>
      <c r="N1524" s="2"/>
      <c r="O1524" s="2"/>
      <c r="P1524" s="2"/>
      <c r="Q1524" s="2"/>
      <c r="R1524" s="2" t="s">
        <v>10456</v>
      </c>
      <c r="S1524" s="2" t="s">
        <v>10457</v>
      </c>
      <c r="T1524" s="2" t="s">
        <v>10458</v>
      </c>
      <c r="U1524" s="2" t="s">
        <v>266</v>
      </c>
      <c r="V1524" s="2" t="s">
        <v>10459</v>
      </c>
      <c r="W1524" s="2" t="s">
        <v>10460</v>
      </c>
      <c r="X1524" s="2" t="s">
        <v>147</v>
      </c>
      <c r="Y1524" s="2">
        <v>39.200000000000003</v>
      </c>
      <c r="Z1524" s="2">
        <v>0</v>
      </c>
      <c r="AA1524" s="2" t="s">
        <v>478</v>
      </c>
      <c r="AB1524" s="2" t="s">
        <v>10461</v>
      </c>
      <c r="AC1524" s="2">
        <v>-1.53341833929944</v>
      </c>
      <c r="AD1524" s="2"/>
      <c r="AE1524" s="2">
        <v>0.42471253998355502</v>
      </c>
      <c r="AF1524" s="2">
        <v>5126.2280794651897</v>
      </c>
      <c r="AG1524" s="2">
        <v>1417.18685500524</v>
      </c>
      <c r="AH1524" s="5">
        <v>3.61718573761837</v>
      </c>
      <c r="AI1524" s="5">
        <v>1.8548676803439901</v>
      </c>
      <c r="AJ1524" s="5" t="s">
        <v>139</v>
      </c>
      <c r="AK1524" s="2">
        <v>9.8459336256351106E-5</v>
      </c>
      <c r="AL1524" s="2">
        <v>3.9225470277496198E-2</v>
      </c>
      <c r="AM1524" s="2">
        <v>4544.4760499489903</v>
      </c>
      <c r="AN1524" s="2">
        <v>5783.7265342034898</v>
      </c>
      <c r="AO1524" s="2">
        <v>5988.6622380157196</v>
      </c>
      <c r="AP1524" s="2">
        <v>5893.0464435077502</v>
      </c>
      <c r="AQ1524" s="2">
        <v>3428.99944251958</v>
      </c>
      <c r="AR1524" s="2">
        <v>5118.4577685956201</v>
      </c>
      <c r="AS1524" s="2">
        <v>3209.4448313753901</v>
      </c>
      <c r="AT1524" s="2">
        <v>1318.61604018908</v>
      </c>
      <c r="AU1524" s="2">
        <v>1374.09967608437</v>
      </c>
      <c r="AV1524" s="2">
        <v>8.559877937157E-6</v>
      </c>
      <c r="AW1524" s="2">
        <v>845.06906805488302</v>
      </c>
      <c r="AX1524" s="2">
        <v>1755.89150576784</v>
      </c>
    </row>
    <row r="1525" spans="1:50" x14ac:dyDescent="0.25">
      <c r="A1525" s="2" t="s">
        <v>10462</v>
      </c>
      <c r="B1525" s="2">
        <v>573.19089948127896</v>
      </c>
      <c r="C1525" s="2">
        <v>6.69281666666667</v>
      </c>
      <c r="D1525" s="2" t="s">
        <v>51</v>
      </c>
      <c r="E1525" s="2" t="s">
        <v>10463</v>
      </c>
      <c r="F1525" s="2">
        <v>54783</v>
      </c>
      <c r="G1525" s="3" t="str">
        <f>HYPERLINK("https://cloud.oebiotech.com/#/lm/network/54783", "https://cloud.oebiotech.com/#/lm/network/54783")</f>
        <v>https://cloud.oebiotech.com/#/lm/network/54783</v>
      </c>
      <c r="H1525" s="2" t="s">
        <v>10464</v>
      </c>
      <c r="I1525" s="2">
        <v>86584</v>
      </c>
      <c r="J1525" s="2"/>
      <c r="K1525" s="2">
        <v>115164</v>
      </c>
      <c r="L1525" s="2"/>
      <c r="M1525" s="2"/>
      <c r="N1525" s="2"/>
      <c r="O1525" s="2"/>
      <c r="P1525" s="2"/>
      <c r="Q1525" s="2"/>
      <c r="R1525" s="2" t="s">
        <v>10465</v>
      </c>
      <c r="S1525" s="2" t="s">
        <v>10466</v>
      </c>
      <c r="T1525" s="2" t="s">
        <v>10467</v>
      </c>
      <c r="U1525" s="2" t="s">
        <v>331</v>
      </c>
      <c r="V1525" s="2" t="s">
        <v>332</v>
      </c>
      <c r="W1525" s="2" t="s">
        <v>333</v>
      </c>
      <c r="X1525" s="2" t="s">
        <v>147</v>
      </c>
      <c r="Y1525" s="2">
        <v>41.7</v>
      </c>
      <c r="Z1525" s="2">
        <v>19.399999999999999</v>
      </c>
      <c r="AA1525" s="2" t="s">
        <v>478</v>
      </c>
      <c r="AB1525" s="2" t="s">
        <v>10468</v>
      </c>
      <c r="AC1525" s="2">
        <v>-4.9248617166962303</v>
      </c>
      <c r="AD1525" s="2"/>
      <c r="AE1525" s="2">
        <v>0.424604130879848</v>
      </c>
      <c r="AF1525" s="2">
        <v>9421.2969127436609</v>
      </c>
      <c r="AG1525" s="2">
        <v>5053.8896915475398</v>
      </c>
      <c r="AH1525" s="5">
        <v>1.8641675002326299</v>
      </c>
      <c r="AI1525" s="5">
        <v>0.89853149566715496</v>
      </c>
      <c r="AJ1525" s="5" t="s">
        <v>139</v>
      </c>
      <c r="AK1525" s="2">
        <v>1.0653495327178301E-2</v>
      </c>
      <c r="AL1525" s="2">
        <v>0.16592979635359201</v>
      </c>
      <c r="AM1525" s="2">
        <v>9308.2401773565907</v>
      </c>
      <c r="AN1525" s="2">
        <v>11332.5167066458</v>
      </c>
      <c r="AO1525" s="2">
        <v>10371.6393776396</v>
      </c>
      <c r="AP1525" s="2">
        <v>8119.1092257474102</v>
      </c>
      <c r="AQ1525" s="2">
        <v>7376.3935625227796</v>
      </c>
      <c r="AR1525" s="2">
        <v>10019.882426549801</v>
      </c>
      <c r="AS1525" s="2">
        <v>8538.9702872445505</v>
      </c>
      <c r="AT1525" s="2">
        <v>2823.28357761296</v>
      </c>
      <c r="AU1525" s="2">
        <v>6739.6401079492898</v>
      </c>
      <c r="AV1525" s="2">
        <v>1829.4425459685599</v>
      </c>
      <c r="AW1525" s="2">
        <v>2269.55803076343</v>
      </c>
      <c r="AX1525" s="2">
        <v>8122.4435997464698</v>
      </c>
    </row>
    <row r="1526" spans="1:50" x14ac:dyDescent="0.25">
      <c r="A1526" s="2" t="s">
        <v>10469</v>
      </c>
      <c r="B1526" s="2">
        <v>135.00325166336799</v>
      </c>
      <c r="C1526" s="2">
        <v>0.84268333333333301</v>
      </c>
      <c r="D1526" s="2" t="s">
        <v>51</v>
      </c>
      <c r="E1526" s="2" t="s">
        <v>10470</v>
      </c>
      <c r="F1526" s="2">
        <v>257571</v>
      </c>
      <c r="G1526" s="3" t="str">
        <f>HYPERLINK("https://cloud.oebiotech.com/#/lm/network/257571", "https://cloud.oebiotech.com/#/lm/network/257571")</f>
        <v>https://cloud.oebiotech.com/#/lm/network/257571</v>
      </c>
      <c r="H1526" s="2" t="s">
        <v>10471</v>
      </c>
      <c r="I1526" s="2">
        <v>329181</v>
      </c>
      <c r="J1526" s="2"/>
      <c r="K1526" s="2">
        <v>23666456</v>
      </c>
      <c r="L1526" s="2"/>
      <c r="M1526" s="2"/>
      <c r="N1526" s="2"/>
      <c r="O1526" s="2">
        <v>75228</v>
      </c>
      <c r="P1526" s="2"/>
      <c r="Q1526" s="2"/>
      <c r="R1526" s="2"/>
      <c r="S1526" s="2" t="s">
        <v>10472</v>
      </c>
      <c r="T1526" s="2" t="s">
        <v>10473</v>
      </c>
      <c r="U1526" s="2" t="s">
        <v>103</v>
      </c>
      <c r="V1526" s="2" t="s">
        <v>104</v>
      </c>
      <c r="W1526" s="2" t="s">
        <v>9173</v>
      </c>
      <c r="X1526" s="2" t="s">
        <v>147</v>
      </c>
      <c r="Y1526" s="2">
        <v>38.9</v>
      </c>
      <c r="Z1526" s="2">
        <v>0</v>
      </c>
      <c r="AA1526" s="2" t="s">
        <v>1123</v>
      </c>
      <c r="AB1526" s="2" t="s">
        <v>10474</v>
      </c>
      <c r="AC1526" s="2">
        <v>3.50567524130977</v>
      </c>
      <c r="AD1526" s="2"/>
      <c r="AE1526" s="2">
        <v>0.42456798319211903</v>
      </c>
      <c r="AF1526" s="2">
        <v>165555.57601052299</v>
      </c>
      <c r="AG1526" s="2">
        <v>181762.208189508</v>
      </c>
      <c r="AH1526" s="4">
        <v>0.91083607345874995</v>
      </c>
      <c r="AI1526" s="4">
        <v>-0.134736664667266</v>
      </c>
      <c r="AJ1526" s="4" t="s">
        <v>62</v>
      </c>
      <c r="AK1526" s="2">
        <v>0.36561915905626902</v>
      </c>
      <c r="AL1526" s="2">
        <v>0.65065051178309297</v>
      </c>
      <c r="AM1526" s="2">
        <v>170400.06377335501</v>
      </c>
      <c r="AN1526" s="2">
        <v>184347.13512235499</v>
      </c>
      <c r="AO1526" s="2">
        <v>170399.73443034399</v>
      </c>
      <c r="AP1526" s="2">
        <v>196208.63947354999</v>
      </c>
      <c r="AQ1526" s="2">
        <v>160283.24475871699</v>
      </c>
      <c r="AR1526" s="2">
        <v>111694.638504819</v>
      </c>
      <c r="AS1526" s="2">
        <v>188976.958672974</v>
      </c>
      <c r="AT1526" s="2">
        <v>215533.44637701201</v>
      </c>
      <c r="AU1526" s="2">
        <v>171489.65726138599</v>
      </c>
      <c r="AV1526" s="2">
        <v>131352.88356449999</v>
      </c>
      <c r="AW1526" s="2">
        <v>206967.13626555901</v>
      </c>
      <c r="AX1526" s="2">
        <v>176253.16699561701</v>
      </c>
    </row>
    <row r="1527" spans="1:50" x14ac:dyDescent="0.25">
      <c r="A1527" s="2" t="s">
        <v>10475</v>
      </c>
      <c r="B1527" s="2">
        <v>650.26298139843902</v>
      </c>
      <c r="C1527" s="2">
        <v>4.7703666666666704</v>
      </c>
      <c r="D1527" s="2" t="s">
        <v>51</v>
      </c>
      <c r="E1527" s="2" t="s">
        <v>10476</v>
      </c>
      <c r="F1527" s="2">
        <v>52867</v>
      </c>
      <c r="G1527" s="3" t="str">
        <f>HYPERLINK("https://cloud.oebiotech.com/#/lm/network/52867", "https://cloud.oebiotech.com/#/lm/network/52867")</f>
        <v>https://cloud.oebiotech.com/#/lm/network/52867</v>
      </c>
      <c r="H1527" s="2" t="s">
        <v>10477</v>
      </c>
      <c r="I1527" s="2">
        <v>85397</v>
      </c>
      <c r="J1527" s="2"/>
      <c r="K1527" s="2">
        <v>65866</v>
      </c>
      <c r="L1527" s="2"/>
      <c r="M1527" s="2"/>
      <c r="N1527" s="2"/>
      <c r="O1527" s="2">
        <v>518487</v>
      </c>
      <c r="P1527" s="2"/>
      <c r="Q1527" s="2"/>
      <c r="R1527" s="2" t="s">
        <v>10478</v>
      </c>
      <c r="S1527" s="2" t="s">
        <v>10479</v>
      </c>
      <c r="T1527" s="2" t="s">
        <v>10480</v>
      </c>
      <c r="U1527" s="2" t="s">
        <v>610</v>
      </c>
      <c r="V1527" s="2" t="s">
        <v>611</v>
      </c>
      <c r="W1527" s="2" t="s">
        <v>2327</v>
      </c>
      <c r="X1527" s="2" t="s">
        <v>147</v>
      </c>
      <c r="Y1527" s="2">
        <v>37.200000000000003</v>
      </c>
      <c r="Z1527" s="2">
        <v>0.14199999999999999</v>
      </c>
      <c r="AA1527" s="2" t="s">
        <v>2087</v>
      </c>
      <c r="AB1527" s="2" t="s">
        <v>10481</v>
      </c>
      <c r="AC1527" s="2">
        <v>0.46993624526487998</v>
      </c>
      <c r="AD1527" s="2"/>
      <c r="AE1527" s="2">
        <v>0.423887363536323</v>
      </c>
      <c r="AF1527" s="2">
        <v>726.08972371781795</v>
      </c>
      <c r="AG1527" s="2">
        <v>8448.13589677235</v>
      </c>
      <c r="AH1527" s="4">
        <v>8.5946738143171206E-2</v>
      </c>
      <c r="AI1527" s="4">
        <v>-3.54041330229906</v>
      </c>
      <c r="AJ1527" s="4" t="s">
        <v>62</v>
      </c>
      <c r="AK1527" s="2">
        <v>0.32023182391687599</v>
      </c>
      <c r="AL1527" s="2">
        <v>0.62829356860359997</v>
      </c>
      <c r="AM1527" s="2">
        <v>695.90478096120205</v>
      </c>
      <c r="AN1527" s="2">
        <v>8.559877937157E-6</v>
      </c>
      <c r="AO1527" s="2">
        <v>8.559877937157E-6</v>
      </c>
      <c r="AP1527" s="2">
        <v>278.89664460307199</v>
      </c>
      <c r="AQ1527" s="2">
        <v>1949.0638009389299</v>
      </c>
      <c r="AR1527" s="2">
        <v>1432.67309868395</v>
      </c>
      <c r="AS1527" s="2">
        <v>199.25178961969499</v>
      </c>
      <c r="AT1527" s="2">
        <v>8.559877937157E-6</v>
      </c>
      <c r="AU1527" s="2">
        <v>8.559877937157E-6</v>
      </c>
      <c r="AV1527" s="2">
        <v>2183.58790308986</v>
      </c>
      <c r="AW1527" s="2">
        <v>45233.5537895987</v>
      </c>
      <c r="AX1527" s="2">
        <v>3072.4218812061099</v>
      </c>
    </row>
    <row r="1528" spans="1:50" x14ac:dyDescent="0.25">
      <c r="A1528" s="2" t="s">
        <v>10482</v>
      </c>
      <c r="B1528" s="2">
        <v>361.16354213626403</v>
      </c>
      <c r="C1528" s="2">
        <v>8.9855999999999998</v>
      </c>
      <c r="D1528" s="2" t="s">
        <v>51</v>
      </c>
      <c r="E1528" s="2" t="s">
        <v>10483</v>
      </c>
      <c r="F1528" s="2">
        <v>82083</v>
      </c>
      <c r="G1528" s="3" t="str">
        <f>HYPERLINK("https://cloud.oebiotech.com/#/lm/network/82083", "https://cloud.oebiotech.com/#/lm/network/82083")</f>
        <v>https://cloud.oebiotech.com/#/lm/network/82083</v>
      </c>
      <c r="H1528" s="2" t="s">
        <v>10484</v>
      </c>
      <c r="I1528" s="2">
        <v>44807</v>
      </c>
      <c r="J1528" s="2"/>
      <c r="K1528" s="2">
        <v>638678</v>
      </c>
      <c r="L1528" s="2" t="s">
        <v>10485</v>
      </c>
      <c r="M1528" s="2"/>
      <c r="N1528" s="2"/>
      <c r="O1528" s="2">
        <v>35940</v>
      </c>
      <c r="P1528" s="2"/>
      <c r="Q1528" s="2"/>
      <c r="R1528" s="2" t="s">
        <v>10486</v>
      </c>
      <c r="S1528" s="2" t="s">
        <v>10487</v>
      </c>
      <c r="T1528" s="2" t="s">
        <v>10488</v>
      </c>
      <c r="U1528" s="2" t="s">
        <v>103</v>
      </c>
      <c r="V1528" s="2" t="s">
        <v>104</v>
      </c>
      <c r="W1528" s="2" t="s">
        <v>105</v>
      </c>
      <c r="X1528" s="2" t="s">
        <v>147</v>
      </c>
      <c r="Y1528" s="2">
        <v>39.799999999999997</v>
      </c>
      <c r="Z1528" s="2">
        <v>7.3</v>
      </c>
      <c r="AA1528" s="2" t="s">
        <v>163</v>
      </c>
      <c r="AB1528" s="2" t="s">
        <v>10489</v>
      </c>
      <c r="AC1528" s="2">
        <v>1.5610218643311</v>
      </c>
      <c r="AD1528" s="2"/>
      <c r="AE1528" s="2">
        <v>0.42319604358632701</v>
      </c>
      <c r="AF1528" s="2">
        <v>3632.7410457902402</v>
      </c>
      <c r="AG1528" s="2">
        <v>10021.8608806053</v>
      </c>
      <c r="AH1528" s="4">
        <v>0.36248168768940697</v>
      </c>
      <c r="AI1528" s="4">
        <v>-1.46401998182049</v>
      </c>
      <c r="AJ1528" s="4" t="s">
        <v>62</v>
      </c>
      <c r="AK1528" s="2">
        <v>6.6683300035843496E-2</v>
      </c>
      <c r="AL1528" s="2">
        <v>0.34192828169447498</v>
      </c>
      <c r="AM1528" s="2">
        <v>1092.8622290748799</v>
      </c>
      <c r="AN1528" s="2">
        <v>1412.48651541564</v>
      </c>
      <c r="AO1528" s="2">
        <v>5349.5203438340204</v>
      </c>
      <c r="AP1528" s="2">
        <v>777.93836499470399</v>
      </c>
      <c r="AQ1528" s="2">
        <v>10169.2073701264</v>
      </c>
      <c r="AR1528" s="2">
        <v>2994.4314512958199</v>
      </c>
      <c r="AS1528" s="2">
        <v>3108.2008205192601</v>
      </c>
      <c r="AT1528" s="2">
        <v>5112.9527212605299</v>
      </c>
      <c r="AU1528" s="2">
        <v>21567.634986837998</v>
      </c>
      <c r="AV1528" s="2">
        <v>7349.2998285681497</v>
      </c>
      <c r="AW1528" s="2">
        <v>9622.4955830581202</v>
      </c>
      <c r="AX1528" s="2">
        <v>13370.581343387599</v>
      </c>
    </row>
    <row r="1529" spans="1:50" x14ac:dyDescent="0.25">
      <c r="A1529" s="2" t="s">
        <v>10490</v>
      </c>
      <c r="B1529" s="2">
        <v>430.22388686513699</v>
      </c>
      <c r="C1529" s="2">
        <v>4.7092833333333299</v>
      </c>
      <c r="D1529" s="2" t="s">
        <v>51</v>
      </c>
      <c r="E1529" s="2" t="s">
        <v>10491</v>
      </c>
      <c r="F1529" s="2">
        <v>211176</v>
      </c>
      <c r="G1529" s="3" t="str">
        <f>HYPERLINK("https://cloud.oebiotech.com/#/lm/network/211176", "https://cloud.oebiotech.com/#/lm/network/211176")</f>
        <v>https://cloud.oebiotech.com/#/lm/network/211176</v>
      </c>
      <c r="H1529" s="2" t="s">
        <v>10492</v>
      </c>
      <c r="I1529" s="2">
        <v>320633</v>
      </c>
      <c r="J1529" s="2"/>
      <c r="K1529" s="2">
        <v>5160</v>
      </c>
      <c r="L1529" s="2"/>
      <c r="M1529" s="2"/>
      <c r="N1529" s="2"/>
      <c r="O1529" s="2"/>
      <c r="P1529" s="2"/>
      <c r="Q1529" s="2"/>
      <c r="R1529" s="2"/>
      <c r="S1529" s="2" t="s">
        <v>10493</v>
      </c>
      <c r="T1529" s="2" t="s">
        <v>10494</v>
      </c>
      <c r="U1529" s="2" t="s">
        <v>540</v>
      </c>
      <c r="V1529" s="2" t="s">
        <v>7590</v>
      </c>
      <c r="W1529" s="2" t="s">
        <v>240</v>
      </c>
      <c r="X1529" s="2" t="s">
        <v>147</v>
      </c>
      <c r="Y1529" s="2">
        <v>36.9</v>
      </c>
      <c r="Z1529" s="2">
        <v>0</v>
      </c>
      <c r="AA1529" s="2" t="s">
        <v>60</v>
      </c>
      <c r="AB1529" s="2" t="s">
        <v>10495</v>
      </c>
      <c r="AC1529" s="2">
        <v>3.4311856168959198</v>
      </c>
      <c r="AD1529" s="2"/>
      <c r="AE1529" s="2">
        <v>0.42222240050259902</v>
      </c>
      <c r="AF1529" s="2">
        <v>3443.5639378597898</v>
      </c>
      <c r="AG1529" s="2">
        <v>9627.9484735561691</v>
      </c>
      <c r="AH1529" s="4">
        <v>0.35766331190053402</v>
      </c>
      <c r="AI1529" s="4">
        <v>-1.48332595657592</v>
      </c>
      <c r="AJ1529" s="4" t="s">
        <v>62</v>
      </c>
      <c r="AK1529" s="2">
        <v>0.28763603665005999</v>
      </c>
      <c r="AL1529" s="2">
        <v>0.602556997361406</v>
      </c>
      <c r="AM1529" s="2">
        <v>1132.88855354114</v>
      </c>
      <c r="AN1529" s="2">
        <v>2379.6260997931099</v>
      </c>
      <c r="AO1529" s="2">
        <v>1607.0761261211901</v>
      </c>
      <c r="AP1529" s="2">
        <v>7192.7526780452699</v>
      </c>
      <c r="AQ1529" s="2">
        <v>4217.03024700673</v>
      </c>
      <c r="AR1529" s="2">
        <v>4132.0099226512702</v>
      </c>
      <c r="AS1529" s="2">
        <v>3695.45353031385</v>
      </c>
      <c r="AT1529" s="2">
        <v>4671.8602315362295</v>
      </c>
      <c r="AU1529" s="2">
        <v>234.335904633296</v>
      </c>
      <c r="AV1529" s="2">
        <v>36270.932716943098</v>
      </c>
      <c r="AW1529" s="2">
        <v>8266.0303398730903</v>
      </c>
      <c r="AX1529" s="2">
        <v>4629.0781180374397</v>
      </c>
    </row>
    <row r="1530" spans="1:50" x14ac:dyDescent="0.25">
      <c r="A1530" s="2" t="s">
        <v>10496</v>
      </c>
      <c r="B1530" s="2">
        <v>557.45780688469904</v>
      </c>
      <c r="C1530" s="2">
        <v>13.510733333333301</v>
      </c>
      <c r="D1530" s="2" t="s">
        <v>51</v>
      </c>
      <c r="E1530" s="2" t="s">
        <v>10497</v>
      </c>
      <c r="F1530" s="2">
        <v>8496</v>
      </c>
      <c r="G1530" s="3" t="str">
        <f>HYPERLINK("https://cloud.oebiotech.com/#/lm/network/8496", "https://cloud.oebiotech.com/#/lm/network/8496")</f>
        <v>https://cloud.oebiotech.com/#/lm/network/8496</v>
      </c>
      <c r="H1530" s="2"/>
      <c r="I1530" s="2"/>
      <c r="J1530" s="2" t="s">
        <v>10498</v>
      </c>
      <c r="K1530" s="2"/>
      <c r="L1530" s="2"/>
      <c r="M1530" s="2"/>
      <c r="N1530" s="2"/>
      <c r="O1530" s="2"/>
      <c r="P1530" s="2"/>
      <c r="Q1530" s="2"/>
      <c r="R1530" s="2"/>
      <c r="S1530" s="2" t="s">
        <v>10499</v>
      </c>
      <c r="T1530" s="2" t="s">
        <v>10500</v>
      </c>
      <c r="U1530" s="2" t="s">
        <v>56</v>
      </c>
      <c r="V1530" s="2" t="s">
        <v>145</v>
      </c>
      <c r="W1530" s="2" t="s">
        <v>203</v>
      </c>
      <c r="X1530" s="2" t="s">
        <v>83</v>
      </c>
      <c r="Y1530" s="2">
        <v>52.1</v>
      </c>
      <c r="Z1530" s="2">
        <v>0</v>
      </c>
      <c r="AA1530" s="2" t="s">
        <v>163</v>
      </c>
      <c r="AB1530" s="2" t="s">
        <v>10501</v>
      </c>
      <c r="AC1530" s="2">
        <v>0.48857173177689101</v>
      </c>
      <c r="AD1530" s="2"/>
      <c r="AE1530" s="2">
        <v>0.422058291036296</v>
      </c>
      <c r="AF1530" s="2">
        <v>13768.888358743499</v>
      </c>
      <c r="AG1530" s="2">
        <v>8819.1545563239397</v>
      </c>
      <c r="AH1530" s="5">
        <v>1.5612481072655899</v>
      </c>
      <c r="AI1530" s="5">
        <v>0.64269982282429605</v>
      </c>
      <c r="AJ1530" s="5" t="s">
        <v>139</v>
      </c>
      <c r="AK1530" s="2">
        <v>4.4314613223529399E-2</v>
      </c>
      <c r="AL1530" s="2">
        <v>0.297793096711781</v>
      </c>
      <c r="AM1530" s="2">
        <v>9180.8124096561405</v>
      </c>
      <c r="AN1530" s="2">
        <v>16252.2714222881</v>
      </c>
      <c r="AO1530" s="2">
        <v>17909.0487143102</v>
      </c>
      <c r="AP1530" s="2">
        <v>14151.8917808837</v>
      </c>
      <c r="AQ1530" s="2">
        <v>13367.7186933787</v>
      </c>
      <c r="AR1530" s="2">
        <v>11751.587131943899</v>
      </c>
      <c r="AS1530" s="2">
        <v>6647.7756825658098</v>
      </c>
      <c r="AT1530" s="2">
        <v>17304.850928557498</v>
      </c>
      <c r="AU1530" s="2">
        <v>5705.5255690888498</v>
      </c>
      <c r="AV1530" s="2">
        <v>7277.6421498097898</v>
      </c>
      <c r="AW1530" s="2">
        <v>7732.3181734796899</v>
      </c>
      <c r="AX1530" s="2">
        <v>8246.8148344420097</v>
      </c>
    </row>
    <row r="1531" spans="1:50" x14ac:dyDescent="0.25">
      <c r="A1531" s="2" t="s">
        <v>10502</v>
      </c>
      <c r="B1531" s="2">
        <v>309.17083289174701</v>
      </c>
      <c r="C1531" s="2">
        <v>9.2343499999999992</v>
      </c>
      <c r="D1531" s="2" t="s">
        <v>51</v>
      </c>
      <c r="E1531" s="2" t="s">
        <v>10503</v>
      </c>
      <c r="F1531" s="2">
        <v>3358</v>
      </c>
      <c r="G1531" s="3" t="str">
        <f>HYPERLINK("https://cloud.oebiotech.com/#/lm/network/3358", "https://cloud.oebiotech.com/#/lm/network/3358")</f>
        <v>https://cloud.oebiotech.com/#/lm/network/3358</v>
      </c>
      <c r="H1531" s="2"/>
      <c r="I1531" s="2"/>
      <c r="J1531" s="2" t="s">
        <v>10504</v>
      </c>
      <c r="K1531" s="2">
        <v>91746127</v>
      </c>
      <c r="L1531" s="2"/>
      <c r="M1531" s="2"/>
      <c r="N1531" s="2"/>
      <c r="O1531" s="2">
        <v>138434</v>
      </c>
      <c r="P1531" s="2"/>
      <c r="Q1531" s="2"/>
      <c r="R1531" s="2"/>
      <c r="S1531" s="2" t="s">
        <v>10505</v>
      </c>
      <c r="T1531" s="2" t="s">
        <v>10506</v>
      </c>
      <c r="U1531" s="2" t="s">
        <v>56</v>
      </c>
      <c r="V1531" s="2" t="s">
        <v>145</v>
      </c>
      <c r="W1531" s="2" t="s">
        <v>187</v>
      </c>
      <c r="X1531" s="2" t="s">
        <v>147</v>
      </c>
      <c r="Y1531" s="2">
        <v>44.3</v>
      </c>
      <c r="Z1531" s="2">
        <v>27.3</v>
      </c>
      <c r="AA1531" s="2" t="s">
        <v>218</v>
      </c>
      <c r="AB1531" s="2" t="s">
        <v>10507</v>
      </c>
      <c r="AC1531" s="2">
        <v>0.32324853019438599</v>
      </c>
      <c r="AD1531" s="2"/>
      <c r="AE1531" s="2">
        <v>0.421798884823197</v>
      </c>
      <c r="AF1531" s="2">
        <v>20129.8729042901</v>
      </c>
      <c r="AG1531" s="2">
        <v>23925.013803686601</v>
      </c>
      <c r="AH1531" s="4">
        <v>0.84137351265345095</v>
      </c>
      <c r="AI1531" s="4">
        <v>-0.249181693663239</v>
      </c>
      <c r="AJ1531" s="4" t="s">
        <v>62</v>
      </c>
      <c r="AK1531" s="2">
        <v>4.9178429290576498E-3</v>
      </c>
      <c r="AL1531" s="2">
        <v>0.123740271492219</v>
      </c>
      <c r="AM1531" s="2">
        <v>17436.312899271001</v>
      </c>
      <c r="AN1531" s="2">
        <v>19428.555284501301</v>
      </c>
      <c r="AO1531" s="2">
        <v>20895.760725395699</v>
      </c>
      <c r="AP1531" s="2">
        <v>19948.216550267902</v>
      </c>
      <c r="AQ1531" s="2">
        <v>21775.945991765599</v>
      </c>
      <c r="AR1531" s="2">
        <v>21294.4459745393</v>
      </c>
      <c r="AS1531" s="2">
        <v>22863.483492439202</v>
      </c>
      <c r="AT1531" s="2">
        <v>26594.553180376999</v>
      </c>
      <c r="AU1531" s="2">
        <v>21088.783920611801</v>
      </c>
      <c r="AV1531" s="2">
        <v>25389.5351431413</v>
      </c>
      <c r="AW1531" s="2">
        <v>22667.105103464401</v>
      </c>
      <c r="AX1531" s="2">
        <v>24946.621982086199</v>
      </c>
    </row>
    <row r="1532" spans="1:50" x14ac:dyDescent="0.25">
      <c r="A1532" s="2" t="s">
        <v>10508</v>
      </c>
      <c r="B1532" s="2">
        <v>413.115846317028</v>
      </c>
      <c r="C1532" s="2">
        <v>6.9037166666666696</v>
      </c>
      <c r="D1532" s="2" t="s">
        <v>51</v>
      </c>
      <c r="E1532" s="2" t="s">
        <v>10509</v>
      </c>
      <c r="F1532" s="2">
        <v>212545</v>
      </c>
      <c r="G1532" s="3" t="str">
        <f>HYPERLINK("https://cloud.oebiotech.com/#/lm/network/212545", "https://cloud.oebiotech.com/#/lm/network/212545")</f>
        <v>https://cloud.oebiotech.com/#/lm/network/212545</v>
      </c>
      <c r="H1532" s="2" t="s">
        <v>10510</v>
      </c>
      <c r="I1532" s="2">
        <v>328849</v>
      </c>
      <c r="J1532" s="2"/>
      <c r="K1532" s="2">
        <v>6529</v>
      </c>
      <c r="L1532" s="2"/>
      <c r="M1532" s="2"/>
      <c r="N1532" s="2"/>
      <c r="O1532" s="2"/>
      <c r="P1532" s="2"/>
      <c r="Q1532" s="2"/>
      <c r="R1532" s="2"/>
      <c r="S1532" s="2" t="s">
        <v>10511</v>
      </c>
      <c r="T1532" s="2" t="s">
        <v>10512</v>
      </c>
      <c r="U1532" s="2" t="s">
        <v>103</v>
      </c>
      <c r="V1532" s="2" t="s">
        <v>1567</v>
      </c>
      <c r="W1532" s="2" t="s">
        <v>1568</v>
      </c>
      <c r="X1532" s="2" t="s">
        <v>147</v>
      </c>
      <c r="Y1532" s="2">
        <v>38.299999999999997</v>
      </c>
      <c r="Z1532" s="2">
        <v>0</v>
      </c>
      <c r="AA1532" s="2" t="s">
        <v>218</v>
      </c>
      <c r="AB1532" s="2" t="s">
        <v>10513</v>
      </c>
      <c r="AC1532" s="2">
        <v>-0.277994428830308</v>
      </c>
      <c r="AD1532" s="2"/>
      <c r="AE1532" s="2">
        <v>0.42177316796786501</v>
      </c>
      <c r="AF1532" s="2">
        <v>19516.949441451299</v>
      </c>
      <c r="AG1532" s="2">
        <v>28258.202217041598</v>
      </c>
      <c r="AH1532" s="4">
        <v>0.69066493655712102</v>
      </c>
      <c r="AI1532" s="4">
        <v>-0.53394211163045602</v>
      </c>
      <c r="AJ1532" s="4" t="s">
        <v>62</v>
      </c>
      <c r="AK1532" s="2">
        <v>0.174850124896092</v>
      </c>
      <c r="AL1532" s="2">
        <v>0.49582791422358302</v>
      </c>
      <c r="AM1532" s="2">
        <v>21886.178044713401</v>
      </c>
      <c r="AN1532" s="2">
        <v>14661.8231602875</v>
      </c>
      <c r="AO1532" s="2">
        <v>29766.630885675801</v>
      </c>
      <c r="AP1532" s="2">
        <v>1453.7583378691099</v>
      </c>
      <c r="AQ1532" s="2">
        <v>20201.414311381999</v>
      </c>
      <c r="AR1532" s="2">
        <v>29131.891908779999</v>
      </c>
      <c r="AS1532" s="2">
        <v>28979.879715763898</v>
      </c>
      <c r="AT1532" s="2">
        <v>27871.559335779999</v>
      </c>
      <c r="AU1532" s="2">
        <v>25364.771978701701</v>
      </c>
      <c r="AV1532" s="2">
        <v>32881.015298603197</v>
      </c>
      <c r="AW1532" s="2">
        <v>42857.471728416996</v>
      </c>
      <c r="AX1532" s="2">
        <v>11594.5152449836</v>
      </c>
    </row>
    <row r="1533" spans="1:50" x14ac:dyDescent="0.25">
      <c r="A1533" s="2" t="s">
        <v>10514</v>
      </c>
      <c r="B1533" s="2">
        <v>759.40506558763605</v>
      </c>
      <c r="C1533" s="2">
        <v>4.3411833333333298</v>
      </c>
      <c r="D1533" s="2" t="s">
        <v>51</v>
      </c>
      <c r="E1533" s="2" t="s">
        <v>10515</v>
      </c>
      <c r="F1533" s="2">
        <v>28043</v>
      </c>
      <c r="G1533" s="3" t="str">
        <f>HYPERLINK("https://cloud.oebiotech.com/#/lm/network/28043", "https://cloud.oebiotech.com/#/lm/network/28043")</f>
        <v>https://cloud.oebiotech.com/#/lm/network/28043</v>
      </c>
      <c r="H1533" s="2"/>
      <c r="I1533" s="2"/>
      <c r="J1533" s="2" t="s">
        <v>10516</v>
      </c>
      <c r="K1533" s="2">
        <v>134812489</v>
      </c>
      <c r="L1533" s="2"/>
      <c r="M1533" s="2"/>
      <c r="N1533" s="2"/>
      <c r="O1533" s="2"/>
      <c r="P1533" s="2"/>
      <c r="Q1533" s="2"/>
      <c r="R1533" s="2"/>
      <c r="S1533" s="2" t="s">
        <v>10517</v>
      </c>
      <c r="T1533" s="2" t="s">
        <v>10518</v>
      </c>
      <c r="U1533" s="2" t="s">
        <v>56</v>
      </c>
      <c r="V1533" s="2" t="s">
        <v>57</v>
      </c>
      <c r="W1533" s="2" t="s">
        <v>570</v>
      </c>
      <c r="X1533" s="2" t="s">
        <v>147</v>
      </c>
      <c r="Y1533" s="2">
        <v>36.1</v>
      </c>
      <c r="Z1533" s="2">
        <v>0</v>
      </c>
      <c r="AA1533" s="2" t="s">
        <v>95</v>
      </c>
      <c r="AB1533" s="2" t="s">
        <v>10519</v>
      </c>
      <c r="AC1533" s="2">
        <v>-0.58915209528937396</v>
      </c>
      <c r="AD1533" s="2"/>
      <c r="AE1533" s="2">
        <v>0.42167857236816197</v>
      </c>
      <c r="AF1533" s="2">
        <v>6004.1137712739701</v>
      </c>
      <c r="AG1533" s="2">
        <v>13252.3752592985</v>
      </c>
      <c r="AH1533" s="4">
        <v>0.45305944434837803</v>
      </c>
      <c r="AI1533" s="4">
        <v>-1.14222774121579</v>
      </c>
      <c r="AJ1533" s="4" t="s">
        <v>62</v>
      </c>
      <c r="AK1533" s="2">
        <v>0.26920691015550102</v>
      </c>
      <c r="AL1533" s="2">
        <v>0.58998945204622</v>
      </c>
      <c r="AM1533" s="2">
        <v>7304.20900185754</v>
      </c>
      <c r="AN1533" s="2">
        <v>12256.2923779229</v>
      </c>
      <c r="AO1533" s="2">
        <v>4247.62631613944</v>
      </c>
      <c r="AP1533" s="2">
        <v>3724.7700206048298</v>
      </c>
      <c r="AQ1533" s="2">
        <v>4042.3735875183602</v>
      </c>
      <c r="AR1533" s="2">
        <v>4449.4113236007397</v>
      </c>
      <c r="AS1533" s="2">
        <v>8.559877937157E-6</v>
      </c>
      <c r="AT1533" s="2">
        <v>6096.35347799193</v>
      </c>
      <c r="AU1533" s="2">
        <v>8.559877937157E-6</v>
      </c>
      <c r="AV1533" s="2">
        <v>38456.659810293197</v>
      </c>
      <c r="AW1533" s="2">
        <v>20869.768137039198</v>
      </c>
      <c r="AX1533" s="2">
        <v>14091.470113346901</v>
      </c>
    </row>
    <row r="1534" spans="1:50" x14ac:dyDescent="0.25">
      <c r="A1534" s="2" t="s">
        <v>10520</v>
      </c>
      <c r="B1534" s="2">
        <v>358.26017938549899</v>
      </c>
      <c r="C1534" s="2">
        <v>8.0245666666666704</v>
      </c>
      <c r="D1534" s="2" t="s">
        <v>51</v>
      </c>
      <c r="E1534" s="2" t="s">
        <v>10521</v>
      </c>
      <c r="F1534" s="2">
        <v>8314</v>
      </c>
      <c r="G1534" s="3" t="str">
        <f>HYPERLINK("https://cloud.oebiotech.com/#/lm/network/8314", "https://cloud.oebiotech.com/#/lm/network/8314")</f>
        <v>https://cloud.oebiotech.com/#/lm/network/8314</v>
      </c>
      <c r="H1534" s="2" t="s">
        <v>10522</v>
      </c>
      <c r="I1534" s="2"/>
      <c r="J1534" s="2" t="s">
        <v>10523</v>
      </c>
      <c r="K1534" s="2">
        <v>53481640</v>
      </c>
      <c r="L1534" s="2"/>
      <c r="M1534" s="2"/>
      <c r="N1534" s="2"/>
      <c r="O1534" s="2"/>
      <c r="P1534" s="2"/>
      <c r="Q1534" s="2"/>
      <c r="R1534" s="2"/>
      <c r="S1534" s="2" t="s">
        <v>10524</v>
      </c>
      <c r="T1534" s="2" t="s">
        <v>10525</v>
      </c>
      <c r="U1534" s="2" t="s">
        <v>56</v>
      </c>
      <c r="V1534" s="2" t="s">
        <v>145</v>
      </c>
      <c r="W1534" s="2" t="s">
        <v>1188</v>
      </c>
      <c r="X1534" s="2" t="s">
        <v>83</v>
      </c>
      <c r="Y1534" s="2">
        <v>41.2</v>
      </c>
      <c r="Z1534" s="2">
        <v>0</v>
      </c>
      <c r="AA1534" s="2" t="s">
        <v>163</v>
      </c>
      <c r="AB1534" s="2" t="s">
        <v>9728</v>
      </c>
      <c r="AC1534" s="2">
        <v>0.78640168134960298</v>
      </c>
      <c r="AD1534" s="2"/>
      <c r="AE1534" s="2">
        <v>0.42160185853152998</v>
      </c>
      <c r="AF1534" s="2">
        <v>11074.5455963108</v>
      </c>
      <c r="AG1534" s="2">
        <v>567.50920657695701</v>
      </c>
      <c r="AH1534" s="5">
        <v>19.514301209506499</v>
      </c>
      <c r="AI1534" s="5">
        <v>4.2864598969094398</v>
      </c>
      <c r="AJ1534" s="5" t="s">
        <v>139</v>
      </c>
      <c r="AK1534" s="2">
        <v>0.23746773346553099</v>
      </c>
      <c r="AL1534" s="2">
        <v>0.56163755472588195</v>
      </c>
      <c r="AM1534" s="2">
        <v>8.559877937157E-6</v>
      </c>
      <c r="AN1534" s="2">
        <v>8.559877937157E-6</v>
      </c>
      <c r="AO1534" s="2">
        <v>15435.0920955126</v>
      </c>
      <c r="AP1534" s="2">
        <v>8.559877937157E-6</v>
      </c>
      <c r="AQ1534" s="2">
        <v>50887.751233408097</v>
      </c>
      <c r="AR1534" s="2">
        <v>124.43022326443599</v>
      </c>
      <c r="AS1534" s="2">
        <v>2626.8185313570202</v>
      </c>
      <c r="AT1534" s="2">
        <v>8.559877937157E-6</v>
      </c>
      <c r="AU1534" s="2">
        <v>778.23667386521197</v>
      </c>
      <c r="AV1534" s="2">
        <v>8.559877937157E-6</v>
      </c>
      <c r="AW1534" s="2">
        <v>8.559877937157E-6</v>
      </c>
      <c r="AX1534" s="2">
        <v>8.559877937157E-6</v>
      </c>
    </row>
    <row r="1535" spans="1:50" x14ac:dyDescent="0.25">
      <c r="A1535" s="2" t="s">
        <v>10526</v>
      </c>
      <c r="B1535" s="2">
        <v>178.05355953610601</v>
      </c>
      <c r="C1535" s="2">
        <v>3.7165666666666701</v>
      </c>
      <c r="D1535" s="2" t="s">
        <v>51</v>
      </c>
      <c r="E1535" s="2" t="s">
        <v>10527</v>
      </c>
      <c r="F1535" s="2">
        <v>55914</v>
      </c>
      <c r="G1535" s="3" t="str">
        <f>HYPERLINK("https://cloud.oebiotech.com/#/lm/network/55914", "https://cloud.oebiotech.com/#/lm/network/55914")</f>
        <v>https://cloud.oebiotech.com/#/lm/network/55914</v>
      </c>
      <c r="H1535" s="2" t="s">
        <v>10528</v>
      </c>
      <c r="I1535" s="2"/>
      <c r="J1535" s="2"/>
      <c r="K1535" s="2">
        <v>7533</v>
      </c>
      <c r="L1535" s="2" t="s">
        <v>10529</v>
      </c>
      <c r="M1535" s="2"/>
      <c r="N1535" s="2"/>
      <c r="O1535" s="2">
        <v>15964</v>
      </c>
      <c r="P1535" s="2"/>
      <c r="Q1535" s="2"/>
      <c r="R1535" s="2" t="s">
        <v>10530</v>
      </c>
      <c r="S1535" s="2" t="s">
        <v>10531</v>
      </c>
      <c r="T1535" s="2" t="s">
        <v>10532</v>
      </c>
      <c r="U1535" s="2" t="s">
        <v>103</v>
      </c>
      <c r="V1535" s="2" t="s">
        <v>10533</v>
      </c>
      <c r="W1535" s="2" t="s">
        <v>10534</v>
      </c>
      <c r="X1535" s="2" t="s">
        <v>83</v>
      </c>
      <c r="Y1535" s="2">
        <v>39.200000000000003</v>
      </c>
      <c r="Z1535" s="2">
        <v>0</v>
      </c>
      <c r="AA1535" s="2" t="s">
        <v>163</v>
      </c>
      <c r="AB1535" s="2" t="s">
        <v>10535</v>
      </c>
      <c r="AC1535" s="2">
        <v>-4.3466171547136101</v>
      </c>
      <c r="AD1535" s="2"/>
      <c r="AE1535" s="2">
        <v>0.42158642813553898</v>
      </c>
      <c r="AF1535" s="2">
        <v>13747.674744412099</v>
      </c>
      <c r="AG1535" s="2">
        <v>1153.87857033553</v>
      </c>
      <c r="AH1535" s="5">
        <v>11.914316720878499</v>
      </c>
      <c r="AI1535" s="5">
        <v>3.5746243110679998</v>
      </c>
      <c r="AJ1535" s="5" t="s">
        <v>139</v>
      </c>
      <c r="AK1535" s="2">
        <v>0.27047442080196499</v>
      </c>
      <c r="AL1535" s="2">
        <v>0.590587214527865</v>
      </c>
      <c r="AM1535" s="2">
        <v>8.559877937157E-6</v>
      </c>
      <c r="AN1535" s="2">
        <v>4.2446648766616102</v>
      </c>
      <c r="AO1535" s="2">
        <v>8.559877937157E-6</v>
      </c>
      <c r="AP1535" s="2">
        <v>8.559877937157E-6</v>
      </c>
      <c r="AQ1535" s="2">
        <v>65832.610755812406</v>
      </c>
      <c r="AR1535" s="2">
        <v>16649.193020103699</v>
      </c>
      <c r="AS1535" s="2">
        <v>8.559877937157E-6</v>
      </c>
      <c r="AT1535" s="2">
        <v>8.559877937157E-6</v>
      </c>
      <c r="AU1535" s="2">
        <v>4811.5754376346003</v>
      </c>
      <c r="AV1535" s="2">
        <v>2098.81895776079</v>
      </c>
      <c r="AW1535" s="2">
        <v>12.877000938174801</v>
      </c>
      <c r="AX1535" s="2">
        <v>8.559877937157E-6</v>
      </c>
    </row>
    <row r="1536" spans="1:50" x14ac:dyDescent="0.25">
      <c r="A1536" s="2" t="s">
        <v>10536</v>
      </c>
      <c r="B1536" s="2">
        <v>174.0909</v>
      </c>
      <c r="C1536" s="2">
        <v>18.984000000000002</v>
      </c>
      <c r="D1536" s="2" t="s">
        <v>125</v>
      </c>
      <c r="E1536" s="2" t="s">
        <v>10537</v>
      </c>
      <c r="F1536" s="2">
        <v>47908</v>
      </c>
      <c r="G1536" s="3" t="str">
        <f>HYPERLINK("https://cloud.oebiotech.com/#/lm/network/47908", "https://cloud.oebiotech.com/#/lm/network/47908")</f>
        <v>https://cloud.oebiotech.com/#/lm/network/47908</v>
      </c>
      <c r="H1536" s="2" t="s">
        <v>10538</v>
      </c>
      <c r="I1536" s="2">
        <v>3236</v>
      </c>
      <c r="J1536" s="2"/>
      <c r="K1536" s="2">
        <v>273</v>
      </c>
      <c r="L1536" s="2" t="s">
        <v>10539</v>
      </c>
      <c r="M1536" s="2" t="s">
        <v>10540</v>
      </c>
      <c r="N1536" s="2" t="s">
        <v>10541</v>
      </c>
      <c r="O1536" s="2">
        <v>18127</v>
      </c>
      <c r="P1536" s="2"/>
      <c r="Q1536" s="2"/>
      <c r="R1536" s="2" t="s">
        <v>10542</v>
      </c>
      <c r="S1536" s="2" t="s">
        <v>10543</v>
      </c>
      <c r="T1536" s="2" t="s">
        <v>10544</v>
      </c>
      <c r="U1536" s="2" t="s">
        <v>119</v>
      </c>
      <c r="V1536" s="2" t="s">
        <v>120</v>
      </c>
      <c r="W1536" s="2" t="s">
        <v>1887</v>
      </c>
      <c r="X1536" s="2" t="s">
        <v>69</v>
      </c>
      <c r="Y1536" s="2">
        <v>87.3</v>
      </c>
      <c r="Z1536" s="2">
        <v>79.099999999999994</v>
      </c>
      <c r="AA1536" s="2"/>
      <c r="AB1536" s="2" t="s">
        <v>10545</v>
      </c>
      <c r="AC1536" s="2"/>
      <c r="AD1536" s="2">
        <v>637042.63787119195</v>
      </c>
      <c r="AE1536" s="2">
        <v>0.42135126235806603</v>
      </c>
      <c r="AF1536" s="2">
        <v>1166843.8186915801</v>
      </c>
      <c r="AG1536" s="2">
        <v>1275935.5809666701</v>
      </c>
      <c r="AH1536" s="4">
        <v>0.914500572048907</v>
      </c>
      <c r="AI1536" s="4">
        <v>-0.128944022461907</v>
      </c>
      <c r="AJ1536" s="4" t="s">
        <v>62</v>
      </c>
      <c r="AK1536" s="2">
        <v>0.66372902222108199</v>
      </c>
      <c r="AL1536" s="2">
        <v>0.83663677386975799</v>
      </c>
      <c r="AM1536" s="2">
        <v>1260277.1335287199</v>
      </c>
      <c r="AN1536" s="2">
        <v>1371428.7325746</v>
      </c>
      <c r="AO1536" s="2">
        <v>1370831.9901449</v>
      </c>
      <c r="AP1536" s="2">
        <v>1459267.8331627301</v>
      </c>
      <c r="AQ1536" s="2">
        <v>277548.67504695302</v>
      </c>
      <c r="AR1536" s="2">
        <v>1261708.5476915699</v>
      </c>
      <c r="AS1536" s="2">
        <v>588275.93803910003</v>
      </c>
      <c r="AT1536" s="2">
        <v>1152331.8751604201</v>
      </c>
      <c r="AU1536" s="2">
        <v>1567106.5043303899</v>
      </c>
      <c r="AV1536" s="2">
        <v>1748227.3561329099</v>
      </c>
      <c r="AW1536" s="2">
        <v>1252399.6576791101</v>
      </c>
      <c r="AX1536" s="2">
        <v>1347272.15445812</v>
      </c>
    </row>
    <row r="1537" spans="1:50" x14ac:dyDescent="0.25">
      <c r="A1537" s="2" t="s">
        <v>10546</v>
      </c>
      <c r="B1537" s="2">
        <v>378.21000215554199</v>
      </c>
      <c r="C1537" s="2">
        <v>13.5068</v>
      </c>
      <c r="D1537" s="2" t="s">
        <v>51</v>
      </c>
      <c r="E1537" s="2" t="s">
        <v>10547</v>
      </c>
      <c r="F1537" s="2">
        <v>204638</v>
      </c>
      <c r="G1537" s="3" t="str">
        <f>HYPERLINK("https://cloud.oebiotech.com/#/lm/network/204638", "https://cloud.oebiotech.com/#/lm/network/204638")</f>
        <v>https://cloud.oebiotech.com/#/lm/network/204638</v>
      </c>
      <c r="H1537" s="2" t="s">
        <v>10548</v>
      </c>
      <c r="I1537" s="2"/>
      <c r="J1537" s="2"/>
      <c r="K1537" s="2">
        <v>11848225</v>
      </c>
      <c r="L1537" s="2"/>
      <c r="M1537" s="2"/>
      <c r="N1537" s="2"/>
      <c r="O1537" s="2"/>
      <c r="P1537" s="2"/>
      <c r="Q1537" s="2"/>
      <c r="R1537" s="2"/>
      <c r="S1537" s="2" t="s">
        <v>10549</v>
      </c>
      <c r="T1537" s="2" t="s">
        <v>10550</v>
      </c>
      <c r="U1537" s="2" t="s">
        <v>266</v>
      </c>
      <c r="V1537" s="2" t="s">
        <v>445</v>
      </c>
      <c r="W1537" s="2" t="s">
        <v>446</v>
      </c>
      <c r="X1537" s="2" t="s">
        <v>147</v>
      </c>
      <c r="Y1537" s="2">
        <v>41.5</v>
      </c>
      <c r="Z1537" s="2">
        <v>16</v>
      </c>
      <c r="AA1537" s="2" t="s">
        <v>122</v>
      </c>
      <c r="AB1537" s="2" t="s">
        <v>10551</v>
      </c>
      <c r="AC1537" s="2">
        <v>-1.95568085847624</v>
      </c>
      <c r="AD1537" s="2"/>
      <c r="AE1537" s="2">
        <v>0.42097768477751701</v>
      </c>
      <c r="AF1537" s="2">
        <v>317395.16526136303</v>
      </c>
      <c r="AG1537" s="2">
        <v>308927.79045835201</v>
      </c>
      <c r="AH1537" s="5">
        <v>1.02740891258261</v>
      </c>
      <c r="AI1537" s="5">
        <v>3.9010493964878698E-2</v>
      </c>
      <c r="AJ1537" s="5" t="s">
        <v>139</v>
      </c>
      <c r="AK1537" s="2">
        <v>0.79895576212570896</v>
      </c>
      <c r="AL1537" s="2">
        <v>0.90954932814260703</v>
      </c>
      <c r="AM1537" s="2">
        <v>319502.16699159099</v>
      </c>
      <c r="AN1537" s="2">
        <v>306094.140112772</v>
      </c>
      <c r="AO1537" s="2">
        <v>383021.21457789798</v>
      </c>
      <c r="AP1537" s="2">
        <v>241965.422522615</v>
      </c>
      <c r="AQ1537" s="2">
        <v>405374.73377087398</v>
      </c>
      <c r="AR1537" s="2">
        <v>248413.31359242499</v>
      </c>
      <c r="AS1537" s="2">
        <v>264533.00484117802</v>
      </c>
      <c r="AT1537" s="2">
        <v>306757.17163928301</v>
      </c>
      <c r="AU1537" s="2">
        <v>386809.09575197397</v>
      </c>
      <c r="AV1537" s="2">
        <v>307875.74925993697</v>
      </c>
      <c r="AW1537" s="2">
        <v>306198.49833917897</v>
      </c>
      <c r="AX1537" s="2">
        <v>281393.22291856201</v>
      </c>
    </row>
    <row r="1538" spans="1:50" x14ac:dyDescent="0.25">
      <c r="A1538" s="2" t="s">
        <v>10552</v>
      </c>
      <c r="B1538" s="2">
        <v>529.37446851364302</v>
      </c>
      <c r="C1538" s="2">
        <v>12.4447833333333</v>
      </c>
      <c r="D1538" s="2" t="s">
        <v>51</v>
      </c>
      <c r="E1538" s="2" t="s">
        <v>10553</v>
      </c>
      <c r="F1538" s="2">
        <v>198849</v>
      </c>
      <c r="G1538" s="3" t="str">
        <f>HYPERLINK("https://cloud.oebiotech.com/#/lm/network/198849", "https://cloud.oebiotech.com/#/lm/network/198849")</f>
        <v>https://cloud.oebiotech.com/#/lm/network/198849</v>
      </c>
      <c r="H1538" s="2" t="s">
        <v>10554</v>
      </c>
      <c r="I1538" s="2"/>
      <c r="J1538" s="2"/>
      <c r="K1538" s="2"/>
      <c r="L1538" s="2"/>
      <c r="M1538" s="2"/>
      <c r="N1538" s="2"/>
      <c r="O1538" s="2"/>
      <c r="P1538" s="2"/>
      <c r="Q1538" s="2"/>
      <c r="R1538" s="2"/>
      <c r="S1538" s="2" t="s">
        <v>10555</v>
      </c>
      <c r="T1538" s="2" t="s">
        <v>10556</v>
      </c>
      <c r="U1538" s="2" t="s">
        <v>56</v>
      </c>
      <c r="V1538" s="2" t="s">
        <v>283</v>
      </c>
      <c r="W1538" s="2" t="s">
        <v>2042</v>
      </c>
      <c r="X1538" s="2" t="s">
        <v>147</v>
      </c>
      <c r="Y1538" s="2">
        <v>36.5</v>
      </c>
      <c r="Z1538" s="2">
        <v>0</v>
      </c>
      <c r="AA1538" s="2" t="s">
        <v>379</v>
      </c>
      <c r="AB1538" s="2" t="s">
        <v>10557</v>
      </c>
      <c r="AC1538" s="2">
        <v>-2.66441939054637</v>
      </c>
      <c r="AD1538" s="2"/>
      <c r="AE1538" s="2">
        <v>0.42054684226196698</v>
      </c>
      <c r="AF1538" s="2">
        <v>7894.6110897787103</v>
      </c>
      <c r="AG1538" s="2">
        <v>2672.7936928834101</v>
      </c>
      <c r="AH1538" s="5">
        <v>2.95369265154992</v>
      </c>
      <c r="AI1538" s="5">
        <v>1.56251971332219</v>
      </c>
      <c r="AJ1538" s="5" t="s">
        <v>139</v>
      </c>
      <c r="AK1538" s="2">
        <v>0.156307401674427</v>
      </c>
      <c r="AL1538" s="2">
        <v>0.47717103882190898</v>
      </c>
      <c r="AM1538" s="2">
        <v>14797.9029549602</v>
      </c>
      <c r="AN1538" s="2">
        <v>17550.961407727798</v>
      </c>
      <c r="AO1538" s="2">
        <v>1145.6701615689401</v>
      </c>
      <c r="AP1538" s="2">
        <v>923.20897530085597</v>
      </c>
      <c r="AQ1538" s="2">
        <v>704.16039102337697</v>
      </c>
      <c r="AR1538" s="2">
        <v>12245.7626480911</v>
      </c>
      <c r="AS1538" s="2">
        <v>4210.0955793439298</v>
      </c>
      <c r="AT1538" s="2">
        <v>287.518042143971</v>
      </c>
      <c r="AU1538" s="2">
        <v>2705.35287897955</v>
      </c>
      <c r="AV1538" s="2">
        <v>452.15035608938899</v>
      </c>
      <c r="AW1538" s="2">
        <v>665.77582841748801</v>
      </c>
      <c r="AX1538" s="2">
        <v>7715.8694723261597</v>
      </c>
    </row>
    <row r="1539" spans="1:50" x14ac:dyDescent="0.25">
      <c r="A1539" s="2" t="s">
        <v>10558</v>
      </c>
      <c r="B1539" s="2">
        <v>633.49097054082097</v>
      </c>
      <c r="C1539" s="2">
        <v>12.1138666666667</v>
      </c>
      <c r="D1539" s="2" t="s">
        <v>51</v>
      </c>
      <c r="E1539" s="2" t="s">
        <v>10559</v>
      </c>
      <c r="F1539" s="2">
        <v>10708</v>
      </c>
      <c r="G1539" s="3" t="str">
        <f>HYPERLINK("https://cloud.oebiotech.com/#/lm/network/10708", "https://cloud.oebiotech.com/#/lm/network/10708")</f>
        <v>https://cloud.oebiotech.com/#/lm/network/10708</v>
      </c>
      <c r="H1539" s="2"/>
      <c r="I1539" s="2">
        <v>4529</v>
      </c>
      <c r="J1539" s="2" t="s">
        <v>10560</v>
      </c>
      <c r="K1539" s="2">
        <v>9543860</v>
      </c>
      <c r="L1539" s="2"/>
      <c r="M1539" s="2"/>
      <c r="N1539" s="2"/>
      <c r="O1539" s="2"/>
      <c r="P1539" s="2"/>
      <c r="Q1539" s="2"/>
      <c r="R1539" s="2"/>
      <c r="S1539" s="2" t="s">
        <v>10561</v>
      </c>
      <c r="T1539" s="2" t="s">
        <v>10562</v>
      </c>
      <c r="U1539" s="2" t="s">
        <v>56</v>
      </c>
      <c r="V1539" s="2" t="s">
        <v>3215</v>
      </c>
      <c r="W1539" s="2" t="s">
        <v>3216</v>
      </c>
      <c r="X1539" s="2" t="s">
        <v>147</v>
      </c>
      <c r="Y1539" s="2">
        <v>40</v>
      </c>
      <c r="Z1539" s="2">
        <v>17.7</v>
      </c>
      <c r="AA1539" s="2" t="s">
        <v>379</v>
      </c>
      <c r="AB1539" s="2" t="s">
        <v>10563</v>
      </c>
      <c r="AC1539" s="2">
        <v>3.2741155641720301</v>
      </c>
      <c r="AD1539" s="2"/>
      <c r="AE1539" s="2">
        <v>0.420262850889558</v>
      </c>
      <c r="AF1539" s="2">
        <v>5573.1483507943503</v>
      </c>
      <c r="AG1539" s="2">
        <v>11414.0235443977</v>
      </c>
      <c r="AH1539" s="4">
        <v>0.48827202161588201</v>
      </c>
      <c r="AI1539" s="4">
        <v>-1.0342429821432999</v>
      </c>
      <c r="AJ1539" s="4" t="s">
        <v>62</v>
      </c>
      <c r="AK1539" s="2">
        <v>1.7944512553672898E-2</v>
      </c>
      <c r="AL1539" s="2">
        <v>0.21222424508198401</v>
      </c>
      <c r="AM1539" s="2">
        <v>6703.0210228246096</v>
      </c>
      <c r="AN1539" s="2">
        <v>7744.6257227024798</v>
      </c>
      <c r="AO1539" s="2">
        <v>2479.8617178603899</v>
      </c>
      <c r="AP1539" s="2">
        <v>3507.0692900110798</v>
      </c>
      <c r="AQ1539" s="2">
        <v>4250.9434500826301</v>
      </c>
      <c r="AR1539" s="2">
        <v>8753.36890128493</v>
      </c>
      <c r="AS1539" s="2">
        <v>3890.9052981907298</v>
      </c>
      <c r="AT1539" s="2">
        <v>15986.762533323201</v>
      </c>
      <c r="AU1539" s="2">
        <v>12681.608916934099</v>
      </c>
      <c r="AV1539" s="2">
        <v>11509.688218797301</v>
      </c>
      <c r="AW1539" s="2">
        <v>15035.2516818529</v>
      </c>
      <c r="AX1539" s="2">
        <v>9379.9246172881794</v>
      </c>
    </row>
    <row r="1540" spans="1:50" x14ac:dyDescent="0.25">
      <c r="A1540" s="2" t="s">
        <v>10564</v>
      </c>
      <c r="B1540" s="2">
        <v>596.32086705295899</v>
      </c>
      <c r="C1540" s="2">
        <v>7.0900166666666697</v>
      </c>
      <c r="D1540" s="2" t="s">
        <v>51</v>
      </c>
      <c r="E1540" s="2" t="s">
        <v>10565</v>
      </c>
      <c r="F1540" s="2">
        <v>27903</v>
      </c>
      <c r="G1540" s="3" t="str">
        <f>HYPERLINK("https://cloud.oebiotech.com/#/lm/network/27903", "https://cloud.oebiotech.com/#/lm/network/27903")</f>
        <v>https://cloud.oebiotech.com/#/lm/network/27903</v>
      </c>
      <c r="H1540" s="2"/>
      <c r="I1540" s="2"/>
      <c r="J1540" s="2" t="s">
        <v>10566</v>
      </c>
      <c r="K1540" s="2">
        <v>134812361</v>
      </c>
      <c r="L1540" s="2"/>
      <c r="M1540" s="2"/>
      <c r="N1540" s="2"/>
      <c r="O1540" s="2">
        <v>142750</v>
      </c>
      <c r="P1540" s="2"/>
      <c r="Q1540" s="2"/>
      <c r="R1540" s="2"/>
      <c r="S1540" s="2" t="s">
        <v>10567</v>
      </c>
      <c r="T1540" s="2" t="s">
        <v>10568</v>
      </c>
      <c r="U1540" s="2" t="s">
        <v>56</v>
      </c>
      <c r="V1540" s="2" t="s">
        <v>57</v>
      </c>
      <c r="W1540" s="2" t="s">
        <v>155</v>
      </c>
      <c r="X1540" s="2" t="s">
        <v>59</v>
      </c>
      <c r="Y1540" s="2">
        <v>54.1</v>
      </c>
      <c r="Z1540" s="2">
        <v>80.099999999999994</v>
      </c>
      <c r="AA1540" s="2" t="s">
        <v>218</v>
      </c>
      <c r="AB1540" s="2" t="s">
        <v>3629</v>
      </c>
      <c r="AC1540" s="2">
        <v>0.62643685459171095</v>
      </c>
      <c r="AD1540" s="2"/>
      <c r="AE1540" s="2">
        <v>0.41988360599389801</v>
      </c>
      <c r="AF1540" s="2">
        <v>16599.338914188102</v>
      </c>
      <c r="AG1540" s="2">
        <v>9034.8615871482598</v>
      </c>
      <c r="AH1540" s="5">
        <v>1.8372543678809601</v>
      </c>
      <c r="AI1540" s="5">
        <v>0.87755138141681399</v>
      </c>
      <c r="AJ1540" s="5" t="s">
        <v>139</v>
      </c>
      <c r="AK1540" s="2">
        <v>0.173936014458175</v>
      </c>
      <c r="AL1540" s="2">
        <v>0.49504224249194001</v>
      </c>
      <c r="AM1540" s="2">
        <v>7748.72829075135</v>
      </c>
      <c r="AN1540" s="2">
        <v>34740.752191136497</v>
      </c>
      <c r="AO1540" s="2">
        <v>14524.2081986721</v>
      </c>
      <c r="AP1540" s="2">
        <v>6147.5079303717303</v>
      </c>
      <c r="AQ1540" s="2">
        <v>13577.9704341668</v>
      </c>
      <c r="AR1540" s="2">
        <v>22856.86644003</v>
      </c>
      <c r="AS1540" s="2">
        <v>14627.021094305401</v>
      </c>
      <c r="AT1540" s="2">
        <v>5053.7144623369904</v>
      </c>
      <c r="AU1540" s="2">
        <v>7887.9286103456398</v>
      </c>
      <c r="AV1540" s="2">
        <v>1855.2111961655</v>
      </c>
      <c r="AW1540" s="2">
        <v>5002.20229459242</v>
      </c>
      <c r="AX1540" s="2">
        <v>19783.0918651436</v>
      </c>
    </row>
    <row r="1541" spans="1:50" x14ac:dyDescent="0.25">
      <c r="A1541" s="2" t="s">
        <v>10569</v>
      </c>
      <c r="B1541" s="2">
        <v>421.111929953279</v>
      </c>
      <c r="C1541" s="2">
        <v>0.72640000000000005</v>
      </c>
      <c r="D1541" s="2" t="s">
        <v>51</v>
      </c>
      <c r="E1541" s="2" t="s">
        <v>10570</v>
      </c>
      <c r="F1541" s="2">
        <v>209549</v>
      </c>
      <c r="G1541" s="3" t="str">
        <f>HYPERLINK("https://cloud.oebiotech.com/#/lm/network/209549", "https://cloud.oebiotech.com/#/lm/network/209549")</f>
        <v>https://cloud.oebiotech.com/#/lm/network/209549</v>
      </c>
      <c r="H1541" s="2" t="s">
        <v>10571</v>
      </c>
      <c r="I1541" s="2">
        <v>1521</v>
      </c>
      <c r="J1541" s="2"/>
      <c r="K1541" s="2">
        <v>47528</v>
      </c>
      <c r="L1541" s="2" t="s">
        <v>10572</v>
      </c>
      <c r="M1541" s="2"/>
      <c r="N1541" s="2"/>
      <c r="O1541" s="2">
        <v>31905</v>
      </c>
      <c r="P1541" s="2"/>
      <c r="Q1541" s="2"/>
      <c r="R1541" s="2" t="s">
        <v>10573</v>
      </c>
      <c r="S1541" s="2" t="s">
        <v>10574</v>
      </c>
      <c r="T1541" s="2" t="s">
        <v>10575</v>
      </c>
      <c r="U1541" s="2" t="s">
        <v>266</v>
      </c>
      <c r="V1541" s="2" t="s">
        <v>2143</v>
      </c>
      <c r="W1541" s="2" t="s">
        <v>2624</v>
      </c>
      <c r="X1541" s="2" t="s">
        <v>147</v>
      </c>
      <c r="Y1541" s="2">
        <v>40.5</v>
      </c>
      <c r="Z1541" s="2">
        <v>7.69</v>
      </c>
      <c r="AA1541" s="2" t="s">
        <v>478</v>
      </c>
      <c r="AB1541" s="2" t="s">
        <v>10576</v>
      </c>
      <c r="AC1541" s="2">
        <v>1.4091364918890701</v>
      </c>
      <c r="AD1541" s="2"/>
      <c r="AE1541" s="2">
        <v>0.419840277183473</v>
      </c>
      <c r="AF1541" s="2">
        <v>853.32440757231495</v>
      </c>
      <c r="AG1541" s="2">
        <v>16621.191402855198</v>
      </c>
      <c r="AH1541" s="4">
        <v>5.1339545216098598E-2</v>
      </c>
      <c r="AI1541" s="4">
        <v>-4.28378567370918</v>
      </c>
      <c r="AJ1541" s="4" t="s">
        <v>62</v>
      </c>
      <c r="AK1541" s="2">
        <v>0.23877697567561801</v>
      </c>
      <c r="AL1541" s="2">
        <v>0.56258760860868195</v>
      </c>
      <c r="AM1541" s="2">
        <v>3552.6480677089899</v>
      </c>
      <c r="AN1541" s="2">
        <v>8.559877937157E-6</v>
      </c>
      <c r="AO1541" s="2">
        <v>600.59272101112697</v>
      </c>
      <c r="AP1541" s="2">
        <v>8.559877937157E-6</v>
      </c>
      <c r="AQ1541" s="2">
        <v>8.559877937157E-6</v>
      </c>
      <c r="AR1541" s="2">
        <v>966.70563103413701</v>
      </c>
      <c r="AS1541" s="2">
        <v>12691.384269914801</v>
      </c>
      <c r="AT1541" s="2">
        <v>78619.496291292395</v>
      </c>
      <c r="AU1541" s="2">
        <v>7578.5115489041</v>
      </c>
      <c r="AV1541" s="2">
        <v>8.559877937157E-6</v>
      </c>
      <c r="AW1541" s="2">
        <v>8.559877937157E-6</v>
      </c>
      <c r="AX1541" s="2">
        <v>837.75628990031601</v>
      </c>
    </row>
    <row r="1542" spans="1:50" x14ac:dyDescent="0.25">
      <c r="A1542" s="2" t="s">
        <v>10577</v>
      </c>
      <c r="B1542" s="2">
        <v>241.04480000000001</v>
      </c>
      <c r="C1542" s="2">
        <v>8.7279999999999998</v>
      </c>
      <c r="D1542" s="2" t="s">
        <v>125</v>
      </c>
      <c r="E1542" s="2" t="s">
        <v>10578</v>
      </c>
      <c r="F1542" s="2">
        <v>83285</v>
      </c>
      <c r="G1542" s="3" t="str">
        <f>HYPERLINK("https://cloud.oebiotech.com/#/lm/network/83285", "https://cloud.oebiotech.com/#/lm/network/83285")</f>
        <v>https://cloud.oebiotech.com/#/lm/network/83285</v>
      </c>
      <c r="H1542" s="2" t="s">
        <v>10579</v>
      </c>
      <c r="I1542" s="2"/>
      <c r="J1542" s="2"/>
      <c r="K1542" s="2">
        <v>13130</v>
      </c>
      <c r="L1542" s="2"/>
      <c r="M1542" s="2"/>
      <c r="N1542" s="2"/>
      <c r="O1542" s="2">
        <v>340824</v>
      </c>
      <c r="P1542" s="2"/>
      <c r="Q1542" s="2"/>
      <c r="R1542" s="2" t="s">
        <v>10580</v>
      </c>
      <c r="S1542" s="2" t="s">
        <v>10581</v>
      </c>
      <c r="T1542" s="2" t="s">
        <v>10582</v>
      </c>
      <c r="U1542" s="2" t="s">
        <v>103</v>
      </c>
      <c r="V1542" s="2" t="s">
        <v>1567</v>
      </c>
      <c r="W1542" s="2" t="s">
        <v>1568</v>
      </c>
      <c r="X1542" s="2" t="s">
        <v>69</v>
      </c>
      <c r="Y1542" s="2">
        <v>92.5</v>
      </c>
      <c r="Z1542" s="2">
        <v>87.5</v>
      </c>
      <c r="AA1542" s="2"/>
      <c r="AB1542" s="2" t="s">
        <v>10583</v>
      </c>
      <c r="AC1542" s="2"/>
      <c r="AD1542" s="2">
        <v>292846.14107883797</v>
      </c>
      <c r="AE1542" s="2">
        <v>0.41952710367479801</v>
      </c>
      <c r="AF1542" s="2">
        <v>140638.653593497</v>
      </c>
      <c r="AG1542" s="2">
        <v>94695.696178191007</v>
      </c>
      <c r="AH1542" s="5">
        <v>1.48516415496703</v>
      </c>
      <c r="AI1542" s="5">
        <v>0.57062240070162296</v>
      </c>
      <c r="AJ1542" s="5" t="s">
        <v>139</v>
      </c>
      <c r="AK1542" s="2">
        <v>8.8854519748355898E-3</v>
      </c>
      <c r="AL1542" s="2">
        <v>0.15306555284881401</v>
      </c>
      <c r="AM1542" s="2">
        <v>89974.991746639207</v>
      </c>
      <c r="AN1542" s="2">
        <v>136678.85101723601</v>
      </c>
      <c r="AO1542" s="2">
        <v>155243.44200672201</v>
      </c>
      <c r="AP1542" s="2">
        <v>180328.75531664499</v>
      </c>
      <c r="AQ1542" s="2">
        <v>137471.27950994499</v>
      </c>
      <c r="AR1542" s="2">
        <v>144134.601963797</v>
      </c>
      <c r="AS1542" s="2">
        <v>108485.526982369</v>
      </c>
      <c r="AT1542" s="2">
        <v>106187.828490108</v>
      </c>
      <c r="AU1542" s="2">
        <v>76948.920301616497</v>
      </c>
      <c r="AV1542" s="2">
        <v>117824.25399872</v>
      </c>
      <c r="AW1542" s="2">
        <v>79862.447534417399</v>
      </c>
      <c r="AX1542" s="2">
        <v>78865.199761915093</v>
      </c>
    </row>
    <row r="1543" spans="1:50" x14ac:dyDescent="0.25">
      <c r="A1543" s="2" t="s">
        <v>10584</v>
      </c>
      <c r="B1543" s="2">
        <v>353.163971461475</v>
      </c>
      <c r="C1543" s="2">
        <v>13.3257833333333</v>
      </c>
      <c r="D1543" s="2" t="s">
        <v>51</v>
      </c>
      <c r="E1543" s="2" t="s">
        <v>10585</v>
      </c>
      <c r="F1543" s="2">
        <v>209229</v>
      </c>
      <c r="G1543" s="3" t="str">
        <f>HYPERLINK("https://cloud.oebiotech.com/#/lm/network/209229", "https://cloud.oebiotech.com/#/lm/network/209229")</f>
        <v>https://cloud.oebiotech.com/#/lm/network/209229</v>
      </c>
      <c r="H1543" s="2" t="s">
        <v>10586</v>
      </c>
      <c r="I1543" s="2"/>
      <c r="J1543" s="2"/>
      <c r="K1543" s="2">
        <v>363418</v>
      </c>
      <c r="L1543" s="2"/>
      <c r="M1543" s="2"/>
      <c r="N1543" s="2"/>
      <c r="O1543" s="2"/>
      <c r="P1543" s="2"/>
      <c r="Q1543" s="2"/>
      <c r="R1543" s="2"/>
      <c r="S1543" s="2" t="s">
        <v>10587</v>
      </c>
      <c r="T1543" s="2" t="s">
        <v>10588</v>
      </c>
      <c r="U1543" s="2" t="s">
        <v>331</v>
      </c>
      <c r="V1543" s="2" t="s">
        <v>332</v>
      </c>
      <c r="W1543" s="2" t="s">
        <v>333</v>
      </c>
      <c r="X1543" s="2" t="s">
        <v>147</v>
      </c>
      <c r="Y1543" s="2">
        <v>38.4</v>
      </c>
      <c r="Z1543" s="2">
        <v>0</v>
      </c>
      <c r="AA1543" s="2" t="s">
        <v>218</v>
      </c>
      <c r="AB1543" s="2" t="s">
        <v>10589</v>
      </c>
      <c r="AC1543" s="2">
        <v>7.6568259054792906E-2</v>
      </c>
      <c r="AD1543" s="2"/>
      <c r="AE1543" s="2">
        <v>0.419238461268297</v>
      </c>
      <c r="AF1543" s="2">
        <v>10730.8745260919</v>
      </c>
      <c r="AG1543" s="2">
        <v>17286.372847959799</v>
      </c>
      <c r="AH1543" s="4">
        <v>0.62077074354892103</v>
      </c>
      <c r="AI1543" s="4">
        <v>-0.68786752887567204</v>
      </c>
      <c r="AJ1543" s="4" t="s">
        <v>62</v>
      </c>
      <c r="AK1543" s="2">
        <v>7.4168388557088905E-2</v>
      </c>
      <c r="AL1543" s="2">
        <v>0.35770732970222302</v>
      </c>
      <c r="AM1543" s="2">
        <v>14461.2600812331</v>
      </c>
      <c r="AN1543" s="2">
        <v>8599.4503219204707</v>
      </c>
      <c r="AO1543" s="2">
        <v>10790.412545049199</v>
      </c>
      <c r="AP1543" s="2">
        <v>8653.0838211593291</v>
      </c>
      <c r="AQ1543" s="2">
        <v>11178.3756282494</v>
      </c>
      <c r="AR1543" s="2">
        <v>10702.6647589397</v>
      </c>
      <c r="AS1543" s="2">
        <v>6925.9263564161402</v>
      </c>
      <c r="AT1543" s="2">
        <v>9326.7435022896207</v>
      </c>
      <c r="AU1543" s="2">
        <v>26320.507480923799</v>
      </c>
      <c r="AV1543" s="2">
        <v>21934.798134722099</v>
      </c>
      <c r="AW1543" s="2">
        <v>22495.942855512101</v>
      </c>
      <c r="AX1543" s="2">
        <v>16714.318757894798</v>
      </c>
    </row>
    <row r="1544" spans="1:50" x14ac:dyDescent="0.25">
      <c r="A1544" s="2" t="s">
        <v>10590</v>
      </c>
      <c r="B1544" s="2">
        <v>289.22845530967101</v>
      </c>
      <c r="C1544" s="2">
        <v>9.8077500000000004</v>
      </c>
      <c r="D1544" s="2" t="s">
        <v>51</v>
      </c>
      <c r="E1544" s="2" t="s">
        <v>10591</v>
      </c>
      <c r="F1544" s="2">
        <v>52685</v>
      </c>
      <c r="G1544" s="3" t="str">
        <f>HYPERLINK("https://cloud.oebiotech.com/#/lm/network/52685", "https://cloud.oebiotech.com/#/lm/network/52685")</f>
        <v>https://cloud.oebiotech.com/#/lm/network/52685</v>
      </c>
      <c r="H1544" s="2" t="s">
        <v>10592</v>
      </c>
      <c r="I1544" s="2">
        <v>1406</v>
      </c>
      <c r="J1544" s="2"/>
      <c r="K1544" s="2">
        <v>2474</v>
      </c>
      <c r="L1544" s="2" t="s">
        <v>10593</v>
      </c>
      <c r="M1544" s="2"/>
      <c r="N1544" s="2"/>
      <c r="O1544" s="2">
        <v>77431</v>
      </c>
      <c r="P1544" s="2"/>
      <c r="Q1544" s="2"/>
      <c r="R1544" s="2" t="s">
        <v>10594</v>
      </c>
      <c r="S1544" s="2" t="s">
        <v>10595</v>
      </c>
      <c r="T1544" s="2" t="s">
        <v>10596</v>
      </c>
      <c r="U1544" s="2" t="s">
        <v>103</v>
      </c>
      <c r="V1544" s="2" t="s">
        <v>104</v>
      </c>
      <c r="W1544" s="2" t="s">
        <v>105</v>
      </c>
      <c r="X1544" s="2" t="s">
        <v>147</v>
      </c>
      <c r="Y1544" s="2">
        <v>39.5</v>
      </c>
      <c r="Z1544" s="2">
        <v>6.21</v>
      </c>
      <c r="AA1544" s="2" t="s">
        <v>259</v>
      </c>
      <c r="AB1544" s="2" t="s">
        <v>10597</v>
      </c>
      <c r="AC1544" s="2">
        <v>3.5228296939221102</v>
      </c>
      <c r="AD1544" s="2"/>
      <c r="AE1544" s="2">
        <v>0.41909910054128402</v>
      </c>
      <c r="AF1544" s="2">
        <v>2192.1461135630698</v>
      </c>
      <c r="AG1544" s="2">
        <v>8654.0450425696308</v>
      </c>
      <c r="AH1544" s="4">
        <v>0.25330884029142497</v>
      </c>
      <c r="AI1544" s="4">
        <v>-1.98103066796705</v>
      </c>
      <c r="AJ1544" s="4" t="s">
        <v>62</v>
      </c>
      <c r="AK1544" s="2">
        <v>0.21347659009553399</v>
      </c>
      <c r="AL1544" s="2">
        <v>0.53768212145991301</v>
      </c>
      <c r="AM1544" s="2">
        <v>6827.4381940584099</v>
      </c>
      <c r="AN1544" s="2">
        <v>1.19682620854704</v>
      </c>
      <c r="AO1544" s="2">
        <v>3995.0856775478901</v>
      </c>
      <c r="AP1544" s="2">
        <v>2305.4409904724698</v>
      </c>
      <c r="AQ1544" s="2">
        <v>3.1139580275405301</v>
      </c>
      <c r="AR1544" s="2">
        <v>20.601035063550199</v>
      </c>
      <c r="AS1544" s="2">
        <v>21238.865740017201</v>
      </c>
      <c r="AT1544" s="2">
        <v>8.559877937157E-6</v>
      </c>
      <c r="AU1544" s="2">
        <v>2.0046454383620298</v>
      </c>
      <c r="AV1544" s="2">
        <v>1852.53831508538</v>
      </c>
      <c r="AW1544" s="2">
        <v>25590.2334651405</v>
      </c>
      <c r="AX1544" s="2">
        <v>3240.62808117649</v>
      </c>
    </row>
    <row r="1545" spans="1:50" x14ac:dyDescent="0.25">
      <c r="A1545" s="2" t="s">
        <v>10598</v>
      </c>
      <c r="B1545" s="2">
        <v>511.23043555384999</v>
      </c>
      <c r="C1545" s="2">
        <v>8.6046999999999993</v>
      </c>
      <c r="D1545" s="2" t="s">
        <v>51</v>
      </c>
      <c r="E1545" s="2" t="s">
        <v>10599</v>
      </c>
      <c r="F1545" s="2">
        <v>47367</v>
      </c>
      <c r="G1545" s="3" t="str">
        <f>HYPERLINK("https://cloud.oebiotech.com/#/lm/network/47367", "https://cloud.oebiotech.com/#/lm/network/47367")</f>
        <v>https://cloud.oebiotech.com/#/lm/network/47367</v>
      </c>
      <c r="H1545" s="2" t="s">
        <v>10600</v>
      </c>
      <c r="I1545" s="2">
        <v>5969</v>
      </c>
      <c r="J1545" s="2"/>
      <c r="K1545" s="2">
        <v>22833557</v>
      </c>
      <c r="L1545" s="2" t="s">
        <v>10601</v>
      </c>
      <c r="M1545" s="2" t="s">
        <v>10602</v>
      </c>
      <c r="N1545" s="2" t="s">
        <v>10603</v>
      </c>
      <c r="O1545" s="2">
        <v>15812</v>
      </c>
      <c r="P1545" s="2" t="s">
        <v>10604</v>
      </c>
      <c r="Q1545" s="2" t="s">
        <v>10605</v>
      </c>
      <c r="R1545" s="2" t="s">
        <v>10606</v>
      </c>
      <c r="S1545" s="2" t="s">
        <v>10607</v>
      </c>
      <c r="T1545" s="2" t="s">
        <v>10608</v>
      </c>
      <c r="U1545" s="2" t="s">
        <v>56</v>
      </c>
      <c r="V1545" s="2" t="s">
        <v>177</v>
      </c>
      <c r="W1545" s="2" t="s">
        <v>1996</v>
      </c>
      <c r="X1545" s="2" t="s">
        <v>147</v>
      </c>
      <c r="Y1545" s="2">
        <v>44</v>
      </c>
      <c r="Z1545" s="2">
        <v>29</v>
      </c>
      <c r="AA1545" s="2" t="s">
        <v>218</v>
      </c>
      <c r="AB1545" s="2" t="s">
        <v>10609</v>
      </c>
      <c r="AC1545" s="2">
        <v>-2.0092369681040299</v>
      </c>
      <c r="AD1545" s="2"/>
      <c r="AE1545" s="2">
        <v>0.41902188550560798</v>
      </c>
      <c r="AF1545" s="2">
        <v>13553.933663616601</v>
      </c>
      <c r="AG1545" s="2">
        <v>17279.420154220199</v>
      </c>
      <c r="AH1545" s="4">
        <v>0.78439748224457695</v>
      </c>
      <c r="AI1545" s="4">
        <v>-0.35034319010576098</v>
      </c>
      <c r="AJ1545" s="4" t="s">
        <v>62</v>
      </c>
      <c r="AK1545" s="2">
        <v>4.5715568345498902E-3</v>
      </c>
      <c r="AL1545" s="2">
        <v>0.12174388396289799</v>
      </c>
      <c r="AM1545" s="2">
        <v>11252.543591215999</v>
      </c>
      <c r="AN1545" s="2">
        <v>10741.4357686526</v>
      </c>
      <c r="AO1545" s="2">
        <v>16751.4171360459</v>
      </c>
      <c r="AP1545" s="2">
        <v>14808.1751579173</v>
      </c>
      <c r="AQ1545" s="2">
        <v>14954.884432283799</v>
      </c>
      <c r="AR1545" s="2">
        <v>12815.145895583801</v>
      </c>
      <c r="AS1545" s="2">
        <v>17485.0266554175</v>
      </c>
      <c r="AT1545" s="2">
        <v>17897.2517590118</v>
      </c>
      <c r="AU1545" s="2">
        <v>17023.788190225001</v>
      </c>
      <c r="AV1545" s="2">
        <v>16296.5835889386</v>
      </c>
      <c r="AW1545" s="2">
        <v>16379.699319838201</v>
      </c>
      <c r="AX1545" s="2">
        <v>18594.171411890398</v>
      </c>
    </row>
    <row r="1546" spans="1:50" x14ac:dyDescent="0.25">
      <c r="A1546" s="2" t="s">
        <v>10610</v>
      </c>
      <c r="B1546" s="2">
        <v>653.44035694709703</v>
      </c>
      <c r="C1546" s="2">
        <v>10.74095</v>
      </c>
      <c r="D1546" s="2" t="s">
        <v>51</v>
      </c>
      <c r="E1546" s="2" t="s">
        <v>10611</v>
      </c>
      <c r="F1546" s="2">
        <v>78759</v>
      </c>
      <c r="G1546" s="3" t="str">
        <f>HYPERLINK("https://cloud.oebiotech.com/#/lm/network/78759", "https://cloud.oebiotech.com/#/lm/network/78759")</f>
        <v>https://cloud.oebiotech.com/#/lm/network/78759</v>
      </c>
      <c r="H1546" s="2" t="s">
        <v>10612</v>
      </c>
      <c r="I1546" s="2"/>
      <c r="J1546" s="2"/>
      <c r="K1546" s="2">
        <v>131766836</v>
      </c>
      <c r="L1546" s="2"/>
      <c r="M1546" s="2"/>
      <c r="N1546" s="2"/>
      <c r="O1546" s="2"/>
      <c r="P1546" s="2"/>
      <c r="Q1546" s="2"/>
      <c r="R1546" s="2"/>
      <c r="S1546" s="2" t="s">
        <v>10613</v>
      </c>
      <c r="T1546" s="2" t="s">
        <v>10614</v>
      </c>
      <c r="U1546" s="2" t="s">
        <v>56</v>
      </c>
      <c r="V1546" s="2" t="s">
        <v>145</v>
      </c>
      <c r="W1546" s="2" t="s">
        <v>203</v>
      </c>
      <c r="X1546" s="2" t="s">
        <v>147</v>
      </c>
      <c r="Y1546" s="2">
        <v>37.9</v>
      </c>
      <c r="Z1546" s="2">
        <v>0</v>
      </c>
      <c r="AA1546" s="2" t="s">
        <v>218</v>
      </c>
      <c r="AB1546" s="2" t="s">
        <v>10615</v>
      </c>
      <c r="AC1546" s="2">
        <v>-3.1571429184618101</v>
      </c>
      <c r="AD1546" s="2"/>
      <c r="AE1546" s="2">
        <v>0.41892786782041103</v>
      </c>
      <c r="AF1546" s="2">
        <v>5570.9534883474098</v>
      </c>
      <c r="AG1546" s="2">
        <v>1141.26772259422</v>
      </c>
      <c r="AH1546" s="5">
        <v>4.8813730363669903</v>
      </c>
      <c r="AI1546" s="5">
        <v>2.2872870072432399</v>
      </c>
      <c r="AJ1546" s="5" t="s">
        <v>139</v>
      </c>
      <c r="AK1546" s="2">
        <v>1.17717622951218E-2</v>
      </c>
      <c r="AL1546" s="2">
        <v>0.17342171897304801</v>
      </c>
      <c r="AM1546" s="2">
        <v>2941.6377315396398</v>
      </c>
      <c r="AN1546" s="2">
        <v>9897.9120289155599</v>
      </c>
      <c r="AO1546" s="2">
        <v>7067.5341640291599</v>
      </c>
      <c r="AP1546" s="2">
        <v>1348.56199616402</v>
      </c>
      <c r="AQ1546" s="2">
        <v>3922.9445770848502</v>
      </c>
      <c r="AR1546" s="2">
        <v>8247.1304323512195</v>
      </c>
      <c r="AS1546" s="2">
        <v>3321.2206137529001</v>
      </c>
      <c r="AT1546" s="2">
        <v>8.559877937157E-6</v>
      </c>
      <c r="AU1546" s="2">
        <v>1311.1028662659701</v>
      </c>
      <c r="AV1546" s="2">
        <v>773.80952665423695</v>
      </c>
      <c r="AW1546" s="2">
        <v>433.81490776781402</v>
      </c>
      <c r="AX1546" s="2">
        <v>1007.65841256455</v>
      </c>
    </row>
    <row r="1547" spans="1:50" x14ac:dyDescent="0.25">
      <c r="A1547" s="2" t="s">
        <v>10616</v>
      </c>
      <c r="B1547" s="2">
        <v>514.31817678938899</v>
      </c>
      <c r="C1547" s="2">
        <v>9.6638500000000001</v>
      </c>
      <c r="D1547" s="2" t="s">
        <v>51</v>
      </c>
      <c r="E1547" s="2" t="s">
        <v>10617</v>
      </c>
      <c r="F1547" s="2">
        <v>468508</v>
      </c>
      <c r="G1547" s="3" t="str">
        <f>HYPERLINK("https://cloud.oebiotech.com/#/lm/network/468508", "https://cloud.oebiotech.com/#/lm/network/468508")</f>
        <v>https://cloud.oebiotech.com/#/lm/network/468508</v>
      </c>
      <c r="H1547" s="2" t="s">
        <v>10618</v>
      </c>
      <c r="I1547" s="2">
        <v>91552</v>
      </c>
      <c r="J1547" s="2"/>
      <c r="K1547" s="2">
        <v>44558930</v>
      </c>
      <c r="L1547" s="2"/>
      <c r="M1547" s="2"/>
      <c r="N1547" s="2"/>
      <c r="O1547" s="2"/>
      <c r="P1547" s="2"/>
      <c r="Q1547" s="2"/>
      <c r="R1547" s="2" t="s">
        <v>10619</v>
      </c>
      <c r="S1547" s="2" t="s">
        <v>10620</v>
      </c>
      <c r="T1547" s="2" t="s">
        <v>10621</v>
      </c>
      <c r="U1547" s="2" t="s">
        <v>56</v>
      </c>
      <c r="V1547" s="2" t="s">
        <v>177</v>
      </c>
      <c r="W1547" s="2" t="s">
        <v>959</v>
      </c>
      <c r="X1547" s="2" t="s">
        <v>83</v>
      </c>
      <c r="Y1547" s="2">
        <v>40.6</v>
      </c>
      <c r="Z1547" s="2">
        <v>0</v>
      </c>
      <c r="AA1547" s="2" t="s">
        <v>512</v>
      </c>
      <c r="AB1547" s="2" t="s">
        <v>10622</v>
      </c>
      <c r="AC1547" s="2">
        <v>3.7524177664753502</v>
      </c>
      <c r="AD1547" s="2"/>
      <c r="AE1547" s="2">
        <v>0.41847233983474302</v>
      </c>
      <c r="AF1547" s="2">
        <v>4976.9180853419302</v>
      </c>
      <c r="AG1547" s="2">
        <v>11359.7188847987</v>
      </c>
      <c r="AH1547" s="4">
        <v>0.43811982812373201</v>
      </c>
      <c r="AI1547" s="4">
        <v>-1.1906025862560501</v>
      </c>
      <c r="AJ1547" s="4" t="s">
        <v>62</v>
      </c>
      <c r="AK1547" s="2">
        <v>0.116712135846222</v>
      </c>
      <c r="AL1547" s="2">
        <v>0.43443257085832099</v>
      </c>
      <c r="AM1547" s="2">
        <v>8.559877937157E-6</v>
      </c>
      <c r="AN1547" s="2">
        <v>327.70838134258202</v>
      </c>
      <c r="AO1547" s="2">
        <v>10788.8702440326</v>
      </c>
      <c r="AP1547" s="2">
        <v>5894.1306982337501</v>
      </c>
      <c r="AQ1547" s="2">
        <v>12298.016105057101</v>
      </c>
      <c r="AR1547" s="2">
        <v>552.783074825678</v>
      </c>
      <c r="AS1547" s="2">
        <v>17324.351015146902</v>
      </c>
      <c r="AT1547" s="2">
        <v>14030.6727713246</v>
      </c>
      <c r="AU1547" s="2">
        <v>12623.3282414839</v>
      </c>
      <c r="AV1547" s="2">
        <v>2696.5689144232801</v>
      </c>
      <c r="AW1547" s="2">
        <v>2368.5627128872602</v>
      </c>
      <c r="AX1547" s="2">
        <v>19114.8296535265</v>
      </c>
    </row>
    <row r="1548" spans="1:50" x14ac:dyDescent="0.25">
      <c r="A1548" s="2" t="s">
        <v>10623</v>
      </c>
      <c r="B1548" s="2">
        <v>327.232669577254</v>
      </c>
      <c r="C1548" s="2">
        <v>10.7341</v>
      </c>
      <c r="D1548" s="2" t="s">
        <v>51</v>
      </c>
      <c r="E1548" s="2" t="s">
        <v>10624</v>
      </c>
      <c r="F1548" s="2">
        <v>203537</v>
      </c>
      <c r="G1548" s="3" t="str">
        <f>HYPERLINK("https://cloud.oebiotech.com/#/lm/network/203537", "https://cloud.oebiotech.com/#/lm/network/203537")</f>
        <v>https://cloud.oebiotech.com/#/lm/network/203537</v>
      </c>
      <c r="H1548" s="2" t="s">
        <v>10625</v>
      </c>
      <c r="I1548" s="2"/>
      <c r="J1548" s="2"/>
      <c r="K1548" s="2">
        <v>21953304</v>
      </c>
      <c r="L1548" s="2"/>
      <c r="M1548" s="2"/>
      <c r="N1548" s="2"/>
      <c r="O1548" s="2"/>
      <c r="P1548" s="2"/>
      <c r="Q1548" s="2"/>
      <c r="R1548" s="2"/>
      <c r="S1548" s="2" t="s">
        <v>10626</v>
      </c>
      <c r="T1548" s="2" t="s">
        <v>10627</v>
      </c>
      <c r="U1548" s="2" t="s">
        <v>56</v>
      </c>
      <c r="V1548" s="2" t="s">
        <v>283</v>
      </c>
      <c r="W1548" s="2" t="s">
        <v>284</v>
      </c>
      <c r="X1548" s="2" t="s">
        <v>69</v>
      </c>
      <c r="Y1548" s="2">
        <v>58.3</v>
      </c>
      <c r="Z1548" s="2">
        <v>76.599999999999994</v>
      </c>
      <c r="AA1548" s="2" t="s">
        <v>2589</v>
      </c>
      <c r="AB1548" s="2" t="s">
        <v>7111</v>
      </c>
      <c r="AC1548" s="2">
        <v>2.4919766428360002</v>
      </c>
      <c r="AD1548" s="2"/>
      <c r="AE1548" s="2">
        <v>0.41822509328620699</v>
      </c>
      <c r="AF1548" s="2">
        <v>180091.06321974599</v>
      </c>
      <c r="AG1548" s="2">
        <v>166952.51340410701</v>
      </c>
      <c r="AH1548" s="5">
        <v>1.07869632836157</v>
      </c>
      <c r="AI1548" s="5">
        <v>0.109288778423542</v>
      </c>
      <c r="AJ1548" s="5" t="s">
        <v>139</v>
      </c>
      <c r="AK1548" s="2">
        <v>0.65912843548006195</v>
      </c>
      <c r="AL1548" s="2">
        <v>0.83420354806500496</v>
      </c>
      <c r="AM1548" s="2">
        <v>275422.06702635699</v>
      </c>
      <c r="AN1548" s="2">
        <v>153015.189535493</v>
      </c>
      <c r="AO1548" s="2">
        <v>147149.29337347401</v>
      </c>
      <c r="AP1548" s="2">
        <v>123169.38926845</v>
      </c>
      <c r="AQ1548" s="2">
        <v>202401.18643062099</v>
      </c>
      <c r="AR1548" s="2">
        <v>179389.253684083</v>
      </c>
      <c r="AS1548" s="2">
        <v>152542.60541514101</v>
      </c>
      <c r="AT1548" s="2">
        <v>142494.06637157101</v>
      </c>
      <c r="AU1548" s="2">
        <v>124249.971549158</v>
      </c>
      <c r="AV1548" s="2">
        <v>200647.549225683</v>
      </c>
      <c r="AW1548" s="2">
        <v>243363.735281617</v>
      </c>
      <c r="AX1548" s="2">
        <v>138417.15258147399</v>
      </c>
    </row>
    <row r="1549" spans="1:50" x14ac:dyDescent="0.25">
      <c r="A1549" s="2" t="s">
        <v>10628</v>
      </c>
      <c r="B1549" s="2">
        <v>391.13765515744097</v>
      </c>
      <c r="C1549" s="2">
        <v>4.9007166666666704</v>
      </c>
      <c r="D1549" s="2" t="s">
        <v>51</v>
      </c>
      <c r="E1549" s="2" t="s">
        <v>10629</v>
      </c>
      <c r="F1549" s="2">
        <v>35993</v>
      </c>
      <c r="G1549" s="3" t="str">
        <f>HYPERLINK("https://cloud.oebiotech.com/#/lm/network/35993", "https://cloud.oebiotech.com/#/lm/network/35993")</f>
        <v>https://cloud.oebiotech.com/#/lm/network/35993</v>
      </c>
      <c r="H1549" s="2" t="s">
        <v>10630</v>
      </c>
      <c r="I1549" s="2">
        <v>6954</v>
      </c>
      <c r="J1549" s="2" t="s">
        <v>10631</v>
      </c>
      <c r="K1549" s="2">
        <v>439551</v>
      </c>
      <c r="L1549" s="2" t="s">
        <v>10632</v>
      </c>
      <c r="M1549" s="2"/>
      <c r="N1549" s="2"/>
      <c r="O1549" s="2">
        <v>28833</v>
      </c>
      <c r="P1549" s="2"/>
      <c r="Q1549" s="2"/>
      <c r="R1549" s="2" t="s">
        <v>10633</v>
      </c>
      <c r="S1549" s="2" t="s">
        <v>10634</v>
      </c>
      <c r="T1549" s="2" t="s">
        <v>10635</v>
      </c>
      <c r="U1549" s="2" t="s">
        <v>56</v>
      </c>
      <c r="V1549" s="2" t="s">
        <v>177</v>
      </c>
      <c r="W1549" s="2" t="s">
        <v>178</v>
      </c>
      <c r="X1549" s="2" t="s">
        <v>83</v>
      </c>
      <c r="Y1549" s="2">
        <v>46.9</v>
      </c>
      <c r="Z1549" s="2">
        <v>0</v>
      </c>
      <c r="AA1549" s="2" t="s">
        <v>218</v>
      </c>
      <c r="AB1549" s="2" t="s">
        <v>10636</v>
      </c>
      <c r="AC1549" s="2">
        <v>-6.3157251730436403</v>
      </c>
      <c r="AD1549" s="2"/>
      <c r="AE1549" s="2">
        <v>0.41817339348166999</v>
      </c>
      <c r="AF1549" s="2">
        <v>2169.0794093617201</v>
      </c>
      <c r="AG1549" s="2">
        <v>7071.3920574491203</v>
      </c>
      <c r="AH1549" s="4">
        <v>0.30674008621495902</v>
      </c>
      <c r="AI1549" s="4">
        <v>-1.7049113778928799</v>
      </c>
      <c r="AJ1549" s="4" t="s">
        <v>62</v>
      </c>
      <c r="AK1549" s="2">
        <v>2.6963991553031301E-2</v>
      </c>
      <c r="AL1549" s="2">
        <v>0.25289923831018501</v>
      </c>
      <c r="AM1549" s="2">
        <v>2129.6916414562802</v>
      </c>
      <c r="AN1549" s="2">
        <v>1025.38670453843</v>
      </c>
      <c r="AO1549" s="2">
        <v>2413.4346988589</v>
      </c>
      <c r="AP1549" s="2">
        <v>8.559877937157E-6</v>
      </c>
      <c r="AQ1549" s="2">
        <v>771.68918932953795</v>
      </c>
      <c r="AR1549" s="2">
        <v>6674.2742134272803</v>
      </c>
      <c r="AS1549" s="2">
        <v>2605.7043908235701</v>
      </c>
      <c r="AT1549" s="2">
        <v>6652.5615126819102</v>
      </c>
      <c r="AU1549" s="2">
        <v>7629.2928960239997</v>
      </c>
      <c r="AV1549" s="2">
        <v>10078.294927102999</v>
      </c>
      <c r="AW1549" s="2">
        <v>12672.868913541301</v>
      </c>
      <c r="AX1549" s="2">
        <v>2789.6297045209499</v>
      </c>
    </row>
    <row r="1550" spans="1:50" x14ac:dyDescent="0.25">
      <c r="A1550" s="2" t="s">
        <v>10637</v>
      </c>
      <c r="B1550" s="2">
        <v>585.34351272290996</v>
      </c>
      <c r="C1550" s="2">
        <v>10.37285</v>
      </c>
      <c r="D1550" s="2" t="s">
        <v>51</v>
      </c>
      <c r="E1550" s="2" t="s">
        <v>10638</v>
      </c>
      <c r="F1550" s="2">
        <v>63814</v>
      </c>
      <c r="G1550" s="3" t="str">
        <f>HYPERLINK("https://cloud.oebiotech.com/#/lm/network/63814", "https://cloud.oebiotech.com/#/lm/network/63814")</f>
        <v>https://cloud.oebiotech.com/#/lm/network/63814</v>
      </c>
      <c r="H1550" s="2" t="s">
        <v>10639</v>
      </c>
      <c r="I1550" s="2">
        <v>95149</v>
      </c>
      <c r="J1550" s="2"/>
      <c r="K1550" s="2">
        <v>44258662</v>
      </c>
      <c r="L1550" s="2"/>
      <c r="M1550" s="2"/>
      <c r="N1550" s="2"/>
      <c r="O1550" s="2"/>
      <c r="P1550" s="2"/>
      <c r="Q1550" s="2"/>
      <c r="R1550" s="2"/>
      <c r="S1550" s="2" t="s">
        <v>10640</v>
      </c>
      <c r="T1550" s="2" t="s">
        <v>10641</v>
      </c>
      <c r="U1550" s="2" t="s">
        <v>56</v>
      </c>
      <c r="V1550" s="2" t="s">
        <v>283</v>
      </c>
      <c r="W1550" s="2" t="s">
        <v>1338</v>
      </c>
      <c r="X1550" s="2" t="s">
        <v>147</v>
      </c>
      <c r="Y1550" s="2">
        <v>36.9</v>
      </c>
      <c r="Z1550" s="2">
        <v>0</v>
      </c>
      <c r="AA1550" s="2" t="s">
        <v>156</v>
      </c>
      <c r="AB1550" s="2" t="s">
        <v>10642</v>
      </c>
      <c r="AC1550" s="2">
        <v>2.1877699878049399</v>
      </c>
      <c r="AD1550" s="2"/>
      <c r="AE1550" s="2">
        <v>0.41798774385235599</v>
      </c>
      <c r="AF1550" s="2">
        <v>2057.3932294486999</v>
      </c>
      <c r="AG1550" s="2">
        <v>8459.4181425677907</v>
      </c>
      <c r="AH1550" s="4">
        <v>0.24320741625194001</v>
      </c>
      <c r="AI1550" s="4">
        <v>-2.0397408725747601</v>
      </c>
      <c r="AJ1550" s="4" t="s">
        <v>62</v>
      </c>
      <c r="AK1550" s="2">
        <v>0.25490411923748701</v>
      </c>
      <c r="AL1550" s="2">
        <v>0.57771570460172506</v>
      </c>
      <c r="AM1550" s="2">
        <v>666.65363416871799</v>
      </c>
      <c r="AN1550" s="2">
        <v>3386.3335313769198</v>
      </c>
      <c r="AO1550" s="2">
        <v>634.83561387458406</v>
      </c>
      <c r="AP1550" s="2">
        <v>4547.4174249646403</v>
      </c>
      <c r="AQ1550" s="2">
        <v>8.559877937157E-6</v>
      </c>
      <c r="AR1550" s="2">
        <v>3109.1191637474699</v>
      </c>
      <c r="AS1550" s="2">
        <v>9159.9308940948195</v>
      </c>
      <c r="AT1550" s="2">
        <v>2426.2212606911698</v>
      </c>
      <c r="AU1550" s="2">
        <v>1901.2536141897599</v>
      </c>
      <c r="AV1550" s="2">
        <v>2227.52098472015</v>
      </c>
      <c r="AW1550" s="2">
        <v>33992.440658934298</v>
      </c>
      <c r="AX1550" s="2">
        <v>1049.1414427765601</v>
      </c>
    </row>
    <row r="1551" spans="1:50" x14ac:dyDescent="0.25">
      <c r="A1551" s="2" t="s">
        <v>10643</v>
      </c>
      <c r="B1551" s="2">
        <v>315.196278844186</v>
      </c>
      <c r="C1551" s="2">
        <v>8.6161333333333303</v>
      </c>
      <c r="D1551" s="2" t="s">
        <v>51</v>
      </c>
      <c r="E1551" s="2" t="s">
        <v>10644</v>
      </c>
      <c r="F1551" s="2">
        <v>212937</v>
      </c>
      <c r="G1551" s="3" t="str">
        <f>HYPERLINK("https://cloud.oebiotech.com/#/lm/network/212937", "https://cloud.oebiotech.com/#/lm/network/212937")</f>
        <v>https://cloud.oebiotech.com/#/lm/network/212937</v>
      </c>
      <c r="H1551" s="2" t="s">
        <v>10645</v>
      </c>
      <c r="I1551" s="2"/>
      <c r="J1551" s="2"/>
      <c r="K1551" s="2">
        <v>53394883</v>
      </c>
      <c r="L1551" s="2"/>
      <c r="M1551" s="2"/>
      <c r="N1551" s="2"/>
      <c r="O1551" s="2"/>
      <c r="P1551" s="2"/>
      <c r="Q1551" s="2"/>
      <c r="R1551" s="2"/>
      <c r="S1551" s="2" t="s">
        <v>10646</v>
      </c>
      <c r="T1551" s="2" t="s">
        <v>10647</v>
      </c>
      <c r="U1551" s="2" t="s">
        <v>266</v>
      </c>
      <c r="V1551" s="2" t="s">
        <v>10648</v>
      </c>
      <c r="W1551" s="2" t="s">
        <v>10649</v>
      </c>
      <c r="X1551" s="2" t="s">
        <v>83</v>
      </c>
      <c r="Y1551" s="2">
        <v>54.3</v>
      </c>
      <c r="Z1551" s="2">
        <v>0</v>
      </c>
      <c r="AA1551" s="2" t="s">
        <v>156</v>
      </c>
      <c r="AB1551" s="2" t="s">
        <v>1500</v>
      </c>
      <c r="AC1551" s="2">
        <v>2.4314298681456501</v>
      </c>
      <c r="AD1551" s="2"/>
      <c r="AE1551" s="2">
        <v>0.41786494328846202</v>
      </c>
      <c r="AF1551" s="2">
        <v>6850.8548977729697</v>
      </c>
      <c r="AG1551" s="2">
        <v>3007.1714702455802</v>
      </c>
      <c r="AH1551" s="5">
        <v>2.2781723508481901</v>
      </c>
      <c r="AI1551" s="5">
        <v>1.18787689555708</v>
      </c>
      <c r="AJ1551" s="5" t="s">
        <v>139</v>
      </c>
      <c r="AK1551" s="2">
        <v>1.87423602838061E-2</v>
      </c>
      <c r="AL1551" s="2">
        <v>0.21564611047472301</v>
      </c>
      <c r="AM1551" s="2">
        <v>8304.5640706537306</v>
      </c>
      <c r="AN1551" s="2">
        <v>10791.8564835244</v>
      </c>
      <c r="AO1551" s="2">
        <v>6524.79804801718</v>
      </c>
      <c r="AP1551" s="2">
        <v>5697.3073534186597</v>
      </c>
      <c r="AQ1551" s="2">
        <v>3311.4233545381699</v>
      </c>
      <c r="AR1551" s="2">
        <v>6475.1800764856898</v>
      </c>
      <c r="AS1551" s="2">
        <v>5569.8196654486201</v>
      </c>
      <c r="AT1551" s="2">
        <v>1736.7930708696499</v>
      </c>
      <c r="AU1551" s="2">
        <v>5751.3825215850002</v>
      </c>
      <c r="AV1551" s="2">
        <v>607.00380623524597</v>
      </c>
      <c r="AW1551" s="2">
        <v>1212.8869206870399</v>
      </c>
      <c r="AX1551" s="2">
        <v>3165.1428366478999</v>
      </c>
    </row>
    <row r="1552" spans="1:50" x14ac:dyDescent="0.25">
      <c r="A1552" s="2" t="s">
        <v>10650</v>
      </c>
      <c r="B1552" s="2">
        <v>630.27486700607699</v>
      </c>
      <c r="C1552" s="2">
        <v>3.4837333333333298</v>
      </c>
      <c r="D1552" s="2" t="s">
        <v>51</v>
      </c>
      <c r="E1552" s="2" t="s">
        <v>10651</v>
      </c>
      <c r="F1552" s="2">
        <v>256454</v>
      </c>
      <c r="G1552" s="3" t="str">
        <f>HYPERLINK("https://cloud.oebiotech.com/#/lm/network/256454", "https://cloud.oebiotech.com/#/lm/network/256454")</f>
        <v>https://cloud.oebiotech.com/#/lm/network/256454</v>
      </c>
      <c r="H1552" s="2" t="s">
        <v>10652</v>
      </c>
      <c r="I1552" s="2"/>
      <c r="J1552" s="2"/>
      <c r="K1552" s="2">
        <v>44423073</v>
      </c>
      <c r="L1552" s="2"/>
      <c r="M1552" s="2"/>
      <c r="N1552" s="2"/>
      <c r="O1552" s="2"/>
      <c r="P1552" s="2"/>
      <c r="Q1552" s="2"/>
      <c r="R1552" s="2"/>
      <c r="S1552" s="2" t="s">
        <v>10653</v>
      </c>
      <c r="T1552" s="2" t="s">
        <v>10654</v>
      </c>
      <c r="U1552" s="2" t="s">
        <v>331</v>
      </c>
      <c r="V1552" s="2" t="s">
        <v>332</v>
      </c>
      <c r="W1552" s="2" t="s">
        <v>333</v>
      </c>
      <c r="X1552" s="2" t="s">
        <v>59</v>
      </c>
      <c r="Y1552" s="2">
        <v>50.1</v>
      </c>
      <c r="Z1552" s="2">
        <v>59.9</v>
      </c>
      <c r="AA1552" s="2" t="s">
        <v>122</v>
      </c>
      <c r="AB1552" s="2" t="s">
        <v>10655</v>
      </c>
      <c r="AC1552" s="2">
        <v>2.1687383920881498</v>
      </c>
      <c r="AD1552" s="2"/>
      <c r="AE1552" s="2">
        <v>0.41769415928617898</v>
      </c>
      <c r="AF1552" s="2">
        <v>10936.239405617</v>
      </c>
      <c r="AG1552" s="2">
        <v>22499.643501508901</v>
      </c>
      <c r="AH1552" s="4">
        <v>0.48606278605630099</v>
      </c>
      <c r="AI1552" s="4">
        <v>-1.0407854121643201</v>
      </c>
      <c r="AJ1552" s="4" t="s">
        <v>62</v>
      </c>
      <c r="AK1552" s="2">
        <v>0.600681215804864</v>
      </c>
      <c r="AL1552" s="2">
        <v>0.80014457667342997</v>
      </c>
      <c r="AM1552" s="2">
        <v>20131.188489597302</v>
      </c>
      <c r="AN1552" s="2">
        <v>8.559877937157E-6</v>
      </c>
      <c r="AO1552" s="2">
        <v>797.60832250050601</v>
      </c>
      <c r="AP1552" s="2">
        <v>8.559877937157E-6</v>
      </c>
      <c r="AQ1552" s="2">
        <v>18443.808941267602</v>
      </c>
      <c r="AR1552" s="2">
        <v>26244.830663216599</v>
      </c>
      <c r="AS1552" s="2">
        <v>2163.2116611801998</v>
      </c>
      <c r="AT1552" s="2">
        <v>8.559877937157E-6</v>
      </c>
      <c r="AU1552" s="2">
        <v>8.559877937157E-6</v>
      </c>
      <c r="AV1552" s="2">
        <v>126516.43284948199</v>
      </c>
      <c r="AW1552" s="2">
        <v>8.559877937157E-6</v>
      </c>
      <c r="AX1552" s="2">
        <v>6318.2164727115596</v>
      </c>
    </row>
    <row r="1553" spans="1:50" x14ac:dyDescent="0.25">
      <c r="A1553" s="2" t="s">
        <v>10656</v>
      </c>
      <c r="B1553" s="2">
        <v>437.215801478</v>
      </c>
      <c r="C1553" s="2">
        <v>9.9705999999999992</v>
      </c>
      <c r="D1553" s="2" t="s">
        <v>51</v>
      </c>
      <c r="E1553" s="2" t="s">
        <v>10657</v>
      </c>
      <c r="F1553" s="2">
        <v>3945</v>
      </c>
      <c r="G1553" s="3" t="str">
        <f>HYPERLINK("https://cloud.oebiotech.com/#/lm/network/3945", "https://cloud.oebiotech.com/#/lm/network/3945")</f>
        <v>https://cloud.oebiotech.com/#/lm/network/3945</v>
      </c>
      <c r="H1553" s="2"/>
      <c r="I1553" s="2">
        <v>74993</v>
      </c>
      <c r="J1553" s="2" t="s">
        <v>10658</v>
      </c>
      <c r="K1553" s="2">
        <v>5283151</v>
      </c>
      <c r="L1553" s="2"/>
      <c r="M1553" s="2"/>
      <c r="N1553" s="2"/>
      <c r="O1553" s="2"/>
      <c r="P1553" s="2"/>
      <c r="Q1553" s="2"/>
      <c r="R1553" s="2"/>
      <c r="S1553" s="2" t="s">
        <v>10659</v>
      </c>
      <c r="T1553" s="2" t="s">
        <v>10660</v>
      </c>
      <c r="U1553" s="2" t="s">
        <v>56</v>
      </c>
      <c r="V1553" s="2" t="s">
        <v>145</v>
      </c>
      <c r="W1553" s="2" t="s">
        <v>1188</v>
      </c>
      <c r="X1553" s="2" t="s">
        <v>147</v>
      </c>
      <c r="Y1553" s="2">
        <v>39.5</v>
      </c>
      <c r="Z1553" s="2">
        <v>8.26</v>
      </c>
      <c r="AA1553" s="2" t="s">
        <v>95</v>
      </c>
      <c r="AB1553" s="2" t="s">
        <v>10661</v>
      </c>
      <c r="AC1553" s="2">
        <v>2.9277568035911501</v>
      </c>
      <c r="AD1553" s="2"/>
      <c r="AE1553" s="2">
        <v>0.41715282629532302</v>
      </c>
      <c r="AF1553" s="2">
        <v>25792.6941134769</v>
      </c>
      <c r="AG1553" s="2">
        <v>15226.6878468494</v>
      </c>
      <c r="AH1553" s="5">
        <v>1.69391363196651</v>
      </c>
      <c r="AI1553" s="5">
        <v>0.76036031746224197</v>
      </c>
      <c r="AJ1553" s="5" t="s">
        <v>139</v>
      </c>
      <c r="AK1553" s="2">
        <v>0.223040192822615</v>
      </c>
      <c r="AL1553" s="2">
        <v>0.54894302685029694</v>
      </c>
      <c r="AM1553" s="2">
        <v>12495.677260442</v>
      </c>
      <c r="AN1553" s="2">
        <v>23354.041426057302</v>
      </c>
      <c r="AO1553" s="2">
        <v>27200.955065038299</v>
      </c>
      <c r="AP1553" s="2">
        <v>56602.779949677803</v>
      </c>
      <c r="AQ1553" s="2">
        <v>23257.703318320899</v>
      </c>
      <c r="AR1553" s="2">
        <v>11845.0076613251</v>
      </c>
      <c r="AS1553" s="2">
        <v>3184.35312893119</v>
      </c>
      <c r="AT1553" s="2">
        <v>28882.5689631194</v>
      </c>
      <c r="AU1553" s="2">
        <v>18831.974643405902</v>
      </c>
      <c r="AV1553" s="2">
        <v>27516.953288763401</v>
      </c>
      <c r="AW1553" s="2">
        <v>6982.9868156111397</v>
      </c>
      <c r="AX1553" s="2">
        <v>5961.2902412651001</v>
      </c>
    </row>
    <row r="1554" spans="1:50" x14ac:dyDescent="0.25">
      <c r="A1554" s="2" t="s">
        <v>10662</v>
      </c>
      <c r="B1554" s="2">
        <v>319.16460369096001</v>
      </c>
      <c r="C1554" s="2">
        <v>4.1536</v>
      </c>
      <c r="D1554" s="2" t="s">
        <v>51</v>
      </c>
      <c r="E1554" s="2" t="s">
        <v>10663</v>
      </c>
      <c r="F1554" s="2">
        <v>203458</v>
      </c>
      <c r="G1554" s="3" t="str">
        <f>HYPERLINK("https://cloud.oebiotech.com/#/lm/network/203458", "https://cloud.oebiotech.com/#/lm/network/203458")</f>
        <v>https://cloud.oebiotech.com/#/lm/network/203458</v>
      </c>
      <c r="H1554" s="2" t="s">
        <v>10664</v>
      </c>
      <c r="I1554" s="2"/>
      <c r="J1554" s="2"/>
      <c r="K1554" s="2">
        <v>159599</v>
      </c>
      <c r="L1554" s="2"/>
      <c r="M1554" s="2"/>
      <c r="N1554" s="2"/>
      <c r="O1554" s="2"/>
      <c r="P1554" s="2"/>
      <c r="Q1554" s="2"/>
      <c r="R1554" s="2"/>
      <c r="S1554" s="2" t="s">
        <v>10665</v>
      </c>
      <c r="T1554" s="2" t="s">
        <v>10666</v>
      </c>
      <c r="U1554" s="2" t="s">
        <v>540</v>
      </c>
      <c r="V1554" s="2" t="s">
        <v>1826</v>
      </c>
      <c r="W1554" s="2" t="s">
        <v>4829</v>
      </c>
      <c r="X1554" s="2" t="s">
        <v>147</v>
      </c>
      <c r="Y1554" s="2">
        <v>42.7</v>
      </c>
      <c r="Z1554" s="2">
        <v>28.5</v>
      </c>
      <c r="AA1554" s="2" t="s">
        <v>512</v>
      </c>
      <c r="AB1554" s="2" t="s">
        <v>10667</v>
      </c>
      <c r="AC1554" s="2">
        <v>-2.09188212621609</v>
      </c>
      <c r="AD1554" s="2"/>
      <c r="AE1554" s="2">
        <v>0.417038286198606</v>
      </c>
      <c r="AF1554" s="2">
        <v>16146.4992389463</v>
      </c>
      <c r="AG1554" s="2">
        <v>9866.8535256222603</v>
      </c>
      <c r="AH1554" s="5">
        <v>1.63643852592085</v>
      </c>
      <c r="AI1554" s="5">
        <v>0.71055940744535095</v>
      </c>
      <c r="AJ1554" s="5" t="s">
        <v>139</v>
      </c>
      <c r="AK1554" s="2">
        <v>0.26905674809946001</v>
      </c>
      <c r="AL1554" s="2">
        <v>0.58987810689309195</v>
      </c>
      <c r="AM1554" s="2">
        <v>23607.4968398778</v>
      </c>
      <c r="AN1554" s="2">
        <v>27160.213487986999</v>
      </c>
      <c r="AO1554" s="2">
        <v>12055.294768193</v>
      </c>
      <c r="AP1554" s="2">
        <v>6731.7861633882703</v>
      </c>
      <c r="AQ1554" s="2">
        <v>6966.6197817474404</v>
      </c>
      <c r="AR1554" s="2">
        <v>20357.584392484001</v>
      </c>
      <c r="AS1554" s="2">
        <v>255.062733083832</v>
      </c>
      <c r="AT1554" s="2">
        <v>1999.7848088447299</v>
      </c>
      <c r="AU1554" s="2">
        <v>18394.662277342399</v>
      </c>
      <c r="AV1554" s="2">
        <v>24975.947510752099</v>
      </c>
      <c r="AW1554" s="2">
        <v>8421.3613118744597</v>
      </c>
      <c r="AX1554" s="2">
        <v>5154.3025118360401</v>
      </c>
    </row>
    <row r="1555" spans="1:50" x14ac:dyDescent="0.25">
      <c r="A1555" s="2" t="s">
        <v>10668</v>
      </c>
      <c r="B1555" s="2">
        <v>704.375584682262</v>
      </c>
      <c r="C1555" s="2">
        <v>12.363666666666701</v>
      </c>
      <c r="D1555" s="2" t="s">
        <v>51</v>
      </c>
      <c r="E1555" s="2" t="s">
        <v>10669</v>
      </c>
      <c r="F1555" s="2">
        <v>27936</v>
      </c>
      <c r="G1555" s="3" t="str">
        <f>HYPERLINK("https://cloud.oebiotech.com/#/lm/network/27936", "https://cloud.oebiotech.com/#/lm/network/27936")</f>
        <v>https://cloud.oebiotech.com/#/lm/network/27936</v>
      </c>
      <c r="H1555" s="2"/>
      <c r="I1555" s="2"/>
      <c r="J1555" s="2" t="s">
        <v>10670</v>
      </c>
      <c r="K1555" s="2">
        <v>134812383</v>
      </c>
      <c r="L1555" s="2"/>
      <c r="M1555" s="2"/>
      <c r="N1555" s="2"/>
      <c r="O1555" s="2"/>
      <c r="P1555" s="2"/>
      <c r="Q1555" s="2"/>
      <c r="R1555" s="2"/>
      <c r="S1555" s="2" t="s">
        <v>10671</v>
      </c>
      <c r="T1555" s="2" t="s">
        <v>10672</v>
      </c>
      <c r="U1555" s="2" t="s">
        <v>56</v>
      </c>
      <c r="V1555" s="2" t="s">
        <v>57</v>
      </c>
      <c r="W1555" s="2" t="s">
        <v>82</v>
      </c>
      <c r="X1555" s="2" t="s">
        <v>59</v>
      </c>
      <c r="Y1555" s="2">
        <v>47.2</v>
      </c>
      <c r="Z1555" s="2">
        <v>59.8</v>
      </c>
      <c r="AA1555" s="2" t="s">
        <v>163</v>
      </c>
      <c r="AB1555" s="2" t="s">
        <v>10673</v>
      </c>
      <c r="AC1555" s="2">
        <v>-3.4759434495870201</v>
      </c>
      <c r="AD1555" s="2"/>
      <c r="AE1555" s="2">
        <v>0.41695980929178</v>
      </c>
      <c r="AF1555" s="2">
        <v>6656.2725097013999</v>
      </c>
      <c r="AG1555" s="2">
        <v>1669.9451939339999</v>
      </c>
      <c r="AH1555" s="5">
        <v>3.9859227320034201</v>
      </c>
      <c r="AI1555" s="5">
        <v>1.9949137434845601</v>
      </c>
      <c r="AJ1555" s="5" t="s">
        <v>139</v>
      </c>
      <c r="AK1555" s="2">
        <v>5.4480542156227801E-2</v>
      </c>
      <c r="AL1555" s="2">
        <v>0.31944806275085003</v>
      </c>
      <c r="AM1555" s="2">
        <v>5489.5434946783998</v>
      </c>
      <c r="AN1555" s="2">
        <v>16191.306386853599</v>
      </c>
      <c r="AO1555" s="2">
        <v>2560.2314548772501</v>
      </c>
      <c r="AP1555" s="2">
        <v>3309.4790717211699</v>
      </c>
      <c r="AQ1555" s="2">
        <v>2317.1689608582601</v>
      </c>
      <c r="AR1555" s="2">
        <v>10069.9056892197</v>
      </c>
      <c r="AS1555" s="2">
        <v>2447.6651796971901</v>
      </c>
      <c r="AT1555" s="2">
        <v>989.68610908208598</v>
      </c>
      <c r="AU1555" s="2">
        <v>1978.93578948462</v>
      </c>
      <c r="AV1555" s="2">
        <v>677.47371387929695</v>
      </c>
      <c r="AW1555" s="2">
        <v>502.670331474693</v>
      </c>
      <c r="AX1555" s="2">
        <v>3423.2400399861199</v>
      </c>
    </row>
    <row r="1556" spans="1:50" x14ac:dyDescent="0.25">
      <c r="A1556" s="2" t="s">
        <v>10674</v>
      </c>
      <c r="B1556" s="2">
        <v>247.140865320416</v>
      </c>
      <c r="C1556" s="2">
        <v>0.99048333333333305</v>
      </c>
      <c r="D1556" s="2" t="s">
        <v>51</v>
      </c>
      <c r="E1556" s="2" t="s">
        <v>10675</v>
      </c>
      <c r="F1556" s="2">
        <v>209830</v>
      </c>
      <c r="G1556" s="3" t="str">
        <f>HYPERLINK("https://cloud.oebiotech.com/#/lm/network/209830", "https://cloud.oebiotech.com/#/lm/network/209830")</f>
        <v>https://cloud.oebiotech.com/#/lm/network/209830</v>
      </c>
      <c r="H1556" s="2" t="s">
        <v>10676</v>
      </c>
      <c r="I1556" s="2"/>
      <c r="J1556" s="2"/>
      <c r="K1556" s="2">
        <v>427</v>
      </c>
      <c r="L1556" s="2"/>
      <c r="M1556" s="2"/>
      <c r="N1556" s="2"/>
      <c r="O1556" s="2"/>
      <c r="P1556" s="2"/>
      <c r="Q1556" s="2"/>
      <c r="R1556" s="2"/>
      <c r="S1556" s="2" t="s">
        <v>10677</v>
      </c>
      <c r="T1556" s="2" t="s">
        <v>10678</v>
      </c>
      <c r="U1556" s="2" t="s">
        <v>103</v>
      </c>
      <c r="V1556" s="2" t="s">
        <v>104</v>
      </c>
      <c r="W1556" s="2" t="s">
        <v>105</v>
      </c>
      <c r="X1556" s="2" t="s">
        <v>83</v>
      </c>
      <c r="Y1556" s="2">
        <v>44</v>
      </c>
      <c r="Z1556" s="2">
        <v>28.7</v>
      </c>
      <c r="AA1556" s="2" t="s">
        <v>259</v>
      </c>
      <c r="AB1556" s="2" t="s">
        <v>10679</v>
      </c>
      <c r="AC1556" s="2">
        <v>3.1845154313125601</v>
      </c>
      <c r="AD1556" s="2"/>
      <c r="AE1556" s="2">
        <v>0.41684105393506998</v>
      </c>
      <c r="AF1556" s="2">
        <v>13146.3007423747</v>
      </c>
      <c r="AG1556" s="2">
        <v>7587.4477740165503</v>
      </c>
      <c r="AH1556" s="5">
        <v>1.73263805352238</v>
      </c>
      <c r="AI1556" s="5">
        <v>0.79297030832045701</v>
      </c>
      <c r="AJ1556" s="5" t="s">
        <v>139</v>
      </c>
      <c r="AK1556" s="2">
        <v>0.24999844068136501</v>
      </c>
      <c r="AL1556" s="2">
        <v>0.57328727011404701</v>
      </c>
      <c r="AM1556" s="2">
        <v>33509.714289779004</v>
      </c>
      <c r="AN1556" s="2">
        <v>5351.1251519179496</v>
      </c>
      <c r="AO1556" s="2">
        <v>9990.2739738173696</v>
      </c>
      <c r="AP1556" s="2">
        <v>10038.668084958201</v>
      </c>
      <c r="AQ1556" s="2">
        <v>9286.6817699548501</v>
      </c>
      <c r="AR1556" s="2">
        <v>10701.341183821</v>
      </c>
      <c r="AS1556" s="2">
        <v>1705.5237918947</v>
      </c>
      <c r="AT1556" s="2">
        <v>4363.4198577503003</v>
      </c>
      <c r="AU1556" s="2">
        <v>8668.4612004107494</v>
      </c>
      <c r="AV1556" s="2">
        <v>14720.408878342399</v>
      </c>
      <c r="AW1556" s="2">
        <v>10056.6302685747</v>
      </c>
      <c r="AX1556" s="2">
        <v>6010.2426471264498</v>
      </c>
    </row>
    <row r="1557" spans="1:50" x14ac:dyDescent="0.25">
      <c r="A1557" s="2" t="s">
        <v>10680</v>
      </c>
      <c r="B1557" s="2">
        <v>563.08928081619899</v>
      </c>
      <c r="C1557" s="2">
        <v>4.9007166666666704</v>
      </c>
      <c r="D1557" s="2" t="s">
        <v>51</v>
      </c>
      <c r="E1557" s="2" t="s">
        <v>10681</v>
      </c>
      <c r="F1557" s="2">
        <v>64239</v>
      </c>
      <c r="G1557" s="3" t="str">
        <f>HYPERLINK("https://cloud.oebiotech.com/#/lm/network/64239", "https://cloud.oebiotech.com/#/lm/network/64239")</f>
        <v>https://cloud.oebiotech.com/#/lm/network/64239</v>
      </c>
      <c r="H1557" s="2" t="s">
        <v>10682</v>
      </c>
      <c r="I1557" s="2">
        <v>95562</v>
      </c>
      <c r="J1557" s="2"/>
      <c r="K1557" s="2">
        <v>10265811</v>
      </c>
      <c r="L1557" s="2"/>
      <c r="M1557" s="2"/>
      <c r="N1557" s="2"/>
      <c r="O1557" s="2">
        <v>174681</v>
      </c>
      <c r="P1557" s="2"/>
      <c r="Q1557" s="2"/>
      <c r="R1557" s="2"/>
      <c r="S1557" s="2" t="s">
        <v>10683</v>
      </c>
      <c r="T1557" s="2" t="s">
        <v>10684</v>
      </c>
      <c r="U1557" s="2" t="s">
        <v>266</v>
      </c>
      <c r="V1557" s="2" t="s">
        <v>445</v>
      </c>
      <c r="W1557" s="2" t="s">
        <v>240</v>
      </c>
      <c r="X1557" s="2" t="s">
        <v>147</v>
      </c>
      <c r="Y1557" s="2">
        <v>36.700000000000003</v>
      </c>
      <c r="Z1557" s="2">
        <v>0</v>
      </c>
      <c r="AA1557" s="2" t="s">
        <v>478</v>
      </c>
      <c r="AB1557" s="2" t="s">
        <v>10685</v>
      </c>
      <c r="AC1557" s="2">
        <v>-4.9320164134581397</v>
      </c>
      <c r="AD1557" s="2"/>
      <c r="AE1557" s="2">
        <v>0.41680159963913799</v>
      </c>
      <c r="AF1557" s="2">
        <v>1901.9778212179599</v>
      </c>
      <c r="AG1557" s="2">
        <v>6461.8442911493403</v>
      </c>
      <c r="AH1557" s="4">
        <v>0.29433977909728598</v>
      </c>
      <c r="AI1557" s="4">
        <v>-1.76444556372617</v>
      </c>
      <c r="AJ1557" s="4" t="s">
        <v>62</v>
      </c>
      <c r="AK1557" s="2">
        <v>9.8911656999099099E-3</v>
      </c>
      <c r="AL1557" s="2">
        <v>0.16151302423615199</v>
      </c>
      <c r="AM1557" s="2">
        <v>2199.5513565641099</v>
      </c>
      <c r="AN1557" s="2">
        <v>1079.10420528549</v>
      </c>
      <c r="AO1557" s="2">
        <v>2317.24529000445</v>
      </c>
      <c r="AP1557" s="2">
        <v>8.559877937157E-6</v>
      </c>
      <c r="AQ1557" s="2">
        <v>992.70908476546595</v>
      </c>
      <c r="AR1557" s="2">
        <v>4823.2569821283396</v>
      </c>
      <c r="AS1557" s="2">
        <v>2700.0368160363901</v>
      </c>
      <c r="AT1557" s="2">
        <v>6706.7069790572496</v>
      </c>
      <c r="AU1557" s="2">
        <v>6994.96109294088</v>
      </c>
      <c r="AV1557" s="2">
        <v>9414.6870017535093</v>
      </c>
      <c r="AW1557" s="2">
        <v>9992.9439819424206</v>
      </c>
      <c r="AX1557" s="2">
        <v>2961.7298751656199</v>
      </c>
    </row>
    <row r="1558" spans="1:50" x14ac:dyDescent="0.25">
      <c r="A1558" s="2" t="s">
        <v>10686</v>
      </c>
      <c r="B1558" s="2">
        <v>566.68147588430702</v>
      </c>
      <c r="C1558" s="2">
        <v>4.4143166666666698</v>
      </c>
      <c r="D1558" s="2" t="s">
        <v>51</v>
      </c>
      <c r="E1558" s="2" t="s">
        <v>10687</v>
      </c>
      <c r="F1558" s="2">
        <v>210339</v>
      </c>
      <c r="G1558" s="3" t="str">
        <f>HYPERLINK("https://cloud.oebiotech.com/#/lm/network/210339", "https://cloud.oebiotech.com/#/lm/network/210339")</f>
        <v>https://cloud.oebiotech.com/#/lm/network/210339</v>
      </c>
      <c r="H1558" s="2" t="s">
        <v>10688</v>
      </c>
      <c r="I1558" s="2"/>
      <c r="J1558" s="2"/>
      <c r="K1558" s="2"/>
      <c r="L1558" s="2"/>
      <c r="M1558" s="2"/>
      <c r="N1558" s="2"/>
      <c r="O1558" s="2">
        <v>37376</v>
      </c>
      <c r="P1558" s="2"/>
      <c r="Q1558" s="2"/>
      <c r="R1558" s="2"/>
      <c r="S1558" s="2" t="s">
        <v>10689</v>
      </c>
      <c r="T1558" s="2" t="s">
        <v>10690</v>
      </c>
      <c r="U1558" s="2" t="s">
        <v>683</v>
      </c>
      <c r="V1558" s="2" t="s">
        <v>684</v>
      </c>
      <c r="W1558" s="2" t="s">
        <v>8814</v>
      </c>
      <c r="X1558" s="2" t="s">
        <v>147</v>
      </c>
      <c r="Y1558" s="2">
        <v>38.799999999999997</v>
      </c>
      <c r="Z1558" s="2">
        <v>0</v>
      </c>
      <c r="AA1558" s="2" t="s">
        <v>478</v>
      </c>
      <c r="AB1558" s="2" t="s">
        <v>10691</v>
      </c>
      <c r="AC1558" s="2">
        <v>0.64627904422694304</v>
      </c>
      <c r="AD1558" s="2"/>
      <c r="AE1558" s="2">
        <v>0.41659378162456101</v>
      </c>
      <c r="AF1558" s="2">
        <v>4997.6917989064896</v>
      </c>
      <c r="AG1558" s="2">
        <v>12333.3693851761</v>
      </c>
      <c r="AH1558" s="4">
        <v>0.40521706946630298</v>
      </c>
      <c r="AI1558" s="4">
        <v>-1.30323314701755</v>
      </c>
      <c r="AJ1558" s="4" t="s">
        <v>62</v>
      </c>
      <c r="AK1558" s="2">
        <v>0.34914471941496</v>
      </c>
      <c r="AL1558" s="2">
        <v>0.64215371721394598</v>
      </c>
      <c r="AM1558" s="2">
        <v>576.83563703712002</v>
      </c>
      <c r="AN1558" s="2">
        <v>319.94881237860699</v>
      </c>
      <c r="AO1558" s="2">
        <v>15281.9137052391</v>
      </c>
      <c r="AP1558" s="2">
        <v>3868.7056933671602</v>
      </c>
      <c r="AQ1558" s="2">
        <v>3207.4941976113601</v>
      </c>
      <c r="AR1558" s="2">
        <v>6731.2527478055799</v>
      </c>
      <c r="AS1558" s="2">
        <v>38570.462257244697</v>
      </c>
      <c r="AT1558" s="2">
        <v>3835.0998340625702</v>
      </c>
      <c r="AU1558" s="2">
        <v>8.559877937157E-6</v>
      </c>
      <c r="AV1558" s="2">
        <v>1138.8337499285401</v>
      </c>
      <c r="AW1558" s="2">
        <v>8.559877937157E-6</v>
      </c>
      <c r="AX1558" s="2">
        <v>30455.8204527011</v>
      </c>
    </row>
    <row r="1559" spans="1:50" x14ac:dyDescent="0.25">
      <c r="A1559" s="2" t="s">
        <v>10692</v>
      </c>
      <c r="B1559" s="2">
        <v>532.23637957000903</v>
      </c>
      <c r="C1559" s="2">
        <v>4.0250333333333304</v>
      </c>
      <c r="D1559" s="2" t="s">
        <v>51</v>
      </c>
      <c r="E1559" s="2" t="s">
        <v>10693</v>
      </c>
      <c r="F1559" s="2">
        <v>212200</v>
      </c>
      <c r="G1559" s="3" t="str">
        <f>HYPERLINK("https://cloud.oebiotech.com/#/lm/network/212200", "https://cloud.oebiotech.com/#/lm/network/212200")</f>
        <v>https://cloud.oebiotech.com/#/lm/network/212200</v>
      </c>
      <c r="H1559" s="2" t="s">
        <v>10694</v>
      </c>
      <c r="I1559" s="2"/>
      <c r="J1559" s="2"/>
      <c r="K1559" s="2">
        <v>12443257</v>
      </c>
      <c r="L1559" s="2"/>
      <c r="M1559" s="2"/>
      <c r="N1559" s="2"/>
      <c r="O1559" s="2"/>
      <c r="P1559" s="2"/>
      <c r="Q1559" s="2"/>
      <c r="R1559" s="2"/>
      <c r="S1559" s="2" t="s">
        <v>10695</v>
      </c>
      <c r="T1559" s="2" t="s">
        <v>10696</v>
      </c>
      <c r="U1559" s="2" t="s">
        <v>56</v>
      </c>
      <c r="V1559" s="2" t="s">
        <v>283</v>
      </c>
      <c r="W1559" s="2" t="s">
        <v>2042</v>
      </c>
      <c r="X1559" s="2" t="s">
        <v>147</v>
      </c>
      <c r="Y1559" s="2">
        <v>36.1</v>
      </c>
      <c r="Z1559" s="2">
        <v>2.74</v>
      </c>
      <c r="AA1559" s="2" t="s">
        <v>95</v>
      </c>
      <c r="AB1559" s="2" t="s">
        <v>10697</v>
      </c>
      <c r="AC1559" s="2">
        <v>4.7821753385752599</v>
      </c>
      <c r="AD1559" s="2"/>
      <c r="AE1559" s="2">
        <v>0.41643708774018001</v>
      </c>
      <c r="AF1559" s="2">
        <v>8142.69029634456</v>
      </c>
      <c r="AG1559" s="2">
        <v>3125.09729052804</v>
      </c>
      <c r="AH1559" s="5">
        <v>2.6055797753959502</v>
      </c>
      <c r="AI1559" s="5">
        <v>1.3816044266390499</v>
      </c>
      <c r="AJ1559" s="5" t="s">
        <v>139</v>
      </c>
      <c r="AK1559" s="2">
        <v>2.54953670848172E-2</v>
      </c>
      <c r="AL1559" s="2">
        <v>0.245411442075921</v>
      </c>
      <c r="AM1559" s="2">
        <v>5517.7912716364099</v>
      </c>
      <c r="AN1559" s="2">
        <v>4945.1278520619098</v>
      </c>
      <c r="AO1559" s="2">
        <v>14203.940834204601</v>
      </c>
      <c r="AP1559" s="2">
        <v>5419.0552834956898</v>
      </c>
      <c r="AQ1559" s="2">
        <v>6791.5737555507503</v>
      </c>
      <c r="AR1559" s="2">
        <v>11978.652781118</v>
      </c>
      <c r="AS1559" s="2">
        <v>5686.5044537979602</v>
      </c>
      <c r="AT1559" s="2">
        <v>6687.5766937636099</v>
      </c>
      <c r="AU1559" s="2">
        <v>8.559877937157E-6</v>
      </c>
      <c r="AV1559" s="2">
        <v>2122.7102803161501</v>
      </c>
      <c r="AW1559" s="2">
        <v>2183.1059804659499</v>
      </c>
      <c r="AX1559" s="2">
        <v>2070.6863262647198</v>
      </c>
    </row>
    <row r="1560" spans="1:50" x14ac:dyDescent="0.25">
      <c r="A1560" s="2" t="s">
        <v>10698</v>
      </c>
      <c r="B1560" s="2">
        <v>504.34608619908499</v>
      </c>
      <c r="C1560" s="2">
        <v>10.691333333333301</v>
      </c>
      <c r="D1560" s="2" t="s">
        <v>51</v>
      </c>
      <c r="E1560" s="2" t="s">
        <v>10699</v>
      </c>
      <c r="F1560" s="2">
        <v>19887</v>
      </c>
      <c r="G1560" s="3" t="str">
        <f>HYPERLINK("https://cloud.oebiotech.com/#/lm/network/19887", "https://cloud.oebiotech.com/#/lm/network/19887")</f>
        <v>https://cloud.oebiotech.com/#/lm/network/19887</v>
      </c>
      <c r="H1560" s="2" t="s">
        <v>10700</v>
      </c>
      <c r="I1560" s="2">
        <v>61695</v>
      </c>
      <c r="J1560" s="2" t="s">
        <v>10701</v>
      </c>
      <c r="K1560" s="2">
        <v>53480465</v>
      </c>
      <c r="L1560" s="2" t="s">
        <v>691</v>
      </c>
      <c r="M1560" s="2" t="s">
        <v>692</v>
      </c>
      <c r="N1560" s="2" t="s">
        <v>693</v>
      </c>
      <c r="O1560" s="2">
        <v>86255</v>
      </c>
      <c r="P1560" s="2"/>
      <c r="Q1560" s="2"/>
      <c r="R1560" s="2"/>
      <c r="S1560" s="2" t="s">
        <v>10702</v>
      </c>
      <c r="T1560" s="2" t="s">
        <v>10703</v>
      </c>
      <c r="U1560" s="2" t="s">
        <v>56</v>
      </c>
      <c r="V1560" s="2" t="s">
        <v>57</v>
      </c>
      <c r="W1560" s="2" t="s">
        <v>58</v>
      </c>
      <c r="X1560" s="2" t="s">
        <v>83</v>
      </c>
      <c r="Y1560" s="2">
        <v>38.799999999999997</v>
      </c>
      <c r="Z1560" s="2">
        <v>0</v>
      </c>
      <c r="AA1560" s="2" t="s">
        <v>156</v>
      </c>
      <c r="AB1560" s="2" t="s">
        <v>1551</v>
      </c>
      <c r="AC1560" s="2">
        <v>2.3684935870585302</v>
      </c>
      <c r="AD1560" s="2"/>
      <c r="AE1560" s="2">
        <v>0.41609451546359899</v>
      </c>
      <c r="AF1560" s="2">
        <v>37749.222247454803</v>
      </c>
      <c r="AG1560" s="2">
        <v>45080.268356589397</v>
      </c>
      <c r="AH1560" s="4">
        <v>0.83737793991940601</v>
      </c>
      <c r="AI1560" s="4">
        <v>-0.25604918300461699</v>
      </c>
      <c r="AJ1560" s="4" t="s">
        <v>62</v>
      </c>
      <c r="AK1560" s="2">
        <v>0.27155691827033102</v>
      </c>
      <c r="AL1560" s="2">
        <v>0.59187658046137204</v>
      </c>
      <c r="AM1560" s="2">
        <v>37482.322288487499</v>
      </c>
      <c r="AN1560" s="2">
        <v>48742.831481532899</v>
      </c>
      <c r="AO1560" s="2">
        <v>33199.3201212805</v>
      </c>
      <c r="AP1560" s="2">
        <v>35615.464093638999</v>
      </c>
      <c r="AQ1560" s="2">
        <v>30463.696666220301</v>
      </c>
      <c r="AR1560" s="2">
        <v>40991.698833568698</v>
      </c>
      <c r="AS1560" s="2">
        <v>31684.3710468395</v>
      </c>
      <c r="AT1560" s="2">
        <v>24894.364078080998</v>
      </c>
      <c r="AU1560" s="2">
        <v>47169.043935180402</v>
      </c>
      <c r="AV1560" s="2">
        <v>49555.447432806002</v>
      </c>
      <c r="AW1560" s="2">
        <v>57084.274563096398</v>
      </c>
      <c r="AX1560" s="2">
        <v>60094.109083533098</v>
      </c>
    </row>
    <row r="1561" spans="1:50" x14ac:dyDescent="0.25">
      <c r="A1561" s="2" t="s">
        <v>10704</v>
      </c>
      <c r="B1561" s="2">
        <v>465.03466361443498</v>
      </c>
      <c r="C1561" s="2">
        <v>3.64313333333333</v>
      </c>
      <c r="D1561" s="2" t="s">
        <v>51</v>
      </c>
      <c r="E1561" s="2" t="s">
        <v>10705</v>
      </c>
      <c r="F1561" s="2">
        <v>213494</v>
      </c>
      <c r="G1561" s="3" t="str">
        <f>HYPERLINK("https://cloud.oebiotech.com/#/lm/network/213494", "https://cloud.oebiotech.com/#/lm/network/213494")</f>
        <v>https://cloud.oebiotech.com/#/lm/network/213494</v>
      </c>
      <c r="H1561" s="2" t="s">
        <v>10706</v>
      </c>
      <c r="I1561" s="2"/>
      <c r="J1561" s="2"/>
      <c r="K1561" s="2">
        <v>53885234</v>
      </c>
      <c r="L1561" s="2"/>
      <c r="M1561" s="2"/>
      <c r="N1561" s="2"/>
      <c r="O1561" s="2"/>
      <c r="P1561" s="2"/>
      <c r="Q1561" s="2"/>
      <c r="R1561" s="2"/>
      <c r="S1561" s="2" t="s">
        <v>10707</v>
      </c>
      <c r="T1561" s="2" t="s">
        <v>10708</v>
      </c>
      <c r="U1561" s="2" t="s">
        <v>610</v>
      </c>
      <c r="V1561" s="2" t="s">
        <v>813</v>
      </c>
      <c r="W1561" s="2" t="s">
        <v>240</v>
      </c>
      <c r="X1561" s="2" t="s">
        <v>147</v>
      </c>
      <c r="Y1561" s="2">
        <v>38.6</v>
      </c>
      <c r="Z1561" s="2">
        <v>0</v>
      </c>
      <c r="AA1561" s="2" t="s">
        <v>395</v>
      </c>
      <c r="AB1561" s="2" t="s">
        <v>10709</v>
      </c>
      <c r="AC1561" s="2">
        <v>-0.18283428962017001</v>
      </c>
      <c r="AD1561" s="2"/>
      <c r="AE1561" s="2">
        <v>0.41573484513356102</v>
      </c>
      <c r="AF1561" s="2">
        <v>14808.2068962143</v>
      </c>
      <c r="AG1561" s="2">
        <v>20571.9550590461</v>
      </c>
      <c r="AH1561" s="4">
        <v>0.71982496820119701</v>
      </c>
      <c r="AI1561" s="4">
        <v>-0.47428194973043297</v>
      </c>
      <c r="AJ1561" s="4" t="s">
        <v>62</v>
      </c>
      <c r="AK1561" s="2">
        <v>0.20135292999047799</v>
      </c>
      <c r="AL1561" s="2">
        <v>0.524812102806965</v>
      </c>
      <c r="AM1561" s="2">
        <v>5580.1312340222803</v>
      </c>
      <c r="AN1561" s="2">
        <v>14903.3183119693</v>
      </c>
      <c r="AO1561" s="2">
        <v>16757.4624555624</v>
      </c>
      <c r="AP1561" s="2">
        <v>16846.629063657299</v>
      </c>
      <c r="AQ1561" s="2">
        <v>19846.1800419395</v>
      </c>
      <c r="AR1561" s="2">
        <v>14915.520270135001</v>
      </c>
      <c r="AS1561" s="2">
        <v>23073.752581083401</v>
      </c>
      <c r="AT1561" s="2">
        <v>25880.657927660901</v>
      </c>
      <c r="AU1561" s="2">
        <v>11826.3557803645</v>
      </c>
      <c r="AV1561" s="2">
        <v>7449.3749114186303</v>
      </c>
      <c r="AW1561" s="2">
        <v>31621.0588987376</v>
      </c>
      <c r="AX1561" s="2">
        <v>23580.530255011501</v>
      </c>
    </row>
    <row r="1562" spans="1:50" x14ac:dyDescent="0.25">
      <c r="A1562" s="2" t="s">
        <v>10710</v>
      </c>
      <c r="B1562" s="2">
        <v>144.10227187810699</v>
      </c>
      <c r="C1562" s="2">
        <v>0.73424999999999996</v>
      </c>
      <c r="D1562" s="2" t="s">
        <v>51</v>
      </c>
      <c r="E1562" s="2" t="s">
        <v>10711</v>
      </c>
      <c r="F1562" s="2">
        <v>198612</v>
      </c>
      <c r="G1562" s="3" t="str">
        <f>HYPERLINK("https://cloud.oebiotech.com/#/lm/network/198612", "https://cloud.oebiotech.com/#/lm/network/198612")</f>
        <v>https://cloud.oebiotech.com/#/lm/network/198612</v>
      </c>
      <c r="H1562" s="2" t="s">
        <v>10712</v>
      </c>
      <c r="I1562" s="2"/>
      <c r="J1562" s="2"/>
      <c r="K1562" s="2">
        <v>11286529</v>
      </c>
      <c r="L1562" s="2"/>
      <c r="M1562" s="2"/>
      <c r="N1562" s="2"/>
      <c r="O1562" s="2"/>
      <c r="P1562" s="2"/>
      <c r="Q1562" s="2"/>
      <c r="R1562" s="2"/>
      <c r="S1562" s="2" t="s">
        <v>10713</v>
      </c>
      <c r="T1562" s="2" t="s">
        <v>10714</v>
      </c>
      <c r="U1562" s="2" t="s">
        <v>103</v>
      </c>
      <c r="V1562" s="2" t="s">
        <v>104</v>
      </c>
      <c r="W1562" s="2" t="s">
        <v>105</v>
      </c>
      <c r="X1562" s="2" t="s">
        <v>147</v>
      </c>
      <c r="Y1562" s="2">
        <v>46.8</v>
      </c>
      <c r="Z1562" s="2">
        <v>39</v>
      </c>
      <c r="AA1562" s="2" t="s">
        <v>2087</v>
      </c>
      <c r="AB1562" s="2" t="s">
        <v>10715</v>
      </c>
      <c r="AC1562" s="2">
        <v>2.5632358106681101</v>
      </c>
      <c r="AD1562" s="2"/>
      <c r="AE1562" s="2">
        <v>0.41571586284485201</v>
      </c>
      <c r="AF1562" s="2">
        <v>308815.44768652099</v>
      </c>
      <c r="AG1562" s="2">
        <v>314193.22320364701</v>
      </c>
      <c r="AH1562" s="4">
        <v>0.98288385897604202</v>
      </c>
      <c r="AI1562" s="4">
        <v>-2.4907142185623302E-2</v>
      </c>
      <c r="AJ1562" s="4" t="s">
        <v>62</v>
      </c>
      <c r="AK1562" s="2">
        <v>0.98162916472075001</v>
      </c>
      <c r="AL1562" s="2">
        <v>0.99225462124931296</v>
      </c>
      <c r="AM1562" s="2">
        <v>69414.318342285304</v>
      </c>
      <c r="AN1562" s="2">
        <v>1033390.0165722</v>
      </c>
      <c r="AO1562" s="2">
        <v>552351.29120754404</v>
      </c>
      <c r="AP1562" s="2">
        <v>142787.43535399399</v>
      </c>
      <c r="AQ1562" s="2">
        <v>26161.362340001</v>
      </c>
      <c r="AR1562" s="2">
        <v>28788.2623031037</v>
      </c>
      <c r="AS1562" s="2">
        <v>384086.689008991</v>
      </c>
      <c r="AT1562" s="2">
        <v>50932.321470107097</v>
      </c>
      <c r="AU1562" s="2">
        <v>1047445.39524234</v>
      </c>
      <c r="AV1562" s="2">
        <v>37823.1258862061</v>
      </c>
      <c r="AW1562" s="2">
        <v>126939.75441070199</v>
      </c>
      <c r="AX1562" s="2">
        <v>237932.053203535</v>
      </c>
    </row>
    <row r="1563" spans="1:50" x14ac:dyDescent="0.25">
      <c r="A1563" s="2" t="s">
        <v>10716</v>
      </c>
      <c r="B1563" s="2">
        <v>293.21187984967702</v>
      </c>
      <c r="C1563" s="2">
        <v>9.1553166666666694</v>
      </c>
      <c r="D1563" s="2" t="s">
        <v>51</v>
      </c>
      <c r="E1563" s="2" t="s">
        <v>10717</v>
      </c>
      <c r="F1563" s="2">
        <v>3148</v>
      </c>
      <c r="G1563" s="3" t="str">
        <f>HYPERLINK("https://cloud.oebiotech.com/#/lm/network/3148", "https://cloud.oebiotech.com/#/lm/network/3148")</f>
        <v>https://cloud.oebiotech.com/#/lm/network/3148</v>
      </c>
      <c r="H1563" s="2"/>
      <c r="I1563" s="2">
        <v>74647</v>
      </c>
      <c r="J1563" s="2" t="s">
        <v>10718</v>
      </c>
      <c r="K1563" s="2">
        <v>5312837</v>
      </c>
      <c r="L1563" s="2"/>
      <c r="M1563" s="2"/>
      <c r="N1563" s="2"/>
      <c r="O1563" s="2"/>
      <c r="P1563" s="2"/>
      <c r="Q1563" s="2"/>
      <c r="R1563" s="2"/>
      <c r="S1563" s="2" t="s">
        <v>10719</v>
      </c>
      <c r="T1563" s="2" t="s">
        <v>10720</v>
      </c>
      <c r="U1563" s="2" t="s">
        <v>56</v>
      </c>
      <c r="V1563" s="2" t="s">
        <v>145</v>
      </c>
      <c r="W1563" s="2" t="s">
        <v>231</v>
      </c>
      <c r="X1563" s="2" t="s">
        <v>147</v>
      </c>
      <c r="Y1563" s="2">
        <v>47.2</v>
      </c>
      <c r="Z1563" s="2">
        <v>45</v>
      </c>
      <c r="AA1563" s="2" t="s">
        <v>179</v>
      </c>
      <c r="AB1563" s="2" t="s">
        <v>10721</v>
      </c>
      <c r="AC1563" s="2">
        <v>2.5963417343603599</v>
      </c>
      <c r="AD1563" s="2"/>
      <c r="AE1563" s="2">
        <v>0.41556387628052399</v>
      </c>
      <c r="AF1563" s="2">
        <v>13171.5133146305</v>
      </c>
      <c r="AG1563" s="2">
        <v>8326.1457382850895</v>
      </c>
      <c r="AH1563" s="5">
        <v>1.58194604426218</v>
      </c>
      <c r="AI1563" s="5">
        <v>0.66170039437275296</v>
      </c>
      <c r="AJ1563" s="5" t="s">
        <v>139</v>
      </c>
      <c r="AK1563" s="2">
        <v>5.4029036852234903E-2</v>
      </c>
      <c r="AL1563" s="2">
        <v>0.31917451919574003</v>
      </c>
      <c r="AM1563" s="2">
        <v>10795.619862117701</v>
      </c>
      <c r="AN1563" s="2">
        <v>21349.859840544399</v>
      </c>
      <c r="AO1563" s="2">
        <v>13414.919880157</v>
      </c>
      <c r="AP1563" s="2">
        <v>7615.8775178551696</v>
      </c>
      <c r="AQ1563" s="2">
        <v>12569.9553886137</v>
      </c>
      <c r="AR1563" s="2">
        <v>13282.8473984953</v>
      </c>
      <c r="AS1563" s="2">
        <v>8710.32203759808</v>
      </c>
      <c r="AT1563" s="2">
        <v>4766.8055783582204</v>
      </c>
      <c r="AU1563" s="2">
        <v>11123.8634194811</v>
      </c>
      <c r="AV1563" s="2">
        <v>4821.09071547044</v>
      </c>
      <c r="AW1563" s="2">
        <v>8927.8620802392306</v>
      </c>
      <c r="AX1563" s="2">
        <v>11606.9305985635</v>
      </c>
    </row>
    <row r="1564" spans="1:50" x14ac:dyDescent="0.25">
      <c r="A1564" s="2" t="s">
        <v>10722</v>
      </c>
      <c r="B1564" s="2">
        <v>766.53597208861299</v>
      </c>
      <c r="C1564" s="2">
        <v>11.3306166666667</v>
      </c>
      <c r="D1564" s="2" t="s">
        <v>51</v>
      </c>
      <c r="E1564" s="2" t="s">
        <v>10723</v>
      </c>
      <c r="F1564" s="2">
        <v>214207</v>
      </c>
      <c r="G1564" s="3" t="str">
        <f>HYPERLINK("https://cloud.oebiotech.com/#/lm/network/214207", "https://cloud.oebiotech.com/#/lm/network/214207")</f>
        <v>https://cloud.oebiotech.com/#/lm/network/214207</v>
      </c>
      <c r="H1564" s="2" t="s">
        <v>10724</v>
      </c>
      <c r="I1564" s="2"/>
      <c r="J1564" s="2"/>
      <c r="K1564" s="2"/>
      <c r="L1564" s="2"/>
      <c r="M1564" s="2"/>
      <c r="N1564" s="2"/>
      <c r="O1564" s="2"/>
      <c r="P1564" s="2"/>
      <c r="Q1564" s="2"/>
      <c r="R1564" s="2"/>
      <c r="S1564" s="2" t="s">
        <v>10725</v>
      </c>
      <c r="T1564" s="2" t="s">
        <v>10726</v>
      </c>
      <c r="U1564" s="2" t="s">
        <v>56</v>
      </c>
      <c r="V1564" s="2" t="s">
        <v>57</v>
      </c>
      <c r="W1564" s="2" t="s">
        <v>155</v>
      </c>
      <c r="X1564" s="2" t="s">
        <v>83</v>
      </c>
      <c r="Y1564" s="2">
        <v>52</v>
      </c>
      <c r="Z1564" s="2">
        <v>0</v>
      </c>
      <c r="AA1564" s="2" t="s">
        <v>156</v>
      </c>
      <c r="AB1564" s="2" t="s">
        <v>10727</v>
      </c>
      <c r="AC1564" s="2">
        <v>-2.75591517244295</v>
      </c>
      <c r="AD1564" s="2"/>
      <c r="AE1564" s="2">
        <v>0.41552622769025799</v>
      </c>
      <c r="AF1564" s="2">
        <v>11518.066657847199</v>
      </c>
      <c r="AG1564" s="2">
        <v>2921.1731835836199</v>
      </c>
      <c r="AH1564" s="5">
        <v>3.9429591927573302</v>
      </c>
      <c r="AI1564" s="5">
        <v>1.97927877950196</v>
      </c>
      <c r="AJ1564" s="5" t="s">
        <v>139</v>
      </c>
      <c r="AK1564" s="2">
        <v>0.16301098040381701</v>
      </c>
      <c r="AL1564" s="2">
        <v>0.48434324587146799</v>
      </c>
      <c r="AM1564" s="2">
        <v>3210.25914823017</v>
      </c>
      <c r="AN1564" s="2">
        <v>2924.0491825989602</v>
      </c>
      <c r="AO1564" s="2">
        <v>19832.004673235399</v>
      </c>
      <c r="AP1564" s="2">
        <v>273.59099871031498</v>
      </c>
      <c r="AQ1564" s="2">
        <v>35633.247854242101</v>
      </c>
      <c r="AR1564" s="2">
        <v>7235.2480900664896</v>
      </c>
      <c r="AS1564" s="2">
        <v>4608.8871154476301</v>
      </c>
      <c r="AT1564" s="2">
        <v>505.67213054725102</v>
      </c>
      <c r="AU1564" s="2">
        <v>2326.26918551059</v>
      </c>
      <c r="AV1564" s="2">
        <v>7692.7888328325498</v>
      </c>
      <c r="AW1564" s="2">
        <v>2104.6093032592398</v>
      </c>
      <c r="AX1564" s="2">
        <v>288.81253390446699</v>
      </c>
    </row>
    <row r="1565" spans="1:50" x14ac:dyDescent="0.25">
      <c r="A1565" s="2" t="s">
        <v>10728</v>
      </c>
      <c r="B1565" s="2">
        <v>241.14427777551799</v>
      </c>
      <c r="C1565" s="2">
        <v>7.8136999999999999</v>
      </c>
      <c r="D1565" s="2" t="s">
        <v>51</v>
      </c>
      <c r="E1565" s="2" t="s">
        <v>10729</v>
      </c>
      <c r="F1565" s="2">
        <v>688</v>
      </c>
      <c r="G1565" s="3" t="str">
        <f>HYPERLINK("https://cloud.oebiotech.com/#/lm/network/688", "https://cloud.oebiotech.com/#/lm/network/688")</f>
        <v>https://cloud.oebiotech.com/#/lm/network/688</v>
      </c>
      <c r="H1565" s="2"/>
      <c r="I1565" s="2">
        <v>34856</v>
      </c>
      <c r="J1565" s="2" t="s">
        <v>10730</v>
      </c>
      <c r="K1565" s="2">
        <v>5282853</v>
      </c>
      <c r="L1565" s="2"/>
      <c r="M1565" s="2"/>
      <c r="N1565" s="2"/>
      <c r="O1565" s="2"/>
      <c r="P1565" s="2"/>
      <c r="Q1565" s="2"/>
      <c r="R1565" s="2"/>
      <c r="S1565" s="2" t="s">
        <v>10731</v>
      </c>
      <c r="T1565" s="2" t="s">
        <v>10732</v>
      </c>
      <c r="U1565" s="2" t="s">
        <v>56</v>
      </c>
      <c r="V1565" s="2" t="s">
        <v>145</v>
      </c>
      <c r="W1565" s="2" t="s">
        <v>231</v>
      </c>
      <c r="X1565" s="2" t="s">
        <v>147</v>
      </c>
      <c r="Y1565" s="2">
        <v>42.7</v>
      </c>
      <c r="Z1565" s="2">
        <v>17.600000000000001</v>
      </c>
      <c r="AA1565" s="2" t="s">
        <v>218</v>
      </c>
      <c r="AB1565" s="2" t="s">
        <v>7868</v>
      </c>
      <c r="AC1565" s="2">
        <v>-1.29992237189853</v>
      </c>
      <c r="AD1565" s="2"/>
      <c r="AE1565" s="2">
        <v>0.41549302869168703</v>
      </c>
      <c r="AF1565" s="2">
        <v>7797.30630954362</v>
      </c>
      <c r="AG1565" s="2">
        <v>4151.1627750909802</v>
      </c>
      <c r="AH1565" s="5">
        <v>1.8783427034784801</v>
      </c>
      <c r="AI1565" s="5">
        <v>0.90946030660351995</v>
      </c>
      <c r="AJ1565" s="5" t="s">
        <v>139</v>
      </c>
      <c r="AK1565" s="2">
        <v>5.1691003821702801E-3</v>
      </c>
      <c r="AL1565" s="2">
        <v>0.123740271492219</v>
      </c>
      <c r="AM1565" s="2">
        <v>8785.5554486804795</v>
      </c>
      <c r="AN1565" s="2">
        <v>10253.803809860299</v>
      </c>
      <c r="AO1565" s="2">
        <v>6449.9822846110301</v>
      </c>
      <c r="AP1565" s="2">
        <v>5504.8477211435702</v>
      </c>
      <c r="AQ1565" s="2">
        <v>6215.9552350021904</v>
      </c>
      <c r="AR1565" s="2">
        <v>9573.69335796415</v>
      </c>
      <c r="AS1565" s="2">
        <v>4792.3381142107901</v>
      </c>
      <c r="AT1565" s="2">
        <v>2890.0521912293798</v>
      </c>
      <c r="AU1565" s="2">
        <v>5697.0139610691904</v>
      </c>
      <c r="AV1565" s="2">
        <v>1851.83391402091</v>
      </c>
      <c r="AW1565" s="2">
        <v>4101.1838930449003</v>
      </c>
      <c r="AX1565" s="2">
        <v>5574.5545769706896</v>
      </c>
    </row>
    <row r="1566" spans="1:50" x14ac:dyDescent="0.25">
      <c r="A1566" s="2" t="s">
        <v>10733</v>
      </c>
      <c r="B1566" s="2">
        <v>517.39002889267999</v>
      </c>
      <c r="C1566" s="2">
        <v>13.014433333333301</v>
      </c>
      <c r="D1566" s="2" t="s">
        <v>51</v>
      </c>
      <c r="E1566" s="2" t="s">
        <v>10734</v>
      </c>
      <c r="F1566" s="2">
        <v>44285</v>
      </c>
      <c r="G1566" s="3" t="str">
        <f>HYPERLINK("https://cloud.oebiotech.com/#/lm/network/44285", "https://cloud.oebiotech.com/#/lm/network/44285")</f>
        <v>https://cloud.oebiotech.com/#/lm/network/44285</v>
      </c>
      <c r="H1566" s="2"/>
      <c r="I1566" s="2">
        <v>84118</v>
      </c>
      <c r="J1566" s="2" t="s">
        <v>10735</v>
      </c>
      <c r="K1566" s="2">
        <v>52931397</v>
      </c>
      <c r="L1566" s="2"/>
      <c r="M1566" s="2"/>
      <c r="N1566" s="2"/>
      <c r="O1566" s="2"/>
      <c r="P1566" s="2"/>
      <c r="Q1566" s="2"/>
      <c r="R1566" s="2"/>
      <c r="S1566" s="2" t="s">
        <v>10736</v>
      </c>
      <c r="T1566" s="2" t="s">
        <v>10737</v>
      </c>
      <c r="U1566" s="2" t="s">
        <v>56</v>
      </c>
      <c r="V1566" s="2" t="s">
        <v>283</v>
      </c>
      <c r="W1566" s="2" t="s">
        <v>10738</v>
      </c>
      <c r="X1566" s="2" t="s">
        <v>83</v>
      </c>
      <c r="Y1566" s="2">
        <v>42</v>
      </c>
      <c r="Z1566" s="2">
        <v>0</v>
      </c>
      <c r="AA1566" s="2" t="s">
        <v>218</v>
      </c>
      <c r="AB1566" s="2" t="s">
        <v>4448</v>
      </c>
      <c r="AC1566" s="2">
        <v>0.38209049975029302</v>
      </c>
      <c r="AD1566" s="2"/>
      <c r="AE1566" s="2">
        <v>0.415368593814188</v>
      </c>
      <c r="AF1566" s="2">
        <v>33223.742751628801</v>
      </c>
      <c r="AG1566" s="2">
        <v>24886.3156941876</v>
      </c>
      <c r="AH1566" s="5">
        <v>1.33502054542322</v>
      </c>
      <c r="AI1566" s="5">
        <v>0.41686194457358799</v>
      </c>
      <c r="AJ1566" s="5" t="s">
        <v>139</v>
      </c>
      <c r="AK1566" s="2">
        <v>0.15920757899732199</v>
      </c>
      <c r="AL1566" s="2">
        <v>0.48227444314382201</v>
      </c>
      <c r="AM1566" s="2">
        <v>18486.7885753593</v>
      </c>
      <c r="AN1566" s="2">
        <v>49503.673405649097</v>
      </c>
      <c r="AO1566" s="2">
        <v>35822.958141642703</v>
      </c>
      <c r="AP1566" s="2">
        <v>42908.890113519803</v>
      </c>
      <c r="AQ1566" s="2">
        <v>25031.801135136098</v>
      </c>
      <c r="AR1566" s="2">
        <v>27588.345138466</v>
      </c>
      <c r="AS1566" s="2">
        <v>18314.814555361099</v>
      </c>
      <c r="AT1566" s="2">
        <v>32460.765631770901</v>
      </c>
      <c r="AU1566" s="2">
        <v>18737.3242531627</v>
      </c>
      <c r="AV1566" s="2">
        <v>21395.3081142185</v>
      </c>
      <c r="AW1566" s="2">
        <v>25215.9923227652</v>
      </c>
      <c r="AX1566" s="2">
        <v>33193.689287847403</v>
      </c>
    </row>
    <row r="1567" spans="1:50" x14ac:dyDescent="0.25">
      <c r="A1567" s="2" t="s">
        <v>10739</v>
      </c>
      <c r="B1567" s="2">
        <v>327.23280997693098</v>
      </c>
      <c r="C1567" s="2">
        <v>10.331950000000001</v>
      </c>
      <c r="D1567" s="2" t="s">
        <v>51</v>
      </c>
      <c r="E1567" s="2" t="s">
        <v>10740</v>
      </c>
      <c r="F1567" s="2">
        <v>4836</v>
      </c>
      <c r="G1567" s="3" t="str">
        <f>HYPERLINK("https://cloud.oebiotech.com/#/lm/network/4836", "https://cloud.oebiotech.com/#/lm/network/4836")</f>
        <v>https://cloud.oebiotech.com/#/lm/network/4836</v>
      </c>
      <c r="H1567" s="2" t="s">
        <v>10741</v>
      </c>
      <c r="I1567" s="2">
        <v>36436</v>
      </c>
      <c r="J1567" s="2" t="s">
        <v>10742</v>
      </c>
      <c r="K1567" s="2">
        <v>11046191</v>
      </c>
      <c r="L1567" s="2"/>
      <c r="M1567" s="2"/>
      <c r="N1567" s="2"/>
      <c r="O1567" s="2">
        <v>138640</v>
      </c>
      <c r="P1567" s="2" t="s">
        <v>1290</v>
      </c>
      <c r="Q1567" s="2" t="s">
        <v>1291</v>
      </c>
      <c r="R1567" s="2"/>
      <c r="S1567" s="2" t="s">
        <v>10743</v>
      </c>
      <c r="T1567" s="2" t="s">
        <v>10744</v>
      </c>
      <c r="U1567" s="2" t="s">
        <v>56</v>
      </c>
      <c r="V1567" s="2" t="s">
        <v>145</v>
      </c>
      <c r="W1567" s="2" t="s">
        <v>231</v>
      </c>
      <c r="X1567" s="2" t="s">
        <v>59</v>
      </c>
      <c r="Y1567" s="2">
        <v>50.3</v>
      </c>
      <c r="Z1567" s="2">
        <v>59.9</v>
      </c>
      <c r="AA1567" s="2" t="s">
        <v>179</v>
      </c>
      <c r="AB1567" s="2" t="s">
        <v>2918</v>
      </c>
      <c r="AC1567" s="2">
        <v>2.7694499677979301</v>
      </c>
      <c r="AD1567" s="2"/>
      <c r="AE1567" s="2">
        <v>0.41536780436757598</v>
      </c>
      <c r="AF1567" s="2">
        <v>22311.9426509763</v>
      </c>
      <c r="AG1567" s="2">
        <v>15924.6905445343</v>
      </c>
      <c r="AH1567" s="5">
        <v>1.40109112880904</v>
      </c>
      <c r="AI1567" s="5">
        <v>0.486550793602613</v>
      </c>
      <c r="AJ1567" s="5" t="s">
        <v>139</v>
      </c>
      <c r="AK1567" s="2">
        <v>0.36039475295921197</v>
      </c>
      <c r="AL1567" s="2">
        <v>0.64525441746647905</v>
      </c>
      <c r="AM1567" s="2">
        <v>42586.347844462398</v>
      </c>
      <c r="AN1567" s="2">
        <v>15231.586466074499</v>
      </c>
      <c r="AO1567" s="2">
        <v>11173.513437512</v>
      </c>
      <c r="AP1567" s="2">
        <v>25449.2926843682</v>
      </c>
      <c r="AQ1567" s="2">
        <v>16285.2186021786</v>
      </c>
      <c r="AR1567" s="2">
        <v>23145.696871262098</v>
      </c>
      <c r="AS1567" s="2">
        <v>9849.6043607157608</v>
      </c>
      <c r="AT1567" s="2">
        <v>7315.5046700857301</v>
      </c>
      <c r="AU1567" s="2">
        <v>38910.732186833098</v>
      </c>
      <c r="AV1567" s="2">
        <v>8492.5972428442201</v>
      </c>
      <c r="AW1567" s="2">
        <v>17069.369674698399</v>
      </c>
      <c r="AX1567" s="2">
        <v>13910.3351320288</v>
      </c>
    </row>
    <row r="1568" spans="1:50" x14ac:dyDescent="0.25">
      <c r="A1568" s="2" t="s">
        <v>10745</v>
      </c>
      <c r="B1568" s="2">
        <v>352.178763834785</v>
      </c>
      <c r="C1568" s="2">
        <v>12.411716666666701</v>
      </c>
      <c r="D1568" s="2" t="s">
        <v>51</v>
      </c>
      <c r="E1568" s="2" t="s">
        <v>10746</v>
      </c>
      <c r="F1568" s="2">
        <v>274343</v>
      </c>
      <c r="G1568" s="3" t="str">
        <f>HYPERLINK("https://cloud.oebiotech.com/#/lm/network/274343", "https://cloud.oebiotech.com/#/lm/network/274343")</f>
        <v>https://cloud.oebiotech.com/#/lm/network/274343</v>
      </c>
      <c r="H1568" s="2"/>
      <c r="I1568" s="2">
        <v>64327</v>
      </c>
      <c r="J1568" s="2"/>
      <c r="K1568" s="2">
        <v>441975</v>
      </c>
      <c r="L1568" s="2" t="s">
        <v>10747</v>
      </c>
      <c r="M1568" s="2"/>
      <c r="N1568" s="2"/>
      <c r="O1568" s="2"/>
      <c r="P1568" s="2"/>
      <c r="Q1568" s="2"/>
      <c r="R1568" s="2" t="s">
        <v>10748</v>
      </c>
      <c r="S1568" s="2" t="s">
        <v>10749</v>
      </c>
      <c r="T1568" s="2" t="s">
        <v>10750</v>
      </c>
      <c r="U1568" s="2" t="s">
        <v>238</v>
      </c>
      <c r="V1568" s="2" t="s">
        <v>10751</v>
      </c>
      <c r="W1568" s="2" t="s">
        <v>240</v>
      </c>
      <c r="X1568" s="2" t="s">
        <v>147</v>
      </c>
      <c r="Y1568" s="2">
        <v>36.700000000000003</v>
      </c>
      <c r="Z1568" s="2">
        <v>0</v>
      </c>
      <c r="AA1568" s="2" t="s">
        <v>122</v>
      </c>
      <c r="AB1568" s="2" t="s">
        <v>10752</v>
      </c>
      <c r="AC1568" s="2">
        <v>0.20187713209910299</v>
      </c>
      <c r="AD1568" s="2"/>
      <c r="AE1568" s="2">
        <v>0.41518789255745397</v>
      </c>
      <c r="AF1568" s="2">
        <v>21564.217543757</v>
      </c>
      <c r="AG1568" s="2">
        <v>15157.771013330601</v>
      </c>
      <c r="AH1568" s="5">
        <v>1.4226509639703799</v>
      </c>
      <c r="AI1568" s="5">
        <v>0.50858175159365204</v>
      </c>
      <c r="AJ1568" s="5" t="s">
        <v>139</v>
      </c>
      <c r="AK1568" s="2">
        <v>0.19276979898961599</v>
      </c>
      <c r="AL1568" s="2">
        <v>0.51702050946451295</v>
      </c>
      <c r="AM1568" s="2">
        <v>20395.615188374901</v>
      </c>
      <c r="AN1568" s="2">
        <v>13661.9931893258</v>
      </c>
      <c r="AO1568" s="2">
        <v>35147.899850146998</v>
      </c>
      <c r="AP1568" s="2">
        <v>17938.1405002264</v>
      </c>
      <c r="AQ1568" s="2">
        <v>29949.171575028799</v>
      </c>
      <c r="AR1568" s="2">
        <v>12292.4849594392</v>
      </c>
      <c r="AS1568" s="2">
        <v>17717.514919980498</v>
      </c>
      <c r="AT1568" s="2">
        <v>10742.4025562639</v>
      </c>
      <c r="AU1568" s="2">
        <v>27128.290414809999</v>
      </c>
      <c r="AV1568" s="2">
        <v>9592.0501266942993</v>
      </c>
      <c r="AW1568" s="2">
        <v>11680.490376727899</v>
      </c>
      <c r="AX1568" s="2">
        <v>14085.877685506801</v>
      </c>
    </row>
    <row r="1569" spans="1:50" x14ac:dyDescent="0.25">
      <c r="A1569" s="2" t="s">
        <v>10753</v>
      </c>
      <c r="B1569" s="2">
        <v>308.09868338969699</v>
      </c>
      <c r="C1569" s="2">
        <v>0.69840000000000002</v>
      </c>
      <c r="D1569" s="2" t="s">
        <v>51</v>
      </c>
      <c r="E1569" s="2" t="s">
        <v>10754</v>
      </c>
      <c r="F1569" s="2">
        <v>207213</v>
      </c>
      <c r="G1569" s="3" t="str">
        <f>HYPERLINK("https://cloud.oebiotech.com/#/lm/network/207213", "https://cloud.oebiotech.com/#/lm/network/207213")</f>
        <v>https://cloud.oebiotech.com/#/lm/network/207213</v>
      </c>
      <c r="H1569" s="2" t="s">
        <v>10755</v>
      </c>
      <c r="I1569" s="2"/>
      <c r="J1569" s="2"/>
      <c r="K1569" s="2">
        <v>71336986</v>
      </c>
      <c r="L1569" s="2"/>
      <c r="M1569" s="2"/>
      <c r="N1569" s="2"/>
      <c r="O1569" s="2"/>
      <c r="P1569" s="2"/>
      <c r="Q1569" s="2"/>
      <c r="R1569" s="2"/>
      <c r="S1569" s="2" t="s">
        <v>10756</v>
      </c>
      <c r="T1569" s="2" t="s">
        <v>10757</v>
      </c>
      <c r="U1569" s="2" t="s">
        <v>103</v>
      </c>
      <c r="V1569" s="2" t="s">
        <v>104</v>
      </c>
      <c r="W1569" s="2" t="s">
        <v>105</v>
      </c>
      <c r="X1569" s="2" t="s">
        <v>69</v>
      </c>
      <c r="Y1569" s="2">
        <v>50.6</v>
      </c>
      <c r="Z1569" s="2">
        <v>58.1</v>
      </c>
      <c r="AA1569" s="2" t="s">
        <v>163</v>
      </c>
      <c r="AB1569" s="2" t="s">
        <v>7647</v>
      </c>
      <c r="AC1569" s="2">
        <v>-6.9129925051275395E-2</v>
      </c>
      <c r="AD1569" s="2"/>
      <c r="AE1569" s="2">
        <v>0.41417005892692199</v>
      </c>
      <c r="AF1569" s="2">
        <v>36183.624961429603</v>
      </c>
      <c r="AG1569" s="2">
        <v>42358.971845756801</v>
      </c>
      <c r="AH1569" s="4">
        <v>0.85421395715614501</v>
      </c>
      <c r="AI1569" s="4">
        <v>-0.22733062425985701</v>
      </c>
      <c r="AJ1569" s="4" t="s">
        <v>62</v>
      </c>
      <c r="AK1569" s="2">
        <v>0.48394444401204201</v>
      </c>
      <c r="AL1569" s="2">
        <v>0.72793974261451599</v>
      </c>
      <c r="AM1569" s="2">
        <v>12260.7556079482</v>
      </c>
      <c r="AN1569" s="2">
        <v>55297.532815132399</v>
      </c>
      <c r="AO1569" s="2">
        <v>21426.8199799508</v>
      </c>
      <c r="AP1569" s="2">
        <v>30490.7484502925</v>
      </c>
      <c r="AQ1569" s="2">
        <v>55127.017814032297</v>
      </c>
      <c r="AR1569" s="2">
        <v>42498.875101221602</v>
      </c>
      <c r="AS1569" s="2">
        <v>51312.9300521634</v>
      </c>
      <c r="AT1569" s="2">
        <v>41828.404638047301</v>
      </c>
      <c r="AU1569" s="2">
        <v>22698.126024191599</v>
      </c>
      <c r="AV1569" s="2">
        <v>50493.042537888599</v>
      </c>
      <c r="AW1569" s="2">
        <v>48412.398262124902</v>
      </c>
      <c r="AX1569" s="2">
        <v>39408.929560124801</v>
      </c>
    </row>
    <row r="1570" spans="1:50" x14ac:dyDescent="0.25">
      <c r="A1570" s="2" t="s">
        <v>10758</v>
      </c>
      <c r="B1570" s="2">
        <v>332.01248946770102</v>
      </c>
      <c r="C1570" s="2">
        <v>3.6478999999999999</v>
      </c>
      <c r="D1570" s="2" t="s">
        <v>51</v>
      </c>
      <c r="E1570" s="2" t="s">
        <v>10759</v>
      </c>
      <c r="F1570" s="2">
        <v>61816</v>
      </c>
      <c r="G1570" s="3" t="str">
        <f>HYPERLINK("https://cloud.oebiotech.com/#/lm/network/61816", "https://cloud.oebiotech.com/#/lm/network/61816")</f>
        <v>https://cloud.oebiotech.com/#/lm/network/61816</v>
      </c>
      <c r="H1570" s="2" t="s">
        <v>10760</v>
      </c>
      <c r="I1570" s="2"/>
      <c r="J1570" s="2"/>
      <c r="K1570" s="2">
        <v>9573942</v>
      </c>
      <c r="L1570" s="2" t="s">
        <v>10761</v>
      </c>
      <c r="M1570" s="2"/>
      <c r="N1570" s="2"/>
      <c r="O1570" s="2">
        <v>5399</v>
      </c>
      <c r="P1570" s="2"/>
      <c r="Q1570" s="2"/>
      <c r="R1570" s="2" t="s">
        <v>10762</v>
      </c>
      <c r="S1570" s="2" t="s">
        <v>10763</v>
      </c>
      <c r="T1570" s="2" t="s">
        <v>10764</v>
      </c>
      <c r="U1570" s="2" t="s">
        <v>331</v>
      </c>
      <c r="V1570" s="2" t="s">
        <v>332</v>
      </c>
      <c r="W1570" s="2" t="s">
        <v>333</v>
      </c>
      <c r="X1570" s="2" t="s">
        <v>147</v>
      </c>
      <c r="Y1570" s="2">
        <v>37.6</v>
      </c>
      <c r="Z1570" s="2">
        <v>5.24</v>
      </c>
      <c r="AA1570" s="2" t="s">
        <v>298</v>
      </c>
      <c r="AB1570" s="2" t="s">
        <v>10765</v>
      </c>
      <c r="AC1570" s="2">
        <v>2.8311847415403002</v>
      </c>
      <c r="AD1570" s="2"/>
      <c r="AE1570" s="2">
        <v>0.413957131904378</v>
      </c>
      <c r="AF1570" s="2">
        <v>5987.8205466930203</v>
      </c>
      <c r="AG1570" s="2">
        <v>9705.4386759192203</v>
      </c>
      <c r="AH1570" s="4">
        <v>0.61695516778131698</v>
      </c>
      <c r="AI1570" s="4">
        <v>-0.69676243787819403</v>
      </c>
      <c r="AJ1570" s="4" t="s">
        <v>62</v>
      </c>
      <c r="AK1570" s="2">
        <v>1.5666119665593701E-2</v>
      </c>
      <c r="AL1570" s="2">
        <v>0.19831503721669499</v>
      </c>
      <c r="AM1570" s="2">
        <v>4904.2950354323502</v>
      </c>
      <c r="AN1570" s="2">
        <v>4565.1393701664101</v>
      </c>
      <c r="AO1570" s="2">
        <v>5065.5101088565698</v>
      </c>
      <c r="AP1570" s="2">
        <v>5658.4452367723497</v>
      </c>
      <c r="AQ1570" s="2">
        <v>8631.8091666198197</v>
      </c>
      <c r="AR1570" s="2">
        <v>7101.7243623106497</v>
      </c>
      <c r="AS1570" s="2">
        <v>9029.0814148798709</v>
      </c>
      <c r="AT1570" s="2">
        <v>9511.8376220468708</v>
      </c>
      <c r="AU1570" s="2">
        <v>6842.4607712716997</v>
      </c>
      <c r="AV1570" s="2">
        <v>14889.525430797699</v>
      </c>
      <c r="AW1570" s="2">
        <v>8776.6785629330298</v>
      </c>
      <c r="AX1570" s="2">
        <v>9183.0482535861593</v>
      </c>
    </row>
    <row r="1571" spans="1:50" x14ac:dyDescent="0.25">
      <c r="A1571" s="2" t="s">
        <v>10766</v>
      </c>
      <c r="B1571" s="2">
        <v>515.26472851597202</v>
      </c>
      <c r="C1571" s="2">
        <v>3.9637500000000001</v>
      </c>
      <c r="D1571" s="2" t="s">
        <v>51</v>
      </c>
      <c r="E1571" s="2" t="s">
        <v>10767</v>
      </c>
      <c r="F1571" s="2">
        <v>44688</v>
      </c>
      <c r="G1571" s="3" t="str">
        <f>HYPERLINK("https://cloud.oebiotech.com/#/lm/network/44688", "https://cloud.oebiotech.com/#/lm/network/44688")</f>
        <v>https://cloud.oebiotech.com/#/lm/network/44688</v>
      </c>
      <c r="H1571" s="2"/>
      <c r="I1571" s="2">
        <v>3590</v>
      </c>
      <c r="J1571" s="2" t="s">
        <v>10768</v>
      </c>
      <c r="K1571" s="2">
        <v>16142</v>
      </c>
      <c r="L1571" s="2" t="s">
        <v>10769</v>
      </c>
      <c r="M1571" s="2"/>
      <c r="N1571" s="2"/>
      <c r="O1571" s="2">
        <v>3329</v>
      </c>
      <c r="P1571" s="2"/>
      <c r="Q1571" s="2"/>
      <c r="R1571" s="2" t="s">
        <v>10770</v>
      </c>
      <c r="S1571" s="2" t="s">
        <v>10771</v>
      </c>
      <c r="T1571" s="2" t="s">
        <v>10772</v>
      </c>
      <c r="U1571" s="2" t="s">
        <v>56</v>
      </c>
      <c r="V1571" s="2" t="s">
        <v>283</v>
      </c>
      <c r="W1571" s="2" t="s">
        <v>1338</v>
      </c>
      <c r="X1571" s="2" t="s">
        <v>147</v>
      </c>
      <c r="Y1571" s="2">
        <v>43.1</v>
      </c>
      <c r="Z1571" s="2">
        <v>25</v>
      </c>
      <c r="AA1571" s="2" t="s">
        <v>156</v>
      </c>
      <c r="AB1571" s="2" t="s">
        <v>10773</v>
      </c>
      <c r="AC1571" s="2">
        <v>1.4727698478686</v>
      </c>
      <c r="AD1571" s="2"/>
      <c r="AE1571" s="2">
        <v>0.41389320295226101</v>
      </c>
      <c r="AF1571" s="2">
        <v>27373.457959617201</v>
      </c>
      <c r="AG1571" s="2">
        <v>16339.402110327401</v>
      </c>
      <c r="AH1571" s="5">
        <v>1.6753035254769599</v>
      </c>
      <c r="AI1571" s="5">
        <v>0.74442250155841405</v>
      </c>
      <c r="AJ1571" s="5" t="s">
        <v>139</v>
      </c>
      <c r="AK1571" s="2">
        <v>0.43659570170450301</v>
      </c>
      <c r="AL1571" s="2">
        <v>0.69380853346350002</v>
      </c>
      <c r="AM1571" s="2">
        <v>2763.78064967104</v>
      </c>
      <c r="AN1571" s="2">
        <v>85239.614252621395</v>
      </c>
      <c r="AO1571" s="2">
        <v>37465.9365435129</v>
      </c>
      <c r="AP1571" s="2">
        <v>24858.60247442</v>
      </c>
      <c r="AQ1571" s="2">
        <v>2588.26511325706</v>
      </c>
      <c r="AR1571" s="2">
        <v>11324.548724221</v>
      </c>
      <c r="AS1571" s="2">
        <v>13818.5745261472</v>
      </c>
      <c r="AT1571" s="2">
        <v>5495.37851532282</v>
      </c>
      <c r="AU1571" s="2">
        <v>29047.981641168401</v>
      </c>
      <c r="AV1571" s="2">
        <v>24716.334155363598</v>
      </c>
      <c r="AW1571" s="2">
        <v>23490.474754752799</v>
      </c>
      <c r="AX1571" s="2">
        <v>1467.6690692096699</v>
      </c>
    </row>
    <row r="1572" spans="1:50" x14ac:dyDescent="0.25">
      <c r="A1572" s="2" t="s">
        <v>10774</v>
      </c>
      <c r="B1572" s="2">
        <v>397.22664645441398</v>
      </c>
      <c r="C1572" s="2">
        <v>13.533483333333299</v>
      </c>
      <c r="D1572" s="2" t="s">
        <v>51</v>
      </c>
      <c r="E1572" s="2" t="s">
        <v>10775</v>
      </c>
      <c r="F1572" s="2">
        <v>53505</v>
      </c>
      <c r="G1572" s="3" t="str">
        <f>HYPERLINK("https://cloud.oebiotech.com/#/lm/network/53505", "https://cloud.oebiotech.com/#/lm/network/53505")</f>
        <v>https://cloud.oebiotech.com/#/lm/network/53505</v>
      </c>
      <c r="H1572" s="2" t="s">
        <v>10776</v>
      </c>
      <c r="I1572" s="2">
        <v>85498</v>
      </c>
      <c r="J1572" s="2"/>
      <c r="K1572" s="2">
        <v>132706</v>
      </c>
      <c r="L1572" s="2"/>
      <c r="M1572" s="2"/>
      <c r="N1572" s="2"/>
      <c r="O1572" s="2">
        <v>141552</v>
      </c>
      <c r="P1572" s="2" t="s">
        <v>2109</v>
      </c>
      <c r="Q1572" s="2" t="s">
        <v>2110</v>
      </c>
      <c r="R1572" s="2" t="s">
        <v>10777</v>
      </c>
      <c r="S1572" s="2" t="s">
        <v>10778</v>
      </c>
      <c r="T1572" s="2" t="s">
        <v>10779</v>
      </c>
      <c r="U1572" s="2" t="s">
        <v>266</v>
      </c>
      <c r="V1572" s="2" t="s">
        <v>2143</v>
      </c>
      <c r="W1572" s="2" t="s">
        <v>2144</v>
      </c>
      <c r="X1572" s="2" t="s">
        <v>147</v>
      </c>
      <c r="Y1572" s="2">
        <v>36.799999999999997</v>
      </c>
      <c r="Z1572" s="2">
        <v>0</v>
      </c>
      <c r="AA1572" s="2" t="s">
        <v>379</v>
      </c>
      <c r="AB1572" s="2" t="s">
        <v>10780</v>
      </c>
      <c r="AC1572" s="2">
        <v>1.90906929680589</v>
      </c>
      <c r="AD1572" s="2"/>
      <c r="AE1572" s="2">
        <v>0.413540936662944</v>
      </c>
      <c r="AF1572" s="2">
        <v>16363.8288432956</v>
      </c>
      <c r="AG1572" s="2">
        <v>22783.476676642302</v>
      </c>
      <c r="AH1572" s="4">
        <v>0.71823229946603595</v>
      </c>
      <c r="AI1572" s="4">
        <v>-0.47747756130601499</v>
      </c>
      <c r="AJ1572" s="4" t="s">
        <v>62</v>
      </c>
      <c r="AK1572" s="2">
        <v>0.114131546705665</v>
      </c>
      <c r="AL1572" s="2">
        <v>0.42835315311351202</v>
      </c>
      <c r="AM1572" s="2">
        <v>11128.77746856</v>
      </c>
      <c r="AN1572" s="2">
        <v>17375.301361513</v>
      </c>
      <c r="AO1572" s="2">
        <v>14619.6787885063</v>
      </c>
      <c r="AP1572" s="2">
        <v>15110.5974827518</v>
      </c>
      <c r="AQ1572" s="2">
        <v>23107.5330478346</v>
      </c>
      <c r="AR1572" s="2">
        <v>16841.0849106079</v>
      </c>
      <c r="AS1572" s="2">
        <v>23891.100524926002</v>
      </c>
      <c r="AT1572" s="2">
        <v>16510.216678425499</v>
      </c>
      <c r="AU1572" s="2">
        <v>38425.336602206196</v>
      </c>
      <c r="AV1572" s="2">
        <v>22119.035132742301</v>
      </c>
      <c r="AW1572" s="2">
        <v>17720.775764362301</v>
      </c>
      <c r="AX1572" s="2">
        <v>18034.395357191501</v>
      </c>
    </row>
    <row r="1573" spans="1:50" x14ac:dyDescent="0.25">
      <c r="A1573" s="2" t="s">
        <v>10781</v>
      </c>
      <c r="B1573" s="2">
        <v>357.20727698093702</v>
      </c>
      <c r="C1573" s="2">
        <v>10.246033333333299</v>
      </c>
      <c r="D1573" s="2" t="s">
        <v>51</v>
      </c>
      <c r="E1573" s="2" t="s">
        <v>10782</v>
      </c>
      <c r="F1573" s="2">
        <v>4837</v>
      </c>
      <c r="G1573" s="3" t="str">
        <f>HYPERLINK("https://cloud.oebiotech.com/#/lm/network/4837", "https://cloud.oebiotech.com/#/lm/network/4837")</f>
        <v>https://cloud.oebiotech.com/#/lm/network/4837</v>
      </c>
      <c r="H1573" s="2"/>
      <c r="I1573" s="2">
        <v>36437</v>
      </c>
      <c r="J1573" s="2" t="s">
        <v>10783</v>
      </c>
      <c r="K1573" s="2">
        <v>16061140</v>
      </c>
      <c r="L1573" s="2"/>
      <c r="M1573" s="2"/>
      <c r="N1573" s="2"/>
      <c r="O1573" s="2">
        <v>134608</v>
      </c>
      <c r="P1573" s="2"/>
      <c r="Q1573" s="2"/>
      <c r="R1573" s="2"/>
      <c r="S1573" s="2" t="s">
        <v>10784</v>
      </c>
      <c r="T1573" s="2" t="s">
        <v>10785</v>
      </c>
      <c r="U1573" s="2" t="s">
        <v>56</v>
      </c>
      <c r="V1573" s="2" t="s">
        <v>145</v>
      </c>
      <c r="W1573" s="2" t="s">
        <v>231</v>
      </c>
      <c r="X1573" s="2" t="s">
        <v>69</v>
      </c>
      <c r="Y1573" s="2">
        <v>55.4</v>
      </c>
      <c r="Z1573" s="2">
        <v>65.7</v>
      </c>
      <c r="AA1573" s="2" t="s">
        <v>163</v>
      </c>
      <c r="AB1573" s="2" t="s">
        <v>232</v>
      </c>
      <c r="AC1573" s="2">
        <v>0.40191738153555101</v>
      </c>
      <c r="AD1573" s="2"/>
      <c r="AE1573" s="2">
        <v>0.41312620951262802</v>
      </c>
      <c r="AF1573" s="2">
        <v>12403.048479897499</v>
      </c>
      <c r="AG1573" s="2">
        <v>7958.6639397999297</v>
      </c>
      <c r="AH1573" s="5">
        <v>1.5584334975965</v>
      </c>
      <c r="AI1573" s="5">
        <v>0.640096592733716</v>
      </c>
      <c r="AJ1573" s="5" t="s">
        <v>139</v>
      </c>
      <c r="AK1573" s="2">
        <v>0.16868919219880499</v>
      </c>
      <c r="AL1573" s="2">
        <v>0.49098458663462602</v>
      </c>
      <c r="AM1573" s="2">
        <v>26611.974798786301</v>
      </c>
      <c r="AN1573" s="2">
        <v>9314.3123166053101</v>
      </c>
      <c r="AO1573" s="2">
        <v>9832.5313208410298</v>
      </c>
      <c r="AP1573" s="2">
        <v>10114.0181757711</v>
      </c>
      <c r="AQ1573" s="2">
        <v>6716.1416908602596</v>
      </c>
      <c r="AR1573" s="2">
        <v>11829.312576521001</v>
      </c>
      <c r="AS1573" s="2">
        <v>9793.22882172133</v>
      </c>
      <c r="AT1573" s="2">
        <v>6629.7789136296196</v>
      </c>
      <c r="AU1573" s="2">
        <v>10184.6076449497</v>
      </c>
      <c r="AV1573" s="2">
        <v>6481.1224598282297</v>
      </c>
      <c r="AW1573" s="2">
        <v>7608.0681639813502</v>
      </c>
      <c r="AX1573" s="2">
        <v>7055.1776346893203</v>
      </c>
    </row>
    <row r="1574" spans="1:50" x14ac:dyDescent="0.25">
      <c r="A1574" s="2" t="s">
        <v>10786</v>
      </c>
      <c r="B1574" s="2">
        <v>132.02910975236799</v>
      </c>
      <c r="C1574" s="2">
        <v>0.68473333333333297</v>
      </c>
      <c r="D1574" s="2" t="s">
        <v>51</v>
      </c>
      <c r="E1574" s="2" t="s">
        <v>10787</v>
      </c>
      <c r="F1574" s="2">
        <v>46920</v>
      </c>
      <c r="G1574" s="3" t="str">
        <f>HYPERLINK("https://cloud.oebiotech.com/#/lm/network/46920", "https://cloud.oebiotech.com/#/lm/network/46920")</f>
        <v>https://cloud.oebiotech.com/#/lm/network/46920</v>
      </c>
      <c r="H1574" s="2" t="s">
        <v>10788</v>
      </c>
      <c r="I1574" s="2">
        <v>15</v>
      </c>
      <c r="J1574" s="2"/>
      <c r="K1574" s="2">
        <v>5960</v>
      </c>
      <c r="L1574" s="2" t="s">
        <v>10789</v>
      </c>
      <c r="M1574" s="2" t="s">
        <v>10790</v>
      </c>
      <c r="N1574" s="2" t="s">
        <v>10791</v>
      </c>
      <c r="O1574" s="2">
        <v>17053</v>
      </c>
      <c r="P1574" s="2"/>
      <c r="Q1574" s="2"/>
      <c r="R1574" s="2" t="s">
        <v>10792</v>
      </c>
      <c r="S1574" s="2" t="s">
        <v>10793</v>
      </c>
      <c r="T1574" s="2" t="s">
        <v>10794</v>
      </c>
      <c r="U1574" s="2" t="s">
        <v>103</v>
      </c>
      <c r="V1574" s="2" t="s">
        <v>104</v>
      </c>
      <c r="W1574" s="2" t="s">
        <v>105</v>
      </c>
      <c r="X1574" s="2" t="s">
        <v>69</v>
      </c>
      <c r="Y1574" s="2">
        <v>56.1</v>
      </c>
      <c r="Z1574" s="2">
        <v>87.8</v>
      </c>
      <c r="AA1574" s="2" t="s">
        <v>163</v>
      </c>
      <c r="AB1574" s="2" t="s">
        <v>10795</v>
      </c>
      <c r="AC1574" s="2">
        <v>-8.4301275717307202</v>
      </c>
      <c r="AD1574" s="2"/>
      <c r="AE1574" s="2">
        <v>0.41267651901159602</v>
      </c>
      <c r="AF1574" s="2">
        <v>50331.528033722403</v>
      </c>
      <c r="AG1574" s="2">
        <v>40129.978635066203</v>
      </c>
      <c r="AH1574" s="5">
        <v>1.25421267953883</v>
      </c>
      <c r="AI1574" s="5">
        <v>0.32678200978224797</v>
      </c>
      <c r="AJ1574" s="5" t="s">
        <v>139</v>
      </c>
      <c r="AK1574" s="2">
        <v>0.27544842999069902</v>
      </c>
      <c r="AL1574" s="2">
        <v>0.59553435136736299</v>
      </c>
      <c r="AM1574" s="2">
        <v>47191.085649277498</v>
      </c>
      <c r="AN1574" s="2">
        <v>66138.304512812305</v>
      </c>
      <c r="AO1574" s="2">
        <v>33404.271302419802</v>
      </c>
      <c r="AP1574" s="2">
        <v>76758.906719709994</v>
      </c>
      <c r="AQ1574" s="2">
        <v>48219.500168990198</v>
      </c>
      <c r="AR1574" s="2">
        <v>30277.099849124501</v>
      </c>
      <c r="AS1574" s="2">
        <v>24133.222467677599</v>
      </c>
      <c r="AT1574" s="2">
        <v>46614.300697621999</v>
      </c>
      <c r="AU1574" s="2">
        <v>34438.720562144299</v>
      </c>
      <c r="AV1574" s="2">
        <v>36932.793772737597</v>
      </c>
      <c r="AW1574" s="2">
        <v>39725.887210432797</v>
      </c>
      <c r="AX1574" s="2">
        <v>58934.947099783203</v>
      </c>
    </row>
    <row r="1575" spans="1:50" x14ac:dyDescent="0.25">
      <c r="A1575" s="2" t="s">
        <v>10796</v>
      </c>
      <c r="B1575" s="2">
        <v>460.31307159494901</v>
      </c>
      <c r="C1575" s="2">
        <v>4.3411833333333298</v>
      </c>
      <c r="D1575" s="2" t="s">
        <v>51</v>
      </c>
      <c r="E1575" s="2" t="s">
        <v>10797</v>
      </c>
      <c r="F1575" s="2">
        <v>206621</v>
      </c>
      <c r="G1575" s="3" t="str">
        <f>HYPERLINK("https://cloud.oebiotech.com/#/lm/network/206621", "https://cloud.oebiotech.com/#/lm/network/206621")</f>
        <v>https://cloud.oebiotech.com/#/lm/network/206621</v>
      </c>
      <c r="H1575" s="2" t="s">
        <v>10798</v>
      </c>
      <c r="I1575" s="2"/>
      <c r="J1575" s="2"/>
      <c r="K1575" s="2">
        <v>72671465</v>
      </c>
      <c r="L1575" s="2"/>
      <c r="M1575" s="2"/>
      <c r="N1575" s="2"/>
      <c r="O1575" s="2"/>
      <c r="P1575" s="2"/>
      <c r="Q1575" s="2"/>
      <c r="R1575" s="2"/>
      <c r="S1575" s="2" t="s">
        <v>10799</v>
      </c>
      <c r="T1575" s="2" t="s">
        <v>10800</v>
      </c>
      <c r="U1575" s="2" t="s">
        <v>331</v>
      </c>
      <c r="V1575" s="2" t="s">
        <v>332</v>
      </c>
      <c r="W1575" s="2" t="s">
        <v>333</v>
      </c>
      <c r="X1575" s="2" t="s">
        <v>59</v>
      </c>
      <c r="Y1575" s="2">
        <v>53.5</v>
      </c>
      <c r="Z1575" s="2">
        <v>72.3</v>
      </c>
      <c r="AA1575" s="2" t="s">
        <v>156</v>
      </c>
      <c r="AB1575" s="2" t="s">
        <v>10801</v>
      </c>
      <c r="AC1575" s="2">
        <v>0.232770242838193</v>
      </c>
      <c r="AD1575" s="2"/>
      <c r="AE1575" s="2">
        <v>0.41247712872873799</v>
      </c>
      <c r="AF1575" s="2">
        <v>39481.614182753401</v>
      </c>
      <c r="AG1575" s="2">
        <v>27174.273435537401</v>
      </c>
      <c r="AH1575" s="5">
        <v>1.4529041328891901</v>
      </c>
      <c r="AI1575" s="5">
        <v>0.53893951262787199</v>
      </c>
      <c r="AJ1575" s="5" t="s">
        <v>139</v>
      </c>
      <c r="AK1575" s="2">
        <v>0.32880972091859201</v>
      </c>
      <c r="AL1575" s="2">
        <v>0.63135842857913305</v>
      </c>
      <c r="AM1575" s="2">
        <v>14100.5434712183</v>
      </c>
      <c r="AN1575" s="2">
        <v>21748.8914219568</v>
      </c>
      <c r="AO1575" s="2">
        <v>53339.509273828902</v>
      </c>
      <c r="AP1575" s="2">
        <v>23632.162789932201</v>
      </c>
      <c r="AQ1575" s="2">
        <v>89349.673340254696</v>
      </c>
      <c r="AR1575" s="2">
        <v>34718.904799329299</v>
      </c>
      <c r="AS1575" s="2">
        <v>29889.196751572501</v>
      </c>
      <c r="AT1575" s="2">
        <v>42344.418376656497</v>
      </c>
      <c r="AU1575" s="2">
        <v>22824.236726049301</v>
      </c>
      <c r="AV1575" s="2">
        <v>15354.034921722799</v>
      </c>
      <c r="AW1575" s="2">
        <v>25125.005700836002</v>
      </c>
      <c r="AX1575" s="2">
        <v>27508.7481363876</v>
      </c>
    </row>
    <row r="1576" spans="1:50" x14ac:dyDescent="0.25">
      <c r="A1576" s="2" t="s">
        <v>10802</v>
      </c>
      <c r="B1576" s="2">
        <v>405.20447816766199</v>
      </c>
      <c r="C1576" s="2">
        <v>7.3994666666666697</v>
      </c>
      <c r="D1576" s="2" t="s">
        <v>51</v>
      </c>
      <c r="E1576" s="2" t="s">
        <v>10803</v>
      </c>
      <c r="F1576" s="2">
        <v>201697</v>
      </c>
      <c r="G1576" s="3" t="str">
        <f>HYPERLINK("https://cloud.oebiotech.com/#/lm/network/201697", "https://cloud.oebiotech.com/#/lm/network/201697")</f>
        <v>https://cloud.oebiotech.com/#/lm/network/201697</v>
      </c>
      <c r="H1576" s="2" t="s">
        <v>10804</v>
      </c>
      <c r="I1576" s="2">
        <v>24054</v>
      </c>
      <c r="J1576" s="2"/>
      <c r="K1576" s="2">
        <v>2151</v>
      </c>
      <c r="L1576" s="2"/>
      <c r="M1576" s="2"/>
      <c r="N1576" s="2"/>
      <c r="O1576" s="2">
        <v>59026</v>
      </c>
      <c r="P1576" s="2"/>
      <c r="Q1576" s="2"/>
      <c r="R1576" s="2" t="s">
        <v>10805</v>
      </c>
      <c r="S1576" s="2" t="s">
        <v>10806</v>
      </c>
      <c r="T1576" s="2" t="s">
        <v>10807</v>
      </c>
      <c r="U1576" s="2" t="s">
        <v>266</v>
      </c>
      <c r="V1576" s="2" t="s">
        <v>1585</v>
      </c>
      <c r="W1576" s="2" t="s">
        <v>4395</v>
      </c>
      <c r="X1576" s="2" t="s">
        <v>147</v>
      </c>
      <c r="Y1576" s="2">
        <v>39.299999999999997</v>
      </c>
      <c r="Z1576" s="2">
        <v>0</v>
      </c>
      <c r="AA1576" s="2" t="s">
        <v>478</v>
      </c>
      <c r="AB1576" s="2" t="s">
        <v>10808</v>
      </c>
      <c r="AC1576" s="2">
        <v>7.5078882620434703E-2</v>
      </c>
      <c r="AD1576" s="2"/>
      <c r="AE1576" s="2">
        <v>0.41150009036727098</v>
      </c>
      <c r="AF1576" s="2">
        <v>5702.4764246544901</v>
      </c>
      <c r="AG1576" s="2">
        <v>2019.3927387507899</v>
      </c>
      <c r="AH1576" s="5">
        <v>2.8238570512945702</v>
      </c>
      <c r="AI1576" s="5">
        <v>1.49766705864867</v>
      </c>
      <c r="AJ1576" s="5" t="s">
        <v>139</v>
      </c>
      <c r="AK1576" s="2">
        <v>3.3365532275093498E-3</v>
      </c>
      <c r="AL1576" s="2">
        <v>0.1120315017845</v>
      </c>
      <c r="AM1576" s="2">
        <v>4592.2093916835802</v>
      </c>
      <c r="AN1576" s="2">
        <v>8743.2880949843493</v>
      </c>
      <c r="AO1576" s="2">
        <v>6088.0735567166203</v>
      </c>
      <c r="AP1576" s="2">
        <v>4121.0401152245104</v>
      </c>
      <c r="AQ1576" s="2">
        <v>4374.08508263574</v>
      </c>
      <c r="AR1576" s="2">
        <v>6296.1623066821203</v>
      </c>
      <c r="AS1576" s="2">
        <v>4176.9702646288297</v>
      </c>
      <c r="AT1576" s="2">
        <v>1162.47708352006</v>
      </c>
      <c r="AU1576" s="2">
        <v>3622.7746221607399</v>
      </c>
      <c r="AV1576" s="2">
        <v>289.39741265595001</v>
      </c>
      <c r="AW1576" s="2">
        <v>760.99922813618105</v>
      </c>
      <c r="AX1576" s="2">
        <v>2103.73782140299</v>
      </c>
    </row>
    <row r="1577" spans="1:50" x14ac:dyDescent="0.25">
      <c r="A1577" s="2" t="s">
        <v>10809</v>
      </c>
      <c r="B1577" s="2">
        <v>382.071819295571</v>
      </c>
      <c r="C1577" s="2">
        <v>4.5859833333333304</v>
      </c>
      <c r="D1577" s="2" t="s">
        <v>51</v>
      </c>
      <c r="E1577" s="2" t="s">
        <v>10810</v>
      </c>
      <c r="F1577" s="2">
        <v>56404</v>
      </c>
      <c r="G1577" s="3" t="str">
        <f>HYPERLINK("https://cloud.oebiotech.com/#/lm/network/56404", "https://cloud.oebiotech.com/#/lm/network/56404")</f>
        <v>https://cloud.oebiotech.com/#/lm/network/56404</v>
      </c>
      <c r="H1577" s="2" t="s">
        <v>10811</v>
      </c>
      <c r="I1577" s="2"/>
      <c r="J1577" s="2"/>
      <c r="K1577" s="2">
        <v>10088810</v>
      </c>
      <c r="L1577" s="2"/>
      <c r="M1577" s="2"/>
      <c r="N1577" s="2"/>
      <c r="O1577" s="2"/>
      <c r="P1577" s="2"/>
      <c r="Q1577" s="2"/>
      <c r="R1577" s="2" t="s">
        <v>10812</v>
      </c>
      <c r="S1577" s="2" t="s">
        <v>10813</v>
      </c>
      <c r="T1577" s="2" t="s">
        <v>10814</v>
      </c>
      <c r="U1577" s="2" t="s">
        <v>331</v>
      </c>
      <c r="V1577" s="2" t="s">
        <v>332</v>
      </c>
      <c r="W1577" s="2" t="s">
        <v>333</v>
      </c>
      <c r="X1577" s="2" t="s">
        <v>147</v>
      </c>
      <c r="Y1577" s="2">
        <v>40.299999999999997</v>
      </c>
      <c r="Z1577" s="2">
        <v>10.7</v>
      </c>
      <c r="AA1577" s="2" t="s">
        <v>395</v>
      </c>
      <c r="AB1577" s="2" t="s">
        <v>10815</v>
      </c>
      <c r="AC1577" s="2">
        <v>-0.86613902728170999</v>
      </c>
      <c r="AD1577" s="2"/>
      <c r="AE1577" s="2">
        <v>0.41147962220715301</v>
      </c>
      <c r="AF1577" s="2">
        <v>1811.1851853120299</v>
      </c>
      <c r="AG1577" s="2">
        <v>21490.2930127865</v>
      </c>
      <c r="AH1577" s="4">
        <v>8.4279222448684105E-2</v>
      </c>
      <c r="AI1577" s="4">
        <v>-3.5686791857120799</v>
      </c>
      <c r="AJ1577" s="4" t="s">
        <v>62</v>
      </c>
      <c r="AK1577" s="2">
        <v>0.37640825463918598</v>
      </c>
      <c r="AL1577" s="2">
        <v>0.65785569849657</v>
      </c>
      <c r="AM1577" s="2">
        <v>8.559877937157E-6</v>
      </c>
      <c r="AN1577" s="2">
        <v>1747.7115539874701</v>
      </c>
      <c r="AO1577" s="2">
        <v>8820.7976859184091</v>
      </c>
      <c r="AP1577" s="2">
        <v>156.20339112354199</v>
      </c>
      <c r="AQ1577" s="2">
        <v>142.398463723015</v>
      </c>
      <c r="AR1577" s="2">
        <v>8.559877937157E-6</v>
      </c>
      <c r="AS1577" s="2">
        <v>8.559877937157E-6</v>
      </c>
      <c r="AT1577" s="2">
        <v>419.17991523548102</v>
      </c>
      <c r="AU1577" s="2">
        <v>127543.957983203</v>
      </c>
      <c r="AV1577" s="2">
        <v>586.80728773324404</v>
      </c>
      <c r="AW1577" s="2">
        <v>148.28716688494899</v>
      </c>
      <c r="AX1577" s="2">
        <v>243.52571510221901</v>
      </c>
    </row>
    <row r="1578" spans="1:50" x14ac:dyDescent="0.25">
      <c r="A1578" s="2" t="s">
        <v>10816</v>
      </c>
      <c r="B1578" s="2">
        <v>117.04</v>
      </c>
      <c r="C1578" s="2">
        <v>8.4</v>
      </c>
      <c r="D1578" s="2" t="s">
        <v>125</v>
      </c>
      <c r="E1578" s="2" t="s">
        <v>10817</v>
      </c>
      <c r="F1578" s="2">
        <v>280106</v>
      </c>
      <c r="G1578" s="3" t="str">
        <f>HYPERLINK("https://cloud.oebiotech.com/#/lm/network/280106", "https://cloud.oebiotech.com/#/lm/network/280106")</f>
        <v>https://cloud.oebiotech.com/#/lm/network/280106</v>
      </c>
      <c r="H1578" s="2"/>
      <c r="I1578" s="2">
        <v>73061</v>
      </c>
      <c r="J1578" s="2"/>
      <c r="K1578" s="2">
        <v>92629</v>
      </c>
      <c r="L1578" s="2" t="s">
        <v>10818</v>
      </c>
      <c r="M1578" s="2"/>
      <c r="N1578" s="2"/>
      <c r="O1578" s="2"/>
      <c r="P1578" s="2"/>
      <c r="Q1578" s="2"/>
      <c r="R1578" s="2" t="s">
        <v>10819</v>
      </c>
      <c r="S1578" s="2" t="s">
        <v>10820</v>
      </c>
      <c r="T1578" s="2" t="s">
        <v>10821</v>
      </c>
      <c r="U1578" s="2" t="s">
        <v>331</v>
      </c>
      <c r="V1578" s="2" t="s">
        <v>332</v>
      </c>
      <c r="W1578" s="2" t="s">
        <v>519</v>
      </c>
      <c r="X1578" s="2" t="s">
        <v>83</v>
      </c>
      <c r="Y1578" s="2">
        <v>80.8</v>
      </c>
      <c r="Z1578" s="2">
        <v>68.7</v>
      </c>
      <c r="AA1578" s="2"/>
      <c r="AB1578" s="2" t="s">
        <v>10822</v>
      </c>
      <c r="AC1578" s="2"/>
      <c r="AD1578" s="2">
        <v>281024.91997628898</v>
      </c>
      <c r="AE1578" s="2">
        <v>0.4114439984089</v>
      </c>
      <c r="AF1578" s="2">
        <v>798535.632828634</v>
      </c>
      <c r="AG1578" s="2">
        <v>790751.00737376499</v>
      </c>
      <c r="AH1578" s="5">
        <v>1.0098445975816399</v>
      </c>
      <c r="AI1578" s="5">
        <v>1.4133297384908299E-2</v>
      </c>
      <c r="AJ1578" s="5" t="s">
        <v>139</v>
      </c>
      <c r="AK1578" s="2">
        <v>0.98891324669688097</v>
      </c>
      <c r="AL1578" s="2">
        <v>0.99545530263140103</v>
      </c>
      <c r="AM1578" s="2">
        <v>258260.603901005</v>
      </c>
      <c r="AN1578" s="2">
        <v>265993.909117495</v>
      </c>
      <c r="AO1578" s="2">
        <v>3246364.8880830202</v>
      </c>
      <c r="AP1578" s="2">
        <v>313744.49878855498</v>
      </c>
      <c r="AQ1578" s="2">
        <v>507841.320978968</v>
      </c>
      <c r="AR1578" s="2">
        <v>199008.57610276001</v>
      </c>
      <c r="AS1578" s="2">
        <v>97974.475703171207</v>
      </c>
      <c r="AT1578" s="2">
        <v>88073.253736072802</v>
      </c>
      <c r="AU1578" s="2">
        <v>1376379.1701444199</v>
      </c>
      <c r="AV1578" s="2">
        <v>1386252.66515059</v>
      </c>
      <c r="AW1578" s="2">
        <v>988220.70640636503</v>
      </c>
      <c r="AX1578" s="2">
        <v>807605.77310197405</v>
      </c>
    </row>
    <row r="1579" spans="1:50" x14ac:dyDescent="0.25">
      <c r="A1579" s="2" t="s">
        <v>10823</v>
      </c>
      <c r="B1579" s="2">
        <v>260.16153159093301</v>
      </c>
      <c r="C1579" s="2">
        <v>1.08738333333333</v>
      </c>
      <c r="D1579" s="2" t="s">
        <v>51</v>
      </c>
      <c r="E1579" s="2" t="s">
        <v>10824</v>
      </c>
      <c r="F1579" s="2">
        <v>53929</v>
      </c>
      <c r="G1579" s="3" t="str">
        <f>HYPERLINK("https://cloud.oebiotech.com/#/lm/network/53929", "https://cloud.oebiotech.com/#/lm/network/53929")</f>
        <v>https://cloud.oebiotech.com/#/lm/network/53929</v>
      </c>
      <c r="H1579" s="2" t="s">
        <v>10825</v>
      </c>
      <c r="I1579" s="2"/>
      <c r="J1579" s="2"/>
      <c r="K1579" s="2">
        <v>22935676</v>
      </c>
      <c r="L1579" s="2"/>
      <c r="M1579" s="2"/>
      <c r="N1579" s="2"/>
      <c r="O1579" s="2"/>
      <c r="P1579" s="2"/>
      <c r="Q1579" s="2"/>
      <c r="R1579" s="2"/>
      <c r="S1579" s="2" t="s">
        <v>10826</v>
      </c>
      <c r="T1579" s="2" t="s">
        <v>10827</v>
      </c>
      <c r="U1579" s="2" t="s">
        <v>103</v>
      </c>
      <c r="V1579" s="2" t="s">
        <v>104</v>
      </c>
      <c r="W1579" s="2" t="s">
        <v>105</v>
      </c>
      <c r="X1579" s="2" t="s">
        <v>69</v>
      </c>
      <c r="Y1579" s="2">
        <v>54.7</v>
      </c>
      <c r="Z1579" s="2">
        <v>82.8</v>
      </c>
      <c r="AA1579" s="2" t="s">
        <v>259</v>
      </c>
      <c r="AB1579" s="2" t="s">
        <v>10828</v>
      </c>
      <c r="AC1579" s="2">
        <v>4.0477709631108603</v>
      </c>
      <c r="AD1579" s="2"/>
      <c r="AE1579" s="2">
        <v>0.41115277859285299</v>
      </c>
      <c r="AF1579" s="2">
        <v>16533.296710200801</v>
      </c>
      <c r="AG1579" s="2">
        <v>11199.187737943799</v>
      </c>
      <c r="AH1579" s="5">
        <v>1.4762942721448</v>
      </c>
      <c r="AI1579" s="5">
        <v>0.56198032481873095</v>
      </c>
      <c r="AJ1579" s="5" t="s">
        <v>139</v>
      </c>
      <c r="AK1579" s="2">
        <v>0.16229065298071901</v>
      </c>
      <c r="AL1579" s="2">
        <v>0.48399353100485398</v>
      </c>
      <c r="AM1579" s="2">
        <v>16231.225006487801</v>
      </c>
      <c r="AN1579" s="2">
        <v>11937.764778947299</v>
      </c>
      <c r="AO1579" s="2">
        <v>25276.635543154898</v>
      </c>
      <c r="AP1579" s="2">
        <v>10354.010871094601</v>
      </c>
      <c r="AQ1579" s="2">
        <v>17056.364515008201</v>
      </c>
      <c r="AR1579" s="2">
        <v>18343.7795465118</v>
      </c>
      <c r="AS1579" s="2">
        <v>3026.4550993388498</v>
      </c>
      <c r="AT1579" s="2">
        <v>8000.8697071689503</v>
      </c>
      <c r="AU1579" s="2">
        <v>23179.202862224902</v>
      </c>
      <c r="AV1579" s="2">
        <v>12121.5813790796</v>
      </c>
      <c r="AW1579" s="2">
        <v>7881.5517526855601</v>
      </c>
      <c r="AX1579" s="2">
        <v>12985.4656271652</v>
      </c>
    </row>
    <row r="1580" spans="1:50" x14ac:dyDescent="0.25">
      <c r="A1580" s="2" t="s">
        <v>10829</v>
      </c>
      <c r="B1580" s="2">
        <v>613.35967476907194</v>
      </c>
      <c r="C1580" s="2">
        <v>7.0694833333333298</v>
      </c>
      <c r="D1580" s="2" t="s">
        <v>51</v>
      </c>
      <c r="E1580" s="2" t="s">
        <v>10830</v>
      </c>
      <c r="F1580" s="2">
        <v>46775</v>
      </c>
      <c r="G1580" s="3" t="str">
        <f>HYPERLINK("https://cloud.oebiotech.com/#/lm/network/46775", "https://cloud.oebiotech.com/#/lm/network/46775")</f>
        <v>https://cloud.oebiotech.com/#/lm/network/46775</v>
      </c>
      <c r="H1580" s="2"/>
      <c r="I1580" s="2"/>
      <c r="J1580" s="2" t="s">
        <v>10831</v>
      </c>
      <c r="K1580" s="2">
        <v>25232747</v>
      </c>
      <c r="L1580" s="2"/>
      <c r="M1580" s="2"/>
      <c r="N1580" s="2"/>
      <c r="O1580" s="2"/>
      <c r="P1580" s="2"/>
      <c r="Q1580" s="2"/>
      <c r="R1580" s="2"/>
      <c r="S1580" s="2" t="s">
        <v>10832</v>
      </c>
      <c r="T1580" s="2" t="s">
        <v>10833</v>
      </c>
      <c r="U1580" s="2" t="s">
        <v>56</v>
      </c>
      <c r="V1580" s="2" t="s">
        <v>283</v>
      </c>
      <c r="W1580" s="2" t="s">
        <v>3462</v>
      </c>
      <c r="X1580" s="2" t="s">
        <v>147</v>
      </c>
      <c r="Y1580" s="2">
        <v>40.200000000000003</v>
      </c>
      <c r="Z1580" s="2">
        <v>6.37</v>
      </c>
      <c r="AA1580" s="2" t="s">
        <v>163</v>
      </c>
      <c r="AB1580" s="2" t="s">
        <v>10834</v>
      </c>
      <c r="AC1580" s="2">
        <v>0.55122483008385903</v>
      </c>
      <c r="AD1580" s="2"/>
      <c r="AE1580" s="2">
        <v>0.41114425360073698</v>
      </c>
      <c r="AF1580" s="2">
        <v>19283.437975522502</v>
      </c>
      <c r="AG1580" s="2">
        <v>30954.021855111001</v>
      </c>
      <c r="AH1580" s="4">
        <v>0.62297035473400098</v>
      </c>
      <c r="AI1580" s="4">
        <v>-0.68276458347733504</v>
      </c>
      <c r="AJ1580" s="4" t="s">
        <v>62</v>
      </c>
      <c r="AK1580" s="2">
        <v>0.208214558733685</v>
      </c>
      <c r="AL1580" s="2">
        <v>0.53329155962117702</v>
      </c>
      <c r="AM1580" s="2">
        <v>19568.912365417102</v>
      </c>
      <c r="AN1580" s="2">
        <v>19693.113578422799</v>
      </c>
      <c r="AO1580" s="2">
        <v>11481.6224736574</v>
      </c>
      <c r="AP1580" s="2">
        <v>22712.042783286499</v>
      </c>
      <c r="AQ1580" s="2">
        <v>18348.194088313801</v>
      </c>
      <c r="AR1580" s="2">
        <v>23896.742564037599</v>
      </c>
      <c r="AS1580" s="2">
        <v>15629.4052848595</v>
      </c>
      <c r="AT1580" s="2">
        <v>71171.423435341494</v>
      </c>
      <c r="AU1580" s="2">
        <v>22987.870807133098</v>
      </c>
      <c r="AV1580" s="2">
        <v>15362.0845411066</v>
      </c>
      <c r="AW1580" s="2">
        <v>29132.3191653299</v>
      </c>
      <c r="AX1580" s="2">
        <v>31441.027896895699</v>
      </c>
    </row>
    <row r="1581" spans="1:50" x14ac:dyDescent="0.25">
      <c r="A1581" s="2" t="s">
        <v>10835</v>
      </c>
      <c r="B1581" s="2">
        <v>189.164235986975</v>
      </c>
      <c r="C1581" s="2">
        <v>9.6451499999999992</v>
      </c>
      <c r="D1581" s="2" t="s">
        <v>51</v>
      </c>
      <c r="E1581" s="2" t="s">
        <v>10836</v>
      </c>
      <c r="F1581" s="2">
        <v>56215</v>
      </c>
      <c r="G1581" s="3" t="str">
        <f>HYPERLINK("https://cloud.oebiotech.com/#/lm/network/56215", "https://cloud.oebiotech.com/#/lm/network/56215")</f>
        <v>https://cloud.oebiotech.com/#/lm/network/56215</v>
      </c>
      <c r="H1581" s="2" t="s">
        <v>10837</v>
      </c>
      <c r="I1581" s="2">
        <v>87909</v>
      </c>
      <c r="J1581" s="2"/>
      <c r="K1581" s="2">
        <v>5372174</v>
      </c>
      <c r="L1581" s="2"/>
      <c r="M1581" s="2"/>
      <c r="N1581" s="2"/>
      <c r="O1581" s="2"/>
      <c r="P1581" s="2"/>
      <c r="Q1581" s="2"/>
      <c r="R1581" s="2" t="s">
        <v>10838</v>
      </c>
      <c r="S1581" s="2" t="s">
        <v>10839</v>
      </c>
      <c r="T1581" s="2" t="s">
        <v>10840</v>
      </c>
      <c r="U1581" s="2" t="s">
        <v>56</v>
      </c>
      <c r="V1581" s="2" t="s">
        <v>177</v>
      </c>
      <c r="W1581" s="2" t="s">
        <v>1996</v>
      </c>
      <c r="X1581" s="2" t="s">
        <v>147</v>
      </c>
      <c r="Y1581" s="2">
        <v>46.3</v>
      </c>
      <c r="Z1581" s="2">
        <v>37.6</v>
      </c>
      <c r="AA1581" s="2" t="s">
        <v>156</v>
      </c>
      <c r="AB1581" s="2" t="s">
        <v>10841</v>
      </c>
      <c r="AC1581" s="2">
        <v>2.22592233172377</v>
      </c>
      <c r="AD1581" s="2"/>
      <c r="AE1581" s="2">
        <v>0.41111663826964001</v>
      </c>
      <c r="AF1581" s="2">
        <v>12722.8667773943</v>
      </c>
      <c r="AG1581" s="2">
        <v>8660.29517952682</v>
      </c>
      <c r="AH1581" s="5">
        <v>1.4691031325896999</v>
      </c>
      <c r="AI1581" s="5">
        <v>0.55493567816309497</v>
      </c>
      <c r="AJ1581" s="5" t="s">
        <v>139</v>
      </c>
      <c r="AK1581" s="2">
        <v>3.4048133431071402E-2</v>
      </c>
      <c r="AL1581" s="2">
        <v>0.27081853690800001</v>
      </c>
      <c r="AM1581" s="2">
        <v>15051.7222560759</v>
      </c>
      <c r="AN1581" s="2">
        <v>12658.192717506799</v>
      </c>
      <c r="AO1581" s="2">
        <v>12050.0335084952</v>
      </c>
      <c r="AP1581" s="2">
        <v>14866.7946758378</v>
      </c>
      <c r="AQ1581" s="2">
        <v>9185.64521061704</v>
      </c>
      <c r="AR1581" s="2">
        <v>12524.812295833</v>
      </c>
      <c r="AS1581" s="2">
        <v>11682.009546657</v>
      </c>
      <c r="AT1581" s="2">
        <v>9227.6283937431908</v>
      </c>
      <c r="AU1581" s="2">
        <v>13031.99565173</v>
      </c>
      <c r="AV1581" s="2">
        <v>4110.1612879813101</v>
      </c>
      <c r="AW1581" s="2">
        <v>5517.1489038003001</v>
      </c>
      <c r="AX1581" s="2">
        <v>8392.8272932491109</v>
      </c>
    </row>
    <row r="1582" spans="1:50" x14ac:dyDescent="0.25">
      <c r="A1582" s="2" t="s">
        <v>10842</v>
      </c>
      <c r="B1582" s="2">
        <v>393.18663798464598</v>
      </c>
      <c r="C1582" s="2">
        <v>6.5805166666666697</v>
      </c>
      <c r="D1582" s="2" t="s">
        <v>51</v>
      </c>
      <c r="E1582" s="2" t="s">
        <v>10843</v>
      </c>
      <c r="F1582" s="2">
        <v>280521</v>
      </c>
      <c r="G1582" s="3" t="str">
        <f>HYPERLINK("https://cloud.oebiotech.com/#/lm/network/280521", "https://cloud.oebiotech.com/#/lm/network/280521")</f>
        <v>https://cloud.oebiotech.com/#/lm/network/280521</v>
      </c>
      <c r="H1582" s="2"/>
      <c r="I1582" s="2">
        <v>85006</v>
      </c>
      <c r="J1582" s="2"/>
      <c r="K1582" s="2">
        <v>6437384</v>
      </c>
      <c r="L1582" s="2"/>
      <c r="M1582" s="2"/>
      <c r="N1582" s="2"/>
      <c r="O1582" s="2"/>
      <c r="P1582" s="2"/>
      <c r="Q1582" s="2"/>
      <c r="R1582" s="2" t="s">
        <v>10844</v>
      </c>
      <c r="S1582" s="2" t="s">
        <v>10845</v>
      </c>
      <c r="T1582" s="2" t="s">
        <v>10846</v>
      </c>
      <c r="U1582" s="2" t="s">
        <v>331</v>
      </c>
      <c r="V1582" s="2" t="s">
        <v>332</v>
      </c>
      <c r="W1582" s="2" t="s">
        <v>333</v>
      </c>
      <c r="X1582" s="2" t="s">
        <v>147</v>
      </c>
      <c r="Y1582" s="2">
        <v>39.700000000000003</v>
      </c>
      <c r="Z1582" s="2">
        <v>0</v>
      </c>
      <c r="AA1582" s="2" t="s">
        <v>512</v>
      </c>
      <c r="AB1582" s="2" t="s">
        <v>10847</v>
      </c>
      <c r="AC1582" s="2">
        <v>-0.31701190149536401</v>
      </c>
      <c r="AD1582" s="2"/>
      <c r="AE1582" s="2">
        <v>0.41096704512996801</v>
      </c>
      <c r="AF1582" s="2">
        <v>8034.8461231999099</v>
      </c>
      <c r="AG1582" s="2">
        <v>4195.4376116665899</v>
      </c>
      <c r="AH1582" s="5">
        <v>1.9151389835607999</v>
      </c>
      <c r="AI1582" s="5">
        <v>0.93744909377849495</v>
      </c>
      <c r="AJ1582" s="5" t="s">
        <v>139</v>
      </c>
      <c r="AK1582" s="2">
        <v>8.9204448855801696E-3</v>
      </c>
      <c r="AL1582" s="2">
        <v>0.15306555284881401</v>
      </c>
      <c r="AM1582" s="2">
        <v>8243.0224249482508</v>
      </c>
      <c r="AN1582" s="2">
        <v>10963.723937131699</v>
      </c>
      <c r="AO1582" s="2">
        <v>7190.2060758400303</v>
      </c>
      <c r="AP1582" s="2">
        <v>9401.0729145779496</v>
      </c>
      <c r="AQ1582" s="2">
        <v>4569.80944130033</v>
      </c>
      <c r="AR1582" s="2">
        <v>7841.2419454011997</v>
      </c>
      <c r="AS1582" s="2">
        <v>6595.9784462074003</v>
      </c>
      <c r="AT1582" s="2">
        <v>4294.5931049976598</v>
      </c>
      <c r="AU1582" s="2">
        <v>6220.2155244110299</v>
      </c>
      <c r="AV1582" s="2">
        <v>1555.42700633189</v>
      </c>
      <c r="AW1582" s="2">
        <v>2833.6107082462599</v>
      </c>
      <c r="AX1582" s="2">
        <v>3672.8008798052701</v>
      </c>
    </row>
    <row r="1583" spans="1:50" x14ac:dyDescent="0.25">
      <c r="A1583" s="2" t="s">
        <v>10848</v>
      </c>
      <c r="B1583" s="2">
        <v>303.03332745861502</v>
      </c>
      <c r="C1583" s="2">
        <v>1.0003833333333301</v>
      </c>
      <c r="D1583" s="2" t="s">
        <v>51</v>
      </c>
      <c r="E1583" s="2" t="s">
        <v>10849</v>
      </c>
      <c r="F1583" s="2">
        <v>515265</v>
      </c>
      <c r="G1583" s="3" t="str">
        <f>HYPERLINK("https://cloud.oebiotech.com/#/lm/network/515265", "https://cloud.oebiotech.com/#/lm/network/515265")</f>
        <v>https://cloud.oebiotech.com/#/lm/network/515265</v>
      </c>
      <c r="H1583" s="2"/>
      <c r="I1583" s="2">
        <v>96472</v>
      </c>
      <c r="J1583" s="2"/>
      <c r="K1583" s="2">
        <v>46218884</v>
      </c>
      <c r="L1583" s="2"/>
      <c r="M1583" s="2"/>
      <c r="N1583" s="2"/>
      <c r="O1583" s="2"/>
      <c r="P1583" s="2"/>
      <c r="Q1583" s="2"/>
      <c r="R1583" s="2" t="s">
        <v>10850</v>
      </c>
      <c r="S1583" s="2" t="s">
        <v>10851</v>
      </c>
      <c r="T1583" s="2" t="s">
        <v>10852</v>
      </c>
      <c r="U1583" s="2" t="s">
        <v>610</v>
      </c>
      <c r="V1583" s="2" t="s">
        <v>813</v>
      </c>
      <c r="W1583" s="2" t="s">
        <v>5382</v>
      </c>
      <c r="X1583" s="2" t="s">
        <v>147</v>
      </c>
      <c r="Y1583" s="2">
        <v>36.200000000000003</v>
      </c>
      <c r="Z1583" s="2">
        <v>0</v>
      </c>
      <c r="AA1583" s="2" t="s">
        <v>379</v>
      </c>
      <c r="AB1583" s="2" t="s">
        <v>10853</v>
      </c>
      <c r="AC1583" s="2">
        <v>0.18448089027831499</v>
      </c>
      <c r="AD1583" s="2"/>
      <c r="AE1583" s="2">
        <v>0.41082148931787799</v>
      </c>
      <c r="AF1583" s="2">
        <v>9336.1516271974597</v>
      </c>
      <c r="AG1583" s="2">
        <v>17405.993673795801</v>
      </c>
      <c r="AH1583" s="4">
        <v>0.53637567622770899</v>
      </c>
      <c r="AI1583" s="4">
        <v>-0.89868428005609702</v>
      </c>
      <c r="AJ1583" s="4" t="s">
        <v>62</v>
      </c>
      <c r="AK1583" s="2">
        <v>8.5396401824792398E-2</v>
      </c>
      <c r="AL1583" s="2">
        <v>0.37807489756434898</v>
      </c>
      <c r="AM1583" s="2">
        <v>15470.4972000784</v>
      </c>
      <c r="AN1583" s="2">
        <v>4758.1981618851596</v>
      </c>
      <c r="AO1583" s="2">
        <v>7756.7961980948803</v>
      </c>
      <c r="AP1583" s="2">
        <v>12043.339437852101</v>
      </c>
      <c r="AQ1583" s="2">
        <v>10489.626890068201</v>
      </c>
      <c r="AR1583" s="2">
        <v>5498.4518752060103</v>
      </c>
      <c r="AS1583" s="2">
        <v>20002.571655569998</v>
      </c>
      <c r="AT1583" s="2">
        <v>32704.652515716101</v>
      </c>
      <c r="AU1583" s="2">
        <v>16565.242410110099</v>
      </c>
      <c r="AV1583" s="2">
        <v>14699.8269495563</v>
      </c>
      <c r="AW1583" s="2">
        <v>17305.250645268701</v>
      </c>
      <c r="AX1583" s="2">
        <v>3158.4178665537002</v>
      </c>
    </row>
    <row r="1584" spans="1:50" x14ac:dyDescent="0.25">
      <c r="A1584" s="2" t="s">
        <v>10854</v>
      </c>
      <c r="B1584" s="2">
        <v>583.25655434013402</v>
      </c>
      <c r="C1584" s="2">
        <v>7.00115</v>
      </c>
      <c r="D1584" s="2" t="s">
        <v>51</v>
      </c>
      <c r="E1584" s="2" t="s">
        <v>10855</v>
      </c>
      <c r="F1584" s="2">
        <v>205110</v>
      </c>
      <c r="G1584" s="3" t="str">
        <f>HYPERLINK("https://cloud.oebiotech.com/#/lm/network/205110", "https://cloud.oebiotech.com/#/lm/network/205110")</f>
        <v>https://cloud.oebiotech.com/#/lm/network/205110</v>
      </c>
      <c r="H1584" s="2" t="s">
        <v>10856</v>
      </c>
      <c r="I1584" s="2"/>
      <c r="J1584" s="2"/>
      <c r="K1584" s="2">
        <v>37269</v>
      </c>
      <c r="L1584" s="2"/>
      <c r="M1584" s="2"/>
      <c r="N1584" s="2"/>
      <c r="O1584" s="2"/>
      <c r="P1584" s="2"/>
      <c r="Q1584" s="2"/>
      <c r="R1584" s="2"/>
      <c r="S1584" s="2" t="s">
        <v>10857</v>
      </c>
      <c r="T1584" s="2" t="s">
        <v>10858</v>
      </c>
      <c r="U1584" s="2" t="s">
        <v>610</v>
      </c>
      <c r="V1584" s="2" t="s">
        <v>611</v>
      </c>
      <c r="W1584" s="2" t="s">
        <v>1122</v>
      </c>
      <c r="X1584" s="2" t="s">
        <v>69</v>
      </c>
      <c r="Y1584" s="2">
        <v>58.5</v>
      </c>
      <c r="Z1584" s="2">
        <v>59.7</v>
      </c>
      <c r="AA1584" s="2" t="s">
        <v>478</v>
      </c>
      <c r="AB1584" s="2" t="s">
        <v>10859</v>
      </c>
      <c r="AC1584" s="2">
        <v>2.8810590269841598</v>
      </c>
      <c r="AD1584" s="2"/>
      <c r="AE1584" s="2">
        <v>0.41068236431113497</v>
      </c>
      <c r="AF1584" s="2">
        <v>1657.4777691612401</v>
      </c>
      <c r="AG1584" s="2">
        <v>8870.4475316794906</v>
      </c>
      <c r="AH1584" s="4">
        <v>0.186853905988599</v>
      </c>
      <c r="AI1584" s="4">
        <v>-2.42001737279845</v>
      </c>
      <c r="AJ1584" s="4" t="s">
        <v>62</v>
      </c>
      <c r="AK1584" s="2">
        <v>0.33163773972883998</v>
      </c>
      <c r="AL1584" s="2">
        <v>0.63330564183294702</v>
      </c>
      <c r="AM1584" s="2">
        <v>8.559877937157E-6</v>
      </c>
      <c r="AN1584" s="2">
        <v>2955.1067481084201</v>
      </c>
      <c r="AO1584" s="2">
        <v>4089.7061564577002</v>
      </c>
      <c r="AP1584" s="2">
        <v>652.13516088940605</v>
      </c>
      <c r="AQ1584" s="2">
        <v>291.934706727454</v>
      </c>
      <c r="AR1584" s="2">
        <v>1955.98383422456</v>
      </c>
      <c r="AS1584" s="2">
        <v>43717.5849048034</v>
      </c>
      <c r="AT1584" s="2">
        <v>8.559877937157E-6</v>
      </c>
      <c r="AU1584" s="2">
        <v>8.559877937157E-6</v>
      </c>
      <c r="AV1584" s="2">
        <v>8.559877937157E-6</v>
      </c>
      <c r="AW1584" s="2">
        <v>3822.2029610340401</v>
      </c>
      <c r="AX1584" s="2">
        <v>5682.8972985598903</v>
      </c>
    </row>
    <row r="1585" spans="1:50" x14ac:dyDescent="0.25">
      <c r="A1585" s="2" t="s">
        <v>10860</v>
      </c>
      <c r="B1585" s="2">
        <v>237.11298421439801</v>
      </c>
      <c r="C1585" s="2">
        <v>5.1480166666666696</v>
      </c>
      <c r="D1585" s="2" t="s">
        <v>51</v>
      </c>
      <c r="E1585" s="2" t="s">
        <v>10861</v>
      </c>
      <c r="F1585" s="2">
        <v>61610</v>
      </c>
      <c r="G1585" s="3" t="str">
        <f>HYPERLINK("https://cloud.oebiotech.com/#/lm/network/61610", "https://cloud.oebiotech.com/#/lm/network/61610")</f>
        <v>https://cloud.oebiotech.com/#/lm/network/61610</v>
      </c>
      <c r="H1585" s="2" t="s">
        <v>10862</v>
      </c>
      <c r="I1585" s="2">
        <v>92916</v>
      </c>
      <c r="J1585" s="2"/>
      <c r="K1585" s="2">
        <v>86079579</v>
      </c>
      <c r="L1585" s="2"/>
      <c r="M1585" s="2"/>
      <c r="N1585" s="2"/>
      <c r="O1585" s="2"/>
      <c r="P1585" s="2"/>
      <c r="Q1585" s="2"/>
      <c r="R1585" s="2" t="s">
        <v>10863</v>
      </c>
      <c r="S1585" s="2" t="s">
        <v>10864</v>
      </c>
      <c r="T1585" s="2" t="s">
        <v>10865</v>
      </c>
      <c r="U1585" s="2" t="s">
        <v>56</v>
      </c>
      <c r="V1585" s="2" t="s">
        <v>177</v>
      </c>
      <c r="W1585" s="2" t="s">
        <v>584</v>
      </c>
      <c r="X1585" s="2" t="s">
        <v>59</v>
      </c>
      <c r="Y1585" s="2">
        <v>48.5</v>
      </c>
      <c r="Z1585" s="2">
        <v>46.2</v>
      </c>
      <c r="AA1585" s="2" t="s">
        <v>218</v>
      </c>
      <c r="AB1585" s="2" t="s">
        <v>10866</v>
      </c>
      <c r="AC1585" s="2">
        <v>-1.2930161812026699</v>
      </c>
      <c r="AD1585" s="2"/>
      <c r="AE1585" s="2">
        <v>0.41054598840538697</v>
      </c>
      <c r="AF1585" s="2">
        <v>12632.2835501151</v>
      </c>
      <c r="AG1585" s="2">
        <v>7021.3387558616296</v>
      </c>
      <c r="AH1585" s="5">
        <v>1.7991274868442</v>
      </c>
      <c r="AI1585" s="5">
        <v>0.84729742011983999</v>
      </c>
      <c r="AJ1585" s="5" t="s">
        <v>139</v>
      </c>
      <c r="AK1585" s="2">
        <v>6.3789085705599602E-2</v>
      </c>
      <c r="AL1585" s="2">
        <v>0.33620514352694297</v>
      </c>
      <c r="AM1585" s="2">
        <v>10939.735685579501</v>
      </c>
      <c r="AN1585" s="2">
        <v>16461.1555121167</v>
      </c>
      <c r="AO1585" s="2">
        <v>12065.0835855396</v>
      </c>
      <c r="AP1585" s="2">
        <v>18492.6889503163</v>
      </c>
      <c r="AQ1585" s="2">
        <v>5886.8871909630097</v>
      </c>
      <c r="AR1585" s="2">
        <v>11948.150376175599</v>
      </c>
      <c r="AS1585" s="2">
        <v>14820.209700118599</v>
      </c>
      <c r="AT1585" s="2">
        <v>11093.386258315801</v>
      </c>
      <c r="AU1585" s="2">
        <v>5308.5476415208896</v>
      </c>
      <c r="AV1585" s="2">
        <v>3022.3870639044899</v>
      </c>
      <c r="AW1585" s="2">
        <v>2518.11996503301</v>
      </c>
      <c r="AX1585" s="2">
        <v>5365.3819062769599</v>
      </c>
    </row>
    <row r="1586" spans="1:50" x14ac:dyDescent="0.25">
      <c r="A1586" s="2" t="s">
        <v>10867</v>
      </c>
      <c r="B1586" s="2">
        <v>344.14785790549399</v>
      </c>
      <c r="C1586" s="2">
        <v>5.5806833333333303</v>
      </c>
      <c r="D1586" s="2" t="s">
        <v>51</v>
      </c>
      <c r="E1586" s="2" t="s">
        <v>10868</v>
      </c>
      <c r="F1586" s="2">
        <v>82519</v>
      </c>
      <c r="G1586" s="3" t="str">
        <f>HYPERLINK("https://cloud.oebiotech.com/#/lm/network/82519", "https://cloud.oebiotech.com/#/lm/network/82519")</f>
        <v>https://cloud.oebiotech.com/#/lm/network/82519</v>
      </c>
      <c r="H1586" s="2" t="s">
        <v>10869</v>
      </c>
      <c r="I1586" s="2">
        <v>2151</v>
      </c>
      <c r="J1586" s="2"/>
      <c r="K1586" s="2">
        <v>128820</v>
      </c>
      <c r="L1586" s="2"/>
      <c r="M1586" s="2"/>
      <c r="N1586" s="2"/>
      <c r="O1586" s="2"/>
      <c r="P1586" s="2"/>
      <c r="Q1586" s="2"/>
      <c r="R1586" s="2" t="s">
        <v>10870</v>
      </c>
      <c r="S1586" s="2" t="s">
        <v>10871</v>
      </c>
      <c r="T1586" s="2" t="s">
        <v>10872</v>
      </c>
      <c r="U1586" s="2" t="s">
        <v>540</v>
      </c>
      <c r="V1586" s="2" t="s">
        <v>10873</v>
      </c>
      <c r="W1586" s="2" t="s">
        <v>240</v>
      </c>
      <c r="X1586" s="2" t="s">
        <v>83</v>
      </c>
      <c r="Y1586" s="2">
        <v>41</v>
      </c>
      <c r="Z1586" s="2">
        <v>0</v>
      </c>
      <c r="AA1586" s="2" t="s">
        <v>218</v>
      </c>
      <c r="AB1586" s="2" t="s">
        <v>10874</v>
      </c>
      <c r="AC1586" s="2">
        <v>-8.3185145426225908</v>
      </c>
      <c r="AD1586" s="2"/>
      <c r="AE1586" s="2">
        <v>0.40997579043149202</v>
      </c>
      <c r="AF1586" s="2">
        <v>8684.9925673200505</v>
      </c>
      <c r="AG1586" s="2">
        <v>2470.3047182520099</v>
      </c>
      <c r="AH1586" s="5">
        <v>3.51575759182679</v>
      </c>
      <c r="AI1586" s="5">
        <v>1.8138356014467401</v>
      </c>
      <c r="AJ1586" s="5" t="s">
        <v>139</v>
      </c>
      <c r="AK1586" s="2">
        <v>1.8154942267123001E-2</v>
      </c>
      <c r="AL1586" s="2">
        <v>0.212973194719246</v>
      </c>
      <c r="AM1586" s="2">
        <v>2787.0359115275501</v>
      </c>
      <c r="AN1586" s="2">
        <v>10701.518868241201</v>
      </c>
      <c r="AO1586" s="2">
        <v>6590.4184088779102</v>
      </c>
      <c r="AP1586" s="2">
        <v>17702.131461713601</v>
      </c>
      <c r="AQ1586" s="2">
        <v>6505.5705360720403</v>
      </c>
      <c r="AR1586" s="2">
        <v>7823.2802174879898</v>
      </c>
      <c r="AS1586" s="2">
        <v>2622.4447331965098</v>
      </c>
      <c r="AT1586" s="2">
        <v>3191.8755399121301</v>
      </c>
      <c r="AU1586" s="2">
        <v>677.43548463294997</v>
      </c>
      <c r="AV1586" s="2">
        <v>8.559877937157E-6</v>
      </c>
      <c r="AW1586" s="2">
        <v>4030.8240886025301</v>
      </c>
      <c r="AX1586" s="2">
        <v>4299.2484546080796</v>
      </c>
    </row>
    <row r="1587" spans="1:50" x14ac:dyDescent="0.25">
      <c r="A1587" s="2" t="s">
        <v>10875</v>
      </c>
      <c r="B1587" s="2">
        <v>429.11115566174698</v>
      </c>
      <c r="C1587" s="2">
        <v>4.9007166666666704</v>
      </c>
      <c r="D1587" s="2" t="s">
        <v>51</v>
      </c>
      <c r="E1587" s="2" t="s">
        <v>10876</v>
      </c>
      <c r="F1587" s="2">
        <v>202339</v>
      </c>
      <c r="G1587" s="3" t="str">
        <f>HYPERLINK("https://cloud.oebiotech.com/#/lm/network/202339", "https://cloud.oebiotech.com/#/lm/network/202339")</f>
        <v>https://cloud.oebiotech.com/#/lm/network/202339</v>
      </c>
      <c r="H1587" s="2" t="s">
        <v>10877</v>
      </c>
      <c r="I1587" s="2"/>
      <c r="J1587" s="2"/>
      <c r="K1587" s="2">
        <v>343523</v>
      </c>
      <c r="L1587" s="2"/>
      <c r="M1587" s="2"/>
      <c r="N1587" s="2"/>
      <c r="O1587" s="2"/>
      <c r="P1587" s="2"/>
      <c r="Q1587" s="2"/>
      <c r="R1587" s="2"/>
      <c r="S1587" s="2" t="s">
        <v>10878</v>
      </c>
      <c r="T1587" s="2" t="s">
        <v>10879</v>
      </c>
      <c r="U1587" s="2" t="s">
        <v>103</v>
      </c>
      <c r="V1587" s="2" t="s">
        <v>104</v>
      </c>
      <c r="W1587" s="2" t="s">
        <v>105</v>
      </c>
      <c r="X1587" s="2" t="s">
        <v>147</v>
      </c>
      <c r="Y1587" s="2">
        <v>39</v>
      </c>
      <c r="Z1587" s="2">
        <v>0</v>
      </c>
      <c r="AA1587" s="2" t="s">
        <v>478</v>
      </c>
      <c r="AB1587" s="2" t="s">
        <v>10880</v>
      </c>
      <c r="AC1587" s="2">
        <v>-0.79037176502235895</v>
      </c>
      <c r="AD1587" s="2"/>
      <c r="AE1587" s="2">
        <v>0.40906576519877702</v>
      </c>
      <c r="AF1587" s="2">
        <v>1915.33371330501</v>
      </c>
      <c r="AG1587" s="2">
        <v>6500.1812366256199</v>
      </c>
      <c r="AH1587" s="4">
        <v>0.29465850929093501</v>
      </c>
      <c r="AI1587" s="4">
        <v>-1.76288416525114</v>
      </c>
      <c r="AJ1587" s="4" t="s">
        <v>62</v>
      </c>
      <c r="AK1587" s="2">
        <v>1.9933396910106701E-2</v>
      </c>
      <c r="AL1587" s="2">
        <v>0.22079212211810401</v>
      </c>
      <c r="AM1587" s="2">
        <v>2217.2140729890298</v>
      </c>
      <c r="AN1587" s="2">
        <v>1039.64560685322</v>
      </c>
      <c r="AO1587" s="2">
        <v>2317.01144125052</v>
      </c>
      <c r="AP1587" s="2">
        <v>8.559877937157E-6</v>
      </c>
      <c r="AQ1587" s="2">
        <v>889.71022280895204</v>
      </c>
      <c r="AR1587" s="2">
        <v>5028.4209273684801</v>
      </c>
      <c r="AS1587" s="2">
        <v>2394.6348372530301</v>
      </c>
      <c r="AT1587" s="2">
        <v>6227.7895301294402</v>
      </c>
      <c r="AU1587" s="2">
        <v>6631.1748609021197</v>
      </c>
      <c r="AV1587" s="2">
        <v>9575.6928935054693</v>
      </c>
      <c r="AW1587" s="2">
        <v>11553.602309443701</v>
      </c>
      <c r="AX1587" s="2">
        <v>2618.1929885199402</v>
      </c>
    </row>
    <row r="1588" spans="1:50" x14ac:dyDescent="0.25">
      <c r="A1588" s="2" t="s">
        <v>10881</v>
      </c>
      <c r="B1588" s="2">
        <v>246.243645826934</v>
      </c>
      <c r="C1588" s="2">
        <v>6.4146666666666698</v>
      </c>
      <c r="D1588" s="2" t="s">
        <v>51</v>
      </c>
      <c r="E1588" s="2" t="s">
        <v>10882</v>
      </c>
      <c r="F1588" s="2">
        <v>279</v>
      </c>
      <c r="G1588" s="3" t="str">
        <f>HYPERLINK("https://cloud.oebiotech.com/#/lm/network/279", "https://cloud.oebiotech.com/#/lm/network/279")</f>
        <v>https://cloud.oebiotech.com/#/lm/network/279</v>
      </c>
      <c r="H1588" s="2"/>
      <c r="I1588" s="2">
        <v>73635</v>
      </c>
      <c r="J1588" s="2" t="s">
        <v>10883</v>
      </c>
      <c r="K1588" s="2">
        <v>5312290</v>
      </c>
      <c r="L1588" s="2"/>
      <c r="M1588" s="2"/>
      <c r="N1588" s="2"/>
      <c r="O1588" s="2"/>
      <c r="P1588" s="2"/>
      <c r="Q1588" s="2"/>
      <c r="R1588" s="2"/>
      <c r="S1588" s="2" t="s">
        <v>10884</v>
      </c>
      <c r="T1588" s="2" t="s">
        <v>10885</v>
      </c>
      <c r="U1588" s="2" t="s">
        <v>56</v>
      </c>
      <c r="V1588" s="2" t="s">
        <v>145</v>
      </c>
      <c r="W1588" s="2" t="s">
        <v>231</v>
      </c>
      <c r="X1588" s="2" t="s">
        <v>147</v>
      </c>
      <c r="Y1588" s="2">
        <v>43.9</v>
      </c>
      <c r="Z1588" s="2">
        <v>27.3</v>
      </c>
      <c r="AA1588" s="2" t="s">
        <v>512</v>
      </c>
      <c r="AB1588" s="2" t="s">
        <v>10886</v>
      </c>
      <c r="AC1588" s="2">
        <v>3.9006354968150201</v>
      </c>
      <c r="AD1588" s="2"/>
      <c r="AE1588" s="2">
        <v>0.409012367760901</v>
      </c>
      <c r="AF1588" s="2">
        <v>4597.5588932356004</v>
      </c>
      <c r="AG1588" s="2">
        <v>13810.963142777</v>
      </c>
      <c r="AH1588" s="4">
        <v>0.33289198194986802</v>
      </c>
      <c r="AI1588" s="4">
        <v>-1.5868739728035099</v>
      </c>
      <c r="AJ1588" s="4" t="s">
        <v>62</v>
      </c>
      <c r="AK1588" s="2">
        <v>0.29453722121234199</v>
      </c>
      <c r="AL1588" s="2">
        <v>0.60654439206995203</v>
      </c>
      <c r="AM1588" s="2">
        <v>624.01030672518004</v>
      </c>
      <c r="AN1588" s="2">
        <v>222.99218664499</v>
      </c>
      <c r="AO1588" s="2">
        <v>1884.2540044493201</v>
      </c>
      <c r="AP1588" s="2">
        <v>21491.961732872802</v>
      </c>
      <c r="AQ1588" s="2">
        <v>2989.4722849672498</v>
      </c>
      <c r="AR1588" s="2">
        <v>372.66284375403501</v>
      </c>
      <c r="AS1588" s="2">
        <v>6685.3160918331996</v>
      </c>
      <c r="AT1588" s="2">
        <v>39093.477261499102</v>
      </c>
      <c r="AU1588" s="2">
        <v>426.32684613420099</v>
      </c>
      <c r="AV1588" s="2">
        <v>276.17959891108001</v>
      </c>
      <c r="AW1588" s="2">
        <v>272.75860889163101</v>
      </c>
      <c r="AX1588" s="2">
        <v>36111.720449392502</v>
      </c>
    </row>
    <row r="1589" spans="1:50" x14ac:dyDescent="0.25">
      <c r="A1589" s="2" t="s">
        <v>10887</v>
      </c>
      <c r="B1589" s="2">
        <v>609.51052815530704</v>
      </c>
      <c r="C1589" s="2">
        <v>12.6872166666667</v>
      </c>
      <c r="D1589" s="2" t="s">
        <v>51</v>
      </c>
      <c r="E1589" s="2" t="s">
        <v>10888</v>
      </c>
      <c r="F1589" s="2">
        <v>132602</v>
      </c>
      <c r="G1589" s="3" t="str">
        <f>HYPERLINK("https://cloud.oebiotech.com/#/lm/network/132602", "https://cloud.oebiotech.com/#/lm/network/132602")</f>
        <v>https://cloud.oebiotech.com/#/lm/network/132602</v>
      </c>
      <c r="H1589" s="2" t="s">
        <v>10889</v>
      </c>
      <c r="I1589" s="2"/>
      <c r="J1589" s="2"/>
      <c r="K1589" s="2">
        <v>131819634</v>
      </c>
      <c r="L1589" s="2"/>
      <c r="M1589" s="2"/>
      <c r="N1589" s="2"/>
      <c r="O1589" s="2"/>
      <c r="P1589" s="2"/>
      <c r="Q1589" s="2"/>
      <c r="R1589" s="2"/>
      <c r="S1589" s="2" t="s">
        <v>10890</v>
      </c>
      <c r="T1589" s="2" t="s">
        <v>10891</v>
      </c>
      <c r="U1589" s="2" t="s">
        <v>56</v>
      </c>
      <c r="V1589" s="2" t="s">
        <v>145</v>
      </c>
      <c r="W1589" s="2" t="s">
        <v>231</v>
      </c>
      <c r="X1589" s="2" t="s">
        <v>147</v>
      </c>
      <c r="Y1589" s="2">
        <v>38.5</v>
      </c>
      <c r="Z1589" s="2">
        <v>0.73899999999999999</v>
      </c>
      <c r="AA1589" s="2" t="s">
        <v>218</v>
      </c>
      <c r="AB1589" s="2" t="s">
        <v>10892</v>
      </c>
      <c r="AC1589" s="2">
        <v>1.0002029117968301</v>
      </c>
      <c r="AD1589" s="2"/>
      <c r="AE1589" s="2">
        <v>0.40869644364628999</v>
      </c>
      <c r="AF1589" s="2">
        <v>5471.0842555218796</v>
      </c>
      <c r="AG1589" s="2">
        <v>18942.535218716101</v>
      </c>
      <c r="AH1589" s="4">
        <v>0.28882534425044498</v>
      </c>
      <c r="AI1589" s="4">
        <v>-1.79173075148447</v>
      </c>
      <c r="AJ1589" s="4" t="s">
        <v>62</v>
      </c>
      <c r="AK1589" s="2">
        <v>0.301206966146287</v>
      </c>
      <c r="AL1589" s="2">
        <v>0.61055505990699699</v>
      </c>
      <c r="AM1589" s="2">
        <v>3223.2830218743802</v>
      </c>
      <c r="AN1589" s="2">
        <v>898.22774978204495</v>
      </c>
      <c r="AO1589" s="2">
        <v>9486.2776915451104</v>
      </c>
      <c r="AP1589" s="2">
        <v>8.559877937157E-6</v>
      </c>
      <c r="AQ1589" s="2">
        <v>17417.944615810498</v>
      </c>
      <c r="AR1589" s="2">
        <v>1800.77244555935</v>
      </c>
      <c r="AS1589" s="2">
        <v>10034.3068476425</v>
      </c>
      <c r="AT1589" s="2">
        <v>2366.3446166992599</v>
      </c>
      <c r="AU1589" s="2">
        <v>78660.265167581398</v>
      </c>
      <c r="AV1589" s="2">
        <v>12503.813915257</v>
      </c>
      <c r="AW1589" s="2">
        <v>6574.02741736181</v>
      </c>
      <c r="AX1589" s="2">
        <v>3516.4533477549098</v>
      </c>
    </row>
    <row r="1590" spans="1:50" x14ac:dyDescent="0.25">
      <c r="A1590" s="2" t="s">
        <v>10893</v>
      </c>
      <c r="B1590" s="2">
        <v>284.176815366288</v>
      </c>
      <c r="C1590" s="2">
        <v>4.2174666666666702</v>
      </c>
      <c r="D1590" s="2" t="s">
        <v>51</v>
      </c>
      <c r="E1590" s="2" t="s">
        <v>10894</v>
      </c>
      <c r="F1590" s="2">
        <v>205641</v>
      </c>
      <c r="G1590" s="3" t="str">
        <f>HYPERLINK("https://cloud.oebiotech.com/#/lm/network/205641", "https://cloud.oebiotech.com/#/lm/network/205641")</f>
        <v>https://cloud.oebiotech.com/#/lm/network/205641</v>
      </c>
      <c r="H1590" s="2" t="s">
        <v>10895</v>
      </c>
      <c r="I1590" s="2"/>
      <c r="J1590" s="2"/>
      <c r="K1590" s="2"/>
      <c r="L1590" s="2"/>
      <c r="M1590" s="2"/>
      <c r="N1590" s="2"/>
      <c r="O1590" s="2"/>
      <c r="P1590" s="2"/>
      <c r="Q1590" s="2"/>
      <c r="R1590" s="2"/>
      <c r="S1590" s="2" t="s">
        <v>10896</v>
      </c>
      <c r="T1590" s="2" t="s">
        <v>10897</v>
      </c>
      <c r="U1590" s="2" t="s">
        <v>610</v>
      </c>
      <c r="V1590" s="2" t="s">
        <v>10898</v>
      </c>
      <c r="W1590" s="2" t="s">
        <v>240</v>
      </c>
      <c r="X1590" s="2" t="s">
        <v>83</v>
      </c>
      <c r="Y1590" s="2">
        <v>38.299999999999997</v>
      </c>
      <c r="Z1590" s="2">
        <v>0</v>
      </c>
      <c r="AA1590" s="2" t="s">
        <v>512</v>
      </c>
      <c r="AB1590" s="2" t="s">
        <v>10899</v>
      </c>
      <c r="AC1590" s="2">
        <v>4.0453224947653599</v>
      </c>
      <c r="AD1590" s="2"/>
      <c r="AE1590" s="2">
        <v>0.40846443596709903</v>
      </c>
      <c r="AF1590" s="2">
        <v>3164.1180944287198</v>
      </c>
      <c r="AG1590" s="2">
        <v>11550.0160232158</v>
      </c>
      <c r="AH1590" s="4">
        <v>0.27394923851783098</v>
      </c>
      <c r="AI1590" s="4">
        <v>-1.8680195014207801</v>
      </c>
      <c r="AJ1590" s="4" t="s">
        <v>62</v>
      </c>
      <c r="AK1590" s="2">
        <v>0.355631292083815</v>
      </c>
      <c r="AL1590" s="2">
        <v>0.64439059109587704</v>
      </c>
      <c r="AM1590" s="2">
        <v>3883.41137349271</v>
      </c>
      <c r="AN1590" s="2">
        <v>5798.6378422052703</v>
      </c>
      <c r="AO1590" s="2">
        <v>276.83094963934599</v>
      </c>
      <c r="AP1590" s="2">
        <v>1256.3985102167501</v>
      </c>
      <c r="AQ1590" s="2">
        <v>7643.4573163055802</v>
      </c>
      <c r="AR1590" s="2">
        <v>125.972574712648</v>
      </c>
      <c r="AS1590" s="2">
        <v>4775.4275870215597</v>
      </c>
      <c r="AT1590" s="2">
        <v>9213.8009795462494</v>
      </c>
      <c r="AU1590" s="2">
        <v>194.472630215496</v>
      </c>
      <c r="AV1590" s="2">
        <v>53770.523762458201</v>
      </c>
      <c r="AW1590" s="2">
        <v>8.559877937157E-6</v>
      </c>
      <c r="AX1590" s="2">
        <v>1345.87117149338</v>
      </c>
    </row>
    <row r="1591" spans="1:50" x14ac:dyDescent="0.25">
      <c r="A1591" s="2" t="s">
        <v>10900</v>
      </c>
      <c r="B1591" s="2">
        <v>577.48442416917703</v>
      </c>
      <c r="C1591" s="2">
        <v>13.4256833333333</v>
      </c>
      <c r="D1591" s="2" t="s">
        <v>51</v>
      </c>
      <c r="E1591" s="2" t="s">
        <v>10901</v>
      </c>
      <c r="F1591" s="2">
        <v>252150</v>
      </c>
      <c r="G1591" s="3" t="str">
        <f>HYPERLINK("https://cloud.oebiotech.com/#/lm/network/252150", "https://cloud.oebiotech.com/#/lm/network/252150")</f>
        <v>https://cloud.oebiotech.com/#/lm/network/252150</v>
      </c>
      <c r="H1591" s="2" t="s">
        <v>10902</v>
      </c>
      <c r="I1591" s="2"/>
      <c r="J1591" s="2"/>
      <c r="K1591" s="2"/>
      <c r="L1591" s="2"/>
      <c r="M1591" s="2"/>
      <c r="N1591" s="2"/>
      <c r="O1591" s="2"/>
      <c r="P1591" s="2"/>
      <c r="Q1591" s="2"/>
      <c r="R1591" s="2"/>
      <c r="S1591" s="2" t="s">
        <v>10903</v>
      </c>
      <c r="T1591" s="2" t="s">
        <v>10904</v>
      </c>
      <c r="U1591" s="2" t="s">
        <v>56</v>
      </c>
      <c r="V1591" s="2" t="s">
        <v>3215</v>
      </c>
      <c r="W1591" s="2" t="s">
        <v>3216</v>
      </c>
      <c r="X1591" s="2" t="s">
        <v>69</v>
      </c>
      <c r="Y1591" s="2">
        <v>66.599999999999994</v>
      </c>
      <c r="Z1591" s="2">
        <v>73.8</v>
      </c>
      <c r="AA1591" s="2" t="s">
        <v>156</v>
      </c>
      <c r="AB1591" s="2" t="s">
        <v>3217</v>
      </c>
      <c r="AC1591" s="2">
        <v>2.9817108841426401</v>
      </c>
      <c r="AD1591" s="2"/>
      <c r="AE1591" s="2">
        <v>0.40842335947616598</v>
      </c>
      <c r="AF1591" s="2">
        <v>48512.102547069699</v>
      </c>
      <c r="AG1591" s="2">
        <v>35463.386831122698</v>
      </c>
      <c r="AH1591" s="5">
        <v>1.3679489434578</v>
      </c>
      <c r="AI1591" s="5">
        <v>0.45201438490596002</v>
      </c>
      <c r="AJ1591" s="5" t="s">
        <v>139</v>
      </c>
      <c r="AK1591" s="2">
        <v>0.36678936644356502</v>
      </c>
      <c r="AL1591" s="2">
        <v>0.65124657451608803</v>
      </c>
      <c r="AM1591" s="2">
        <v>10808.6207158138</v>
      </c>
      <c r="AN1591" s="2">
        <v>76239.842611469096</v>
      </c>
      <c r="AO1591" s="2">
        <v>90242.655513552803</v>
      </c>
      <c r="AP1591" s="2">
        <v>48755.393518015298</v>
      </c>
      <c r="AQ1591" s="2">
        <v>31601.506861534399</v>
      </c>
      <c r="AR1591" s="2">
        <v>33424.596062032702</v>
      </c>
      <c r="AS1591" s="2">
        <v>16207.7624379849</v>
      </c>
      <c r="AT1591" s="2">
        <v>43267.267280072301</v>
      </c>
      <c r="AU1591" s="2">
        <v>14879.0682035555</v>
      </c>
      <c r="AV1591" s="2">
        <v>40170.850624913903</v>
      </c>
      <c r="AW1591" s="2">
        <v>52286.641821277801</v>
      </c>
      <c r="AX1591" s="2">
        <v>45968.730618932001</v>
      </c>
    </row>
    <row r="1592" spans="1:50" x14ac:dyDescent="0.25">
      <c r="A1592" s="2" t="s">
        <v>10905</v>
      </c>
      <c r="B1592" s="2">
        <v>187.144699558767</v>
      </c>
      <c r="C1592" s="2">
        <v>3.3798499999999998</v>
      </c>
      <c r="D1592" s="2" t="s">
        <v>51</v>
      </c>
      <c r="E1592" s="2" t="s">
        <v>10906</v>
      </c>
      <c r="F1592" s="2">
        <v>289967</v>
      </c>
      <c r="G1592" s="3" t="str">
        <f>HYPERLINK("https://cloud.oebiotech.com/#/lm/network/289967", "https://cloud.oebiotech.com/#/lm/network/289967")</f>
        <v>https://cloud.oebiotech.com/#/lm/network/289967</v>
      </c>
      <c r="H1592" s="2"/>
      <c r="I1592" s="2">
        <v>985531</v>
      </c>
      <c r="J1592" s="2"/>
      <c r="K1592" s="2">
        <v>100784</v>
      </c>
      <c r="L1592" s="2"/>
      <c r="M1592" s="2"/>
      <c r="N1592" s="2"/>
      <c r="O1592" s="2"/>
      <c r="P1592" s="2"/>
      <c r="Q1592" s="2"/>
      <c r="R1592" s="2"/>
      <c r="S1592" s="2" t="s">
        <v>10907</v>
      </c>
      <c r="T1592" s="2" t="s">
        <v>10908</v>
      </c>
      <c r="U1592" s="2" t="s">
        <v>103</v>
      </c>
      <c r="V1592" s="2" t="s">
        <v>104</v>
      </c>
      <c r="W1592" s="2" t="s">
        <v>9173</v>
      </c>
      <c r="X1592" s="2" t="s">
        <v>69</v>
      </c>
      <c r="Y1592" s="2">
        <v>57.4</v>
      </c>
      <c r="Z1592" s="2">
        <v>71.599999999999994</v>
      </c>
      <c r="AA1592" s="2" t="s">
        <v>259</v>
      </c>
      <c r="AB1592" s="2" t="s">
        <v>10909</v>
      </c>
      <c r="AC1592" s="2">
        <v>3.1981891721751698</v>
      </c>
      <c r="AD1592" s="2"/>
      <c r="AE1592" s="2">
        <v>0.40842319010386502</v>
      </c>
      <c r="AF1592" s="2">
        <v>11625.7589772706</v>
      </c>
      <c r="AG1592" s="2">
        <v>288.72665465624698</v>
      </c>
      <c r="AH1592" s="5">
        <v>40.265624215097397</v>
      </c>
      <c r="AI1592" s="5">
        <v>5.3314767937369902</v>
      </c>
      <c r="AJ1592" s="5" t="s">
        <v>139</v>
      </c>
      <c r="AK1592" s="2">
        <v>0.24966586588849601</v>
      </c>
      <c r="AL1592" s="2">
        <v>0.57274584458268996</v>
      </c>
      <c r="AM1592" s="2">
        <v>41.632325156233897</v>
      </c>
      <c r="AN1592" s="2">
        <v>79.123611435768296</v>
      </c>
      <c r="AO1592" s="2">
        <v>65.0314062346621</v>
      </c>
      <c r="AP1592" s="2">
        <v>53.302943280630998</v>
      </c>
      <c r="AQ1592" s="2">
        <v>56841.770425347502</v>
      </c>
      <c r="AR1592" s="2">
        <v>12673.6931521691</v>
      </c>
      <c r="AS1592" s="2">
        <v>62.128572017146297</v>
      </c>
      <c r="AT1592" s="2">
        <v>39.737738024407101</v>
      </c>
      <c r="AU1592" s="2">
        <v>628.43567218188105</v>
      </c>
      <c r="AV1592" s="2">
        <v>888.02007380135296</v>
      </c>
      <c r="AW1592" s="2">
        <v>101.783420908609</v>
      </c>
      <c r="AX1592" s="2">
        <v>12.2544510040865</v>
      </c>
    </row>
    <row r="1593" spans="1:50" x14ac:dyDescent="0.25">
      <c r="A1593" s="2" t="s">
        <v>10910</v>
      </c>
      <c r="B1593" s="2">
        <v>644.39127293655304</v>
      </c>
      <c r="C1593" s="2">
        <v>12.0589833333333</v>
      </c>
      <c r="D1593" s="2" t="s">
        <v>51</v>
      </c>
      <c r="E1593" s="2" t="s">
        <v>10911</v>
      </c>
      <c r="F1593" s="2">
        <v>27899</v>
      </c>
      <c r="G1593" s="3" t="str">
        <f>HYPERLINK("https://cloud.oebiotech.com/#/lm/network/27899", "https://cloud.oebiotech.com/#/lm/network/27899")</f>
        <v>https://cloud.oebiotech.com/#/lm/network/27899</v>
      </c>
      <c r="H1593" s="2"/>
      <c r="I1593" s="2"/>
      <c r="J1593" s="2" t="s">
        <v>10912</v>
      </c>
      <c r="K1593" s="2">
        <v>134812357</v>
      </c>
      <c r="L1593" s="2"/>
      <c r="M1593" s="2"/>
      <c r="N1593" s="2"/>
      <c r="O1593" s="2"/>
      <c r="P1593" s="2"/>
      <c r="Q1593" s="2"/>
      <c r="R1593" s="2"/>
      <c r="S1593" s="2" t="s">
        <v>10913</v>
      </c>
      <c r="T1593" s="2" t="s">
        <v>10914</v>
      </c>
      <c r="U1593" s="2" t="s">
        <v>56</v>
      </c>
      <c r="V1593" s="2" t="s">
        <v>57</v>
      </c>
      <c r="W1593" s="2" t="s">
        <v>155</v>
      </c>
      <c r="X1593" s="2" t="s">
        <v>83</v>
      </c>
      <c r="Y1593" s="2">
        <v>39.799999999999997</v>
      </c>
      <c r="Z1593" s="2">
        <v>0</v>
      </c>
      <c r="AA1593" s="2" t="s">
        <v>156</v>
      </c>
      <c r="AB1593" s="2" t="s">
        <v>943</v>
      </c>
      <c r="AC1593" s="2">
        <v>-1.3948810806921501</v>
      </c>
      <c r="AD1593" s="2"/>
      <c r="AE1593" s="2">
        <v>0.408394998053348</v>
      </c>
      <c r="AF1593" s="2">
        <v>8536.6563051471494</v>
      </c>
      <c r="AG1593" s="2">
        <v>4616.1303203530797</v>
      </c>
      <c r="AH1593" s="5">
        <v>1.84931007417793</v>
      </c>
      <c r="AI1593" s="5">
        <v>0.88698714198046102</v>
      </c>
      <c r="AJ1593" s="5" t="s">
        <v>139</v>
      </c>
      <c r="AK1593" s="2">
        <v>2.4544920611042499E-2</v>
      </c>
      <c r="AL1593" s="2">
        <v>0.24287198944626501</v>
      </c>
      <c r="AM1593" s="2">
        <v>9896.6210163206797</v>
      </c>
      <c r="AN1593" s="2">
        <v>12571.0466566262</v>
      </c>
      <c r="AO1593" s="2">
        <v>6075.7537679124498</v>
      </c>
      <c r="AP1593" s="2">
        <v>6253.7213309095596</v>
      </c>
      <c r="AQ1593" s="2">
        <v>5522.22538808641</v>
      </c>
      <c r="AR1593" s="2">
        <v>10900.569671027601</v>
      </c>
      <c r="AS1593" s="2">
        <v>4331.5430685020201</v>
      </c>
      <c r="AT1593" s="2">
        <v>2356.9095526602</v>
      </c>
      <c r="AU1593" s="2">
        <v>8499.9795247707807</v>
      </c>
      <c r="AV1593" s="2">
        <v>3403.5846347094398</v>
      </c>
      <c r="AW1593" s="2">
        <v>4798.5947637569298</v>
      </c>
      <c r="AX1593" s="2">
        <v>4306.1703777190896</v>
      </c>
    </row>
    <row r="1594" spans="1:50" x14ac:dyDescent="0.25">
      <c r="A1594" s="2" t="s">
        <v>10915</v>
      </c>
      <c r="B1594" s="2">
        <v>403.210298762371</v>
      </c>
      <c r="C1594" s="2">
        <v>10.783149999999999</v>
      </c>
      <c r="D1594" s="2" t="s">
        <v>51</v>
      </c>
      <c r="E1594" s="2" t="s">
        <v>10916</v>
      </c>
      <c r="F1594" s="2">
        <v>204507</v>
      </c>
      <c r="G1594" s="3" t="str">
        <f>HYPERLINK("https://cloud.oebiotech.com/#/lm/network/204507", "https://cloud.oebiotech.com/#/lm/network/204507")</f>
        <v>https://cloud.oebiotech.com/#/lm/network/204507</v>
      </c>
      <c r="H1594" s="2" t="s">
        <v>10917</v>
      </c>
      <c r="I1594" s="2"/>
      <c r="J1594" s="2"/>
      <c r="K1594" s="2">
        <v>4486399</v>
      </c>
      <c r="L1594" s="2"/>
      <c r="M1594" s="2"/>
      <c r="N1594" s="2"/>
      <c r="O1594" s="2"/>
      <c r="P1594" s="2"/>
      <c r="Q1594" s="2"/>
      <c r="R1594" s="2"/>
      <c r="S1594" s="2" t="s">
        <v>10918</v>
      </c>
      <c r="T1594" s="2" t="s">
        <v>10919</v>
      </c>
      <c r="U1594" s="2" t="s">
        <v>610</v>
      </c>
      <c r="V1594" s="2" t="s">
        <v>611</v>
      </c>
      <c r="W1594" s="2" t="s">
        <v>1122</v>
      </c>
      <c r="X1594" s="2" t="s">
        <v>83</v>
      </c>
      <c r="Y1594" s="2">
        <v>52</v>
      </c>
      <c r="Z1594" s="2">
        <v>0</v>
      </c>
      <c r="AA1594" s="2" t="s">
        <v>218</v>
      </c>
      <c r="AB1594" s="2" t="s">
        <v>232</v>
      </c>
      <c r="AC1594" s="2">
        <v>-6.4585564053607003</v>
      </c>
      <c r="AD1594" s="2"/>
      <c r="AE1594" s="2">
        <v>0.40795599310778902</v>
      </c>
      <c r="AF1594" s="2">
        <v>10656.836928379</v>
      </c>
      <c r="AG1594" s="2">
        <v>4988.8554717525803</v>
      </c>
      <c r="AH1594" s="5">
        <v>2.1361286148133898</v>
      </c>
      <c r="AI1594" s="5">
        <v>1.0949985133023299</v>
      </c>
      <c r="AJ1594" s="5" t="s">
        <v>139</v>
      </c>
      <c r="AK1594" s="2">
        <v>6.5928530569691293E-2</v>
      </c>
      <c r="AL1594" s="2">
        <v>0.34192828169447498</v>
      </c>
      <c r="AM1594" s="2">
        <v>9143.9812677641403</v>
      </c>
      <c r="AN1594" s="2">
        <v>14928.1828027091</v>
      </c>
      <c r="AO1594" s="2">
        <v>13937.9631328588</v>
      </c>
      <c r="AP1594" s="2">
        <v>4831.0548494629902</v>
      </c>
      <c r="AQ1594" s="2">
        <v>7165.9406843309298</v>
      </c>
      <c r="AR1594" s="2">
        <v>13933.8988331483</v>
      </c>
      <c r="AS1594" s="2">
        <v>14310.407905906301</v>
      </c>
      <c r="AT1594" s="2">
        <v>746.12439557231403</v>
      </c>
      <c r="AU1594" s="2">
        <v>2539.66821782131</v>
      </c>
      <c r="AV1594" s="2">
        <v>2547.5056597391299</v>
      </c>
      <c r="AW1594" s="2">
        <v>1641.12796243206</v>
      </c>
      <c r="AX1594" s="2">
        <v>8148.2986890443699</v>
      </c>
    </row>
    <row r="1595" spans="1:50" x14ac:dyDescent="0.25">
      <c r="A1595" s="2" t="s">
        <v>10920</v>
      </c>
      <c r="B1595" s="2">
        <v>420.18181814650097</v>
      </c>
      <c r="C1595" s="2">
        <v>13.30415</v>
      </c>
      <c r="D1595" s="2" t="s">
        <v>51</v>
      </c>
      <c r="E1595" s="2" t="s">
        <v>10921</v>
      </c>
      <c r="F1595" s="2">
        <v>39014</v>
      </c>
      <c r="G1595" s="3" t="str">
        <f>HYPERLINK("https://cloud.oebiotech.com/#/lm/network/39014", "https://cloud.oebiotech.com/#/lm/network/39014")</f>
        <v>https://cloud.oebiotech.com/#/lm/network/39014</v>
      </c>
      <c r="H1595" s="2"/>
      <c r="I1595" s="2"/>
      <c r="J1595" s="2" t="s">
        <v>10922</v>
      </c>
      <c r="K1595" s="2">
        <v>10959895</v>
      </c>
      <c r="L1595" s="2"/>
      <c r="M1595" s="2"/>
      <c r="N1595" s="2"/>
      <c r="O1595" s="2"/>
      <c r="P1595" s="2"/>
      <c r="Q1595" s="2"/>
      <c r="R1595" s="2"/>
      <c r="S1595" s="2" t="s">
        <v>10923</v>
      </c>
      <c r="T1595" s="2" t="s">
        <v>10924</v>
      </c>
      <c r="U1595" s="2" t="s">
        <v>103</v>
      </c>
      <c r="V1595" s="2" t="s">
        <v>4820</v>
      </c>
      <c r="W1595" s="2" t="s">
        <v>10925</v>
      </c>
      <c r="X1595" s="2" t="s">
        <v>147</v>
      </c>
      <c r="Y1595" s="2">
        <v>38.5</v>
      </c>
      <c r="Z1595" s="2">
        <v>0</v>
      </c>
      <c r="AA1595" s="2" t="s">
        <v>395</v>
      </c>
      <c r="AB1595" s="2" t="s">
        <v>10926</v>
      </c>
      <c r="AC1595" s="2">
        <v>0.39668034902785898</v>
      </c>
      <c r="AD1595" s="2"/>
      <c r="AE1595" s="2">
        <v>0.407186388529229</v>
      </c>
      <c r="AF1595" s="2">
        <v>14311.4199479691</v>
      </c>
      <c r="AG1595" s="2">
        <v>10282.610306168201</v>
      </c>
      <c r="AH1595" s="5">
        <v>1.39180806447408</v>
      </c>
      <c r="AI1595" s="5">
        <v>0.47696027187369699</v>
      </c>
      <c r="AJ1595" s="5" t="s">
        <v>139</v>
      </c>
      <c r="AK1595" s="2">
        <v>5.2312080632588201E-2</v>
      </c>
      <c r="AL1595" s="2">
        <v>0.31653622285434502</v>
      </c>
      <c r="AM1595" s="2">
        <v>13769.834638523</v>
      </c>
      <c r="AN1595" s="2">
        <v>16907.042815019999</v>
      </c>
      <c r="AO1595" s="2">
        <v>19961.534485376498</v>
      </c>
      <c r="AP1595" s="2">
        <v>12083.849110024001</v>
      </c>
      <c r="AQ1595" s="2">
        <v>14516.5591210193</v>
      </c>
      <c r="AR1595" s="2">
        <v>8629.6995178519192</v>
      </c>
      <c r="AS1595" s="2">
        <v>8833.0403108208102</v>
      </c>
      <c r="AT1595" s="2">
        <v>14351.652950867499</v>
      </c>
      <c r="AU1595" s="2">
        <v>8541.5663301987406</v>
      </c>
      <c r="AV1595" s="2">
        <v>11221.9105011417</v>
      </c>
      <c r="AW1595" s="2">
        <v>9303.3246736075107</v>
      </c>
      <c r="AX1595" s="2">
        <v>9444.1670703727705</v>
      </c>
    </row>
    <row r="1596" spans="1:50" x14ac:dyDescent="0.25">
      <c r="A1596" s="2" t="s">
        <v>10927</v>
      </c>
      <c r="B1596" s="2">
        <v>457.256876945513</v>
      </c>
      <c r="C1596" s="2">
        <v>10.1823833333333</v>
      </c>
      <c r="D1596" s="2" t="s">
        <v>51</v>
      </c>
      <c r="E1596" s="2" t="s">
        <v>10928</v>
      </c>
      <c r="F1596" s="2">
        <v>198181</v>
      </c>
      <c r="G1596" s="3" t="str">
        <f>HYPERLINK("https://cloud.oebiotech.com/#/lm/network/198181", "https://cloud.oebiotech.com/#/lm/network/198181")</f>
        <v>https://cloud.oebiotech.com/#/lm/network/198181</v>
      </c>
      <c r="H1596" s="2" t="s">
        <v>10929</v>
      </c>
      <c r="I1596" s="2"/>
      <c r="J1596" s="2"/>
      <c r="K1596" s="2"/>
      <c r="L1596" s="2"/>
      <c r="M1596" s="2"/>
      <c r="N1596" s="2"/>
      <c r="O1596" s="2"/>
      <c r="P1596" s="2"/>
      <c r="Q1596" s="2"/>
      <c r="R1596" s="2"/>
      <c r="S1596" s="2" t="s">
        <v>10930</v>
      </c>
      <c r="T1596" s="2" t="s">
        <v>10931</v>
      </c>
      <c r="U1596" s="2" t="s">
        <v>56</v>
      </c>
      <c r="V1596" s="2" t="s">
        <v>145</v>
      </c>
      <c r="W1596" s="2" t="s">
        <v>1188</v>
      </c>
      <c r="X1596" s="2" t="s">
        <v>147</v>
      </c>
      <c r="Y1596" s="2">
        <v>37.299999999999997</v>
      </c>
      <c r="Z1596" s="2">
        <v>0</v>
      </c>
      <c r="AA1596" s="2" t="s">
        <v>478</v>
      </c>
      <c r="AB1596" s="2" t="s">
        <v>10932</v>
      </c>
      <c r="AC1596" s="2">
        <v>2.9179604484225301</v>
      </c>
      <c r="AD1596" s="2"/>
      <c r="AE1596" s="2">
        <v>0.40697573850215202</v>
      </c>
      <c r="AF1596" s="2">
        <v>14168.0161234441</v>
      </c>
      <c r="AG1596" s="2">
        <v>1700.4766524353099</v>
      </c>
      <c r="AH1596" s="5">
        <v>8.3317910323282902</v>
      </c>
      <c r="AI1596" s="5">
        <v>3.0586266559406998</v>
      </c>
      <c r="AJ1596" s="5" t="s">
        <v>139</v>
      </c>
      <c r="AK1596" s="2">
        <v>0.29572135879831801</v>
      </c>
      <c r="AL1596" s="2">
        <v>0.60778876168892604</v>
      </c>
      <c r="AM1596" s="2">
        <v>6.7051320096874303E-4</v>
      </c>
      <c r="AN1596" s="2">
        <v>8.559877937157E-6</v>
      </c>
      <c r="AO1596" s="2">
        <v>8.559877937157E-6</v>
      </c>
      <c r="AP1596" s="2">
        <v>8.559877937157E-6</v>
      </c>
      <c r="AQ1596" s="2">
        <v>68815.515842017499</v>
      </c>
      <c r="AR1596" s="2">
        <v>16192.580202454499</v>
      </c>
      <c r="AS1596" s="2">
        <v>2.6461669454616201</v>
      </c>
      <c r="AT1596" s="2">
        <v>14.478882660337099</v>
      </c>
      <c r="AU1596" s="2">
        <v>6280.5805098825604</v>
      </c>
      <c r="AV1596" s="2">
        <v>3883.4210646490301</v>
      </c>
      <c r="AW1596" s="2">
        <v>9.8638115981285299</v>
      </c>
      <c r="AX1596" s="2">
        <v>11.8694788763395</v>
      </c>
    </row>
    <row r="1597" spans="1:50" x14ac:dyDescent="0.25">
      <c r="A1597" s="2" t="s">
        <v>10933</v>
      </c>
      <c r="B1597" s="2">
        <v>398.19095318026302</v>
      </c>
      <c r="C1597" s="2">
        <v>4.4732000000000003</v>
      </c>
      <c r="D1597" s="2" t="s">
        <v>51</v>
      </c>
      <c r="E1597" s="2" t="s">
        <v>10934</v>
      </c>
      <c r="F1597" s="2">
        <v>467808</v>
      </c>
      <c r="G1597" s="3" t="str">
        <f>HYPERLINK("https://cloud.oebiotech.com/#/lm/network/467808", "https://cloud.oebiotech.com/#/lm/network/467808")</f>
        <v>https://cloud.oebiotech.com/#/lm/network/467808</v>
      </c>
      <c r="H1597" s="2"/>
      <c r="I1597" s="2">
        <v>85205</v>
      </c>
      <c r="J1597" s="2"/>
      <c r="K1597" s="2">
        <v>44418371</v>
      </c>
      <c r="L1597" s="2"/>
      <c r="M1597" s="2"/>
      <c r="N1597" s="2"/>
      <c r="O1597" s="2"/>
      <c r="P1597" s="2"/>
      <c r="Q1597" s="2"/>
      <c r="R1597" s="2"/>
      <c r="S1597" s="2" t="s">
        <v>10935</v>
      </c>
      <c r="T1597" s="2" t="s">
        <v>10936</v>
      </c>
      <c r="U1597" s="2" t="s">
        <v>610</v>
      </c>
      <c r="V1597" s="2" t="s">
        <v>813</v>
      </c>
      <c r="W1597" s="2" t="s">
        <v>10937</v>
      </c>
      <c r="X1597" s="2" t="s">
        <v>147</v>
      </c>
      <c r="Y1597" s="2">
        <v>36.299999999999997</v>
      </c>
      <c r="Z1597" s="2">
        <v>0</v>
      </c>
      <c r="AA1597" s="2" t="s">
        <v>379</v>
      </c>
      <c r="AB1597" s="2" t="s">
        <v>10938</v>
      </c>
      <c r="AC1597" s="2">
        <v>-1.12698836596744</v>
      </c>
      <c r="AD1597" s="2"/>
      <c r="AE1597" s="2">
        <v>0.406942020478676</v>
      </c>
      <c r="AF1597" s="2">
        <v>10719.856884619299</v>
      </c>
      <c r="AG1597" s="2">
        <v>4753.2364217345103</v>
      </c>
      <c r="AH1597" s="5">
        <v>2.2552753394722802</v>
      </c>
      <c r="AI1597" s="5">
        <v>1.17330357833294</v>
      </c>
      <c r="AJ1597" s="5" t="s">
        <v>139</v>
      </c>
      <c r="AK1597" s="2">
        <v>0.14472174900027099</v>
      </c>
      <c r="AL1597" s="2">
        <v>0.46795150714190697</v>
      </c>
      <c r="AM1597" s="2">
        <v>12961.093299653399</v>
      </c>
      <c r="AN1597" s="2">
        <v>1883.10012977732</v>
      </c>
      <c r="AO1597" s="2">
        <v>11248.989155678901</v>
      </c>
      <c r="AP1597" s="2">
        <v>2277.8899818236901</v>
      </c>
      <c r="AQ1597" s="2">
        <v>13754.196864896099</v>
      </c>
      <c r="AR1597" s="2">
        <v>22193.871875886402</v>
      </c>
      <c r="AS1597" s="2">
        <v>11739.1112260687</v>
      </c>
      <c r="AT1597" s="2">
        <v>10521.393780378599</v>
      </c>
      <c r="AU1597" s="2">
        <v>3529.80501874734</v>
      </c>
      <c r="AV1597" s="2">
        <v>2395.2520846522598</v>
      </c>
      <c r="AW1597" s="2">
        <v>192.125293762935</v>
      </c>
      <c r="AX1597" s="2">
        <v>141.73112679721001</v>
      </c>
    </row>
    <row r="1598" spans="1:50" x14ac:dyDescent="0.25">
      <c r="A1598" s="2" t="s">
        <v>10939</v>
      </c>
      <c r="B1598" s="2">
        <v>370.202736669442</v>
      </c>
      <c r="C1598" s="2">
        <v>5.3466166666666703</v>
      </c>
      <c r="D1598" s="2" t="s">
        <v>51</v>
      </c>
      <c r="E1598" s="2" t="s">
        <v>10940</v>
      </c>
      <c r="F1598" s="2">
        <v>204280</v>
      </c>
      <c r="G1598" s="3" t="str">
        <f>HYPERLINK("https://cloud.oebiotech.com/#/lm/network/204280", "https://cloud.oebiotech.com/#/lm/network/204280")</f>
        <v>https://cloud.oebiotech.com/#/lm/network/204280</v>
      </c>
      <c r="H1598" s="2" t="s">
        <v>10941</v>
      </c>
      <c r="I1598" s="2"/>
      <c r="J1598" s="2"/>
      <c r="K1598" s="2">
        <v>177836</v>
      </c>
      <c r="L1598" s="2"/>
      <c r="M1598" s="2"/>
      <c r="N1598" s="2"/>
      <c r="O1598" s="2"/>
      <c r="P1598" s="2"/>
      <c r="Q1598" s="2"/>
      <c r="R1598" s="2"/>
      <c r="S1598" s="2" t="s">
        <v>10942</v>
      </c>
      <c r="T1598" s="2" t="s">
        <v>10943</v>
      </c>
      <c r="U1598" s="2" t="s">
        <v>266</v>
      </c>
      <c r="V1598" s="2" t="s">
        <v>445</v>
      </c>
      <c r="W1598" s="2" t="s">
        <v>3500</v>
      </c>
      <c r="X1598" s="2" t="s">
        <v>59</v>
      </c>
      <c r="Y1598" s="2">
        <v>52.1</v>
      </c>
      <c r="Z1598" s="2">
        <v>67.400000000000006</v>
      </c>
      <c r="AA1598" s="2" t="s">
        <v>259</v>
      </c>
      <c r="AB1598" s="2" t="s">
        <v>10944</v>
      </c>
      <c r="AC1598" s="2">
        <v>-2.7854972340333202</v>
      </c>
      <c r="AD1598" s="2"/>
      <c r="AE1598" s="2">
        <v>0.40671006645312402</v>
      </c>
      <c r="AF1598" s="2">
        <v>34.207087138941297</v>
      </c>
      <c r="AG1598" s="2">
        <v>8426.7809820510502</v>
      </c>
      <c r="AH1598" s="4">
        <v>4.0593302723545303E-3</v>
      </c>
      <c r="AI1598" s="4">
        <v>-7.9445425603190403</v>
      </c>
      <c r="AJ1598" s="4" t="s">
        <v>62</v>
      </c>
      <c r="AK1598" s="2">
        <v>0.33565377259635198</v>
      </c>
      <c r="AL1598" s="2">
        <v>0.63666979166279303</v>
      </c>
      <c r="AM1598" s="2">
        <v>8.559877937157E-6</v>
      </c>
      <c r="AN1598" s="2">
        <v>8.559877937157E-6</v>
      </c>
      <c r="AO1598" s="2">
        <v>205.24248003425799</v>
      </c>
      <c r="AP1598" s="2">
        <v>8.559877937157E-6</v>
      </c>
      <c r="AQ1598" s="2">
        <v>8.559877937157E-6</v>
      </c>
      <c r="AR1598" s="2">
        <v>8.559877937157E-6</v>
      </c>
      <c r="AS1598" s="2">
        <v>181.369604132712</v>
      </c>
      <c r="AT1598" s="2">
        <v>163.83907937212899</v>
      </c>
      <c r="AU1598" s="2">
        <v>8.559877937157E-6</v>
      </c>
      <c r="AV1598" s="2">
        <v>301.369474331417</v>
      </c>
      <c r="AW1598" s="2">
        <v>8.559877937157E-6</v>
      </c>
      <c r="AX1598" s="2">
        <v>49914.1077173503</v>
      </c>
    </row>
    <row r="1599" spans="1:50" x14ac:dyDescent="0.25">
      <c r="A1599" s="2" t="s">
        <v>10945</v>
      </c>
      <c r="B1599" s="2">
        <v>169.06125515865301</v>
      </c>
      <c r="C1599" s="2">
        <v>4.4640000000000004</v>
      </c>
      <c r="D1599" s="2" t="s">
        <v>51</v>
      </c>
      <c r="E1599" s="2" t="s">
        <v>10946</v>
      </c>
      <c r="F1599" s="2">
        <v>81820</v>
      </c>
      <c r="G1599" s="3" t="str">
        <f>HYPERLINK("https://cloud.oebiotech.com/#/lm/network/81820", "https://cloud.oebiotech.com/#/lm/network/81820")</f>
        <v>https://cloud.oebiotech.com/#/lm/network/81820</v>
      </c>
      <c r="H1599" s="2" t="s">
        <v>10947</v>
      </c>
      <c r="I1599" s="2"/>
      <c r="J1599" s="2"/>
      <c r="K1599" s="2">
        <v>21126202</v>
      </c>
      <c r="L1599" s="2"/>
      <c r="M1599" s="2"/>
      <c r="N1599" s="2"/>
      <c r="O1599" s="2"/>
      <c r="P1599" s="2"/>
      <c r="Q1599" s="2"/>
      <c r="R1599" s="2" t="s">
        <v>10948</v>
      </c>
      <c r="S1599" s="2" t="s">
        <v>10949</v>
      </c>
      <c r="T1599" s="2" t="s">
        <v>10950</v>
      </c>
      <c r="U1599" s="2" t="s">
        <v>103</v>
      </c>
      <c r="V1599" s="2" t="s">
        <v>104</v>
      </c>
      <c r="W1599" s="2" t="s">
        <v>105</v>
      </c>
      <c r="X1599" s="2" t="s">
        <v>147</v>
      </c>
      <c r="Y1599" s="2">
        <v>43.7</v>
      </c>
      <c r="Z1599" s="2">
        <v>28.6</v>
      </c>
      <c r="AA1599" s="2" t="s">
        <v>60</v>
      </c>
      <c r="AB1599" s="2" t="s">
        <v>10951</v>
      </c>
      <c r="AC1599" s="2">
        <v>2.8955174141244702</v>
      </c>
      <c r="AD1599" s="2"/>
      <c r="AE1599" s="2">
        <v>0.40637256876405597</v>
      </c>
      <c r="AF1599" s="2">
        <v>1000.06523072838</v>
      </c>
      <c r="AG1599" s="2">
        <v>16645.702202982899</v>
      </c>
      <c r="AH1599" s="4">
        <v>6.00794858957149E-2</v>
      </c>
      <c r="AI1599" s="4">
        <v>-4.0569837221102203</v>
      </c>
      <c r="AJ1599" s="4" t="s">
        <v>62</v>
      </c>
      <c r="AK1599" s="2">
        <v>0.31507361768550002</v>
      </c>
      <c r="AL1599" s="2">
        <v>0.62413706859245499</v>
      </c>
      <c r="AM1599" s="2">
        <v>808.65742173577303</v>
      </c>
      <c r="AN1599" s="2">
        <v>2961.7425623589002</v>
      </c>
      <c r="AO1599" s="2">
        <v>2061.9392784678498</v>
      </c>
      <c r="AP1599" s="2">
        <v>8.559877937157E-6</v>
      </c>
      <c r="AQ1599" s="2">
        <v>111.47083841884999</v>
      </c>
      <c r="AR1599" s="2">
        <v>56.581274829042599</v>
      </c>
      <c r="AS1599" s="2">
        <v>825.99632374038902</v>
      </c>
      <c r="AT1599" s="2">
        <v>1540.23316978701</v>
      </c>
      <c r="AU1599" s="2">
        <v>90498.146696106094</v>
      </c>
      <c r="AV1599" s="2">
        <v>4869.6399097916001</v>
      </c>
      <c r="AW1599" s="2">
        <v>1206.189837251</v>
      </c>
      <c r="AX1599" s="2">
        <v>934.00728122132205</v>
      </c>
    </row>
    <row r="1600" spans="1:50" x14ac:dyDescent="0.25">
      <c r="A1600" s="2" t="s">
        <v>10952</v>
      </c>
      <c r="B1600" s="2">
        <v>213.07383701324599</v>
      </c>
      <c r="C1600" s="2">
        <v>5.4175500000000003</v>
      </c>
      <c r="D1600" s="2" t="s">
        <v>51</v>
      </c>
      <c r="E1600" s="2" t="s">
        <v>10953</v>
      </c>
      <c r="F1600" s="2">
        <v>208990</v>
      </c>
      <c r="G1600" s="3" t="str">
        <f>HYPERLINK("https://cloud.oebiotech.com/#/lm/network/208990", "https://cloud.oebiotech.com/#/lm/network/208990")</f>
        <v>https://cloud.oebiotech.com/#/lm/network/208990</v>
      </c>
      <c r="H1600" s="2" t="s">
        <v>10954</v>
      </c>
      <c r="I1600" s="2">
        <v>628</v>
      </c>
      <c r="J1600" s="2"/>
      <c r="K1600" s="2">
        <v>76953</v>
      </c>
      <c r="L1600" s="2" t="s">
        <v>10955</v>
      </c>
      <c r="M1600" s="2"/>
      <c r="N1600" s="2"/>
      <c r="O1600" s="2">
        <v>72568</v>
      </c>
      <c r="P1600" s="2"/>
      <c r="Q1600" s="2"/>
      <c r="R1600" s="2" t="s">
        <v>10956</v>
      </c>
      <c r="S1600" s="2" t="s">
        <v>10957</v>
      </c>
      <c r="T1600" s="2" t="s">
        <v>10958</v>
      </c>
      <c r="U1600" s="2" t="s">
        <v>103</v>
      </c>
      <c r="V1600" s="2" t="s">
        <v>104</v>
      </c>
      <c r="W1600" s="2" t="s">
        <v>9173</v>
      </c>
      <c r="X1600" s="2" t="s">
        <v>147</v>
      </c>
      <c r="Y1600" s="2">
        <v>39.200000000000003</v>
      </c>
      <c r="Z1600" s="2">
        <v>0</v>
      </c>
      <c r="AA1600" s="2" t="s">
        <v>218</v>
      </c>
      <c r="AB1600" s="2" t="s">
        <v>10959</v>
      </c>
      <c r="AC1600" s="2">
        <v>-1.9322315732816799</v>
      </c>
      <c r="AD1600" s="2"/>
      <c r="AE1600" s="2">
        <v>0.40628027258046701</v>
      </c>
      <c r="AF1600" s="2">
        <v>15256.6563589089</v>
      </c>
      <c r="AG1600" s="2">
        <v>10450.240321188699</v>
      </c>
      <c r="AH1600" s="5">
        <v>1.45993354123874</v>
      </c>
      <c r="AI1600" s="5">
        <v>0.54590269656585999</v>
      </c>
      <c r="AJ1600" s="5" t="s">
        <v>139</v>
      </c>
      <c r="AK1600" s="2">
        <v>0.17388505557228701</v>
      </c>
      <c r="AL1600" s="2">
        <v>0.49504224249194001</v>
      </c>
      <c r="AM1600" s="2">
        <v>22112.093458486099</v>
      </c>
      <c r="AN1600" s="2">
        <v>17549.798946367398</v>
      </c>
      <c r="AO1600" s="2">
        <v>10861.138905003199</v>
      </c>
      <c r="AP1600" s="2">
        <v>16214.988770091</v>
      </c>
      <c r="AQ1600" s="2">
        <v>8887.2703369965893</v>
      </c>
      <c r="AR1600" s="2">
        <v>15914.6477365092</v>
      </c>
      <c r="AS1600" s="2">
        <v>11309.2039968261</v>
      </c>
      <c r="AT1600" s="2">
        <v>6497.3591897220003</v>
      </c>
      <c r="AU1600" s="2">
        <v>22422.650210889198</v>
      </c>
      <c r="AV1600" s="2">
        <v>3859.4914109277802</v>
      </c>
      <c r="AW1600" s="2">
        <v>7880.6703562098501</v>
      </c>
      <c r="AX1600" s="2">
        <v>10732.066762557501</v>
      </c>
    </row>
    <row r="1601" spans="1:50" x14ac:dyDescent="0.25">
      <c r="A1601" s="2" t="s">
        <v>10960</v>
      </c>
      <c r="B1601" s="2">
        <v>565.30207136609999</v>
      </c>
      <c r="C1601" s="2">
        <v>7.0490333333333304</v>
      </c>
      <c r="D1601" s="2" t="s">
        <v>51</v>
      </c>
      <c r="E1601" s="2" t="s">
        <v>10961</v>
      </c>
      <c r="F1601" s="2">
        <v>46655</v>
      </c>
      <c r="G1601" s="3" t="str">
        <f>HYPERLINK("https://cloud.oebiotech.com/#/lm/network/46655", "https://cloud.oebiotech.com/#/lm/network/46655")</f>
        <v>https://cloud.oebiotech.com/#/lm/network/46655</v>
      </c>
      <c r="H1601" s="2" t="s">
        <v>10962</v>
      </c>
      <c r="I1601" s="2">
        <v>57962</v>
      </c>
      <c r="J1601" s="2" t="s">
        <v>10963</v>
      </c>
      <c r="K1601" s="2">
        <v>21252309</v>
      </c>
      <c r="L1601" s="2"/>
      <c r="M1601" s="2"/>
      <c r="N1601" s="2"/>
      <c r="O1601" s="2"/>
      <c r="P1601" s="2"/>
      <c r="Q1601" s="2"/>
      <c r="R1601" s="2" t="s">
        <v>10964</v>
      </c>
      <c r="S1601" s="2" t="s">
        <v>10965</v>
      </c>
      <c r="T1601" s="2" t="s">
        <v>10966</v>
      </c>
      <c r="U1601" s="2" t="s">
        <v>56</v>
      </c>
      <c r="V1601" s="2" t="s">
        <v>283</v>
      </c>
      <c r="W1601" s="2" t="s">
        <v>3462</v>
      </c>
      <c r="X1601" s="2" t="s">
        <v>69</v>
      </c>
      <c r="Y1601" s="2">
        <v>55.6</v>
      </c>
      <c r="Z1601" s="2">
        <v>64.7</v>
      </c>
      <c r="AA1601" s="2" t="s">
        <v>379</v>
      </c>
      <c r="AB1601" s="2" t="s">
        <v>10967</v>
      </c>
      <c r="AC1601" s="2">
        <v>0.42807318753094098</v>
      </c>
      <c r="AD1601" s="2"/>
      <c r="AE1601" s="2">
        <v>0.40626217252746999</v>
      </c>
      <c r="AF1601" s="2">
        <v>6977.3563727012597</v>
      </c>
      <c r="AG1601" s="2">
        <v>13687.9839455374</v>
      </c>
      <c r="AH1601" s="4">
        <v>0.50974317331633301</v>
      </c>
      <c r="AI1601" s="4">
        <v>-0.97215754566289303</v>
      </c>
      <c r="AJ1601" s="4" t="s">
        <v>62</v>
      </c>
      <c r="AK1601" s="2">
        <v>0.19661822313551</v>
      </c>
      <c r="AL1601" s="2">
        <v>0.52014995935017205</v>
      </c>
      <c r="AM1601" s="2">
        <v>6327.4566692169901</v>
      </c>
      <c r="AN1601" s="2">
        <v>5276.7037394847703</v>
      </c>
      <c r="AO1601" s="2">
        <v>4431.1625677962702</v>
      </c>
      <c r="AP1601" s="2">
        <v>5722.1379367487998</v>
      </c>
      <c r="AQ1601" s="2">
        <v>4010.0445373943098</v>
      </c>
      <c r="AR1601" s="2">
        <v>16096.6327855664</v>
      </c>
      <c r="AS1601" s="2">
        <v>4885.3758989308899</v>
      </c>
      <c r="AT1601" s="2">
        <v>18218.638109671199</v>
      </c>
      <c r="AU1601" s="2">
        <v>7653.6488633843401</v>
      </c>
      <c r="AV1601" s="2">
        <v>12392.879839213199</v>
      </c>
      <c r="AW1601" s="2">
        <v>33614.6493262449</v>
      </c>
      <c r="AX1601" s="2">
        <v>5362.7116357798204</v>
      </c>
    </row>
    <row r="1602" spans="1:50" x14ac:dyDescent="0.25">
      <c r="A1602" s="2" t="s">
        <v>10968</v>
      </c>
      <c r="B1602" s="2">
        <v>338.3426822266</v>
      </c>
      <c r="C1602" s="2">
        <v>14.667066666666701</v>
      </c>
      <c r="D1602" s="2" t="s">
        <v>51</v>
      </c>
      <c r="E1602" s="2" t="s">
        <v>10969</v>
      </c>
      <c r="F1602" s="2">
        <v>267240</v>
      </c>
      <c r="G1602" s="3" t="str">
        <f>HYPERLINK("https://cloud.oebiotech.com/#/lm/network/267240", "https://cloud.oebiotech.com/#/lm/network/267240")</f>
        <v>https://cloud.oebiotech.com/#/lm/network/267240</v>
      </c>
      <c r="H1602" s="2"/>
      <c r="I1602" s="2">
        <v>45078</v>
      </c>
      <c r="J1602" s="2"/>
      <c r="K1602" s="2">
        <v>53432240</v>
      </c>
      <c r="L1602" s="2"/>
      <c r="M1602" s="2"/>
      <c r="N1602" s="2"/>
      <c r="O1602" s="2"/>
      <c r="P1602" s="2"/>
      <c r="Q1602" s="2"/>
      <c r="R1602" s="2" t="s">
        <v>10970</v>
      </c>
      <c r="S1602" s="2" t="s">
        <v>10971</v>
      </c>
      <c r="T1602" s="2" t="s">
        <v>10972</v>
      </c>
      <c r="U1602" s="2" t="s">
        <v>331</v>
      </c>
      <c r="V1602" s="2" t="s">
        <v>332</v>
      </c>
      <c r="W1602" s="2" t="s">
        <v>1207</v>
      </c>
      <c r="X1602" s="2" t="s">
        <v>147</v>
      </c>
      <c r="Y1602" s="2">
        <v>38.4</v>
      </c>
      <c r="Z1602" s="2">
        <v>0.441</v>
      </c>
      <c r="AA1602" s="2" t="s">
        <v>259</v>
      </c>
      <c r="AB1602" s="2" t="s">
        <v>10973</v>
      </c>
      <c r="AC1602" s="2">
        <v>2.78889745272425</v>
      </c>
      <c r="AD1602" s="2"/>
      <c r="AE1602" s="2">
        <v>0.40603993432184698</v>
      </c>
      <c r="AF1602" s="2">
        <v>5514.1900537466499</v>
      </c>
      <c r="AG1602" s="2">
        <v>9301.9504364324202</v>
      </c>
      <c r="AH1602" s="4">
        <v>0.59279933723894396</v>
      </c>
      <c r="AI1602" s="4">
        <v>-0.75438426020350602</v>
      </c>
      <c r="AJ1602" s="4" t="s">
        <v>62</v>
      </c>
      <c r="AK1602" s="2">
        <v>3.2472059735106001E-2</v>
      </c>
      <c r="AL1602" s="2">
        <v>0.26650967218830601</v>
      </c>
      <c r="AM1602" s="2">
        <v>2221.9219369664702</v>
      </c>
      <c r="AN1602" s="2">
        <v>4657.94627934446</v>
      </c>
      <c r="AO1602" s="2">
        <v>7017.5386491815398</v>
      </c>
      <c r="AP1602" s="2">
        <v>5226.9703954030601</v>
      </c>
      <c r="AQ1602" s="2">
        <v>8041.5388244026599</v>
      </c>
      <c r="AR1602" s="2">
        <v>5919.2242371816901</v>
      </c>
      <c r="AS1602" s="2">
        <v>5532.4427632511497</v>
      </c>
      <c r="AT1602" s="2">
        <v>6801.6732348045598</v>
      </c>
      <c r="AU1602" s="2">
        <v>8399.0541981919305</v>
      </c>
      <c r="AV1602" s="2">
        <v>12086.488870413001</v>
      </c>
      <c r="AW1602" s="2">
        <v>9173.7243071606008</v>
      </c>
      <c r="AX1602" s="2">
        <v>13818.3192447733</v>
      </c>
    </row>
    <row r="1603" spans="1:50" x14ac:dyDescent="0.25">
      <c r="A1603" s="2" t="s">
        <v>10974</v>
      </c>
      <c r="B1603" s="2">
        <v>455.26666547213398</v>
      </c>
      <c r="C1603" s="2">
        <v>9.1758500000000005</v>
      </c>
      <c r="D1603" s="2" t="s">
        <v>51</v>
      </c>
      <c r="E1603" s="2" t="s">
        <v>10975</v>
      </c>
      <c r="F1603" s="2">
        <v>209965</v>
      </c>
      <c r="G1603" s="3" t="str">
        <f>HYPERLINK("https://cloud.oebiotech.com/#/lm/network/209965", "https://cloud.oebiotech.com/#/lm/network/209965")</f>
        <v>https://cloud.oebiotech.com/#/lm/network/209965</v>
      </c>
      <c r="H1603" s="2" t="s">
        <v>10976</v>
      </c>
      <c r="I1603" s="2">
        <v>446326</v>
      </c>
      <c r="J1603" s="2"/>
      <c r="K1603" s="2">
        <v>3081927</v>
      </c>
      <c r="L1603" s="2"/>
      <c r="M1603" s="2"/>
      <c r="N1603" s="2"/>
      <c r="O1603" s="2"/>
      <c r="P1603" s="2"/>
      <c r="Q1603" s="2"/>
      <c r="R1603" s="2"/>
      <c r="S1603" s="2" t="s">
        <v>10977</v>
      </c>
      <c r="T1603" s="2" t="s">
        <v>10978</v>
      </c>
      <c r="U1603" s="2" t="s">
        <v>266</v>
      </c>
      <c r="V1603" s="2" t="s">
        <v>445</v>
      </c>
      <c r="W1603" s="2" t="s">
        <v>3768</v>
      </c>
      <c r="X1603" s="2" t="s">
        <v>147</v>
      </c>
      <c r="Y1603" s="2">
        <v>37.799999999999997</v>
      </c>
      <c r="Z1603" s="2">
        <v>0</v>
      </c>
      <c r="AA1603" s="2" t="s">
        <v>395</v>
      </c>
      <c r="AB1603" s="2" t="s">
        <v>10979</v>
      </c>
      <c r="AC1603" s="2">
        <v>-0.926628246294117</v>
      </c>
      <c r="AD1603" s="2"/>
      <c r="AE1603" s="2">
        <v>0.40582437251119302</v>
      </c>
      <c r="AF1603" s="2">
        <v>4891.2009273215599</v>
      </c>
      <c r="AG1603" s="2">
        <v>1173.3856757419001</v>
      </c>
      <c r="AH1603" s="5">
        <v>4.1684511993288202</v>
      </c>
      <c r="AI1603" s="5">
        <v>2.0595114455155001</v>
      </c>
      <c r="AJ1603" s="5" t="s">
        <v>139</v>
      </c>
      <c r="AK1603" s="2">
        <v>1.4823817943128301E-2</v>
      </c>
      <c r="AL1603" s="2">
        <v>0.19385243860870599</v>
      </c>
      <c r="AM1603" s="2">
        <v>4519.5429672524597</v>
      </c>
      <c r="AN1603" s="2">
        <v>8369.6517702145102</v>
      </c>
      <c r="AO1603" s="2">
        <v>4662.8670071260603</v>
      </c>
      <c r="AP1603" s="2">
        <v>5285.5431612929697</v>
      </c>
      <c r="AQ1603" s="2">
        <v>6137.2745100287102</v>
      </c>
      <c r="AR1603" s="2">
        <v>372.32614801467901</v>
      </c>
      <c r="AS1603" s="2">
        <v>270.844397692651</v>
      </c>
      <c r="AT1603" s="2">
        <v>4358.5468766579097</v>
      </c>
      <c r="AU1603" s="2">
        <v>200.84415723306199</v>
      </c>
      <c r="AV1603" s="2">
        <v>709.56928225342597</v>
      </c>
      <c r="AW1603" s="2">
        <v>8.559877937157E-6</v>
      </c>
      <c r="AX1603" s="2">
        <v>1500.5093320544499</v>
      </c>
    </row>
    <row r="1604" spans="1:50" x14ac:dyDescent="0.25">
      <c r="A1604" s="2" t="s">
        <v>10980</v>
      </c>
      <c r="B1604" s="2">
        <v>565.447666357814</v>
      </c>
      <c r="C1604" s="2">
        <v>13.510733333333301</v>
      </c>
      <c r="D1604" s="2" t="s">
        <v>51</v>
      </c>
      <c r="E1604" s="2" t="s">
        <v>10981</v>
      </c>
      <c r="F1604" s="2">
        <v>251728</v>
      </c>
      <c r="G1604" s="3" t="str">
        <f>HYPERLINK("https://cloud.oebiotech.com/#/lm/network/251728", "https://cloud.oebiotech.com/#/lm/network/251728")</f>
        <v>https://cloud.oebiotech.com/#/lm/network/251728</v>
      </c>
      <c r="H1604" s="2" t="s">
        <v>10982</v>
      </c>
      <c r="I1604" s="2"/>
      <c r="J1604" s="2"/>
      <c r="K1604" s="2"/>
      <c r="L1604" s="2"/>
      <c r="M1604" s="2"/>
      <c r="N1604" s="2"/>
      <c r="O1604" s="2"/>
      <c r="P1604" s="2"/>
      <c r="Q1604" s="2"/>
      <c r="R1604" s="2"/>
      <c r="S1604" s="2" t="s">
        <v>10983</v>
      </c>
      <c r="T1604" s="2" t="s">
        <v>10984</v>
      </c>
      <c r="U1604" s="2" t="s">
        <v>56</v>
      </c>
      <c r="V1604" s="2" t="s">
        <v>3215</v>
      </c>
      <c r="W1604" s="2" t="s">
        <v>3216</v>
      </c>
      <c r="X1604" s="2" t="s">
        <v>83</v>
      </c>
      <c r="Y1604" s="2">
        <v>49.1</v>
      </c>
      <c r="Z1604" s="2">
        <v>0</v>
      </c>
      <c r="AA1604" s="2" t="s">
        <v>163</v>
      </c>
      <c r="AB1604" s="2" t="s">
        <v>10985</v>
      </c>
      <c r="AC1604" s="2">
        <v>0.53505451816001703</v>
      </c>
      <c r="AD1604" s="2"/>
      <c r="AE1604" s="2">
        <v>0.40537817353350503</v>
      </c>
      <c r="AF1604" s="2">
        <v>34078.613580236597</v>
      </c>
      <c r="AG1604" s="2">
        <v>22368.493122591401</v>
      </c>
      <c r="AH1604" s="5">
        <v>1.52350958079596</v>
      </c>
      <c r="AI1604" s="5">
        <v>0.60739857263572705</v>
      </c>
      <c r="AJ1604" s="5" t="s">
        <v>139</v>
      </c>
      <c r="AK1604" s="2">
        <v>0.30451554798721803</v>
      </c>
      <c r="AL1604" s="2">
        <v>0.61409945937503796</v>
      </c>
      <c r="AM1604" s="2">
        <v>8409.3928189054805</v>
      </c>
      <c r="AN1604" s="2">
        <v>25618.587431436401</v>
      </c>
      <c r="AO1604" s="2">
        <v>56326.404954111204</v>
      </c>
      <c r="AP1604" s="2">
        <v>38264.837660799501</v>
      </c>
      <c r="AQ1604" s="2">
        <v>64158.656677755302</v>
      </c>
      <c r="AR1604" s="2">
        <v>11693.8019384117</v>
      </c>
      <c r="AS1604" s="2">
        <v>8879.3250441318596</v>
      </c>
      <c r="AT1604" s="2">
        <v>38766.620226573301</v>
      </c>
      <c r="AU1604" s="2">
        <v>12298.597686122799</v>
      </c>
      <c r="AV1604" s="2">
        <v>11581.857443687901</v>
      </c>
      <c r="AW1604" s="2">
        <v>35420.226789153399</v>
      </c>
      <c r="AX1604" s="2">
        <v>27264.3315458793</v>
      </c>
    </row>
    <row r="1605" spans="1:50" x14ac:dyDescent="0.25">
      <c r="A1605" s="2" t="s">
        <v>10986</v>
      </c>
      <c r="B1605" s="2">
        <v>296.29571426452702</v>
      </c>
      <c r="C1605" s="2">
        <v>13.932933333333301</v>
      </c>
      <c r="D1605" s="2" t="s">
        <v>51</v>
      </c>
      <c r="E1605" s="2" t="s">
        <v>10987</v>
      </c>
      <c r="F1605" s="2">
        <v>10079</v>
      </c>
      <c r="G1605" s="3" t="str">
        <f>HYPERLINK("https://cloud.oebiotech.com/#/lm/network/10079", "https://cloud.oebiotech.com/#/lm/network/10079")</f>
        <v>https://cloud.oebiotech.com/#/lm/network/10079</v>
      </c>
      <c r="H1605" s="2"/>
      <c r="I1605" s="2">
        <v>98284</v>
      </c>
      <c r="J1605" s="2" t="s">
        <v>10988</v>
      </c>
      <c r="K1605" s="2">
        <v>11196716</v>
      </c>
      <c r="L1605" s="2"/>
      <c r="M1605" s="2"/>
      <c r="N1605" s="2"/>
      <c r="O1605" s="2"/>
      <c r="P1605" s="2"/>
      <c r="Q1605" s="2"/>
      <c r="R1605" s="2"/>
      <c r="S1605" s="2" t="s">
        <v>10989</v>
      </c>
      <c r="T1605" s="2" t="s">
        <v>10990</v>
      </c>
      <c r="U1605" s="2" t="s">
        <v>266</v>
      </c>
      <c r="V1605" s="2" t="s">
        <v>1593</v>
      </c>
      <c r="W1605" s="2" t="s">
        <v>240</v>
      </c>
      <c r="X1605" s="2" t="s">
        <v>147</v>
      </c>
      <c r="Y1605" s="2">
        <v>38.799999999999997</v>
      </c>
      <c r="Z1605" s="2">
        <v>1.27</v>
      </c>
      <c r="AA1605" s="2" t="s">
        <v>512</v>
      </c>
      <c r="AB1605" s="2" t="s">
        <v>10991</v>
      </c>
      <c r="AC1605" s="2">
        <v>3.31711846318071</v>
      </c>
      <c r="AD1605" s="2"/>
      <c r="AE1605" s="2">
        <v>0.40467227151259999</v>
      </c>
      <c r="AF1605" s="2">
        <v>21218.101298659101</v>
      </c>
      <c r="AG1605" s="2">
        <v>13001.076006147499</v>
      </c>
      <c r="AH1605" s="5">
        <v>1.6320265560039899</v>
      </c>
      <c r="AI1605" s="5">
        <v>0.706664532740513</v>
      </c>
      <c r="AJ1605" s="5" t="s">
        <v>139</v>
      </c>
      <c r="AK1605" s="2">
        <v>0.33134032554385301</v>
      </c>
      <c r="AL1605" s="2">
        <v>0.63329868700696801</v>
      </c>
      <c r="AM1605" s="2">
        <v>29645.131082475</v>
      </c>
      <c r="AN1605" s="2">
        <v>10694.8844667719</v>
      </c>
      <c r="AO1605" s="2">
        <v>27638.810277307799</v>
      </c>
      <c r="AP1605" s="2">
        <v>44928.344498476603</v>
      </c>
      <c r="AQ1605" s="2">
        <v>8619.8352339481607</v>
      </c>
      <c r="AR1605" s="2">
        <v>5781.6022329753396</v>
      </c>
      <c r="AS1605" s="2">
        <v>2919.4387351413002</v>
      </c>
      <c r="AT1605" s="2">
        <v>7017.4976992277998</v>
      </c>
      <c r="AU1605" s="2">
        <v>35710.099691593598</v>
      </c>
      <c r="AV1605" s="2">
        <v>17549.322043716598</v>
      </c>
      <c r="AW1605" s="2">
        <v>10917.7551464845</v>
      </c>
      <c r="AX1605" s="2">
        <v>3892.3427207214399</v>
      </c>
    </row>
    <row r="1606" spans="1:50" x14ac:dyDescent="0.25">
      <c r="A1606" s="2" t="s">
        <v>10992</v>
      </c>
      <c r="B1606" s="2">
        <v>293.17590487906398</v>
      </c>
      <c r="C1606" s="2">
        <v>9.6639666666666706</v>
      </c>
      <c r="D1606" s="2" t="s">
        <v>51</v>
      </c>
      <c r="E1606" s="2" t="s">
        <v>10993</v>
      </c>
      <c r="F1606" s="2">
        <v>2532</v>
      </c>
      <c r="G1606" s="3" t="str">
        <f>HYPERLINK("https://cloud.oebiotech.com/#/lm/network/2532", "https://cloud.oebiotech.com/#/lm/network/2532")</f>
        <v>https://cloud.oebiotech.com/#/lm/network/2532</v>
      </c>
      <c r="H1606" s="2"/>
      <c r="I1606" s="2">
        <v>45892</v>
      </c>
      <c r="J1606" s="2" t="s">
        <v>10994</v>
      </c>
      <c r="K1606" s="2">
        <v>42607291</v>
      </c>
      <c r="L1606" s="2"/>
      <c r="M1606" s="2"/>
      <c r="N1606" s="2"/>
      <c r="O1606" s="2"/>
      <c r="P1606" s="2"/>
      <c r="Q1606" s="2"/>
      <c r="R1606" s="2"/>
      <c r="S1606" s="2" t="s">
        <v>10995</v>
      </c>
      <c r="T1606" s="2" t="s">
        <v>10996</v>
      </c>
      <c r="U1606" s="2" t="s">
        <v>56</v>
      </c>
      <c r="V1606" s="2" t="s">
        <v>145</v>
      </c>
      <c r="W1606" s="2" t="s">
        <v>231</v>
      </c>
      <c r="X1606" s="2" t="s">
        <v>69</v>
      </c>
      <c r="Y1606" s="2">
        <v>52.7</v>
      </c>
      <c r="Z1606" s="2">
        <v>52.6</v>
      </c>
      <c r="AA1606" s="2" t="s">
        <v>218</v>
      </c>
      <c r="AB1606" s="2" t="s">
        <v>10997</v>
      </c>
      <c r="AC1606" s="2">
        <v>0.29011585126893802</v>
      </c>
      <c r="AD1606" s="2"/>
      <c r="AE1606" s="2">
        <v>0.40465864159084203</v>
      </c>
      <c r="AF1606" s="2">
        <v>29233.059628607301</v>
      </c>
      <c r="AG1606" s="2">
        <v>33292.242980891999</v>
      </c>
      <c r="AH1606" s="4">
        <v>0.87807420020890603</v>
      </c>
      <c r="AI1606" s="4">
        <v>-0.187585237415652</v>
      </c>
      <c r="AJ1606" s="4" t="s">
        <v>62</v>
      </c>
      <c r="AK1606" s="2">
        <v>3.5317448442604503E-2</v>
      </c>
      <c r="AL1606" s="2">
        <v>0.27355205673594801</v>
      </c>
      <c r="AM1606" s="2">
        <v>24740.068575396199</v>
      </c>
      <c r="AN1606" s="2">
        <v>29926.666736862</v>
      </c>
      <c r="AO1606" s="2">
        <v>32360.840560066699</v>
      </c>
      <c r="AP1606" s="2">
        <v>29646.4392961958</v>
      </c>
      <c r="AQ1606" s="2">
        <v>32399.422177699202</v>
      </c>
      <c r="AR1606" s="2">
        <v>26324.920425423999</v>
      </c>
      <c r="AS1606" s="2">
        <v>36274.453961305597</v>
      </c>
      <c r="AT1606" s="2">
        <v>34999.292249888502</v>
      </c>
      <c r="AU1606" s="2">
        <v>29402.197296722599</v>
      </c>
      <c r="AV1606" s="2">
        <v>31656.260127453301</v>
      </c>
      <c r="AW1606" s="2">
        <v>32212.447387202501</v>
      </c>
      <c r="AX1606" s="2">
        <v>35208.806862779602</v>
      </c>
    </row>
    <row r="1607" spans="1:50" x14ac:dyDescent="0.25">
      <c r="A1607" s="2" t="s">
        <v>10998</v>
      </c>
      <c r="B1607" s="2">
        <v>230.987776817667</v>
      </c>
      <c r="C1607" s="2">
        <v>6.6691500000000001</v>
      </c>
      <c r="D1607" s="2" t="s">
        <v>51</v>
      </c>
      <c r="E1607" s="2" t="s">
        <v>10999</v>
      </c>
      <c r="F1607" s="2">
        <v>207511</v>
      </c>
      <c r="G1607" s="3" t="str">
        <f>HYPERLINK("https://cloud.oebiotech.com/#/lm/network/207511", "https://cloud.oebiotech.com/#/lm/network/207511")</f>
        <v>https://cloud.oebiotech.com/#/lm/network/207511</v>
      </c>
      <c r="H1607" s="2" t="s">
        <v>11000</v>
      </c>
      <c r="I1607" s="2"/>
      <c r="J1607" s="2"/>
      <c r="K1607" s="2"/>
      <c r="L1607" s="2"/>
      <c r="M1607" s="2"/>
      <c r="N1607" s="2"/>
      <c r="O1607" s="2">
        <v>38589</v>
      </c>
      <c r="P1607" s="2"/>
      <c r="Q1607" s="2"/>
      <c r="R1607" s="2"/>
      <c r="S1607" s="2" t="s">
        <v>11001</v>
      </c>
      <c r="T1607" s="2" t="s">
        <v>11002</v>
      </c>
      <c r="U1607" s="2" t="s">
        <v>610</v>
      </c>
      <c r="V1607" s="2" t="s">
        <v>611</v>
      </c>
      <c r="W1607" s="2" t="s">
        <v>1409</v>
      </c>
      <c r="X1607" s="2" t="s">
        <v>147</v>
      </c>
      <c r="Y1607" s="2">
        <v>41</v>
      </c>
      <c r="Z1607" s="2">
        <v>15.2</v>
      </c>
      <c r="AA1607" s="2" t="s">
        <v>218</v>
      </c>
      <c r="AB1607" s="2" t="s">
        <v>11003</v>
      </c>
      <c r="AC1607" s="2">
        <v>-4.5452466650508203</v>
      </c>
      <c r="AD1607" s="2"/>
      <c r="AE1607" s="2">
        <v>0.40458356958779801</v>
      </c>
      <c r="AF1607" s="2">
        <v>9756.2014527110005</v>
      </c>
      <c r="AG1607" s="2">
        <v>13128.6337944848</v>
      </c>
      <c r="AH1607" s="4">
        <v>0.74312389281583102</v>
      </c>
      <c r="AI1607" s="4">
        <v>-0.42832533950634299</v>
      </c>
      <c r="AJ1607" s="4" t="s">
        <v>62</v>
      </c>
      <c r="AK1607" s="2">
        <v>4.14886817762065E-3</v>
      </c>
      <c r="AL1607" s="2">
        <v>0.116738532561771</v>
      </c>
      <c r="AM1607" s="2">
        <v>8632.9417525341305</v>
      </c>
      <c r="AN1607" s="2">
        <v>8451.9020180683801</v>
      </c>
      <c r="AO1607" s="2">
        <v>11230.9607127702</v>
      </c>
      <c r="AP1607" s="2">
        <v>10976.188072086399</v>
      </c>
      <c r="AQ1607" s="2">
        <v>11221.8194932642</v>
      </c>
      <c r="AR1607" s="2">
        <v>8023.39666754268</v>
      </c>
      <c r="AS1607" s="2">
        <v>13480.322137830401</v>
      </c>
      <c r="AT1607" s="2">
        <v>13440.817632288899</v>
      </c>
      <c r="AU1607" s="2">
        <v>10673.7167843644</v>
      </c>
      <c r="AV1607" s="2">
        <v>12609.603188581799</v>
      </c>
      <c r="AW1607" s="2">
        <v>12862.2185514831</v>
      </c>
      <c r="AX1607" s="2">
        <v>15705.124472359999</v>
      </c>
    </row>
    <row r="1608" spans="1:50" x14ac:dyDescent="0.25">
      <c r="A1608" s="2" t="s">
        <v>11004</v>
      </c>
      <c r="B1608" s="2">
        <v>674.32892637141799</v>
      </c>
      <c r="C1608" s="2">
        <v>9.2343499999999992</v>
      </c>
      <c r="D1608" s="2" t="s">
        <v>51</v>
      </c>
      <c r="E1608" s="2" t="s">
        <v>11005</v>
      </c>
      <c r="F1608" s="2">
        <v>27966</v>
      </c>
      <c r="G1608" s="3" t="str">
        <f>HYPERLINK("https://cloud.oebiotech.com/#/lm/network/27966", "https://cloud.oebiotech.com/#/lm/network/27966")</f>
        <v>https://cloud.oebiotech.com/#/lm/network/27966</v>
      </c>
      <c r="H1608" s="2"/>
      <c r="I1608" s="2"/>
      <c r="J1608" s="2" t="s">
        <v>11006</v>
      </c>
      <c r="K1608" s="2">
        <v>134812413</v>
      </c>
      <c r="L1608" s="2"/>
      <c r="M1608" s="2"/>
      <c r="N1608" s="2"/>
      <c r="O1608" s="2"/>
      <c r="P1608" s="2"/>
      <c r="Q1608" s="2"/>
      <c r="R1608" s="2"/>
      <c r="S1608" s="2" t="s">
        <v>11007</v>
      </c>
      <c r="T1608" s="2" t="s">
        <v>11008</v>
      </c>
      <c r="U1608" s="2" t="s">
        <v>56</v>
      </c>
      <c r="V1608" s="2" t="s">
        <v>57</v>
      </c>
      <c r="W1608" s="2" t="s">
        <v>82</v>
      </c>
      <c r="X1608" s="2" t="s">
        <v>147</v>
      </c>
      <c r="Y1608" s="2">
        <v>37.1</v>
      </c>
      <c r="Z1608" s="2">
        <v>0.99099999999999999</v>
      </c>
      <c r="AA1608" s="2" t="s">
        <v>379</v>
      </c>
      <c r="AB1608" s="2" t="s">
        <v>11009</v>
      </c>
      <c r="AC1608" s="2">
        <v>-3.1153052898012001</v>
      </c>
      <c r="AD1608" s="2"/>
      <c r="AE1608" s="2">
        <v>0.404570765501234</v>
      </c>
      <c r="AF1608" s="2">
        <v>22904.928614861299</v>
      </c>
      <c r="AG1608" s="2">
        <v>17212.376485941</v>
      </c>
      <c r="AH1608" s="5">
        <v>1.3307243560219599</v>
      </c>
      <c r="AI1608" s="5">
        <v>0.412211764800748</v>
      </c>
      <c r="AJ1608" s="5" t="s">
        <v>139</v>
      </c>
      <c r="AK1608" s="2">
        <v>0.487063519954826</v>
      </c>
      <c r="AL1608" s="2">
        <v>0.73041073957358005</v>
      </c>
      <c r="AM1608" s="2">
        <v>51479.245236972398</v>
      </c>
      <c r="AN1608" s="2">
        <v>21538.830689457602</v>
      </c>
      <c r="AO1608" s="2">
        <v>10055.825262546799</v>
      </c>
      <c r="AP1608" s="2">
        <v>16045.238159193599</v>
      </c>
      <c r="AQ1608" s="2">
        <v>15573.6391348302</v>
      </c>
      <c r="AR1608" s="2">
        <v>22736.793206167102</v>
      </c>
      <c r="AS1608" s="2">
        <v>10738.5184825942</v>
      </c>
      <c r="AT1608" s="2">
        <v>5114.34563440077</v>
      </c>
      <c r="AU1608" s="2">
        <v>38911.823668825302</v>
      </c>
      <c r="AV1608" s="2">
        <v>12921.6100113426</v>
      </c>
      <c r="AW1608" s="2">
        <v>10568.247283647799</v>
      </c>
      <c r="AX1608" s="2">
        <v>25019.713834835198</v>
      </c>
    </row>
    <row r="1609" spans="1:50" x14ac:dyDescent="0.25">
      <c r="A1609" s="2" t="s">
        <v>11010</v>
      </c>
      <c r="B1609" s="2">
        <v>389.19614727464699</v>
      </c>
      <c r="C1609" s="2">
        <v>8.7919833333333308</v>
      </c>
      <c r="D1609" s="2" t="s">
        <v>51</v>
      </c>
      <c r="E1609" s="2" t="s">
        <v>11011</v>
      </c>
      <c r="F1609" s="2">
        <v>266671</v>
      </c>
      <c r="G1609" s="3" t="str">
        <f>HYPERLINK("https://cloud.oebiotech.com/#/lm/network/266671", "https://cloud.oebiotech.com/#/lm/network/266671")</f>
        <v>https://cloud.oebiotech.com/#/lm/network/266671</v>
      </c>
      <c r="H1609" s="2"/>
      <c r="I1609" s="2">
        <v>43754</v>
      </c>
      <c r="J1609" s="2"/>
      <c r="K1609" s="2">
        <v>6708642</v>
      </c>
      <c r="L1609" s="2"/>
      <c r="M1609" s="2"/>
      <c r="N1609" s="2"/>
      <c r="O1609" s="2"/>
      <c r="P1609" s="2"/>
      <c r="Q1609" s="2"/>
      <c r="R1609" s="2"/>
      <c r="S1609" s="2" t="s">
        <v>11012</v>
      </c>
      <c r="T1609" s="2" t="s">
        <v>11013</v>
      </c>
      <c r="U1609" s="2" t="s">
        <v>56</v>
      </c>
      <c r="V1609" s="2" t="s">
        <v>177</v>
      </c>
      <c r="W1609" s="2" t="s">
        <v>806</v>
      </c>
      <c r="X1609" s="2" t="s">
        <v>83</v>
      </c>
      <c r="Y1609" s="2">
        <v>39.4</v>
      </c>
      <c r="Z1609" s="2">
        <v>0</v>
      </c>
      <c r="AA1609" s="2" t="s">
        <v>218</v>
      </c>
      <c r="AB1609" s="2" t="s">
        <v>10359</v>
      </c>
      <c r="AC1609" s="2">
        <v>-2.3677353008901401</v>
      </c>
      <c r="AD1609" s="2"/>
      <c r="AE1609" s="2">
        <v>0.40453964815198701</v>
      </c>
      <c r="AF1609" s="2">
        <v>5550.49207868965</v>
      </c>
      <c r="AG1609" s="2">
        <v>2284.7160268661601</v>
      </c>
      <c r="AH1609" s="5">
        <v>2.42940129688809</v>
      </c>
      <c r="AI1609" s="5">
        <v>1.28060081900273</v>
      </c>
      <c r="AJ1609" s="5" t="s">
        <v>139</v>
      </c>
      <c r="AK1609" s="2">
        <v>6.2611087634798998E-4</v>
      </c>
      <c r="AL1609" s="2">
        <v>6.2440111341753798E-2</v>
      </c>
      <c r="AM1609" s="2">
        <v>7127.5449280235898</v>
      </c>
      <c r="AN1609" s="2">
        <v>5644.56364352118</v>
      </c>
      <c r="AO1609" s="2">
        <v>5322.21150747723</v>
      </c>
      <c r="AP1609" s="2">
        <v>6550.1477059398803</v>
      </c>
      <c r="AQ1609" s="2">
        <v>3343.6198811465101</v>
      </c>
      <c r="AR1609" s="2">
        <v>5314.86480602954</v>
      </c>
      <c r="AS1609" s="2">
        <v>3311.9003394747401</v>
      </c>
      <c r="AT1609" s="2">
        <v>1615.5829383995999</v>
      </c>
      <c r="AU1609" s="2">
        <v>3281.03634798646</v>
      </c>
      <c r="AV1609" s="2">
        <v>829.95649451946701</v>
      </c>
      <c r="AW1609" s="2">
        <v>2690.9745242839299</v>
      </c>
      <c r="AX1609" s="2">
        <v>1978.84551653279</v>
      </c>
    </row>
    <row r="1610" spans="1:50" x14ac:dyDescent="0.25">
      <c r="A1610" s="2" t="s">
        <v>11014</v>
      </c>
      <c r="B1610" s="2">
        <v>458.14991333631599</v>
      </c>
      <c r="C1610" s="2">
        <v>4.9764666666666697</v>
      </c>
      <c r="D1610" s="2" t="s">
        <v>51</v>
      </c>
      <c r="E1610" s="2" t="s">
        <v>11015</v>
      </c>
      <c r="F1610" s="2">
        <v>212704</v>
      </c>
      <c r="G1610" s="3" t="str">
        <f>HYPERLINK("https://cloud.oebiotech.com/#/lm/network/212704", "https://cloud.oebiotech.com/#/lm/network/212704")</f>
        <v>https://cloud.oebiotech.com/#/lm/network/212704</v>
      </c>
      <c r="H1610" s="2" t="s">
        <v>11016</v>
      </c>
      <c r="I1610" s="2"/>
      <c r="J1610" s="2"/>
      <c r="K1610" s="2">
        <v>9804966</v>
      </c>
      <c r="L1610" s="2"/>
      <c r="M1610" s="2"/>
      <c r="N1610" s="2"/>
      <c r="O1610" s="2"/>
      <c r="P1610" s="2"/>
      <c r="Q1610" s="2"/>
      <c r="R1610" s="2"/>
      <c r="S1610" s="2" t="s">
        <v>11017</v>
      </c>
      <c r="T1610" s="2" t="s">
        <v>11018</v>
      </c>
      <c r="U1610" s="2" t="s">
        <v>103</v>
      </c>
      <c r="V1610" s="2" t="s">
        <v>104</v>
      </c>
      <c r="W1610" s="2" t="s">
        <v>105</v>
      </c>
      <c r="X1610" s="2" t="s">
        <v>147</v>
      </c>
      <c r="Y1610" s="2">
        <v>38.6</v>
      </c>
      <c r="Z1610" s="2">
        <v>8.34</v>
      </c>
      <c r="AA1610" s="2" t="s">
        <v>156</v>
      </c>
      <c r="AB1610" s="2" t="s">
        <v>11019</v>
      </c>
      <c r="AC1610" s="2">
        <v>1.3617588704344199</v>
      </c>
      <c r="AD1610" s="2"/>
      <c r="AE1610" s="2">
        <v>0.40450107926274997</v>
      </c>
      <c r="AF1610" s="2">
        <v>526.54022604611896</v>
      </c>
      <c r="AG1610" s="2">
        <v>5961.5168762308604</v>
      </c>
      <c r="AH1610" s="4">
        <v>8.8323196424300102E-2</v>
      </c>
      <c r="AI1610" s="4">
        <v>-3.5010638054525698</v>
      </c>
      <c r="AJ1610" s="4" t="s">
        <v>62</v>
      </c>
      <c r="AK1610" s="2">
        <v>8.7785667119476704E-2</v>
      </c>
      <c r="AL1610" s="2">
        <v>0.38035924608661198</v>
      </c>
      <c r="AM1610" s="2">
        <v>1639.45297967535</v>
      </c>
      <c r="AN1610" s="2">
        <v>226.113294190158</v>
      </c>
      <c r="AO1610" s="2">
        <v>235.18368446672901</v>
      </c>
      <c r="AP1610" s="2">
        <v>8.559877937157E-6</v>
      </c>
      <c r="AQ1610" s="2">
        <v>187.55304400324599</v>
      </c>
      <c r="AR1610" s="2">
        <v>870.93834538135104</v>
      </c>
      <c r="AS1610" s="2">
        <v>8.559877937157E-6</v>
      </c>
      <c r="AT1610" s="2">
        <v>3446.9493310297498</v>
      </c>
      <c r="AU1610" s="2">
        <v>5352.8413937504902</v>
      </c>
      <c r="AV1610" s="2">
        <v>5982.8695165209501</v>
      </c>
      <c r="AW1610" s="2">
        <v>19502.9335438954</v>
      </c>
      <c r="AX1610" s="2">
        <v>1483.50746362872</v>
      </c>
    </row>
    <row r="1611" spans="1:50" x14ac:dyDescent="0.25">
      <c r="A1611" s="2" t="s">
        <v>11020</v>
      </c>
      <c r="B1611" s="2">
        <v>572.37020367773903</v>
      </c>
      <c r="C1611" s="2">
        <v>13.30415</v>
      </c>
      <c r="D1611" s="2" t="s">
        <v>51</v>
      </c>
      <c r="E1611" s="2" t="s">
        <v>11021</v>
      </c>
      <c r="F1611" s="2">
        <v>19694</v>
      </c>
      <c r="G1611" s="3" t="str">
        <f>HYPERLINK("https://cloud.oebiotech.com/#/lm/network/19694", "https://cloud.oebiotech.com/#/lm/network/19694")</f>
        <v>https://cloud.oebiotech.com/#/lm/network/19694</v>
      </c>
      <c r="H1611" s="2"/>
      <c r="I1611" s="2">
        <v>40176</v>
      </c>
      <c r="J1611" s="2" t="s">
        <v>11022</v>
      </c>
      <c r="K1611" s="2">
        <v>24779389</v>
      </c>
      <c r="L1611" s="2"/>
      <c r="M1611" s="2"/>
      <c r="N1611" s="2"/>
      <c r="O1611" s="2"/>
      <c r="P1611" s="2"/>
      <c r="Q1611" s="2"/>
      <c r="R1611" s="2"/>
      <c r="S1611" s="2" t="s">
        <v>11023</v>
      </c>
      <c r="T1611" s="2" t="s">
        <v>11024</v>
      </c>
      <c r="U1611" s="2" t="s">
        <v>56</v>
      </c>
      <c r="V1611" s="2" t="s">
        <v>57</v>
      </c>
      <c r="W1611" s="2" t="s">
        <v>58</v>
      </c>
      <c r="X1611" s="2" t="s">
        <v>59</v>
      </c>
      <c r="Y1611" s="2">
        <v>56.5</v>
      </c>
      <c r="Z1611" s="2">
        <v>93.6</v>
      </c>
      <c r="AA1611" s="2" t="s">
        <v>95</v>
      </c>
      <c r="AB1611" s="2" t="s">
        <v>3131</v>
      </c>
      <c r="AC1611" s="2">
        <v>2.8090423259009101</v>
      </c>
      <c r="AD1611" s="2"/>
      <c r="AE1611" s="2">
        <v>0.40449391746063701</v>
      </c>
      <c r="AF1611" s="2">
        <v>83872.877328731993</v>
      </c>
      <c r="AG1611" s="2">
        <v>77041.853366815296</v>
      </c>
      <c r="AH1611" s="5">
        <v>1.0886664022657</v>
      </c>
      <c r="AI1611" s="5">
        <v>0.122561939795705</v>
      </c>
      <c r="AJ1611" s="5" t="s">
        <v>139</v>
      </c>
      <c r="AK1611" s="2">
        <v>0.84205831170441803</v>
      </c>
      <c r="AL1611" s="2">
        <v>0.93008474941915098</v>
      </c>
      <c r="AM1611" s="2">
        <v>186149.78074458599</v>
      </c>
      <c r="AN1611" s="2">
        <v>97651.302125349903</v>
      </c>
      <c r="AO1611" s="2">
        <v>96340.076554531304</v>
      </c>
      <c r="AP1611" s="2">
        <v>59681.298264667603</v>
      </c>
      <c r="AQ1611" s="2">
        <v>38514.056165260197</v>
      </c>
      <c r="AR1611" s="2">
        <v>24900.7501179971</v>
      </c>
      <c r="AS1611" s="2">
        <v>15322.242527438</v>
      </c>
      <c r="AT1611" s="2">
        <v>10852.2293785237</v>
      </c>
      <c r="AU1611" s="2">
        <v>138701.70510745299</v>
      </c>
      <c r="AV1611" s="2">
        <v>103902.958776994</v>
      </c>
      <c r="AW1611" s="2">
        <v>135820.96625407899</v>
      </c>
      <c r="AX1611" s="2">
        <v>57651.018156404003</v>
      </c>
    </row>
    <row r="1612" spans="1:50" x14ac:dyDescent="0.25">
      <c r="A1612" s="2" t="s">
        <v>11025</v>
      </c>
      <c r="B1612" s="2">
        <v>366.27969474198397</v>
      </c>
      <c r="C1612" s="2">
        <v>9.21756666666667</v>
      </c>
      <c r="D1612" s="2" t="s">
        <v>51</v>
      </c>
      <c r="E1612" s="2" t="s">
        <v>11026</v>
      </c>
      <c r="F1612" s="2">
        <v>8887</v>
      </c>
      <c r="G1612" s="3" t="str">
        <f>HYPERLINK("https://cloud.oebiotech.com/#/lm/network/8887", "https://cloud.oebiotech.com/#/lm/network/8887")</f>
        <v>https://cloud.oebiotech.com/#/lm/network/8887</v>
      </c>
      <c r="H1612" s="2"/>
      <c r="I1612" s="2"/>
      <c r="J1612" s="2" t="s">
        <v>11027</v>
      </c>
      <c r="K1612" s="2">
        <v>21579712</v>
      </c>
      <c r="L1612" s="2"/>
      <c r="M1612" s="2"/>
      <c r="N1612" s="2"/>
      <c r="O1612" s="2"/>
      <c r="P1612" s="2"/>
      <c r="Q1612" s="2"/>
      <c r="R1612" s="2"/>
      <c r="S1612" s="2" t="s">
        <v>11028</v>
      </c>
      <c r="T1612" s="2" t="s">
        <v>11029</v>
      </c>
      <c r="U1612" s="2" t="s">
        <v>56</v>
      </c>
      <c r="V1612" s="2" t="s">
        <v>145</v>
      </c>
      <c r="W1612" s="2" t="s">
        <v>1617</v>
      </c>
      <c r="X1612" s="2" t="s">
        <v>147</v>
      </c>
      <c r="Y1612" s="2">
        <v>38.200000000000003</v>
      </c>
      <c r="Z1612" s="2">
        <v>1.34</v>
      </c>
      <c r="AA1612" s="2" t="s">
        <v>156</v>
      </c>
      <c r="AB1612" s="2" t="s">
        <v>11030</v>
      </c>
      <c r="AC1612" s="2">
        <v>1.4442651990881701</v>
      </c>
      <c r="AD1612" s="2"/>
      <c r="AE1612" s="2">
        <v>0.40386835986758701</v>
      </c>
      <c r="AF1612" s="2">
        <v>1245.50956426782</v>
      </c>
      <c r="AG1612" s="2">
        <v>9145.2410805149502</v>
      </c>
      <c r="AH1612" s="4">
        <v>0.136192097431037</v>
      </c>
      <c r="AI1612" s="4">
        <v>-2.87628510172694</v>
      </c>
      <c r="AJ1612" s="4" t="s">
        <v>62</v>
      </c>
      <c r="AK1612" s="2">
        <v>0.32433170090845398</v>
      </c>
      <c r="AL1612" s="2">
        <v>0.62992073899545697</v>
      </c>
      <c r="AM1612" s="2">
        <v>134.922281369036</v>
      </c>
      <c r="AN1612" s="2">
        <v>160.598820505417</v>
      </c>
      <c r="AO1612" s="2">
        <v>698.46524119306798</v>
      </c>
      <c r="AP1612" s="2">
        <v>3522.4768811553699</v>
      </c>
      <c r="AQ1612" s="2">
        <v>2813.9860713160901</v>
      </c>
      <c r="AR1612" s="2">
        <v>142.60809006791999</v>
      </c>
      <c r="AS1612" s="2">
        <v>2681.2760341831399</v>
      </c>
      <c r="AT1612" s="2">
        <v>2866.0364431039602</v>
      </c>
      <c r="AU1612" s="2">
        <v>1970.14515925259</v>
      </c>
      <c r="AV1612" s="2">
        <v>149.90757809748999</v>
      </c>
      <c r="AW1612" s="2">
        <v>159.847058476238</v>
      </c>
      <c r="AX1612" s="2">
        <v>47044.234209976297</v>
      </c>
    </row>
    <row r="1613" spans="1:50" x14ac:dyDescent="0.25">
      <c r="A1613" s="2" t="s">
        <v>11031</v>
      </c>
      <c r="B1613" s="2">
        <v>277.06696970346098</v>
      </c>
      <c r="C1613" s="2">
        <v>5.2225333333333301</v>
      </c>
      <c r="D1613" s="2" t="s">
        <v>51</v>
      </c>
      <c r="E1613" s="2" t="s">
        <v>11032</v>
      </c>
      <c r="F1613" s="2">
        <v>208087</v>
      </c>
      <c r="G1613" s="3" t="str">
        <f>HYPERLINK("https://cloud.oebiotech.com/#/lm/network/208087", "https://cloud.oebiotech.com/#/lm/network/208087")</f>
        <v>https://cloud.oebiotech.com/#/lm/network/208087</v>
      </c>
      <c r="H1613" s="2" t="s">
        <v>11033</v>
      </c>
      <c r="I1613" s="2"/>
      <c r="J1613" s="2"/>
      <c r="K1613" s="2">
        <v>3829</v>
      </c>
      <c r="L1613" s="2"/>
      <c r="M1613" s="2"/>
      <c r="N1613" s="2"/>
      <c r="O1613" s="2"/>
      <c r="P1613" s="2"/>
      <c r="Q1613" s="2"/>
      <c r="R1613" s="2"/>
      <c r="S1613" s="2" t="s">
        <v>11034</v>
      </c>
      <c r="T1613" s="2" t="s">
        <v>11035</v>
      </c>
      <c r="U1613" s="2" t="s">
        <v>103</v>
      </c>
      <c r="V1613" s="2" t="s">
        <v>104</v>
      </c>
      <c r="W1613" s="2" t="s">
        <v>105</v>
      </c>
      <c r="X1613" s="2" t="s">
        <v>147</v>
      </c>
      <c r="Y1613" s="2">
        <v>40</v>
      </c>
      <c r="Z1613" s="2">
        <v>4.96</v>
      </c>
      <c r="AA1613" s="2" t="s">
        <v>218</v>
      </c>
      <c r="AB1613" s="2" t="s">
        <v>11036</v>
      </c>
      <c r="AC1613" s="2">
        <v>-3.3148613645018399</v>
      </c>
      <c r="AD1613" s="2"/>
      <c r="AE1613" s="2">
        <v>0.40355022691256098</v>
      </c>
      <c r="AF1613" s="2">
        <v>21100.808312695</v>
      </c>
      <c r="AG1613" s="2">
        <v>15705.055124427699</v>
      </c>
      <c r="AH1613" s="5">
        <v>1.34356792418224</v>
      </c>
      <c r="AI1613" s="5">
        <v>0.42606925875620599</v>
      </c>
      <c r="AJ1613" s="5" t="s">
        <v>139</v>
      </c>
      <c r="AK1613" s="2">
        <v>0.19566081380167499</v>
      </c>
      <c r="AL1613" s="2">
        <v>0.51964149120632097</v>
      </c>
      <c r="AM1613" s="2">
        <v>18501.627386115699</v>
      </c>
      <c r="AN1613" s="2">
        <v>26496.012339455501</v>
      </c>
      <c r="AO1613" s="2">
        <v>31166.200151349502</v>
      </c>
      <c r="AP1613" s="2">
        <v>12398.8807890311</v>
      </c>
      <c r="AQ1613" s="2">
        <v>19894.125463834</v>
      </c>
      <c r="AR1613" s="2">
        <v>18148.003746384398</v>
      </c>
      <c r="AS1613" s="2">
        <v>20257.766368429799</v>
      </c>
      <c r="AT1613" s="2">
        <v>10204.500421173099</v>
      </c>
      <c r="AU1613" s="2">
        <v>24584.001593359699</v>
      </c>
      <c r="AV1613" s="2">
        <v>9271.8113717993801</v>
      </c>
      <c r="AW1613" s="2">
        <v>9533.9480394802104</v>
      </c>
      <c r="AX1613" s="2">
        <v>20378.302952324299</v>
      </c>
    </row>
    <row r="1614" spans="1:50" x14ac:dyDescent="0.25">
      <c r="A1614" s="2" t="s">
        <v>11037</v>
      </c>
      <c r="B1614" s="2">
        <v>245.048782435211</v>
      </c>
      <c r="C1614" s="2">
        <v>5.5183</v>
      </c>
      <c r="D1614" s="2" t="s">
        <v>51</v>
      </c>
      <c r="E1614" s="2" t="s">
        <v>11038</v>
      </c>
      <c r="F1614" s="2">
        <v>208111</v>
      </c>
      <c r="G1614" s="3" t="str">
        <f>HYPERLINK("https://cloud.oebiotech.com/#/lm/network/208111", "https://cloud.oebiotech.com/#/lm/network/208111")</f>
        <v>https://cloud.oebiotech.com/#/lm/network/208111</v>
      </c>
      <c r="H1614" s="2" t="s">
        <v>11039</v>
      </c>
      <c r="I1614" s="2"/>
      <c r="J1614" s="2"/>
      <c r="K1614" s="2">
        <v>366729</v>
      </c>
      <c r="L1614" s="2"/>
      <c r="M1614" s="2"/>
      <c r="N1614" s="2"/>
      <c r="O1614" s="2"/>
      <c r="P1614" s="2"/>
      <c r="Q1614" s="2"/>
      <c r="R1614" s="2"/>
      <c r="S1614" s="2" t="s">
        <v>11040</v>
      </c>
      <c r="T1614" s="2" t="s">
        <v>11041</v>
      </c>
      <c r="U1614" s="2" t="s">
        <v>119</v>
      </c>
      <c r="V1614" s="2" t="s">
        <v>120</v>
      </c>
      <c r="W1614" s="2" t="s">
        <v>1887</v>
      </c>
      <c r="X1614" s="2" t="s">
        <v>147</v>
      </c>
      <c r="Y1614" s="2">
        <v>38.799999999999997</v>
      </c>
      <c r="Z1614" s="2">
        <v>0</v>
      </c>
      <c r="AA1614" s="2" t="s">
        <v>379</v>
      </c>
      <c r="AB1614" s="2" t="s">
        <v>11042</v>
      </c>
      <c r="AC1614" s="2">
        <v>-1.46819902639894</v>
      </c>
      <c r="AD1614" s="2"/>
      <c r="AE1614" s="2">
        <v>0.40312048693004998</v>
      </c>
      <c r="AF1614" s="2">
        <v>10500.628356811399</v>
      </c>
      <c r="AG1614" s="2">
        <v>17245.222910617998</v>
      </c>
      <c r="AH1614" s="4">
        <v>0.60890070318233303</v>
      </c>
      <c r="AI1614" s="4">
        <v>-0.71572111586328402</v>
      </c>
      <c r="AJ1614" s="4" t="s">
        <v>62</v>
      </c>
      <c r="AK1614" s="2">
        <v>0.47287776787178198</v>
      </c>
      <c r="AL1614" s="2">
        <v>0.71931214651672304</v>
      </c>
      <c r="AM1614" s="2">
        <v>24.931179145033202</v>
      </c>
      <c r="AN1614" s="2">
        <v>21205.155547320399</v>
      </c>
      <c r="AO1614" s="2">
        <v>9358.1214259167391</v>
      </c>
      <c r="AP1614" s="2">
        <v>22763.498663085898</v>
      </c>
      <c r="AQ1614" s="2">
        <v>3.72905663807013</v>
      </c>
      <c r="AR1614" s="2">
        <v>9648.3342687621298</v>
      </c>
      <c r="AS1614" s="2">
        <v>8578.3357013061304</v>
      </c>
      <c r="AT1614" s="2">
        <v>9364.4810638608305</v>
      </c>
      <c r="AU1614" s="2">
        <v>5492.3549554676601</v>
      </c>
      <c r="AV1614" s="2">
        <v>53375.800447776302</v>
      </c>
      <c r="AW1614" s="2">
        <v>26639.710444526499</v>
      </c>
      <c r="AX1614" s="2">
        <v>20.654850770513399</v>
      </c>
    </row>
    <row r="1615" spans="1:50" x14ac:dyDescent="0.25">
      <c r="A1615" s="2" t="s">
        <v>11043</v>
      </c>
      <c r="B1615" s="2">
        <v>331.20431001489402</v>
      </c>
      <c r="C1615" s="2">
        <v>10.644133333333301</v>
      </c>
      <c r="D1615" s="2" t="s">
        <v>51</v>
      </c>
      <c r="E1615" s="2" t="s">
        <v>11044</v>
      </c>
      <c r="F1615" s="2">
        <v>8920</v>
      </c>
      <c r="G1615" s="3" t="str">
        <f>HYPERLINK("https://cloud.oebiotech.com/#/lm/network/8920", "https://cloud.oebiotech.com/#/lm/network/8920")</f>
        <v>https://cloud.oebiotech.com/#/lm/network/8920</v>
      </c>
      <c r="H1615" s="2"/>
      <c r="I1615" s="2"/>
      <c r="J1615" s="2" t="s">
        <v>11045</v>
      </c>
      <c r="K1615" s="2">
        <v>127050172</v>
      </c>
      <c r="L1615" s="2"/>
      <c r="M1615" s="2"/>
      <c r="N1615" s="2"/>
      <c r="O1615" s="2"/>
      <c r="P1615" s="2"/>
      <c r="Q1615" s="2"/>
      <c r="R1615" s="2"/>
      <c r="S1615" s="2" t="s">
        <v>11046</v>
      </c>
      <c r="T1615" s="2" t="s">
        <v>11047</v>
      </c>
      <c r="U1615" s="2" t="s">
        <v>103</v>
      </c>
      <c r="V1615" s="2" t="s">
        <v>104</v>
      </c>
      <c r="W1615" s="2" t="s">
        <v>105</v>
      </c>
      <c r="X1615" s="2" t="s">
        <v>147</v>
      </c>
      <c r="Y1615" s="2">
        <v>37.700000000000003</v>
      </c>
      <c r="Z1615" s="2">
        <v>1.04</v>
      </c>
      <c r="AA1615" s="2" t="s">
        <v>163</v>
      </c>
      <c r="AB1615" s="2" t="s">
        <v>11048</v>
      </c>
      <c r="AC1615" s="2">
        <v>4.7972086576525097</v>
      </c>
      <c r="AD1615" s="2"/>
      <c r="AE1615" s="2">
        <v>0.40304293386093898</v>
      </c>
      <c r="AF1615" s="2">
        <v>16470.885809000301</v>
      </c>
      <c r="AG1615" s="2">
        <v>11672.078362219199</v>
      </c>
      <c r="AH1615" s="5">
        <v>1.4111356433584501</v>
      </c>
      <c r="AI1615" s="5">
        <v>0.496856671560233</v>
      </c>
      <c r="AJ1615" s="5" t="s">
        <v>139</v>
      </c>
      <c r="AK1615" s="2">
        <v>0.12482191701713299</v>
      </c>
      <c r="AL1615" s="2">
        <v>0.44206731734385901</v>
      </c>
      <c r="AM1615" s="2">
        <v>13751.945469171</v>
      </c>
      <c r="AN1615" s="2">
        <v>19925.315192881098</v>
      </c>
      <c r="AO1615" s="2">
        <v>20250.236315269201</v>
      </c>
      <c r="AP1615" s="2">
        <v>8334.2734888724099</v>
      </c>
      <c r="AQ1615" s="2">
        <v>18267.956806046801</v>
      </c>
      <c r="AR1615" s="2">
        <v>18295.5875817614</v>
      </c>
      <c r="AS1615" s="2">
        <v>10146.076992369501</v>
      </c>
      <c r="AT1615" s="2">
        <v>7922.8771124181703</v>
      </c>
      <c r="AU1615" s="2">
        <v>22184.378346038</v>
      </c>
      <c r="AV1615" s="2">
        <v>10882.0414489833</v>
      </c>
      <c r="AW1615" s="2">
        <v>8356.3377015341393</v>
      </c>
      <c r="AX1615" s="2">
        <v>10540.758571971801</v>
      </c>
    </row>
    <row r="1616" spans="1:50" x14ac:dyDescent="0.25">
      <c r="A1616" s="2" t="s">
        <v>11049</v>
      </c>
      <c r="B1616" s="2">
        <v>371.19952782339101</v>
      </c>
      <c r="C1616" s="2">
        <v>9.8903166666666706</v>
      </c>
      <c r="D1616" s="2" t="s">
        <v>51</v>
      </c>
      <c r="E1616" s="2" t="s">
        <v>11050</v>
      </c>
      <c r="F1616" s="2">
        <v>205991</v>
      </c>
      <c r="G1616" s="3" t="str">
        <f>HYPERLINK("https://cloud.oebiotech.com/#/lm/network/205991", "https://cloud.oebiotech.com/#/lm/network/205991")</f>
        <v>https://cloud.oebiotech.com/#/lm/network/205991</v>
      </c>
      <c r="H1616" s="2" t="s">
        <v>11051</v>
      </c>
      <c r="I1616" s="2"/>
      <c r="J1616" s="2"/>
      <c r="K1616" s="2">
        <v>56694129</v>
      </c>
      <c r="L1616" s="2"/>
      <c r="M1616" s="2"/>
      <c r="N1616" s="2"/>
      <c r="O1616" s="2"/>
      <c r="P1616" s="2"/>
      <c r="Q1616" s="2"/>
      <c r="R1616" s="2"/>
      <c r="S1616" s="2" t="s">
        <v>11052</v>
      </c>
      <c r="T1616" s="2" t="s">
        <v>11053</v>
      </c>
      <c r="U1616" s="2" t="s">
        <v>103</v>
      </c>
      <c r="V1616" s="2" t="s">
        <v>104</v>
      </c>
      <c r="W1616" s="2" t="s">
        <v>105</v>
      </c>
      <c r="X1616" s="2" t="s">
        <v>147</v>
      </c>
      <c r="Y1616" s="2">
        <v>36.4</v>
      </c>
      <c r="Z1616" s="2">
        <v>0</v>
      </c>
      <c r="AA1616" s="2" t="s">
        <v>379</v>
      </c>
      <c r="AB1616" s="2" t="s">
        <v>11054</v>
      </c>
      <c r="AC1616" s="2">
        <v>4.8610934888614903</v>
      </c>
      <c r="AD1616" s="2"/>
      <c r="AE1616" s="2">
        <v>0.402023026612575</v>
      </c>
      <c r="AF1616" s="2">
        <v>4907.8791937601</v>
      </c>
      <c r="AG1616" s="2">
        <v>1697.26256181959</v>
      </c>
      <c r="AH1616" s="5">
        <v>2.8916440532916101</v>
      </c>
      <c r="AI1616" s="5">
        <v>1.53188997478013</v>
      </c>
      <c r="AJ1616" s="5" t="s">
        <v>139</v>
      </c>
      <c r="AK1616" s="2">
        <v>3.6265707913049998E-3</v>
      </c>
      <c r="AL1616" s="2">
        <v>0.1120315017845</v>
      </c>
      <c r="AM1616" s="2">
        <v>6411.0351824150503</v>
      </c>
      <c r="AN1616" s="2">
        <v>6866.9289961147997</v>
      </c>
      <c r="AO1616" s="2">
        <v>4919.9629929025996</v>
      </c>
      <c r="AP1616" s="2">
        <v>2838.6997952946099</v>
      </c>
      <c r="AQ1616" s="2">
        <v>3422.7721173494201</v>
      </c>
      <c r="AR1616" s="2">
        <v>4987.8760784840997</v>
      </c>
      <c r="AS1616" s="2">
        <v>4039.5918493868799</v>
      </c>
      <c r="AT1616" s="2">
        <v>906.40936432915805</v>
      </c>
      <c r="AU1616" s="2">
        <v>2368.76724197267</v>
      </c>
      <c r="AV1616" s="2">
        <v>209.58032520019401</v>
      </c>
      <c r="AW1616" s="2">
        <v>1492.5913693380301</v>
      </c>
      <c r="AX1616" s="2">
        <v>1166.6352206905999</v>
      </c>
    </row>
    <row r="1617" spans="1:50" x14ac:dyDescent="0.25">
      <c r="A1617" s="2" t="s">
        <v>11055</v>
      </c>
      <c r="B1617" s="2">
        <v>292.27609436912297</v>
      </c>
      <c r="C1617" s="2">
        <v>8.0054499999999997</v>
      </c>
      <c r="D1617" s="2" t="s">
        <v>51</v>
      </c>
      <c r="E1617" s="2" t="s">
        <v>11056</v>
      </c>
      <c r="F1617" s="2">
        <v>10098</v>
      </c>
      <c r="G1617" s="3" t="str">
        <f>HYPERLINK("https://cloud.oebiotech.com/#/lm/network/10098", "https://cloud.oebiotech.com/#/lm/network/10098")</f>
        <v>https://cloud.oebiotech.com/#/lm/network/10098</v>
      </c>
      <c r="H1617" s="2"/>
      <c r="I1617" s="2">
        <v>98303</v>
      </c>
      <c r="J1617" s="2" t="s">
        <v>11057</v>
      </c>
      <c r="K1617" s="2">
        <v>56936263</v>
      </c>
      <c r="L1617" s="2"/>
      <c r="M1617" s="2"/>
      <c r="N1617" s="2"/>
      <c r="O1617" s="2"/>
      <c r="P1617" s="2"/>
      <c r="Q1617" s="2"/>
      <c r="R1617" s="2"/>
      <c r="S1617" s="2" t="s">
        <v>11058</v>
      </c>
      <c r="T1617" s="2" t="s">
        <v>11059</v>
      </c>
      <c r="U1617" s="2" t="s">
        <v>266</v>
      </c>
      <c r="V1617" s="2" t="s">
        <v>1593</v>
      </c>
      <c r="W1617" s="2" t="s">
        <v>240</v>
      </c>
      <c r="X1617" s="2" t="s">
        <v>147</v>
      </c>
      <c r="Y1617" s="2">
        <v>36.799999999999997</v>
      </c>
      <c r="Z1617" s="2">
        <v>0</v>
      </c>
      <c r="AA1617" s="2" t="s">
        <v>122</v>
      </c>
      <c r="AB1617" s="2" t="s">
        <v>1594</v>
      </c>
      <c r="AC1617" s="2">
        <v>-1.78428560134237</v>
      </c>
      <c r="AD1617" s="2"/>
      <c r="AE1617" s="2">
        <v>0.40173941075382702</v>
      </c>
      <c r="AF1617" s="2">
        <v>1217.3073656122001</v>
      </c>
      <c r="AG1617" s="2">
        <v>9385.6124660250098</v>
      </c>
      <c r="AH1617" s="4">
        <v>0.129699299861222</v>
      </c>
      <c r="AI1617" s="4">
        <v>-2.9467574031888</v>
      </c>
      <c r="AJ1617" s="4" t="s">
        <v>62</v>
      </c>
      <c r="AK1617" s="2">
        <v>0.35353968613823999</v>
      </c>
      <c r="AL1617" s="2">
        <v>0.644232435870006</v>
      </c>
      <c r="AM1617" s="2">
        <v>8.559877937157E-6</v>
      </c>
      <c r="AN1617" s="2">
        <v>8.559877937157E-6</v>
      </c>
      <c r="AO1617" s="2">
        <v>1074.8270191669401</v>
      </c>
      <c r="AP1617" s="2">
        <v>2590.1243374281498</v>
      </c>
      <c r="AQ1617" s="2">
        <v>3638.8928113984698</v>
      </c>
      <c r="AR1617" s="2">
        <v>8.559877937157E-6</v>
      </c>
      <c r="AS1617" s="2">
        <v>2099.70712284107</v>
      </c>
      <c r="AT1617" s="2">
        <v>1836.69820026395</v>
      </c>
      <c r="AU1617" s="2">
        <v>1140.6581297514699</v>
      </c>
      <c r="AV1617" s="2">
        <v>8.559877937157E-6</v>
      </c>
      <c r="AW1617" s="2">
        <v>32.497861270065002</v>
      </c>
      <c r="AX1617" s="2">
        <v>51204.1134734636</v>
      </c>
    </row>
    <row r="1618" spans="1:50" x14ac:dyDescent="0.25">
      <c r="A1618" s="2" t="s">
        <v>11060</v>
      </c>
      <c r="B1618" s="2">
        <v>652.38373394767098</v>
      </c>
      <c r="C1618" s="2">
        <v>11.7358666666667</v>
      </c>
      <c r="D1618" s="2" t="s">
        <v>51</v>
      </c>
      <c r="E1618" s="2" t="s">
        <v>11061</v>
      </c>
      <c r="F1618" s="2">
        <v>27901</v>
      </c>
      <c r="G1618" s="3" t="str">
        <f>HYPERLINK("https://cloud.oebiotech.com/#/lm/network/27901", "https://cloud.oebiotech.com/#/lm/network/27901")</f>
        <v>https://cloud.oebiotech.com/#/lm/network/27901</v>
      </c>
      <c r="H1618" s="2"/>
      <c r="I1618" s="2"/>
      <c r="J1618" s="2" t="s">
        <v>11062</v>
      </c>
      <c r="K1618" s="2">
        <v>134812359</v>
      </c>
      <c r="L1618" s="2"/>
      <c r="M1618" s="2"/>
      <c r="N1618" s="2"/>
      <c r="O1618" s="2"/>
      <c r="P1618" s="2"/>
      <c r="Q1618" s="2"/>
      <c r="R1618" s="2"/>
      <c r="S1618" s="2" t="s">
        <v>11063</v>
      </c>
      <c r="T1618" s="2" t="s">
        <v>11064</v>
      </c>
      <c r="U1618" s="2" t="s">
        <v>56</v>
      </c>
      <c r="V1618" s="2" t="s">
        <v>57</v>
      </c>
      <c r="W1618" s="2" t="s">
        <v>155</v>
      </c>
      <c r="X1618" s="2" t="s">
        <v>69</v>
      </c>
      <c r="Y1618" s="2">
        <v>58.8</v>
      </c>
      <c r="Z1618" s="2">
        <v>69.3</v>
      </c>
      <c r="AA1618" s="2" t="s">
        <v>218</v>
      </c>
      <c r="AB1618" s="2" t="s">
        <v>11065</v>
      </c>
      <c r="AC1618" s="2">
        <v>1.0076094278335701</v>
      </c>
      <c r="AD1618" s="2"/>
      <c r="AE1618" s="2">
        <v>0.40173548568781098</v>
      </c>
      <c r="AF1618" s="2">
        <v>6726.8000757013197</v>
      </c>
      <c r="AG1618" s="2">
        <v>1917.5748945318201</v>
      </c>
      <c r="AH1618" s="5">
        <v>3.5079725411943699</v>
      </c>
      <c r="AI1618" s="5">
        <v>1.8106374550694899</v>
      </c>
      <c r="AJ1618" s="5" t="s">
        <v>139</v>
      </c>
      <c r="AK1618" s="2">
        <v>1.7269547140502401E-2</v>
      </c>
      <c r="AL1618" s="2">
        <v>0.20718933084220301</v>
      </c>
      <c r="AM1618" s="2">
        <v>3053.3782828949502</v>
      </c>
      <c r="AN1618" s="2">
        <v>11692.6020329332</v>
      </c>
      <c r="AO1618" s="2">
        <v>5363.3369618861998</v>
      </c>
      <c r="AP1618" s="2">
        <v>6165.1298242203902</v>
      </c>
      <c r="AQ1618" s="2">
        <v>4233.5332657240697</v>
      </c>
      <c r="AR1618" s="2">
        <v>9852.8200865490799</v>
      </c>
      <c r="AS1618" s="2">
        <v>6524.0083660772698</v>
      </c>
      <c r="AT1618" s="2">
        <v>2658.87908318055</v>
      </c>
      <c r="AU1618" s="2">
        <v>240.57555280698799</v>
      </c>
      <c r="AV1618" s="2">
        <v>596.80966357170496</v>
      </c>
      <c r="AW1618" s="2">
        <v>567.94644368085699</v>
      </c>
      <c r="AX1618" s="2">
        <v>917.230257873553</v>
      </c>
    </row>
    <row r="1619" spans="1:50" x14ac:dyDescent="0.25">
      <c r="A1619" s="2" t="s">
        <v>11066</v>
      </c>
      <c r="B1619" s="2">
        <v>267.046218207923</v>
      </c>
      <c r="C1619" s="2">
        <v>4.5102333333333302</v>
      </c>
      <c r="D1619" s="2" t="s">
        <v>51</v>
      </c>
      <c r="E1619" s="2" t="s">
        <v>11067</v>
      </c>
      <c r="F1619" s="2">
        <v>212210</v>
      </c>
      <c r="G1619" s="3" t="str">
        <f>HYPERLINK("https://cloud.oebiotech.com/#/lm/network/212210", "https://cloud.oebiotech.com/#/lm/network/212210")</f>
        <v>https://cloud.oebiotech.com/#/lm/network/212210</v>
      </c>
      <c r="H1619" s="2" t="s">
        <v>11068</v>
      </c>
      <c r="I1619" s="2">
        <v>73434</v>
      </c>
      <c r="J1619" s="2"/>
      <c r="K1619" s="2">
        <v>104781</v>
      </c>
      <c r="L1619" s="2" t="s">
        <v>11069</v>
      </c>
      <c r="M1619" s="2"/>
      <c r="N1619" s="2"/>
      <c r="O1619" s="2"/>
      <c r="P1619" s="2"/>
      <c r="Q1619" s="2"/>
      <c r="R1619" s="2" t="s">
        <v>11070</v>
      </c>
      <c r="S1619" s="2" t="s">
        <v>11071</v>
      </c>
      <c r="T1619" s="2" t="s">
        <v>11072</v>
      </c>
      <c r="U1619" s="2" t="s">
        <v>103</v>
      </c>
      <c r="V1619" s="2" t="s">
        <v>11073</v>
      </c>
      <c r="W1619" s="2" t="s">
        <v>11074</v>
      </c>
      <c r="X1619" s="2" t="s">
        <v>147</v>
      </c>
      <c r="Y1619" s="2">
        <v>38.200000000000003</v>
      </c>
      <c r="Z1619" s="2">
        <v>0</v>
      </c>
      <c r="AA1619" s="2" t="s">
        <v>218</v>
      </c>
      <c r="AB1619" s="2" t="s">
        <v>11075</v>
      </c>
      <c r="AC1619" s="2">
        <v>0.28538066694738301</v>
      </c>
      <c r="AD1619" s="2"/>
      <c r="AE1619" s="2">
        <v>0.40145463616431698</v>
      </c>
      <c r="AF1619" s="2">
        <v>9168.9093709465506</v>
      </c>
      <c r="AG1619" s="2">
        <v>4752.8136415108102</v>
      </c>
      <c r="AH1619" s="5">
        <v>1.9291539838351299</v>
      </c>
      <c r="AI1619" s="5">
        <v>0.94796830297700296</v>
      </c>
      <c r="AJ1619" s="5" t="s">
        <v>139</v>
      </c>
      <c r="AK1619" s="2">
        <v>2.1722181001687699E-2</v>
      </c>
      <c r="AL1619" s="2">
        <v>0.229052252423803</v>
      </c>
      <c r="AM1619" s="2">
        <v>11996.185992135401</v>
      </c>
      <c r="AN1619" s="2">
        <v>5338.9676601032897</v>
      </c>
      <c r="AO1619" s="2">
        <v>6394.2310048216495</v>
      </c>
      <c r="AP1619" s="2">
        <v>13162.9730363565</v>
      </c>
      <c r="AQ1619" s="2">
        <v>12653.6317479276</v>
      </c>
      <c r="AR1619" s="2">
        <v>5467.4667843348498</v>
      </c>
      <c r="AS1619" s="2">
        <v>4099.5769124079497</v>
      </c>
      <c r="AT1619" s="2">
        <v>6564.8906012613897</v>
      </c>
      <c r="AU1619" s="2">
        <v>5200.1239789479696</v>
      </c>
      <c r="AV1619" s="2">
        <v>5458.1332029875903</v>
      </c>
      <c r="AW1619" s="2">
        <v>3816.3602762989599</v>
      </c>
      <c r="AX1619" s="2">
        <v>3377.7968771609999</v>
      </c>
    </row>
    <row r="1620" spans="1:50" x14ac:dyDescent="0.25">
      <c r="A1620" s="2" t="s">
        <v>11076</v>
      </c>
      <c r="B1620" s="2">
        <v>477.32587049415298</v>
      </c>
      <c r="C1620" s="2">
        <v>15.218783333333301</v>
      </c>
      <c r="D1620" s="2" t="s">
        <v>51</v>
      </c>
      <c r="E1620" s="2" t="s">
        <v>11077</v>
      </c>
      <c r="F1620" s="2">
        <v>53136</v>
      </c>
      <c r="G1620" s="3" t="str">
        <f>HYPERLINK("https://cloud.oebiotech.com/#/lm/network/53136", "https://cloud.oebiotech.com/#/lm/network/53136")</f>
        <v>https://cloud.oebiotech.com/#/lm/network/53136</v>
      </c>
      <c r="H1620" s="2" t="s">
        <v>11078</v>
      </c>
      <c r="I1620" s="2">
        <v>66673</v>
      </c>
      <c r="J1620" s="2"/>
      <c r="K1620" s="2">
        <v>5311017</v>
      </c>
      <c r="L1620" s="2" t="s">
        <v>11079</v>
      </c>
      <c r="M1620" s="2"/>
      <c r="N1620" s="2"/>
      <c r="O1620" s="2">
        <v>3044</v>
      </c>
      <c r="P1620" s="2"/>
      <c r="Q1620" s="2"/>
      <c r="R1620" s="2" t="s">
        <v>11080</v>
      </c>
      <c r="S1620" s="2" t="s">
        <v>11081</v>
      </c>
      <c r="T1620" s="2" t="s">
        <v>11082</v>
      </c>
      <c r="U1620" s="2" t="s">
        <v>610</v>
      </c>
      <c r="V1620" s="2" t="s">
        <v>611</v>
      </c>
      <c r="W1620" s="2" t="s">
        <v>11083</v>
      </c>
      <c r="X1620" s="2" t="s">
        <v>147</v>
      </c>
      <c r="Y1620" s="2">
        <v>37.700000000000003</v>
      </c>
      <c r="Z1620" s="2">
        <v>0</v>
      </c>
      <c r="AA1620" s="2" t="s">
        <v>478</v>
      </c>
      <c r="AB1620" s="2" t="s">
        <v>11084</v>
      </c>
      <c r="AC1620" s="2">
        <v>-3.4545477135393998</v>
      </c>
      <c r="AD1620" s="2"/>
      <c r="AE1620" s="2">
        <v>0.40077523002642301</v>
      </c>
      <c r="AF1620" s="2">
        <v>7332.8263897493098</v>
      </c>
      <c r="AG1620" s="2">
        <v>10467.744807302</v>
      </c>
      <c r="AH1620" s="4">
        <v>0.70051635044007798</v>
      </c>
      <c r="AI1620" s="4">
        <v>-0.51350937053601098</v>
      </c>
      <c r="AJ1620" s="4" t="s">
        <v>62</v>
      </c>
      <c r="AK1620" s="2">
        <v>1.08128578305225E-5</v>
      </c>
      <c r="AL1620" s="2">
        <v>1.5488881376670999E-2</v>
      </c>
      <c r="AM1620" s="2">
        <v>6584.9580196956804</v>
      </c>
      <c r="AN1620" s="2">
        <v>7228.5420024855002</v>
      </c>
      <c r="AO1620" s="2">
        <v>7628.3820037498499</v>
      </c>
      <c r="AP1620" s="2">
        <v>7378.3209812438099</v>
      </c>
      <c r="AQ1620" s="2">
        <v>7945.0303844790897</v>
      </c>
      <c r="AR1620" s="2">
        <v>7231.7249468419404</v>
      </c>
      <c r="AS1620" s="2">
        <v>11388.542052148299</v>
      </c>
      <c r="AT1620" s="2">
        <v>11521.808929365099</v>
      </c>
      <c r="AU1620" s="2">
        <v>10592.7181360836</v>
      </c>
      <c r="AV1620" s="2">
        <v>9906.86080135884</v>
      </c>
      <c r="AW1620" s="2">
        <v>9690.5595379530405</v>
      </c>
      <c r="AX1620" s="2">
        <v>9705.9793869034202</v>
      </c>
    </row>
    <row r="1621" spans="1:50" x14ac:dyDescent="0.25">
      <c r="A1621" s="2" t="s">
        <v>11085</v>
      </c>
      <c r="B1621" s="2">
        <v>389.19217668656</v>
      </c>
      <c r="C1621" s="2">
        <v>9.3200333333333294</v>
      </c>
      <c r="D1621" s="2" t="s">
        <v>51</v>
      </c>
      <c r="E1621" s="2" t="s">
        <v>11086</v>
      </c>
      <c r="F1621" s="2">
        <v>4171</v>
      </c>
      <c r="G1621" s="3" t="str">
        <f>HYPERLINK("https://cloud.oebiotech.com/#/lm/network/4171", "https://cloud.oebiotech.com/#/lm/network/4171")</f>
        <v>https://cloud.oebiotech.com/#/lm/network/4171</v>
      </c>
      <c r="H1621" s="2"/>
      <c r="I1621" s="2">
        <v>96929</v>
      </c>
      <c r="J1621" s="2" t="s">
        <v>11087</v>
      </c>
      <c r="K1621" s="2">
        <v>56935879</v>
      </c>
      <c r="L1621" s="2"/>
      <c r="M1621" s="2"/>
      <c r="N1621" s="2"/>
      <c r="O1621" s="2"/>
      <c r="P1621" s="2"/>
      <c r="Q1621" s="2"/>
      <c r="R1621" s="2"/>
      <c r="S1621" s="2" t="s">
        <v>11088</v>
      </c>
      <c r="T1621" s="2" t="s">
        <v>11089</v>
      </c>
      <c r="U1621" s="2" t="s">
        <v>56</v>
      </c>
      <c r="V1621" s="2" t="s">
        <v>145</v>
      </c>
      <c r="W1621" s="2" t="s">
        <v>231</v>
      </c>
      <c r="X1621" s="2" t="s">
        <v>83</v>
      </c>
      <c r="Y1621" s="2">
        <v>40.700000000000003</v>
      </c>
      <c r="Z1621" s="2">
        <v>0</v>
      </c>
      <c r="AA1621" s="2" t="s">
        <v>95</v>
      </c>
      <c r="AB1621" s="2" t="s">
        <v>4056</v>
      </c>
      <c r="AC1621" s="2">
        <v>-3.5026162022183902</v>
      </c>
      <c r="AD1621" s="2"/>
      <c r="AE1621" s="2">
        <v>0.40046035529517798</v>
      </c>
      <c r="AF1621" s="2">
        <v>8349.9299496135809</v>
      </c>
      <c r="AG1621" s="2">
        <v>4967.7824940150003</v>
      </c>
      <c r="AH1621" s="5">
        <v>1.6808163319697</v>
      </c>
      <c r="AI1621" s="5">
        <v>0.74916208541085205</v>
      </c>
      <c r="AJ1621" s="5" t="s">
        <v>139</v>
      </c>
      <c r="AK1621" s="2">
        <v>5.1106047045004297E-3</v>
      </c>
      <c r="AL1621" s="2">
        <v>0.123740271492219</v>
      </c>
      <c r="AM1621" s="2">
        <v>8131.3545524108104</v>
      </c>
      <c r="AN1621" s="2">
        <v>9760.2511279070895</v>
      </c>
      <c r="AO1621" s="2">
        <v>8818.2019885430509</v>
      </c>
      <c r="AP1621" s="2">
        <v>8512.3825447049294</v>
      </c>
      <c r="AQ1621" s="2">
        <v>7652.6894603293003</v>
      </c>
      <c r="AR1621" s="2">
        <v>7224.7000237862703</v>
      </c>
      <c r="AS1621" s="2">
        <v>6436.13968935294</v>
      </c>
      <c r="AT1621" s="2">
        <v>4492.1437641193397</v>
      </c>
      <c r="AU1621" s="2">
        <v>8375.0884229412604</v>
      </c>
      <c r="AV1621" s="2">
        <v>2217.6007388205799</v>
      </c>
      <c r="AW1621" s="2">
        <v>4165.6389889684096</v>
      </c>
      <c r="AX1621" s="2">
        <v>4120.0833598874797</v>
      </c>
    </row>
    <row r="1622" spans="1:50" x14ac:dyDescent="0.25">
      <c r="A1622" s="2" t="s">
        <v>11090</v>
      </c>
      <c r="B1622" s="2">
        <v>656.24076403161803</v>
      </c>
      <c r="C1622" s="2">
        <v>10.5758666666667</v>
      </c>
      <c r="D1622" s="2" t="s">
        <v>51</v>
      </c>
      <c r="E1622" s="2" t="s">
        <v>11091</v>
      </c>
      <c r="F1622" s="2">
        <v>208272</v>
      </c>
      <c r="G1622" s="3" t="str">
        <f>HYPERLINK("https://cloud.oebiotech.com/#/lm/network/208272", "https://cloud.oebiotech.com/#/lm/network/208272")</f>
        <v>https://cloud.oebiotech.com/#/lm/network/208272</v>
      </c>
      <c r="H1622" s="2" t="s">
        <v>11092</v>
      </c>
      <c r="I1622" s="2"/>
      <c r="J1622" s="2"/>
      <c r="K1622" s="2"/>
      <c r="L1622" s="2"/>
      <c r="M1622" s="2"/>
      <c r="N1622" s="2"/>
      <c r="O1622" s="2"/>
      <c r="P1622" s="2"/>
      <c r="Q1622" s="2"/>
      <c r="R1622" s="2"/>
      <c r="S1622" s="2" t="s">
        <v>11093</v>
      </c>
      <c r="T1622" s="2" t="s">
        <v>11094</v>
      </c>
      <c r="U1622" s="2" t="s">
        <v>331</v>
      </c>
      <c r="V1622" s="2" t="s">
        <v>332</v>
      </c>
      <c r="W1622" s="2" t="s">
        <v>333</v>
      </c>
      <c r="X1622" s="2" t="s">
        <v>147</v>
      </c>
      <c r="Y1622" s="2">
        <v>42.1</v>
      </c>
      <c r="Z1622" s="2">
        <v>24</v>
      </c>
      <c r="AA1622" s="2" t="s">
        <v>379</v>
      </c>
      <c r="AB1622" s="2" t="s">
        <v>11095</v>
      </c>
      <c r="AC1622" s="2">
        <v>3.98840227624268E-2</v>
      </c>
      <c r="AD1622" s="2"/>
      <c r="AE1622" s="2">
        <v>0.40041134066883</v>
      </c>
      <c r="AF1622" s="2">
        <v>6408.6439327322596</v>
      </c>
      <c r="AG1622" s="2">
        <v>10585.5674774948</v>
      </c>
      <c r="AH1622" s="4">
        <v>0.60541335609614</v>
      </c>
      <c r="AI1622" s="4">
        <v>-0.72400759190376596</v>
      </c>
      <c r="AJ1622" s="4" t="s">
        <v>62</v>
      </c>
      <c r="AK1622" s="2">
        <v>1.1883920798286601E-3</v>
      </c>
      <c r="AL1622" s="2">
        <v>9.36276944338158E-2</v>
      </c>
      <c r="AM1622" s="2">
        <v>9711.2937158701698</v>
      </c>
      <c r="AN1622" s="2">
        <v>6311.8639809920496</v>
      </c>
      <c r="AO1622" s="2">
        <v>5781.0584522659801</v>
      </c>
      <c r="AP1622" s="2">
        <v>5026.2824606292397</v>
      </c>
      <c r="AQ1622" s="2">
        <v>5317.48912077974</v>
      </c>
      <c r="AR1622" s="2">
        <v>6303.8758658564002</v>
      </c>
      <c r="AS1622" s="2">
        <v>7833.1103417700497</v>
      </c>
      <c r="AT1622" s="2">
        <v>10516.8277882078</v>
      </c>
      <c r="AU1622" s="2">
        <v>10234.363611373499</v>
      </c>
      <c r="AV1622" s="2">
        <v>11152.6704330672</v>
      </c>
      <c r="AW1622" s="2">
        <v>11504.0657151165</v>
      </c>
      <c r="AX1622" s="2">
        <v>12272.366975433601</v>
      </c>
    </row>
    <row r="1623" spans="1:50" x14ac:dyDescent="0.25">
      <c r="A1623" s="2" t="s">
        <v>11096</v>
      </c>
      <c r="B1623" s="2">
        <v>427.315341336134</v>
      </c>
      <c r="C1623" s="2">
        <v>9.8284666666666691</v>
      </c>
      <c r="D1623" s="2" t="s">
        <v>51</v>
      </c>
      <c r="E1623" s="2" t="s">
        <v>11097</v>
      </c>
      <c r="F1623" s="2">
        <v>8791</v>
      </c>
      <c r="G1623" s="3" t="str">
        <f>HYPERLINK("https://cloud.oebiotech.com/#/lm/network/8791", "https://cloud.oebiotech.com/#/lm/network/8791")</f>
        <v>https://cloud.oebiotech.com/#/lm/network/8791</v>
      </c>
      <c r="H1623" s="2"/>
      <c r="I1623" s="2"/>
      <c r="J1623" s="2" t="s">
        <v>11098</v>
      </c>
      <c r="K1623" s="2">
        <v>6444189</v>
      </c>
      <c r="L1623" s="2"/>
      <c r="M1623" s="2"/>
      <c r="N1623" s="2"/>
      <c r="O1623" s="2"/>
      <c r="P1623" s="2"/>
      <c r="Q1623" s="2"/>
      <c r="R1623" s="2"/>
      <c r="S1623" s="2" t="s">
        <v>11099</v>
      </c>
      <c r="T1623" s="2" t="s">
        <v>11100</v>
      </c>
      <c r="U1623" s="2" t="s">
        <v>103</v>
      </c>
      <c r="V1623" s="2" t="s">
        <v>104</v>
      </c>
      <c r="W1623" s="2" t="s">
        <v>105</v>
      </c>
      <c r="X1623" s="2" t="s">
        <v>147</v>
      </c>
      <c r="Y1623" s="2">
        <v>37.799999999999997</v>
      </c>
      <c r="Z1623" s="2">
        <v>8.3000000000000007</v>
      </c>
      <c r="AA1623" s="2" t="s">
        <v>512</v>
      </c>
      <c r="AB1623" s="2" t="s">
        <v>11101</v>
      </c>
      <c r="AC1623" s="2">
        <v>-3.1947277567310599</v>
      </c>
      <c r="AD1623" s="2"/>
      <c r="AE1623" s="2">
        <v>0.40017667227774001</v>
      </c>
      <c r="AF1623" s="2">
        <v>45803.444632470797</v>
      </c>
      <c r="AG1623" s="2">
        <v>51641.122663003604</v>
      </c>
      <c r="AH1623" s="4">
        <v>0.88695679471130295</v>
      </c>
      <c r="AI1623" s="4">
        <v>-0.173064264965165</v>
      </c>
      <c r="AJ1623" s="4" t="s">
        <v>62</v>
      </c>
      <c r="AK1623" s="2">
        <v>0.207429719734049</v>
      </c>
      <c r="AL1623" s="2">
        <v>0.53238534013569705</v>
      </c>
      <c r="AM1623" s="2">
        <v>38791.223085122801</v>
      </c>
      <c r="AN1623" s="2">
        <v>39212.603798889199</v>
      </c>
      <c r="AO1623" s="2">
        <v>40080.672410670602</v>
      </c>
      <c r="AP1623" s="2">
        <v>42740.5149435934</v>
      </c>
      <c r="AQ1623" s="2">
        <v>57277.571312716696</v>
      </c>
      <c r="AR1623" s="2">
        <v>56718.082243832403</v>
      </c>
      <c r="AS1623" s="2">
        <v>57551.689410954299</v>
      </c>
      <c r="AT1623" s="2">
        <v>58404.809998628698</v>
      </c>
      <c r="AU1623" s="2">
        <v>50313.195667669097</v>
      </c>
      <c r="AV1623" s="2">
        <v>42183.998471171602</v>
      </c>
      <c r="AW1623" s="2">
        <v>52022.212058744502</v>
      </c>
      <c r="AX1623" s="2">
        <v>49370.830370853197</v>
      </c>
    </row>
    <row r="1624" spans="1:50" x14ac:dyDescent="0.25">
      <c r="A1624" s="2" t="s">
        <v>11102</v>
      </c>
      <c r="B1624" s="2">
        <v>248.150026433026</v>
      </c>
      <c r="C1624" s="2">
        <v>4.3002500000000001</v>
      </c>
      <c r="D1624" s="2" t="s">
        <v>51</v>
      </c>
      <c r="E1624" s="2" t="s">
        <v>11103</v>
      </c>
      <c r="F1624" s="2">
        <v>204389</v>
      </c>
      <c r="G1624" s="3" t="str">
        <f>HYPERLINK("https://cloud.oebiotech.com/#/lm/network/204389", "https://cloud.oebiotech.com/#/lm/network/204389")</f>
        <v>https://cloud.oebiotech.com/#/lm/network/204389</v>
      </c>
      <c r="H1624" s="2" t="s">
        <v>11104</v>
      </c>
      <c r="I1624" s="2"/>
      <c r="J1624" s="2"/>
      <c r="K1624" s="2">
        <v>2473</v>
      </c>
      <c r="L1624" s="2"/>
      <c r="M1624" s="2"/>
      <c r="N1624" s="2"/>
      <c r="O1624" s="2"/>
      <c r="P1624" s="2"/>
      <c r="Q1624" s="2"/>
      <c r="R1624" s="2"/>
      <c r="S1624" s="2" t="s">
        <v>11105</v>
      </c>
      <c r="T1624" s="2" t="s">
        <v>11106</v>
      </c>
      <c r="U1624" s="2" t="s">
        <v>610</v>
      </c>
      <c r="V1624" s="2" t="s">
        <v>4556</v>
      </c>
      <c r="W1624" s="2" t="s">
        <v>240</v>
      </c>
      <c r="X1624" s="2" t="s">
        <v>83</v>
      </c>
      <c r="Y1624" s="2">
        <v>40.1</v>
      </c>
      <c r="Z1624" s="2">
        <v>0</v>
      </c>
      <c r="AA1624" s="2" t="s">
        <v>122</v>
      </c>
      <c r="AB1624" s="2" t="s">
        <v>11107</v>
      </c>
      <c r="AC1624" s="2">
        <v>-9.8792368077561701</v>
      </c>
      <c r="AD1624" s="2"/>
      <c r="AE1624" s="2">
        <v>0.39964314707659399</v>
      </c>
      <c r="AF1624" s="2">
        <v>7891.5729263124404</v>
      </c>
      <c r="AG1624" s="2">
        <v>4173.7051051989401</v>
      </c>
      <c r="AH1624" s="5">
        <v>1.8907835430161</v>
      </c>
      <c r="AI1624" s="5">
        <v>0.91898421294840904</v>
      </c>
      <c r="AJ1624" s="5" t="s">
        <v>139</v>
      </c>
      <c r="AK1624" s="2">
        <v>9.0703063479857404E-2</v>
      </c>
      <c r="AL1624" s="2">
        <v>0.38657867040912702</v>
      </c>
      <c r="AM1624" s="2">
        <v>14423.355339595701</v>
      </c>
      <c r="AN1624" s="2">
        <v>11899.6620614777</v>
      </c>
      <c r="AO1624" s="2">
        <v>4931.0036318802904</v>
      </c>
      <c r="AP1624" s="2">
        <v>5787.9222160611698</v>
      </c>
      <c r="AQ1624" s="2">
        <v>4307.82970135911</v>
      </c>
      <c r="AR1624" s="2">
        <v>5999.6646075006802</v>
      </c>
      <c r="AS1624" s="2">
        <v>3346.8063668087898</v>
      </c>
      <c r="AT1624" s="2">
        <v>2274.4737243392301</v>
      </c>
      <c r="AU1624" s="2">
        <v>7112.4168831201596</v>
      </c>
      <c r="AV1624" s="2">
        <v>2222.7004666071002</v>
      </c>
      <c r="AW1624" s="2">
        <v>2620.1837013568802</v>
      </c>
      <c r="AX1624" s="2">
        <v>7465.6494889614896</v>
      </c>
    </row>
    <row r="1625" spans="1:50" x14ac:dyDescent="0.25">
      <c r="A1625" s="2" t="s">
        <v>11108</v>
      </c>
      <c r="B1625" s="2">
        <v>483.146216320576</v>
      </c>
      <c r="C1625" s="2">
        <v>3.0825999999999998</v>
      </c>
      <c r="D1625" s="2" t="s">
        <v>51</v>
      </c>
      <c r="E1625" s="2" t="s">
        <v>11109</v>
      </c>
      <c r="F1625" s="2">
        <v>203185</v>
      </c>
      <c r="G1625" s="3" t="str">
        <f>HYPERLINK("https://cloud.oebiotech.com/#/lm/network/203185", "https://cloud.oebiotech.com/#/lm/network/203185")</f>
        <v>https://cloud.oebiotech.com/#/lm/network/203185</v>
      </c>
      <c r="H1625" s="2" t="s">
        <v>11110</v>
      </c>
      <c r="I1625" s="2"/>
      <c r="J1625" s="2"/>
      <c r="K1625" s="2">
        <v>357194</v>
      </c>
      <c r="L1625" s="2"/>
      <c r="M1625" s="2"/>
      <c r="N1625" s="2"/>
      <c r="O1625" s="2"/>
      <c r="P1625" s="2"/>
      <c r="Q1625" s="2"/>
      <c r="R1625" s="2"/>
      <c r="S1625" s="2" t="s">
        <v>11111</v>
      </c>
      <c r="T1625" s="2" t="s">
        <v>11112</v>
      </c>
      <c r="U1625" s="2" t="s">
        <v>266</v>
      </c>
      <c r="V1625" s="2" t="s">
        <v>445</v>
      </c>
      <c r="W1625" s="2" t="s">
        <v>5555</v>
      </c>
      <c r="X1625" s="2" t="s">
        <v>59</v>
      </c>
      <c r="Y1625" s="2">
        <v>46.5</v>
      </c>
      <c r="Z1625" s="2">
        <v>54.5</v>
      </c>
      <c r="AA1625" s="2" t="s">
        <v>379</v>
      </c>
      <c r="AB1625" s="2" t="s">
        <v>11113</v>
      </c>
      <c r="AC1625" s="2">
        <v>-9.5113138766815805E-2</v>
      </c>
      <c r="AD1625" s="2"/>
      <c r="AE1625" s="2">
        <v>0.39928598737235999</v>
      </c>
      <c r="AF1625" s="2">
        <v>8.559877937157E-6</v>
      </c>
      <c r="AG1625" s="2">
        <v>5354.8852507787697</v>
      </c>
      <c r="AH1625" s="4">
        <v>1.59851752862718E-9</v>
      </c>
      <c r="AI1625" s="4">
        <v>-29.220618289833499</v>
      </c>
      <c r="AJ1625" s="4" t="s">
        <v>62</v>
      </c>
      <c r="AK1625" s="2">
        <v>6.64990104189047E-2</v>
      </c>
      <c r="AL1625" s="2">
        <v>0.34192828169447498</v>
      </c>
      <c r="AM1625" s="2">
        <v>8.559877937157E-6</v>
      </c>
      <c r="AN1625" s="2">
        <v>8.559877937157E-6</v>
      </c>
      <c r="AO1625" s="2">
        <v>8.559877937157E-6</v>
      </c>
      <c r="AP1625" s="2">
        <v>8.559877937157E-6</v>
      </c>
      <c r="AQ1625" s="2">
        <v>8.559877937157E-6</v>
      </c>
      <c r="AR1625" s="2">
        <v>8.559877937157E-6</v>
      </c>
      <c r="AS1625" s="2">
        <v>6431.9980253322601</v>
      </c>
      <c r="AT1625" s="2">
        <v>11541.8157761279</v>
      </c>
      <c r="AU1625" s="2">
        <v>8.559877937157E-6</v>
      </c>
      <c r="AV1625" s="2">
        <v>14155.4976775328</v>
      </c>
      <c r="AW1625" s="2">
        <v>8.559877937157E-6</v>
      </c>
      <c r="AX1625" s="2">
        <v>8.559877937157E-6</v>
      </c>
    </row>
    <row r="1626" spans="1:50" x14ac:dyDescent="0.25">
      <c r="A1626" s="2" t="s">
        <v>11114</v>
      </c>
      <c r="B1626" s="2">
        <v>334.12070750925602</v>
      </c>
      <c r="C1626" s="2">
        <v>5.0999999999999996</v>
      </c>
      <c r="D1626" s="2" t="s">
        <v>51</v>
      </c>
      <c r="E1626" s="2" t="s">
        <v>11115</v>
      </c>
      <c r="F1626" s="2">
        <v>206411</v>
      </c>
      <c r="G1626" s="3" t="str">
        <f>HYPERLINK("https://cloud.oebiotech.com/#/lm/network/206411", "https://cloud.oebiotech.com/#/lm/network/206411")</f>
        <v>https://cloud.oebiotech.com/#/lm/network/206411</v>
      </c>
      <c r="H1626" s="2" t="s">
        <v>11116</v>
      </c>
      <c r="I1626" s="2"/>
      <c r="J1626" s="2"/>
      <c r="K1626" s="2">
        <v>12876376</v>
      </c>
      <c r="L1626" s="2"/>
      <c r="M1626" s="2"/>
      <c r="N1626" s="2"/>
      <c r="O1626" s="2"/>
      <c r="P1626" s="2"/>
      <c r="Q1626" s="2"/>
      <c r="R1626" s="2"/>
      <c r="S1626" s="2" t="s">
        <v>11117</v>
      </c>
      <c r="T1626" s="2" t="s">
        <v>11118</v>
      </c>
      <c r="U1626" s="2" t="s">
        <v>266</v>
      </c>
      <c r="V1626" s="2" t="s">
        <v>267</v>
      </c>
      <c r="W1626" s="2" t="s">
        <v>268</v>
      </c>
      <c r="X1626" s="2" t="s">
        <v>147</v>
      </c>
      <c r="Y1626" s="2">
        <v>44.7</v>
      </c>
      <c r="Z1626" s="2">
        <v>37.5</v>
      </c>
      <c r="AA1626" s="2" t="s">
        <v>3354</v>
      </c>
      <c r="AB1626" s="2" t="s">
        <v>11119</v>
      </c>
      <c r="AC1626" s="2">
        <v>-3.6494292421885399</v>
      </c>
      <c r="AD1626" s="2"/>
      <c r="AE1626" s="2">
        <v>0.39905195165158702</v>
      </c>
      <c r="AF1626" s="2">
        <v>493.75028669918902</v>
      </c>
      <c r="AG1626" s="2">
        <v>6238.1326549579499</v>
      </c>
      <c r="AH1626" s="4">
        <v>7.9150334564746003E-2</v>
      </c>
      <c r="AI1626" s="4">
        <v>-3.65926074119522</v>
      </c>
      <c r="AJ1626" s="4" t="s">
        <v>62</v>
      </c>
      <c r="AK1626" s="2">
        <v>0.20701820952542799</v>
      </c>
      <c r="AL1626" s="2">
        <v>0.53206368396210701</v>
      </c>
      <c r="AM1626" s="2">
        <v>851.58269667606396</v>
      </c>
      <c r="AN1626" s="2">
        <v>809.94956866536199</v>
      </c>
      <c r="AO1626" s="2">
        <v>244.28480454985799</v>
      </c>
      <c r="AP1626" s="2">
        <v>228.25345139528099</v>
      </c>
      <c r="AQ1626" s="2">
        <v>210.901483211277</v>
      </c>
      <c r="AR1626" s="2">
        <v>617.52971569729198</v>
      </c>
      <c r="AS1626" s="2">
        <v>1077.9957170212399</v>
      </c>
      <c r="AT1626" s="2">
        <v>690.24715970576199</v>
      </c>
      <c r="AU1626" s="2">
        <v>1750.0220135060299</v>
      </c>
      <c r="AV1626" s="2">
        <v>26956.133150445701</v>
      </c>
      <c r="AW1626" s="2">
        <v>6741.4437913717102</v>
      </c>
      <c r="AX1626" s="2">
        <v>212.95409769727601</v>
      </c>
    </row>
    <row r="1627" spans="1:50" x14ac:dyDescent="0.25">
      <c r="A1627" s="2" t="s">
        <v>11120</v>
      </c>
      <c r="B1627" s="2">
        <v>642.39591374612303</v>
      </c>
      <c r="C1627" s="2">
        <v>12.708216666666701</v>
      </c>
      <c r="D1627" s="2" t="s">
        <v>51</v>
      </c>
      <c r="E1627" s="2" t="s">
        <v>11121</v>
      </c>
      <c r="F1627" s="2">
        <v>22484</v>
      </c>
      <c r="G1627" s="3" t="str">
        <f>HYPERLINK("https://cloud.oebiotech.com/#/lm/network/22484", "https://cloud.oebiotech.com/#/lm/network/22484")</f>
        <v>https://cloud.oebiotech.com/#/lm/network/22484</v>
      </c>
      <c r="H1627" s="2"/>
      <c r="I1627" s="2"/>
      <c r="J1627" s="2" t="s">
        <v>11122</v>
      </c>
      <c r="K1627" s="2">
        <v>137323957</v>
      </c>
      <c r="L1627" s="2"/>
      <c r="M1627" s="2"/>
      <c r="N1627" s="2"/>
      <c r="O1627" s="2"/>
      <c r="P1627" s="2"/>
      <c r="Q1627" s="2"/>
      <c r="R1627" s="2"/>
      <c r="S1627" s="2" t="s">
        <v>11123</v>
      </c>
      <c r="T1627" s="2" t="s">
        <v>11124</v>
      </c>
      <c r="U1627" s="2" t="s">
        <v>56</v>
      </c>
      <c r="V1627" s="2" t="s">
        <v>57</v>
      </c>
      <c r="W1627" s="2" t="s">
        <v>82</v>
      </c>
      <c r="X1627" s="2" t="s">
        <v>147</v>
      </c>
      <c r="Y1627" s="2">
        <v>36</v>
      </c>
      <c r="Z1627" s="2">
        <v>0</v>
      </c>
      <c r="AA1627" s="2" t="s">
        <v>218</v>
      </c>
      <c r="AB1627" s="2" t="s">
        <v>11125</v>
      </c>
      <c r="AC1627" s="2">
        <v>-4.7844931275136204</v>
      </c>
      <c r="AD1627" s="2"/>
      <c r="AE1627" s="2">
        <v>0.39868456665552898</v>
      </c>
      <c r="AF1627" s="2">
        <v>58244.507993758998</v>
      </c>
      <c r="AG1627" s="2">
        <v>51105.076962970801</v>
      </c>
      <c r="AH1627" s="5">
        <v>1.1397010131881999</v>
      </c>
      <c r="AI1627" s="5">
        <v>0.1886554003856</v>
      </c>
      <c r="AJ1627" s="5" t="s">
        <v>139</v>
      </c>
      <c r="AK1627" s="2">
        <v>0.60805925651807102</v>
      </c>
      <c r="AL1627" s="2">
        <v>0.80448616752299296</v>
      </c>
      <c r="AM1627" s="2">
        <v>43648.4584521043</v>
      </c>
      <c r="AN1627" s="2">
        <v>50173.494488648401</v>
      </c>
      <c r="AO1627" s="2">
        <v>95522.582111241005</v>
      </c>
      <c r="AP1627" s="2">
        <v>42686.937674183901</v>
      </c>
      <c r="AQ1627" s="2">
        <v>65773.413784774704</v>
      </c>
      <c r="AR1627" s="2">
        <v>51662.161451601401</v>
      </c>
      <c r="AS1627" s="2">
        <v>47947.188683889501</v>
      </c>
      <c r="AT1627" s="2">
        <v>69164.759657632399</v>
      </c>
      <c r="AU1627" s="2">
        <v>94873.187489069707</v>
      </c>
      <c r="AV1627" s="2">
        <v>31906.251788356702</v>
      </c>
      <c r="AW1627" s="2">
        <v>36177.0521653549</v>
      </c>
      <c r="AX1627" s="2">
        <v>26562.021993521401</v>
      </c>
    </row>
    <row r="1628" spans="1:50" x14ac:dyDescent="0.25">
      <c r="A1628" s="2" t="s">
        <v>11126</v>
      </c>
      <c r="B1628" s="2">
        <v>335.15236706451202</v>
      </c>
      <c r="C1628" s="2">
        <v>10.311249999999999</v>
      </c>
      <c r="D1628" s="2" t="s">
        <v>51</v>
      </c>
      <c r="E1628" s="2" t="s">
        <v>11127</v>
      </c>
      <c r="F1628" s="2">
        <v>206141</v>
      </c>
      <c r="G1628" s="3" t="str">
        <f>HYPERLINK("https://cloud.oebiotech.com/#/lm/network/206141", "https://cloud.oebiotech.com/#/lm/network/206141")</f>
        <v>https://cloud.oebiotech.com/#/lm/network/206141</v>
      </c>
      <c r="H1628" s="2" t="s">
        <v>11128</v>
      </c>
      <c r="I1628" s="2"/>
      <c r="J1628" s="2"/>
      <c r="K1628" s="2">
        <v>3047138</v>
      </c>
      <c r="L1628" s="2"/>
      <c r="M1628" s="2"/>
      <c r="N1628" s="2"/>
      <c r="O1628" s="2"/>
      <c r="P1628" s="2"/>
      <c r="Q1628" s="2"/>
      <c r="R1628" s="2"/>
      <c r="S1628" s="2" t="s">
        <v>11129</v>
      </c>
      <c r="T1628" s="2" t="s">
        <v>11130</v>
      </c>
      <c r="U1628" s="2" t="s">
        <v>103</v>
      </c>
      <c r="V1628" s="2" t="s">
        <v>104</v>
      </c>
      <c r="W1628" s="2" t="s">
        <v>105</v>
      </c>
      <c r="X1628" s="2" t="s">
        <v>147</v>
      </c>
      <c r="Y1628" s="2">
        <v>41</v>
      </c>
      <c r="Z1628" s="2">
        <v>24.4</v>
      </c>
      <c r="AA1628" s="2" t="s">
        <v>259</v>
      </c>
      <c r="AB1628" s="2" t="s">
        <v>11131</v>
      </c>
      <c r="AC1628" s="2">
        <v>-3.7598236814132302</v>
      </c>
      <c r="AD1628" s="2"/>
      <c r="AE1628" s="2">
        <v>0.39863509763744598</v>
      </c>
      <c r="AF1628" s="2">
        <v>9275.8953982133808</v>
      </c>
      <c r="AG1628" s="2">
        <v>5510.36886322591</v>
      </c>
      <c r="AH1628" s="5">
        <v>1.6833528985903601</v>
      </c>
      <c r="AI1628" s="5">
        <v>0.75133765538203601</v>
      </c>
      <c r="AJ1628" s="5" t="s">
        <v>139</v>
      </c>
      <c r="AK1628" s="2">
        <v>7.9468887867438096E-2</v>
      </c>
      <c r="AL1628" s="2">
        <v>0.36520736260394099</v>
      </c>
      <c r="AM1628" s="2">
        <v>10314.546548140301</v>
      </c>
      <c r="AN1628" s="2">
        <v>15353.017966679099</v>
      </c>
      <c r="AO1628" s="2">
        <v>8688.3367626398394</v>
      </c>
      <c r="AP1628" s="2">
        <v>4439.6819053408599</v>
      </c>
      <c r="AQ1628" s="2">
        <v>8414.7831821868695</v>
      </c>
      <c r="AR1628" s="2">
        <v>8445.0060242933396</v>
      </c>
      <c r="AS1628" s="2">
        <v>6574.5135262857302</v>
      </c>
      <c r="AT1628" s="2">
        <v>3956.3292253189702</v>
      </c>
      <c r="AU1628" s="2">
        <v>10923.7164455415</v>
      </c>
      <c r="AV1628" s="2">
        <v>2479.9540670491201</v>
      </c>
      <c r="AW1628" s="2">
        <v>3043.7126513207299</v>
      </c>
      <c r="AX1628" s="2">
        <v>6083.9872638393799</v>
      </c>
    </row>
    <row r="1629" spans="1:50" x14ac:dyDescent="0.25">
      <c r="A1629" s="2" t="s">
        <v>11132</v>
      </c>
      <c r="B1629" s="2">
        <v>731.33360027223296</v>
      </c>
      <c r="C1629" s="2">
        <v>4.5257666666666703</v>
      </c>
      <c r="D1629" s="2" t="s">
        <v>51</v>
      </c>
      <c r="E1629" s="2" t="s">
        <v>11133</v>
      </c>
      <c r="F1629" s="2">
        <v>81832</v>
      </c>
      <c r="G1629" s="3" t="str">
        <f>HYPERLINK("https://cloud.oebiotech.com/#/lm/network/81832", "https://cloud.oebiotech.com/#/lm/network/81832")</f>
        <v>https://cloud.oebiotech.com/#/lm/network/81832</v>
      </c>
      <c r="H1629" s="2" t="s">
        <v>11134</v>
      </c>
      <c r="I1629" s="2"/>
      <c r="J1629" s="2"/>
      <c r="K1629" s="2">
        <v>25195667</v>
      </c>
      <c r="L1629" s="2"/>
      <c r="M1629" s="2"/>
      <c r="N1629" s="2"/>
      <c r="O1629" s="2"/>
      <c r="P1629" s="2"/>
      <c r="Q1629" s="2"/>
      <c r="R1629" s="2"/>
      <c r="S1629" s="2" t="s">
        <v>11135</v>
      </c>
      <c r="T1629" s="2" t="s">
        <v>11136</v>
      </c>
      <c r="U1629" s="2" t="s">
        <v>103</v>
      </c>
      <c r="V1629" s="2" t="s">
        <v>104</v>
      </c>
      <c r="W1629" s="2" t="s">
        <v>105</v>
      </c>
      <c r="X1629" s="2" t="s">
        <v>147</v>
      </c>
      <c r="Y1629" s="2">
        <v>36.299999999999997</v>
      </c>
      <c r="Z1629" s="2">
        <v>0</v>
      </c>
      <c r="AA1629" s="2" t="s">
        <v>395</v>
      </c>
      <c r="AB1629" s="2" t="s">
        <v>11137</v>
      </c>
      <c r="AC1629" s="2">
        <v>-1.97056147241915</v>
      </c>
      <c r="AD1629" s="2"/>
      <c r="AE1629" s="2">
        <v>0.39849883300383798</v>
      </c>
      <c r="AF1629" s="2">
        <v>1987.9970392372099</v>
      </c>
      <c r="AG1629" s="2">
        <v>10555.525412683501</v>
      </c>
      <c r="AH1629" s="4">
        <v>0.18833709943499699</v>
      </c>
      <c r="AI1629" s="4">
        <v>-2.4086108787964302</v>
      </c>
      <c r="AJ1629" s="4" t="s">
        <v>62</v>
      </c>
      <c r="AK1629" s="2">
        <v>0.42489437152392701</v>
      </c>
      <c r="AL1629" s="2">
        <v>0.68400109748748406</v>
      </c>
      <c r="AM1629" s="2">
        <v>6422.4142295134197</v>
      </c>
      <c r="AN1629" s="2">
        <v>8.559877937157E-6</v>
      </c>
      <c r="AO1629" s="2">
        <v>8.559877937157E-6</v>
      </c>
      <c r="AP1629" s="2">
        <v>8.559877937157E-6</v>
      </c>
      <c r="AQ1629" s="2">
        <v>4261.2377177531098</v>
      </c>
      <c r="AR1629" s="2">
        <v>1244.3302624770899</v>
      </c>
      <c r="AS1629" s="2">
        <v>8.559877937157E-6</v>
      </c>
      <c r="AT1629" s="2">
        <v>368.60653531032398</v>
      </c>
      <c r="AU1629" s="2">
        <v>337.26246155819598</v>
      </c>
      <c r="AV1629" s="2">
        <v>61743.828176774303</v>
      </c>
      <c r="AW1629" s="2">
        <v>8.559877937157E-6</v>
      </c>
      <c r="AX1629" s="2">
        <v>883.45528533845697</v>
      </c>
    </row>
    <row r="1630" spans="1:50" x14ac:dyDescent="0.25">
      <c r="A1630" s="2" t="s">
        <v>11138</v>
      </c>
      <c r="B1630" s="2">
        <v>208.13398575527799</v>
      </c>
      <c r="C1630" s="2">
        <v>2.9225500000000002</v>
      </c>
      <c r="D1630" s="2" t="s">
        <v>51</v>
      </c>
      <c r="E1630" s="2" t="s">
        <v>11139</v>
      </c>
      <c r="F1630" s="2">
        <v>266954</v>
      </c>
      <c r="G1630" s="3" t="str">
        <f>HYPERLINK("https://cloud.oebiotech.com/#/lm/network/266954", "https://cloud.oebiotech.com/#/lm/network/266954")</f>
        <v>https://cloud.oebiotech.com/#/lm/network/266954</v>
      </c>
      <c r="H1630" s="2"/>
      <c r="I1630" s="2">
        <v>44388</v>
      </c>
      <c r="J1630" s="2"/>
      <c r="K1630" s="2">
        <v>10302</v>
      </c>
      <c r="L1630" s="2"/>
      <c r="M1630" s="2"/>
      <c r="N1630" s="2"/>
      <c r="O1630" s="2"/>
      <c r="P1630" s="2"/>
      <c r="Q1630" s="2"/>
      <c r="R1630" s="2" t="s">
        <v>11140</v>
      </c>
      <c r="S1630" s="2" t="s">
        <v>11141</v>
      </c>
      <c r="T1630" s="2" t="s">
        <v>11142</v>
      </c>
      <c r="U1630" s="2" t="s">
        <v>266</v>
      </c>
      <c r="V1630" s="2" t="s">
        <v>4187</v>
      </c>
      <c r="W1630" s="2" t="s">
        <v>240</v>
      </c>
      <c r="X1630" s="2" t="s">
        <v>147</v>
      </c>
      <c r="Y1630" s="2">
        <v>40.6</v>
      </c>
      <c r="Z1630" s="2">
        <v>8.8000000000000007</v>
      </c>
      <c r="AA1630" s="2" t="s">
        <v>106</v>
      </c>
      <c r="AB1630" s="2" t="s">
        <v>11143</v>
      </c>
      <c r="AC1630" s="2">
        <v>3.76840394741127</v>
      </c>
      <c r="AD1630" s="2"/>
      <c r="AE1630" s="2">
        <v>0.39840929521819601</v>
      </c>
      <c r="AF1630" s="2">
        <v>167622.54760665901</v>
      </c>
      <c r="AG1630" s="2">
        <v>138533.34426203501</v>
      </c>
      <c r="AH1630" s="5">
        <v>1.2099797958360301</v>
      </c>
      <c r="AI1630" s="5">
        <v>0.27498295767299102</v>
      </c>
      <c r="AJ1630" s="5" t="s">
        <v>139</v>
      </c>
      <c r="AK1630" s="2">
        <v>0.88355377301916105</v>
      </c>
      <c r="AL1630" s="2">
        <v>0.94926868447606905</v>
      </c>
      <c r="AM1630" s="2">
        <v>9278.0680061739404</v>
      </c>
      <c r="AN1630" s="2">
        <v>10781.4471654563</v>
      </c>
      <c r="AO1630" s="2">
        <v>8915.1242673371507</v>
      </c>
      <c r="AP1630" s="2">
        <v>887634.17892797699</v>
      </c>
      <c r="AQ1630" s="2">
        <v>8950.6884088788102</v>
      </c>
      <c r="AR1630" s="2">
        <v>80175.778864130203</v>
      </c>
      <c r="AS1630" s="2">
        <v>10090.704436718101</v>
      </c>
      <c r="AT1630" s="2">
        <v>11186.064096698899</v>
      </c>
      <c r="AU1630" s="2">
        <v>9409.8601865672208</v>
      </c>
      <c r="AV1630" s="2">
        <v>6888.8505874119901</v>
      </c>
      <c r="AW1630" s="2">
        <v>782971.21186787297</v>
      </c>
      <c r="AX1630" s="2">
        <v>10653.374396937899</v>
      </c>
    </row>
    <row r="1631" spans="1:50" x14ac:dyDescent="0.25">
      <c r="A1631" s="2" t="s">
        <v>11144</v>
      </c>
      <c r="B1631" s="2">
        <v>209.003641608582</v>
      </c>
      <c r="C1631" s="2">
        <v>4.4470999999999998</v>
      </c>
      <c r="D1631" s="2" t="s">
        <v>51</v>
      </c>
      <c r="E1631" s="2" t="s">
        <v>11145</v>
      </c>
      <c r="F1631" s="2">
        <v>199567</v>
      </c>
      <c r="G1631" s="3" t="str">
        <f>HYPERLINK("https://cloud.oebiotech.com/#/lm/network/199567", "https://cloud.oebiotech.com/#/lm/network/199567")</f>
        <v>https://cloud.oebiotech.com/#/lm/network/199567</v>
      </c>
      <c r="H1631" s="2" t="s">
        <v>11146</v>
      </c>
      <c r="I1631" s="2"/>
      <c r="J1631" s="2"/>
      <c r="K1631" s="2">
        <v>2774975</v>
      </c>
      <c r="L1631" s="2"/>
      <c r="M1631" s="2"/>
      <c r="N1631" s="2"/>
      <c r="O1631" s="2"/>
      <c r="P1631" s="2"/>
      <c r="Q1631" s="2"/>
      <c r="R1631" s="2"/>
      <c r="S1631" s="2" t="s">
        <v>11147</v>
      </c>
      <c r="T1631" s="2" t="s">
        <v>11148</v>
      </c>
      <c r="U1631" s="2" t="s">
        <v>1357</v>
      </c>
      <c r="V1631" s="2" t="s">
        <v>11149</v>
      </c>
      <c r="W1631" s="2" t="s">
        <v>240</v>
      </c>
      <c r="X1631" s="2" t="s">
        <v>147</v>
      </c>
      <c r="Y1631" s="2">
        <v>40.9</v>
      </c>
      <c r="Z1631" s="2">
        <v>11.9</v>
      </c>
      <c r="AA1631" s="2" t="s">
        <v>218</v>
      </c>
      <c r="AB1631" s="2" t="s">
        <v>11150</v>
      </c>
      <c r="AC1631" s="2">
        <v>-3.8452574379910902</v>
      </c>
      <c r="AD1631" s="2"/>
      <c r="AE1631" s="2">
        <v>0.39775875848553999</v>
      </c>
      <c r="AF1631" s="2">
        <v>47486.060492678604</v>
      </c>
      <c r="AG1631" s="2">
        <v>52978.502582530498</v>
      </c>
      <c r="AH1631" s="4">
        <v>0.89632696618226004</v>
      </c>
      <c r="AI1631" s="4">
        <v>-0.15790299380702699</v>
      </c>
      <c r="AJ1631" s="4" t="s">
        <v>62</v>
      </c>
      <c r="AK1631" s="2">
        <v>0.108216102038605</v>
      </c>
      <c r="AL1631" s="2">
        <v>0.41964663475061997</v>
      </c>
      <c r="AM1631" s="2">
        <v>43535.355723961897</v>
      </c>
      <c r="AN1631" s="2">
        <v>48812.507992951498</v>
      </c>
      <c r="AO1631" s="2">
        <v>46174.598617774798</v>
      </c>
      <c r="AP1631" s="2">
        <v>50294.033474794902</v>
      </c>
      <c r="AQ1631" s="2">
        <v>51258.881338774598</v>
      </c>
      <c r="AR1631" s="2">
        <v>44840.985807814097</v>
      </c>
      <c r="AS1631" s="2">
        <v>55252.846690749102</v>
      </c>
      <c r="AT1631" s="2">
        <v>63184.4646746453</v>
      </c>
      <c r="AU1631" s="2">
        <v>44679.340074481101</v>
      </c>
      <c r="AV1631" s="2">
        <v>52840.412827182103</v>
      </c>
      <c r="AW1631" s="2">
        <v>45652.949462856101</v>
      </c>
      <c r="AX1631" s="2">
        <v>56261.0017652694</v>
      </c>
    </row>
    <row r="1632" spans="1:50" x14ac:dyDescent="0.25">
      <c r="A1632" s="2" t="s">
        <v>11151</v>
      </c>
      <c r="B1632" s="2">
        <v>186.14931229050001</v>
      </c>
      <c r="C1632" s="2">
        <v>0.74455000000000005</v>
      </c>
      <c r="D1632" s="2" t="s">
        <v>51</v>
      </c>
      <c r="E1632" s="2" t="s">
        <v>11152</v>
      </c>
      <c r="F1632" s="2">
        <v>35451</v>
      </c>
      <c r="G1632" s="3" t="str">
        <f>HYPERLINK("https://cloud.oebiotech.com/#/lm/network/35451", "https://cloud.oebiotech.com/#/lm/network/35451")</f>
        <v>https://cloud.oebiotech.com/#/lm/network/35451</v>
      </c>
      <c r="H1632" s="2"/>
      <c r="I1632" s="2">
        <v>53349</v>
      </c>
      <c r="J1632" s="2" t="s">
        <v>11153</v>
      </c>
      <c r="K1632" s="2">
        <v>447414</v>
      </c>
      <c r="L1632" s="2" t="s">
        <v>11154</v>
      </c>
      <c r="M1632" s="2"/>
      <c r="N1632" s="2"/>
      <c r="O1632" s="2">
        <v>15398</v>
      </c>
      <c r="P1632" s="2"/>
      <c r="Q1632" s="2"/>
      <c r="R1632" s="2"/>
      <c r="S1632" s="2" t="s">
        <v>11155</v>
      </c>
      <c r="T1632" s="2" t="s">
        <v>11156</v>
      </c>
      <c r="U1632" s="2" t="s">
        <v>56</v>
      </c>
      <c r="V1632" s="2" t="s">
        <v>177</v>
      </c>
      <c r="W1632" s="2" t="s">
        <v>584</v>
      </c>
      <c r="X1632" s="2" t="s">
        <v>147</v>
      </c>
      <c r="Y1632" s="2">
        <v>38.200000000000003</v>
      </c>
      <c r="Z1632" s="2">
        <v>0</v>
      </c>
      <c r="AA1632" s="2" t="s">
        <v>5030</v>
      </c>
      <c r="AB1632" s="2" t="s">
        <v>9558</v>
      </c>
      <c r="AC1632" s="2">
        <v>2.7184259531050299</v>
      </c>
      <c r="AD1632" s="2"/>
      <c r="AE1632" s="2">
        <v>0.39751213504671401</v>
      </c>
      <c r="AF1632" s="2">
        <v>13344.3233122121</v>
      </c>
      <c r="AG1632" s="2">
        <v>3237.10433758205</v>
      </c>
      <c r="AH1632" s="5">
        <v>4.1223025026680702</v>
      </c>
      <c r="AI1632" s="5">
        <v>2.04345037656228</v>
      </c>
      <c r="AJ1632" s="5" t="s">
        <v>139</v>
      </c>
      <c r="AK1632" s="2">
        <v>0.18445796487271399</v>
      </c>
      <c r="AL1632" s="2">
        <v>0.50894720120979398</v>
      </c>
      <c r="AM1632" s="2">
        <v>1482.2624450047899</v>
      </c>
      <c r="AN1632" s="2">
        <v>9082.4794322148009</v>
      </c>
      <c r="AO1632" s="2">
        <v>1208.7473162632</v>
      </c>
      <c r="AP1632" s="2">
        <v>9227.1969433728591</v>
      </c>
      <c r="AQ1632" s="2">
        <v>46768.969590999797</v>
      </c>
      <c r="AR1632" s="2">
        <v>12296.284145417399</v>
      </c>
      <c r="AS1632" s="2">
        <v>9785.8765745017208</v>
      </c>
      <c r="AT1632" s="2">
        <v>4111.5016686314002</v>
      </c>
      <c r="AU1632" s="2">
        <v>8.559877937157E-6</v>
      </c>
      <c r="AV1632" s="2">
        <v>160.44055432116599</v>
      </c>
      <c r="AW1632" s="2">
        <v>3791.3402408439401</v>
      </c>
      <c r="AX1632" s="2">
        <v>1573.4669786341899</v>
      </c>
    </row>
    <row r="1633" spans="1:50" x14ac:dyDescent="0.25">
      <c r="A1633" s="2" t="s">
        <v>11157</v>
      </c>
      <c r="B1633" s="2">
        <v>164.02967092158201</v>
      </c>
      <c r="C1633" s="2">
        <v>0.68110000000000004</v>
      </c>
      <c r="D1633" s="2" t="s">
        <v>51</v>
      </c>
      <c r="E1633" s="2" t="s">
        <v>11158</v>
      </c>
      <c r="F1633" s="2">
        <v>10129</v>
      </c>
      <c r="G1633" s="3" t="str">
        <f>HYPERLINK("https://cloud.oebiotech.com/#/lm/network/10129", "https://cloud.oebiotech.com/#/lm/network/10129")</f>
        <v>https://cloud.oebiotech.com/#/lm/network/10129</v>
      </c>
      <c r="H1633" s="2"/>
      <c r="I1633" s="2"/>
      <c r="J1633" s="2" t="s">
        <v>11159</v>
      </c>
      <c r="K1633" s="2">
        <v>134812255</v>
      </c>
      <c r="L1633" s="2"/>
      <c r="M1633" s="2"/>
      <c r="N1633" s="2"/>
      <c r="O1633" s="2"/>
      <c r="P1633" s="2"/>
      <c r="Q1633" s="2"/>
      <c r="R1633" s="2"/>
      <c r="S1633" s="2" t="s">
        <v>11160</v>
      </c>
      <c r="T1633" s="2" t="s">
        <v>11161</v>
      </c>
      <c r="U1633" s="2" t="s">
        <v>266</v>
      </c>
      <c r="V1633" s="2" t="s">
        <v>11162</v>
      </c>
      <c r="W1633" s="2" t="s">
        <v>11163</v>
      </c>
      <c r="X1633" s="2" t="s">
        <v>147</v>
      </c>
      <c r="Y1633" s="2">
        <v>37.299999999999997</v>
      </c>
      <c r="Z1633" s="2">
        <v>0</v>
      </c>
      <c r="AA1633" s="2" t="s">
        <v>122</v>
      </c>
      <c r="AB1633" s="2" t="s">
        <v>11164</v>
      </c>
      <c r="AC1633" s="2">
        <v>0.51786670938079304</v>
      </c>
      <c r="AD1633" s="2"/>
      <c r="AE1633" s="2">
        <v>0.39749960205613999</v>
      </c>
      <c r="AF1633" s="2">
        <v>22715.360140734301</v>
      </c>
      <c r="AG1633" s="2">
        <v>32159.386326637501</v>
      </c>
      <c r="AH1633" s="4">
        <v>0.70633686569818899</v>
      </c>
      <c r="AI1633" s="4">
        <v>-0.50157169812784996</v>
      </c>
      <c r="AJ1633" s="4" t="s">
        <v>62</v>
      </c>
      <c r="AK1633" s="2">
        <v>0.23351844743209099</v>
      </c>
      <c r="AL1633" s="2">
        <v>0.558806538655512</v>
      </c>
      <c r="AM1633" s="2">
        <v>24482.722793308101</v>
      </c>
      <c r="AN1633" s="2">
        <v>22567.668300021101</v>
      </c>
      <c r="AO1633" s="2">
        <v>21090.3357407326</v>
      </c>
      <c r="AP1633" s="2">
        <v>34763.196552082401</v>
      </c>
      <c r="AQ1633" s="2">
        <v>18119.459354224</v>
      </c>
      <c r="AR1633" s="2">
        <v>15268.778104037699</v>
      </c>
      <c r="AS1633" s="2">
        <v>12526.7516087403</v>
      </c>
      <c r="AT1633" s="2">
        <v>23155.711138075902</v>
      </c>
      <c r="AU1633" s="2">
        <v>59682.986591407796</v>
      </c>
      <c r="AV1633" s="2">
        <v>25892.028001390401</v>
      </c>
      <c r="AW1633" s="2">
        <v>27304.082521485001</v>
      </c>
      <c r="AX1633" s="2">
        <v>44394.758098725499</v>
      </c>
    </row>
    <row r="1634" spans="1:50" x14ac:dyDescent="0.25">
      <c r="A1634" s="2" t="s">
        <v>11165</v>
      </c>
      <c r="B1634" s="2">
        <v>827.42799391233405</v>
      </c>
      <c r="C1634" s="2">
        <v>4.2136500000000003</v>
      </c>
      <c r="D1634" s="2" t="s">
        <v>51</v>
      </c>
      <c r="E1634" s="2" t="s">
        <v>11166</v>
      </c>
      <c r="F1634" s="2">
        <v>52380</v>
      </c>
      <c r="G1634" s="3" t="str">
        <f>HYPERLINK("https://cloud.oebiotech.com/#/lm/network/52380", "https://cloud.oebiotech.com/#/lm/network/52380")</f>
        <v>https://cloud.oebiotech.com/#/lm/network/52380</v>
      </c>
      <c r="H1634" s="2" t="s">
        <v>11167</v>
      </c>
      <c r="I1634" s="2"/>
      <c r="J1634" s="2"/>
      <c r="K1634" s="2">
        <v>53481886</v>
      </c>
      <c r="L1634" s="2"/>
      <c r="M1634" s="2"/>
      <c r="N1634" s="2"/>
      <c r="O1634" s="2"/>
      <c r="P1634" s="2"/>
      <c r="Q1634" s="2"/>
      <c r="R1634" s="2"/>
      <c r="S1634" s="2" t="s">
        <v>11168</v>
      </c>
      <c r="T1634" s="2" t="s">
        <v>11169</v>
      </c>
      <c r="U1634" s="2" t="s">
        <v>56</v>
      </c>
      <c r="V1634" s="2" t="s">
        <v>57</v>
      </c>
      <c r="W1634" s="2" t="s">
        <v>6588</v>
      </c>
      <c r="X1634" s="2" t="s">
        <v>147</v>
      </c>
      <c r="Y1634" s="2">
        <v>37.1</v>
      </c>
      <c r="Z1634" s="2">
        <v>0</v>
      </c>
      <c r="AA1634" s="2" t="s">
        <v>379</v>
      </c>
      <c r="AB1634" s="2" t="s">
        <v>11170</v>
      </c>
      <c r="AC1634" s="2">
        <v>1.2043419669164199</v>
      </c>
      <c r="AD1634" s="2"/>
      <c r="AE1634" s="2">
        <v>0.39734924162211299</v>
      </c>
      <c r="AF1634" s="2">
        <v>3348.2635132514301</v>
      </c>
      <c r="AG1634" s="2">
        <v>11414.0911560435</v>
      </c>
      <c r="AH1634" s="4">
        <v>0.29334473218032697</v>
      </c>
      <c r="AI1634" s="4">
        <v>-1.7693310102432001</v>
      </c>
      <c r="AJ1634" s="4" t="s">
        <v>62</v>
      </c>
      <c r="AK1634" s="2">
        <v>0.44342373822547798</v>
      </c>
      <c r="AL1634" s="2">
        <v>0.69908803275019105</v>
      </c>
      <c r="AM1634" s="2">
        <v>5827.7481794483101</v>
      </c>
      <c r="AN1634" s="2">
        <v>8.559877937157E-6</v>
      </c>
      <c r="AO1634" s="2">
        <v>8.559877937157E-6</v>
      </c>
      <c r="AP1634" s="2">
        <v>14.1718106217146</v>
      </c>
      <c r="AQ1634" s="2">
        <v>8297.7541433278093</v>
      </c>
      <c r="AR1634" s="2">
        <v>5949.9069289909703</v>
      </c>
      <c r="AS1634" s="2">
        <v>0.55722464802191396</v>
      </c>
      <c r="AT1634" s="2">
        <v>8.559877937157E-6</v>
      </c>
      <c r="AU1634" s="2">
        <v>8.559877937157E-6</v>
      </c>
      <c r="AV1634" s="2">
        <v>60989.034225566102</v>
      </c>
      <c r="AW1634" s="2">
        <v>8.559877937157E-6</v>
      </c>
      <c r="AX1634" s="2">
        <v>7494.9554603674896</v>
      </c>
    </row>
    <row r="1635" spans="1:50" x14ac:dyDescent="0.25">
      <c r="A1635" s="2" t="s">
        <v>11171</v>
      </c>
      <c r="B1635" s="2">
        <v>193.04057287568901</v>
      </c>
      <c r="C1635" s="2">
        <v>0.82335000000000003</v>
      </c>
      <c r="D1635" s="2" t="s">
        <v>51</v>
      </c>
      <c r="E1635" s="2" t="s">
        <v>11172</v>
      </c>
      <c r="F1635" s="2">
        <v>201976</v>
      </c>
      <c r="G1635" s="3" t="str">
        <f>HYPERLINK("https://cloud.oebiotech.com/#/lm/network/201976", "https://cloud.oebiotech.com/#/lm/network/201976")</f>
        <v>https://cloud.oebiotech.com/#/lm/network/201976</v>
      </c>
      <c r="H1635" s="2" t="s">
        <v>11173</v>
      </c>
      <c r="I1635" s="2"/>
      <c r="J1635" s="2"/>
      <c r="K1635" s="2">
        <v>19945</v>
      </c>
      <c r="L1635" s="2"/>
      <c r="M1635" s="2"/>
      <c r="N1635" s="2"/>
      <c r="O1635" s="2"/>
      <c r="P1635" s="2"/>
      <c r="Q1635" s="2"/>
      <c r="R1635" s="2"/>
      <c r="S1635" s="2" t="s">
        <v>11174</v>
      </c>
      <c r="T1635" s="2" t="s">
        <v>11175</v>
      </c>
      <c r="U1635" s="2" t="s">
        <v>103</v>
      </c>
      <c r="V1635" s="2" t="s">
        <v>104</v>
      </c>
      <c r="W1635" s="2" t="s">
        <v>105</v>
      </c>
      <c r="X1635" s="2" t="s">
        <v>147</v>
      </c>
      <c r="Y1635" s="2">
        <v>38.200000000000003</v>
      </c>
      <c r="Z1635" s="2">
        <v>19.399999999999999</v>
      </c>
      <c r="AA1635" s="2" t="s">
        <v>122</v>
      </c>
      <c r="AB1635" s="2" t="s">
        <v>11176</v>
      </c>
      <c r="AC1635" s="2">
        <v>-1.5854679195217201</v>
      </c>
      <c r="AD1635" s="2"/>
      <c r="AE1635" s="2">
        <v>0.397245731175279</v>
      </c>
      <c r="AF1635" s="2">
        <v>29082.0418526881</v>
      </c>
      <c r="AG1635" s="2">
        <v>24180.203815439902</v>
      </c>
      <c r="AH1635" s="5">
        <v>1.2027211215696301</v>
      </c>
      <c r="AI1635" s="5">
        <v>0.26630215941310498</v>
      </c>
      <c r="AJ1635" s="5" t="s">
        <v>139</v>
      </c>
      <c r="AK1635" s="2">
        <v>0.187952536935687</v>
      </c>
      <c r="AL1635" s="2">
        <v>0.51257428194174204</v>
      </c>
      <c r="AM1635" s="2">
        <v>29373.919764425202</v>
      </c>
      <c r="AN1635" s="2">
        <v>37664.744563439599</v>
      </c>
      <c r="AO1635" s="2">
        <v>27734.6036366919</v>
      </c>
      <c r="AP1635" s="2">
        <v>35470.590529278197</v>
      </c>
      <c r="AQ1635" s="2">
        <v>22184.3248782095</v>
      </c>
      <c r="AR1635" s="2">
        <v>22064.067744084499</v>
      </c>
      <c r="AS1635" s="2">
        <v>21287.4705354535</v>
      </c>
      <c r="AT1635" s="2">
        <v>31873.477228064901</v>
      </c>
      <c r="AU1635" s="2">
        <v>27192.791300140299</v>
      </c>
      <c r="AV1635" s="2">
        <v>16138.416468180199</v>
      </c>
      <c r="AW1635" s="2">
        <v>26082.128288359901</v>
      </c>
      <c r="AX1635" s="2">
        <v>22506.939072440298</v>
      </c>
    </row>
    <row r="1636" spans="1:50" x14ac:dyDescent="0.25">
      <c r="A1636" s="2" t="s">
        <v>11177</v>
      </c>
      <c r="B1636" s="2">
        <v>229.14432873159299</v>
      </c>
      <c r="C1636" s="2">
        <v>5.60476666666667</v>
      </c>
      <c r="D1636" s="2" t="s">
        <v>51</v>
      </c>
      <c r="E1636" s="2" t="s">
        <v>11178</v>
      </c>
      <c r="F1636" s="2">
        <v>10417</v>
      </c>
      <c r="G1636" s="3" t="str">
        <f>HYPERLINK("https://cloud.oebiotech.com/#/lm/network/10417", "https://cloud.oebiotech.com/#/lm/network/10417")</f>
        <v>https://cloud.oebiotech.com/#/lm/network/10417</v>
      </c>
      <c r="H1636" s="2"/>
      <c r="I1636" s="2"/>
      <c r="J1636" s="2" t="s">
        <v>11179</v>
      </c>
      <c r="K1636" s="2">
        <v>129365160</v>
      </c>
      <c r="L1636" s="2"/>
      <c r="M1636" s="2"/>
      <c r="N1636" s="2"/>
      <c r="O1636" s="2"/>
      <c r="P1636" s="2"/>
      <c r="Q1636" s="2"/>
      <c r="R1636" s="2"/>
      <c r="S1636" s="2" t="s">
        <v>11180</v>
      </c>
      <c r="T1636" s="2" t="s">
        <v>11181</v>
      </c>
      <c r="U1636" s="2" t="s">
        <v>331</v>
      </c>
      <c r="V1636" s="2" t="s">
        <v>332</v>
      </c>
      <c r="W1636" s="2" t="s">
        <v>333</v>
      </c>
      <c r="X1636" s="2" t="s">
        <v>83</v>
      </c>
      <c r="Y1636" s="2">
        <v>41</v>
      </c>
      <c r="Z1636" s="2">
        <v>0</v>
      </c>
      <c r="AA1636" s="2" t="s">
        <v>379</v>
      </c>
      <c r="AB1636" s="2" t="s">
        <v>11182</v>
      </c>
      <c r="AC1636" s="2">
        <v>-0.82210644546525002</v>
      </c>
      <c r="AD1636" s="2"/>
      <c r="AE1636" s="2">
        <v>0.39710627416300498</v>
      </c>
      <c r="AF1636" s="2">
        <v>6275.3134182575204</v>
      </c>
      <c r="AG1636" s="2">
        <v>2591.8621838931499</v>
      </c>
      <c r="AH1636" s="5">
        <v>2.4211601439516302</v>
      </c>
      <c r="AI1636" s="5">
        <v>1.2756985073599101</v>
      </c>
      <c r="AJ1636" s="5" t="s">
        <v>139</v>
      </c>
      <c r="AK1636" s="2">
        <v>1.9657685122214701E-2</v>
      </c>
      <c r="AL1636" s="2">
        <v>0.21937533189960301</v>
      </c>
      <c r="AM1636" s="2">
        <v>7666.0768323458997</v>
      </c>
      <c r="AN1636" s="2">
        <v>10488.5969921047</v>
      </c>
      <c r="AO1636" s="2">
        <v>3264.09507253621</v>
      </c>
      <c r="AP1636" s="2">
        <v>3726.5968816057298</v>
      </c>
      <c r="AQ1636" s="2">
        <v>3843.2443413649899</v>
      </c>
      <c r="AR1636" s="2">
        <v>8663.2703895876093</v>
      </c>
      <c r="AS1636" s="2">
        <v>2474.8207237594602</v>
      </c>
      <c r="AT1636" s="2">
        <v>1758.64592420689</v>
      </c>
      <c r="AU1636" s="2">
        <v>3523.63141836772</v>
      </c>
      <c r="AV1636" s="2">
        <v>2821.0429186695601</v>
      </c>
      <c r="AW1636" s="2">
        <v>1005.90946680176</v>
      </c>
      <c r="AX1636" s="2">
        <v>3967.12265155351</v>
      </c>
    </row>
    <row r="1637" spans="1:50" x14ac:dyDescent="0.25">
      <c r="A1637" s="2" t="s">
        <v>11183</v>
      </c>
      <c r="B1637" s="2">
        <v>517.390393648555</v>
      </c>
      <c r="C1637" s="2">
        <v>12.5362333333333</v>
      </c>
      <c r="D1637" s="2" t="s">
        <v>51</v>
      </c>
      <c r="E1637" s="2" t="s">
        <v>11184</v>
      </c>
      <c r="F1637" s="2">
        <v>43772</v>
      </c>
      <c r="G1637" s="3" t="str">
        <f>HYPERLINK("https://cloud.oebiotech.com/#/lm/network/43772", "https://cloud.oebiotech.com/#/lm/network/43772")</f>
        <v>https://cloud.oebiotech.com/#/lm/network/43772</v>
      </c>
      <c r="H1637" s="2"/>
      <c r="I1637" s="2"/>
      <c r="J1637" s="2" t="s">
        <v>11185</v>
      </c>
      <c r="K1637" s="2"/>
      <c r="L1637" s="2"/>
      <c r="M1637" s="2"/>
      <c r="N1637" s="2"/>
      <c r="O1637" s="2"/>
      <c r="P1637" s="2"/>
      <c r="Q1637" s="2"/>
      <c r="R1637" s="2"/>
      <c r="S1637" s="2" t="s">
        <v>11186</v>
      </c>
      <c r="T1637" s="2" t="s">
        <v>11187</v>
      </c>
      <c r="U1637" s="2" t="s">
        <v>56</v>
      </c>
      <c r="V1637" s="2" t="s">
        <v>283</v>
      </c>
      <c r="W1637" s="2" t="s">
        <v>1108</v>
      </c>
      <c r="X1637" s="2" t="s">
        <v>83</v>
      </c>
      <c r="Y1637" s="2">
        <v>44.9</v>
      </c>
      <c r="Z1637" s="2">
        <v>0</v>
      </c>
      <c r="AA1637" s="2" t="s">
        <v>163</v>
      </c>
      <c r="AB1637" s="2" t="s">
        <v>5969</v>
      </c>
      <c r="AC1637" s="2">
        <v>1.0518016952532101</v>
      </c>
      <c r="AD1637" s="2"/>
      <c r="AE1637" s="2">
        <v>0.39706528416027398</v>
      </c>
      <c r="AF1637" s="2">
        <v>25668.607335232999</v>
      </c>
      <c r="AG1637" s="2">
        <v>18786.189518744901</v>
      </c>
      <c r="AH1637" s="5">
        <v>1.3663551786071799</v>
      </c>
      <c r="AI1637" s="5">
        <v>0.45033255523077498</v>
      </c>
      <c r="AJ1637" s="5" t="s">
        <v>139</v>
      </c>
      <c r="AK1637" s="2">
        <v>0.146730291042342</v>
      </c>
      <c r="AL1637" s="2">
        <v>0.46813495501649</v>
      </c>
      <c r="AM1637" s="2">
        <v>19680.946345824501</v>
      </c>
      <c r="AN1637" s="2">
        <v>37699.597740228302</v>
      </c>
      <c r="AO1637" s="2">
        <v>26150.4840577451</v>
      </c>
      <c r="AP1637" s="2">
        <v>23757.284349009398</v>
      </c>
      <c r="AQ1637" s="2">
        <v>26338.3552767541</v>
      </c>
      <c r="AR1637" s="2">
        <v>20384.976241836499</v>
      </c>
      <c r="AS1637" s="2">
        <v>18284.928737669899</v>
      </c>
      <c r="AT1637" s="2">
        <v>18634.322611960499</v>
      </c>
      <c r="AU1637" s="2">
        <v>10502.5855046919</v>
      </c>
      <c r="AV1637" s="2">
        <v>10138.711859814999</v>
      </c>
      <c r="AW1637" s="2">
        <v>21966.469562150502</v>
      </c>
      <c r="AX1637" s="2">
        <v>33190.118836181697</v>
      </c>
    </row>
    <row r="1638" spans="1:50" x14ac:dyDescent="0.25">
      <c r="A1638" s="2" t="s">
        <v>11188</v>
      </c>
      <c r="B1638" s="2">
        <v>242.10499999999999</v>
      </c>
      <c r="C1638" s="2">
        <v>22.355</v>
      </c>
      <c r="D1638" s="2" t="s">
        <v>125</v>
      </c>
      <c r="E1638" s="2" t="s">
        <v>11189</v>
      </c>
      <c r="F1638" s="2">
        <v>53196</v>
      </c>
      <c r="G1638" s="3" t="str">
        <f>HYPERLINK("https://cloud.oebiotech.com/#/lm/network/53196", "https://cloud.oebiotech.com/#/lm/network/53196")</f>
        <v>https://cloud.oebiotech.com/#/lm/network/53196</v>
      </c>
      <c r="H1638" s="2" t="s">
        <v>11190</v>
      </c>
      <c r="I1638" s="2">
        <v>321384</v>
      </c>
      <c r="J1638" s="2"/>
      <c r="K1638" s="2">
        <v>4037</v>
      </c>
      <c r="L1638" s="2" t="s">
        <v>11191</v>
      </c>
      <c r="M1638" s="2"/>
      <c r="N1638" s="2"/>
      <c r="O1638" s="2">
        <v>6710</v>
      </c>
      <c r="P1638" s="2"/>
      <c r="Q1638" s="2"/>
      <c r="R1638" s="2" t="s">
        <v>11192</v>
      </c>
      <c r="S1638" s="2" t="s">
        <v>11193</v>
      </c>
      <c r="T1638" s="2" t="s">
        <v>11194</v>
      </c>
      <c r="U1638" s="2" t="s">
        <v>610</v>
      </c>
      <c r="V1638" s="2" t="s">
        <v>611</v>
      </c>
      <c r="W1638" s="2" t="s">
        <v>1122</v>
      </c>
      <c r="X1638" s="2" t="s">
        <v>59</v>
      </c>
      <c r="Y1638" s="2">
        <v>73.599999999999994</v>
      </c>
      <c r="Z1638" s="2">
        <v>56.2</v>
      </c>
      <c r="AA1638" s="2"/>
      <c r="AB1638" s="2" t="s">
        <v>11195</v>
      </c>
      <c r="AC1638" s="2"/>
      <c r="AD1638" s="2">
        <v>771993.50543478294</v>
      </c>
      <c r="AE1638" s="2">
        <v>0.39694093778370598</v>
      </c>
      <c r="AF1638" s="2">
        <v>5770.0231177340302</v>
      </c>
      <c r="AG1638" s="2">
        <v>54035.615111638297</v>
      </c>
      <c r="AH1638" s="4">
        <v>0.10678185315024299</v>
      </c>
      <c r="AI1638" s="4">
        <v>-3.2272616032421699</v>
      </c>
      <c r="AJ1638" s="4" t="s">
        <v>62</v>
      </c>
      <c r="AK1638" s="2">
        <v>0.15908281715049399</v>
      </c>
      <c r="AL1638" s="2">
        <v>0.48227444314382201</v>
      </c>
      <c r="AM1638" s="2">
        <v>2299.8352172700202</v>
      </c>
      <c r="AN1638" s="2">
        <v>2299.8352172700202</v>
      </c>
      <c r="AO1638" s="2">
        <v>2299.8352172700202</v>
      </c>
      <c r="AP1638" s="2">
        <v>2299.8352172700202</v>
      </c>
      <c r="AQ1638" s="2">
        <v>23120.962620054099</v>
      </c>
      <c r="AR1638" s="2">
        <v>2299.8352172700202</v>
      </c>
      <c r="AS1638" s="2">
        <v>2299.8352172700202</v>
      </c>
      <c r="AT1638" s="2">
        <v>2299.8352172700202</v>
      </c>
      <c r="AU1638" s="2">
        <v>153361.171619503</v>
      </c>
      <c r="AV1638" s="2">
        <v>153974.97508128299</v>
      </c>
      <c r="AW1638" s="2">
        <v>2299.8352172700202</v>
      </c>
      <c r="AX1638" s="2">
        <v>9978.0383172338898</v>
      </c>
    </row>
    <row r="1639" spans="1:50" x14ac:dyDescent="0.25">
      <c r="A1639" s="2" t="s">
        <v>11196</v>
      </c>
      <c r="B1639" s="2">
        <v>277.104059554267</v>
      </c>
      <c r="C1639" s="2">
        <v>0.73424999999999996</v>
      </c>
      <c r="D1639" s="2" t="s">
        <v>51</v>
      </c>
      <c r="E1639" s="2" t="s">
        <v>11197</v>
      </c>
      <c r="F1639" s="2">
        <v>51506</v>
      </c>
      <c r="G1639" s="3" t="str">
        <f>HYPERLINK("https://cloud.oebiotech.com/#/lm/network/51506", "https://cloud.oebiotech.com/#/lm/network/51506")</f>
        <v>https://cloud.oebiotech.com/#/lm/network/51506</v>
      </c>
      <c r="H1639" s="2" t="s">
        <v>11198</v>
      </c>
      <c r="I1639" s="2">
        <v>62460</v>
      </c>
      <c r="J1639" s="2"/>
      <c r="K1639" s="2">
        <v>92865</v>
      </c>
      <c r="L1639" s="2" t="s">
        <v>11199</v>
      </c>
      <c r="M1639" s="2"/>
      <c r="N1639" s="2"/>
      <c r="O1639" s="2">
        <v>73705</v>
      </c>
      <c r="P1639" s="2"/>
      <c r="Q1639" s="2"/>
      <c r="R1639" s="2" t="s">
        <v>11200</v>
      </c>
      <c r="S1639" s="2" t="s">
        <v>11201</v>
      </c>
      <c r="T1639" s="2" t="s">
        <v>11202</v>
      </c>
      <c r="U1639" s="2" t="s">
        <v>103</v>
      </c>
      <c r="V1639" s="2" t="s">
        <v>104</v>
      </c>
      <c r="W1639" s="2" t="s">
        <v>105</v>
      </c>
      <c r="X1639" s="2" t="s">
        <v>69</v>
      </c>
      <c r="Y1639" s="2">
        <v>52.6</v>
      </c>
      <c r="Z1639" s="2">
        <v>62</v>
      </c>
      <c r="AA1639" s="2" t="s">
        <v>60</v>
      </c>
      <c r="AB1639" s="2" t="s">
        <v>11203</v>
      </c>
      <c r="AC1639" s="2">
        <v>3.7387849099188299</v>
      </c>
      <c r="AD1639" s="2"/>
      <c r="AE1639" s="2">
        <v>0.39679511825039199</v>
      </c>
      <c r="AF1639" s="2">
        <v>146040.484765859</v>
      </c>
      <c r="AG1639" s="2">
        <v>121863.069888778</v>
      </c>
      <c r="AH1639" s="5">
        <v>1.1983982095572301</v>
      </c>
      <c r="AI1639" s="5">
        <v>0.26110737348136498</v>
      </c>
      <c r="AJ1639" s="5" t="s">
        <v>139</v>
      </c>
      <c r="AK1639" s="2">
        <v>0.536558435951485</v>
      </c>
      <c r="AL1639" s="2">
        <v>0.76300541684946799</v>
      </c>
      <c r="AM1639" s="2">
        <v>154142.17224778901</v>
      </c>
      <c r="AN1639" s="2">
        <v>32222.504511759002</v>
      </c>
      <c r="AO1639" s="2">
        <v>165425.28196934299</v>
      </c>
      <c r="AP1639" s="2">
        <v>213445.40531366499</v>
      </c>
      <c r="AQ1639" s="2">
        <v>152004.04979305601</v>
      </c>
      <c r="AR1639" s="2">
        <v>159003.49475954199</v>
      </c>
      <c r="AS1639" s="2">
        <v>160305.128828057</v>
      </c>
      <c r="AT1639" s="2">
        <v>53330.641902975003</v>
      </c>
      <c r="AU1639" s="2">
        <v>204689.32749808399</v>
      </c>
      <c r="AV1639" s="2">
        <v>96491.772851683403</v>
      </c>
      <c r="AW1639" s="2">
        <v>35319.423221789802</v>
      </c>
      <c r="AX1639" s="2">
        <v>181042.12503008</v>
      </c>
    </row>
    <row r="1640" spans="1:50" x14ac:dyDescent="0.25">
      <c r="A1640" s="2" t="s">
        <v>11204</v>
      </c>
      <c r="B1640" s="2">
        <v>557.25778943981095</v>
      </c>
      <c r="C1640" s="2">
        <v>3.9827333333333299</v>
      </c>
      <c r="D1640" s="2" t="s">
        <v>51</v>
      </c>
      <c r="E1640" s="2" t="s">
        <v>11205</v>
      </c>
      <c r="F1640" s="2">
        <v>61329</v>
      </c>
      <c r="G1640" s="3" t="str">
        <f>HYPERLINK("https://cloud.oebiotech.com/#/lm/network/61329", "https://cloud.oebiotech.com/#/lm/network/61329")</f>
        <v>https://cloud.oebiotech.com/#/lm/network/61329</v>
      </c>
      <c r="H1640" s="2" t="s">
        <v>11206</v>
      </c>
      <c r="I1640" s="2"/>
      <c r="J1640" s="2"/>
      <c r="K1640" s="2">
        <v>131752247</v>
      </c>
      <c r="L1640" s="2"/>
      <c r="M1640" s="2"/>
      <c r="N1640" s="2"/>
      <c r="O1640" s="2">
        <v>167955</v>
      </c>
      <c r="P1640" s="2"/>
      <c r="Q1640" s="2"/>
      <c r="R1640" s="2"/>
      <c r="S1640" s="2" t="s">
        <v>11207</v>
      </c>
      <c r="T1640" s="2" t="s">
        <v>11208</v>
      </c>
      <c r="U1640" s="2" t="s">
        <v>103</v>
      </c>
      <c r="V1640" s="2" t="s">
        <v>104</v>
      </c>
      <c r="W1640" s="2" t="s">
        <v>105</v>
      </c>
      <c r="X1640" s="2" t="s">
        <v>59</v>
      </c>
      <c r="Y1640" s="2">
        <v>50.9</v>
      </c>
      <c r="Z1640" s="2">
        <v>68.2</v>
      </c>
      <c r="AA1640" s="2" t="s">
        <v>478</v>
      </c>
      <c r="AB1640" s="2" t="s">
        <v>11209</v>
      </c>
      <c r="AC1640" s="2">
        <v>2.6185504840633702</v>
      </c>
      <c r="AD1640" s="2"/>
      <c r="AE1640" s="2">
        <v>0.396765149811597</v>
      </c>
      <c r="AF1640" s="2">
        <v>4337.5894636454696</v>
      </c>
      <c r="AG1640" s="2">
        <v>13596.387846506501</v>
      </c>
      <c r="AH1640" s="4">
        <v>0.31902513466177601</v>
      </c>
      <c r="AI1640" s="4">
        <v>-1.64825800248528</v>
      </c>
      <c r="AJ1640" s="4" t="s">
        <v>62</v>
      </c>
      <c r="AK1640" s="2">
        <v>0.486133650825329</v>
      </c>
      <c r="AL1640" s="2">
        <v>0.729753599228818</v>
      </c>
      <c r="AM1640" s="2">
        <v>9682.6985285997598</v>
      </c>
      <c r="AN1640" s="2">
        <v>8.559877937157E-6</v>
      </c>
      <c r="AO1640" s="2">
        <v>8.559877937157E-6</v>
      </c>
      <c r="AP1640" s="2">
        <v>8.559877937157E-6</v>
      </c>
      <c r="AQ1640" s="2">
        <v>9934.8936621238008</v>
      </c>
      <c r="AR1640" s="2">
        <v>6407.9445654696501</v>
      </c>
      <c r="AS1640" s="2">
        <v>8.559877937157E-6</v>
      </c>
      <c r="AT1640" s="2">
        <v>763.29138748700905</v>
      </c>
      <c r="AU1640" s="2">
        <v>2287.2350615110199</v>
      </c>
      <c r="AV1640" s="2">
        <v>76791.846549894501</v>
      </c>
      <c r="AW1640" s="2">
        <v>8.559877937157E-6</v>
      </c>
      <c r="AX1640" s="2">
        <v>1735.9540630266499</v>
      </c>
    </row>
    <row r="1641" spans="1:50" x14ac:dyDescent="0.25">
      <c r="A1641" s="2" t="s">
        <v>11210</v>
      </c>
      <c r="B1641" s="2">
        <v>439.34302027412298</v>
      </c>
      <c r="C1641" s="2">
        <v>11.1923833333333</v>
      </c>
      <c r="D1641" s="2" t="s">
        <v>51</v>
      </c>
      <c r="E1641" s="2" t="s">
        <v>11211</v>
      </c>
      <c r="F1641" s="2">
        <v>54693</v>
      </c>
      <c r="G1641" s="3" t="str">
        <f>HYPERLINK("https://cloud.oebiotech.com/#/lm/network/54693", "https://cloud.oebiotech.com/#/lm/network/54693")</f>
        <v>https://cloud.oebiotech.com/#/lm/network/54693</v>
      </c>
      <c r="H1641" s="2" t="s">
        <v>11212</v>
      </c>
      <c r="I1641" s="2">
        <v>86511</v>
      </c>
      <c r="J1641" s="2"/>
      <c r="K1641" s="2">
        <v>71308241</v>
      </c>
      <c r="L1641" s="2"/>
      <c r="M1641" s="2"/>
      <c r="N1641" s="2"/>
      <c r="O1641" s="2">
        <v>172680</v>
      </c>
      <c r="P1641" s="2"/>
      <c r="Q1641" s="2"/>
      <c r="R1641" s="2" t="s">
        <v>11213</v>
      </c>
      <c r="S1641" s="2" t="s">
        <v>11214</v>
      </c>
      <c r="T1641" s="2" t="s">
        <v>11215</v>
      </c>
      <c r="U1641" s="2" t="s">
        <v>56</v>
      </c>
      <c r="V1641" s="2" t="s">
        <v>145</v>
      </c>
      <c r="W1641" s="2" t="s">
        <v>146</v>
      </c>
      <c r="X1641" s="2" t="s">
        <v>147</v>
      </c>
      <c r="Y1641" s="2">
        <v>43.1</v>
      </c>
      <c r="Z1641" s="2">
        <v>26.8</v>
      </c>
      <c r="AA1641" s="2" t="s">
        <v>163</v>
      </c>
      <c r="AB1641" s="2" t="s">
        <v>11216</v>
      </c>
      <c r="AC1641" s="2">
        <v>0.27720884529164203</v>
      </c>
      <c r="AD1641" s="2"/>
      <c r="AE1641" s="2">
        <v>0.39584649354643398</v>
      </c>
      <c r="AF1641" s="2">
        <v>14718.4619524262</v>
      </c>
      <c r="AG1641" s="2">
        <v>8390.3405355663399</v>
      </c>
      <c r="AH1641" s="5">
        <v>1.7542150869842701</v>
      </c>
      <c r="AI1641" s="5">
        <v>0.81082564966480897</v>
      </c>
      <c r="AJ1641" s="5" t="s">
        <v>139</v>
      </c>
      <c r="AK1641" s="2">
        <v>8.8625863509668307E-2</v>
      </c>
      <c r="AL1641" s="2">
        <v>0.38151976421702</v>
      </c>
      <c r="AM1641" s="2">
        <v>7799.3027832810703</v>
      </c>
      <c r="AN1641" s="2">
        <v>18568.045235742498</v>
      </c>
      <c r="AO1641" s="2">
        <v>10114.708935230001</v>
      </c>
      <c r="AP1641" s="2">
        <v>15497.24826006</v>
      </c>
      <c r="AQ1641" s="2">
        <v>24850.5327255786</v>
      </c>
      <c r="AR1641" s="2">
        <v>11480.933774665</v>
      </c>
      <c r="AS1641" s="2">
        <v>6408.42939110525</v>
      </c>
      <c r="AT1641" s="2">
        <v>13833.1908240025</v>
      </c>
      <c r="AU1641" s="2">
        <v>4434.74530825292</v>
      </c>
      <c r="AV1641" s="2">
        <v>847.89752807268803</v>
      </c>
      <c r="AW1641" s="2">
        <v>11492.758000841501</v>
      </c>
      <c r="AX1641" s="2">
        <v>13325.022161123199</v>
      </c>
    </row>
    <row r="1642" spans="1:50" x14ac:dyDescent="0.25">
      <c r="A1642" s="2" t="s">
        <v>11217</v>
      </c>
      <c r="B1642" s="2">
        <v>151.07573725738399</v>
      </c>
      <c r="C1642" s="2">
        <v>9.8706166666666704</v>
      </c>
      <c r="D1642" s="2" t="s">
        <v>51</v>
      </c>
      <c r="E1642" s="2" t="s">
        <v>11218</v>
      </c>
      <c r="F1642" s="2">
        <v>52448</v>
      </c>
      <c r="G1642" s="3" t="str">
        <f>HYPERLINK("https://cloud.oebiotech.com/#/lm/network/52448", "https://cloud.oebiotech.com/#/lm/network/52448")</f>
        <v>https://cloud.oebiotech.com/#/lm/network/52448</v>
      </c>
      <c r="H1642" s="2" t="s">
        <v>11219</v>
      </c>
      <c r="I1642" s="2">
        <v>71929</v>
      </c>
      <c r="J1642" s="2"/>
      <c r="K1642" s="2">
        <v>332</v>
      </c>
      <c r="L1642" s="2" t="s">
        <v>11220</v>
      </c>
      <c r="M1642" s="2"/>
      <c r="N1642" s="2"/>
      <c r="O1642" s="2">
        <v>42438</v>
      </c>
      <c r="P1642" s="2"/>
      <c r="Q1642" s="2"/>
      <c r="R1642" s="2" t="s">
        <v>11221</v>
      </c>
      <c r="S1642" s="2" t="s">
        <v>11222</v>
      </c>
      <c r="T1642" s="2" t="s">
        <v>11223</v>
      </c>
      <c r="U1642" s="2" t="s">
        <v>610</v>
      </c>
      <c r="V1642" s="2" t="s">
        <v>895</v>
      </c>
      <c r="W1642" s="2" t="s">
        <v>896</v>
      </c>
      <c r="X1642" s="2" t="s">
        <v>147</v>
      </c>
      <c r="Y1642" s="2">
        <v>39</v>
      </c>
      <c r="Z1642" s="2">
        <v>0</v>
      </c>
      <c r="AA1642" s="2" t="s">
        <v>179</v>
      </c>
      <c r="AB1642" s="2" t="s">
        <v>6373</v>
      </c>
      <c r="AC1642" s="2">
        <v>2.5406173336562499</v>
      </c>
      <c r="AD1642" s="2"/>
      <c r="AE1642" s="2">
        <v>0.39581262085782598</v>
      </c>
      <c r="AF1642" s="2">
        <v>10106.0954051344</v>
      </c>
      <c r="AG1642" s="2">
        <v>6452.6973025080897</v>
      </c>
      <c r="AH1642" s="5">
        <v>1.5661815410442801</v>
      </c>
      <c r="AI1642" s="5">
        <v>0.64725144965603398</v>
      </c>
      <c r="AJ1642" s="5" t="s">
        <v>139</v>
      </c>
      <c r="AK1642" s="2">
        <v>5.1465363111205297E-3</v>
      </c>
      <c r="AL1642" s="2">
        <v>0.123740271492219</v>
      </c>
      <c r="AM1642" s="2">
        <v>9581.7949423212394</v>
      </c>
      <c r="AN1642" s="2">
        <v>13086.317145229001</v>
      </c>
      <c r="AO1642" s="2">
        <v>9167.5035640164606</v>
      </c>
      <c r="AP1642" s="2">
        <v>8410.8819664903003</v>
      </c>
      <c r="AQ1642" s="2">
        <v>9807.9044121400893</v>
      </c>
      <c r="AR1642" s="2">
        <v>10582.170400609401</v>
      </c>
      <c r="AS1642" s="2">
        <v>10010.263187267001</v>
      </c>
      <c r="AT1642" s="2">
        <v>6236.9462873283101</v>
      </c>
      <c r="AU1642" s="2">
        <v>5880.1922297364199</v>
      </c>
      <c r="AV1642" s="2">
        <v>4511.35315064106</v>
      </c>
      <c r="AW1642" s="2">
        <v>5279.0572513554298</v>
      </c>
      <c r="AX1642" s="2">
        <v>6798.3717087203204</v>
      </c>
    </row>
    <row r="1643" spans="1:50" x14ac:dyDescent="0.25">
      <c r="A1643" s="2" t="s">
        <v>11224</v>
      </c>
      <c r="B1643" s="2">
        <v>277.21716230920401</v>
      </c>
      <c r="C1643" s="2">
        <v>14.459250000000001</v>
      </c>
      <c r="D1643" s="2" t="s">
        <v>51</v>
      </c>
      <c r="E1643" s="2" t="s">
        <v>11225</v>
      </c>
      <c r="F1643" s="2">
        <v>3127</v>
      </c>
      <c r="G1643" s="3" t="str">
        <f>HYPERLINK("https://cloud.oebiotech.com/#/lm/network/3127", "https://cloud.oebiotech.com/#/lm/network/3127")</f>
        <v>https://cloud.oebiotech.com/#/lm/network/3127</v>
      </c>
      <c r="H1643" s="2"/>
      <c r="I1643" s="2">
        <v>35514</v>
      </c>
      <c r="J1643" s="2" t="s">
        <v>11226</v>
      </c>
      <c r="K1643" s="2">
        <v>5282971</v>
      </c>
      <c r="L1643" s="2"/>
      <c r="M1643" s="2"/>
      <c r="N1643" s="2"/>
      <c r="O1643" s="2"/>
      <c r="P1643" s="2"/>
      <c r="Q1643" s="2"/>
      <c r="R1643" s="2" t="s">
        <v>11227</v>
      </c>
      <c r="S1643" s="2" t="s">
        <v>11228</v>
      </c>
      <c r="T1643" s="2" t="s">
        <v>11229</v>
      </c>
      <c r="U1643" s="2" t="s">
        <v>56</v>
      </c>
      <c r="V1643" s="2" t="s">
        <v>145</v>
      </c>
      <c r="W1643" s="2" t="s">
        <v>203</v>
      </c>
      <c r="X1643" s="2" t="s">
        <v>147</v>
      </c>
      <c r="Y1643" s="2">
        <v>37.799999999999997</v>
      </c>
      <c r="Z1643" s="2">
        <v>0</v>
      </c>
      <c r="AA1643" s="2" t="s">
        <v>156</v>
      </c>
      <c r="AB1643" s="2" t="s">
        <v>1722</v>
      </c>
      <c r="AC1643" s="2">
        <v>3.2483857840022599</v>
      </c>
      <c r="AD1643" s="2"/>
      <c r="AE1643" s="2">
        <v>0.39578549652070799</v>
      </c>
      <c r="AF1643" s="2">
        <v>8059.5580598918395</v>
      </c>
      <c r="AG1643" s="2">
        <v>11910.690998588199</v>
      </c>
      <c r="AH1643" s="4">
        <v>0.67666586773573001</v>
      </c>
      <c r="AI1643" s="4">
        <v>-0.56348447668171098</v>
      </c>
      <c r="AJ1643" s="4" t="s">
        <v>62</v>
      </c>
      <c r="AK1643" s="2">
        <v>8.1345290131806205E-2</v>
      </c>
      <c r="AL1643" s="2">
        <v>0.36927845566532902</v>
      </c>
      <c r="AM1643" s="2">
        <v>3769.9089351955499</v>
      </c>
      <c r="AN1643" s="2">
        <v>8415.4748463570504</v>
      </c>
      <c r="AO1643" s="2">
        <v>9265.9139016037607</v>
      </c>
      <c r="AP1643" s="2">
        <v>10652.042527093001</v>
      </c>
      <c r="AQ1643" s="2">
        <v>8223.5346995277996</v>
      </c>
      <c r="AR1643" s="2">
        <v>8030.4734495738803</v>
      </c>
      <c r="AS1643" s="2">
        <v>9400.6302700471606</v>
      </c>
      <c r="AT1643" s="2">
        <v>10074.9791947464</v>
      </c>
      <c r="AU1643" s="2">
        <v>8411.6967958936402</v>
      </c>
      <c r="AV1643" s="2">
        <v>8970.4596528989005</v>
      </c>
      <c r="AW1643" s="2">
        <v>16075.811719838801</v>
      </c>
      <c r="AX1643" s="2">
        <v>18530.5683581044</v>
      </c>
    </row>
    <row r="1644" spans="1:50" x14ac:dyDescent="0.25">
      <c r="A1644" s="2" t="s">
        <v>11230</v>
      </c>
      <c r="B1644" s="2">
        <v>200.02916804011099</v>
      </c>
      <c r="C1644" s="2">
        <v>3.6478999999999999</v>
      </c>
      <c r="D1644" s="2" t="s">
        <v>51</v>
      </c>
      <c r="E1644" s="2" t="s">
        <v>11231</v>
      </c>
      <c r="F1644" s="2">
        <v>53028</v>
      </c>
      <c r="G1644" s="3" t="str">
        <f>HYPERLINK("https://cloud.oebiotech.com/#/lm/network/53028", "https://cloud.oebiotech.com/#/lm/network/53028")</f>
        <v>https://cloud.oebiotech.com/#/lm/network/53028</v>
      </c>
      <c r="H1644" s="2" t="s">
        <v>11232</v>
      </c>
      <c r="I1644" s="2">
        <v>2823</v>
      </c>
      <c r="J1644" s="2"/>
      <c r="K1644" s="2">
        <v>5430</v>
      </c>
      <c r="L1644" s="2" t="s">
        <v>11233</v>
      </c>
      <c r="M1644" s="2"/>
      <c r="N1644" s="2"/>
      <c r="O1644" s="2">
        <v>45979</v>
      </c>
      <c r="P1644" s="2"/>
      <c r="Q1644" s="2"/>
      <c r="R1644" s="2" t="s">
        <v>11234</v>
      </c>
      <c r="S1644" s="2" t="s">
        <v>11235</v>
      </c>
      <c r="T1644" s="2" t="s">
        <v>11236</v>
      </c>
      <c r="U1644" s="2" t="s">
        <v>266</v>
      </c>
      <c r="V1644" s="2" t="s">
        <v>2963</v>
      </c>
      <c r="W1644" s="2" t="s">
        <v>240</v>
      </c>
      <c r="X1644" s="2" t="s">
        <v>147</v>
      </c>
      <c r="Y1644" s="2">
        <v>38.1</v>
      </c>
      <c r="Z1644" s="2">
        <v>2.87</v>
      </c>
      <c r="AA1644" s="2" t="s">
        <v>163</v>
      </c>
      <c r="AB1644" s="2" t="s">
        <v>11237</v>
      </c>
      <c r="AC1644" s="2">
        <v>1.87147124373873</v>
      </c>
      <c r="AD1644" s="2"/>
      <c r="AE1644" s="2">
        <v>0.39564906094651697</v>
      </c>
      <c r="AF1644" s="2">
        <v>17992.541073249002</v>
      </c>
      <c r="AG1644" s="2">
        <v>21831.239658562899</v>
      </c>
      <c r="AH1644" s="4">
        <v>0.82416488273911204</v>
      </c>
      <c r="AI1644" s="4">
        <v>-0.27899510248648202</v>
      </c>
      <c r="AJ1644" s="4" t="s">
        <v>62</v>
      </c>
      <c r="AK1644" s="2">
        <v>3.7272052244069202E-2</v>
      </c>
      <c r="AL1644" s="2">
        <v>0.28190403059546099</v>
      </c>
      <c r="AM1644" s="2">
        <v>13772.2623721032</v>
      </c>
      <c r="AN1644" s="2">
        <v>17085.744305054399</v>
      </c>
      <c r="AO1644" s="2">
        <v>17246.337410436699</v>
      </c>
      <c r="AP1644" s="2">
        <v>18147.6601014304</v>
      </c>
      <c r="AQ1644" s="2">
        <v>20257.656848771101</v>
      </c>
      <c r="AR1644" s="2">
        <v>21445.585401697899</v>
      </c>
      <c r="AS1644" s="2">
        <v>24114.056662537001</v>
      </c>
      <c r="AT1644" s="2">
        <v>25608.650388850801</v>
      </c>
      <c r="AU1644" s="2">
        <v>18920.253841245099</v>
      </c>
      <c r="AV1644" s="2">
        <v>18338.002777399201</v>
      </c>
      <c r="AW1644" s="2">
        <v>22335.083412384301</v>
      </c>
      <c r="AX1644" s="2">
        <v>21671.390868961</v>
      </c>
    </row>
    <row r="1645" spans="1:50" x14ac:dyDescent="0.25">
      <c r="A1645" s="2" t="s">
        <v>11238</v>
      </c>
      <c r="B1645" s="2">
        <v>281.11413378024201</v>
      </c>
      <c r="C1645" s="2">
        <v>3.6894833333333299</v>
      </c>
      <c r="D1645" s="2" t="s">
        <v>51</v>
      </c>
      <c r="E1645" s="2" t="s">
        <v>11239</v>
      </c>
      <c r="F1645" s="2">
        <v>47171</v>
      </c>
      <c r="G1645" s="3" t="str">
        <f>HYPERLINK("https://cloud.oebiotech.com/#/lm/network/47171", "https://cloud.oebiotech.com/#/lm/network/47171")</f>
        <v>https://cloud.oebiotech.com/#/lm/network/47171</v>
      </c>
      <c r="H1645" s="2" t="s">
        <v>11240</v>
      </c>
      <c r="I1645" s="2">
        <v>64957</v>
      </c>
      <c r="J1645" s="2"/>
      <c r="K1645" s="2">
        <v>93078</v>
      </c>
      <c r="L1645" s="2"/>
      <c r="M1645" s="2"/>
      <c r="N1645" s="2"/>
      <c r="O1645" s="2">
        <v>73830</v>
      </c>
      <c r="P1645" s="2"/>
      <c r="Q1645" s="2"/>
      <c r="R1645" s="2" t="s">
        <v>11241</v>
      </c>
      <c r="S1645" s="2" t="s">
        <v>11242</v>
      </c>
      <c r="T1645" s="2" t="s">
        <v>11243</v>
      </c>
      <c r="U1645" s="2" t="s">
        <v>103</v>
      </c>
      <c r="V1645" s="2" t="s">
        <v>104</v>
      </c>
      <c r="W1645" s="2" t="s">
        <v>105</v>
      </c>
      <c r="X1645" s="2" t="s">
        <v>69</v>
      </c>
      <c r="Y1645" s="2">
        <v>56.9</v>
      </c>
      <c r="Z1645" s="2">
        <v>85</v>
      </c>
      <c r="AA1645" s="2" t="s">
        <v>60</v>
      </c>
      <c r="AB1645" s="2" t="s">
        <v>11244</v>
      </c>
      <c r="AC1645" s="2">
        <v>3.3406209944501999</v>
      </c>
      <c r="AD1645" s="2"/>
      <c r="AE1645" s="2">
        <v>0.39527570636255499</v>
      </c>
      <c r="AF1645" s="2">
        <v>74087.122132789795</v>
      </c>
      <c r="AG1645" s="2">
        <v>54302.117556232501</v>
      </c>
      <c r="AH1645" s="5">
        <v>1.3643505164613301</v>
      </c>
      <c r="AI1645" s="5">
        <v>0.44821433600177402</v>
      </c>
      <c r="AJ1645" s="5" t="s">
        <v>139</v>
      </c>
      <c r="AK1645" s="2">
        <v>0.48750160075036397</v>
      </c>
      <c r="AL1645" s="2">
        <v>0.73069856189217597</v>
      </c>
      <c r="AM1645" s="2">
        <v>10427.4609486344</v>
      </c>
      <c r="AN1645" s="2">
        <v>107541.85268076599</v>
      </c>
      <c r="AO1645" s="2">
        <v>65929.047595052398</v>
      </c>
      <c r="AP1645" s="2">
        <v>36425.485147739797</v>
      </c>
      <c r="AQ1645" s="2">
        <v>136413.99190857401</v>
      </c>
      <c r="AR1645" s="2">
        <v>87784.894515972395</v>
      </c>
      <c r="AS1645" s="2">
        <v>111933.226895128</v>
      </c>
      <c r="AT1645" s="2">
        <v>72953.091247365199</v>
      </c>
      <c r="AU1645" s="2">
        <v>16544.2654511992</v>
      </c>
      <c r="AV1645" s="2">
        <v>6292.1851858604796</v>
      </c>
      <c r="AW1645" s="2">
        <v>12008.0760872724</v>
      </c>
      <c r="AX1645" s="2">
        <v>106081.86047057</v>
      </c>
    </row>
    <row r="1646" spans="1:50" x14ac:dyDescent="0.25">
      <c r="A1646" s="2" t="s">
        <v>11245</v>
      </c>
      <c r="B1646" s="2">
        <v>436.15631660645801</v>
      </c>
      <c r="C1646" s="2">
        <v>5.2635500000000004</v>
      </c>
      <c r="D1646" s="2" t="s">
        <v>51</v>
      </c>
      <c r="E1646" s="2" t="s">
        <v>11246</v>
      </c>
      <c r="F1646" s="2">
        <v>64789</v>
      </c>
      <c r="G1646" s="3" t="str">
        <f>HYPERLINK("https://cloud.oebiotech.com/#/lm/network/64789", "https://cloud.oebiotech.com/#/lm/network/64789")</f>
        <v>https://cloud.oebiotech.com/#/lm/network/64789</v>
      </c>
      <c r="H1646" s="2" t="s">
        <v>11247</v>
      </c>
      <c r="I1646" s="2">
        <v>96089</v>
      </c>
      <c r="J1646" s="2"/>
      <c r="K1646" s="2">
        <v>122400995</v>
      </c>
      <c r="L1646" s="2"/>
      <c r="M1646" s="2"/>
      <c r="N1646" s="2"/>
      <c r="O1646" s="2">
        <v>176354</v>
      </c>
      <c r="P1646" s="2"/>
      <c r="Q1646" s="2"/>
      <c r="R1646" s="2"/>
      <c r="S1646" s="2" t="s">
        <v>11248</v>
      </c>
      <c r="T1646" s="2" t="s">
        <v>11249</v>
      </c>
      <c r="U1646" s="2" t="s">
        <v>540</v>
      </c>
      <c r="V1646" s="2" t="s">
        <v>784</v>
      </c>
      <c r="W1646" s="2" t="s">
        <v>11250</v>
      </c>
      <c r="X1646" s="2" t="s">
        <v>83</v>
      </c>
      <c r="Y1646" s="2">
        <v>38</v>
      </c>
      <c r="Z1646" s="2">
        <v>0</v>
      </c>
      <c r="AA1646" s="2" t="s">
        <v>512</v>
      </c>
      <c r="AB1646" s="2" t="s">
        <v>11251</v>
      </c>
      <c r="AC1646" s="2">
        <v>-9.3062894057793901</v>
      </c>
      <c r="AD1646" s="2"/>
      <c r="AE1646" s="2">
        <v>0.394527638832818</v>
      </c>
      <c r="AF1646" s="2">
        <v>554.05859560720501</v>
      </c>
      <c r="AG1646" s="2">
        <v>6128.3090217070803</v>
      </c>
      <c r="AH1646" s="4">
        <v>9.0409702520658594E-2</v>
      </c>
      <c r="AI1646" s="4">
        <v>-3.4673785827613601</v>
      </c>
      <c r="AJ1646" s="4" t="s">
        <v>62</v>
      </c>
      <c r="AK1646" s="2">
        <v>0.18103183550565299</v>
      </c>
      <c r="AL1646" s="2">
        <v>0.50364855079524795</v>
      </c>
      <c r="AM1646" s="2">
        <v>463.29159488931401</v>
      </c>
      <c r="AN1646" s="2">
        <v>251.22207628394801</v>
      </c>
      <c r="AO1646" s="2">
        <v>684.18057600403404</v>
      </c>
      <c r="AP1646" s="2">
        <v>8.559877937157E-6</v>
      </c>
      <c r="AQ1646" s="2">
        <v>8.559877937157E-6</v>
      </c>
      <c r="AR1646" s="2">
        <v>1925.65730934618</v>
      </c>
      <c r="AS1646" s="2">
        <v>1192.06322624056</v>
      </c>
      <c r="AT1646" s="2">
        <v>978.964381593079</v>
      </c>
      <c r="AU1646" s="2">
        <v>3459.9909610128402</v>
      </c>
      <c r="AV1646" s="2">
        <v>4132.0420700048498</v>
      </c>
      <c r="AW1646" s="2">
        <v>25283.037463333902</v>
      </c>
      <c r="AX1646" s="2">
        <v>1723.75602805723</v>
      </c>
    </row>
    <row r="1647" spans="1:50" x14ac:dyDescent="0.25">
      <c r="A1647" s="2" t="s">
        <v>11252</v>
      </c>
      <c r="B1647" s="2">
        <v>416.17458331299002</v>
      </c>
      <c r="C1647" s="2">
        <v>9.2380666666666702</v>
      </c>
      <c r="D1647" s="2" t="s">
        <v>51</v>
      </c>
      <c r="E1647" s="2" t="s">
        <v>11253</v>
      </c>
      <c r="F1647" s="2">
        <v>202304</v>
      </c>
      <c r="G1647" s="3" t="str">
        <f>HYPERLINK("https://cloud.oebiotech.com/#/lm/network/202304", "https://cloud.oebiotech.com/#/lm/network/202304")</f>
        <v>https://cloud.oebiotech.com/#/lm/network/202304</v>
      </c>
      <c r="H1647" s="2" t="s">
        <v>11254</v>
      </c>
      <c r="I1647" s="2"/>
      <c r="J1647" s="2"/>
      <c r="K1647" s="2">
        <v>101895417</v>
      </c>
      <c r="L1647" s="2"/>
      <c r="M1647" s="2"/>
      <c r="N1647" s="2"/>
      <c r="O1647" s="2"/>
      <c r="P1647" s="2"/>
      <c r="Q1647" s="2"/>
      <c r="R1647" s="2"/>
      <c r="S1647" s="2" t="s">
        <v>11255</v>
      </c>
      <c r="T1647" s="2" t="s">
        <v>11256</v>
      </c>
      <c r="U1647" s="2" t="s">
        <v>103</v>
      </c>
      <c r="V1647" s="2" t="s">
        <v>104</v>
      </c>
      <c r="W1647" s="2" t="s">
        <v>105</v>
      </c>
      <c r="X1647" s="2" t="s">
        <v>147</v>
      </c>
      <c r="Y1647" s="2">
        <v>38.299999999999997</v>
      </c>
      <c r="Z1647" s="2">
        <v>0</v>
      </c>
      <c r="AA1647" s="2" t="s">
        <v>395</v>
      </c>
      <c r="AB1647" s="2" t="s">
        <v>11257</v>
      </c>
      <c r="AC1647" s="2">
        <v>-0.118655059905496</v>
      </c>
      <c r="AD1647" s="2"/>
      <c r="AE1647" s="2">
        <v>0.39432369251877403</v>
      </c>
      <c r="AF1647" s="2">
        <v>4811.1009827726302</v>
      </c>
      <c r="AG1647" s="2">
        <v>1781.1623102956901</v>
      </c>
      <c r="AH1647" s="5">
        <v>2.7011019461634298</v>
      </c>
      <c r="AI1647" s="5">
        <v>1.43354809169762</v>
      </c>
      <c r="AJ1647" s="5" t="s">
        <v>139</v>
      </c>
      <c r="AK1647" s="2">
        <v>2.2914001328923901E-3</v>
      </c>
      <c r="AL1647" s="2">
        <v>0.101912249503871</v>
      </c>
      <c r="AM1647" s="2">
        <v>5909.4622876359999</v>
      </c>
      <c r="AN1647" s="2">
        <v>6078.63990406844</v>
      </c>
      <c r="AO1647" s="2">
        <v>5320.9203039510703</v>
      </c>
      <c r="AP1647" s="2">
        <v>4395.2342497866102</v>
      </c>
      <c r="AQ1647" s="2">
        <v>3388.1299807371402</v>
      </c>
      <c r="AR1647" s="2">
        <v>3774.2191704565198</v>
      </c>
      <c r="AS1647" s="2">
        <v>4069.94383383798</v>
      </c>
      <c r="AT1647" s="2">
        <v>1674.9655971709001</v>
      </c>
      <c r="AU1647" s="2">
        <v>2813.6115922487802</v>
      </c>
      <c r="AV1647" s="2">
        <v>338.49368836205099</v>
      </c>
      <c r="AW1647" s="2">
        <v>444.55957004977603</v>
      </c>
      <c r="AX1647" s="2">
        <v>1345.3995801046301</v>
      </c>
    </row>
    <row r="1648" spans="1:50" x14ac:dyDescent="0.25">
      <c r="A1648" s="2" t="s">
        <v>11258</v>
      </c>
      <c r="B1648" s="2">
        <v>463.37959298673701</v>
      </c>
      <c r="C1648" s="2">
        <v>13.851416666666699</v>
      </c>
      <c r="D1648" s="2" t="s">
        <v>51</v>
      </c>
      <c r="E1648" s="2" t="s">
        <v>11259</v>
      </c>
      <c r="F1648" s="2">
        <v>254875</v>
      </c>
      <c r="G1648" s="3" t="str">
        <f>HYPERLINK("https://cloud.oebiotech.com/#/lm/network/254875", "https://cloud.oebiotech.com/#/lm/network/254875")</f>
        <v>https://cloud.oebiotech.com/#/lm/network/254875</v>
      </c>
      <c r="H1648" s="2" t="s">
        <v>11260</v>
      </c>
      <c r="I1648" s="2"/>
      <c r="J1648" s="2"/>
      <c r="K1648" s="2"/>
      <c r="L1648" s="2"/>
      <c r="M1648" s="2"/>
      <c r="N1648" s="2"/>
      <c r="O1648" s="2"/>
      <c r="P1648" s="2"/>
      <c r="Q1648" s="2"/>
      <c r="R1648" s="2"/>
      <c r="S1648" s="2" t="s">
        <v>11261</v>
      </c>
      <c r="T1648" s="2" t="s">
        <v>11262</v>
      </c>
      <c r="U1648" s="2" t="s">
        <v>56</v>
      </c>
      <c r="V1648" s="2" t="s">
        <v>283</v>
      </c>
      <c r="W1648" s="2" t="s">
        <v>10738</v>
      </c>
      <c r="X1648" s="2" t="s">
        <v>59</v>
      </c>
      <c r="Y1648" s="2">
        <v>49.4</v>
      </c>
      <c r="Z1648" s="2">
        <v>60.8</v>
      </c>
      <c r="AA1648" s="2" t="s">
        <v>259</v>
      </c>
      <c r="AB1648" s="2" t="s">
        <v>11263</v>
      </c>
      <c r="AC1648" s="2">
        <v>3.04187172334627</v>
      </c>
      <c r="AD1648" s="2"/>
      <c r="AE1648" s="2">
        <v>0.394252591548788</v>
      </c>
      <c r="AF1648" s="2">
        <v>15949.8778896231</v>
      </c>
      <c r="AG1648" s="2">
        <v>11716.8812600121</v>
      </c>
      <c r="AH1648" s="5">
        <v>1.3612733231374099</v>
      </c>
      <c r="AI1648" s="5">
        <v>0.444956767316047</v>
      </c>
      <c r="AJ1648" s="5" t="s">
        <v>139</v>
      </c>
      <c r="AK1648" s="2">
        <v>0.205383562174347</v>
      </c>
      <c r="AL1648" s="2">
        <v>0.53096870391533402</v>
      </c>
      <c r="AM1648" s="2">
        <v>26553.628867325398</v>
      </c>
      <c r="AN1648" s="2">
        <v>17777.545391174001</v>
      </c>
      <c r="AO1648" s="2">
        <v>15429.169465257301</v>
      </c>
      <c r="AP1648" s="2">
        <v>11975.085400665799</v>
      </c>
      <c r="AQ1648" s="2">
        <v>10469.9756526525</v>
      </c>
      <c r="AR1648" s="2">
        <v>13493.8625606637</v>
      </c>
      <c r="AS1648" s="2">
        <v>6733.4923369122498</v>
      </c>
      <c r="AT1648" s="2">
        <v>7734.9236631307504</v>
      </c>
      <c r="AU1648" s="2">
        <v>16471.9465619236</v>
      </c>
      <c r="AV1648" s="2">
        <v>8161.7992188511398</v>
      </c>
      <c r="AW1648" s="2">
        <v>18680.635142214</v>
      </c>
      <c r="AX1648" s="2">
        <v>12518.490637040901</v>
      </c>
    </row>
    <row r="1649" spans="1:50" x14ac:dyDescent="0.25">
      <c r="A1649" s="2" t="s">
        <v>11264</v>
      </c>
      <c r="B1649" s="2">
        <v>362.96975111013001</v>
      </c>
      <c r="C1649" s="2">
        <v>4.8395999999999999</v>
      </c>
      <c r="D1649" s="2" t="s">
        <v>51</v>
      </c>
      <c r="E1649" s="2" t="s">
        <v>11265</v>
      </c>
      <c r="F1649" s="2">
        <v>210188</v>
      </c>
      <c r="G1649" s="3" t="str">
        <f>HYPERLINK("https://cloud.oebiotech.com/#/lm/network/210188", "https://cloud.oebiotech.com/#/lm/network/210188")</f>
        <v>https://cloud.oebiotech.com/#/lm/network/210188</v>
      </c>
      <c r="H1649" s="2" t="s">
        <v>11266</v>
      </c>
      <c r="I1649" s="2"/>
      <c r="J1649" s="2"/>
      <c r="K1649" s="2"/>
      <c r="L1649" s="2"/>
      <c r="M1649" s="2"/>
      <c r="N1649" s="2"/>
      <c r="O1649" s="2">
        <v>35547</v>
      </c>
      <c r="P1649" s="2"/>
      <c r="Q1649" s="2"/>
      <c r="R1649" s="2"/>
      <c r="S1649" s="2" t="s">
        <v>11267</v>
      </c>
      <c r="T1649" s="2" t="s">
        <v>11268</v>
      </c>
      <c r="U1649" s="2" t="s">
        <v>1357</v>
      </c>
      <c r="V1649" s="2" t="s">
        <v>4878</v>
      </c>
      <c r="W1649" s="2" t="s">
        <v>4879</v>
      </c>
      <c r="X1649" s="2" t="s">
        <v>147</v>
      </c>
      <c r="Y1649" s="2">
        <v>38.700000000000003</v>
      </c>
      <c r="Z1649" s="2">
        <v>0</v>
      </c>
      <c r="AA1649" s="2" t="s">
        <v>163</v>
      </c>
      <c r="AB1649" s="2" t="s">
        <v>11269</v>
      </c>
      <c r="AC1649" s="2">
        <v>0.36104198287072697</v>
      </c>
      <c r="AD1649" s="2"/>
      <c r="AE1649" s="2">
        <v>0.39419941247902901</v>
      </c>
      <c r="AF1649" s="2">
        <v>7736.0695609848799</v>
      </c>
      <c r="AG1649" s="2">
        <v>4648.7237155496096</v>
      </c>
      <c r="AH1649" s="5">
        <v>1.6641276260639799</v>
      </c>
      <c r="AI1649" s="5">
        <v>0.73476608157328904</v>
      </c>
      <c r="AJ1649" s="5" t="s">
        <v>139</v>
      </c>
      <c r="AK1649" s="2">
        <v>3.08327204930327E-4</v>
      </c>
      <c r="AL1649" s="2">
        <v>5.3199942447790097E-2</v>
      </c>
      <c r="AM1649" s="2">
        <v>7326.4691853378199</v>
      </c>
      <c r="AN1649" s="2">
        <v>7499.8306784099696</v>
      </c>
      <c r="AO1649" s="2">
        <v>8141.8675512965801</v>
      </c>
      <c r="AP1649" s="2">
        <v>7744.0350490538804</v>
      </c>
      <c r="AQ1649" s="2">
        <v>9302.8632520361898</v>
      </c>
      <c r="AR1649" s="2">
        <v>6401.3516497748496</v>
      </c>
      <c r="AS1649" s="2">
        <v>4713.0154013117099</v>
      </c>
      <c r="AT1649" s="2">
        <v>5925.9887001826901</v>
      </c>
      <c r="AU1649" s="2">
        <v>5002.33362665606</v>
      </c>
      <c r="AV1649" s="2">
        <v>5215.3391515564699</v>
      </c>
      <c r="AW1649" s="2">
        <v>2969.8890395872399</v>
      </c>
      <c r="AX1649" s="2">
        <v>4065.7763740034802</v>
      </c>
    </row>
    <row r="1650" spans="1:50" x14ac:dyDescent="0.25">
      <c r="A1650" s="2" t="s">
        <v>11270</v>
      </c>
      <c r="B1650" s="2">
        <v>413.21826681238599</v>
      </c>
      <c r="C1650" s="2">
        <v>6.6164666666666703</v>
      </c>
      <c r="D1650" s="2" t="s">
        <v>51</v>
      </c>
      <c r="E1650" s="2" t="s">
        <v>11271</v>
      </c>
      <c r="F1650" s="2">
        <v>3888</v>
      </c>
      <c r="G1650" s="3" t="str">
        <f>HYPERLINK("https://cloud.oebiotech.com/#/lm/network/3888", "https://cloud.oebiotech.com/#/lm/network/3888")</f>
        <v>https://cloud.oebiotech.com/#/lm/network/3888</v>
      </c>
      <c r="H1650" s="2" t="s">
        <v>11272</v>
      </c>
      <c r="I1650" s="2"/>
      <c r="J1650" s="2" t="s">
        <v>11273</v>
      </c>
      <c r="K1650" s="2">
        <v>53481509</v>
      </c>
      <c r="L1650" s="2"/>
      <c r="M1650" s="2"/>
      <c r="N1650" s="2"/>
      <c r="O1650" s="2"/>
      <c r="P1650" s="2"/>
      <c r="Q1650" s="2"/>
      <c r="R1650" s="2"/>
      <c r="S1650" s="2" t="s">
        <v>11274</v>
      </c>
      <c r="T1650" s="2" t="s">
        <v>11275</v>
      </c>
      <c r="U1650" s="2" t="s">
        <v>56</v>
      </c>
      <c r="V1650" s="2" t="s">
        <v>145</v>
      </c>
      <c r="W1650" s="2" t="s">
        <v>187</v>
      </c>
      <c r="X1650" s="2" t="s">
        <v>83</v>
      </c>
      <c r="Y1650" s="2">
        <v>57.3</v>
      </c>
      <c r="Z1650" s="2">
        <v>0</v>
      </c>
      <c r="AA1650" s="2" t="s">
        <v>218</v>
      </c>
      <c r="AB1650" s="2" t="s">
        <v>533</v>
      </c>
      <c r="AC1650" s="2">
        <v>0.475799356178013</v>
      </c>
      <c r="AD1650" s="2"/>
      <c r="AE1650" s="2">
        <v>0.39361627379425801</v>
      </c>
      <c r="AF1650" s="2">
        <v>5653.2365063224997</v>
      </c>
      <c r="AG1650" s="2">
        <v>2018.13720810377</v>
      </c>
      <c r="AH1650" s="5">
        <v>2.8012151421727398</v>
      </c>
      <c r="AI1650" s="5">
        <v>1.4860527912046899</v>
      </c>
      <c r="AJ1650" s="5" t="s">
        <v>139</v>
      </c>
      <c r="AK1650" s="2">
        <v>2.8037362672061802E-3</v>
      </c>
      <c r="AL1650" s="2">
        <v>0.10808949492469599</v>
      </c>
      <c r="AM1650" s="2">
        <v>6412.9842440454604</v>
      </c>
      <c r="AN1650" s="2">
        <v>3340.0748799892599</v>
      </c>
      <c r="AO1650" s="2">
        <v>7230.5175772454204</v>
      </c>
      <c r="AP1650" s="2">
        <v>7510.12020134262</v>
      </c>
      <c r="AQ1650" s="2">
        <v>3810.32433379343</v>
      </c>
      <c r="AR1650" s="2">
        <v>5615.3978015187904</v>
      </c>
      <c r="AS1650" s="2">
        <v>3701.8637177332898</v>
      </c>
      <c r="AT1650" s="2">
        <v>992.22895509386501</v>
      </c>
      <c r="AU1650" s="2">
        <v>3482.9288900357001</v>
      </c>
      <c r="AV1650" s="2">
        <v>49.183001168674402</v>
      </c>
      <c r="AW1650" s="2">
        <v>1474.2451100573101</v>
      </c>
      <c r="AX1650" s="2">
        <v>2408.3735745337599</v>
      </c>
    </row>
    <row r="1651" spans="1:50" x14ac:dyDescent="0.25">
      <c r="A1651" s="2" t="s">
        <v>11276</v>
      </c>
      <c r="B1651" s="2">
        <v>559.52124454535306</v>
      </c>
      <c r="C1651" s="2">
        <v>11.880366666666699</v>
      </c>
      <c r="D1651" s="2" t="s">
        <v>51</v>
      </c>
      <c r="E1651" s="2" t="s">
        <v>11277</v>
      </c>
      <c r="F1651" s="2">
        <v>55648</v>
      </c>
      <c r="G1651" s="3" t="str">
        <f>HYPERLINK("https://cloud.oebiotech.com/#/lm/network/55648", "https://cloud.oebiotech.com/#/lm/network/55648")</f>
        <v>https://cloud.oebiotech.com/#/lm/network/55648</v>
      </c>
      <c r="H1651" s="2" t="s">
        <v>11278</v>
      </c>
      <c r="I1651" s="2">
        <v>87300</v>
      </c>
      <c r="J1651" s="2"/>
      <c r="K1651" s="2">
        <v>129847814</v>
      </c>
      <c r="L1651" s="2"/>
      <c r="M1651" s="2"/>
      <c r="N1651" s="2"/>
      <c r="O1651" s="2"/>
      <c r="P1651" s="2"/>
      <c r="Q1651" s="2"/>
      <c r="R1651" s="2"/>
      <c r="S1651" s="2" t="s">
        <v>11279</v>
      </c>
      <c r="T1651" s="2" t="s">
        <v>11280</v>
      </c>
      <c r="U1651" s="2" t="s">
        <v>331</v>
      </c>
      <c r="V1651" s="2" t="s">
        <v>332</v>
      </c>
      <c r="W1651" s="2" t="s">
        <v>1207</v>
      </c>
      <c r="X1651" s="2" t="s">
        <v>147</v>
      </c>
      <c r="Y1651" s="2">
        <v>38.700000000000003</v>
      </c>
      <c r="Z1651" s="2">
        <v>1.38E-2</v>
      </c>
      <c r="AA1651" s="2" t="s">
        <v>395</v>
      </c>
      <c r="AB1651" s="2" t="s">
        <v>11281</v>
      </c>
      <c r="AC1651" s="2">
        <v>-0.442723206515104</v>
      </c>
      <c r="AD1651" s="2"/>
      <c r="AE1651" s="2">
        <v>0.39344668405806399</v>
      </c>
      <c r="AF1651" s="2">
        <v>46319.309696934302</v>
      </c>
      <c r="AG1651" s="2">
        <v>31206.3701338848</v>
      </c>
      <c r="AH1651" s="5">
        <v>1.4842902105631099</v>
      </c>
      <c r="AI1651" s="5">
        <v>0.56977319735397702</v>
      </c>
      <c r="AJ1651" s="5" t="s">
        <v>139</v>
      </c>
      <c r="AK1651" s="2">
        <v>0.69041231317542495</v>
      </c>
      <c r="AL1651" s="2">
        <v>0.85113230353323699</v>
      </c>
      <c r="AM1651" s="2">
        <v>8.559877937157E-6</v>
      </c>
      <c r="AN1651" s="2">
        <v>467.49656961234098</v>
      </c>
      <c r="AO1651" s="2">
        <v>156241.15168557101</v>
      </c>
      <c r="AP1651" s="2">
        <v>8.559877937157E-6</v>
      </c>
      <c r="AQ1651" s="2">
        <v>121207.20990074299</v>
      </c>
      <c r="AR1651" s="2">
        <v>8.559877937157E-6</v>
      </c>
      <c r="AS1651" s="2">
        <v>55970.756062783403</v>
      </c>
      <c r="AT1651" s="2">
        <v>8.559877937157E-6</v>
      </c>
      <c r="AU1651" s="2">
        <v>131267.464706286</v>
      </c>
      <c r="AV1651" s="2">
        <v>8.559877937157E-6</v>
      </c>
      <c r="AW1651" s="2">
        <v>8.559877937157E-6</v>
      </c>
      <c r="AX1651" s="2">
        <v>8.559877937157E-6</v>
      </c>
    </row>
    <row r="1652" spans="1:50" x14ac:dyDescent="0.25">
      <c r="A1652" s="2" t="s">
        <v>11282</v>
      </c>
      <c r="B1652" s="2">
        <v>179.00221151493099</v>
      </c>
      <c r="C1652" s="2">
        <v>1.17966666666667</v>
      </c>
      <c r="D1652" s="2" t="s">
        <v>51</v>
      </c>
      <c r="E1652" s="2" t="s">
        <v>11283</v>
      </c>
      <c r="F1652" s="2">
        <v>212425</v>
      </c>
      <c r="G1652" s="3" t="str">
        <f>HYPERLINK("https://cloud.oebiotech.com/#/lm/network/212425", "https://cloud.oebiotech.com/#/lm/network/212425")</f>
        <v>https://cloud.oebiotech.com/#/lm/network/212425</v>
      </c>
      <c r="H1652" s="2" t="s">
        <v>11284</v>
      </c>
      <c r="I1652" s="2"/>
      <c r="J1652" s="2"/>
      <c r="K1652" s="2">
        <v>12161284</v>
      </c>
      <c r="L1652" s="2"/>
      <c r="M1652" s="2"/>
      <c r="N1652" s="2"/>
      <c r="O1652" s="2"/>
      <c r="P1652" s="2"/>
      <c r="Q1652" s="2"/>
      <c r="R1652" s="2"/>
      <c r="S1652" s="2" t="s">
        <v>11285</v>
      </c>
      <c r="T1652" s="2" t="s">
        <v>11286</v>
      </c>
      <c r="U1652" s="2" t="s">
        <v>56</v>
      </c>
      <c r="V1652" s="2" t="s">
        <v>145</v>
      </c>
      <c r="W1652" s="2" t="s">
        <v>231</v>
      </c>
      <c r="X1652" s="2" t="s">
        <v>147</v>
      </c>
      <c r="Y1652" s="2">
        <v>38.5</v>
      </c>
      <c r="Z1652" s="2">
        <v>1.68</v>
      </c>
      <c r="AA1652" s="2" t="s">
        <v>218</v>
      </c>
      <c r="AB1652" s="2" t="s">
        <v>11287</v>
      </c>
      <c r="AC1652" s="2">
        <v>1.8178133351674099</v>
      </c>
      <c r="AD1652" s="2"/>
      <c r="AE1652" s="2">
        <v>0.392672500550591</v>
      </c>
      <c r="AF1652" s="2">
        <v>46039.293693646701</v>
      </c>
      <c r="AG1652" s="2">
        <v>51213.017260293404</v>
      </c>
      <c r="AH1652" s="4">
        <v>0.89897639616992397</v>
      </c>
      <c r="AI1652" s="4">
        <v>-0.153644858542131</v>
      </c>
      <c r="AJ1652" s="4" t="s">
        <v>62</v>
      </c>
      <c r="AK1652" s="2">
        <v>0.325389571499547</v>
      </c>
      <c r="AL1652" s="2">
        <v>0.62992073899545697</v>
      </c>
      <c r="AM1652" s="2">
        <v>31117.1658041626</v>
      </c>
      <c r="AN1652" s="2">
        <v>54590.254367684101</v>
      </c>
      <c r="AO1652" s="2">
        <v>48773.862194283996</v>
      </c>
      <c r="AP1652" s="2">
        <v>44062.778527583898</v>
      </c>
      <c r="AQ1652" s="2">
        <v>50442.099092238197</v>
      </c>
      <c r="AR1652" s="2">
        <v>47249.602175927503</v>
      </c>
      <c r="AS1652" s="2">
        <v>57111.644452434601</v>
      </c>
      <c r="AT1652" s="2">
        <v>56251.918154845298</v>
      </c>
      <c r="AU1652" s="2">
        <v>33069.250056694502</v>
      </c>
      <c r="AV1652" s="2">
        <v>56847.163145809798</v>
      </c>
      <c r="AW1652" s="2">
        <v>51576.892819658002</v>
      </c>
      <c r="AX1652" s="2">
        <v>52421.234932318403</v>
      </c>
    </row>
    <row r="1653" spans="1:50" x14ac:dyDescent="0.25">
      <c r="A1653" s="2" t="s">
        <v>11288</v>
      </c>
      <c r="B1653" s="2">
        <v>469.04188752332999</v>
      </c>
      <c r="C1653" s="2">
        <v>4.8125</v>
      </c>
      <c r="D1653" s="2" t="s">
        <v>51</v>
      </c>
      <c r="E1653" s="2" t="s">
        <v>11289</v>
      </c>
      <c r="F1653" s="2">
        <v>210575</v>
      </c>
      <c r="G1653" s="3" t="str">
        <f>HYPERLINK("https://cloud.oebiotech.com/#/lm/network/210575", "https://cloud.oebiotech.com/#/lm/network/210575")</f>
        <v>https://cloud.oebiotech.com/#/lm/network/210575</v>
      </c>
      <c r="H1653" s="2" t="s">
        <v>11290</v>
      </c>
      <c r="I1653" s="2"/>
      <c r="J1653" s="2"/>
      <c r="K1653" s="2"/>
      <c r="L1653" s="2"/>
      <c r="M1653" s="2"/>
      <c r="N1653" s="2"/>
      <c r="O1653" s="2"/>
      <c r="P1653" s="2"/>
      <c r="Q1653" s="2"/>
      <c r="R1653" s="2"/>
      <c r="S1653" s="2" t="s">
        <v>11291</v>
      </c>
      <c r="T1653" s="2" t="s">
        <v>11292</v>
      </c>
      <c r="U1653" s="2" t="s">
        <v>119</v>
      </c>
      <c r="V1653" s="2" t="s">
        <v>120</v>
      </c>
      <c r="W1653" s="2" t="s">
        <v>11293</v>
      </c>
      <c r="X1653" s="2" t="s">
        <v>147</v>
      </c>
      <c r="Y1653" s="2">
        <v>45</v>
      </c>
      <c r="Z1653" s="2">
        <v>34.5</v>
      </c>
      <c r="AA1653" s="2" t="s">
        <v>259</v>
      </c>
      <c r="AB1653" s="2" t="s">
        <v>11294</v>
      </c>
      <c r="AC1653" s="2">
        <v>-3.57136763176399</v>
      </c>
      <c r="AD1653" s="2"/>
      <c r="AE1653" s="2">
        <v>0.39256656027988002</v>
      </c>
      <c r="AF1653" s="2">
        <v>5162.9056115441499</v>
      </c>
      <c r="AG1653" s="2">
        <v>27812.4122636012</v>
      </c>
      <c r="AH1653" s="4">
        <v>0.185633146906174</v>
      </c>
      <c r="AI1653" s="4">
        <v>-2.4294737518387799</v>
      </c>
      <c r="AJ1653" s="4" t="s">
        <v>62</v>
      </c>
      <c r="AK1653" s="2">
        <v>0.43571876251109498</v>
      </c>
      <c r="AL1653" s="2">
        <v>0.69327525133000001</v>
      </c>
      <c r="AM1653" s="2">
        <v>8.559877937157E-6</v>
      </c>
      <c r="AN1653" s="2">
        <v>1868.36844211538</v>
      </c>
      <c r="AO1653" s="2">
        <v>29109.065192909999</v>
      </c>
      <c r="AP1653" s="2">
        <v>8.559877937157E-6</v>
      </c>
      <c r="AQ1653" s="2">
        <v>8.559877937157E-6</v>
      </c>
      <c r="AR1653" s="2">
        <v>8.559877937157E-6</v>
      </c>
      <c r="AS1653" s="2">
        <v>8.559877937157E-6</v>
      </c>
      <c r="AT1653" s="2">
        <v>8.559877937157E-6</v>
      </c>
      <c r="AU1653" s="2">
        <v>165203.92183213701</v>
      </c>
      <c r="AV1653" s="2">
        <v>1336.1860793431899</v>
      </c>
      <c r="AW1653" s="2">
        <v>8.559877937157E-6</v>
      </c>
      <c r="AX1653" s="2">
        <v>334.365644447107</v>
      </c>
    </row>
    <row r="1654" spans="1:50" x14ac:dyDescent="0.25">
      <c r="A1654" s="2" t="s">
        <v>11295</v>
      </c>
      <c r="B1654" s="2">
        <v>206.98813202072</v>
      </c>
      <c r="C1654" s="2">
        <v>1.22586666666667</v>
      </c>
      <c r="D1654" s="2" t="s">
        <v>51</v>
      </c>
      <c r="E1654" s="2" t="s">
        <v>11296</v>
      </c>
      <c r="F1654" s="2">
        <v>207510</v>
      </c>
      <c r="G1654" s="3" t="str">
        <f>HYPERLINK("https://cloud.oebiotech.com/#/lm/network/207510", "https://cloud.oebiotech.com/#/lm/network/207510")</f>
        <v>https://cloud.oebiotech.com/#/lm/network/207510</v>
      </c>
      <c r="H1654" s="2" t="s">
        <v>11297</v>
      </c>
      <c r="I1654" s="2">
        <v>343580</v>
      </c>
      <c r="J1654" s="2"/>
      <c r="K1654" s="2">
        <v>73706</v>
      </c>
      <c r="L1654" s="2"/>
      <c r="M1654" s="2"/>
      <c r="N1654" s="2"/>
      <c r="O1654" s="2"/>
      <c r="P1654" s="2"/>
      <c r="Q1654" s="2"/>
      <c r="R1654" s="2"/>
      <c r="S1654" s="2" t="s">
        <v>11298</v>
      </c>
      <c r="T1654" s="2" t="s">
        <v>11299</v>
      </c>
      <c r="U1654" s="2" t="s">
        <v>331</v>
      </c>
      <c r="V1654" s="2" t="s">
        <v>332</v>
      </c>
      <c r="W1654" s="2" t="s">
        <v>1207</v>
      </c>
      <c r="X1654" s="2" t="s">
        <v>147</v>
      </c>
      <c r="Y1654" s="2">
        <v>42.1</v>
      </c>
      <c r="Z1654" s="2">
        <v>16.399999999999999</v>
      </c>
      <c r="AA1654" s="2" t="s">
        <v>163</v>
      </c>
      <c r="AB1654" s="2" t="s">
        <v>11300</v>
      </c>
      <c r="AC1654" s="2">
        <v>-2.35663560157708</v>
      </c>
      <c r="AD1654" s="2"/>
      <c r="AE1654" s="2">
        <v>0.39245973206774898</v>
      </c>
      <c r="AF1654" s="2">
        <v>31522.850690045801</v>
      </c>
      <c r="AG1654" s="2">
        <v>26504.556265858198</v>
      </c>
      <c r="AH1654" s="5">
        <v>1.1893370473306899</v>
      </c>
      <c r="AI1654" s="5">
        <v>0.25015761971407902</v>
      </c>
      <c r="AJ1654" s="5" t="s">
        <v>139</v>
      </c>
      <c r="AK1654" s="2">
        <v>0.68802970526526797</v>
      </c>
      <c r="AL1654" s="2">
        <v>0.84986052953893698</v>
      </c>
      <c r="AM1654" s="2">
        <v>71565.229586370901</v>
      </c>
      <c r="AN1654" s="2">
        <v>27432.175232195299</v>
      </c>
      <c r="AO1654" s="2">
        <v>13076.6824217147</v>
      </c>
      <c r="AP1654" s="2">
        <v>21494.8158795155</v>
      </c>
      <c r="AQ1654" s="2">
        <v>37465.1838217146</v>
      </c>
      <c r="AR1654" s="2">
        <v>18103.017198763999</v>
      </c>
      <c r="AS1654" s="2">
        <v>14622.744896955899</v>
      </c>
      <c r="AT1654" s="2">
        <v>19240.670555984601</v>
      </c>
      <c r="AU1654" s="2">
        <v>67278.208777284002</v>
      </c>
      <c r="AV1654" s="2">
        <v>13934.5709078822</v>
      </c>
      <c r="AW1654" s="2">
        <v>28632.19248012</v>
      </c>
      <c r="AX1654" s="2">
        <v>15318.9499769223</v>
      </c>
    </row>
    <row r="1655" spans="1:50" x14ac:dyDescent="0.25">
      <c r="A1655" s="2" t="s">
        <v>11301</v>
      </c>
      <c r="B1655" s="2">
        <v>195.101995293926</v>
      </c>
      <c r="C1655" s="2">
        <v>7.2455166666666697</v>
      </c>
      <c r="D1655" s="2" t="s">
        <v>51</v>
      </c>
      <c r="E1655" s="2" t="s">
        <v>11302</v>
      </c>
      <c r="F1655" s="2">
        <v>2249</v>
      </c>
      <c r="G1655" s="3" t="str">
        <f>HYPERLINK("https://cloud.oebiotech.com/#/lm/network/2249", "https://cloud.oebiotech.com/#/lm/network/2249")</f>
        <v>https://cloud.oebiotech.com/#/lm/network/2249</v>
      </c>
      <c r="H1655" s="2"/>
      <c r="I1655" s="2"/>
      <c r="J1655" s="2" t="s">
        <v>11303</v>
      </c>
      <c r="K1655" s="2">
        <v>137323805</v>
      </c>
      <c r="L1655" s="2"/>
      <c r="M1655" s="2"/>
      <c r="N1655" s="2"/>
      <c r="O1655" s="2"/>
      <c r="P1655" s="2"/>
      <c r="Q1655" s="2"/>
      <c r="R1655" s="2"/>
      <c r="S1655" s="2" t="s">
        <v>11304</v>
      </c>
      <c r="T1655" s="2" t="s">
        <v>11305</v>
      </c>
      <c r="U1655" s="2" t="s">
        <v>56</v>
      </c>
      <c r="V1655" s="2" t="s">
        <v>145</v>
      </c>
      <c r="W1655" s="2" t="s">
        <v>231</v>
      </c>
      <c r="X1655" s="2" t="s">
        <v>69</v>
      </c>
      <c r="Y1655" s="2">
        <v>70.599999999999994</v>
      </c>
      <c r="Z1655" s="2">
        <v>76.3</v>
      </c>
      <c r="AA1655" s="2" t="s">
        <v>163</v>
      </c>
      <c r="AB1655" s="2" t="s">
        <v>11306</v>
      </c>
      <c r="AC1655" s="2">
        <v>-3.4299427084313501</v>
      </c>
      <c r="AD1655" s="2"/>
      <c r="AE1655" s="2">
        <v>0.39215262355286401</v>
      </c>
      <c r="AF1655" s="2">
        <v>7243.1658163152797</v>
      </c>
      <c r="AG1655" s="2">
        <v>13509.7960153324</v>
      </c>
      <c r="AH1655" s="4">
        <v>0.53614176025270299</v>
      </c>
      <c r="AI1655" s="4">
        <v>-0.89931358343336298</v>
      </c>
      <c r="AJ1655" s="4" t="s">
        <v>62</v>
      </c>
      <c r="AK1655" s="2">
        <v>0.20112428640563501</v>
      </c>
      <c r="AL1655" s="2">
        <v>0.524812102806965</v>
      </c>
      <c r="AM1655" s="2">
        <v>12971.7899070849</v>
      </c>
      <c r="AN1655" s="2">
        <v>5985.57889244339</v>
      </c>
      <c r="AO1655" s="2">
        <v>3480.1606031586098</v>
      </c>
      <c r="AP1655" s="2">
        <v>13434.494138996301</v>
      </c>
      <c r="AQ1655" s="2">
        <v>1291.13918376984</v>
      </c>
      <c r="AR1655" s="2">
        <v>6295.8321724386496</v>
      </c>
      <c r="AS1655" s="2">
        <v>30368.888712634602</v>
      </c>
      <c r="AT1655" s="2">
        <v>7212.1418677930697</v>
      </c>
      <c r="AU1655" s="2">
        <v>15244.668578151301</v>
      </c>
      <c r="AV1655" s="2">
        <v>9067.0182358799993</v>
      </c>
      <c r="AW1655" s="2">
        <v>17595.9817693853</v>
      </c>
      <c r="AX1655" s="2">
        <v>1570.0769281502801</v>
      </c>
    </row>
    <row r="1656" spans="1:50" x14ac:dyDescent="0.25">
      <c r="A1656" s="2" t="s">
        <v>11307</v>
      </c>
      <c r="B1656" s="2">
        <v>331.92147817981902</v>
      </c>
      <c r="C1656" s="2">
        <v>0.68110000000000004</v>
      </c>
      <c r="D1656" s="2" t="s">
        <v>51</v>
      </c>
      <c r="E1656" s="2" t="s">
        <v>11308</v>
      </c>
      <c r="F1656" s="2">
        <v>201504</v>
      </c>
      <c r="G1656" s="3" t="str">
        <f>HYPERLINK("https://cloud.oebiotech.com/#/lm/network/201504", "https://cloud.oebiotech.com/#/lm/network/201504")</f>
        <v>https://cloud.oebiotech.com/#/lm/network/201504</v>
      </c>
      <c r="H1656" s="2" t="s">
        <v>11309</v>
      </c>
      <c r="I1656" s="2"/>
      <c r="J1656" s="2"/>
      <c r="K1656" s="2">
        <v>19777023</v>
      </c>
      <c r="L1656" s="2"/>
      <c r="M1656" s="2"/>
      <c r="N1656" s="2"/>
      <c r="O1656" s="2"/>
      <c r="P1656" s="2"/>
      <c r="Q1656" s="2"/>
      <c r="R1656" s="2"/>
      <c r="S1656" s="2" t="s">
        <v>11310</v>
      </c>
      <c r="T1656" s="2" t="s">
        <v>11311</v>
      </c>
      <c r="U1656" s="2" t="s">
        <v>610</v>
      </c>
      <c r="V1656" s="2" t="s">
        <v>611</v>
      </c>
      <c r="W1656" s="2" t="s">
        <v>2935</v>
      </c>
      <c r="X1656" s="2" t="s">
        <v>147</v>
      </c>
      <c r="Y1656" s="2">
        <v>36.700000000000003</v>
      </c>
      <c r="Z1656" s="2">
        <v>0</v>
      </c>
      <c r="AA1656" s="2" t="s">
        <v>395</v>
      </c>
      <c r="AB1656" s="2" t="s">
        <v>11312</v>
      </c>
      <c r="AC1656" s="2">
        <v>-2.3197335859177599</v>
      </c>
      <c r="AD1656" s="2"/>
      <c r="AE1656" s="2">
        <v>0.39198273609448803</v>
      </c>
      <c r="AF1656" s="2">
        <v>16319.8773949321</v>
      </c>
      <c r="AG1656" s="2">
        <v>22432.474391192402</v>
      </c>
      <c r="AH1656" s="4">
        <v>0.72751124598808203</v>
      </c>
      <c r="AI1656" s="4">
        <v>-0.458958545277665</v>
      </c>
      <c r="AJ1656" s="4" t="s">
        <v>62</v>
      </c>
      <c r="AK1656" s="2">
        <v>0.17209143588525799</v>
      </c>
      <c r="AL1656" s="2">
        <v>0.49215166418631001</v>
      </c>
      <c r="AM1656" s="2">
        <v>9601.1396653566408</v>
      </c>
      <c r="AN1656" s="2">
        <v>26950.2473932541</v>
      </c>
      <c r="AO1656" s="2">
        <v>20305.168749815701</v>
      </c>
      <c r="AP1656" s="2">
        <v>14450.914035142299</v>
      </c>
      <c r="AQ1656" s="2">
        <v>9960.6628055112706</v>
      </c>
      <c r="AR1656" s="2">
        <v>16651.1317205126</v>
      </c>
      <c r="AS1656" s="2">
        <v>19824.486416535601</v>
      </c>
      <c r="AT1656" s="2">
        <v>13634.6445462788</v>
      </c>
      <c r="AU1656" s="2">
        <v>25885.608824880699</v>
      </c>
      <c r="AV1656" s="2">
        <v>18414.5264396108</v>
      </c>
      <c r="AW1656" s="2">
        <v>20796.945957084699</v>
      </c>
      <c r="AX1656" s="2">
        <v>36038.634162763599</v>
      </c>
    </row>
    <row r="1657" spans="1:50" x14ac:dyDescent="0.25">
      <c r="A1657" s="2" t="s">
        <v>11313</v>
      </c>
      <c r="B1657" s="2">
        <v>293.21192290550601</v>
      </c>
      <c r="C1657" s="2">
        <v>9.0105500000000003</v>
      </c>
      <c r="D1657" s="2" t="s">
        <v>51</v>
      </c>
      <c r="E1657" s="2" t="s">
        <v>11314</v>
      </c>
      <c r="F1657" s="2">
        <v>2016</v>
      </c>
      <c r="G1657" s="3" t="str">
        <f>HYPERLINK("https://cloud.oebiotech.com/#/lm/network/2016", "https://cloud.oebiotech.com/#/lm/network/2016")</f>
        <v>https://cloud.oebiotech.com/#/lm/network/2016</v>
      </c>
      <c r="H1657" s="2"/>
      <c r="I1657" s="2"/>
      <c r="J1657" s="2" t="s">
        <v>11315</v>
      </c>
      <c r="K1657" s="2"/>
      <c r="L1657" s="2"/>
      <c r="M1657" s="2"/>
      <c r="N1657" s="2"/>
      <c r="O1657" s="2"/>
      <c r="P1657" s="2"/>
      <c r="Q1657" s="2"/>
      <c r="R1657" s="2"/>
      <c r="S1657" s="2" t="s">
        <v>11316</v>
      </c>
      <c r="T1657" s="2" t="s">
        <v>11317</v>
      </c>
      <c r="U1657" s="2" t="s">
        <v>56</v>
      </c>
      <c r="V1657" s="2" t="s">
        <v>145</v>
      </c>
      <c r="W1657" s="2" t="s">
        <v>231</v>
      </c>
      <c r="X1657" s="2" t="s">
        <v>69</v>
      </c>
      <c r="Y1657" s="2">
        <v>61.7</v>
      </c>
      <c r="Z1657" s="2">
        <v>85</v>
      </c>
      <c r="AA1657" s="2" t="s">
        <v>156</v>
      </c>
      <c r="AB1657" s="2" t="s">
        <v>5579</v>
      </c>
      <c r="AC1657" s="2">
        <v>2.58439047762025</v>
      </c>
      <c r="AD1657" s="2"/>
      <c r="AE1657" s="2">
        <v>0.391963210897394</v>
      </c>
      <c r="AF1657" s="2">
        <v>10665.280709566399</v>
      </c>
      <c r="AG1657" s="2">
        <v>6283.4356994045102</v>
      </c>
      <c r="AH1657" s="5">
        <v>1.69736450244524</v>
      </c>
      <c r="AI1657" s="5">
        <v>0.76329641131679704</v>
      </c>
      <c r="AJ1657" s="5" t="s">
        <v>139</v>
      </c>
      <c r="AK1657" s="2">
        <v>8.9433830546679499E-2</v>
      </c>
      <c r="AL1657" s="2">
        <v>0.38397809522246301</v>
      </c>
      <c r="AM1657" s="2">
        <v>9075.2013831121203</v>
      </c>
      <c r="AN1657" s="2">
        <v>20248.323258461602</v>
      </c>
      <c r="AO1657" s="2">
        <v>11482.1573465602</v>
      </c>
      <c r="AP1657" s="2">
        <v>5262.2564594574396</v>
      </c>
      <c r="AQ1657" s="2">
        <v>8377.8812102082902</v>
      </c>
      <c r="AR1657" s="2">
        <v>9545.8645995986808</v>
      </c>
      <c r="AS1657" s="2">
        <v>6540.5009745862199</v>
      </c>
      <c r="AT1657" s="2">
        <v>3587.8880824883499</v>
      </c>
      <c r="AU1657" s="2">
        <v>8553.8710772691102</v>
      </c>
      <c r="AV1657" s="2">
        <v>2765.95794332171</v>
      </c>
      <c r="AW1657" s="2">
        <v>7621.6002716814901</v>
      </c>
      <c r="AX1657" s="2">
        <v>8630.7958470802005</v>
      </c>
    </row>
    <row r="1658" spans="1:50" x14ac:dyDescent="0.25">
      <c r="A1658" s="2" t="s">
        <v>11318</v>
      </c>
      <c r="B1658" s="2">
        <v>235.008148012069</v>
      </c>
      <c r="C1658" s="2">
        <v>0.99641666666666695</v>
      </c>
      <c r="D1658" s="2" t="s">
        <v>51</v>
      </c>
      <c r="E1658" s="2" t="s">
        <v>11319</v>
      </c>
      <c r="F1658" s="2">
        <v>208552</v>
      </c>
      <c r="G1658" s="3" t="str">
        <f>HYPERLINK("https://cloud.oebiotech.com/#/lm/network/208552", "https://cloud.oebiotech.com/#/lm/network/208552")</f>
        <v>https://cloud.oebiotech.com/#/lm/network/208552</v>
      </c>
      <c r="H1658" s="2" t="s">
        <v>11320</v>
      </c>
      <c r="I1658" s="2"/>
      <c r="J1658" s="2"/>
      <c r="K1658" s="2">
        <v>8536</v>
      </c>
      <c r="L1658" s="2"/>
      <c r="M1658" s="2"/>
      <c r="N1658" s="2"/>
      <c r="O1658" s="2">
        <v>63930</v>
      </c>
      <c r="P1658" s="2"/>
      <c r="Q1658" s="2"/>
      <c r="R1658" s="2"/>
      <c r="S1658" s="2" t="s">
        <v>11321</v>
      </c>
      <c r="T1658" s="2" t="s">
        <v>11322</v>
      </c>
      <c r="U1658" s="2" t="s">
        <v>610</v>
      </c>
      <c r="V1658" s="2" t="s">
        <v>813</v>
      </c>
      <c r="W1658" s="2" t="s">
        <v>5382</v>
      </c>
      <c r="X1658" s="2" t="s">
        <v>147</v>
      </c>
      <c r="Y1658" s="2">
        <v>36.700000000000003</v>
      </c>
      <c r="Z1658" s="2">
        <v>3.37</v>
      </c>
      <c r="AA1658" s="2" t="s">
        <v>11323</v>
      </c>
      <c r="AB1658" s="2" t="s">
        <v>11324</v>
      </c>
      <c r="AC1658" s="2">
        <v>4.3094735723530899</v>
      </c>
      <c r="AD1658" s="2"/>
      <c r="AE1658" s="2">
        <v>0.39196131739803503</v>
      </c>
      <c r="AF1658" s="2">
        <v>30883.535922411302</v>
      </c>
      <c r="AG1658" s="2">
        <v>35774.996993909903</v>
      </c>
      <c r="AH1658" s="4">
        <v>0.86327151691078197</v>
      </c>
      <c r="AI1658" s="4">
        <v>-0.21211370640688801</v>
      </c>
      <c r="AJ1658" s="4" t="s">
        <v>62</v>
      </c>
      <c r="AK1658" s="2">
        <v>0.67951997493055705</v>
      </c>
      <c r="AL1658" s="2">
        <v>0.84541284391507099</v>
      </c>
      <c r="AM1658" s="2">
        <v>6756.0805020568496</v>
      </c>
      <c r="AN1658" s="2">
        <v>37440.135345063703</v>
      </c>
      <c r="AO1658" s="2">
        <v>39191.809885754898</v>
      </c>
      <c r="AP1658" s="2">
        <v>52213.586659129003</v>
      </c>
      <c r="AQ1658" s="2">
        <v>27362.0147658194</v>
      </c>
      <c r="AR1658" s="2">
        <v>22337.5883766437</v>
      </c>
      <c r="AS1658" s="2">
        <v>18257.559270516002</v>
      </c>
      <c r="AT1658" s="2">
        <v>18232.4018228313</v>
      </c>
      <c r="AU1658" s="2">
        <v>11237.7057240334</v>
      </c>
      <c r="AV1658" s="2">
        <v>68416.133510633401</v>
      </c>
      <c r="AW1658" s="2">
        <v>55793.387548282</v>
      </c>
      <c r="AX1658" s="2">
        <v>42712.794087163202</v>
      </c>
    </row>
    <row r="1659" spans="1:50" x14ac:dyDescent="0.25">
      <c r="A1659" s="2" t="s">
        <v>11325</v>
      </c>
      <c r="B1659" s="2">
        <v>486.22084942279798</v>
      </c>
      <c r="C1659" s="2">
        <v>3.5571000000000002</v>
      </c>
      <c r="D1659" s="2" t="s">
        <v>51</v>
      </c>
      <c r="E1659" s="2" t="s">
        <v>11326</v>
      </c>
      <c r="F1659" s="2">
        <v>203110</v>
      </c>
      <c r="G1659" s="3" t="str">
        <f>HYPERLINK("https://cloud.oebiotech.com/#/lm/network/203110", "https://cloud.oebiotech.com/#/lm/network/203110")</f>
        <v>https://cloud.oebiotech.com/#/lm/network/203110</v>
      </c>
      <c r="H1659" s="2" t="s">
        <v>11327</v>
      </c>
      <c r="I1659" s="2"/>
      <c r="J1659" s="2"/>
      <c r="K1659" s="2">
        <v>4409396</v>
      </c>
      <c r="L1659" s="2"/>
      <c r="M1659" s="2"/>
      <c r="N1659" s="2"/>
      <c r="O1659" s="2"/>
      <c r="P1659" s="2"/>
      <c r="Q1659" s="2"/>
      <c r="R1659" s="2"/>
      <c r="S1659" s="2" t="s">
        <v>11328</v>
      </c>
      <c r="T1659" s="2" t="s">
        <v>11329</v>
      </c>
      <c r="U1659" s="2" t="s">
        <v>103</v>
      </c>
      <c r="V1659" s="2" t="s">
        <v>104</v>
      </c>
      <c r="W1659" s="2" t="s">
        <v>105</v>
      </c>
      <c r="X1659" s="2" t="s">
        <v>147</v>
      </c>
      <c r="Y1659" s="2">
        <v>45.9</v>
      </c>
      <c r="Z1659" s="2">
        <v>36.6</v>
      </c>
      <c r="AA1659" s="2" t="s">
        <v>163</v>
      </c>
      <c r="AB1659" s="2" t="s">
        <v>11330</v>
      </c>
      <c r="AC1659" s="2">
        <v>0.61202671824196697</v>
      </c>
      <c r="AD1659" s="2"/>
      <c r="AE1659" s="2">
        <v>0.39159852685014102</v>
      </c>
      <c r="AF1659" s="2">
        <v>5474.06031023172</v>
      </c>
      <c r="AG1659" s="2">
        <v>15247.0515059393</v>
      </c>
      <c r="AH1659" s="4">
        <v>0.35902418956867699</v>
      </c>
      <c r="AI1659" s="4">
        <v>-1.47784704472456</v>
      </c>
      <c r="AJ1659" s="4" t="s">
        <v>62</v>
      </c>
      <c r="AK1659" s="2">
        <v>0.534057173069036</v>
      </c>
      <c r="AL1659" s="2">
        <v>0.76072395309761698</v>
      </c>
      <c r="AM1659" s="2">
        <v>13664.1246319574</v>
      </c>
      <c r="AN1659" s="2">
        <v>8.559877937157E-6</v>
      </c>
      <c r="AO1659" s="2">
        <v>8.559877937157E-6</v>
      </c>
      <c r="AP1659" s="2">
        <v>8.559877937157E-6</v>
      </c>
      <c r="AQ1659" s="2">
        <v>10198.944248793299</v>
      </c>
      <c r="AR1659" s="2">
        <v>8981.2929549599903</v>
      </c>
      <c r="AS1659" s="2">
        <v>8.559877937157E-6</v>
      </c>
      <c r="AT1659" s="2">
        <v>8.559877937157E-6</v>
      </c>
      <c r="AU1659" s="2">
        <v>8.559877937157E-6</v>
      </c>
      <c r="AV1659" s="2">
        <v>90059.402677966005</v>
      </c>
      <c r="AW1659" s="2">
        <v>586.27826151992804</v>
      </c>
      <c r="AX1659" s="2">
        <v>836.62807047011495</v>
      </c>
    </row>
    <row r="1660" spans="1:50" x14ac:dyDescent="0.25">
      <c r="A1660" s="2" t="s">
        <v>11331</v>
      </c>
      <c r="B1660" s="2">
        <v>247.14495754863901</v>
      </c>
      <c r="C1660" s="2">
        <v>3.9637500000000001</v>
      </c>
      <c r="D1660" s="2" t="s">
        <v>51</v>
      </c>
      <c r="E1660" s="2" t="s">
        <v>11332</v>
      </c>
      <c r="F1660" s="2">
        <v>82938</v>
      </c>
      <c r="G1660" s="3" t="str">
        <f>HYPERLINK("https://cloud.oebiotech.com/#/lm/network/82938", "https://cloud.oebiotech.com/#/lm/network/82938")</f>
        <v>https://cloud.oebiotech.com/#/lm/network/82938</v>
      </c>
      <c r="H1660" s="2" t="s">
        <v>11333</v>
      </c>
      <c r="I1660" s="2"/>
      <c r="J1660" s="2"/>
      <c r="K1660" s="2">
        <v>442106</v>
      </c>
      <c r="L1660" s="2" t="s">
        <v>11334</v>
      </c>
      <c r="M1660" s="2"/>
      <c r="N1660" s="2"/>
      <c r="O1660" s="2">
        <v>5832</v>
      </c>
      <c r="P1660" s="2"/>
      <c r="Q1660" s="2"/>
      <c r="R1660" s="2" t="s">
        <v>11335</v>
      </c>
      <c r="S1660" s="2" t="s">
        <v>11336</v>
      </c>
      <c r="T1660" s="2" t="s">
        <v>11337</v>
      </c>
      <c r="U1660" s="2" t="s">
        <v>103</v>
      </c>
      <c r="V1660" s="2" t="s">
        <v>104</v>
      </c>
      <c r="W1660" s="2" t="s">
        <v>105</v>
      </c>
      <c r="X1660" s="2" t="s">
        <v>59</v>
      </c>
      <c r="Y1660" s="2">
        <v>48.1</v>
      </c>
      <c r="Z1660" s="2">
        <v>47.4</v>
      </c>
      <c r="AA1660" s="2" t="s">
        <v>106</v>
      </c>
      <c r="AB1660" s="2" t="s">
        <v>5729</v>
      </c>
      <c r="AC1660" s="2">
        <v>3.4667329817665098</v>
      </c>
      <c r="AD1660" s="2"/>
      <c r="AE1660" s="2">
        <v>0.39098251461900302</v>
      </c>
      <c r="AF1660" s="2">
        <v>410358.382733459</v>
      </c>
      <c r="AG1660" s="2">
        <v>376333.81296190701</v>
      </c>
      <c r="AH1660" s="5">
        <v>1.09041061047309</v>
      </c>
      <c r="AI1660" s="5">
        <v>0.124871505775962</v>
      </c>
      <c r="AJ1660" s="5" t="s">
        <v>139</v>
      </c>
      <c r="AK1660" s="2">
        <v>0.84404812740760704</v>
      </c>
      <c r="AL1660" s="2">
        <v>0.93063445423553803</v>
      </c>
      <c r="AM1660" s="2">
        <v>56025.979739507799</v>
      </c>
      <c r="AN1660" s="2">
        <v>988477.79195961601</v>
      </c>
      <c r="AO1660" s="2">
        <v>642782.01684987405</v>
      </c>
      <c r="AP1660" s="2">
        <v>546088.28325420804</v>
      </c>
      <c r="AQ1660" s="2">
        <v>43980.351209655397</v>
      </c>
      <c r="AR1660" s="2">
        <v>184795.87338788999</v>
      </c>
      <c r="AS1660" s="2">
        <v>509534.75071704999</v>
      </c>
      <c r="AT1660" s="2">
        <v>400952.94733610301</v>
      </c>
      <c r="AU1660" s="2">
        <v>502433.20757919399</v>
      </c>
      <c r="AV1660" s="2">
        <v>277417.73491256498</v>
      </c>
      <c r="AW1660" s="2">
        <v>475626.872632524</v>
      </c>
      <c r="AX1660" s="2">
        <v>92037.364594008905</v>
      </c>
    </row>
    <row r="1661" spans="1:50" x14ac:dyDescent="0.25">
      <c r="A1661" s="2" t="s">
        <v>11338</v>
      </c>
      <c r="B1661" s="2">
        <v>579.22596785057601</v>
      </c>
      <c r="C1661" s="2">
        <v>4.7055833333333297</v>
      </c>
      <c r="D1661" s="2" t="s">
        <v>51</v>
      </c>
      <c r="E1661" s="2" t="s">
        <v>11339</v>
      </c>
      <c r="F1661" s="2">
        <v>62085</v>
      </c>
      <c r="G1661" s="3" t="str">
        <f>HYPERLINK("https://cloud.oebiotech.com/#/lm/network/62085", "https://cloud.oebiotech.com/#/lm/network/62085")</f>
        <v>https://cloud.oebiotech.com/#/lm/network/62085</v>
      </c>
      <c r="H1661" s="2" t="s">
        <v>11340</v>
      </c>
      <c r="I1661" s="2">
        <v>93377</v>
      </c>
      <c r="J1661" s="2"/>
      <c r="K1661" s="2">
        <v>131752440</v>
      </c>
      <c r="L1661" s="2"/>
      <c r="M1661" s="2"/>
      <c r="N1661" s="2"/>
      <c r="O1661" s="2">
        <v>172521</v>
      </c>
      <c r="P1661" s="2"/>
      <c r="Q1661" s="2"/>
      <c r="R1661" s="2"/>
      <c r="S1661" s="2" t="s">
        <v>11341</v>
      </c>
      <c r="T1661" s="2" t="s">
        <v>11342</v>
      </c>
      <c r="U1661" s="2" t="s">
        <v>540</v>
      </c>
      <c r="V1661" s="2" t="s">
        <v>11343</v>
      </c>
      <c r="W1661" s="2" t="s">
        <v>240</v>
      </c>
      <c r="X1661" s="2" t="s">
        <v>147</v>
      </c>
      <c r="Y1661" s="2">
        <v>41.1</v>
      </c>
      <c r="Z1661" s="2">
        <v>18.2</v>
      </c>
      <c r="AA1661" s="2" t="s">
        <v>478</v>
      </c>
      <c r="AB1661" s="2" t="s">
        <v>11344</v>
      </c>
      <c r="AC1661" s="2">
        <v>4.13099797677057</v>
      </c>
      <c r="AD1661" s="2"/>
      <c r="AE1661" s="2">
        <v>0.39087714679240498</v>
      </c>
      <c r="AF1661" s="2">
        <v>303.26994485464502</v>
      </c>
      <c r="AG1661" s="2">
        <v>7219.6589165311798</v>
      </c>
      <c r="AH1661" s="4">
        <v>4.2006131918536298E-2</v>
      </c>
      <c r="AI1661" s="4">
        <v>-4.5732562465799598</v>
      </c>
      <c r="AJ1661" s="4" t="s">
        <v>62</v>
      </c>
      <c r="AK1661" s="2">
        <v>0.34093235982386499</v>
      </c>
      <c r="AL1661" s="2">
        <v>0.63815037094278604</v>
      </c>
      <c r="AM1661" s="2">
        <v>99.966342061653407</v>
      </c>
      <c r="AN1661" s="2">
        <v>152.55264568762701</v>
      </c>
      <c r="AO1661" s="2">
        <v>250.16302375553201</v>
      </c>
      <c r="AP1661" s="2">
        <v>518.756886332151</v>
      </c>
      <c r="AQ1661" s="2">
        <v>86.605731806546601</v>
      </c>
      <c r="AR1661" s="2">
        <v>711.57503948436204</v>
      </c>
      <c r="AS1661" s="2">
        <v>373.18059602144001</v>
      </c>
      <c r="AT1661" s="2">
        <v>67.771350761683294</v>
      </c>
      <c r="AU1661" s="2">
        <v>23.834655988159099</v>
      </c>
      <c r="AV1661" s="2">
        <v>359.43416591686002</v>
      </c>
      <c r="AW1661" s="2">
        <v>41797.037912950902</v>
      </c>
      <c r="AX1661" s="2">
        <v>696.694817548012</v>
      </c>
    </row>
    <row r="1662" spans="1:50" x14ac:dyDescent="0.25">
      <c r="A1662" s="2" t="s">
        <v>11345</v>
      </c>
      <c r="B1662" s="2">
        <v>258.14585989392799</v>
      </c>
      <c r="C1662" s="2">
        <v>0.74113333333333298</v>
      </c>
      <c r="D1662" s="2" t="s">
        <v>51</v>
      </c>
      <c r="E1662" s="2" t="s">
        <v>11346</v>
      </c>
      <c r="F1662" s="2">
        <v>53893</v>
      </c>
      <c r="G1662" s="3" t="str">
        <f>HYPERLINK("https://cloud.oebiotech.com/#/lm/network/53893", "https://cloud.oebiotech.com/#/lm/network/53893")</f>
        <v>https://cloud.oebiotech.com/#/lm/network/53893</v>
      </c>
      <c r="H1662" s="2" t="s">
        <v>11347</v>
      </c>
      <c r="I1662" s="2">
        <v>85775</v>
      </c>
      <c r="J1662" s="2"/>
      <c r="K1662" s="2">
        <v>131750767</v>
      </c>
      <c r="L1662" s="2"/>
      <c r="M1662" s="2"/>
      <c r="N1662" s="2"/>
      <c r="O1662" s="2">
        <v>173197</v>
      </c>
      <c r="P1662" s="2"/>
      <c r="Q1662" s="2"/>
      <c r="R1662" s="2"/>
      <c r="S1662" s="2" t="s">
        <v>11348</v>
      </c>
      <c r="T1662" s="2" t="s">
        <v>11349</v>
      </c>
      <c r="U1662" s="2" t="s">
        <v>103</v>
      </c>
      <c r="V1662" s="2" t="s">
        <v>104</v>
      </c>
      <c r="W1662" s="2" t="s">
        <v>105</v>
      </c>
      <c r="X1662" s="2" t="s">
        <v>83</v>
      </c>
      <c r="Y1662" s="2">
        <v>38.799999999999997</v>
      </c>
      <c r="Z1662" s="2">
        <v>0</v>
      </c>
      <c r="AA1662" s="2" t="s">
        <v>163</v>
      </c>
      <c r="AB1662" s="2" t="s">
        <v>10828</v>
      </c>
      <c r="AC1662" s="2">
        <v>-0.26949379942824497</v>
      </c>
      <c r="AD1662" s="2"/>
      <c r="AE1662" s="2">
        <v>0.390169889900499</v>
      </c>
      <c r="AF1662" s="2">
        <v>7911.8917264669499</v>
      </c>
      <c r="AG1662" s="2">
        <v>4044.1737110157601</v>
      </c>
      <c r="AH1662" s="5">
        <v>1.95636792379024</v>
      </c>
      <c r="AI1662" s="5">
        <v>0.96817771584838797</v>
      </c>
      <c r="AJ1662" s="5" t="s">
        <v>139</v>
      </c>
      <c r="AK1662" s="2">
        <v>7.6427063143543306E-2</v>
      </c>
      <c r="AL1662" s="2">
        <v>0.36097651064695002</v>
      </c>
      <c r="AM1662" s="2">
        <v>9326.3122624253301</v>
      </c>
      <c r="AN1662" s="2">
        <v>5166.9340735403302</v>
      </c>
      <c r="AO1662" s="2">
        <v>12716.1654045757</v>
      </c>
      <c r="AP1662" s="2">
        <v>3373.18893429937</v>
      </c>
      <c r="AQ1662" s="2">
        <v>9039.1104500119109</v>
      </c>
      <c r="AR1662" s="2">
        <v>7849.6392339490603</v>
      </c>
      <c r="AS1662" s="2">
        <v>8.559877937157E-6</v>
      </c>
      <c r="AT1662" s="2">
        <v>3313.6906680757202</v>
      </c>
      <c r="AU1662" s="2">
        <v>8784.7968492766795</v>
      </c>
      <c r="AV1662" s="2">
        <v>5037.6776930648703</v>
      </c>
      <c r="AW1662" s="2">
        <v>427.58112804065098</v>
      </c>
      <c r="AX1662" s="2">
        <v>6701.2959190767397</v>
      </c>
    </row>
    <row r="1663" spans="1:50" x14ac:dyDescent="0.25">
      <c r="A1663" s="2" t="s">
        <v>11350</v>
      </c>
      <c r="B1663" s="2">
        <v>395.25495980158399</v>
      </c>
      <c r="C1663" s="2">
        <v>6.2703499999999996</v>
      </c>
      <c r="D1663" s="2" t="s">
        <v>51</v>
      </c>
      <c r="E1663" s="2" t="s">
        <v>11351</v>
      </c>
      <c r="F1663" s="2">
        <v>26117</v>
      </c>
      <c r="G1663" s="3" t="str">
        <f>HYPERLINK("https://cloud.oebiotech.com/#/lm/network/26117", "https://cloud.oebiotech.com/#/lm/network/26117")</f>
        <v>https://cloud.oebiotech.com/#/lm/network/26117</v>
      </c>
      <c r="H1663" s="2" t="s">
        <v>11352</v>
      </c>
      <c r="I1663" s="2">
        <v>82363</v>
      </c>
      <c r="J1663" s="2" t="s">
        <v>11353</v>
      </c>
      <c r="K1663" s="2">
        <v>52929772</v>
      </c>
      <c r="L1663" s="2" t="s">
        <v>11354</v>
      </c>
      <c r="M1663" s="2" t="s">
        <v>11355</v>
      </c>
      <c r="N1663" s="2" t="s">
        <v>11356</v>
      </c>
      <c r="O1663" s="2"/>
      <c r="P1663" s="2"/>
      <c r="Q1663" s="2"/>
      <c r="R1663" s="2"/>
      <c r="S1663" s="2" t="s">
        <v>11357</v>
      </c>
      <c r="T1663" s="2" t="s">
        <v>11358</v>
      </c>
      <c r="U1663" s="2" t="s">
        <v>56</v>
      </c>
      <c r="V1663" s="2" t="s">
        <v>57</v>
      </c>
      <c r="W1663" s="2" t="s">
        <v>702</v>
      </c>
      <c r="X1663" s="2" t="s">
        <v>147</v>
      </c>
      <c r="Y1663" s="2">
        <v>38.700000000000003</v>
      </c>
      <c r="Z1663" s="2">
        <v>0</v>
      </c>
      <c r="AA1663" s="2" t="s">
        <v>259</v>
      </c>
      <c r="AB1663" s="2" t="s">
        <v>11359</v>
      </c>
      <c r="AC1663" s="2">
        <v>-1.8826416502266401</v>
      </c>
      <c r="AD1663" s="2"/>
      <c r="AE1663" s="2">
        <v>0.38979416269307299</v>
      </c>
      <c r="AF1663" s="2">
        <v>6077.4538909476996</v>
      </c>
      <c r="AG1663" s="2">
        <v>2657.5884508649201</v>
      </c>
      <c r="AH1663" s="5">
        <v>2.28683033634112</v>
      </c>
      <c r="AI1663" s="5">
        <v>1.19334933383043</v>
      </c>
      <c r="AJ1663" s="5" t="s">
        <v>139</v>
      </c>
      <c r="AK1663" s="2">
        <v>9.75479122633084E-3</v>
      </c>
      <c r="AL1663" s="2">
        <v>0.16151302423615199</v>
      </c>
      <c r="AM1663" s="2">
        <v>5002.34708499932</v>
      </c>
      <c r="AN1663" s="2">
        <v>9999.6465204006108</v>
      </c>
      <c r="AO1663" s="2">
        <v>5928.1193942510299</v>
      </c>
      <c r="AP1663" s="2">
        <v>4491.8407538318697</v>
      </c>
      <c r="AQ1663" s="2">
        <v>4232.3410252268004</v>
      </c>
      <c r="AR1663" s="2">
        <v>6810.4285669765904</v>
      </c>
      <c r="AS1663" s="2">
        <v>4533.7086706485497</v>
      </c>
      <c r="AT1663" s="2">
        <v>2460.9441926572999</v>
      </c>
      <c r="AU1663" s="2">
        <v>4408.90802325613</v>
      </c>
      <c r="AV1663" s="2">
        <v>1033.8675733227999</v>
      </c>
      <c r="AW1663" s="2">
        <v>1162.7629134793999</v>
      </c>
      <c r="AX1663" s="2">
        <v>2345.3393318253502</v>
      </c>
    </row>
    <row r="1664" spans="1:50" x14ac:dyDescent="0.25">
      <c r="A1664" s="2" t="s">
        <v>11360</v>
      </c>
      <c r="B1664" s="2">
        <v>587.42995143498194</v>
      </c>
      <c r="C1664" s="2">
        <v>13.79095</v>
      </c>
      <c r="D1664" s="2" t="s">
        <v>51</v>
      </c>
      <c r="E1664" s="2" t="s">
        <v>11361</v>
      </c>
      <c r="F1664" s="2">
        <v>251682</v>
      </c>
      <c r="G1664" s="3" t="str">
        <f>HYPERLINK("https://cloud.oebiotech.com/#/lm/network/251682", "https://cloud.oebiotech.com/#/lm/network/251682")</f>
        <v>https://cloud.oebiotech.com/#/lm/network/251682</v>
      </c>
      <c r="H1664" s="2" t="s">
        <v>11362</v>
      </c>
      <c r="I1664" s="2"/>
      <c r="J1664" s="2"/>
      <c r="K1664" s="2"/>
      <c r="L1664" s="2"/>
      <c r="M1664" s="2"/>
      <c r="N1664" s="2"/>
      <c r="O1664" s="2"/>
      <c r="P1664" s="2"/>
      <c r="Q1664" s="2"/>
      <c r="R1664" s="2"/>
      <c r="S1664" s="2" t="s">
        <v>11363</v>
      </c>
      <c r="T1664" s="2" t="s">
        <v>11364</v>
      </c>
      <c r="U1664" s="2" t="s">
        <v>56</v>
      </c>
      <c r="V1664" s="2" t="s">
        <v>145</v>
      </c>
      <c r="W1664" s="2" t="s">
        <v>187</v>
      </c>
      <c r="X1664" s="2" t="s">
        <v>147</v>
      </c>
      <c r="Y1664" s="2">
        <v>41.7</v>
      </c>
      <c r="Z1664" s="2">
        <v>18.899999999999999</v>
      </c>
      <c r="AA1664" s="2" t="s">
        <v>156</v>
      </c>
      <c r="AB1664" s="2" t="s">
        <v>11365</v>
      </c>
      <c r="AC1664" s="2">
        <v>-1.09950175448617</v>
      </c>
      <c r="AD1664" s="2"/>
      <c r="AE1664" s="2">
        <v>0.38933402607001699</v>
      </c>
      <c r="AF1664" s="2">
        <v>6503.8516987692101</v>
      </c>
      <c r="AG1664" s="2">
        <v>1668.50675850622</v>
      </c>
      <c r="AH1664" s="5">
        <v>3.89800740429243</v>
      </c>
      <c r="AI1664" s="5">
        <v>1.96273683100776</v>
      </c>
      <c r="AJ1664" s="5" t="s">
        <v>139</v>
      </c>
      <c r="AK1664" s="2">
        <v>7.7828982869285704E-2</v>
      </c>
      <c r="AL1664" s="2">
        <v>0.361903935282124</v>
      </c>
      <c r="AM1664" s="2">
        <v>2837.8831885240602</v>
      </c>
      <c r="AN1664" s="2">
        <v>17895.505427742399</v>
      </c>
      <c r="AO1664" s="2">
        <v>6361.9978664413702</v>
      </c>
      <c r="AP1664" s="2">
        <v>6368.2842852726098</v>
      </c>
      <c r="AQ1664" s="2">
        <v>920.06786584222095</v>
      </c>
      <c r="AR1664" s="2">
        <v>4639.3715587926199</v>
      </c>
      <c r="AS1664" s="2">
        <v>290.41693080908499</v>
      </c>
      <c r="AT1664" s="2">
        <v>2076.3825035178802</v>
      </c>
      <c r="AU1664" s="2">
        <v>871.83811359116601</v>
      </c>
      <c r="AV1664" s="2">
        <v>2110.7171975181</v>
      </c>
      <c r="AW1664" s="2">
        <v>2471.9678979959699</v>
      </c>
      <c r="AX1664" s="2">
        <v>2189.7179076051302</v>
      </c>
    </row>
    <row r="1665" spans="1:50" x14ac:dyDescent="0.25">
      <c r="A1665" s="2" t="s">
        <v>11366</v>
      </c>
      <c r="B1665" s="2">
        <v>918.45907476672596</v>
      </c>
      <c r="C1665" s="2">
        <v>4.6687166666666702</v>
      </c>
      <c r="D1665" s="2" t="s">
        <v>51</v>
      </c>
      <c r="E1665" s="2" t="s">
        <v>11367</v>
      </c>
      <c r="F1665" s="2">
        <v>61715</v>
      </c>
      <c r="G1665" s="3" t="str">
        <f>HYPERLINK("https://cloud.oebiotech.com/#/lm/network/61715", "https://cloud.oebiotech.com/#/lm/network/61715")</f>
        <v>https://cloud.oebiotech.com/#/lm/network/61715</v>
      </c>
      <c r="H1665" s="2" t="s">
        <v>11368</v>
      </c>
      <c r="I1665" s="2">
        <v>93039</v>
      </c>
      <c r="J1665" s="2"/>
      <c r="K1665" s="2">
        <v>131752334</v>
      </c>
      <c r="L1665" s="2"/>
      <c r="M1665" s="2"/>
      <c r="N1665" s="2"/>
      <c r="O1665" s="2"/>
      <c r="P1665" s="2"/>
      <c r="Q1665" s="2"/>
      <c r="R1665" s="2" t="s">
        <v>11369</v>
      </c>
      <c r="S1665" s="2" t="s">
        <v>11370</v>
      </c>
      <c r="T1665" s="2" t="s">
        <v>11371</v>
      </c>
      <c r="U1665" s="2" t="s">
        <v>56</v>
      </c>
      <c r="V1665" s="2" t="s">
        <v>177</v>
      </c>
      <c r="W1665" s="2" t="s">
        <v>394</v>
      </c>
      <c r="X1665" s="2" t="s">
        <v>147</v>
      </c>
      <c r="Y1665" s="2">
        <v>37.200000000000003</v>
      </c>
      <c r="Z1665" s="2">
        <v>9.36</v>
      </c>
      <c r="AA1665" s="2" t="s">
        <v>122</v>
      </c>
      <c r="AB1665" s="2" t="s">
        <v>11372</v>
      </c>
      <c r="AC1665" s="2">
        <v>-2.42373923765195</v>
      </c>
      <c r="AD1665" s="2"/>
      <c r="AE1665" s="2">
        <v>0.38917579968940202</v>
      </c>
      <c r="AF1665" s="2">
        <v>9397.7612686819793</v>
      </c>
      <c r="AG1665" s="2">
        <v>18975.674022525101</v>
      </c>
      <c r="AH1665" s="4">
        <v>0.49525309390993699</v>
      </c>
      <c r="AI1665" s="4">
        <v>-1.0137621070425</v>
      </c>
      <c r="AJ1665" s="4" t="s">
        <v>62</v>
      </c>
      <c r="AK1665" s="2">
        <v>0.59794508622393505</v>
      </c>
      <c r="AL1665" s="2">
        <v>0.79813782014335899</v>
      </c>
      <c r="AM1665" s="2">
        <v>14196.8824705308</v>
      </c>
      <c r="AN1665" s="2">
        <v>294.97809701618598</v>
      </c>
      <c r="AO1665" s="2">
        <v>1236.7290687806601</v>
      </c>
      <c r="AP1665" s="2">
        <v>3133.2150517820301</v>
      </c>
      <c r="AQ1665" s="2">
        <v>13203.2730036679</v>
      </c>
      <c r="AR1665" s="2">
        <v>24321.4899203143</v>
      </c>
      <c r="AS1665" s="2">
        <v>8.559877937157E-6</v>
      </c>
      <c r="AT1665" s="2">
        <v>2725.0682811697202</v>
      </c>
      <c r="AU1665" s="2">
        <v>369.93923090515301</v>
      </c>
      <c r="AV1665" s="2">
        <v>104658.360032968</v>
      </c>
      <c r="AW1665" s="2">
        <v>5310.5399844186004</v>
      </c>
      <c r="AX1665" s="2">
        <v>790.13659712920196</v>
      </c>
    </row>
    <row r="1666" spans="1:50" x14ac:dyDescent="0.25">
      <c r="A1666" s="2" t="s">
        <v>11373</v>
      </c>
      <c r="B1666" s="2">
        <v>176.12862610703101</v>
      </c>
      <c r="C1666" s="2">
        <v>0.73424999999999996</v>
      </c>
      <c r="D1666" s="2" t="s">
        <v>51</v>
      </c>
      <c r="E1666" s="2" t="s">
        <v>11374</v>
      </c>
      <c r="F1666" s="2">
        <v>82555</v>
      </c>
      <c r="G1666" s="3" t="str">
        <f>HYPERLINK("https://cloud.oebiotech.com/#/lm/network/82555", "https://cloud.oebiotech.com/#/lm/network/82555")</f>
        <v>https://cloud.oebiotech.com/#/lm/network/82555</v>
      </c>
      <c r="H1666" s="2" t="s">
        <v>11375</v>
      </c>
      <c r="I1666" s="2">
        <v>2995</v>
      </c>
      <c r="J1666" s="2"/>
      <c r="K1666" s="2">
        <v>3731686</v>
      </c>
      <c r="L1666" s="2" t="s">
        <v>11376</v>
      </c>
      <c r="M1666" s="2" t="s">
        <v>7436</v>
      </c>
      <c r="N1666" s="2" t="s">
        <v>7437</v>
      </c>
      <c r="O1666" s="2"/>
      <c r="P1666" s="2"/>
      <c r="Q1666" s="2"/>
      <c r="R1666" s="2" t="s">
        <v>11377</v>
      </c>
      <c r="S1666" s="2" t="s">
        <v>11378</v>
      </c>
      <c r="T1666" s="2" t="s">
        <v>11379</v>
      </c>
      <c r="U1666" s="2" t="s">
        <v>103</v>
      </c>
      <c r="V1666" s="2" t="s">
        <v>2602</v>
      </c>
      <c r="W1666" s="2" t="s">
        <v>3042</v>
      </c>
      <c r="X1666" s="2" t="s">
        <v>147</v>
      </c>
      <c r="Y1666" s="2">
        <v>40.6</v>
      </c>
      <c r="Z1666" s="2">
        <v>10.4</v>
      </c>
      <c r="AA1666" s="2" t="s">
        <v>2589</v>
      </c>
      <c r="AB1666" s="2" t="s">
        <v>11380</v>
      </c>
      <c r="AC1666" s="2">
        <v>3.20232537788372</v>
      </c>
      <c r="AD1666" s="2"/>
      <c r="AE1666" s="2">
        <v>0.38884731176936399</v>
      </c>
      <c r="AF1666" s="2">
        <v>43365.020256314798</v>
      </c>
      <c r="AG1666" s="2">
        <v>30361.9722105119</v>
      </c>
      <c r="AH1666" s="5">
        <v>1.42826756956523</v>
      </c>
      <c r="AI1666" s="5">
        <v>0.51426627707307204</v>
      </c>
      <c r="AJ1666" s="5" t="s">
        <v>139</v>
      </c>
      <c r="AK1666" s="2">
        <v>0.38063270766930901</v>
      </c>
      <c r="AL1666" s="2">
        <v>0.65913977412323299</v>
      </c>
      <c r="AM1666" s="2">
        <v>58303.2035348688</v>
      </c>
      <c r="AN1666" s="2">
        <v>29074.584932546801</v>
      </c>
      <c r="AO1666" s="2">
        <v>23872.1336408077</v>
      </c>
      <c r="AP1666" s="2">
        <v>87755.138490635407</v>
      </c>
      <c r="AQ1666" s="2">
        <v>27764.032722662701</v>
      </c>
      <c r="AR1666" s="2">
        <v>33421.0282163671</v>
      </c>
      <c r="AS1666" s="2">
        <v>71356.979316885001</v>
      </c>
      <c r="AT1666" s="2">
        <v>41745.120146171597</v>
      </c>
      <c r="AU1666" s="2">
        <v>12227.6770022932</v>
      </c>
      <c r="AV1666" s="2">
        <v>6488.9571010229301</v>
      </c>
      <c r="AW1666" s="2">
        <v>16606.8063887895</v>
      </c>
      <c r="AX1666" s="2">
        <v>33746.293307909204</v>
      </c>
    </row>
    <row r="1667" spans="1:50" x14ac:dyDescent="0.25">
      <c r="A1667" s="2" t="s">
        <v>11381</v>
      </c>
      <c r="B1667" s="2">
        <v>384.296916779637</v>
      </c>
      <c r="C1667" s="2">
        <v>5.0999999999999996</v>
      </c>
      <c r="D1667" s="2" t="s">
        <v>51</v>
      </c>
      <c r="E1667" s="2" t="s">
        <v>11382</v>
      </c>
      <c r="F1667" s="2">
        <v>8704</v>
      </c>
      <c r="G1667" s="3" t="str">
        <f>HYPERLINK("https://cloud.oebiotech.com/#/lm/network/8704", "https://cloud.oebiotech.com/#/lm/network/8704")</f>
        <v>https://cloud.oebiotech.com/#/lm/network/8704</v>
      </c>
      <c r="H1667" s="2"/>
      <c r="I1667" s="2">
        <v>75509</v>
      </c>
      <c r="J1667" s="2" t="s">
        <v>11383</v>
      </c>
      <c r="K1667" s="2">
        <v>52922071</v>
      </c>
      <c r="L1667" s="2"/>
      <c r="M1667" s="2"/>
      <c r="N1667" s="2"/>
      <c r="O1667" s="2"/>
      <c r="P1667" s="2"/>
      <c r="Q1667" s="2"/>
      <c r="R1667" s="2"/>
      <c r="S1667" s="2" t="s">
        <v>11384</v>
      </c>
      <c r="T1667" s="2" t="s">
        <v>11385</v>
      </c>
      <c r="U1667" s="2" t="s">
        <v>103</v>
      </c>
      <c r="V1667" s="2" t="s">
        <v>104</v>
      </c>
      <c r="W1667" s="2" t="s">
        <v>105</v>
      </c>
      <c r="X1667" s="2" t="s">
        <v>59</v>
      </c>
      <c r="Y1667" s="2">
        <v>49.1</v>
      </c>
      <c r="Z1667" s="2">
        <v>59.9</v>
      </c>
      <c r="AA1667" s="2" t="s">
        <v>122</v>
      </c>
      <c r="AB1667" s="2" t="s">
        <v>11386</v>
      </c>
      <c r="AC1667" s="2">
        <v>-4.9208869884793698</v>
      </c>
      <c r="AD1667" s="2"/>
      <c r="AE1667" s="2">
        <v>0.38879125634517803</v>
      </c>
      <c r="AF1667" s="2">
        <v>9248.9219514585202</v>
      </c>
      <c r="AG1667" s="2">
        <v>6092.8785909934204</v>
      </c>
      <c r="AH1667" s="5">
        <v>1.51798888051543</v>
      </c>
      <c r="AI1667" s="5">
        <v>0.60216122284560403</v>
      </c>
      <c r="AJ1667" s="5" t="s">
        <v>139</v>
      </c>
      <c r="AK1667" s="2">
        <v>9.1329144038961604E-4</v>
      </c>
      <c r="AL1667" s="2">
        <v>7.8543540171408605E-2</v>
      </c>
      <c r="AM1667" s="2">
        <v>8852.1360248744695</v>
      </c>
      <c r="AN1667" s="2">
        <v>8821.0371602695595</v>
      </c>
      <c r="AO1667" s="2">
        <v>8974.4387643783593</v>
      </c>
      <c r="AP1667" s="2">
        <v>9861.3922226722207</v>
      </c>
      <c r="AQ1667" s="2">
        <v>8372.1847841443305</v>
      </c>
      <c r="AR1667" s="2">
        <v>10612.3427524122</v>
      </c>
      <c r="AS1667" s="2">
        <v>6386.1406584778497</v>
      </c>
      <c r="AT1667" s="2">
        <v>8605.9951213693603</v>
      </c>
      <c r="AU1667" s="2">
        <v>5972.0243405703004</v>
      </c>
      <c r="AV1667" s="2">
        <v>4397.2242810507596</v>
      </c>
      <c r="AW1667" s="2">
        <v>6164.5947405248899</v>
      </c>
      <c r="AX1667" s="2">
        <v>5031.2924039673499</v>
      </c>
    </row>
    <row r="1668" spans="1:50" x14ac:dyDescent="0.25">
      <c r="A1668" s="2" t="s">
        <v>11387</v>
      </c>
      <c r="B1668" s="2">
        <v>432.31228547788697</v>
      </c>
      <c r="C1668" s="2">
        <v>8.7620000000000005</v>
      </c>
      <c r="D1668" s="2" t="s">
        <v>51</v>
      </c>
      <c r="E1668" s="2" t="s">
        <v>11388</v>
      </c>
      <c r="F1668" s="2">
        <v>47131</v>
      </c>
      <c r="G1668" s="3" t="str">
        <f>HYPERLINK("https://cloud.oebiotech.com/#/lm/network/47131", "https://cloud.oebiotech.com/#/lm/network/47131")</f>
        <v>https://cloud.oebiotech.com/#/lm/network/47131</v>
      </c>
      <c r="H1668" s="2" t="s">
        <v>11389</v>
      </c>
      <c r="I1668" s="2">
        <v>5604</v>
      </c>
      <c r="J1668" s="2"/>
      <c r="K1668" s="2">
        <v>22833539</v>
      </c>
      <c r="L1668" s="2" t="s">
        <v>11390</v>
      </c>
      <c r="M1668" s="2"/>
      <c r="N1668" s="2"/>
      <c r="O1668" s="2">
        <v>27471</v>
      </c>
      <c r="P1668" s="2"/>
      <c r="Q1668" s="2"/>
      <c r="R1668" s="2" t="s">
        <v>11391</v>
      </c>
      <c r="S1668" s="2" t="s">
        <v>11392</v>
      </c>
      <c r="T1668" s="2" t="s">
        <v>11393</v>
      </c>
      <c r="U1668" s="2" t="s">
        <v>56</v>
      </c>
      <c r="V1668" s="2" t="s">
        <v>283</v>
      </c>
      <c r="W1668" s="2" t="s">
        <v>2042</v>
      </c>
      <c r="X1668" s="2" t="s">
        <v>59</v>
      </c>
      <c r="Y1668" s="2">
        <v>55.9</v>
      </c>
      <c r="Z1668" s="2">
        <v>85.7</v>
      </c>
      <c r="AA1668" s="2" t="s">
        <v>11394</v>
      </c>
      <c r="AB1668" s="2" t="s">
        <v>4976</v>
      </c>
      <c r="AC1668" s="2">
        <v>3.2276890508657501</v>
      </c>
      <c r="AD1668" s="2"/>
      <c r="AE1668" s="2">
        <v>0.388605373382991</v>
      </c>
      <c r="AF1668" s="2">
        <v>91810.941238732805</v>
      </c>
      <c r="AG1668" s="2">
        <v>99787.359135812803</v>
      </c>
      <c r="AH1668" s="4">
        <v>0.92006584835836802</v>
      </c>
      <c r="AI1668" s="4">
        <v>-0.120190977521534</v>
      </c>
      <c r="AJ1668" s="4" t="s">
        <v>62</v>
      </c>
      <c r="AK1668" s="2">
        <v>0.91511597405408396</v>
      </c>
      <c r="AL1668" s="2">
        <v>0.96366058811687005</v>
      </c>
      <c r="AM1668" s="2">
        <v>3793.6273880563399</v>
      </c>
      <c r="AN1668" s="2">
        <v>77646.697592259996</v>
      </c>
      <c r="AO1668" s="2">
        <v>6897.5577577083995</v>
      </c>
      <c r="AP1668" s="2">
        <v>427780.33054829802</v>
      </c>
      <c r="AQ1668" s="2">
        <v>14538.591594325901</v>
      </c>
      <c r="AR1668" s="2">
        <v>20208.842551748101</v>
      </c>
      <c r="AS1668" s="2">
        <v>7424.2159136947203</v>
      </c>
      <c r="AT1668" s="2">
        <v>140444.118638908</v>
      </c>
      <c r="AU1668" s="2">
        <v>144314.196396649</v>
      </c>
      <c r="AV1668" s="2">
        <v>110460.92060183101</v>
      </c>
      <c r="AW1668" s="2">
        <v>33573.769545795403</v>
      </c>
      <c r="AX1668" s="2">
        <v>162506.933717999</v>
      </c>
    </row>
    <row r="1669" spans="1:50" x14ac:dyDescent="0.25">
      <c r="A1669" s="2" t="s">
        <v>11395</v>
      </c>
      <c r="B1669" s="2">
        <v>660.35003095539105</v>
      </c>
      <c r="C1669" s="2">
        <v>11.4638333333333</v>
      </c>
      <c r="D1669" s="2" t="s">
        <v>51</v>
      </c>
      <c r="E1669" s="2" t="s">
        <v>11396</v>
      </c>
      <c r="F1669" s="2">
        <v>212479</v>
      </c>
      <c r="G1669" s="3" t="str">
        <f>HYPERLINK("https://cloud.oebiotech.com/#/lm/network/212479", "https://cloud.oebiotech.com/#/lm/network/212479")</f>
        <v>https://cloud.oebiotech.com/#/lm/network/212479</v>
      </c>
      <c r="H1669" s="2" t="s">
        <v>11397</v>
      </c>
      <c r="I1669" s="2"/>
      <c r="J1669" s="2"/>
      <c r="K1669" s="2">
        <v>50587</v>
      </c>
      <c r="L1669" s="2"/>
      <c r="M1669" s="2"/>
      <c r="N1669" s="2"/>
      <c r="O1669" s="2"/>
      <c r="P1669" s="2"/>
      <c r="Q1669" s="2"/>
      <c r="R1669" s="2"/>
      <c r="S1669" s="2" t="s">
        <v>11398</v>
      </c>
      <c r="T1669" s="2" t="s">
        <v>11399</v>
      </c>
      <c r="U1669" s="2" t="s">
        <v>103</v>
      </c>
      <c r="V1669" s="2" t="s">
        <v>104</v>
      </c>
      <c r="W1669" s="2" t="s">
        <v>105</v>
      </c>
      <c r="X1669" s="2" t="s">
        <v>147</v>
      </c>
      <c r="Y1669" s="2">
        <v>36.6</v>
      </c>
      <c r="Z1669" s="2">
        <v>1.2999999999999999E-2</v>
      </c>
      <c r="AA1669" s="2" t="s">
        <v>379</v>
      </c>
      <c r="AB1669" s="2" t="s">
        <v>11400</v>
      </c>
      <c r="AC1669" s="2">
        <v>3.7503897101134198</v>
      </c>
      <c r="AD1669" s="2"/>
      <c r="AE1669" s="2">
        <v>0.38850026203681498</v>
      </c>
      <c r="AF1669" s="2">
        <v>15811.184361079</v>
      </c>
      <c r="AG1669" s="2">
        <v>22480.680830188801</v>
      </c>
      <c r="AH1669" s="4">
        <v>0.703323199173155</v>
      </c>
      <c r="AI1669" s="4">
        <v>-0.50774028938295901</v>
      </c>
      <c r="AJ1669" s="4" t="s">
        <v>62</v>
      </c>
      <c r="AK1669" s="2">
        <v>0.231535991192411</v>
      </c>
      <c r="AL1669" s="2">
        <v>0.55548113043343295</v>
      </c>
      <c r="AM1669" s="2">
        <v>19004.142387691401</v>
      </c>
      <c r="AN1669" s="2">
        <v>18786.8441365543</v>
      </c>
      <c r="AO1669" s="2">
        <v>18000.186641801702</v>
      </c>
      <c r="AP1669" s="2">
        <v>13856.076501661501</v>
      </c>
      <c r="AQ1669" s="2">
        <v>11212.6683463271</v>
      </c>
      <c r="AR1669" s="2">
        <v>14007.188152438001</v>
      </c>
      <c r="AS1669" s="2">
        <v>8111.91329710849</v>
      </c>
      <c r="AT1669" s="2">
        <v>6780.0928667302296</v>
      </c>
      <c r="AU1669" s="2">
        <v>25698.202897884799</v>
      </c>
      <c r="AV1669" s="2">
        <v>38024.401018426499</v>
      </c>
      <c r="AW1669" s="2">
        <v>27273.6506683384</v>
      </c>
      <c r="AX1669" s="2">
        <v>28995.8242326443</v>
      </c>
    </row>
    <row r="1670" spans="1:50" x14ac:dyDescent="0.25">
      <c r="A1670" s="2" t="s">
        <v>11401</v>
      </c>
      <c r="B1670" s="2">
        <v>443.155207871703</v>
      </c>
      <c r="C1670" s="2">
        <v>10.644133333333301</v>
      </c>
      <c r="D1670" s="2" t="s">
        <v>51</v>
      </c>
      <c r="E1670" s="2" t="s">
        <v>11402</v>
      </c>
      <c r="F1670" s="2">
        <v>63354</v>
      </c>
      <c r="G1670" s="3" t="str">
        <f>HYPERLINK("https://cloud.oebiotech.com/#/lm/network/63354", "https://cloud.oebiotech.com/#/lm/network/63354")</f>
        <v>https://cloud.oebiotech.com/#/lm/network/63354</v>
      </c>
      <c r="H1670" s="2" t="s">
        <v>11403</v>
      </c>
      <c r="I1670" s="2">
        <v>94662</v>
      </c>
      <c r="J1670" s="2"/>
      <c r="K1670" s="2">
        <v>131752776</v>
      </c>
      <c r="L1670" s="2"/>
      <c r="M1670" s="2"/>
      <c r="N1670" s="2"/>
      <c r="O1670" s="2">
        <v>172635</v>
      </c>
      <c r="P1670" s="2"/>
      <c r="Q1670" s="2"/>
      <c r="R1670" s="2"/>
      <c r="S1670" s="2" t="s">
        <v>11404</v>
      </c>
      <c r="T1670" s="2" t="s">
        <v>11405</v>
      </c>
      <c r="U1670" s="2" t="s">
        <v>540</v>
      </c>
      <c r="V1670" s="2" t="s">
        <v>935</v>
      </c>
      <c r="W1670" s="2" t="s">
        <v>936</v>
      </c>
      <c r="X1670" s="2" t="s">
        <v>147</v>
      </c>
      <c r="Y1670" s="2">
        <v>43.4</v>
      </c>
      <c r="Z1670" s="2">
        <v>23.8</v>
      </c>
      <c r="AA1670" s="2" t="s">
        <v>218</v>
      </c>
      <c r="AB1670" s="2" t="s">
        <v>11406</v>
      </c>
      <c r="AC1670" s="2">
        <v>-1.70135649026425</v>
      </c>
      <c r="AD1670" s="2"/>
      <c r="AE1670" s="2">
        <v>0.38825521130465102</v>
      </c>
      <c r="AF1670" s="2">
        <v>21533.0943149382</v>
      </c>
      <c r="AG1670" s="2">
        <v>16528.211777434</v>
      </c>
      <c r="AH1670" s="5">
        <v>1.30280847104932</v>
      </c>
      <c r="AI1670" s="5">
        <v>0.38162500548900602</v>
      </c>
      <c r="AJ1670" s="5" t="s">
        <v>139</v>
      </c>
      <c r="AK1670" s="2">
        <v>0.15440562825358101</v>
      </c>
      <c r="AL1670" s="2">
        <v>0.47517092828514201</v>
      </c>
      <c r="AM1670" s="2">
        <v>32470.548252753499</v>
      </c>
      <c r="AN1670" s="2">
        <v>19033.4791941</v>
      </c>
      <c r="AO1670" s="2">
        <v>20261.736169754298</v>
      </c>
      <c r="AP1670" s="2">
        <v>14695.387631465201</v>
      </c>
      <c r="AQ1670" s="2">
        <v>21410.605888883401</v>
      </c>
      <c r="AR1670" s="2">
        <v>21326.808752673001</v>
      </c>
      <c r="AS1670" s="2">
        <v>13403.876168459101</v>
      </c>
      <c r="AT1670" s="2">
        <v>13211.1694509606</v>
      </c>
      <c r="AU1670" s="2">
        <v>12123.5855160762</v>
      </c>
      <c r="AV1670" s="2">
        <v>23000.599820093699</v>
      </c>
      <c r="AW1670" s="2">
        <v>23746.554595919999</v>
      </c>
      <c r="AX1670" s="2">
        <v>13683.485113094601</v>
      </c>
    </row>
    <row r="1671" spans="1:50" x14ac:dyDescent="0.25">
      <c r="A1671" s="2" t="s">
        <v>11407</v>
      </c>
      <c r="B1671" s="2">
        <v>294.10901581254802</v>
      </c>
      <c r="C1671" s="2">
        <v>7.8614666666666704</v>
      </c>
      <c r="D1671" s="2" t="s">
        <v>51</v>
      </c>
      <c r="E1671" s="2" t="s">
        <v>11408</v>
      </c>
      <c r="F1671" s="2">
        <v>54338</v>
      </c>
      <c r="G1671" s="3" t="str">
        <f>HYPERLINK("https://cloud.oebiotech.com/#/lm/network/54338", "https://cloud.oebiotech.com/#/lm/network/54338")</f>
        <v>https://cloud.oebiotech.com/#/lm/network/54338</v>
      </c>
      <c r="H1671" s="2" t="s">
        <v>11409</v>
      </c>
      <c r="I1671" s="2">
        <v>68174</v>
      </c>
      <c r="J1671" s="2"/>
      <c r="K1671" s="2">
        <v>636537</v>
      </c>
      <c r="L1671" s="2" t="s">
        <v>11410</v>
      </c>
      <c r="M1671" s="2"/>
      <c r="N1671" s="2"/>
      <c r="O1671" s="2">
        <v>715057</v>
      </c>
      <c r="P1671" s="2"/>
      <c r="Q1671" s="2"/>
      <c r="R1671" s="2" t="s">
        <v>11411</v>
      </c>
      <c r="S1671" s="2" t="s">
        <v>11412</v>
      </c>
      <c r="T1671" s="2" t="s">
        <v>11413</v>
      </c>
      <c r="U1671" s="2" t="s">
        <v>266</v>
      </c>
      <c r="V1671" s="2" t="s">
        <v>4740</v>
      </c>
      <c r="W1671" s="2" t="s">
        <v>240</v>
      </c>
      <c r="X1671" s="2" t="s">
        <v>83</v>
      </c>
      <c r="Y1671" s="2">
        <v>40</v>
      </c>
      <c r="Z1671" s="2">
        <v>0</v>
      </c>
      <c r="AA1671" s="2" t="s">
        <v>95</v>
      </c>
      <c r="AB1671" s="2" t="s">
        <v>11414</v>
      </c>
      <c r="AC1671" s="2">
        <v>-3.8664534557932502</v>
      </c>
      <c r="AD1671" s="2"/>
      <c r="AE1671" s="2">
        <v>0.38824275741578201</v>
      </c>
      <c r="AF1671" s="2">
        <v>4436.7883083758497</v>
      </c>
      <c r="AG1671" s="2">
        <v>9843.1567688727191</v>
      </c>
      <c r="AH1671" s="4">
        <v>0.45074851620838002</v>
      </c>
      <c r="AI1671" s="4">
        <v>-1.14960535234197</v>
      </c>
      <c r="AJ1671" s="4" t="s">
        <v>62</v>
      </c>
      <c r="AK1671" s="2">
        <v>2.4276913319188801E-2</v>
      </c>
      <c r="AL1671" s="2">
        <v>0.24217236037671899</v>
      </c>
      <c r="AM1671" s="2">
        <v>8327.1466693082602</v>
      </c>
      <c r="AN1671" s="2">
        <v>1976.87682053461</v>
      </c>
      <c r="AO1671" s="2">
        <v>6743.0887521137302</v>
      </c>
      <c r="AP1671" s="2">
        <v>100.816894038744</v>
      </c>
      <c r="AQ1671" s="2">
        <v>2885.2997630158102</v>
      </c>
      <c r="AR1671" s="2">
        <v>6587.5009512439301</v>
      </c>
      <c r="AS1671" s="2">
        <v>11164.8259282813</v>
      </c>
      <c r="AT1671" s="2">
        <v>7816.0932404505302</v>
      </c>
      <c r="AU1671" s="2">
        <v>14944.708902620099</v>
      </c>
      <c r="AV1671" s="2">
        <v>5545.00241156435</v>
      </c>
      <c r="AW1671" s="2">
        <v>13117.1368381923</v>
      </c>
      <c r="AX1671" s="2">
        <v>6471.1732921277599</v>
      </c>
    </row>
    <row r="1672" spans="1:50" x14ac:dyDescent="0.25">
      <c r="A1672" s="2" t="s">
        <v>11415</v>
      </c>
      <c r="B1672" s="2">
        <v>147.11317415893001</v>
      </c>
      <c r="C1672" s="2">
        <v>0.59993333333333299</v>
      </c>
      <c r="D1672" s="2" t="s">
        <v>51</v>
      </c>
      <c r="E1672" s="2" t="s">
        <v>11416</v>
      </c>
      <c r="F1672" s="2">
        <v>46915</v>
      </c>
      <c r="G1672" s="3" t="str">
        <f>HYPERLINK("https://cloud.oebiotech.com/#/lm/network/46915", "https://cloud.oebiotech.com/#/lm/network/46915")</f>
        <v>https://cloud.oebiotech.com/#/lm/network/46915</v>
      </c>
      <c r="H1672" s="2" t="s">
        <v>11417</v>
      </c>
      <c r="I1672" s="2">
        <v>25</v>
      </c>
      <c r="J1672" s="2"/>
      <c r="K1672" s="2">
        <v>5962</v>
      </c>
      <c r="L1672" s="2" t="s">
        <v>11418</v>
      </c>
      <c r="M1672" s="2" t="s">
        <v>11419</v>
      </c>
      <c r="N1672" s="2" t="s">
        <v>11420</v>
      </c>
      <c r="O1672" s="2">
        <v>18019</v>
      </c>
      <c r="P1672" s="2"/>
      <c r="Q1672" s="2"/>
      <c r="R1672" s="2" t="s">
        <v>11421</v>
      </c>
      <c r="S1672" s="2" t="s">
        <v>11422</v>
      </c>
      <c r="T1672" s="2" t="s">
        <v>11423</v>
      </c>
      <c r="U1672" s="2" t="s">
        <v>103</v>
      </c>
      <c r="V1672" s="2" t="s">
        <v>104</v>
      </c>
      <c r="W1672" s="2" t="s">
        <v>105</v>
      </c>
      <c r="X1672" s="2" t="s">
        <v>69</v>
      </c>
      <c r="Y1672" s="2">
        <v>55.6</v>
      </c>
      <c r="Z1672" s="2">
        <v>84.7</v>
      </c>
      <c r="AA1672" s="2" t="s">
        <v>179</v>
      </c>
      <c r="AB1672" s="2" t="s">
        <v>11424</v>
      </c>
      <c r="AC1672" s="2">
        <v>2.5326162260905098</v>
      </c>
      <c r="AD1672" s="2"/>
      <c r="AE1672" s="2">
        <v>0.38815782080045003</v>
      </c>
      <c r="AF1672" s="2">
        <v>366240.880251094</v>
      </c>
      <c r="AG1672" s="2">
        <v>347469.99205128202</v>
      </c>
      <c r="AH1672" s="5">
        <v>1.0540216094316499</v>
      </c>
      <c r="AI1672" s="5">
        <v>7.5904445248647701E-2</v>
      </c>
      <c r="AJ1672" s="5" t="s">
        <v>139</v>
      </c>
      <c r="AK1672" s="2">
        <v>0.79712846635417001</v>
      </c>
      <c r="AL1672" s="2">
        <v>0.90954932814260703</v>
      </c>
      <c r="AM1672" s="2">
        <v>550939.64252266195</v>
      </c>
      <c r="AN1672" s="2">
        <v>327075.64626349998</v>
      </c>
      <c r="AO1672" s="2">
        <v>269979.734283528</v>
      </c>
      <c r="AP1672" s="2">
        <v>343452.47283789102</v>
      </c>
      <c r="AQ1672" s="2">
        <v>366704.093180875</v>
      </c>
      <c r="AR1672" s="2">
        <v>339293.69241811102</v>
      </c>
      <c r="AS1672" s="2">
        <v>140173.21057424601</v>
      </c>
      <c r="AT1672" s="2">
        <v>231905.53256479901</v>
      </c>
      <c r="AU1672" s="2">
        <v>355371.67114910402</v>
      </c>
      <c r="AV1672" s="2">
        <v>551892.23710097303</v>
      </c>
      <c r="AW1672" s="2">
        <v>378256.22238802799</v>
      </c>
      <c r="AX1672" s="2">
        <v>427221.078530545</v>
      </c>
    </row>
    <row r="1673" spans="1:50" x14ac:dyDescent="0.25">
      <c r="A1673" s="2" t="s">
        <v>11425</v>
      </c>
      <c r="B1673" s="2">
        <v>253.217119764356</v>
      </c>
      <c r="C1673" s="2">
        <v>12.4242833333333</v>
      </c>
      <c r="D1673" s="2" t="s">
        <v>51</v>
      </c>
      <c r="E1673" s="2" t="s">
        <v>11426</v>
      </c>
      <c r="F1673" s="2">
        <v>757</v>
      </c>
      <c r="G1673" s="3" t="str">
        <f>HYPERLINK("https://cloud.oebiotech.com/#/lm/network/757", "https://cloud.oebiotech.com/#/lm/network/757")</f>
        <v>https://cloud.oebiotech.com/#/lm/network/757</v>
      </c>
      <c r="H1673" s="2"/>
      <c r="I1673" s="2">
        <v>34926</v>
      </c>
      <c r="J1673" s="2" t="s">
        <v>11427</v>
      </c>
      <c r="K1673" s="2">
        <v>5312414</v>
      </c>
      <c r="L1673" s="2"/>
      <c r="M1673" s="2"/>
      <c r="N1673" s="2"/>
      <c r="O1673" s="2">
        <v>35464</v>
      </c>
      <c r="P1673" s="2"/>
      <c r="Q1673" s="2"/>
      <c r="R1673" s="2"/>
      <c r="S1673" s="2" t="s">
        <v>11428</v>
      </c>
      <c r="T1673" s="2" t="s">
        <v>11429</v>
      </c>
      <c r="U1673" s="2" t="s">
        <v>56</v>
      </c>
      <c r="V1673" s="2" t="s">
        <v>145</v>
      </c>
      <c r="W1673" s="2" t="s">
        <v>231</v>
      </c>
      <c r="X1673" s="2" t="s">
        <v>83</v>
      </c>
      <c r="Y1673" s="2">
        <v>50.3</v>
      </c>
      <c r="Z1673" s="2">
        <v>0</v>
      </c>
      <c r="AA1673" s="2" t="s">
        <v>241</v>
      </c>
      <c r="AB1673" s="2" t="s">
        <v>7748</v>
      </c>
      <c r="AC1673" s="2">
        <v>-0.72378864318397695</v>
      </c>
      <c r="AD1673" s="2"/>
      <c r="AE1673" s="2">
        <v>0.38813209628284501</v>
      </c>
      <c r="AF1673" s="2">
        <v>17751.1851780631</v>
      </c>
      <c r="AG1673" s="2">
        <v>33814.798892792402</v>
      </c>
      <c r="AH1673" s="4">
        <v>0.52495314948765603</v>
      </c>
      <c r="AI1673" s="4">
        <v>-0.92973942261884901</v>
      </c>
      <c r="AJ1673" s="4" t="s">
        <v>62</v>
      </c>
      <c r="AK1673" s="2">
        <v>0.38874646708913002</v>
      </c>
      <c r="AL1673" s="2">
        <v>0.663978071089806</v>
      </c>
      <c r="AM1673" s="2">
        <v>19536.6221087618</v>
      </c>
      <c r="AN1673" s="2">
        <v>9002.8957747357508</v>
      </c>
      <c r="AO1673" s="2">
        <v>25307.593382979299</v>
      </c>
      <c r="AP1673" s="2">
        <v>8964.7051118015606</v>
      </c>
      <c r="AQ1673" s="2">
        <v>28736.701633810299</v>
      </c>
      <c r="AR1673" s="2">
        <v>14958.593056289699</v>
      </c>
      <c r="AS1673" s="2">
        <v>12708.743660112999</v>
      </c>
      <c r="AT1673" s="2">
        <v>5284.0387121773801</v>
      </c>
      <c r="AU1673" s="2">
        <v>119490.369571334</v>
      </c>
      <c r="AV1673" s="2">
        <v>23809.126567525302</v>
      </c>
      <c r="AW1673" s="2">
        <v>29558.637135429301</v>
      </c>
      <c r="AX1673" s="2">
        <v>12037.8777101752</v>
      </c>
    </row>
    <row r="1674" spans="1:50" x14ac:dyDescent="0.25">
      <c r="A1674" s="2" t="s">
        <v>11430</v>
      </c>
      <c r="B1674" s="2">
        <v>556.31803068101704</v>
      </c>
      <c r="C1674" s="2">
        <v>11.109966666666701</v>
      </c>
      <c r="D1674" s="2" t="s">
        <v>51</v>
      </c>
      <c r="E1674" s="2" t="s">
        <v>11431</v>
      </c>
      <c r="F1674" s="2">
        <v>206953</v>
      </c>
      <c r="G1674" s="3" t="str">
        <f>HYPERLINK("https://cloud.oebiotech.com/#/lm/network/206953", "https://cloud.oebiotech.com/#/lm/network/206953")</f>
        <v>https://cloud.oebiotech.com/#/lm/network/206953</v>
      </c>
      <c r="H1674" s="2" t="s">
        <v>11432</v>
      </c>
      <c r="I1674" s="2"/>
      <c r="J1674" s="2"/>
      <c r="K1674" s="2">
        <v>13491648</v>
      </c>
      <c r="L1674" s="2"/>
      <c r="M1674" s="2"/>
      <c r="N1674" s="2"/>
      <c r="O1674" s="2"/>
      <c r="P1674" s="2"/>
      <c r="Q1674" s="2"/>
      <c r="R1674" s="2"/>
      <c r="S1674" s="2" t="s">
        <v>11433</v>
      </c>
      <c r="T1674" s="2" t="s">
        <v>11434</v>
      </c>
      <c r="U1674" s="2" t="s">
        <v>295</v>
      </c>
      <c r="V1674" s="2" t="s">
        <v>296</v>
      </c>
      <c r="W1674" s="2" t="s">
        <v>3973</v>
      </c>
      <c r="X1674" s="2" t="s">
        <v>69</v>
      </c>
      <c r="Y1674" s="2">
        <v>54.1</v>
      </c>
      <c r="Z1674" s="2">
        <v>86</v>
      </c>
      <c r="AA1674" s="2" t="s">
        <v>379</v>
      </c>
      <c r="AB1674" s="2" t="s">
        <v>11435</v>
      </c>
      <c r="AC1674" s="2">
        <v>4.0317423314183296</v>
      </c>
      <c r="AD1674" s="2"/>
      <c r="AE1674" s="2">
        <v>0.38811169216146701</v>
      </c>
      <c r="AF1674" s="2">
        <v>79729.192058783097</v>
      </c>
      <c r="AG1674" s="2">
        <v>91525.736158648695</v>
      </c>
      <c r="AH1674" s="4">
        <v>0.87111227295219196</v>
      </c>
      <c r="AI1674" s="4">
        <v>-0.19906942291417201</v>
      </c>
      <c r="AJ1674" s="4" t="s">
        <v>62</v>
      </c>
      <c r="AK1674" s="2">
        <v>0.416150225128466</v>
      </c>
      <c r="AL1674" s="2">
        <v>0.67857288837893404</v>
      </c>
      <c r="AM1674" s="2">
        <v>95866.950384003299</v>
      </c>
      <c r="AN1674" s="2">
        <v>80419.992685703197</v>
      </c>
      <c r="AO1674" s="2">
        <v>78136.948244467902</v>
      </c>
      <c r="AP1674" s="2">
        <v>72186.544094512603</v>
      </c>
      <c r="AQ1674" s="2">
        <v>76681.388717257694</v>
      </c>
      <c r="AR1674" s="2">
        <v>75083.3282267537</v>
      </c>
      <c r="AS1674" s="2">
        <v>69355.209338684304</v>
      </c>
      <c r="AT1674" s="2">
        <v>43896.313612899503</v>
      </c>
      <c r="AU1674" s="2">
        <v>131786.00312781701</v>
      </c>
      <c r="AV1674" s="2">
        <v>117606.92935947</v>
      </c>
      <c r="AW1674" s="2">
        <v>107109.906609285</v>
      </c>
      <c r="AX1674" s="2">
        <v>79400.054903736396</v>
      </c>
    </row>
    <row r="1675" spans="1:50" x14ac:dyDescent="0.25">
      <c r="A1675" s="2" t="s">
        <v>11436</v>
      </c>
      <c r="B1675" s="2">
        <v>333.24333295714001</v>
      </c>
      <c r="C1675" s="2">
        <v>10.3521</v>
      </c>
      <c r="D1675" s="2" t="s">
        <v>51</v>
      </c>
      <c r="E1675" s="2" t="s">
        <v>11437</v>
      </c>
      <c r="F1675" s="2">
        <v>3834</v>
      </c>
      <c r="G1675" s="3" t="str">
        <f>HYPERLINK("https://cloud.oebiotech.com/#/lm/network/3834", "https://cloud.oebiotech.com/#/lm/network/3834")</f>
        <v>https://cloud.oebiotech.com/#/lm/network/3834</v>
      </c>
      <c r="H1675" s="2"/>
      <c r="I1675" s="2"/>
      <c r="J1675" s="2" t="s">
        <v>11438</v>
      </c>
      <c r="K1675" s="2">
        <v>15659534</v>
      </c>
      <c r="L1675" s="2"/>
      <c r="M1675" s="2"/>
      <c r="N1675" s="2"/>
      <c r="O1675" s="2"/>
      <c r="P1675" s="2"/>
      <c r="Q1675" s="2"/>
      <c r="R1675" s="2"/>
      <c r="S1675" s="2" t="s">
        <v>11439</v>
      </c>
      <c r="T1675" s="2" t="s">
        <v>11440</v>
      </c>
      <c r="U1675" s="2" t="s">
        <v>56</v>
      </c>
      <c r="V1675" s="2" t="s">
        <v>145</v>
      </c>
      <c r="W1675" s="2" t="s">
        <v>187</v>
      </c>
      <c r="X1675" s="2" t="s">
        <v>83</v>
      </c>
      <c r="Y1675" s="2">
        <v>51.4</v>
      </c>
      <c r="Z1675" s="2">
        <v>14.2</v>
      </c>
      <c r="AA1675" s="2" t="s">
        <v>179</v>
      </c>
      <c r="AB1675" s="2" t="s">
        <v>6539</v>
      </c>
      <c r="AC1675" s="2">
        <v>2.6028542105588501</v>
      </c>
      <c r="AD1675" s="2"/>
      <c r="AE1675" s="2">
        <v>0.38777057326188002</v>
      </c>
      <c r="AF1675" s="2">
        <v>38393.415833715699</v>
      </c>
      <c r="AG1675" s="2">
        <v>29107.266263685699</v>
      </c>
      <c r="AH1675" s="5">
        <v>1.3190320068503101</v>
      </c>
      <c r="AI1675" s="5">
        <v>0.39947957259853201</v>
      </c>
      <c r="AJ1675" s="5" t="s">
        <v>139</v>
      </c>
      <c r="AK1675" s="2">
        <v>0.34213281223058101</v>
      </c>
      <c r="AL1675" s="2">
        <v>0.63815037094278604</v>
      </c>
      <c r="AM1675" s="2">
        <v>31905.556179437001</v>
      </c>
      <c r="AN1675" s="2">
        <v>54236.995930735298</v>
      </c>
      <c r="AO1675" s="2">
        <v>36071.770585166603</v>
      </c>
      <c r="AP1675" s="2">
        <v>53697.439235764497</v>
      </c>
      <c r="AQ1675" s="2">
        <v>22267.672100465399</v>
      </c>
      <c r="AR1675" s="2">
        <v>32181.060970725201</v>
      </c>
      <c r="AS1675" s="2">
        <v>37138.219954394401</v>
      </c>
      <c r="AT1675" s="2">
        <v>38214.767070748603</v>
      </c>
      <c r="AU1675" s="2">
        <v>18740.6476012862</v>
      </c>
      <c r="AV1675" s="2">
        <v>9217.1551112380494</v>
      </c>
      <c r="AW1675" s="2">
        <v>12939.5663613781</v>
      </c>
      <c r="AX1675" s="2">
        <v>58393.241483069003</v>
      </c>
    </row>
    <row r="1676" spans="1:50" x14ac:dyDescent="0.25">
      <c r="A1676" s="2" t="s">
        <v>11441</v>
      </c>
      <c r="B1676" s="2">
        <v>338.13361021632699</v>
      </c>
      <c r="C1676" s="2">
        <v>3.5889500000000001</v>
      </c>
      <c r="D1676" s="2" t="s">
        <v>51</v>
      </c>
      <c r="E1676" s="2" t="s">
        <v>11442</v>
      </c>
      <c r="F1676" s="2">
        <v>262313</v>
      </c>
      <c r="G1676" s="3" t="str">
        <f>HYPERLINK("https://cloud.oebiotech.com/#/lm/network/262313", "https://cloud.oebiotech.com/#/lm/network/262313")</f>
        <v>https://cloud.oebiotech.com/#/lm/network/262313</v>
      </c>
      <c r="H1676" s="2"/>
      <c r="I1676" s="2">
        <v>19669</v>
      </c>
      <c r="J1676" s="2"/>
      <c r="K1676" s="2">
        <v>145457851</v>
      </c>
      <c r="L1676" s="2"/>
      <c r="M1676" s="2"/>
      <c r="N1676" s="2"/>
      <c r="O1676" s="2"/>
      <c r="P1676" s="2"/>
      <c r="Q1676" s="2"/>
      <c r="R1676" s="2"/>
      <c r="S1676" s="2" t="s">
        <v>11443</v>
      </c>
      <c r="T1676" s="2" t="s">
        <v>11444</v>
      </c>
      <c r="U1676" s="2" t="s">
        <v>103</v>
      </c>
      <c r="V1676" s="2" t="s">
        <v>104</v>
      </c>
      <c r="W1676" s="2" t="s">
        <v>105</v>
      </c>
      <c r="X1676" s="2" t="s">
        <v>83</v>
      </c>
      <c r="Y1676" s="2">
        <v>37.799999999999997</v>
      </c>
      <c r="Z1676" s="2">
        <v>0</v>
      </c>
      <c r="AA1676" s="2" t="s">
        <v>163</v>
      </c>
      <c r="AB1676" s="2" t="s">
        <v>11445</v>
      </c>
      <c r="AC1676" s="2">
        <v>-6.3358426359599198</v>
      </c>
      <c r="AD1676" s="2"/>
      <c r="AE1676" s="2">
        <v>0.38739587606320702</v>
      </c>
      <c r="AF1676" s="2">
        <v>15772.6264939956</v>
      </c>
      <c r="AG1676" s="2">
        <v>9960.7306383315208</v>
      </c>
      <c r="AH1676" s="5">
        <v>1.58348087772782</v>
      </c>
      <c r="AI1676" s="5">
        <v>0.66309944534285303</v>
      </c>
      <c r="AJ1676" s="5" t="s">
        <v>139</v>
      </c>
      <c r="AK1676" s="2">
        <v>0.30813334934737702</v>
      </c>
      <c r="AL1676" s="2">
        <v>0.617827657911307</v>
      </c>
      <c r="AM1676" s="2">
        <v>30076.6388168337</v>
      </c>
      <c r="AN1676" s="2">
        <v>12459.1708792469</v>
      </c>
      <c r="AO1676" s="2">
        <v>13772.2043110375</v>
      </c>
      <c r="AP1676" s="2">
        <v>5427.2488644348196</v>
      </c>
      <c r="AQ1676" s="2">
        <v>6528.4582021715496</v>
      </c>
      <c r="AR1676" s="2">
        <v>26372.037890249201</v>
      </c>
      <c r="AS1676" s="2">
        <v>8.559877937157E-6</v>
      </c>
      <c r="AT1676" s="2">
        <v>537.54100502442998</v>
      </c>
      <c r="AU1676" s="2">
        <v>15899.770624597801</v>
      </c>
      <c r="AV1676" s="2">
        <v>17790.575545182801</v>
      </c>
      <c r="AW1676" s="2">
        <v>7569.8711778168199</v>
      </c>
      <c r="AX1676" s="2">
        <v>17966.6254688074</v>
      </c>
    </row>
    <row r="1677" spans="1:50" x14ac:dyDescent="0.25">
      <c r="A1677" s="2" t="s">
        <v>11446</v>
      </c>
      <c r="B1677" s="2">
        <v>328.162127959668</v>
      </c>
      <c r="C1677" s="2">
        <v>9.5006666666666693</v>
      </c>
      <c r="D1677" s="2" t="s">
        <v>51</v>
      </c>
      <c r="E1677" s="2" t="s">
        <v>11447</v>
      </c>
      <c r="F1677" s="2">
        <v>196996</v>
      </c>
      <c r="G1677" s="3" t="str">
        <f>HYPERLINK("https://cloud.oebiotech.com/#/lm/network/196996", "https://cloud.oebiotech.com/#/lm/network/196996")</f>
        <v>https://cloud.oebiotech.com/#/lm/network/196996</v>
      </c>
      <c r="H1677" s="2" t="s">
        <v>11448</v>
      </c>
      <c r="I1677" s="2"/>
      <c r="J1677" s="2"/>
      <c r="K1677" s="2"/>
      <c r="L1677" s="2"/>
      <c r="M1677" s="2"/>
      <c r="N1677" s="2"/>
      <c r="O1677" s="2"/>
      <c r="P1677" s="2"/>
      <c r="Q1677" s="2"/>
      <c r="R1677" s="2" t="s">
        <v>11449</v>
      </c>
      <c r="S1677" s="2" t="s">
        <v>11450</v>
      </c>
      <c r="T1677" s="2" t="s">
        <v>11451</v>
      </c>
      <c r="U1677" s="2" t="s">
        <v>266</v>
      </c>
      <c r="V1677" s="2" t="s">
        <v>5547</v>
      </c>
      <c r="W1677" s="2" t="s">
        <v>5548</v>
      </c>
      <c r="X1677" s="2" t="s">
        <v>147</v>
      </c>
      <c r="Y1677" s="2">
        <v>36.6</v>
      </c>
      <c r="Z1677" s="2">
        <v>0.28199999999999997</v>
      </c>
      <c r="AA1677" s="2" t="s">
        <v>667</v>
      </c>
      <c r="AB1677" s="2" t="s">
        <v>11452</v>
      </c>
      <c r="AC1677" s="2">
        <v>1.9593619962975799</v>
      </c>
      <c r="AD1677" s="2"/>
      <c r="AE1677" s="2">
        <v>0.38716061724862</v>
      </c>
      <c r="AF1677" s="2">
        <v>13162.659202266699</v>
      </c>
      <c r="AG1677" s="2">
        <v>25314.165365286699</v>
      </c>
      <c r="AH1677" s="4">
        <v>0.51997207936062095</v>
      </c>
      <c r="AI1677" s="4">
        <v>-0.94349393711329399</v>
      </c>
      <c r="AJ1677" s="4" t="s">
        <v>62</v>
      </c>
      <c r="AK1677" s="2">
        <v>0.26016580222066199</v>
      </c>
      <c r="AL1677" s="2">
        <v>0.58239046601091005</v>
      </c>
      <c r="AM1677" s="2">
        <v>34267.482931455401</v>
      </c>
      <c r="AN1677" s="2">
        <v>6836.0909089138404</v>
      </c>
      <c r="AO1677" s="2">
        <v>2122.6178873945901</v>
      </c>
      <c r="AP1677" s="2">
        <v>8901.5188108834791</v>
      </c>
      <c r="AQ1677" s="2">
        <v>7693.2887714304397</v>
      </c>
      <c r="AR1677" s="2">
        <v>19154.955903522699</v>
      </c>
      <c r="AS1677" s="2">
        <v>35006.234314896901</v>
      </c>
      <c r="AT1677" s="2">
        <v>61544.9477243289</v>
      </c>
      <c r="AU1677" s="2">
        <v>1711.6617571174399</v>
      </c>
      <c r="AV1677" s="2">
        <v>10722.275529164301</v>
      </c>
      <c r="AW1677" s="2">
        <v>31728.9627676649</v>
      </c>
      <c r="AX1677" s="2">
        <v>11170.9100985479</v>
      </c>
    </row>
    <row r="1678" spans="1:50" x14ac:dyDescent="0.25">
      <c r="A1678" s="2" t="s">
        <v>11453</v>
      </c>
      <c r="B1678" s="2">
        <v>316.11901285763298</v>
      </c>
      <c r="C1678" s="2">
        <v>6.2920666666666696</v>
      </c>
      <c r="D1678" s="2" t="s">
        <v>51</v>
      </c>
      <c r="E1678" s="2" t="s">
        <v>11454</v>
      </c>
      <c r="F1678" s="2">
        <v>30022</v>
      </c>
      <c r="G1678" s="3" t="str">
        <f>HYPERLINK("https://cloud.oebiotech.com/#/lm/network/30022", "https://cloud.oebiotech.com/#/lm/network/30022")</f>
        <v>https://cloud.oebiotech.com/#/lm/network/30022</v>
      </c>
      <c r="H1678" s="2"/>
      <c r="I1678" s="2">
        <v>44662</v>
      </c>
      <c r="J1678" s="2" t="s">
        <v>11455</v>
      </c>
      <c r="K1678" s="2">
        <v>4412068</v>
      </c>
      <c r="L1678" s="2"/>
      <c r="M1678" s="2"/>
      <c r="N1678" s="2"/>
      <c r="O1678" s="2">
        <v>108605</v>
      </c>
      <c r="P1678" s="2"/>
      <c r="Q1678" s="2"/>
      <c r="R1678" s="2" t="s">
        <v>11456</v>
      </c>
      <c r="S1678" s="2" t="s">
        <v>11457</v>
      </c>
      <c r="T1678" s="2" t="s">
        <v>11458</v>
      </c>
      <c r="U1678" s="2" t="s">
        <v>540</v>
      </c>
      <c r="V1678" s="2" t="s">
        <v>11459</v>
      </c>
      <c r="W1678" s="2" t="s">
        <v>11460</v>
      </c>
      <c r="X1678" s="2" t="s">
        <v>147</v>
      </c>
      <c r="Y1678" s="2">
        <v>44.3</v>
      </c>
      <c r="Z1678" s="2">
        <v>29.6</v>
      </c>
      <c r="AA1678" s="2" t="s">
        <v>512</v>
      </c>
      <c r="AB1678" s="2" t="s">
        <v>11461</v>
      </c>
      <c r="AC1678" s="2">
        <v>3.5687269749942199</v>
      </c>
      <c r="AD1678" s="2"/>
      <c r="AE1678" s="2">
        <v>0.387150153402673</v>
      </c>
      <c r="AF1678" s="2">
        <v>1109.2240888921799</v>
      </c>
      <c r="AG1678" s="2">
        <v>5121.8124428168903</v>
      </c>
      <c r="AH1678" s="4">
        <v>0.216568666126737</v>
      </c>
      <c r="AI1678" s="4">
        <v>-2.20710357074829</v>
      </c>
      <c r="AJ1678" s="4" t="s">
        <v>62</v>
      </c>
      <c r="AK1678" s="2">
        <v>4.1480642340480899E-2</v>
      </c>
      <c r="AL1678" s="2">
        <v>0.29243076157332099</v>
      </c>
      <c r="AM1678" s="2">
        <v>228.680094805435</v>
      </c>
      <c r="AN1678" s="2">
        <v>834.785210603118</v>
      </c>
      <c r="AO1678" s="2">
        <v>8.559877937157E-6</v>
      </c>
      <c r="AP1678" s="2">
        <v>3128.8488759352399</v>
      </c>
      <c r="AQ1678" s="2">
        <v>951.11415416611806</v>
      </c>
      <c r="AR1678" s="2">
        <v>1511.9161892832799</v>
      </c>
      <c r="AS1678" s="2">
        <v>3935.3416316601001</v>
      </c>
      <c r="AT1678" s="2">
        <v>59.590920174136699</v>
      </c>
      <c r="AU1678" s="2">
        <v>10626.319445405999</v>
      </c>
      <c r="AV1678" s="2">
        <v>9356.3890795494008</v>
      </c>
      <c r="AW1678" s="2">
        <v>2801.4743574647</v>
      </c>
      <c r="AX1678" s="2">
        <v>3951.7592226470301</v>
      </c>
    </row>
    <row r="1679" spans="1:50" x14ac:dyDescent="0.25">
      <c r="A1679" s="2" t="s">
        <v>11462</v>
      </c>
      <c r="B1679" s="2">
        <v>497.01149635200198</v>
      </c>
      <c r="C1679" s="2">
        <v>11.231</v>
      </c>
      <c r="D1679" s="2" t="s">
        <v>51</v>
      </c>
      <c r="E1679" s="2" t="s">
        <v>11463</v>
      </c>
      <c r="F1679" s="2">
        <v>81717</v>
      </c>
      <c r="G1679" s="3" t="str">
        <f>HYPERLINK("https://cloud.oebiotech.com/#/lm/network/81717", "https://cloud.oebiotech.com/#/lm/network/81717")</f>
        <v>https://cloud.oebiotech.com/#/lm/network/81717</v>
      </c>
      <c r="H1679" s="2" t="s">
        <v>11464</v>
      </c>
      <c r="I1679" s="2">
        <v>96235</v>
      </c>
      <c r="J1679" s="2"/>
      <c r="K1679" s="2">
        <v>444335</v>
      </c>
      <c r="L1679" s="2" t="s">
        <v>11465</v>
      </c>
      <c r="M1679" s="2"/>
      <c r="N1679" s="2"/>
      <c r="O1679" s="2">
        <v>63730</v>
      </c>
      <c r="P1679" s="2"/>
      <c r="Q1679" s="2"/>
      <c r="R1679" s="2"/>
      <c r="S1679" s="2" t="s">
        <v>11466</v>
      </c>
      <c r="T1679" s="2" t="s">
        <v>11467</v>
      </c>
      <c r="U1679" s="2" t="s">
        <v>295</v>
      </c>
      <c r="V1679" s="2" t="s">
        <v>1023</v>
      </c>
      <c r="W1679" s="2" t="s">
        <v>4858</v>
      </c>
      <c r="X1679" s="2" t="s">
        <v>147</v>
      </c>
      <c r="Y1679" s="2">
        <v>36.700000000000003</v>
      </c>
      <c r="Z1679" s="2">
        <v>0</v>
      </c>
      <c r="AA1679" s="2" t="s">
        <v>395</v>
      </c>
      <c r="AB1679" s="2" t="s">
        <v>11468</v>
      </c>
      <c r="AC1679" s="2">
        <v>1.16493426377048</v>
      </c>
      <c r="AD1679" s="2"/>
      <c r="AE1679" s="2">
        <v>0.38709808109199401</v>
      </c>
      <c r="AF1679" s="2">
        <v>10503.041707328501</v>
      </c>
      <c r="AG1679" s="2">
        <v>14562.363846067699</v>
      </c>
      <c r="AH1679" s="4">
        <v>0.72124565890205405</v>
      </c>
      <c r="AI1679" s="4">
        <v>-0.47143736452518797</v>
      </c>
      <c r="AJ1679" s="4" t="s">
        <v>62</v>
      </c>
      <c r="AK1679" s="2">
        <v>6.3332493824201599E-2</v>
      </c>
      <c r="AL1679" s="2">
        <v>0.33601027492909402</v>
      </c>
      <c r="AM1679" s="2">
        <v>6570.5182543526298</v>
      </c>
      <c r="AN1679" s="2">
        <v>9513.9267816411593</v>
      </c>
      <c r="AO1679" s="2">
        <v>12459.4686534621</v>
      </c>
      <c r="AP1679" s="2">
        <v>9254.9718612495708</v>
      </c>
      <c r="AQ1679" s="2">
        <v>16755.5762568754</v>
      </c>
      <c r="AR1679" s="2">
        <v>8463.7884363902504</v>
      </c>
      <c r="AS1679" s="2">
        <v>20238.927390281799</v>
      </c>
      <c r="AT1679" s="2">
        <v>15723.929736260199</v>
      </c>
      <c r="AU1679" s="2">
        <v>11532.4843083222</v>
      </c>
      <c r="AV1679" s="2">
        <v>12612.636756177501</v>
      </c>
      <c r="AW1679" s="2">
        <v>13542.148605825199</v>
      </c>
      <c r="AX1679" s="2">
        <v>13724.056279539</v>
      </c>
    </row>
    <row r="1680" spans="1:50" x14ac:dyDescent="0.25">
      <c r="A1680" s="2" t="s">
        <v>11469</v>
      </c>
      <c r="B1680" s="2">
        <v>199.09692718647401</v>
      </c>
      <c r="C1680" s="2">
        <v>5.2656166666666699</v>
      </c>
      <c r="D1680" s="2" t="s">
        <v>51</v>
      </c>
      <c r="E1680" s="2" t="s">
        <v>11470</v>
      </c>
      <c r="F1680" s="2">
        <v>2017</v>
      </c>
      <c r="G1680" s="3" t="str">
        <f>HYPERLINK("https://cloud.oebiotech.com/#/lm/network/2017", "https://cloud.oebiotech.com/#/lm/network/2017")</f>
        <v>https://cloud.oebiotech.com/#/lm/network/2017</v>
      </c>
      <c r="H1680" s="2"/>
      <c r="I1680" s="2"/>
      <c r="J1680" s="2" t="s">
        <v>11471</v>
      </c>
      <c r="K1680" s="2"/>
      <c r="L1680" s="2"/>
      <c r="M1680" s="2"/>
      <c r="N1680" s="2"/>
      <c r="O1680" s="2"/>
      <c r="P1680" s="2"/>
      <c r="Q1680" s="2"/>
      <c r="R1680" s="2"/>
      <c r="S1680" s="2" t="s">
        <v>11472</v>
      </c>
      <c r="T1680" s="2" t="s">
        <v>11473</v>
      </c>
      <c r="U1680" s="2" t="s">
        <v>56</v>
      </c>
      <c r="V1680" s="2" t="s">
        <v>145</v>
      </c>
      <c r="W1680" s="2" t="s">
        <v>231</v>
      </c>
      <c r="X1680" s="2" t="s">
        <v>83</v>
      </c>
      <c r="Y1680" s="2">
        <v>49.2</v>
      </c>
      <c r="Z1680" s="2">
        <v>0</v>
      </c>
      <c r="AA1680" s="2" t="s">
        <v>163</v>
      </c>
      <c r="AB1680" s="2" t="s">
        <v>6355</v>
      </c>
      <c r="AC1680" s="2">
        <v>-3.2751472870851202</v>
      </c>
      <c r="AD1680" s="2"/>
      <c r="AE1680" s="2">
        <v>0.38690107453996098</v>
      </c>
      <c r="AF1680" s="2">
        <v>8583.7803463014206</v>
      </c>
      <c r="AG1680" s="2">
        <v>5032.66801099636</v>
      </c>
      <c r="AH1680" s="5">
        <v>1.70561227713529</v>
      </c>
      <c r="AI1680" s="5">
        <v>0.77028972788283301</v>
      </c>
      <c r="AJ1680" s="5" t="s">
        <v>139</v>
      </c>
      <c r="AK1680" s="2">
        <v>9.1959226461896498E-2</v>
      </c>
      <c r="AL1680" s="2">
        <v>0.39053070636929799</v>
      </c>
      <c r="AM1680" s="2">
        <v>15564.4024956218</v>
      </c>
      <c r="AN1680" s="2">
        <v>11542.9662136117</v>
      </c>
      <c r="AO1680" s="2">
        <v>6603.4040486696704</v>
      </c>
      <c r="AP1680" s="2">
        <v>6470.7191426768904</v>
      </c>
      <c r="AQ1680" s="2">
        <v>4490.3473481009196</v>
      </c>
      <c r="AR1680" s="2">
        <v>6830.8428291275304</v>
      </c>
      <c r="AS1680" s="2">
        <v>7957.3627867964897</v>
      </c>
      <c r="AT1680" s="2">
        <v>4928.3405113501904</v>
      </c>
      <c r="AU1680" s="2">
        <v>4545.24496287088</v>
      </c>
      <c r="AV1680" s="2">
        <v>3459.7334029613899</v>
      </c>
      <c r="AW1680" s="2">
        <v>2238.7361053790801</v>
      </c>
      <c r="AX1680" s="2">
        <v>7066.5902966201102</v>
      </c>
    </row>
    <row r="1681" spans="1:50" x14ac:dyDescent="0.25">
      <c r="A1681" s="2" t="s">
        <v>11474</v>
      </c>
      <c r="B1681" s="2">
        <v>829.40981265948096</v>
      </c>
      <c r="C1681" s="2">
        <v>9.6639666666666706</v>
      </c>
      <c r="D1681" s="2" t="s">
        <v>51</v>
      </c>
      <c r="E1681" s="2" t="s">
        <v>11475</v>
      </c>
      <c r="F1681" s="2">
        <v>56295</v>
      </c>
      <c r="G1681" s="3" t="str">
        <f>HYPERLINK("https://cloud.oebiotech.com/#/lm/network/56295", "https://cloud.oebiotech.com/#/lm/network/56295")</f>
        <v>https://cloud.oebiotech.com/#/lm/network/56295</v>
      </c>
      <c r="H1681" s="2" t="s">
        <v>11476</v>
      </c>
      <c r="I1681" s="2">
        <v>87951</v>
      </c>
      <c r="J1681" s="2"/>
      <c r="K1681" s="2">
        <v>10676816</v>
      </c>
      <c r="L1681" s="2"/>
      <c r="M1681" s="2"/>
      <c r="N1681" s="2"/>
      <c r="O1681" s="2">
        <v>176319</v>
      </c>
      <c r="P1681" s="2"/>
      <c r="Q1681" s="2"/>
      <c r="R1681" s="2" t="s">
        <v>11477</v>
      </c>
      <c r="S1681" s="2" t="s">
        <v>11478</v>
      </c>
      <c r="T1681" s="2" t="s">
        <v>11479</v>
      </c>
      <c r="U1681" s="2" t="s">
        <v>103</v>
      </c>
      <c r="V1681" s="2" t="s">
        <v>104</v>
      </c>
      <c r="W1681" s="2" t="s">
        <v>6545</v>
      </c>
      <c r="X1681" s="2" t="s">
        <v>147</v>
      </c>
      <c r="Y1681" s="2">
        <v>36.6</v>
      </c>
      <c r="Z1681" s="2">
        <v>0</v>
      </c>
      <c r="AA1681" s="2" t="s">
        <v>218</v>
      </c>
      <c r="AB1681" s="2" t="s">
        <v>11480</v>
      </c>
      <c r="AC1681" s="2">
        <v>-0.42770518778384298</v>
      </c>
      <c r="AD1681" s="2"/>
      <c r="AE1681" s="2">
        <v>0.38655640121602702</v>
      </c>
      <c r="AF1681" s="2">
        <v>7725.51595071261</v>
      </c>
      <c r="AG1681" s="2">
        <v>4036.8766229371199</v>
      </c>
      <c r="AH1681" s="5">
        <v>1.9137359578484601</v>
      </c>
      <c r="AI1681" s="5">
        <v>0.93639179190313204</v>
      </c>
      <c r="AJ1681" s="5" t="s">
        <v>139</v>
      </c>
      <c r="AK1681" s="2">
        <v>1.38690319567603E-2</v>
      </c>
      <c r="AL1681" s="2">
        <v>0.18716372873247</v>
      </c>
      <c r="AM1681" s="2">
        <v>7015.4229353395303</v>
      </c>
      <c r="AN1681" s="2">
        <v>7322.56530420121</v>
      </c>
      <c r="AO1681" s="2">
        <v>8465.3163798444602</v>
      </c>
      <c r="AP1681" s="2">
        <v>9319.5897339217499</v>
      </c>
      <c r="AQ1681" s="2">
        <v>5452.14008103577</v>
      </c>
      <c r="AR1681" s="2">
        <v>8778.0612699329104</v>
      </c>
      <c r="AS1681" s="2">
        <v>6071.54872110832</v>
      </c>
      <c r="AT1681" s="2">
        <v>4353.0275720773698</v>
      </c>
      <c r="AU1681" s="2">
        <v>7491.6531165787501</v>
      </c>
      <c r="AV1681" s="2">
        <v>1003.85560943495</v>
      </c>
      <c r="AW1681" s="2">
        <v>807.32503419410295</v>
      </c>
      <c r="AX1681" s="2">
        <v>4493.8496842292197</v>
      </c>
    </row>
    <row r="1682" spans="1:50" x14ac:dyDescent="0.25">
      <c r="A1682" s="2" t="s">
        <v>11481</v>
      </c>
      <c r="B1682" s="2">
        <v>377.029594706583</v>
      </c>
      <c r="C1682" s="2">
        <v>1.1926000000000001</v>
      </c>
      <c r="D1682" s="2" t="s">
        <v>51</v>
      </c>
      <c r="E1682" s="2" t="s">
        <v>11482</v>
      </c>
      <c r="F1682" s="2">
        <v>204818</v>
      </c>
      <c r="G1682" s="3" t="str">
        <f>HYPERLINK("https://cloud.oebiotech.com/#/lm/network/204818", "https://cloud.oebiotech.com/#/lm/network/204818")</f>
        <v>https://cloud.oebiotech.com/#/lm/network/204818</v>
      </c>
      <c r="H1682" s="2" t="s">
        <v>11483</v>
      </c>
      <c r="I1682" s="2"/>
      <c r="J1682" s="2"/>
      <c r="K1682" s="2">
        <v>122271</v>
      </c>
      <c r="L1682" s="2"/>
      <c r="M1682" s="2"/>
      <c r="N1682" s="2"/>
      <c r="O1682" s="2"/>
      <c r="P1682" s="2"/>
      <c r="Q1682" s="2"/>
      <c r="R1682" s="2"/>
      <c r="S1682" s="2" t="s">
        <v>11484</v>
      </c>
      <c r="T1682" s="2" t="s">
        <v>11485</v>
      </c>
      <c r="U1682" s="2" t="s">
        <v>103</v>
      </c>
      <c r="V1682" s="2" t="s">
        <v>1567</v>
      </c>
      <c r="W1682" s="2" t="s">
        <v>1568</v>
      </c>
      <c r="X1682" s="2" t="s">
        <v>147</v>
      </c>
      <c r="Y1682" s="2">
        <v>38.6</v>
      </c>
      <c r="Z1682" s="2">
        <v>0.45200000000000001</v>
      </c>
      <c r="AA1682" s="2" t="s">
        <v>478</v>
      </c>
      <c r="AB1682" s="2" t="s">
        <v>11486</v>
      </c>
      <c r="AC1682" s="2">
        <v>-3.4853637971492999</v>
      </c>
      <c r="AD1682" s="2"/>
      <c r="AE1682" s="2">
        <v>0.38644270088253402</v>
      </c>
      <c r="AF1682" s="2">
        <v>12570.1882610302</v>
      </c>
      <c r="AG1682" s="2">
        <v>16617.0457210272</v>
      </c>
      <c r="AH1682" s="4">
        <v>0.75646348165991195</v>
      </c>
      <c r="AI1682" s="4">
        <v>-0.40265765699235301</v>
      </c>
      <c r="AJ1682" s="4" t="s">
        <v>62</v>
      </c>
      <c r="AK1682" s="2">
        <v>0.13816583736263699</v>
      </c>
      <c r="AL1682" s="2">
        <v>0.458819266663407</v>
      </c>
      <c r="AM1682" s="2">
        <v>6785.3115563111996</v>
      </c>
      <c r="AN1682" s="2">
        <v>14692.715144486199</v>
      </c>
      <c r="AO1682" s="2">
        <v>16286.3495711057</v>
      </c>
      <c r="AP1682" s="2">
        <v>11372.151363544601</v>
      </c>
      <c r="AQ1682" s="2">
        <v>12255.3625389921</v>
      </c>
      <c r="AR1682" s="2">
        <v>14029.239391741499</v>
      </c>
      <c r="AS1682" s="2">
        <v>19658.229716148799</v>
      </c>
      <c r="AT1682" s="2">
        <v>17549.3220646464</v>
      </c>
      <c r="AU1682" s="2">
        <v>6373.4177402727601</v>
      </c>
      <c r="AV1682" s="2">
        <v>20575.5982968555</v>
      </c>
      <c r="AW1682" s="2">
        <v>17340.307437880299</v>
      </c>
      <c r="AX1682" s="2">
        <v>18205.399070359701</v>
      </c>
    </row>
    <row r="1683" spans="1:50" x14ac:dyDescent="0.25">
      <c r="A1683" s="2" t="s">
        <v>11487</v>
      </c>
      <c r="B1683" s="2">
        <v>283.05148777715101</v>
      </c>
      <c r="C1683" s="2">
        <v>6.8908500000000004</v>
      </c>
      <c r="D1683" s="2" t="s">
        <v>51</v>
      </c>
      <c r="E1683" s="2" t="s">
        <v>11488</v>
      </c>
      <c r="F1683" s="2">
        <v>203407</v>
      </c>
      <c r="G1683" s="3" t="str">
        <f>HYPERLINK("https://cloud.oebiotech.com/#/lm/network/203407", "https://cloud.oebiotech.com/#/lm/network/203407")</f>
        <v>https://cloud.oebiotech.com/#/lm/network/203407</v>
      </c>
      <c r="H1683" s="2" t="s">
        <v>11489</v>
      </c>
      <c r="I1683" s="2"/>
      <c r="J1683" s="2"/>
      <c r="K1683" s="2">
        <v>15010</v>
      </c>
      <c r="L1683" s="2"/>
      <c r="M1683" s="2"/>
      <c r="N1683" s="2"/>
      <c r="O1683" s="2"/>
      <c r="P1683" s="2"/>
      <c r="Q1683" s="2"/>
      <c r="R1683" s="2"/>
      <c r="S1683" s="2" t="s">
        <v>11490</v>
      </c>
      <c r="T1683" s="2" t="s">
        <v>11491</v>
      </c>
      <c r="U1683" s="2" t="s">
        <v>610</v>
      </c>
      <c r="V1683" s="2" t="s">
        <v>611</v>
      </c>
      <c r="W1683" s="2" t="s">
        <v>11492</v>
      </c>
      <c r="X1683" s="2" t="s">
        <v>147</v>
      </c>
      <c r="Y1683" s="2">
        <v>38.799999999999997</v>
      </c>
      <c r="Z1683" s="2">
        <v>0.75</v>
      </c>
      <c r="AA1683" s="2" t="s">
        <v>395</v>
      </c>
      <c r="AB1683" s="2" t="s">
        <v>11493</v>
      </c>
      <c r="AC1683" s="2">
        <v>0.68137573243133098</v>
      </c>
      <c r="AD1683" s="2"/>
      <c r="AE1683" s="2">
        <v>0.38639460582994001</v>
      </c>
      <c r="AF1683" s="2">
        <v>7840.48010363104</v>
      </c>
      <c r="AG1683" s="2">
        <v>13585.417131215399</v>
      </c>
      <c r="AH1683" s="4">
        <v>0.57712472336354204</v>
      </c>
      <c r="AI1683" s="4">
        <v>-0.79304495914772799</v>
      </c>
      <c r="AJ1683" s="4" t="s">
        <v>62</v>
      </c>
      <c r="AK1683" s="2">
        <v>0.13513177079609501</v>
      </c>
      <c r="AL1683" s="2">
        <v>0.45558053561409101</v>
      </c>
      <c r="AM1683" s="2">
        <v>7447.6959174372596</v>
      </c>
      <c r="AN1683" s="2">
        <v>6439.2462613016396</v>
      </c>
      <c r="AO1683" s="2">
        <v>12542.674371737399</v>
      </c>
      <c r="AP1683" s="2">
        <v>482.43509740059102</v>
      </c>
      <c r="AQ1683" s="2">
        <v>6227.5082505348701</v>
      </c>
      <c r="AR1683" s="2">
        <v>13903.3207233745</v>
      </c>
      <c r="AS1683" s="2">
        <v>11194.292281241</v>
      </c>
      <c r="AT1683" s="2">
        <v>9079.8562197547999</v>
      </c>
      <c r="AU1683" s="2">
        <v>15048.717491409399</v>
      </c>
      <c r="AV1683" s="2">
        <v>23463.743901438102</v>
      </c>
      <c r="AW1683" s="2">
        <v>19154.390694690701</v>
      </c>
      <c r="AX1683" s="2">
        <v>3571.5021987586601</v>
      </c>
    </row>
    <row r="1684" spans="1:50" x14ac:dyDescent="0.25">
      <c r="A1684" s="2" t="s">
        <v>11494</v>
      </c>
      <c r="B1684" s="2">
        <v>469.11257634917803</v>
      </c>
      <c r="C1684" s="2">
        <v>7.19926666666667</v>
      </c>
      <c r="D1684" s="2" t="s">
        <v>51</v>
      </c>
      <c r="E1684" s="2" t="s">
        <v>11495</v>
      </c>
      <c r="F1684" s="2">
        <v>31675</v>
      </c>
      <c r="G1684" s="3" t="str">
        <f>HYPERLINK("https://cloud.oebiotech.com/#/lm/network/31675", "https://cloud.oebiotech.com/#/lm/network/31675")</f>
        <v>https://cloud.oebiotech.com/#/lm/network/31675</v>
      </c>
      <c r="H1684" s="2"/>
      <c r="I1684" s="2"/>
      <c r="J1684" s="2" t="s">
        <v>11496</v>
      </c>
      <c r="K1684" s="2">
        <v>44258692</v>
      </c>
      <c r="L1684" s="2"/>
      <c r="M1684" s="2"/>
      <c r="N1684" s="2"/>
      <c r="O1684" s="2"/>
      <c r="P1684" s="2"/>
      <c r="Q1684" s="2"/>
      <c r="R1684" s="2"/>
      <c r="S1684" s="2" t="s">
        <v>11497</v>
      </c>
      <c r="T1684" s="2" t="s">
        <v>11498</v>
      </c>
      <c r="U1684" s="2" t="s">
        <v>540</v>
      </c>
      <c r="V1684" s="2" t="s">
        <v>541</v>
      </c>
      <c r="W1684" s="2" t="s">
        <v>542</v>
      </c>
      <c r="X1684" s="2" t="s">
        <v>59</v>
      </c>
      <c r="Y1684" s="2">
        <v>47</v>
      </c>
      <c r="Z1684" s="2">
        <v>46.9</v>
      </c>
      <c r="AA1684" s="2" t="s">
        <v>786</v>
      </c>
      <c r="AB1684" s="2" t="s">
        <v>11499</v>
      </c>
      <c r="AC1684" s="2">
        <v>4.6148167590313003</v>
      </c>
      <c r="AD1684" s="2"/>
      <c r="AE1684" s="2">
        <v>0.38599203837675899</v>
      </c>
      <c r="AF1684" s="2">
        <v>11944.0529785209</v>
      </c>
      <c r="AG1684" s="2">
        <v>15618.111949726501</v>
      </c>
      <c r="AH1684" s="4">
        <v>0.76475652223315504</v>
      </c>
      <c r="AI1684" s="4">
        <v>-0.38692758901326302</v>
      </c>
      <c r="AJ1684" s="4" t="s">
        <v>62</v>
      </c>
      <c r="AK1684" s="2">
        <v>6.6783210740669298E-3</v>
      </c>
      <c r="AL1684" s="2">
        <v>0.13719443673610901</v>
      </c>
      <c r="AM1684" s="2">
        <v>12254.712247183201</v>
      </c>
      <c r="AN1684" s="2">
        <v>12000.3602804943</v>
      </c>
      <c r="AO1684" s="2">
        <v>11995.1081535088</v>
      </c>
      <c r="AP1684" s="2">
        <v>10670.7250141728</v>
      </c>
      <c r="AQ1684" s="2">
        <v>12152.588309512401</v>
      </c>
      <c r="AR1684" s="2">
        <v>12590.823866254001</v>
      </c>
      <c r="AS1684" s="2">
        <v>14935.094114560001</v>
      </c>
      <c r="AT1684" s="2">
        <v>15632.5692818595</v>
      </c>
      <c r="AU1684" s="2">
        <v>15002.926674677001</v>
      </c>
      <c r="AV1684" s="2">
        <v>20581.668777301398</v>
      </c>
      <c r="AW1684" s="2">
        <v>14238.9903667081</v>
      </c>
      <c r="AX1684" s="2">
        <v>13317.422483253</v>
      </c>
    </row>
    <row r="1685" spans="1:50" x14ac:dyDescent="0.25">
      <c r="A1685" s="2" t="s">
        <v>11500</v>
      </c>
      <c r="B1685" s="2">
        <v>489.358769594791</v>
      </c>
      <c r="C1685" s="2">
        <v>12.071633333333301</v>
      </c>
      <c r="D1685" s="2" t="s">
        <v>51</v>
      </c>
      <c r="E1685" s="2" t="s">
        <v>11501</v>
      </c>
      <c r="F1685" s="2">
        <v>44206</v>
      </c>
      <c r="G1685" s="3" t="str">
        <f>HYPERLINK("https://cloud.oebiotech.com/#/lm/network/44206", "https://cloud.oebiotech.com/#/lm/network/44206")</f>
        <v>https://cloud.oebiotech.com/#/lm/network/44206</v>
      </c>
      <c r="H1685" s="2"/>
      <c r="I1685" s="2"/>
      <c r="J1685" s="2" t="s">
        <v>11502</v>
      </c>
      <c r="K1685" s="2">
        <v>14159790</v>
      </c>
      <c r="L1685" s="2"/>
      <c r="M1685" s="2"/>
      <c r="N1685" s="2"/>
      <c r="O1685" s="2">
        <v>70337</v>
      </c>
      <c r="P1685" s="2"/>
      <c r="Q1685" s="2"/>
      <c r="R1685" s="2"/>
      <c r="S1685" s="2" t="s">
        <v>11503</v>
      </c>
      <c r="T1685" s="2" t="s">
        <v>11504</v>
      </c>
      <c r="U1685" s="2" t="s">
        <v>56</v>
      </c>
      <c r="V1685" s="2" t="s">
        <v>283</v>
      </c>
      <c r="W1685" s="2" t="s">
        <v>1215</v>
      </c>
      <c r="X1685" s="2" t="s">
        <v>83</v>
      </c>
      <c r="Y1685" s="2">
        <v>46.5</v>
      </c>
      <c r="Z1685" s="2">
        <v>0</v>
      </c>
      <c r="AA1685" s="2" t="s">
        <v>218</v>
      </c>
      <c r="AB1685" s="2" t="s">
        <v>11505</v>
      </c>
      <c r="AC1685" s="2">
        <v>0.498079436586293</v>
      </c>
      <c r="AD1685" s="2"/>
      <c r="AE1685" s="2">
        <v>0.3858428464973</v>
      </c>
      <c r="AF1685" s="2">
        <v>20018.318113675301</v>
      </c>
      <c r="AG1685" s="2">
        <v>14331.1518637629</v>
      </c>
      <c r="AH1685" s="5">
        <v>1.39683943788864</v>
      </c>
      <c r="AI1685" s="5">
        <v>0.482166197215121</v>
      </c>
      <c r="AJ1685" s="5" t="s">
        <v>139</v>
      </c>
      <c r="AK1685" s="2">
        <v>8.7541842048423302E-2</v>
      </c>
      <c r="AL1685" s="2">
        <v>0.38035924608661198</v>
      </c>
      <c r="AM1685" s="2">
        <v>14566.4638737363</v>
      </c>
      <c r="AN1685" s="2">
        <v>27428.4932722015</v>
      </c>
      <c r="AO1685" s="2">
        <v>17203.541153011</v>
      </c>
      <c r="AP1685" s="2">
        <v>22732.665410850401</v>
      </c>
      <c r="AQ1685" s="2">
        <v>23085.744789611101</v>
      </c>
      <c r="AR1685" s="2">
        <v>15093.000182641401</v>
      </c>
      <c r="AS1685" s="2">
        <v>11330.2365816171</v>
      </c>
      <c r="AT1685" s="2">
        <v>13496.844628167401</v>
      </c>
      <c r="AU1685" s="2">
        <v>15386.0323175665</v>
      </c>
      <c r="AV1685" s="2">
        <v>6569.1356563722702</v>
      </c>
      <c r="AW1685" s="2">
        <v>17324.069861764401</v>
      </c>
      <c r="AX1685" s="2">
        <v>21880.5921370898</v>
      </c>
    </row>
    <row r="1686" spans="1:50" x14ac:dyDescent="0.25">
      <c r="A1686" s="2" t="s">
        <v>11506</v>
      </c>
      <c r="B1686" s="2">
        <v>675.24842253504596</v>
      </c>
      <c r="C1686" s="2">
        <v>4.59985</v>
      </c>
      <c r="D1686" s="2" t="s">
        <v>51</v>
      </c>
      <c r="E1686" s="2" t="s">
        <v>11507</v>
      </c>
      <c r="F1686" s="2">
        <v>205072</v>
      </c>
      <c r="G1686" s="3" t="str">
        <f>HYPERLINK("https://cloud.oebiotech.com/#/lm/network/205072", "https://cloud.oebiotech.com/#/lm/network/205072")</f>
        <v>https://cloud.oebiotech.com/#/lm/network/205072</v>
      </c>
      <c r="H1686" s="2" t="s">
        <v>11508</v>
      </c>
      <c r="I1686" s="2"/>
      <c r="J1686" s="2"/>
      <c r="K1686" s="2">
        <v>52542</v>
      </c>
      <c r="L1686" s="2"/>
      <c r="M1686" s="2"/>
      <c r="N1686" s="2"/>
      <c r="O1686" s="2"/>
      <c r="P1686" s="2"/>
      <c r="Q1686" s="2"/>
      <c r="R1686" s="2"/>
      <c r="S1686" s="2" t="s">
        <v>11509</v>
      </c>
      <c r="T1686" s="2" t="s">
        <v>11510</v>
      </c>
      <c r="U1686" s="2" t="s">
        <v>610</v>
      </c>
      <c r="V1686" s="2" t="s">
        <v>4556</v>
      </c>
      <c r="W1686" s="2" t="s">
        <v>240</v>
      </c>
      <c r="X1686" s="2" t="s">
        <v>147</v>
      </c>
      <c r="Y1686" s="2">
        <v>38.6</v>
      </c>
      <c r="Z1686" s="2">
        <v>0.73299999999999998</v>
      </c>
      <c r="AA1686" s="2" t="s">
        <v>478</v>
      </c>
      <c r="AB1686" s="2" t="s">
        <v>11511</v>
      </c>
      <c r="AC1686" s="2">
        <v>3.5265436727031099</v>
      </c>
      <c r="AD1686" s="2"/>
      <c r="AE1686" s="2">
        <v>0.38550483587710499</v>
      </c>
      <c r="AF1686" s="2">
        <v>64925.516463984699</v>
      </c>
      <c r="AG1686" s="2">
        <v>74035.306818009907</v>
      </c>
      <c r="AH1686" s="4">
        <v>0.87695343282066196</v>
      </c>
      <c r="AI1686" s="4">
        <v>-0.189427858856342</v>
      </c>
      <c r="AJ1686" s="4" t="s">
        <v>62</v>
      </c>
      <c r="AK1686" s="2">
        <v>0.84071765590229997</v>
      </c>
      <c r="AL1686" s="2">
        <v>0.92963204272259004</v>
      </c>
      <c r="AM1686" s="2">
        <v>11111.9082205864</v>
      </c>
      <c r="AN1686" s="2">
        <v>42468.843283203598</v>
      </c>
      <c r="AO1686" s="2">
        <v>37251.344535201599</v>
      </c>
      <c r="AP1686" s="2">
        <v>52508.256859840803</v>
      </c>
      <c r="AQ1686" s="2">
        <v>91834.769637705904</v>
      </c>
      <c r="AR1686" s="2">
        <v>154377.97624737001</v>
      </c>
      <c r="AS1686" s="2">
        <v>241206.64710736499</v>
      </c>
      <c r="AT1686" s="2">
        <v>91290.987429556306</v>
      </c>
      <c r="AU1686" s="2">
        <v>953.94904056764699</v>
      </c>
      <c r="AV1686" s="2">
        <v>1340.2988417280601</v>
      </c>
      <c r="AW1686" s="2">
        <v>620.81672311213401</v>
      </c>
      <c r="AX1686" s="2">
        <v>108799.14176573</v>
      </c>
    </row>
    <row r="1687" spans="1:50" x14ac:dyDescent="0.25">
      <c r="A1687" s="2" t="s">
        <v>11512</v>
      </c>
      <c r="B1687" s="2">
        <v>705.33814218804605</v>
      </c>
      <c r="C1687" s="2">
        <v>3.8365666666666698</v>
      </c>
      <c r="D1687" s="2" t="s">
        <v>51</v>
      </c>
      <c r="E1687" s="2" t="s">
        <v>11513</v>
      </c>
      <c r="F1687" s="2">
        <v>205653</v>
      </c>
      <c r="G1687" s="3" t="str">
        <f>HYPERLINK("https://cloud.oebiotech.com/#/lm/network/205653", "https://cloud.oebiotech.com/#/lm/network/205653")</f>
        <v>https://cloud.oebiotech.com/#/lm/network/205653</v>
      </c>
      <c r="H1687" s="2" t="s">
        <v>11514</v>
      </c>
      <c r="I1687" s="2"/>
      <c r="J1687" s="2"/>
      <c r="K1687" s="2"/>
      <c r="L1687" s="2"/>
      <c r="M1687" s="2"/>
      <c r="N1687" s="2"/>
      <c r="O1687" s="2"/>
      <c r="P1687" s="2"/>
      <c r="Q1687" s="2"/>
      <c r="R1687" s="2"/>
      <c r="S1687" s="2" t="s">
        <v>11515</v>
      </c>
      <c r="T1687" s="2" t="s">
        <v>11516</v>
      </c>
      <c r="U1687" s="2" t="s">
        <v>56</v>
      </c>
      <c r="V1687" s="2" t="s">
        <v>177</v>
      </c>
      <c r="W1687" s="2" t="s">
        <v>178</v>
      </c>
      <c r="X1687" s="2" t="s">
        <v>147</v>
      </c>
      <c r="Y1687" s="2">
        <v>38.299999999999997</v>
      </c>
      <c r="Z1687" s="2">
        <v>26.1</v>
      </c>
      <c r="AA1687" s="2" t="s">
        <v>95</v>
      </c>
      <c r="AB1687" s="2" t="s">
        <v>11517</v>
      </c>
      <c r="AC1687" s="2">
        <v>3.4816609838040198</v>
      </c>
      <c r="AD1687" s="2"/>
      <c r="AE1687" s="2">
        <v>0.38523337926677498</v>
      </c>
      <c r="AF1687" s="2">
        <v>10066.9856618254</v>
      </c>
      <c r="AG1687" s="2">
        <v>20412.711468257799</v>
      </c>
      <c r="AH1687" s="4">
        <v>0.49317238807199898</v>
      </c>
      <c r="AI1687" s="4">
        <v>-1.0198360670580899</v>
      </c>
      <c r="AJ1687" s="4" t="s">
        <v>62</v>
      </c>
      <c r="AK1687" s="2">
        <v>0.61928021674823897</v>
      </c>
      <c r="AL1687" s="2">
        <v>0.81165815121909402</v>
      </c>
      <c r="AM1687" s="2">
        <v>18060.411359097499</v>
      </c>
      <c r="AN1687" s="2">
        <v>353.89359073348697</v>
      </c>
      <c r="AO1687" s="2">
        <v>1274.09147877297</v>
      </c>
      <c r="AP1687" s="2">
        <v>959.79353470475701</v>
      </c>
      <c r="AQ1687" s="2">
        <v>25017.766584783702</v>
      </c>
      <c r="AR1687" s="2">
        <v>14735.957422859799</v>
      </c>
      <c r="AS1687" s="2">
        <v>324.55620018014503</v>
      </c>
      <c r="AT1687" s="2">
        <v>8.559877937157E-6</v>
      </c>
      <c r="AU1687" s="2">
        <v>771.82975440856103</v>
      </c>
      <c r="AV1687" s="2">
        <v>118929.208759213</v>
      </c>
      <c r="AW1687" s="2">
        <v>8.559877937157E-6</v>
      </c>
      <c r="AX1687" s="2">
        <v>2450.6740786250898</v>
      </c>
    </row>
    <row r="1688" spans="1:50" x14ac:dyDescent="0.25">
      <c r="A1688" s="2" t="s">
        <v>11518</v>
      </c>
      <c r="B1688" s="2">
        <v>551.33227898796395</v>
      </c>
      <c r="C1688" s="2">
        <v>12.490833333333301</v>
      </c>
      <c r="D1688" s="2" t="s">
        <v>51</v>
      </c>
      <c r="E1688" s="2" t="s">
        <v>11519</v>
      </c>
      <c r="F1688" s="2">
        <v>10410</v>
      </c>
      <c r="G1688" s="3" t="str">
        <f>HYPERLINK("https://cloud.oebiotech.com/#/lm/network/10410", "https://cloud.oebiotech.com/#/lm/network/10410")</f>
        <v>https://cloud.oebiotech.com/#/lm/network/10410</v>
      </c>
      <c r="H1688" s="2"/>
      <c r="I1688" s="2"/>
      <c r="J1688" s="2" t="s">
        <v>11520</v>
      </c>
      <c r="K1688" s="2">
        <v>86289901</v>
      </c>
      <c r="L1688" s="2"/>
      <c r="M1688" s="2"/>
      <c r="N1688" s="2"/>
      <c r="O1688" s="2">
        <v>79375</v>
      </c>
      <c r="P1688" s="2"/>
      <c r="Q1688" s="2"/>
      <c r="R1688" s="2"/>
      <c r="S1688" s="2" t="s">
        <v>11521</v>
      </c>
      <c r="T1688" s="2" t="s">
        <v>11522</v>
      </c>
      <c r="U1688" s="2" t="s">
        <v>56</v>
      </c>
      <c r="V1688" s="2" t="s">
        <v>145</v>
      </c>
      <c r="W1688" s="2" t="s">
        <v>231</v>
      </c>
      <c r="X1688" s="2" t="s">
        <v>147</v>
      </c>
      <c r="Y1688" s="2">
        <v>37.1</v>
      </c>
      <c r="Z1688" s="2">
        <v>2.94</v>
      </c>
      <c r="AA1688" s="2" t="s">
        <v>512</v>
      </c>
      <c r="AB1688" s="2" t="s">
        <v>11523</v>
      </c>
      <c r="AC1688" s="2">
        <v>-0.77607951467618497</v>
      </c>
      <c r="AD1688" s="2"/>
      <c r="AE1688" s="2">
        <v>0.385201227838122</v>
      </c>
      <c r="AF1688" s="2">
        <v>709881.04676783504</v>
      </c>
      <c r="AG1688" s="2">
        <v>831562.09877767402</v>
      </c>
      <c r="AH1688" s="4">
        <v>0.85367171954000798</v>
      </c>
      <c r="AI1688" s="4">
        <v>-0.228246708464724</v>
      </c>
      <c r="AJ1688" s="4" t="s">
        <v>62</v>
      </c>
      <c r="AK1688" s="2">
        <v>0.666106244413607</v>
      </c>
      <c r="AL1688" s="2">
        <v>0.83819654843918501</v>
      </c>
      <c r="AM1688" s="2">
        <v>1503167.8361208099</v>
      </c>
      <c r="AN1688" s="2">
        <v>847559.10107541794</v>
      </c>
      <c r="AO1688" s="2">
        <v>472204.82155387203</v>
      </c>
      <c r="AP1688" s="2">
        <v>453167.56738827098</v>
      </c>
      <c r="AQ1688" s="2">
        <v>426248.26651165599</v>
      </c>
      <c r="AR1688" s="2">
        <v>556938.68795698194</v>
      </c>
      <c r="AS1688" s="2">
        <v>319416.34293852502</v>
      </c>
      <c r="AT1688" s="2">
        <v>149877.86616154001</v>
      </c>
      <c r="AU1688" s="2">
        <v>1445192.80763305</v>
      </c>
      <c r="AV1688" s="2">
        <v>820794.32378033001</v>
      </c>
      <c r="AW1688" s="2">
        <v>1344763.2025967899</v>
      </c>
      <c r="AX1688" s="2">
        <v>909328.049555809</v>
      </c>
    </row>
    <row r="1689" spans="1:50" x14ac:dyDescent="0.25">
      <c r="A1689" s="2" t="s">
        <v>11524</v>
      </c>
      <c r="B1689" s="2">
        <v>460.31319288188701</v>
      </c>
      <c r="C1689" s="2">
        <v>4.7920333333333298</v>
      </c>
      <c r="D1689" s="2" t="s">
        <v>51</v>
      </c>
      <c r="E1689" s="2" t="s">
        <v>11525</v>
      </c>
      <c r="F1689" s="2">
        <v>53081</v>
      </c>
      <c r="G1689" s="3" t="str">
        <f>HYPERLINK("https://cloud.oebiotech.com/#/lm/network/53081", "https://cloud.oebiotech.com/#/lm/network/53081")</f>
        <v>https://cloud.oebiotech.com/#/lm/network/53081</v>
      </c>
      <c r="H1689" s="2" t="s">
        <v>11526</v>
      </c>
      <c r="I1689" s="2">
        <v>3041</v>
      </c>
      <c r="J1689" s="2"/>
      <c r="K1689" s="2">
        <v>3467</v>
      </c>
      <c r="L1689" s="2" t="s">
        <v>11527</v>
      </c>
      <c r="M1689" s="2"/>
      <c r="N1689" s="2"/>
      <c r="O1689" s="2"/>
      <c r="P1689" s="2"/>
      <c r="Q1689" s="2"/>
      <c r="R1689" s="2" t="s">
        <v>11528</v>
      </c>
      <c r="S1689" s="2" t="s">
        <v>11529</v>
      </c>
      <c r="T1689" s="2" t="s">
        <v>11530</v>
      </c>
      <c r="U1689" s="2" t="s">
        <v>331</v>
      </c>
      <c r="V1689" s="2" t="s">
        <v>332</v>
      </c>
      <c r="W1689" s="2" t="s">
        <v>333</v>
      </c>
      <c r="X1689" s="2" t="s">
        <v>59</v>
      </c>
      <c r="Y1689" s="2">
        <v>51.3</v>
      </c>
      <c r="Z1689" s="2">
        <v>64.099999999999994</v>
      </c>
      <c r="AA1689" s="2" t="s">
        <v>156</v>
      </c>
      <c r="AB1689" s="2" t="s">
        <v>10801</v>
      </c>
      <c r="AC1689" s="2">
        <v>0.48687208359619799</v>
      </c>
      <c r="AD1689" s="2"/>
      <c r="AE1689" s="2">
        <v>0.38484281714364199</v>
      </c>
      <c r="AF1689" s="2">
        <v>9170.2524116913391</v>
      </c>
      <c r="AG1689" s="2">
        <v>5891.0906279049404</v>
      </c>
      <c r="AH1689" s="5">
        <v>1.5566306802773799</v>
      </c>
      <c r="AI1689" s="5">
        <v>0.63842669718884804</v>
      </c>
      <c r="AJ1689" s="5" t="s">
        <v>139</v>
      </c>
      <c r="AK1689" s="2">
        <v>8.5730361120587798E-3</v>
      </c>
      <c r="AL1689" s="2">
        <v>0.150586140228677</v>
      </c>
      <c r="AM1689" s="2">
        <v>8587.4505670833296</v>
      </c>
      <c r="AN1689" s="2">
        <v>8073.9366107225796</v>
      </c>
      <c r="AO1689" s="2">
        <v>11725.9376963181</v>
      </c>
      <c r="AP1689" s="2">
        <v>7037.6923051057502</v>
      </c>
      <c r="AQ1689" s="2">
        <v>7770.5577500766103</v>
      </c>
      <c r="AR1689" s="2">
        <v>11825.9395408417</v>
      </c>
      <c r="AS1689" s="2">
        <v>5833.7167146996599</v>
      </c>
      <c r="AT1689" s="2">
        <v>7447.8189540163003</v>
      </c>
      <c r="AU1689" s="2">
        <v>7155.2030717062398</v>
      </c>
      <c r="AV1689" s="2">
        <v>5237.3997342004805</v>
      </c>
      <c r="AW1689" s="2">
        <v>5846.64962333118</v>
      </c>
      <c r="AX1689" s="2">
        <v>3825.75566947576</v>
      </c>
    </row>
    <row r="1690" spans="1:50" x14ac:dyDescent="0.25">
      <c r="A1690" s="2" t="s">
        <v>11531</v>
      </c>
      <c r="B1690" s="2">
        <v>654.45552315031205</v>
      </c>
      <c r="C1690" s="2">
        <v>9.8706166666666704</v>
      </c>
      <c r="D1690" s="2" t="s">
        <v>51</v>
      </c>
      <c r="E1690" s="2" t="s">
        <v>11532</v>
      </c>
      <c r="F1690" s="2">
        <v>60192</v>
      </c>
      <c r="G1690" s="3" t="str">
        <f>HYPERLINK("https://cloud.oebiotech.com/#/lm/network/60192", "https://cloud.oebiotech.com/#/lm/network/60192")</f>
        <v>https://cloud.oebiotech.com/#/lm/network/60192</v>
      </c>
      <c r="H1690" s="2" t="s">
        <v>11533</v>
      </c>
      <c r="I1690" s="2">
        <v>91573</v>
      </c>
      <c r="J1690" s="2"/>
      <c r="K1690" s="2">
        <v>14506482</v>
      </c>
      <c r="L1690" s="2"/>
      <c r="M1690" s="2"/>
      <c r="N1690" s="2"/>
      <c r="O1690" s="2"/>
      <c r="P1690" s="2"/>
      <c r="Q1690" s="2"/>
      <c r="R1690" s="2" t="s">
        <v>11534</v>
      </c>
      <c r="S1690" s="2" t="s">
        <v>11535</v>
      </c>
      <c r="T1690" s="2" t="s">
        <v>11536</v>
      </c>
      <c r="U1690" s="2" t="s">
        <v>56</v>
      </c>
      <c r="V1690" s="2" t="s">
        <v>177</v>
      </c>
      <c r="W1690" s="2" t="s">
        <v>3270</v>
      </c>
      <c r="X1690" s="2" t="s">
        <v>83</v>
      </c>
      <c r="Y1690" s="2">
        <v>42.1</v>
      </c>
      <c r="Z1690" s="2">
        <v>0</v>
      </c>
      <c r="AA1690" s="2" t="s">
        <v>512</v>
      </c>
      <c r="AB1690" s="2" t="s">
        <v>11537</v>
      </c>
      <c r="AC1690" s="2">
        <v>-3.19893778429583</v>
      </c>
      <c r="AD1690" s="2"/>
      <c r="AE1690" s="2">
        <v>0.38471647825475702</v>
      </c>
      <c r="AF1690" s="2">
        <v>8260.4664653535001</v>
      </c>
      <c r="AG1690" s="2">
        <v>12045.5584065783</v>
      </c>
      <c r="AH1690" s="4">
        <v>0.68576866148790006</v>
      </c>
      <c r="AI1690" s="4">
        <v>-0.54420611792357798</v>
      </c>
      <c r="AJ1690" s="4" t="s">
        <v>62</v>
      </c>
      <c r="AK1690" s="2">
        <v>0.102402484560315</v>
      </c>
      <c r="AL1690" s="2">
        <v>0.40666458249805598</v>
      </c>
      <c r="AM1690" s="2">
        <v>5659.7139825732702</v>
      </c>
      <c r="AN1690" s="2">
        <v>6581.9770729787397</v>
      </c>
      <c r="AO1690" s="2">
        <v>5535.2923553151104</v>
      </c>
      <c r="AP1690" s="2">
        <v>6850.4715951429998</v>
      </c>
      <c r="AQ1690" s="2">
        <v>13866.781064942599</v>
      </c>
      <c r="AR1690" s="2">
        <v>11068.5627211683</v>
      </c>
      <c r="AS1690" s="2">
        <v>16836.203738247699</v>
      </c>
      <c r="AT1690" s="2">
        <v>10710.122209810301</v>
      </c>
      <c r="AU1690" s="2">
        <v>7688.5696716249804</v>
      </c>
      <c r="AV1690" s="2">
        <v>8072.4570353290501</v>
      </c>
      <c r="AW1690" s="2">
        <v>15761.7539092485</v>
      </c>
      <c r="AX1690" s="2">
        <v>13204.2438752091</v>
      </c>
    </row>
    <row r="1691" spans="1:50" x14ac:dyDescent="0.25">
      <c r="A1691" s="2" t="s">
        <v>11538</v>
      </c>
      <c r="B1691" s="2">
        <v>438.29880499508499</v>
      </c>
      <c r="C1691" s="2">
        <v>10.834516666666699</v>
      </c>
      <c r="D1691" s="2" t="s">
        <v>51</v>
      </c>
      <c r="E1691" s="2" t="s">
        <v>11539</v>
      </c>
      <c r="F1691" s="2">
        <v>21270</v>
      </c>
      <c r="G1691" s="3" t="str">
        <f>HYPERLINK("https://cloud.oebiotech.com/#/lm/network/21270", "https://cloud.oebiotech.com/#/lm/network/21270")</f>
        <v>https://cloud.oebiotech.com/#/lm/network/21270</v>
      </c>
      <c r="H1691" s="2" t="s">
        <v>11540</v>
      </c>
      <c r="I1691" s="2">
        <v>46719</v>
      </c>
      <c r="J1691" s="2" t="s">
        <v>11541</v>
      </c>
      <c r="K1691" s="2">
        <v>42607469</v>
      </c>
      <c r="L1691" s="2"/>
      <c r="M1691" s="2"/>
      <c r="N1691" s="2"/>
      <c r="O1691" s="2"/>
      <c r="P1691" s="2"/>
      <c r="Q1691" s="2"/>
      <c r="R1691" s="2" t="s">
        <v>11542</v>
      </c>
      <c r="S1691" s="2" t="s">
        <v>11543</v>
      </c>
      <c r="T1691" s="2" t="s">
        <v>11544</v>
      </c>
      <c r="U1691" s="2" t="s">
        <v>56</v>
      </c>
      <c r="V1691" s="2" t="s">
        <v>57</v>
      </c>
      <c r="W1691" s="2" t="s">
        <v>155</v>
      </c>
      <c r="X1691" s="2" t="s">
        <v>69</v>
      </c>
      <c r="Y1691" s="2">
        <v>62.4</v>
      </c>
      <c r="Z1691" s="2">
        <v>97.6</v>
      </c>
      <c r="AA1691" s="2" t="s">
        <v>259</v>
      </c>
      <c r="AB1691" s="2" t="s">
        <v>11545</v>
      </c>
      <c r="AC1691" s="2">
        <v>2.0668173383572901</v>
      </c>
      <c r="AD1691" s="2"/>
      <c r="AE1691" s="2">
        <v>0.38463468820645103</v>
      </c>
      <c r="AF1691" s="2">
        <v>514093.93615685502</v>
      </c>
      <c r="AG1691" s="2">
        <v>574776.986032004</v>
      </c>
      <c r="AH1691" s="4">
        <v>0.89442331312866696</v>
      </c>
      <c r="AI1691" s="4">
        <v>-0.160970302394116</v>
      </c>
      <c r="AJ1691" s="4" t="s">
        <v>62</v>
      </c>
      <c r="AK1691" s="2">
        <v>0.656852134948822</v>
      </c>
      <c r="AL1691" s="2">
        <v>0.83274207243031295</v>
      </c>
      <c r="AM1691" s="2">
        <v>969692.07675550901</v>
      </c>
      <c r="AN1691" s="2">
        <v>389603.13569292502</v>
      </c>
      <c r="AO1691" s="2">
        <v>405210.09671942901</v>
      </c>
      <c r="AP1691" s="2">
        <v>656657.58566079196</v>
      </c>
      <c r="AQ1691" s="2">
        <v>296033.38786318601</v>
      </c>
      <c r="AR1691" s="2">
        <v>367367.33424928802</v>
      </c>
      <c r="AS1691" s="2">
        <v>398463.45700643898</v>
      </c>
      <c r="AT1691" s="2">
        <v>338914.49408523401</v>
      </c>
      <c r="AU1691" s="2">
        <v>812799.77789575898</v>
      </c>
      <c r="AV1691" s="2">
        <v>798878.89092981</v>
      </c>
      <c r="AW1691" s="2">
        <v>487167.72533306002</v>
      </c>
      <c r="AX1691" s="2">
        <v>612437.57094172295</v>
      </c>
    </row>
    <row r="1692" spans="1:50" x14ac:dyDescent="0.25">
      <c r="A1692" s="2" t="s">
        <v>11546</v>
      </c>
      <c r="B1692" s="2">
        <v>522.20273287748296</v>
      </c>
      <c r="C1692" s="2">
        <v>5.2300666666666702</v>
      </c>
      <c r="D1692" s="2" t="s">
        <v>51</v>
      </c>
      <c r="E1692" s="2" t="s">
        <v>11547</v>
      </c>
      <c r="F1692" s="2">
        <v>201186</v>
      </c>
      <c r="G1692" s="3" t="str">
        <f>HYPERLINK("https://cloud.oebiotech.com/#/lm/network/201186", "https://cloud.oebiotech.com/#/lm/network/201186")</f>
        <v>https://cloud.oebiotech.com/#/lm/network/201186</v>
      </c>
      <c r="H1692" s="2" t="s">
        <v>11548</v>
      </c>
      <c r="I1692" s="2"/>
      <c r="J1692" s="2"/>
      <c r="K1692" s="2">
        <v>5233104</v>
      </c>
      <c r="L1692" s="2"/>
      <c r="M1692" s="2"/>
      <c r="N1692" s="2"/>
      <c r="O1692" s="2"/>
      <c r="P1692" s="2"/>
      <c r="Q1692" s="2"/>
      <c r="R1692" s="2"/>
      <c r="S1692" s="2" t="s">
        <v>11549</v>
      </c>
      <c r="T1692" s="2" t="s">
        <v>11550</v>
      </c>
      <c r="U1692" s="2" t="s">
        <v>103</v>
      </c>
      <c r="V1692" s="2" t="s">
        <v>1372</v>
      </c>
      <c r="W1692" s="2" t="s">
        <v>1373</v>
      </c>
      <c r="X1692" s="2" t="s">
        <v>147</v>
      </c>
      <c r="Y1692" s="2">
        <v>40.200000000000003</v>
      </c>
      <c r="Z1692" s="2">
        <v>16.899999999999999</v>
      </c>
      <c r="AA1692" s="2" t="s">
        <v>163</v>
      </c>
      <c r="AB1692" s="2" t="s">
        <v>11551</v>
      </c>
      <c r="AC1692" s="2">
        <v>-0.114886448397723</v>
      </c>
      <c r="AD1692" s="2"/>
      <c r="AE1692" s="2">
        <v>0.384469114074246</v>
      </c>
      <c r="AF1692" s="2">
        <v>639.46587766505297</v>
      </c>
      <c r="AG1692" s="2">
        <v>7805.7722334904302</v>
      </c>
      <c r="AH1692" s="4">
        <v>8.1922179963366606E-2</v>
      </c>
      <c r="AI1692" s="4">
        <v>-3.6096020835616498</v>
      </c>
      <c r="AJ1692" s="4" t="s">
        <v>62</v>
      </c>
      <c r="AK1692" s="2">
        <v>0.37522359369629399</v>
      </c>
      <c r="AL1692" s="2">
        <v>0.65674286284187</v>
      </c>
      <c r="AM1692" s="2">
        <v>820.85440077681801</v>
      </c>
      <c r="AN1692" s="2">
        <v>717.28240851067096</v>
      </c>
      <c r="AO1692" s="2">
        <v>8.559877937157E-6</v>
      </c>
      <c r="AP1692" s="2">
        <v>180.23116628842499</v>
      </c>
      <c r="AQ1692" s="2">
        <v>8.559877937157E-6</v>
      </c>
      <c r="AR1692" s="2">
        <v>2118.4272732946501</v>
      </c>
      <c r="AS1692" s="2">
        <v>219.321461679583</v>
      </c>
      <c r="AT1692" s="2">
        <v>8.559877937157E-6</v>
      </c>
      <c r="AU1692" s="2">
        <v>237.169512208176</v>
      </c>
      <c r="AV1692" s="2">
        <v>8.559877937157E-6</v>
      </c>
      <c r="AW1692" s="2">
        <v>46378.142401375197</v>
      </c>
      <c r="AX1692" s="2">
        <v>8.559877937157E-6</v>
      </c>
    </row>
    <row r="1693" spans="1:50" x14ac:dyDescent="0.25">
      <c r="A1693" s="2" t="s">
        <v>11552</v>
      </c>
      <c r="B1693" s="2">
        <v>540.33102063296406</v>
      </c>
      <c r="C1693" s="2">
        <v>10.0372166666667</v>
      </c>
      <c r="D1693" s="2" t="s">
        <v>51</v>
      </c>
      <c r="E1693" s="2" t="s">
        <v>11553</v>
      </c>
      <c r="F1693" s="2">
        <v>21189</v>
      </c>
      <c r="G1693" s="3" t="str">
        <f>HYPERLINK("https://cloud.oebiotech.com/#/lm/network/21189", "https://cloud.oebiotech.com/#/lm/network/21189")</f>
        <v>https://cloud.oebiotech.com/#/lm/network/21189</v>
      </c>
      <c r="H1693" s="2"/>
      <c r="I1693" s="2">
        <v>77694</v>
      </c>
      <c r="J1693" s="2" t="s">
        <v>11554</v>
      </c>
      <c r="K1693" s="2">
        <v>52925147</v>
      </c>
      <c r="L1693" s="2"/>
      <c r="M1693" s="2"/>
      <c r="N1693" s="2"/>
      <c r="O1693" s="2">
        <v>138535</v>
      </c>
      <c r="P1693" s="2"/>
      <c r="Q1693" s="2"/>
      <c r="R1693" s="2"/>
      <c r="S1693" s="2" t="s">
        <v>11555</v>
      </c>
      <c r="T1693" s="2" t="s">
        <v>11556</v>
      </c>
      <c r="U1693" s="2" t="s">
        <v>56</v>
      </c>
      <c r="V1693" s="2" t="s">
        <v>57</v>
      </c>
      <c r="W1693" s="2" t="s">
        <v>155</v>
      </c>
      <c r="X1693" s="2" t="s">
        <v>59</v>
      </c>
      <c r="Y1693" s="2">
        <v>48</v>
      </c>
      <c r="Z1693" s="2">
        <v>53</v>
      </c>
      <c r="AA1693" s="2" t="s">
        <v>218</v>
      </c>
      <c r="AB1693" s="2" t="s">
        <v>1577</v>
      </c>
      <c r="AC1693" s="2">
        <v>0.66256050401158995</v>
      </c>
      <c r="AD1693" s="2"/>
      <c r="AE1693" s="2">
        <v>0.38435415313160098</v>
      </c>
      <c r="AF1693" s="2">
        <v>73609.061804318102</v>
      </c>
      <c r="AG1693" s="2">
        <v>89242.4154933151</v>
      </c>
      <c r="AH1693" s="4">
        <v>0.82482148648062903</v>
      </c>
      <c r="AI1693" s="4">
        <v>-0.27784617969432202</v>
      </c>
      <c r="AJ1693" s="4" t="s">
        <v>62</v>
      </c>
      <c r="AK1693" s="2">
        <v>0.45243832090472003</v>
      </c>
      <c r="AL1693" s="2">
        <v>0.70539031281809905</v>
      </c>
      <c r="AM1693" s="2">
        <v>128775.946744598</v>
      </c>
      <c r="AN1693" s="2">
        <v>75953.487917231294</v>
      </c>
      <c r="AO1693" s="2">
        <v>61183.6716085191</v>
      </c>
      <c r="AP1693" s="2">
        <v>65645.8053660523</v>
      </c>
      <c r="AQ1693" s="2">
        <v>45990.860194039102</v>
      </c>
      <c r="AR1693" s="2">
        <v>64104.598995468899</v>
      </c>
      <c r="AS1693" s="2">
        <v>48491.7947586546</v>
      </c>
      <c r="AT1693" s="2">
        <v>33560.807329529103</v>
      </c>
      <c r="AU1693" s="2">
        <v>109958.078014313</v>
      </c>
      <c r="AV1693" s="2">
        <v>131442.21979514501</v>
      </c>
      <c r="AW1693" s="2">
        <v>119097.98126098901</v>
      </c>
      <c r="AX1693" s="2">
        <v>92903.611801260195</v>
      </c>
    </row>
    <row r="1694" spans="1:50" x14ac:dyDescent="0.25">
      <c r="A1694" s="2" t="s">
        <v>11557</v>
      </c>
      <c r="B1694" s="2">
        <v>359.32811802994701</v>
      </c>
      <c r="C1694" s="2">
        <v>7.7576166666666699</v>
      </c>
      <c r="D1694" s="2" t="s">
        <v>51</v>
      </c>
      <c r="E1694" s="2" t="s">
        <v>11558</v>
      </c>
      <c r="F1694" s="2">
        <v>10008</v>
      </c>
      <c r="G1694" s="3" t="str">
        <f>HYPERLINK("https://cloud.oebiotech.com/#/lm/network/10008", "https://cloud.oebiotech.com/#/lm/network/10008")</f>
        <v>https://cloud.oebiotech.com/#/lm/network/10008</v>
      </c>
      <c r="H1694" s="2"/>
      <c r="I1694" s="2">
        <v>98214</v>
      </c>
      <c r="J1694" s="2" t="s">
        <v>11559</v>
      </c>
      <c r="K1694" s="2">
        <v>15730840</v>
      </c>
      <c r="L1694" s="2"/>
      <c r="M1694" s="2"/>
      <c r="N1694" s="2"/>
      <c r="O1694" s="2"/>
      <c r="P1694" s="2"/>
      <c r="Q1694" s="2"/>
      <c r="R1694" s="2"/>
      <c r="S1694" s="2" t="s">
        <v>11560</v>
      </c>
      <c r="T1694" s="2" t="s">
        <v>11561</v>
      </c>
      <c r="U1694" s="2" t="s">
        <v>331</v>
      </c>
      <c r="V1694" s="2" t="s">
        <v>332</v>
      </c>
      <c r="W1694" s="2" t="s">
        <v>1207</v>
      </c>
      <c r="X1694" s="2" t="s">
        <v>147</v>
      </c>
      <c r="Y1694" s="2">
        <v>39</v>
      </c>
      <c r="Z1694" s="2">
        <v>3.2</v>
      </c>
      <c r="AA1694" s="2" t="s">
        <v>95</v>
      </c>
      <c r="AB1694" s="2" t="s">
        <v>11562</v>
      </c>
      <c r="AC1694" s="2">
        <v>-0.94749787573283595</v>
      </c>
      <c r="AD1694" s="2"/>
      <c r="AE1694" s="2">
        <v>0.38434846087580599</v>
      </c>
      <c r="AF1694" s="2">
        <v>8729.9095580336198</v>
      </c>
      <c r="AG1694" s="2">
        <v>841.240230066207</v>
      </c>
      <c r="AH1694" s="5">
        <v>10.3774275718442</v>
      </c>
      <c r="AI1694" s="5">
        <v>3.3753769577269002</v>
      </c>
      <c r="AJ1694" s="5" t="s">
        <v>139</v>
      </c>
      <c r="AK1694" s="2">
        <v>0.20619096901419701</v>
      </c>
      <c r="AL1694" s="2">
        <v>0.531216017089299</v>
      </c>
      <c r="AM1694" s="2">
        <v>8.559877937157E-6</v>
      </c>
      <c r="AN1694" s="2">
        <v>8.559877937157E-6</v>
      </c>
      <c r="AO1694" s="2">
        <v>18793.412021645701</v>
      </c>
      <c r="AP1694" s="2">
        <v>8.559877937157E-6</v>
      </c>
      <c r="AQ1694" s="2">
        <v>33327.354175970999</v>
      </c>
      <c r="AR1694" s="2">
        <v>258.69112490536003</v>
      </c>
      <c r="AS1694" s="2">
        <v>4299.46454810867</v>
      </c>
      <c r="AT1694" s="2">
        <v>8.559877937157E-6</v>
      </c>
      <c r="AU1694" s="2">
        <v>747.97679804906295</v>
      </c>
      <c r="AV1694" s="2">
        <v>8.559877937157E-6</v>
      </c>
      <c r="AW1694" s="2">
        <v>8.559877937157E-6</v>
      </c>
      <c r="AX1694" s="2">
        <v>8.559877937157E-6</v>
      </c>
    </row>
    <row r="1695" spans="1:50" x14ac:dyDescent="0.25">
      <c r="A1695" s="2" t="s">
        <v>11563</v>
      </c>
      <c r="B1695" s="2">
        <v>419.22637359008797</v>
      </c>
      <c r="C1695" s="2">
        <v>5.3466166666666703</v>
      </c>
      <c r="D1695" s="2" t="s">
        <v>51</v>
      </c>
      <c r="E1695" s="2" t="s">
        <v>11564</v>
      </c>
      <c r="F1695" s="2">
        <v>257597</v>
      </c>
      <c r="G1695" s="3" t="str">
        <f>HYPERLINK("https://cloud.oebiotech.com/#/lm/network/257597", "https://cloud.oebiotech.com/#/lm/network/257597")</f>
        <v>https://cloud.oebiotech.com/#/lm/network/257597</v>
      </c>
      <c r="H1695" s="2" t="s">
        <v>11565</v>
      </c>
      <c r="I1695" s="2"/>
      <c r="J1695" s="2"/>
      <c r="K1695" s="2">
        <v>118513932</v>
      </c>
      <c r="L1695" s="2"/>
      <c r="M1695" s="2"/>
      <c r="N1695" s="2"/>
      <c r="O1695" s="2"/>
      <c r="P1695" s="2"/>
      <c r="Q1695" s="2"/>
      <c r="R1695" s="2"/>
      <c r="S1695" s="2" t="s">
        <v>11566</v>
      </c>
      <c r="T1695" s="2" t="s">
        <v>11567</v>
      </c>
      <c r="U1695" s="2" t="s">
        <v>266</v>
      </c>
      <c r="V1695" s="2" t="s">
        <v>2781</v>
      </c>
      <c r="W1695" s="2" t="s">
        <v>2782</v>
      </c>
      <c r="X1695" s="2" t="s">
        <v>83</v>
      </c>
      <c r="Y1695" s="2">
        <v>42</v>
      </c>
      <c r="Z1695" s="2">
        <v>0</v>
      </c>
      <c r="AA1695" s="2" t="s">
        <v>512</v>
      </c>
      <c r="AB1695" s="2" t="s">
        <v>11568</v>
      </c>
      <c r="AC1695" s="2">
        <v>-9.6220469597486993</v>
      </c>
      <c r="AD1695" s="2"/>
      <c r="AE1695" s="2">
        <v>0.38386592062991298</v>
      </c>
      <c r="AF1695" s="2">
        <v>5563.4986515302298</v>
      </c>
      <c r="AG1695" s="2">
        <v>2650.0707770520798</v>
      </c>
      <c r="AH1695" s="5">
        <v>2.0993773825614701</v>
      </c>
      <c r="AI1695" s="5">
        <v>1.0699615277602399</v>
      </c>
      <c r="AJ1695" s="5" t="s">
        <v>139</v>
      </c>
      <c r="AK1695" s="2">
        <v>8.4318752858011208E-3</v>
      </c>
      <c r="AL1695" s="2">
        <v>0.15035952907186401</v>
      </c>
      <c r="AM1695" s="2">
        <v>7853.5748622884003</v>
      </c>
      <c r="AN1695" s="2">
        <v>3908.7778050185598</v>
      </c>
      <c r="AO1695" s="2">
        <v>6295.4088307711099</v>
      </c>
      <c r="AP1695" s="2">
        <v>2528.5952251660001</v>
      </c>
      <c r="AQ1695" s="2">
        <v>5957.1605189571501</v>
      </c>
      <c r="AR1695" s="2">
        <v>6837.4746669801798</v>
      </c>
      <c r="AS1695" s="2">
        <v>2020.9637387482601</v>
      </c>
      <c r="AT1695" s="2">
        <v>4091.8832744677702</v>
      </c>
      <c r="AU1695" s="2">
        <v>2756.9281745101598</v>
      </c>
      <c r="AV1695" s="2">
        <v>2340.9282328709901</v>
      </c>
      <c r="AW1695" s="2">
        <v>3222.6291820840502</v>
      </c>
      <c r="AX1695" s="2">
        <v>1467.0920596312701</v>
      </c>
    </row>
    <row r="1696" spans="1:50" x14ac:dyDescent="0.25">
      <c r="A1696" s="2" t="s">
        <v>11569</v>
      </c>
      <c r="B1696" s="2">
        <v>324.16772789174303</v>
      </c>
      <c r="C1696" s="2">
        <v>1.12706666666667</v>
      </c>
      <c r="D1696" s="2" t="s">
        <v>51</v>
      </c>
      <c r="E1696" s="2" t="s">
        <v>11570</v>
      </c>
      <c r="F1696" s="2">
        <v>212373</v>
      </c>
      <c r="G1696" s="3" t="str">
        <f>HYPERLINK("https://cloud.oebiotech.com/#/lm/network/212373", "https://cloud.oebiotech.com/#/lm/network/212373")</f>
        <v>https://cloud.oebiotech.com/#/lm/network/212373</v>
      </c>
      <c r="H1696" s="2" t="s">
        <v>11571</v>
      </c>
      <c r="I1696" s="2"/>
      <c r="J1696" s="2"/>
      <c r="K1696" s="2">
        <v>9925665</v>
      </c>
      <c r="L1696" s="2"/>
      <c r="M1696" s="2"/>
      <c r="N1696" s="2"/>
      <c r="O1696" s="2"/>
      <c r="P1696" s="2"/>
      <c r="Q1696" s="2"/>
      <c r="R1696" s="2"/>
      <c r="S1696" s="2" t="s">
        <v>11572</v>
      </c>
      <c r="T1696" s="2" t="s">
        <v>11573</v>
      </c>
      <c r="U1696" s="2" t="s">
        <v>103</v>
      </c>
      <c r="V1696" s="2" t="s">
        <v>104</v>
      </c>
      <c r="W1696" s="2" t="s">
        <v>105</v>
      </c>
      <c r="X1696" s="2" t="s">
        <v>147</v>
      </c>
      <c r="Y1696" s="2">
        <v>47.7</v>
      </c>
      <c r="Z1696" s="2">
        <v>43.6</v>
      </c>
      <c r="AA1696" s="2" t="s">
        <v>218</v>
      </c>
      <c r="AB1696" s="2" t="s">
        <v>10271</v>
      </c>
      <c r="AC1696" s="2">
        <v>3.05023685180732E-4</v>
      </c>
      <c r="AD1696" s="2"/>
      <c r="AE1696" s="2">
        <v>0.38361250400046498</v>
      </c>
      <c r="AF1696" s="2">
        <v>6282.82477291948</v>
      </c>
      <c r="AG1696" s="2">
        <v>1818.27337971884</v>
      </c>
      <c r="AH1696" s="5">
        <v>3.45537961617796</v>
      </c>
      <c r="AI1696" s="5">
        <v>1.78884421721038</v>
      </c>
      <c r="AJ1696" s="5" t="s">
        <v>139</v>
      </c>
      <c r="AK1696" s="2">
        <v>7.7502198170719599E-2</v>
      </c>
      <c r="AL1696" s="2">
        <v>0.361870085436303</v>
      </c>
      <c r="AM1696" s="2">
        <v>8452.4099167286495</v>
      </c>
      <c r="AN1696" s="2">
        <v>5918.4592496425403</v>
      </c>
      <c r="AO1696" s="2">
        <v>2964.63388162415</v>
      </c>
      <c r="AP1696" s="2">
        <v>254.70022394202101</v>
      </c>
      <c r="AQ1696" s="2">
        <v>4533.5055779962204</v>
      </c>
      <c r="AR1696" s="2">
        <v>15573.239787583299</v>
      </c>
      <c r="AS1696" s="2">
        <v>8.559877937157E-6</v>
      </c>
      <c r="AT1696" s="2">
        <v>439.98260036349097</v>
      </c>
      <c r="AU1696" s="2">
        <v>4186.8336970813698</v>
      </c>
      <c r="AV1696" s="2">
        <v>3099.3459473130301</v>
      </c>
      <c r="AW1696" s="2">
        <v>1146.8719194477901</v>
      </c>
      <c r="AX1696" s="2">
        <v>2036.60610554747</v>
      </c>
    </row>
    <row r="1697" spans="1:50" x14ac:dyDescent="0.25">
      <c r="A1697" s="2" t="s">
        <v>11574</v>
      </c>
      <c r="B1697" s="2">
        <v>362.17669999999998</v>
      </c>
      <c r="C1697" s="2">
        <v>19.846</v>
      </c>
      <c r="D1697" s="2" t="s">
        <v>125</v>
      </c>
      <c r="E1697" s="2" t="s">
        <v>11575</v>
      </c>
      <c r="F1697" s="2">
        <v>52000</v>
      </c>
      <c r="G1697" s="3" t="str">
        <f>HYPERLINK("https://cloud.oebiotech.com/#/lm/network/52000", "https://cloud.oebiotech.com/#/lm/network/52000")</f>
        <v>https://cloud.oebiotech.com/#/lm/network/52000</v>
      </c>
      <c r="H1697" s="2" t="s">
        <v>11576</v>
      </c>
      <c r="I1697" s="2">
        <v>64618</v>
      </c>
      <c r="J1697" s="2"/>
      <c r="K1697" s="2">
        <v>10130220</v>
      </c>
      <c r="L1697" s="2" t="s">
        <v>11577</v>
      </c>
      <c r="M1697" s="2" t="s">
        <v>11578</v>
      </c>
      <c r="N1697" s="2" t="s">
        <v>11579</v>
      </c>
      <c r="O1697" s="2">
        <v>37704</v>
      </c>
      <c r="P1697" s="2"/>
      <c r="Q1697" s="2"/>
      <c r="R1697" s="2" t="s">
        <v>11580</v>
      </c>
      <c r="S1697" s="2" t="s">
        <v>11581</v>
      </c>
      <c r="T1697" s="2" t="s">
        <v>11582</v>
      </c>
      <c r="U1697" s="2" t="s">
        <v>331</v>
      </c>
      <c r="V1697" s="2" t="s">
        <v>332</v>
      </c>
      <c r="W1697" s="2" t="s">
        <v>333</v>
      </c>
      <c r="X1697" s="2" t="s">
        <v>83</v>
      </c>
      <c r="Y1697" s="2">
        <v>83.4</v>
      </c>
      <c r="Z1697" s="2">
        <v>72.400000000000006</v>
      </c>
      <c r="AA1697" s="2"/>
      <c r="AB1697" s="2" t="s">
        <v>1085</v>
      </c>
      <c r="AC1697" s="2"/>
      <c r="AD1697" s="2">
        <v>665665.16004627803</v>
      </c>
      <c r="AE1697" s="2">
        <v>0.38356689667592497</v>
      </c>
      <c r="AF1697" s="2">
        <v>122715.73826785501</v>
      </c>
      <c r="AG1697" s="2">
        <v>37352.076926597001</v>
      </c>
      <c r="AH1697" s="5">
        <v>3.28537924434595</v>
      </c>
      <c r="AI1697" s="5">
        <v>1.71605991616619</v>
      </c>
      <c r="AJ1697" s="5" t="s">
        <v>139</v>
      </c>
      <c r="AK1697" s="2">
        <v>0.442704882778092</v>
      </c>
      <c r="AL1697" s="2">
        <v>0.69908803275019105</v>
      </c>
      <c r="AM1697" s="2">
        <v>23048.072887433798</v>
      </c>
      <c r="AN1697" s="2">
        <v>17036.205999497499</v>
      </c>
      <c r="AO1697" s="2">
        <v>7674.36585898867</v>
      </c>
      <c r="AP1697" s="2">
        <v>15485.102040423801</v>
      </c>
      <c r="AQ1697" s="2">
        <v>655742.30698666896</v>
      </c>
      <c r="AR1697" s="2">
        <v>17308.375834118</v>
      </c>
      <c r="AS1697" s="2">
        <v>28417.949024817601</v>
      </c>
      <c r="AT1697" s="2">
        <v>43303.122556856601</v>
      </c>
      <c r="AU1697" s="2">
        <v>56016.754730858702</v>
      </c>
      <c r="AV1697" s="2">
        <v>48555.902171031499</v>
      </c>
      <c r="AW1697" s="2">
        <v>14223.1573827504</v>
      </c>
      <c r="AX1697" s="2">
        <v>33595.575693267398</v>
      </c>
    </row>
    <row r="1698" spans="1:50" x14ac:dyDescent="0.25">
      <c r="A1698" s="2" t="s">
        <v>11583</v>
      </c>
      <c r="B1698" s="2">
        <v>587.41100406718795</v>
      </c>
      <c r="C1698" s="2">
        <v>10.233700000000001</v>
      </c>
      <c r="D1698" s="2" t="s">
        <v>51</v>
      </c>
      <c r="E1698" s="2" t="s">
        <v>11584</v>
      </c>
      <c r="F1698" s="2">
        <v>255418</v>
      </c>
      <c r="G1698" s="3" t="str">
        <f>HYPERLINK("https://cloud.oebiotech.com/#/lm/network/255418", "https://cloud.oebiotech.com/#/lm/network/255418")</f>
        <v>https://cloud.oebiotech.com/#/lm/network/255418</v>
      </c>
      <c r="H1698" s="2" t="s">
        <v>11585</v>
      </c>
      <c r="I1698" s="2"/>
      <c r="J1698" s="2"/>
      <c r="K1698" s="2"/>
      <c r="L1698" s="2"/>
      <c r="M1698" s="2"/>
      <c r="N1698" s="2"/>
      <c r="O1698" s="2"/>
      <c r="P1698" s="2"/>
      <c r="Q1698" s="2"/>
      <c r="R1698" s="2"/>
      <c r="S1698" s="2" t="s">
        <v>11586</v>
      </c>
      <c r="T1698" s="2" t="s">
        <v>11587</v>
      </c>
      <c r="U1698" s="2" t="s">
        <v>56</v>
      </c>
      <c r="V1698" s="2" t="s">
        <v>177</v>
      </c>
      <c r="W1698" s="2" t="s">
        <v>3270</v>
      </c>
      <c r="X1698" s="2" t="s">
        <v>147</v>
      </c>
      <c r="Y1698" s="2">
        <v>36.9</v>
      </c>
      <c r="Z1698" s="2">
        <v>0</v>
      </c>
      <c r="AA1698" s="2" t="s">
        <v>259</v>
      </c>
      <c r="AB1698" s="2" t="s">
        <v>11588</v>
      </c>
      <c r="AC1698" s="2">
        <v>2.5876866454640299</v>
      </c>
      <c r="AD1698" s="2"/>
      <c r="AE1698" s="2">
        <v>0.38342365629564601</v>
      </c>
      <c r="AF1698" s="2">
        <v>15568.810656759801</v>
      </c>
      <c r="AG1698" s="2">
        <v>20243.196421195302</v>
      </c>
      <c r="AH1698" s="4">
        <v>0.76908855364653295</v>
      </c>
      <c r="AI1698" s="4">
        <v>-0.37877837374648898</v>
      </c>
      <c r="AJ1698" s="4" t="s">
        <v>62</v>
      </c>
      <c r="AK1698" s="2">
        <v>9.8194001979503495E-2</v>
      </c>
      <c r="AL1698" s="2">
        <v>0.39957353649918598</v>
      </c>
      <c r="AM1698" s="2">
        <v>11197.151117654699</v>
      </c>
      <c r="AN1698" s="2">
        <v>14097.8906160515</v>
      </c>
      <c r="AO1698" s="2">
        <v>12479.1660423797</v>
      </c>
      <c r="AP1698" s="2">
        <v>11899.890035451301</v>
      </c>
      <c r="AQ1698" s="2">
        <v>25840.519391968599</v>
      </c>
      <c r="AR1698" s="2">
        <v>17898.246737052999</v>
      </c>
      <c r="AS1698" s="2">
        <v>17536.921873630999</v>
      </c>
      <c r="AT1698" s="2">
        <v>24603.933189458399</v>
      </c>
      <c r="AU1698" s="2">
        <v>17240.609359608799</v>
      </c>
      <c r="AV1698" s="2">
        <v>18943.006502648499</v>
      </c>
      <c r="AW1698" s="2">
        <v>20749.669609482102</v>
      </c>
      <c r="AX1698" s="2">
        <v>22385.037992343299</v>
      </c>
    </row>
    <row r="1699" spans="1:50" x14ac:dyDescent="0.25">
      <c r="A1699" s="2" t="s">
        <v>11589</v>
      </c>
      <c r="B1699" s="2">
        <v>247.14494392941799</v>
      </c>
      <c r="C1699" s="2">
        <v>6.2703499999999996</v>
      </c>
      <c r="D1699" s="2" t="s">
        <v>51</v>
      </c>
      <c r="E1699" s="2" t="s">
        <v>11590</v>
      </c>
      <c r="F1699" s="2">
        <v>210014</v>
      </c>
      <c r="G1699" s="3" t="str">
        <f>HYPERLINK("https://cloud.oebiotech.com/#/lm/network/210014", "https://cloud.oebiotech.com/#/lm/network/210014")</f>
        <v>https://cloud.oebiotech.com/#/lm/network/210014</v>
      </c>
      <c r="H1699" s="2" t="s">
        <v>11591</v>
      </c>
      <c r="I1699" s="2"/>
      <c r="J1699" s="2"/>
      <c r="K1699" s="2">
        <v>72095</v>
      </c>
      <c r="L1699" s="2"/>
      <c r="M1699" s="2"/>
      <c r="N1699" s="2"/>
      <c r="O1699" s="2"/>
      <c r="P1699" s="2"/>
      <c r="Q1699" s="2"/>
      <c r="R1699" s="2"/>
      <c r="S1699" s="2" t="s">
        <v>11592</v>
      </c>
      <c r="T1699" s="2" t="s">
        <v>11593</v>
      </c>
      <c r="U1699" s="2" t="s">
        <v>610</v>
      </c>
      <c r="V1699" s="2" t="s">
        <v>611</v>
      </c>
      <c r="W1699" s="2" t="s">
        <v>1122</v>
      </c>
      <c r="X1699" s="2" t="s">
        <v>147</v>
      </c>
      <c r="Y1699" s="2">
        <v>38.700000000000003</v>
      </c>
      <c r="Z1699" s="2">
        <v>2.37</v>
      </c>
      <c r="AA1699" s="2" t="s">
        <v>60</v>
      </c>
      <c r="AB1699" s="2" t="s">
        <v>5729</v>
      </c>
      <c r="AC1699" s="2">
        <v>3.4114010707690001</v>
      </c>
      <c r="AD1699" s="2"/>
      <c r="AE1699" s="2">
        <v>0.38307238277856498</v>
      </c>
      <c r="AF1699" s="2">
        <v>2299.3507441395</v>
      </c>
      <c r="AG1699" s="2">
        <v>7644.0506153662</v>
      </c>
      <c r="AH1699" s="4">
        <v>0.30080265815055002</v>
      </c>
      <c r="AI1699" s="4">
        <v>-1.7331107789234299</v>
      </c>
      <c r="AJ1699" s="4" t="s">
        <v>62</v>
      </c>
      <c r="AK1699" s="2">
        <v>0.25358807071726802</v>
      </c>
      <c r="AL1699" s="2">
        <v>0.57683999074652204</v>
      </c>
      <c r="AM1699" s="2">
        <v>3460.0081407122898</v>
      </c>
      <c r="AN1699" s="2">
        <v>862.95987101327898</v>
      </c>
      <c r="AO1699" s="2">
        <v>1642.2598114749401</v>
      </c>
      <c r="AP1699" s="2">
        <v>6499.1971467679896</v>
      </c>
      <c r="AQ1699" s="2">
        <v>867.00195681741695</v>
      </c>
      <c r="AR1699" s="2">
        <v>464.67753805109601</v>
      </c>
      <c r="AS1699" s="2">
        <v>23044.536529979399</v>
      </c>
      <c r="AT1699" s="2">
        <v>591.22420085021497</v>
      </c>
      <c r="AU1699" s="2">
        <v>837.92002168267595</v>
      </c>
      <c r="AV1699" s="2">
        <v>477.94036536392599</v>
      </c>
      <c r="AW1699" s="2">
        <v>1606.05557872698</v>
      </c>
      <c r="AX1699" s="2">
        <v>19306.626995594001</v>
      </c>
    </row>
    <row r="1700" spans="1:50" x14ac:dyDescent="0.25">
      <c r="A1700" s="2" t="s">
        <v>11594</v>
      </c>
      <c r="B1700" s="2">
        <v>322.25987291184498</v>
      </c>
      <c r="C1700" s="2">
        <v>5.3695666666666702</v>
      </c>
      <c r="D1700" s="2" t="s">
        <v>51</v>
      </c>
      <c r="E1700" s="2" t="s">
        <v>11595</v>
      </c>
      <c r="F1700" s="2">
        <v>1716</v>
      </c>
      <c r="G1700" s="3" t="str">
        <f>HYPERLINK("https://cloud.oebiotech.com/#/lm/network/1716", "https://cloud.oebiotech.com/#/lm/network/1716")</f>
        <v>https://cloud.oebiotech.com/#/lm/network/1716</v>
      </c>
      <c r="H1700" s="2"/>
      <c r="I1700" s="2">
        <v>35478</v>
      </c>
      <c r="J1700" s="2" t="s">
        <v>11596</v>
      </c>
      <c r="K1700" s="2">
        <v>10790</v>
      </c>
      <c r="L1700" s="2"/>
      <c r="M1700" s="2"/>
      <c r="N1700" s="2"/>
      <c r="O1700" s="2"/>
      <c r="P1700" s="2"/>
      <c r="Q1700" s="2"/>
      <c r="R1700" s="2"/>
      <c r="S1700" s="2" t="s">
        <v>11597</v>
      </c>
      <c r="T1700" s="2" t="s">
        <v>11598</v>
      </c>
      <c r="U1700" s="2" t="s">
        <v>56</v>
      </c>
      <c r="V1700" s="2" t="s">
        <v>145</v>
      </c>
      <c r="W1700" s="2" t="s">
        <v>231</v>
      </c>
      <c r="X1700" s="2" t="s">
        <v>147</v>
      </c>
      <c r="Y1700" s="2">
        <v>42.6</v>
      </c>
      <c r="Z1700" s="2">
        <v>22.3</v>
      </c>
      <c r="AA1700" s="2" t="s">
        <v>512</v>
      </c>
      <c r="AB1700" s="2" t="s">
        <v>11599</v>
      </c>
      <c r="AC1700" s="2">
        <v>3.5278425399975002</v>
      </c>
      <c r="AD1700" s="2"/>
      <c r="AE1700" s="2">
        <v>0.38272846312367398</v>
      </c>
      <c r="AF1700" s="2">
        <v>1127.5066360872199</v>
      </c>
      <c r="AG1700" s="2">
        <v>8600.5428284872196</v>
      </c>
      <c r="AH1700" s="4">
        <v>0.13109714800240599</v>
      </c>
      <c r="AI1700" s="4">
        <v>-2.9312917945873598</v>
      </c>
      <c r="AJ1700" s="4" t="s">
        <v>62</v>
      </c>
      <c r="AK1700" s="2">
        <v>0.34866852528428699</v>
      </c>
      <c r="AL1700" s="2">
        <v>0.64167546020235899</v>
      </c>
      <c r="AM1700" s="2">
        <v>8.559877937157E-6</v>
      </c>
      <c r="AN1700" s="2">
        <v>8.559877937157E-6</v>
      </c>
      <c r="AO1700" s="2">
        <v>1463.82740153603</v>
      </c>
      <c r="AP1700" s="2">
        <v>2414.5027559915102</v>
      </c>
      <c r="AQ1700" s="2">
        <v>2886.7096333161298</v>
      </c>
      <c r="AR1700" s="2">
        <v>8.559877937157E-6</v>
      </c>
      <c r="AS1700" s="2">
        <v>1646.8692361148001</v>
      </c>
      <c r="AT1700" s="2">
        <v>3039.8890767214202</v>
      </c>
      <c r="AU1700" s="2">
        <v>485.29269351045701</v>
      </c>
      <c r="AV1700" s="2">
        <v>8.559877937157E-6</v>
      </c>
      <c r="AW1700" s="2">
        <v>8.559877937157E-6</v>
      </c>
      <c r="AX1700" s="2">
        <v>46431.205947456903</v>
      </c>
    </row>
    <row r="1701" spans="1:50" x14ac:dyDescent="0.25">
      <c r="A1701" s="2" t="s">
        <v>11600</v>
      </c>
      <c r="B1701" s="2">
        <v>751.242826727845</v>
      </c>
      <c r="C1701" s="2">
        <v>8.5672166666666705</v>
      </c>
      <c r="D1701" s="2" t="s">
        <v>51</v>
      </c>
      <c r="E1701" s="2" t="s">
        <v>11601</v>
      </c>
      <c r="F1701" s="2">
        <v>63527</v>
      </c>
      <c r="G1701" s="3" t="str">
        <f>HYPERLINK("https://cloud.oebiotech.com/#/lm/network/63527", "https://cloud.oebiotech.com/#/lm/network/63527")</f>
        <v>https://cloud.oebiotech.com/#/lm/network/63527</v>
      </c>
      <c r="H1701" s="2" t="s">
        <v>11602</v>
      </c>
      <c r="I1701" s="2"/>
      <c r="J1701" s="2"/>
      <c r="K1701" s="2">
        <v>131752796</v>
      </c>
      <c r="L1701" s="2"/>
      <c r="M1701" s="2"/>
      <c r="N1701" s="2"/>
      <c r="O1701" s="2"/>
      <c r="P1701" s="2"/>
      <c r="Q1701" s="2"/>
      <c r="R1701" s="2" t="s">
        <v>11603</v>
      </c>
      <c r="S1701" s="2" t="s">
        <v>11604</v>
      </c>
      <c r="T1701" s="2" t="s">
        <v>11605</v>
      </c>
      <c r="U1701" s="2" t="s">
        <v>331</v>
      </c>
      <c r="V1701" s="2" t="s">
        <v>332</v>
      </c>
      <c r="W1701" s="2" t="s">
        <v>333</v>
      </c>
      <c r="X1701" s="2" t="s">
        <v>147</v>
      </c>
      <c r="Y1701" s="2">
        <v>36.5</v>
      </c>
      <c r="Z1701" s="2">
        <v>0</v>
      </c>
      <c r="AA1701" s="2" t="s">
        <v>379</v>
      </c>
      <c r="AB1701" s="2" t="s">
        <v>11606</v>
      </c>
      <c r="AC1701" s="2">
        <v>-3.4551807334138398</v>
      </c>
      <c r="AD1701" s="2"/>
      <c r="AE1701" s="2">
        <v>0.38267965617060901</v>
      </c>
      <c r="AF1701" s="2">
        <v>8863.9527699021801</v>
      </c>
      <c r="AG1701" s="2">
        <v>12771.529089948001</v>
      </c>
      <c r="AH1701" s="4">
        <v>0.69404005640003297</v>
      </c>
      <c r="AI1701" s="4">
        <v>-0.52690916478986904</v>
      </c>
      <c r="AJ1701" s="4" t="s">
        <v>62</v>
      </c>
      <c r="AK1701" s="2">
        <v>3.1543342186731202E-2</v>
      </c>
      <c r="AL1701" s="2">
        <v>0.26208331410330299</v>
      </c>
      <c r="AM1701" s="2">
        <v>7376.2342558104501</v>
      </c>
      <c r="AN1701" s="2">
        <v>8859.0131117744495</v>
      </c>
      <c r="AO1701" s="2">
        <v>14069.6111526193</v>
      </c>
      <c r="AP1701" s="2">
        <v>9575.1360408088203</v>
      </c>
      <c r="AQ1701" s="2">
        <v>6402.5891835479597</v>
      </c>
      <c r="AR1701" s="2">
        <v>6901.13287485209</v>
      </c>
      <c r="AS1701" s="2">
        <v>15516.370914510801</v>
      </c>
      <c r="AT1701" s="2">
        <v>14175.6828557916</v>
      </c>
      <c r="AU1701" s="2">
        <v>7953.7296948863104</v>
      </c>
      <c r="AV1701" s="2">
        <v>12668.4065358681</v>
      </c>
      <c r="AW1701" s="2">
        <v>13724.225904142801</v>
      </c>
      <c r="AX1701" s="2">
        <v>12590.7586344884</v>
      </c>
    </row>
    <row r="1702" spans="1:50" x14ac:dyDescent="0.25">
      <c r="A1702" s="2" t="s">
        <v>11607</v>
      </c>
      <c r="B1702" s="2">
        <v>268.26414463310101</v>
      </c>
      <c r="C1702" s="2">
        <v>12.0971666666667</v>
      </c>
      <c r="D1702" s="2" t="s">
        <v>51</v>
      </c>
      <c r="E1702" s="2" t="s">
        <v>11608</v>
      </c>
      <c r="F1702" s="2">
        <v>64427</v>
      </c>
      <c r="G1702" s="3" t="str">
        <f>HYPERLINK("https://cloud.oebiotech.com/#/lm/network/64427", "https://cloud.oebiotech.com/#/lm/network/64427")</f>
        <v>https://cloud.oebiotech.com/#/lm/network/64427</v>
      </c>
      <c r="H1702" s="2" t="s">
        <v>11609</v>
      </c>
      <c r="I1702" s="2"/>
      <c r="J1702" s="2"/>
      <c r="K1702" s="2">
        <v>131753110</v>
      </c>
      <c r="L1702" s="2"/>
      <c r="M1702" s="2"/>
      <c r="N1702" s="2"/>
      <c r="O1702" s="2"/>
      <c r="P1702" s="2"/>
      <c r="Q1702" s="2"/>
      <c r="R1702" s="2" t="s">
        <v>11610</v>
      </c>
      <c r="S1702" s="2" t="s">
        <v>11611</v>
      </c>
      <c r="T1702" s="2" t="s">
        <v>11612</v>
      </c>
      <c r="U1702" s="2" t="s">
        <v>56</v>
      </c>
      <c r="V1702" s="2" t="s">
        <v>145</v>
      </c>
      <c r="W1702" s="2" t="s">
        <v>1543</v>
      </c>
      <c r="X1702" s="2" t="s">
        <v>69</v>
      </c>
      <c r="Y1702" s="2">
        <v>71.8</v>
      </c>
      <c r="Z1702" s="2">
        <v>96.5</v>
      </c>
      <c r="AA1702" s="2" t="s">
        <v>2589</v>
      </c>
      <c r="AB1702" s="2" t="s">
        <v>11613</v>
      </c>
      <c r="AC1702" s="2">
        <v>2.6116865056374698</v>
      </c>
      <c r="AD1702" s="2"/>
      <c r="AE1702" s="2">
        <v>0.38252826139433199</v>
      </c>
      <c r="AF1702" s="2">
        <v>52433.825406960503</v>
      </c>
      <c r="AG1702" s="2">
        <v>70466.066722304196</v>
      </c>
      <c r="AH1702" s="4">
        <v>0.74410035703559396</v>
      </c>
      <c r="AI1702" s="4">
        <v>-0.42643088372400201</v>
      </c>
      <c r="AJ1702" s="4" t="s">
        <v>62</v>
      </c>
      <c r="AK1702" s="2">
        <v>0.75610066664939801</v>
      </c>
      <c r="AL1702" s="2">
        <v>0.88982523349301701</v>
      </c>
      <c r="AM1702" s="2">
        <v>345.884862884195</v>
      </c>
      <c r="AN1702" s="2">
        <v>8.559877937157E-6</v>
      </c>
      <c r="AO1702" s="2">
        <v>221106.77176485199</v>
      </c>
      <c r="AP1702" s="2">
        <v>1125.71210222683</v>
      </c>
      <c r="AQ1702" s="2">
        <v>84572.685816849596</v>
      </c>
      <c r="AR1702" s="2">
        <v>7451.8978863905504</v>
      </c>
      <c r="AS1702" s="2">
        <v>275112.42193639401</v>
      </c>
      <c r="AT1702" s="2">
        <v>1904.22982827895</v>
      </c>
      <c r="AU1702" s="2">
        <v>94271.911250675403</v>
      </c>
      <c r="AV1702" s="2">
        <v>28328.229771634898</v>
      </c>
      <c r="AW1702" s="2">
        <v>22729.153688674502</v>
      </c>
      <c r="AX1702" s="2">
        <v>450.45385816723802</v>
      </c>
    </row>
    <row r="1703" spans="1:50" x14ac:dyDescent="0.25">
      <c r="A1703" s="2" t="s">
        <v>11614</v>
      </c>
      <c r="B1703" s="2">
        <v>417.18964527749603</v>
      </c>
      <c r="C1703" s="2">
        <v>7.8379666666666701</v>
      </c>
      <c r="D1703" s="2" t="s">
        <v>51</v>
      </c>
      <c r="E1703" s="2" t="s">
        <v>11615</v>
      </c>
      <c r="F1703" s="2">
        <v>58601</v>
      </c>
      <c r="G1703" s="3" t="str">
        <f>HYPERLINK("https://cloud.oebiotech.com/#/lm/network/58601", "https://cloud.oebiotech.com/#/lm/network/58601")</f>
        <v>https://cloud.oebiotech.com/#/lm/network/58601</v>
      </c>
      <c r="H1703" s="2" t="s">
        <v>11616</v>
      </c>
      <c r="I1703" s="2"/>
      <c r="J1703" s="2"/>
      <c r="K1703" s="2">
        <v>185438</v>
      </c>
      <c r="L1703" s="2"/>
      <c r="M1703" s="2"/>
      <c r="N1703" s="2"/>
      <c r="O1703" s="2"/>
      <c r="P1703" s="2"/>
      <c r="Q1703" s="2"/>
      <c r="R1703" s="2"/>
      <c r="S1703" s="2" t="s">
        <v>11617</v>
      </c>
      <c r="T1703" s="2" t="s">
        <v>11618</v>
      </c>
      <c r="U1703" s="2" t="s">
        <v>56</v>
      </c>
      <c r="V1703" s="2" t="s">
        <v>177</v>
      </c>
      <c r="W1703" s="2" t="s">
        <v>1996</v>
      </c>
      <c r="X1703" s="2" t="s">
        <v>83</v>
      </c>
      <c r="Y1703" s="2">
        <v>42.1</v>
      </c>
      <c r="Z1703" s="2">
        <v>0</v>
      </c>
      <c r="AA1703" s="2" t="s">
        <v>163</v>
      </c>
      <c r="AB1703" s="2" t="s">
        <v>11619</v>
      </c>
      <c r="AC1703" s="2">
        <v>-5.3361885286200703</v>
      </c>
      <c r="AD1703" s="2"/>
      <c r="AE1703" s="2">
        <v>0.38221962574796697</v>
      </c>
      <c r="AF1703" s="2">
        <v>4269.2611290962504</v>
      </c>
      <c r="AG1703" s="2">
        <v>1445.4717171879299</v>
      </c>
      <c r="AH1703" s="5">
        <v>2.95354179423297</v>
      </c>
      <c r="AI1703" s="5">
        <v>1.5624460270295299</v>
      </c>
      <c r="AJ1703" s="5" t="s">
        <v>139</v>
      </c>
      <c r="AK1703" s="2">
        <v>5.3599949352577505E-4</v>
      </c>
      <c r="AL1703" s="2">
        <v>6.2396646922794598E-2</v>
      </c>
      <c r="AM1703" s="2">
        <v>4750.8416022517104</v>
      </c>
      <c r="AN1703" s="2">
        <v>5209.3657728994203</v>
      </c>
      <c r="AO1703" s="2">
        <v>5231.9595338058698</v>
      </c>
      <c r="AP1703" s="2">
        <v>3405.3551513766201</v>
      </c>
      <c r="AQ1703" s="2">
        <v>2727.0773727808601</v>
      </c>
      <c r="AR1703" s="2">
        <v>4290.9673414630297</v>
      </c>
      <c r="AS1703" s="2">
        <v>2982.5116435733398</v>
      </c>
      <c r="AT1703" s="2">
        <v>1013.5398054436801</v>
      </c>
      <c r="AU1703" s="2">
        <v>1779.1504604264501</v>
      </c>
      <c r="AV1703" s="2">
        <v>179.424781996165</v>
      </c>
      <c r="AW1703" s="2">
        <v>1118.00165670056</v>
      </c>
      <c r="AX1703" s="2">
        <v>1600.2019549873901</v>
      </c>
    </row>
    <row r="1704" spans="1:50" x14ac:dyDescent="0.25">
      <c r="A1704" s="2" t="s">
        <v>11620</v>
      </c>
      <c r="B1704" s="2">
        <v>316.09804647040397</v>
      </c>
      <c r="C1704" s="2">
        <v>0.74113333333333298</v>
      </c>
      <c r="D1704" s="2" t="s">
        <v>51</v>
      </c>
      <c r="E1704" s="2" t="s">
        <v>11621</v>
      </c>
      <c r="F1704" s="2">
        <v>203037</v>
      </c>
      <c r="G1704" s="3" t="str">
        <f>HYPERLINK("https://cloud.oebiotech.com/#/lm/network/203037", "https://cloud.oebiotech.com/#/lm/network/203037")</f>
        <v>https://cloud.oebiotech.com/#/lm/network/203037</v>
      </c>
      <c r="H1704" s="2" t="s">
        <v>11622</v>
      </c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 t="s">
        <v>11623</v>
      </c>
      <c r="T1704" s="2" t="s">
        <v>11624</v>
      </c>
      <c r="U1704" s="2" t="s">
        <v>103</v>
      </c>
      <c r="V1704" s="2" t="s">
        <v>104</v>
      </c>
      <c r="W1704" s="2" t="s">
        <v>105</v>
      </c>
      <c r="X1704" s="2" t="s">
        <v>147</v>
      </c>
      <c r="Y1704" s="2">
        <v>38.1</v>
      </c>
      <c r="Z1704" s="2">
        <v>0</v>
      </c>
      <c r="AA1704" s="2" t="s">
        <v>379</v>
      </c>
      <c r="AB1704" s="2" t="s">
        <v>11625</v>
      </c>
      <c r="AC1704" s="2">
        <v>2.3310950733215798</v>
      </c>
      <c r="AD1704" s="2"/>
      <c r="AE1704" s="2">
        <v>0.381149068930205</v>
      </c>
      <c r="AF1704" s="2">
        <v>2561.6695300220399</v>
      </c>
      <c r="AG1704" s="2">
        <v>7082.8982308931199</v>
      </c>
      <c r="AH1704" s="4">
        <v>0.36166967906568698</v>
      </c>
      <c r="AI1704" s="4">
        <v>-1.4672554415858801</v>
      </c>
      <c r="AJ1704" s="4" t="s">
        <v>62</v>
      </c>
      <c r="AK1704" s="2">
        <v>0.159698641624552</v>
      </c>
      <c r="AL1704" s="2">
        <v>0.482327607117922</v>
      </c>
      <c r="AM1704" s="2">
        <v>8.559877937157E-6</v>
      </c>
      <c r="AN1704" s="2">
        <v>5630.2510836447</v>
      </c>
      <c r="AO1704" s="2">
        <v>131.88339325170401</v>
      </c>
      <c r="AP1704" s="2">
        <v>8.559877937157E-6</v>
      </c>
      <c r="AQ1704" s="2">
        <v>2117.81495630062</v>
      </c>
      <c r="AR1704" s="2">
        <v>7490.0677298154596</v>
      </c>
      <c r="AS1704" s="2">
        <v>10868.831673118701</v>
      </c>
      <c r="AT1704" s="2">
        <v>5400.5343085123404</v>
      </c>
      <c r="AU1704" s="2">
        <v>110.337616618366</v>
      </c>
      <c r="AV1704" s="2">
        <v>17437.072364825399</v>
      </c>
      <c r="AW1704" s="2">
        <v>820.65165323719305</v>
      </c>
      <c r="AX1704" s="2">
        <v>7859.9617690467503</v>
      </c>
    </row>
    <row r="1705" spans="1:50" x14ac:dyDescent="0.25">
      <c r="A1705" s="2" t="s">
        <v>11626</v>
      </c>
      <c r="B1705" s="2">
        <v>493.20547347002798</v>
      </c>
      <c r="C1705" s="2">
        <v>4.78165</v>
      </c>
      <c r="D1705" s="2" t="s">
        <v>51</v>
      </c>
      <c r="E1705" s="2" t="s">
        <v>11627</v>
      </c>
      <c r="F1705" s="2">
        <v>264769</v>
      </c>
      <c r="G1705" s="3" t="str">
        <f>HYPERLINK("https://cloud.oebiotech.com/#/lm/network/264769", "https://cloud.oebiotech.com/#/lm/network/264769")</f>
        <v>https://cloud.oebiotech.com/#/lm/network/264769</v>
      </c>
      <c r="H1705" s="2"/>
      <c r="I1705" s="2">
        <v>22234</v>
      </c>
      <c r="J1705" s="2"/>
      <c r="K1705" s="2">
        <v>145457303</v>
      </c>
      <c r="L1705" s="2"/>
      <c r="M1705" s="2"/>
      <c r="N1705" s="2"/>
      <c r="O1705" s="2"/>
      <c r="P1705" s="2"/>
      <c r="Q1705" s="2"/>
      <c r="R1705" s="2"/>
      <c r="S1705" s="2" t="s">
        <v>11628</v>
      </c>
      <c r="T1705" s="2" t="s">
        <v>11629</v>
      </c>
      <c r="U1705" s="2" t="s">
        <v>103</v>
      </c>
      <c r="V1705" s="2" t="s">
        <v>104</v>
      </c>
      <c r="W1705" s="2" t="s">
        <v>105</v>
      </c>
      <c r="X1705" s="2" t="s">
        <v>83</v>
      </c>
      <c r="Y1705" s="2">
        <v>37.200000000000003</v>
      </c>
      <c r="Z1705" s="2">
        <v>0</v>
      </c>
      <c r="AA1705" s="2" t="s">
        <v>218</v>
      </c>
      <c r="AB1705" s="2" t="s">
        <v>11630</v>
      </c>
      <c r="AC1705" s="2">
        <v>-8.4442258307260598</v>
      </c>
      <c r="AD1705" s="2"/>
      <c r="AE1705" s="2">
        <v>0.38059282342925599</v>
      </c>
      <c r="AF1705" s="2">
        <v>5073.0822389658497</v>
      </c>
      <c r="AG1705" s="2">
        <v>1633.8273600648999</v>
      </c>
      <c r="AH1705" s="5">
        <v>3.10502955389628</v>
      </c>
      <c r="AI1705" s="5">
        <v>1.6346070001870401</v>
      </c>
      <c r="AJ1705" s="5" t="s">
        <v>139</v>
      </c>
      <c r="AK1705" s="2">
        <v>2.9682937663730102E-2</v>
      </c>
      <c r="AL1705" s="2">
        <v>0.25908320162100301</v>
      </c>
      <c r="AM1705" s="2">
        <v>10441.435986652499</v>
      </c>
      <c r="AN1705" s="2">
        <v>4799.1836417130098</v>
      </c>
      <c r="AO1705" s="2">
        <v>1870.13453217506</v>
      </c>
      <c r="AP1705" s="2">
        <v>5824.4758200781198</v>
      </c>
      <c r="AQ1705" s="2">
        <v>3201.34306223873</v>
      </c>
      <c r="AR1705" s="2">
        <v>4301.9203909376602</v>
      </c>
      <c r="AS1705" s="2">
        <v>3986.88439621917</v>
      </c>
      <c r="AT1705" s="2">
        <v>1813.6920586454501</v>
      </c>
      <c r="AU1705" s="2">
        <v>1105.24408064422</v>
      </c>
      <c r="AV1705" s="2">
        <v>8.559877937157E-6</v>
      </c>
      <c r="AW1705" s="2">
        <v>249.67800697295701</v>
      </c>
      <c r="AX1705" s="2">
        <v>2647.4656093477001</v>
      </c>
    </row>
    <row r="1706" spans="1:50" x14ac:dyDescent="0.25">
      <c r="A1706" s="2" t="s">
        <v>11631</v>
      </c>
      <c r="B1706" s="2">
        <v>547.09430423647802</v>
      </c>
      <c r="C1706" s="2">
        <v>6.9221166666666702</v>
      </c>
      <c r="D1706" s="2" t="s">
        <v>51</v>
      </c>
      <c r="E1706" s="2" t="s">
        <v>11632</v>
      </c>
      <c r="F1706" s="2">
        <v>81998</v>
      </c>
      <c r="G1706" s="3" t="str">
        <f>HYPERLINK("https://cloud.oebiotech.com/#/lm/network/81998", "https://cloud.oebiotech.com/#/lm/network/81998")</f>
        <v>https://cloud.oebiotech.com/#/lm/network/81998</v>
      </c>
      <c r="H1706" s="2" t="s">
        <v>11633</v>
      </c>
      <c r="I1706" s="2"/>
      <c r="J1706" s="2"/>
      <c r="K1706" s="2">
        <v>124202081</v>
      </c>
      <c r="L1706" s="2"/>
      <c r="M1706" s="2"/>
      <c r="N1706" s="2"/>
      <c r="O1706" s="2">
        <v>88703</v>
      </c>
      <c r="P1706" s="2"/>
      <c r="Q1706" s="2"/>
      <c r="R1706" s="2"/>
      <c r="S1706" s="2" t="s">
        <v>11634</v>
      </c>
      <c r="T1706" s="2" t="s">
        <v>11635</v>
      </c>
      <c r="U1706" s="2" t="s">
        <v>610</v>
      </c>
      <c r="V1706" s="2" t="s">
        <v>611</v>
      </c>
      <c r="W1706" s="2" t="s">
        <v>240</v>
      </c>
      <c r="X1706" s="2" t="s">
        <v>147</v>
      </c>
      <c r="Y1706" s="2">
        <v>36.700000000000003</v>
      </c>
      <c r="Z1706" s="2">
        <v>0</v>
      </c>
      <c r="AA1706" s="2" t="s">
        <v>478</v>
      </c>
      <c r="AB1706" s="2" t="s">
        <v>11636</v>
      </c>
      <c r="AC1706" s="2">
        <v>-1.1634037965219</v>
      </c>
      <c r="AD1706" s="2"/>
      <c r="AE1706" s="2">
        <v>0.38056250658808499</v>
      </c>
      <c r="AF1706" s="2">
        <v>17004.412708044201</v>
      </c>
      <c r="AG1706" s="2">
        <v>24054.721619573502</v>
      </c>
      <c r="AH1706" s="4">
        <v>0.706905404143511</v>
      </c>
      <c r="AI1706" s="4">
        <v>-0.50041092384678998</v>
      </c>
      <c r="AJ1706" s="4" t="s">
        <v>62</v>
      </c>
      <c r="AK1706" s="2">
        <v>0.14559012719595199</v>
      </c>
      <c r="AL1706" s="2">
        <v>0.46813495501649</v>
      </c>
      <c r="AM1706" s="2">
        <v>17222.154742250801</v>
      </c>
      <c r="AN1706" s="2">
        <v>15836.205886662499</v>
      </c>
      <c r="AO1706" s="2">
        <v>26296.5091891103</v>
      </c>
      <c r="AP1706" s="2">
        <v>1406.02510147608</v>
      </c>
      <c r="AQ1706" s="2">
        <v>21291.715654482101</v>
      </c>
      <c r="AR1706" s="2">
        <v>19973.865674283701</v>
      </c>
      <c r="AS1706" s="2">
        <v>31965.9870149692</v>
      </c>
      <c r="AT1706" s="2">
        <v>28495.387986963498</v>
      </c>
      <c r="AU1706" s="2">
        <v>17121.9604960701</v>
      </c>
      <c r="AV1706" s="2">
        <v>23168.404135158598</v>
      </c>
      <c r="AW1706" s="2">
        <v>28823.287808468602</v>
      </c>
      <c r="AX1706" s="2">
        <v>14753.302275811</v>
      </c>
    </row>
    <row r="1707" spans="1:50" x14ac:dyDescent="0.25">
      <c r="A1707" s="2" t="s">
        <v>11637</v>
      </c>
      <c r="B1707" s="2">
        <v>213.11273472194199</v>
      </c>
      <c r="C1707" s="2">
        <v>7.2863499999999997</v>
      </c>
      <c r="D1707" s="2" t="s">
        <v>51</v>
      </c>
      <c r="E1707" s="2" t="s">
        <v>11638</v>
      </c>
      <c r="F1707" s="2">
        <v>2940</v>
      </c>
      <c r="G1707" s="3" t="str">
        <f>HYPERLINK("https://cloud.oebiotech.com/#/lm/network/2940", "https://cloud.oebiotech.com/#/lm/network/2940")</f>
        <v>https://cloud.oebiotech.com/#/lm/network/2940</v>
      </c>
      <c r="H1707" s="2"/>
      <c r="I1707" s="2"/>
      <c r="J1707" s="2" t="s">
        <v>11639</v>
      </c>
      <c r="K1707" s="2">
        <v>145721313</v>
      </c>
      <c r="L1707" s="2"/>
      <c r="M1707" s="2"/>
      <c r="N1707" s="2"/>
      <c r="O1707" s="2"/>
      <c r="P1707" s="2"/>
      <c r="Q1707" s="2"/>
      <c r="R1707" s="2"/>
      <c r="S1707" s="2" t="s">
        <v>11640</v>
      </c>
      <c r="T1707" s="2" t="s">
        <v>11641</v>
      </c>
      <c r="U1707" s="2" t="s">
        <v>56</v>
      </c>
      <c r="V1707" s="2" t="s">
        <v>145</v>
      </c>
      <c r="W1707" s="2" t="s">
        <v>231</v>
      </c>
      <c r="X1707" s="2" t="s">
        <v>83</v>
      </c>
      <c r="Y1707" s="2">
        <v>40.700000000000003</v>
      </c>
      <c r="Z1707" s="2">
        <v>2.0199999999999999E-2</v>
      </c>
      <c r="AA1707" s="2" t="s">
        <v>163</v>
      </c>
      <c r="AB1707" s="2" t="s">
        <v>8309</v>
      </c>
      <c r="AC1707" s="2">
        <v>-2.3253333361069699</v>
      </c>
      <c r="AD1707" s="2"/>
      <c r="AE1707" s="2">
        <v>0.38006752606635502</v>
      </c>
      <c r="AF1707" s="2">
        <v>10210.3139672908</v>
      </c>
      <c r="AG1707" s="2">
        <v>5996.55196868043</v>
      </c>
      <c r="AH1707" s="5">
        <v>1.70269748692558</v>
      </c>
      <c r="AI1707" s="5">
        <v>0.767822138551429</v>
      </c>
      <c r="AJ1707" s="5" t="s">
        <v>139</v>
      </c>
      <c r="AK1707" s="2">
        <v>2.7673304710591099E-2</v>
      </c>
      <c r="AL1707" s="2">
        <v>0.25505404741882998</v>
      </c>
      <c r="AM1707" s="2">
        <v>8124.3532817781297</v>
      </c>
      <c r="AN1707" s="2">
        <v>17140.3765514601</v>
      </c>
      <c r="AO1707" s="2">
        <v>6941.1462276603497</v>
      </c>
      <c r="AP1707" s="2">
        <v>8654.2743521705506</v>
      </c>
      <c r="AQ1707" s="2">
        <v>9835.5713907132194</v>
      </c>
      <c r="AR1707" s="2">
        <v>10566.1619999623</v>
      </c>
      <c r="AS1707" s="2">
        <v>7981.2794538254602</v>
      </c>
      <c r="AT1707" s="2">
        <v>4158.6952049926804</v>
      </c>
      <c r="AU1707" s="2">
        <v>6252.7861534140702</v>
      </c>
      <c r="AV1707" s="2">
        <v>3779.0351215333299</v>
      </c>
      <c r="AW1707" s="2">
        <v>6327.5444299948003</v>
      </c>
      <c r="AX1707" s="2">
        <v>7479.9714483222197</v>
      </c>
    </row>
    <row r="1708" spans="1:50" x14ac:dyDescent="0.25">
      <c r="A1708" s="2" t="s">
        <v>11642</v>
      </c>
      <c r="B1708" s="2">
        <v>494.36151172238402</v>
      </c>
      <c r="C1708" s="2">
        <v>11.1675166666667</v>
      </c>
      <c r="D1708" s="2" t="s">
        <v>51</v>
      </c>
      <c r="E1708" s="2" t="s">
        <v>11643</v>
      </c>
      <c r="F1708" s="2">
        <v>197462</v>
      </c>
      <c r="G1708" s="3" t="str">
        <f>HYPERLINK("https://cloud.oebiotech.com/#/lm/network/197462", "https://cloud.oebiotech.com/#/lm/network/197462")</f>
        <v>https://cloud.oebiotech.com/#/lm/network/197462</v>
      </c>
      <c r="H1708" s="2" t="s">
        <v>11644</v>
      </c>
      <c r="I1708" s="2"/>
      <c r="J1708" s="2"/>
      <c r="K1708" s="2"/>
      <c r="L1708" s="2"/>
      <c r="M1708" s="2"/>
      <c r="N1708" s="2"/>
      <c r="O1708" s="2"/>
      <c r="P1708" s="2"/>
      <c r="Q1708" s="2"/>
      <c r="R1708" s="2"/>
      <c r="S1708" s="2" t="s">
        <v>11645</v>
      </c>
      <c r="T1708" s="2" t="s">
        <v>11646</v>
      </c>
      <c r="U1708" s="2" t="s">
        <v>56</v>
      </c>
      <c r="V1708" s="2" t="s">
        <v>145</v>
      </c>
      <c r="W1708" s="2" t="s">
        <v>1188</v>
      </c>
      <c r="X1708" s="2" t="s">
        <v>83</v>
      </c>
      <c r="Y1708" s="2">
        <v>52.9</v>
      </c>
      <c r="Z1708" s="2">
        <v>0</v>
      </c>
      <c r="AA1708" s="2" t="s">
        <v>395</v>
      </c>
      <c r="AB1708" s="2" t="s">
        <v>5710</v>
      </c>
      <c r="AC1708" s="2">
        <v>1.9641296092782701</v>
      </c>
      <c r="AD1708" s="2"/>
      <c r="AE1708" s="2">
        <v>0.379980686689249</v>
      </c>
      <c r="AF1708" s="2">
        <v>9357.5919825156307</v>
      </c>
      <c r="AG1708" s="2">
        <v>4806.6960935570396</v>
      </c>
      <c r="AH1708" s="5">
        <v>1.9467825301164099</v>
      </c>
      <c r="AI1708" s="5">
        <v>0.96109173344412002</v>
      </c>
      <c r="AJ1708" s="5" t="s">
        <v>139</v>
      </c>
      <c r="AK1708" s="2">
        <v>0.286159552453154</v>
      </c>
      <c r="AL1708" s="2">
        <v>0.60106092987307402</v>
      </c>
      <c r="AM1708" s="2">
        <v>21515.378829723599</v>
      </c>
      <c r="AN1708" s="2">
        <v>12661.977923218799</v>
      </c>
      <c r="AO1708" s="2">
        <v>972.58421363147897</v>
      </c>
      <c r="AP1708" s="2">
        <v>1040.9743796820901</v>
      </c>
      <c r="AQ1708" s="2">
        <v>2458.2847459223299</v>
      </c>
      <c r="AR1708" s="2">
        <v>17496.351802915498</v>
      </c>
      <c r="AS1708" s="2">
        <v>5943.7969952081003</v>
      </c>
      <c r="AT1708" s="2">
        <v>812.10608543888304</v>
      </c>
      <c r="AU1708" s="2">
        <v>11640.136975261301</v>
      </c>
      <c r="AV1708" s="2">
        <v>1209.4494182113799</v>
      </c>
      <c r="AW1708" s="2">
        <v>4174.3681033326602</v>
      </c>
      <c r="AX1708" s="2">
        <v>5060.3189838899098</v>
      </c>
    </row>
    <row r="1709" spans="1:50" x14ac:dyDescent="0.25">
      <c r="A1709" s="2" t="s">
        <v>11647</v>
      </c>
      <c r="B1709" s="2">
        <v>526.41262045793997</v>
      </c>
      <c r="C1709" s="2">
        <v>13.831099999999999</v>
      </c>
      <c r="D1709" s="2" t="s">
        <v>51</v>
      </c>
      <c r="E1709" s="2" t="s">
        <v>11648</v>
      </c>
      <c r="F1709" s="2">
        <v>44044</v>
      </c>
      <c r="G1709" s="3" t="str">
        <f>HYPERLINK("https://cloud.oebiotech.com/#/lm/network/44044", "https://cloud.oebiotech.com/#/lm/network/44044")</f>
        <v>https://cloud.oebiotech.com/#/lm/network/44044</v>
      </c>
      <c r="H1709" s="2"/>
      <c r="I1709" s="2">
        <v>84015</v>
      </c>
      <c r="J1709" s="2" t="s">
        <v>11649</v>
      </c>
      <c r="K1709" s="2">
        <v>126048</v>
      </c>
      <c r="L1709" s="2"/>
      <c r="M1709" s="2"/>
      <c r="N1709" s="2"/>
      <c r="O1709" s="2"/>
      <c r="P1709" s="2"/>
      <c r="Q1709" s="2"/>
      <c r="R1709" s="2"/>
      <c r="S1709" s="2" t="s">
        <v>11650</v>
      </c>
      <c r="T1709" s="2" t="s">
        <v>11651</v>
      </c>
      <c r="U1709" s="2" t="s">
        <v>56</v>
      </c>
      <c r="V1709" s="2" t="s">
        <v>283</v>
      </c>
      <c r="W1709" s="2" t="s">
        <v>2042</v>
      </c>
      <c r="X1709" s="2" t="s">
        <v>147</v>
      </c>
      <c r="Y1709" s="2">
        <v>36.5</v>
      </c>
      <c r="Z1709" s="2">
        <v>0</v>
      </c>
      <c r="AA1709" s="2" t="s">
        <v>526</v>
      </c>
      <c r="AB1709" s="2" t="s">
        <v>11652</v>
      </c>
      <c r="AC1709" s="2">
        <v>4.7318148326649796</v>
      </c>
      <c r="AD1709" s="2"/>
      <c r="AE1709" s="2">
        <v>0.37955690824549199</v>
      </c>
      <c r="AF1709" s="2">
        <v>10091.4785090158</v>
      </c>
      <c r="AG1709" s="2">
        <v>18336.359217539099</v>
      </c>
      <c r="AH1709" s="4">
        <v>0.55035344744790604</v>
      </c>
      <c r="AI1709" s="4">
        <v>-0.86156965242081596</v>
      </c>
      <c r="AJ1709" s="4" t="s">
        <v>62</v>
      </c>
      <c r="AK1709" s="2">
        <v>0.218618974952907</v>
      </c>
      <c r="AL1709" s="2">
        <v>0.54450920287049798</v>
      </c>
      <c r="AM1709" s="2">
        <v>12305.872222316601</v>
      </c>
      <c r="AN1709" s="2">
        <v>20680.951737742002</v>
      </c>
      <c r="AO1709" s="2">
        <v>9889.0790534627704</v>
      </c>
      <c r="AP1709" s="2">
        <v>8115.6624747084197</v>
      </c>
      <c r="AQ1709" s="2">
        <v>4888.0598961072601</v>
      </c>
      <c r="AR1709" s="2">
        <v>4669.24566975783</v>
      </c>
      <c r="AS1709" s="2">
        <v>500.73090670009998</v>
      </c>
      <c r="AT1709" s="2">
        <v>3828.0312753994699</v>
      </c>
      <c r="AU1709" s="2">
        <v>35496.3675481635</v>
      </c>
      <c r="AV1709" s="2">
        <v>29035.1454604922</v>
      </c>
      <c r="AW1709" s="2">
        <v>25985.7872288984</v>
      </c>
      <c r="AX1709" s="2">
        <v>15172.0928855808</v>
      </c>
    </row>
    <row r="1710" spans="1:50" x14ac:dyDescent="0.25">
      <c r="A1710" s="2" t="s">
        <v>11653</v>
      </c>
      <c r="B1710" s="2">
        <v>205.029484959868</v>
      </c>
      <c r="C1710" s="2">
        <v>0.82335000000000003</v>
      </c>
      <c r="D1710" s="2" t="s">
        <v>51</v>
      </c>
      <c r="E1710" s="2" t="s">
        <v>11654</v>
      </c>
      <c r="F1710" s="2">
        <v>211469</v>
      </c>
      <c r="G1710" s="3" t="str">
        <f>HYPERLINK("https://cloud.oebiotech.com/#/lm/network/211469", "https://cloud.oebiotech.com/#/lm/network/211469")</f>
        <v>https://cloud.oebiotech.com/#/lm/network/211469</v>
      </c>
      <c r="H1710" s="2" t="s">
        <v>11655</v>
      </c>
      <c r="I1710" s="2"/>
      <c r="J1710" s="2"/>
      <c r="K1710" s="2">
        <v>135980021</v>
      </c>
      <c r="L1710" s="2"/>
      <c r="M1710" s="2"/>
      <c r="N1710" s="2"/>
      <c r="O1710" s="2"/>
      <c r="P1710" s="2"/>
      <c r="Q1710" s="2"/>
      <c r="R1710" s="2"/>
      <c r="S1710" s="2" t="s">
        <v>11656</v>
      </c>
      <c r="T1710" s="2" t="s">
        <v>11657</v>
      </c>
      <c r="U1710" s="2" t="s">
        <v>610</v>
      </c>
      <c r="V1710" s="2" t="s">
        <v>895</v>
      </c>
      <c r="W1710" s="2" t="s">
        <v>6882</v>
      </c>
      <c r="X1710" s="2" t="s">
        <v>147</v>
      </c>
      <c r="Y1710" s="2">
        <v>40.799999999999997</v>
      </c>
      <c r="Z1710" s="2">
        <v>14.4</v>
      </c>
      <c r="AA1710" s="2" t="s">
        <v>786</v>
      </c>
      <c r="AB1710" s="2" t="s">
        <v>11658</v>
      </c>
      <c r="AC1710" s="2">
        <v>0.62469761345666996</v>
      </c>
      <c r="AD1710" s="2"/>
      <c r="AE1710" s="2">
        <v>0.37932337791648801</v>
      </c>
      <c r="AF1710" s="2">
        <v>109319.160649689</v>
      </c>
      <c r="AG1710" s="2">
        <v>102124.90295935101</v>
      </c>
      <c r="AH1710" s="5">
        <v>1.07044567467742</v>
      </c>
      <c r="AI1710" s="5">
        <v>9.8211580532186496E-2</v>
      </c>
      <c r="AJ1710" s="5" t="s">
        <v>139</v>
      </c>
      <c r="AK1710" s="2">
        <v>0.637227961635916</v>
      </c>
      <c r="AL1710" s="2">
        <v>0.82243965396357199</v>
      </c>
      <c r="AM1710" s="2">
        <v>141068.562427511</v>
      </c>
      <c r="AN1710" s="2">
        <v>108847.12853771</v>
      </c>
      <c r="AO1710" s="2">
        <v>102479.60354003499</v>
      </c>
      <c r="AP1710" s="2">
        <v>142698.14705329301</v>
      </c>
      <c r="AQ1710" s="2">
        <v>96120.092517007797</v>
      </c>
      <c r="AR1710" s="2">
        <v>64701.429822575003</v>
      </c>
      <c r="AS1710" s="2">
        <v>84579.857182323802</v>
      </c>
      <c r="AT1710" s="2">
        <v>125766.184406145</v>
      </c>
      <c r="AU1710" s="2">
        <v>108298.913153409</v>
      </c>
      <c r="AV1710" s="2">
        <v>80671.438058575601</v>
      </c>
      <c r="AW1710" s="2">
        <v>127014.945526932</v>
      </c>
      <c r="AX1710" s="2">
        <v>86418.079428721598</v>
      </c>
    </row>
    <row r="1711" spans="1:50" x14ac:dyDescent="0.25">
      <c r="A1711" s="2" t="s">
        <v>11659</v>
      </c>
      <c r="B1711" s="2">
        <v>270.97844492303199</v>
      </c>
      <c r="C1711" s="2">
        <v>0.63544999999999996</v>
      </c>
      <c r="D1711" s="2" t="s">
        <v>51</v>
      </c>
      <c r="E1711" s="2" t="s">
        <v>11660</v>
      </c>
      <c r="F1711" s="2">
        <v>206179</v>
      </c>
      <c r="G1711" s="3" t="str">
        <f>HYPERLINK("https://cloud.oebiotech.com/#/lm/network/206179", "https://cloud.oebiotech.com/#/lm/network/206179")</f>
        <v>https://cloud.oebiotech.com/#/lm/network/206179</v>
      </c>
      <c r="H1711" s="2" t="s">
        <v>11661</v>
      </c>
      <c r="I1711" s="2">
        <v>315562</v>
      </c>
      <c r="J1711" s="2"/>
      <c r="K1711" s="2">
        <v>12675</v>
      </c>
      <c r="L1711" s="2"/>
      <c r="M1711" s="2"/>
      <c r="N1711" s="2"/>
      <c r="O1711" s="2">
        <v>39428</v>
      </c>
      <c r="P1711" s="2"/>
      <c r="Q1711" s="2"/>
      <c r="R1711" s="2"/>
      <c r="S1711" s="2" t="s">
        <v>11662</v>
      </c>
      <c r="T1711" s="2" t="s">
        <v>11663</v>
      </c>
      <c r="U1711" s="2" t="s">
        <v>1357</v>
      </c>
      <c r="V1711" s="2" t="s">
        <v>11149</v>
      </c>
      <c r="W1711" s="2" t="s">
        <v>240</v>
      </c>
      <c r="X1711" s="2" t="s">
        <v>147</v>
      </c>
      <c r="Y1711" s="2">
        <v>39</v>
      </c>
      <c r="Z1711" s="2">
        <v>0</v>
      </c>
      <c r="AA1711" s="2" t="s">
        <v>156</v>
      </c>
      <c r="AB1711" s="2" t="s">
        <v>11664</v>
      </c>
      <c r="AC1711" s="2">
        <v>3.1062241369178598</v>
      </c>
      <c r="AD1711" s="2"/>
      <c r="AE1711" s="2">
        <v>0.37917654767130998</v>
      </c>
      <c r="AF1711" s="2">
        <v>39564.315996751699</v>
      </c>
      <c r="AG1711" s="2">
        <v>45607.985610598596</v>
      </c>
      <c r="AH1711" s="4">
        <v>0.867486591812062</v>
      </c>
      <c r="AI1711" s="4">
        <v>-0.205086635842848</v>
      </c>
      <c r="AJ1711" s="4" t="s">
        <v>62</v>
      </c>
      <c r="AK1711" s="2">
        <v>0.28647440530012502</v>
      </c>
      <c r="AL1711" s="2">
        <v>0.60106092987307402</v>
      </c>
      <c r="AM1711" s="2">
        <v>28915.645186229001</v>
      </c>
      <c r="AN1711" s="2">
        <v>60502.824091228103</v>
      </c>
      <c r="AO1711" s="2">
        <v>40126.5257849669</v>
      </c>
      <c r="AP1711" s="2">
        <v>36765.363354194902</v>
      </c>
      <c r="AQ1711" s="2">
        <v>39168.073540577599</v>
      </c>
      <c r="AR1711" s="2">
        <v>31907.464023314002</v>
      </c>
      <c r="AS1711" s="2">
        <v>50181.316686917002</v>
      </c>
      <c r="AT1711" s="2">
        <v>44609.399039009302</v>
      </c>
      <c r="AU1711" s="2">
        <v>31885.9976693116</v>
      </c>
      <c r="AV1711" s="2">
        <v>49501.705173683797</v>
      </c>
      <c r="AW1711" s="2">
        <v>49300.105352715698</v>
      </c>
      <c r="AX1711" s="2">
        <v>48169.389741954197</v>
      </c>
    </row>
    <row r="1712" spans="1:50" x14ac:dyDescent="0.25">
      <c r="A1712" s="2" t="s">
        <v>11665</v>
      </c>
      <c r="B1712" s="2">
        <v>130.07089999999999</v>
      </c>
      <c r="C1712" s="2">
        <v>10.234</v>
      </c>
      <c r="D1712" s="2" t="s">
        <v>125</v>
      </c>
      <c r="E1712" s="2" t="s">
        <v>11666</v>
      </c>
      <c r="F1712" s="2">
        <v>200426</v>
      </c>
      <c r="G1712" s="3" t="str">
        <f>HYPERLINK("https://cloud.oebiotech.com/#/lm/network/200426", "https://cloud.oebiotech.com/#/lm/network/200426")</f>
        <v>https://cloud.oebiotech.com/#/lm/network/200426</v>
      </c>
      <c r="H1712" s="2" t="s">
        <v>11667</v>
      </c>
      <c r="I1712" s="2">
        <v>44701</v>
      </c>
      <c r="J1712" s="2"/>
      <c r="K1712" s="2">
        <v>1531</v>
      </c>
      <c r="L1712" s="2" t="s">
        <v>11668</v>
      </c>
      <c r="M1712" s="2"/>
      <c r="N1712" s="2"/>
      <c r="O1712" s="2">
        <v>991</v>
      </c>
      <c r="P1712" s="2"/>
      <c r="Q1712" s="2"/>
      <c r="R1712" s="2" t="s">
        <v>11669</v>
      </c>
      <c r="S1712" s="2" t="s">
        <v>11670</v>
      </c>
      <c r="T1712" s="2" t="s">
        <v>11671</v>
      </c>
      <c r="U1712" s="2" t="s">
        <v>119</v>
      </c>
      <c r="V1712" s="2" t="s">
        <v>120</v>
      </c>
      <c r="W1712" s="2" t="s">
        <v>1887</v>
      </c>
      <c r="X1712" s="2" t="s">
        <v>59</v>
      </c>
      <c r="Y1712" s="2">
        <v>73.8</v>
      </c>
      <c r="Z1712" s="2">
        <v>57.5</v>
      </c>
      <c r="AA1712" s="2"/>
      <c r="AB1712" s="2" t="s">
        <v>11672</v>
      </c>
      <c r="AC1712" s="2"/>
      <c r="AD1712" s="2">
        <v>346005.10385756701</v>
      </c>
      <c r="AE1712" s="2">
        <v>0.37913076310587102</v>
      </c>
      <c r="AF1712" s="2">
        <v>168688.52764202299</v>
      </c>
      <c r="AG1712" s="2">
        <v>268378.16647010797</v>
      </c>
      <c r="AH1712" s="4">
        <v>0.628547880256911</v>
      </c>
      <c r="AI1712" s="4">
        <v>-0.66990544733283597</v>
      </c>
      <c r="AJ1712" s="4" t="s">
        <v>62</v>
      </c>
      <c r="AK1712" s="2">
        <v>0.37027979547045498</v>
      </c>
      <c r="AL1712" s="2">
        <v>0.65343886725755396</v>
      </c>
      <c r="AM1712" s="2">
        <v>33749.526020584199</v>
      </c>
      <c r="AN1712" s="2">
        <v>67157.519992553396</v>
      </c>
      <c r="AO1712" s="2">
        <v>112455.541671495</v>
      </c>
      <c r="AP1712" s="2">
        <v>366232.72925901302</v>
      </c>
      <c r="AQ1712" s="2">
        <v>380825.47962414898</v>
      </c>
      <c r="AR1712" s="2">
        <v>51710.369284341599</v>
      </c>
      <c r="AS1712" s="2">
        <v>210470.20382086199</v>
      </c>
      <c r="AT1712" s="2">
        <v>497719.22519261099</v>
      </c>
      <c r="AU1712" s="2">
        <v>33382.441721921998</v>
      </c>
      <c r="AV1712" s="2">
        <v>53966.552168820999</v>
      </c>
      <c r="AW1712" s="2">
        <v>324938.20886213297</v>
      </c>
      <c r="AX1712" s="2">
        <v>489792.36705429899</v>
      </c>
    </row>
    <row r="1713" spans="1:50" x14ac:dyDescent="0.25">
      <c r="A1713" s="2" t="s">
        <v>11673</v>
      </c>
      <c r="B1713" s="2">
        <v>355.16250659176899</v>
      </c>
      <c r="C1713" s="2">
        <v>3.78085</v>
      </c>
      <c r="D1713" s="2" t="s">
        <v>51</v>
      </c>
      <c r="E1713" s="2" t="s">
        <v>11674</v>
      </c>
      <c r="F1713" s="2">
        <v>57970</v>
      </c>
      <c r="G1713" s="3" t="str">
        <f>HYPERLINK("https://cloud.oebiotech.com/#/lm/network/57970", "https://cloud.oebiotech.com/#/lm/network/57970")</f>
        <v>https://cloud.oebiotech.com/#/lm/network/57970</v>
      </c>
      <c r="H1713" s="2" t="s">
        <v>11675</v>
      </c>
      <c r="I1713" s="2"/>
      <c r="J1713" s="2"/>
      <c r="K1713" s="2">
        <v>444792</v>
      </c>
      <c r="L1713" s="2"/>
      <c r="M1713" s="2"/>
      <c r="N1713" s="2"/>
      <c r="O1713" s="2"/>
      <c r="P1713" s="2"/>
      <c r="Q1713" s="2"/>
      <c r="R1713" s="2" t="s">
        <v>11676</v>
      </c>
      <c r="S1713" s="2" t="s">
        <v>11677</v>
      </c>
      <c r="T1713" s="2" t="s">
        <v>11678</v>
      </c>
      <c r="U1713" s="2" t="s">
        <v>331</v>
      </c>
      <c r="V1713" s="2" t="s">
        <v>332</v>
      </c>
      <c r="W1713" s="2" t="s">
        <v>333</v>
      </c>
      <c r="X1713" s="2" t="s">
        <v>147</v>
      </c>
      <c r="Y1713" s="2">
        <v>40.799999999999997</v>
      </c>
      <c r="Z1713" s="2">
        <v>12.8</v>
      </c>
      <c r="AA1713" s="2" t="s">
        <v>478</v>
      </c>
      <c r="AB1713" s="2" t="s">
        <v>11679</v>
      </c>
      <c r="AC1713" s="2">
        <v>4.3123726537159204</v>
      </c>
      <c r="AD1713" s="2"/>
      <c r="AE1713" s="2">
        <v>0.37773327924973599</v>
      </c>
      <c r="AF1713" s="2">
        <v>7064.2025092194299</v>
      </c>
      <c r="AG1713" s="2">
        <v>3557.1186942215199</v>
      </c>
      <c r="AH1713" s="5">
        <v>1.98593387414795</v>
      </c>
      <c r="AI1713" s="5">
        <v>0.98981758609535098</v>
      </c>
      <c r="AJ1713" s="5" t="s">
        <v>139</v>
      </c>
      <c r="AK1713" s="2">
        <v>3.9643073097694298E-2</v>
      </c>
      <c r="AL1713" s="2">
        <v>0.29135565991996598</v>
      </c>
      <c r="AM1713" s="2">
        <v>8368.8188193138903</v>
      </c>
      <c r="AN1713" s="2">
        <v>7133.03078415235</v>
      </c>
      <c r="AO1713" s="2">
        <v>9842.3523314087306</v>
      </c>
      <c r="AP1713" s="2">
        <v>2535.9989049328901</v>
      </c>
      <c r="AQ1713" s="2">
        <v>5925.2673313257801</v>
      </c>
      <c r="AR1713" s="2">
        <v>8579.7468841829104</v>
      </c>
      <c r="AS1713" s="2">
        <v>8.559877937157E-6</v>
      </c>
      <c r="AT1713" s="2">
        <v>880.31855157822895</v>
      </c>
      <c r="AU1713" s="2">
        <v>6557.2090066794099</v>
      </c>
      <c r="AV1713" s="2">
        <v>4874.3065290131399</v>
      </c>
      <c r="AW1713" s="2">
        <v>4716.2682939616598</v>
      </c>
      <c r="AX1713" s="2">
        <v>4314.6097755368</v>
      </c>
    </row>
    <row r="1714" spans="1:50" x14ac:dyDescent="0.25">
      <c r="A1714" s="2" t="s">
        <v>11680</v>
      </c>
      <c r="B1714" s="2">
        <v>346.02626901713398</v>
      </c>
      <c r="C1714" s="2">
        <v>2.0634666666666699</v>
      </c>
      <c r="D1714" s="2" t="s">
        <v>51</v>
      </c>
      <c r="E1714" s="2" t="s">
        <v>11681</v>
      </c>
      <c r="F1714" s="2">
        <v>254954</v>
      </c>
      <c r="G1714" s="3" t="str">
        <f>HYPERLINK("https://cloud.oebiotech.com/#/lm/network/254954", "https://cloud.oebiotech.com/#/lm/network/254954")</f>
        <v>https://cloud.oebiotech.com/#/lm/network/254954</v>
      </c>
      <c r="H1714" s="2" t="s">
        <v>11682</v>
      </c>
      <c r="I1714" s="2"/>
      <c r="J1714" s="2"/>
      <c r="K1714" s="2"/>
      <c r="L1714" s="2"/>
      <c r="M1714" s="2"/>
      <c r="N1714" s="2"/>
      <c r="O1714" s="2"/>
      <c r="P1714" s="2"/>
      <c r="Q1714" s="2"/>
      <c r="R1714" s="2"/>
      <c r="S1714" s="2" t="s">
        <v>11683</v>
      </c>
      <c r="T1714" s="2" t="s">
        <v>11684</v>
      </c>
      <c r="U1714" s="2" t="s">
        <v>331</v>
      </c>
      <c r="V1714" s="2" t="s">
        <v>332</v>
      </c>
      <c r="W1714" s="2" t="s">
        <v>333</v>
      </c>
      <c r="X1714" s="2" t="s">
        <v>147</v>
      </c>
      <c r="Y1714" s="2">
        <v>36.700000000000003</v>
      </c>
      <c r="Z1714" s="2">
        <v>0.44400000000000001</v>
      </c>
      <c r="AA1714" s="2" t="s">
        <v>156</v>
      </c>
      <c r="AB1714" s="2" t="s">
        <v>11685</v>
      </c>
      <c r="AC1714" s="2">
        <v>0.466963692999043</v>
      </c>
      <c r="AD1714" s="2"/>
      <c r="AE1714" s="2">
        <v>0.37731237217193803</v>
      </c>
      <c r="AF1714" s="2">
        <v>19047.725465507301</v>
      </c>
      <c r="AG1714" s="2">
        <v>23907.132920772401</v>
      </c>
      <c r="AH1714" s="4">
        <v>0.79673817553242299</v>
      </c>
      <c r="AI1714" s="4">
        <v>-0.327822391900641</v>
      </c>
      <c r="AJ1714" s="4" t="s">
        <v>62</v>
      </c>
      <c r="AK1714" s="2">
        <v>6.2040416664046402E-2</v>
      </c>
      <c r="AL1714" s="2">
        <v>0.33514216909343297</v>
      </c>
      <c r="AM1714" s="2">
        <v>17545.593089757502</v>
      </c>
      <c r="AN1714" s="2">
        <v>21416.3206826975</v>
      </c>
      <c r="AO1714" s="2">
        <v>16812.3757263808</v>
      </c>
      <c r="AP1714" s="2">
        <v>21787.459078434698</v>
      </c>
      <c r="AQ1714" s="2">
        <v>21434.7715866127</v>
      </c>
      <c r="AR1714" s="2">
        <v>15289.832629160899</v>
      </c>
      <c r="AS1714" s="2">
        <v>21925.917449336001</v>
      </c>
      <c r="AT1714" s="2">
        <v>24104.1134075886</v>
      </c>
      <c r="AU1714" s="2">
        <v>26926.4079378963</v>
      </c>
      <c r="AV1714" s="2">
        <v>16089.325317622999</v>
      </c>
      <c r="AW1714" s="2">
        <v>23696.3400156028</v>
      </c>
      <c r="AX1714" s="2">
        <v>30700.6933965879</v>
      </c>
    </row>
    <row r="1715" spans="1:50" x14ac:dyDescent="0.25">
      <c r="A1715" s="2" t="s">
        <v>11686</v>
      </c>
      <c r="B1715" s="2">
        <v>338.22</v>
      </c>
      <c r="C1715" s="2">
        <v>25.35</v>
      </c>
      <c r="D1715" s="2" t="s">
        <v>125</v>
      </c>
      <c r="E1715" s="2" t="s">
        <v>11687</v>
      </c>
      <c r="F1715" s="2">
        <v>44854</v>
      </c>
      <c r="G1715" s="3" t="str">
        <f>HYPERLINK("https://cloud.oebiotech.com/#/lm/network/44854", "https://cloud.oebiotech.com/#/lm/network/44854")</f>
        <v>https://cloud.oebiotech.com/#/lm/network/44854</v>
      </c>
      <c r="H1715" s="2"/>
      <c r="I1715" s="2">
        <v>41816</v>
      </c>
      <c r="J1715" s="2" t="s">
        <v>11688</v>
      </c>
      <c r="K1715" s="2">
        <v>444865</v>
      </c>
      <c r="L1715" s="2" t="s">
        <v>11689</v>
      </c>
      <c r="M1715" s="2"/>
      <c r="N1715" s="2"/>
      <c r="O1715" s="2"/>
      <c r="P1715" s="2"/>
      <c r="Q1715" s="2"/>
      <c r="R1715" s="2"/>
      <c r="S1715" s="2" t="s">
        <v>11690</v>
      </c>
      <c r="T1715" s="2" t="s">
        <v>11691</v>
      </c>
      <c r="U1715" s="2" t="s">
        <v>56</v>
      </c>
      <c r="V1715" s="2" t="s">
        <v>283</v>
      </c>
      <c r="W1715" s="2" t="s">
        <v>1944</v>
      </c>
      <c r="X1715" s="2" t="s">
        <v>59</v>
      </c>
      <c r="Y1715" s="2">
        <v>78.099999999999994</v>
      </c>
      <c r="Z1715" s="2">
        <v>64.8</v>
      </c>
      <c r="AA1715" s="2"/>
      <c r="AB1715" s="2" t="s">
        <v>11692</v>
      </c>
      <c r="AC1715" s="2"/>
      <c r="AD1715" s="2">
        <v>941116.62231320399</v>
      </c>
      <c r="AE1715" s="2">
        <v>0.37696614915777898</v>
      </c>
      <c r="AF1715" s="2">
        <v>6972.8115496137098</v>
      </c>
      <c r="AG1715" s="2">
        <v>51975.421477416297</v>
      </c>
      <c r="AH1715" s="4">
        <v>0.134155940469736</v>
      </c>
      <c r="AI1715" s="4">
        <v>-2.8980171558574801</v>
      </c>
      <c r="AJ1715" s="4" t="s">
        <v>62</v>
      </c>
      <c r="AK1715" s="2">
        <v>0.19910275213652201</v>
      </c>
      <c r="AL1715" s="2">
        <v>0.52280983610549903</v>
      </c>
      <c r="AM1715" s="2">
        <v>5716.9552787902503</v>
      </c>
      <c r="AN1715" s="2">
        <v>5423.3951275658001</v>
      </c>
      <c r="AO1715" s="2">
        <v>8227.2366907595897</v>
      </c>
      <c r="AP1715" s="2">
        <v>2299.8352172700202</v>
      </c>
      <c r="AQ1715" s="2">
        <v>2299.8352172700202</v>
      </c>
      <c r="AR1715" s="2">
        <v>17869.611766026599</v>
      </c>
      <c r="AS1715" s="2">
        <v>8236.30304093415</v>
      </c>
      <c r="AT1715" s="2">
        <v>7977.0675577551701</v>
      </c>
      <c r="AU1715" s="2">
        <v>36614.699011677098</v>
      </c>
      <c r="AV1715" s="2">
        <v>34326.3805429407</v>
      </c>
      <c r="AW1715" s="2">
        <v>213031.300122582</v>
      </c>
      <c r="AX1715" s="2">
        <v>11666.7785886084</v>
      </c>
    </row>
    <row r="1716" spans="1:50" x14ac:dyDescent="0.25">
      <c r="A1716" s="2" t="s">
        <v>11693</v>
      </c>
      <c r="B1716" s="2">
        <v>503.18809040926601</v>
      </c>
      <c r="C1716" s="2">
        <v>6.6032999999999999</v>
      </c>
      <c r="D1716" s="2" t="s">
        <v>51</v>
      </c>
      <c r="E1716" s="2" t="s">
        <v>11694</v>
      </c>
      <c r="F1716" s="2">
        <v>44764</v>
      </c>
      <c r="G1716" s="3" t="str">
        <f>HYPERLINK("https://cloud.oebiotech.com/#/lm/network/44764", "https://cloud.oebiotech.com/#/lm/network/44764")</f>
        <v>https://cloud.oebiotech.com/#/lm/network/44764</v>
      </c>
      <c r="H1716" s="2"/>
      <c r="I1716" s="2"/>
      <c r="J1716" s="2" t="s">
        <v>11695</v>
      </c>
      <c r="K1716" s="2">
        <v>49818075</v>
      </c>
      <c r="L1716" s="2"/>
      <c r="M1716" s="2"/>
      <c r="N1716" s="2"/>
      <c r="O1716" s="2"/>
      <c r="P1716" s="2"/>
      <c r="Q1716" s="2"/>
      <c r="R1716" s="2"/>
      <c r="S1716" s="2" t="s">
        <v>11696</v>
      </c>
      <c r="T1716" s="2" t="s">
        <v>11697</v>
      </c>
      <c r="U1716" s="2" t="s">
        <v>266</v>
      </c>
      <c r="V1716" s="2" t="s">
        <v>11698</v>
      </c>
      <c r="W1716" s="2" t="s">
        <v>11699</v>
      </c>
      <c r="X1716" s="2" t="s">
        <v>83</v>
      </c>
      <c r="Y1716" s="2">
        <v>56.6</v>
      </c>
      <c r="Z1716" s="2">
        <v>39.4</v>
      </c>
      <c r="AA1716" s="2" t="s">
        <v>218</v>
      </c>
      <c r="AB1716" s="2" t="s">
        <v>11700</v>
      </c>
      <c r="AC1716" s="2">
        <v>-9.1235998171422406</v>
      </c>
      <c r="AD1716" s="2"/>
      <c r="AE1716" s="2">
        <v>0.37673170561471497</v>
      </c>
      <c r="AF1716" s="2">
        <v>10846.844663116501</v>
      </c>
      <c r="AG1716" s="2">
        <v>6517.0519958229597</v>
      </c>
      <c r="AH1716" s="5">
        <v>1.66437902752175</v>
      </c>
      <c r="AI1716" s="5">
        <v>0.73498401452331397</v>
      </c>
      <c r="AJ1716" s="5" t="s">
        <v>139</v>
      </c>
      <c r="AK1716" s="2">
        <v>4.7454470477257503E-2</v>
      </c>
      <c r="AL1716" s="2">
        <v>0.30528532168455502</v>
      </c>
      <c r="AM1716" s="2">
        <v>10176.1639601918</v>
      </c>
      <c r="AN1716" s="2">
        <v>13965.7302010244</v>
      </c>
      <c r="AO1716" s="2">
        <v>11415.2820518267</v>
      </c>
      <c r="AP1716" s="2">
        <v>10358.6839358948</v>
      </c>
      <c r="AQ1716" s="2">
        <v>5731.0970471238898</v>
      </c>
      <c r="AR1716" s="2">
        <v>13434.110782637599</v>
      </c>
      <c r="AS1716" s="2">
        <v>12457.122203069999</v>
      </c>
      <c r="AT1716" s="2">
        <v>4913.2188473112301</v>
      </c>
      <c r="AU1716" s="2">
        <v>7217.1486290495104</v>
      </c>
      <c r="AV1716" s="2">
        <v>1449.2806574805099</v>
      </c>
      <c r="AW1716" s="2">
        <v>5396.1179968643401</v>
      </c>
      <c r="AX1716" s="2">
        <v>7669.4236411621896</v>
      </c>
    </row>
    <row r="1717" spans="1:50" x14ac:dyDescent="0.25">
      <c r="A1717" s="2" t="s">
        <v>11701</v>
      </c>
      <c r="B1717" s="2">
        <v>290.17205053170301</v>
      </c>
      <c r="C1717" s="2">
        <v>2.4916666666666698</v>
      </c>
      <c r="D1717" s="2" t="s">
        <v>51</v>
      </c>
      <c r="E1717" s="2" t="s">
        <v>11702</v>
      </c>
      <c r="F1717" s="2">
        <v>261198</v>
      </c>
      <c r="G1717" s="3" t="str">
        <f>HYPERLINK("https://cloud.oebiotech.com/#/lm/network/261198", "https://cloud.oebiotech.com/#/lm/network/261198")</f>
        <v>https://cloud.oebiotech.com/#/lm/network/261198</v>
      </c>
      <c r="H1717" s="2"/>
      <c r="I1717" s="2">
        <v>18502</v>
      </c>
      <c r="J1717" s="2"/>
      <c r="K1717" s="2">
        <v>145453722</v>
      </c>
      <c r="L1717" s="2"/>
      <c r="M1717" s="2"/>
      <c r="N1717" s="2"/>
      <c r="O1717" s="2"/>
      <c r="P1717" s="2"/>
      <c r="Q1717" s="2"/>
      <c r="R1717" s="2"/>
      <c r="S1717" s="2" t="s">
        <v>11703</v>
      </c>
      <c r="T1717" s="2" t="s">
        <v>11704</v>
      </c>
      <c r="U1717" s="2" t="s">
        <v>103</v>
      </c>
      <c r="V1717" s="2" t="s">
        <v>104</v>
      </c>
      <c r="W1717" s="2" t="s">
        <v>105</v>
      </c>
      <c r="X1717" s="2" t="s">
        <v>69</v>
      </c>
      <c r="Y1717" s="2">
        <v>51.2</v>
      </c>
      <c r="Z1717" s="2">
        <v>58.6</v>
      </c>
      <c r="AA1717" s="2" t="s">
        <v>60</v>
      </c>
      <c r="AB1717" s="2" t="s">
        <v>11705</v>
      </c>
      <c r="AC1717" s="2">
        <v>3.4694868256377802</v>
      </c>
      <c r="AD1717" s="2"/>
      <c r="AE1717" s="2">
        <v>0.37617346836767002</v>
      </c>
      <c r="AF1717" s="2">
        <v>14518.4562126824</v>
      </c>
      <c r="AG1717" s="2">
        <v>25072.619201582402</v>
      </c>
      <c r="AH1717" s="4">
        <v>0.57905622447957295</v>
      </c>
      <c r="AI1717" s="4">
        <v>-0.78822465886674098</v>
      </c>
      <c r="AJ1717" s="4" t="s">
        <v>62</v>
      </c>
      <c r="AK1717" s="2">
        <v>0.66324184888285198</v>
      </c>
      <c r="AL1717" s="2">
        <v>0.83663677386975799</v>
      </c>
      <c r="AM1717" s="2">
        <v>22796.073151144901</v>
      </c>
      <c r="AN1717" s="2">
        <v>228.167425631876</v>
      </c>
      <c r="AO1717" s="2">
        <v>269.507690935347</v>
      </c>
      <c r="AP1717" s="2">
        <v>174.72804393531001</v>
      </c>
      <c r="AQ1717" s="2">
        <v>39949.176270211297</v>
      </c>
      <c r="AR1717" s="2">
        <v>23693.0846942354</v>
      </c>
      <c r="AS1717" s="2">
        <v>8.559877937157E-6</v>
      </c>
      <c r="AT1717" s="2">
        <v>241.532252632211</v>
      </c>
      <c r="AU1717" s="2">
        <v>6902.2492665618302</v>
      </c>
      <c r="AV1717" s="2">
        <v>137399.17571058101</v>
      </c>
      <c r="AW1717" s="2">
        <v>51.391041221191102</v>
      </c>
      <c r="AX1717" s="2">
        <v>5841.3669299384601</v>
      </c>
    </row>
    <row r="1718" spans="1:50" x14ac:dyDescent="0.25">
      <c r="A1718" s="2" t="s">
        <v>11706</v>
      </c>
      <c r="B1718" s="2">
        <v>401.14456797950203</v>
      </c>
      <c r="C1718" s="2">
        <v>3.7954166666666702</v>
      </c>
      <c r="D1718" s="2" t="s">
        <v>51</v>
      </c>
      <c r="E1718" s="2" t="s">
        <v>11707</v>
      </c>
      <c r="F1718" s="2">
        <v>23</v>
      </c>
      <c r="G1718" s="3" t="str">
        <f>HYPERLINK("https://cloud.oebiotech.com/#/lm/network/23", "https://cloud.oebiotech.com/#/lm/network/23")</f>
        <v>https://cloud.oebiotech.com/#/lm/network/23</v>
      </c>
      <c r="H1718" s="2"/>
      <c r="I1718" s="2"/>
      <c r="J1718" s="2" t="s">
        <v>11708</v>
      </c>
      <c r="K1718" s="2">
        <v>101857685</v>
      </c>
      <c r="L1718" s="2"/>
      <c r="M1718" s="2"/>
      <c r="N1718" s="2"/>
      <c r="O1718" s="2"/>
      <c r="P1718" s="2"/>
      <c r="Q1718" s="2"/>
      <c r="R1718" s="2"/>
      <c r="S1718" s="2" t="s">
        <v>11709</v>
      </c>
      <c r="T1718" s="2" t="s">
        <v>11710</v>
      </c>
      <c r="U1718" s="2" t="s">
        <v>56</v>
      </c>
      <c r="V1718" s="2" t="s">
        <v>145</v>
      </c>
      <c r="W1718" s="2" t="s">
        <v>231</v>
      </c>
      <c r="X1718" s="2" t="s">
        <v>147</v>
      </c>
      <c r="Y1718" s="2">
        <v>42.6</v>
      </c>
      <c r="Z1718" s="2">
        <v>21.6</v>
      </c>
      <c r="AA1718" s="2" t="s">
        <v>395</v>
      </c>
      <c r="AB1718" s="2" t="s">
        <v>11711</v>
      </c>
      <c r="AC1718" s="2">
        <v>3.2950954173984899</v>
      </c>
      <c r="AD1718" s="2"/>
      <c r="AE1718" s="2">
        <v>0.37546147261839702</v>
      </c>
      <c r="AF1718" s="2">
        <v>641.93452693229301</v>
      </c>
      <c r="AG1718" s="2">
        <v>7391.0021976538601</v>
      </c>
      <c r="AH1718" s="4">
        <v>8.6853515905605402E-2</v>
      </c>
      <c r="AI1718" s="4">
        <v>-3.5252719381112199</v>
      </c>
      <c r="AJ1718" s="4" t="s">
        <v>62</v>
      </c>
      <c r="AK1718" s="2">
        <v>0.374334947061915</v>
      </c>
      <c r="AL1718" s="2">
        <v>0.65577650655255004</v>
      </c>
      <c r="AM1718" s="2">
        <v>452.63088341154997</v>
      </c>
      <c r="AN1718" s="2">
        <v>8.559877937157E-6</v>
      </c>
      <c r="AO1718" s="2">
        <v>710.51687229346896</v>
      </c>
      <c r="AP1718" s="2">
        <v>8.559877937157E-6</v>
      </c>
      <c r="AQ1718" s="2">
        <v>177.66754063184601</v>
      </c>
      <c r="AR1718" s="2">
        <v>2510.7918481371398</v>
      </c>
      <c r="AS1718" s="2">
        <v>148.406961298086</v>
      </c>
      <c r="AT1718" s="2">
        <v>8.559877937157E-6</v>
      </c>
      <c r="AU1718" s="2">
        <v>207.44982010886201</v>
      </c>
      <c r="AV1718" s="2">
        <v>8.559877937157E-6</v>
      </c>
      <c r="AW1718" s="2">
        <v>43627.324280976602</v>
      </c>
      <c r="AX1718" s="2">
        <v>362.83210641982703</v>
      </c>
    </row>
    <row r="1719" spans="1:50" x14ac:dyDescent="0.25">
      <c r="A1719" s="2" t="s">
        <v>11712</v>
      </c>
      <c r="B1719" s="2">
        <v>265.15569547129098</v>
      </c>
      <c r="C1719" s="2">
        <v>3.9009</v>
      </c>
      <c r="D1719" s="2" t="s">
        <v>51</v>
      </c>
      <c r="E1719" s="2" t="s">
        <v>11713</v>
      </c>
      <c r="F1719" s="2">
        <v>54025</v>
      </c>
      <c r="G1719" s="3" t="str">
        <f>HYPERLINK("https://cloud.oebiotech.com/#/lm/network/54025", "https://cloud.oebiotech.com/#/lm/network/54025")</f>
        <v>https://cloud.oebiotech.com/#/lm/network/54025</v>
      </c>
      <c r="H1719" s="2" t="s">
        <v>11714</v>
      </c>
      <c r="I1719" s="2">
        <v>24030</v>
      </c>
      <c r="J1719" s="2"/>
      <c r="K1719" s="2">
        <v>7359121</v>
      </c>
      <c r="L1719" s="2"/>
      <c r="M1719" s="2"/>
      <c r="N1719" s="2"/>
      <c r="O1719" s="2">
        <v>73638</v>
      </c>
      <c r="P1719" s="2"/>
      <c r="Q1719" s="2"/>
      <c r="R1719" s="2" t="s">
        <v>11715</v>
      </c>
      <c r="S1719" s="2" t="s">
        <v>11716</v>
      </c>
      <c r="T1719" s="2" t="s">
        <v>11717</v>
      </c>
      <c r="U1719" s="2" t="s">
        <v>103</v>
      </c>
      <c r="V1719" s="2" t="s">
        <v>104</v>
      </c>
      <c r="W1719" s="2" t="s">
        <v>105</v>
      </c>
      <c r="X1719" s="2" t="s">
        <v>69</v>
      </c>
      <c r="Y1719" s="2">
        <v>59.3</v>
      </c>
      <c r="Z1719" s="2">
        <v>85.3</v>
      </c>
      <c r="AA1719" s="2" t="s">
        <v>259</v>
      </c>
      <c r="AB1719" s="2" t="s">
        <v>11718</v>
      </c>
      <c r="AC1719" s="2">
        <v>3.8862000532616499</v>
      </c>
      <c r="AD1719" s="2"/>
      <c r="AE1719" s="2">
        <v>0.375240283843294</v>
      </c>
      <c r="AF1719" s="2">
        <v>25068.158184479998</v>
      </c>
      <c r="AG1719" s="2">
        <v>18705.181302044199</v>
      </c>
      <c r="AH1719" s="5">
        <v>1.3401718903275499</v>
      </c>
      <c r="AI1719" s="5">
        <v>0.42241805248838998</v>
      </c>
      <c r="AJ1719" s="5" t="s">
        <v>139</v>
      </c>
      <c r="AK1719" s="2">
        <v>0.25718739895530401</v>
      </c>
      <c r="AL1719" s="2">
        <v>0.57903738627138501</v>
      </c>
      <c r="AM1719" s="2">
        <v>17504.690211269699</v>
      </c>
      <c r="AN1719" s="2">
        <v>23715.782119039901</v>
      </c>
      <c r="AO1719" s="2">
        <v>24786.809488189701</v>
      </c>
      <c r="AP1719" s="2">
        <v>32676.973141619601</v>
      </c>
      <c r="AQ1719" s="2">
        <v>33109.698992938203</v>
      </c>
      <c r="AR1719" s="2">
        <v>18614.9951538229</v>
      </c>
      <c r="AS1719" s="2">
        <v>16594.8837498012</v>
      </c>
      <c r="AT1719" s="2">
        <v>20364.635553691001</v>
      </c>
      <c r="AU1719" s="2">
        <v>39761.346032327303</v>
      </c>
      <c r="AV1719" s="2">
        <v>7846.6505206697502</v>
      </c>
      <c r="AW1719" s="2">
        <v>14804.3072397958</v>
      </c>
      <c r="AX1719" s="2">
        <v>12859.26471598</v>
      </c>
    </row>
    <row r="1720" spans="1:50" x14ac:dyDescent="0.25">
      <c r="A1720" s="2" t="s">
        <v>11719</v>
      </c>
      <c r="B1720" s="2">
        <v>485.17721009046699</v>
      </c>
      <c r="C1720" s="2">
        <v>6.3512500000000003</v>
      </c>
      <c r="D1720" s="2" t="s">
        <v>51</v>
      </c>
      <c r="E1720" s="2" t="s">
        <v>11720</v>
      </c>
      <c r="F1720" s="2">
        <v>8812</v>
      </c>
      <c r="G1720" s="3" t="str">
        <f>HYPERLINK("https://cloud.oebiotech.com/#/lm/network/8812", "https://cloud.oebiotech.com/#/lm/network/8812")</f>
        <v>https://cloud.oebiotech.com/#/lm/network/8812</v>
      </c>
      <c r="H1720" s="2"/>
      <c r="I1720" s="2"/>
      <c r="J1720" s="2" t="s">
        <v>11721</v>
      </c>
      <c r="K1720" s="2"/>
      <c r="L1720" s="2"/>
      <c r="M1720" s="2"/>
      <c r="N1720" s="2"/>
      <c r="O1720" s="2"/>
      <c r="P1720" s="2"/>
      <c r="Q1720" s="2"/>
      <c r="R1720" s="2"/>
      <c r="S1720" s="2" t="s">
        <v>11722</v>
      </c>
      <c r="T1720" s="2" t="s">
        <v>11723</v>
      </c>
      <c r="U1720" s="2" t="s">
        <v>103</v>
      </c>
      <c r="V1720" s="2" t="s">
        <v>104</v>
      </c>
      <c r="W1720" s="2" t="s">
        <v>105</v>
      </c>
      <c r="X1720" s="2" t="s">
        <v>147</v>
      </c>
      <c r="Y1720" s="2">
        <v>38.6</v>
      </c>
      <c r="Z1720" s="2">
        <v>6.6</v>
      </c>
      <c r="AA1720" s="2" t="s">
        <v>478</v>
      </c>
      <c r="AB1720" s="2" t="s">
        <v>11724</v>
      </c>
      <c r="AC1720" s="2">
        <v>-2.7608679517604502</v>
      </c>
      <c r="AD1720" s="2"/>
      <c r="AE1720" s="2">
        <v>0.37516578428355002</v>
      </c>
      <c r="AF1720" s="2">
        <v>6535.0933929028197</v>
      </c>
      <c r="AG1720" s="2">
        <v>2911.5284126698102</v>
      </c>
      <c r="AH1720" s="5">
        <v>2.24455765723072</v>
      </c>
      <c r="AI1720" s="5">
        <v>1.1664311560585201</v>
      </c>
      <c r="AJ1720" s="5" t="s">
        <v>139</v>
      </c>
      <c r="AK1720" s="2">
        <v>0.19940270912388</v>
      </c>
      <c r="AL1720" s="2">
        <v>0.52313472561576602</v>
      </c>
      <c r="AM1720" s="2">
        <v>17121.872714493798</v>
      </c>
      <c r="AN1720" s="2">
        <v>9167.6917663825898</v>
      </c>
      <c r="AO1720" s="2">
        <v>3038.1886765672998</v>
      </c>
      <c r="AP1720" s="2">
        <v>5592.0953532139201</v>
      </c>
      <c r="AQ1720" s="2">
        <v>907.66455175856197</v>
      </c>
      <c r="AR1720" s="2">
        <v>3383.0472950007502</v>
      </c>
      <c r="AS1720" s="2">
        <v>6321.0765349109497</v>
      </c>
      <c r="AT1720" s="2">
        <v>2501.50049061341</v>
      </c>
      <c r="AU1720" s="2">
        <v>5356.4640509536302</v>
      </c>
      <c r="AV1720" s="2">
        <v>8.559877937157E-6</v>
      </c>
      <c r="AW1720" s="2">
        <v>8.559877937157E-6</v>
      </c>
      <c r="AX1720" s="2">
        <v>3290.1293824210902</v>
      </c>
    </row>
    <row r="1721" spans="1:50" x14ac:dyDescent="0.25">
      <c r="A1721" s="2" t="s">
        <v>11725</v>
      </c>
      <c r="B1721" s="2">
        <v>483.36692104404</v>
      </c>
      <c r="C1721" s="2">
        <v>14.667066666666701</v>
      </c>
      <c r="D1721" s="2" t="s">
        <v>51</v>
      </c>
      <c r="E1721" s="2" t="s">
        <v>11726</v>
      </c>
      <c r="F1721" s="2">
        <v>44183</v>
      </c>
      <c r="G1721" s="3" t="str">
        <f>HYPERLINK("https://cloud.oebiotech.com/#/lm/network/44183", "https://cloud.oebiotech.com/#/lm/network/44183")</f>
        <v>https://cloud.oebiotech.com/#/lm/network/44183</v>
      </c>
      <c r="H1721" s="2"/>
      <c r="I1721" s="2"/>
      <c r="J1721" s="2" t="s">
        <v>11727</v>
      </c>
      <c r="K1721" s="2">
        <v>21629557</v>
      </c>
      <c r="L1721" s="2"/>
      <c r="M1721" s="2"/>
      <c r="N1721" s="2"/>
      <c r="O1721" s="2"/>
      <c r="P1721" s="2"/>
      <c r="Q1721" s="2"/>
      <c r="R1721" s="2"/>
      <c r="S1721" s="2" t="s">
        <v>11728</v>
      </c>
      <c r="T1721" s="2" t="s">
        <v>11729</v>
      </c>
      <c r="U1721" s="2" t="s">
        <v>56</v>
      </c>
      <c r="V1721" s="2" t="s">
        <v>283</v>
      </c>
      <c r="W1721" s="2" t="s">
        <v>2042</v>
      </c>
      <c r="X1721" s="2" t="s">
        <v>147</v>
      </c>
      <c r="Y1721" s="2">
        <v>38.5</v>
      </c>
      <c r="Z1721" s="2">
        <v>3.28</v>
      </c>
      <c r="AA1721" s="2" t="s">
        <v>259</v>
      </c>
      <c r="AB1721" s="2" t="s">
        <v>11730</v>
      </c>
      <c r="AC1721" s="2">
        <v>-2.2694815961084198</v>
      </c>
      <c r="AD1721" s="2"/>
      <c r="AE1721" s="2">
        <v>0.37487509673198099</v>
      </c>
      <c r="AF1721" s="2">
        <v>5924.7631764254602</v>
      </c>
      <c r="AG1721" s="2">
        <v>9509.5888319604601</v>
      </c>
      <c r="AH1721" s="4">
        <v>0.62303042551252297</v>
      </c>
      <c r="AI1721" s="4">
        <v>-0.68262547631830595</v>
      </c>
      <c r="AJ1721" s="4" t="s">
        <v>62</v>
      </c>
      <c r="AK1721" s="2">
        <v>0.106669377913927</v>
      </c>
      <c r="AL1721" s="2">
        <v>0.41636824238986497</v>
      </c>
      <c r="AM1721" s="2">
        <v>1892.0549584129101</v>
      </c>
      <c r="AN1721" s="2">
        <v>3432.4002923019798</v>
      </c>
      <c r="AO1721" s="2">
        <v>6984.8972586024202</v>
      </c>
      <c r="AP1721" s="2">
        <v>6102.9409482860001</v>
      </c>
      <c r="AQ1721" s="2">
        <v>10253.2805690564</v>
      </c>
      <c r="AR1721" s="2">
        <v>6883.0050318930398</v>
      </c>
      <c r="AS1721" s="2">
        <v>5112.3044798227102</v>
      </c>
      <c r="AT1721" s="2">
        <v>5716.3425057334998</v>
      </c>
      <c r="AU1721" s="2">
        <v>9021.5620223869191</v>
      </c>
      <c r="AV1721" s="2">
        <v>13424.8999803974</v>
      </c>
      <c r="AW1721" s="2">
        <v>8829.30834620522</v>
      </c>
      <c r="AX1721" s="2">
        <v>14953.115657217</v>
      </c>
    </row>
    <row r="1722" spans="1:50" x14ac:dyDescent="0.25">
      <c r="A1722" s="2" t="s">
        <v>11731</v>
      </c>
      <c r="B1722" s="2">
        <v>288.29065461509299</v>
      </c>
      <c r="C1722" s="2">
        <v>8.0870666666666704</v>
      </c>
      <c r="D1722" s="2" t="s">
        <v>51</v>
      </c>
      <c r="E1722" s="2" t="s">
        <v>11732</v>
      </c>
      <c r="F1722" s="2">
        <v>187</v>
      </c>
      <c r="G1722" s="3" t="str">
        <f>HYPERLINK("https://cloud.oebiotech.com/#/lm/network/187", "https://cloud.oebiotech.com/#/lm/network/187")</f>
        <v>https://cloud.oebiotech.com/#/lm/network/187</v>
      </c>
      <c r="H1722" s="2" t="s">
        <v>11733</v>
      </c>
      <c r="I1722" s="2">
        <v>4492</v>
      </c>
      <c r="J1722" s="2" t="s">
        <v>11734</v>
      </c>
      <c r="K1722" s="2">
        <v>117384</v>
      </c>
      <c r="L1722" s="2"/>
      <c r="M1722" s="2"/>
      <c r="N1722" s="2"/>
      <c r="O1722" s="2">
        <v>85057</v>
      </c>
      <c r="P1722" s="2"/>
      <c r="Q1722" s="2"/>
      <c r="R1722" s="2" t="s">
        <v>11735</v>
      </c>
      <c r="S1722" s="2" t="s">
        <v>11736</v>
      </c>
      <c r="T1722" s="2" t="s">
        <v>11737</v>
      </c>
      <c r="U1722" s="2" t="s">
        <v>56</v>
      </c>
      <c r="V1722" s="2" t="s">
        <v>145</v>
      </c>
      <c r="W1722" s="2" t="s">
        <v>231</v>
      </c>
      <c r="X1722" s="2" t="s">
        <v>147</v>
      </c>
      <c r="Y1722" s="2">
        <v>44.6</v>
      </c>
      <c r="Z1722" s="2">
        <v>30.6</v>
      </c>
      <c r="AA1722" s="2" t="s">
        <v>512</v>
      </c>
      <c r="AB1722" s="2" t="s">
        <v>11738</v>
      </c>
      <c r="AC1722" s="2">
        <v>3.5105826056532399</v>
      </c>
      <c r="AD1722" s="2"/>
      <c r="AE1722" s="2">
        <v>0.374584194819301</v>
      </c>
      <c r="AF1722" s="2">
        <v>193503.70336918699</v>
      </c>
      <c r="AG1722" s="2">
        <v>206419.58954942101</v>
      </c>
      <c r="AH1722" s="4">
        <v>0.937428970726918</v>
      </c>
      <c r="AI1722" s="4">
        <v>-9.3218713684455001E-2</v>
      </c>
      <c r="AJ1722" s="4" t="s">
        <v>62</v>
      </c>
      <c r="AK1722" s="2">
        <v>0.76213143466691502</v>
      </c>
      <c r="AL1722" s="2">
        <v>0.89175686393722398</v>
      </c>
      <c r="AM1722" s="2">
        <v>219835.41927409201</v>
      </c>
      <c r="AN1722" s="2">
        <v>220692.438672594</v>
      </c>
      <c r="AO1722" s="2">
        <v>145727.197892019</v>
      </c>
      <c r="AP1722" s="2">
        <v>164731.29070110599</v>
      </c>
      <c r="AQ1722" s="2">
        <v>263141.02782975201</v>
      </c>
      <c r="AR1722" s="2">
        <v>146894.84584555801</v>
      </c>
      <c r="AS1722" s="2">
        <v>146682.78515290399</v>
      </c>
      <c r="AT1722" s="2">
        <v>170097.80941500401</v>
      </c>
      <c r="AU1722" s="2">
        <v>109625.609716106</v>
      </c>
      <c r="AV1722" s="2">
        <v>262215.89749460702</v>
      </c>
      <c r="AW1722" s="2">
        <v>356772.976206347</v>
      </c>
      <c r="AX1722" s="2">
        <v>193122.45931156</v>
      </c>
    </row>
    <row r="1723" spans="1:50" x14ac:dyDescent="0.25">
      <c r="A1723" s="2" t="s">
        <v>11739</v>
      </c>
      <c r="B1723" s="2">
        <v>446.27623905613802</v>
      </c>
      <c r="C1723" s="2">
        <v>9.5639333333333294</v>
      </c>
      <c r="D1723" s="2" t="s">
        <v>51</v>
      </c>
      <c r="E1723" s="2" t="s">
        <v>11740</v>
      </c>
      <c r="F1723" s="2">
        <v>208355</v>
      </c>
      <c r="G1723" s="3" t="str">
        <f>HYPERLINK("https://cloud.oebiotech.com/#/lm/network/208355", "https://cloud.oebiotech.com/#/lm/network/208355")</f>
        <v>https://cloud.oebiotech.com/#/lm/network/208355</v>
      </c>
      <c r="H1723" s="2" t="s">
        <v>11741</v>
      </c>
      <c r="I1723" s="2"/>
      <c r="J1723" s="2"/>
      <c r="K1723" s="2">
        <v>9823909</v>
      </c>
      <c r="L1723" s="2"/>
      <c r="M1723" s="2"/>
      <c r="N1723" s="2"/>
      <c r="O1723" s="2"/>
      <c r="P1723" s="2"/>
      <c r="Q1723" s="2"/>
      <c r="R1723" s="2"/>
      <c r="S1723" s="2" t="s">
        <v>11742</v>
      </c>
      <c r="T1723" s="2" t="s">
        <v>11743</v>
      </c>
      <c r="U1723" s="2" t="s">
        <v>266</v>
      </c>
      <c r="V1723" s="2" t="s">
        <v>1742</v>
      </c>
      <c r="W1723" s="2" t="s">
        <v>9418</v>
      </c>
      <c r="X1723" s="2" t="s">
        <v>147</v>
      </c>
      <c r="Y1723" s="2">
        <v>42.8</v>
      </c>
      <c r="Z1723" s="2">
        <v>17.899999999999999</v>
      </c>
      <c r="AA1723" s="2" t="s">
        <v>512</v>
      </c>
      <c r="AB1723" s="2" t="s">
        <v>11744</v>
      </c>
      <c r="AC1723" s="2">
        <v>0.13544306619372901</v>
      </c>
      <c r="AD1723" s="2"/>
      <c r="AE1723" s="2">
        <v>0.37450689765238598</v>
      </c>
      <c r="AF1723" s="2">
        <v>7128.7037132630903</v>
      </c>
      <c r="AG1723" s="2">
        <v>1091.4116816068199</v>
      </c>
      <c r="AH1723" s="5">
        <v>6.53163589267061</v>
      </c>
      <c r="AI1723" s="5">
        <v>2.7074443698219102</v>
      </c>
      <c r="AJ1723" s="5" t="s">
        <v>139</v>
      </c>
      <c r="AK1723" s="2">
        <v>0.118108956085171</v>
      </c>
      <c r="AL1723" s="2">
        <v>0.43662071748297598</v>
      </c>
      <c r="AM1723" s="2">
        <v>8666.6427461312305</v>
      </c>
      <c r="AN1723" s="2">
        <v>57.715752149012097</v>
      </c>
      <c r="AO1723" s="2">
        <v>163.60497009141201</v>
      </c>
      <c r="AP1723" s="2">
        <v>196.10861776071201</v>
      </c>
      <c r="AQ1723" s="2">
        <v>13293.854175362199</v>
      </c>
      <c r="AR1723" s="2">
        <v>20394.296018083998</v>
      </c>
      <c r="AS1723" s="2">
        <v>1098.80772467935</v>
      </c>
      <c r="AT1723" s="2">
        <v>404.38614134509601</v>
      </c>
      <c r="AU1723" s="2">
        <v>241.11097835417499</v>
      </c>
      <c r="AV1723" s="2">
        <v>414.59397453375601</v>
      </c>
      <c r="AW1723" s="2">
        <v>4073.4652966354902</v>
      </c>
      <c r="AX1723" s="2">
        <v>316.10597409305598</v>
      </c>
    </row>
    <row r="1724" spans="1:50" x14ac:dyDescent="0.25">
      <c r="A1724" s="2" t="s">
        <v>11745</v>
      </c>
      <c r="B1724" s="2">
        <v>267.211440503272</v>
      </c>
      <c r="C1724" s="2">
        <v>10.9667166666667</v>
      </c>
      <c r="D1724" s="2" t="s">
        <v>51</v>
      </c>
      <c r="E1724" s="2" t="s">
        <v>11746</v>
      </c>
      <c r="F1724" s="2">
        <v>36114</v>
      </c>
      <c r="G1724" s="3" t="str">
        <f>HYPERLINK("https://cloud.oebiotech.com/#/lm/network/36114", "https://cloud.oebiotech.com/#/lm/network/36114")</f>
        <v>https://cloud.oebiotech.com/#/lm/network/36114</v>
      </c>
      <c r="H1724" s="2"/>
      <c r="I1724" s="2">
        <v>53702</v>
      </c>
      <c r="J1724" s="2" t="s">
        <v>11747</v>
      </c>
      <c r="K1724" s="2">
        <v>10424032</v>
      </c>
      <c r="L1724" s="2"/>
      <c r="M1724" s="2"/>
      <c r="N1724" s="2"/>
      <c r="O1724" s="2"/>
      <c r="P1724" s="2"/>
      <c r="Q1724" s="2"/>
      <c r="R1724" s="2"/>
      <c r="S1724" s="2" t="s">
        <v>11748</v>
      </c>
      <c r="T1724" s="2" t="s">
        <v>11749</v>
      </c>
      <c r="U1724" s="2" t="s">
        <v>56</v>
      </c>
      <c r="V1724" s="2" t="s">
        <v>177</v>
      </c>
      <c r="W1724" s="2" t="s">
        <v>178</v>
      </c>
      <c r="X1724" s="2" t="s">
        <v>69</v>
      </c>
      <c r="Y1724" s="2">
        <v>63.5</v>
      </c>
      <c r="Z1724" s="2">
        <v>93</v>
      </c>
      <c r="AA1724" s="2" t="s">
        <v>156</v>
      </c>
      <c r="AB1724" s="2" t="s">
        <v>11750</v>
      </c>
      <c r="AC1724" s="2">
        <v>2.50950239202745</v>
      </c>
      <c r="AD1724" s="2"/>
      <c r="AE1724" s="2">
        <v>0.37406810283821401</v>
      </c>
      <c r="AF1724" s="2">
        <v>20764.110900000702</v>
      </c>
      <c r="AG1724" s="2">
        <v>17059.258768286101</v>
      </c>
      <c r="AH1724" s="5">
        <v>1.21717544601656</v>
      </c>
      <c r="AI1724" s="5">
        <v>0.283537135886411</v>
      </c>
      <c r="AJ1724" s="5" t="s">
        <v>139</v>
      </c>
      <c r="AK1724" s="2">
        <v>2.5651011089389001E-2</v>
      </c>
      <c r="AL1724" s="2">
        <v>0.24602593350194299</v>
      </c>
      <c r="AM1724" s="2">
        <v>21363.638258193499</v>
      </c>
      <c r="AN1724" s="2">
        <v>21893.506150641399</v>
      </c>
      <c r="AO1724" s="2">
        <v>18688.234746725298</v>
      </c>
      <c r="AP1724" s="2">
        <v>21657.571825079202</v>
      </c>
      <c r="AQ1724" s="2">
        <v>20056.5729662706</v>
      </c>
      <c r="AR1724" s="2">
        <v>20925.1414530939</v>
      </c>
      <c r="AS1724" s="2">
        <v>16708.325949713901</v>
      </c>
      <c r="AT1724" s="2">
        <v>14367.4055743842</v>
      </c>
      <c r="AU1724" s="2">
        <v>22771.1836688322</v>
      </c>
      <c r="AV1724" s="2">
        <v>17190.158529472301</v>
      </c>
      <c r="AW1724" s="2">
        <v>17761.784088428602</v>
      </c>
      <c r="AX1724" s="2">
        <v>13556.694798885601</v>
      </c>
    </row>
    <row r="1725" spans="1:50" x14ac:dyDescent="0.25">
      <c r="A1725" s="2" t="s">
        <v>11751</v>
      </c>
      <c r="B1725" s="2">
        <v>395.32815064828401</v>
      </c>
      <c r="C1725" s="2">
        <v>9.7874166666666707</v>
      </c>
      <c r="D1725" s="2" t="s">
        <v>51</v>
      </c>
      <c r="E1725" s="2" t="s">
        <v>11752</v>
      </c>
      <c r="F1725" s="2">
        <v>8707</v>
      </c>
      <c r="G1725" s="3" t="str">
        <f>HYPERLINK("https://cloud.oebiotech.com/#/lm/network/8707", "https://cloud.oebiotech.com/#/lm/network/8707")</f>
        <v>https://cloud.oebiotech.com/#/lm/network/8707</v>
      </c>
      <c r="H1725" s="2"/>
      <c r="I1725" s="2">
        <v>75512</v>
      </c>
      <c r="J1725" s="2" t="s">
        <v>11753</v>
      </c>
      <c r="K1725" s="2">
        <v>52922074</v>
      </c>
      <c r="L1725" s="2"/>
      <c r="M1725" s="2"/>
      <c r="N1725" s="2"/>
      <c r="O1725" s="2"/>
      <c r="P1725" s="2"/>
      <c r="Q1725" s="2"/>
      <c r="R1725" s="2"/>
      <c r="S1725" s="2" t="s">
        <v>11754</v>
      </c>
      <c r="T1725" s="2" t="s">
        <v>11755</v>
      </c>
      <c r="U1725" s="2" t="s">
        <v>103</v>
      </c>
      <c r="V1725" s="2" t="s">
        <v>104</v>
      </c>
      <c r="W1725" s="2" t="s">
        <v>105</v>
      </c>
      <c r="X1725" s="2" t="s">
        <v>147</v>
      </c>
      <c r="Y1725" s="2">
        <v>43.1</v>
      </c>
      <c r="Z1725" s="2">
        <v>26.9</v>
      </c>
      <c r="AA1725" s="2" t="s">
        <v>156</v>
      </c>
      <c r="AB1725" s="2" t="s">
        <v>11756</v>
      </c>
      <c r="AC1725" s="2">
        <v>3.2279946057498901</v>
      </c>
      <c r="AD1725" s="2"/>
      <c r="AE1725" s="2">
        <v>0.37387506973037399</v>
      </c>
      <c r="AF1725" s="2">
        <v>559.23562937337795</v>
      </c>
      <c r="AG1725" s="2">
        <v>7799.9564217658799</v>
      </c>
      <c r="AH1725" s="4">
        <v>7.1697276130008106E-2</v>
      </c>
      <c r="AI1725" s="4">
        <v>-3.8019378796115002</v>
      </c>
      <c r="AJ1725" s="4" t="s">
        <v>62</v>
      </c>
      <c r="AK1725" s="2">
        <v>0.14530715571677699</v>
      </c>
      <c r="AL1725" s="2">
        <v>0.46813495501649</v>
      </c>
      <c r="AM1725" s="2">
        <v>313.775203452813</v>
      </c>
      <c r="AN1725" s="2">
        <v>1080.9246194327</v>
      </c>
      <c r="AO1725" s="2">
        <v>869.12869778909499</v>
      </c>
      <c r="AP1725" s="2">
        <v>421.70999909045901</v>
      </c>
      <c r="AQ1725" s="2">
        <v>414.69979251882597</v>
      </c>
      <c r="AR1725" s="2">
        <v>255.17546395637601</v>
      </c>
      <c r="AS1725" s="2">
        <v>607.79425261198696</v>
      </c>
      <c r="AT1725" s="2">
        <v>1024.2127261134301</v>
      </c>
      <c r="AU1725" s="2">
        <v>29715.821057646801</v>
      </c>
      <c r="AV1725" s="2">
        <v>3785.1259011675102</v>
      </c>
      <c r="AW1725" s="2">
        <v>9581.98872952686</v>
      </c>
      <c r="AX1725" s="2">
        <v>2084.79586352867</v>
      </c>
    </row>
    <row r="1726" spans="1:50" x14ac:dyDescent="0.25">
      <c r="A1726" s="2" t="s">
        <v>11757</v>
      </c>
      <c r="B1726" s="2">
        <v>372.06734953058498</v>
      </c>
      <c r="C1726" s="2">
        <v>2.7611500000000002</v>
      </c>
      <c r="D1726" s="2" t="s">
        <v>51</v>
      </c>
      <c r="E1726" s="2" t="s">
        <v>11758</v>
      </c>
      <c r="F1726" s="2">
        <v>202286</v>
      </c>
      <c r="G1726" s="3" t="str">
        <f>HYPERLINK("https://cloud.oebiotech.com/#/lm/network/202286", "https://cloud.oebiotech.com/#/lm/network/202286")</f>
        <v>https://cloud.oebiotech.com/#/lm/network/202286</v>
      </c>
      <c r="H1726" s="2" t="s">
        <v>11759</v>
      </c>
      <c r="I1726" s="2"/>
      <c r="J1726" s="2"/>
      <c r="K1726" s="2">
        <v>12767986</v>
      </c>
      <c r="L1726" s="2"/>
      <c r="M1726" s="2"/>
      <c r="N1726" s="2"/>
      <c r="O1726" s="2"/>
      <c r="P1726" s="2"/>
      <c r="Q1726" s="2"/>
      <c r="R1726" s="2"/>
      <c r="S1726" s="2" t="s">
        <v>11760</v>
      </c>
      <c r="T1726" s="2" t="s">
        <v>11761</v>
      </c>
      <c r="U1726" s="2" t="s">
        <v>266</v>
      </c>
      <c r="V1726" s="2" t="s">
        <v>267</v>
      </c>
      <c r="W1726" s="2" t="s">
        <v>268</v>
      </c>
      <c r="X1726" s="2" t="s">
        <v>59</v>
      </c>
      <c r="Y1726" s="2">
        <v>47.3</v>
      </c>
      <c r="Z1726" s="2">
        <v>61.2</v>
      </c>
      <c r="AA1726" s="2" t="s">
        <v>512</v>
      </c>
      <c r="AB1726" s="2" t="s">
        <v>11762</v>
      </c>
      <c r="AC1726" s="2">
        <v>-2.5126252157431299</v>
      </c>
      <c r="AD1726" s="2"/>
      <c r="AE1726" s="2">
        <v>0.37374796381084902</v>
      </c>
      <c r="AF1726" s="2">
        <v>27831.256281268699</v>
      </c>
      <c r="AG1726" s="2">
        <v>34341.799899131503</v>
      </c>
      <c r="AH1726" s="4">
        <v>0.81041926640462802</v>
      </c>
      <c r="AI1726" s="4">
        <v>-0.303259622604168</v>
      </c>
      <c r="AJ1726" s="4" t="s">
        <v>62</v>
      </c>
      <c r="AK1726" s="2">
        <v>0.148871899958261</v>
      </c>
      <c r="AL1726" s="2">
        <v>0.47024664296044399</v>
      </c>
      <c r="AM1726" s="2">
        <v>25518.015035286</v>
      </c>
      <c r="AN1726" s="2">
        <v>31846.952076196601</v>
      </c>
      <c r="AO1726" s="2">
        <v>26699.225347347499</v>
      </c>
      <c r="AP1726" s="2">
        <v>32197.082677067901</v>
      </c>
      <c r="AQ1726" s="2">
        <v>28200.371720457399</v>
      </c>
      <c r="AR1726" s="2">
        <v>22525.890831256602</v>
      </c>
      <c r="AS1726" s="2">
        <v>34894.749239656099</v>
      </c>
      <c r="AT1726" s="2">
        <v>48884.697508671299</v>
      </c>
      <c r="AU1726" s="2">
        <v>25722.09614822</v>
      </c>
      <c r="AV1726" s="2">
        <v>23689.468494903798</v>
      </c>
      <c r="AW1726" s="2">
        <v>31878.7153167162</v>
      </c>
      <c r="AX1726" s="2">
        <v>40981.072686621403</v>
      </c>
    </row>
    <row r="1727" spans="1:50" x14ac:dyDescent="0.25">
      <c r="A1727" s="2" t="s">
        <v>11763</v>
      </c>
      <c r="B1727" s="2">
        <v>426.35880832753998</v>
      </c>
      <c r="C1727" s="2">
        <v>10.21335</v>
      </c>
      <c r="D1727" s="2" t="s">
        <v>51</v>
      </c>
      <c r="E1727" s="2" t="s">
        <v>11764</v>
      </c>
      <c r="F1727" s="2">
        <v>115449</v>
      </c>
      <c r="G1727" s="3" t="str">
        <f>HYPERLINK("https://cloud.oebiotech.com/#/lm/network/115449", "https://cloud.oebiotech.com/#/lm/network/115449")</f>
        <v>https://cloud.oebiotech.com/#/lm/network/115449</v>
      </c>
      <c r="H1727" s="2" t="s">
        <v>11765</v>
      </c>
      <c r="I1727" s="2"/>
      <c r="J1727" s="2"/>
      <c r="K1727" s="2">
        <v>87076413</v>
      </c>
      <c r="L1727" s="2"/>
      <c r="M1727" s="2"/>
      <c r="N1727" s="2"/>
      <c r="O1727" s="2">
        <v>91164</v>
      </c>
      <c r="P1727" s="2"/>
      <c r="Q1727" s="2"/>
      <c r="R1727" s="2"/>
      <c r="S1727" s="2" t="s">
        <v>11766</v>
      </c>
      <c r="T1727" s="2" t="s">
        <v>11767</v>
      </c>
      <c r="U1727" s="2" t="s">
        <v>56</v>
      </c>
      <c r="V1727" s="2" t="s">
        <v>145</v>
      </c>
      <c r="W1727" s="2" t="s">
        <v>1188</v>
      </c>
      <c r="X1727" s="2" t="s">
        <v>69</v>
      </c>
      <c r="Y1727" s="2">
        <v>52.5</v>
      </c>
      <c r="Z1727" s="2">
        <v>47.9</v>
      </c>
      <c r="AA1727" s="2" t="s">
        <v>60</v>
      </c>
      <c r="AB1727" s="2" t="s">
        <v>11768</v>
      </c>
      <c r="AC1727" s="2">
        <v>2.4048524423282198</v>
      </c>
      <c r="AD1727" s="2"/>
      <c r="AE1727" s="2">
        <v>0.37369796373856101</v>
      </c>
      <c r="AF1727" s="2">
        <v>792028.70005593798</v>
      </c>
      <c r="AG1727" s="2">
        <v>780618.54505711899</v>
      </c>
      <c r="AH1727" s="5">
        <v>1.0146168126174699</v>
      </c>
      <c r="AI1727" s="5">
        <v>2.0934971829353902E-2</v>
      </c>
      <c r="AJ1727" s="5" t="s">
        <v>139</v>
      </c>
      <c r="AK1727" s="2">
        <v>0.95287873898867403</v>
      </c>
      <c r="AL1727" s="2">
        <v>0.98062767782557803</v>
      </c>
      <c r="AM1727" s="2">
        <v>1091610.7465616099</v>
      </c>
      <c r="AN1727" s="2">
        <v>508796.16351751197</v>
      </c>
      <c r="AO1727" s="2">
        <v>1045237.05769161</v>
      </c>
      <c r="AP1727" s="2">
        <v>1051943.90859489</v>
      </c>
      <c r="AQ1727" s="2">
        <v>590778.95031153096</v>
      </c>
      <c r="AR1727" s="2">
        <v>463805.373658475</v>
      </c>
      <c r="AS1727" s="2">
        <v>606390.16023149004</v>
      </c>
      <c r="AT1727" s="2">
        <v>513027.33877838397</v>
      </c>
      <c r="AU1727" s="2">
        <v>1307932.6722669201</v>
      </c>
      <c r="AV1727" s="2">
        <v>708202.49658077897</v>
      </c>
      <c r="AW1727" s="2">
        <v>1112194.71618461</v>
      </c>
      <c r="AX1727" s="2">
        <v>435963.88630053197</v>
      </c>
    </row>
    <row r="1728" spans="1:50" x14ac:dyDescent="0.25">
      <c r="A1728" s="2" t="s">
        <v>11769</v>
      </c>
      <c r="B1728" s="2">
        <v>588.39725079938603</v>
      </c>
      <c r="C1728" s="2">
        <v>11.3306166666667</v>
      </c>
      <c r="D1728" s="2" t="s">
        <v>51</v>
      </c>
      <c r="E1728" s="2" t="s">
        <v>11770</v>
      </c>
      <c r="F1728" s="2">
        <v>20048</v>
      </c>
      <c r="G1728" s="3" t="str">
        <f>HYPERLINK("https://cloud.oebiotech.com/#/lm/network/20048", "https://cloud.oebiotech.com/#/lm/network/20048")</f>
        <v>https://cloud.oebiotech.com/#/lm/network/20048</v>
      </c>
      <c r="H1728" s="2"/>
      <c r="I1728" s="2">
        <v>76594</v>
      </c>
      <c r="J1728" s="2" t="s">
        <v>11771</v>
      </c>
      <c r="K1728" s="2">
        <v>52924066</v>
      </c>
      <c r="L1728" s="2"/>
      <c r="M1728" s="2"/>
      <c r="N1728" s="2"/>
      <c r="O1728" s="2"/>
      <c r="P1728" s="2"/>
      <c r="Q1728" s="2"/>
      <c r="R1728" s="2"/>
      <c r="S1728" s="2" t="s">
        <v>11772</v>
      </c>
      <c r="T1728" s="2" t="s">
        <v>11773</v>
      </c>
      <c r="U1728" s="2" t="s">
        <v>56</v>
      </c>
      <c r="V1728" s="2" t="s">
        <v>57</v>
      </c>
      <c r="W1728" s="2" t="s">
        <v>155</v>
      </c>
      <c r="X1728" s="2" t="s">
        <v>83</v>
      </c>
      <c r="Y1728" s="2">
        <v>38.5</v>
      </c>
      <c r="Z1728" s="2">
        <v>0</v>
      </c>
      <c r="AA1728" s="2" t="s">
        <v>3354</v>
      </c>
      <c r="AB1728" s="2" t="s">
        <v>5532</v>
      </c>
      <c r="AC1728" s="2">
        <v>-8.4496503395677305</v>
      </c>
      <c r="AD1728" s="2"/>
      <c r="AE1728" s="2">
        <v>0.37339730338460297</v>
      </c>
      <c r="AF1728" s="2">
        <v>16688.898678221602</v>
      </c>
      <c r="AG1728" s="2">
        <v>20095.960831520799</v>
      </c>
      <c r="AH1728" s="4">
        <v>0.830460350621545</v>
      </c>
      <c r="AI1728" s="4">
        <v>-0.26801680487812202</v>
      </c>
      <c r="AJ1728" s="4" t="s">
        <v>62</v>
      </c>
      <c r="AK1728" s="2">
        <v>0.18059894947090899</v>
      </c>
      <c r="AL1728" s="2">
        <v>0.50362421935593504</v>
      </c>
      <c r="AM1728" s="2">
        <v>8304.1827215768408</v>
      </c>
      <c r="AN1728" s="2">
        <v>16026.5792883711</v>
      </c>
      <c r="AO1728" s="2">
        <v>15785.8198607784</v>
      </c>
      <c r="AP1728" s="2">
        <v>18092.6821937079</v>
      </c>
      <c r="AQ1728" s="2">
        <v>22241.276604954499</v>
      </c>
      <c r="AR1728" s="2">
        <v>19682.851399940901</v>
      </c>
      <c r="AS1728" s="2">
        <v>24344.237765383499</v>
      </c>
      <c r="AT1728" s="2">
        <v>20760.141835044298</v>
      </c>
      <c r="AU1728" s="2">
        <v>16468.1046477778</v>
      </c>
      <c r="AV1728" s="2">
        <v>19305.836776904202</v>
      </c>
      <c r="AW1728" s="2">
        <v>23192.8044774154</v>
      </c>
      <c r="AX1728" s="2">
        <v>16504.639486599601</v>
      </c>
    </row>
    <row r="1729" spans="1:50" x14ac:dyDescent="0.25">
      <c r="A1729" s="2" t="s">
        <v>11774</v>
      </c>
      <c r="B1729" s="2">
        <v>384.23952208386999</v>
      </c>
      <c r="C1729" s="2">
        <v>8.8032666666666692</v>
      </c>
      <c r="D1729" s="2" t="s">
        <v>51</v>
      </c>
      <c r="E1729" s="2" t="s">
        <v>11775</v>
      </c>
      <c r="F1729" s="2">
        <v>208296</v>
      </c>
      <c r="G1729" s="3" t="str">
        <f>HYPERLINK("https://cloud.oebiotech.com/#/lm/network/208296", "https://cloud.oebiotech.com/#/lm/network/208296")</f>
        <v>https://cloud.oebiotech.com/#/lm/network/208296</v>
      </c>
      <c r="H1729" s="2" t="s">
        <v>11776</v>
      </c>
      <c r="I1729" s="2"/>
      <c r="J1729" s="2"/>
      <c r="K1729" s="2">
        <v>9951066</v>
      </c>
      <c r="L1729" s="2"/>
      <c r="M1729" s="2"/>
      <c r="N1729" s="2"/>
      <c r="O1729" s="2"/>
      <c r="P1729" s="2"/>
      <c r="Q1729" s="2"/>
      <c r="R1729" s="2"/>
      <c r="S1729" s="2" t="s">
        <v>11777</v>
      </c>
      <c r="T1729" s="2" t="s">
        <v>11778</v>
      </c>
      <c r="U1729" s="2" t="s">
        <v>266</v>
      </c>
      <c r="V1729" s="2" t="s">
        <v>11779</v>
      </c>
      <c r="W1729" s="2" t="s">
        <v>240</v>
      </c>
      <c r="X1729" s="2" t="s">
        <v>147</v>
      </c>
      <c r="Y1729" s="2">
        <v>38.200000000000003</v>
      </c>
      <c r="Z1729" s="2">
        <v>0</v>
      </c>
      <c r="AA1729" s="2" t="s">
        <v>512</v>
      </c>
      <c r="AB1729" s="2" t="s">
        <v>11780</v>
      </c>
      <c r="AC1729" s="2">
        <v>0.32894564742634302</v>
      </c>
      <c r="AD1729" s="2"/>
      <c r="AE1729" s="2">
        <v>0.37331945420762402</v>
      </c>
      <c r="AF1729" s="2">
        <v>5495.0081615292202</v>
      </c>
      <c r="AG1729" s="2">
        <v>1698.08077370773</v>
      </c>
      <c r="AH1729" s="5">
        <v>3.2360110582554702</v>
      </c>
      <c r="AI1729" s="5">
        <v>1.69421653782446</v>
      </c>
      <c r="AJ1729" s="5" t="s">
        <v>139</v>
      </c>
      <c r="AK1729" s="2">
        <v>2.8964082976006899E-2</v>
      </c>
      <c r="AL1729" s="2">
        <v>0.25815218356915498</v>
      </c>
      <c r="AM1729" s="2">
        <v>4496.1273545992199</v>
      </c>
      <c r="AN1729" s="2">
        <v>11916.6767171707</v>
      </c>
      <c r="AO1729" s="2">
        <v>3564.0035360656898</v>
      </c>
      <c r="AP1729" s="2">
        <v>3558.2141887330199</v>
      </c>
      <c r="AQ1729" s="2">
        <v>3162.2260632082598</v>
      </c>
      <c r="AR1729" s="2">
        <v>6272.8011093984196</v>
      </c>
      <c r="AS1729" s="2">
        <v>3476.7677052757599</v>
      </c>
      <c r="AT1729" s="2">
        <v>529.16450532333101</v>
      </c>
      <c r="AU1729" s="2">
        <v>1296.11376326547</v>
      </c>
      <c r="AV1729" s="2">
        <v>372.395774772469</v>
      </c>
      <c r="AW1729" s="2">
        <v>881.88568632662202</v>
      </c>
      <c r="AX1729" s="2">
        <v>3632.1572072827298</v>
      </c>
    </row>
    <row r="1730" spans="1:50" x14ac:dyDescent="0.25">
      <c r="A1730" s="2" t="s">
        <v>11781</v>
      </c>
      <c r="B1730" s="2">
        <v>503.188151867317</v>
      </c>
      <c r="C1730" s="2">
        <v>7.5258333333333303</v>
      </c>
      <c r="D1730" s="2" t="s">
        <v>51</v>
      </c>
      <c r="E1730" s="2" t="s">
        <v>11782</v>
      </c>
      <c r="F1730" s="2">
        <v>206895</v>
      </c>
      <c r="G1730" s="3" t="str">
        <f>HYPERLINK("https://cloud.oebiotech.com/#/lm/network/206895", "https://cloud.oebiotech.com/#/lm/network/206895")</f>
        <v>https://cloud.oebiotech.com/#/lm/network/206895</v>
      </c>
      <c r="H1730" s="2" t="s">
        <v>11783</v>
      </c>
      <c r="I1730" s="2">
        <v>45705</v>
      </c>
      <c r="J1730" s="2"/>
      <c r="K1730" s="2">
        <v>3391</v>
      </c>
      <c r="L1730" s="2"/>
      <c r="M1730" s="2"/>
      <c r="N1730" s="2"/>
      <c r="O1730" s="2"/>
      <c r="P1730" s="2"/>
      <c r="Q1730" s="2"/>
      <c r="R1730" s="2"/>
      <c r="S1730" s="2" t="s">
        <v>11784</v>
      </c>
      <c r="T1730" s="2" t="s">
        <v>11785</v>
      </c>
      <c r="U1730" s="2" t="s">
        <v>56</v>
      </c>
      <c r="V1730" s="2" t="s">
        <v>145</v>
      </c>
      <c r="W1730" s="2" t="s">
        <v>187</v>
      </c>
      <c r="X1730" s="2" t="s">
        <v>83</v>
      </c>
      <c r="Y1730" s="2">
        <v>47.7</v>
      </c>
      <c r="Z1730" s="2">
        <v>0</v>
      </c>
      <c r="AA1730" s="2" t="s">
        <v>218</v>
      </c>
      <c r="AB1730" s="2" t="s">
        <v>11786</v>
      </c>
      <c r="AC1730" s="2">
        <v>-3.65416997515652</v>
      </c>
      <c r="AD1730" s="2"/>
      <c r="AE1730" s="2">
        <v>0.37277260471561702</v>
      </c>
      <c r="AF1730" s="2">
        <v>5502.8832614686498</v>
      </c>
      <c r="AG1730" s="2">
        <v>2406.6685646167498</v>
      </c>
      <c r="AH1730" s="5">
        <v>2.2865147874422602</v>
      </c>
      <c r="AI1730" s="5">
        <v>1.19315024943162</v>
      </c>
      <c r="AJ1730" s="5" t="s">
        <v>139</v>
      </c>
      <c r="AK1730" s="2">
        <v>1.42307893565159E-3</v>
      </c>
      <c r="AL1730" s="2">
        <v>9.6009314101857798E-2</v>
      </c>
      <c r="AM1730" s="2">
        <v>4642.8150347668998</v>
      </c>
      <c r="AN1730" s="2">
        <v>6418.4874350712298</v>
      </c>
      <c r="AO1730" s="2">
        <v>6607.0333774963301</v>
      </c>
      <c r="AP1730" s="2">
        <v>6735.8374097986198</v>
      </c>
      <c r="AQ1730" s="2">
        <v>3566.27552330759</v>
      </c>
      <c r="AR1730" s="2">
        <v>5046.85078837122</v>
      </c>
      <c r="AS1730" s="2">
        <v>4034.1268305692802</v>
      </c>
      <c r="AT1730" s="2">
        <v>2472.2821369592698</v>
      </c>
      <c r="AU1730" s="2">
        <v>3026.9796442513298</v>
      </c>
      <c r="AV1730" s="2">
        <v>470.24122227092897</v>
      </c>
      <c r="AW1730" s="2">
        <v>2199.2049909367101</v>
      </c>
      <c r="AX1730" s="2">
        <v>2237.1765627130098</v>
      </c>
    </row>
    <row r="1731" spans="1:50" x14ac:dyDescent="0.25">
      <c r="A1731" s="2" t="s">
        <v>11787</v>
      </c>
      <c r="B1731" s="2">
        <v>890.53780639041304</v>
      </c>
      <c r="C1731" s="2">
        <v>12.4447833333333</v>
      </c>
      <c r="D1731" s="2" t="s">
        <v>51</v>
      </c>
      <c r="E1731" s="2" t="s">
        <v>11788</v>
      </c>
      <c r="F1731" s="2">
        <v>234463</v>
      </c>
      <c r="G1731" s="3" t="str">
        <f>HYPERLINK("https://cloud.oebiotech.com/#/lm/network/234463", "https://cloud.oebiotech.com/#/lm/network/234463")</f>
        <v>https://cloud.oebiotech.com/#/lm/network/234463</v>
      </c>
      <c r="H1731" s="2" t="s">
        <v>11789</v>
      </c>
      <c r="I1731" s="2"/>
      <c r="J1731" s="2"/>
      <c r="K1731" s="2"/>
      <c r="L1731" s="2"/>
      <c r="M1731" s="2"/>
      <c r="N1731" s="2"/>
      <c r="O1731" s="2"/>
      <c r="P1731" s="2"/>
      <c r="Q1731" s="2"/>
      <c r="R1731" s="2"/>
      <c r="S1731" s="2" t="s">
        <v>11790</v>
      </c>
      <c r="T1731" s="2" t="s">
        <v>11791</v>
      </c>
      <c r="U1731" s="2" t="s">
        <v>56</v>
      </c>
      <c r="V1731" s="2" t="s">
        <v>57</v>
      </c>
      <c r="W1731" s="2" t="s">
        <v>82</v>
      </c>
      <c r="X1731" s="2" t="s">
        <v>83</v>
      </c>
      <c r="Y1731" s="2">
        <v>46.7</v>
      </c>
      <c r="Z1731" s="2">
        <v>0</v>
      </c>
      <c r="AA1731" s="2" t="s">
        <v>218</v>
      </c>
      <c r="AB1731" s="2" t="s">
        <v>11792</v>
      </c>
      <c r="AC1731" s="2">
        <v>-2.61384436790153</v>
      </c>
      <c r="AD1731" s="2"/>
      <c r="AE1731" s="2">
        <v>0.37276049904014602</v>
      </c>
      <c r="AF1731" s="2">
        <v>8461.6493454462307</v>
      </c>
      <c r="AG1731" s="2">
        <v>1387.33887831999</v>
      </c>
      <c r="AH1731" s="5">
        <v>6.0991942759457096</v>
      </c>
      <c r="AI1731" s="5">
        <v>2.6086186704011798</v>
      </c>
      <c r="AJ1731" s="5" t="s">
        <v>139</v>
      </c>
      <c r="AK1731" s="2">
        <v>8.2728992554317093E-2</v>
      </c>
      <c r="AL1731" s="2">
        <v>0.37237454798709702</v>
      </c>
      <c r="AM1731" s="2">
        <v>2904.3599842102799</v>
      </c>
      <c r="AN1731" s="2">
        <v>7961.0124408803404</v>
      </c>
      <c r="AO1731" s="2">
        <v>5544.1129364655299</v>
      </c>
      <c r="AP1731" s="2">
        <v>25555.781702656601</v>
      </c>
      <c r="AQ1731" s="2">
        <v>1148.9337828242899</v>
      </c>
      <c r="AR1731" s="2">
        <v>7655.6952256403101</v>
      </c>
      <c r="AS1731" s="2">
        <v>4472.6771334866798</v>
      </c>
      <c r="AT1731" s="2">
        <v>3012.0233834834398</v>
      </c>
      <c r="AU1731" s="2">
        <v>52.807380423401099</v>
      </c>
      <c r="AV1731" s="2">
        <v>123.903674780022</v>
      </c>
      <c r="AW1731" s="2">
        <v>8.559877937157E-6</v>
      </c>
      <c r="AX1731" s="2">
        <v>662.62168918652503</v>
      </c>
    </row>
    <row r="1732" spans="1:50" x14ac:dyDescent="0.25">
      <c r="A1732" s="2" t="s">
        <v>11793</v>
      </c>
      <c r="B1732" s="2">
        <v>217.19174798761199</v>
      </c>
      <c r="C1732" s="2">
        <v>4.7703666666666704</v>
      </c>
      <c r="D1732" s="2" t="s">
        <v>51</v>
      </c>
      <c r="E1732" s="2" t="s">
        <v>11794</v>
      </c>
      <c r="F1732" s="2">
        <v>83716</v>
      </c>
      <c r="G1732" s="3" t="str">
        <f>HYPERLINK("https://cloud.oebiotech.com/#/lm/network/83716", "https://cloud.oebiotech.com/#/lm/network/83716")</f>
        <v>https://cloud.oebiotech.com/#/lm/network/83716</v>
      </c>
      <c r="H1732" s="2" t="s">
        <v>11795</v>
      </c>
      <c r="I1732" s="2">
        <v>353288</v>
      </c>
      <c r="J1732" s="2"/>
      <c r="K1732" s="2">
        <v>543829</v>
      </c>
      <c r="L1732" s="2"/>
      <c r="M1732" s="2"/>
      <c r="N1732" s="2"/>
      <c r="O1732" s="2">
        <v>84219</v>
      </c>
      <c r="P1732" s="2"/>
      <c r="Q1732" s="2"/>
      <c r="R1732" s="2"/>
      <c r="S1732" s="2" t="s">
        <v>11796</v>
      </c>
      <c r="T1732" s="2" t="s">
        <v>11797</v>
      </c>
      <c r="U1732" s="2" t="s">
        <v>3062</v>
      </c>
      <c r="V1732" s="2" t="s">
        <v>3063</v>
      </c>
      <c r="W1732" s="2" t="s">
        <v>3064</v>
      </c>
      <c r="X1732" s="2" t="s">
        <v>147</v>
      </c>
      <c r="Y1732" s="2">
        <v>39.5</v>
      </c>
      <c r="Z1732" s="2">
        <v>4.83</v>
      </c>
      <c r="AA1732" s="2" t="s">
        <v>512</v>
      </c>
      <c r="AB1732" s="2" t="s">
        <v>11798</v>
      </c>
      <c r="AC1732" s="2">
        <v>3.48237533396009</v>
      </c>
      <c r="AD1732" s="2"/>
      <c r="AE1732" s="2">
        <v>0.37266978708398701</v>
      </c>
      <c r="AF1732" s="2">
        <v>11939.7271896769</v>
      </c>
      <c r="AG1732" s="2">
        <v>3301.4006055685199</v>
      </c>
      <c r="AH1732" s="5">
        <v>3.6165641847699401</v>
      </c>
      <c r="AI1732" s="5">
        <v>1.8546197560380899</v>
      </c>
      <c r="AJ1732" s="5" t="s">
        <v>139</v>
      </c>
      <c r="AK1732" s="2">
        <v>0.25435468495625202</v>
      </c>
      <c r="AL1732" s="2">
        <v>0.57740713044883996</v>
      </c>
      <c r="AM1732" s="2">
        <v>2092.1220399343001</v>
      </c>
      <c r="AN1732" s="2">
        <v>1124.6964567615601</v>
      </c>
      <c r="AO1732" s="2">
        <v>17323.6193127474</v>
      </c>
      <c r="AP1732" s="2">
        <v>1440.3245485325899</v>
      </c>
      <c r="AQ1732" s="2">
        <v>44868.755701475297</v>
      </c>
      <c r="AR1732" s="2">
        <v>4788.8450786103003</v>
      </c>
      <c r="AS1732" s="2">
        <v>8932.8391937880897</v>
      </c>
      <c r="AT1732" s="2">
        <v>2480.32932354371</v>
      </c>
      <c r="AU1732" s="2">
        <v>3713.4166636705299</v>
      </c>
      <c r="AV1732" s="2">
        <v>1195.8080627531399</v>
      </c>
      <c r="AW1732" s="2">
        <v>1379.5047991025599</v>
      </c>
      <c r="AX1732" s="2">
        <v>2106.5055905530799</v>
      </c>
    </row>
    <row r="1733" spans="1:50" x14ac:dyDescent="0.25">
      <c r="A1733" s="2" t="s">
        <v>11799</v>
      </c>
      <c r="B1733" s="2">
        <v>337.147894651863</v>
      </c>
      <c r="C1733" s="2">
        <v>10.6304833333333</v>
      </c>
      <c r="D1733" s="2" t="s">
        <v>51</v>
      </c>
      <c r="E1733" s="2" t="s">
        <v>11800</v>
      </c>
      <c r="F1733" s="2">
        <v>203212</v>
      </c>
      <c r="G1733" s="3" t="str">
        <f>HYPERLINK("https://cloud.oebiotech.com/#/lm/network/203212", "https://cloud.oebiotech.com/#/lm/network/203212")</f>
        <v>https://cloud.oebiotech.com/#/lm/network/203212</v>
      </c>
      <c r="H1733" s="2" t="s">
        <v>11801</v>
      </c>
      <c r="I1733" s="2"/>
      <c r="J1733" s="2"/>
      <c r="K1733" s="2">
        <v>76645041</v>
      </c>
      <c r="L1733" s="2"/>
      <c r="M1733" s="2"/>
      <c r="N1733" s="2"/>
      <c r="O1733" s="2"/>
      <c r="P1733" s="2"/>
      <c r="Q1733" s="2"/>
      <c r="R1733" s="2"/>
      <c r="S1733" s="2" t="s">
        <v>11802</v>
      </c>
      <c r="T1733" s="2" t="s">
        <v>11803</v>
      </c>
      <c r="U1733" s="2" t="s">
        <v>331</v>
      </c>
      <c r="V1733" s="2" t="s">
        <v>332</v>
      </c>
      <c r="W1733" s="2" t="s">
        <v>333</v>
      </c>
      <c r="X1733" s="2" t="s">
        <v>147</v>
      </c>
      <c r="Y1733" s="2">
        <v>38.4</v>
      </c>
      <c r="Z1733" s="2">
        <v>0</v>
      </c>
      <c r="AA1733" s="2" t="s">
        <v>259</v>
      </c>
      <c r="AB1733" s="2" t="s">
        <v>11804</v>
      </c>
      <c r="AC1733" s="2">
        <v>-4.2069295756061704</v>
      </c>
      <c r="AD1733" s="2"/>
      <c r="AE1733" s="2">
        <v>0.372336495201888</v>
      </c>
      <c r="AF1733" s="2">
        <v>12675.0451234464</v>
      </c>
      <c r="AG1733" s="2">
        <v>8320.5609633093609</v>
      </c>
      <c r="AH1733" s="5">
        <v>1.52334021460076</v>
      </c>
      <c r="AI1733" s="5">
        <v>0.60723818155210496</v>
      </c>
      <c r="AJ1733" s="5" t="s">
        <v>139</v>
      </c>
      <c r="AK1733" s="2">
        <v>8.5575239456502694E-2</v>
      </c>
      <c r="AL1733" s="2">
        <v>0.378105092551277</v>
      </c>
      <c r="AM1733" s="2">
        <v>6372.3040933938701</v>
      </c>
      <c r="AN1733" s="2">
        <v>19894.2118759037</v>
      </c>
      <c r="AO1733" s="2">
        <v>15456.019186686101</v>
      </c>
      <c r="AP1733" s="2">
        <v>8154.4214380991498</v>
      </c>
      <c r="AQ1733" s="2">
        <v>12727.064955100601</v>
      </c>
      <c r="AR1733" s="2">
        <v>13446.249191495001</v>
      </c>
      <c r="AS1733" s="2">
        <v>11072.4445388371</v>
      </c>
      <c r="AT1733" s="2">
        <v>9275.4826983960793</v>
      </c>
      <c r="AU1733" s="2">
        <v>11338.710124165</v>
      </c>
      <c r="AV1733" s="2">
        <v>4824.4123203563204</v>
      </c>
      <c r="AW1733" s="2">
        <v>6105.5596841740899</v>
      </c>
      <c r="AX1733" s="2">
        <v>7306.7564139275701</v>
      </c>
    </row>
    <row r="1734" spans="1:50" x14ac:dyDescent="0.25">
      <c r="A1734" s="2" t="s">
        <v>11805</v>
      </c>
      <c r="B1734" s="2">
        <v>377.192220680925</v>
      </c>
      <c r="C1734" s="2">
        <v>7.3445666666666698</v>
      </c>
      <c r="D1734" s="2" t="s">
        <v>51</v>
      </c>
      <c r="E1734" s="2" t="s">
        <v>11806</v>
      </c>
      <c r="F1734" s="2">
        <v>208768</v>
      </c>
      <c r="G1734" s="3" t="str">
        <f>HYPERLINK("https://cloud.oebiotech.com/#/lm/network/208768", "https://cloud.oebiotech.com/#/lm/network/208768")</f>
        <v>https://cloud.oebiotech.com/#/lm/network/208768</v>
      </c>
      <c r="H1734" s="2" t="s">
        <v>11807</v>
      </c>
      <c r="I1734" s="2"/>
      <c r="J1734" s="2"/>
      <c r="K1734" s="2">
        <v>44208946</v>
      </c>
      <c r="L1734" s="2"/>
      <c r="M1734" s="2"/>
      <c r="N1734" s="2"/>
      <c r="O1734" s="2"/>
      <c r="P1734" s="2"/>
      <c r="Q1734" s="2"/>
      <c r="R1734" s="2"/>
      <c r="S1734" s="2" t="s">
        <v>11808</v>
      </c>
      <c r="T1734" s="2" t="s">
        <v>11809</v>
      </c>
      <c r="U1734" s="2" t="s">
        <v>103</v>
      </c>
      <c r="V1734" s="2" t="s">
        <v>104</v>
      </c>
      <c r="W1734" s="2" t="s">
        <v>105</v>
      </c>
      <c r="X1734" s="2" t="s">
        <v>147</v>
      </c>
      <c r="Y1734" s="2">
        <v>37.9</v>
      </c>
      <c r="Z1734" s="2">
        <v>0</v>
      </c>
      <c r="AA1734" s="2" t="s">
        <v>259</v>
      </c>
      <c r="AB1734" s="2" t="s">
        <v>11810</v>
      </c>
      <c r="AC1734" s="2">
        <v>-2.5493453819179401</v>
      </c>
      <c r="AD1734" s="2"/>
      <c r="AE1734" s="2">
        <v>0.37187973255842699</v>
      </c>
      <c r="AF1734" s="2">
        <v>5971.84995947466</v>
      </c>
      <c r="AG1734" s="2">
        <v>2806.81193219341</v>
      </c>
      <c r="AH1734" s="5">
        <v>2.1276273949740201</v>
      </c>
      <c r="AI1734" s="5">
        <v>1.08924551808972</v>
      </c>
      <c r="AJ1734" s="5" t="s">
        <v>139</v>
      </c>
      <c r="AK1734" s="2">
        <v>1.29310866889611E-2</v>
      </c>
      <c r="AL1734" s="2">
        <v>0.17992134285123801</v>
      </c>
      <c r="AM1734" s="2">
        <v>5714.95526484528</v>
      </c>
      <c r="AN1734" s="2">
        <v>9554.9708853042594</v>
      </c>
      <c r="AO1734" s="2">
        <v>5350.7021294644301</v>
      </c>
      <c r="AP1734" s="2">
        <v>4731.1321166139896</v>
      </c>
      <c r="AQ1734" s="2">
        <v>4164.5359483758002</v>
      </c>
      <c r="AR1734" s="2">
        <v>6314.8034122442004</v>
      </c>
      <c r="AS1734" s="2">
        <v>4970.7399585691601</v>
      </c>
      <c r="AT1734" s="2">
        <v>2354.8587157502202</v>
      </c>
      <c r="AU1734" s="2">
        <v>4110.3316758752999</v>
      </c>
      <c r="AV1734" s="2">
        <v>614.27722869832496</v>
      </c>
      <c r="AW1734" s="2">
        <v>1162.40557226499</v>
      </c>
      <c r="AX1734" s="2">
        <v>3628.25844200245</v>
      </c>
    </row>
    <row r="1735" spans="1:50" x14ac:dyDescent="0.25">
      <c r="A1735" s="2" t="s">
        <v>11811</v>
      </c>
      <c r="B1735" s="2">
        <v>386.25494476492202</v>
      </c>
      <c r="C1735" s="2">
        <v>8.6778666666666702</v>
      </c>
      <c r="D1735" s="2" t="s">
        <v>51</v>
      </c>
      <c r="E1735" s="2" t="s">
        <v>11812</v>
      </c>
      <c r="F1735" s="2">
        <v>197866</v>
      </c>
      <c r="G1735" s="3" t="str">
        <f>HYPERLINK("https://cloud.oebiotech.com/#/lm/network/197866", "https://cloud.oebiotech.com/#/lm/network/197866")</f>
        <v>https://cloud.oebiotech.com/#/lm/network/197866</v>
      </c>
      <c r="H1735" s="2" t="s">
        <v>11813</v>
      </c>
      <c r="I1735" s="2"/>
      <c r="J1735" s="2"/>
      <c r="K1735" s="2"/>
      <c r="L1735" s="2"/>
      <c r="M1735" s="2"/>
      <c r="N1735" s="2"/>
      <c r="O1735" s="2"/>
      <c r="P1735" s="2"/>
      <c r="Q1735" s="2"/>
      <c r="R1735" s="2"/>
      <c r="S1735" s="2" t="s">
        <v>11814</v>
      </c>
      <c r="T1735" s="2" t="s">
        <v>11815</v>
      </c>
      <c r="U1735" s="2" t="s">
        <v>56</v>
      </c>
      <c r="V1735" s="2" t="s">
        <v>145</v>
      </c>
      <c r="W1735" s="2" t="s">
        <v>1188</v>
      </c>
      <c r="X1735" s="2" t="s">
        <v>59</v>
      </c>
      <c r="Y1735" s="2">
        <v>41.1</v>
      </c>
      <c r="Z1735" s="2">
        <v>49.7</v>
      </c>
      <c r="AA1735" s="2" t="s">
        <v>259</v>
      </c>
      <c r="AB1735" s="2" t="s">
        <v>7395</v>
      </c>
      <c r="AC1735" s="2">
        <v>3.1940290461135898</v>
      </c>
      <c r="AD1735" s="2"/>
      <c r="AE1735" s="2">
        <v>0.37114620023414402</v>
      </c>
      <c r="AF1735" s="2">
        <v>9156.4759219630905</v>
      </c>
      <c r="AG1735" s="2">
        <v>5033.3341140565399</v>
      </c>
      <c r="AH1735" s="5">
        <v>1.8191671195424699</v>
      </c>
      <c r="AI1735" s="5">
        <v>0.86327808364924397</v>
      </c>
      <c r="AJ1735" s="5" t="s">
        <v>139</v>
      </c>
      <c r="AK1735" s="2">
        <v>2.3195074646646299E-2</v>
      </c>
      <c r="AL1735" s="2">
        <v>0.235803353043047</v>
      </c>
      <c r="AM1735" s="2">
        <v>6578.16658292186</v>
      </c>
      <c r="AN1735" s="2">
        <v>10559.9611949665</v>
      </c>
      <c r="AO1735" s="2">
        <v>7624.4317108838104</v>
      </c>
      <c r="AP1735" s="2">
        <v>6785.2924778100096</v>
      </c>
      <c r="AQ1735" s="2">
        <v>15271.7983897145</v>
      </c>
      <c r="AR1735" s="2">
        <v>8119.2051754818303</v>
      </c>
      <c r="AS1735" s="2">
        <v>7414.0143030516001</v>
      </c>
      <c r="AT1735" s="2">
        <v>3438.10982229813</v>
      </c>
      <c r="AU1735" s="2">
        <v>6854.2256952037396</v>
      </c>
      <c r="AV1735" s="2">
        <v>3047.93314317877</v>
      </c>
      <c r="AW1735" s="2">
        <v>4263.5018019831696</v>
      </c>
      <c r="AX1735" s="2">
        <v>5182.2199186238504</v>
      </c>
    </row>
    <row r="1736" spans="1:50" x14ac:dyDescent="0.25">
      <c r="A1736" s="2" t="s">
        <v>11816</v>
      </c>
      <c r="B1736" s="2">
        <v>397.18689892025998</v>
      </c>
      <c r="C1736" s="2">
        <v>5.9535</v>
      </c>
      <c r="D1736" s="2" t="s">
        <v>51</v>
      </c>
      <c r="E1736" s="2" t="s">
        <v>11817</v>
      </c>
      <c r="F1736" s="2">
        <v>60103</v>
      </c>
      <c r="G1736" s="3" t="str">
        <f>HYPERLINK("https://cloud.oebiotech.com/#/lm/network/60103", "https://cloud.oebiotech.com/#/lm/network/60103")</f>
        <v>https://cloud.oebiotech.com/#/lm/network/60103</v>
      </c>
      <c r="H1736" s="2" t="s">
        <v>11818</v>
      </c>
      <c r="I1736" s="2">
        <v>91484</v>
      </c>
      <c r="J1736" s="2"/>
      <c r="K1736" s="2">
        <v>131751966</v>
      </c>
      <c r="L1736" s="2"/>
      <c r="M1736" s="2"/>
      <c r="N1736" s="2"/>
      <c r="O1736" s="2">
        <v>168758</v>
      </c>
      <c r="P1736" s="2"/>
      <c r="Q1736" s="2"/>
      <c r="R1736" s="2"/>
      <c r="S1736" s="2" t="s">
        <v>11819</v>
      </c>
      <c r="T1736" s="2" t="s">
        <v>11820</v>
      </c>
      <c r="U1736" s="2" t="s">
        <v>56</v>
      </c>
      <c r="V1736" s="2" t="s">
        <v>145</v>
      </c>
      <c r="W1736" s="2" t="s">
        <v>3263</v>
      </c>
      <c r="X1736" s="2" t="s">
        <v>83</v>
      </c>
      <c r="Y1736" s="2">
        <v>38.6</v>
      </c>
      <c r="Z1736" s="2">
        <v>0</v>
      </c>
      <c r="AA1736" s="2" t="s">
        <v>379</v>
      </c>
      <c r="AB1736" s="2" t="s">
        <v>11821</v>
      </c>
      <c r="AC1736" s="2">
        <v>0.25813739593087598</v>
      </c>
      <c r="AD1736" s="2"/>
      <c r="AE1736" s="2">
        <v>0.37109752784118</v>
      </c>
      <c r="AF1736" s="2">
        <v>3919.4630700601001</v>
      </c>
      <c r="AG1736" s="2">
        <v>1015.56149477439</v>
      </c>
      <c r="AH1736" s="5">
        <v>3.8594049599436802</v>
      </c>
      <c r="AI1736" s="5">
        <v>1.9483784310390999</v>
      </c>
      <c r="AJ1736" s="5" t="s">
        <v>139</v>
      </c>
      <c r="AK1736" s="2">
        <v>1.77865482920955E-2</v>
      </c>
      <c r="AL1736" s="2">
        <v>0.21077592257519201</v>
      </c>
      <c r="AM1736" s="2">
        <v>5108.0103031452099</v>
      </c>
      <c r="AN1736" s="2">
        <v>7336.3890237961996</v>
      </c>
      <c r="AO1736" s="2">
        <v>3020.3130260898902</v>
      </c>
      <c r="AP1736" s="2">
        <v>1731.9133862505</v>
      </c>
      <c r="AQ1736" s="2">
        <v>2072.5699166342201</v>
      </c>
      <c r="AR1736" s="2">
        <v>4247.5827644445699</v>
      </c>
      <c r="AS1736" s="2">
        <v>1711.8774064357201</v>
      </c>
      <c r="AT1736" s="2">
        <v>8.559877937157E-6</v>
      </c>
      <c r="AU1736" s="2">
        <v>3492.0338968445699</v>
      </c>
      <c r="AV1736" s="2">
        <v>128.01316175547399</v>
      </c>
      <c r="AW1736" s="2">
        <v>599.94258156057799</v>
      </c>
      <c r="AX1736" s="2">
        <v>161.50191349011399</v>
      </c>
    </row>
    <row r="1737" spans="1:50" x14ac:dyDescent="0.25">
      <c r="A1737" s="2" t="s">
        <v>11822</v>
      </c>
      <c r="B1737" s="2">
        <v>520.34225968436897</v>
      </c>
      <c r="C1737" s="2">
        <v>11.210366666666699</v>
      </c>
      <c r="D1737" s="2" t="s">
        <v>51</v>
      </c>
      <c r="E1737" s="2" t="s">
        <v>11823</v>
      </c>
      <c r="F1737" s="2">
        <v>199355</v>
      </c>
      <c r="G1737" s="3" t="str">
        <f>HYPERLINK("https://cloud.oebiotech.com/#/lm/network/199355", "https://cloud.oebiotech.com/#/lm/network/199355")</f>
        <v>https://cloud.oebiotech.com/#/lm/network/199355</v>
      </c>
      <c r="H1737" s="2" t="s">
        <v>11824</v>
      </c>
      <c r="I1737" s="2"/>
      <c r="J1737" s="2"/>
      <c r="K1737" s="2">
        <v>1363</v>
      </c>
      <c r="L1737" s="2"/>
      <c r="M1737" s="2"/>
      <c r="N1737" s="2"/>
      <c r="O1737" s="2"/>
      <c r="P1737" s="2"/>
      <c r="Q1737" s="2"/>
      <c r="R1737" s="2"/>
      <c r="S1737" s="2" t="s">
        <v>11825</v>
      </c>
      <c r="T1737" s="2" t="s">
        <v>11826</v>
      </c>
      <c r="U1737" s="2" t="s">
        <v>56</v>
      </c>
      <c r="V1737" s="2" t="s">
        <v>57</v>
      </c>
      <c r="W1737" s="2" t="s">
        <v>58</v>
      </c>
      <c r="X1737" s="2" t="s">
        <v>83</v>
      </c>
      <c r="Y1737" s="2">
        <v>48.1</v>
      </c>
      <c r="Z1737" s="2">
        <v>0</v>
      </c>
      <c r="AA1737" s="2" t="s">
        <v>156</v>
      </c>
      <c r="AB1737" s="2" t="s">
        <v>8302</v>
      </c>
      <c r="AC1737" s="2">
        <v>4.6407512464401997</v>
      </c>
      <c r="AD1737" s="2"/>
      <c r="AE1737" s="2">
        <v>0.37022524365303</v>
      </c>
      <c r="AF1737" s="2">
        <v>7928.5858236930799</v>
      </c>
      <c r="AG1737" s="2">
        <v>11711.330944085201</v>
      </c>
      <c r="AH1737" s="4">
        <v>0.67700126156006102</v>
      </c>
      <c r="AI1737" s="4">
        <v>-0.56276957269012196</v>
      </c>
      <c r="AJ1737" s="4" t="s">
        <v>62</v>
      </c>
      <c r="AK1737" s="2">
        <v>3.1473183979382299E-2</v>
      </c>
      <c r="AL1737" s="2">
        <v>0.26207053756745102</v>
      </c>
      <c r="AM1737" s="2">
        <v>8381.0312446116204</v>
      </c>
      <c r="AN1737" s="2">
        <v>10242.5921904267</v>
      </c>
      <c r="AO1737" s="2">
        <v>7063.5700423181097</v>
      </c>
      <c r="AP1737" s="2">
        <v>7426.6154670022797</v>
      </c>
      <c r="AQ1737" s="2">
        <v>6471.3154890075602</v>
      </c>
      <c r="AR1737" s="2">
        <v>7986.3905087922003</v>
      </c>
      <c r="AS1737" s="2">
        <v>9029.1647305213901</v>
      </c>
      <c r="AT1737" s="2">
        <v>6041.4737520735798</v>
      </c>
      <c r="AU1737" s="2">
        <v>14441.9992758058</v>
      </c>
      <c r="AV1737" s="2">
        <v>14923.5884593633</v>
      </c>
      <c r="AW1737" s="2">
        <v>12970.532830713</v>
      </c>
      <c r="AX1737" s="2">
        <v>12861.226616034301</v>
      </c>
    </row>
    <row r="1738" spans="1:50" x14ac:dyDescent="0.25">
      <c r="A1738" s="2" t="s">
        <v>11827</v>
      </c>
      <c r="B1738" s="2">
        <v>226.01174402086201</v>
      </c>
      <c r="C1738" s="2">
        <v>0.77381666666666704</v>
      </c>
      <c r="D1738" s="2" t="s">
        <v>51</v>
      </c>
      <c r="E1738" s="2" t="s">
        <v>11828</v>
      </c>
      <c r="F1738" s="2">
        <v>47462</v>
      </c>
      <c r="G1738" s="3" t="str">
        <f>HYPERLINK("https://cloud.oebiotech.com/#/lm/network/47462", "https://cloud.oebiotech.com/#/lm/network/47462")</f>
        <v>https://cloud.oebiotech.com/#/lm/network/47462</v>
      </c>
      <c r="H1738" s="2" t="s">
        <v>11829</v>
      </c>
      <c r="I1738" s="2">
        <v>63480</v>
      </c>
      <c r="J1738" s="2"/>
      <c r="K1738" s="2">
        <v>193475</v>
      </c>
      <c r="L1738" s="2" t="s">
        <v>11830</v>
      </c>
      <c r="M1738" s="2" t="s">
        <v>1194</v>
      </c>
      <c r="N1738" s="2" t="s">
        <v>1195</v>
      </c>
      <c r="O1738" s="2">
        <v>17798</v>
      </c>
      <c r="P1738" s="2"/>
      <c r="Q1738" s="2"/>
      <c r="R1738" s="2" t="s">
        <v>11831</v>
      </c>
      <c r="S1738" s="2" t="s">
        <v>11832</v>
      </c>
      <c r="T1738" s="2" t="s">
        <v>11833</v>
      </c>
      <c r="U1738" s="2" t="s">
        <v>103</v>
      </c>
      <c r="V1738" s="2" t="s">
        <v>104</v>
      </c>
      <c r="W1738" s="2" t="s">
        <v>105</v>
      </c>
      <c r="X1738" s="2" t="s">
        <v>83</v>
      </c>
      <c r="Y1738" s="2">
        <v>45.3</v>
      </c>
      <c r="Z1738" s="2">
        <v>30</v>
      </c>
      <c r="AA1738" s="2" t="s">
        <v>163</v>
      </c>
      <c r="AB1738" s="2" t="s">
        <v>11834</v>
      </c>
      <c r="AC1738" s="2">
        <v>-2.0607902942108201</v>
      </c>
      <c r="AD1738" s="2"/>
      <c r="AE1738" s="2">
        <v>0.37010326878198702</v>
      </c>
      <c r="AF1738" s="2">
        <v>7825.1691398149997</v>
      </c>
      <c r="AG1738" s="2">
        <v>3429.6716547278602</v>
      </c>
      <c r="AH1738" s="5">
        <v>2.28160883244548</v>
      </c>
      <c r="AI1738" s="5">
        <v>1.19005147179128</v>
      </c>
      <c r="AJ1738" s="5" t="s">
        <v>139</v>
      </c>
      <c r="AK1738" s="2">
        <v>0.53204326557183401</v>
      </c>
      <c r="AL1738" s="2">
        <v>0.75913022535447705</v>
      </c>
      <c r="AM1738" s="2">
        <v>38229.314025180298</v>
      </c>
      <c r="AN1738" s="2">
        <v>8.559877937157E-6</v>
      </c>
      <c r="AO1738" s="2">
        <v>8.559877937157E-6</v>
      </c>
      <c r="AP1738" s="2">
        <v>7434.9857832984599</v>
      </c>
      <c r="AQ1738" s="2">
        <v>840.79177130327696</v>
      </c>
      <c r="AR1738" s="2">
        <v>445.92324198822701</v>
      </c>
      <c r="AS1738" s="2">
        <v>737.90873316670195</v>
      </c>
      <c r="AT1738" s="2">
        <v>823.17698352433104</v>
      </c>
      <c r="AU1738" s="2">
        <v>17350.875495716002</v>
      </c>
      <c r="AV1738" s="2">
        <v>1125.73725305228</v>
      </c>
      <c r="AW1738" s="2">
        <v>8.559877937157E-6</v>
      </c>
      <c r="AX1738" s="2">
        <v>540.33145434795904</v>
      </c>
    </row>
    <row r="1739" spans="1:50" x14ac:dyDescent="0.25">
      <c r="A1739" s="2" t="s">
        <v>11835</v>
      </c>
      <c r="B1739" s="2">
        <v>529.300028386603</v>
      </c>
      <c r="C1739" s="2">
        <v>4.0892666666666697</v>
      </c>
      <c r="D1739" s="2" t="s">
        <v>51</v>
      </c>
      <c r="E1739" s="2" t="s">
        <v>11836</v>
      </c>
      <c r="F1739" s="2">
        <v>18027</v>
      </c>
      <c r="G1739" s="3" t="str">
        <f>HYPERLINK("https://cloud.oebiotech.com/#/lm/network/18027", "https://cloud.oebiotech.com/#/lm/network/18027")</f>
        <v>https://cloud.oebiotech.com/#/lm/network/18027</v>
      </c>
      <c r="H1739" s="2"/>
      <c r="I1739" s="2"/>
      <c r="J1739" s="2" t="s">
        <v>11837</v>
      </c>
      <c r="K1739" s="2">
        <v>101740647</v>
      </c>
      <c r="L1739" s="2"/>
      <c r="M1739" s="2"/>
      <c r="N1739" s="2"/>
      <c r="O1739" s="2"/>
      <c r="P1739" s="2"/>
      <c r="Q1739" s="2"/>
      <c r="R1739" s="2"/>
      <c r="S1739" s="2" t="s">
        <v>11838</v>
      </c>
      <c r="T1739" s="2" t="s">
        <v>11839</v>
      </c>
      <c r="U1739" s="2" t="s">
        <v>56</v>
      </c>
      <c r="V1739" s="2" t="s">
        <v>145</v>
      </c>
      <c r="W1739" s="2" t="s">
        <v>187</v>
      </c>
      <c r="X1739" s="2" t="s">
        <v>147</v>
      </c>
      <c r="Y1739" s="2">
        <v>39.799999999999997</v>
      </c>
      <c r="Z1739" s="2">
        <v>6.72</v>
      </c>
      <c r="AA1739" s="2" t="s">
        <v>259</v>
      </c>
      <c r="AB1739" s="2" t="s">
        <v>11840</v>
      </c>
      <c r="AC1739" s="2">
        <v>-1.31679103745811</v>
      </c>
      <c r="AD1739" s="2"/>
      <c r="AE1739" s="2">
        <v>0.369897399789203</v>
      </c>
      <c r="AF1739" s="2">
        <v>9903.3438008059093</v>
      </c>
      <c r="AG1739" s="2">
        <v>3813.7752702542498</v>
      </c>
      <c r="AH1739" s="5">
        <v>2.5967297753613301</v>
      </c>
      <c r="AI1739" s="5">
        <v>1.37669589001551</v>
      </c>
      <c r="AJ1739" s="5" t="s">
        <v>139</v>
      </c>
      <c r="AK1739" s="2">
        <v>0.342869387354167</v>
      </c>
      <c r="AL1739" s="2">
        <v>0.63815037094278604</v>
      </c>
      <c r="AM1739" s="2">
        <v>30339.877591445002</v>
      </c>
      <c r="AN1739" s="2">
        <v>0.122854148706271</v>
      </c>
      <c r="AO1739" s="2">
        <v>8.559877937157E-6</v>
      </c>
      <c r="AP1739" s="2">
        <v>8.559877937157E-6</v>
      </c>
      <c r="AQ1739" s="2">
        <v>22124.264242725501</v>
      </c>
      <c r="AR1739" s="2">
        <v>6955.7980993964702</v>
      </c>
      <c r="AS1739" s="2">
        <v>8.559877937157E-6</v>
      </c>
      <c r="AT1739" s="2">
        <v>8.559877937157E-6</v>
      </c>
      <c r="AU1739" s="2">
        <v>1.0364879916379199</v>
      </c>
      <c r="AV1739" s="2">
        <v>17671.423325682001</v>
      </c>
      <c r="AW1739" s="2">
        <v>0.25906688927843202</v>
      </c>
      <c r="AX1739" s="2">
        <v>5209.9327238428496</v>
      </c>
    </row>
    <row r="1740" spans="1:50" x14ac:dyDescent="0.25">
      <c r="A1740" s="2" t="s">
        <v>11841</v>
      </c>
      <c r="B1740" s="2">
        <v>838.56061389073295</v>
      </c>
      <c r="C1740" s="2">
        <v>10.82375</v>
      </c>
      <c r="D1740" s="2" t="s">
        <v>51</v>
      </c>
      <c r="E1740" s="2" t="s">
        <v>11842</v>
      </c>
      <c r="F1740" s="2">
        <v>134061</v>
      </c>
      <c r="G1740" s="3" t="str">
        <f>HYPERLINK("https://cloud.oebiotech.com/#/lm/network/134061", "https://cloud.oebiotech.com/#/lm/network/134061")</f>
        <v>https://cloud.oebiotech.com/#/lm/network/134061</v>
      </c>
      <c r="H1740" s="2" t="s">
        <v>11843</v>
      </c>
      <c r="I1740" s="2"/>
      <c r="J1740" s="2"/>
      <c r="K1740" s="2">
        <v>131821068</v>
      </c>
      <c r="L1740" s="2"/>
      <c r="M1740" s="2"/>
      <c r="N1740" s="2"/>
      <c r="O1740" s="2"/>
      <c r="P1740" s="2"/>
      <c r="Q1740" s="2"/>
      <c r="R1740" s="2"/>
      <c r="S1740" s="2" t="s">
        <v>11844</v>
      </c>
      <c r="T1740" s="2" t="s">
        <v>11845</v>
      </c>
      <c r="U1740" s="2" t="s">
        <v>56</v>
      </c>
      <c r="V1740" s="2" t="s">
        <v>57</v>
      </c>
      <c r="W1740" s="2" t="s">
        <v>155</v>
      </c>
      <c r="X1740" s="2" t="s">
        <v>59</v>
      </c>
      <c r="Y1740" s="2">
        <v>45.2</v>
      </c>
      <c r="Z1740" s="2">
        <v>51</v>
      </c>
      <c r="AA1740" s="2" t="s">
        <v>218</v>
      </c>
      <c r="AB1740" s="2" t="s">
        <v>578</v>
      </c>
      <c r="AC1740" s="2">
        <v>0.32242446459464202</v>
      </c>
      <c r="AD1740" s="2"/>
      <c r="AE1740" s="2">
        <v>0.36952707218023301</v>
      </c>
      <c r="AF1740" s="2">
        <v>125804.556241161</v>
      </c>
      <c r="AG1740" s="2">
        <v>113838.375363447</v>
      </c>
      <c r="AH1740" s="5">
        <v>1.10511552751442</v>
      </c>
      <c r="AI1740" s="5">
        <v>0.144197195191409</v>
      </c>
      <c r="AJ1740" s="5" t="s">
        <v>139</v>
      </c>
      <c r="AK1740" s="2">
        <v>0.73476264155283699</v>
      </c>
      <c r="AL1740" s="2">
        <v>0.878253634567987</v>
      </c>
      <c r="AM1740" s="2">
        <v>220731.50193792101</v>
      </c>
      <c r="AN1740" s="2">
        <v>106129.95902027701</v>
      </c>
      <c r="AO1740" s="2">
        <v>104484.342994686</v>
      </c>
      <c r="AP1740" s="2">
        <v>72225.598065420098</v>
      </c>
      <c r="AQ1740" s="2">
        <v>99406.219679516696</v>
      </c>
      <c r="AR1740" s="2">
        <v>151849.71574914499</v>
      </c>
      <c r="AS1740" s="2">
        <v>58493.275674604098</v>
      </c>
      <c r="AT1740" s="2">
        <v>48250.280265500602</v>
      </c>
      <c r="AU1740" s="2">
        <v>124450.28484573201</v>
      </c>
      <c r="AV1740" s="2">
        <v>183528.151164793</v>
      </c>
      <c r="AW1740" s="2">
        <v>197916.18279295901</v>
      </c>
      <c r="AX1740" s="2">
        <v>70392.077437094398</v>
      </c>
    </row>
    <row r="1741" spans="1:50" x14ac:dyDescent="0.25">
      <c r="A1741" s="2" t="s">
        <v>11846</v>
      </c>
      <c r="B1741" s="2">
        <v>504.30967492163597</v>
      </c>
      <c r="C1741" s="2">
        <v>10.5512333333333</v>
      </c>
      <c r="D1741" s="2" t="s">
        <v>51</v>
      </c>
      <c r="E1741" s="2" t="s">
        <v>11847</v>
      </c>
      <c r="F1741" s="2">
        <v>198124</v>
      </c>
      <c r="G1741" s="3" t="str">
        <f>HYPERLINK("https://cloud.oebiotech.com/#/lm/network/198124", "https://cloud.oebiotech.com/#/lm/network/198124")</f>
        <v>https://cloud.oebiotech.com/#/lm/network/198124</v>
      </c>
      <c r="H1741" s="2" t="s">
        <v>11848</v>
      </c>
      <c r="I1741" s="2"/>
      <c r="J1741" s="2"/>
      <c r="K1741" s="2"/>
      <c r="L1741" s="2"/>
      <c r="M1741" s="2"/>
      <c r="N1741" s="2"/>
      <c r="O1741" s="2"/>
      <c r="P1741" s="2"/>
      <c r="Q1741" s="2"/>
      <c r="R1741" s="2"/>
      <c r="S1741" s="2" t="s">
        <v>11849</v>
      </c>
      <c r="T1741" s="2" t="s">
        <v>11850</v>
      </c>
      <c r="U1741" s="2" t="s">
        <v>56</v>
      </c>
      <c r="V1741" s="2" t="s">
        <v>145</v>
      </c>
      <c r="W1741" s="2" t="s">
        <v>1188</v>
      </c>
      <c r="X1741" s="2" t="s">
        <v>69</v>
      </c>
      <c r="Y1741" s="2">
        <v>61.8</v>
      </c>
      <c r="Z1741" s="2">
        <v>71.8</v>
      </c>
      <c r="AA1741" s="2" t="s">
        <v>395</v>
      </c>
      <c r="AB1741" s="2" t="s">
        <v>11851</v>
      </c>
      <c r="AC1741" s="2">
        <v>2.3492908498345302</v>
      </c>
      <c r="AD1741" s="2"/>
      <c r="AE1741" s="2">
        <v>0.36934933865818997</v>
      </c>
      <c r="AF1741" s="2">
        <v>35181.424710337</v>
      </c>
      <c r="AG1741" s="2">
        <v>44956.877983212202</v>
      </c>
      <c r="AH1741" s="4">
        <v>0.78255933882852002</v>
      </c>
      <c r="AI1741" s="4">
        <v>-0.35372794400775498</v>
      </c>
      <c r="AJ1741" s="4" t="s">
        <v>62</v>
      </c>
      <c r="AK1741" s="2">
        <v>0.322752036117819</v>
      </c>
      <c r="AL1741" s="2">
        <v>0.62992073899545697</v>
      </c>
      <c r="AM1741" s="2">
        <v>57348.540351175398</v>
      </c>
      <c r="AN1741" s="2">
        <v>32713.673294022599</v>
      </c>
      <c r="AO1741" s="2">
        <v>25454.7461433436</v>
      </c>
      <c r="AP1741" s="2">
        <v>43200.662914876302</v>
      </c>
      <c r="AQ1741" s="2">
        <v>26034.0011281033</v>
      </c>
      <c r="AR1741" s="2">
        <v>26336.9244305008</v>
      </c>
      <c r="AS1741" s="2">
        <v>22624.3093544283</v>
      </c>
      <c r="AT1741" s="2">
        <v>21915.776347522999</v>
      </c>
      <c r="AU1741" s="2">
        <v>65070.461468434201</v>
      </c>
      <c r="AV1741" s="2">
        <v>64449.488743615701</v>
      </c>
      <c r="AW1741" s="2">
        <v>47335.045713118801</v>
      </c>
      <c r="AX1741" s="2">
        <v>48346.186272153303</v>
      </c>
    </row>
    <row r="1742" spans="1:50" x14ac:dyDescent="0.25">
      <c r="A1742" s="2" t="s">
        <v>11852</v>
      </c>
      <c r="B1742" s="2">
        <v>359.10902700323601</v>
      </c>
      <c r="C1742" s="2">
        <v>8.3676499999999994</v>
      </c>
      <c r="D1742" s="2" t="s">
        <v>51</v>
      </c>
      <c r="E1742" s="2" t="s">
        <v>11853</v>
      </c>
      <c r="F1742" s="2">
        <v>62240</v>
      </c>
      <c r="G1742" s="3" t="str">
        <f>HYPERLINK("https://cloud.oebiotech.com/#/lm/network/62240", "https://cloud.oebiotech.com/#/lm/network/62240")</f>
        <v>https://cloud.oebiotech.com/#/lm/network/62240</v>
      </c>
      <c r="H1742" s="2" t="s">
        <v>11854</v>
      </c>
      <c r="I1742" s="2">
        <v>93528</v>
      </c>
      <c r="J1742" s="2"/>
      <c r="K1742" s="2">
        <v>85775343</v>
      </c>
      <c r="L1742" s="2"/>
      <c r="M1742" s="2"/>
      <c r="N1742" s="2"/>
      <c r="O1742" s="2"/>
      <c r="P1742" s="2"/>
      <c r="Q1742" s="2"/>
      <c r="R1742" s="2" t="s">
        <v>11855</v>
      </c>
      <c r="S1742" s="2" t="s">
        <v>11856</v>
      </c>
      <c r="T1742" s="2" t="s">
        <v>11857</v>
      </c>
      <c r="U1742" s="2" t="s">
        <v>56</v>
      </c>
      <c r="V1742" s="2" t="s">
        <v>145</v>
      </c>
      <c r="W1742" s="2" t="s">
        <v>1543</v>
      </c>
      <c r="X1742" s="2" t="s">
        <v>147</v>
      </c>
      <c r="Y1742" s="2">
        <v>38.700000000000003</v>
      </c>
      <c r="Z1742" s="2">
        <v>0</v>
      </c>
      <c r="AA1742" s="2" t="s">
        <v>478</v>
      </c>
      <c r="AB1742" s="2" t="s">
        <v>11858</v>
      </c>
      <c r="AC1742" s="2">
        <v>3.5368781933152298</v>
      </c>
      <c r="AD1742" s="2"/>
      <c r="AE1742" s="2">
        <v>0.36922630128108302</v>
      </c>
      <c r="AF1742" s="2">
        <v>5841.1243408139899</v>
      </c>
      <c r="AG1742" s="2">
        <v>2303.3359124549402</v>
      </c>
      <c r="AH1742" s="5">
        <v>2.5359411578784501</v>
      </c>
      <c r="AI1742" s="5">
        <v>1.34252127062644</v>
      </c>
      <c r="AJ1742" s="5" t="s">
        <v>139</v>
      </c>
      <c r="AK1742" s="2">
        <v>7.3127586553528898E-2</v>
      </c>
      <c r="AL1742" s="2">
        <v>0.35436676551019203</v>
      </c>
      <c r="AM1742" s="2">
        <v>8837.68619080793</v>
      </c>
      <c r="AN1742" s="2">
        <v>10830.189827369501</v>
      </c>
      <c r="AO1742" s="2">
        <v>2866.4582700594101</v>
      </c>
      <c r="AP1742" s="2">
        <v>2572.8142373963601</v>
      </c>
      <c r="AQ1742" s="2">
        <v>2281.5277826822498</v>
      </c>
      <c r="AR1742" s="2">
        <v>7658.06973656847</v>
      </c>
      <c r="AS1742" s="2">
        <v>3694.3839700185299</v>
      </c>
      <c r="AT1742" s="2">
        <v>1710.77997593294</v>
      </c>
      <c r="AU1742" s="2">
        <v>2123.2495817796698</v>
      </c>
      <c r="AV1742" s="2">
        <v>384.13610641584501</v>
      </c>
      <c r="AW1742" s="2">
        <v>8.559877937157E-6</v>
      </c>
      <c r="AX1742" s="2">
        <v>5907.46583202277</v>
      </c>
    </row>
    <row r="1743" spans="1:50" x14ac:dyDescent="0.25">
      <c r="A1743" s="2" t="s">
        <v>11859</v>
      </c>
      <c r="B1743" s="2">
        <v>401.29077031437203</v>
      </c>
      <c r="C1743" s="2">
        <v>12.708216666666701</v>
      </c>
      <c r="D1743" s="2" t="s">
        <v>51</v>
      </c>
      <c r="E1743" s="2" t="s">
        <v>11860</v>
      </c>
      <c r="F1743" s="2">
        <v>10441</v>
      </c>
      <c r="G1743" s="3" t="str">
        <f>HYPERLINK("https://cloud.oebiotech.com/#/lm/network/10441", "https://cloud.oebiotech.com/#/lm/network/10441")</f>
        <v>https://cloud.oebiotech.com/#/lm/network/10441</v>
      </c>
      <c r="H1743" s="2" t="s">
        <v>11861</v>
      </c>
      <c r="I1743" s="2">
        <v>62321</v>
      </c>
      <c r="J1743" s="2" t="s">
        <v>11862</v>
      </c>
      <c r="K1743" s="2">
        <v>5319879</v>
      </c>
      <c r="L1743" s="2"/>
      <c r="M1743" s="2"/>
      <c r="N1743" s="2"/>
      <c r="O1743" s="2">
        <v>73990</v>
      </c>
      <c r="P1743" s="2"/>
      <c r="Q1743" s="2"/>
      <c r="R1743" s="2" t="s">
        <v>11863</v>
      </c>
      <c r="S1743" s="2" t="s">
        <v>11864</v>
      </c>
      <c r="T1743" s="2" t="s">
        <v>11865</v>
      </c>
      <c r="U1743" s="2" t="s">
        <v>56</v>
      </c>
      <c r="V1743" s="2" t="s">
        <v>3215</v>
      </c>
      <c r="W1743" s="2" t="s">
        <v>4174</v>
      </c>
      <c r="X1743" s="2" t="s">
        <v>83</v>
      </c>
      <c r="Y1743" s="2">
        <v>49</v>
      </c>
      <c r="Z1743" s="2">
        <v>0</v>
      </c>
      <c r="AA1743" s="2" t="s">
        <v>218</v>
      </c>
      <c r="AB1743" s="2" t="s">
        <v>11866</v>
      </c>
      <c r="AC1743" s="2">
        <v>-0.25910348044592102</v>
      </c>
      <c r="AD1743" s="2"/>
      <c r="AE1743" s="2">
        <v>0.36908498832259601</v>
      </c>
      <c r="AF1743" s="2">
        <v>6167.1287941172504</v>
      </c>
      <c r="AG1743" s="2">
        <v>14910.6575956052</v>
      </c>
      <c r="AH1743" s="4">
        <v>0.41360541978611198</v>
      </c>
      <c r="AI1743" s="4">
        <v>-1.2736730043812401</v>
      </c>
      <c r="AJ1743" s="4" t="s">
        <v>62</v>
      </c>
      <c r="AK1743" s="2">
        <v>0.177840720129506</v>
      </c>
      <c r="AL1743" s="2">
        <v>0.50016964033448896</v>
      </c>
      <c r="AM1743" s="2">
        <v>8537.1160206265504</v>
      </c>
      <c r="AN1743" s="2">
        <v>4697.6398907313596</v>
      </c>
      <c r="AO1743" s="2">
        <v>5548.4672504480204</v>
      </c>
      <c r="AP1743" s="2">
        <v>3667.3541838852502</v>
      </c>
      <c r="AQ1743" s="2">
        <v>8630.2465226269105</v>
      </c>
      <c r="AR1743" s="2">
        <v>5921.9488963854001</v>
      </c>
      <c r="AS1743" s="2">
        <v>2822.44083463072</v>
      </c>
      <c r="AT1743" s="2">
        <v>9956.6896093863306</v>
      </c>
      <c r="AU1743" s="2">
        <v>43404.723500189699</v>
      </c>
      <c r="AV1743" s="2">
        <v>14181.9885508099</v>
      </c>
      <c r="AW1743" s="2">
        <v>13456.8749982219</v>
      </c>
      <c r="AX1743" s="2">
        <v>5641.2280803924104</v>
      </c>
    </row>
    <row r="1744" spans="1:50" x14ac:dyDescent="0.25">
      <c r="A1744" s="2" t="s">
        <v>11867</v>
      </c>
      <c r="B1744" s="2">
        <v>280.13027858817202</v>
      </c>
      <c r="C1744" s="2">
        <v>3.4837333333333298</v>
      </c>
      <c r="D1744" s="2" t="s">
        <v>51</v>
      </c>
      <c r="E1744" s="2" t="s">
        <v>11868</v>
      </c>
      <c r="F1744" s="2">
        <v>53777</v>
      </c>
      <c r="G1744" s="3" t="str">
        <f>HYPERLINK("https://cloud.oebiotech.com/#/lm/network/53777", "https://cloud.oebiotech.com/#/lm/network/53777")</f>
        <v>https://cloud.oebiotech.com/#/lm/network/53777</v>
      </c>
      <c r="H1744" s="2" t="s">
        <v>11869</v>
      </c>
      <c r="I1744" s="2">
        <v>23675</v>
      </c>
      <c r="J1744" s="2"/>
      <c r="K1744" s="2">
        <v>18218184</v>
      </c>
      <c r="L1744" s="2"/>
      <c r="M1744" s="2"/>
      <c r="N1744" s="2"/>
      <c r="O1744" s="2"/>
      <c r="P1744" s="2"/>
      <c r="Q1744" s="2"/>
      <c r="R1744" s="2"/>
      <c r="S1744" s="2" t="s">
        <v>11870</v>
      </c>
      <c r="T1744" s="2" t="s">
        <v>11871</v>
      </c>
      <c r="U1744" s="2" t="s">
        <v>103</v>
      </c>
      <c r="V1744" s="2" t="s">
        <v>104</v>
      </c>
      <c r="W1744" s="2" t="s">
        <v>105</v>
      </c>
      <c r="X1744" s="2" t="s">
        <v>69</v>
      </c>
      <c r="Y1744" s="2">
        <v>58.1</v>
      </c>
      <c r="Z1744" s="2">
        <v>93.1</v>
      </c>
      <c r="AA1744" s="2" t="s">
        <v>259</v>
      </c>
      <c r="AB1744" s="2" t="s">
        <v>11872</v>
      </c>
      <c r="AC1744" s="2">
        <v>3.92702370580606</v>
      </c>
      <c r="AD1744" s="2"/>
      <c r="AE1744" s="2">
        <v>0.36907426813294503</v>
      </c>
      <c r="AF1744" s="2">
        <v>27247.359261950001</v>
      </c>
      <c r="AG1744" s="2">
        <v>19830.283914168202</v>
      </c>
      <c r="AH1744" s="5">
        <v>1.3740276931931601</v>
      </c>
      <c r="AI1744" s="5">
        <v>0.45841108161585098</v>
      </c>
      <c r="AJ1744" s="5" t="s">
        <v>139</v>
      </c>
      <c r="AK1744" s="2">
        <v>0.38628025570144903</v>
      </c>
      <c r="AL1744" s="2">
        <v>0.66248209509918998</v>
      </c>
      <c r="AM1744" s="2">
        <v>24541.951092736901</v>
      </c>
      <c r="AN1744" s="2">
        <v>34045.8510030658</v>
      </c>
      <c r="AO1744" s="2">
        <v>25764.721160399698</v>
      </c>
      <c r="AP1744" s="2">
        <v>20615.1180373483</v>
      </c>
      <c r="AQ1744" s="2">
        <v>17486.2338535663</v>
      </c>
      <c r="AR1744" s="2">
        <v>41030.280424582699</v>
      </c>
      <c r="AS1744" s="2">
        <v>3660.1717454555101</v>
      </c>
      <c r="AT1744" s="2">
        <v>24160.155294770298</v>
      </c>
      <c r="AU1744" s="2">
        <v>17687.5341309541</v>
      </c>
      <c r="AV1744" s="2">
        <v>8098.0161954655696</v>
      </c>
      <c r="AW1744" s="2">
        <v>11796.9813254772</v>
      </c>
      <c r="AX1744" s="2">
        <v>53578.844792886397</v>
      </c>
    </row>
    <row r="1745" spans="1:50" x14ac:dyDescent="0.25">
      <c r="A1745" s="2" t="s">
        <v>11873</v>
      </c>
      <c r="B1745" s="2">
        <v>921.43389846746004</v>
      </c>
      <c r="C1745" s="2">
        <v>4.6687166666666702</v>
      </c>
      <c r="D1745" s="2" t="s">
        <v>51</v>
      </c>
      <c r="E1745" s="2" t="s">
        <v>11874</v>
      </c>
      <c r="F1745" s="2">
        <v>17993</v>
      </c>
      <c r="G1745" s="3" t="str">
        <f>HYPERLINK("https://cloud.oebiotech.com/#/lm/network/17993", "https://cloud.oebiotech.com/#/lm/network/17993")</f>
        <v>https://cloud.oebiotech.com/#/lm/network/17993</v>
      </c>
      <c r="H1745" s="2"/>
      <c r="I1745" s="2"/>
      <c r="J1745" s="2" t="s">
        <v>11875</v>
      </c>
      <c r="K1745" s="2">
        <v>137323895</v>
      </c>
      <c r="L1745" s="2"/>
      <c r="M1745" s="2"/>
      <c r="N1745" s="2"/>
      <c r="O1745" s="2"/>
      <c r="P1745" s="2"/>
      <c r="Q1745" s="2"/>
      <c r="R1745" s="2"/>
      <c r="S1745" s="2" t="s">
        <v>11876</v>
      </c>
      <c r="T1745" s="2" t="s">
        <v>11877</v>
      </c>
      <c r="U1745" s="2" t="s">
        <v>103</v>
      </c>
      <c r="V1745" s="2" t="s">
        <v>104</v>
      </c>
      <c r="W1745" s="2" t="s">
        <v>1139</v>
      </c>
      <c r="X1745" s="2" t="s">
        <v>147</v>
      </c>
      <c r="Y1745" s="2">
        <v>36.700000000000003</v>
      </c>
      <c r="Z1745" s="2">
        <v>0</v>
      </c>
      <c r="AA1745" s="2" t="s">
        <v>395</v>
      </c>
      <c r="AB1745" s="2" t="s">
        <v>11878</v>
      </c>
      <c r="AC1745" s="2">
        <v>6.4245534073401195E-2</v>
      </c>
      <c r="AD1745" s="2"/>
      <c r="AE1745" s="2">
        <v>0.369058420725704</v>
      </c>
      <c r="AF1745" s="2">
        <v>10532.485546793299</v>
      </c>
      <c r="AG1745" s="2">
        <v>16411.049738557998</v>
      </c>
      <c r="AH1745" s="4">
        <v>0.64179231155744099</v>
      </c>
      <c r="AI1745" s="4">
        <v>-0.63982158813518897</v>
      </c>
      <c r="AJ1745" s="4" t="s">
        <v>62</v>
      </c>
      <c r="AK1745" s="2">
        <v>0.52731367951554697</v>
      </c>
      <c r="AL1745" s="2">
        <v>0.75541578468508697</v>
      </c>
      <c r="AM1745" s="2">
        <v>1771.6549830220999</v>
      </c>
      <c r="AN1745" s="2">
        <v>1761.16530419422</v>
      </c>
      <c r="AO1745" s="2">
        <v>14333.8236755705</v>
      </c>
      <c r="AP1745" s="2">
        <v>14008.367056032201</v>
      </c>
      <c r="AQ1745" s="2">
        <v>8673.1506133799103</v>
      </c>
      <c r="AR1745" s="2">
        <v>22646.751648560701</v>
      </c>
      <c r="AS1745" s="2">
        <v>35978.538020809297</v>
      </c>
      <c r="AT1745" s="2">
        <v>8877.18936968036</v>
      </c>
      <c r="AU1745" s="2">
        <v>8.559877937157E-6</v>
      </c>
      <c r="AV1745" s="2">
        <v>4643.0534326269999</v>
      </c>
      <c r="AW1745" s="2">
        <v>935.431521730246</v>
      </c>
      <c r="AX1745" s="2">
        <v>48032.086077941203</v>
      </c>
    </row>
    <row r="1746" spans="1:50" x14ac:dyDescent="0.25">
      <c r="A1746" s="2" t="s">
        <v>11879</v>
      </c>
      <c r="B1746" s="2">
        <v>472.34985985684199</v>
      </c>
      <c r="C1746" s="2">
        <v>6.3332833333333296</v>
      </c>
      <c r="D1746" s="2" t="s">
        <v>51</v>
      </c>
      <c r="E1746" s="2" t="s">
        <v>11880</v>
      </c>
      <c r="F1746" s="2">
        <v>257551</v>
      </c>
      <c r="G1746" s="3" t="str">
        <f>HYPERLINK("https://cloud.oebiotech.com/#/lm/network/257551", "https://cloud.oebiotech.com/#/lm/network/257551")</f>
        <v>https://cloud.oebiotech.com/#/lm/network/257551</v>
      </c>
      <c r="H1746" s="2" t="s">
        <v>11881</v>
      </c>
      <c r="I1746" s="2">
        <v>162431</v>
      </c>
      <c r="J1746" s="2"/>
      <c r="K1746" s="2">
        <v>18295197</v>
      </c>
      <c r="L1746" s="2"/>
      <c r="M1746" s="2"/>
      <c r="N1746" s="2"/>
      <c r="O1746" s="2"/>
      <c r="P1746" s="2"/>
      <c r="Q1746" s="2"/>
      <c r="R1746" s="2"/>
      <c r="S1746" s="2" t="s">
        <v>11882</v>
      </c>
      <c r="T1746" s="2" t="s">
        <v>11883</v>
      </c>
      <c r="U1746" s="2" t="s">
        <v>103</v>
      </c>
      <c r="V1746" s="2" t="s">
        <v>104</v>
      </c>
      <c r="W1746" s="2" t="s">
        <v>105</v>
      </c>
      <c r="X1746" s="2" t="s">
        <v>69</v>
      </c>
      <c r="Y1746" s="2">
        <v>57.8</v>
      </c>
      <c r="Z1746" s="2">
        <v>89.9</v>
      </c>
      <c r="AA1746" s="2" t="s">
        <v>512</v>
      </c>
      <c r="AB1746" s="2" t="s">
        <v>11884</v>
      </c>
      <c r="AC1746" s="2">
        <v>1.13107054115137</v>
      </c>
      <c r="AD1746" s="2"/>
      <c r="AE1746" s="2">
        <v>0.36902393648884901</v>
      </c>
      <c r="AF1746" s="2">
        <v>13540.1719852812</v>
      </c>
      <c r="AG1746" s="2">
        <v>9924.7631477649993</v>
      </c>
      <c r="AH1746" s="5">
        <v>1.3642816240234801</v>
      </c>
      <c r="AI1746" s="5">
        <v>0.44814148574321799</v>
      </c>
      <c r="AJ1746" s="5" t="s">
        <v>139</v>
      </c>
      <c r="AK1746" s="2">
        <v>1.24183449910423E-2</v>
      </c>
      <c r="AL1746" s="2">
        <v>0.17723008223994699</v>
      </c>
      <c r="AM1746" s="2">
        <v>12758.540275540599</v>
      </c>
      <c r="AN1746" s="2">
        <v>12278.3502912637</v>
      </c>
      <c r="AO1746" s="2">
        <v>13121.294348151499</v>
      </c>
      <c r="AP1746" s="2">
        <v>12456.711771587101</v>
      </c>
      <c r="AQ1746" s="2">
        <v>13222.2662886873</v>
      </c>
      <c r="AR1746" s="2">
        <v>17403.8689364569</v>
      </c>
      <c r="AS1746" s="2">
        <v>11638.814152946899</v>
      </c>
      <c r="AT1746" s="2">
        <v>12585.148575400201</v>
      </c>
      <c r="AU1746" s="2">
        <v>8652.1591628263795</v>
      </c>
      <c r="AV1746" s="2">
        <v>7501.0842964879403</v>
      </c>
      <c r="AW1746" s="2">
        <v>11325.290045063</v>
      </c>
      <c r="AX1746" s="2">
        <v>7846.0826538655501</v>
      </c>
    </row>
    <row r="1747" spans="1:50" x14ac:dyDescent="0.25">
      <c r="A1747" s="2" t="s">
        <v>11885</v>
      </c>
      <c r="B1747" s="2">
        <v>214.06614428403199</v>
      </c>
      <c r="C1747" s="2">
        <v>4.9764666666666697</v>
      </c>
      <c r="D1747" s="2" t="s">
        <v>51</v>
      </c>
      <c r="E1747" s="2" t="s">
        <v>11886</v>
      </c>
      <c r="F1747" s="2">
        <v>61830</v>
      </c>
      <c r="G1747" s="3" t="str">
        <f>HYPERLINK("https://cloud.oebiotech.com/#/lm/network/61830", "https://cloud.oebiotech.com/#/lm/network/61830")</f>
        <v>https://cloud.oebiotech.com/#/lm/network/61830</v>
      </c>
      <c r="H1747" s="2" t="s">
        <v>11887</v>
      </c>
      <c r="I1747" s="2">
        <v>93134</v>
      </c>
      <c r="J1747" s="2"/>
      <c r="K1747" s="2">
        <v>124881</v>
      </c>
      <c r="L1747" s="2"/>
      <c r="M1747" s="2"/>
      <c r="N1747" s="2"/>
      <c r="O1747" s="2"/>
      <c r="P1747" s="2"/>
      <c r="Q1747" s="2"/>
      <c r="R1747" s="2" t="s">
        <v>11888</v>
      </c>
      <c r="S1747" s="2" t="s">
        <v>11889</v>
      </c>
      <c r="T1747" s="2" t="s">
        <v>11890</v>
      </c>
      <c r="U1747" s="2" t="s">
        <v>610</v>
      </c>
      <c r="V1747" s="2" t="s">
        <v>611</v>
      </c>
      <c r="W1747" s="2" t="s">
        <v>3953</v>
      </c>
      <c r="X1747" s="2" t="s">
        <v>147</v>
      </c>
      <c r="Y1747" s="2">
        <v>38</v>
      </c>
      <c r="Z1747" s="2">
        <v>0.34599999999999997</v>
      </c>
      <c r="AA1747" s="2" t="s">
        <v>95</v>
      </c>
      <c r="AB1747" s="2" t="s">
        <v>11891</v>
      </c>
      <c r="AC1747" s="2">
        <v>0.27832946155737698</v>
      </c>
      <c r="AD1747" s="2"/>
      <c r="AE1747" s="2">
        <v>0.36896116075406199</v>
      </c>
      <c r="AF1747" s="2">
        <v>6770.1099095446098</v>
      </c>
      <c r="AG1747" s="2">
        <v>3720.3717551179502</v>
      </c>
      <c r="AH1747" s="5">
        <v>1.81974016446912</v>
      </c>
      <c r="AI1747" s="5">
        <v>0.86373246680121496</v>
      </c>
      <c r="AJ1747" s="5" t="s">
        <v>139</v>
      </c>
      <c r="AK1747" s="2">
        <v>3.5300367063784499E-3</v>
      </c>
      <c r="AL1747" s="2">
        <v>0.1120315017845</v>
      </c>
      <c r="AM1747" s="2">
        <v>8932.1314996069195</v>
      </c>
      <c r="AN1747" s="2">
        <v>4730.8882587923999</v>
      </c>
      <c r="AO1747" s="2">
        <v>4994.2176754091597</v>
      </c>
      <c r="AP1747" s="2">
        <v>8463.9860601742803</v>
      </c>
      <c r="AQ1747" s="2">
        <v>7600.4553202898796</v>
      </c>
      <c r="AR1747" s="2">
        <v>5898.9806429950004</v>
      </c>
      <c r="AS1747" s="2">
        <v>3771.5645543464602</v>
      </c>
      <c r="AT1747" s="2">
        <v>4646.8014138686203</v>
      </c>
      <c r="AU1747" s="2">
        <v>3734.7919567374202</v>
      </c>
      <c r="AV1747" s="2">
        <v>2510.0288270248402</v>
      </c>
      <c r="AW1747" s="2">
        <v>3218.0679666804199</v>
      </c>
      <c r="AX1747" s="2">
        <v>4440.97581204994</v>
      </c>
    </row>
    <row r="1748" spans="1:50" x14ac:dyDescent="0.25">
      <c r="A1748" s="2" t="s">
        <v>11892</v>
      </c>
      <c r="B1748" s="2">
        <v>609.25163618596503</v>
      </c>
      <c r="C1748" s="2">
        <v>8.5727833333333301</v>
      </c>
      <c r="D1748" s="2" t="s">
        <v>51</v>
      </c>
      <c r="E1748" s="2" t="s">
        <v>11893</v>
      </c>
      <c r="F1748" s="2">
        <v>205340</v>
      </c>
      <c r="G1748" s="3" t="str">
        <f>HYPERLINK("https://cloud.oebiotech.com/#/lm/network/205340", "https://cloud.oebiotech.com/#/lm/network/205340")</f>
        <v>https://cloud.oebiotech.com/#/lm/network/205340</v>
      </c>
      <c r="H1748" s="2" t="s">
        <v>11894</v>
      </c>
      <c r="I1748" s="2"/>
      <c r="J1748" s="2"/>
      <c r="K1748" s="2">
        <v>78128141</v>
      </c>
      <c r="L1748" s="2"/>
      <c r="M1748" s="2"/>
      <c r="N1748" s="2"/>
      <c r="O1748" s="2"/>
      <c r="P1748" s="2"/>
      <c r="Q1748" s="2"/>
      <c r="R1748" s="2"/>
      <c r="S1748" s="2" t="s">
        <v>11895</v>
      </c>
      <c r="T1748" s="2" t="s">
        <v>11896</v>
      </c>
      <c r="U1748" s="2" t="s">
        <v>103</v>
      </c>
      <c r="V1748" s="2" t="s">
        <v>104</v>
      </c>
      <c r="W1748" s="2" t="s">
        <v>105</v>
      </c>
      <c r="X1748" s="2" t="s">
        <v>147</v>
      </c>
      <c r="Y1748" s="2">
        <v>36.5</v>
      </c>
      <c r="Z1748" s="2">
        <v>0</v>
      </c>
      <c r="AA1748" s="2" t="s">
        <v>218</v>
      </c>
      <c r="AB1748" s="2" t="s">
        <v>11897</v>
      </c>
      <c r="AC1748" s="2">
        <v>2.7623380184470201</v>
      </c>
      <c r="AD1748" s="2"/>
      <c r="AE1748" s="2">
        <v>0.368894901896132</v>
      </c>
      <c r="AF1748" s="2">
        <v>4479.6757652453198</v>
      </c>
      <c r="AG1748" s="2">
        <v>7436.1644230515603</v>
      </c>
      <c r="AH1748" s="4">
        <v>0.60241752473340304</v>
      </c>
      <c r="AI1748" s="4">
        <v>-0.73116435529215795</v>
      </c>
      <c r="AJ1748" s="4" t="s">
        <v>62</v>
      </c>
      <c r="AK1748" s="2">
        <v>8.1590809350119199E-4</v>
      </c>
      <c r="AL1748" s="2">
        <v>7.3394641683584505E-2</v>
      </c>
      <c r="AM1748" s="2">
        <v>5601.5255666429402</v>
      </c>
      <c r="AN1748" s="2">
        <v>4251.64423916338</v>
      </c>
      <c r="AO1748" s="2">
        <v>4401.5555464889803</v>
      </c>
      <c r="AP1748" s="2">
        <v>6080.7048851360596</v>
      </c>
      <c r="AQ1748" s="2">
        <v>2540.2275416344</v>
      </c>
      <c r="AR1748" s="2">
        <v>4002.3968124061498</v>
      </c>
      <c r="AS1748" s="2">
        <v>8604.8077161043002</v>
      </c>
      <c r="AT1748" s="2">
        <v>7249.7232382474203</v>
      </c>
      <c r="AU1748" s="2">
        <v>6922.3126232443201</v>
      </c>
      <c r="AV1748" s="2">
        <v>6089.7485404216404</v>
      </c>
      <c r="AW1748" s="2">
        <v>7740.7577750519404</v>
      </c>
      <c r="AX1748" s="2">
        <v>8009.6366452397397</v>
      </c>
    </row>
    <row r="1749" spans="1:50" x14ac:dyDescent="0.25">
      <c r="A1749" s="2" t="s">
        <v>11898</v>
      </c>
      <c r="B1749" s="2">
        <v>564.27897615382403</v>
      </c>
      <c r="C1749" s="2">
        <v>3.8912833333333299</v>
      </c>
      <c r="D1749" s="2" t="s">
        <v>51</v>
      </c>
      <c r="E1749" s="2" t="s">
        <v>11899</v>
      </c>
      <c r="F1749" s="2">
        <v>10409</v>
      </c>
      <c r="G1749" s="3" t="str">
        <f>HYPERLINK("https://cloud.oebiotech.com/#/lm/network/10409", "https://cloud.oebiotech.com/#/lm/network/10409")</f>
        <v>https://cloud.oebiotech.com/#/lm/network/10409</v>
      </c>
      <c r="H1749" s="2"/>
      <c r="I1749" s="2"/>
      <c r="J1749" s="2" t="s">
        <v>11900</v>
      </c>
      <c r="K1749" s="2">
        <v>86289900</v>
      </c>
      <c r="L1749" s="2"/>
      <c r="M1749" s="2"/>
      <c r="N1749" s="2"/>
      <c r="O1749" s="2">
        <v>79374</v>
      </c>
      <c r="P1749" s="2"/>
      <c r="Q1749" s="2"/>
      <c r="R1749" s="2"/>
      <c r="S1749" s="2" t="s">
        <v>11901</v>
      </c>
      <c r="T1749" s="2" t="s">
        <v>11902</v>
      </c>
      <c r="U1749" s="2" t="s">
        <v>56</v>
      </c>
      <c r="V1749" s="2" t="s">
        <v>145</v>
      </c>
      <c r="W1749" s="2" t="s">
        <v>231</v>
      </c>
      <c r="X1749" s="2" t="s">
        <v>59</v>
      </c>
      <c r="Y1749" s="2">
        <v>47.3</v>
      </c>
      <c r="Z1749" s="2">
        <v>51.9</v>
      </c>
      <c r="AA1749" s="2" t="s">
        <v>218</v>
      </c>
      <c r="AB1749" s="2" t="s">
        <v>11903</v>
      </c>
      <c r="AC1749" s="2">
        <v>-4.7064727780736897</v>
      </c>
      <c r="AD1749" s="2"/>
      <c r="AE1749" s="2">
        <v>0.36858040230639599</v>
      </c>
      <c r="AF1749" s="2">
        <v>4974.1398575141102</v>
      </c>
      <c r="AG1749" s="2">
        <v>1256.55958124724</v>
      </c>
      <c r="AH1749" s="5">
        <v>3.9585388005054898</v>
      </c>
      <c r="AI1749" s="5">
        <v>1.98496799235351</v>
      </c>
      <c r="AJ1749" s="5" t="s">
        <v>139</v>
      </c>
      <c r="AK1749" s="2">
        <v>0.108803880028321</v>
      </c>
      <c r="AL1749" s="2">
        <v>0.420407201347063</v>
      </c>
      <c r="AM1749" s="2">
        <v>9909.3244066707193</v>
      </c>
      <c r="AN1749" s="2">
        <v>809.78780865204601</v>
      </c>
      <c r="AO1749" s="2">
        <v>9700.9414872510806</v>
      </c>
      <c r="AP1749" s="2">
        <v>548.70479386106103</v>
      </c>
      <c r="AQ1749" s="2">
        <v>328.41279991001301</v>
      </c>
      <c r="AR1749" s="2">
        <v>8547.6678487397603</v>
      </c>
      <c r="AS1749" s="2">
        <v>8.559877937157E-6</v>
      </c>
      <c r="AT1749" s="2">
        <v>8.559877937157E-6</v>
      </c>
      <c r="AU1749" s="2">
        <v>3509.7131695635799</v>
      </c>
      <c r="AV1749" s="2">
        <v>3567.5782282577702</v>
      </c>
      <c r="AW1749" s="2">
        <v>8.559877937157E-6</v>
      </c>
      <c r="AX1749" s="2">
        <v>462.06606398244003</v>
      </c>
    </row>
    <row r="1750" spans="1:50" x14ac:dyDescent="0.25">
      <c r="A1750" s="2" t="s">
        <v>11904</v>
      </c>
      <c r="B1750" s="2">
        <v>157.0325</v>
      </c>
      <c r="C1750" s="2">
        <v>19.280999999999999</v>
      </c>
      <c r="D1750" s="2" t="s">
        <v>125</v>
      </c>
      <c r="E1750" s="2" t="s">
        <v>11905</v>
      </c>
      <c r="F1750" s="2">
        <v>47481</v>
      </c>
      <c r="G1750" s="3" t="str">
        <f>HYPERLINK("https://cloud.oebiotech.com/#/lm/network/47481", "https://cloud.oebiotech.com/#/lm/network/47481")</f>
        <v>https://cloud.oebiotech.com/#/lm/network/47481</v>
      </c>
      <c r="H1750" s="2" t="s">
        <v>11906</v>
      </c>
      <c r="I1750" s="2">
        <v>342</v>
      </c>
      <c r="J1750" s="2"/>
      <c r="K1750" s="2">
        <v>440667</v>
      </c>
      <c r="L1750" s="2" t="s">
        <v>11907</v>
      </c>
      <c r="M1750" s="2" t="s">
        <v>11908</v>
      </c>
      <c r="N1750" s="2" t="s">
        <v>11909</v>
      </c>
      <c r="O1750" s="2">
        <v>27956</v>
      </c>
      <c r="P1750" s="2"/>
      <c r="Q1750" s="2"/>
      <c r="R1750" s="2" t="s">
        <v>11910</v>
      </c>
      <c r="S1750" s="2" t="s">
        <v>11911</v>
      </c>
      <c r="T1750" s="2" t="s">
        <v>11912</v>
      </c>
      <c r="U1750" s="2" t="s">
        <v>266</v>
      </c>
      <c r="V1750" s="2" t="s">
        <v>3994</v>
      </c>
      <c r="W1750" s="2" t="s">
        <v>3995</v>
      </c>
      <c r="X1750" s="2" t="s">
        <v>59</v>
      </c>
      <c r="Y1750" s="2">
        <v>75</v>
      </c>
      <c r="Z1750" s="2">
        <v>60.8</v>
      </c>
      <c r="AA1750" s="2"/>
      <c r="AB1750" s="2" t="s">
        <v>11913</v>
      </c>
      <c r="AC1750" s="2"/>
      <c r="AD1750" s="2">
        <v>646904.45815657498</v>
      </c>
      <c r="AE1750" s="2">
        <v>0.36856517767839198</v>
      </c>
      <c r="AF1750" s="2">
        <v>52808.271630227697</v>
      </c>
      <c r="AG1750" s="2">
        <v>104023.249432171</v>
      </c>
      <c r="AH1750" s="4">
        <v>0.50765835443990703</v>
      </c>
      <c r="AI1750" s="4">
        <v>-0.97807018090481701</v>
      </c>
      <c r="AJ1750" s="4" t="s">
        <v>62</v>
      </c>
      <c r="AK1750" s="2">
        <v>0.122577464667422</v>
      </c>
      <c r="AL1750" s="2">
        <v>0.44047290513653697</v>
      </c>
      <c r="AM1750" s="2">
        <v>42537.219077519301</v>
      </c>
      <c r="AN1750" s="2">
        <v>44221.333819245403</v>
      </c>
      <c r="AO1750" s="2">
        <v>47574.970369162598</v>
      </c>
      <c r="AP1750" s="2">
        <v>27389.7222388425</v>
      </c>
      <c r="AQ1750" s="2">
        <v>33552.831363226498</v>
      </c>
      <c r="AR1750" s="2">
        <v>121573.55291337</v>
      </c>
      <c r="AS1750" s="2">
        <v>223871.79461292599</v>
      </c>
      <c r="AT1750" s="2">
        <v>126424.545489642</v>
      </c>
      <c r="AU1750" s="2">
        <v>62113.959360547298</v>
      </c>
      <c r="AV1750" s="2">
        <v>67484.343278999004</v>
      </c>
      <c r="AW1750" s="2">
        <v>42811.045677653397</v>
      </c>
      <c r="AX1750" s="2">
        <v>101433.80817325599</v>
      </c>
    </row>
    <row r="1751" spans="1:50" x14ac:dyDescent="0.25">
      <c r="A1751" s="2" t="s">
        <v>11914</v>
      </c>
      <c r="B1751" s="2">
        <v>417.18957980172303</v>
      </c>
      <c r="C1751" s="2">
        <v>7.3825166666666702</v>
      </c>
      <c r="D1751" s="2" t="s">
        <v>51</v>
      </c>
      <c r="E1751" s="2" t="s">
        <v>11915</v>
      </c>
      <c r="F1751" s="2">
        <v>212157</v>
      </c>
      <c r="G1751" s="3" t="str">
        <f>HYPERLINK("https://cloud.oebiotech.com/#/lm/network/212157", "https://cloud.oebiotech.com/#/lm/network/212157")</f>
        <v>https://cloud.oebiotech.com/#/lm/network/212157</v>
      </c>
      <c r="H1751" s="2" t="s">
        <v>11916</v>
      </c>
      <c r="I1751" s="2">
        <v>314723</v>
      </c>
      <c r="J1751" s="2"/>
      <c r="K1751" s="2">
        <v>5374</v>
      </c>
      <c r="L1751" s="2"/>
      <c r="M1751" s="2"/>
      <c r="N1751" s="2"/>
      <c r="O1751" s="2"/>
      <c r="P1751" s="2"/>
      <c r="Q1751" s="2"/>
      <c r="R1751" s="2"/>
      <c r="S1751" s="2" t="s">
        <v>11917</v>
      </c>
      <c r="T1751" s="2" t="s">
        <v>11918</v>
      </c>
      <c r="U1751" s="2" t="s">
        <v>266</v>
      </c>
      <c r="V1751" s="2" t="s">
        <v>11919</v>
      </c>
      <c r="W1751" s="2" t="s">
        <v>240</v>
      </c>
      <c r="X1751" s="2" t="s">
        <v>147</v>
      </c>
      <c r="Y1751" s="2">
        <v>38.700000000000003</v>
      </c>
      <c r="Z1751" s="2">
        <v>0</v>
      </c>
      <c r="AA1751" s="2" t="s">
        <v>478</v>
      </c>
      <c r="AB1751" s="2" t="s">
        <v>11920</v>
      </c>
      <c r="AC1751" s="2">
        <v>-1.14959406513624</v>
      </c>
      <c r="AD1751" s="2"/>
      <c r="AE1751" s="2">
        <v>0.36842555843878999</v>
      </c>
      <c r="AF1751" s="2">
        <v>4374.4578977063102</v>
      </c>
      <c r="AG1751" s="2">
        <v>1442.9242813143801</v>
      </c>
      <c r="AH1751" s="5">
        <v>3.0316614352913702</v>
      </c>
      <c r="AI1751" s="5">
        <v>1.60010864767159</v>
      </c>
      <c r="AJ1751" s="5" t="s">
        <v>139</v>
      </c>
      <c r="AK1751" s="2">
        <v>3.04011578571977E-2</v>
      </c>
      <c r="AL1751" s="2">
        <v>0.260087446182861</v>
      </c>
      <c r="AM1751" s="2">
        <v>7940.8394615494099</v>
      </c>
      <c r="AN1751" s="2">
        <v>7072.3718368548198</v>
      </c>
      <c r="AO1751" s="2">
        <v>3177.8671061862201</v>
      </c>
      <c r="AP1751" s="2">
        <v>3669.4824054352698</v>
      </c>
      <c r="AQ1751" s="2">
        <v>1674.5613877753501</v>
      </c>
      <c r="AR1751" s="2">
        <v>2711.6251884367898</v>
      </c>
      <c r="AS1751" s="2">
        <v>3444.0199535138399</v>
      </c>
      <c r="AT1751" s="2">
        <v>660.85019293927303</v>
      </c>
      <c r="AU1751" s="2">
        <v>2461.55751773156</v>
      </c>
      <c r="AV1751" s="2">
        <v>8.559877937157E-6</v>
      </c>
      <c r="AW1751" s="2">
        <v>509.60797004290998</v>
      </c>
      <c r="AX1751" s="2">
        <v>1581.51004509879</v>
      </c>
    </row>
    <row r="1752" spans="1:50" x14ac:dyDescent="0.25">
      <c r="A1752" s="2" t="s">
        <v>11921</v>
      </c>
      <c r="B1752" s="2">
        <v>641.10576796786097</v>
      </c>
      <c r="C1752" s="2">
        <v>5.3584666666666703</v>
      </c>
      <c r="D1752" s="2" t="s">
        <v>51</v>
      </c>
      <c r="E1752" s="2" t="s">
        <v>11922</v>
      </c>
      <c r="F1752" s="2">
        <v>202428</v>
      </c>
      <c r="G1752" s="3" t="str">
        <f>HYPERLINK("https://cloud.oebiotech.com/#/lm/network/202428", "https://cloud.oebiotech.com/#/lm/network/202428")</f>
        <v>https://cloud.oebiotech.com/#/lm/network/202428</v>
      </c>
      <c r="H1752" s="2" t="s">
        <v>11923</v>
      </c>
      <c r="I1752" s="2"/>
      <c r="J1752" s="2"/>
      <c r="K1752" s="2">
        <v>123808</v>
      </c>
      <c r="L1752" s="2"/>
      <c r="M1752" s="2"/>
      <c r="N1752" s="2"/>
      <c r="O1752" s="2"/>
      <c r="P1752" s="2"/>
      <c r="Q1752" s="2"/>
      <c r="R1752" s="2"/>
      <c r="S1752" s="2" t="s">
        <v>11924</v>
      </c>
      <c r="T1752" s="2" t="s">
        <v>11925</v>
      </c>
      <c r="U1752" s="2" t="s">
        <v>540</v>
      </c>
      <c r="V1752" s="2" t="s">
        <v>7590</v>
      </c>
      <c r="W1752" s="2" t="s">
        <v>11926</v>
      </c>
      <c r="X1752" s="2" t="s">
        <v>147</v>
      </c>
      <c r="Y1752" s="2">
        <v>36.9</v>
      </c>
      <c r="Z1752" s="2">
        <v>12.7</v>
      </c>
      <c r="AA1752" s="2" t="s">
        <v>218</v>
      </c>
      <c r="AB1752" s="2" t="s">
        <v>11927</v>
      </c>
      <c r="AC1752" s="2">
        <v>-2.2477115591425598E-2</v>
      </c>
      <c r="AD1752" s="2"/>
      <c r="AE1752" s="2">
        <v>0.36817315756172397</v>
      </c>
      <c r="AF1752" s="2">
        <v>532.31785921727806</v>
      </c>
      <c r="AG1752" s="2">
        <v>4395.4436375201003</v>
      </c>
      <c r="AH1752" s="4">
        <v>0.12110674214392</v>
      </c>
      <c r="AI1752" s="4">
        <v>-3.04564891121895</v>
      </c>
      <c r="AJ1752" s="4" t="s">
        <v>62</v>
      </c>
      <c r="AK1752" s="2">
        <v>7.7964482604991697E-2</v>
      </c>
      <c r="AL1752" s="2">
        <v>0.361903935282124</v>
      </c>
      <c r="AM1752" s="2">
        <v>356.85047524027902</v>
      </c>
      <c r="AN1752" s="2">
        <v>8.559877937157E-6</v>
      </c>
      <c r="AO1752" s="2">
        <v>379.55596729451599</v>
      </c>
      <c r="AP1752" s="2">
        <v>8.559877937157E-6</v>
      </c>
      <c r="AQ1752" s="2">
        <v>8.559877937157E-6</v>
      </c>
      <c r="AR1752" s="2">
        <v>2457.5006870892398</v>
      </c>
      <c r="AS1752" s="2">
        <v>901.64482712096799</v>
      </c>
      <c r="AT1752" s="2">
        <v>1331.74244510059</v>
      </c>
      <c r="AU1752" s="2">
        <v>3574.9450596575998</v>
      </c>
      <c r="AV1752" s="2">
        <v>10833.8289078506</v>
      </c>
      <c r="AW1752" s="2">
        <v>9730.5005768309493</v>
      </c>
      <c r="AX1752" s="2">
        <v>8.559877937157E-6</v>
      </c>
    </row>
    <row r="1753" spans="1:50" x14ac:dyDescent="0.25">
      <c r="A1753" s="2" t="s">
        <v>11928</v>
      </c>
      <c r="B1753" s="2">
        <v>173.11799999999999</v>
      </c>
      <c r="C1753" s="2">
        <v>23.823</v>
      </c>
      <c r="D1753" s="2" t="s">
        <v>125</v>
      </c>
      <c r="E1753" s="2" t="s">
        <v>11929</v>
      </c>
      <c r="F1753" s="2">
        <v>1397</v>
      </c>
      <c r="G1753" s="3" t="str">
        <f>HYPERLINK("https://cloud.oebiotech.com/#/lm/network/1397", "https://cloud.oebiotech.com/#/lm/network/1397")</f>
        <v>https://cloud.oebiotech.com/#/lm/network/1397</v>
      </c>
      <c r="H1753" s="2" t="s">
        <v>11930</v>
      </c>
      <c r="I1753" s="2">
        <v>62964</v>
      </c>
      <c r="J1753" s="2" t="s">
        <v>11931</v>
      </c>
      <c r="K1753" s="2">
        <v>6439848</v>
      </c>
      <c r="L1753" s="2" t="s">
        <v>11932</v>
      </c>
      <c r="M1753" s="2" t="s">
        <v>3305</v>
      </c>
      <c r="N1753" s="2" t="s">
        <v>3306</v>
      </c>
      <c r="O1753" s="2">
        <v>73731</v>
      </c>
      <c r="P1753" s="2"/>
      <c r="Q1753" s="2"/>
      <c r="R1753" s="2" t="s">
        <v>11933</v>
      </c>
      <c r="S1753" s="2" t="s">
        <v>11934</v>
      </c>
      <c r="T1753" s="2" t="s">
        <v>11935</v>
      </c>
      <c r="U1753" s="2" t="s">
        <v>56</v>
      </c>
      <c r="V1753" s="2" t="s">
        <v>145</v>
      </c>
      <c r="W1753" s="2" t="s">
        <v>231</v>
      </c>
      <c r="X1753" s="2" t="s">
        <v>69</v>
      </c>
      <c r="Y1753" s="2">
        <v>85.7</v>
      </c>
      <c r="Z1753" s="2">
        <v>78.599999999999994</v>
      </c>
      <c r="AA1753" s="2"/>
      <c r="AB1753" s="2" t="s">
        <v>11936</v>
      </c>
      <c r="AC1753" s="2"/>
      <c r="AD1753" s="2">
        <v>848129.41780821898</v>
      </c>
      <c r="AE1753" s="2">
        <v>0.36786167625789701</v>
      </c>
      <c r="AF1753" s="2">
        <v>73823.377363320207</v>
      </c>
      <c r="AG1753" s="2">
        <v>44592.166084381097</v>
      </c>
      <c r="AH1753" s="5">
        <v>1.6555234662434899</v>
      </c>
      <c r="AI1753" s="5">
        <v>0.72728746038346404</v>
      </c>
      <c r="AJ1753" s="5" t="s">
        <v>139</v>
      </c>
      <c r="AK1753" s="2">
        <v>7.0165860063893196E-3</v>
      </c>
      <c r="AL1753" s="2">
        <v>0.14121176650824899</v>
      </c>
      <c r="AM1753" s="2">
        <v>88069.556430951896</v>
      </c>
      <c r="AN1753" s="2">
        <v>92644.147188507894</v>
      </c>
      <c r="AO1753" s="2">
        <v>84963.462329382106</v>
      </c>
      <c r="AP1753" s="2">
        <v>38683.404883761898</v>
      </c>
      <c r="AQ1753" s="2">
        <v>67852.881668998903</v>
      </c>
      <c r="AR1753" s="2">
        <v>70726.811678318307</v>
      </c>
      <c r="AS1753" s="2">
        <v>45695.9252180611</v>
      </c>
      <c r="AT1753" s="2">
        <v>29430.180218641399</v>
      </c>
      <c r="AU1753" s="2">
        <v>47341.292793325701</v>
      </c>
      <c r="AV1753" s="2">
        <v>49379.562172631398</v>
      </c>
      <c r="AW1753" s="2">
        <v>47083.6122889775</v>
      </c>
      <c r="AX1753" s="2">
        <v>48622.423814649803</v>
      </c>
    </row>
    <row r="1754" spans="1:50" x14ac:dyDescent="0.25">
      <c r="A1754" s="2" t="s">
        <v>11937</v>
      </c>
      <c r="B1754" s="2">
        <v>549.175504963501</v>
      </c>
      <c r="C1754" s="2">
        <v>6.3293499999999998</v>
      </c>
      <c r="D1754" s="2" t="s">
        <v>51</v>
      </c>
      <c r="E1754" s="2" t="s">
        <v>11938</v>
      </c>
      <c r="F1754" s="2">
        <v>208772</v>
      </c>
      <c r="G1754" s="3" t="str">
        <f>HYPERLINK("https://cloud.oebiotech.com/#/lm/network/208772", "https://cloud.oebiotech.com/#/lm/network/208772")</f>
        <v>https://cloud.oebiotech.com/#/lm/network/208772</v>
      </c>
      <c r="H1754" s="2" t="s">
        <v>11939</v>
      </c>
      <c r="I1754" s="2">
        <v>418225</v>
      </c>
      <c r="J1754" s="2"/>
      <c r="K1754" s="2">
        <v>83213</v>
      </c>
      <c r="L1754" s="2"/>
      <c r="M1754" s="2"/>
      <c r="N1754" s="2"/>
      <c r="O1754" s="2">
        <v>50688</v>
      </c>
      <c r="P1754" s="2"/>
      <c r="Q1754" s="2"/>
      <c r="R1754" s="2"/>
      <c r="S1754" s="2" t="s">
        <v>11940</v>
      </c>
      <c r="T1754" s="2" t="s">
        <v>11941</v>
      </c>
      <c r="U1754" s="2" t="s">
        <v>610</v>
      </c>
      <c r="V1754" s="2" t="s">
        <v>611</v>
      </c>
      <c r="W1754" s="2" t="s">
        <v>1122</v>
      </c>
      <c r="X1754" s="2" t="s">
        <v>147</v>
      </c>
      <c r="Y1754" s="2">
        <v>38.799999999999997</v>
      </c>
      <c r="Z1754" s="2">
        <v>0.50900000000000001</v>
      </c>
      <c r="AA1754" s="2" t="s">
        <v>478</v>
      </c>
      <c r="AB1754" s="2" t="s">
        <v>11942</v>
      </c>
      <c r="AC1754" s="2">
        <v>2.8528353343624699</v>
      </c>
      <c r="AD1754" s="2"/>
      <c r="AE1754" s="2">
        <v>0.367783525628751</v>
      </c>
      <c r="AF1754" s="2">
        <v>1588.92800740291</v>
      </c>
      <c r="AG1754" s="2">
        <v>6693.4902083467296</v>
      </c>
      <c r="AH1754" s="4">
        <v>0.23738407885045201</v>
      </c>
      <c r="AI1754" s="4">
        <v>-2.074704917</v>
      </c>
      <c r="AJ1754" s="4" t="s">
        <v>62</v>
      </c>
      <c r="AK1754" s="2">
        <v>9.5472452587884199E-2</v>
      </c>
      <c r="AL1754" s="2">
        <v>0.39518270427574997</v>
      </c>
      <c r="AM1754" s="2">
        <v>880.95939105754701</v>
      </c>
      <c r="AN1754" s="2">
        <v>2521.93944293492</v>
      </c>
      <c r="AO1754" s="2">
        <v>1409.10288691498</v>
      </c>
      <c r="AP1754" s="2">
        <v>1728.9685711113</v>
      </c>
      <c r="AQ1754" s="2">
        <v>1242.4051719259201</v>
      </c>
      <c r="AR1754" s="2">
        <v>1750.19258047278</v>
      </c>
      <c r="AS1754" s="2">
        <v>4177.7837992842096</v>
      </c>
      <c r="AT1754" s="2">
        <v>14164.632475690099</v>
      </c>
      <c r="AU1754" s="2">
        <v>1734.18031869933</v>
      </c>
      <c r="AV1754" s="2">
        <v>16430.667030974699</v>
      </c>
      <c r="AW1754" s="2">
        <v>2138.2301496865998</v>
      </c>
      <c r="AX1754" s="2">
        <v>1515.44747574544</v>
      </c>
    </row>
    <row r="1755" spans="1:50" x14ac:dyDescent="0.25">
      <c r="A1755" s="2" t="s">
        <v>11943</v>
      </c>
      <c r="B1755" s="2">
        <v>301.01097619576598</v>
      </c>
      <c r="C1755" s="2">
        <v>7.3238666666666701</v>
      </c>
      <c r="D1755" s="2" t="s">
        <v>51</v>
      </c>
      <c r="E1755" s="2" t="s">
        <v>11944</v>
      </c>
      <c r="F1755" s="2">
        <v>266772</v>
      </c>
      <c r="G1755" s="3" t="str">
        <f>HYPERLINK("https://cloud.oebiotech.com/#/lm/network/266772", "https://cloud.oebiotech.com/#/lm/network/266772")</f>
        <v>https://cloud.oebiotech.com/#/lm/network/266772</v>
      </c>
      <c r="H1755" s="2"/>
      <c r="I1755" s="2">
        <v>43947</v>
      </c>
      <c r="J1755" s="2"/>
      <c r="K1755" s="2">
        <v>5098884</v>
      </c>
      <c r="L1755" s="2"/>
      <c r="M1755" s="2"/>
      <c r="N1755" s="2"/>
      <c r="O1755" s="2"/>
      <c r="P1755" s="2"/>
      <c r="Q1755" s="2"/>
      <c r="R1755" s="2" t="s">
        <v>11945</v>
      </c>
      <c r="S1755" s="2" t="s">
        <v>11946</v>
      </c>
      <c r="T1755" s="2" t="s">
        <v>11947</v>
      </c>
      <c r="U1755" s="2" t="s">
        <v>11948</v>
      </c>
      <c r="V1755" s="2" t="s">
        <v>11949</v>
      </c>
      <c r="W1755" s="2" t="s">
        <v>11950</v>
      </c>
      <c r="X1755" s="2" t="s">
        <v>147</v>
      </c>
      <c r="Y1755" s="2">
        <v>39</v>
      </c>
      <c r="Z1755" s="2">
        <v>0</v>
      </c>
      <c r="AA1755" s="2" t="s">
        <v>395</v>
      </c>
      <c r="AB1755" s="2" t="s">
        <v>11951</v>
      </c>
      <c r="AC1755" s="2">
        <v>0.305584419636102</v>
      </c>
      <c r="AD1755" s="2"/>
      <c r="AE1755" s="2">
        <v>0.36758005934364602</v>
      </c>
      <c r="AF1755" s="2">
        <v>12312.163907420199</v>
      </c>
      <c r="AG1755" s="2">
        <v>15078.6446569539</v>
      </c>
      <c r="AH1755" s="4">
        <v>0.81652987967602997</v>
      </c>
      <c r="AI1755" s="4">
        <v>-0.29242241489132997</v>
      </c>
      <c r="AJ1755" s="4" t="s">
        <v>62</v>
      </c>
      <c r="AK1755" s="2">
        <v>4.9982502079339297E-3</v>
      </c>
      <c r="AL1755" s="2">
        <v>0.123740271492219</v>
      </c>
      <c r="AM1755" s="2">
        <v>9918.2693583713608</v>
      </c>
      <c r="AN1755" s="2">
        <v>13206.674626554999</v>
      </c>
      <c r="AO1755" s="2">
        <v>12690.7337439937</v>
      </c>
      <c r="AP1755" s="2">
        <v>12810.647056374401</v>
      </c>
      <c r="AQ1755" s="2">
        <v>13313.237621194001</v>
      </c>
      <c r="AR1755" s="2">
        <v>11933.4210380326</v>
      </c>
      <c r="AS1755" s="2">
        <v>15717.785099243099</v>
      </c>
      <c r="AT1755" s="2">
        <v>16201.711248358701</v>
      </c>
      <c r="AU1755" s="2">
        <v>12764.0364327118</v>
      </c>
      <c r="AV1755" s="2">
        <v>14413.205236616501</v>
      </c>
      <c r="AW1755" s="2">
        <v>14787.918857194099</v>
      </c>
      <c r="AX1755" s="2">
        <v>16587.211067599201</v>
      </c>
    </row>
    <row r="1756" spans="1:50" x14ac:dyDescent="0.25">
      <c r="A1756" s="2" t="s">
        <v>11952</v>
      </c>
      <c r="B1756" s="2">
        <v>559.15359840052804</v>
      </c>
      <c r="C1756" s="2">
        <v>2.6773166666666701</v>
      </c>
      <c r="D1756" s="2" t="s">
        <v>51</v>
      </c>
      <c r="E1756" s="2" t="s">
        <v>11953</v>
      </c>
      <c r="F1756" s="2">
        <v>207156</v>
      </c>
      <c r="G1756" s="3" t="str">
        <f>HYPERLINK("https://cloud.oebiotech.com/#/lm/network/207156", "https://cloud.oebiotech.com/#/lm/network/207156")</f>
        <v>https://cloud.oebiotech.com/#/lm/network/207156</v>
      </c>
      <c r="H1756" s="2" t="s">
        <v>11954</v>
      </c>
      <c r="I1756" s="2"/>
      <c r="J1756" s="2"/>
      <c r="K1756" s="2">
        <v>131836336</v>
      </c>
      <c r="L1756" s="2"/>
      <c r="M1756" s="2"/>
      <c r="N1756" s="2"/>
      <c r="O1756" s="2"/>
      <c r="P1756" s="2"/>
      <c r="Q1756" s="2"/>
      <c r="R1756" s="2"/>
      <c r="S1756" s="2" t="s">
        <v>11955</v>
      </c>
      <c r="T1756" s="2" t="s">
        <v>11956</v>
      </c>
      <c r="U1756" s="2" t="s">
        <v>56</v>
      </c>
      <c r="V1756" s="2" t="s">
        <v>11957</v>
      </c>
      <c r="W1756" s="2" t="s">
        <v>240</v>
      </c>
      <c r="X1756" s="2" t="s">
        <v>59</v>
      </c>
      <c r="Y1756" s="2">
        <v>51.1</v>
      </c>
      <c r="Z1756" s="2">
        <v>63.8</v>
      </c>
      <c r="AA1756" s="2" t="s">
        <v>478</v>
      </c>
      <c r="AB1756" s="2" t="s">
        <v>11958</v>
      </c>
      <c r="AC1756" s="2">
        <v>3.5894356700796402</v>
      </c>
      <c r="AD1756" s="2"/>
      <c r="AE1756" s="2">
        <v>0.36736578817264398</v>
      </c>
      <c r="AF1756" s="2">
        <v>3669.7622752218599</v>
      </c>
      <c r="AG1756" s="2">
        <v>434.19458835658497</v>
      </c>
      <c r="AH1756" s="5">
        <v>8.4518839562506098</v>
      </c>
      <c r="AI1756" s="5">
        <v>3.0792729593113002</v>
      </c>
      <c r="AJ1756" s="5" t="s">
        <v>139</v>
      </c>
      <c r="AK1756" s="2">
        <v>5.4288179358467498E-3</v>
      </c>
      <c r="AL1756" s="2">
        <v>0.12639565523577301</v>
      </c>
      <c r="AM1756" s="2">
        <v>3375.0557976602699</v>
      </c>
      <c r="AN1756" s="2">
        <v>1988.2295732402599</v>
      </c>
      <c r="AO1756" s="2">
        <v>5949.7353156371801</v>
      </c>
      <c r="AP1756" s="2">
        <v>898.41492908896703</v>
      </c>
      <c r="AQ1756" s="2">
        <v>3822.56697217488</v>
      </c>
      <c r="AR1756" s="2">
        <v>5984.5710635296</v>
      </c>
      <c r="AS1756" s="2">
        <v>2235.01351606253</v>
      </c>
      <c r="AT1756" s="2">
        <v>8.559877937157E-6</v>
      </c>
      <c r="AU1756" s="2">
        <v>370.15397983746902</v>
      </c>
      <c r="AV1756" s="2">
        <v>8.559877937157E-6</v>
      </c>
      <c r="AW1756" s="2">
        <v>8.559877937157E-6</v>
      </c>
      <c r="AX1756" s="2">
        <v>8.559877937157E-6</v>
      </c>
    </row>
    <row r="1757" spans="1:50" x14ac:dyDescent="0.25">
      <c r="A1757" s="2" t="s">
        <v>11959</v>
      </c>
      <c r="B1757" s="2">
        <v>601.29518382465096</v>
      </c>
      <c r="C1757" s="2">
        <v>9.4395166666666697</v>
      </c>
      <c r="D1757" s="2" t="s">
        <v>51</v>
      </c>
      <c r="E1757" s="2" t="s">
        <v>11960</v>
      </c>
      <c r="F1757" s="2">
        <v>206226</v>
      </c>
      <c r="G1757" s="3" t="str">
        <f>HYPERLINK("https://cloud.oebiotech.com/#/lm/network/206226", "https://cloud.oebiotech.com/#/lm/network/206226")</f>
        <v>https://cloud.oebiotech.com/#/lm/network/206226</v>
      </c>
      <c r="H1757" s="2" t="s">
        <v>11961</v>
      </c>
      <c r="I1757" s="2">
        <v>321698</v>
      </c>
      <c r="J1757" s="2"/>
      <c r="K1757" s="2">
        <v>208898</v>
      </c>
      <c r="L1757" s="2"/>
      <c r="M1757" s="2"/>
      <c r="N1757" s="2"/>
      <c r="O1757" s="2">
        <v>50659</v>
      </c>
      <c r="P1757" s="2" t="s">
        <v>11962</v>
      </c>
      <c r="Q1757" s="2" t="s">
        <v>11963</v>
      </c>
      <c r="R1757" s="2"/>
      <c r="S1757" s="2" t="s">
        <v>11964</v>
      </c>
      <c r="T1757" s="2" t="s">
        <v>11965</v>
      </c>
      <c r="U1757" s="2" t="s">
        <v>331</v>
      </c>
      <c r="V1757" s="2" t="s">
        <v>332</v>
      </c>
      <c r="W1757" s="2" t="s">
        <v>1207</v>
      </c>
      <c r="X1757" s="2" t="s">
        <v>147</v>
      </c>
      <c r="Y1757" s="2">
        <v>37.4</v>
      </c>
      <c r="Z1757" s="2">
        <v>0</v>
      </c>
      <c r="AA1757" s="2" t="s">
        <v>218</v>
      </c>
      <c r="AB1757" s="2" t="s">
        <v>11966</v>
      </c>
      <c r="AC1757" s="2">
        <v>-0.202344808998037</v>
      </c>
      <c r="AD1757" s="2"/>
      <c r="AE1757" s="2">
        <v>0.36705287140644699</v>
      </c>
      <c r="AF1757" s="2">
        <v>3232.80662476113</v>
      </c>
      <c r="AG1757" s="2">
        <v>8.559877937157E-6</v>
      </c>
      <c r="AH1757" s="5">
        <v>377669710.770998</v>
      </c>
      <c r="AI1757" s="5">
        <v>28.492549842922699</v>
      </c>
      <c r="AJ1757" s="5" t="s">
        <v>139</v>
      </c>
      <c r="AK1757" s="2">
        <v>0.15289824083959699</v>
      </c>
      <c r="AL1757" s="2">
        <v>0.473994196489255</v>
      </c>
      <c r="AM1757" s="2">
        <v>13206.356816134299</v>
      </c>
      <c r="AN1757" s="2">
        <v>644.89167541279505</v>
      </c>
      <c r="AO1757" s="2">
        <v>4198.31277580388</v>
      </c>
      <c r="AP1757" s="2">
        <v>8.559877937157E-6</v>
      </c>
      <c r="AQ1757" s="2">
        <v>1095.3395018937599</v>
      </c>
      <c r="AR1757" s="2">
        <v>251.938970762173</v>
      </c>
      <c r="AS1757" s="2">
        <v>8.559877937157E-6</v>
      </c>
      <c r="AT1757" s="2">
        <v>8.559877937157E-6</v>
      </c>
      <c r="AU1757" s="2">
        <v>8.559877937157E-6</v>
      </c>
      <c r="AV1757" s="2">
        <v>8.559877937157E-6</v>
      </c>
      <c r="AW1757" s="2">
        <v>8.559877937157E-6</v>
      </c>
      <c r="AX1757" s="2">
        <v>8.559877937157E-6</v>
      </c>
    </row>
    <row r="1758" spans="1:50" x14ac:dyDescent="0.25">
      <c r="A1758" s="2" t="s">
        <v>11967</v>
      </c>
      <c r="B1758" s="2">
        <v>405.33125623711101</v>
      </c>
      <c r="C1758" s="2">
        <v>10.21335</v>
      </c>
      <c r="D1758" s="2" t="s">
        <v>51</v>
      </c>
      <c r="E1758" s="2" t="s">
        <v>11968</v>
      </c>
      <c r="F1758" s="2">
        <v>199153</v>
      </c>
      <c r="G1758" s="3" t="str">
        <f>HYPERLINK("https://cloud.oebiotech.com/#/lm/network/199153", "https://cloud.oebiotech.com/#/lm/network/199153")</f>
        <v>https://cloud.oebiotech.com/#/lm/network/199153</v>
      </c>
      <c r="H1758" s="2" t="s">
        <v>11969</v>
      </c>
      <c r="I1758" s="2"/>
      <c r="J1758" s="2"/>
      <c r="K1758" s="2">
        <v>55362</v>
      </c>
      <c r="L1758" s="2"/>
      <c r="M1758" s="2"/>
      <c r="N1758" s="2"/>
      <c r="O1758" s="2"/>
      <c r="P1758" s="2"/>
      <c r="Q1758" s="2"/>
      <c r="R1758" s="2"/>
      <c r="S1758" s="2" t="s">
        <v>11970</v>
      </c>
      <c r="T1758" s="2" t="s">
        <v>11971</v>
      </c>
      <c r="U1758" s="2" t="s">
        <v>103</v>
      </c>
      <c r="V1758" s="2" t="s">
        <v>104</v>
      </c>
      <c r="W1758" s="2" t="s">
        <v>105</v>
      </c>
      <c r="X1758" s="2" t="s">
        <v>147</v>
      </c>
      <c r="Y1758" s="2">
        <v>37.4</v>
      </c>
      <c r="Z1758" s="2">
        <v>0</v>
      </c>
      <c r="AA1758" s="2" t="s">
        <v>512</v>
      </c>
      <c r="AB1758" s="2" t="s">
        <v>11972</v>
      </c>
      <c r="AC1758" s="2">
        <v>4.2412757668309196</v>
      </c>
      <c r="AD1758" s="2"/>
      <c r="AE1758" s="2">
        <v>0.366932017519567</v>
      </c>
      <c r="AF1758" s="2">
        <v>1662.89145605252</v>
      </c>
      <c r="AG1758" s="2">
        <v>4863.8174825497099</v>
      </c>
      <c r="AH1758" s="4">
        <v>0.34189018441144198</v>
      </c>
      <c r="AI1758" s="4">
        <v>-1.5483950909642901</v>
      </c>
      <c r="AJ1758" s="4" t="s">
        <v>62</v>
      </c>
      <c r="AK1758" s="2">
        <v>4.0940436598851701E-2</v>
      </c>
      <c r="AL1758" s="2">
        <v>0.29155452793099101</v>
      </c>
      <c r="AM1758" s="2">
        <v>598.24035755332204</v>
      </c>
      <c r="AN1758" s="2">
        <v>740.13326214818301</v>
      </c>
      <c r="AO1758" s="2">
        <v>292.28107735370901</v>
      </c>
      <c r="AP1758" s="2">
        <v>1075.7710380811</v>
      </c>
      <c r="AQ1758" s="2">
        <v>3289.1842201572299</v>
      </c>
      <c r="AR1758" s="2">
        <v>3981.73878102155</v>
      </c>
      <c r="AS1758" s="2">
        <v>5903.9920389635399</v>
      </c>
      <c r="AT1758" s="2">
        <v>4316.7493328818</v>
      </c>
      <c r="AU1758" s="2">
        <v>1823.3234169239599</v>
      </c>
      <c r="AV1758" s="2">
        <v>2562.9642018770801</v>
      </c>
      <c r="AW1758" s="2">
        <v>10112.939973931199</v>
      </c>
      <c r="AX1758" s="2">
        <v>4462.9359307207096</v>
      </c>
    </row>
    <row r="1759" spans="1:50" x14ac:dyDescent="0.25">
      <c r="A1759" s="2" t="s">
        <v>11973</v>
      </c>
      <c r="B1759" s="2">
        <v>294.243638827925</v>
      </c>
      <c r="C1759" s="2">
        <v>11.411483333333299</v>
      </c>
      <c r="D1759" s="2" t="s">
        <v>51</v>
      </c>
      <c r="E1759" s="2" t="s">
        <v>11974</v>
      </c>
      <c r="F1759" s="2">
        <v>1405</v>
      </c>
      <c r="G1759" s="3" t="str">
        <f>HYPERLINK("https://cloud.oebiotech.com/#/lm/network/1405", "https://cloud.oebiotech.com/#/lm/network/1405")</f>
        <v>https://cloud.oebiotech.com/#/lm/network/1405</v>
      </c>
      <c r="H1759" s="2"/>
      <c r="I1759" s="2"/>
      <c r="J1759" s="2" t="s">
        <v>11975</v>
      </c>
      <c r="K1759" s="2">
        <v>9814179</v>
      </c>
      <c r="L1759" s="2"/>
      <c r="M1759" s="2"/>
      <c r="N1759" s="2"/>
      <c r="O1759" s="2"/>
      <c r="P1759" s="2"/>
      <c r="Q1759" s="2"/>
      <c r="R1759" s="2"/>
      <c r="S1759" s="2" t="s">
        <v>11976</v>
      </c>
      <c r="T1759" s="2" t="s">
        <v>11977</v>
      </c>
      <c r="U1759" s="2" t="s">
        <v>56</v>
      </c>
      <c r="V1759" s="2" t="s">
        <v>145</v>
      </c>
      <c r="W1759" s="2" t="s">
        <v>231</v>
      </c>
      <c r="X1759" s="2" t="s">
        <v>69</v>
      </c>
      <c r="Y1759" s="2">
        <v>59</v>
      </c>
      <c r="Z1759" s="2">
        <v>88.4</v>
      </c>
      <c r="AA1759" s="2" t="s">
        <v>512</v>
      </c>
      <c r="AB1759" s="2" t="s">
        <v>6435</v>
      </c>
      <c r="AC1759" s="2">
        <v>3.1974376962544402</v>
      </c>
      <c r="AD1759" s="2"/>
      <c r="AE1759" s="2">
        <v>0.36678623289307899</v>
      </c>
      <c r="AF1759" s="2">
        <v>10404.097983096501</v>
      </c>
      <c r="AG1759" s="2">
        <v>2151.7137423712402</v>
      </c>
      <c r="AH1759" s="5">
        <v>4.83526120515966</v>
      </c>
      <c r="AI1759" s="5">
        <v>2.2735938274911001</v>
      </c>
      <c r="AJ1759" s="5" t="s">
        <v>139</v>
      </c>
      <c r="AK1759" s="2">
        <v>0.289406570717616</v>
      </c>
      <c r="AL1759" s="2">
        <v>0.60369237994034897</v>
      </c>
      <c r="AM1759" s="2">
        <v>231.723775544109</v>
      </c>
      <c r="AN1759" s="2">
        <v>153.00156714128201</v>
      </c>
      <c r="AO1759" s="2">
        <v>18002.591968485802</v>
      </c>
      <c r="AP1759" s="2">
        <v>8.559877937157E-6</v>
      </c>
      <c r="AQ1759" s="2">
        <v>43562.169238690498</v>
      </c>
      <c r="AR1759" s="2">
        <v>475.10134015772599</v>
      </c>
      <c r="AS1759" s="2">
        <v>3993.8901919631699</v>
      </c>
      <c r="AT1759" s="2">
        <v>8.559877937157E-6</v>
      </c>
      <c r="AU1759" s="2">
        <v>8451.2152650427506</v>
      </c>
      <c r="AV1759" s="2">
        <v>465.17697154186902</v>
      </c>
      <c r="AW1759" s="2">
        <v>8.559877937157E-6</v>
      </c>
      <c r="AX1759" s="2">
        <v>8.559877937157E-6</v>
      </c>
    </row>
    <row r="1760" spans="1:50" x14ac:dyDescent="0.25">
      <c r="A1760" s="2" t="s">
        <v>11978</v>
      </c>
      <c r="B1760" s="2">
        <v>275.14729396708299</v>
      </c>
      <c r="C1760" s="2">
        <v>4.0044000000000004</v>
      </c>
      <c r="D1760" s="2" t="s">
        <v>51</v>
      </c>
      <c r="E1760" s="2" t="s">
        <v>11979</v>
      </c>
      <c r="F1760" s="2">
        <v>207530</v>
      </c>
      <c r="G1760" s="3" t="str">
        <f>HYPERLINK("https://cloud.oebiotech.com/#/lm/network/207530", "https://cloud.oebiotech.com/#/lm/network/207530")</f>
        <v>https://cloud.oebiotech.com/#/lm/network/207530</v>
      </c>
      <c r="H1760" s="2" t="s">
        <v>11980</v>
      </c>
      <c r="I1760" s="2">
        <v>68694</v>
      </c>
      <c r="J1760" s="2"/>
      <c r="K1760" s="2">
        <v>39965</v>
      </c>
      <c r="L1760" s="2" t="s">
        <v>11981</v>
      </c>
      <c r="M1760" s="2"/>
      <c r="N1760" s="2"/>
      <c r="O1760" s="2"/>
      <c r="P1760" s="2"/>
      <c r="Q1760" s="2"/>
      <c r="R1760" s="2" t="s">
        <v>11982</v>
      </c>
      <c r="S1760" s="2" t="s">
        <v>11983</v>
      </c>
      <c r="T1760" s="2" t="s">
        <v>11984</v>
      </c>
      <c r="U1760" s="2" t="s">
        <v>119</v>
      </c>
      <c r="V1760" s="2" t="s">
        <v>120</v>
      </c>
      <c r="W1760" s="2" t="s">
        <v>1887</v>
      </c>
      <c r="X1760" s="2" t="s">
        <v>147</v>
      </c>
      <c r="Y1760" s="2">
        <v>39.4</v>
      </c>
      <c r="Z1760" s="2">
        <v>3.58</v>
      </c>
      <c r="AA1760" s="2" t="s">
        <v>453</v>
      </c>
      <c r="AB1760" s="2" t="s">
        <v>11985</v>
      </c>
      <c r="AC1760" s="2">
        <v>-2.1915277952747498</v>
      </c>
      <c r="AD1760" s="2"/>
      <c r="AE1760" s="2">
        <v>0.36673524467530799</v>
      </c>
      <c r="AF1760" s="2">
        <v>7034.3462508869097</v>
      </c>
      <c r="AG1760" s="2">
        <v>4469.1193597359697</v>
      </c>
      <c r="AH1760" s="5">
        <v>1.57398934435765</v>
      </c>
      <c r="AI1760" s="5">
        <v>0.65442577407639901</v>
      </c>
      <c r="AJ1760" s="5" t="s">
        <v>139</v>
      </c>
      <c r="AK1760" s="2">
        <v>5.2098410355911197E-4</v>
      </c>
      <c r="AL1760" s="2">
        <v>6.2396646922794598E-2</v>
      </c>
      <c r="AM1760" s="2">
        <v>6771.2304081660504</v>
      </c>
      <c r="AN1760" s="2">
        <v>6978.8825887805497</v>
      </c>
      <c r="AO1760" s="2">
        <v>7050.1312949435896</v>
      </c>
      <c r="AP1760" s="2">
        <v>6507.8071768301697</v>
      </c>
      <c r="AQ1760" s="2">
        <v>6492.2098609102904</v>
      </c>
      <c r="AR1760" s="2">
        <v>8405.8161756907994</v>
      </c>
      <c r="AS1760" s="2">
        <v>4066.6616269696101</v>
      </c>
      <c r="AT1760" s="2">
        <v>5876.3460406566701</v>
      </c>
      <c r="AU1760" s="2">
        <v>5565.7417328843503</v>
      </c>
      <c r="AV1760" s="2">
        <v>3422.0837194077199</v>
      </c>
      <c r="AW1760" s="2">
        <v>4335.0071580827498</v>
      </c>
      <c r="AX1760" s="2">
        <v>3548.8758804146901</v>
      </c>
    </row>
    <row r="1761" spans="1:50" x14ac:dyDescent="0.25">
      <c r="A1761" s="2" t="s">
        <v>11986</v>
      </c>
      <c r="B1761" s="2">
        <v>211.03384629305501</v>
      </c>
      <c r="C1761" s="2">
        <v>1.1907333333333301</v>
      </c>
      <c r="D1761" s="2" t="s">
        <v>51</v>
      </c>
      <c r="E1761" s="2" t="s">
        <v>11987</v>
      </c>
      <c r="F1761" s="2">
        <v>200089</v>
      </c>
      <c r="G1761" s="3" t="str">
        <f>HYPERLINK("https://cloud.oebiotech.com/#/lm/network/200089", "https://cloud.oebiotech.com/#/lm/network/200089")</f>
        <v>https://cloud.oebiotech.com/#/lm/network/200089</v>
      </c>
      <c r="H1761" s="2" t="s">
        <v>11988</v>
      </c>
      <c r="I1761" s="2"/>
      <c r="J1761" s="2"/>
      <c r="K1761" s="2">
        <v>219104</v>
      </c>
      <c r="L1761" s="2"/>
      <c r="M1761" s="2"/>
      <c r="N1761" s="2"/>
      <c r="O1761" s="2"/>
      <c r="P1761" s="2"/>
      <c r="Q1761" s="2"/>
      <c r="R1761" s="2"/>
      <c r="S1761" s="2" t="s">
        <v>11989</v>
      </c>
      <c r="T1761" s="2" t="s">
        <v>11990</v>
      </c>
      <c r="U1761" s="2" t="s">
        <v>266</v>
      </c>
      <c r="V1761" s="2" t="s">
        <v>1585</v>
      </c>
      <c r="W1761" s="2" t="s">
        <v>1586</v>
      </c>
      <c r="X1761" s="2" t="s">
        <v>147</v>
      </c>
      <c r="Y1761" s="2">
        <v>40.9</v>
      </c>
      <c r="Z1761" s="2">
        <v>19.899999999999999</v>
      </c>
      <c r="AA1761" s="2" t="s">
        <v>95</v>
      </c>
      <c r="AB1761" s="2" t="s">
        <v>11991</v>
      </c>
      <c r="AC1761" s="2">
        <v>2.31444860956851</v>
      </c>
      <c r="AD1761" s="2"/>
      <c r="AE1761" s="2">
        <v>0.36613895218537301</v>
      </c>
      <c r="AF1761" s="2">
        <v>12140.266824614901</v>
      </c>
      <c r="AG1761" s="2">
        <v>15656.061527674399</v>
      </c>
      <c r="AH1761" s="4">
        <v>0.77543555913824203</v>
      </c>
      <c r="AI1761" s="4">
        <v>-0.36692120063380101</v>
      </c>
      <c r="AJ1761" s="4" t="s">
        <v>62</v>
      </c>
      <c r="AK1761" s="2">
        <v>4.8757750636457001E-2</v>
      </c>
      <c r="AL1761" s="2">
        <v>0.30691247078395001</v>
      </c>
      <c r="AM1761" s="2">
        <v>8898.60745316672</v>
      </c>
      <c r="AN1761" s="2">
        <v>12913.258631057201</v>
      </c>
      <c r="AO1761" s="2">
        <v>8564.3777561533898</v>
      </c>
      <c r="AP1761" s="2">
        <v>14599.5865000297</v>
      </c>
      <c r="AQ1761" s="2">
        <v>14870.903116798499</v>
      </c>
      <c r="AR1761" s="2">
        <v>12994.867490483801</v>
      </c>
      <c r="AS1761" s="2">
        <v>19207.304740479402</v>
      </c>
      <c r="AT1761" s="2">
        <v>17770.756109693801</v>
      </c>
      <c r="AU1761" s="2">
        <v>15866.746468582</v>
      </c>
      <c r="AV1761" s="2">
        <v>12040.466951361799</v>
      </c>
      <c r="AW1761" s="2">
        <v>13337.086131640401</v>
      </c>
      <c r="AX1761" s="2">
        <v>15714.008764288699</v>
      </c>
    </row>
    <row r="1762" spans="1:50" x14ac:dyDescent="0.25">
      <c r="A1762" s="2" t="s">
        <v>11992</v>
      </c>
      <c r="B1762" s="2">
        <v>213.07634672915799</v>
      </c>
      <c r="C1762" s="2">
        <v>4.01643333333333</v>
      </c>
      <c r="D1762" s="2" t="s">
        <v>51</v>
      </c>
      <c r="E1762" s="2" t="s">
        <v>11993</v>
      </c>
      <c r="F1762" s="2">
        <v>200303</v>
      </c>
      <c r="G1762" s="3" t="str">
        <f>HYPERLINK("https://cloud.oebiotech.com/#/lm/network/200303", "https://cloud.oebiotech.com/#/lm/network/200303")</f>
        <v>https://cloud.oebiotech.com/#/lm/network/200303</v>
      </c>
      <c r="H1762" s="2" t="s">
        <v>11994</v>
      </c>
      <c r="I1762" s="2"/>
      <c r="J1762" s="2"/>
      <c r="K1762" s="2">
        <v>86876</v>
      </c>
      <c r="L1762" s="2"/>
      <c r="M1762" s="2"/>
      <c r="N1762" s="2"/>
      <c r="O1762" s="2"/>
      <c r="P1762" s="2"/>
      <c r="Q1762" s="2"/>
      <c r="R1762" s="2"/>
      <c r="S1762" s="2" t="s">
        <v>11995</v>
      </c>
      <c r="T1762" s="2" t="s">
        <v>11996</v>
      </c>
      <c r="U1762" s="2" t="s">
        <v>266</v>
      </c>
      <c r="V1762" s="2" t="s">
        <v>11997</v>
      </c>
      <c r="W1762" s="2" t="s">
        <v>240</v>
      </c>
      <c r="X1762" s="2" t="s">
        <v>147</v>
      </c>
      <c r="Y1762" s="2">
        <v>42.2</v>
      </c>
      <c r="Z1762" s="2">
        <v>17.3</v>
      </c>
      <c r="AA1762" s="2" t="s">
        <v>218</v>
      </c>
      <c r="AB1762" s="2" t="s">
        <v>11998</v>
      </c>
      <c r="AC1762" s="2">
        <v>-2.97708471068721</v>
      </c>
      <c r="AD1762" s="2"/>
      <c r="AE1762" s="2">
        <v>0.36588243936010001</v>
      </c>
      <c r="AF1762" s="2">
        <v>6410.4482030886802</v>
      </c>
      <c r="AG1762" s="2">
        <v>2564.8243735003198</v>
      </c>
      <c r="AH1762" s="5">
        <v>2.49937121204914</v>
      </c>
      <c r="AI1762" s="5">
        <v>1.32156518954396</v>
      </c>
      <c r="AJ1762" s="5" t="s">
        <v>139</v>
      </c>
      <c r="AK1762" s="2">
        <v>8.7345089510558693E-2</v>
      </c>
      <c r="AL1762" s="2">
        <v>0.38018166893268901</v>
      </c>
      <c r="AM1762" s="2">
        <v>5636.7968358541902</v>
      </c>
      <c r="AN1762" s="2">
        <v>15845.720543529</v>
      </c>
      <c r="AO1762" s="2">
        <v>4678.7494460942098</v>
      </c>
      <c r="AP1762" s="2">
        <v>4535.6831938475398</v>
      </c>
      <c r="AQ1762" s="2">
        <v>3025.10398063917</v>
      </c>
      <c r="AR1762" s="2">
        <v>4740.6352185679598</v>
      </c>
      <c r="AS1762" s="2">
        <v>4100.8775698980999</v>
      </c>
      <c r="AT1762" s="2">
        <v>2428.1393543515401</v>
      </c>
      <c r="AU1762" s="2">
        <v>2856.84765259405</v>
      </c>
      <c r="AV1762" s="2">
        <v>478.56749894228102</v>
      </c>
      <c r="AW1762" s="2">
        <v>991.07092076843196</v>
      </c>
      <c r="AX1762" s="2">
        <v>4533.4432444475096</v>
      </c>
    </row>
    <row r="1763" spans="1:50" x14ac:dyDescent="0.25">
      <c r="A1763" s="2" t="s">
        <v>11999</v>
      </c>
      <c r="B1763" s="2">
        <v>349.20173062406599</v>
      </c>
      <c r="C1763" s="2">
        <v>8.3964499999999997</v>
      </c>
      <c r="D1763" s="2" t="s">
        <v>51</v>
      </c>
      <c r="E1763" s="2" t="s">
        <v>12000</v>
      </c>
      <c r="F1763" s="2">
        <v>3013</v>
      </c>
      <c r="G1763" s="3" t="str">
        <f>HYPERLINK("https://cloud.oebiotech.com/#/lm/network/3013", "https://cloud.oebiotech.com/#/lm/network/3013")</f>
        <v>https://cloud.oebiotech.com/#/lm/network/3013</v>
      </c>
      <c r="H1763" s="2"/>
      <c r="I1763" s="2">
        <v>74955</v>
      </c>
      <c r="J1763" s="2" t="s">
        <v>12001</v>
      </c>
      <c r="K1763" s="2">
        <v>52921872</v>
      </c>
      <c r="L1763" s="2"/>
      <c r="M1763" s="2"/>
      <c r="N1763" s="2"/>
      <c r="O1763" s="2"/>
      <c r="P1763" s="2"/>
      <c r="Q1763" s="2"/>
      <c r="R1763" s="2"/>
      <c r="S1763" s="2" t="s">
        <v>12002</v>
      </c>
      <c r="T1763" s="2" t="s">
        <v>12003</v>
      </c>
      <c r="U1763" s="2" t="s">
        <v>56</v>
      </c>
      <c r="V1763" s="2" t="s">
        <v>145</v>
      </c>
      <c r="W1763" s="2" t="s">
        <v>203</v>
      </c>
      <c r="X1763" s="2" t="s">
        <v>83</v>
      </c>
      <c r="Y1763" s="2">
        <v>40</v>
      </c>
      <c r="Z1763" s="2">
        <v>0.183</v>
      </c>
      <c r="AA1763" s="2" t="s">
        <v>95</v>
      </c>
      <c r="AB1763" s="2" t="s">
        <v>12004</v>
      </c>
      <c r="AC1763" s="2">
        <v>9.7663798394218002</v>
      </c>
      <c r="AD1763" s="2"/>
      <c r="AE1763" s="2">
        <v>0.36584712311289802</v>
      </c>
      <c r="AF1763" s="2">
        <v>7593.9713191740002</v>
      </c>
      <c r="AG1763" s="2">
        <v>4279.3888615404603</v>
      </c>
      <c r="AH1763" s="5">
        <v>1.7745457505444799</v>
      </c>
      <c r="AI1763" s="5">
        <v>0.82744976979631202</v>
      </c>
      <c r="AJ1763" s="5" t="s">
        <v>139</v>
      </c>
      <c r="AK1763" s="2">
        <v>1.2796463731723801E-2</v>
      </c>
      <c r="AL1763" s="2">
        <v>0.17918067258312301</v>
      </c>
      <c r="AM1763" s="2">
        <v>6515.32422375837</v>
      </c>
      <c r="AN1763" s="2">
        <v>9764.2955042078192</v>
      </c>
      <c r="AO1763" s="2">
        <v>8642.19683569058</v>
      </c>
      <c r="AP1763" s="2">
        <v>7201.3594054555497</v>
      </c>
      <c r="AQ1763" s="2">
        <v>6633.6423553137101</v>
      </c>
      <c r="AR1763" s="2">
        <v>6807.0095906179604</v>
      </c>
      <c r="AS1763" s="2">
        <v>7903.4743398390701</v>
      </c>
      <c r="AT1763" s="2">
        <v>4058.4020588019498</v>
      </c>
      <c r="AU1763" s="2">
        <v>4949.6933039619598</v>
      </c>
      <c r="AV1763" s="2">
        <v>1446.5350561913101</v>
      </c>
      <c r="AW1763" s="2">
        <v>2088.2258202456101</v>
      </c>
      <c r="AX1763" s="2">
        <v>5230.0025902028901</v>
      </c>
    </row>
    <row r="1764" spans="1:50" x14ac:dyDescent="0.25">
      <c r="A1764" s="2" t="s">
        <v>12005</v>
      </c>
      <c r="B1764" s="2">
        <v>239.091855714834</v>
      </c>
      <c r="C1764" s="2">
        <v>4.8599833333333304</v>
      </c>
      <c r="D1764" s="2" t="s">
        <v>51</v>
      </c>
      <c r="E1764" s="2" t="s">
        <v>12006</v>
      </c>
      <c r="F1764" s="2">
        <v>2620</v>
      </c>
      <c r="G1764" s="3" t="str">
        <f>HYPERLINK("https://cloud.oebiotech.com/#/lm/network/2620", "https://cloud.oebiotech.com/#/lm/network/2620")</f>
        <v>https://cloud.oebiotech.com/#/lm/network/2620</v>
      </c>
      <c r="H1764" s="2" t="s">
        <v>12007</v>
      </c>
      <c r="I1764" s="2">
        <v>45041</v>
      </c>
      <c r="J1764" s="2" t="s">
        <v>12008</v>
      </c>
      <c r="K1764" s="2">
        <v>123979</v>
      </c>
      <c r="L1764" s="2"/>
      <c r="M1764" s="2"/>
      <c r="N1764" s="2"/>
      <c r="O1764" s="2">
        <v>41254</v>
      </c>
      <c r="P1764" s="2"/>
      <c r="Q1764" s="2"/>
      <c r="R1764" s="2" t="s">
        <v>12009</v>
      </c>
      <c r="S1764" s="2" t="s">
        <v>12010</v>
      </c>
      <c r="T1764" s="2" t="s">
        <v>12011</v>
      </c>
      <c r="U1764" s="2" t="s">
        <v>56</v>
      </c>
      <c r="V1764" s="2" t="s">
        <v>145</v>
      </c>
      <c r="W1764" s="2" t="s">
        <v>231</v>
      </c>
      <c r="X1764" s="2" t="s">
        <v>59</v>
      </c>
      <c r="Y1764" s="2">
        <v>49.2</v>
      </c>
      <c r="Z1764" s="2">
        <v>54.7</v>
      </c>
      <c r="AA1764" s="2" t="s">
        <v>163</v>
      </c>
      <c r="AB1764" s="2" t="s">
        <v>5920</v>
      </c>
      <c r="AC1764" s="2">
        <v>-2.6716563548217902</v>
      </c>
      <c r="AD1764" s="2"/>
      <c r="AE1764" s="2">
        <v>0.365775172282225</v>
      </c>
      <c r="AF1764" s="2">
        <v>8085.2061571164704</v>
      </c>
      <c r="AG1764" s="2">
        <v>4493.5854088252299</v>
      </c>
      <c r="AH1764" s="5">
        <v>1.7992772856252901</v>
      </c>
      <c r="AI1764" s="5">
        <v>0.84741753665613695</v>
      </c>
      <c r="AJ1764" s="5" t="s">
        <v>139</v>
      </c>
      <c r="AK1764" s="2">
        <v>8.7790383719903095E-2</v>
      </c>
      <c r="AL1764" s="2">
        <v>0.38035924608661198</v>
      </c>
      <c r="AM1764" s="2">
        <v>10935.9013255189</v>
      </c>
      <c r="AN1764" s="2">
        <v>14904.1196682355</v>
      </c>
      <c r="AO1764" s="2">
        <v>4523.1887073164198</v>
      </c>
      <c r="AP1764" s="2">
        <v>3920.7143675935399</v>
      </c>
      <c r="AQ1764" s="2">
        <v>4697.0522496734202</v>
      </c>
      <c r="AR1764" s="2">
        <v>9530.2606243610608</v>
      </c>
      <c r="AS1764" s="2">
        <v>6758.7982020301197</v>
      </c>
      <c r="AT1764" s="2">
        <v>3244.15931228822</v>
      </c>
      <c r="AU1764" s="2">
        <v>4639.5212723974601</v>
      </c>
      <c r="AV1764" s="2">
        <v>2756.7561594672402</v>
      </c>
      <c r="AW1764" s="2">
        <v>4733.5171725744804</v>
      </c>
      <c r="AX1764" s="2">
        <v>4828.7603341938802</v>
      </c>
    </row>
    <row r="1765" spans="1:50" x14ac:dyDescent="0.25">
      <c r="A1765" s="2" t="s">
        <v>12012</v>
      </c>
      <c r="B1765" s="2">
        <v>597.31268719516402</v>
      </c>
      <c r="C1765" s="2">
        <v>8.4268833333333308</v>
      </c>
      <c r="D1765" s="2" t="s">
        <v>51</v>
      </c>
      <c r="E1765" s="2" t="s">
        <v>12013</v>
      </c>
      <c r="F1765" s="2">
        <v>53670</v>
      </c>
      <c r="G1765" s="3" t="str">
        <f>HYPERLINK("https://cloud.oebiotech.com/#/lm/network/53670", "https://cloud.oebiotech.com/#/lm/network/53670")</f>
        <v>https://cloud.oebiotech.com/#/lm/network/53670</v>
      </c>
      <c r="H1765" s="2" t="s">
        <v>12014</v>
      </c>
      <c r="I1765" s="2">
        <v>1113</v>
      </c>
      <c r="J1765" s="2"/>
      <c r="K1765" s="2">
        <v>68682</v>
      </c>
      <c r="L1765" s="2"/>
      <c r="M1765" s="2"/>
      <c r="N1765" s="2"/>
      <c r="O1765" s="2">
        <v>37922</v>
      </c>
      <c r="P1765" s="2"/>
      <c r="Q1765" s="2"/>
      <c r="R1765" s="2" t="s">
        <v>12015</v>
      </c>
      <c r="S1765" s="2" t="s">
        <v>12016</v>
      </c>
      <c r="T1765" s="2" t="s">
        <v>12017</v>
      </c>
      <c r="U1765" s="2" t="s">
        <v>331</v>
      </c>
      <c r="V1765" s="2" t="s">
        <v>332</v>
      </c>
      <c r="W1765" s="2" t="s">
        <v>333</v>
      </c>
      <c r="X1765" s="2" t="s">
        <v>59</v>
      </c>
      <c r="Y1765" s="2">
        <v>47.6</v>
      </c>
      <c r="Z1765" s="2">
        <v>46.5</v>
      </c>
      <c r="AA1765" s="2" t="s">
        <v>218</v>
      </c>
      <c r="AB1765" s="2" t="s">
        <v>12018</v>
      </c>
      <c r="AC1765" s="2">
        <v>4.6942492518412404</v>
      </c>
      <c r="AD1765" s="2"/>
      <c r="AE1765" s="2">
        <v>0.36559787834912399</v>
      </c>
      <c r="AF1765" s="2">
        <v>60951.818259585802</v>
      </c>
      <c r="AG1765" s="2">
        <v>53186.425542491503</v>
      </c>
      <c r="AH1765" s="5">
        <v>1.1460032825648401</v>
      </c>
      <c r="AI1765" s="5">
        <v>0.19661117649729201</v>
      </c>
      <c r="AJ1765" s="5" t="s">
        <v>139</v>
      </c>
      <c r="AK1765" s="2">
        <v>0.57999401808753903</v>
      </c>
      <c r="AL1765" s="2">
        <v>0.788322492623872</v>
      </c>
      <c r="AM1765" s="2">
        <v>50415.514309086699</v>
      </c>
      <c r="AN1765" s="2">
        <v>72289.081536713798</v>
      </c>
      <c r="AO1765" s="2">
        <v>71820.669081221597</v>
      </c>
      <c r="AP1765" s="2">
        <v>39025.104526348798</v>
      </c>
      <c r="AQ1765" s="2">
        <v>55844.104158335802</v>
      </c>
      <c r="AR1765" s="2">
        <v>76316.435945808305</v>
      </c>
      <c r="AS1765" s="2">
        <v>42999.193194658299</v>
      </c>
      <c r="AT1765" s="2">
        <v>28992.934622314799</v>
      </c>
      <c r="AU1765" s="2">
        <v>111794.84296365399</v>
      </c>
      <c r="AV1765" s="2">
        <v>37560.007387594102</v>
      </c>
      <c r="AW1765" s="2">
        <v>45384.457984129498</v>
      </c>
      <c r="AX1765" s="2">
        <v>52387.117102598597</v>
      </c>
    </row>
    <row r="1766" spans="1:50" x14ac:dyDescent="0.25">
      <c r="A1766" s="2" t="s">
        <v>12019</v>
      </c>
      <c r="B1766" s="2">
        <v>392.18652755071201</v>
      </c>
      <c r="C1766" s="2">
        <v>4.1098999999999997</v>
      </c>
      <c r="D1766" s="2" t="s">
        <v>51</v>
      </c>
      <c r="E1766" s="2" t="s">
        <v>12020</v>
      </c>
      <c r="F1766" s="2">
        <v>265804</v>
      </c>
      <c r="G1766" s="3" t="str">
        <f>HYPERLINK("https://cloud.oebiotech.com/#/lm/network/265804", "https://cloud.oebiotech.com/#/lm/network/265804")</f>
        <v>https://cloud.oebiotech.com/#/lm/network/265804</v>
      </c>
      <c r="H1766" s="2"/>
      <c r="I1766" s="2">
        <v>23314</v>
      </c>
      <c r="J1766" s="2"/>
      <c r="K1766" s="2">
        <v>16734517</v>
      </c>
      <c r="L1766" s="2"/>
      <c r="M1766" s="2"/>
      <c r="N1766" s="2"/>
      <c r="O1766" s="2"/>
      <c r="P1766" s="2"/>
      <c r="Q1766" s="2"/>
      <c r="R1766" s="2"/>
      <c r="S1766" s="2" t="s">
        <v>12021</v>
      </c>
      <c r="T1766" s="2" t="s">
        <v>12022</v>
      </c>
      <c r="U1766" s="2" t="s">
        <v>103</v>
      </c>
      <c r="V1766" s="2" t="s">
        <v>104</v>
      </c>
      <c r="W1766" s="2" t="s">
        <v>105</v>
      </c>
      <c r="X1766" s="2" t="s">
        <v>83</v>
      </c>
      <c r="Y1766" s="2">
        <v>44.1</v>
      </c>
      <c r="Z1766" s="2">
        <v>0.89700000000000002</v>
      </c>
      <c r="AA1766" s="2" t="s">
        <v>179</v>
      </c>
      <c r="AB1766" s="2" t="s">
        <v>12023</v>
      </c>
      <c r="AC1766" s="2">
        <v>3.9482232637244801</v>
      </c>
      <c r="AD1766" s="2"/>
      <c r="AE1766" s="2">
        <v>0.36520539123342999</v>
      </c>
      <c r="AF1766" s="2">
        <v>5033.7879551729302</v>
      </c>
      <c r="AG1766" s="2">
        <v>13092.233470221699</v>
      </c>
      <c r="AH1766" s="4">
        <v>0.38448657111273499</v>
      </c>
      <c r="AI1766" s="4">
        <v>-1.3789948845478299</v>
      </c>
      <c r="AJ1766" s="4" t="s">
        <v>62</v>
      </c>
      <c r="AK1766" s="2">
        <v>0.54026569597471796</v>
      </c>
      <c r="AL1766" s="2">
        <v>0.76516160233824004</v>
      </c>
      <c r="AM1766" s="2">
        <v>8496.6738916642298</v>
      </c>
      <c r="AN1766" s="2">
        <v>8.559877937157E-6</v>
      </c>
      <c r="AO1766" s="2">
        <v>476.81618787453698</v>
      </c>
      <c r="AP1766" s="2">
        <v>8.559877937157E-6</v>
      </c>
      <c r="AQ1766" s="2">
        <v>13274.002539803399</v>
      </c>
      <c r="AR1766" s="2">
        <v>7955.2350945756598</v>
      </c>
      <c r="AS1766" s="2">
        <v>8.559877937157E-6</v>
      </c>
      <c r="AT1766" s="2">
        <v>8.559877937157E-6</v>
      </c>
      <c r="AU1766" s="2">
        <v>763.91559996184401</v>
      </c>
      <c r="AV1766" s="2">
        <v>75561.084935712803</v>
      </c>
      <c r="AW1766" s="2">
        <v>219.314898480545</v>
      </c>
      <c r="AX1766" s="2">
        <v>2009.08537005524</v>
      </c>
    </row>
    <row r="1767" spans="1:50" x14ac:dyDescent="0.25">
      <c r="A1767" s="2" t="s">
        <v>12024</v>
      </c>
      <c r="B1767" s="2">
        <v>186.11282973083999</v>
      </c>
      <c r="C1767" s="2">
        <v>4.5305499999999999</v>
      </c>
      <c r="D1767" s="2" t="s">
        <v>51</v>
      </c>
      <c r="E1767" s="2" t="s">
        <v>12025</v>
      </c>
      <c r="F1767" s="2">
        <v>2162</v>
      </c>
      <c r="G1767" s="3" t="str">
        <f>HYPERLINK("https://cloud.oebiotech.com/#/lm/network/2162", "https://cloud.oebiotech.com/#/lm/network/2162")</f>
        <v>https://cloud.oebiotech.com/#/lm/network/2162</v>
      </c>
      <c r="H1767" s="2"/>
      <c r="I1767" s="2"/>
      <c r="J1767" s="2" t="s">
        <v>12026</v>
      </c>
      <c r="K1767" s="2">
        <v>173</v>
      </c>
      <c r="L1767" s="2" t="s">
        <v>7314</v>
      </c>
      <c r="M1767" s="2" t="s">
        <v>7315</v>
      </c>
      <c r="N1767" s="2" t="s">
        <v>7316</v>
      </c>
      <c r="O1767" s="2">
        <v>15830</v>
      </c>
      <c r="P1767" s="2"/>
      <c r="Q1767" s="2"/>
      <c r="R1767" s="2"/>
      <c r="S1767" s="2" t="s">
        <v>12027</v>
      </c>
      <c r="T1767" s="2" t="s">
        <v>12028</v>
      </c>
      <c r="U1767" s="2" t="s">
        <v>56</v>
      </c>
      <c r="V1767" s="2" t="s">
        <v>145</v>
      </c>
      <c r="W1767" s="2" t="s">
        <v>231</v>
      </c>
      <c r="X1767" s="2" t="s">
        <v>147</v>
      </c>
      <c r="Y1767" s="2">
        <v>46.8</v>
      </c>
      <c r="Z1767" s="2">
        <v>41.3</v>
      </c>
      <c r="AA1767" s="2" t="s">
        <v>163</v>
      </c>
      <c r="AB1767" s="2" t="s">
        <v>7321</v>
      </c>
      <c r="AC1767" s="2">
        <v>-3.9399449926566001</v>
      </c>
      <c r="AD1767" s="2"/>
      <c r="AE1767" s="2">
        <v>0.36492792710479899</v>
      </c>
      <c r="AF1767" s="2">
        <v>11843.3817496218</v>
      </c>
      <c r="AG1767" s="2">
        <v>4057.4134430346198</v>
      </c>
      <c r="AH1767" s="5">
        <v>2.9189487134847898</v>
      </c>
      <c r="AI1767" s="5">
        <v>1.54544886262121</v>
      </c>
      <c r="AJ1767" s="5" t="s">
        <v>139</v>
      </c>
      <c r="AK1767" s="2">
        <v>0.26953629011836</v>
      </c>
      <c r="AL1767" s="2">
        <v>0.59023387803609295</v>
      </c>
      <c r="AM1767" s="2">
        <v>4698.3681015177699</v>
      </c>
      <c r="AN1767" s="2">
        <v>2412.7648272429501</v>
      </c>
      <c r="AO1767" s="2">
        <v>14117.632938716</v>
      </c>
      <c r="AP1767" s="2">
        <v>2214.1863077450198</v>
      </c>
      <c r="AQ1767" s="2">
        <v>43412.684385192602</v>
      </c>
      <c r="AR1767" s="2">
        <v>4204.6539373164496</v>
      </c>
      <c r="AS1767" s="2">
        <v>7057.2969348393099</v>
      </c>
      <c r="AT1767" s="2">
        <v>3425.9729457318499</v>
      </c>
      <c r="AU1767" s="2">
        <v>7936.1555913900002</v>
      </c>
      <c r="AV1767" s="2">
        <v>1789.8391223056101</v>
      </c>
      <c r="AW1767" s="2">
        <v>1525.3405342941201</v>
      </c>
      <c r="AX1767" s="2">
        <v>2609.8755296468498</v>
      </c>
    </row>
    <row r="1768" spans="1:50" x14ac:dyDescent="0.25">
      <c r="A1768" s="2" t="s">
        <v>12029</v>
      </c>
      <c r="B1768" s="2">
        <v>417.226593170863</v>
      </c>
      <c r="C1768" s="2">
        <v>8.1293166666666696</v>
      </c>
      <c r="D1768" s="2" t="s">
        <v>51</v>
      </c>
      <c r="E1768" s="2" t="s">
        <v>12030</v>
      </c>
      <c r="F1768" s="2">
        <v>53504</v>
      </c>
      <c r="G1768" s="3" t="str">
        <f>HYPERLINK("https://cloud.oebiotech.com/#/lm/network/53504", "https://cloud.oebiotech.com/#/lm/network/53504")</f>
        <v>https://cloud.oebiotech.com/#/lm/network/53504</v>
      </c>
      <c r="H1768" s="2" t="s">
        <v>12031</v>
      </c>
      <c r="I1768" s="2">
        <v>1748</v>
      </c>
      <c r="J1768" s="2"/>
      <c r="K1768" s="2">
        <v>56330</v>
      </c>
      <c r="L1768" s="2" t="s">
        <v>12032</v>
      </c>
      <c r="M1768" s="2"/>
      <c r="N1768" s="2"/>
      <c r="O1768" s="2">
        <v>553655</v>
      </c>
      <c r="P1768" s="2"/>
      <c r="Q1768" s="2"/>
      <c r="R1768" s="2" t="s">
        <v>12033</v>
      </c>
      <c r="S1768" s="2" t="s">
        <v>12034</v>
      </c>
      <c r="T1768" s="2" t="s">
        <v>12035</v>
      </c>
      <c r="U1768" s="2" t="s">
        <v>103</v>
      </c>
      <c r="V1768" s="2" t="s">
        <v>104</v>
      </c>
      <c r="W1768" s="2" t="s">
        <v>105</v>
      </c>
      <c r="X1768" s="2" t="s">
        <v>147</v>
      </c>
      <c r="Y1768" s="2">
        <v>45</v>
      </c>
      <c r="Z1768" s="2">
        <v>34.5</v>
      </c>
      <c r="AA1768" s="2" t="s">
        <v>122</v>
      </c>
      <c r="AB1768" s="2" t="s">
        <v>12036</v>
      </c>
      <c r="AC1768" s="2">
        <v>0.532000151670457</v>
      </c>
      <c r="AD1768" s="2"/>
      <c r="AE1768" s="2">
        <v>0.36492097820636898</v>
      </c>
      <c r="AF1768" s="2">
        <v>47150.986198679602</v>
      </c>
      <c r="AG1768" s="2">
        <v>40366.063961688902</v>
      </c>
      <c r="AH1768" s="5">
        <v>1.16808481112823</v>
      </c>
      <c r="AI1768" s="5">
        <v>0.224145027772753</v>
      </c>
      <c r="AJ1768" s="5" t="s">
        <v>139</v>
      </c>
      <c r="AK1768" s="2">
        <v>0.45280295480423099</v>
      </c>
      <c r="AL1768" s="2">
        <v>0.70577346880354896</v>
      </c>
      <c r="AM1768" s="2">
        <v>82892.980980351407</v>
      </c>
      <c r="AN1768" s="2">
        <v>43301.6534523378</v>
      </c>
      <c r="AO1768" s="2">
        <v>28883.6891416492</v>
      </c>
      <c r="AP1768" s="2">
        <v>40892.517579273597</v>
      </c>
      <c r="AQ1768" s="2">
        <v>32974.995390470198</v>
      </c>
      <c r="AR1768" s="2">
        <v>53960.080647995201</v>
      </c>
      <c r="AS1768" s="2">
        <v>40340.939689182698</v>
      </c>
      <c r="AT1768" s="2">
        <v>30571.427237034201</v>
      </c>
      <c r="AU1768" s="2">
        <v>31372.5026376961</v>
      </c>
      <c r="AV1768" s="2">
        <v>47808.813105262598</v>
      </c>
      <c r="AW1768" s="2">
        <v>51241.3479139353</v>
      </c>
      <c r="AX1768" s="2">
        <v>40861.353187022702</v>
      </c>
    </row>
    <row r="1769" spans="1:50" x14ac:dyDescent="0.25">
      <c r="A1769" s="2" t="s">
        <v>12037</v>
      </c>
      <c r="B1769" s="2">
        <v>532.26838486404404</v>
      </c>
      <c r="C1769" s="2">
        <v>7.0215666666666703</v>
      </c>
      <c r="D1769" s="2" t="s">
        <v>51</v>
      </c>
      <c r="E1769" s="2" t="s">
        <v>12038</v>
      </c>
      <c r="F1769" s="2">
        <v>27930</v>
      </c>
      <c r="G1769" s="3" t="str">
        <f>HYPERLINK("https://cloud.oebiotech.com/#/lm/network/27930", "https://cloud.oebiotech.com/#/lm/network/27930")</f>
        <v>https://cloud.oebiotech.com/#/lm/network/27930</v>
      </c>
      <c r="H1769" s="2"/>
      <c r="I1769" s="2"/>
      <c r="J1769" s="2" t="s">
        <v>12039</v>
      </c>
      <c r="K1769" s="2"/>
      <c r="L1769" s="2"/>
      <c r="M1769" s="2"/>
      <c r="N1769" s="2"/>
      <c r="O1769" s="2"/>
      <c r="P1769" s="2"/>
      <c r="Q1769" s="2"/>
      <c r="R1769" s="2"/>
      <c r="S1769" s="2" t="s">
        <v>12040</v>
      </c>
      <c r="T1769" s="2" t="s">
        <v>12041</v>
      </c>
      <c r="U1769" s="2" t="s">
        <v>56</v>
      </c>
      <c r="V1769" s="2" t="s">
        <v>57</v>
      </c>
      <c r="W1769" s="2" t="s">
        <v>155</v>
      </c>
      <c r="X1769" s="2" t="s">
        <v>147</v>
      </c>
      <c r="Y1769" s="2">
        <v>40.4</v>
      </c>
      <c r="Z1769" s="2">
        <v>15.1</v>
      </c>
      <c r="AA1769" s="2" t="s">
        <v>163</v>
      </c>
      <c r="AB1769" s="2" t="s">
        <v>12042</v>
      </c>
      <c r="AC1769" s="2">
        <v>0.54882363099141895</v>
      </c>
      <c r="AD1769" s="2"/>
      <c r="AE1769" s="2">
        <v>0.36446266743218397</v>
      </c>
      <c r="AF1769" s="2">
        <v>6598.13903767593</v>
      </c>
      <c r="AG1769" s="2">
        <v>3455.4789203292598</v>
      </c>
      <c r="AH1769" s="5">
        <v>1.90947165061774</v>
      </c>
      <c r="AI1769" s="5">
        <v>0.93317350083667605</v>
      </c>
      <c r="AJ1769" s="5" t="s">
        <v>139</v>
      </c>
      <c r="AK1769" s="2">
        <v>0.11780553292413699</v>
      </c>
      <c r="AL1769" s="2">
        <v>0.436261987215596</v>
      </c>
      <c r="AM1769" s="2">
        <v>14333.109641537199</v>
      </c>
      <c r="AN1769" s="2">
        <v>5741.5269758042796</v>
      </c>
      <c r="AO1769" s="2">
        <v>4957.4909980953798</v>
      </c>
      <c r="AP1769" s="2">
        <v>4220.64141497725</v>
      </c>
      <c r="AQ1769" s="2">
        <v>3918.64830028809</v>
      </c>
      <c r="AR1769" s="2">
        <v>6417.4168953533699</v>
      </c>
      <c r="AS1769" s="2">
        <v>3496.4343330040201</v>
      </c>
      <c r="AT1769" s="2">
        <v>1921.0205602726101</v>
      </c>
      <c r="AU1769" s="2">
        <v>6717.8888708759696</v>
      </c>
      <c r="AV1769" s="2">
        <v>2096.3209007336</v>
      </c>
      <c r="AW1769" s="2">
        <v>1001.29310015269</v>
      </c>
      <c r="AX1769" s="2">
        <v>5499.9157569366498</v>
      </c>
    </row>
    <row r="1770" spans="1:50" x14ac:dyDescent="0.25">
      <c r="A1770" s="2" t="s">
        <v>12043</v>
      </c>
      <c r="B1770" s="2">
        <v>269.21213717334001</v>
      </c>
      <c r="C1770" s="2">
        <v>12.4858833333333</v>
      </c>
      <c r="D1770" s="2" t="s">
        <v>51</v>
      </c>
      <c r="E1770" s="2" t="s">
        <v>12044</v>
      </c>
      <c r="F1770" s="2">
        <v>10047</v>
      </c>
      <c r="G1770" s="3" t="str">
        <f>HYPERLINK("https://cloud.oebiotech.com/#/lm/network/10047", "https://cloud.oebiotech.com/#/lm/network/10047")</f>
        <v>https://cloud.oebiotech.com/#/lm/network/10047</v>
      </c>
      <c r="H1770" s="2"/>
      <c r="I1770" s="2">
        <v>98252</v>
      </c>
      <c r="J1770" s="2" t="s">
        <v>12045</v>
      </c>
      <c r="K1770" s="2">
        <v>11701351</v>
      </c>
      <c r="L1770" s="2"/>
      <c r="M1770" s="2"/>
      <c r="N1770" s="2"/>
      <c r="O1770" s="2"/>
      <c r="P1770" s="2"/>
      <c r="Q1770" s="2"/>
      <c r="R1770" s="2"/>
      <c r="S1770" s="2" t="s">
        <v>12046</v>
      </c>
      <c r="T1770" s="2" t="s">
        <v>12047</v>
      </c>
      <c r="U1770" s="2" t="s">
        <v>331</v>
      </c>
      <c r="V1770" s="2" t="s">
        <v>332</v>
      </c>
      <c r="W1770" s="2" t="s">
        <v>1207</v>
      </c>
      <c r="X1770" s="2" t="s">
        <v>147</v>
      </c>
      <c r="Y1770" s="2">
        <v>38.6</v>
      </c>
      <c r="Z1770" s="2">
        <v>0</v>
      </c>
      <c r="AA1770" s="2" t="s">
        <v>218</v>
      </c>
      <c r="AB1770" s="2" t="s">
        <v>12048</v>
      </c>
      <c r="AC1770" s="2">
        <v>-0.36221723381318399</v>
      </c>
      <c r="AD1770" s="2"/>
      <c r="AE1770" s="2">
        <v>0.36444922006410002</v>
      </c>
      <c r="AF1770" s="2">
        <v>9085.9696604969795</v>
      </c>
      <c r="AG1770" s="2">
        <v>12418.725384060401</v>
      </c>
      <c r="AH1770" s="4">
        <v>0.73163463878176704</v>
      </c>
      <c r="AI1770" s="4">
        <v>-0.45080471469454803</v>
      </c>
      <c r="AJ1770" s="4" t="s">
        <v>62</v>
      </c>
      <c r="AK1770" s="2">
        <v>4.5012936583100297E-3</v>
      </c>
      <c r="AL1770" s="2">
        <v>0.12174388396289799</v>
      </c>
      <c r="AM1770" s="2">
        <v>10102.025422387</v>
      </c>
      <c r="AN1770" s="2">
        <v>7476.2885263719099</v>
      </c>
      <c r="AO1770" s="2">
        <v>8102.5672991277297</v>
      </c>
      <c r="AP1770" s="2">
        <v>8519.1911259501394</v>
      </c>
      <c r="AQ1770" s="2">
        <v>10931.530211667899</v>
      </c>
      <c r="AR1770" s="2">
        <v>9384.2153774772305</v>
      </c>
      <c r="AS1770" s="2">
        <v>9458.4624282430195</v>
      </c>
      <c r="AT1770" s="2">
        <v>12606.6247128757</v>
      </c>
      <c r="AU1770" s="2">
        <v>13570.1049561153</v>
      </c>
      <c r="AV1770" s="2">
        <v>14709.4183110183</v>
      </c>
      <c r="AW1770" s="2">
        <v>12819.1873786331</v>
      </c>
      <c r="AX1770" s="2">
        <v>11348.554517476899</v>
      </c>
    </row>
    <row r="1771" spans="1:50" x14ac:dyDescent="0.25">
      <c r="A1771" s="2" t="s">
        <v>12049</v>
      </c>
      <c r="B1771" s="2">
        <v>444.24706420318699</v>
      </c>
      <c r="C1771" s="2">
        <v>3.73206666666667</v>
      </c>
      <c r="D1771" s="2" t="s">
        <v>51</v>
      </c>
      <c r="E1771" s="2" t="s">
        <v>12050</v>
      </c>
      <c r="F1771" s="2">
        <v>39589</v>
      </c>
      <c r="G1771" s="3" t="str">
        <f>HYPERLINK("https://cloud.oebiotech.com/#/lm/network/39589", "https://cloud.oebiotech.com/#/lm/network/39589")</f>
        <v>https://cloud.oebiotech.com/#/lm/network/39589</v>
      </c>
      <c r="H1771" s="2"/>
      <c r="I1771" s="2">
        <v>53980</v>
      </c>
      <c r="J1771" s="2" t="s">
        <v>12051</v>
      </c>
      <c r="K1771" s="2">
        <v>15199918</v>
      </c>
      <c r="L1771" s="2"/>
      <c r="M1771" s="2"/>
      <c r="N1771" s="2"/>
      <c r="O1771" s="2">
        <v>46981</v>
      </c>
      <c r="P1771" s="2"/>
      <c r="Q1771" s="2"/>
      <c r="R1771" s="2"/>
      <c r="S1771" s="2" t="s">
        <v>12052</v>
      </c>
      <c r="T1771" s="2" t="s">
        <v>12053</v>
      </c>
      <c r="U1771" s="2" t="s">
        <v>56</v>
      </c>
      <c r="V1771" s="2" t="s">
        <v>344</v>
      </c>
      <c r="W1771" s="2" t="s">
        <v>1239</v>
      </c>
      <c r="X1771" s="2" t="s">
        <v>147</v>
      </c>
      <c r="Y1771" s="2">
        <v>41.8</v>
      </c>
      <c r="Z1771" s="2">
        <v>20.7</v>
      </c>
      <c r="AA1771" s="2" t="s">
        <v>95</v>
      </c>
      <c r="AB1771" s="2" t="s">
        <v>12054</v>
      </c>
      <c r="AC1771" s="2">
        <v>-3.5159145125854399</v>
      </c>
      <c r="AD1771" s="2"/>
      <c r="AE1771" s="2">
        <v>0.36442628579151898</v>
      </c>
      <c r="AF1771" s="2">
        <v>6395.67548775451</v>
      </c>
      <c r="AG1771" s="2">
        <v>14194.743422551001</v>
      </c>
      <c r="AH1771" s="4">
        <v>0.45056647361401397</v>
      </c>
      <c r="AI1771" s="4">
        <v>-1.15018812740875</v>
      </c>
      <c r="AJ1771" s="4" t="s">
        <v>62</v>
      </c>
      <c r="AK1771" s="2">
        <v>0.56579777826418098</v>
      </c>
      <c r="AL1771" s="2">
        <v>0.78210510117681997</v>
      </c>
      <c r="AM1771" s="2">
        <v>7847.3903512692896</v>
      </c>
      <c r="AN1771" s="2">
        <v>9.8565281533306504</v>
      </c>
      <c r="AO1771" s="2">
        <v>141.132798807732</v>
      </c>
      <c r="AP1771" s="2">
        <v>279.74515460081801</v>
      </c>
      <c r="AQ1771" s="2">
        <v>18849.878625275102</v>
      </c>
      <c r="AR1771" s="2">
        <v>11246.049468420801</v>
      </c>
      <c r="AS1771" s="2">
        <v>8.559877937157E-6</v>
      </c>
      <c r="AT1771" s="2">
        <v>313.87215147083901</v>
      </c>
      <c r="AU1771" s="2">
        <v>855.67001112416801</v>
      </c>
      <c r="AV1771" s="2">
        <v>77845.329091011605</v>
      </c>
      <c r="AW1771" s="2">
        <v>1430.3607335910699</v>
      </c>
      <c r="AX1771" s="2">
        <v>4723.2285395482104</v>
      </c>
    </row>
    <row r="1772" spans="1:50" x14ac:dyDescent="0.25">
      <c r="A1772" s="2" t="s">
        <v>12055</v>
      </c>
      <c r="B1772" s="2">
        <v>738.50849907200302</v>
      </c>
      <c r="C1772" s="2">
        <v>12.667533333333299</v>
      </c>
      <c r="D1772" s="2" t="s">
        <v>51</v>
      </c>
      <c r="E1772" s="2" t="s">
        <v>12056</v>
      </c>
      <c r="F1772" s="2">
        <v>214246</v>
      </c>
      <c r="G1772" s="3" t="str">
        <f>HYPERLINK("https://cloud.oebiotech.com/#/lm/network/214246", "https://cloud.oebiotech.com/#/lm/network/214246")</f>
        <v>https://cloud.oebiotech.com/#/lm/network/214246</v>
      </c>
      <c r="H1772" s="2" t="s">
        <v>12057</v>
      </c>
      <c r="I1772" s="2"/>
      <c r="J1772" s="2"/>
      <c r="K1772" s="2"/>
      <c r="L1772" s="2"/>
      <c r="M1772" s="2"/>
      <c r="N1772" s="2"/>
      <c r="O1772" s="2"/>
      <c r="P1772" s="2"/>
      <c r="Q1772" s="2"/>
      <c r="R1772" s="2"/>
      <c r="S1772" s="2" t="s">
        <v>12058</v>
      </c>
      <c r="T1772" s="2" t="s">
        <v>12059</v>
      </c>
      <c r="U1772" s="2" t="s">
        <v>56</v>
      </c>
      <c r="V1772" s="2" t="s">
        <v>57</v>
      </c>
      <c r="W1772" s="2" t="s">
        <v>155</v>
      </c>
      <c r="X1772" s="2" t="s">
        <v>83</v>
      </c>
      <c r="Y1772" s="2">
        <v>39.5</v>
      </c>
      <c r="Z1772" s="2">
        <v>0</v>
      </c>
      <c r="AA1772" s="2" t="s">
        <v>379</v>
      </c>
      <c r="AB1772" s="2" t="s">
        <v>12060</v>
      </c>
      <c r="AC1772" s="2">
        <v>0.75316756932579598</v>
      </c>
      <c r="AD1772" s="2"/>
      <c r="AE1772" s="2">
        <v>0.36433387155945601</v>
      </c>
      <c r="AF1772" s="2">
        <v>2116.72489392543</v>
      </c>
      <c r="AG1772" s="2">
        <v>6991.5228822055196</v>
      </c>
      <c r="AH1772" s="4">
        <v>0.30275591306621003</v>
      </c>
      <c r="AI1772" s="4">
        <v>-1.7237729576994201</v>
      </c>
      <c r="AJ1772" s="4" t="s">
        <v>62</v>
      </c>
      <c r="AK1772" s="2">
        <v>0.21351825717412201</v>
      </c>
      <c r="AL1772" s="2">
        <v>0.53768212145991301</v>
      </c>
      <c r="AM1772" s="2">
        <v>1859.9317501135799</v>
      </c>
      <c r="AN1772" s="2">
        <v>3233.32863078846</v>
      </c>
      <c r="AO1772" s="2">
        <v>5486.0210519099501</v>
      </c>
      <c r="AP1772" s="2">
        <v>333.08992918984598</v>
      </c>
      <c r="AQ1772" s="2">
        <v>1343.9275112058999</v>
      </c>
      <c r="AR1772" s="2">
        <v>444.05049034484898</v>
      </c>
      <c r="AS1772" s="2">
        <v>23664.8038674485</v>
      </c>
      <c r="AT1772" s="2">
        <v>967.56019202553603</v>
      </c>
      <c r="AU1772" s="2">
        <v>1971.3476398376999</v>
      </c>
      <c r="AV1772" s="2">
        <v>5472.0117447823004</v>
      </c>
      <c r="AW1772" s="2">
        <v>9085.5132496977694</v>
      </c>
      <c r="AX1772" s="2">
        <v>787.90059944131394</v>
      </c>
    </row>
    <row r="1773" spans="1:50" x14ac:dyDescent="0.25">
      <c r="A1773" s="2" t="s">
        <v>12061</v>
      </c>
      <c r="B1773" s="2">
        <v>299.06779999999998</v>
      </c>
      <c r="C1773" s="2">
        <v>17.751000000000001</v>
      </c>
      <c r="D1773" s="2" t="s">
        <v>125</v>
      </c>
      <c r="E1773" s="2" t="s">
        <v>12062</v>
      </c>
      <c r="F1773" s="2">
        <v>46884</v>
      </c>
      <c r="G1773" s="3" t="str">
        <f>HYPERLINK("https://cloud.oebiotech.com/#/lm/network/46884", "https://cloud.oebiotech.com/#/lm/network/46884")</f>
        <v>https://cloud.oebiotech.com/#/lm/network/46884</v>
      </c>
      <c r="H1773" s="2" t="s">
        <v>12063</v>
      </c>
      <c r="I1773" s="2">
        <v>5161</v>
      </c>
      <c r="J1773" s="2"/>
      <c r="K1773" s="2">
        <v>439162</v>
      </c>
      <c r="L1773" s="2" t="s">
        <v>12064</v>
      </c>
      <c r="M1773" s="2" t="s">
        <v>12065</v>
      </c>
      <c r="N1773" s="2" t="s">
        <v>12066</v>
      </c>
      <c r="O1773" s="2">
        <v>15978</v>
      </c>
      <c r="P1773" s="2"/>
      <c r="Q1773" s="2"/>
      <c r="R1773" s="2" t="s">
        <v>12067</v>
      </c>
      <c r="S1773" s="2" t="s">
        <v>12068</v>
      </c>
      <c r="T1773" s="2" t="s">
        <v>12069</v>
      </c>
      <c r="U1773" s="2" t="s">
        <v>56</v>
      </c>
      <c r="V1773" s="2" t="s">
        <v>57</v>
      </c>
      <c r="W1773" s="2" t="s">
        <v>702</v>
      </c>
      <c r="X1773" s="2" t="s">
        <v>69</v>
      </c>
      <c r="Y1773" s="2">
        <v>96.9</v>
      </c>
      <c r="Z1773" s="2">
        <v>98.6</v>
      </c>
      <c r="AA1773" s="2"/>
      <c r="AB1773" s="2" t="s">
        <v>12070</v>
      </c>
      <c r="AC1773" s="2"/>
      <c r="AD1773" s="2">
        <v>596101.14153490204</v>
      </c>
      <c r="AE1773" s="2">
        <v>0.36401247018668598</v>
      </c>
      <c r="AF1773" s="2">
        <v>94890.3209808838</v>
      </c>
      <c r="AG1773" s="2">
        <v>130988.805367729</v>
      </c>
      <c r="AH1773" s="4">
        <v>0.72441550035130897</v>
      </c>
      <c r="AI1773" s="4">
        <v>-0.46511067885781199</v>
      </c>
      <c r="AJ1773" s="4" t="s">
        <v>62</v>
      </c>
      <c r="AK1773" s="2">
        <v>0.16959556100029999</v>
      </c>
      <c r="AL1773" s="2">
        <v>0.49116257804962998</v>
      </c>
      <c r="AM1773" s="2">
        <v>102612.53877880699</v>
      </c>
      <c r="AN1773" s="2">
        <v>104371.253087804</v>
      </c>
      <c r="AO1773" s="2">
        <v>78728.034895234698</v>
      </c>
      <c r="AP1773" s="2">
        <v>111317.645966533</v>
      </c>
      <c r="AQ1773" s="2">
        <v>71552.583078013005</v>
      </c>
      <c r="AR1773" s="2">
        <v>100759.870078911</v>
      </c>
      <c r="AS1773" s="2">
        <v>60204.4522217173</v>
      </c>
      <c r="AT1773" s="2">
        <v>64476.424760032802</v>
      </c>
      <c r="AU1773" s="2">
        <v>190644.22636326001</v>
      </c>
      <c r="AV1773" s="2">
        <v>177091.83842199101</v>
      </c>
      <c r="AW1773" s="2">
        <v>168719.03046007201</v>
      </c>
      <c r="AX1773" s="2">
        <v>124796.859979302</v>
      </c>
    </row>
    <row r="1774" spans="1:50" x14ac:dyDescent="0.25">
      <c r="A1774" s="2" t="s">
        <v>12071</v>
      </c>
      <c r="B1774" s="2">
        <v>608.32054769752494</v>
      </c>
      <c r="C1774" s="2">
        <v>6.5599666666666696</v>
      </c>
      <c r="D1774" s="2" t="s">
        <v>51</v>
      </c>
      <c r="E1774" s="2" t="s">
        <v>12072</v>
      </c>
      <c r="F1774" s="2">
        <v>28069</v>
      </c>
      <c r="G1774" s="3" t="str">
        <f>HYPERLINK("https://cloud.oebiotech.com/#/lm/network/28069", "https://cloud.oebiotech.com/#/lm/network/28069")</f>
        <v>https://cloud.oebiotech.com/#/lm/network/28069</v>
      </c>
      <c r="H1774" s="2"/>
      <c r="I1774" s="2"/>
      <c r="J1774" s="2" t="s">
        <v>12073</v>
      </c>
      <c r="K1774" s="2">
        <v>134812514</v>
      </c>
      <c r="L1774" s="2"/>
      <c r="M1774" s="2"/>
      <c r="N1774" s="2"/>
      <c r="O1774" s="2"/>
      <c r="P1774" s="2"/>
      <c r="Q1774" s="2"/>
      <c r="R1774" s="2"/>
      <c r="S1774" s="2" t="s">
        <v>12074</v>
      </c>
      <c r="T1774" s="2" t="s">
        <v>12075</v>
      </c>
      <c r="U1774" s="2" t="s">
        <v>56</v>
      </c>
      <c r="V1774" s="2" t="s">
        <v>57</v>
      </c>
      <c r="W1774" s="2" t="s">
        <v>702</v>
      </c>
      <c r="X1774" s="2" t="s">
        <v>147</v>
      </c>
      <c r="Y1774" s="2">
        <v>37.1</v>
      </c>
      <c r="Z1774" s="2">
        <v>0</v>
      </c>
      <c r="AA1774" s="2" t="s">
        <v>512</v>
      </c>
      <c r="AB1774" s="2" t="s">
        <v>12076</v>
      </c>
      <c r="AC1774" s="2">
        <v>1.9028332673536901</v>
      </c>
      <c r="AD1774" s="2"/>
      <c r="AE1774" s="2">
        <v>0.36378637612319598</v>
      </c>
      <c r="AF1774" s="2">
        <v>6473.0480094783597</v>
      </c>
      <c r="AG1774" s="2">
        <v>2575.3730119561801</v>
      </c>
      <c r="AH1774" s="5">
        <v>2.5134409576504901</v>
      </c>
      <c r="AI1774" s="5">
        <v>1.3296637995941301</v>
      </c>
      <c r="AJ1774" s="5" t="s">
        <v>139</v>
      </c>
      <c r="AK1774" s="2">
        <v>3.0810241441684101E-2</v>
      </c>
      <c r="AL1774" s="2">
        <v>0.26142937464104898</v>
      </c>
      <c r="AM1774" s="2">
        <v>3882.75511807267</v>
      </c>
      <c r="AN1774" s="2">
        <v>11479.113631825499</v>
      </c>
      <c r="AO1774" s="2">
        <v>2904.6193891542598</v>
      </c>
      <c r="AP1774" s="2">
        <v>4115.0369642400501</v>
      </c>
      <c r="AQ1774" s="2">
        <v>8745.0945037052606</v>
      </c>
      <c r="AR1774" s="2">
        <v>7711.6684498723998</v>
      </c>
      <c r="AS1774" s="2">
        <v>4949.4993344417398</v>
      </c>
      <c r="AT1774" s="2">
        <v>3067.2302534691598</v>
      </c>
      <c r="AU1774" s="2">
        <v>2323.9108835442098</v>
      </c>
      <c r="AV1774" s="2">
        <v>226.63420100911699</v>
      </c>
      <c r="AW1774" s="2">
        <v>1032.598670052</v>
      </c>
      <c r="AX1774" s="2">
        <v>3852.3647292208402</v>
      </c>
    </row>
    <row r="1775" spans="1:50" x14ac:dyDescent="0.25">
      <c r="A1775" s="2" t="s">
        <v>12077</v>
      </c>
      <c r="B1775" s="2">
        <v>226.99431577626899</v>
      </c>
      <c r="C1775" s="2">
        <v>13.470750000000001</v>
      </c>
      <c r="D1775" s="2" t="s">
        <v>51</v>
      </c>
      <c r="E1775" s="2" t="s">
        <v>12078</v>
      </c>
      <c r="F1775" s="2">
        <v>212970</v>
      </c>
      <c r="G1775" s="3" t="str">
        <f>HYPERLINK("https://cloud.oebiotech.com/#/lm/network/212970", "https://cloud.oebiotech.com/#/lm/network/212970")</f>
        <v>https://cloud.oebiotech.com/#/lm/network/212970</v>
      </c>
      <c r="H1775" s="2" t="s">
        <v>12079</v>
      </c>
      <c r="I1775" s="2"/>
      <c r="J1775" s="2"/>
      <c r="K1775" s="2">
        <v>129638541</v>
      </c>
      <c r="L1775" s="2"/>
      <c r="M1775" s="2"/>
      <c r="N1775" s="2"/>
      <c r="O1775" s="2"/>
      <c r="P1775" s="2"/>
      <c r="Q1775" s="2"/>
      <c r="R1775" s="2"/>
      <c r="S1775" s="2" t="s">
        <v>12080</v>
      </c>
      <c r="T1775" s="2" t="s">
        <v>12081</v>
      </c>
      <c r="U1775" s="2" t="s">
        <v>103</v>
      </c>
      <c r="V1775" s="2" t="s">
        <v>104</v>
      </c>
      <c r="W1775" s="2" t="s">
        <v>1139</v>
      </c>
      <c r="X1775" s="2" t="s">
        <v>147</v>
      </c>
      <c r="Y1775" s="2">
        <v>42.3</v>
      </c>
      <c r="Z1775" s="2">
        <v>22</v>
      </c>
      <c r="AA1775" s="2" t="s">
        <v>379</v>
      </c>
      <c r="AB1775" s="2" t="s">
        <v>12082</v>
      </c>
      <c r="AC1775" s="2">
        <v>-1.04979348556362</v>
      </c>
      <c r="AD1775" s="2"/>
      <c r="AE1775" s="2">
        <v>0.36373215193449099</v>
      </c>
      <c r="AF1775" s="2">
        <v>14352.324790168301</v>
      </c>
      <c r="AG1775" s="2">
        <v>17036.963479841801</v>
      </c>
      <c r="AH1775" s="4">
        <v>0.84242270092026805</v>
      </c>
      <c r="AI1775" s="4">
        <v>-0.24738378142992501</v>
      </c>
      <c r="AJ1775" s="4" t="s">
        <v>62</v>
      </c>
      <c r="AK1775" s="2">
        <v>4.8520964876438803E-3</v>
      </c>
      <c r="AL1775" s="2">
        <v>0.123740271492219</v>
      </c>
      <c r="AM1775" s="2">
        <v>12995.773727547899</v>
      </c>
      <c r="AN1775" s="2">
        <v>14142.603473167699</v>
      </c>
      <c r="AO1775" s="2">
        <v>13979.772008604499</v>
      </c>
      <c r="AP1775" s="2">
        <v>14491.7872595834</v>
      </c>
      <c r="AQ1775" s="2">
        <v>15953.840336655199</v>
      </c>
      <c r="AR1775" s="2">
        <v>14550.171935451101</v>
      </c>
      <c r="AS1775" s="2">
        <v>17187.4953571769</v>
      </c>
      <c r="AT1775" s="2">
        <v>18398.5592499267</v>
      </c>
      <c r="AU1775" s="2">
        <v>14075.5535881581</v>
      </c>
      <c r="AV1775" s="2">
        <v>17945.798688824001</v>
      </c>
      <c r="AW1775" s="2">
        <v>16847.120145641798</v>
      </c>
      <c r="AX1775" s="2">
        <v>17767.253849323301</v>
      </c>
    </row>
    <row r="1776" spans="1:50" x14ac:dyDescent="0.25">
      <c r="A1776" s="2" t="s">
        <v>12083</v>
      </c>
      <c r="B1776" s="2">
        <v>503.38599889670297</v>
      </c>
      <c r="C1776" s="2">
        <v>4.4428333333333301</v>
      </c>
      <c r="D1776" s="2" t="s">
        <v>51</v>
      </c>
      <c r="E1776" s="2" t="s">
        <v>12084</v>
      </c>
      <c r="F1776" s="2">
        <v>198874</v>
      </c>
      <c r="G1776" s="3" t="str">
        <f>HYPERLINK("https://cloud.oebiotech.com/#/lm/network/198874", "https://cloud.oebiotech.com/#/lm/network/198874")</f>
        <v>https://cloud.oebiotech.com/#/lm/network/198874</v>
      </c>
      <c r="H1776" s="2" t="s">
        <v>12085</v>
      </c>
      <c r="I1776" s="2"/>
      <c r="J1776" s="2"/>
      <c r="K1776" s="2">
        <v>85794040</v>
      </c>
      <c r="L1776" s="2"/>
      <c r="M1776" s="2"/>
      <c r="N1776" s="2"/>
      <c r="O1776" s="2"/>
      <c r="P1776" s="2"/>
      <c r="Q1776" s="2"/>
      <c r="R1776" s="2"/>
      <c r="S1776" s="2" t="s">
        <v>12086</v>
      </c>
      <c r="T1776" s="2" t="s">
        <v>12087</v>
      </c>
      <c r="U1776" s="2" t="s">
        <v>56</v>
      </c>
      <c r="V1776" s="2" t="s">
        <v>283</v>
      </c>
      <c r="W1776" s="2" t="s">
        <v>2042</v>
      </c>
      <c r="X1776" s="2" t="s">
        <v>147</v>
      </c>
      <c r="Y1776" s="2">
        <v>38.6</v>
      </c>
      <c r="Z1776" s="2">
        <v>6.22</v>
      </c>
      <c r="AA1776" s="2" t="s">
        <v>156</v>
      </c>
      <c r="AB1776" s="2" t="s">
        <v>12088</v>
      </c>
      <c r="AC1776" s="2">
        <v>3.1983306101842399</v>
      </c>
      <c r="AD1776" s="2"/>
      <c r="AE1776" s="2">
        <v>0.36358002945677098</v>
      </c>
      <c r="AF1776" s="2">
        <v>8.559877937157E-6</v>
      </c>
      <c r="AG1776" s="2">
        <v>7241.5342500827601</v>
      </c>
      <c r="AH1776" s="4">
        <v>1.18205309006985E-9</v>
      </c>
      <c r="AI1776" s="4">
        <v>-29.656058020619302</v>
      </c>
      <c r="AJ1776" s="4" t="s">
        <v>62</v>
      </c>
      <c r="AK1776" s="2">
        <v>0.168622888603328</v>
      </c>
      <c r="AL1776" s="2">
        <v>0.49098458663462602</v>
      </c>
      <c r="AM1776" s="2">
        <v>8.559877937157E-6</v>
      </c>
      <c r="AN1776" s="2">
        <v>8.559877937157E-6</v>
      </c>
      <c r="AO1776" s="2">
        <v>8.559877937157E-6</v>
      </c>
      <c r="AP1776" s="2">
        <v>8.559877937157E-6</v>
      </c>
      <c r="AQ1776" s="2">
        <v>8.559877937157E-6</v>
      </c>
      <c r="AR1776" s="2">
        <v>8.559877937157E-6</v>
      </c>
      <c r="AS1776" s="2">
        <v>8.559877937157E-6</v>
      </c>
      <c r="AT1776" s="2">
        <v>8.559877937157E-6</v>
      </c>
      <c r="AU1776" s="2">
        <v>30732.831274111199</v>
      </c>
      <c r="AV1776" s="2">
        <v>7701.6035436330203</v>
      </c>
      <c r="AW1776" s="2">
        <v>5014.7706570726796</v>
      </c>
      <c r="AX1776" s="2">
        <v>8.559877937157E-6</v>
      </c>
    </row>
    <row r="1777" spans="1:50" x14ac:dyDescent="0.25">
      <c r="A1777" s="2" t="s">
        <v>12089</v>
      </c>
      <c r="B1777" s="2">
        <v>410.25515892876501</v>
      </c>
      <c r="C1777" s="2">
        <v>6.8702833333333304</v>
      </c>
      <c r="D1777" s="2" t="s">
        <v>51</v>
      </c>
      <c r="E1777" s="2" t="s">
        <v>12090</v>
      </c>
      <c r="F1777" s="2">
        <v>274588</v>
      </c>
      <c r="G1777" s="3" t="str">
        <f>HYPERLINK("https://cloud.oebiotech.com/#/lm/network/274588", "https://cloud.oebiotech.com/#/lm/network/274588")</f>
        <v>https://cloud.oebiotech.com/#/lm/network/274588</v>
      </c>
      <c r="H1777" s="2"/>
      <c r="I1777" s="2">
        <v>64671</v>
      </c>
      <c r="J1777" s="2"/>
      <c r="K1777" s="2">
        <v>135421197</v>
      </c>
      <c r="L1777" s="2"/>
      <c r="M1777" s="2"/>
      <c r="N1777" s="2"/>
      <c r="O1777" s="2"/>
      <c r="P1777" s="2"/>
      <c r="Q1777" s="2"/>
      <c r="R1777" s="2" t="s">
        <v>12091</v>
      </c>
      <c r="S1777" s="2" t="s">
        <v>12092</v>
      </c>
      <c r="T1777" s="2" t="s">
        <v>12093</v>
      </c>
      <c r="U1777" s="2" t="s">
        <v>266</v>
      </c>
      <c r="V1777" s="2" t="s">
        <v>2781</v>
      </c>
      <c r="W1777" s="2" t="s">
        <v>2782</v>
      </c>
      <c r="X1777" s="2" t="s">
        <v>147</v>
      </c>
      <c r="Y1777" s="2">
        <v>38.1</v>
      </c>
      <c r="Z1777" s="2">
        <v>0</v>
      </c>
      <c r="AA1777" s="2" t="s">
        <v>512</v>
      </c>
      <c r="AB1777" s="2" t="s">
        <v>12094</v>
      </c>
      <c r="AC1777" s="2">
        <v>0.27342346167669701</v>
      </c>
      <c r="AD1777" s="2"/>
      <c r="AE1777" s="2">
        <v>0.36345816033355899</v>
      </c>
      <c r="AF1777" s="2">
        <v>6701.5843628703296</v>
      </c>
      <c r="AG1777" s="2">
        <v>3532.28405315906</v>
      </c>
      <c r="AH1777" s="5">
        <v>1.89723823509518</v>
      </c>
      <c r="AI1777" s="5">
        <v>0.92390084849653198</v>
      </c>
      <c r="AJ1777" s="5" t="s">
        <v>139</v>
      </c>
      <c r="AK1777" s="2">
        <v>9.9795930428337898E-2</v>
      </c>
      <c r="AL1777" s="2">
        <v>0.40172900346892498</v>
      </c>
      <c r="AM1777" s="2">
        <v>14980.4296511272</v>
      </c>
      <c r="AN1777" s="2">
        <v>5014.9187058206098</v>
      </c>
      <c r="AO1777" s="2">
        <v>5777.2412388374396</v>
      </c>
      <c r="AP1777" s="2">
        <v>5208.2670579613005</v>
      </c>
      <c r="AQ1777" s="2">
        <v>3824.5396981495801</v>
      </c>
      <c r="AR1777" s="2">
        <v>5404.1098253258297</v>
      </c>
      <c r="AS1777" s="2">
        <v>5465.4904459156296</v>
      </c>
      <c r="AT1777" s="2">
        <v>2921.1197280903998</v>
      </c>
      <c r="AU1777" s="2">
        <v>4071.9571375147798</v>
      </c>
      <c r="AV1777" s="2">
        <v>1907.3489938907001</v>
      </c>
      <c r="AW1777" s="2">
        <v>3186.52235458</v>
      </c>
      <c r="AX1777" s="2">
        <v>3641.26565896285</v>
      </c>
    </row>
    <row r="1778" spans="1:50" x14ac:dyDescent="0.25">
      <c r="A1778" s="2" t="s">
        <v>12095</v>
      </c>
      <c r="B1778" s="2">
        <v>172.13362530248401</v>
      </c>
      <c r="C1778" s="2">
        <v>4.7703666666666704</v>
      </c>
      <c r="D1778" s="2" t="s">
        <v>51</v>
      </c>
      <c r="E1778" s="2" t="s">
        <v>12096</v>
      </c>
      <c r="F1778" s="2">
        <v>994</v>
      </c>
      <c r="G1778" s="3" t="str">
        <f>HYPERLINK("https://cloud.oebiotech.com/#/lm/network/994", "https://cloud.oebiotech.com/#/lm/network/994")</f>
        <v>https://cloud.oebiotech.com/#/lm/network/994</v>
      </c>
      <c r="H1778" s="2"/>
      <c r="I1778" s="2">
        <v>74166</v>
      </c>
      <c r="J1778" s="2" t="s">
        <v>12097</v>
      </c>
      <c r="K1778" s="2">
        <v>35698</v>
      </c>
      <c r="L1778" s="2"/>
      <c r="M1778" s="2"/>
      <c r="N1778" s="2"/>
      <c r="O1778" s="2">
        <v>137768</v>
      </c>
      <c r="P1778" s="2"/>
      <c r="Q1778" s="2"/>
      <c r="R1778" s="2"/>
      <c r="S1778" s="2" t="s">
        <v>12098</v>
      </c>
      <c r="T1778" s="2" t="s">
        <v>12099</v>
      </c>
      <c r="U1778" s="2" t="s">
        <v>56</v>
      </c>
      <c r="V1778" s="2" t="s">
        <v>145</v>
      </c>
      <c r="W1778" s="2" t="s">
        <v>231</v>
      </c>
      <c r="X1778" s="2" t="s">
        <v>147</v>
      </c>
      <c r="Y1778" s="2">
        <v>44.8</v>
      </c>
      <c r="Z1778" s="2">
        <v>30</v>
      </c>
      <c r="AA1778" s="2" t="s">
        <v>512</v>
      </c>
      <c r="AB1778" s="2" t="s">
        <v>12100</v>
      </c>
      <c r="AC1778" s="2">
        <v>2.72606148511312</v>
      </c>
      <c r="AD1778" s="2"/>
      <c r="AE1778" s="2">
        <v>0.36327701827076903</v>
      </c>
      <c r="AF1778" s="2">
        <v>24048.0262451378</v>
      </c>
      <c r="AG1778" s="2">
        <v>12317.5826450062</v>
      </c>
      <c r="AH1778" s="5">
        <v>1.9523332571174099</v>
      </c>
      <c r="AI1778" s="5">
        <v>0.9651993374058</v>
      </c>
      <c r="AJ1778" s="5" t="s">
        <v>139</v>
      </c>
      <c r="AK1778" s="2">
        <v>0.380438273549141</v>
      </c>
      <c r="AL1778" s="2">
        <v>0.65913977412323299</v>
      </c>
      <c r="AM1778" s="2">
        <v>5968.0409418975696</v>
      </c>
      <c r="AN1778" s="2">
        <v>5313.7654894969701</v>
      </c>
      <c r="AO1778" s="2">
        <v>29477.004881295001</v>
      </c>
      <c r="AP1778" s="2">
        <v>6707.1467305648903</v>
      </c>
      <c r="AQ1778" s="2">
        <v>84996.850762110902</v>
      </c>
      <c r="AR1778" s="2">
        <v>11825.348665461401</v>
      </c>
      <c r="AS1778" s="2">
        <v>17000.8167582442</v>
      </c>
      <c r="AT1778" s="2">
        <v>10908.0023910248</v>
      </c>
      <c r="AU1778" s="2">
        <v>13157.2086064537</v>
      </c>
      <c r="AV1778" s="2">
        <v>11052.1633649657</v>
      </c>
      <c r="AW1778" s="2">
        <v>10364.1631279867</v>
      </c>
      <c r="AX1778" s="2">
        <v>11423.141621362</v>
      </c>
    </row>
    <row r="1779" spans="1:50" x14ac:dyDescent="0.25">
      <c r="A1779" s="2" t="s">
        <v>12101</v>
      </c>
      <c r="B1779" s="2">
        <v>359.230075318763</v>
      </c>
      <c r="C1779" s="2">
        <v>4.4640000000000004</v>
      </c>
      <c r="D1779" s="2" t="s">
        <v>51</v>
      </c>
      <c r="E1779" s="2" t="s">
        <v>12102</v>
      </c>
      <c r="F1779" s="2">
        <v>259657</v>
      </c>
      <c r="G1779" s="3" t="str">
        <f>HYPERLINK("https://cloud.oebiotech.com/#/lm/network/259657", "https://cloud.oebiotech.com/#/lm/network/259657")</f>
        <v>https://cloud.oebiotech.com/#/lm/network/259657</v>
      </c>
      <c r="H1779" s="2"/>
      <c r="I1779" s="2">
        <v>16874</v>
      </c>
      <c r="J1779" s="2"/>
      <c r="K1779" s="2">
        <v>145454171</v>
      </c>
      <c r="L1779" s="2"/>
      <c r="M1779" s="2"/>
      <c r="N1779" s="2"/>
      <c r="O1779" s="2"/>
      <c r="P1779" s="2"/>
      <c r="Q1779" s="2"/>
      <c r="R1779" s="2"/>
      <c r="S1779" s="2" t="s">
        <v>12103</v>
      </c>
      <c r="T1779" s="2" t="s">
        <v>12104</v>
      </c>
      <c r="U1779" s="2" t="s">
        <v>103</v>
      </c>
      <c r="V1779" s="2" t="s">
        <v>104</v>
      </c>
      <c r="W1779" s="2" t="s">
        <v>105</v>
      </c>
      <c r="X1779" s="2" t="s">
        <v>69</v>
      </c>
      <c r="Y1779" s="2">
        <v>57.5</v>
      </c>
      <c r="Z1779" s="2">
        <v>61.7</v>
      </c>
      <c r="AA1779" s="2" t="s">
        <v>60</v>
      </c>
      <c r="AB1779" s="2" t="s">
        <v>12105</v>
      </c>
      <c r="AC1779" s="2">
        <v>3.2907217132127902</v>
      </c>
      <c r="AD1779" s="2"/>
      <c r="AE1779" s="2">
        <v>0.36323728065701999</v>
      </c>
      <c r="AF1779" s="2">
        <v>17572.465117136901</v>
      </c>
      <c r="AG1779" s="2">
        <v>25575.249822944101</v>
      </c>
      <c r="AH1779" s="4">
        <v>0.68708869859688604</v>
      </c>
      <c r="AI1779" s="4">
        <v>-0.54143174145419404</v>
      </c>
      <c r="AJ1779" s="4" t="s">
        <v>62</v>
      </c>
      <c r="AK1779" s="2">
        <v>0.51697359198222603</v>
      </c>
      <c r="AL1779" s="2">
        <v>0.74951702456617197</v>
      </c>
      <c r="AM1779" s="2">
        <v>584.53325982260299</v>
      </c>
      <c r="AN1779" s="2">
        <v>27539.169986056</v>
      </c>
      <c r="AO1779" s="2">
        <v>9682.7225447925794</v>
      </c>
      <c r="AP1779" s="2">
        <v>7535.5345957255304</v>
      </c>
      <c r="AQ1779" s="2">
        <v>9403.39787989664</v>
      </c>
      <c r="AR1779" s="2">
        <v>50689.432436528201</v>
      </c>
      <c r="AS1779" s="2">
        <v>432.399533976008</v>
      </c>
      <c r="AT1779" s="2">
        <v>6862.1439282413003</v>
      </c>
      <c r="AU1779" s="2">
        <v>46256.178739582101</v>
      </c>
      <c r="AV1779" s="2">
        <v>51602.640115268099</v>
      </c>
      <c r="AW1779" s="2">
        <v>39185.3946628876</v>
      </c>
      <c r="AX1779" s="2">
        <v>9112.7419577096607</v>
      </c>
    </row>
    <row r="1780" spans="1:50" x14ac:dyDescent="0.25">
      <c r="A1780" s="2" t="s">
        <v>12106</v>
      </c>
      <c r="B1780" s="2">
        <v>894.58519910003702</v>
      </c>
      <c r="C1780" s="2">
        <v>12.55655</v>
      </c>
      <c r="D1780" s="2" t="s">
        <v>51</v>
      </c>
      <c r="E1780" s="2" t="s">
        <v>12107</v>
      </c>
      <c r="F1780" s="2">
        <v>239388</v>
      </c>
      <c r="G1780" s="3" t="str">
        <f>HYPERLINK("https://cloud.oebiotech.com/#/lm/network/239388", "https://cloud.oebiotech.com/#/lm/network/239388")</f>
        <v>https://cloud.oebiotech.com/#/lm/network/239388</v>
      </c>
      <c r="H1780" s="2" t="s">
        <v>12108</v>
      </c>
      <c r="I1780" s="2"/>
      <c r="J1780" s="2"/>
      <c r="K1780" s="2"/>
      <c r="L1780" s="2"/>
      <c r="M1780" s="2"/>
      <c r="N1780" s="2"/>
      <c r="O1780" s="2"/>
      <c r="P1780" s="2"/>
      <c r="Q1780" s="2"/>
      <c r="R1780" s="2"/>
      <c r="S1780" s="2" t="s">
        <v>12109</v>
      </c>
      <c r="T1780" s="2" t="s">
        <v>12110</v>
      </c>
      <c r="U1780" s="2" t="s">
        <v>56</v>
      </c>
      <c r="V1780" s="2" t="s">
        <v>57</v>
      </c>
      <c r="W1780" s="2" t="s">
        <v>58</v>
      </c>
      <c r="X1780" s="2" t="s">
        <v>59</v>
      </c>
      <c r="Y1780" s="2">
        <v>47</v>
      </c>
      <c r="Z1780" s="2">
        <v>50.5</v>
      </c>
      <c r="AA1780" s="2" t="s">
        <v>218</v>
      </c>
      <c r="AB1780" s="2" t="s">
        <v>12111</v>
      </c>
      <c r="AC1780" s="2">
        <v>-1.6168708652824</v>
      </c>
      <c r="AD1780" s="2"/>
      <c r="AE1780" s="2">
        <v>0.36316254309104201</v>
      </c>
      <c r="AF1780" s="2">
        <v>12877.708698680201</v>
      </c>
      <c r="AG1780" s="2">
        <v>17499.112936021102</v>
      </c>
      <c r="AH1780" s="4">
        <v>0.73590637112650503</v>
      </c>
      <c r="AI1780" s="4">
        <v>-0.44240587005079002</v>
      </c>
      <c r="AJ1780" s="4" t="s">
        <v>62</v>
      </c>
      <c r="AK1780" s="2">
        <v>0.28797299632419598</v>
      </c>
      <c r="AL1780" s="2">
        <v>0.602556997361406</v>
      </c>
      <c r="AM1780" s="2">
        <v>8100.8320240947196</v>
      </c>
      <c r="AN1780" s="2">
        <v>13270.6665036259</v>
      </c>
      <c r="AO1780" s="2">
        <v>13639.5289987448</v>
      </c>
      <c r="AP1780" s="2">
        <v>8262.3010365217797</v>
      </c>
      <c r="AQ1780" s="2">
        <v>17395.344268335699</v>
      </c>
      <c r="AR1780" s="2">
        <v>16597.5793607583</v>
      </c>
      <c r="AS1780" s="2">
        <v>9047.3807332529705</v>
      </c>
      <c r="AT1780" s="2">
        <v>5037.8682654820404</v>
      </c>
      <c r="AU1780" s="2">
        <v>16546.3534709739</v>
      </c>
      <c r="AV1780" s="2">
        <v>23511.158169048598</v>
      </c>
      <c r="AW1780" s="2">
        <v>20943.701984681102</v>
      </c>
      <c r="AX1780" s="2">
        <v>29908.214992688201</v>
      </c>
    </row>
    <row r="1781" spans="1:50" x14ac:dyDescent="0.25">
      <c r="A1781" s="2" t="s">
        <v>12112</v>
      </c>
      <c r="B1781" s="2">
        <v>243.13473062825099</v>
      </c>
      <c r="C1781" s="2">
        <v>4.3824333333333296</v>
      </c>
      <c r="D1781" s="2" t="s">
        <v>51</v>
      </c>
      <c r="E1781" s="2" t="s">
        <v>12113</v>
      </c>
      <c r="F1781" s="2">
        <v>201465</v>
      </c>
      <c r="G1781" s="3" t="str">
        <f>HYPERLINK("https://cloud.oebiotech.com/#/lm/network/201465", "https://cloud.oebiotech.com/#/lm/network/201465")</f>
        <v>https://cloud.oebiotech.com/#/lm/network/201465</v>
      </c>
      <c r="H1781" s="2" t="s">
        <v>12114</v>
      </c>
      <c r="I1781" s="2">
        <v>497</v>
      </c>
      <c r="J1781" s="2"/>
      <c r="K1781" s="2">
        <v>121454</v>
      </c>
      <c r="L1781" s="2"/>
      <c r="M1781" s="2"/>
      <c r="N1781" s="2"/>
      <c r="O1781" s="2"/>
      <c r="P1781" s="2"/>
      <c r="Q1781" s="2"/>
      <c r="R1781" s="2" t="s">
        <v>12115</v>
      </c>
      <c r="S1781" s="2" t="s">
        <v>12116</v>
      </c>
      <c r="T1781" s="2" t="s">
        <v>12117</v>
      </c>
      <c r="U1781" s="2" t="s">
        <v>266</v>
      </c>
      <c r="V1781" s="2" t="s">
        <v>3926</v>
      </c>
      <c r="W1781" s="2" t="s">
        <v>4115</v>
      </c>
      <c r="X1781" s="2" t="s">
        <v>69</v>
      </c>
      <c r="Y1781" s="2">
        <v>61.4</v>
      </c>
      <c r="Z1781" s="2">
        <v>91.4</v>
      </c>
      <c r="AA1781" s="2" t="s">
        <v>60</v>
      </c>
      <c r="AB1781" s="2" t="s">
        <v>12118</v>
      </c>
      <c r="AC1781" s="2">
        <v>3.2922073143424999</v>
      </c>
      <c r="AD1781" s="2"/>
      <c r="AE1781" s="2">
        <v>0.36314872349244998</v>
      </c>
      <c r="AF1781" s="2">
        <v>16659.6362076226</v>
      </c>
      <c r="AG1781" s="2">
        <v>30440.1818747859</v>
      </c>
      <c r="AH1781" s="4">
        <v>0.54729095496706104</v>
      </c>
      <c r="AI1781" s="4">
        <v>-0.86962008144811198</v>
      </c>
      <c r="AJ1781" s="4" t="s">
        <v>62</v>
      </c>
      <c r="AK1781" s="2">
        <v>0.38075097111237599</v>
      </c>
      <c r="AL1781" s="2">
        <v>0.65913977412323299</v>
      </c>
      <c r="AM1781" s="2">
        <v>15356.2247378842</v>
      </c>
      <c r="AN1781" s="2">
        <v>27480.01090492</v>
      </c>
      <c r="AO1781" s="2">
        <v>12256.837565568099</v>
      </c>
      <c r="AP1781" s="2">
        <v>22736.421566920901</v>
      </c>
      <c r="AQ1781" s="2">
        <v>12599.707344504501</v>
      </c>
      <c r="AR1781" s="2">
        <v>9528.6151259379403</v>
      </c>
      <c r="AS1781" s="2">
        <v>3810.4078231716899</v>
      </c>
      <c r="AT1781" s="2">
        <v>8527.5951372641503</v>
      </c>
      <c r="AU1781" s="2">
        <v>100356.95281073</v>
      </c>
      <c r="AV1781" s="2">
        <v>15802.3847745693</v>
      </c>
      <c r="AW1781" s="2">
        <v>16612.8822634631</v>
      </c>
      <c r="AX1781" s="2">
        <v>37530.868439517202</v>
      </c>
    </row>
    <row r="1782" spans="1:50" x14ac:dyDescent="0.25">
      <c r="A1782" s="2" t="s">
        <v>12119</v>
      </c>
      <c r="B1782" s="2">
        <v>202.10789706556599</v>
      </c>
      <c r="C1782" s="2">
        <v>4.7055833333333297</v>
      </c>
      <c r="D1782" s="2" t="s">
        <v>51</v>
      </c>
      <c r="E1782" s="2" t="s">
        <v>12120</v>
      </c>
      <c r="F1782" s="2">
        <v>83446</v>
      </c>
      <c r="G1782" s="3" t="str">
        <f>HYPERLINK("https://cloud.oebiotech.com/#/lm/network/83446", "https://cloud.oebiotech.com/#/lm/network/83446")</f>
        <v>https://cloud.oebiotech.com/#/lm/network/83446</v>
      </c>
      <c r="H1782" s="2" t="s">
        <v>12121</v>
      </c>
      <c r="I1782" s="2"/>
      <c r="J1782" s="2"/>
      <c r="K1782" s="2">
        <v>57329455</v>
      </c>
      <c r="L1782" s="2"/>
      <c r="M1782" s="2"/>
      <c r="N1782" s="2"/>
      <c r="O1782" s="2"/>
      <c r="P1782" s="2"/>
      <c r="Q1782" s="2"/>
      <c r="R1782" s="2" t="s">
        <v>12122</v>
      </c>
      <c r="S1782" s="2" t="s">
        <v>12123</v>
      </c>
      <c r="T1782" s="2" t="s">
        <v>12124</v>
      </c>
      <c r="U1782" s="2" t="s">
        <v>103</v>
      </c>
      <c r="V1782" s="2" t="s">
        <v>104</v>
      </c>
      <c r="W1782" s="2" t="s">
        <v>105</v>
      </c>
      <c r="X1782" s="2" t="s">
        <v>147</v>
      </c>
      <c r="Y1782" s="2">
        <v>43.8</v>
      </c>
      <c r="Z1782" s="2">
        <v>25.7</v>
      </c>
      <c r="AA1782" s="2" t="s">
        <v>163</v>
      </c>
      <c r="AB1782" s="2" t="s">
        <v>12125</v>
      </c>
      <c r="AC1782" s="2">
        <v>-2.8778203586490698</v>
      </c>
      <c r="AD1782" s="2"/>
      <c r="AE1782" s="2">
        <v>0.36302011180418298</v>
      </c>
      <c r="AF1782" s="2">
        <v>14487.393775043</v>
      </c>
      <c r="AG1782" s="2">
        <v>9757.2991114344204</v>
      </c>
      <c r="AH1782" s="5">
        <v>1.4847749986536201</v>
      </c>
      <c r="AI1782" s="5">
        <v>0.57024432299857897</v>
      </c>
      <c r="AJ1782" s="5" t="s">
        <v>139</v>
      </c>
      <c r="AK1782" s="2">
        <v>0.49067010849070197</v>
      </c>
      <c r="AL1782" s="2">
        <v>0.73230478484396699</v>
      </c>
      <c r="AM1782" s="2">
        <v>43408.347713538999</v>
      </c>
      <c r="AN1782" s="2">
        <v>5060.5244706103504</v>
      </c>
      <c r="AO1782" s="2">
        <v>9933.5003887459206</v>
      </c>
      <c r="AP1782" s="2">
        <v>15528.740929142999</v>
      </c>
      <c r="AQ1782" s="2">
        <v>9530.4784938053199</v>
      </c>
      <c r="AR1782" s="2">
        <v>3462.7706544146999</v>
      </c>
      <c r="AS1782" s="2">
        <v>3613.43382478271</v>
      </c>
      <c r="AT1782" s="2">
        <v>6501.4137832558499</v>
      </c>
      <c r="AU1782" s="2">
        <v>18258.8295688037</v>
      </c>
      <c r="AV1782" s="2">
        <v>11531.4949761199</v>
      </c>
      <c r="AW1782" s="2">
        <v>16165.7881582684</v>
      </c>
      <c r="AX1782" s="2">
        <v>2472.8343573759698</v>
      </c>
    </row>
    <row r="1783" spans="1:50" x14ac:dyDescent="0.25">
      <c r="A1783" s="2" t="s">
        <v>12126</v>
      </c>
      <c r="B1783" s="2">
        <v>607.23763805853298</v>
      </c>
      <c r="C1783" s="2">
        <v>5.5183</v>
      </c>
      <c r="D1783" s="2" t="s">
        <v>51</v>
      </c>
      <c r="E1783" s="2" t="s">
        <v>12127</v>
      </c>
      <c r="F1783" s="2">
        <v>213162</v>
      </c>
      <c r="G1783" s="3" t="str">
        <f>HYPERLINK("https://cloud.oebiotech.com/#/lm/network/213162", "https://cloud.oebiotech.com/#/lm/network/213162")</f>
        <v>https://cloud.oebiotech.com/#/lm/network/213162</v>
      </c>
      <c r="H1783" s="2" t="s">
        <v>12128</v>
      </c>
      <c r="I1783" s="2">
        <v>64877</v>
      </c>
      <c r="J1783" s="2"/>
      <c r="K1783" s="2">
        <v>5712</v>
      </c>
      <c r="L1783" s="2"/>
      <c r="M1783" s="2"/>
      <c r="N1783" s="2"/>
      <c r="O1783" s="2">
        <v>142430</v>
      </c>
      <c r="P1783" s="2" t="s">
        <v>12129</v>
      </c>
      <c r="Q1783" s="2" t="s">
        <v>12130</v>
      </c>
      <c r="R1783" s="2" t="s">
        <v>12131</v>
      </c>
      <c r="S1783" s="2" t="s">
        <v>12132</v>
      </c>
      <c r="T1783" s="2" t="s">
        <v>12133</v>
      </c>
      <c r="U1783" s="2" t="s">
        <v>266</v>
      </c>
      <c r="V1783" s="2" t="s">
        <v>12134</v>
      </c>
      <c r="W1783" s="2" t="s">
        <v>12135</v>
      </c>
      <c r="X1783" s="2" t="s">
        <v>147</v>
      </c>
      <c r="Y1783" s="2">
        <v>38.299999999999997</v>
      </c>
      <c r="Z1783" s="2">
        <v>0</v>
      </c>
      <c r="AA1783" s="2" t="s">
        <v>478</v>
      </c>
      <c r="AB1783" s="2" t="s">
        <v>12136</v>
      </c>
      <c r="AC1783" s="2">
        <v>4.2071500443716099</v>
      </c>
      <c r="AD1783" s="2"/>
      <c r="AE1783" s="2">
        <v>0.36289910579995399</v>
      </c>
      <c r="AF1783" s="2">
        <v>1271.2491374669601</v>
      </c>
      <c r="AG1783" s="2">
        <v>11004.061761901799</v>
      </c>
      <c r="AH1783" s="4">
        <v>0.115525445510336</v>
      </c>
      <c r="AI1783" s="4">
        <v>-3.1137174417878999</v>
      </c>
      <c r="AJ1783" s="4" t="s">
        <v>62</v>
      </c>
      <c r="AK1783" s="2">
        <v>0.189159068794746</v>
      </c>
      <c r="AL1783" s="2">
        <v>0.51327120266654902</v>
      </c>
      <c r="AM1783" s="2">
        <v>1757.4249895125299</v>
      </c>
      <c r="AN1783" s="2">
        <v>1862.7551251792099</v>
      </c>
      <c r="AO1783" s="2">
        <v>1063.5482952714499</v>
      </c>
      <c r="AP1783" s="2">
        <v>8.559877937157E-6</v>
      </c>
      <c r="AQ1783" s="2">
        <v>900.97998605277098</v>
      </c>
      <c r="AR1783" s="2">
        <v>2042.78642022594</v>
      </c>
      <c r="AS1783" s="2">
        <v>1363.77461070249</v>
      </c>
      <c r="AT1783" s="2">
        <v>45146.736744825001</v>
      </c>
      <c r="AU1783" s="2">
        <v>5578.8653555791198</v>
      </c>
      <c r="AV1783" s="2">
        <v>7663.7771864974302</v>
      </c>
      <c r="AW1783" s="2">
        <v>4773.9550482695404</v>
      </c>
      <c r="AX1783" s="2">
        <v>1497.26162553719</v>
      </c>
    </row>
    <row r="1784" spans="1:50" x14ac:dyDescent="0.25">
      <c r="A1784" s="2" t="s">
        <v>12137</v>
      </c>
      <c r="B1784" s="2">
        <v>397.17894748651997</v>
      </c>
      <c r="C1784" s="2">
        <v>6.1134166666666703</v>
      </c>
      <c r="D1784" s="2" t="s">
        <v>51</v>
      </c>
      <c r="E1784" s="2" t="s">
        <v>12138</v>
      </c>
      <c r="F1784" s="2">
        <v>200996</v>
      </c>
      <c r="G1784" s="3" t="str">
        <f>HYPERLINK("https://cloud.oebiotech.com/#/lm/network/200996", "https://cloud.oebiotech.com/#/lm/network/200996")</f>
        <v>https://cloud.oebiotech.com/#/lm/network/200996</v>
      </c>
      <c r="H1784" s="2" t="s">
        <v>12139</v>
      </c>
      <c r="I1784" s="2"/>
      <c r="J1784" s="2"/>
      <c r="K1784" s="2">
        <v>4184551</v>
      </c>
      <c r="L1784" s="2"/>
      <c r="M1784" s="2"/>
      <c r="N1784" s="2"/>
      <c r="O1784" s="2"/>
      <c r="P1784" s="2"/>
      <c r="Q1784" s="2"/>
      <c r="R1784" s="2"/>
      <c r="S1784" s="2" t="s">
        <v>12140</v>
      </c>
      <c r="T1784" s="2" t="s">
        <v>12141</v>
      </c>
      <c r="U1784" s="2" t="s">
        <v>610</v>
      </c>
      <c r="V1784" s="2" t="s">
        <v>611</v>
      </c>
      <c r="W1784" s="2" t="s">
        <v>5656</v>
      </c>
      <c r="X1784" s="2" t="s">
        <v>147</v>
      </c>
      <c r="Y1784" s="2">
        <v>36.799999999999997</v>
      </c>
      <c r="Z1784" s="2">
        <v>0</v>
      </c>
      <c r="AA1784" s="2" t="s">
        <v>218</v>
      </c>
      <c r="AB1784" s="2" t="s">
        <v>12142</v>
      </c>
      <c r="AC1784" s="2">
        <v>-3.7456470833704101</v>
      </c>
      <c r="AD1784" s="2"/>
      <c r="AE1784" s="2">
        <v>0.36283361308010698</v>
      </c>
      <c r="AF1784" s="2">
        <v>2164.7084752453202</v>
      </c>
      <c r="AG1784" s="2">
        <v>6993.9779953862799</v>
      </c>
      <c r="AH1784" s="4">
        <v>0.30951033541616901</v>
      </c>
      <c r="AI1784" s="4">
        <v>-1.69194050901909</v>
      </c>
      <c r="AJ1784" s="4" t="s">
        <v>62</v>
      </c>
      <c r="AK1784" s="2">
        <v>7.46898718515321E-2</v>
      </c>
      <c r="AL1784" s="2">
        <v>0.35818559707798497</v>
      </c>
      <c r="AM1784" s="2">
        <v>796.16556684713998</v>
      </c>
      <c r="AN1784" s="2">
        <v>4085.5595624662101</v>
      </c>
      <c r="AO1784" s="2">
        <v>843.166721080108</v>
      </c>
      <c r="AP1784" s="2">
        <v>138.657506389806</v>
      </c>
      <c r="AQ1784" s="2">
        <v>6831.6841300862397</v>
      </c>
      <c r="AR1784" s="2">
        <v>293.017364602393</v>
      </c>
      <c r="AS1784" s="2">
        <v>8089.0495203805003</v>
      </c>
      <c r="AT1784" s="2">
        <v>14121.676691974901</v>
      </c>
      <c r="AU1784" s="2">
        <v>976.47221114594504</v>
      </c>
      <c r="AV1784" s="2">
        <v>6472.4040200159998</v>
      </c>
      <c r="AW1784" s="2">
        <v>1143.42687018786</v>
      </c>
      <c r="AX1784" s="2">
        <v>11160.8386586125</v>
      </c>
    </row>
    <row r="1785" spans="1:50" x14ac:dyDescent="0.25">
      <c r="A1785" s="2" t="s">
        <v>12143</v>
      </c>
      <c r="B1785" s="2">
        <v>183.06549671340801</v>
      </c>
      <c r="C1785" s="2">
        <v>4.9830666666666703</v>
      </c>
      <c r="D1785" s="2" t="s">
        <v>51</v>
      </c>
      <c r="E1785" s="2" t="s">
        <v>12144</v>
      </c>
      <c r="F1785" s="2">
        <v>59875</v>
      </c>
      <c r="G1785" s="3" t="str">
        <f>HYPERLINK("https://cloud.oebiotech.com/#/lm/network/59875", "https://cloud.oebiotech.com/#/lm/network/59875")</f>
        <v>https://cloud.oebiotech.com/#/lm/network/59875</v>
      </c>
      <c r="H1785" s="2" t="s">
        <v>12145</v>
      </c>
      <c r="I1785" s="2">
        <v>91245</v>
      </c>
      <c r="J1785" s="2"/>
      <c r="K1785" s="2">
        <v>78384968</v>
      </c>
      <c r="L1785" s="2"/>
      <c r="M1785" s="2"/>
      <c r="N1785" s="2"/>
      <c r="O1785" s="2">
        <v>156151</v>
      </c>
      <c r="P1785" s="2"/>
      <c r="Q1785" s="2"/>
      <c r="R1785" s="2" t="s">
        <v>12146</v>
      </c>
      <c r="S1785" s="2" t="s">
        <v>12147</v>
      </c>
      <c r="T1785" s="2" t="s">
        <v>12148</v>
      </c>
      <c r="U1785" s="2" t="s">
        <v>266</v>
      </c>
      <c r="V1785" s="2" t="s">
        <v>10648</v>
      </c>
      <c r="W1785" s="2" t="s">
        <v>240</v>
      </c>
      <c r="X1785" s="2" t="s">
        <v>83</v>
      </c>
      <c r="Y1785" s="2">
        <v>48.3</v>
      </c>
      <c r="Z1785" s="2">
        <v>40.6</v>
      </c>
      <c r="AA1785" s="2" t="s">
        <v>163</v>
      </c>
      <c r="AB1785" s="2" t="s">
        <v>12149</v>
      </c>
      <c r="AC1785" s="2">
        <v>-4.2684982949836296</v>
      </c>
      <c r="AD1785" s="2"/>
      <c r="AE1785" s="2">
        <v>0.36246232851506199</v>
      </c>
      <c r="AF1785" s="2">
        <v>5268.22012037895</v>
      </c>
      <c r="AG1785" s="2">
        <v>1667.35807583881</v>
      </c>
      <c r="AH1785" s="5">
        <v>3.1596213175317001</v>
      </c>
      <c r="AI1785" s="5">
        <v>1.65975166091619</v>
      </c>
      <c r="AJ1785" s="5" t="s">
        <v>139</v>
      </c>
      <c r="AK1785" s="2">
        <v>5.6962800762703797E-2</v>
      </c>
      <c r="AL1785" s="2">
        <v>0.325203556477003</v>
      </c>
      <c r="AM1785" s="2">
        <v>4424.4501301624796</v>
      </c>
      <c r="AN1785" s="2">
        <v>13195.324767185501</v>
      </c>
      <c r="AO1785" s="2">
        <v>4048.6087528569001</v>
      </c>
      <c r="AP1785" s="2">
        <v>2466.7295891315798</v>
      </c>
      <c r="AQ1785" s="2">
        <v>2858.3859358510399</v>
      </c>
      <c r="AR1785" s="2">
        <v>4615.8215470862096</v>
      </c>
      <c r="AS1785" s="2">
        <v>3520.4584491495898</v>
      </c>
      <c r="AT1785" s="2">
        <v>1136.1595616623599</v>
      </c>
      <c r="AU1785" s="2">
        <v>1470.65140449361</v>
      </c>
      <c r="AV1785" s="2">
        <v>1011.95420974746</v>
      </c>
      <c r="AW1785" s="2">
        <v>860.83193402341999</v>
      </c>
      <c r="AX1785" s="2">
        <v>2004.0928959564301</v>
      </c>
    </row>
    <row r="1786" spans="1:50" x14ac:dyDescent="0.25">
      <c r="A1786" s="2" t="s">
        <v>12150</v>
      </c>
      <c r="B1786" s="2">
        <v>265.09500000000003</v>
      </c>
      <c r="C1786" s="2">
        <v>18.471</v>
      </c>
      <c r="D1786" s="2" t="s">
        <v>125</v>
      </c>
      <c r="E1786" s="2" t="s">
        <v>12151</v>
      </c>
      <c r="F1786" s="2">
        <v>46900</v>
      </c>
      <c r="G1786" s="3" t="str">
        <f>HYPERLINK("https://cloud.oebiotech.com/#/lm/network/46900", "https://cloud.oebiotech.com/#/lm/network/46900")</f>
        <v>https://cloud.oebiotech.com/#/lm/network/46900</v>
      </c>
      <c r="H1786" s="2" t="s">
        <v>12152</v>
      </c>
      <c r="I1786" s="2">
        <v>83</v>
      </c>
      <c r="J1786" s="2"/>
      <c r="K1786" s="2">
        <v>790</v>
      </c>
      <c r="L1786" s="2" t="s">
        <v>12153</v>
      </c>
      <c r="M1786" s="2" t="s">
        <v>2788</v>
      </c>
      <c r="N1786" s="2" t="s">
        <v>2789</v>
      </c>
      <c r="O1786" s="2">
        <v>17368</v>
      </c>
      <c r="P1786" s="2" t="s">
        <v>12154</v>
      </c>
      <c r="Q1786" s="2" t="s">
        <v>12155</v>
      </c>
      <c r="R1786" s="2" t="s">
        <v>12156</v>
      </c>
      <c r="S1786" s="2" t="s">
        <v>12157</v>
      </c>
      <c r="T1786" s="2" t="s">
        <v>12158</v>
      </c>
      <c r="U1786" s="2" t="s">
        <v>266</v>
      </c>
      <c r="V1786" s="2" t="s">
        <v>2772</v>
      </c>
      <c r="W1786" s="2" t="s">
        <v>2773</v>
      </c>
      <c r="X1786" s="2" t="s">
        <v>69</v>
      </c>
      <c r="Y1786" s="2">
        <v>98.9</v>
      </c>
      <c r="Z1786" s="2">
        <v>99.4</v>
      </c>
      <c r="AA1786" s="2"/>
      <c r="AB1786" s="2" t="s">
        <v>5325</v>
      </c>
      <c r="AC1786" s="2"/>
      <c r="AD1786" s="2">
        <v>620008.58465098299</v>
      </c>
      <c r="AE1786" s="2">
        <v>0.36207019116496397</v>
      </c>
      <c r="AF1786" s="2">
        <v>449882.79800742102</v>
      </c>
      <c r="AG1786" s="2">
        <v>598030.03492480796</v>
      </c>
      <c r="AH1786" s="4">
        <v>0.75227458778719503</v>
      </c>
      <c r="AI1786" s="4">
        <v>-0.41066873866083298</v>
      </c>
      <c r="AJ1786" s="4" t="s">
        <v>62</v>
      </c>
      <c r="AK1786" s="2">
        <v>0.64495510106269405</v>
      </c>
      <c r="AL1786" s="2">
        <v>0.82646781464858698</v>
      </c>
      <c r="AM1786" s="2">
        <v>478881.41604468197</v>
      </c>
      <c r="AN1786" s="2">
        <v>381969.528212754</v>
      </c>
      <c r="AO1786" s="2">
        <v>217099.459167213</v>
      </c>
      <c r="AP1786" s="2">
        <v>1411333.011037</v>
      </c>
      <c r="AQ1786" s="2">
        <v>207713.53836561</v>
      </c>
      <c r="AR1786" s="2">
        <v>2299.8352172700202</v>
      </c>
      <c r="AS1786" s="2">
        <v>2299.8352172700202</v>
      </c>
      <c r="AT1786" s="2">
        <v>609785.64483546698</v>
      </c>
      <c r="AU1786" s="2">
        <v>1627437.03871359</v>
      </c>
      <c r="AV1786" s="2">
        <v>808007.86100300995</v>
      </c>
      <c r="AW1786" s="2">
        <v>292832.55385123502</v>
      </c>
      <c r="AX1786" s="2">
        <v>247817.27592827499</v>
      </c>
    </row>
    <row r="1787" spans="1:50" x14ac:dyDescent="0.25">
      <c r="A1787" s="2" t="s">
        <v>12159</v>
      </c>
      <c r="B1787" s="2">
        <v>369.22847192163903</v>
      </c>
      <c r="C1787" s="2">
        <v>8.8124500000000001</v>
      </c>
      <c r="D1787" s="2" t="s">
        <v>51</v>
      </c>
      <c r="E1787" s="2" t="s">
        <v>12160</v>
      </c>
      <c r="F1787" s="2">
        <v>10506</v>
      </c>
      <c r="G1787" s="3" t="str">
        <f>HYPERLINK("https://cloud.oebiotech.com/#/lm/network/10506", "https://cloud.oebiotech.com/#/lm/network/10506")</f>
        <v>https://cloud.oebiotech.com/#/lm/network/10506</v>
      </c>
      <c r="H1787" s="2"/>
      <c r="I1787" s="2"/>
      <c r="J1787" s="2" t="s">
        <v>12161</v>
      </c>
      <c r="K1787" s="2">
        <v>21591331</v>
      </c>
      <c r="L1787" s="2"/>
      <c r="M1787" s="2"/>
      <c r="N1787" s="2"/>
      <c r="O1787" s="2"/>
      <c r="P1787" s="2"/>
      <c r="Q1787" s="2"/>
      <c r="R1787" s="2"/>
      <c r="S1787" s="2" t="s">
        <v>12162</v>
      </c>
      <c r="T1787" s="2" t="s">
        <v>12163</v>
      </c>
      <c r="U1787" s="2" t="s">
        <v>56</v>
      </c>
      <c r="V1787" s="2" t="s">
        <v>145</v>
      </c>
      <c r="W1787" s="2" t="s">
        <v>146</v>
      </c>
      <c r="X1787" s="2" t="s">
        <v>83</v>
      </c>
      <c r="Y1787" s="2">
        <v>52.2</v>
      </c>
      <c r="Z1787" s="2">
        <v>0</v>
      </c>
      <c r="AA1787" s="2" t="s">
        <v>218</v>
      </c>
      <c r="AB1787" s="2" t="s">
        <v>12164</v>
      </c>
      <c r="AC1787" s="2">
        <v>0.64629158424719702</v>
      </c>
      <c r="AD1787" s="2"/>
      <c r="AE1787" s="2">
        <v>0.36164243325793399</v>
      </c>
      <c r="AF1787" s="2">
        <v>5180.8582116101998</v>
      </c>
      <c r="AG1787" s="2">
        <v>2471.3594345653901</v>
      </c>
      <c r="AH1787" s="5">
        <v>2.0963596549934</v>
      </c>
      <c r="AI1787" s="5">
        <v>1.06788624930072</v>
      </c>
      <c r="AJ1787" s="5" t="s">
        <v>139</v>
      </c>
      <c r="AK1787" s="2">
        <v>2.7095395398354202E-2</v>
      </c>
      <c r="AL1787" s="2">
        <v>0.25373085564673398</v>
      </c>
      <c r="AM1787" s="2">
        <v>8749.5372087773794</v>
      </c>
      <c r="AN1787" s="2">
        <v>6159.0398430469304</v>
      </c>
      <c r="AO1787" s="2">
        <v>4622.9087121591401</v>
      </c>
      <c r="AP1787" s="2">
        <v>2930.0224122624199</v>
      </c>
      <c r="AQ1787" s="2">
        <v>3484.24349070671</v>
      </c>
      <c r="AR1787" s="2">
        <v>5139.3976027086201</v>
      </c>
      <c r="AS1787" s="2">
        <v>3196.29309141569</v>
      </c>
      <c r="AT1787" s="2">
        <v>750.97714954399703</v>
      </c>
      <c r="AU1787" s="2">
        <v>4949.7198716162802</v>
      </c>
      <c r="AV1787" s="2">
        <v>1429.2206140301901</v>
      </c>
      <c r="AW1787" s="2">
        <v>2525.78476946099</v>
      </c>
      <c r="AX1787" s="2">
        <v>1976.16111132522</v>
      </c>
    </row>
    <row r="1788" spans="1:50" x14ac:dyDescent="0.25">
      <c r="A1788" s="2" t="s">
        <v>12165</v>
      </c>
      <c r="B1788" s="2">
        <v>495.10192817027001</v>
      </c>
      <c r="C1788" s="2">
        <v>5.2853833333333302</v>
      </c>
      <c r="D1788" s="2" t="s">
        <v>51</v>
      </c>
      <c r="E1788" s="2" t="s">
        <v>12166</v>
      </c>
      <c r="F1788" s="2">
        <v>209590</v>
      </c>
      <c r="G1788" s="3" t="str">
        <f>HYPERLINK("https://cloud.oebiotech.com/#/lm/network/209590", "https://cloud.oebiotech.com/#/lm/network/209590")</f>
        <v>https://cloud.oebiotech.com/#/lm/network/209590</v>
      </c>
      <c r="H1788" s="2" t="s">
        <v>12167</v>
      </c>
      <c r="I1788" s="2">
        <v>322308</v>
      </c>
      <c r="J1788" s="2"/>
      <c r="K1788" s="2">
        <v>71900</v>
      </c>
      <c r="L1788" s="2"/>
      <c r="M1788" s="2"/>
      <c r="N1788" s="2"/>
      <c r="O1788" s="2"/>
      <c r="P1788" s="2"/>
      <c r="Q1788" s="2"/>
      <c r="R1788" s="2"/>
      <c r="S1788" s="2" t="s">
        <v>12168</v>
      </c>
      <c r="T1788" s="2" t="s">
        <v>12169</v>
      </c>
      <c r="U1788" s="2" t="s">
        <v>266</v>
      </c>
      <c r="V1788" s="2" t="s">
        <v>1585</v>
      </c>
      <c r="W1788" s="2" t="s">
        <v>1586</v>
      </c>
      <c r="X1788" s="2" t="s">
        <v>147</v>
      </c>
      <c r="Y1788" s="2">
        <v>39.4</v>
      </c>
      <c r="Z1788" s="2">
        <v>0</v>
      </c>
      <c r="AA1788" s="2" t="s">
        <v>478</v>
      </c>
      <c r="AB1788" s="2" t="s">
        <v>12170</v>
      </c>
      <c r="AC1788" s="2">
        <v>0.19168015347376999</v>
      </c>
      <c r="AD1788" s="2"/>
      <c r="AE1788" s="2">
        <v>0.361377560758815</v>
      </c>
      <c r="AF1788" s="2">
        <v>620.67875269092099</v>
      </c>
      <c r="AG1788" s="2">
        <v>4391.9835713432403</v>
      </c>
      <c r="AH1788" s="4">
        <v>0.14132082750507499</v>
      </c>
      <c r="AI1788" s="4">
        <v>-2.8229539928107199</v>
      </c>
      <c r="AJ1788" s="4" t="s">
        <v>62</v>
      </c>
      <c r="AK1788" s="2">
        <v>8.1844824182153594E-2</v>
      </c>
      <c r="AL1788" s="2">
        <v>0.36979659145315502</v>
      </c>
      <c r="AM1788" s="2">
        <v>445.80228662299402</v>
      </c>
      <c r="AN1788" s="2">
        <v>323.72634428696603</v>
      </c>
      <c r="AO1788" s="2">
        <v>1077.12818545762</v>
      </c>
      <c r="AP1788" s="2">
        <v>8.559877937157E-6</v>
      </c>
      <c r="AQ1788" s="2">
        <v>8.559877937157E-6</v>
      </c>
      <c r="AR1788" s="2">
        <v>1877.41568265819</v>
      </c>
      <c r="AS1788" s="2">
        <v>1206.4209953501299</v>
      </c>
      <c r="AT1788" s="2">
        <v>1165.1555473593801</v>
      </c>
      <c r="AU1788" s="2">
        <v>3040.1722269653901</v>
      </c>
      <c r="AV1788" s="2">
        <v>7348.3679155170203</v>
      </c>
      <c r="AW1788" s="2">
        <v>12655.635208806199</v>
      </c>
      <c r="AX1788" s="2">
        <v>936.14953406134498</v>
      </c>
    </row>
    <row r="1789" spans="1:50" x14ac:dyDescent="0.25">
      <c r="A1789" s="2" t="s">
        <v>12171</v>
      </c>
      <c r="B1789" s="2">
        <v>550.35192341207505</v>
      </c>
      <c r="C1789" s="2">
        <v>10.74095</v>
      </c>
      <c r="D1789" s="2" t="s">
        <v>51</v>
      </c>
      <c r="E1789" s="2" t="s">
        <v>12172</v>
      </c>
      <c r="F1789" s="2">
        <v>39587</v>
      </c>
      <c r="G1789" s="3" t="str">
        <f>HYPERLINK("https://cloud.oebiotech.com/#/lm/network/39587", "https://cloud.oebiotech.com/#/lm/network/39587")</f>
        <v>https://cloud.oebiotech.com/#/lm/network/39587</v>
      </c>
      <c r="H1789" s="2"/>
      <c r="I1789" s="2">
        <v>63016</v>
      </c>
      <c r="J1789" s="2" t="s">
        <v>12173</v>
      </c>
      <c r="K1789" s="2">
        <v>10864091</v>
      </c>
      <c r="L1789" s="2"/>
      <c r="M1789" s="2"/>
      <c r="N1789" s="2"/>
      <c r="O1789" s="2">
        <v>85881</v>
      </c>
      <c r="P1789" s="2"/>
      <c r="Q1789" s="2"/>
      <c r="R1789" s="2" t="s">
        <v>12174</v>
      </c>
      <c r="S1789" s="2" t="s">
        <v>12175</v>
      </c>
      <c r="T1789" s="2" t="s">
        <v>12176</v>
      </c>
      <c r="U1789" s="2" t="s">
        <v>56</v>
      </c>
      <c r="V1789" s="2" t="s">
        <v>344</v>
      </c>
      <c r="W1789" s="2" t="s">
        <v>1239</v>
      </c>
      <c r="X1789" s="2" t="s">
        <v>147</v>
      </c>
      <c r="Y1789" s="2">
        <v>38.6</v>
      </c>
      <c r="Z1789" s="2">
        <v>0</v>
      </c>
      <c r="AA1789" s="2" t="s">
        <v>218</v>
      </c>
      <c r="AB1789" s="2" t="s">
        <v>12177</v>
      </c>
      <c r="AC1789" s="2">
        <v>0.98054637952261703</v>
      </c>
      <c r="AD1789" s="2"/>
      <c r="AE1789" s="2">
        <v>0.36102702119393898</v>
      </c>
      <c r="AF1789" s="2">
        <v>16308.577746841</v>
      </c>
      <c r="AG1789" s="2">
        <v>22777.4081435117</v>
      </c>
      <c r="AH1789" s="4">
        <v>0.71599795920971099</v>
      </c>
      <c r="AI1789" s="4">
        <v>-0.48197261946797798</v>
      </c>
      <c r="AJ1789" s="4" t="s">
        <v>62</v>
      </c>
      <c r="AK1789" s="2">
        <v>0.21909004392390999</v>
      </c>
      <c r="AL1789" s="2">
        <v>0.54492567690668303</v>
      </c>
      <c r="AM1789" s="2">
        <v>19026.1716050336</v>
      </c>
      <c r="AN1789" s="2">
        <v>19120.809197883002</v>
      </c>
      <c r="AO1789" s="2">
        <v>20469.148298596701</v>
      </c>
      <c r="AP1789" s="2">
        <v>13612.766555673001</v>
      </c>
      <c r="AQ1789" s="2">
        <v>11175.206202396201</v>
      </c>
      <c r="AR1789" s="2">
        <v>14447.364621463499</v>
      </c>
      <c r="AS1789" s="2">
        <v>9125.9361860450099</v>
      </c>
      <c r="AT1789" s="2">
        <v>8649.4620804900806</v>
      </c>
      <c r="AU1789" s="2">
        <v>31849.294320536399</v>
      </c>
      <c r="AV1789" s="2">
        <v>30876.310210559601</v>
      </c>
      <c r="AW1789" s="2">
        <v>34012.492056358598</v>
      </c>
      <c r="AX1789" s="2">
        <v>22150.954007080301</v>
      </c>
    </row>
    <row r="1790" spans="1:50" x14ac:dyDescent="0.25">
      <c r="A1790" s="2" t="s">
        <v>12178</v>
      </c>
      <c r="B1790" s="2">
        <v>391.05241996051899</v>
      </c>
      <c r="C1790" s="2">
        <v>5.0586333333333302</v>
      </c>
      <c r="D1790" s="2" t="s">
        <v>51</v>
      </c>
      <c r="E1790" s="2" t="s">
        <v>12179</v>
      </c>
      <c r="F1790" s="2">
        <v>274622</v>
      </c>
      <c r="G1790" s="3" t="str">
        <f>HYPERLINK("https://cloud.oebiotech.com/#/lm/network/274622", "https://cloud.oebiotech.com/#/lm/network/274622")</f>
        <v>https://cloud.oebiotech.com/#/lm/network/274622</v>
      </c>
      <c r="H1790" s="2"/>
      <c r="I1790" s="2">
        <v>64756</v>
      </c>
      <c r="J1790" s="2"/>
      <c r="K1790" s="2">
        <v>46205754</v>
      </c>
      <c r="L1790" s="2"/>
      <c r="M1790" s="2"/>
      <c r="N1790" s="2"/>
      <c r="O1790" s="2"/>
      <c r="P1790" s="2"/>
      <c r="Q1790" s="2"/>
      <c r="R1790" s="2" t="s">
        <v>12180</v>
      </c>
      <c r="S1790" s="2" t="s">
        <v>12181</v>
      </c>
      <c r="T1790" s="2" t="s">
        <v>12182</v>
      </c>
      <c r="U1790" s="2" t="s">
        <v>610</v>
      </c>
      <c r="V1790" s="2" t="s">
        <v>611</v>
      </c>
      <c r="W1790" s="2" t="s">
        <v>1267</v>
      </c>
      <c r="X1790" s="2" t="s">
        <v>147</v>
      </c>
      <c r="Y1790" s="2">
        <v>39.299999999999997</v>
      </c>
      <c r="Z1790" s="2">
        <v>0</v>
      </c>
      <c r="AA1790" s="2" t="s">
        <v>259</v>
      </c>
      <c r="AB1790" s="2" t="s">
        <v>12183</v>
      </c>
      <c r="AC1790" s="2">
        <v>2.82801631341556</v>
      </c>
      <c r="AD1790" s="2"/>
      <c r="AE1790" s="2">
        <v>0.36094521018229703</v>
      </c>
      <c r="AF1790" s="2">
        <v>11420.099185163101</v>
      </c>
      <c r="AG1790" s="2">
        <v>3154.8661507685902</v>
      </c>
      <c r="AH1790" s="5">
        <v>3.6198363541923699</v>
      </c>
      <c r="AI1790" s="5">
        <v>1.85592447732736</v>
      </c>
      <c r="AJ1790" s="5" t="s">
        <v>139</v>
      </c>
      <c r="AK1790" s="2">
        <v>0.48955846548842502</v>
      </c>
      <c r="AL1790" s="2">
        <v>0.73154848154225005</v>
      </c>
      <c r="AM1790" s="2">
        <v>8.559877937157E-6</v>
      </c>
      <c r="AN1790" s="2">
        <v>66892.369675296999</v>
      </c>
      <c r="AO1790" s="2">
        <v>8.559877937157E-6</v>
      </c>
      <c r="AP1790" s="2">
        <v>8.559877937157E-6</v>
      </c>
      <c r="AQ1790" s="2">
        <v>225.829645349294</v>
      </c>
      <c r="AR1790" s="2">
        <v>1402.39576465251</v>
      </c>
      <c r="AS1790" s="2">
        <v>8.559877937157E-6</v>
      </c>
      <c r="AT1790" s="2">
        <v>8.559877937157E-6</v>
      </c>
      <c r="AU1790" s="2">
        <v>278.389728808906</v>
      </c>
      <c r="AV1790" s="2">
        <v>8.559877937157E-6</v>
      </c>
      <c r="AW1790" s="2">
        <v>18650.807141563098</v>
      </c>
      <c r="AX1790" s="2">
        <v>8.559877937157E-6</v>
      </c>
    </row>
    <row r="1791" spans="1:50" x14ac:dyDescent="0.25">
      <c r="A1791" s="2" t="s">
        <v>12184</v>
      </c>
      <c r="B1791" s="2">
        <v>408.36981173569097</v>
      </c>
      <c r="C1791" s="2">
        <v>14.7086166666667</v>
      </c>
      <c r="D1791" s="2" t="s">
        <v>51</v>
      </c>
      <c r="E1791" s="2" t="s">
        <v>12185</v>
      </c>
      <c r="F1791" s="2">
        <v>197231</v>
      </c>
      <c r="G1791" s="3" t="str">
        <f>HYPERLINK("https://cloud.oebiotech.com/#/lm/network/197231", "https://cloud.oebiotech.com/#/lm/network/197231")</f>
        <v>https://cloud.oebiotech.com/#/lm/network/197231</v>
      </c>
      <c r="H1791" s="2" t="s">
        <v>12186</v>
      </c>
      <c r="I1791" s="2"/>
      <c r="J1791" s="2"/>
      <c r="K1791" s="2">
        <v>122198216</v>
      </c>
      <c r="L1791" s="2"/>
      <c r="M1791" s="2"/>
      <c r="N1791" s="2"/>
      <c r="O1791" s="2">
        <v>133694</v>
      </c>
      <c r="P1791" s="2"/>
      <c r="Q1791" s="2"/>
      <c r="R1791" s="2" t="s">
        <v>12187</v>
      </c>
      <c r="S1791" s="2" t="s">
        <v>12188</v>
      </c>
      <c r="T1791" s="2" t="s">
        <v>12189</v>
      </c>
      <c r="U1791" s="2" t="s">
        <v>119</v>
      </c>
      <c r="V1791" s="2" t="s">
        <v>120</v>
      </c>
      <c r="W1791" s="2" t="s">
        <v>121</v>
      </c>
      <c r="X1791" s="2" t="s">
        <v>147</v>
      </c>
      <c r="Y1791" s="2">
        <v>46.7</v>
      </c>
      <c r="Z1791" s="2">
        <v>42.1</v>
      </c>
      <c r="AA1791" s="2" t="s">
        <v>512</v>
      </c>
      <c r="AB1791" s="2" t="s">
        <v>12190</v>
      </c>
      <c r="AC1791" s="2">
        <v>-3.1215300380676001</v>
      </c>
      <c r="AD1791" s="2"/>
      <c r="AE1791" s="2">
        <v>0.36080164862386099</v>
      </c>
      <c r="AF1791" s="2">
        <v>133637.89138671299</v>
      </c>
      <c r="AG1791" s="2">
        <v>144321.05486597601</v>
      </c>
      <c r="AH1791" s="4">
        <v>0.92597640386439894</v>
      </c>
      <c r="AI1791" s="4">
        <v>-0.11095266431929</v>
      </c>
      <c r="AJ1791" s="4" t="s">
        <v>62</v>
      </c>
      <c r="AK1791" s="2">
        <v>0.40597029387912698</v>
      </c>
      <c r="AL1791" s="2">
        <v>0.67216736447411196</v>
      </c>
      <c r="AM1791" s="2">
        <v>109933.291742902</v>
      </c>
      <c r="AN1791" s="2">
        <v>145072.62973645501</v>
      </c>
      <c r="AO1791" s="2">
        <v>133895.37532430701</v>
      </c>
      <c r="AP1791" s="2">
        <v>136922.37318115399</v>
      </c>
      <c r="AQ1791" s="2">
        <v>151377.62017960599</v>
      </c>
      <c r="AR1791" s="2">
        <v>124626.05815585201</v>
      </c>
      <c r="AS1791" s="2">
        <v>157686.72291938</v>
      </c>
      <c r="AT1791" s="2">
        <v>189454.98955855699</v>
      </c>
      <c r="AU1791" s="2">
        <v>134279.51585813801</v>
      </c>
      <c r="AV1791" s="2">
        <v>117863.669237252</v>
      </c>
      <c r="AW1791" s="2">
        <v>123547.323513721</v>
      </c>
      <c r="AX1791" s="2">
        <v>143094.108108805</v>
      </c>
    </row>
    <row r="1792" spans="1:50" x14ac:dyDescent="0.25">
      <c r="A1792" s="2" t="s">
        <v>12191</v>
      </c>
      <c r="B1792" s="2">
        <v>463.17780074386201</v>
      </c>
      <c r="C1792" s="2">
        <v>8.6649499999999993</v>
      </c>
      <c r="D1792" s="2" t="s">
        <v>51</v>
      </c>
      <c r="E1792" s="2" t="s">
        <v>12192</v>
      </c>
      <c r="F1792" s="2">
        <v>211237</v>
      </c>
      <c r="G1792" s="3" t="str">
        <f>HYPERLINK("https://cloud.oebiotech.com/#/lm/network/211237", "https://cloud.oebiotech.com/#/lm/network/211237")</f>
        <v>https://cloud.oebiotech.com/#/lm/network/211237</v>
      </c>
      <c r="H1792" s="2" t="s">
        <v>12193</v>
      </c>
      <c r="I1792" s="2"/>
      <c r="J1792" s="2"/>
      <c r="K1792" s="2">
        <v>57085244</v>
      </c>
      <c r="L1792" s="2"/>
      <c r="M1792" s="2"/>
      <c r="N1792" s="2"/>
      <c r="O1792" s="2"/>
      <c r="P1792" s="2"/>
      <c r="Q1792" s="2"/>
      <c r="R1792" s="2"/>
      <c r="S1792" s="2" t="s">
        <v>12194</v>
      </c>
      <c r="T1792" s="2" t="s">
        <v>12195</v>
      </c>
      <c r="U1792" s="2" t="s">
        <v>103</v>
      </c>
      <c r="V1792" s="2" t="s">
        <v>104</v>
      </c>
      <c r="W1792" s="2" t="s">
        <v>3415</v>
      </c>
      <c r="X1792" s="2" t="s">
        <v>147</v>
      </c>
      <c r="Y1792" s="2">
        <v>37.799999999999997</v>
      </c>
      <c r="Z1792" s="2">
        <v>0</v>
      </c>
      <c r="AA1792" s="2" t="s">
        <v>478</v>
      </c>
      <c r="AB1792" s="2" t="s">
        <v>12196</v>
      </c>
      <c r="AC1792" s="2">
        <v>2.3081193841261598</v>
      </c>
      <c r="AD1792" s="2"/>
      <c r="AE1792" s="2">
        <v>0.36076265585811301</v>
      </c>
      <c r="AF1792" s="2">
        <v>394.14395332805702</v>
      </c>
      <c r="AG1792" s="2">
        <v>4356.8663763537297</v>
      </c>
      <c r="AH1792" s="4">
        <v>9.0465008398517094E-2</v>
      </c>
      <c r="AI1792" s="4">
        <v>-3.46649631991987</v>
      </c>
      <c r="AJ1792" s="4" t="s">
        <v>62</v>
      </c>
      <c r="AK1792" s="2">
        <v>9.6054725590348999E-2</v>
      </c>
      <c r="AL1792" s="2">
        <v>0.39524362296311799</v>
      </c>
      <c r="AM1792" s="2">
        <v>19.664656812500699</v>
      </c>
      <c r="AN1792" s="2">
        <v>656.43692308210098</v>
      </c>
      <c r="AO1792" s="2">
        <v>28.470255862036399</v>
      </c>
      <c r="AP1792" s="2">
        <v>35.724997933895899</v>
      </c>
      <c r="AQ1792" s="2">
        <v>1348.0905377863901</v>
      </c>
      <c r="AR1792" s="2">
        <v>276.47634849141701</v>
      </c>
      <c r="AS1792" s="2">
        <v>5061.1215230341004</v>
      </c>
      <c r="AT1792" s="2">
        <v>3370.6635162042298</v>
      </c>
      <c r="AU1792" s="2">
        <v>1384.8721608508999</v>
      </c>
      <c r="AV1792" s="2">
        <v>14546.865672932699</v>
      </c>
      <c r="AW1792" s="2">
        <v>905.76673494941099</v>
      </c>
      <c r="AX1792" s="2">
        <v>871.90865015103702</v>
      </c>
    </row>
    <row r="1793" spans="1:50" x14ac:dyDescent="0.25">
      <c r="A1793" s="2" t="s">
        <v>12197</v>
      </c>
      <c r="B1793" s="2">
        <v>463.25541299615003</v>
      </c>
      <c r="C1793" s="2">
        <v>5.2300666666666702</v>
      </c>
      <c r="D1793" s="2" t="s">
        <v>51</v>
      </c>
      <c r="E1793" s="2" t="s">
        <v>12198</v>
      </c>
      <c r="F1793" s="2">
        <v>256836</v>
      </c>
      <c r="G1793" s="3" t="str">
        <f>HYPERLINK("https://cloud.oebiotech.com/#/lm/network/256836", "https://cloud.oebiotech.com/#/lm/network/256836")</f>
        <v>https://cloud.oebiotech.com/#/lm/network/256836</v>
      </c>
      <c r="H1793" s="2" t="s">
        <v>12199</v>
      </c>
      <c r="I1793" s="2"/>
      <c r="J1793" s="2"/>
      <c r="K1793" s="2"/>
      <c r="L1793" s="2"/>
      <c r="M1793" s="2"/>
      <c r="N1793" s="2"/>
      <c r="O1793" s="2">
        <v>76537</v>
      </c>
      <c r="P1793" s="2"/>
      <c r="Q1793" s="2"/>
      <c r="R1793" s="2"/>
      <c r="S1793" s="2" t="s">
        <v>12200</v>
      </c>
      <c r="T1793" s="2" t="s">
        <v>12201</v>
      </c>
      <c r="U1793" s="2" t="s">
        <v>56</v>
      </c>
      <c r="V1793" s="2" t="s">
        <v>3215</v>
      </c>
      <c r="W1793" s="2" t="s">
        <v>3216</v>
      </c>
      <c r="X1793" s="2" t="s">
        <v>147</v>
      </c>
      <c r="Y1793" s="2">
        <v>38.6</v>
      </c>
      <c r="Z1793" s="2">
        <v>0</v>
      </c>
      <c r="AA1793" s="2" t="s">
        <v>478</v>
      </c>
      <c r="AB1793" s="2" t="s">
        <v>12202</v>
      </c>
      <c r="AC1793" s="2">
        <v>1.16733563690535</v>
      </c>
      <c r="AD1793" s="2"/>
      <c r="AE1793" s="2">
        <v>0.360727146238146</v>
      </c>
      <c r="AF1793" s="2">
        <v>6588.0393790603703</v>
      </c>
      <c r="AG1793" s="2">
        <v>2380.99301710702</v>
      </c>
      <c r="AH1793" s="5">
        <v>2.76692931551099</v>
      </c>
      <c r="AI1793" s="5">
        <v>1.4682857890637699</v>
      </c>
      <c r="AJ1793" s="5" t="s">
        <v>139</v>
      </c>
      <c r="AK1793" s="2">
        <v>2.2578703600693001E-2</v>
      </c>
      <c r="AL1793" s="2">
        <v>0.23313002309098199</v>
      </c>
      <c r="AM1793" s="2">
        <v>3877.2423858888901</v>
      </c>
      <c r="AN1793" s="2">
        <v>7323.2685887012303</v>
      </c>
      <c r="AO1793" s="2">
        <v>9206.6498215428201</v>
      </c>
      <c r="AP1793" s="2">
        <v>10332.9596049915</v>
      </c>
      <c r="AQ1793" s="2">
        <v>1889.48758482413</v>
      </c>
      <c r="AR1793" s="2">
        <v>6898.6282884136399</v>
      </c>
      <c r="AS1793" s="2">
        <v>5446.7638448569596</v>
      </c>
      <c r="AT1793" s="2">
        <v>2962.1877218182199</v>
      </c>
      <c r="AU1793" s="2">
        <v>881.14241369501201</v>
      </c>
      <c r="AV1793" s="2">
        <v>198.74851687454901</v>
      </c>
      <c r="AW1793" s="2">
        <v>737.70456433834102</v>
      </c>
      <c r="AX1793" s="2">
        <v>4059.4110410590301</v>
      </c>
    </row>
    <row r="1794" spans="1:50" x14ac:dyDescent="0.25">
      <c r="A1794" s="2" t="s">
        <v>12203</v>
      </c>
      <c r="B1794" s="2">
        <v>340.14152375258499</v>
      </c>
      <c r="C1794" s="2">
        <v>2.5530833333333298</v>
      </c>
      <c r="D1794" s="2" t="s">
        <v>51</v>
      </c>
      <c r="E1794" s="2" t="s">
        <v>12204</v>
      </c>
      <c r="F1794" s="2">
        <v>262818</v>
      </c>
      <c r="G1794" s="3" t="str">
        <f>HYPERLINK("https://cloud.oebiotech.com/#/lm/network/262818", "https://cloud.oebiotech.com/#/lm/network/262818")</f>
        <v>https://cloud.oebiotech.com/#/lm/network/262818</v>
      </c>
      <c r="H1794" s="2"/>
      <c r="I1794" s="2">
        <v>20200</v>
      </c>
      <c r="J1794" s="2"/>
      <c r="K1794" s="2">
        <v>145455933</v>
      </c>
      <c r="L1794" s="2"/>
      <c r="M1794" s="2"/>
      <c r="N1794" s="2"/>
      <c r="O1794" s="2"/>
      <c r="P1794" s="2"/>
      <c r="Q1794" s="2"/>
      <c r="R1794" s="2"/>
      <c r="S1794" s="2" t="s">
        <v>12205</v>
      </c>
      <c r="T1794" s="2" t="s">
        <v>12206</v>
      </c>
      <c r="U1794" s="2" t="s">
        <v>103</v>
      </c>
      <c r="V1794" s="2" t="s">
        <v>104</v>
      </c>
      <c r="W1794" s="2" t="s">
        <v>105</v>
      </c>
      <c r="X1794" s="2" t="s">
        <v>83</v>
      </c>
      <c r="Y1794" s="2">
        <v>40.1</v>
      </c>
      <c r="Z1794" s="2">
        <v>0</v>
      </c>
      <c r="AA1794" s="2" t="s">
        <v>379</v>
      </c>
      <c r="AB1794" s="2" t="s">
        <v>12207</v>
      </c>
      <c r="AC1794" s="2">
        <v>2.9783088480833799E-2</v>
      </c>
      <c r="AD1794" s="2"/>
      <c r="AE1794" s="2">
        <v>0.360580899656332</v>
      </c>
      <c r="AF1794" s="2">
        <v>5690.2999794183497</v>
      </c>
      <c r="AG1794" s="2">
        <v>897.26233954393103</v>
      </c>
      <c r="AH1794" s="5">
        <v>6.3418464462808899</v>
      </c>
      <c r="AI1794" s="5">
        <v>2.6649029462101201</v>
      </c>
      <c r="AJ1794" s="5" t="s">
        <v>139</v>
      </c>
      <c r="AK1794" s="2">
        <v>0.20981055166748</v>
      </c>
      <c r="AL1794" s="2">
        <v>0.53413913919887801</v>
      </c>
      <c r="AM1794" s="2">
        <v>2822.0962963398902</v>
      </c>
      <c r="AN1794" s="2">
        <v>23270.211435442001</v>
      </c>
      <c r="AO1794" s="2">
        <v>1127.4759384183301</v>
      </c>
      <c r="AP1794" s="2">
        <v>4013.9389152795402</v>
      </c>
      <c r="AQ1794" s="2">
        <v>1032.62108383022</v>
      </c>
      <c r="AR1794" s="2">
        <v>1875.4562072001299</v>
      </c>
      <c r="AS1794" s="2">
        <v>1048.45900399993</v>
      </c>
      <c r="AT1794" s="2">
        <v>3002.80518086048</v>
      </c>
      <c r="AU1794" s="2">
        <v>255.76877227264799</v>
      </c>
      <c r="AV1794" s="2">
        <v>8.559877937157E-6</v>
      </c>
      <c r="AW1794" s="2">
        <v>8.559877937157E-6</v>
      </c>
      <c r="AX1794" s="2">
        <v>1076.5410630107699</v>
      </c>
    </row>
    <row r="1795" spans="1:50" x14ac:dyDescent="0.25">
      <c r="A1795" s="2" t="s">
        <v>12208</v>
      </c>
      <c r="B1795" s="2">
        <v>412.28192408823099</v>
      </c>
      <c r="C1795" s="2">
        <v>7.00115</v>
      </c>
      <c r="D1795" s="2" t="s">
        <v>51</v>
      </c>
      <c r="E1795" s="2" t="s">
        <v>12209</v>
      </c>
      <c r="F1795" s="2">
        <v>39003</v>
      </c>
      <c r="G1795" s="3" t="str">
        <f>HYPERLINK("https://cloud.oebiotech.com/#/lm/network/39003", "https://cloud.oebiotech.com/#/lm/network/39003")</f>
        <v>https://cloud.oebiotech.com/#/lm/network/39003</v>
      </c>
      <c r="H1795" s="2"/>
      <c r="I1795" s="2">
        <v>53961</v>
      </c>
      <c r="J1795" s="2" t="s">
        <v>12210</v>
      </c>
      <c r="K1795" s="2">
        <v>42608378</v>
      </c>
      <c r="L1795" s="2"/>
      <c r="M1795" s="2"/>
      <c r="N1795" s="2"/>
      <c r="O1795" s="2"/>
      <c r="P1795" s="2"/>
      <c r="Q1795" s="2"/>
      <c r="R1795" s="2"/>
      <c r="S1795" s="2" t="s">
        <v>12211</v>
      </c>
      <c r="T1795" s="2" t="s">
        <v>12212</v>
      </c>
      <c r="U1795" s="2" t="s">
        <v>56</v>
      </c>
      <c r="V1795" s="2" t="s">
        <v>145</v>
      </c>
      <c r="W1795" s="2" t="s">
        <v>231</v>
      </c>
      <c r="X1795" s="2" t="s">
        <v>147</v>
      </c>
      <c r="Y1795" s="2">
        <v>39.6</v>
      </c>
      <c r="Z1795" s="2">
        <v>9.24</v>
      </c>
      <c r="AA1795" s="2" t="s">
        <v>379</v>
      </c>
      <c r="AB1795" s="2" t="s">
        <v>12213</v>
      </c>
      <c r="AC1795" s="2">
        <v>0.531328188322712</v>
      </c>
      <c r="AD1795" s="2"/>
      <c r="AE1795" s="2">
        <v>0.36056216947979502</v>
      </c>
      <c r="AF1795" s="2">
        <v>2915.0947230397301</v>
      </c>
      <c r="AG1795" s="2">
        <v>109.17571739281099</v>
      </c>
      <c r="AH1795" s="5">
        <v>26.700944062050901</v>
      </c>
      <c r="AI1795" s="5">
        <v>4.7388188468961001</v>
      </c>
      <c r="AJ1795" s="5" t="s">
        <v>139</v>
      </c>
      <c r="AK1795" s="2">
        <v>9.8617134614894103E-3</v>
      </c>
      <c r="AL1795" s="2">
        <v>0.16151302423615199</v>
      </c>
      <c r="AM1795" s="2">
        <v>5083.4917759222399</v>
      </c>
      <c r="AN1795" s="2">
        <v>804.65654456885795</v>
      </c>
      <c r="AO1795" s="2">
        <v>3791.4098602038898</v>
      </c>
      <c r="AP1795" s="2">
        <v>344.27772249826802</v>
      </c>
      <c r="AQ1795" s="2">
        <v>2104.7688722286698</v>
      </c>
      <c r="AR1795" s="2">
        <v>5361.9635628164597</v>
      </c>
      <c r="AS1795" s="2">
        <v>8.559877937157E-6</v>
      </c>
      <c r="AT1795" s="2">
        <v>134.57940208270401</v>
      </c>
      <c r="AU1795" s="2">
        <v>520.47486803465301</v>
      </c>
      <c r="AV1795" s="2">
        <v>8.559877937157E-6</v>
      </c>
      <c r="AW1795" s="2">
        <v>8.559877937157E-6</v>
      </c>
      <c r="AX1795" s="2">
        <v>8.559877937157E-6</v>
      </c>
    </row>
    <row r="1796" spans="1:50" x14ac:dyDescent="0.25">
      <c r="A1796" s="2" t="s">
        <v>12214</v>
      </c>
      <c r="B1796" s="2">
        <v>419.20519774581197</v>
      </c>
      <c r="C1796" s="2">
        <v>8.8874666666666702</v>
      </c>
      <c r="D1796" s="2" t="s">
        <v>51</v>
      </c>
      <c r="E1796" s="2" t="s">
        <v>12215</v>
      </c>
      <c r="F1796" s="2">
        <v>1974</v>
      </c>
      <c r="G1796" s="3" t="str">
        <f>HYPERLINK("https://cloud.oebiotech.com/#/lm/network/1974", "https://cloud.oebiotech.com/#/lm/network/1974")</f>
        <v>https://cloud.oebiotech.com/#/lm/network/1974</v>
      </c>
      <c r="H1796" s="2"/>
      <c r="I1796" s="2"/>
      <c r="J1796" s="2" t="s">
        <v>12216</v>
      </c>
      <c r="K1796" s="2">
        <v>12363949</v>
      </c>
      <c r="L1796" s="2"/>
      <c r="M1796" s="2"/>
      <c r="N1796" s="2"/>
      <c r="O1796" s="2"/>
      <c r="P1796" s="2"/>
      <c r="Q1796" s="2"/>
      <c r="R1796" s="2"/>
      <c r="S1796" s="2" t="s">
        <v>12217</v>
      </c>
      <c r="T1796" s="2" t="s">
        <v>12218</v>
      </c>
      <c r="U1796" s="2" t="s">
        <v>56</v>
      </c>
      <c r="V1796" s="2" t="s">
        <v>145</v>
      </c>
      <c r="W1796" s="2" t="s">
        <v>231</v>
      </c>
      <c r="X1796" s="2" t="s">
        <v>147</v>
      </c>
      <c r="Y1796" s="2">
        <v>37.700000000000003</v>
      </c>
      <c r="Z1796" s="2">
        <v>0</v>
      </c>
      <c r="AA1796" s="2" t="s">
        <v>395</v>
      </c>
      <c r="AB1796" s="2" t="s">
        <v>12219</v>
      </c>
      <c r="AC1796" s="2">
        <v>2.6865981402353301</v>
      </c>
      <c r="AD1796" s="2"/>
      <c r="AE1796" s="2">
        <v>0.36030195726873598</v>
      </c>
      <c r="AF1796" s="2">
        <v>5797.7215448923498</v>
      </c>
      <c r="AG1796" s="2">
        <v>2314.96040353125</v>
      </c>
      <c r="AH1796" s="5">
        <v>2.50445819118482</v>
      </c>
      <c r="AI1796" s="5">
        <v>1.3244985277971399</v>
      </c>
      <c r="AJ1796" s="5" t="s">
        <v>139</v>
      </c>
      <c r="AK1796" s="2">
        <v>1.20896661105147E-2</v>
      </c>
      <c r="AL1796" s="2">
        <v>0.17463872408012501</v>
      </c>
      <c r="AM1796" s="2">
        <v>4790.9852119768702</v>
      </c>
      <c r="AN1796" s="2">
        <v>9445.8050165438599</v>
      </c>
      <c r="AO1796" s="2">
        <v>5882.3288457748804</v>
      </c>
      <c r="AP1796" s="2">
        <v>6724.8621477101797</v>
      </c>
      <c r="AQ1796" s="2">
        <v>4036.7346339221399</v>
      </c>
      <c r="AR1796" s="2">
        <v>3905.6134134261802</v>
      </c>
      <c r="AS1796" s="2">
        <v>5617.8080792308301</v>
      </c>
      <c r="AT1796" s="2">
        <v>1215.89725545736</v>
      </c>
      <c r="AU1796" s="2">
        <v>2023.6519049083399</v>
      </c>
      <c r="AV1796" s="2">
        <v>618.71546508330903</v>
      </c>
      <c r="AW1796" s="2">
        <v>3193.1821287019602</v>
      </c>
      <c r="AX1796" s="2">
        <v>1220.50758780569</v>
      </c>
    </row>
    <row r="1797" spans="1:50" x14ac:dyDescent="0.25">
      <c r="A1797" s="2" t="s">
        <v>12220</v>
      </c>
      <c r="B1797" s="2">
        <v>595.28948048420796</v>
      </c>
      <c r="C1797" s="2">
        <v>11.360616666666701</v>
      </c>
      <c r="D1797" s="2" t="s">
        <v>51</v>
      </c>
      <c r="E1797" s="2" t="s">
        <v>12221</v>
      </c>
      <c r="F1797" s="2">
        <v>28052</v>
      </c>
      <c r="G1797" s="3" t="str">
        <f>HYPERLINK("https://cloud.oebiotech.com/#/lm/network/28052", "https://cloud.oebiotech.com/#/lm/network/28052")</f>
        <v>https://cloud.oebiotech.com/#/lm/network/28052</v>
      </c>
      <c r="H1797" s="2"/>
      <c r="I1797" s="2"/>
      <c r="J1797" s="2" t="s">
        <v>12222</v>
      </c>
      <c r="K1797" s="2">
        <v>134812498</v>
      </c>
      <c r="L1797" s="2"/>
      <c r="M1797" s="2"/>
      <c r="N1797" s="2"/>
      <c r="O1797" s="2"/>
      <c r="P1797" s="2"/>
      <c r="Q1797" s="2"/>
      <c r="R1797" s="2"/>
      <c r="S1797" s="2" t="s">
        <v>12223</v>
      </c>
      <c r="T1797" s="2" t="s">
        <v>12224</v>
      </c>
      <c r="U1797" s="2" t="s">
        <v>56</v>
      </c>
      <c r="V1797" s="2" t="s">
        <v>57</v>
      </c>
      <c r="W1797" s="2" t="s">
        <v>702</v>
      </c>
      <c r="X1797" s="2" t="s">
        <v>147</v>
      </c>
      <c r="Y1797" s="2">
        <v>40.6</v>
      </c>
      <c r="Z1797" s="2">
        <v>12.7</v>
      </c>
      <c r="AA1797" s="2" t="s">
        <v>218</v>
      </c>
      <c r="AB1797" s="2" t="s">
        <v>3759</v>
      </c>
      <c r="AC1797" s="2">
        <v>1.0781234981747301</v>
      </c>
      <c r="AD1797" s="2"/>
      <c r="AE1797" s="2">
        <v>0.35994721087196802</v>
      </c>
      <c r="AF1797" s="2">
        <v>21743.925724958499</v>
      </c>
      <c r="AG1797" s="2">
        <v>16596.345331572102</v>
      </c>
      <c r="AH1797" s="5">
        <v>1.31016349024709</v>
      </c>
      <c r="AI1797" s="5">
        <v>0.389746851344143</v>
      </c>
      <c r="AJ1797" s="5" t="s">
        <v>139</v>
      </c>
      <c r="AK1797" s="2">
        <v>0.118018305565656</v>
      </c>
      <c r="AL1797" s="2">
        <v>0.43655743311109002</v>
      </c>
      <c r="AM1797" s="2">
        <v>19385.422137977901</v>
      </c>
      <c r="AN1797" s="2">
        <v>28745.5902146636</v>
      </c>
      <c r="AO1797" s="2">
        <v>24001.369424422199</v>
      </c>
      <c r="AP1797" s="2">
        <v>16661.8319223133</v>
      </c>
      <c r="AQ1797" s="2">
        <v>16233.318717140701</v>
      </c>
      <c r="AR1797" s="2">
        <v>25436.021933233402</v>
      </c>
      <c r="AS1797" s="2">
        <v>11952.8035250988</v>
      </c>
      <c r="AT1797" s="2">
        <v>8767.7551666781692</v>
      </c>
      <c r="AU1797" s="2">
        <v>18102.6818016455</v>
      </c>
      <c r="AV1797" s="2">
        <v>23014.778843575801</v>
      </c>
      <c r="AW1797" s="2">
        <v>17192.669343289999</v>
      </c>
      <c r="AX1797" s="2">
        <v>20547.383309144501</v>
      </c>
    </row>
    <row r="1798" spans="1:50" x14ac:dyDescent="0.25">
      <c r="A1798" s="2" t="s">
        <v>12225</v>
      </c>
      <c r="B1798" s="2">
        <v>347.01438267759698</v>
      </c>
      <c r="C1798" s="2">
        <v>6.6032999999999999</v>
      </c>
      <c r="D1798" s="2" t="s">
        <v>51</v>
      </c>
      <c r="E1798" s="2" t="s">
        <v>12226</v>
      </c>
      <c r="F1798" s="2">
        <v>211352</v>
      </c>
      <c r="G1798" s="3" t="str">
        <f>HYPERLINK("https://cloud.oebiotech.com/#/lm/network/211352", "https://cloud.oebiotech.com/#/lm/network/211352")</f>
        <v>https://cloud.oebiotech.com/#/lm/network/211352</v>
      </c>
      <c r="H1798" s="2" t="s">
        <v>12227</v>
      </c>
      <c r="I1798" s="2"/>
      <c r="J1798" s="2"/>
      <c r="K1798" s="2">
        <v>57286127</v>
      </c>
      <c r="L1798" s="2"/>
      <c r="M1798" s="2"/>
      <c r="N1798" s="2"/>
      <c r="O1798" s="2"/>
      <c r="P1798" s="2"/>
      <c r="Q1798" s="2"/>
      <c r="R1798" s="2"/>
      <c r="S1798" s="2" t="s">
        <v>12228</v>
      </c>
      <c r="T1798" s="2" t="s">
        <v>12229</v>
      </c>
      <c r="U1798" s="2" t="s">
        <v>266</v>
      </c>
      <c r="V1798" s="2" t="s">
        <v>2772</v>
      </c>
      <c r="W1798" s="2" t="s">
        <v>2773</v>
      </c>
      <c r="X1798" s="2" t="s">
        <v>147</v>
      </c>
      <c r="Y1798" s="2">
        <v>37.6</v>
      </c>
      <c r="Z1798" s="2">
        <v>0</v>
      </c>
      <c r="AA1798" s="2" t="s">
        <v>218</v>
      </c>
      <c r="AB1798" s="2" t="s">
        <v>12230</v>
      </c>
      <c r="AC1798" s="2">
        <v>1.6408974852384901</v>
      </c>
      <c r="AD1798" s="2"/>
      <c r="AE1798" s="2">
        <v>0.35977370798699398</v>
      </c>
      <c r="AF1798" s="2">
        <v>7058.5458666243903</v>
      </c>
      <c r="AG1798" s="2">
        <v>9547.2541572576592</v>
      </c>
      <c r="AH1798" s="4">
        <v>0.73932732389433697</v>
      </c>
      <c r="AI1798" s="4">
        <v>-0.43571486176311103</v>
      </c>
      <c r="AJ1798" s="4" t="s">
        <v>62</v>
      </c>
      <c r="AK1798" s="2">
        <v>8.0965379243132501E-3</v>
      </c>
      <c r="AL1798" s="2">
        <v>0.147905063558916</v>
      </c>
      <c r="AM1798" s="2">
        <v>4627.0845892849802</v>
      </c>
      <c r="AN1798" s="2">
        <v>6472.8058184138999</v>
      </c>
      <c r="AO1798" s="2">
        <v>8434.8541533566295</v>
      </c>
      <c r="AP1798" s="2">
        <v>7827.91317244326</v>
      </c>
      <c r="AQ1798" s="2">
        <v>8648.0215946711705</v>
      </c>
      <c r="AR1798" s="2">
        <v>6340.59587157641</v>
      </c>
      <c r="AS1798" s="2">
        <v>9344.5562904920298</v>
      </c>
      <c r="AT1798" s="2">
        <v>9289.9405102360797</v>
      </c>
      <c r="AU1798" s="2">
        <v>7781.3370577880796</v>
      </c>
      <c r="AV1798" s="2">
        <v>10424.597457530001</v>
      </c>
      <c r="AW1798" s="2">
        <v>9753.6947689752906</v>
      </c>
      <c r="AX1798" s="2">
        <v>10689.398858524501</v>
      </c>
    </row>
    <row r="1799" spans="1:50" x14ac:dyDescent="0.25">
      <c r="A1799" s="2" t="s">
        <v>12231</v>
      </c>
      <c r="B1799" s="2">
        <v>324.156535892465</v>
      </c>
      <c r="C1799" s="2">
        <v>4.72983333333333</v>
      </c>
      <c r="D1799" s="2" t="s">
        <v>51</v>
      </c>
      <c r="E1799" s="2" t="s">
        <v>12232</v>
      </c>
      <c r="F1799" s="2">
        <v>58572</v>
      </c>
      <c r="G1799" s="3" t="str">
        <f>HYPERLINK("https://cloud.oebiotech.com/#/lm/network/58572", "https://cloud.oebiotech.com/#/lm/network/58572")</f>
        <v>https://cloud.oebiotech.com/#/lm/network/58572</v>
      </c>
      <c r="H1799" s="2" t="s">
        <v>12233</v>
      </c>
      <c r="I1799" s="2">
        <v>90040</v>
      </c>
      <c r="J1799" s="2"/>
      <c r="K1799" s="2">
        <v>5352461</v>
      </c>
      <c r="L1799" s="2"/>
      <c r="M1799" s="2"/>
      <c r="N1799" s="2"/>
      <c r="O1799" s="2"/>
      <c r="P1799" s="2"/>
      <c r="Q1799" s="2"/>
      <c r="R1799" s="2" t="s">
        <v>12234</v>
      </c>
      <c r="S1799" s="2" t="s">
        <v>12235</v>
      </c>
      <c r="T1799" s="2" t="s">
        <v>12236</v>
      </c>
      <c r="U1799" s="2" t="s">
        <v>56</v>
      </c>
      <c r="V1799" s="2" t="s">
        <v>177</v>
      </c>
      <c r="W1799" s="2" t="s">
        <v>1996</v>
      </c>
      <c r="X1799" s="2" t="s">
        <v>147</v>
      </c>
      <c r="Y1799" s="2">
        <v>45.4</v>
      </c>
      <c r="Z1799" s="2">
        <v>32.5</v>
      </c>
      <c r="AA1799" s="2" t="s">
        <v>122</v>
      </c>
      <c r="AB1799" s="2" t="s">
        <v>2986</v>
      </c>
      <c r="AC1799" s="2">
        <v>-2.3220041693639399</v>
      </c>
      <c r="AD1799" s="2"/>
      <c r="AE1799" s="2">
        <v>0.35971328959578702</v>
      </c>
      <c r="AF1799" s="2">
        <v>8702.1405059949102</v>
      </c>
      <c r="AG1799" s="2">
        <v>5303.37361312746</v>
      </c>
      <c r="AH1799" s="5">
        <v>1.6408688394976501</v>
      </c>
      <c r="AI1799" s="5">
        <v>0.71445992369696498</v>
      </c>
      <c r="AJ1799" s="5" t="s">
        <v>139</v>
      </c>
      <c r="AK1799" s="2">
        <v>9.0239014825814201E-2</v>
      </c>
      <c r="AL1799" s="2">
        <v>0.38598633358851497</v>
      </c>
      <c r="AM1799" s="2">
        <v>12413.2511833237</v>
      </c>
      <c r="AN1799" s="2">
        <v>13302.604488455599</v>
      </c>
      <c r="AO1799" s="2">
        <v>6871.88644304851</v>
      </c>
      <c r="AP1799" s="2">
        <v>7791.82383591506</v>
      </c>
      <c r="AQ1799" s="2">
        <v>5110.8974971894704</v>
      </c>
      <c r="AR1799" s="2">
        <v>6722.3795880370999</v>
      </c>
      <c r="AS1799" s="2">
        <v>4725.5579757168498</v>
      </c>
      <c r="AT1799" s="2">
        <v>3086.2123683312898</v>
      </c>
      <c r="AU1799" s="2">
        <v>7692.8452320333799</v>
      </c>
      <c r="AV1799" s="2">
        <v>1313.7070381226499</v>
      </c>
      <c r="AW1799" s="2">
        <v>9245.9158297618706</v>
      </c>
      <c r="AX1799" s="2">
        <v>5756.0032347986999</v>
      </c>
    </row>
    <row r="1800" spans="1:50" x14ac:dyDescent="0.25">
      <c r="A1800" s="2" t="s">
        <v>12237</v>
      </c>
      <c r="B1800" s="2">
        <v>187.00632622697401</v>
      </c>
      <c r="C1800" s="2">
        <v>4.6654666666666698</v>
      </c>
      <c r="D1800" s="2" t="s">
        <v>51</v>
      </c>
      <c r="E1800" s="2" t="s">
        <v>12238</v>
      </c>
      <c r="F1800" s="2">
        <v>197271</v>
      </c>
      <c r="G1800" s="3" t="str">
        <f>HYPERLINK("https://cloud.oebiotech.com/#/lm/network/197271", "https://cloud.oebiotech.com/#/lm/network/197271")</f>
        <v>https://cloud.oebiotech.com/#/lm/network/197271</v>
      </c>
      <c r="H1800" s="2" t="s">
        <v>12239</v>
      </c>
      <c r="I1800" s="2"/>
      <c r="J1800" s="2"/>
      <c r="K1800" s="2"/>
      <c r="L1800" s="2"/>
      <c r="M1800" s="2"/>
      <c r="N1800" s="2"/>
      <c r="O1800" s="2">
        <v>133089</v>
      </c>
      <c r="P1800" s="2"/>
      <c r="Q1800" s="2"/>
      <c r="R1800" s="2" t="s">
        <v>12240</v>
      </c>
      <c r="S1800" s="2" t="s">
        <v>12241</v>
      </c>
      <c r="T1800" s="2" t="s">
        <v>12242</v>
      </c>
      <c r="U1800" s="2" t="s">
        <v>103</v>
      </c>
      <c r="V1800" s="2" t="s">
        <v>4820</v>
      </c>
      <c r="W1800" s="2" t="s">
        <v>4821</v>
      </c>
      <c r="X1800" s="2" t="s">
        <v>69</v>
      </c>
      <c r="Y1800" s="2">
        <v>61</v>
      </c>
      <c r="Z1800" s="2">
        <v>89.7</v>
      </c>
      <c r="AA1800" s="2" t="s">
        <v>163</v>
      </c>
      <c r="AB1800" s="2" t="s">
        <v>12243</v>
      </c>
      <c r="AC1800" s="2">
        <v>-3.8671298474304701</v>
      </c>
      <c r="AD1800" s="2"/>
      <c r="AE1800" s="2">
        <v>0.359659874878755</v>
      </c>
      <c r="AF1800" s="2">
        <v>232540.74600631301</v>
      </c>
      <c r="AG1800" s="2">
        <v>219351.46285613501</v>
      </c>
      <c r="AH1800" s="5">
        <v>1.0601285397345599</v>
      </c>
      <c r="AI1800" s="5">
        <v>8.4239201009892101E-2</v>
      </c>
      <c r="AJ1800" s="5" t="s">
        <v>139</v>
      </c>
      <c r="AK1800" s="2">
        <v>0.94924666437521799</v>
      </c>
      <c r="AL1800" s="2">
        <v>0.97875606918993896</v>
      </c>
      <c r="AM1800" s="2">
        <v>38747.3547430498</v>
      </c>
      <c r="AN1800" s="2">
        <v>169018.44438229399</v>
      </c>
      <c r="AO1800" s="2">
        <v>94472.880800911298</v>
      </c>
      <c r="AP1800" s="2">
        <v>13350.929428555701</v>
      </c>
      <c r="AQ1800" s="2">
        <v>65782.464864169102</v>
      </c>
      <c r="AR1800" s="2">
        <v>1013872.4018189</v>
      </c>
      <c r="AS1800" s="2">
        <v>6081.9498509960204</v>
      </c>
      <c r="AT1800" s="2">
        <v>45499.371677861702</v>
      </c>
      <c r="AU1800" s="2">
        <v>14389.357709616101</v>
      </c>
      <c r="AV1800" s="2">
        <v>689666.51970455202</v>
      </c>
      <c r="AW1800" s="2">
        <v>536894.37870951195</v>
      </c>
      <c r="AX1800" s="2">
        <v>23577.199484271699</v>
      </c>
    </row>
    <row r="1801" spans="1:50" x14ac:dyDescent="0.25">
      <c r="A1801" s="2" t="s">
        <v>12244</v>
      </c>
      <c r="B1801" s="2">
        <v>391.13779073908302</v>
      </c>
      <c r="C1801" s="2">
        <v>5.2853833333333302</v>
      </c>
      <c r="D1801" s="2" t="s">
        <v>51</v>
      </c>
      <c r="E1801" s="2" t="s">
        <v>12245</v>
      </c>
      <c r="F1801" s="2">
        <v>207656</v>
      </c>
      <c r="G1801" s="3" t="str">
        <f>HYPERLINK("https://cloud.oebiotech.com/#/lm/network/207656", "https://cloud.oebiotech.com/#/lm/network/207656")</f>
        <v>https://cloud.oebiotech.com/#/lm/network/207656</v>
      </c>
      <c r="H1801" s="2" t="s">
        <v>12246</v>
      </c>
      <c r="I1801" s="2"/>
      <c r="J1801" s="2"/>
      <c r="K1801" s="2">
        <v>155240</v>
      </c>
      <c r="L1801" s="2"/>
      <c r="M1801" s="2"/>
      <c r="N1801" s="2"/>
      <c r="O1801" s="2"/>
      <c r="P1801" s="2"/>
      <c r="Q1801" s="2"/>
      <c r="R1801" s="2"/>
      <c r="S1801" s="2" t="s">
        <v>12247</v>
      </c>
      <c r="T1801" s="2" t="s">
        <v>12248</v>
      </c>
      <c r="U1801" s="2" t="s">
        <v>610</v>
      </c>
      <c r="V1801" s="2" t="s">
        <v>895</v>
      </c>
      <c r="W1801" s="2" t="s">
        <v>12249</v>
      </c>
      <c r="X1801" s="2" t="s">
        <v>83</v>
      </c>
      <c r="Y1801" s="2">
        <v>44.4</v>
      </c>
      <c r="Z1801" s="2">
        <v>0</v>
      </c>
      <c r="AA1801" s="2" t="s">
        <v>478</v>
      </c>
      <c r="AB1801" s="2" t="s">
        <v>12250</v>
      </c>
      <c r="AC1801" s="2">
        <v>-5.2290453866519204</v>
      </c>
      <c r="AD1801" s="2"/>
      <c r="AE1801" s="2">
        <v>0.35930319799455901</v>
      </c>
      <c r="AF1801" s="2">
        <v>778.10810007873499</v>
      </c>
      <c r="AG1801" s="2">
        <v>4670.2941544860096</v>
      </c>
      <c r="AH1801" s="4">
        <v>0.166607942527845</v>
      </c>
      <c r="AI1801" s="4">
        <v>-2.58547091643839</v>
      </c>
      <c r="AJ1801" s="4" t="s">
        <v>62</v>
      </c>
      <c r="AK1801" s="2">
        <v>9.8772136139223005E-2</v>
      </c>
      <c r="AL1801" s="2">
        <v>0.40061906568557099</v>
      </c>
      <c r="AM1801" s="2">
        <v>493.735820961836</v>
      </c>
      <c r="AN1801" s="2">
        <v>830.28022973278701</v>
      </c>
      <c r="AO1801" s="2">
        <v>1093.74777651713</v>
      </c>
      <c r="AP1801" s="2">
        <v>8.559877937157E-6</v>
      </c>
      <c r="AQ1801" s="2">
        <v>203.64139249388001</v>
      </c>
      <c r="AR1801" s="2">
        <v>2047.2433722068999</v>
      </c>
      <c r="AS1801" s="2">
        <v>1718.7003001867599</v>
      </c>
      <c r="AT1801" s="2">
        <v>1175.57242664767</v>
      </c>
      <c r="AU1801" s="2">
        <v>3042.32002100506</v>
      </c>
      <c r="AV1801" s="2">
        <v>5174.2928607527201</v>
      </c>
      <c r="AW1801" s="2">
        <v>14858.011453704399</v>
      </c>
      <c r="AX1801" s="2">
        <v>2052.8678646194599</v>
      </c>
    </row>
    <row r="1802" spans="1:50" x14ac:dyDescent="0.25">
      <c r="A1802" s="2" t="s">
        <v>12251</v>
      </c>
      <c r="B1802" s="2">
        <v>418.17231197387599</v>
      </c>
      <c r="C1802" s="2">
        <v>4.8935333333333304</v>
      </c>
      <c r="D1802" s="2" t="s">
        <v>51</v>
      </c>
      <c r="E1802" s="2" t="s">
        <v>12252</v>
      </c>
      <c r="F1802" s="2">
        <v>203208</v>
      </c>
      <c r="G1802" s="3" t="str">
        <f>HYPERLINK("https://cloud.oebiotech.com/#/lm/network/203208", "https://cloud.oebiotech.com/#/lm/network/203208")</f>
        <v>https://cloud.oebiotech.com/#/lm/network/203208</v>
      </c>
      <c r="H1802" s="2" t="s">
        <v>12253</v>
      </c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 t="s">
        <v>12254</v>
      </c>
      <c r="T1802" s="2" t="s">
        <v>12255</v>
      </c>
      <c r="U1802" s="2" t="s">
        <v>266</v>
      </c>
      <c r="V1802" s="2" t="s">
        <v>2963</v>
      </c>
      <c r="W1802" s="2" t="s">
        <v>240</v>
      </c>
      <c r="X1802" s="2" t="s">
        <v>147</v>
      </c>
      <c r="Y1802" s="2">
        <v>37.200000000000003</v>
      </c>
      <c r="Z1802" s="2">
        <v>0</v>
      </c>
      <c r="AA1802" s="2" t="s">
        <v>122</v>
      </c>
      <c r="AB1802" s="2" t="s">
        <v>12256</v>
      </c>
      <c r="AC1802" s="2">
        <v>1.34098889775606</v>
      </c>
      <c r="AD1802" s="2"/>
      <c r="AE1802" s="2">
        <v>0.35928552330552699</v>
      </c>
      <c r="AF1802" s="2">
        <v>2224.6740556687801</v>
      </c>
      <c r="AG1802" s="2">
        <v>6514.9004112513303</v>
      </c>
      <c r="AH1802" s="4">
        <v>0.34147476020151202</v>
      </c>
      <c r="AI1802" s="4">
        <v>-1.5501491479321901</v>
      </c>
      <c r="AJ1802" s="4" t="s">
        <v>62</v>
      </c>
      <c r="AK1802" s="2">
        <v>9.3879937454767498E-2</v>
      </c>
      <c r="AL1802" s="2">
        <v>0.39417622961029303</v>
      </c>
      <c r="AM1802" s="2">
        <v>2009.5301181229099</v>
      </c>
      <c r="AN1802" s="2">
        <v>1187.73593443299</v>
      </c>
      <c r="AO1802" s="2">
        <v>1660.6381826858899</v>
      </c>
      <c r="AP1802" s="2">
        <v>8.559877937157E-6</v>
      </c>
      <c r="AQ1802" s="2">
        <v>497.56957770788898</v>
      </c>
      <c r="AR1802" s="2">
        <v>7992.57051250314</v>
      </c>
      <c r="AS1802" s="2">
        <v>5408.1522059283398</v>
      </c>
      <c r="AT1802" s="2">
        <v>6253.6411558324498</v>
      </c>
      <c r="AU1802" s="2">
        <v>5598.8725064249702</v>
      </c>
      <c r="AV1802" s="2">
        <v>3854.7429716168099</v>
      </c>
      <c r="AW1802" s="2">
        <v>15954.067327884</v>
      </c>
      <c r="AX1802" s="2">
        <v>2019.9262998214399</v>
      </c>
    </row>
    <row r="1803" spans="1:50" x14ac:dyDescent="0.25">
      <c r="A1803" s="2" t="s">
        <v>12257</v>
      </c>
      <c r="B1803" s="2">
        <v>397.06942888548099</v>
      </c>
      <c r="C1803" s="2">
        <v>2.20238333333333</v>
      </c>
      <c r="D1803" s="2" t="s">
        <v>51</v>
      </c>
      <c r="E1803" s="2" t="s">
        <v>12258</v>
      </c>
      <c r="F1803" s="2">
        <v>34995</v>
      </c>
      <c r="G1803" s="3" t="str">
        <f>HYPERLINK("https://cloud.oebiotech.com/#/lm/network/34995", "https://cloud.oebiotech.com/#/lm/network/34995")</f>
        <v>https://cloud.oebiotech.com/#/lm/network/34995</v>
      </c>
      <c r="H1803" s="2" t="s">
        <v>12259</v>
      </c>
      <c r="I1803" s="2">
        <v>3153</v>
      </c>
      <c r="J1803" s="2" t="s">
        <v>12260</v>
      </c>
      <c r="K1803" s="2">
        <v>441140</v>
      </c>
      <c r="L1803" s="2" t="s">
        <v>12261</v>
      </c>
      <c r="M1803" s="2"/>
      <c r="N1803" s="2"/>
      <c r="O1803" s="2">
        <v>27779</v>
      </c>
      <c r="P1803" s="2"/>
      <c r="Q1803" s="2"/>
      <c r="R1803" s="2" t="s">
        <v>12262</v>
      </c>
      <c r="S1803" s="2" t="s">
        <v>12263</v>
      </c>
      <c r="T1803" s="2" t="s">
        <v>12264</v>
      </c>
      <c r="U1803" s="2" t="s">
        <v>266</v>
      </c>
      <c r="V1803" s="2" t="s">
        <v>4611</v>
      </c>
      <c r="W1803" s="2" t="s">
        <v>240</v>
      </c>
      <c r="X1803" s="2" t="s">
        <v>59</v>
      </c>
      <c r="Y1803" s="2">
        <v>43.8</v>
      </c>
      <c r="Z1803" s="2">
        <v>51</v>
      </c>
      <c r="AA1803" s="2" t="s">
        <v>218</v>
      </c>
      <c r="AB1803" s="2" t="s">
        <v>12265</v>
      </c>
      <c r="AC1803" s="2">
        <v>-0.39749631094107102</v>
      </c>
      <c r="AD1803" s="2"/>
      <c r="AE1803" s="2">
        <v>0.35886399332088997</v>
      </c>
      <c r="AF1803" s="2">
        <v>8.559877937157E-6</v>
      </c>
      <c r="AG1803" s="2">
        <v>8463.7095558231595</v>
      </c>
      <c r="AH1803" s="4">
        <v>1.0113624387391301E-9</v>
      </c>
      <c r="AI1803" s="4">
        <v>-29.881052750051499</v>
      </c>
      <c r="AJ1803" s="4" t="s">
        <v>62</v>
      </c>
      <c r="AK1803" s="2">
        <v>0.19371453476005401</v>
      </c>
      <c r="AL1803" s="2">
        <v>0.51725957274568402</v>
      </c>
      <c r="AM1803" s="2">
        <v>8.559877937157E-6</v>
      </c>
      <c r="AN1803" s="2">
        <v>8.559877937157E-6</v>
      </c>
      <c r="AO1803" s="2">
        <v>8.559877937157E-6</v>
      </c>
      <c r="AP1803" s="2">
        <v>8.559877937157E-6</v>
      </c>
      <c r="AQ1803" s="2">
        <v>8.559877937157E-6</v>
      </c>
      <c r="AR1803" s="2">
        <v>8.559877937157E-6</v>
      </c>
      <c r="AS1803" s="2">
        <v>13286.493262612899</v>
      </c>
      <c r="AT1803" s="2">
        <v>36876.359209481503</v>
      </c>
      <c r="AU1803" s="2">
        <v>8.559877937157E-6</v>
      </c>
      <c r="AV1803" s="2">
        <v>619.40483716491997</v>
      </c>
      <c r="AW1803" s="2">
        <v>8.559877937157E-6</v>
      </c>
      <c r="AX1803" s="2">
        <v>8.559877937157E-6</v>
      </c>
    </row>
    <row r="1804" spans="1:50" x14ac:dyDescent="0.25">
      <c r="A1804" s="2" t="s">
        <v>12266</v>
      </c>
      <c r="B1804" s="2">
        <v>233.150224200244</v>
      </c>
      <c r="C1804" s="2">
        <v>0.74455000000000005</v>
      </c>
      <c r="D1804" s="2" t="s">
        <v>51</v>
      </c>
      <c r="E1804" s="2" t="s">
        <v>12267</v>
      </c>
      <c r="F1804" s="2">
        <v>52174</v>
      </c>
      <c r="G1804" s="3" t="str">
        <f>HYPERLINK("https://cloud.oebiotech.com/#/lm/network/52174", "https://cloud.oebiotech.com/#/lm/network/52174")</f>
        <v>https://cloud.oebiotech.com/#/lm/network/52174</v>
      </c>
      <c r="H1804" s="2" t="s">
        <v>12268</v>
      </c>
      <c r="I1804" s="2"/>
      <c r="J1804" s="2"/>
      <c r="K1804" s="2">
        <v>167029</v>
      </c>
      <c r="L1804" s="2"/>
      <c r="M1804" s="2"/>
      <c r="N1804" s="2"/>
      <c r="O1804" s="2"/>
      <c r="P1804" s="2"/>
      <c r="Q1804" s="2"/>
      <c r="R1804" s="2" t="s">
        <v>12269</v>
      </c>
      <c r="S1804" s="2" t="s">
        <v>12270</v>
      </c>
      <c r="T1804" s="2" t="s">
        <v>12271</v>
      </c>
      <c r="U1804" s="2" t="s">
        <v>103</v>
      </c>
      <c r="V1804" s="2" t="s">
        <v>104</v>
      </c>
      <c r="W1804" s="2" t="s">
        <v>105</v>
      </c>
      <c r="X1804" s="2" t="s">
        <v>83</v>
      </c>
      <c r="Y1804" s="2">
        <v>42.4</v>
      </c>
      <c r="Z1804" s="2">
        <v>4.07</v>
      </c>
      <c r="AA1804" s="2" t="s">
        <v>259</v>
      </c>
      <c r="AB1804" s="2" t="s">
        <v>5586</v>
      </c>
      <c r="AC1804" s="2">
        <v>2.7596822470015501</v>
      </c>
      <c r="AD1804" s="2"/>
      <c r="AE1804" s="2">
        <v>0.35845375531741203</v>
      </c>
      <c r="AF1804" s="2">
        <v>14437.4701428877</v>
      </c>
      <c r="AG1804" s="2">
        <v>7943.5783562373699</v>
      </c>
      <c r="AH1804" s="5">
        <v>1.81750207468544</v>
      </c>
      <c r="AI1804" s="5">
        <v>0.86195701098761002</v>
      </c>
      <c r="AJ1804" s="5" t="s">
        <v>139</v>
      </c>
      <c r="AK1804" s="2">
        <v>0.198602005737019</v>
      </c>
      <c r="AL1804" s="2">
        <v>0.52218782465043501</v>
      </c>
      <c r="AM1804" s="2">
        <v>15193.2462698624</v>
      </c>
      <c r="AN1804" s="2">
        <v>9544.5292197261297</v>
      </c>
      <c r="AO1804" s="2">
        <v>9847.4080133948701</v>
      </c>
      <c r="AP1804" s="2">
        <v>5948.8876962460399</v>
      </c>
      <c r="AQ1804" s="2">
        <v>28091.0802631396</v>
      </c>
      <c r="AR1804" s="2">
        <v>17999.6693949574</v>
      </c>
      <c r="AS1804" s="2">
        <v>2398.3543467986201</v>
      </c>
      <c r="AT1804" s="2">
        <v>4344.7828333362204</v>
      </c>
      <c r="AU1804" s="2">
        <v>7960.0005246873598</v>
      </c>
      <c r="AV1804" s="2">
        <v>24576.888022158699</v>
      </c>
      <c r="AW1804" s="2">
        <v>3169.34685092267</v>
      </c>
      <c r="AX1804" s="2">
        <v>5212.0975595206401</v>
      </c>
    </row>
    <row r="1805" spans="1:50" x14ac:dyDescent="0.25">
      <c r="A1805" s="2" t="s">
        <v>12272</v>
      </c>
      <c r="B1805" s="2">
        <v>371.24411118171702</v>
      </c>
      <c r="C1805" s="2">
        <v>7.58348333333333</v>
      </c>
      <c r="D1805" s="2" t="s">
        <v>51</v>
      </c>
      <c r="E1805" s="2" t="s">
        <v>12273</v>
      </c>
      <c r="F1805" s="2">
        <v>2063</v>
      </c>
      <c r="G1805" s="3" t="str">
        <f>HYPERLINK("https://cloud.oebiotech.com/#/lm/network/2063", "https://cloud.oebiotech.com/#/lm/network/2063")</f>
        <v>https://cloud.oebiotech.com/#/lm/network/2063</v>
      </c>
      <c r="H1805" s="2" t="s">
        <v>12274</v>
      </c>
      <c r="I1805" s="2">
        <v>35722</v>
      </c>
      <c r="J1805" s="2" t="s">
        <v>12275</v>
      </c>
      <c r="K1805" s="2">
        <v>5282982</v>
      </c>
      <c r="L1805" s="2"/>
      <c r="M1805" s="2"/>
      <c r="N1805" s="2"/>
      <c r="O1805" s="2">
        <v>37157</v>
      </c>
      <c r="P1805" s="2"/>
      <c r="Q1805" s="2"/>
      <c r="R1805" s="2"/>
      <c r="S1805" s="2" t="s">
        <v>12276</v>
      </c>
      <c r="T1805" s="2" t="s">
        <v>12277</v>
      </c>
      <c r="U1805" s="2" t="s">
        <v>103</v>
      </c>
      <c r="V1805" s="2" t="s">
        <v>2602</v>
      </c>
      <c r="W1805" s="2" t="s">
        <v>2603</v>
      </c>
      <c r="X1805" s="2" t="s">
        <v>83</v>
      </c>
      <c r="Y1805" s="2">
        <v>40.700000000000003</v>
      </c>
      <c r="Z1805" s="2">
        <v>0</v>
      </c>
      <c r="AA1805" s="2" t="s">
        <v>478</v>
      </c>
      <c r="AB1805" s="2" t="s">
        <v>5454</v>
      </c>
      <c r="AC1805" s="2">
        <v>0.533891744864881</v>
      </c>
      <c r="AD1805" s="2"/>
      <c r="AE1805" s="2">
        <v>0.35835836592466602</v>
      </c>
      <c r="AF1805" s="2">
        <v>8029.8692944115101</v>
      </c>
      <c r="AG1805" s="2">
        <v>4570.6218561409296</v>
      </c>
      <c r="AH1805" s="5">
        <v>1.756843936591</v>
      </c>
      <c r="AI1805" s="5">
        <v>0.812986040005231</v>
      </c>
      <c r="AJ1805" s="5" t="s">
        <v>139</v>
      </c>
      <c r="AK1805" s="2">
        <v>6.6201140395024297E-2</v>
      </c>
      <c r="AL1805" s="2">
        <v>0.34192828169447498</v>
      </c>
      <c r="AM1805" s="2">
        <v>10309.7466168752</v>
      </c>
      <c r="AN1805" s="2">
        <v>9074.6025368803093</v>
      </c>
      <c r="AO1805" s="2">
        <v>5838.0741177192804</v>
      </c>
      <c r="AP1805" s="2">
        <v>6568.5895104521996</v>
      </c>
      <c r="AQ1805" s="2">
        <v>8847.3711734403005</v>
      </c>
      <c r="AR1805" s="2">
        <v>7540.8318111017998</v>
      </c>
      <c r="AS1805" s="2">
        <v>3672.6938255515201</v>
      </c>
      <c r="AT1805" s="2">
        <v>460.46972220675201</v>
      </c>
      <c r="AU1805" s="2">
        <v>11256.1626250504</v>
      </c>
      <c r="AV1805" s="2">
        <v>1855.75967633253</v>
      </c>
      <c r="AW1805" s="2">
        <v>4994.70316541377</v>
      </c>
      <c r="AX1805" s="2">
        <v>5183.9421222906203</v>
      </c>
    </row>
    <row r="1806" spans="1:50" x14ac:dyDescent="0.25">
      <c r="A1806" s="2" t="s">
        <v>12278</v>
      </c>
      <c r="B1806" s="2">
        <v>426.03576001183802</v>
      </c>
      <c r="C1806" s="2">
        <v>4.6687166666666702</v>
      </c>
      <c r="D1806" s="2" t="s">
        <v>51</v>
      </c>
      <c r="E1806" s="2" t="s">
        <v>12279</v>
      </c>
      <c r="F1806" s="2">
        <v>207657</v>
      </c>
      <c r="G1806" s="3" t="str">
        <f>HYPERLINK("https://cloud.oebiotech.com/#/lm/network/207657", "https://cloud.oebiotech.com/#/lm/network/207657")</f>
        <v>https://cloud.oebiotech.com/#/lm/network/207657</v>
      </c>
      <c r="H1806" s="2" t="s">
        <v>12280</v>
      </c>
      <c r="I1806" s="2"/>
      <c r="J1806" s="2"/>
      <c r="K1806" s="2">
        <v>129850067</v>
      </c>
      <c r="L1806" s="2"/>
      <c r="M1806" s="2"/>
      <c r="N1806" s="2"/>
      <c r="O1806" s="2"/>
      <c r="P1806" s="2"/>
      <c r="Q1806" s="2"/>
      <c r="R1806" s="2"/>
      <c r="S1806" s="2" t="s">
        <v>12281</v>
      </c>
      <c r="T1806" s="2" t="s">
        <v>12282</v>
      </c>
      <c r="U1806" s="2" t="s">
        <v>103</v>
      </c>
      <c r="V1806" s="2" t="s">
        <v>1372</v>
      </c>
      <c r="W1806" s="2" t="s">
        <v>10005</v>
      </c>
      <c r="X1806" s="2" t="s">
        <v>147</v>
      </c>
      <c r="Y1806" s="2">
        <v>39.299999999999997</v>
      </c>
      <c r="Z1806" s="2">
        <v>8.6</v>
      </c>
      <c r="AA1806" s="2" t="s">
        <v>259</v>
      </c>
      <c r="AB1806" s="2" t="s">
        <v>12283</v>
      </c>
      <c r="AC1806" s="2">
        <v>4.87743739263286</v>
      </c>
      <c r="AD1806" s="2"/>
      <c r="AE1806" s="2">
        <v>0.35830872343647702</v>
      </c>
      <c r="AF1806" s="2">
        <v>542.86210312456399</v>
      </c>
      <c r="AG1806" s="2">
        <v>14298.4651460964</v>
      </c>
      <c r="AH1806" s="4">
        <v>3.7966459866692101E-2</v>
      </c>
      <c r="AI1806" s="4">
        <v>-4.71913070677435</v>
      </c>
      <c r="AJ1806" s="4" t="s">
        <v>62</v>
      </c>
      <c r="AK1806" s="2">
        <v>0.35622079024625403</v>
      </c>
      <c r="AL1806" s="2">
        <v>0.64439059109587704</v>
      </c>
      <c r="AM1806" s="2">
        <v>8.559877937157E-6</v>
      </c>
      <c r="AN1806" s="2">
        <v>407.18948444133099</v>
      </c>
      <c r="AO1806" s="2">
        <v>2354.1229488642298</v>
      </c>
      <c r="AP1806" s="2">
        <v>495.86015976218999</v>
      </c>
      <c r="AQ1806" s="2">
        <v>8.559877937157E-6</v>
      </c>
      <c r="AR1806" s="2">
        <v>8.559877937157E-6</v>
      </c>
      <c r="AS1806" s="2">
        <v>8.559877937157E-6</v>
      </c>
      <c r="AT1806" s="2">
        <v>412.215858841829</v>
      </c>
      <c r="AU1806" s="2">
        <v>85378.574983496903</v>
      </c>
      <c r="AV1806" s="2">
        <v>8.559877937157E-6</v>
      </c>
      <c r="AW1806" s="2">
        <v>8.559877937157E-6</v>
      </c>
      <c r="AX1806" s="2">
        <v>8.559877937157E-6</v>
      </c>
    </row>
    <row r="1807" spans="1:50" x14ac:dyDescent="0.25">
      <c r="A1807" s="2" t="s">
        <v>12284</v>
      </c>
      <c r="B1807" s="2">
        <v>645.45605468187205</v>
      </c>
      <c r="C1807" s="2">
        <v>15.1111166666667</v>
      </c>
      <c r="D1807" s="2" t="s">
        <v>51</v>
      </c>
      <c r="E1807" s="2" t="s">
        <v>12285</v>
      </c>
      <c r="F1807" s="2">
        <v>256226</v>
      </c>
      <c r="G1807" s="3" t="str">
        <f>HYPERLINK("https://cloud.oebiotech.com/#/lm/network/256226", "https://cloud.oebiotech.com/#/lm/network/256226")</f>
        <v>https://cloud.oebiotech.com/#/lm/network/256226</v>
      </c>
      <c r="H1807" s="2" t="s">
        <v>12286</v>
      </c>
      <c r="I1807" s="2"/>
      <c r="J1807" s="2"/>
      <c r="K1807" s="2">
        <v>15324</v>
      </c>
      <c r="L1807" s="2"/>
      <c r="M1807" s="2"/>
      <c r="N1807" s="2"/>
      <c r="O1807" s="2"/>
      <c r="P1807" s="2"/>
      <c r="Q1807" s="2"/>
      <c r="R1807" s="2"/>
      <c r="S1807" s="2" t="s">
        <v>12287</v>
      </c>
      <c r="T1807" s="2" t="s">
        <v>12288</v>
      </c>
      <c r="U1807" s="2" t="s">
        <v>56</v>
      </c>
      <c r="V1807" s="2" t="s">
        <v>145</v>
      </c>
      <c r="W1807" s="2" t="s">
        <v>231</v>
      </c>
      <c r="X1807" s="2" t="s">
        <v>147</v>
      </c>
      <c r="Y1807" s="2">
        <v>37</v>
      </c>
      <c r="Z1807" s="2">
        <v>0</v>
      </c>
      <c r="AA1807" s="2" t="s">
        <v>395</v>
      </c>
      <c r="AB1807" s="2" t="s">
        <v>12289</v>
      </c>
      <c r="AC1807" s="2">
        <v>4.7732010809433802</v>
      </c>
      <c r="AD1807" s="2"/>
      <c r="AE1807" s="2">
        <v>0.35775431121701701</v>
      </c>
      <c r="AF1807" s="2">
        <v>23514.073821049999</v>
      </c>
      <c r="AG1807" s="2">
        <v>19251.908966250801</v>
      </c>
      <c r="AH1807" s="5">
        <v>1.22138920676755</v>
      </c>
      <c r="AI1807" s="5">
        <v>0.28852300147135501</v>
      </c>
      <c r="AJ1807" s="5" t="s">
        <v>139</v>
      </c>
      <c r="AK1807" s="2">
        <v>0.51394502753163795</v>
      </c>
      <c r="AL1807" s="2">
        <v>0.74681098545952795</v>
      </c>
      <c r="AM1807" s="2">
        <v>23298.556494357301</v>
      </c>
      <c r="AN1807" s="2">
        <v>41896.838354807303</v>
      </c>
      <c r="AO1807" s="2">
        <v>32688.082383820802</v>
      </c>
      <c r="AP1807" s="2">
        <v>11775.859918954</v>
      </c>
      <c r="AQ1807" s="2">
        <v>19286.657217462001</v>
      </c>
      <c r="AR1807" s="2">
        <v>12138.4485568988</v>
      </c>
      <c r="AS1807" s="2">
        <v>6905.5586829673202</v>
      </c>
      <c r="AT1807" s="2">
        <v>18400.354581551099</v>
      </c>
      <c r="AU1807" s="2">
        <v>36000.971146320197</v>
      </c>
      <c r="AV1807" s="2">
        <v>23375.6750766687</v>
      </c>
      <c r="AW1807" s="2">
        <v>14235.494396219499</v>
      </c>
      <c r="AX1807" s="2">
        <v>16593.399913777801</v>
      </c>
    </row>
    <row r="1808" spans="1:50" x14ac:dyDescent="0.25">
      <c r="A1808" s="2" t="s">
        <v>12290</v>
      </c>
      <c r="B1808" s="2">
        <v>301.217196562141</v>
      </c>
      <c r="C1808" s="2">
        <v>10.74095</v>
      </c>
      <c r="D1808" s="2" t="s">
        <v>51</v>
      </c>
      <c r="E1808" s="2" t="s">
        <v>12291</v>
      </c>
      <c r="F1808" s="2">
        <v>200151</v>
      </c>
      <c r="G1808" s="3" t="str">
        <f>HYPERLINK("https://cloud.oebiotech.com/#/lm/network/200151", "https://cloud.oebiotech.com/#/lm/network/200151")</f>
        <v>https://cloud.oebiotech.com/#/lm/network/200151</v>
      </c>
      <c r="H1808" s="2" t="s">
        <v>12292</v>
      </c>
      <c r="I1808" s="2">
        <v>45651</v>
      </c>
      <c r="J1808" s="2"/>
      <c r="K1808" s="2">
        <v>1436</v>
      </c>
      <c r="L1808" s="2"/>
      <c r="M1808" s="2"/>
      <c r="N1808" s="2"/>
      <c r="O1808" s="2"/>
      <c r="P1808" s="2"/>
      <c r="Q1808" s="2"/>
      <c r="R1808" s="2" t="s">
        <v>12293</v>
      </c>
      <c r="S1808" s="2" t="s">
        <v>12294</v>
      </c>
      <c r="T1808" s="2" t="s">
        <v>12295</v>
      </c>
      <c r="U1808" s="2" t="s">
        <v>56</v>
      </c>
      <c r="V1808" s="2" t="s">
        <v>145</v>
      </c>
      <c r="W1808" s="2" t="s">
        <v>187</v>
      </c>
      <c r="X1808" s="2" t="s">
        <v>83</v>
      </c>
      <c r="Y1808" s="2">
        <v>63.5</v>
      </c>
      <c r="Z1808" s="2">
        <v>23.5</v>
      </c>
      <c r="AA1808" s="2" t="s">
        <v>379</v>
      </c>
      <c r="AB1808" s="2" t="s">
        <v>205</v>
      </c>
      <c r="AC1808" s="2">
        <v>-0.33476269133976599</v>
      </c>
      <c r="AD1808" s="2"/>
      <c r="AE1808" s="2">
        <v>0.35771845787574602</v>
      </c>
      <c r="AF1808" s="2">
        <v>11887.9149997615</v>
      </c>
      <c r="AG1808" s="2">
        <v>7783.3355211525304</v>
      </c>
      <c r="AH1808" s="5">
        <v>1.52735481689746</v>
      </c>
      <c r="AI1808" s="5">
        <v>0.61103525081544197</v>
      </c>
      <c r="AJ1808" s="5" t="s">
        <v>139</v>
      </c>
      <c r="AK1808" s="2">
        <v>2.5108613012017601E-2</v>
      </c>
      <c r="AL1808" s="2">
        <v>0.24527119295206001</v>
      </c>
      <c r="AM1808" s="2">
        <v>8643.1302355390508</v>
      </c>
      <c r="AN1808" s="2">
        <v>12940.7162488184</v>
      </c>
      <c r="AO1808" s="2">
        <v>10922.847294192699</v>
      </c>
      <c r="AP1808" s="2">
        <v>7702.9604926415604</v>
      </c>
      <c r="AQ1808" s="2">
        <v>16685.470160528101</v>
      </c>
      <c r="AR1808" s="2">
        <v>14432.365566848899</v>
      </c>
      <c r="AS1808" s="2">
        <v>8281.2987910259308</v>
      </c>
      <c r="AT1808" s="2">
        <v>5587.4137176376698</v>
      </c>
      <c r="AU1808" s="2">
        <v>9151.5098618366301</v>
      </c>
      <c r="AV1808" s="2">
        <v>8367.7500275783805</v>
      </c>
      <c r="AW1808" s="2">
        <v>9404.3834355171603</v>
      </c>
      <c r="AX1808" s="2">
        <v>5907.6572933193902</v>
      </c>
    </row>
    <row r="1809" spans="1:50" x14ac:dyDescent="0.25">
      <c r="A1809" s="2" t="s">
        <v>12296</v>
      </c>
      <c r="B1809" s="2">
        <v>375.32316094650798</v>
      </c>
      <c r="C1809" s="2">
        <v>6.0845833333333301</v>
      </c>
      <c r="D1809" s="2" t="s">
        <v>51</v>
      </c>
      <c r="E1809" s="2" t="s">
        <v>12297</v>
      </c>
      <c r="F1809" s="2">
        <v>8684</v>
      </c>
      <c r="G1809" s="3" t="str">
        <f>HYPERLINK("https://cloud.oebiotech.com/#/lm/network/8684", "https://cloud.oebiotech.com/#/lm/network/8684")</f>
        <v>https://cloud.oebiotech.com/#/lm/network/8684</v>
      </c>
      <c r="H1809" s="2"/>
      <c r="I1809" s="2">
        <v>75489</v>
      </c>
      <c r="J1809" s="2" t="s">
        <v>12298</v>
      </c>
      <c r="K1809" s="2">
        <v>14239842</v>
      </c>
      <c r="L1809" s="2"/>
      <c r="M1809" s="2"/>
      <c r="N1809" s="2"/>
      <c r="O1809" s="2"/>
      <c r="P1809" s="2"/>
      <c r="Q1809" s="2"/>
      <c r="R1809" s="2"/>
      <c r="S1809" s="2" t="s">
        <v>12299</v>
      </c>
      <c r="T1809" s="2" t="s">
        <v>12300</v>
      </c>
      <c r="U1809" s="2" t="s">
        <v>103</v>
      </c>
      <c r="V1809" s="2" t="s">
        <v>104</v>
      </c>
      <c r="W1809" s="2" t="s">
        <v>105</v>
      </c>
      <c r="X1809" s="2" t="s">
        <v>147</v>
      </c>
      <c r="Y1809" s="2">
        <v>43.4</v>
      </c>
      <c r="Z1809" s="2">
        <v>26.3</v>
      </c>
      <c r="AA1809" s="2" t="s">
        <v>512</v>
      </c>
      <c r="AB1809" s="2" t="s">
        <v>12301</v>
      </c>
      <c r="AC1809" s="2">
        <v>3.9930898939286701</v>
      </c>
      <c r="AD1809" s="2"/>
      <c r="AE1809" s="2">
        <v>0.35757686828785101</v>
      </c>
      <c r="AF1809" s="2">
        <v>8110.8556730045002</v>
      </c>
      <c r="AG1809" s="2">
        <v>907.24724942796104</v>
      </c>
      <c r="AH1809" s="5">
        <v>8.9400719353170608</v>
      </c>
      <c r="AI1809" s="5">
        <v>3.16028643994412</v>
      </c>
      <c r="AJ1809" s="5" t="s">
        <v>139</v>
      </c>
      <c r="AK1809" s="2">
        <v>0.25125210626301497</v>
      </c>
      <c r="AL1809" s="2">
        <v>0.57482996334625003</v>
      </c>
      <c r="AM1809" s="2">
        <v>8.559877937157E-6</v>
      </c>
      <c r="AN1809" s="2">
        <v>8.559877937157E-6</v>
      </c>
      <c r="AO1809" s="2">
        <v>13288.8771839086</v>
      </c>
      <c r="AP1809" s="2">
        <v>8.559877937157E-6</v>
      </c>
      <c r="AQ1809" s="2">
        <v>35278.824065860099</v>
      </c>
      <c r="AR1809" s="2">
        <v>97.432762578694906</v>
      </c>
      <c r="AS1809" s="2">
        <v>139.162323778922</v>
      </c>
      <c r="AT1809" s="2">
        <v>8.559877937157E-6</v>
      </c>
      <c r="AU1809" s="2">
        <v>5304.3211385493296</v>
      </c>
      <c r="AV1809" s="2">
        <v>8.559877937157E-6</v>
      </c>
      <c r="AW1809" s="2">
        <v>8.559877937157E-6</v>
      </c>
      <c r="AX1809" s="2">
        <v>8.559877937157E-6</v>
      </c>
    </row>
    <row r="1810" spans="1:50" x14ac:dyDescent="0.25">
      <c r="A1810" s="2" t="s">
        <v>12302</v>
      </c>
      <c r="B1810" s="2">
        <v>324.236860911696</v>
      </c>
      <c r="C1810" s="2">
        <v>14.1407333333333</v>
      </c>
      <c r="D1810" s="2" t="s">
        <v>51</v>
      </c>
      <c r="E1810" s="2" t="s">
        <v>12303</v>
      </c>
      <c r="F1810" s="2">
        <v>200074</v>
      </c>
      <c r="G1810" s="3" t="str">
        <f>HYPERLINK("https://cloud.oebiotech.com/#/lm/network/200074", "https://cloud.oebiotech.com/#/lm/network/200074")</f>
        <v>https://cloud.oebiotech.com/#/lm/network/200074</v>
      </c>
      <c r="H1810" s="2" t="s">
        <v>12304</v>
      </c>
      <c r="I1810" s="2"/>
      <c r="J1810" s="2"/>
      <c r="K1810" s="2">
        <v>132136</v>
      </c>
      <c r="L1810" s="2"/>
      <c r="M1810" s="2"/>
      <c r="N1810" s="2"/>
      <c r="O1810" s="2"/>
      <c r="P1810" s="2"/>
      <c r="Q1810" s="2"/>
      <c r="R1810" s="2"/>
      <c r="S1810" s="2" t="s">
        <v>12305</v>
      </c>
      <c r="T1810" s="2" t="s">
        <v>12306</v>
      </c>
      <c r="U1810" s="2" t="s">
        <v>56</v>
      </c>
      <c r="V1810" s="2" t="s">
        <v>145</v>
      </c>
      <c r="W1810" s="2" t="s">
        <v>231</v>
      </c>
      <c r="X1810" s="2" t="s">
        <v>147</v>
      </c>
      <c r="Y1810" s="2">
        <v>41.4</v>
      </c>
      <c r="Z1810" s="2">
        <v>12.9</v>
      </c>
      <c r="AA1810" s="2" t="s">
        <v>512</v>
      </c>
      <c r="AB1810" s="2" t="s">
        <v>12307</v>
      </c>
      <c r="AC1810" s="2">
        <v>0.509232330059183</v>
      </c>
      <c r="AD1810" s="2"/>
      <c r="AE1810" s="2">
        <v>0.35745066848493501</v>
      </c>
      <c r="AF1810" s="2">
        <v>17177.506417864999</v>
      </c>
      <c r="AG1810" s="2">
        <v>10375.4720481446</v>
      </c>
      <c r="AH1810" s="5">
        <v>1.6555879422311801</v>
      </c>
      <c r="AI1810" s="5">
        <v>0.72734364646495497</v>
      </c>
      <c r="AJ1810" s="5" t="s">
        <v>139</v>
      </c>
      <c r="AK1810" s="2">
        <v>0.29433922425798298</v>
      </c>
      <c r="AL1810" s="2">
        <v>0.606346972387109</v>
      </c>
      <c r="AM1810" s="2">
        <v>21471.984641361101</v>
      </c>
      <c r="AN1810" s="2">
        <v>8757.9295741258593</v>
      </c>
      <c r="AO1810" s="2">
        <v>21828.691188933</v>
      </c>
      <c r="AP1810" s="2">
        <v>38290.306762083099</v>
      </c>
      <c r="AQ1810" s="2">
        <v>5536.5164897879604</v>
      </c>
      <c r="AR1810" s="2">
        <v>7179.6098508987197</v>
      </c>
      <c r="AS1810" s="2">
        <v>4548.2585869088398</v>
      </c>
      <c r="AT1810" s="2">
        <v>6650.2123276737202</v>
      </c>
      <c r="AU1810" s="2">
        <v>25507.267958043099</v>
      </c>
      <c r="AV1810" s="2">
        <v>14089.4554332033</v>
      </c>
      <c r="AW1810" s="2">
        <v>7644.2996735590896</v>
      </c>
      <c r="AX1810" s="2">
        <v>3813.33830947977</v>
      </c>
    </row>
    <row r="1811" spans="1:50" x14ac:dyDescent="0.25">
      <c r="A1811" s="2" t="s">
        <v>12308</v>
      </c>
      <c r="B1811" s="2">
        <v>247.140829611783</v>
      </c>
      <c r="C1811" s="2">
        <v>0.74455000000000005</v>
      </c>
      <c r="D1811" s="2" t="s">
        <v>51</v>
      </c>
      <c r="E1811" s="2" t="s">
        <v>12309</v>
      </c>
      <c r="F1811" s="2">
        <v>53778</v>
      </c>
      <c r="G1811" s="3" t="str">
        <f>HYPERLINK("https://cloud.oebiotech.com/#/lm/network/53778", "https://cloud.oebiotech.com/#/lm/network/53778")</f>
        <v>https://cloud.oebiotech.com/#/lm/network/53778</v>
      </c>
      <c r="H1811" s="2" t="s">
        <v>12310</v>
      </c>
      <c r="I1811" s="2"/>
      <c r="J1811" s="2"/>
      <c r="K1811" s="2">
        <v>14354813</v>
      </c>
      <c r="L1811" s="2"/>
      <c r="M1811" s="2"/>
      <c r="N1811" s="2"/>
      <c r="O1811" s="2"/>
      <c r="P1811" s="2"/>
      <c r="Q1811" s="2"/>
      <c r="R1811" s="2"/>
      <c r="S1811" s="2" t="s">
        <v>12311</v>
      </c>
      <c r="T1811" s="2" t="s">
        <v>12312</v>
      </c>
      <c r="U1811" s="2" t="s">
        <v>103</v>
      </c>
      <c r="V1811" s="2" t="s">
        <v>104</v>
      </c>
      <c r="W1811" s="2" t="s">
        <v>105</v>
      </c>
      <c r="X1811" s="2" t="s">
        <v>147</v>
      </c>
      <c r="Y1811" s="2">
        <v>42.9</v>
      </c>
      <c r="Z1811" s="2">
        <v>26.7</v>
      </c>
      <c r="AA1811" s="2" t="s">
        <v>2589</v>
      </c>
      <c r="AB1811" s="2" t="s">
        <v>12313</v>
      </c>
      <c r="AC1811" s="2">
        <v>3.26533245444993</v>
      </c>
      <c r="AD1811" s="2"/>
      <c r="AE1811" s="2">
        <v>0.35691490983977198</v>
      </c>
      <c r="AF1811" s="2">
        <v>118253.80624779301</v>
      </c>
      <c r="AG1811" s="2">
        <v>112413.142299924</v>
      </c>
      <c r="AH1811" s="5">
        <v>1.05195712732845</v>
      </c>
      <c r="AI1811" s="5">
        <v>7.3075908574120704E-2</v>
      </c>
      <c r="AJ1811" s="5" t="s">
        <v>139</v>
      </c>
      <c r="AK1811" s="2">
        <v>0.86826762426430704</v>
      </c>
      <c r="AL1811" s="2">
        <v>0.94280748108944301</v>
      </c>
      <c r="AM1811" s="2">
        <v>244750.456244965</v>
      </c>
      <c r="AN1811" s="2">
        <v>118736.155964039</v>
      </c>
      <c r="AO1811" s="2">
        <v>59589.055415832801</v>
      </c>
      <c r="AP1811" s="2">
        <v>122636.55834298101</v>
      </c>
      <c r="AQ1811" s="2">
        <v>70811.680729634303</v>
      </c>
      <c r="AR1811" s="2">
        <v>92998.930789306003</v>
      </c>
      <c r="AS1811" s="2">
        <v>26871.936483596801</v>
      </c>
      <c r="AT1811" s="2">
        <v>81067.3144768395</v>
      </c>
      <c r="AU1811" s="2">
        <v>147732.158962324</v>
      </c>
      <c r="AV1811" s="2">
        <v>168110.92472290501</v>
      </c>
      <c r="AW1811" s="2">
        <v>126876.84703617101</v>
      </c>
      <c r="AX1811" s="2">
        <v>123819.67211771</v>
      </c>
    </row>
    <row r="1812" spans="1:50" x14ac:dyDescent="0.25">
      <c r="A1812" s="2" t="s">
        <v>12314</v>
      </c>
      <c r="B1812" s="2">
        <v>235.11962370201101</v>
      </c>
      <c r="C1812" s="2">
        <v>0.74455000000000005</v>
      </c>
      <c r="D1812" s="2" t="s">
        <v>51</v>
      </c>
      <c r="E1812" s="2" t="s">
        <v>12315</v>
      </c>
      <c r="F1812" s="2">
        <v>257532</v>
      </c>
      <c r="G1812" s="3" t="str">
        <f>HYPERLINK("https://cloud.oebiotech.com/#/lm/network/257532", "https://cloud.oebiotech.com/#/lm/network/257532")</f>
        <v>https://cloud.oebiotech.com/#/lm/network/257532</v>
      </c>
      <c r="H1812" s="2" t="s">
        <v>12316</v>
      </c>
      <c r="I1812" s="2"/>
      <c r="J1812" s="2"/>
      <c r="K1812" s="2">
        <v>14324830</v>
      </c>
      <c r="L1812" s="2"/>
      <c r="M1812" s="2"/>
      <c r="N1812" s="2"/>
      <c r="O1812" s="2"/>
      <c r="P1812" s="2"/>
      <c r="Q1812" s="2"/>
      <c r="R1812" s="2"/>
      <c r="S1812" s="2" t="s">
        <v>12317</v>
      </c>
      <c r="T1812" s="2" t="s">
        <v>12318</v>
      </c>
      <c r="U1812" s="2" t="s">
        <v>103</v>
      </c>
      <c r="V1812" s="2" t="s">
        <v>104</v>
      </c>
      <c r="W1812" s="2" t="s">
        <v>105</v>
      </c>
      <c r="X1812" s="2" t="s">
        <v>83</v>
      </c>
      <c r="Y1812" s="2">
        <v>38.4</v>
      </c>
      <c r="Z1812" s="2">
        <v>0</v>
      </c>
      <c r="AA1812" s="2" t="s">
        <v>156</v>
      </c>
      <c r="AB1812" s="2" t="s">
        <v>12319</v>
      </c>
      <c r="AC1812" s="2">
        <v>2.66363256798902</v>
      </c>
      <c r="AD1812" s="2"/>
      <c r="AE1812" s="2">
        <v>0.35684961531685999</v>
      </c>
      <c r="AF1812" s="2">
        <v>8297.7562909883309</v>
      </c>
      <c r="AG1812" s="2">
        <v>14252.459046305299</v>
      </c>
      <c r="AH1812" s="4">
        <v>0.58219822025304102</v>
      </c>
      <c r="AI1812" s="4">
        <v>-0.78041766565690696</v>
      </c>
      <c r="AJ1812" s="4" t="s">
        <v>62</v>
      </c>
      <c r="AK1812" s="2">
        <v>0.25205885202362999</v>
      </c>
      <c r="AL1812" s="2">
        <v>0.57556669402472804</v>
      </c>
      <c r="AM1812" s="2">
        <v>7528.9044424760104</v>
      </c>
      <c r="AN1812" s="2">
        <v>13949.7160391504</v>
      </c>
      <c r="AO1812" s="2">
        <v>4020.61662159863</v>
      </c>
      <c r="AP1812" s="2">
        <v>9066.6327458377</v>
      </c>
      <c r="AQ1812" s="2">
        <v>7148.3512767437896</v>
      </c>
      <c r="AR1812" s="2">
        <v>8072.3166201234499</v>
      </c>
      <c r="AS1812" s="2">
        <v>7286.2883174995904</v>
      </c>
      <c r="AT1812" s="2">
        <v>12500.698407776301</v>
      </c>
      <c r="AU1812" s="2">
        <v>8442.9301456684698</v>
      </c>
      <c r="AV1812" s="2">
        <v>8810.88254797831</v>
      </c>
      <c r="AW1812" s="2">
        <v>10956.184731646499</v>
      </c>
      <c r="AX1812" s="2">
        <v>37517.770127262898</v>
      </c>
    </row>
    <row r="1813" spans="1:50" x14ac:dyDescent="0.25">
      <c r="A1813" s="2" t="s">
        <v>12320</v>
      </c>
      <c r="B1813" s="2">
        <v>309.10152925038301</v>
      </c>
      <c r="C1813" s="2">
        <v>6.2539666666666696</v>
      </c>
      <c r="D1813" s="2" t="s">
        <v>51</v>
      </c>
      <c r="E1813" s="2" t="s">
        <v>12321</v>
      </c>
      <c r="F1813" s="2">
        <v>198626</v>
      </c>
      <c r="G1813" s="3" t="str">
        <f>HYPERLINK("https://cloud.oebiotech.com/#/lm/network/198626", "https://cloud.oebiotech.com/#/lm/network/198626")</f>
        <v>https://cloud.oebiotech.com/#/lm/network/198626</v>
      </c>
      <c r="H1813" s="2" t="s">
        <v>12322</v>
      </c>
      <c r="I1813" s="2"/>
      <c r="J1813" s="2"/>
      <c r="K1813" s="2">
        <v>423891</v>
      </c>
      <c r="L1813" s="2"/>
      <c r="M1813" s="2"/>
      <c r="N1813" s="2"/>
      <c r="O1813" s="2"/>
      <c r="P1813" s="2"/>
      <c r="Q1813" s="2"/>
      <c r="R1813" s="2"/>
      <c r="S1813" s="2" t="s">
        <v>12323</v>
      </c>
      <c r="T1813" s="2" t="s">
        <v>12324</v>
      </c>
      <c r="U1813" s="2" t="s">
        <v>56</v>
      </c>
      <c r="V1813" s="2" t="s">
        <v>145</v>
      </c>
      <c r="W1813" s="2" t="s">
        <v>1188</v>
      </c>
      <c r="X1813" s="2" t="s">
        <v>147</v>
      </c>
      <c r="Y1813" s="2">
        <v>37.700000000000003</v>
      </c>
      <c r="Z1813" s="2">
        <v>0</v>
      </c>
      <c r="AA1813" s="2" t="s">
        <v>163</v>
      </c>
      <c r="AB1813" s="2" t="s">
        <v>12325</v>
      </c>
      <c r="AC1813" s="2">
        <v>0.58572999606971399</v>
      </c>
      <c r="AD1813" s="2"/>
      <c r="AE1813" s="2">
        <v>0.35645456399930497</v>
      </c>
      <c r="AF1813" s="2">
        <v>12054.5457300219</v>
      </c>
      <c r="AG1813" s="2">
        <v>7939.9378171654598</v>
      </c>
      <c r="AH1813" s="5">
        <v>1.5182166419441001</v>
      </c>
      <c r="AI1813" s="5">
        <v>0.60237767083098503</v>
      </c>
      <c r="AJ1813" s="5" t="s">
        <v>139</v>
      </c>
      <c r="AK1813" s="2">
        <v>0.28465106229103498</v>
      </c>
      <c r="AL1813" s="2">
        <v>0.60013258409867798</v>
      </c>
      <c r="AM1813" s="2">
        <v>21784.671400241299</v>
      </c>
      <c r="AN1813" s="2">
        <v>2441.7251649745999</v>
      </c>
      <c r="AO1813" s="2">
        <v>13536.420113206201</v>
      </c>
      <c r="AP1813" s="2">
        <v>11276.2991973303</v>
      </c>
      <c r="AQ1813" s="2">
        <v>8359.4034221564998</v>
      </c>
      <c r="AR1813" s="2">
        <v>14928.7550822227</v>
      </c>
      <c r="AS1813" s="2">
        <v>8737.32520898451</v>
      </c>
      <c r="AT1813" s="2">
        <v>19874.090120564699</v>
      </c>
      <c r="AU1813" s="2">
        <v>4410.4062010963999</v>
      </c>
      <c r="AV1813" s="2">
        <v>3758.7412007611802</v>
      </c>
      <c r="AW1813" s="2">
        <v>5371.1502716717996</v>
      </c>
      <c r="AX1813" s="2">
        <v>5487.9138999141596</v>
      </c>
    </row>
    <row r="1814" spans="1:50" x14ac:dyDescent="0.25">
      <c r="A1814" s="2" t="s">
        <v>12326</v>
      </c>
      <c r="B1814" s="2">
        <v>452.13638951816</v>
      </c>
      <c r="C1814" s="2">
        <v>7.1512166666666701</v>
      </c>
      <c r="D1814" s="2" t="s">
        <v>51</v>
      </c>
      <c r="E1814" s="2" t="s">
        <v>12327</v>
      </c>
      <c r="F1814" s="2">
        <v>62038</v>
      </c>
      <c r="G1814" s="3" t="str">
        <f>HYPERLINK("https://cloud.oebiotech.com/#/lm/network/62038", "https://cloud.oebiotech.com/#/lm/network/62038")</f>
        <v>https://cloud.oebiotech.com/#/lm/network/62038</v>
      </c>
      <c r="H1814" s="2" t="s">
        <v>12328</v>
      </c>
      <c r="I1814" s="2">
        <v>93329</v>
      </c>
      <c r="J1814" s="2"/>
      <c r="K1814" s="2">
        <v>131752419</v>
      </c>
      <c r="L1814" s="2"/>
      <c r="M1814" s="2"/>
      <c r="N1814" s="2"/>
      <c r="O1814" s="2">
        <v>169374</v>
      </c>
      <c r="P1814" s="2"/>
      <c r="Q1814" s="2"/>
      <c r="R1814" s="2" t="s">
        <v>12329</v>
      </c>
      <c r="S1814" s="2" t="s">
        <v>12330</v>
      </c>
      <c r="T1814" s="2" t="s">
        <v>12331</v>
      </c>
      <c r="U1814" s="2" t="s">
        <v>103</v>
      </c>
      <c r="V1814" s="2" t="s">
        <v>104</v>
      </c>
      <c r="W1814" s="2" t="s">
        <v>105</v>
      </c>
      <c r="X1814" s="2" t="s">
        <v>147</v>
      </c>
      <c r="Y1814" s="2">
        <v>37.299999999999997</v>
      </c>
      <c r="Z1814" s="2">
        <v>6.4899999999999999E-2</v>
      </c>
      <c r="AA1814" s="2" t="s">
        <v>218</v>
      </c>
      <c r="AB1814" s="2" t="s">
        <v>12332</v>
      </c>
      <c r="AC1814" s="2">
        <v>4.7917020352786297</v>
      </c>
      <c r="AD1814" s="2"/>
      <c r="AE1814" s="2">
        <v>0.356144906545171</v>
      </c>
      <c r="AF1814" s="2">
        <v>24220.877539032001</v>
      </c>
      <c r="AG1814" s="2">
        <v>33171.372797394703</v>
      </c>
      <c r="AH1814" s="4">
        <v>0.73017410786611603</v>
      </c>
      <c r="AI1814" s="4">
        <v>-0.45368758348986399</v>
      </c>
      <c r="AJ1814" s="4" t="s">
        <v>62</v>
      </c>
      <c r="AK1814" s="2">
        <v>0.60049801121575497</v>
      </c>
      <c r="AL1814" s="2">
        <v>0.80014457667342997</v>
      </c>
      <c r="AM1814" s="2">
        <v>4681.5077560227101</v>
      </c>
      <c r="AN1814" s="2">
        <v>14566.1171370305</v>
      </c>
      <c r="AO1814" s="2">
        <v>72137.133587922595</v>
      </c>
      <c r="AP1814" s="2">
        <v>40296.423457319201</v>
      </c>
      <c r="AQ1814" s="2">
        <v>12426.040463118399</v>
      </c>
      <c r="AR1814" s="2">
        <v>1218.0428327785401</v>
      </c>
      <c r="AS1814" s="2">
        <v>16942.8628272073</v>
      </c>
      <c r="AT1814" s="2">
        <v>29587.123126814498</v>
      </c>
      <c r="AU1814" s="2">
        <v>25155.791168969499</v>
      </c>
      <c r="AV1814" s="2">
        <v>93490.329305902706</v>
      </c>
      <c r="AW1814" s="2">
        <v>14288.440639119999</v>
      </c>
      <c r="AX1814" s="2">
        <v>19563.6897163539</v>
      </c>
    </row>
    <row r="1815" spans="1:50" x14ac:dyDescent="0.25">
      <c r="A1815" s="2" t="s">
        <v>12333</v>
      </c>
      <c r="B1815" s="2">
        <v>642.362924865374</v>
      </c>
      <c r="C1815" s="2">
        <v>11.1718666666667</v>
      </c>
      <c r="D1815" s="2" t="s">
        <v>51</v>
      </c>
      <c r="E1815" s="2" t="s">
        <v>12334</v>
      </c>
      <c r="F1815" s="2">
        <v>28116</v>
      </c>
      <c r="G1815" s="3" t="str">
        <f>HYPERLINK("https://cloud.oebiotech.com/#/lm/network/28116", "https://cloud.oebiotech.com/#/lm/network/28116")</f>
        <v>https://cloud.oebiotech.com/#/lm/network/28116</v>
      </c>
      <c r="H1815" s="2"/>
      <c r="I1815" s="2"/>
      <c r="J1815" s="2" t="s">
        <v>12335</v>
      </c>
      <c r="K1815" s="2"/>
      <c r="L1815" s="2"/>
      <c r="M1815" s="2"/>
      <c r="N1815" s="2"/>
      <c r="O1815" s="2"/>
      <c r="P1815" s="2"/>
      <c r="Q1815" s="2"/>
      <c r="R1815" s="2"/>
      <c r="S1815" s="2" t="s">
        <v>12336</v>
      </c>
      <c r="T1815" s="2" t="s">
        <v>12337</v>
      </c>
      <c r="U1815" s="2" t="s">
        <v>331</v>
      </c>
      <c r="V1815" s="2" t="s">
        <v>332</v>
      </c>
      <c r="W1815" s="2" t="s">
        <v>333</v>
      </c>
      <c r="X1815" s="2" t="s">
        <v>59</v>
      </c>
      <c r="Y1815" s="2">
        <v>48</v>
      </c>
      <c r="Z1815" s="2">
        <v>55.6</v>
      </c>
      <c r="AA1815" s="2" t="s">
        <v>163</v>
      </c>
      <c r="AB1815" s="2" t="s">
        <v>12338</v>
      </c>
      <c r="AC1815" s="2">
        <v>0.83679387693842699</v>
      </c>
      <c r="AD1815" s="2"/>
      <c r="AE1815" s="2">
        <v>0.356024060337161</v>
      </c>
      <c r="AF1815" s="2">
        <v>2265.3090584503002</v>
      </c>
      <c r="AG1815" s="2">
        <v>5542.9880412798602</v>
      </c>
      <c r="AH1815" s="4">
        <v>0.40868012732122899</v>
      </c>
      <c r="AI1815" s="4">
        <v>-1.2909560030143901</v>
      </c>
      <c r="AJ1815" s="4" t="s">
        <v>62</v>
      </c>
      <c r="AK1815" s="2">
        <v>6.4426732674139994E-2</v>
      </c>
      <c r="AL1815" s="2">
        <v>0.33760062831983101</v>
      </c>
      <c r="AM1815" s="2">
        <v>8.559877937157E-6</v>
      </c>
      <c r="AN1815" s="2">
        <v>4657.2423951770297</v>
      </c>
      <c r="AO1815" s="2">
        <v>1390.4652738596701</v>
      </c>
      <c r="AP1815" s="2">
        <v>684.02569205549003</v>
      </c>
      <c r="AQ1815" s="2">
        <v>2007.1063773804401</v>
      </c>
      <c r="AR1815" s="2">
        <v>4853.0146036693104</v>
      </c>
      <c r="AS1815" s="2">
        <v>4457.0629636787498</v>
      </c>
      <c r="AT1815" s="2">
        <v>4239.5718374632597</v>
      </c>
      <c r="AU1815" s="2">
        <v>2152.4689474055499</v>
      </c>
      <c r="AV1815" s="2">
        <v>11803.995766342399</v>
      </c>
      <c r="AW1815" s="2">
        <v>5107.66662790584</v>
      </c>
      <c r="AX1815" s="2">
        <v>5497.1621048833404</v>
      </c>
    </row>
    <row r="1816" spans="1:50" x14ac:dyDescent="0.25">
      <c r="A1816" s="2" t="s">
        <v>12339</v>
      </c>
      <c r="B1816" s="2">
        <v>432.15116780540899</v>
      </c>
      <c r="C1816" s="2">
        <v>5.2853833333333302</v>
      </c>
      <c r="D1816" s="2" t="s">
        <v>51</v>
      </c>
      <c r="E1816" s="2" t="s">
        <v>12340</v>
      </c>
      <c r="F1816" s="2">
        <v>255581</v>
      </c>
      <c r="G1816" s="3" t="str">
        <f>HYPERLINK("https://cloud.oebiotech.com/#/lm/network/255581", "https://cloud.oebiotech.com/#/lm/network/255581")</f>
        <v>https://cloud.oebiotech.com/#/lm/network/255581</v>
      </c>
      <c r="H1816" s="2" t="s">
        <v>12341</v>
      </c>
      <c r="I1816" s="2"/>
      <c r="J1816" s="2"/>
      <c r="K1816" s="2">
        <v>11552796</v>
      </c>
      <c r="L1816" s="2"/>
      <c r="M1816" s="2"/>
      <c r="N1816" s="2"/>
      <c r="O1816" s="2"/>
      <c r="P1816" s="2"/>
      <c r="Q1816" s="2"/>
      <c r="R1816" s="2"/>
      <c r="S1816" s="2" t="s">
        <v>12342</v>
      </c>
      <c r="T1816" s="2" t="s">
        <v>12343</v>
      </c>
      <c r="U1816" s="2" t="s">
        <v>331</v>
      </c>
      <c r="V1816" s="2" t="s">
        <v>332</v>
      </c>
      <c r="W1816" s="2" t="s">
        <v>333</v>
      </c>
      <c r="X1816" s="2" t="s">
        <v>147</v>
      </c>
      <c r="Y1816" s="2">
        <v>44.7</v>
      </c>
      <c r="Z1816" s="2">
        <v>34.299999999999997</v>
      </c>
      <c r="AA1816" s="2" t="s">
        <v>218</v>
      </c>
      <c r="AB1816" s="2" t="s">
        <v>12344</v>
      </c>
      <c r="AC1816" s="2">
        <v>-3.3678044280772701</v>
      </c>
      <c r="AD1816" s="2"/>
      <c r="AE1816" s="2">
        <v>0.35597955790889602</v>
      </c>
      <c r="AF1816" s="2">
        <v>441.29553098438902</v>
      </c>
      <c r="AG1816" s="2">
        <v>4561.8098658611298</v>
      </c>
      <c r="AH1816" s="4">
        <v>9.6736940810900396E-2</v>
      </c>
      <c r="AI1816" s="4">
        <v>-3.36978927476052</v>
      </c>
      <c r="AJ1816" s="4" t="s">
        <v>62</v>
      </c>
      <c r="AK1816" s="2">
        <v>0.14616716651731601</v>
      </c>
      <c r="AL1816" s="2">
        <v>0.46813495501649</v>
      </c>
      <c r="AM1816" s="2">
        <v>534.93851475772306</v>
      </c>
      <c r="AN1816" s="2">
        <v>181.164840009964</v>
      </c>
      <c r="AO1816" s="2">
        <v>467.886439591091</v>
      </c>
      <c r="AP1816" s="2">
        <v>8.559877937157E-6</v>
      </c>
      <c r="AQ1816" s="2">
        <v>8.559877937157E-6</v>
      </c>
      <c r="AR1816" s="2">
        <v>1463.7833744278</v>
      </c>
      <c r="AS1816" s="2">
        <v>1350.41802565599</v>
      </c>
      <c r="AT1816" s="2">
        <v>230.30787820296899</v>
      </c>
      <c r="AU1816" s="2">
        <v>2317.6903968596298</v>
      </c>
      <c r="AV1816" s="2">
        <v>5103.1693502767603</v>
      </c>
      <c r="AW1816" s="2">
        <v>17137.276189054101</v>
      </c>
      <c r="AX1816" s="2">
        <v>1231.9973551173</v>
      </c>
    </row>
    <row r="1817" spans="1:50" x14ac:dyDescent="0.25">
      <c r="A1817" s="2" t="s">
        <v>12345</v>
      </c>
      <c r="B1817" s="2">
        <v>369.18350021232499</v>
      </c>
      <c r="C1817" s="2">
        <v>9.5834499999999991</v>
      </c>
      <c r="D1817" s="2" t="s">
        <v>51</v>
      </c>
      <c r="E1817" s="2" t="s">
        <v>12346</v>
      </c>
      <c r="F1817" s="2">
        <v>2354</v>
      </c>
      <c r="G1817" s="3" t="str">
        <f>HYPERLINK("https://cloud.oebiotech.com/#/lm/network/2354", "https://cloud.oebiotech.com/#/lm/network/2354")</f>
        <v>https://cloud.oebiotech.com/#/lm/network/2354</v>
      </c>
      <c r="H1817" s="2"/>
      <c r="I1817" s="2">
        <v>96797</v>
      </c>
      <c r="J1817" s="2" t="s">
        <v>12347</v>
      </c>
      <c r="K1817" s="2">
        <v>56935813</v>
      </c>
      <c r="L1817" s="2"/>
      <c r="M1817" s="2"/>
      <c r="N1817" s="2"/>
      <c r="O1817" s="2"/>
      <c r="P1817" s="2"/>
      <c r="Q1817" s="2"/>
      <c r="R1817" s="2"/>
      <c r="S1817" s="2" t="s">
        <v>12348</v>
      </c>
      <c r="T1817" s="2" t="s">
        <v>12349</v>
      </c>
      <c r="U1817" s="2" t="s">
        <v>56</v>
      </c>
      <c r="V1817" s="2" t="s">
        <v>145</v>
      </c>
      <c r="W1817" s="2" t="s">
        <v>187</v>
      </c>
      <c r="X1817" s="2" t="s">
        <v>83</v>
      </c>
      <c r="Y1817" s="2">
        <v>41.3</v>
      </c>
      <c r="Z1817" s="2">
        <v>0</v>
      </c>
      <c r="AA1817" s="2" t="s">
        <v>163</v>
      </c>
      <c r="AB1817" s="2" t="s">
        <v>12350</v>
      </c>
      <c r="AC1817" s="2">
        <v>-0.83883187783431001</v>
      </c>
      <c r="AD1817" s="2"/>
      <c r="AE1817" s="2">
        <v>0.35594613545539699</v>
      </c>
      <c r="AF1817" s="2">
        <v>3823.0228505876298</v>
      </c>
      <c r="AG1817" s="2">
        <v>799.38670003697302</v>
      </c>
      <c r="AH1817" s="5">
        <v>4.7824449048386803</v>
      </c>
      <c r="AI1817" s="5">
        <v>2.2577483483991201</v>
      </c>
      <c r="AJ1817" s="5" t="s">
        <v>139</v>
      </c>
      <c r="AK1817" s="2">
        <v>1.64321339856826E-2</v>
      </c>
      <c r="AL1817" s="2">
        <v>0.202822410546773</v>
      </c>
      <c r="AM1817" s="2">
        <v>2983.4662308235102</v>
      </c>
      <c r="AN1817" s="2">
        <v>8091.0970818138303</v>
      </c>
      <c r="AO1817" s="2">
        <v>3534.1819081184299</v>
      </c>
      <c r="AP1817" s="2">
        <v>1021.49313782165</v>
      </c>
      <c r="AQ1817" s="2">
        <v>2531.44652436355</v>
      </c>
      <c r="AR1817" s="2">
        <v>4776.4522205848098</v>
      </c>
      <c r="AS1817" s="2">
        <v>2258.7740837823699</v>
      </c>
      <c r="AT1817" s="2">
        <v>188.56671005510501</v>
      </c>
      <c r="AU1817" s="2">
        <v>1213.3274242564901</v>
      </c>
      <c r="AV1817" s="2">
        <v>8.559877937157E-6</v>
      </c>
      <c r="AW1817" s="2">
        <v>211.37630753159999</v>
      </c>
      <c r="AX1817" s="2">
        <v>924.27566603639696</v>
      </c>
    </row>
    <row r="1818" spans="1:50" x14ac:dyDescent="0.25">
      <c r="A1818" s="2" t="s">
        <v>12351</v>
      </c>
      <c r="B1818" s="2">
        <v>459.01360851298898</v>
      </c>
      <c r="C1818" s="2">
        <v>8.5561666666666696</v>
      </c>
      <c r="D1818" s="2" t="s">
        <v>51</v>
      </c>
      <c r="E1818" s="2" t="s">
        <v>12352</v>
      </c>
      <c r="F1818" s="2">
        <v>201800</v>
      </c>
      <c r="G1818" s="3" t="str">
        <f>HYPERLINK("https://cloud.oebiotech.com/#/lm/network/201800", "https://cloud.oebiotech.com/#/lm/network/201800")</f>
        <v>https://cloud.oebiotech.com/#/lm/network/201800</v>
      </c>
      <c r="H1818" s="2" t="s">
        <v>12353</v>
      </c>
      <c r="I1818" s="2"/>
      <c r="J1818" s="2"/>
      <c r="K1818" s="2">
        <v>44148609</v>
      </c>
      <c r="L1818" s="2"/>
      <c r="M1818" s="2"/>
      <c r="N1818" s="2"/>
      <c r="O1818" s="2"/>
      <c r="P1818" s="2"/>
      <c r="Q1818" s="2"/>
      <c r="R1818" s="2"/>
      <c r="S1818" s="2" t="s">
        <v>12354</v>
      </c>
      <c r="T1818" s="2" t="s">
        <v>12355</v>
      </c>
      <c r="U1818" s="2" t="s">
        <v>266</v>
      </c>
      <c r="V1818" s="2" t="s">
        <v>1585</v>
      </c>
      <c r="W1818" s="2" t="s">
        <v>12356</v>
      </c>
      <c r="X1818" s="2" t="s">
        <v>147</v>
      </c>
      <c r="Y1818" s="2">
        <v>37.299999999999997</v>
      </c>
      <c r="Z1818" s="2">
        <v>0</v>
      </c>
      <c r="AA1818" s="2" t="s">
        <v>478</v>
      </c>
      <c r="AB1818" s="2" t="s">
        <v>12357</v>
      </c>
      <c r="AC1818" s="2">
        <v>-2.3182257455977502</v>
      </c>
      <c r="AD1818" s="2"/>
      <c r="AE1818" s="2">
        <v>0.355937247032447</v>
      </c>
      <c r="AF1818" s="2">
        <v>4386.9588600909901</v>
      </c>
      <c r="AG1818" s="2">
        <v>7058.1706688449704</v>
      </c>
      <c r="AH1818" s="4">
        <v>0.62154332417253599</v>
      </c>
      <c r="AI1818" s="4">
        <v>-0.68607313821871296</v>
      </c>
      <c r="AJ1818" s="4" t="s">
        <v>62</v>
      </c>
      <c r="AK1818" s="2">
        <v>3.66125495288165E-3</v>
      </c>
      <c r="AL1818" s="2">
        <v>0.1120315017845</v>
      </c>
      <c r="AM1818" s="2">
        <v>2781.84192356218</v>
      </c>
      <c r="AN1818" s="2">
        <v>3871.2492787494998</v>
      </c>
      <c r="AO1818" s="2">
        <v>5733.9225102520804</v>
      </c>
      <c r="AP1818" s="2">
        <v>6376.9665298762902</v>
      </c>
      <c r="AQ1818" s="2">
        <v>3854.5989009080199</v>
      </c>
      <c r="AR1818" s="2">
        <v>3703.1740171979</v>
      </c>
      <c r="AS1818" s="2">
        <v>8452.1683063624605</v>
      </c>
      <c r="AT1818" s="2">
        <v>8381.4774012116795</v>
      </c>
      <c r="AU1818" s="2">
        <v>6320.6806570797598</v>
      </c>
      <c r="AV1818" s="2">
        <v>6646.6409339584598</v>
      </c>
      <c r="AW1818" s="2">
        <v>6107.4109856380801</v>
      </c>
      <c r="AX1818" s="2">
        <v>6440.6457288193797</v>
      </c>
    </row>
    <row r="1819" spans="1:50" x14ac:dyDescent="0.25">
      <c r="A1819" s="2" t="s">
        <v>12358</v>
      </c>
      <c r="B1819" s="2">
        <v>580.36255701437597</v>
      </c>
      <c r="C1819" s="2">
        <v>11.3306166666667</v>
      </c>
      <c r="D1819" s="2" t="s">
        <v>51</v>
      </c>
      <c r="E1819" s="2" t="s">
        <v>12359</v>
      </c>
      <c r="F1819" s="2">
        <v>27840</v>
      </c>
      <c r="G1819" s="3" t="str">
        <f>HYPERLINK("https://cloud.oebiotech.com/#/lm/network/27840", "https://cloud.oebiotech.com/#/lm/network/27840")</f>
        <v>https://cloud.oebiotech.com/#/lm/network/27840</v>
      </c>
      <c r="H1819" s="2"/>
      <c r="I1819" s="2"/>
      <c r="J1819" s="2" t="s">
        <v>12360</v>
      </c>
      <c r="K1819" s="2">
        <v>134812293</v>
      </c>
      <c r="L1819" s="2"/>
      <c r="M1819" s="2"/>
      <c r="N1819" s="2"/>
      <c r="O1819" s="2"/>
      <c r="P1819" s="2"/>
      <c r="Q1819" s="2"/>
      <c r="R1819" s="2"/>
      <c r="S1819" s="2" t="s">
        <v>12361</v>
      </c>
      <c r="T1819" s="2" t="s">
        <v>12362</v>
      </c>
      <c r="U1819" s="2" t="s">
        <v>56</v>
      </c>
      <c r="V1819" s="2" t="s">
        <v>57</v>
      </c>
      <c r="W1819" s="2" t="s">
        <v>58</v>
      </c>
      <c r="X1819" s="2" t="s">
        <v>83</v>
      </c>
      <c r="Y1819" s="2">
        <v>41</v>
      </c>
      <c r="Z1819" s="2">
        <v>0</v>
      </c>
      <c r="AA1819" s="2" t="s">
        <v>259</v>
      </c>
      <c r="AB1819" s="2" t="s">
        <v>3100</v>
      </c>
      <c r="AC1819" s="2">
        <v>2.8680924765523899</v>
      </c>
      <c r="AD1819" s="2"/>
      <c r="AE1819" s="2">
        <v>0.355921788760304</v>
      </c>
      <c r="AF1819" s="2">
        <v>47743.689930654997</v>
      </c>
      <c r="AG1819" s="2">
        <v>39932.315628897399</v>
      </c>
      <c r="AH1819" s="5">
        <v>1.19561536010962</v>
      </c>
      <c r="AI1819" s="5">
        <v>0.257753336598053</v>
      </c>
      <c r="AJ1819" s="5" t="s">
        <v>139</v>
      </c>
      <c r="AK1819" s="2">
        <v>0.58794888190080996</v>
      </c>
      <c r="AL1819" s="2">
        <v>0.79259485853877298</v>
      </c>
      <c r="AM1819" s="2">
        <v>69115.5909970996</v>
      </c>
      <c r="AN1819" s="2">
        <v>22398.4698965395</v>
      </c>
      <c r="AO1819" s="2">
        <v>33856.732353850501</v>
      </c>
      <c r="AP1819" s="2">
        <v>72408.950379747796</v>
      </c>
      <c r="AQ1819" s="2">
        <v>52955.140109251603</v>
      </c>
      <c r="AR1819" s="2">
        <v>35727.255847441098</v>
      </c>
      <c r="AS1819" s="2">
        <v>9218.9090385659601</v>
      </c>
      <c r="AT1819" s="2">
        <v>67155.027303840005</v>
      </c>
      <c r="AU1819" s="2">
        <v>56805.312340337397</v>
      </c>
      <c r="AV1819" s="2">
        <v>68742.846851485301</v>
      </c>
      <c r="AW1819" s="2">
        <v>25183.596787796901</v>
      </c>
      <c r="AX1819" s="2">
        <v>12488.201451359</v>
      </c>
    </row>
    <row r="1820" spans="1:50" x14ac:dyDescent="0.25">
      <c r="A1820" s="2" t="s">
        <v>12363</v>
      </c>
      <c r="B1820" s="2">
        <v>205.03477128340199</v>
      </c>
      <c r="C1820" s="2">
        <v>0.75693333333333301</v>
      </c>
      <c r="D1820" s="2" t="s">
        <v>51</v>
      </c>
      <c r="E1820" s="2" t="s">
        <v>12364</v>
      </c>
      <c r="F1820" s="2">
        <v>211694</v>
      </c>
      <c r="G1820" s="3" t="str">
        <f>HYPERLINK("https://cloud.oebiotech.com/#/lm/network/211694", "https://cloud.oebiotech.com/#/lm/network/211694")</f>
        <v>https://cloud.oebiotech.com/#/lm/network/211694</v>
      </c>
      <c r="H1820" s="2" t="s">
        <v>12365</v>
      </c>
      <c r="I1820" s="2"/>
      <c r="J1820" s="2"/>
      <c r="K1820" s="2">
        <v>54149437</v>
      </c>
      <c r="L1820" s="2"/>
      <c r="M1820" s="2"/>
      <c r="N1820" s="2"/>
      <c r="O1820" s="2"/>
      <c r="P1820" s="2"/>
      <c r="Q1820" s="2"/>
      <c r="R1820" s="2"/>
      <c r="S1820" s="2" t="s">
        <v>12366</v>
      </c>
      <c r="T1820" s="2" t="s">
        <v>12367</v>
      </c>
      <c r="U1820" s="2" t="s">
        <v>103</v>
      </c>
      <c r="V1820" s="2" t="s">
        <v>104</v>
      </c>
      <c r="W1820" s="2" t="s">
        <v>3415</v>
      </c>
      <c r="X1820" s="2" t="s">
        <v>147</v>
      </c>
      <c r="Y1820" s="2">
        <v>47</v>
      </c>
      <c r="Z1820" s="2">
        <v>41.5</v>
      </c>
      <c r="AA1820" s="2" t="s">
        <v>218</v>
      </c>
      <c r="AB1820" s="2" t="s">
        <v>12368</v>
      </c>
      <c r="AC1820" s="2">
        <v>-3.78000276564189</v>
      </c>
      <c r="AD1820" s="2"/>
      <c r="AE1820" s="2">
        <v>0.35583431438472501</v>
      </c>
      <c r="AF1820" s="2">
        <v>23592.008835737099</v>
      </c>
      <c r="AG1820" s="2">
        <v>22211.666132445898</v>
      </c>
      <c r="AH1820" s="5">
        <v>1.0621449419895099</v>
      </c>
      <c r="AI1820" s="5">
        <v>8.6980652037818101E-2</v>
      </c>
      <c r="AJ1820" s="5" t="s">
        <v>139</v>
      </c>
      <c r="AK1820" s="2">
        <v>0.96223368967890299</v>
      </c>
      <c r="AL1820" s="2">
        <v>0.98520672215362504</v>
      </c>
      <c r="AM1820" s="2">
        <v>126108.316325254</v>
      </c>
      <c r="AN1820" s="2">
        <v>509.25894470839398</v>
      </c>
      <c r="AO1820" s="2">
        <v>8.559877937157E-6</v>
      </c>
      <c r="AP1820" s="2">
        <v>7674.1587371489604</v>
      </c>
      <c r="AQ1820" s="2">
        <v>2620.5667290761999</v>
      </c>
      <c r="AR1820" s="2">
        <v>4639.7522696753003</v>
      </c>
      <c r="AS1820" s="2">
        <v>6291.6773202168797</v>
      </c>
      <c r="AT1820" s="2">
        <v>1460.3607666082601</v>
      </c>
      <c r="AU1820" s="2">
        <v>120432.64371240301</v>
      </c>
      <c r="AV1820" s="2">
        <v>2988.65864889563</v>
      </c>
      <c r="AW1820" s="2">
        <v>2030.84878132268</v>
      </c>
      <c r="AX1820" s="2">
        <v>65.807565229206404</v>
      </c>
    </row>
    <row r="1821" spans="1:50" x14ac:dyDescent="0.25">
      <c r="A1821" s="2" t="s">
        <v>12369</v>
      </c>
      <c r="B1821" s="2">
        <v>351.13857180204201</v>
      </c>
      <c r="C1821" s="2">
        <v>8.7827333333333293</v>
      </c>
      <c r="D1821" s="2" t="s">
        <v>51</v>
      </c>
      <c r="E1821" s="2" t="s">
        <v>12370</v>
      </c>
      <c r="F1821" s="2">
        <v>53228</v>
      </c>
      <c r="G1821" s="3" t="str">
        <f>HYPERLINK("https://cloud.oebiotech.com/#/lm/network/53228", "https://cloud.oebiotech.com/#/lm/network/53228")</f>
        <v>https://cloud.oebiotech.com/#/lm/network/53228</v>
      </c>
      <c r="H1821" s="2" t="s">
        <v>12371</v>
      </c>
      <c r="I1821" s="2">
        <v>1015</v>
      </c>
      <c r="J1821" s="2"/>
      <c r="K1821" s="2">
        <v>3948</v>
      </c>
      <c r="L1821" s="2" t="s">
        <v>12372</v>
      </c>
      <c r="M1821" s="2"/>
      <c r="N1821" s="2"/>
      <c r="O1821" s="2">
        <v>116278</v>
      </c>
      <c r="P1821" s="2"/>
      <c r="Q1821" s="2"/>
      <c r="R1821" s="2" t="s">
        <v>12373</v>
      </c>
      <c r="S1821" s="2" t="s">
        <v>12374</v>
      </c>
      <c r="T1821" s="2" t="s">
        <v>12375</v>
      </c>
      <c r="U1821" s="2" t="s">
        <v>266</v>
      </c>
      <c r="V1821" s="2" t="s">
        <v>1393</v>
      </c>
      <c r="W1821" s="2" t="s">
        <v>1643</v>
      </c>
      <c r="X1821" s="2" t="s">
        <v>147</v>
      </c>
      <c r="Y1821" s="2">
        <v>38.700000000000003</v>
      </c>
      <c r="Z1821" s="2">
        <v>0</v>
      </c>
      <c r="AA1821" s="2" t="s">
        <v>122</v>
      </c>
      <c r="AB1821" s="2" t="s">
        <v>12376</v>
      </c>
      <c r="AC1821" s="2">
        <v>-2.4953629487326601</v>
      </c>
      <c r="AD1821" s="2"/>
      <c r="AE1821" s="2">
        <v>0.355797318499392</v>
      </c>
      <c r="AF1821" s="2">
        <v>407.43051324597599</v>
      </c>
      <c r="AG1821" s="2">
        <v>4617.4038113362303</v>
      </c>
      <c r="AH1821" s="4">
        <v>8.8238007740559496E-2</v>
      </c>
      <c r="AI1821" s="4">
        <v>-3.5024559720011701</v>
      </c>
      <c r="AJ1821" s="4" t="s">
        <v>62</v>
      </c>
      <c r="AK1821" s="2">
        <v>6.8871509239135098E-2</v>
      </c>
      <c r="AL1821" s="2">
        <v>0.34710539079180402</v>
      </c>
      <c r="AM1821" s="2">
        <v>359.88001642909097</v>
      </c>
      <c r="AN1821" s="2">
        <v>8.559877937157E-6</v>
      </c>
      <c r="AO1821" s="2">
        <v>673.33157358404299</v>
      </c>
      <c r="AP1821" s="2">
        <v>8.559877937157E-6</v>
      </c>
      <c r="AQ1821" s="2">
        <v>547.66122236652495</v>
      </c>
      <c r="AR1821" s="2">
        <v>863.71024997643894</v>
      </c>
      <c r="AS1821" s="2">
        <v>1133.5833002438601</v>
      </c>
      <c r="AT1821" s="2">
        <v>1070.6203486013401</v>
      </c>
      <c r="AU1821" s="2">
        <v>8913.7090120182093</v>
      </c>
      <c r="AV1821" s="2">
        <v>1469.1835585809199</v>
      </c>
      <c r="AW1821" s="2">
        <v>12896.769599012599</v>
      </c>
      <c r="AX1821" s="2">
        <v>2220.5570495604802</v>
      </c>
    </row>
    <row r="1822" spans="1:50" x14ac:dyDescent="0.25">
      <c r="A1822" s="2" t="s">
        <v>12377</v>
      </c>
      <c r="B1822" s="2">
        <v>186.05146554717501</v>
      </c>
      <c r="C1822" s="2">
        <v>1.9319166666666701</v>
      </c>
      <c r="D1822" s="2" t="s">
        <v>51</v>
      </c>
      <c r="E1822" s="2" t="s">
        <v>12378</v>
      </c>
      <c r="F1822" s="2">
        <v>82975</v>
      </c>
      <c r="G1822" s="3" t="str">
        <f>HYPERLINK("https://cloud.oebiotech.com/#/lm/network/82975", "https://cloud.oebiotech.com/#/lm/network/82975")</f>
        <v>https://cloud.oebiotech.com/#/lm/network/82975</v>
      </c>
      <c r="H1822" s="2" t="s">
        <v>12379</v>
      </c>
      <c r="I1822" s="2"/>
      <c r="J1822" s="2"/>
      <c r="K1822" s="2">
        <v>130392110</v>
      </c>
      <c r="L1822" s="2"/>
      <c r="M1822" s="2"/>
      <c r="N1822" s="2"/>
      <c r="O1822" s="2"/>
      <c r="P1822" s="2"/>
      <c r="Q1822" s="2"/>
      <c r="R1822" s="2"/>
      <c r="S1822" s="2" t="s">
        <v>12380</v>
      </c>
      <c r="T1822" s="2" t="s">
        <v>12381</v>
      </c>
      <c r="U1822" s="2" t="s">
        <v>266</v>
      </c>
      <c r="V1822" s="2" t="s">
        <v>12382</v>
      </c>
      <c r="W1822" s="2" t="s">
        <v>12383</v>
      </c>
      <c r="X1822" s="2" t="s">
        <v>83</v>
      </c>
      <c r="Y1822" s="2">
        <v>38.1</v>
      </c>
      <c r="Z1822" s="2">
        <v>0</v>
      </c>
      <c r="AA1822" s="2" t="s">
        <v>395</v>
      </c>
      <c r="AB1822" s="2" t="s">
        <v>3648</v>
      </c>
      <c r="AC1822" s="2">
        <v>-8.40177477795139</v>
      </c>
      <c r="AD1822" s="2"/>
      <c r="AE1822" s="2">
        <v>0.35566775975641302</v>
      </c>
      <c r="AF1822" s="2">
        <v>11.0462352830545</v>
      </c>
      <c r="AG1822" s="2">
        <v>5464.99381365913</v>
      </c>
      <c r="AH1822" s="4">
        <v>2.0212713243052001E-3</v>
      </c>
      <c r="AI1822" s="4">
        <v>-8.9505212905267495</v>
      </c>
      <c r="AJ1822" s="4" t="s">
        <v>62</v>
      </c>
      <c r="AK1822" s="2">
        <v>8.9821512291675107E-2</v>
      </c>
      <c r="AL1822" s="2">
        <v>0.38464800449143299</v>
      </c>
      <c r="AM1822" s="2">
        <v>55.752783640829499</v>
      </c>
      <c r="AN1822" s="2">
        <v>8.559877937157E-6</v>
      </c>
      <c r="AO1822" s="2">
        <v>8.559877937157E-6</v>
      </c>
      <c r="AP1822" s="2">
        <v>10.524593817985799</v>
      </c>
      <c r="AQ1822" s="2">
        <v>8.559877937157E-6</v>
      </c>
      <c r="AR1822" s="2">
        <v>8.559877937157E-6</v>
      </c>
      <c r="AS1822" s="2">
        <v>8421.5924075952007</v>
      </c>
      <c r="AT1822" s="2">
        <v>17908.563973716398</v>
      </c>
      <c r="AU1822" s="2">
        <v>65.935483008864594</v>
      </c>
      <c r="AV1822" s="2">
        <v>6369.6949569705203</v>
      </c>
      <c r="AW1822" s="2">
        <v>8.559877937157E-6</v>
      </c>
      <c r="AX1822" s="2">
        <v>24.1760521039194</v>
      </c>
    </row>
    <row r="1823" spans="1:50" x14ac:dyDescent="0.25">
      <c r="A1823" s="2" t="s">
        <v>12384</v>
      </c>
      <c r="B1823" s="2">
        <v>539.43192787272005</v>
      </c>
      <c r="C1823" s="2">
        <v>13.4911166666667</v>
      </c>
      <c r="D1823" s="2" t="s">
        <v>51</v>
      </c>
      <c r="E1823" s="2" t="s">
        <v>12385</v>
      </c>
      <c r="F1823" s="2">
        <v>92070</v>
      </c>
      <c r="G1823" s="3" t="str">
        <f>HYPERLINK("https://cloud.oebiotech.com/#/lm/network/92070", "https://cloud.oebiotech.com/#/lm/network/92070")</f>
        <v>https://cloud.oebiotech.com/#/lm/network/92070</v>
      </c>
      <c r="H1823" s="2" t="s">
        <v>12386</v>
      </c>
      <c r="I1823" s="2"/>
      <c r="J1823" s="2"/>
      <c r="K1823" s="2">
        <v>131778053</v>
      </c>
      <c r="L1823" s="2"/>
      <c r="M1823" s="2"/>
      <c r="N1823" s="2"/>
      <c r="O1823" s="2"/>
      <c r="P1823" s="2"/>
      <c r="Q1823" s="2"/>
      <c r="R1823" s="2"/>
      <c r="S1823" s="2" t="s">
        <v>12387</v>
      </c>
      <c r="T1823" s="2" t="s">
        <v>12388</v>
      </c>
      <c r="U1823" s="2" t="s">
        <v>56</v>
      </c>
      <c r="V1823" s="2" t="s">
        <v>3215</v>
      </c>
      <c r="W1823" s="2" t="s">
        <v>12389</v>
      </c>
      <c r="X1823" s="2" t="s">
        <v>147</v>
      </c>
      <c r="Y1823" s="2">
        <v>39.700000000000003</v>
      </c>
      <c r="Z1823" s="2">
        <v>4.33</v>
      </c>
      <c r="AA1823" s="2" t="s">
        <v>298</v>
      </c>
      <c r="AB1823" s="2" t="s">
        <v>12390</v>
      </c>
      <c r="AC1823" s="2">
        <v>0.39720146731811901</v>
      </c>
      <c r="AD1823" s="2"/>
      <c r="AE1823" s="2">
        <v>0.35562605951241999</v>
      </c>
      <c r="AF1823" s="2">
        <v>208847.17407521399</v>
      </c>
      <c r="AG1823" s="2">
        <v>188716.60070691101</v>
      </c>
      <c r="AH1823" s="5">
        <v>1.1066709197436599</v>
      </c>
      <c r="AI1823" s="5">
        <v>0.146226285322096</v>
      </c>
      <c r="AJ1823" s="5" t="s">
        <v>139</v>
      </c>
      <c r="AK1823" s="2">
        <v>0.69671929298697699</v>
      </c>
      <c r="AL1823" s="2">
        <v>0.85378616196188595</v>
      </c>
      <c r="AM1823" s="2">
        <v>210291.73865424999</v>
      </c>
      <c r="AN1823" s="2">
        <v>105610.758703108</v>
      </c>
      <c r="AO1823" s="2">
        <v>250145.85067569299</v>
      </c>
      <c r="AP1823" s="2">
        <v>239175.155911793</v>
      </c>
      <c r="AQ1823" s="2">
        <v>350298.34537089098</v>
      </c>
      <c r="AR1823" s="2">
        <v>97561.1951355497</v>
      </c>
      <c r="AS1823" s="2">
        <v>190054.45062945801</v>
      </c>
      <c r="AT1823" s="2">
        <v>269331.20634292002</v>
      </c>
      <c r="AU1823" s="2">
        <v>136751.67540502199</v>
      </c>
      <c r="AV1823" s="2">
        <v>104787.319806468</v>
      </c>
      <c r="AW1823" s="2">
        <v>293644.28366776701</v>
      </c>
      <c r="AX1823" s="2">
        <v>137730.66838982899</v>
      </c>
    </row>
    <row r="1824" spans="1:50" x14ac:dyDescent="0.25">
      <c r="A1824" s="2" t="s">
        <v>12391</v>
      </c>
      <c r="B1824" s="2">
        <v>265.212980689554</v>
      </c>
      <c r="C1824" s="2">
        <v>0.68110000000000004</v>
      </c>
      <c r="D1824" s="2" t="s">
        <v>51</v>
      </c>
      <c r="E1824" s="2" t="s">
        <v>12392</v>
      </c>
      <c r="F1824" s="2">
        <v>7206</v>
      </c>
      <c r="G1824" s="3" t="str">
        <f>HYPERLINK("https://cloud.oebiotech.com/#/lm/network/7206", "https://cloud.oebiotech.com/#/lm/network/7206")</f>
        <v>https://cloud.oebiotech.com/#/lm/network/7206</v>
      </c>
      <c r="H1824" s="2" t="s">
        <v>12393</v>
      </c>
      <c r="I1824" s="2">
        <v>86999</v>
      </c>
      <c r="J1824" s="2" t="s">
        <v>12394</v>
      </c>
      <c r="K1824" s="2">
        <v>31284</v>
      </c>
      <c r="L1824" s="2"/>
      <c r="M1824" s="2"/>
      <c r="N1824" s="2"/>
      <c r="O1824" s="2">
        <v>89199</v>
      </c>
      <c r="P1824" s="2"/>
      <c r="Q1824" s="2"/>
      <c r="R1824" s="2" t="s">
        <v>12395</v>
      </c>
      <c r="S1824" s="2" t="s">
        <v>12396</v>
      </c>
      <c r="T1824" s="2" t="s">
        <v>12397</v>
      </c>
      <c r="U1824" s="2" t="s">
        <v>56</v>
      </c>
      <c r="V1824" s="2" t="s">
        <v>145</v>
      </c>
      <c r="W1824" s="2" t="s">
        <v>1188</v>
      </c>
      <c r="X1824" s="2" t="s">
        <v>147</v>
      </c>
      <c r="Y1824" s="2">
        <v>37.4</v>
      </c>
      <c r="Z1824" s="2">
        <v>0</v>
      </c>
      <c r="AA1824" s="2" t="s">
        <v>95</v>
      </c>
      <c r="AB1824" s="2" t="s">
        <v>12398</v>
      </c>
      <c r="AC1824" s="2">
        <v>-3.3860794211707699</v>
      </c>
      <c r="AD1824" s="2"/>
      <c r="AE1824" s="2">
        <v>0.35532806385800197</v>
      </c>
      <c r="AF1824" s="2">
        <v>24968.291307496002</v>
      </c>
      <c r="AG1824" s="2">
        <v>18434.4774070643</v>
      </c>
      <c r="AH1824" s="5">
        <v>1.3544344521493099</v>
      </c>
      <c r="AI1824" s="5">
        <v>0.43769057600774602</v>
      </c>
      <c r="AJ1824" s="5" t="s">
        <v>139</v>
      </c>
      <c r="AK1824" s="2">
        <v>0.42228837440391398</v>
      </c>
      <c r="AL1824" s="2">
        <v>0.683406571622166</v>
      </c>
      <c r="AM1824" s="2">
        <v>46403.087092801899</v>
      </c>
      <c r="AN1824" s="2">
        <v>22696.503206954301</v>
      </c>
      <c r="AO1824" s="2">
        <v>10897.7038480913</v>
      </c>
      <c r="AP1824" s="2">
        <v>39468.089761679599</v>
      </c>
      <c r="AQ1824" s="2">
        <v>11720.3935079518</v>
      </c>
      <c r="AR1824" s="2">
        <v>18623.970427497101</v>
      </c>
      <c r="AS1824" s="2">
        <v>10981.6223307898</v>
      </c>
      <c r="AT1824" s="2">
        <v>10152.9168661239</v>
      </c>
      <c r="AU1824" s="2">
        <v>26498.139901290499</v>
      </c>
      <c r="AV1824" s="2">
        <v>8435.1522152406997</v>
      </c>
      <c r="AW1824" s="2">
        <v>15115.469871622199</v>
      </c>
      <c r="AX1824" s="2">
        <v>39423.563257318601</v>
      </c>
    </row>
    <row r="1825" spans="1:50" x14ac:dyDescent="0.25">
      <c r="A1825" s="2" t="s">
        <v>12399</v>
      </c>
      <c r="B1825" s="2">
        <v>120.035</v>
      </c>
      <c r="C1825" s="2">
        <v>14.858000000000001</v>
      </c>
      <c r="D1825" s="2" t="s">
        <v>125</v>
      </c>
      <c r="E1825" s="2" t="s">
        <v>12400</v>
      </c>
      <c r="F1825" s="2">
        <v>205498</v>
      </c>
      <c r="G1825" s="3" t="str">
        <f>HYPERLINK("https://cloud.oebiotech.com/#/lm/network/205498", "https://cloud.oebiotech.com/#/lm/network/205498")</f>
        <v>https://cloud.oebiotech.com/#/lm/network/205498</v>
      </c>
      <c r="H1825" s="2" t="s">
        <v>12401</v>
      </c>
      <c r="I1825" s="2">
        <v>65707</v>
      </c>
      <c r="J1825" s="2"/>
      <c r="K1825" s="2">
        <v>994</v>
      </c>
      <c r="L1825" s="2" t="s">
        <v>12402</v>
      </c>
      <c r="M1825" s="2"/>
      <c r="N1825" s="2"/>
      <c r="O1825" s="2">
        <v>28044</v>
      </c>
      <c r="P1825" s="2"/>
      <c r="Q1825" s="2"/>
      <c r="R1825" s="2" t="s">
        <v>12403</v>
      </c>
      <c r="S1825" s="2" t="s">
        <v>12404</v>
      </c>
      <c r="T1825" s="2" t="s">
        <v>12405</v>
      </c>
      <c r="U1825" s="2" t="s">
        <v>103</v>
      </c>
      <c r="V1825" s="2" t="s">
        <v>104</v>
      </c>
      <c r="W1825" s="2" t="s">
        <v>105</v>
      </c>
      <c r="X1825" s="2" t="s">
        <v>69</v>
      </c>
      <c r="Y1825" s="2">
        <v>92.8</v>
      </c>
      <c r="Z1825" s="2">
        <v>94.9</v>
      </c>
      <c r="AA1825" s="2"/>
      <c r="AB1825" s="2" t="s">
        <v>12406</v>
      </c>
      <c r="AC1825" s="2"/>
      <c r="AD1825" s="2">
        <v>499981.39896729798</v>
      </c>
      <c r="AE1825" s="2">
        <v>0.35525209602721902</v>
      </c>
      <c r="AF1825" s="2">
        <v>259716.15826923601</v>
      </c>
      <c r="AG1825" s="2">
        <v>221215.8447776</v>
      </c>
      <c r="AH1825" s="5">
        <v>1.1740395835133</v>
      </c>
      <c r="AI1825" s="5">
        <v>0.231481050675924</v>
      </c>
      <c r="AJ1825" s="5" t="s">
        <v>139</v>
      </c>
      <c r="AK1825" s="2">
        <v>0.120870137697909</v>
      </c>
      <c r="AL1825" s="2">
        <v>0.43807021464727303</v>
      </c>
      <c r="AM1825" s="2">
        <v>273746.477851353</v>
      </c>
      <c r="AN1825" s="2">
        <v>307455.38650000398</v>
      </c>
      <c r="AO1825" s="2">
        <v>228782.30743290699</v>
      </c>
      <c r="AP1825" s="2">
        <v>250164.537572806</v>
      </c>
      <c r="AQ1825" s="2">
        <v>196050.13774203401</v>
      </c>
      <c r="AR1825" s="2">
        <v>302098.10251630901</v>
      </c>
      <c r="AS1825" s="2">
        <v>191371.027466909</v>
      </c>
      <c r="AT1825" s="2">
        <v>235273.67041982399</v>
      </c>
      <c r="AU1825" s="2">
        <v>182635.73674893301</v>
      </c>
      <c r="AV1825" s="2">
        <v>204570.813368217</v>
      </c>
      <c r="AW1825" s="2">
        <v>237710.665542745</v>
      </c>
      <c r="AX1825" s="2">
        <v>275733.155118972</v>
      </c>
    </row>
    <row r="1826" spans="1:50" x14ac:dyDescent="0.25">
      <c r="A1826" s="2" t="s">
        <v>12407</v>
      </c>
      <c r="B1826" s="2">
        <v>440.32695348172803</v>
      </c>
      <c r="C1826" s="2">
        <v>11.0475666666667</v>
      </c>
      <c r="D1826" s="2" t="s">
        <v>51</v>
      </c>
      <c r="E1826" s="2" t="s">
        <v>12408</v>
      </c>
      <c r="F1826" s="2">
        <v>36397</v>
      </c>
      <c r="G1826" s="3" t="str">
        <f>HYPERLINK("https://cloud.oebiotech.com/#/lm/network/36397", "https://cloud.oebiotech.com/#/lm/network/36397")</f>
        <v>https://cloud.oebiotech.com/#/lm/network/36397</v>
      </c>
      <c r="H1826" s="2"/>
      <c r="I1826" s="2">
        <v>67310</v>
      </c>
      <c r="J1826" s="2" t="s">
        <v>12409</v>
      </c>
      <c r="K1826" s="2">
        <v>441936</v>
      </c>
      <c r="L1826" s="2" t="s">
        <v>12410</v>
      </c>
      <c r="M1826" s="2"/>
      <c r="N1826" s="2"/>
      <c r="O1826" s="2">
        <v>8036</v>
      </c>
      <c r="P1826" s="2"/>
      <c r="Q1826" s="2"/>
      <c r="R1826" s="2" t="s">
        <v>12411</v>
      </c>
      <c r="S1826" s="2" t="s">
        <v>12412</v>
      </c>
      <c r="T1826" s="2" t="s">
        <v>12413</v>
      </c>
      <c r="U1826" s="2" t="s">
        <v>56</v>
      </c>
      <c r="V1826" s="2" t="s">
        <v>177</v>
      </c>
      <c r="W1826" s="2" t="s">
        <v>3270</v>
      </c>
      <c r="X1826" s="2" t="s">
        <v>83</v>
      </c>
      <c r="Y1826" s="2">
        <v>42.7</v>
      </c>
      <c r="Z1826" s="2">
        <v>0</v>
      </c>
      <c r="AA1826" s="2" t="s">
        <v>122</v>
      </c>
      <c r="AB1826" s="2" t="s">
        <v>12414</v>
      </c>
      <c r="AC1826" s="2">
        <v>-4.7507382362273596</v>
      </c>
      <c r="AD1826" s="2"/>
      <c r="AE1826" s="2">
        <v>0.35510450919811198</v>
      </c>
      <c r="AF1826" s="2">
        <v>10972.741697327599</v>
      </c>
      <c r="AG1826" s="2">
        <v>14812.778769478</v>
      </c>
      <c r="AH1826" s="4">
        <v>0.74076186974027203</v>
      </c>
      <c r="AI1826" s="4">
        <v>-0.43291825621416402</v>
      </c>
      <c r="AJ1826" s="4" t="s">
        <v>62</v>
      </c>
      <c r="AK1826" s="2">
        <v>0.103391551706784</v>
      </c>
      <c r="AL1826" s="2">
        <v>0.40823598839205399</v>
      </c>
      <c r="AM1826" s="2">
        <v>7314.2592269257502</v>
      </c>
      <c r="AN1826" s="2">
        <v>7111.1529646233703</v>
      </c>
      <c r="AO1826" s="2">
        <v>11626.1774900991</v>
      </c>
      <c r="AP1826" s="2">
        <v>8766.7664225273093</v>
      </c>
      <c r="AQ1826" s="2">
        <v>18527.245534985599</v>
      </c>
      <c r="AR1826" s="2">
        <v>12490.848544804299</v>
      </c>
      <c r="AS1826" s="2">
        <v>19824.342472014399</v>
      </c>
      <c r="AT1826" s="2">
        <v>17195.840616645499</v>
      </c>
      <c r="AU1826" s="2">
        <v>13256.8719614569</v>
      </c>
      <c r="AV1826" s="2">
        <v>12516.4388310006</v>
      </c>
      <c r="AW1826" s="2">
        <v>12916.5765139674</v>
      </c>
      <c r="AX1826" s="2">
        <v>13166.6022217835</v>
      </c>
    </row>
    <row r="1827" spans="1:50" x14ac:dyDescent="0.25">
      <c r="A1827" s="2" t="s">
        <v>12415</v>
      </c>
      <c r="B1827" s="2">
        <v>381.33760599667301</v>
      </c>
      <c r="C1827" s="2">
        <v>14.626300000000001</v>
      </c>
      <c r="D1827" s="2" t="s">
        <v>51</v>
      </c>
      <c r="E1827" s="2" t="s">
        <v>12416</v>
      </c>
      <c r="F1827" s="2">
        <v>8508</v>
      </c>
      <c r="G1827" s="3" t="str">
        <f>HYPERLINK("https://cloud.oebiotech.com/#/lm/network/8508", "https://cloud.oebiotech.com/#/lm/network/8508")</f>
        <v>https://cloud.oebiotech.com/#/lm/network/8508</v>
      </c>
      <c r="H1827" s="2"/>
      <c r="I1827" s="2"/>
      <c r="J1827" s="2" t="s">
        <v>12417</v>
      </c>
      <c r="K1827" s="2">
        <v>71350307</v>
      </c>
      <c r="L1827" s="2"/>
      <c r="M1827" s="2"/>
      <c r="N1827" s="2"/>
      <c r="O1827" s="2"/>
      <c r="P1827" s="2"/>
      <c r="Q1827" s="2"/>
      <c r="R1827" s="2"/>
      <c r="S1827" s="2" t="s">
        <v>12418</v>
      </c>
      <c r="T1827" s="2" t="s">
        <v>12419</v>
      </c>
      <c r="U1827" s="2" t="s">
        <v>56</v>
      </c>
      <c r="V1827" s="2" t="s">
        <v>145</v>
      </c>
      <c r="W1827" s="2" t="s">
        <v>231</v>
      </c>
      <c r="X1827" s="2" t="s">
        <v>83</v>
      </c>
      <c r="Y1827" s="2">
        <v>53.4</v>
      </c>
      <c r="Z1827" s="2">
        <v>0</v>
      </c>
      <c r="AA1827" s="2" t="s">
        <v>156</v>
      </c>
      <c r="AB1827" s="2" t="s">
        <v>4808</v>
      </c>
      <c r="AC1827" s="2">
        <v>3.2241162584807799</v>
      </c>
      <c r="AD1827" s="2"/>
      <c r="AE1827" s="2">
        <v>0.35507556348485098</v>
      </c>
      <c r="AF1827" s="2">
        <v>6838.4281887871302</v>
      </c>
      <c r="AG1827" s="2">
        <v>3886.49785752151</v>
      </c>
      <c r="AH1827" s="5">
        <v>1.75953478928408</v>
      </c>
      <c r="AI1827" s="5">
        <v>0.815194039140966</v>
      </c>
      <c r="AJ1827" s="5" t="s">
        <v>139</v>
      </c>
      <c r="AK1827" s="2">
        <v>3.3647792557615699E-2</v>
      </c>
      <c r="AL1827" s="2">
        <v>0.27023848021491997</v>
      </c>
      <c r="AM1827" s="2">
        <v>8640.2870738985603</v>
      </c>
      <c r="AN1827" s="2">
        <v>9589.1232761312403</v>
      </c>
      <c r="AO1827" s="2">
        <v>6137.8317737752895</v>
      </c>
      <c r="AP1827" s="2">
        <v>5181.1339633293201</v>
      </c>
      <c r="AQ1827" s="2">
        <v>3813.6030575655</v>
      </c>
      <c r="AR1827" s="2">
        <v>7668.5899880228699</v>
      </c>
      <c r="AS1827" s="2">
        <v>4876.4131266676204</v>
      </c>
      <c r="AT1827" s="2">
        <v>3588.9745206031298</v>
      </c>
      <c r="AU1827" s="2">
        <v>4154.9721522405998</v>
      </c>
      <c r="AV1827" s="2">
        <v>1054.9932988753301</v>
      </c>
      <c r="AW1827" s="2">
        <v>2774.41810346989</v>
      </c>
      <c r="AX1827" s="2">
        <v>6869.2159432724602</v>
      </c>
    </row>
    <row r="1828" spans="1:50" x14ac:dyDescent="0.25">
      <c r="A1828" s="2" t="s">
        <v>12420</v>
      </c>
      <c r="B1828" s="2">
        <v>312.25416857288798</v>
      </c>
      <c r="C1828" s="2">
        <v>10.1716</v>
      </c>
      <c r="D1828" s="2" t="s">
        <v>51</v>
      </c>
      <c r="E1828" s="2" t="s">
        <v>12421</v>
      </c>
      <c r="F1828" s="2">
        <v>3110</v>
      </c>
      <c r="G1828" s="3" t="str">
        <f>HYPERLINK("https://cloud.oebiotech.com/#/lm/network/3110", "https://cloud.oebiotech.com/#/lm/network/3110")</f>
        <v>https://cloud.oebiotech.com/#/lm/network/3110</v>
      </c>
      <c r="H1828" s="2"/>
      <c r="I1828" s="2">
        <v>35492</v>
      </c>
      <c r="J1828" s="2" t="s">
        <v>12422</v>
      </c>
      <c r="K1828" s="2">
        <v>5282949</v>
      </c>
      <c r="L1828" s="2"/>
      <c r="M1828" s="2"/>
      <c r="N1828" s="2"/>
      <c r="O1828" s="2"/>
      <c r="P1828" s="2"/>
      <c r="Q1828" s="2"/>
      <c r="R1828" s="2"/>
      <c r="S1828" s="2" t="s">
        <v>12423</v>
      </c>
      <c r="T1828" s="2" t="s">
        <v>12424</v>
      </c>
      <c r="U1828" s="2" t="s">
        <v>56</v>
      </c>
      <c r="V1828" s="2" t="s">
        <v>145</v>
      </c>
      <c r="W1828" s="2" t="s">
        <v>203</v>
      </c>
      <c r="X1828" s="2" t="s">
        <v>69</v>
      </c>
      <c r="Y1828" s="2">
        <v>61.4</v>
      </c>
      <c r="Z1828" s="2">
        <v>56.4</v>
      </c>
      <c r="AA1828" s="2" t="s">
        <v>512</v>
      </c>
      <c r="AB1828" s="2" t="s">
        <v>1722</v>
      </c>
      <c r="AC1828" s="2">
        <v>2.8829568490587598</v>
      </c>
      <c r="AD1828" s="2"/>
      <c r="AE1828" s="2">
        <v>0.35505607568140701</v>
      </c>
      <c r="AF1828" s="2">
        <v>8427.6502033079796</v>
      </c>
      <c r="AG1828" s="2">
        <v>611.80227108368604</v>
      </c>
      <c r="AH1828" s="5">
        <v>13.7751208219284</v>
      </c>
      <c r="AI1828" s="5">
        <v>3.7839930676534901</v>
      </c>
      <c r="AJ1828" s="5" t="s">
        <v>139</v>
      </c>
      <c r="AK1828" s="2">
        <v>0.252817102134137</v>
      </c>
      <c r="AL1828" s="2">
        <v>0.57619502323734795</v>
      </c>
      <c r="AM1828" s="2">
        <v>178.69272764614001</v>
      </c>
      <c r="AN1828" s="2">
        <v>8.559877937157E-6</v>
      </c>
      <c r="AO1828" s="2">
        <v>10850.3650042234</v>
      </c>
      <c r="AP1828" s="2">
        <v>8.559877937157E-6</v>
      </c>
      <c r="AQ1828" s="2">
        <v>39306.1365895255</v>
      </c>
      <c r="AR1828" s="2">
        <v>230.706881333057</v>
      </c>
      <c r="AS1828" s="2">
        <v>3127.68562756134</v>
      </c>
      <c r="AT1828" s="2">
        <v>8.559877937157E-6</v>
      </c>
      <c r="AU1828" s="2">
        <v>543.12796470126602</v>
      </c>
      <c r="AV1828" s="2">
        <v>8.559877937157E-6</v>
      </c>
      <c r="AW1828" s="2">
        <v>8.559877937157E-6</v>
      </c>
      <c r="AX1828" s="2">
        <v>8.559877937157E-6</v>
      </c>
    </row>
    <row r="1829" spans="1:50" x14ac:dyDescent="0.25">
      <c r="A1829" s="2" t="s">
        <v>12425</v>
      </c>
      <c r="B1829" s="2">
        <v>371.15315817405701</v>
      </c>
      <c r="C1829" s="2">
        <v>13.3257833333333</v>
      </c>
      <c r="D1829" s="2" t="s">
        <v>51</v>
      </c>
      <c r="E1829" s="2" t="s">
        <v>12426</v>
      </c>
      <c r="F1829" s="2">
        <v>199343</v>
      </c>
      <c r="G1829" s="3" t="str">
        <f>HYPERLINK("https://cloud.oebiotech.com/#/lm/network/199343", "https://cloud.oebiotech.com/#/lm/network/199343")</f>
        <v>https://cloud.oebiotech.com/#/lm/network/199343</v>
      </c>
      <c r="H1829" s="2" t="s">
        <v>12427</v>
      </c>
      <c r="I1829" s="2"/>
      <c r="J1829" s="2"/>
      <c r="K1829" s="2">
        <v>81387</v>
      </c>
      <c r="L1829" s="2"/>
      <c r="M1829" s="2"/>
      <c r="N1829" s="2"/>
      <c r="O1829" s="2"/>
      <c r="P1829" s="2"/>
      <c r="Q1829" s="2"/>
      <c r="R1829" s="2"/>
      <c r="S1829" s="2" t="s">
        <v>12428</v>
      </c>
      <c r="T1829" s="2" t="s">
        <v>12429</v>
      </c>
      <c r="U1829" s="2" t="s">
        <v>610</v>
      </c>
      <c r="V1829" s="2" t="s">
        <v>813</v>
      </c>
      <c r="W1829" s="2" t="s">
        <v>240</v>
      </c>
      <c r="X1829" s="2" t="s">
        <v>147</v>
      </c>
      <c r="Y1829" s="2">
        <v>39.1</v>
      </c>
      <c r="Z1829" s="2">
        <v>6.09</v>
      </c>
      <c r="AA1829" s="2" t="s">
        <v>478</v>
      </c>
      <c r="AB1829" s="2" t="s">
        <v>12430</v>
      </c>
      <c r="AC1829" s="2">
        <v>4.8600414212768897</v>
      </c>
      <c r="AD1829" s="2"/>
      <c r="AE1829" s="2">
        <v>0.35503806575178798</v>
      </c>
      <c r="AF1829" s="2">
        <v>10417.346741113901</v>
      </c>
      <c r="AG1829" s="2">
        <v>14062.934808353601</v>
      </c>
      <c r="AH1829" s="4">
        <v>0.74076619731791504</v>
      </c>
      <c r="AI1829" s="4">
        <v>-0.43290982792320798</v>
      </c>
      <c r="AJ1829" s="4" t="s">
        <v>62</v>
      </c>
      <c r="AK1829" s="2">
        <v>3.0429178628300401E-3</v>
      </c>
      <c r="AL1829" s="2">
        <v>0.111517304639642</v>
      </c>
      <c r="AM1829" s="2">
        <v>13034.0667149077</v>
      </c>
      <c r="AN1829" s="2">
        <v>9529.7632489853495</v>
      </c>
      <c r="AO1829" s="2">
        <v>9807.2130409610199</v>
      </c>
      <c r="AP1829" s="2">
        <v>9881.8898433117593</v>
      </c>
      <c r="AQ1829" s="2">
        <v>11379.608807050799</v>
      </c>
      <c r="AR1829" s="2">
        <v>8871.5387914665007</v>
      </c>
      <c r="AS1829" s="2">
        <v>10753.334058197201</v>
      </c>
      <c r="AT1829" s="2">
        <v>14937.092539662101</v>
      </c>
      <c r="AU1829" s="2">
        <v>15393.3539272288</v>
      </c>
      <c r="AV1829" s="2">
        <v>13661.2329497963</v>
      </c>
      <c r="AW1829" s="2">
        <v>14969.6440730873</v>
      </c>
      <c r="AX1829" s="2">
        <v>14662.951302150001</v>
      </c>
    </row>
    <row r="1830" spans="1:50" x14ac:dyDescent="0.25">
      <c r="A1830" s="2" t="s">
        <v>12431</v>
      </c>
      <c r="B1830" s="2">
        <v>249.07426820083299</v>
      </c>
      <c r="C1830" s="2">
        <v>4.7984833333333299</v>
      </c>
      <c r="D1830" s="2" t="s">
        <v>51</v>
      </c>
      <c r="E1830" s="2" t="s">
        <v>12432</v>
      </c>
      <c r="F1830" s="2">
        <v>202724</v>
      </c>
      <c r="G1830" s="3" t="str">
        <f>HYPERLINK("https://cloud.oebiotech.com/#/lm/network/202724", "https://cloud.oebiotech.com/#/lm/network/202724")</f>
        <v>https://cloud.oebiotech.com/#/lm/network/202724</v>
      </c>
      <c r="H1830" s="2" t="s">
        <v>12433</v>
      </c>
      <c r="I1830" s="2"/>
      <c r="J1830" s="2"/>
      <c r="K1830" s="2">
        <v>3068264</v>
      </c>
      <c r="L1830" s="2"/>
      <c r="M1830" s="2"/>
      <c r="N1830" s="2"/>
      <c r="O1830" s="2"/>
      <c r="P1830" s="2"/>
      <c r="Q1830" s="2"/>
      <c r="R1830" s="2"/>
      <c r="S1830" s="2" t="s">
        <v>12434</v>
      </c>
      <c r="T1830" s="2" t="s">
        <v>12435</v>
      </c>
      <c r="U1830" s="2" t="s">
        <v>266</v>
      </c>
      <c r="V1830" s="2" t="s">
        <v>2143</v>
      </c>
      <c r="W1830" s="2" t="s">
        <v>2624</v>
      </c>
      <c r="X1830" s="2" t="s">
        <v>147</v>
      </c>
      <c r="Y1830" s="2">
        <v>39.200000000000003</v>
      </c>
      <c r="Z1830" s="2">
        <v>0</v>
      </c>
      <c r="AA1830" s="2" t="s">
        <v>218</v>
      </c>
      <c r="AB1830" s="2" t="s">
        <v>12436</v>
      </c>
      <c r="AC1830" s="2">
        <v>0.52150147049792095</v>
      </c>
      <c r="AD1830" s="2"/>
      <c r="AE1830" s="2">
        <v>0.35486474454980799</v>
      </c>
      <c r="AF1830" s="2">
        <v>4206.0577684464097</v>
      </c>
      <c r="AG1830" s="2">
        <v>1428.678407654</v>
      </c>
      <c r="AH1830" s="5">
        <v>2.9440199739233699</v>
      </c>
      <c r="AI1830" s="5">
        <v>1.55778745950037</v>
      </c>
      <c r="AJ1830" s="5" t="s">
        <v>139</v>
      </c>
      <c r="AK1830" s="2">
        <v>9.4013508850334295E-3</v>
      </c>
      <c r="AL1830" s="2">
        <v>0.159259654379001</v>
      </c>
      <c r="AM1830" s="2">
        <v>4835.8000759384904</v>
      </c>
      <c r="AN1830" s="2">
        <v>7421.5155562291002</v>
      </c>
      <c r="AO1830" s="2">
        <v>2367.6763730717898</v>
      </c>
      <c r="AP1830" s="2">
        <v>2025.22365238666</v>
      </c>
      <c r="AQ1830" s="2">
        <v>4117.5903042336004</v>
      </c>
      <c r="AR1830" s="2">
        <v>4468.5406488188301</v>
      </c>
      <c r="AS1830" s="2">
        <v>2730.2125880276499</v>
      </c>
      <c r="AT1830" s="2">
        <v>652.91247665467904</v>
      </c>
      <c r="AU1830" s="2">
        <v>2011.25316681358</v>
      </c>
      <c r="AV1830" s="2">
        <v>581.77333603167801</v>
      </c>
      <c r="AW1830" s="2">
        <v>993.87039245485096</v>
      </c>
      <c r="AX1830" s="2">
        <v>1602.0484859415601</v>
      </c>
    </row>
    <row r="1831" spans="1:50" x14ac:dyDescent="0.25">
      <c r="A1831" s="2" t="s">
        <v>12437</v>
      </c>
      <c r="B1831" s="2">
        <v>297.24348088246097</v>
      </c>
      <c r="C1831" s="2">
        <v>11.6313666666667</v>
      </c>
      <c r="D1831" s="2" t="s">
        <v>51</v>
      </c>
      <c r="E1831" s="2" t="s">
        <v>12438</v>
      </c>
      <c r="F1831" s="2">
        <v>6147</v>
      </c>
      <c r="G1831" s="3" t="str">
        <f>HYPERLINK("https://cloud.oebiotech.com/#/lm/network/6147", "https://cloud.oebiotech.com/#/lm/network/6147")</f>
        <v>https://cloud.oebiotech.com/#/lm/network/6147</v>
      </c>
      <c r="H1831" s="2"/>
      <c r="I1831" s="2">
        <v>46121</v>
      </c>
      <c r="J1831" s="2" t="s">
        <v>12439</v>
      </c>
      <c r="K1831" s="2">
        <v>44256517</v>
      </c>
      <c r="L1831" s="2"/>
      <c r="M1831" s="2"/>
      <c r="N1831" s="2"/>
      <c r="O1831" s="2"/>
      <c r="P1831" s="2"/>
      <c r="Q1831" s="2"/>
      <c r="R1831" s="2"/>
      <c r="S1831" s="2" t="s">
        <v>12440</v>
      </c>
      <c r="T1831" s="2" t="s">
        <v>12441</v>
      </c>
      <c r="U1831" s="2" t="s">
        <v>56</v>
      </c>
      <c r="V1831" s="2" t="s">
        <v>145</v>
      </c>
      <c r="W1831" s="2" t="s">
        <v>146</v>
      </c>
      <c r="X1831" s="2" t="s">
        <v>83</v>
      </c>
      <c r="Y1831" s="2">
        <v>48.3</v>
      </c>
      <c r="Z1831" s="2">
        <v>0</v>
      </c>
      <c r="AA1831" s="2" t="s">
        <v>218</v>
      </c>
      <c r="AB1831" s="2" t="s">
        <v>8123</v>
      </c>
      <c r="AC1831" s="2">
        <v>-0.14919341177979301</v>
      </c>
      <c r="AD1831" s="2"/>
      <c r="AE1831" s="2">
        <v>0.35481572243547799</v>
      </c>
      <c r="AF1831" s="2">
        <v>37200.768085651798</v>
      </c>
      <c r="AG1831" s="2">
        <v>28101.518860583001</v>
      </c>
      <c r="AH1831" s="5">
        <v>1.3237991964139699</v>
      </c>
      <c r="AI1831" s="5">
        <v>0.40468430015990903</v>
      </c>
      <c r="AJ1831" s="5" t="s">
        <v>139</v>
      </c>
      <c r="AK1831" s="2">
        <v>0.37068245201273697</v>
      </c>
      <c r="AL1831" s="2">
        <v>0.65356084321416597</v>
      </c>
      <c r="AM1831" s="2">
        <v>30774.930070804901</v>
      </c>
      <c r="AN1831" s="2">
        <v>24601.893933050698</v>
      </c>
      <c r="AO1831" s="2">
        <v>25390.212140855001</v>
      </c>
      <c r="AP1831" s="2">
        <v>22497.624154884699</v>
      </c>
      <c r="AQ1831" s="2">
        <v>81162.100889328896</v>
      </c>
      <c r="AR1831" s="2">
        <v>38777.8473249866</v>
      </c>
      <c r="AS1831" s="2">
        <v>22013.4901412416</v>
      </c>
      <c r="AT1831" s="2">
        <v>21777.880671211798</v>
      </c>
      <c r="AU1831" s="2">
        <v>43885.530975898197</v>
      </c>
      <c r="AV1831" s="2">
        <v>27721.495693451401</v>
      </c>
      <c r="AW1831" s="2">
        <v>28286.263058548499</v>
      </c>
      <c r="AX1831" s="2">
        <v>24924.452623146499</v>
      </c>
    </row>
    <row r="1832" spans="1:50" x14ac:dyDescent="0.25">
      <c r="A1832" s="2" t="s">
        <v>12442</v>
      </c>
      <c r="B1832" s="2">
        <v>220.11770669290499</v>
      </c>
      <c r="C1832" s="2">
        <v>9.6451499999999992</v>
      </c>
      <c r="D1832" s="2" t="s">
        <v>51</v>
      </c>
      <c r="E1832" s="2" t="s">
        <v>12443</v>
      </c>
      <c r="F1832" s="2">
        <v>57354</v>
      </c>
      <c r="G1832" s="3" t="str">
        <f>HYPERLINK("https://cloud.oebiotech.com/#/lm/network/57354", "https://cloud.oebiotech.com/#/lm/network/57354")</f>
        <v>https://cloud.oebiotech.com/#/lm/network/57354</v>
      </c>
      <c r="H1832" s="2" t="s">
        <v>12444</v>
      </c>
      <c r="I1832" s="2">
        <v>88984</v>
      </c>
      <c r="J1832" s="2"/>
      <c r="K1832" s="2">
        <v>101414422</v>
      </c>
      <c r="L1832" s="2"/>
      <c r="M1832" s="2"/>
      <c r="N1832" s="2"/>
      <c r="O1832" s="2">
        <v>165379</v>
      </c>
      <c r="P1832" s="2"/>
      <c r="Q1832" s="2"/>
      <c r="R1832" s="2"/>
      <c r="S1832" s="2" t="s">
        <v>12445</v>
      </c>
      <c r="T1832" s="2" t="s">
        <v>12446</v>
      </c>
      <c r="U1832" s="2" t="s">
        <v>56</v>
      </c>
      <c r="V1832" s="2" t="s">
        <v>145</v>
      </c>
      <c r="W1832" s="2" t="s">
        <v>231</v>
      </c>
      <c r="X1832" s="2" t="s">
        <v>147</v>
      </c>
      <c r="Y1832" s="2">
        <v>39.700000000000003</v>
      </c>
      <c r="Z1832" s="2">
        <v>3.49</v>
      </c>
      <c r="AA1832" s="2" t="s">
        <v>512</v>
      </c>
      <c r="AB1832" s="2" t="s">
        <v>12447</v>
      </c>
      <c r="AC1832" s="2">
        <v>-1.19942067120436</v>
      </c>
      <c r="AD1832" s="2"/>
      <c r="AE1832" s="2">
        <v>0.35459018574054302</v>
      </c>
      <c r="AF1832" s="2">
        <v>10239.9819368629</v>
      </c>
      <c r="AG1832" s="2">
        <v>7375.2996249560802</v>
      </c>
      <c r="AH1832" s="5">
        <v>1.3884157197103499</v>
      </c>
      <c r="AI1832" s="5">
        <v>0.47343960463513202</v>
      </c>
      <c r="AJ1832" s="5" t="s">
        <v>139</v>
      </c>
      <c r="AK1832" s="2">
        <v>1.9912328536935898E-2</v>
      </c>
      <c r="AL1832" s="2">
        <v>0.22079212211810401</v>
      </c>
      <c r="AM1832" s="2">
        <v>10717.6030137916</v>
      </c>
      <c r="AN1832" s="2">
        <v>11439.257859888799</v>
      </c>
      <c r="AO1832" s="2">
        <v>10750.1458974981</v>
      </c>
      <c r="AP1832" s="2">
        <v>11534.9780248808</v>
      </c>
      <c r="AQ1832" s="2">
        <v>8011.5222680956604</v>
      </c>
      <c r="AR1832" s="2">
        <v>8986.3845570222493</v>
      </c>
      <c r="AS1832" s="2">
        <v>9420.3553099040892</v>
      </c>
      <c r="AT1832" s="2">
        <v>8466.7535319691906</v>
      </c>
      <c r="AU1832" s="2">
        <v>9210.7549912968097</v>
      </c>
      <c r="AV1832" s="2">
        <v>4213.78903948689</v>
      </c>
      <c r="AW1832" s="2">
        <v>5560.8182298625497</v>
      </c>
      <c r="AX1832" s="2">
        <v>7379.3266472169598</v>
      </c>
    </row>
    <row r="1833" spans="1:50" x14ac:dyDescent="0.25">
      <c r="A1833" s="2" t="s">
        <v>12448</v>
      </c>
      <c r="B1833" s="2">
        <v>204.095</v>
      </c>
      <c r="C1833" s="2">
        <v>23.376999999999999</v>
      </c>
      <c r="D1833" s="2" t="s">
        <v>125</v>
      </c>
      <c r="E1833" s="2" t="s">
        <v>12449</v>
      </c>
      <c r="F1833" s="2">
        <v>273627</v>
      </c>
      <c r="G1833" s="3" t="str">
        <f>HYPERLINK("https://cloud.oebiotech.com/#/lm/network/273627", "https://cloud.oebiotech.com/#/lm/network/273627")</f>
        <v>https://cloud.oebiotech.com/#/lm/network/273627</v>
      </c>
      <c r="H1833" s="2" t="s">
        <v>12450</v>
      </c>
      <c r="I1833" s="2">
        <v>62398</v>
      </c>
      <c r="J1833" s="2"/>
      <c r="K1833" s="2">
        <v>45480545</v>
      </c>
      <c r="L1833" s="2" t="s">
        <v>12451</v>
      </c>
      <c r="M1833" s="2"/>
      <c r="N1833" s="2"/>
      <c r="O1833" s="2"/>
      <c r="P1833" s="2"/>
      <c r="Q1833" s="2"/>
      <c r="R1833" s="2"/>
      <c r="S1833" s="2" t="s">
        <v>12452</v>
      </c>
      <c r="T1833" s="2" t="s">
        <v>12453</v>
      </c>
      <c r="U1833" s="2" t="s">
        <v>56</v>
      </c>
      <c r="V1833" s="2" t="s">
        <v>57</v>
      </c>
      <c r="W1833" s="2" t="s">
        <v>1097</v>
      </c>
      <c r="X1833" s="2" t="s">
        <v>59</v>
      </c>
      <c r="Y1833" s="2">
        <v>74.099999999999994</v>
      </c>
      <c r="Z1833" s="2">
        <v>57</v>
      </c>
      <c r="AA1833" s="2"/>
      <c r="AB1833" s="2" t="s">
        <v>12454</v>
      </c>
      <c r="AC1833" s="2"/>
      <c r="AD1833" s="2">
        <v>822545.51369863003</v>
      </c>
      <c r="AE1833" s="2">
        <v>0.35434161072937598</v>
      </c>
      <c r="AF1833" s="2">
        <v>86821.643479859296</v>
      </c>
      <c r="AG1833" s="2">
        <v>15215.5918936298</v>
      </c>
      <c r="AH1833" s="5">
        <v>5.7060970146161996</v>
      </c>
      <c r="AI1833" s="5">
        <v>2.51250427571666</v>
      </c>
      <c r="AJ1833" s="5" t="s">
        <v>139</v>
      </c>
      <c r="AK1833" s="2">
        <v>0.41367669372601001</v>
      </c>
      <c r="AL1833" s="2">
        <v>0.67695529702038104</v>
      </c>
      <c r="AM1833" s="2">
        <v>2299.8352172700202</v>
      </c>
      <c r="AN1833" s="2">
        <v>2299.8352172700202</v>
      </c>
      <c r="AO1833" s="2">
        <v>2299.8352172700202</v>
      </c>
      <c r="AP1833" s="2">
        <v>2299.8352172700202</v>
      </c>
      <c r="AQ1833" s="2">
        <v>505854.34091122297</v>
      </c>
      <c r="AR1833" s="2">
        <v>5876.1790988524399</v>
      </c>
      <c r="AS1833" s="2">
        <v>17902.417062017899</v>
      </c>
      <c r="AT1833" s="2">
        <v>13619.7129640084</v>
      </c>
      <c r="AU1833" s="2">
        <v>7997.0065990849898</v>
      </c>
      <c r="AV1833" s="2">
        <v>8005.1907824013197</v>
      </c>
      <c r="AW1833" s="2">
        <v>5463.5531655642699</v>
      </c>
      <c r="AX1833" s="2">
        <v>38305.670788701696</v>
      </c>
    </row>
    <row r="1834" spans="1:50" x14ac:dyDescent="0.25">
      <c r="A1834" s="2" t="s">
        <v>12455</v>
      </c>
      <c r="B1834" s="2">
        <v>415.11427463531402</v>
      </c>
      <c r="C1834" s="2">
        <v>6.9113499999999997</v>
      </c>
      <c r="D1834" s="2" t="s">
        <v>51</v>
      </c>
      <c r="E1834" s="2" t="s">
        <v>12456</v>
      </c>
      <c r="F1834" s="2">
        <v>206334</v>
      </c>
      <c r="G1834" s="3" t="str">
        <f>HYPERLINK("https://cloud.oebiotech.com/#/lm/network/206334", "https://cloud.oebiotech.com/#/lm/network/206334")</f>
        <v>https://cloud.oebiotech.com/#/lm/network/206334</v>
      </c>
      <c r="H1834" s="2" t="s">
        <v>12457</v>
      </c>
      <c r="I1834" s="2"/>
      <c r="J1834" s="2"/>
      <c r="K1834" s="2">
        <v>71183216</v>
      </c>
      <c r="L1834" s="2"/>
      <c r="M1834" s="2"/>
      <c r="N1834" s="2"/>
      <c r="O1834" s="2"/>
      <c r="P1834" s="2"/>
      <c r="Q1834" s="2"/>
      <c r="R1834" s="2"/>
      <c r="S1834" s="2" t="s">
        <v>12458</v>
      </c>
      <c r="T1834" s="2" t="s">
        <v>12459</v>
      </c>
      <c r="U1834" s="2" t="s">
        <v>266</v>
      </c>
      <c r="V1834" s="2" t="s">
        <v>12460</v>
      </c>
      <c r="W1834" s="2" t="s">
        <v>240</v>
      </c>
      <c r="X1834" s="2" t="s">
        <v>147</v>
      </c>
      <c r="Y1834" s="2">
        <v>38.799999999999997</v>
      </c>
      <c r="Z1834" s="2">
        <v>0</v>
      </c>
      <c r="AA1834" s="2" t="s">
        <v>122</v>
      </c>
      <c r="AB1834" s="2" t="s">
        <v>12461</v>
      </c>
      <c r="AC1834" s="2">
        <v>-0.24453714824344899</v>
      </c>
      <c r="AD1834" s="2"/>
      <c r="AE1834" s="2">
        <v>0.35424416620849303</v>
      </c>
      <c r="AF1834" s="2">
        <v>4719.1340859022303</v>
      </c>
      <c r="AG1834" s="2">
        <v>8870.29502390985</v>
      </c>
      <c r="AH1834" s="4">
        <v>0.53201545982200305</v>
      </c>
      <c r="AI1834" s="4">
        <v>-0.91045992531790598</v>
      </c>
      <c r="AJ1834" s="4" t="s">
        <v>62</v>
      </c>
      <c r="AK1834" s="2">
        <v>7.9257399835954201E-2</v>
      </c>
      <c r="AL1834" s="2">
        <v>0.36520736260394099</v>
      </c>
      <c r="AM1834" s="2">
        <v>4246.4229257115503</v>
      </c>
      <c r="AN1834" s="2">
        <v>3156.9116940969102</v>
      </c>
      <c r="AO1834" s="2">
        <v>7386.4018830552604</v>
      </c>
      <c r="AP1834" s="2">
        <v>347.81389542095201</v>
      </c>
      <c r="AQ1834" s="2">
        <v>4596.0139503033097</v>
      </c>
      <c r="AR1834" s="2">
        <v>8581.2401668254006</v>
      </c>
      <c r="AS1834" s="2">
        <v>7488.72186054957</v>
      </c>
      <c r="AT1834" s="2">
        <v>6656.6198777949203</v>
      </c>
      <c r="AU1834" s="2">
        <v>9675.7734257286593</v>
      </c>
      <c r="AV1834" s="2">
        <v>13694.507127455599</v>
      </c>
      <c r="AW1834" s="2">
        <v>13276.074624860799</v>
      </c>
      <c r="AX1834" s="2">
        <v>2430.0732270695698</v>
      </c>
    </row>
    <row r="1835" spans="1:50" x14ac:dyDescent="0.25">
      <c r="A1835" s="2" t="s">
        <v>12462</v>
      </c>
      <c r="B1835" s="2">
        <v>174.03995854502</v>
      </c>
      <c r="C1835" s="2">
        <v>0.74113333333333298</v>
      </c>
      <c r="D1835" s="2" t="s">
        <v>51</v>
      </c>
      <c r="E1835" s="2" t="s">
        <v>12463</v>
      </c>
      <c r="F1835" s="2">
        <v>210776</v>
      </c>
      <c r="G1835" s="3" t="str">
        <f>HYPERLINK("https://cloud.oebiotech.com/#/lm/network/210776", "https://cloud.oebiotech.com/#/lm/network/210776")</f>
        <v>https://cloud.oebiotech.com/#/lm/network/210776</v>
      </c>
      <c r="H1835" s="2" t="s">
        <v>12464</v>
      </c>
      <c r="I1835" s="2"/>
      <c r="J1835" s="2"/>
      <c r="K1835" s="2"/>
      <c r="L1835" s="2"/>
      <c r="M1835" s="2"/>
      <c r="N1835" s="2"/>
      <c r="O1835" s="2"/>
      <c r="P1835" s="2"/>
      <c r="Q1835" s="2"/>
      <c r="R1835" s="2"/>
      <c r="S1835" s="2" t="s">
        <v>12465</v>
      </c>
      <c r="T1835" s="2" t="s">
        <v>12466</v>
      </c>
      <c r="U1835" s="2" t="s">
        <v>266</v>
      </c>
      <c r="V1835" s="2" t="s">
        <v>2432</v>
      </c>
      <c r="W1835" s="2" t="s">
        <v>10026</v>
      </c>
      <c r="X1835" s="2" t="s">
        <v>83</v>
      </c>
      <c r="Y1835" s="2">
        <v>52.4</v>
      </c>
      <c r="Z1835" s="2">
        <v>0</v>
      </c>
      <c r="AA1835" s="2" t="s">
        <v>218</v>
      </c>
      <c r="AB1835" s="2" t="s">
        <v>3147</v>
      </c>
      <c r="AC1835" s="2">
        <v>-6.4894305820885299</v>
      </c>
      <c r="AD1835" s="2"/>
      <c r="AE1835" s="2">
        <v>0.35405841294774199</v>
      </c>
      <c r="AF1835" s="2">
        <v>40460.899460028399</v>
      </c>
      <c r="AG1835" s="2">
        <v>20757.532222165501</v>
      </c>
      <c r="AH1835" s="5">
        <v>1.94921530300327</v>
      </c>
      <c r="AI1835" s="5">
        <v>0.962893454074355</v>
      </c>
      <c r="AJ1835" s="5" t="s">
        <v>139</v>
      </c>
      <c r="AK1835" s="2">
        <v>0.474267274987899</v>
      </c>
      <c r="AL1835" s="2">
        <v>0.72071969931123103</v>
      </c>
      <c r="AM1835" s="2">
        <v>9188.3014110290496</v>
      </c>
      <c r="AN1835" s="2">
        <v>10541.7574216958</v>
      </c>
      <c r="AO1835" s="2">
        <v>7592.3167118956098</v>
      </c>
      <c r="AP1835" s="2">
        <v>6419.9363628110896</v>
      </c>
      <c r="AQ1835" s="2">
        <v>152656.84573045999</v>
      </c>
      <c r="AR1835" s="2">
        <v>56366.239122278603</v>
      </c>
      <c r="AS1835" s="2">
        <v>4979.6402497344197</v>
      </c>
      <c r="AT1835" s="2">
        <v>9351.2595319116699</v>
      </c>
      <c r="AU1835" s="2">
        <v>14756.0935459669</v>
      </c>
      <c r="AV1835" s="2">
        <v>78728.732026753598</v>
      </c>
      <c r="AW1835" s="2">
        <v>4426.9109006386198</v>
      </c>
      <c r="AX1835" s="2">
        <v>12302.5570779877</v>
      </c>
    </row>
    <row r="1836" spans="1:50" x14ac:dyDescent="0.25">
      <c r="A1836" s="2" t="s">
        <v>12467</v>
      </c>
      <c r="B1836" s="2">
        <v>358.964075096773</v>
      </c>
      <c r="C1836" s="2">
        <v>5.5510999999999999</v>
      </c>
      <c r="D1836" s="2" t="s">
        <v>51</v>
      </c>
      <c r="E1836" s="2" t="s">
        <v>12468</v>
      </c>
      <c r="F1836" s="2">
        <v>256166</v>
      </c>
      <c r="G1836" s="3" t="str">
        <f>HYPERLINK("https://cloud.oebiotech.com/#/lm/network/256166", "https://cloud.oebiotech.com/#/lm/network/256166")</f>
        <v>https://cloud.oebiotech.com/#/lm/network/256166</v>
      </c>
      <c r="H1836" s="2" t="s">
        <v>12469</v>
      </c>
      <c r="I1836" s="2">
        <v>337830</v>
      </c>
      <c r="J1836" s="2"/>
      <c r="K1836" s="2">
        <v>517327</v>
      </c>
      <c r="L1836" s="2"/>
      <c r="M1836" s="2"/>
      <c r="N1836" s="2"/>
      <c r="O1836" s="2"/>
      <c r="P1836" s="2"/>
      <c r="Q1836" s="2"/>
      <c r="R1836" s="2"/>
      <c r="S1836" s="2" t="s">
        <v>12470</v>
      </c>
      <c r="T1836" s="2" t="s">
        <v>12471</v>
      </c>
      <c r="U1836" s="2" t="s">
        <v>610</v>
      </c>
      <c r="V1836" s="2" t="s">
        <v>611</v>
      </c>
      <c r="W1836" s="2" t="s">
        <v>2935</v>
      </c>
      <c r="X1836" s="2" t="s">
        <v>147</v>
      </c>
      <c r="Y1836" s="2">
        <v>37.6</v>
      </c>
      <c r="Z1836" s="2">
        <v>0</v>
      </c>
      <c r="AA1836" s="2" t="s">
        <v>478</v>
      </c>
      <c r="AB1836" s="2" t="s">
        <v>12472</v>
      </c>
      <c r="AC1836" s="2">
        <v>-0.18632336746052999</v>
      </c>
      <c r="AD1836" s="2"/>
      <c r="AE1836" s="2">
        <v>0.35396483949186303</v>
      </c>
      <c r="AF1836" s="2">
        <v>12136.718556771901</v>
      </c>
      <c r="AG1836" s="2">
        <v>4044.6049504304301</v>
      </c>
      <c r="AH1836" s="5">
        <v>3.00071792066622</v>
      </c>
      <c r="AI1836" s="5">
        <v>1.5853077062794101</v>
      </c>
      <c r="AJ1836" s="5" t="s">
        <v>139</v>
      </c>
      <c r="AK1836" s="2">
        <v>0.25205704028202902</v>
      </c>
      <c r="AL1836" s="2">
        <v>0.57556669402472804</v>
      </c>
      <c r="AM1836" s="2">
        <v>4345.5698444420996</v>
      </c>
      <c r="AN1836" s="2">
        <v>15106.19241768</v>
      </c>
      <c r="AO1836" s="2">
        <v>1267.2693795315399</v>
      </c>
      <c r="AP1836" s="2">
        <v>38014.613701953996</v>
      </c>
      <c r="AQ1836" s="2">
        <v>827.045427205642</v>
      </c>
      <c r="AR1836" s="2">
        <v>13259.6205698183</v>
      </c>
      <c r="AS1836" s="2">
        <v>1090.7676285642401</v>
      </c>
      <c r="AT1836" s="2">
        <v>20932.125920228598</v>
      </c>
      <c r="AU1836" s="2">
        <v>104.766759420499</v>
      </c>
      <c r="AV1836" s="2">
        <v>601.42297091121998</v>
      </c>
      <c r="AW1836" s="2">
        <v>463.509557166646</v>
      </c>
      <c r="AX1836" s="2">
        <v>1075.0368662914</v>
      </c>
    </row>
    <row r="1837" spans="1:50" x14ac:dyDescent="0.25">
      <c r="A1837" s="2" t="s">
        <v>12473</v>
      </c>
      <c r="B1837" s="2">
        <v>515.21122805630398</v>
      </c>
      <c r="C1837" s="2">
        <v>0.76721666666666699</v>
      </c>
      <c r="D1837" s="2" t="s">
        <v>51</v>
      </c>
      <c r="E1837" s="2" t="s">
        <v>12474</v>
      </c>
      <c r="F1837" s="2">
        <v>213163</v>
      </c>
      <c r="G1837" s="3" t="str">
        <f>HYPERLINK("https://cloud.oebiotech.com/#/lm/network/213163", "https://cloud.oebiotech.com/#/lm/network/213163")</f>
        <v>https://cloud.oebiotech.com/#/lm/network/213163</v>
      </c>
      <c r="H1837" s="2" t="s">
        <v>12475</v>
      </c>
      <c r="I1837" s="2"/>
      <c r="J1837" s="2"/>
      <c r="K1837" s="2"/>
      <c r="L1837" s="2"/>
      <c r="M1837" s="2"/>
      <c r="N1837" s="2"/>
      <c r="O1837" s="2"/>
      <c r="P1837" s="2"/>
      <c r="Q1837" s="2"/>
      <c r="R1837" s="2"/>
      <c r="S1837" s="2" t="s">
        <v>12476</v>
      </c>
      <c r="T1837" s="2" t="s">
        <v>12477</v>
      </c>
      <c r="U1837" s="2" t="s">
        <v>103</v>
      </c>
      <c r="V1837" s="2" t="s">
        <v>104</v>
      </c>
      <c r="W1837" s="2" t="s">
        <v>105</v>
      </c>
      <c r="X1837" s="2" t="s">
        <v>147</v>
      </c>
      <c r="Y1837" s="2">
        <v>36.5</v>
      </c>
      <c r="Z1837" s="2">
        <v>0</v>
      </c>
      <c r="AA1837" s="2" t="s">
        <v>95</v>
      </c>
      <c r="AB1837" s="2" t="s">
        <v>12478</v>
      </c>
      <c r="AC1837" s="2">
        <v>-1.3460626108359601E-2</v>
      </c>
      <c r="AD1837" s="2"/>
      <c r="AE1837" s="2">
        <v>0.35388306703981598</v>
      </c>
      <c r="AF1837" s="2">
        <v>537.43228228639998</v>
      </c>
      <c r="AG1837" s="2">
        <v>4706.4830724512803</v>
      </c>
      <c r="AH1837" s="4">
        <v>0.11418978332933601</v>
      </c>
      <c r="AI1837" s="4">
        <v>-3.13049451773706</v>
      </c>
      <c r="AJ1837" s="4" t="s">
        <v>62</v>
      </c>
      <c r="AK1837" s="2">
        <v>0.14139295334965199</v>
      </c>
      <c r="AL1837" s="2">
        <v>0.46258693011135898</v>
      </c>
      <c r="AM1837" s="2">
        <v>8.559877937157E-6</v>
      </c>
      <c r="AN1837" s="2">
        <v>8.559877937157E-6</v>
      </c>
      <c r="AO1837" s="2">
        <v>8.559877937157E-6</v>
      </c>
      <c r="AP1837" s="2">
        <v>8.559877937157E-6</v>
      </c>
      <c r="AQ1837" s="2">
        <v>2531.5320663659299</v>
      </c>
      <c r="AR1837" s="2">
        <v>693.06159311296005</v>
      </c>
      <c r="AS1837" s="2">
        <v>1125.9276810512699</v>
      </c>
      <c r="AT1837" s="2">
        <v>668.57520988255601</v>
      </c>
      <c r="AU1837" s="2">
        <v>2103.7838324423401</v>
      </c>
      <c r="AV1837" s="2">
        <v>5172.9989529959203</v>
      </c>
      <c r="AW1837" s="2">
        <v>1979.53797638589</v>
      </c>
      <c r="AX1837" s="2">
        <v>17188.074781949701</v>
      </c>
    </row>
    <row r="1838" spans="1:50" x14ac:dyDescent="0.25">
      <c r="A1838" s="2" t="s">
        <v>12479</v>
      </c>
      <c r="B1838" s="2">
        <v>476.27909674029399</v>
      </c>
      <c r="C1838" s="2">
        <v>9.7874166666666707</v>
      </c>
      <c r="D1838" s="2" t="s">
        <v>51</v>
      </c>
      <c r="E1838" s="2" t="s">
        <v>12480</v>
      </c>
      <c r="F1838" s="2">
        <v>21203</v>
      </c>
      <c r="G1838" s="3" t="str">
        <f>HYPERLINK("https://cloud.oebiotech.com/#/lm/network/21203", "https://cloud.oebiotech.com/#/lm/network/21203")</f>
        <v>https://cloud.oebiotech.com/#/lm/network/21203</v>
      </c>
      <c r="H1838" s="2" t="s">
        <v>12481</v>
      </c>
      <c r="I1838" s="2">
        <v>62266</v>
      </c>
      <c r="J1838" s="2" t="s">
        <v>12482</v>
      </c>
      <c r="K1838" s="2">
        <v>53480927</v>
      </c>
      <c r="L1838" s="2"/>
      <c r="M1838" s="2"/>
      <c r="N1838" s="2"/>
      <c r="O1838" s="2"/>
      <c r="P1838" s="2"/>
      <c r="Q1838" s="2"/>
      <c r="R1838" s="2"/>
      <c r="S1838" s="2" t="s">
        <v>12483</v>
      </c>
      <c r="T1838" s="2" t="s">
        <v>12484</v>
      </c>
      <c r="U1838" s="2" t="s">
        <v>56</v>
      </c>
      <c r="V1838" s="2" t="s">
        <v>57</v>
      </c>
      <c r="W1838" s="2" t="s">
        <v>155</v>
      </c>
      <c r="X1838" s="2" t="s">
        <v>69</v>
      </c>
      <c r="Y1838" s="2">
        <v>62.9</v>
      </c>
      <c r="Z1838" s="2">
        <v>89.7</v>
      </c>
      <c r="AA1838" s="2" t="s">
        <v>259</v>
      </c>
      <c r="AB1838" s="2" t="s">
        <v>12485</v>
      </c>
      <c r="AC1838" s="2">
        <v>4.0629328253597796</v>
      </c>
      <c r="AD1838" s="2"/>
      <c r="AE1838" s="2">
        <v>0.353708545716173</v>
      </c>
      <c r="AF1838" s="2">
        <v>9562.4928367130597</v>
      </c>
      <c r="AG1838" s="2">
        <v>13128.859637182501</v>
      </c>
      <c r="AH1838" s="4">
        <v>0.72835669669519199</v>
      </c>
      <c r="AI1838" s="4">
        <v>-0.457282943193417</v>
      </c>
      <c r="AJ1838" s="4" t="s">
        <v>62</v>
      </c>
      <c r="AK1838" s="2">
        <v>0.170912061015873</v>
      </c>
      <c r="AL1838" s="2">
        <v>0.49169783309187098</v>
      </c>
      <c r="AM1838" s="2">
        <v>6092.9139993199697</v>
      </c>
      <c r="AN1838" s="2">
        <v>15556.652922048799</v>
      </c>
      <c r="AO1838" s="2">
        <v>10249.1724692113</v>
      </c>
      <c r="AP1838" s="2">
        <v>12040.7461611284</v>
      </c>
      <c r="AQ1838" s="2">
        <v>6197.6423321124303</v>
      </c>
      <c r="AR1838" s="2">
        <v>7237.8291364574598</v>
      </c>
      <c r="AS1838" s="2">
        <v>19239.472847332599</v>
      </c>
      <c r="AT1838" s="2">
        <v>6259.9558752050398</v>
      </c>
      <c r="AU1838" s="2">
        <v>10360.685374558299</v>
      </c>
      <c r="AV1838" s="2">
        <v>14182.228187348501</v>
      </c>
      <c r="AW1838" s="2">
        <v>16321.9468661591</v>
      </c>
      <c r="AX1838" s="2">
        <v>12408.8686724913</v>
      </c>
    </row>
    <row r="1839" spans="1:50" x14ac:dyDescent="0.25">
      <c r="A1839" s="2" t="s">
        <v>12486</v>
      </c>
      <c r="B1839" s="2">
        <v>466.33072746616801</v>
      </c>
      <c r="C1839" s="2">
        <v>11.431950000000001</v>
      </c>
      <c r="D1839" s="2" t="s">
        <v>51</v>
      </c>
      <c r="E1839" s="2" t="s">
        <v>12487</v>
      </c>
      <c r="F1839" s="2">
        <v>21271</v>
      </c>
      <c r="G1839" s="3" t="str">
        <f>HYPERLINK("https://cloud.oebiotech.com/#/lm/network/21271", "https://cloud.oebiotech.com/#/lm/network/21271")</f>
        <v>https://cloud.oebiotech.com/#/lm/network/21271</v>
      </c>
      <c r="H1839" s="2" t="s">
        <v>12488</v>
      </c>
      <c r="I1839" s="2">
        <v>46720</v>
      </c>
      <c r="J1839" s="2" t="s">
        <v>12489</v>
      </c>
      <c r="K1839" s="2">
        <v>42607470</v>
      </c>
      <c r="L1839" s="2"/>
      <c r="M1839" s="2"/>
      <c r="N1839" s="2"/>
      <c r="O1839" s="2">
        <v>87823</v>
      </c>
      <c r="P1839" s="2"/>
      <c r="Q1839" s="2"/>
      <c r="R1839" s="2" t="s">
        <v>12490</v>
      </c>
      <c r="S1839" s="2" t="s">
        <v>12491</v>
      </c>
      <c r="T1839" s="2" t="s">
        <v>12492</v>
      </c>
      <c r="U1839" s="2" t="s">
        <v>56</v>
      </c>
      <c r="V1839" s="2" t="s">
        <v>57</v>
      </c>
      <c r="W1839" s="2" t="s">
        <v>155</v>
      </c>
      <c r="X1839" s="2" t="s">
        <v>83</v>
      </c>
      <c r="Y1839" s="2">
        <v>44.7</v>
      </c>
      <c r="Z1839" s="2">
        <v>0</v>
      </c>
      <c r="AA1839" s="2" t="s">
        <v>259</v>
      </c>
      <c r="AB1839" s="2" t="s">
        <v>7068</v>
      </c>
      <c r="AC1839" s="2">
        <v>3.2797565855183199</v>
      </c>
      <c r="AD1839" s="2"/>
      <c r="AE1839" s="2">
        <v>0.35325119007524602</v>
      </c>
      <c r="AF1839" s="2">
        <v>3294.1285031757502</v>
      </c>
      <c r="AG1839" s="2">
        <v>88.344073787491396</v>
      </c>
      <c r="AH1839" s="5">
        <v>37.287487003368902</v>
      </c>
      <c r="AI1839" s="5">
        <v>5.2206196645935803</v>
      </c>
      <c r="AJ1839" s="5" t="s">
        <v>139</v>
      </c>
      <c r="AK1839" s="2">
        <v>0.22606927532893101</v>
      </c>
      <c r="AL1839" s="2">
        <v>0.55268103475036801</v>
      </c>
      <c r="AM1839" s="2">
        <v>15502.9375367748</v>
      </c>
      <c r="AN1839" s="2">
        <v>2985.6749302953899</v>
      </c>
      <c r="AO1839" s="2">
        <v>8.559877937157E-6</v>
      </c>
      <c r="AP1839" s="2">
        <v>458.66679940546499</v>
      </c>
      <c r="AQ1839" s="2">
        <v>8.559877937157E-6</v>
      </c>
      <c r="AR1839" s="2">
        <v>817.49173545909605</v>
      </c>
      <c r="AS1839" s="2">
        <v>8.559877937157E-6</v>
      </c>
      <c r="AT1839" s="2">
        <v>8.559877937157E-6</v>
      </c>
      <c r="AU1839" s="2">
        <v>530.06439992555897</v>
      </c>
      <c r="AV1839" s="2">
        <v>8.559877937157E-6</v>
      </c>
      <c r="AW1839" s="2">
        <v>8.559877937157E-6</v>
      </c>
      <c r="AX1839" s="2">
        <v>8.559877937157E-6</v>
      </c>
    </row>
    <row r="1840" spans="1:50" x14ac:dyDescent="0.25">
      <c r="A1840" s="2" t="s">
        <v>12493</v>
      </c>
      <c r="B1840" s="2">
        <v>263.16518157624898</v>
      </c>
      <c r="C1840" s="2">
        <v>9.8903166666666706</v>
      </c>
      <c r="D1840" s="2" t="s">
        <v>51</v>
      </c>
      <c r="E1840" s="2" t="s">
        <v>12494</v>
      </c>
      <c r="F1840" s="2">
        <v>56539</v>
      </c>
      <c r="G1840" s="3" t="str">
        <f>HYPERLINK("https://cloud.oebiotech.com/#/lm/network/56539", "https://cloud.oebiotech.com/#/lm/network/56539")</f>
        <v>https://cloud.oebiotech.com/#/lm/network/56539</v>
      </c>
      <c r="H1840" s="2" t="s">
        <v>12495</v>
      </c>
      <c r="I1840" s="2">
        <v>88174</v>
      </c>
      <c r="J1840" s="2"/>
      <c r="K1840" s="2">
        <v>131751254</v>
      </c>
      <c r="L1840" s="2"/>
      <c r="M1840" s="2"/>
      <c r="N1840" s="2"/>
      <c r="O1840" s="2">
        <v>138775</v>
      </c>
      <c r="P1840" s="2"/>
      <c r="Q1840" s="2"/>
      <c r="R1840" s="2" t="s">
        <v>12496</v>
      </c>
      <c r="S1840" s="2" t="s">
        <v>12497</v>
      </c>
      <c r="T1840" s="2" t="s">
        <v>12498</v>
      </c>
      <c r="U1840" s="2" t="s">
        <v>56</v>
      </c>
      <c r="V1840" s="2" t="s">
        <v>145</v>
      </c>
      <c r="W1840" s="2" t="s">
        <v>187</v>
      </c>
      <c r="X1840" s="2" t="s">
        <v>83</v>
      </c>
      <c r="Y1840" s="2">
        <v>56.2</v>
      </c>
      <c r="Z1840" s="2">
        <v>10.9</v>
      </c>
      <c r="AA1840" s="2" t="s">
        <v>163</v>
      </c>
      <c r="AB1840" s="2" t="s">
        <v>10507</v>
      </c>
      <c r="AC1840" s="2">
        <v>-0.32789217835347401</v>
      </c>
      <c r="AD1840" s="2"/>
      <c r="AE1840" s="2">
        <v>0.35315535990323399</v>
      </c>
      <c r="AF1840" s="2">
        <v>3052.19721315794</v>
      </c>
      <c r="AG1840" s="2">
        <v>5258.1840104899102</v>
      </c>
      <c r="AH1840" s="4">
        <v>0.58046603296288202</v>
      </c>
      <c r="AI1840" s="4">
        <v>-0.78471644727930701</v>
      </c>
      <c r="AJ1840" s="4" t="s">
        <v>62</v>
      </c>
      <c r="AK1840" s="2">
        <v>3.7867743576165099E-6</v>
      </c>
      <c r="AL1840" s="2">
        <v>1.5488881376670999E-2</v>
      </c>
      <c r="AM1840" s="2">
        <v>2796.2535768307198</v>
      </c>
      <c r="AN1840" s="2">
        <v>2618.1495908877</v>
      </c>
      <c r="AO1840" s="2">
        <v>2777.42419196631</v>
      </c>
      <c r="AP1840" s="2">
        <v>3221.5691954877898</v>
      </c>
      <c r="AQ1840" s="2">
        <v>3406.8166521445301</v>
      </c>
      <c r="AR1840" s="2">
        <v>3492.9700716305701</v>
      </c>
      <c r="AS1840" s="2">
        <v>4620.6210546081502</v>
      </c>
      <c r="AT1840" s="2">
        <v>4945.8319161403797</v>
      </c>
      <c r="AU1840" s="2">
        <v>5154.4321566034496</v>
      </c>
      <c r="AV1840" s="2">
        <v>5787.0535474930402</v>
      </c>
      <c r="AW1840" s="2">
        <v>5240.5571317574604</v>
      </c>
      <c r="AX1840" s="2">
        <v>5800.6082563370001</v>
      </c>
    </row>
    <row r="1841" spans="1:50" x14ac:dyDescent="0.25">
      <c r="A1841" s="2" t="s">
        <v>12499</v>
      </c>
      <c r="B1841" s="2">
        <v>327.10198508092498</v>
      </c>
      <c r="C1841" s="2">
        <v>0.74113333333333298</v>
      </c>
      <c r="D1841" s="2" t="s">
        <v>51</v>
      </c>
      <c r="E1841" s="2" t="s">
        <v>12500</v>
      </c>
      <c r="F1841" s="2">
        <v>58682</v>
      </c>
      <c r="G1841" s="3" t="str">
        <f>HYPERLINK("https://cloud.oebiotech.com/#/lm/network/58682", "https://cloud.oebiotech.com/#/lm/network/58682")</f>
        <v>https://cloud.oebiotech.com/#/lm/network/58682</v>
      </c>
      <c r="H1841" s="2" t="s">
        <v>12501</v>
      </c>
      <c r="I1841" s="2">
        <v>90142</v>
      </c>
      <c r="J1841" s="2"/>
      <c r="K1841" s="2">
        <v>85846878</v>
      </c>
      <c r="L1841" s="2"/>
      <c r="M1841" s="2"/>
      <c r="N1841" s="2"/>
      <c r="O1841" s="2">
        <v>175367</v>
      </c>
      <c r="P1841" s="2"/>
      <c r="Q1841" s="2"/>
      <c r="R1841" s="2"/>
      <c r="S1841" s="2" t="s">
        <v>12502</v>
      </c>
      <c r="T1841" s="2" t="s">
        <v>12503</v>
      </c>
      <c r="U1841" s="2" t="s">
        <v>610</v>
      </c>
      <c r="V1841" s="2" t="s">
        <v>813</v>
      </c>
      <c r="W1841" s="2" t="s">
        <v>12504</v>
      </c>
      <c r="X1841" s="2" t="s">
        <v>147</v>
      </c>
      <c r="Y1841" s="2">
        <v>39.799999999999997</v>
      </c>
      <c r="Z1841" s="2">
        <v>17.399999999999999</v>
      </c>
      <c r="AA1841" s="2" t="s">
        <v>379</v>
      </c>
      <c r="AB1841" s="2" t="s">
        <v>12505</v>
      </c>
      <c r="AC1841" s="2">
        <v>-1.97288099610301</v>
      </c>
      <c r="AD1841" s="2"/>
      <c r="AE1841" s="2">
        <v>0.35307055795317199</v>
      </c>
      <c r="AF1841" s="2">
        <v>5691.8268254841096</v>
      </c>
      <c r="AG1841" s="2">
        <v>2252.5945989645202</v>
      </c>
      <c r="AH1841" s="5">
        <v>2.5267870339831902</v>
      </c>
      <c r="AI1841" s="5">
        <v>1.3373040742693201</v>
      </c>
      <c r="AJ1841" s="5" t="s">
        <v>139</v>
      </c>
      <c r="AK1841" s="2">
        <v>0.41186133026718702</v>
      </c>
      <c r="AL1841" s="2">
        <v>0.67548655599718399</v>
      </c>
      <c r="AM1841" s="2">
        <v>23161.655240756001</v>
      </c>
      <c r="AN1841" s="2">
        <v>4582.690906064</v>
      </c>
      <c r="AO1841" s="2">
        <v>798.71433969972304</v>
      </c>
      <c r="AP1841" s="2">
        <v>2017.75786135777</v>
      </c>
      <c r="AQ1841" s="2">
        <v>1255.7912966512599</v>
      </c>
      <c r="AR1841" s="2">
        <v>2334.3513083759099</v>
      </c>
      <c r="AS1841" s="2">
        <v>24.9315540772722</v>
      </c>
      <c r="AT1841" s="2">
        <v>3.8796540161408703E-2</v>
      </c>
      <c r="AU1841" s="2">
        <v>11743.8034866665</v>
      </c>
      <c r="AV1841" s="2">
        <v>1089.69111298235</v>
      </c>
      <c r="AW1841" s="2">
        <v>7.6978561629460804</v>
      </c>
      <c r="AX1841" s="2">
        <v>649.40478735787497</v>
      </c>
    </row>
    <row r="1842" spans="1:50" x14ac:dyDescent="0.25">
      <c r="A1842" s="2" t="s">
        <v>12506</v>
      </c>
      <c r="B1842" s="2">
        <v>407.242252901239</v>
      </c>
      <c r="C1842" s="2">
        <v>10.6243</v>
      </c>
      <c r="D1842" s="2" t="s">
        <v>51</v>
      </c>
      <c r="E1842" s="2" t="s">
        <v>12507</v>
      </c>
      <c r="F1842" s="2">
        <v>4854</v>
      </c>
      <c r="G1842" s="3" t="str">
        <f>HYPERLINK("https://cloud.oebiotech.com/#/lm/network/4854", "https://cloud.oebiotech.com/#/lm/network/4854")</f>
        <v>https://cloud.oebiotech.com/#/lm/network/4854</v>
      </c>
      <c r="H1842" s="2"/>
      <c r="I1842" s="2">
        <v>36454</v>
      </c>
      <c r="J1842" s="2" t="s">
        <v>12508</v>
      </c>
      <c r="K1842" s="2">
        <v>16061144</v>
      </c>
      <c r="L1842" s="2"/>
      <c r="M1842" s="2"/>
      <c r="N1842" s="2"/>
      <c r="O1842" s="2"/>
      <c r="P1842" s="2"/>
      <c r="Q1842" s="2"/>
      <c r="R1842" s="2"/>
      <c r="S1842" s="2" t="s">
        <v>12509</v>
      </c>
      <c r="T1842" s="2" t="s">
        <v>12510</v>
      </c>
      <c r="U1842" s="2" t="s">
        <v>56</v>
      </c>
      <c r="V1842" s="2" t="s">
        <v>145</v>
      </c>
      <c r="W1842" s="2" t="s">
        <v>231</v>
      </c>
      <c r="X1842" s="2" t="s">
        <v>83</v>
      </c>
      <c r="Y1842" s="2">
        <v>53.2</v>
      </c>
      <c r="Z1842" s="2">
        <v>0</v>
      </c>
      <c r="AA1842" s="2" t="s">
        <v>218</v>
      </c>
      <c r="AB1842" s="2" t="s">
        <v>2410</v>
      </c>
      <c r="AC1842" s="2">
        <v>-4.5812478588224099</v>
      </c>
      <c r="AD1842" s="2"/>
      <c r="AE1842" s="2">
        <v>0.352762086460785</v>
      </c>
      <c r="AF1842" s="2">
        <v>10375.4897619311</v>
      </c>
      <c r="AG1842" s="2">
        <v>7409.8691549519599</v>
      </c>
      <c r="AH1842" s="5">
        <v>1.4002257725424501</v>
      </c>
      <c r="AI1842" s="5">
        <v>0.48565946621761302</v>
      </c>
      <c r="AJ1842" s="5" t="s">
        <v>139</v>
      </c>
      <c r="AK1842" s="2">
        <v>3.7670701607621501E-3</v>
      </c>
      <c r="AL1842" s="2">
        <v>0.1120315017845</v>
      </c>
      <c r="AM1842" s="2">
        <v>11938.0740084307</v>
      </c>
      <c r="AN1842" s="2">
        <v>8554.3332044690906</v>
      </c>
      <c r="AO1842" s="2">
        <v>11297.9722868884</v>
      </c>
      <c r="AP1842" s="2">
        <v>8933.0156372432903</v>
      </c>
      <c r="AQ1842" s="2">
        <v>10242.201717690299</v>
      </c>
      <c r="AR1842" s="2">
        <v>11287.341716864899</v>
      </c>
      <c r="AS1842" s="2">
        <v>6663.9556342268097</v>
      </c>
      <c r="AT1842" s="2">
        <v>5308.9954047666997</v>
      </c>
      <c r="AU1842" s="2">
        <v>7298.1578460841301</v>
      </c>
      <c r="AV1842" s="2">
        <v>9300.6455162801503</v>
      </c>
      <c r="AW1842" s="2">
        <v>7758.42869906754</v>
      </c>
      <c r="AX1842" s="2">
        <v>8129.0318292864104</v>
      </c>
    </row>
    <row r="1843" spans="1:50" x14ac:dyDescent="0.25">
      <c r="A1843" s="2" t="s">
        <v>12511</v>
      </c>
      <c r="B1843" s="2">
        <v>280.10371353164402</v>
      </c>
      <c r="C1843" s="2">
        <v>0.69093333333333296</v>
      </c>
      <c r="D1843" s="2" t="s">
        <v>51</v>
      </c>
      <c r="E1843" s="2" t="s">
        <v>12512</v>
      </c>
      <c r="F1843" s="2">
        <v>209315</v>
      </c>
      <c r="G1843" s="3" t="str">
        <f>HYPERLINK("https://cloud.oebiotech.com/#/lm/network/209315", "https://cloud.oebiotech.com/#/lm/network/209315")</f>
        <v>https://cloud.oebiotech.com/#/lm/network/209315</v>
      </c>
      <c r="H1843" s="2" t="s">
        <v>12513</v>
      </c>
      <c r="I1843" s="2"/>
      <c r="J1843" s="2"/>
      <c r="K1843" s="2"/>
      <c r="L1843" s="2"/>
      <c r="M1843" s="2"/>
      <c r="N1843" s="2"/>
      <c r="O1843" s="2"/>
      <c r="P1843" s="2"/>
      <c r="Q1843" s="2"/>
      <c r="R1843" s="2"/>
      <c r="S1843" s="2" t="s">
        <v>12514</v>
      </c>
      <c r="T1843" s="2" t="s">
        <v>12515</v>
      </c>
      <c r="U1843" s="2" t="s">
        <v>331</v>
      </c>
      <c r="V1843" s="2" t="s">
        <v>332</v>
      </c>
      <c r="W1843" s="2" t="s">
        <v>333</v>
      </c>
      <c r="X1843" s="2" t="s">
        <v>83</v>
      </c>
      <c r="Y1843" s="2">
        <v>38.4</v>
      </c>
      <c r="Z1843" s="2">
        <v>0</v>
      </c>
      <c r="AA1843" s="2" t="s">
        <v>218</v>
      </c>
      <c r="AB1843" s="2" t="s">
        <v>12516</v>
      </c>
      <c r="AC1843" s="2">
        <v>-0.32583532920599401</v>
      </c>
      <c r="AD1843" s="2"/>
      <c r="AE1843" s="2">
        <v>0.35263967273228902</v>
      </c>
      <c r="AF1843" s="2">
        <v>10673.8392308196</v>
      </c>
      <c r="AG1843" s="2">
        <v>15581.040924430599</v>
      </c>
      <c r="AH1843" s="4">
        <v>0.68505302582726102</v>
      </c>
      <c r="AI1843" s="4">
        <v>-0.54571243216128495</v>
      </c>
      <c r="AJ1843" s="4" t="s">
        <v>62</v>
      </c>
      <c r="AK1843" s="2">
        <v>0.22229798365207701</v>
      </c>
      <c r="AL1843" s="2">
        <v>0.54873825251944697</v>
      </c>
      <c r="AM1843" s="2">
        <v>5833.8001891058902</v>
      </c>
      <c r="AN1843" s="2">
        <v>21811.409725945901</v>
      </c>
      <c r="AO1843" s="2">
        <v>7833.1980845722301</v>
      </c>
      <c r="AP1843" s="2">
        <v>4763.1725339432596</v>
      </c>
      <c r="AQ1843" s="2">
        <v>9231.9569213908198</v>
      </c>
      <c r="AR1843" s="2">
        <v>14569.4979299592</v>
      </c>
      <c r="AS1843" s="2">
        <v>23984.031393569501</v>
      </c>
      <c r="AT1843" s="2">
        <v>16061.449445734001</v>
      </c>
      <c r="AU1843" s="2">
        <v>5957.7155591098199</v>
      </c>
      <c r="AV1843" s="2">
        <v>21779.5813273897</v>
      </c>
      <c r="AW1843" s="2">
        <v>11843.5425716052</v>
      </c>
      <c r="AX1843" s="2">
        <v>13859.9252491753</v>
      </c>
    </row>
    <row r="1844" spans="1:50" x14ac:dyDescent="0.25">
      <c r="A1844" s="2" t="s">
        <v>12517</v>
      </c>
      <c r="B1844" s="2">
        <v>393.15807091557201</v>
      </c>
      <c r="C1844" s="2">
        <v>9.8490833333333292</v>
      </c>
      <c r="D1844" s="2" t="s">
        <v>51</v>
      </c>
      <c r="E1844" s="2" t="s">
        <v>12518</v>
      </c>
      <c r="F1844" s="2">
        <v>266858</v>
      </c>
      <c r="G1844" s="3" t="str">
        <f>HYPERLINK("https://cloud.oebiotech.com/#/lm/network/266858", "https://cloud.oebiotech.com/#/lm/network/266858")</f>
        <v>https://cloud.oebiotech.com/#/lm/network/266858</v>
      </c>
      <c r="H1844" s="2"/>
      <c r="I1844" s="2">
        <v>44113</v>
      </c>
      <c r="J1844" s="2"/>
      <c r="K1844" s="2">
        <v>643606</v>
      </c>
      <c r="L1844" s="2"/>
      <c r="M1844" s="2"/>
      <c r="N1844" s="2"/>
      <c r="O1844" s="2"/>
      <c r="P1844" s="2"/>
      <c r="Q1844" s="2"/>
      <c r="R1844" s="2"/>
      <c r="S1844" s="2" t="s">
        <v>12519</v>
      </c>
      <c r="T1844" s="2" t="s">
        <v>12520</v>
      </c>
      <c r="U1844" s="2" t="s">
        <v>238</v>
      </c>
      <c r="V1844" s="2" t="s">
        <v>10751</v>
      </c>
      <c r="W1844" s="2" t="s">
        <v>240</v>
      </c>
      <c r="X1844" s="2" t="s">
        <v>147</v>
      </c>
      <c r="Y1844" s="2">
        <v>38</v>
      </c>
      <c r="Z1844" s="2">
        <v>0</v>
      </c>
      <c r="AA1844" s="2" t="s">
        <v>395</v>
      </c>
      <c r="AB1844" s="2" t="s">
        <v>12521</v>
      </c>
      <c r="AC1844" s="2">
        <v>1.60966284107749</v>
      </c>
      <c r="AD1844" s="2"/>
      <c r="AE1844" s="2">
        <v>0.35179778312159099</v>
      </c>
      <c r="AF1844" s="2">
        <v>3216.9404126882</v>
      </c>
      <c r="AG1844" s="2">
        <v>854.49667086950501</v>
      </c>
      <c r="AH1844" s="5">
        <v>3.7647196558586402</v>
      </c>
      <c r="AI1844" s="5">
        <v>1.91254243696598</v>
      </c>
      <c r="AJ1844" s="5" t="s">
        <v>139</v>
      </c>
      <c r="AK1844" s="2">
        <v>2.86101129657036E-3</v>
      </c>
      <c r="AL1844" s="2">
        <v>0.108883487613707</v>
      </c>
      <c r="AM1844" s="2">
        <v>5106.8074196080497</v>
      </c>
      <c r="AN1844" s="2">
        <v>4500.2322287433499</v>
      </c>
      <c r="AO1844" s="2">
        <v>2667.5874963149799</v>
      </c>
      <c r="AP1844" s="2">
        <v>2197.3848564423301</v>
      </c>
      <c r="AQ1844" s="2">
        <v>1996.43141004719</v>
      </c>
      <c r="AR1844" s="2">
        <v>2833.1990649732902</v>
      </c>
      <c r="AS1844" s="2">
        <v>2165.4482346832201</v>
      </c>
      <c r="AT1844" s="2">
        <v>553.13138692949997</v>
      </c>
      <c r="AU1844" s="2">
        <v>923.80737525784298</v>
      </c>
      <c r="AV1844" s="2">
        <v>8.559877937157E-6</v>
      </c>
      <c r="AW1844" s="2">
        <v>493.74874255761898</v>
      </c>
      <c r="AX1844" s="2">
        <v>990.84427722896805</v>
      </c>
    </row>
    <row r="1845" spans="1:50" x14ac:dyDescent="0.25">
      <c r="A1845" s="2" t="s">
        <v>12522</v>
      </c>
      <c r="B1845" s="2">
        <v>435.81093812414701</v>
      </c>
      <c r="C1845" s="2">
        <v>11.655150000000001</v>
      </c>
      <c r="D1845" s="2" t="s">
        <v>51</v>
      </c>
      <c r="E1845" s="2" t="s">
        <v>12523</v>
      </c>
      <c r="F1845" s="2">
        <v>207858</v>
      </c>
      <c r="G1845" s="3" t="str">
        <f>HYPERLINK("https://cloud.oebiotech.com/#/lm/network/207858", "https://cloud.oebiotech.com/#/lm/network/207858")</f>
        <v>https://cloud.oebiotech.com/#/lm/network/207858</v>
      </c>
      <c r="H1845" s="2" t="s">
        <v>12524</v>
      </c>
      <c r="I1845" s="2">
        <v>44166</v>
      </c>
      <c r="J1845" s="2"/>
      <c r="K1845" s="2">
        <v>3728</v>
      </c>
      <c r="L1845" s="2" t="s">
        <v>12525</v>
      </c>
      <c r="M1845" s="2"/>
      <c r="N1845" s="2"/>
      <c r="O1845" s="2"/>
      <c r="P1845" s="2"/>
      <c r="Q1845" s="2"/>
      <c r="R1845" s="2" t="s">
        <v>12526</v>
      </c>
      <c r="S1845" s="2" t="s">
        <v>12527</v>
      </c>
      <c r="T1845" s="2" t="s">
        <v>12528</v>
      </c>
      <c r="U1845" s="2" t="s">
        <v>266</v>
      </c>
      <c r="V1845" s="2" t="s">
        <v>1393</v>
      </c>
      <c r="W1845" s="2" t="s">
        <v>6807</v>
      </c>
      <c r="X1845" s="2" t="s">
        <v>147</v>
      </c>
      <c r="Y1845" s="2">
        <v>37.799999999999997</v>
      </c>
      <c r="Z1845" s="2">
        <v>0</v>
      </c>
      <c r="AA1845" s="2" t="s">
        <v>395</v>
      </c>
      <c r="AB1845" s="2" t="s">
        <v>12529</v>
      </c>
      <c r="AC1845" s="2">
        <v>4.3348280636969898</v>
      </c>
      <c r="AD1845" s="2"/>
      <c r="AE1845" s="2">
        <v>0.35177024964292902</v>
      </c>
      <c r="AF1845" s="2">
        <v>13684.9027126008</v>
      </c>
      <c r="AG1845" s="2">
        <v>17378.588294279201</v>
      </c>
      <c r="AH1845" s="4">
        <v>0.78745767382645504</v>
      </c>
      <c r="AI1845" s="4">
        <v>-0.34472571475474101</v>
      </c>
      <c r="AJ1845" s="4" t="s">
        <v>62</v>
      </c>
      <c r="AK1845" s="2">
        <v>7.8601397954132804E-2</v>
      </c>
      <c r="AL1845" s="2">
        <v>0.36259246282337698</v>
      </c>
      <c r="AM1845" s="2">
        <v>13007.1269867665</v>
      </c>
      <c r="AN1845" s="2">
        <v>13102.0748044026</v>
      </c>
      <c r="AO1845" s="2">
        <v>13219.581474233701</v>
      </c>
      <c r="AP1845" s="2">
        <v>12314.1900350261</v>
      </c>
      <c r="AQ1845" s="2">
        <v>15448.8896968971</v>
      </c>
      <c r="AR1845" s="2">
        <v>15017.5532782788</v>
      </c>
      <c r="AS1845" s="2">
        <v>23935.2949325195</v>
      </c>
      <c r="AT1845" s="2">
        <v>18269.928264182301</v>
      </c>
      <c r="AU1845" s="2">
        <v>12644.524584975101</v>
      </c>
      <c r="AV1845" s="2">
        <v>12435.2283255479</v>
      </c>
      <c r="AW1845" s="2">
        <v>16793.021241364899</v>
      </c>
      <c r="AX1845" s="2">
        <v>20193.5324170858</v>
      </c>
    </row>
    <row r="1846" spans="1:50" x14ac:dyDescent="0.25">
      <c r="A1846" s="2" t="s">
        <v>12530</v>
      </c>
      <c r="B1846" s="2">
        <v>268.14139812369098</v>
      </c>
      <c r="C1846" s="2">
        <v>0.78368333333333295</v>
      </c>
      <c r="D1846" s="2" t="s">
        <v>51</v>
      </c>
      <c r="E1846" s="2" t="s">
        <v>12531</v>
      </c>
      <c r="F1846" s="2">
        <v>203578</v>
      </c>
      <c r="G1846" s="3" t="str">
        <f>HYPERLINK("https://cloud.oebiotech.com/#/lm/network/203578", "https://cloud.oebiotech.com/#/lm/network/203578")</f>
        <v>https://cloud.oebiotech.com/#/lm/network/203578</v>
      </c>
      <c r="H1846" s="2" t="s">
        <v>12532</v>
      </c>
      <c r="I1846" s="2"/>
      <c r="J1846" s="2"/>
      <c r="K1846" s="2">
        <v>5677</v>
      </c>
      <c r="L1846" s="2"/>
      <c r="M1846" s="2"/>
      <c r="N1846" s="2"/>
      <c r="O1846" s="2"/>
      <c r="P1846" s="2"/>
      <c r="Q1846" s="2"/>
      <c r="R1846" s="2"/>
      <c r="S1846" s="2" t="s">
        <v>12533</v>
      </c>
      <c r="T1846" s="2" t="s">
        <v>12534</v>
      </c>
      <c r="U1846" s="2" t="s">
        <v>331</v>
      </c>
      <c r="V1846" s="2" t="s">
        <v>332</v>
      </c>
      <c r="W1846" s="2" t="s">
        <v>519</v>
      </c>
      <c r="X1846" s="2" t="s">
        <v>83</v>
      </c>
      <c r="Y1846" s="2">
        <v>36.1</v>
      </c>
      <c r="Z1846" s="2">
        <v>2.9100000000000001E-2</v>
      </c>
      <c r="AA1846" s="2" t="s">
        <v>259</v>
      </c>
      <c r="AB1846" s="2" t="s">
        <v>12535</v>
      </c>
      <c r="AC1846" s="2">
        <v>8.6836403728849891</v>
      </c>
      <c r="AD1846" s="2"/>
      <c r="AE1846" s="2">
        <v>0.35173340205604697</v>
      </c>
      <c r="AF1846" s="2">
        <v>25202.656784462299</v>
      </c>
      <c r="AG1846" s="2">
        <v>17422.892258875399</v>
      </c>
      <c r="AH1846" s="5">
        <v>1.4465254338942399</v>
      </c>
      <c r="AI1846" s="5">
        <v>0.53259169003592399</v>
      </c>
      <c r="AJ1846" s="5" t="s">
        <v>139</v>
      </c>
      <c r="AK1846" s="2">
        <v>0.40258596362411198</v>
      </c>
      <c r="AL1846" s="2">
        <v>0.67024796707061796</v>
      </c>
      <c r="AM1846" s="2">
        <v>43885.387522472301</v>
      </c>
      <c r="AN1846" s="2">
        <v>19865.628886222901</v>
      </c>
      <c r="AO1846" s="2">
        <v>19105.725696469599</v>
      </c>
      <c r="AP1846" s="2">
        <v>47189.8175789179</v>
      </c>
      <c r="AQ1846" s="2">
        <v>15724.7122955251</v>
      </c>
      <c r="AR1846" s="2">
        <v>5444.6687271661604</v>
      </c>
      <c r="AS1846" s="2">
        <v>1113.22465977825</v>
      </c>
      <c r="AT1846" s="2">
        <v>22054.813457704098</v>
      </c>
      <c r="AU1846" s="2">
        <v>6550.0689160083803</v>
      </c>
      <c r="AV1846" s="2">
        <v>41558.267413391201</v>
      </c>
      <c r="AW1846" s="2">
        <v>14525.507544383199</v>
      </c>
      <c r="AX1846" s="2">
        <v>18735.471561987099</v>
      </c>
    </row>
    <row r="1847" spans="1:50" x14ac:dyDescent="0.25">
      <c r="A1847" s="2" t="s">
        <v>12536</v>
      </c>
      <c r="B1847" s="2">
        <v>577.48413370316996</v>
      </c>
      <c r="C1847" s="2">
        <v>14.716366666666699</v>
      </c>
      <c r="D1847" s="2" t="s">
        <v>51</v>
      </c>
      <c r="E1847" s="2" t="s">
        <v>12537</v>
      </c>
      <c r="F1847" s="2">
        <v>10946</v>
      </c>
      <c r="G1847" s="3" t="str">
        <f>HYPERLINK("https://cloud.oebiotech.com/#/lm/network/10946", "https://cloud.oebiotech.com/#/lm/network/10946")</f>
        <v>https://cloud.oebiotech.com/#/lm/network/10946</v>
      </c>
      <c r="H1847" s="2" t="s">
        <v>12538</v>
      </c>
      <c r="I1847" s="2">
        <v>58709</v>
      </c>
      <c r="J1847" s="2" t="s">
        <v>12539</v>
      </c>
      <c r="K1847" s="2">
        <v>14275369</v>
      </c>
      <c r="L1847" s="2"/>
      <c r="M1847" s="2"/>
      <c r="N1847" s="2"/>
      <c r="O1847" s="2"/>
      <c r="P1847" s="2"/>
      <c r="Q1847" s="2"/>
      <c r="R1847" s="2"/>
      <c r="S1847" s="2" t="s">
        <v>12540</v>
      </c>
      <c r="T1847" s="2" t="s">
        <v>12541</v>
      </c>
      <c r="U1847" s="2" t="s">
        <v>56</v>
      </c>
      <c r="V1847" s="2" t="s">
        <v>145</v>
      </c>
      <c r="W1847" s="2" t="s">
        <v>203</v>
      </c>
      <c r="X1847" s="2" t="s">
        <v>147</v>
      </c>
      <c r="Y1847" s="2">
        <v>40.1</v>
      </c>
      <c r="Z1847" s="2">
        <v>12.7</v>
      </c>
      <c r="AA1847" s="2" t="s">
        <v>163</v>
      </c>
      <c r="AB1847" s="2" t="s">
        <v>12542</v>
      </c>
      <c r="AC1847" s="2">
        <v>0.66538759210334097</v>
      </c>
      <c r="AD1847" s="2"/>
      <c r="AE1847" s="2">
        <v>0.35173054056090802</v>
      </c>
      <c r="AF1847" s="2">
        <v>86199.340458509207</v>
      </c>
      <c r="AG1847" s="2">
        <v>71406.903922395606</v>
      </c>
      <c r="AH1847" s="5">
        <v>1.20715695154897</v>
      </c>
      <c r="AI1847" s="5">
        <v>0.271613263914456</v>
      </c>
      <c r="AJ1847" s="5" t="s">
        <v>139</v>
      </c>
      <c r="AK1847" s="2">
        <v>0.57309860533172596</v>
      </c>
      <c r="AL1847" s="2">
        <v>0.78488729408407298</v>
      </c>
      <c r="AM1847" s="2">
        <v>19221.689566764599</v>
      </c>
      <c r="AN1847" s="2">
        <v>81700.984604464596</v>
      </c>
      <c r="AO1847" s="2">
        <v>106017.168038298</v>
      </c>
      <c r="AP1847" s="2">
        <v>119421.19281158999</v>
      </c>
      <c r="AQ1847" s="2">
        <v>110990.980280852</v>
      </c>
      <c r="AR1847" s="2">
        <v>79844.027449086207</v>
      </c>
      <c r="AS1847" s="2">
        <v>62374.753078109097</v>
      </c>
      <c r="AT1847" s="2">
        <v>169941.11403381199</v>
      </c>
      <c r="AU1847" s="2">
        <v>46532.210703254197</v>
      </c>
      <c r="AV1847" s="2">
        <v>25645.399835897799</v>
      </c>
      <c r="AW1847" s="2">
        <v>60456.562274041797</v>
      </c>
      <c r="AX1847" s="2">
        <v>63491.383609258897</v>
      </c>
    </row>
    <row r="1848" spans="1:50" x14ac:dyDescent="0.25">
      <c r="A1848" s="2" t="s">
        <v>12543</v>
      </c>
      <c r="B1848" s="2">
        <v>303.23270036861101</v>
      </c>
      <c r="C1848" s="2">
        <v>10.0524166666667</v>
      </c>
      <c r="D1848" s="2" t="s">
        <v>51</v>
      </c>
      <c r="E1848" s="2" t="s">
        <v>12544</v>
      </c>
      <c r="F1848" s="2">
        <v>207945</v>
      </c>
      <c r="G1848" s="3" t="str">
        <f>HYPERLINK("https://cloud.oebiotech.com/#/lm/network/207945", "https://cloud.oebiotech.com/#/lm/network/207945")</f>
        <v>https://cloud.oebiotech.com/#/lm/network/207945</v>
      </c>
      <c r="H1848" s="2" t="s">
        <v>12545</v>
      </c>
      <c r="I1848" s="2"/>
      <c r="J1848" s="2"/>
      <c r="K1848" s="2">
        <v>73678322</v>
      </c>
      <c r="L1848" s="2"/>
      <c r="M1848" s="2"/>
      <c r="N1848" s="2"/>
      <c r="O1848" s="2"/>
      <c r="P1848" s="2"/>
      <c r="Q1848" s="2"/>
      <c r="R1848" s="2"/>
      <c r="S1848" s="2" t="s">
        <v>12546</v>
      </c>
      <c r="T1848" s="2" t="s">
        <v>12547</v>
      </c>
      <c r="U1848" s="2" t="s">
        <v>56</v>
      </c>
      <c r="V1848" s="2" t="s">
        <v>177</v>
      </c>
      <c r="W1848" s="2" t="s">
        <v>178</v>
      </c>
      <c r="X1848" s="2" t="s">
        <v>83</v>
      </c>
      <c r="Y1848" s="2">
        <v>50.5</v>
      </c>
      <c r="Z1848" s="2">
        <v>33.6</v>
      </c>
      <c r="AA1848" s="2" t="s">
        <v>179</v>
      </c>
      <c r="AB1848" s="2" t="s">
        <v>205</v>
      </c>
      <c r="AC1848" s="2">
        <v>2.6347317107124701</v>
      </c>
      <c r="AD1848" s="2"/>
      <c r="AE1848" s="2">
        <v>0.351706848551118</v>
      </c>
      <c r="AF1848" s="2">
        <v>27340.543768036099</v>
      </c>
      <c r="AG1848" s="2">
        <v>21911.653040212899</v>
      </c>
      <c r="AH1848" s="5">
        <v>1.2477627186711999</v>
      </c>
      <c r="AI1848" s="5">
        <v>0.31934360956598901</v>
      </c>
      <c r="AJ1848" s="5" t="s">
        <v>139</v>
      </c>
      <c r="AK1848" s="2">
        <v>0.48591642334627</v>
      </c>
      <c r="AL1848" s="2">
        <v>0.729611989227821</v>
      </c>
      <c r="AM1848" s="2">
        <v>41697.560421694398</v>
      </c>
      <c r="AN1848" s="2">
        <v>22433.3501109401</v>
      </c>
      <c r="AO1848" s="2">
        <v>17673.419404573699</v>
      </c>
      <c r="AP1848" s="2">
        <v>31407.468600281201</v>
      </c>
      <c r="AQ1848" s="2">
        <v>25694.770566827599</v>
      </c>
      <c r="AR1848" s="2">
        <v>25136.6935038995</v>
      </c>
      <c r="AS1848" s="2">
        <v>16443.808293828701</v>
      </c>
      <c r="AT1848" s="2">
        <v>11667.4804101645</v>
      </c>
      <c r="AU1848" s="2">
        <v>53576.956862807499</v>
      </c>
      <c r="AV1848" s="2">
        <v>8432.5432385063705</v>
      </c>
      <c r="AW1848" s="2">
        <v>17607.140802931601</v>
      </c>
      <c r="AX1848" s="2">
        <v>23741.9886330388</v>
      </c>
    </row>
    <row r="1849" spans="1:50" x14ac:dyDescent="0.25">
      <c r="A1849" s="2" t="s">
        <v>12548</v>
      </c>
      <c r="B1849" s="2">
        <v>307.11868573153799</v>
      </c>
      <c r="C1849" s="2">
        <v>7.1307833333333299</v>
      </c>
      <c r="D1849" s="2" t="s">
        <v>51</v>
      </c>
      <c r="E1849" s="2" t="s">
        <v>12549</v>
      </c>
      <c r="F1849" s="2">
        <v>115425</v>
      </c>
      <c r="G1849" s="3" t="str">
        <f>HYPERLINK("https://cloud.oebiotech.com/#/lm/network/115425", "https://cloud.oebiotech.com/#/lm/network/115425")</f>
        <v>https://cloud.oebiotech.com/#/lm/network/115425</v>
      </c>
      <c r="H1849" s="2" t="s">
        <v>12550</v>
      </c>
      <c r="I1849" s="2"/>
      <c r="J1849" s="2"/>
      <c r="K1849" s="2">
        <v>148386</v>
      </c>
      <c r="L1849" s="2"/>
      <c r="M1849" s="2"/>
      <c r="N1849" s="2"/>
      <c r="O1849" s="2">
        <v>132611</v>
      </c>
      <c r="P1849" s="2"/>
      <c r="Q1849" s="2"/>
      <c r="R1849" s="2"/>
      <c r="S1849" s="2" t="s">
        <v>12551</v>
      </c>
      <c r="T1849" s="2" t="s">
        <v>12552</v>
      </c>
      <c r="U1849" s="2" t="s">
        <v>610</v>
      </c>
      <c r="V1849" s="2" t="s">
        <v>611</v>
      </c>
      <c r="W1849" s="2" t="s">
        <v>1122</v>
      </c>
      <c r="X1849" s="2" t="s">
        <v>69</v>
      </c>
      <c r="Y1849" s="2">
        <v>51.2</v>
      </c>
      <c r="Z1849" s="2">
        <v>49.6</v>
      </c>
      <c r="AA1849" s="2" t="s">
        <v>163</v>
      </c>
      <c r="AB1849" s="2" t="s">
        <v>12553</v>
      </c>
      <c r="AC1849" s="2">
        <v>-8.5014645299408997E-2</v>
      </c>
      <c r="AD1849" s="2"/>
      <c r="AE1849" s="2">
        <v>0.35167981716605501</v>
      </c>
      <c r="AF1849" s="2">
        <v>1565.5721802861899</v>
      </c>
      <c r="AG1849" s="2">
        <v>5886.5414591593399</v>
      </c>
      <c r="AH1849" s="4">
        <v>0.265957895845648</v>
      </c>
      <c r="AI1849" s="4">
        <v>-1.9107302260880401</v>
      </c>
      <c r="AJ1849" s="4" t="s">
        <v>62</v>
      </c>
      <c r="AK1849" s="2">
        <v>0.131224254764603</v>
      </c>
      <c r="AL1849" s="2">
        <v>0.45111661872463699</v>
      </c>
      <c r="AM1849" s="2">
        <v>1900.7443829731801</v>
      </c>
      <c r="AN1849" s="2">
        <v>1289.05672324191</v>
      </c>
      <c r="AO1849" s="2">
        <v>385.125391290256</v>
      </c>
      <c r="AP1849" s="2">
        <v>2644.5289929329601</v>
      </c>
      <c r="AQ1849" s="2">
        <v>1289.8232707485099</v>
      </c>
      <c r="AR1849" s="2">
        <v>1884.1543205303101</v>
      </c>
      <c r="AS1849" s="2">
        <v>1286.60124008462</v>
      </c>
      <c r="AT1849" s="2">
        <v>8033.4566864748303</v>
      </c>
      <c r="AU1849" s="2">
        <v>415.77131210543598</v>
      </c>
      <c r="AV1849" s="2">
        <v>16981.167121365699</v>
      </c>
      <c r="AW1849" s="2">
        <v>1097.3681524287699</v>
      </c>
      <c r="AX1849" s="2">
        <v>7504.8842424966797</v>
      </c>
    </row>
    <row r="1850" spans="1:50" x14ac:dyDescent="0.25">
      <c r="A1850" s="2" t="s">
        <v>12554</v>
      </c>
      <c r="B1850" s="2">
        <v>441.18961669136797</v>
      </c>
      <c r="C1850" s="2">
        <v>8.2316333333333294</v>
      </c>
      <c r="D1850" s="2" t="s">
        <v>51</v>
      </c>
      <c r="E1850" s="2" t="s">
        <v>12555</v>
      </c>
      <c r="F1850" s="2">
        <v>22510</v>
      </c>
      <c r="G1850" s="3" t="str">
        <f>HYPERLINK("https://cloud.oebiotech.com/#/lm/network/22510", "https://cloud.oebiotech.com/#/lm/network/22510")</f>
        <v>https://cloud.oebiotech.com/#/lm/network/22510</v>
      </c>
      <c r="H1850" s="2"/>
      <c r="I1850" s="2">
        <v>40861</v>
      </c>
      <c r="J1850" s="2" t="s">
        <v>12556</v>
      </c>
      <c r="K1850" s="2">
        <v>9547124</v>
      </c>
      <c r="L1850" s="2"/>
      <c r="M1850" s="2"/>
      <c r="N1850" s="2"/>
      <c r="O1850" s="2">
        <v>73880</v>
      </c>
      <c r="P1850" s="2"/>
      <c r="Q1850" s="2"/>
      <c r="R1850" s="2"/>
      <c r="S1850" s="2" t="s">
        <v>12557</v>
      </c>
      <c r="T1850" s="2" t="s">
        <v>12558</v>
      </c>
      <c r="U1850" s="2" t="s">
        <v>56</v>
      </c>
      <c r="V1850" s="2" t="s">
        <v>57</v>
      </c>
      <c r="W1850" s="2" t="s">
        <v>570</v>
      </c>
      <c r="X1850" s="2" t="s">
        <v>147</v>
      </c>
      <c r="Y1850" s="2">
        <v>38.200000000000003</v>
      </c>
      <c r="Z1850" s="2">
        <v>0</v>
      </c>
      <c r="AA1850" s="2" t="s">
        <v>163</v>
      </c>
      <c r="AB1850" s="2" t="s">
        <v>12559</v>
      </c>
      <c r="AC1850" s="2">
        <v>0.24689306294676999</v>
      </c>
      <c r="AD1850" s="2"/>
      <c r="AE1850" s="2">
        <v>0.35151163359924598</v>
      </c>
      <c r="AF1850" s="2">
        <v>4625.2948991527101</v>
      </c>
      <c r="AG1850" s="2">
        <v>1542.8666959233899</v>
      </c>
      <c r="AH1850" s="5">
        <v>2.99785776138263</v>
      </c>
      <c r="AI1850" s="5">
        <v>1.5839319337140501</v>
      </c>
      <c r="AJ1850" s="5" t="s">
        <v>139</v>
      </c>
      <c r="AK1850" s="2">
        <v>0.13993074786839599</v>
      </c>
      <c r="AL1850" s="2">
        <v>0.45949604540634398</v>
      </c>
      <c r="AM1850" s="2">
        <v>13685.4753918635</v>
      </c>
      <c r="AN1850" s="2">
        <v>3800.85618744354</v>
      </c>
      <c r="AO1850" s="2">
        <v>3192.13948681387</v>
      </c>
      <c r="AP1850" s="2">
        <v>2811.2753728433299</v>
      </c>
      <c r="AQ1850" s="2">
        <v>1639.45908161229</v>
      </c>
      <c r="AR1850" s="2">
        <v>2622.5638743397299</v>
      </c>
      <c r="AS1850" s="2">
        <v>3972.0402767850601</v>
      </c>
      <c r="AT1850" s="2">
        <v>1306.3840912200001</v>
      </c>
      <c r="AU1850" s="2">
        <v>1188.77044471931</v>
      </c>
      <c r="AV1850" s="2">
        <v>8.559877937157E-6</v>
      </c>
      <c r="AW1850" s="2">
        <v>579.43568161246696</v>
      </c>
      <c r="AX1850" s="2">
        <v>2210.5696726436299</v>
      </c>
    </row>
    <row r="1851" spans="1:50" x14ac:dyDescent="0.25">
      <c r="A1851" s="2" t="s">
        <v>12560</v>
      </c>
      <c r="B1851" s="2">
        <v>291.24403519532501</v>
      </c>
      <c r="C1851" s="2">
        <v>5.2433500000000004</v>
      </c>
      <c r="D1851" s="2" t="s">
        <v>51</v>
      </c>
      <c r="E1851" s="2" t="s">
        <v>12561</v>
      </c>
      <c r="F1851" s="2">
        <v>199309</v>
      </c>
      <c r="G1851" s="3" t="str">
        <f>HYPERLINK("https://cloud.oebiotech.com/#/lm/network/199309", "https://cloud.oebiotech.com/#/lm/network/199309")</f>
        <v>https://cloud.oebiotech.com/#/lm/network/199309</v>
      </c>
      <c r="H1851" s="2" t="s">
        <v>12562</v>
      </c>
      <c r="I1851" s="2"/>
      <c r="J1851" s="2"/>
      <c r="K1851" s="2">
        <v>11778080</v>
      </c>
      <c r="L1851" s="2"/>
      <c r="M1851" s="2"/>
      <c r="N1851" s="2"/>
      <c r="O1851" s="2"/>
      <c r="P1851" s="2"/>
      <c r="Q1851" s="2"/>
      <c r="R1851" s="2"/>
      <c r="S1851" s="2" t="s">
        <v>12563</v>
      </c>
      <c r="T1851" s="2" t="s">
        <v>12564</v>
      </c>
      <c r="U1851" s="2" t="s">
        <v>610</v>
      </c>
      <c r="V1851" s="2" t="s">
        <v>4556</v>
      </c>
      <c r="W1851" s="2" t="s">
        <v>6949</v>
      </c>
      <c r="X1851" s="2" t="s">
        <v>69</v>
      </c>
      <c r="Y1851" s="2">
        <v>60.3</v>
      </c>
      <c r="Z1851" s="2">
        <v>90.7</v>
      </c>
      <c r="AA1851" s="2" t="s">
        <v>512</v>
      </c>
      <c r="AB1851" s="2" t="s">
        <v>12565</v>
      </c>
      <c r="AC1851" s="2">
        <v>3.4595279069682601</v>
      </c>
      <c r="AD1851" s="2"/>
      <c r="AE1851" s="2">
        <v>0.35127024087196301</v>
      </c>
      <c r="AF1851" s="2">
        <v>8879.3998668577697</v>
      </c>
      <c r="AG1851" s="2">
        <v>2127.4315788826102</v>
      </c>
      <c r="AH1851" s="5">
        <v>4.1737651894410197</v>
      </c>
      <c r="AI1851" s="5">
        <v>2.0613494386486999</v>
      </c>
      <c r="AJ1851" s="5" t="s">
        <v>139</v>
      </c>
      <c r="AK1851" s="2">
        <v>0.368104064622995</v>
      </c>
      <c r="AL1851" s="2">
        <v>0.65217362926491296</v>
      </c>
      <c r="AM1851" s="2">
        <v>8.559877937157E-6</v>
      </c>
      <c r="AN1851" s="2">
        <v>8.559877937157E-6</v>
      </c>
      <c r="AO1851" s="2">
        <v>43116.503615711801</v>
      </c>
      <c r="AP1851" s="2">
        <v>115.97825535672</v>
      </c>
      <c r="AQ1851" s="2">
        <v>9888.4703624660706</v>
      </c>
      <c r="AR1851" s="2">
        <v>155.44695049228599</v>
      </c>
      <c r="AS1851" s="2">
        <v>4653.5183340116801</v>
      </c>
      <c r="AT1851" s="2">
        <v>8.559877937157E-6</v>
      </c>
      <c r="AU1851" s="2">
        <v>7807.7109653648604</v>
      </c>
      <c r="AV1851" s="2">
        <v>8.559877937157E-6</v>
      </c>
      <c r="AW1851" s="2">
        <v>8.559877937157E-6</v>
      </c>
      <c r="AX1851" s="2">
        <v>303.36014823947897</v>
      </c>
    </row>
    <row r="1852" spans="1:50" x14ac:dyDescent="0.25">
      <c r="A1852" s="2" t="s">
        <v>12566</v>
      </c>
      <c r="B1852" s="2">
        <v>309.20684060974997</v>
      </c>
      <c r="C1852" s="2">
        <v>10.7341</v>
      </c>
      <c r="D1852" s="2" t="s">
        <v>51</v>
      </c>
      <c r="E1852" s="2" t="s">
        <v>12567</v>
      </c>
      <c r="F1852" s="2">
        <v>58753</v>
      </c>
      <c r="G1852" s="3" t="str">
        <f>HYPERLINK("https://cloud.oebiotech.com/#/lm/network/58753", "https://cloud.oebiotech.com/#/lm/network/58753")</f>
        <v>https://cloud.oebiotech.com/#/lm/network/58753</v>
      </c>
      <c r="H1852" s="2" t="s">
        <v>12568</v>
      </c>
      <c r="I1852" s="2">
        <v>90203</v>
      </c>
      <c r="J1852" s="2"/>
      <c r="K1852" s="2">
        <v>9873754</v>
      </c>
      <c r="L1852" s="2"/>
      <c r="M1852" s="2"/>
      <c r="N1852" s="2"/>
      <c r="O1852" s="2"/>
      <c r="P1852" s="2"/>
      <c r="Q1852" s="2"/>
      <c r="R1852" s="2"/>
      <c r="S1852" s="2" t="s">
        <v>12569</v>
      </c>
      <c r="T1852" s="2" t="s">
        <v>12570</v>
      </c>
      <c r="U1852" s="2" t="s">
        <v>610</v>
      </c>
      <c r="V1852" s="2" t="s">
        <v>895</v>
      </c>
      <c r="W1852" s="2" t="s">
        <v>896</v>
      </c>
      <c r="X1852" s="2" t="s">
        <v>83</v>
      </c>
      <c r="Y1852" s="2">
        <v>42.5</v>
      </c>
      <c r="Z1852" s="2">
        <v>0</v>
      </c>
      <c r="AA1852" s="2" t="s">
        <v>259</v>
      </c>
      <c r="AB1852" s="2" t="s">
        <v>12571</v>
      </c>
      <c r="AC1852" s="2">
        <v>2.6113069093260202</v>
      </c>
      <c r="AD1852" s="2"/>
      <c r="AE1852" s="2">
        <v>0.35097033487643797</v>
      </c>
      <c r="AF1852" s="2">
        <v>1318.57744227699</v>
      </c>
      <c r="AG1852" s="2">
        <v>4094.30144551083</v>
      </c>
      <c r="AH1852" s="4">
        <v>0.322051871320501</v>
      </c>
      <c r="AI1852" s="4">
        <v>-1.63463501999494</v>
      </c>
      <c r="AJ1852" s="4" t="s">
        <v>62</v>
      </c>
      <c r="AK1852" s="2">
        <v>1.7624345261900601E-2</v>
      </c>
      <c r="AL1852" s="2">
        <v>0.20969085735451701</v>
      </c>
      <c r="AM1852" s="2">
        <v>8.559877937157E-6</v>
      </c>
      <c r="AN1852" s="2">
        <v>771.71455809952397</v>
      </c>
      <c r="AO1852" s="2">
        <v>2127.6075675744701</v>
      </c>
      <c r="AP1852" s="2">
        <v>1213.22113502861</v>
      </c>
      <c r="AQ1852" s="2">
        <v>2016.0321574048901</v>
      </c>
      <c r="AR1852" s="2">
        <v>1782.88922699459</v>
      </c>
      <c r="AS1852" s="2">
        <v>2524.2113389453398</v>
      </c>
      <c r="AT1852" s="2">
        <v>3209.0514967285799</v>
      </c>
      <c r="AU1852" s="2">
        <v>2107.7375144204898</v>
      </c>
      <c r="AV1852" s="2">
        <v>4202.6961874046601</v>
      </c>
      <c r="AW1852" s="2">
        <v>4174.6393808077</v>
      </c>
      <c r="AX1852" s="2">
        <v>8347.4727547582006</v>
      </c>
    </row>
    <row r="1853" spans="1:50" x14ac:dyDescent="0.25">
      <c r="A1853" s="2" t="s">
        <v>12572</v>
      </c>
      <c r="B1853" s="2">
        <v>401.08795593362498</v>
      </c>
      <c r="C1853" s="2">
        <v>7.1307833333333299</v>
      </c>
      <c r="D1853" s="2" t="s">
        <v>51</v>
      </c>
      <c r="E1853" s="2" t="s">
        <v>12573</v>
      </c>
      <c r="F1853" s="2">
        <v>33172</v>
      </c>
      <c r="G1853" s="3" t="str">
        <f>HYPERLINK("https://cloud.oebiotech.com/#/lm/network/33172", "https://cloud.oebiotech.com/#/lm/network/33172")</f>
        <v>https://cloud.oebiotech.com/#/lm/network/33172</v>
      </c>
      <c r="H1853" s="2"/>
      <c r="I1853" s="2">
        <v>51499</v>
      </c>
      <c r="J1853" s="2" t="s">
        <v>12574</v>
      </c>
      <c r="K1853" s="2">
        <v>44259911</v>
      </c>
      <c r="L1853" s="2"/>
      <c r="M1853" s="2"/>
      <c r="N1853" s="2"/>
      <c r="O1853" s="2"/>
      <c r="P1853" s="2"/>
      <c r="Q1853" s="2"/>
      <c r="R1853" s="2"/>
      <c r="S1853" s="2" t="s">
        <v>12575</v>
      </c>
      <c r="T1853" s="2" t="s">
        <v>12576</v>
      </c>
      <c r="U1853" s="2" t="s">
        <v>540</v>
      </c>
      <c r="V1853" s="2" t="s">
        <v>541</v>
      </c>
      <c r="W1853" s="2" t="s">
        <v>6898</v>
      </c>
      <c r="X1853" s="2" t="s">
        <v>69</v>
      </c>
      <c r="Y1853" s="2">
        <v>55.8</v>
      </c>
      <c r="Z1853" s="2">
        <v>75.900000000000006</v>
      </c>
      <c r="AA1853" s="2" t="s">
        <v>163</v>
      </c>
      <c r="AB1853" s="2" t="s">
        <v>12577</v>
      </c>
      <c r="AC1853" s="2">
        <v>0.373574141695245</v>
      </c>
      <c r="AD1853" s="2"/>
      <c r="AE1853" s="2">
        <v>0.35056693564423003</v>
      </c>
      <c r="AF1853" s="2">
        <v>11429.8254725525</v>
      </c>
      <c r="AG1853" s="2">
        <v>14442.3682776191</v>
      </c>
      <c r="AH1853" s="4">
        <v>0.791409362567283</v>
      </c>
      <c r="AI1853" s="4">
        <v>-0.33750396203885202</v>
      </c>
      <c r="AJ1853" s="4" t="s">
        <v>62</v>
      </c>
      <c r="AK1853" s="2">
        <v>5.69200490091731E-2</v>
      </c>
      <c r="AL1853" s="2">
        <v>0.325203556477003</v>
      </c>
      <c r="AM1853" s="2">
        <v>7781.1670939244495</v>
      </c>
      <c r="AN1853" s="2">
        <v>10882.7936994346</v>
      </c>
      <c r="AO1853" s="2">
        <v>12599.1307577558</v>
      </c>
      <c r="AP1853" s="2">
        <v>13174.5801342538</v>
      </c>
      <c r="AQ1853" s="2">
        <v>14749.088832114699</v>
      </c>
      <c r="AR1853" s="2">
        <v>9392.1923178314701</v>
      </c>
      <c r="AS1853" s="2">
        <v>14697.5384812337</v>
      </c>
      <c r="AT1853" s="2">
        <v>16382.0236957091</v>
      </c>
      <c r="AU1853" s="2">
        <v>10900.779738970001</v>
      </c>
      <c r="AV1853" s="2">
        <v>15127.651300269101</v>
      </c>
      <c r="AW1853" s="2">
        <v>12703.602014096799</v>
      </c>
      <c r="AX1853" s="2">
        <v>16842.6144354358</v>
      </c>
    </row>
    <row r="1854" spans="1:50" x14ac:dyDescent="0.25">
      <c r="A1854" s="2" t="s">
        <v>12578</v>
      </c>
      <c r="B1854" s="2">
        <v>467.15837162148699</v>
      </c>
      <c r="C1854" s="2">
        <v>10.9866666666667</v>
      </c>
      <c r="D1854" s="2" t="s">
        <v>51</v>
      </c>
      <c r="E1854" s="2" t="s">
        <v>12579</v>
      </c>
      <c r="F1854" s="2">
        <v>208484</v>
      </c>
      <c r="G1854" s="3" t="str">
        <f>HYPERLINK("https://cloud.oebiotech.com/#/lm/network/208484", "https://cloud.oebiotech.com/#/lm/network/208484")</f>
        <v>https://cloud.oebiotech.com/#/lm/network/208484</v>
      </c>
      <c r="H1854" s="2" t="s">
        <v>12580</v>
      </c>
      <c r="I1854" s="2"/>
      <c r="J1854" s="2"/>
      <c r="K1854" s="2">
        <v>67164254</v>
      </c>
      <c r="L1854" s="2"/>
      <c r="M1854" s="2"/>
      <c r="N1854" s="2"/>
      <c r="O1854" s="2"/>
      <c r="P1854" s="2"/>
      <c r="Q1854" s="2"/>
      <c r="R1854" s="2"/>
      <c r="S1854" s="2" t="s">
        <v>12581</v>
      </c>
      <c r="T1854" s="2" t="s">
        <v>12582</v>
      </c>
      <c r="U1854" s="2" t="s">
        <v>610</v>
      </c>
      <c r="V1854" s="2" t="s">
        <v>611</v>
      </c>
      <c r="W1854" s="2" t="s">
        <v>3746</v>
      </c>
      <c r="X1854" s="2" t="s">
        <v>147</v>
      </c>
      <c r="Y1854" s="2">
        <v>38.4</v>
      </c>
      <c r="Z1854" s="2">
        <v>9.76</v>
      </c>
      <c r="AA1854" s="2" t="s">
        <v>218</v>
      </c>
      <c r="AB1854" s="2" t="s">
        <v>12583</v>
      </c>
      <c r="AC1854" s="2">
        <v>-1.0167010975350199</v>
      </c>
      <c r="AD1854" s="2"/>
      <c r="AE1854" s="2">
        <v>0.35044733396417699</v>
      </c>
      <c r="AF1854" s="2">
        <v>11351.646654886399</v>
      </c>
      <c r="AG1854" s="2">
        <v>8504.7737317353094</v>
      </c>
      <c r="AH1854" s="5">
        <v>1.3347382320740799</v>
      </c>
      <c r="AI1854" s="5">
        <v>0.41655682931468202</v>
      </c>
      <c r="AJ1854" s="5" t="s">
        <v>139</v>
      </c>
      <c r="AK1854" s="2">
        <v>2.7191423558242701E-3</v>
      </c>
      <c r="AL1854" s="2">
        <v>0.107999348234493</v>
      </c>
      <c r="AM1854" s="2">
        <v>11816.8410665681</v>
      </c>
      <c r="AN1854" s="2">
        <v>11542.117438746</v>
      </c>
      <c r="AO1854" s="2">
        <v>11393.9972398602</v>
      </c>
      <c r="AP1854" s="2">
        <v>11193.9456401305</v>
      </c>
      <c r="AQ1854" s="2">
        <v>10918.9651732034</v>
      </c>
      <c r="AR1854" s="2">
        <v>11244.0133708104</v>
      </c>
      <c r="AS1854" s="2">
        <v>10990.1692645239</v>
      </c>
      <c r="AT1854" s="2">
        <v>8030.2611060424497</v>
      </c>
      <c r="AU1854" s="2">
        <v>8481.7971597911292</v>
      </c>
      <c r="AV1854" s="2">
        <v>7943.1064489301798</v>
      </c>
      <c r="AW1854" s="2">
        <v>9708.6766833977799</v>
      </c>
      <c r="AX1854" s="2">
        <v>5874.6317277264397</v>
      </c>
    </row>
    <row r="1855" spans="1:50" x14ac:dyDescent="0.25">
      <c r="A1855" s="2" t="s">
        <v>12584</v>
      </c>
      <c r="B1855" s="2">
        <v>174.11199999999999</v>
      </c>
      <c r="C1855" s="2">
        <v>20.956</v>
      </c>
      <c r="D1855" s="2" t="s">
        <v>125</v>
      </c>
      <c r="E1855" s="2" t="s">
        <v>12585</v>
      </c>
      <c r="F1855" s="2">
        <v>565</v>
      </c>
      <c r="G1855" s="3" t="str">
        <f>HYPERLINK("https://cloud.oebiotech.com/#/lm/network/565", "https://cloud.oebiotech.com/#/lm/network/565")</f>
        <v>https://cloud.oebiotech.com/#/lm/network/565</v>
      </c>
      <c r="H1855" s="2" t="s">
        <v>12586</v>
      </c>
      <c r="I1855" s="2">
        <v>188</v>
      </c>
      <c r="J1855" s="2" t="s">
        <v>12587</v>
      </c>
      <c r="K1855" s="2">
        <v>445638</v>
      </c>
      <c r="L1855" s="2" t="s">
        <v>12588</v>
      </c>
      <c r="M1855" s="2" t="s">
        <v>12589</v>
      </c>
      <c r="N1855" s="2" t="s">
        <v>12590</v>
      </c>
      <c r="O1855" s="2">
        <v>28716</v>
      </c>
      <c r="P1855" s="2" t="s">
        <v>3307</v>
      </c>
      <c r="Q1855" s="2" t="s">
        <v>3308</v>
      </c>
      <c r="R1855" s="2" t="s">
        <v>12591</v>
      </c>
      <c r="S1855" s="2" t="s">
        <v>12592</v>
      </c>
      <c r="T1855" s="2" t="s">
        <v>12593</v>
      </c>
      <c r="U1855" s="2" t="s">
        <v>56</v>
      </c>
      <c r="V1855" s="2" t="s">
        <v>145</v>
      </c>
      <c r="W1855" s="2" t="s">
        <v>231</v>
      </c>
      <c r="X1855" s="2" t="s">
        <v>83</v>
      </c>
      <c r="Y1855" s="2">
        <v>83.5</v>
      </c>
      <c r="Z1855" s="2">
        <v>75.400000000000006</v>
      </c>
      <c r="AA1855" s="2"/>
      <c r="AB1855" s="2" t="s">
        <v>7748</v>
      </c>
      <c r="AC1855" s="2"/>
      <c r="AD1855" s="2">
        <v>710534.509394572</v>
      </c>
      <c r="AE1855" s="2">
        <v>0.350366326195791</v>
      </c>
      <c r="AF1855" s="2">
        <v>16975.0730644348</v>
      </c>
      <c r="AG1855" s="2">
        <v>55959.360816544002</v>
      </c>
      <c r="AH1855" s="4">
        <v>0.303346443146223</v>
      </c>
      <c r="AI1855" s="4">
        <v>-1.7209616995718799</v>
      </c>
      <c r="AJ1855" s="4" t="s">
        <v>62</v>
      </c>
      <c r="AK1855" s="2">
        <v>0.217111327494906</v>
      </c>
      <c r="AL1855" s="2">
        <v>0.54227595765134895</v>
      </c>
      <c r="AM1855" s="2">
        <v>14330.075005746499</v>
      </c>
      <c r="AN1855" s="2">
        <v>13445.800003144301</v>
      </c>
      <c r="AO1855" s="2">
        <v>17617.647956074601</v>
      </c>
      <c r="AP1855" s="2">
        <v>19844.6813524352</v>
      </c>
      <c r="AQ1855" s="2">
        <v>2299.8352172700202</v>
      </c>
      <c r="AR1855" s="2">
        <v>34312.398851938</v>
      </c>
      <c r="AS1855" s="2">
        <v>2299.8352172700202</v>
      </c>
      <c r="AT1855" s="2">
        <v>9522.2588165565594</v>
      </c>
      <c r="AU1855" s="2">
        <v>152701.84189801899</v>
      </c>
      <c r="AV1855" s="2">
        <v>143924.91052239999</v>
      </c>
      <c r="AW1855" s="2">
        <v>10774.444454318</v>
      </c>
      <c r="AX1855" s="2">
        <v>16532.873990700598</v>
      </c>
    </row>
    <row r="1856" spans="1:50" x14ac:dyDescent="0.25">
      <c r="A1856" s="2" t="s">
        <v>12594</v>
      </c>
      <c r="B1856" s="2">
        <v>313.119526661647</v>
      </c>
      <c r="C1856" s="2">
        <v>7.6172500000000003</v>
      </c>
      <c r="D1856" s="2" t="s">
        <v>51</v>
      </c>
      <c r="E1856" s="2" t="s">
        <v>12595</v>
      </c>
      <c r="F1856" s="2">
        <v>209415</v>
      </c>
      <c r="G1856" s="3" t="str">
        <f>HYPERLINK("https://cloud.oebiotech.com/#/lm/network/209415", "https://cloud.oebiotech.com/#/lm/network/209415")</f>
        <v>https://cloud.oebiotech.com/#/lm/network/209415</v>
      </c>
      <c r="H1856" s="2" t="s">
        <v>12596</v>
      </c>
      <c r="I1856" s="2">
        <v>315926</v>
      </c>
      <c r="J1856" s="2"/>
      <c r="K1856" s="2">
        <v>42923</v>
      </c>
      <c r="L1856" s="2"/>
      <c r="M1856" s="2"/>
      <c r="N1856" s="2"/>
      <c r="O1856" s="2"/>
      <c r="P1856" s="2"/>
      <c r="Q1856" s="2"/>
      <c r="R1856" s="2"/>
      <c r="S1856" s="2" t="s">
        <v>12597</v>
      </c>
      <c r="T1856" s="2" t="s">
        <v>12598</v>
      </c>
      <c r="U1856" s="2" t="s">
        <v>610</v>
      </c>
      <c r="V1856" s="2" t="s">
        <v>813</v>
      </c>
      <c r="W1856" s="2" t="s">
        <v>240</v>
      </c>
      <c r="X1856" s="2" t="s">
        <v>69</v>
      </c>
      <c r="Y1856" s="2">
        <v>59.5</v>
      </c>
      <c r="Z1856" s="2">
        <v>80.7</v>
      </c>
      <c r="AA1856" s="2" t="s">
        <v>218</v>
      </c>
      <c r="AB1856" s="2" t="s">
        <v>12599</v>
      </c>
      <c r="AC1856" s="2">
        <v>0.54464107653913996</v>
      </c>
      <c r="AD1856" s="2"/>
      <c r="AE1856" s="2">
        <v>0.35035215366134798</v>
      </c>
      <c r="AF1856" s="2">
        <v>69662.890534029706</v>
      </c>
      <c r="AG1856" s="2">
        <v>50429.261705231504</v>
      </c>
      <c r="AH1856" s="5">
        <v>1.38139818388027</v>
      </c>
      <c r="AI1856" s="5">
        <v>0.46612923205692502</v>
      </c>
      <c r="AJ1856" s="5" t="s">
        <v>139</v>
      </c>
      <c r="AK1856" s="2">
        <v>0.410752462924383</v>
      </c>
      <c r="AL1856" s="2">
        <v>0.67548655599718399</v>
      </c>
      <c r="AM1856" s="2">
        <v>55106.595338069797</v>
      </c>
      <c r="AN1856" s="2">
        <v>58567.486794935197</v>
      </c>
      <c r="AO1856" s="2">
        <v>75483.468936300502</v>
      </c>
      <c r="AP1856" s="2">
        <v>120748.99031440201</v>
      </c>
      <c r="AQ1856" s="2">
        <v>61756.920098263799</v>
      </c>
      <c r="AR1856" s="2">
        <v>46313.881722206897</v>
      </c>
      <c r="AS1856" s="2">
        <v>145036.52793429</v>
      </c>
      <c r="AT1856" s="2">
        <v>40034.617920480603</v>
      </c>
      <c r="AU1856" s="2">
        <v>17047.949308274401</v>
      </c>
      <c r="AV1856" s="2">
        <v>21262.1164404745</v>
      </c>
      <c r="AW1856" s="2">
        <v>49971.846175782397</v>
      </c>
      <c r="AX1856" s="2">
        <v>29222.512452087401</v>
      </c>
    </row>
    <row r="1857" spans="1:50" x14ac:dyDescent="0.25">
      <c r="A1857" s="2" t="s">
        <v>12600</v>
      </c>
      <c r="B1857" s="2">
        <v>212.00179283950601</v>
      </c>
      <c r="C1857" s="2">
        <v>4.1373666666666704</v>
      </c>
      <c r="D1857" s="2" t="s">
        <v>51</v>
      </c>
      <c r="E1857" s="2" t="s">
        <v>12601</v>
      </c>
      <c r="F1857" s="2">
        <v>47156</v>
      </c>
      <c r="G1857" s="3" t="str">
        <f>HYPERLINK("https://cloud.oebiotech.com/#/lm/network/47156", "https://cloud.oebiotech.com/#/lm/network/47156")</f>
        <v>https://cloud.oebiotech.com/#/lm/network/47156</v>
      </c>
      <c r="H1857" s="2" t="s">
        <v>12602</v>
      </c>
      <c r="I1857" s="2">
        <v>253</v>
      </c>
      <c r="J1857" s="2"/>
      <c r="K1857" s="2">
        <v>10258</v>
      </c>
      <c r="L1857" s="2"/>
      <c r="M1857" s="2"/>
      <c r="N1857" s="2"/>
      <c r="O1857" s="2">
        <v>43355</v>
      </c>
      <c r="P1857" s="2"/>
      <c r="Q1857" s="2"/>
      <c r="R1857" s="2" t="s">
        <v>12603</v>
      </c>
      <c r="S1857" s="2" t="s">
        <v>12604</v>
      </c>
      <c r="T1857" s="2" t="s">
        <v>12605</v>
      </c>
      <c r="U1857" s="2" t="s">
        <v>103</v>
      </c>
      <c r="V1857" s="2" t="s">
        <v>4820</v>
      </c>
      <c r="W1857" s="2" t="s">
        <v>4821</v>
      </c>
      <c r="X1857" s="2" t="s">
        <v>69</v>
      </c>
      <c r="Y1857" s="2">
        <v>53</v>
      </c>
      <c r="Z1857" s="2">
        <v>48.2</v>
      </c>
      <c r="AA1857" s="2" t="s">
        <v>163</v>
      </c>
      <c r="AB1857" s="2" t="s">
        <v>12606</v>
      </c>
      <c r="AC1857" s="2">
        <v>-2.3916108729847601</v>
      </c>
      <c r="AD1857" s="2"/>
      <c r="AE1857" s="2">
        <v>0.35032149743868102</v>
      </c>
      <c r="AF1857" s="2">
        <v>48413.297079128803</v>
      </c>
      <c r="AG1857" s="2">
        <v>60069.491010187601</v>
      </c>
      <c r="AH1857" s="4">
        <v>0.80595484105097603</v>
      </c>
      <c r="AI1857" s="4">
        <v>-0.31122909039841401</v>
      </c>
      <c r="AJ1857" s="4" t="s">
        <v>62</v>
      </c>
      <c r="AK1857" s="2">
        <v>0.69208428508557396</v>
      </c>
      <c r="AL1857" s="2">
        <v>0.85204584530065597</v>
      </c>
      <c r="AM1857" s="2">
        <v>18233.994256277601</v>
      </c>
      <c r="AN1857" s="2">
        <v>28093.966193825901</v>
      </c>
      <c r="AO1857" s="2">
        <v>28326.551395003102</v>
      </c>
      <c r="AP1857" s="2">
        <v>50218.425773903298</v>
      </c>
      <c r="AQ1857" s="2">
        <v>20627.2905540457</v>
      </c>
      <c r="AR1857" s="2">
        <v>144979.554301717</v>
      </c>
      <c r="AS1857" s="2">
        <v>18144.193591826999</v>
      </c>
      <c r="AT1857" s="2">
        <v>127511.72273763</v>
      </c>
      <c r="AU1857" s="2">
        <v>25888.2762932156</v>
      </c>
      <c r="AV1857" s="2">
        <v>35219.562928859799</v>
      </c>
      <c r="AW1857" s="2">
        <v>121773.89155956599</v>
      </c>
      <c r="AX1857" s="2">
        <v>31879.2989500271</v>
      </c>
    </row>
    <row r="1858" spans="1:50" x14ac:dyDescent="0.25">
      <c r="A1858" s="2" t="s">
        <v>12607</v>
      </c>
      <c r="B1858" s="2">
        <v>615.26824567755705</v>
      </c>
      <c r="C1858" s="2">
        <v>7.4851333333333301</v>
      </c>
      <c r="D1858" s="2" t="s">
        <v>51</v>
      </c>
      <c r="E1858" s="2" t="s">
        <v>12608</v>
      </c>
      <c r="F1858" s="2">
        <v>210527</v>
      </c>
      <c r="G1858" s="3" t="str">
        <f>HYPERLINK("https://cloud.oebiotech.com/#/lm/network/210527", "https://cloud.oebiotech.com/#/lm/network/210527")</f>
        <v>https://cloud.oebiotech.com/#/lm/network/210527</v>
      </c>
      <c r="H1858" s="2" t="s">
        <v>12609</v>
      </c>
      <c r="I1858" s="2">
        <v>321809</v>
      </c>
      <c r="J1858" s="2"/>
      <c r="K1858" s="2">
        <v>135565635</v>
      </c>
      <c r="L1858" s="2"/>
      <c r="M1858" s="2"/>
      <c r="N1858" s="2"/>
      <c r="O1858" s="2">
        <v>90679</v>
      </c>
      <c r="P1858" s="2"/>
      <c r="Q1858" s="2"/>
      <c r="R1858" s="2"/>
      <c r="S1858" s="2" t="s">
        <v>12610</v>
      </c>
      <c r="T1858" s="2" t="s">
        <v>12611</v>
      </c>
      <c r="U1858" s="2" t="s">
        <v>266</v>
      </c>
      <c r="V1858" s="2" t="s">
        <v>445</v>
      </c>
      <c r="W1858" s="2" t="s">
        <v>12612</v>
      </c>
      <c r="X1858" s="2" t="s">
        <v>147</v>
      </c>
      <c r="Y1858" s="2">
        <v>36.9</v>
      </c>
      <c r="Z1858" s="2">
        <v>0</v>
      </c>
      <c r="AA1858" s="2" t="s">
        <v>478</v>
      </c>
      <c r="AB1858" s="2" t="s">
        <v>12613</v>
      </c>
      <c r="AC1858" s="2">
        <v>-2.59009032766832</v>
      </c>
      <c r="AD1858" s="2"/>
      <c r="AE1858" s="2">
        <v>0.35028295366420098</v>
      </c>
      <c r="AF1858" s="2">
        <v>5433.7288852034299</v>
      </c>
      <c r="AG1858" s="2">
        <v>8149.5704640071599</v>
      </c>
      <c r="AH1858" s="4">
        <v>0.66675034091694396</v>
      </c>
      <c r="AI1858" s="4">
        <v>-0.58478143744478095</v>
      </c>
      <c r="AJ1858" s="4" t="s">
        <v>62</v>
      </c>
      <c r="AK1858" s="2">
        <v>1.8655590770323999E-2</v>
      </c>
      <c r="AL1858" s="2">
        <v>0.21548296187434501</v>
      </c>
      <c r="AM1858" s="2">
        <v>4367.0496357689999</v>
      </c>
      <c r="AN1858" s="2">
        <v>4183.3655610657297</v>
      </c>
      <c r="AO1858" s="2">
        <v>3531.6275555575899</v>
      </c>
      <c r="AP1858" s="2">
        <v>6844.5741224756202</v>
      </c>
      <c r="AQ1858" s="2">
        <v>7178.3224818396302</v>
      </c>
      <c r="AR1858" s="2">
        <v>6497.4339545130097</v>
      </c>
      <c r="AS1858" s="2">
        <v>7438.3566356790998</v>
      </c>
      <c r="AT1858" s="2">
        <v>10374.488340555299</v>
      </c>
      <c r="AU1858" s="2">
        <v>5317.8223059214097</v>
      </c>
      <c r="AV1858" s="2">
        <v>9549.9284335660905</v>
      </c>
      <c r="AW1858" s="2">
        <v>7782.3265402213101</v>
      </c>
      <c r="AX1858" s="2">
        <v>8434.5005280997393</v>
      </c>
    </row>
    <row r="1859" spans="1:50" x14ac:dyDescent="0.25">
      <c r="A1859" s="2" t="s">
        <v>12614</v>
      </c>
      <c r="B1859" s="2">
        <v>346.089334528275</v>
      </c>
      <c r="C1859" s="2">
        <v>2.4557166666666701</v>
      </c>
      <c r="D1859" s="2" t="s">
        <v>51</v>
      </c>
      <c r="E1859" s="2" t="s">
        <v>12615</v>
      </c>
      <c r="F1859" s="2">
        <v>63673</v>
      </c>
      <c r="G1859" s="3" t="str">
        <f>HYPERLINK("https://cloud.oebiotech.com/#/lm/network/63673", "https://cloud.oebiotech.com/#/lm/network/63673")</f>
        <v>https://cloud.oebiotech.com/#/lm/network/63673</v>
      </c>
      <c r="H1859" s="2" t="s">
        <v>12616</v>
      </c>
      <c r="I1859" s="2">
        <v>95006</v>
      </c>
      <c r="J1859" s="2"/>
      <c r="K1859" s="2">
        <v>131752843</v>
      </c>
      <c r="L1859" s="2"/>
      <c r="M1859" s="2"/>
      <c r="N1859" s="2"/>
      <c r="O1859" s="2">
        <v>169086</v>
      </c>
      <c r="P1859" s="2"/>
      <c r="Q1859" s="2"/>
      <c r="R1859" s="2" t="s">
        <v>12617</v>
      </c>
      <c r="S1859" s="2" t="s">
        <v>12618</v>
      </c>
      <c r="T1859" s="2" t="s">
        <v>12619</v>
      </c>
      <c r="U1859" s="2" t="s">
        <v>103</v>
      </c>
      <c r="V1859" s="2" t="s">
        <v>104</v>
      </c>
      <c r="W1859" s="2" t="s">
        <v>105</v>
      </c>
      <c r="X1859" s="2" t="s">
        <v>147</v>
      </c>
      <c r="Y1859" s="2">
        <v>39</v>
      </c>
      <c r="Z1859" s="2">
        <v>3.16</v>
      </c>
      <c r="AA1859" s="2" t="s">
        <v>218</v>
      </c>
      <c r="AB1859" s="2" t="s">
        <v>12620</v>
      </c>
      <c r="AC1859" s="2">
        <v>0.43782744990404598</v>
      </c>
      <c r="AD1859" s="2"/>
      <c r="AE1859" s="2">
        <v>0.35023872580267601</v>
      </c>
      <c r="AF1859" s="2">
        <v>8.559877937157E-6</v>
      </c>
      <c r="AG1859" s="2">
        <v>4861.82423361567</v>
      </c>
      <c r="AH1859" s="4">
        <v>1.76063089199569E-9</v>
      </c>
      <c r="AI1859" s="4">
        <v>-29.081260367362599</v>
      </c>
      <c r="AJ1859" s="4" t="s">
        <v>62</v>
      </c>
      <c r="AK1859" s="2">
        <v>8.0120281159365703E-2</v>
      </c>
      <c r="AL1859" s="2">
        <v>0.36646695627361597</v>
      </c>
      <c r="AM1859" s="2">
        <v>8.559877937157E-6</v>
      </c>
      <c r="AN1859" s="2">
        <v>8.559877937157E-6</v>
      </c>
      <c r="AO1859" s="2">
        <v>8.559877937157E-6</v>
      </c>
      <c r="AP1859" s="2">
        <v>8.559877937157E-6</v>
      </c>
      <c r="AQ1859" s="2">
        <v>8.559877937157E-6</v>
      </c>
      <c r="AR1859" s="2">
        <v>8.559877937157E-6</v>
      </c>
      <c r="AS1859" s="2">
        <v>4871.29162638668</v>
      </c>
      <c r="AT1859" s="2">
        <v>14372.866920807801</v>
      </c>
      <c r="AU1859" s="2">
        <v>8.559877937157E-6</v>
      </c>
      <c r="AV1859" s="2">
        <v>9926.7868288199006</v>
      </c>
      <c r="AW1859" s="2">
        <v>8.559877937157E-6</v>
      </c>
      <c r="AX1859" s="2">
        <v>8.559877937157E-6</v>
      </c>
    </row>
    <row r="1860" spans="1:50" x14ac:dyDescent="0.25">
      <c r="A1860" s="2" t="s">
        <v>12621</v>
      </c>
      <c r="B1860" s="2">
        <v>422.32764941932999</v>
      </c>
      <c r="C1860" s="2">
        <v>9.6251166666666705</v>
      </c>
      <c r="D1860" s="2" t="s">
        <v>51</v>
      </c>
      <c r="E1860" s="2" t="s">
        <v>12622</v>
      </c>
      <c r="F1860" s="2">
        <v>198086</v>
      </c>
      <c r="G1860" s="3" t="str">
        <f>HYPERLINK("https://cloud.oebiotech.com/#/lm/network/198086", "https://cloud.oebiotech.com/#/lm/network/198086")</f>
        <v>https://cloud.oebiotech.com/#/lm/network/198086</v>
      </c>
      <c r="H1860" s="2" t="s">
        <v>12623</v>
      </c>
      <c r="I1860" s="2"/>
      <c r="J1860" s="2"/>
      <c r="K1860" s="2"/>
      <c r="L1860" s="2"/>
      <c r="M1860" s="2"/>
      <c r="N1860" s="2"/>
      <c r="O1860" s="2"/>
      <c r="P1860" s="2"/>
      <c r="Q1860" s="2"/>
      <c r="R1860" s="2"/>
      <c r="S1860" s="2" t="s">
        <v>12624</v>
      </c>
      <c r="T1860" s="2" t="s">
        <v>12625</v>
      </c>
      <c r="U1860" s="2" t="s">
        <v>56</v>
      </c>
      <c r="V1860" s="2" t="s">
        <v>145</v>
      </c>
      <c r="W1860" s="2" t="s">
        <v>1188</v>
      </c>
      <c r="X1860" s="2" t="s">
        <v>83</v>
      </c>
      <c r="Y1860" s="2">
        <v>46.6</v>
      </c>
      <c r="Z1860" s="2">
        <v>0.46700000000000003</v>
      </c>
      <c r="AA1860" s="2" t="s">
        <v>156</v>
      </c>
      <c r="AB1860" s="2" t="s">
        <v>12626</v>
      </c>
      <c r="AC1860" s="2">
        <v>2.64977165265929</v>
      </c>
      <c r="AD1860" s="2"/>
      <c r="AE1860" s="2">
        <v>0.35002734454891699</v>
      </c>
      <c r="AF1860" s="2">
        <v>31815.563378580198</v>
      </c>
      <c r="AG1860" s="2">
        <v>41683.605819410201</v>
      </c>
      <c r="AH1860" s="4">
        <v>0.76326322430976201</v>
      </c>
      <c r="AI1860" s="4">
        <v>-0.389747414083432</v>
      </c>
      <c r="AJ1860" s="4" t="s">
        <v>62</v>
      </c>
      <c r="AK1860" s="2">
        <v>0.465735575815511</v>
      </c>
      <c r="AL1860" s="2">
        <v>0.71329029553543499</v>
      </c>
      <c r="AM1860" s="2">
        <v>33332.077595480499</v>
      </c>
      <c r="AN1860" s="2">
        <v>31341.061582856601</v>
      </c>
      <c r="AO1860" s="2">
        <v>53154.138343026803</v>
      </c>
      <c r="AP1860" s="2">
        <v>48409.829415253502</v>
      </c>
      <c r="AQ1860" s="2">
        <v>14571.7706717773</v>
      </c>
      <c r="AR1860" s="2">
        <v>10084.502663086399</v>
      </c>
      <c r="AS1860" s="2">
        <v>38296.180539736102</v>
      </c>
      <c r="AT1860" s="2">
        <v>12013.3984364609</v>
      </c>
      <c r="AU1860" s="2">
        <v>76495.718920304294</v>
      </c>
      <c r="AV1860" s="2">
        <v>34486.636454317399</v>
      </c>
      <c r="AW1860" s="2">
        <v>70924.621026430497</v>
      </c>
      <c r="AX1860" s="2">
        <v>17885.079539212002</v>
      </c>
    </row>
    <row r="1861" spans="1:50" x14ac:dyDescent="0.25">
      <c r="A1861" s="2" t="s">
        <v>12627</v>
      </c>
      <c r="B1861" s="2">
        <v>194.081551805918</v>
      </c>
      <c r="C1861" s="2">
        <v>9.6842500000000005</v>
      </c>
      <c r="D1861" s="2" t="s">
        <v>51</v>
      </c>
      <c r="E1861" s="2" t="s">
        <v>12628</v>
      </c>
      <c r="F1861" s="2">
        <v>213406</v>
      </c>
      <c r="G1861" s="3" t="str">
        <f>HYPERLINK("https://cloud.oebiotech.com/#/lm/network/213406", "https://cloud.oebiotech.com/#/lm/network/213406")</f>
        <v>https://cloud.oebiotech.com/#/lm/network/213406</v>
      </c>
      <c r="H1861" s="2" t="s">
        <v>12629</v>
      </c>
      <c r="I1861" s="2"/>
      <c r="J1861" s="2"/>
      <c r="K1861" s="2">
        <v>91509235</v>
      </c>
      <c r="L1861" s="2"/>
      <c r="M1861" s="2"/>
      <c r="N1861" s="2"/>
      <c r="O1861" s="2"/>
      <c r="P1861" s="2"/>
      <c r="Q1861" s="2"/>
      <c r="R1861" s="2"/>
      <c r="S1861" s="2" t="s">
        <v>12630</v>
      </c>
      <c r="T1861" s="2" t="s">
        <v>12631</v>
      </c>
      <c r="U1861" s="2" t="s">
        <v>266</v>
      </c>
      <c r="V1861" s="2" t="s">
        <v>2143</v>
      </c>
      <c r="W1861" s="2" t="s">
        <v>12632</v>
      </c>
      <c r="X1861" s="2" t="s">
        <v>147</v>
      </c>
      <c r="Y1861" s="2">
        <v>39</v>
      </c>
      <c r="Z1861" s="2">
        <v>4.3600000000000003</v>
      </c>
      <c r="AA1861" s="2" t="s">
        <v>379</v>
      </c>
      <c r="AB1861" s="2" t="s">
        <v>12633</v>
      </c>
      <c r="AC1861" s="2">
        <v>-3.35540971219611</v>
      </c>
      <c r="AD1861" s="2"/>
      <c r="AE1861" s="2">
        <v>0.34993509925453598</v>
      </c>
      <c r="AF1861" s="2">
        <v>4540.7364294908602</v>
      </c>
      <c r="AG1861" s="2">
        <v>6777.2546357175197</v>
      </c>
      <c r="AH1861" s="4">
        <v>0.66999643270893905</v>
      </c>
      <c r="AI1861" s="4">
        <v>-0.57777468070027205</v>
      </c>
      <c r="AJ1861" s="4" t="s">
        <v>62</v>
      </c>
      <c r="AK1861" s="2">
        <v>6.0550287056734402E-5</v>
      </c>
      <c r="AL1861" s="2">
        <v>2.9957254521319299E-2</v>
      </c>
      <c r="AM1861" s="2">
        <v>4139.1932301482802</v>
      </c>
      <c r="AN1861" s="2">
        <v>4146.8072102888</v>
      </c>
      <c r="AO1861" s="2">
        <v>4174.6468108491099</v>
      </c>
      <c r="AP1861" s="2">
        <v>4757.3614476268303</v>
      </c>
      <c r="AQ1861" s="2">
        <v>5045.5053366457296</v>
      </c>
      <c r="AR1861" s="2">
        <v>4980.9045413864096</v>
      </c>
      <c r="AS1861" s="2">
        <v>6121.8882117764197</v>
      </c>
      <c r="AT1861" s="2">
        <v>7323.9104278310497</v>
      </c>
      <c r="AU1861" s="2">
        <v>5666.5106573480798</v>
      </c>
      <c r="AV1861" s="2">
        <v>7080.1807183514002</v>
      </c>
      <c r="AW1861" s="2">
        <v>7340.3241815510801</v>
      </c>
      <c r="AX1861" s="2">
        <v>7130.7136174471098</v>
      </c>
    </row>
    <row r="1862" spans="1:50" x14ac:dyDescent="0.25">
      <c r="A1862" s="2" t="s">
        <v>12634</v>
      </c>
      <c r="B1862" s="2">
        <v>637.25693078706797</v>
      </c>
      <c r="C1862" s="2">
        <v>3.7574999999999998</v>
      </c>
      <c r="D1862" s="2" t="s">
        <v>51</v>
      </c>
      <c r="E1862" s="2" t="s">
        <v>12635</v>
      </c>
      <c r="F1862" s="2">
        <v>53294</v>
      </c>
      <c r="G1862" s="3" t="str">
        <f>HYPERLINK("https://cloud.oebiotech.com/#/lm/network/53294", "https://cloud.oebiotech.com/#/lm/network/53294")</f>
        <v>https://cloud.oebiotech.com/#/lm/network/53294</v>
      </c>
      <c r="H1862" s="2" t="s">
        <v>12636</v>
      </c>
      <c r="I1862" s="2">
        <v>1598</v>
      </c>
      <c r="J1862" s="2"/>
      <c r="K1862" s="2">
        <v>4539</v>
      </c>
      <c r="L1862" s="2" t="s">
        <v>12637</v>
      </c>
      <c r="M1862" s="2"/>
      <c r="N1862" s="2"/>
      <c r="O1862" s="2">
        <v>100246</v>
      </c>
      <c r="P1862" s="2"/>
      <c r="Q1862" s="2"/>
      <c r="R1862" s="2" t="s">
        <v>12638</v>
      </c>
      <c r="S1862" s="2" t="s">
        <v>12639</v>
      </c>
      <c r="T1862" s="2" t="s">
        <v>12640</v>
      </c>
      <c r="U1862" s="2" t="s">
        <v>266</v>
      </c>
      <c r="V1862" s="2" t="s">
        <v>1393</v>
      </c>
      <c r="W1862" s="2" t="s">
        <v>1643</v>
      </c>
      <c r="X1862" s="2" t="s">
        <v>147</v>
      </c>
      <c r="Y1862" s="2">
        <v>38.5</v>
      </c>
      <c r="Z1862" s="2">
        <v>0.95699999999999996</v>
      </c>
      <c r="AA1862" s="2" t="s">
        <v>478</v>
      </c>
      <c r="AB1862" s="2" t="s">
        <v>12641</v>
      </c>
      <c r="AC1862" s="2">
        <v>-3.4971627433552901</v>
      </c>
      <c r="AD1862" s="2"/>
      <c r="AE1862" s="2">
        <v>0.34955392852315897</v>
      </c>
      <c r="AF1862" s="2">
        <v>11856.6287263948</v>
      </c>
      <c r="AG1862" s="2">
        <v>6023.2329244430803</v>
      </c>
      <c r="AH1862" s="5">
        <v>1.9684825201228799</v>
      </c>
      <c r="AI1862" s="5">
        <v>0.97708390160338099</v>
      </c>
      <c r="AJ1862" s="5" t="s">
        <v>139</v>
      </c>
      <c r="AK1862" s="2">
        <v>0.24346507898386299</v>
      </c>
      <c r="AL1862" s="2">
        <v>0.56795763219143303</v>
      </c>
      <c r="AM1862" s="2">
        <v>17032.243947257099</v>
      </c>
      <c r="AN1862" s="2">
        <v>8019.5016960143503</v>
      </c>
      <c r="AO1862" s="2">
        <v>14760.1390930909</v>
      </c>
      <c r="AP1862" s="2">
        <v>2263.9403570823501</v>
      </c>
      <c r="AQ1862" s="2">
        <v>2751.97096243945</v>
      </c>
      <c r="AR1862" s="2">
        <v>26311.976302484902</v>
      </c>
      <c r="AS1862" s="2">
        <v>8.559877937157E-6</v>
      </c>
      <c r="AT1862" s="2">
        <v>8.559877937157E-6</v>
      </c>
      <c r="AU1862" s="2">
        <v>4930.08835963822</v>
      </c>
      <c r="AV1862" s="2">
        <v>17203.7252802162</v>
      </c>
      <c r="AW1862" s="2">
        <v>10875.004695493801</v>
      </c>
      <c r="AX1862" s="2">
        <v>3130.57919419051</v>
      </c>
    </row>
    <row r="1863" spans="1:50" x14ac:dyDescent="0.25">
      <c r="A1863" s="2" t="s">
        <v>12642</v>
      </c>
      <c r="B1863" s="2">
        <v>693.47277994561705</v>
      </c>
      <c r="C1863" s="2">
        <v>14.667066666666701</v>
      </c>
      <c r="D1863" s="2" t="s">
        <v>51</v>
      </c>
      <c r="E1863" s="2" t="s">
        <v>12643</v>
      </c>
      <c r="F1863" s="2">
        <v>220055</v>
      </c>
      <c r="G1863" s="3" t="str">
        <f>HYPERLINK("https://cloud.oebiotech.com/#/lm/network/220055", "https://cloud.oebiotech.com/#/lm/network/220055")</f>
        <v>https://cloud.oebiotech.com/#/lm/network/220055</v>
      </c>
      <c r="H1863" s="2" t="s">
        <v>12644</v>
      </c>
      <c r="I1863" s="2"/>
      <c r="J1863" s="2"/>
      <c r="K1863" s="2"/>
      <c r="L1863" s="2"/>
      <c r="M1863" s="2"/>
      <c r="N1863" s="2"/>
      <c r="O1863" s="2"/>
      <c r="P1863" s="2"/>
      <c r="Q1863" s="2"/>
      <c r="R1863" s="2"/>
      <c r="S1863" s="2" t="s">
        <v>12645</v>
      </c>
      <c r="T1863" s="2" t="s">
        <v>12646</v>
      </c>
      <c r="U1863" s="2" t="s">
        <v>56</v>
      </c>
      <c r="V1863" s="2" t="s">
        <v>57</v>
      </c>
      <c r="W1863" s="2" t="s">
        <v>702</v>
      </c>
      <c r="X1863" s="2" t="s">
        <v>147</v>
      </c>
      <c r="Y1863" s="2">
        <v>36.6</v>
      </c>
      <c r="Z1863" s="2">
        <v>0</v>
      </c>
      <c r="AA1863" s="2" t="s">
        <v>259</v>
      </c>
      <c r="AB1863" s="2" t="s">
        <v>12647</v>
      </c>
      <c r="AC1863" s="2">
        <v>3.85360058594833</v>
      </c>
      <c r="AD1863" s="2"/>
      <c r="AE1863" s="2">
        <v>0.34940021504679902</v>
      </c>
      <c r="AF1863" s="2">
        <v>11320.2466665926</v>
      </c>
      <c r="AG1863" s="2">
        <v>8040.9164611688402</v>
      </c>
      <c r="AH1863" s="5">
        <v>1.4078304035690901</v>
      </c>
      <c r="AI1863" s="5">
        <v>0.49347354799021897</v>
      </c>
      <c r="AJ1863" s="5" t="s">
        <v>139</v>
      </c>
      <c r="AK1863" s="2">
        <v>0.18479299614707601</v>
      </c>
      <c r="AL1863" s="2">
        <v>0.50956212699235004</v>
      </c>
      <c r="AM1863" s="2">
        <v>16720.183920043601</v>
      </c>
      <c r="AN1863" s="2">
        <v>15420.928258721</v>
      </c>
      <c r="AO1863" s="2">
        <v>8747.2106306030091</v>
      </c>
      <c r="AP1863" s="2">
        <v>7871.13945275885</v>
      </c>
      <c r="AQ1863" s="2">
        <v>8623.2837565041991</v>
      </c>
      <c r="AR1863" s="2">
        <v>10538.733980925201</v>
      </c>
      <c r="AS1863" s="2">
        <v>11622.2237539368</v>
      </c>
      <c r="AT1863" s="2">
        <v>6879.9760911362</v>
      </c>
      <c r="AU1863" s="2">
        <v>11563.8157234382</v>
      </c>
      <c r="AV1863" s="2">
        <v>2904.2140951761598</v>
      </c>
      <c r="AW1863" s="2">
        <v>3554.1715296706998</v>
      </c>
      <c r="AX1863" s="2">
        <v>11721.097573655001</v>
      </c>
    </row>
    <row r="1864" spans="1:50" x14ac:dyDescent="0.25">
      <c r="A1864" s="2" t="s">
        <v>12648</v>
      </c>
      <c r="B1864" s="2">
        <v>147.04599999999999</v>
      </c>
      <c r="C1864" s="2">
        <v>20.619</v>
      </c>
      <c r="D1864" s="2" t="s">
        <v>125</v>
      </c>
      <c r="E1864" s="2" t="s">
        <v>12649</v>
      </c>
      <c r="F1864" s="2">
        <v>47128</v>
      </c>
      <c r="G1864" s="3" t="str">
        <f>HYPERLINK("https://cloud.oebiotech.com/#/lm/network/47128", "https://cloud.oebiotech.com/#/lm/network/47128")</f>
        <v>https://cloud.oebiotech.com/#/lm/network/47128</v>
      </c>
      <c r="H1864" s="2" t="s">
        <v>12650</v>
      </c>
      <c r="I1864" s="2">
        <v>345</v>
      </c>
      <c r="J1864" s="2"/>
      <c r="K1864" s="2">
        <v>10690</v>
      </c>
      <c r="L1864" s="2" t="s">
        <v>12651</v>
      </c>
      <c r="M1864" s="2" t="s">
        <v>12652</v>
      </c>
      <c r="N1864" s="2" t="s">
        <v>12653</v>
      </c>
      <c r="O1864" s="2">
        <v>33198</v>
      </c>
      <c r="P1864" s="2"/>
      <c r="Q1864" s="2"/>
      <c r="R1864" s="2" t="s">
        <v>12654</v>
      </c>
      <c r="S1864" s="2" t="s">
        <v>12655</v>
      </c>
      <c r="T1864" s="2" t="s">
        <v>12656</v>
      </c>
      <c r="U1864" s="2" t="s">
        <v>331</v>
      </c>
      <c r="V1864" s="2" t="s">
        <v>332</v>
      </c>
      <c r="W1864" s="2" t="s">
        <v>333</v>
      </c>
      <c r="X1864" s="2" t="s">
        <v>69</v>
      </c>
      <c r="Y1864" s="2">
        <v>97.5</v>
      </c>
      <c r="Z1864" s="2">
        <v>98.5</v>
      </c>
      <c r="AA1864" s="2"/>
      <c r="AB1864" s="2" t="s">
        <v>12657</v>
      </c>
      <c r="AC1864" s="2"/>
      <c r="AD1864" s="2">
        <v>696692.18162839301</v>
      </c>
      <c r="AE1864" s="2">
        <v>0.34936029557902099</v>
      </c>
      <c r="AF1864" s="2">
        <v>78067.209577654095</v>
      </c>
      <c r="AG1864" s="2">
        <v>267696.94639314298</v>
      </c>
      <c r="AH1864" s="4">
        <v>0.29162532718249201</v>
      </c>
      <c r="AI1864" s="4">
        <v>-1.77781207407765</v>
      </c>
      <c r="AJ1864" s="4" t="s">
        <v>62</v>
      </c>
      <c r="AK1864" s="2">
        <v>0.319909017093295</v>
      </c>
      <c r="AL1864" s="2">
        <v>0.62815539604974202</v>
      </c>
      <c r="AM1864" s="2">
        <v>88688.047857765807</v>
      </c>
      <c r="AN1864" s="2">
        <v>86710.624455351295</v>
      </c>
      <c r="AO1864" s="2">
        <v>50606.889611369901</v>
      </c>
      <c r="AP1864" s="2">
        <v>96551.1176486396</v>
      </c>
      <c r="AQ1864" s="2">
        <v>84467.002785422606</v>
      </c>
      <c r="AR1864" s="2">
        <v>61379.575107375502</v>
      </c>
      <c r="AS1864" s="2">
        <v>179883.26751064899</v>
      </c>
      <c r="AT1864" s="2">
        <v>1167725.13351692</v>
      </c>
      <c r="AU1864" s="2">
        <v>80866.289617221802</v>
      </c>
      <c r="AV1864" s="2">
        <v>65587.658099503198</v>
      </c>
      <c r="AW1864" s="2">
        <v>63160.340151242897</v>
      </c>
      <c r="AX1864" s="2">
        <v>48958.989463319303</v>
      </c>
    </row>
    <row r="1865" spans="1:50" x14ac:dyDescent="0.25">
      <c r="A1865" s="2" t="s">
        <v>12658</v>
      </c>
      <c r="B1865" s="2">
        <v>435.04432367383401</v>
      </c>
      <c r="C1865" s="2">
        <v>0.68473333333333297</v>
      </c>
      <c r="D1865" s="2" t="s">
        <v>51</v>
      </c>
      <c r="E1865" s="2" t="s">
        <v>12659</v>
      </c>
      <c r="F1865" s="2">
        <v>257665</v>
      </c>
      <c r="G1865" s="3" t="str">
        <f>HYPERLINK("https://cloud.oebiotech.com/#/lm/network/257665", "https://cloud.oebiotech.com/#/lm/network/257665")</f>
        <v>https://cloud.oebiotech.com/#/lm/network/257665</v>
      </c>
      <c r="H1865" s="2" t="s">
        <v>12660</v>
      </c>
      <c r="I1865" s="2"/>
      <c r="J1865" s="2"/>
      <c r="K1865" s="2">
        <v>68503634</v>
      </c>
      <c r="L1865" s="2"/>
      <c r="M1865" s="2"/>
      <c r="N1865" s="2"/>
      <c r="O1865" s="2"/>
      <c r="P1865" s="2"/>
      <c r="Q1865" s="2"/>
      <c r="R1865" s="2"/>
      <c r="S1865" s="2" t="s">
        <v>12661</v>
      </c>
      <c r="T1865" s="2" t="s">
        <v>12662</v>
      </c>
      <c r="U1865" s="2" t="s">
        <v>103</v>
      </c>
      <c r="V1865" s="2" t="s">
        <v>4820</v>
      </c>
      <c r="W1865" s="2" t="s">
        <v>4821</v>
      </c>
      <c r="X1865" s="2" t="s">
        <v>147</v>
      </c>
      <c r="Y1865" s="2">
        <v>37.5</v>
      </c>
      <c r="Z1865" s="2">
        <v>0.13</v>
      </c>
      <c r="AA1865" s="2" t="s">
        <v>478</v>
      </c>
      <c r="AB1865" s="2" t="s">
        <v>12663</v>
      </c>
      <c r="AC1865" s="2">
        <v>4.1538119726324796</v>
      </c>
      <c r="AD1865" s="2"/>
      <c r="AE1865" s="2">
        <v>0.34921470681962502</v>
      </c>
      <c r="AF1865" s="2">
        <v>3638.0204934397402</v>
      </c>
      <c r="AG1865" s="2">
        <v>10633.742943503899</v>
      </c>
      <c r="AH1865" s="4">
        <v>0.34212040979062602</v>
      </c>
      <c r="AI1865" s="4">
        <v>-1.5474239217216099</v>
      </c>
      <c r="AJ1865" s="4" t="s">
        <v>62</v>
      </c>
      <c r="AK1865" s="2">
        <v>0.33048012576663699</v>
      </c>
      <c r="AL1865" s="2">
        <v>0.63290471104282697</v>
      </c>
      <c r="AM1865" s="2">
        <v>8.559877937157E-6</v>
      </c>
      <c r="AN1865" s="2">
        <v>8.559877937157E-6</v>
      </c>
      <c r="AO1865" s="2">
        <v>8.559877937157E-6</v>
      </c>
      <c r="AP1865" s="2">
        <v>8.559877937157E-6</v>
      </c>
      <c r="AQ1865" s="2">
        <v>17523.685097264599</v>
      </c>
      <c r="AR1865" s="2">
        <v>4304.4378291343201</v>
      </c>
      <c r="AS1865" s="2">
        <v>32849.329496570703</v>
      </c>
      <c r="AT1865" s="2">
        <v>27254.5227702294</v>
      </c>
      <c r="AU1865" s="2">
        <v>8.559877937157E-6</v>
      </c>
      <c r="AV1865" s="2">
        <v>3698.60536854374</v>
      </c>
      <c r="AW1865" s="2">
        <v>8.559877937157E-6</v>
      </c>
      <c r="AX1865" s="2">
        <v>8.559877937157E-6</v>
      </c>
    </row>
    <row r="1866" spans="1:50" x14ac:dyDescent="0.25">
      <c r="A1866" s="2" t="s">
        <v>12664</v>
      </c>
      <c r="B1866" s="2">
        <v>546.281573367232</v>
      </c>
      <c r="C1866" s="2">
        <v>10.783149999999999</v>
      </c>
      <c r="D1866" s="2" t="s">
        <v>51</v>
      </c>
      <c r="E1866" s="2" t="s">
        <v>12665</v>
      </c>
      <c r="F1866" s="2">
        <v>257557</v>
      </c>
      <c r="G1866" s="3" t="str">
        <f>HYPERLINK("https://cloud.oebiotech.com/#/lm/network/257557", "https://cloud.oebiotech.com/#/lm/network/257557")</f>
        <v>https://cloud.oebiotech.com/#/lm/network/257557</v>
      </c>
      <c r="H1866" s="2" t="s">
        <v>12666</v>
      </c>
      <c r="I1866" s="2">
        <v>137334</v>
      </c>
      <c r="J1866" s="2"/>
      <c r="K1866" s="2">
        <v>20006954</v>
      </c>
      <c r="L1866" s="2"/>
      <c r="M1866" s="2"/>
      <c r="N1866" s="2"/>
      <c r="O1866" s="2"/>
      <c r="P1866" s="2"/>
      <c r="Q1866" s="2"/>
      <c r="R1866" s="2"/>
      <c r="S1866" s="2" t="s">
        <v>12667</v>
      </c>
      <c r="T1866" s="2" t="s">
        <v>12668</v>
      </c>
      <c r="U1866" s="2" t="s">
        <v>103</v>
      </c>
      <c r="V1866" s="2" t="s">
        <v>104</v>
      </c>
      <c r="W1866" s="2" t="s">
        <v>105</v>
      </c>
      <c r="X1866" s="2" t="s">
        <v>59</v>
      </c>
      <c r="Y1866" s="2">
        <v>45</v>
      </c>
      <c r="Z1866" s="2">
        <v>46.2</v>
      </c>
      <c r="AA1866" s="2" t="s">
        <v>379</v>
      </c>
      <c r="AB1866" s="2" t="s">
        <v>12669</v>
      </c>
      <c r="AC1866" s="2">
        <v>-3.2777122656140101</v>
      </c>
      <c r="AD1866" s="2"/>
      <c r="AE1866" s="2">
        <v>0.349099384070787</v>
      </c>
      <c r="AF1866" s="2">
        <v>5974.7391691903404</v>
      </c>
      <c r="AG1866" s="2">
        <v>9414.6095848314199</v>
      </c>
      <c r="AH1866" s="4">
        <v>0.63462420988934898</v>
      </c>
      <c r="AI1866" s="4">
        <v>-0.65602553609464997</v>
      </c>
      <c r="AJ1866" s="4" t="s">
        <v>62</v>
      </c>
      <c r="AK1866" s="2">
        <v>2.2395693920522999E-2</v>
      </c>
      <c r="AL1866" s="2">
        <v>0.23286030614035899</v>
      </c>
      <c r="AM1866" s="2">
        <v>4474.9756216134301</v>
      </c>
      <c r="AN1866" s="2">
        <v>6199.1876306813401</v>
      </c>
      <c r="AO1866" s="2">
        <v>10411.5961393865</v>
      </c>
      <c r="AP1866" s="2">
        <v>5914.0456920510996</v>
      </c>
      <c r="AQ1866" s="2">
        <v>4877.5763421395504</v>
      </c>
      <c r="AR1866" s="2">
        <v>3971.0535892701</v>
      </c>
      <c r="AS1866" s="2">
        <v>6939.0052751041703</v>
      </c>
      <c r="AT1866" s="2">
        <v>10117.748337479599</v>
      </c>
      <c r="AU1866" s="2">
        <v>8720.4324304619495</v>
      </c>
      <c r="AV1866" s="2">
        <v>12702.935517898701</v>
      </c>
      <c r="AW1866" s="2">
        <v>10289.9653646105</v>
      </c>
      <c r="AX1866" s="2">
        <v>7717.5705834336104</v>
      </c>
    </row>
    <row r="1867" spans="1:50" x14ac:dyDescent="0.25">
      <c r="A1867" s="2" t="s">
        <v>12670</v>
      </c>
      <c r="B1867" s="2">
        <v>86.060845340564796</v>
      </c>
      <c r="C1867" s="2">
        <v>1.30125</v>
      </c>
      <c r="D1867" s="2" t="s">
        <v>51</v>
      </c>
      <c r="E1867" s="2" t="s">
        <v>12671</v>
      </c>
      <c r="F1867" s="2">
        <v>61786</v>
      </c>
      <c r="G1867" s="3" t="str">
        <f>HYPERLINK("https://cloud.oebiotech.com/#/lm/network/61786", "https://cloud.oebiotech.com/#/lm/network/61786")</f>
        <v>https://cloud.oebiotech.com/#/lm/network/61786</v>
      </c>
      <c r="H1867" s="2" t="s">
        <v>12672</v>
      </c>
      <c r="I1867" s="2">
        <v>93101</v>
      </c>
      <c r="J1867" s="2"/>
      <c r="K1867" s="2">
        <v>112720</v>
      </c>
      <c r="L1867" s="2"/>
      <c r="M1867" s="2"/>
      <c r="N1867" s="2"/>
      <c r="O1867" s="2">
        <v>173361</v>
      </c>
      <c r="P1867" s="2"/>
      <c r="Q1867" s="2"/>
      <c r="R1867" s="2" t="s">
        <v>12673</v>
      </c>
      <c r="S1867" s="2" t="s">
        <v>12674</v>
      </c>
      <c r="T1867" s="2" t="s">
        <v>12675</v>
      </c>
      <c r="U1867" s="2" t="s">
        <v>103</v>
      </c>
      <c r="V1867" s="2" t="s">
        <v>104</v>
      </c>
      <c r="W1867" s="2" t="s">
        <v>9173</v>
      </c>
      <c r="X1867" s="2" t="s">
        <v>83</v>
      </c>
      <c r="Y1867" s="2">
        <v>39.5</v>
      </c>
      <c r="Z1867" s="2">
        <v>0</v>
      </c>
      <c r="AA1867" s="2" t="s">
        <v>156</v>
      </c>
      <c r="AB1867" s="2" t="s">
        <v>12676</v>
      </c>
      <c r="AC1867" s="2">
        <v>7.8112945339726698</v>
      </c>
      <c r="AD1867" s="2"/>
      <c r="AE1867" s="2">
        <v>0.348898027891411</v>
      </c>
      <c r="AF1867" s="2">
        <v>25698.176946470801</v>
      </c>
      <c r="AG1867" s="2">
        <v>29281.238118622099</v>
      </c>
      <c r="AH1867" s="4">
        <v>0.87763286655994999</v>
      </c>
      <c r="AI1867" s="4">
        <v>-0.18831054050543</v>
      </c>
      <c r="AJ1867" s="4" t="s">
        <v>62</v>
      </c>
      <c r="AK1867" s="2">
        <v>9.9808164180825401E-2</v>
      </c>
      <c r="AL1867" s="2">
        <v>0.40172900346892498</v>
      </c>
      <c r="AM1867" s="2">
        <v>24710.040344315101</v>
      </c>
      <c r="AN1867" s="2">
        <v>26071.281792765702</v>
      </c>
      <c r="AO1867" s="2">
        <v>22770.775147078799</v>
      </c>
      <c r="AP1867" s="2">
        <v>28980.639600848699</v>
      </c>
      <c r="AQ1867" s="2">
        <v>26889.021568178101</v>
      </c>
      <c r="AR1867" s="2">
        <v>24767.303225638301</v>
      </c>
      <c r="AS1867" s="2">
        <v>25180.197425123901</v>
      </c>
      <c r="AT1867" s="2">
        <v>29338.296039759902</v>
      </c>
      <c r="AU1867" s="2">
        <v>26752.721283024599</v>
      </c>
      <c r="AV1867" s="2">
        <v>25754.5853792161</v>
      </c>
      <c r="AW1867" s="2">
        <v>36292.821334431399</v>
      </c>
      <c r="AX1867" s="2">
        <v>32368.8072501766</v>
      </c>
    </row>
    <row r="1868" spans="1:50" x14ac:dyDescent="0.25">
      <c r="A1868" s="2" t="s">
        <v>12677</v>
      </c>
      <c r="B1868" s="2">
        <v>315.19680150020099</v>
      </c>
      <c r="C1868" s="2">
        <v>9.1713500000000003</v>
      </c>
      <c r="D1868" s="2" t="s">
        <v>51</v>
      </c>
      <c r="E1868" s="2" t="s">
        <v>12678</v>
      </c>
      <c r="F1868" s="2">
        <v>4898</v>
      </c>
      <c r="G1868" s="3" t="str">
        <f>HYPERLINK("https://cloud.oebiotech.com/#/lm/network/4898", "https://cloud.oebiotech.com/#/lm/network/4898")</f>
        <v>https://cloud.oebiotech.com/#/lm/network/4898</v>
      </c>
      <c r="H1868" s="2"/>
      <c r="I1868" s="2"/>
      <c r="J1868" s="2" t="s">
        <v>12679</v>
      </c>
      <c r="K1868" s="2">
        <v>101563155</v>
      </c>
      <c r="L1868" s="2"/>
      <c r="M1868" s="2"/>
      <c r="N1868" s="2"/>
      <c r="O1868" s="2"/>
      <c r="P1868" s="2"/>
      <c r="Q1868" s="2"/>
      <c r="R1868" s="2"/>
      <c r="S1868" s="2" t="s">
        <v>12680</v>
      </c>
      <c r="T1868" s="2" t="s">
        <v>12681</v>
      </c>
      <c r="U1868" s="2" t="s">
        <v>103</v>
      </c>
      <c r="V1868" s="2" t="s">
        <v>377</v>
      </c>
      <c r="W1868" s="2" t="s">
        <v>378</v>
      </c>
      <c r="X1868" s="2" t="s">
        <v>83</v>
      </c>
      <c r="Y1868" s="2">
        <v>49.6</v>
      </c>
      <c r="Z1868" s="2">
        <v>0</v>
      </c>
      <c r="AA1868" s="2" t="s">
        <v>11323</v>
      </c>
      <c r="AB1868" s="2" t="s">
        <v>212</v>
      </c>
      <c r="AC1868" s="2">
        <v>0.69769541514164402</v>
      </c>
      <c r="AD1868" s="2"/>
      <c r="AE1868" s="2">
        <v>0.34832909004082202</v>
      </c>
      <c r="AF1868" s="2">
        <v>8909.8065390241609</v>
      </c>
      <c r="AG1868" s="2">
        <v>5301.9934578865996</v>
      </c>
      <c r="AH1868" s="5">
        <v>1.68046351052565</v>
      </c>
      <c r="AI1868" s="5">
        <v>0.74885921640061504</v>
      </c>
      <c r="AJ1868" s="5" t="s">
        <v>139</v>
      </c>
      <c r="AK1868" s="2">
        <v>2.9814794995942601E-2</v>
      </c>
      <c r="AL1868" s="2">
        <v>0.25908320162100301</v>
      </c>
      <c r="AM1868" s="2">
        <v>5908.4565441264904</v>
      </c>
      <c r="AN1868" s="2">
        <v>13113.122042634999</v>
      </c>
      <c r="AO1868" s="2">
        <v>9420.3472897513002</v>
      </c>
      <c r="AP1868" s="2">
        <v>9040.8107035277208</v>
      </c>
      <c r="AQ1868" s="2">
        <v>5638.3348844341699</v>
      </c>
      <c r="AR1868" s="2">
        <v>10337.767769670299</v>
      </c>
      <c r="AS1868" s="2">
        <v>6754.2488881877298</v>
      </c>
      <c r="AT1868" s="2">
        <v>3272.8323429462698</v>
      </c>
      <c r="AU1868" s="2">
        <v>8434.0694177038495</v>
      </c>
      <c r="AV1868" s="2">
        <v>3352.3106956677998</v>
      </c>
      <c r="AW1868" s="2">
        <v>5785.4293322001004</v>
      </c>
      <c r="AX1868" s="2">
        <v>4213.0700706138596</v>
      </c>
    </row>
    <row r="1869" spans="1:50" x14ac:dyDescent="0.25">
      <c r="A1869" s="2" t="s">
        <v>12682</v>
      </c>
      <c r="B1869" s="2">
        <v>475.209199562538</v>
      </c>
      <c r="C1869" s="2">
        <v>5.8746499999999999</v>
      </c>
      <c r="D1869" s="2" t="s">
        <v>51</v>
      </c>
      <c r="E1869" s="2" t="s">
        <v>12683</v>
      </c>
      <c r="F1869" s="2">
        <v>205822</v>
      </c>
      <c r="G1869" s="3" t="str">
        <f>HYPERLINK("https://cloud.oebiotech.com/#/lm/network/205822", "https://cloud.oebiotech.com/#/lm/network/205822")</f>
        <v>https://cloud.oebiotech.com/#/lm/network/205822</v>
      </c>
      <c r="H1869" s="2" t="s">
        <v>12684</v>
      </c>
      <c r="I1869" s="2"/>
      <c r="J1869" s="2"/>
      <c r="K1869" s="2">
        <v>10252115</v>
      </c>
      <c r="L1869" s="2"/>
      <c r="M1869" s="2"/>
      <c r="N1869" s="2"/>
      <c r="O1869" s="2"/>
      <c r="P1869" s="2"/>
      <c r="Q1869" s="2"/>
      <c r="R1869" s="2"/>
      <c r="S1869" s="2" t="s">
        <v>12685</v>
      </c>
      <c r="T1869" s="2" t="s">
        <v>12686</v>
      </c>
      <c r="U1869" s="2" t="s">
        <v>266</v>
      </c>
      <c r="V1869" s="2" t="s">
        <v>2143</v>
      </c>
      <c r="W1869" s="2" t="s">
        <v>6504</v>
      </c>
      <c r="X1869" s="2" t="s">
        <v>147</v>
      </c>
      <c r="Y1869" s="2">
        <v>39.4</v>
      </c>
      <c r="Z1869" s="2">
        <v>7.16</v>
      </c>
      <c r="AA1869" s="2" t="s">
        <v>218</v>
      </c>
      <c r="AB1869" s="2" t="s">
        <v>12687</v>
      </c>
      <c r="AC1869" s="2">
        <v>1.41791899214023</v>
      </c>
      <c r="AD1869" s="2"/>
      <c r="AE1869" s="2">
        <v>0.34827380012924802</v>
      </c>
      <c r="AF1869" s="2">
        <v>6870.3974414139102</v>
      </c>
      <c r="AG1869" s="2">
        <v>736.16426874482295</v>
      </c>
      <c r="AH1869" s="5">
        <v>9.3326961564272892</v>
      </c>
      <c r="AI1869" s="5">
        <v>3.2222939266926498</v>
      </c>
      <c r="AJ1869" s="5" t="s">
        <v>139</v>
      </c>
      <c r="AK1869" s="2">
        <v>0.14648091941195099</v>
      </c>
      <c r="AL1869" s="2">
        <v>0.46813495501649</v>
      </c>
      <c r="AM1869" s="2">
        <v>2760.0749609798199</v>
      </c>
      <c r="AN1869" s="2">
        <v>1210.2787745118401</v>
      </c>
      <c r="AO1869" s="2">
        <v>965.44673033645597</v>
      </c>
      <c r="AP1869" s="2">
        <v>1575.43634995355</v>
      </c>
      <c r="AQ1869" s="2">
        <v>25202.159029681501</v>
      </c>
      <c r="AR1869" s="2">
        <v>9508.9888030203001</v>
      </c>
      <c r="AS1869" s="2">
        <v>1105.6966072314001</v>
      </c>
      <c r="AT1869" s="2">
        <v>942.06990251868501</v>
      </c>
      <c r="AU1869" s="2">
        <v>1010.02773630892</v>
      </c>
      <c r="AV1869" s="2">
        <v>492.24297999955797</v>
      </c>
      <c r="AW1869" s="2">
        <v>217.56455890808101</v>
      </c>
      <c r="AX1869" s="2">
        <v>649.383827502293</v>
      </c>
    </row>
    <row r="1870" spans="1:50" x14ac:dyDescent="0.25">
      <c r="A1870" s="2" t="s">
        <v>12688</v>
      </c>
      <c r="B1870" s="2">
        <v>315.19592993100002</v>
      </c>
      <c r="C1870" s="2">
        <v>10.470333333333301</v>
      </c>
      <c r="D1870" s="2" t="s">
        <v>51</v>
      </c>
      <c r="E1870" s="2" t="s">
        <v>12689</v>
      </c>
      <c r="F1870" s="2">
        <v>257825</v>
      </c>
      <c r="G1870" s="3" t="str">
        <f>HYPERLINK("https://cloud.oebiotech.com/#/lm/network/257825", "https://cloud.oebiotech.com/#/lm/network/257825")</f>
        <v>https://cloud.oebiotech.com/#/lm/network/257825</v>
      </c>
      <c r="H1870" s="2"/>
      <c r="I1870" s="2">
        <v>871</v>
      </c>
      <c r="J1870" s="2"/>
      <c r="K1870" s="2">
        <v>6437087</v>
      </c>
      <c r="L1870" s="2"/>
      <c r="M1870" s="2"/>
      <c r="N1870" s="2"/>
      <c r="O1870" s="2"/>
      <c r="P1870" s="2"/>
      <c r="Q1870" s="2"/>
      <c r="R1870" s="2" t="s">
        <v>12690</v>
      </c>
      <c r="S1870" s="2" t="s">
        <v>12691</v>
      </c>
      <c r="T1870" s="2" t="s">
        <v>12692</v>
      </c>
      <c r="U1870" s="2" t="s">
        <v>56</v>
      </c>
      <c r="V1870" s="2" t="s">
        <v>177</v>
      </c>
      <c r="W1870" s="2" t="s">
        <v>3987</v>
      </c>
      <c r="X1870" s="2" t="s">
        <v>69</v>
      </c>
      <c r="Y1870" s="2">
        <v>55.2</v>
      </c>
      <c r="Z1870" s="2">
        <v>64.400000000000006</v>
      </c>
      <c r="AA1870" s="2" t="s">
        <v>259</v>
      </c>
      <c r="AB1870" s="2" t="s">
        <v>3988</v>
      </c>
      <c r="AC1870" s="2">
        <v>1.4602919777249901</v>
      </c>
      <c r="AD1870" s="2"/>
      <c r="AE1870" s="2">
        <v>0.34826719408303403</v>
      </c>
      <c r="AF1870" s="2">
        <v>12575.869646193099</v>
      </c>
      <c r="AG1870" s="2">
        <v>9074.6980017706901</v>
      </c>
      <c r="AH1870" s="5">
        <v>1.3858168771830499</v>
      </c>
      <c r="AI1870" s="5">
        <v>0.47073663133207799</v>
      </c>
      <c r="AJ1870" s="5" t="s">
        <v>139</v>
      </c>
      <c r="AK1870" s="2">
        <v>0.14502239192715799</v>
      </c>
      <c r="AL1870" s="2">
        <v>0.46795150714190697</v>
      </c>
      <c r="AM1870" s="2">
        <v>13340.2599012434</v>
      </c>
      <c r="AN1870" s="2">
        <v>17630.870736967601</v>
      </c>
      <c r="AO1870" s="2">
        <v>10621.0886898964</v>
      </c>
      <c r="AP1870" s="2">
        <v>13411.4558374555</v>
      </c>
      <c r="AQ1870" s="2">
        <v>8074.2694041175901</v>
      </c>
      <c r="AR1870" s="2">
        <v>12377.273307478399</v>
      </c>
      <c r="AS1870" s="2">
        <v>10046.074784594401</v>
      </c>
      <c r="AT1870" s="2">
        <v>8140.9427233791002</v>
      </c>
      <c r="AU1870" s="2">
        <v>17422.818065710599</v>
      </c>
      <c r="AV1870" s="2">
        <v>5360.2079917245901</v>
      </c>
      <c r="AW1870" s="2">
        <v>6717.7530200483297</v>
      </c>
      <c r="AX1870" s="2">
        <v>6760.3914251671104</v>
      </c>
    </row>
    <row r="1871" spans="1:50" x14ac:dyDescent="0.25">
      <c r="A1871" s="2" t="s">
        <v>12693</v>
      </c>
      <c r="B1871" s="2">
        <v>480.30059242846198</v>
      </c>
      <c r="C1871" s="2">
        <v>8.59643333333333</v>
      </c>
      <c r="D1871" s="2" t="s">
        <v>51</v>
      </c>
      <c r="E1871" s="2" t="s">
        <v>12694</v>
      </c>
      <c r="F1871" s="2">
        <v>257014</v>
      </c>
      <c r="G1871" s="3" t="str">
        <f>HYPERLINK("https://cloud.oebiotech.com/#/lm/network/257014", "https://cloud.oebiotech.com/#/lm/network/257014")</f>
        <v>https://cloud.oebiotech.com/#/lm/network/257014</v>
      </c>
      <c r="H1871" s="2" t="s">
        <v>12695</v>
      </c>
      <c r="I1871" s="2"/>
      <c r="J1871" s="2"/>
      <c r="K1871" s="2">
        <v>74427964</v>
      </c>
      <c r="L1871" s="2"/>
      <c r="M1871" s="2"/>
      <c r="N1871" s="2"/>
      <c r="O1871" s="2"/>
      <c r="P1871" s="2"/>
      <c r="Q1871" s="2"/>
      <c r="R1871" s="2"/>
      <c r="S1871" s="2" t="s">
        <v>12696</v>
      </c>
      <c r="T1871" s="2" t="s">
        <v>12697</v>
      </c>
      <c r="U1871" s="2" t="s">
        <v>56</v>
      </c>
      <c r="V1871" s="2" t="s">
        <v>177</v>
      </c>
      <c r="W1871" s="2" t="s">
        <v>3270</v>
      </c>
      <c r="X1871" s="2" t="s">
        <v>147</v>
      </c>
      <c r="Y1871" s="2">
        <v>36.700000000000003</v>
      </c>
      <c r="Z1871" s="2">
        <v>0</v>
      </c>
      <c r="AA1871" s="2" t="s">
        <v>395</v>
      </c>
      <c r="AB1871" s="2" t="s">
        <v>12698</v>
      </c>
      <c r="AC1871" s="2">
        <v>1.27804103737555</v>
      </c>
      <c r="AD1871" s="2"/>
      <c r="AE1871" s="2">
        <v>0.34817653623853401</v>
      </c>
      <c r="AF1871" s="2">
        <v>7516.4325477990296</v>
      </c>
      <c r="AG1871" s="2">
        <v>10500.7316975873</v>
      </c>
      <c r="AH1871" s="4">
        <v>0.71580083790980198</v>
      </c>
      <c r="AI1871" s="4">
        <v>-0.482369862326683</v>
      </c>
      <c r="AJ1871" s="4" t="s">
        <v>62</v>
      </c>
      <c r="AK1871" s="2">
        <v>8.3066909566587594E-3</v>
      </c>
      <c r="AL1871" s="2">
        <v>0.149900300738943</v>
      </c>
      <c r="AM1871" s="2">
        <v>6167.7930443733203</v>
      </c>
      <c r="AN1871" s="2">
        <v>8388.7267383660401</v>
      </c>
      <c r="AO1871" s="2">
        <v>7173.48555383652</v>
      </c>
      <c r="AP1871" s="2">
        <v>9544.7088865181995</v>
      </c>
      <c r="AQ1871" s="2">
        <v>7640.9448920488503</v>
      </c>
      <c r="AR1871" s="2">
        <v>6182.9361716512503</v>
      </c>
      <c r="AS1871" s="2">
        <v>9818.3701706414595</v>
      </c>
      <c r="AT1871" s="2">
        <v>13602.8251444658</v>
      </c>
      <c r="AU1871" s="2">
        <v>8979.3896562290502</v>
      </c>
      <c r="AV1871" s="2">
        <v>11016.040610023099</v>
      </c>
      <c r="AW1871" s="2">
        <v>8657.8865008833</v>
      </c>
      <c r="AX1871" s="2">
        <v>10929.8781032813</v>
      </c>
    </row>
    <row r="1872" spans="1:50" x14ac:dyDescent="0.25">
      <c r="A1872" s="2" t="s">
        <v>12699</v>
      </c>
      <c r="B1872" s="2">
        <v>563.962315990295</v>
      </c>
      <c r="C1872" s="2">
        <v>4.2577833333333297</v>
      </c>
      <c r="D1872" s="2" t="s">
        <v>51</v>
      </c>
      <c r="E1872" s="2" t="s">
        <v>12700</v>
      </c>
      <c r="F1872" s="2">
        <v>294421</v>
      </c>
      <c r="G1872" s="3" t="str">
        <f>HYPERLINK("https://cloud.oebiotech.com/#/lm/network/294421", "https://cloud.oebiotech.com/#/lm/network/294421")</f>
        <v>https://cloud.oebiotech.com/#/lm/network/294421</v>
      </c>
      <c r="H1872" s="2"/>
      <c r="I1872" s="2">
        <v>318483</v>
      </c>
      <c r="J1872" s="2"/>
      <c r="K1872" s="2">
        <v>77222</v>
      </c>
      <c r="L1872" s="2"/>
      <c r="M1872" s="2"/>
      <c r="N1872" s="2"/>
      <c r="O1872" s="2"/>
      <c r="P1872" s="2"/>
      <c r="Q1872" s="2"/>
      <c r="R1872" s="2"/>
      <c r="S1872" s="2" t="s">
        <v>12701</v>
      </c>
      <c r="T1872" s="2" t="s">
        <v>12702</v>
      </c>
      <c r="U1872" s="2" t="s">
        <v>1357</v>
      </c>
      <c r="V1872" s="2" t="s">
        <v>4878</v>
      </c>
      <c r="W1872" s="2" t="s">
        <v>4879</v>
      </c>
      <c r="X1872" s="2" t="s">
        <v>147</v>
      </c>
      <c r="Y1872" s="2">
        <v>37.200000000000003</v>
      </c>
      <c r="Z1872" s="2">
        <v>0</v>
      </c>
      <c r="AA1872" s="2" t="s">
        <v>122</v>
      </c>
      <c r="AB1872" s="2" t="s">
        <v>12703</v>
      </c>
      <c r="AC1872" s="2">
        <v>-3.2023329576703898</v>
      </c>
      <c r="AD1872" s="2"/>
      <c r="AE1872" s="2">
        <v>0.34805518492861398</v>
      </c>
      <c r="AF1872" s="2">
        <v>33376.756933448902</v>
      </c>
      <c r="AG1872" s="2">
        <v>43328.037803699699</v>
      </c>
      <c r="AH1872" s="4">
        <v>0.77032698975809399</v>
      </c>
      <c r="AI1872" s="4">
        <v>-0.37645712133390102</v>
      </c>
      <c r="AJ1872" s="4" t="s">
        <v>62</v>
      </c>
      <c r="AK1872" s="2">
        <v>0.61576222163868999</v>
      </c>
      <c r="AL1872" s="2">
        <v>0.80951734053784297</v>
      </c>
      <c r="AM1872" s="2">
        <v>53513.236786779402</v>
      </c>
      <c r="AN1872" s="2">
        <v>28568.9161819375</v>
      </c>
      <c r="AO1872" s="2">
        <v>35254.578298902903</v>
      </c>
      <c r="AP1872" s="2">
        <v>14735.210318117801</v>
      </c>
      <c r="AQ1872" s="2">
        <v>5394.55899662307</v>
      </c>
      <c r="AR1872" s="2">
        <v>62794.041018332799</v>
      </c>
      <c r="AS1872" s="2">
        <v>8.559877937157E-6</v>
      </c>
      <c r="AT1872" s="2">
        <v>1408.7936123023901</v>
      </c>
      <c r="AU1872" s="2">
        <v>31662.4520346188</v>
      </c>
      <c r="AV1872" s="2">
        <v>98871.014372596794</v>
      </c>
      <c r="AW1872" s="2">
        <v>85633.211874506407</v>
      </c>
      <c r="AX1872" s="2">
        <v>42392.754919614097</v>
      </c>
    </row>
    <row r="1873" spans="1:50" x14ac:dyDescent="0.25">
      <c r="A1873" s="2" t="s">
        <v>12704</v>
      </c>
      <c r="B1873" s="2">
        <v>595.43577451646297</v>
      </c>
      <c r="C1873" s="2">
        <v>14.459250000000001</v>
      </c>
      <c r="D1873" s="2" t="s">
        <v>51</v>
      </c>
      <c r="E1873" s="2" t="s">
        <v>12705</v>
      </c>
      <c r="F1873" s="2">
        <v>10882</v>
      </c>
      <c r="G1873" s="3" t="str">
        <f>HYPERLINK("https://cloud.oebiotech.com/#/lm/network/10882", "https://cloud.oebiotech.com/#/lm/network/10882")</f>
        <v>https://cloud.oebiotech.com/#/lm/network/10882</v>
      </c>
      <c r="H1873" s="2"/>
      <c r="I1873" s="2">
        <v>98387</v>
      </c>
      <c r="J1873" s="2" t="s">
        <v>12706</v>
      </c>
      <c r="K1873" s="2">
        <v>56936336</v>
      </c>
      <c r="L1873" s="2"/>
      <c r="M1873" s="2"/>
      <c r="N1873" s="2"/>
      <c r="O1873" s="2"/>
      <c r="P1873" s="2"/>
      <c r="Q1873" s="2"/>
      <c r="R1873" s="2"/>
      <c r="S1873" s="2" t="s">
        <v>12707</v>
      </c>
      <c r="T1873" s="2" t="s">
        <v>12708</v>
      </c>
      <c r="U1873" s="2" t="s">
        <v>56</v>
      </c>
      <c r="V1873" s="2" t="s">
        <v>3215</v>
      </c>
      <c r="W1873" s="2" t="s">
        <v>3216</v>
      </c>
      <c r="X1873" s="2" t="s">
        <v>147</v>
      </c>
      <c r="Y1873" s="2">
        <v>36.799999999999997</v>
      </c>
      <c r="Z1873" s="2">
        <v>0</v>
      </c>
      <c r="AA1873" s="2" t="s">
        <v>95</v>
      </c>
      <c r="AB1873" s="2" t="s">
        <v>12709</v>
      </c>
      <c r="AC1873" s="2">
        <v>4.3302299229005099</v>
      </c>
      <c r="AD1873" s="2"/>
      <c r="AE1873" s="2">
        <v>0.34799575835847302</v>
      </c>
      <c r="AF1873" s="2">
        <v>15139.9134204862</v>
      </c>
      <c r="AG1873" s="2">
        <v>10194.509306100501</v>
      </c>
      <c r="AH1873" s="5">
        <v>1.4851046740843501</v>
      </c>
      <c r="AI1873" s="5">
        <v>0.57056461955155202</v>
      </c>
      <c r="AJ1873" s="5" t="s">
        <v>139</v>
      </c>
      <c r="AK1873" s="2">
        <v>0.24144998684873101</v>
      </c>
      <c r="AL1873" s="2">
        <v>0.56524770370204702</v>
      </c>
      <c r="AM1873" s="2">
        <v>8158.0362902250899</v>
      </c>
      <c r="AN1873" s="2">
        <v>30206.496298168</v>
      </c>
      <c r="AO1873" s="2">
        <v>18046.869767993201</v>
      </c>
      <c r="AP1873" s="2">
        <v>16364.498350686101</v>
      </c>
      <c r="AQ1873" s="2">
        <v>6552.1682536590597</v>
      </c>
      <c r="AR1873" s="2">
        <v>11511.4115621859</v>
      </c>
      <c r="AS1873" s="2">
        <v>2036.90149101058</v>
      </c>
      <c r="AT1873" s="2">
        <v>10828.8822817625</v>
      </c>
      <c r="AU1873" s="2">
        <v>14780.4857235938</v>
      </c>
      <c r="AV1873" s="2">
        <v>10066.050164848401</v>
      </c>
      <c r="AW1873" s="2">
        <v>9739.9171127310801</v>
      </c>
      <c r="AX1873" s="2">
        <v>13714.819062656599</v>
      </c>
    </row>
    <row r="1874" spans="1:50" x14ac:dyDescent="0.25">
      <c r="A1874" s="2" t="s">
        <v>12710</v>
      </c>
      <c r="B1874" s="2">
        <v>443.20537823366499</v>
      </c>
      <c r="C1874" s="2">
        <v>8.7919833333333308</v>
      </c>
      <c r="D1874" s="2" t="s">
        <v>51</v>
      </c>
      <c r="E1874" s="2" t="s">
        <v>12711</v>
      </c>
      <c r="F1874" s="2">
        <v>267528</v>
      </c>
      <c r="G1874" s="3" t="str">
        <f>HYPERLINK("https://cloud.oebiotech.com/#/lm/network/267528", "https://cloud.oebiotech.com/#/lm/network/267528")</f>
        <v>https://cloud.oebiotech.com/#/lm/network/267528</v>
      </c>
      <c r="H1874" s="2"/>
      <c r="I1874" s="2">
        <v>45629</v>
      </c>
      <c r="J1874" s="2"/>
      <c r="K1874" s="2">
        <v>5282428</v>
      </c>
      <c r="L1874" s="2"/>
      <c r="M1874" s="2"/>
      <c r="N1874" s="2"/>
      <c r="O1874" s="2"/>
      <c r="P1874" s="2"/>
      <c r="Q1874" s="2"/>
      <c r="R1874" s="2" t="s">
        <v>12712</v>
      </c>
      <c r="S1874" s="2" t="s">
        <v>12713</v>
      </c>
      <c r="T1874" s="2" t="s">
        <v>12714</v>
      </c>
      <c r="U1874" s="2" t="s">
        <v>56</v>
      </c>
      <c r="V1874" s="2" t="s">
        <v>145</v>
      </c>
      <c r="W1874" s="2" t="s">
        <v>146</v>
      </c>
      <c r="X1874" s="2" t="s">
        <v>83</v>
      </c>
      <c r="Y1874" s="2">
        <v>39</v>
      </c>
      <c r="Z1874" s="2">
        <v>0</v>
      </c>
      <c r="AA1874" s="2" t="s">
        <v>218</v>
      </c>
      <c r="AB1874" s="2" t="s">
        <v>2471</v>
      </c>
      <c r="AC1874" s="2">
        <v>-5.3958963417359502</v>
      </c>
      <c r="AD1874" s="2"/>
      <c r="AE1874" s="2">
        <v>0.347884427176119</v>
      </c>
      <c r="AF1874" s="2">
        <v>5879.6029918818504</v>
      </c>
      <c r="AG1874" s="2">
        <v>2925.5942044417998</v>
      </c>
      <c r="AH1874" s="5">
        <v>2.0097124143037699</v>
      </c>
      <c r="AI1874" s="5">
        <v>1.0069890694928001</v>
      </c>
      <c r="AJ1874" s="5" t="s">
        <v>139</v>
      </c>
      <c r="AK1874" s="2">
        <v>8.6183228246619198E-2</v>
      </c>
      <c r="AL1874" s="2">
        <v>0.37866930775725299</v>
      </c>
      <c r="AM1874" s="2">
        <v>13106.9671476721</v>
      </c>
      <c r="AN1874" s="2">
        <v>4903.1481309364599</v>
      </c>
      <c r="AO1874" s="2">
        <v>4125.9147037168696</v>
      </c>
      <c r="AP1874" s="2">
        <v>4552.7103887057701</v>
      </c>
      <c r="AQ1874" s="2">
        <v>3213.93331807499</v>
      </c>
      <c r="AR1874" s="2">
        <v>5374.9442621849403</v>
      </c>
      <c r="AS1874" s="2">
        <v>4541.0692895492402</v>
      </c>
      <c r="AT1874" s="2">
        <v>1780.98242693062</v>
      </c>
      <c r="AU1874" s="2">
        <v>3568.1603769703502</v>
      </c>
      <c r="AV1874" s="2">
        <v>1502.28986944655</v>
      </c>
      <c r="AW1874" s="2">
        <v>3575.7829855209302</v>
      </c>
      <c r="AX1874" s="2">
        <v>2585.28027823312</v>
      </c>
    </row>
    <row r="1875" spans="1:50" x14ac:dyDescent="0.25">
      <c r="A1875" s="2" t="s">
        <v>12715</v>
      </c>
      <c r="B1875" s="2">
        <v>349.16756766611297</v>
      </c>
      <c r="C1875" s="2">
        <v>6.68523333333333</v>
      </c>
      <c r="D1875" s="2" t="s">
        <v>51</v>
      </c>
      <c r="E1875" s="2" t="s">
        <v>12716</v>
      </c>
      <c r="F1875" s="2">
        <v>200598</v>
      </c>
      <c r="G1875" s="3" t="str">
        <f>HYPERLINK("https://cloud.oebiotech.com/#/lm/network/200598", "https://cloud.oebiotech.com/#/lm/network/200598")</f>
        <v>https://cloud.oebiotech.com/#/lm/network/200598</v>
      </c>
      <c r="H1875" s="2" t="s">
        <v>12717</v>
      </c>
      <c r="I1875" s="2"/>
      <c r="J1875" s="2"/>
      <c r="K1875" s="2">
        <v>5225094</v>
      </c>
      <c r="L1875" s="2"/>
      <c r="M1875" s="2"/>
      <c r="N1875" s="2"/>
      <c r="O1875" s="2"/>
      <c r="P1875" s="2"/>
      <c r="Q1875" s="2"/>
      <c r="R1875" s="2"/>
      <c r="S1875" s="2" t="s">
        <v>12718</v>
      </c>
      <c r="T1875" s="2" t="s">
        <v>12719</v>
      </c>
      <c r="U1875" s="2" t="s">
        <v>56</v>
      </c>
      <c r="V1875" s="2" t="s">
        <v>283</v>
      </c>
      <c r="W1875" s="2" t="s">
        <v>1944</v>
      </c>
      <c r="X1875" s="2" t="s">
        <v>83</v>
      </c>
      <c r="Y1875" s="2">
        <v>37.6</v>
      </c>
      <c r="Z1875" s="2">
        <v>0</v>
      </c>
      <c r="AA1875" s="2" t="s">
        <v>218</v>
      </c>
      <c r="AB1875" s="2" t="s">
        <v>12720</v>
      </c>
      <c r="AC1875" s="2">
        <v>6.2647996512245898</v>
      </c>
      <c r="AD1875" s="2"/>
      <c r="AE1875" s="2">
        <v>0.34776014812706002</v>
      </c>
      <c r="AF1875" s="2">
        <v>188.08791530814901</v>
      </c>
      <c r="AG1875" s="2">
        <v>4869.4119014678799</v>
      </c>
      <c r="AH1875" s="4">
        <v>3.8626413027710901E-2</v>
      </c>
      <c r="AI1875" s="4">
        <v>-4.6942684792617104</v>
      </c>
      <c r="AJ1875" s="4" t="s">
        <v>62</v>
      </c>
      <c r="AK1875" s="2">
        <v>7.6396977903493701E-2</v>
      </c>
      <c r="AL1875" s="2">
        <v>0.36097651064695002</v>
      </c>
      <c r="AM1875" s="2">
        <v>205.393656793025</v>
      </c>
      <c r="AN1875" s="2">
        <v>8.559877937157E-6</v>
      </c>
      <c r="AO1875" s="2">
        <v>8.559877937157E-6</v>
      </c>
      <c r="AP1875" s="2">
        <v>8.559877937157E-6</v>
      </c>
      <c r="AQ1875" s="2">
        <v>266.77488433894501</v>
      </c>
      <c r="AR1875" s="2">
        <v>656.35892503729099</v>
      </c>
      <c r="AS1875" s="2">
        <v>9300.5560693687403</v>
      </c>
      <c r="AT1875" s="2">
        <v>13901.601236607999</v>
      </c>
      <c r="AU1875" s="2">
        <v>8.559877937157E-6</v>
      </c>
      <c r="AV1875" s="2">
        <v>5506.7787587453704</v>
      </c>
      <c r="AW1875" s="2">
        <v>507.53532696540401</v>
      </c>
      <c r="AX1875" s="2">
        <v>8.559877937157E-6</v>
      </c>
    </row>
    <row r="1876" spans="1:50" x14ac:dyDescent="0.25">
      <c r="A1876" s="2" t="s">
        <v>12721</v>
      </c>
      <c r="B1876" s="2">
        <v>376.18804172964298</v>
      </c>
      <c r="C1876" s="2">
        <v>6.2086166666666696</v>
      </c>
      <c r="D1876" s="2" t="s">
        <v>51</v>
      </c>
      <c r="E1876" s="2" t="s">
        <v>12722</v>
      </c>
      <c r="F1876" s="2">
        <v>45062</v>
      </c>
      <c r="G1876" s="3" t="str">
        <f>HYPERLINK("https://cloud.oebiotech.com/#/lm/network/45062", "https://cloud.oebiotech.com/#/lm/network/45062")</f>
        <v>https://cloud.oebiotech.com/#/lm/network/45062</v>
      </c>
      <c r="H1876" s="2" t="s">
        <v>12723</v>
      </c>
      <c r="I1876" s="2">
        <v>5321</v>
      </c>
      <c r="J1876" s="2" t="s">
        <v>12724</v>
      </c>
      <c r="K1876" s="2">
        <v>44263344</v>
      </c>
      <c r="L1876" s="2"/>
      <c r="M1876" s="2"/>
      <c r="N1876" s="2"/>
      <c r="O1876" s="2">
        <v>89213</v>
      </c>
      <c r="P1876" s="2"/>
      <c r="Q1876" s="2"/>
      <c r="R1876" s="2" t="s">
        <v>12725</v>
      </c>
      <c r="S1876" s="2" t="s">
        <v>12726</v>
      </c>
      <c r="T1876" s="2" t="s">
        <v>12727</v>
      </c>
      <c r="U1876" s="2" t="s">
        <v>56</v>
      </c>
      <c r="V1876" s="2" t="s">
        <v>283</v>
      </c>
      <c r="W1876" s="2" t="s">
        <v>492</v>
      </c>
      <c r="X1876" s="2" t="s">
        <v>147</v>
      </c>
      <c r="Y1876" s="2">
        <v>36.799999999999997</v>
      </c>
      <c r="Z1876" s="2">
        <v>6.2</v>
      </c>
      <c r="AA1876" s="2" t="s">
        <v>122</v>
      </c>
      <c r="AB1876" s="2" t="s">
        <v>12728</v>
      </c>
      <c r="AC1876" s="2">
        <v>-1.4540198544461</v>
      </c>
      <c r="AD1876" s="2"/>
      <c r="AE1876" s="2">
        <v>0.34756497337444803</v>
      </c>
      <c r="AF1876" s="2">
        <v>4782.4404497073901</v>
      </c>
      <c r="AG1876" s="2">
        <v>2026.9132699484101</v>
      </c>
      <c r="AH1876" s="5">
        <v>2.35946970233665</v>
      </c>
      <c r="AI1876" s="5">
        <v>1.2384626461222199</v>
      </c>
      <c r="AJ1876" s="5" t="s">
        <v>139</v>
      </c>
      <c r="AK1876" s="2">
        <v>4.3555886226317501E-2</v>
      </c>
      <c r="AL1876" s="2">
        <v>0.297573413723414</v>
      </c>
      <c r="AM1876" s="2">
        <v>7429.7370411394804</v>
      </c>
      <c r="AN1876" s="2">
        <v>8604.3346327448708</v>
      </c>
      <c r="AO1876" s="2">
        <v>2373.28288856584</v>
      </c>
      <c r="AP1876" s="2">
        <v>3661.7883110340599</v>
      </c>
      <c r="AQ1876" s="2">
        <v>2834.3953085850599</v>
      </c>
      <c r="AR1876" s="2">
        <v>3791.1045161750299</v>
      </c>
      <c r="AS1876" s="2">
        <v>2663.1549259921999</v>
      </c>
      <c r="AT1876" s="2">
        <v>677.90426489348295</v>
      </c>
      <c r="AU1876" s="2">
        <v>4335.88297356968</v>
      </c>
      <c r="AV1876" s="2">
        <v>958.568452941239</v>
      </c>
      <c r="AW1876" s="2">
        <v>1303.0681549098799</v>
      </c>
      <c r="AX1876" s="2">
        <v>2222.9008473839999</v>
      </c>
    </row>
    <row r="1877" spans="1:50" x14ac:dyDescent="0.25">
      <c r="A1877" s="2" t="s">
        <v>12729</v>
      </c>
      <c r="B1877" s="2">
        <v>395.12971487603602</v>
      </c>
      <c r="C1877" s="2">
        <v>6.1879499999999998</v>
      </c>
      <c r="D1877" s="2" t="s">
        <v>51</v>
      </c>
      <c r="E1877" s="2" t="s">
        <v>12730</v>
      </c>
      <c r="F1877" s="2">
        <v>62522</v>
      </c>
      <c r="G1877" s="3" t="str">
        <f>HYPERLINK("https://cloud.oebiotech.com/#/lm/network/62522", "https://cloud.oebiotech.com/#/lm/network/62522")</f>
        <v>https://cloud.oebiotech.com/#/lm/network/62522</v>
      </c>
      <c r="H1877" s="2" t="s">
        <v>12731</v>
      </c>
      <c r="I1877" s="2">
        <v>93825</v>
      </c>
      <c r="J1877" s="2"/>
      <c r="K1877" s="2">
        <v>131752581</v>
      </c>
      <c r="L1877" s="2"/>
      <c r="M1877" s="2"/>
      <c r="N1877" s="2"/>
      <c r="O1877" s="2">
        <v>168372</v>
      </c>
      <c r="P1877" s="2"/>
      <c r="Q1877" s="2"/>
      <c r="R1877" s="2" t="s">
        <v>12732</v>
      </c>
      <c r="S1877" s="2" t="s">
        <v>12733</v>
      </c>
      <c r="T1877" s="2" t="s">
        <v>12734</v>
      </c>
      <c r="U1877" s="2" t="s">
        <v>331</v>
      </c>
      <c r="V1877" s="2" t="s">
        <v>332</v>
      </c>
      <c r="W1877" s="2" t="s">
        <v>333</v>
      </c>
      <c r="X1877" s="2" t="s">
        <v>147</v>
      </c>
      <c r="Y1877" s="2">
        <v>44</v>
      </c>
      <c r="Z1877" s="2">
        <v>30</v>
      </c>
      <c r="AA1877" s="2" t="s">
        <v>95</v>
      </c>
      <c r="AB1877" s="2" t="s">
        <v>12735</v>
      </c>
      <c r="AC1877" s="2">
        <v>-4.1332328792022697</v>
      </c>
      <c r="AD1877" s="2"/>
      <c r="AE1877" s="2">
        <v>0.34745158292464801</v>
      </c>
      <c r="AF1877" s="2">
        <v>508.57703458492</v>
      </c>
      <c r="AG1877" s="2">
        <v>4955.2380595142904</v>
      </c>
      <c r="AH1877" s="4">
        <v>0.10263422836132501</v>
      </c>
      <c r="AI1877" s="4">
        <v>-3.2844161470616302</v>
      </c>
      <c r="AJ1877" s="4" t="s">
        <v>62</v>
      </c>
      <c r="AK1877" s="2">
        <v>0.13720784185406801</v>
      </c>
      <c r="AL1877" s="2">
        <v>0.45838567445516998</v>
      </c>
      <c r="AM1877" s="2">
        <v>1086.7524964849299</v>
      </c>
      <c r="AN1877" s="2">
        <v>8.559877937157E-6</v>
      </c>
      <c r="AO1877" s="2">
        <v>560.84127855796203</v>
      </c>
      <c r="AP1877" s="2">
        <v>8.559877937157E-6</v>
      </c>
      <c r="AQ1877" s="2">
        <v>439.65733052770298</v>
      </c>
      <c r="AR1877" s="2">
        <v>964.21108481916895</v>
      </c>
      <c r="AS1877" s="2">
        <v>751.85145104511605</v>
      </c>
      <c r="AT1877" s="2">
        <v>1644.4014137291001</v>
      </c>
      <c r="AU1877" s="2">
        <v>5851.3379760977696</v>
      </c>
      <c r="AV1877" s="2">
        <v>2884.3775022350001</v>
      </c>
      <c r="AW1877" s="2">
        <v>18093.544088260202</v>
      </c>
      <c r="AX1877" s="2">
        <v>505.91592571854301</v>
      </c>
    </row>
    <row r="1878" spans="1:50" x14ac:dyDescent="0.25">
      <c r="A1878" s="2" t="s">
        <v>12736</v>
      </c>
      <c r="B1878" s="2">
        <v>284.99683840025699</v>
      </c>
      <c r="C1878" s="2">
        <v>7.0215666666666703</v>
      </c>
      <c r="D1878" s="2" t="s">
        <v>51</v>
      </c>
      <c r="E1878" s="2" t="s">
        <v>12737</v>
      </c>
      <c r="F1878" s="2">
        <v>212353</v>
      </c>
      <c r="G1878" s="3" t="str">
        <f>HYPERLINK("https://cloud.oebiotech.com/#/lm/network/212353", "https://cloud.oebiotech.com/#/lm/network/212353")</f>
        <v>https://cloud.oebiotech.com/#/lm/network/212353</v>
      </c>
      <c r="H1878" s="2" t="s">
        <v>12738</v>
      </c>
      <c r="I1878" s="2"/>
      <c r="J1878" s="2"/>
      <c r="K1878" s="2"/>
      <c r="L1878" s="2"/>
      <c r="M1878" s="2"/>
      <c r="N1878" s="2"/>
      <c r="O1878" s="2"/>
      <c r="P1878" s="2"/>
      <c r="Q1878" s="2"/>
      <c r="R1878" s="2"/>
      <c r="S1878" s="2" t="s">
        <v>12739</v>
      </c>
      <c r="T1878" s="2" t="s">
        <v>12740</v>
      </c>
      <c r="U1878" s="2" t="s">
        <v>103</v>
      </c>
      <c r="V1878" s="2" t="s">
        <v>4820</v>
      </c>
      <c r="W1878" s="2" t="s">
        <v>12741</v>
      </c>
      <c r="X1878" s="2" t="s">
        <v>147</v>
      </c>
      <c r="Y1878" s="2">
        <v>37.1</v>
      </c>
      <c r="Z1878" s="2">
        <v>0</v>
      </c>
      <c r="AA1878" s="2" t="s">
        <v>218</v>
      </c>
      <c r="AB1878" s="2" t="s">
        <v>12742</v>
      </c>
      <c r="AC1878" s="2">
        <v>-0.25510031389121102</v>
      </c>
      <c r="AD1878" s="2"/>
      <c r="AE1878" s="2">
        <v>0.34727721167227199</v>
      </c>
      <c r="AF1878" s="2">
        <v>19322.3110847356</v>
      </c>
      <c r="AG1878" s="2">
        <v>22511.308764085301</v>
      </c>
      <c r="AH1878" s="4">
        <v>0.85833797080525898</v>
      </c>
      <c r="AI1878" s="4">
        <v>-0.22038227373829899</v>
      </c>
      <c r="AJ1878" s="4" t="s">
        <v>62</v>
      </c>
      <c r="AK1878" s="2">
        <v>9.9852121788330306E-2</v>
      </c>
      <c r="AL1878" s="2">
        <v>0.40172900346892498</v>
      </c>
      <c r="AM1878" s="2">
        <v>15070.6106105704</v>
      </c>
      <c r="AN1878" s="2">
        <v>19440.601370805602</v>
      </c>
      <c r="AO1878" s="2">
        <v>20735.029549041599</v>
      </c>
      <c r="AP1878" s="2">
        <v>19763.034973025799</v>
      </c>
      <c r="AQ1878" s="2">
        <v>24348.699712027501</v>
      </c>
      <c r="AR1878" s="2">
        <v>16575.890292942699</v>
      </c>
      <c r="AS1878" s="2">
        <v>23039.974416557499</v>
      </c>
      <c r="AT1878" s="2">
        <v>22574.6256795886</v>
      </c>
      <c r="AU1878" s="2">
        <v>18577.430620460502</v>
      </c>
      <c r="AV1878" s="2">
        <v>23917.737121789301</v>
      </c>
      <c r="AW1878" s="2">
        <v>20310.257469168399</v>
      </c>
      <c r="AX1878" s="2">
        <v>26647.827276947301</v>
      </c>
    </row>
    <row r="1879" spans="1:50" x14ac:dyDescent="0.25">
      <c r="A1879" s="2" t="s">
        <v>12743</v>
      </c>
      <c r="B1879" s="2">
        <v>242.24835399915099</v>
      </c>
      <c r="C1879" s="2">
        <v>11.819000000000001</v>
      </c>
      <c r="D1879" s="2" t="s">
        <v>51</v>
      </c>
      <c r="E1879" s="2" t="s">
        <v>12744</v>
      </c>
      <c r="F1879" s="2">
        <v>211444</v>
      </c>
      <c r="G1879" s="3" t="str">
        <f>HYPERLINK("https://cloud.oebiotech.com/#/lm/network/211444", "https://cloud.oebiotech.com/#/lm/network/211444")</f>
        <v>https://cloud.oebiotech.com/#/lm/network/211444</v>
      </c>
      <c r="H1879" s="2" t="s">
        <v>12745</v>
      </c>
      <c r="I1879" s="2"/>
      <c r="J1879" s="2"/>
      <c r="K1879" s="2"/>
      <c r="L1879" s="2"/>
      <c r="M1879" s="2"/>
      <c r="N1879" s="2"/>
      <c r="O1879" s="2"/>
      <c r="P1879" s="2"/>
      <c r="Q1879" s="2"/>
      <c r="R1879" s="2"/>
      <c r="S1879" s="2" t="s">
        <v>12746</v>
      </c>
      <c r="T1879" s="2" t="s">
        <v>12747</v>
      </c>
      <c r="U1879" s="2" t="s">
        <v>56</v>
      </c>
      <c r="V1879" s="2" t="s">
        <v>177</v>
      </c>
      <c r="W1879" s="2" t="s">
        <v>1996</v>
      </c>
      <c r="X1879" s="2" t="s">
        <v>83</v>
      </c>
      <c r="Y1879" s="2">
        <v>53.3</v>
      </c>
      <c r="Z1879" s="2">
        <v>1.68</v>
      </c>
      <c r="AA1879" s="2" t="s">
        <v>512</v>
      </c>
      <c r="AB1879" s="2" t="s">
        <v>12048</v>
      </c>
      <c r="AC1879" s="2">
        <v>2.2877768358805799</v>
      </c>
      <c r="AD1879" s="2"/>
      <c r="AE1879" s="2">
        <v>0.34666047468105698</v>
      </c>
      <c r="AF1879" s="2">
        <v>15019.6245580252</v>
      </c>
      <c r="AG1879" s="2">
        <v>24770.123181488201</v>
      </c>
      <c r="AH1879" s="4">
        <v>0.60636051132963398</v>
      </c>
      <c r="AI1879" s="4">
        <v>-0.72175229250621198</v>
      </c>
      <c r="AJ1879" s="4" t="s">
        <v>62</v>
      </c>
      <c r="AK1879" s="2">
        <v>0.610354584502518</v>
      </c>
      <c r="AL1879" s="2">
        <v>0.80553815117069005</v>
      </c>
      <c r="AM1879" s="2">
        <v>957.16431565992195</v>
      </c>
      <c r="AN1879" s="2">
        <v>691.45578852398398</v>
      </c>
      <c r="AO1879" s="2">
        <v>47939.428273646801</v>
      </c>
      <c r="AP1879" s="2">
        <v>1098.6626460495399</v>
      </c>
      <c r="AQ1879" s="2">
        <v>38079.136606553096</v>
      </c>
      <c r="AR1879" s="2">
        <v>1351.89971771811</v>
      </c>
      <c r="AS1879" s="2">
        <v>101116.57251996</v>
      </c>
      <c r="AT1879" s="2">
        <v>641.18307985730701</v>
      </c>
      <c r="AU1879" s="2">
        <v>36279.910281254997</v>
      </c>
      <c r="AV1879" s="2">
        <v>5818.8084598631103</v>
      </c>
      <c r="AW1879" s="2">
        <v>3891.20813435121</v>
      </c>
      <c r="AX1879" s="2">
        <v>873.05661364284799</v>
      </c>
    </row>
    <row r="1880" spans="1:50" x14ac:dyDescent="0.25">
      <c r="A1880" s="2" t="s">
        <v>12748</v>
      </c>
      <c r="B1880" s="2">
        <v>397.34391764239302</v>
      </c>
      <c r="C1880" s="2">
        <v>10.2727</v>
      </c>
      <c r="D1880" s="2" t="s">
        <v>51</v>
      </c>
      <c r="E1880" s="2" t="s">
        <v>12749</v>
      </c>
      <c r="F1880" s="2">
        <v>8799</v>
      </c>
      <c r="G1880" s="3" t="str">
        <f>HYPERLINK("https://cloud.oebiotech.com/#/lm/network/8799", "https://cloud.oebiotech.com/#/lm/network/8799")</f>
        <v>https://cloud.oebiotech.com/#/lm/network/8799</v>
      </c>
      <c r="H1880" s="2"/>
      <c r="I1880" s="2"/>
      <c r="J1880" s="2" t="s">
        <v>12750</v>
      </c>
      <c r="K1880" s="2">
        <v>138454221</v>
      </c>
      <c r="L1880" s="2"/>
      <c r="M1880" s="2"/>
      <c r="N1880" s="2"/>
      <c r="O1880" s="2"/>
      <c r="P1880" s="2"/>
      <c r="Q1880" s="2"/>
      <c r="R1880" s="2"/>
      <c r="S1880" s="2" t="s">
        <v>12751</v>
      </c>
      <c r="T1880" s="2" t="s">
        <v>12752</v>
      </c>
      <c r="U1880" s="2" t="s">
        <v>103</v>
      </c>
      <c r="V1880" s="2" t="s">
        <v>104</v>
      </c>
      <c r="W1880" s="2" t="s">
        <v>105</v>
      </c>
      <c r="X1880" s="2" t="s">
        <v>83</v>
      </c>
      <c r="Y1880" s="2">
        <v>41.4</v>
      </c>
      <c r="Z1880" s="2">
        <v>0</v>
      </c>
      <c r="AA1880" s="2" t="s">
        <v>156</v>
      </c>
      <c r="AB1880" s="2" t="s">
        <v>12753</v>
      </c>
      <c r="AC1880" s="2">
        <v>3.4944953700752599</v>
      </c>
      <c r="AD1880" s="2"/>
      <c r="AE1880" s="2">
        <v>0.34656818010198698</v>
      </c>
      <c r="AF1880" s="2">
        <v>534.60726800749399</v>
      </c>
      <c r="AG1880" s="2">
        <v>7825.5557019982498</v>
      </c>
      <c r="AH1880" s="4">
        <v>6.8315566122797197E-2</v>
      </c>
      <c r="AI1880" s="4">
        <v>-3.8716418468454599</v>
      </c>
      <c r="AJ1880" s="4" t="s">
        <v>62</v>
      </c>
      <c r="AK1880" s="2">
        <v>0.16713199347663901</v>
      </c>
      <c r="AL1880" s="2">
        <v>0.49000624457817699</v>
      </c>
      <c r="AM1880" s="2">
        <v>876.70200759281499</v>
      </c>
      <c r="AN1880" s="2">
        <v>391.80084516112601</v>
      </c>
      <c r="AO1880" s="2">
        <v>674.99665174843403</v>
      </c>
      <c r="AP1880" s="2">
        <v>708.60290800503105</v>
      </c>
      <c r="AQ1880" s="2">
        <v>8.559877937157E-6</v>
      </c>
      <c r="AR1880" s="2">
        <v>555.54118697767899</v>
      </c>
      <c r="AS1880" s="2">
        <v>1587.91030974462</v>
      </c>
      <c r="AT1880" s="2">
        <v>3586.5917921130199</v>
      </c>
      <c r="AU1880" s="2">
        <v>32182.1161119266</v>
      </c>
      <c r="AV1880" s="2">
        <v>1922.0914098307501</v>
      </c>
      <c r="AW1880" s="2">
        <v>4637.5633420136901</v>
      </c>
      <c r="AX1880" s="2">
        <v>3037.0612463607899</v>
      </c>
    </row>
    <row r="1881" spans="1:50" x14ac:dyDescent="0.25">
      <c r="A1881" s="2" t="s">
        <v>12754</v>
      </c>
      <c r="B1881" s="2">
        <v>433.176308557266</v>
      </c>
      <c r="C1881" s="2">
        <v>7.0215666666666703</v>
      </c>
      <c r="D1881" s="2" t="s">
        <v>51</v>
      </c>
      <c r="E1881" s="2" t="s">
        <v>12755</v>
      </c>
      <c r="F1881" s="2">
        <v>202845</v>
      </c>
      <c r="G1881" s="3" t="str">
        <f>HYPERLINK("https://cloud.oebiotech.com/#/lm/network/202845", "https://cloud.oebiotech.com/#/lm/network/202845")</f>
        <v>https://cloud.oebiotech.com/#/lm/network/202845</v>
      </c>
      <c r="H1881" s="2" t="s">
        <v>12756</v>
      </c>
      <c r="I1881" s="2"/>
      <c r="J1881" s="2"/>
      <c r="K1881" s="2"/>
      <c r="L1881" s="2"/>
      <c r="M1881" s="2"/>
      <c r="N1881" s="2"/>
      <c r="O1881" s="2"/>
      <c r="P1881" s="2"/>
      <c r="Q1881" s="2"/>
      <c r="R1881" s="2"/>
      <c r="S1881" s="2" t="s">
        <v>12757</v>
      </c>
      <c r="T1881" s="2" t="s">
        <v>12758</v>
      </c>
      <c r="U1881" s="2" t="s">
        <v>266</v>
      </c>
      <c r="V1881" s="2" t="s">
        <v>6667</v>
      </c>
      <c r="W1881" s="2" t="s">
        <v>6668</v>
      </c>
      <c r="X1881" s="2" t="s">
        <v>147</v>
      </c>
      <c r="Y1881" s="2">
        <v>37.700000000000003</v>
      </c>
      <c r="Z1881" s="2">
        <v>0</v>
      </c>
      <c r="AA1881" s="2" t="s">
        <v>379</v>
      </c>
      <c r="AB1881" s="2" t="s">
        <v>12759</v>
      </c>
      <c r="AC1881" s="2">
        <v>-4.2555883256727203</v>
      </c>
      <c r="AD1881" s="2"/>
      <c r="AE1881" s="2">
        <v>0.34627020470991698</v>
      </c>
      <c r="AF1881" s="2">
        <v>4321.0604686885199</v>
      </c>
      <c r="AG1881" s="2">
        <v>1398.81195357661</v>
      </c>
      <c r="AH1881" s="5">
        <v>3.0890931819963598</v>
      </c>
      <c r="AI1881" s="5">
        <v>1.62718339028457</v>
      </c>
      <c r="AJ1881" s="5" t="s">
        <v>139</v>
      </c>
      <c r="AK1881" s="2">
        <v>0.120226753808547</v>
      </c>
      <c r="AL1881" s="2">
        <v>0.43792729332499802</v>
      </c>
      <c r="AM1881" s="2">
        <v>12088.950827803799</v>
      </c>
      <c r="AN1881" s="2">
        <v>4149.4269929030697</v>
      </c>
      <c r="AO1881" s="2">
        <v>2596.2672386004101</v>
      </c>
      <c r="AP1881" s="2">
        <v>2697.6931512686301</v>
      </c>
      <c r="AQ1881" s="2">
        <v>536.69049252328102</v>
      </c>
      <c r="AR1881" s="2">
        <v>3857.33410903192</v>
      </c>
      <c r="AS1881" s="2">
        <v>3244.4431110129699</v>
      </c>
      <c r="AT1881" s="2">
        <v>543.44044996853302</v>
      </c>
      <c r="AU1881" s="2">
        <v>2421.5373970307401</v>
      </c>
      <c r="AV1881" s="2">
        <v>174.37230817862601</v>
      </c>
      <c r="AW1881" s="2">
        <v>206.21183028156699</v>
      </c>
      <c r="AX1881" s="2">
        <v>1802.8666249872399</v>
      </c>
    </row>
    <row r="1882" spans="1:50" x14ac:dyDescent="0.25">
      <c r="A1882" s="2" t="s">
        <v>12760</v>
      </c>
      <c r="B1882" s="2">
        <v>273.25455168161398</v>
      </c>
      <c r="C1882" s="2">
        <v>7.9645666666666699</v>
      </c>
      <c r="D1882" s="2" t="s">
        <v>51</v>
      </c>
      <c r="E1882" s="2" t="s">
        <v>12761</v>
      </c>
      <c r="F1882" s="2">
        <v>202828</v>
      </c>
      <c r="G1882" s="3" t="str">
        <f>HYPERLINK("https://cloud.oebiotech.com/#/lm/network/202828", "https://cloud.oebiotech.com/#/lm/network/202828")</f>
        <v>https://cloud.oebiotech.com/#/lm/network/202828</v>
      </c>
      <c r="H1882" s="2" t="s">
        <v>12762</v>
      </c>
      <c r="I1882" s="2">
        <v>338906</v>
      </c>
      <c r="J1882" s="2"/>
      <c r="K1882" s="2">
        <v>519769</v>
      </c>
      <c r="L1882" s="2"/>
      <c r="M1882" s="2"/>
      <c r="N1882" s="2"/>
      <c r="O1882" s="2"/>
      <c r="P1882" s="2"/>
      <c r="Q1882" s="2"/>
      <c r="R1882" s="2"/>
      <c r="S1882" s="2" t="s">
        <v>12763</v>
      </c>
      <c r="T1882" s="2" t="s">
        <v>12764</v>
      </c>
      <c r="U1882" s="2" t="s">
        <v>1491</v>
      </c>
      <c r="V1882" s="2" t="s">
        <v>1492</v>
      </c>
      <c r="W1882" s="2" t="s">
        <v>6421</v>
      </c>
      <c r="X1882" s="2" t="s">
        <v>147</v>
      </c>
      <c r="Y1882" s="2">
        <v>37.700000000000003</v>
      </c>
      <c r="Z1882" s="2">
        <v>0</v>
      </c>
      <c r="AA1882" s="2" t="s">
        <v>95</v>
      </c>
      <c r="AB1882" s="2" t="s">
        <v>12765</v>
      </c>
      <c r="AC1882" s="2">
        <v>-2.8772930343921801</v>
      </c>
      <c r="AD1882" s="2"/>
      <c r="AE1882" s="2">
        <v>0.34608117203592897</v>
      </c>
      <c r="AF1882" s="2">
        <v>14519.8209550589</v>
      </c>
      <c r="AG1882" s="2">
        <v>17404.268189536699</v>
      </c>
      <c r="AH1882" s="4">
        <v>0.83426782424486601</v>
      </c>
      <c r="AI1882" s="4">
        <v>-0.26141748977587598</v>
      </c>
      <c r="AJ1882" s="4" t="s">
        <v>62</v>
      </c>
      <c r="AK1882" s="2">
        <v>2.3773178144157199E-2</v>
      </c>
      <c r="AL1882" s="2">
        <v>0.23922264176586699</v>
      </c>
      <c r="AM1882" s="2">
        <v>12208.1992804603</v>
      </c>
      <c r="AN1882" s="2">
        <v>14285.811865334101</v>
      </c>
      <c r="AO1882" s="2">
        <v>14986.9112530482</v>
      </c>
      <c r="AP1882" s="2">
        <v>14582.7206507562</v>
      </c>
      <c r="AQ1882" s="2">
        <v>17191.852332828799</v>
      </c>
      <c r="AR1882" s="2">
        <v>13863.4303479261</v>
      </c>
      <c r="AS1882" s="2">
        <v>19060.882966860099</v>
      </c>
      <c r="AT1882" s="2">
        <v>19494.418127956898</v>
      </c>
      <c r="AU1882" s="2">
        <v>15243.141079581101</v>
      </c>
      <c r="AV1882" s="2">
        <v>18368.318927187302</v>
      </c>
      <c r="AW1882" s="2">
        <v>17867.267491622901</v>
      </c>
      <c r="AX1882" s="2">
        <v>14391.5805440122</v>
      </c>
    </row>
    <row r="1883" spans="1:50" x14ac:dyDescent="0.25">
      <c r="A1883" s="2" t="s">
        <v>12766</v>
      </c>
      <c r="B1883" s="2">
        <v>501.17446617461502</v>
      </c>
      <c r="C1883" s="2">
        <v>7.2455166666666697</v>
      </c>
      <c r="D1883" s="2" t="s">
        <v>51</v>
      </c>
      <c r="E1883" s="2" t="s">
        <v>12767</v>
      </c>
      <c r="F1883" s="2">
        <v>256028</v>
      </c>
      <c r="G1883" s="3" t="str">
        <f>HYPERLINK("https://cloud.oebiotech.com/#/lm/network/256028", "https://cloud.oebiotech.com/#/lm/network/256028")</f>
        <v>https://cloud.oebiotech.com/#/lm/network/256028</v>
      </c>
      <c r="H1883" s="2" t="s">
        <v>12768</v>
      </c>
      <c r="I1883" s="2"/>
      <c r="J1883" s="2"/>
      <c r="K1883" s="2"/>
      <c r="L1883" s="2"/>
      <c r="M1883" s="2"/>
      <c r="N1883" s="2"/>
      <c r="O1883" s="2"/>
      <c r="P1883" s="2"/>
      <c r="Q1883" s="2"/>
      <c r="R1883" s="2"/>
      <c r="S1883" s="2" t="s">
        <v>12769</v>
      </c>
      <c r="T1883" s="2" t="s">
        <v>12770</v>
      </c>
      <c r="U1883" s="2" t="s">
        <v>56</v>
      </c>
      <c r="V1883" s="2" t="s">
        <v>177</v>
      </c>
      <c r="W1883" s="2" t="s">
        <v>1996</v>
      </c>
      <c r="X1883" s="2" t="s">
        <v>69</v>
      </c>
      <c r="Y1883" s="2">
        <v>60.2</v>
      </c>
      <c r="Z1883" s="2">
        <v>81.900000000000006</v>
      </c>
      <c r="AA1883" s="2" t="s">
        <v>218</v>
      </c>
      <c r="AB1883" s="2" t="s">
        <v>12771</v>
      </c>
      <c r="AC1883" s="2">
        <v>-4.7230419950279696</v>
      </c>
      <c r="AD1883" s="2"/>
      <c r="AE1883" s="2">
        <v>0.345969693285268</v>
      </c>
      <c r="AF1883" s="2">
        <v>3448.8587068418501</v>
      </c>
      <c r="AG1883" s="2">
        <v>9116.8019535601597</v>
      </c>
      <c r="AH1883" s="4">
        <v>0.37829698664179701</v>
      </c>
      <c r="AI1883" s="4">
        <v>-1.40240881036962</v>
      </c>
      <c r="AJ1883" s="4" t="s">
        <v>62</v>
      </c>
      <c r="AK1883" s="2">
        <v>0.32794697839581499</v>
      </c>
      <c r="AL1883" s="2">
        <v>0.63051205010879297</v>
      </c>
      <c r="AM1883" s="2">
        <v>8530.5272717134194</v>
      </c>
      <c r="AN1883" s="2">
        <v>1416.89342176112</v>
      </c>
      <c r="AO1883" s="2">
        <v>410.96733758722002</v>
      </c>
      <c r="AP1883" s="2">
        <v>8122.1904122469296</v>
      </c>
      <c r="AQ1883" s="2">
        <v>8.559877937157E-6</v>
      </c>
      <c r="AR1883" s="2">
        <v>2212.5737891825602</v>
      </c>
      <c r="AS1883" s="2">
        <v>34055.632790536903</v>
      </c>
      <c r="AT1883" s="2">
        <v>1346.2462275662101</v>
      </c>
      <c r="AU1883" s="2">
        <v>7970.7968366093901</v>
      </c>
      <c r="AV1883" s="2">
        <v>639.65201093138</v>
      </c>
      <c r="AW1883" s="2">
        <v>10476.2596458594</v>
      </c>
      <c r="AX1883" s="2">
        <v>212.22420985768599</v>
      </c>
    </row>
    <row r="1884" spans="1:50" x14ac:dyDescent="0.25">
      <c r="A1884" s="2" t="s">
        <v>12772</v>
      </c>
      <c r="B1884" s="2">
        <v>393.18161017694302</v>
      </c>
      <c r="C1884" s="2">
        <v>9.8903166666666706</v>
      </c>
      <c r="D1884" s="2" t="s">
        <v>51</v>
      </c>
      <c r="E1884" s="2" t="s">
        <v>12773</v>
      </c>
      <c r="F1884" s="2">
        <v>57442</v>
      </c>
      <c r="G1884" s="3" t="str">
        <f>HYPERLINK("https://cloud.oebiotech.com/#/lm/network/57442", "https://cloud.oebiotech.com/#/lm/network/57442")</f>
        <v>https://cloud.oebiotech.com/#/lm/network/57442</v>
      </c>
      <c r="H1884" s="2" t="s">
        <v>12774</v>
      </c>
      <c r="I1884" s="2">
        <v>70044</v>
      </c>
      <c r="J1884" s="2"/>
      <c r="K1884" s="2">
        <v>5284476</v>
      </c>
      <c r="L1884" s="2" t="s">
        <v>12775</v>
      </c>
      <c r="M1884" s="2"/>
      <c r="N1884" s="2"/>
      <c r="O1884" s="2"/>
      <c r="P1884" s="2"/>
      <c r="Q1884" s="2"/>
      <c r="R1884" s="2" t="s">
        <v>12776</v>
      </c>
      <c r="S1884" s="2" t="s">
        <v>12777</v>
      </c>
      <c r="T1884" s="2" t="s">
        <v>12778</v>
      </c>
      <c r="U1884" s="2" t="s">
        <v>266</v>
      </c>
      <c r="V1884" s="2" t="s">
        <v>445</v>
      </c>
      <c r="W1884" s="2" t="s">
        <v>12779</v>
      </c>
      <c r="X1884" s="2" t="s">
        <v>147</v>
      </c>
      <c r="Y1884" s="2">
        <v>37</v>
      </c>
      <c r="Z1884" s="2">
        <v>0</v>
      </c>
      <c r="AA1884" s="2" t="s">
        <v>478</v>
      </c>
      <c r="AB1884" s="2" t="s">
        <v>12780</v>
      </c>
      <c r="AC1884" s="2">
        <v>-4.3332474695633598</v>
      </c>
      <c r="AD1884" s="2"/>
      <c r="AE1884" s="2">
        <v>0.34591162686372201</v>
      </c>
      <c r="AF1884" s="2">
        <v>3715.6993112885398</v>
      </c>
      <c r="AG1884" s="2">
        <v>1261.11586057061</v>
      </c>
      <c r="AH1884" s="5">
        <v>2.9463584016834998</v>
      </c>
      <c r="AI1884" s="5">
        <v>1.55893293372805</v>
      </c>
      <c r="AJ1884" s="5" t="s">
        <v>139</v>
      </c>
      <c r="AK1884" s="2">
        <v>1.4293805490065E-2</v>
      </c>
      <c r="AL1884" s="2">
        <v>0.189933441289907</v>
      </c>
      <c r="AM1884" s="2">
        <v>6807.7887915936299</v>
      </c>
      <c r="AN1884" s="2">
        <v>3774.8347922026701</v>
      </c>
      <c r="AO1884" s="2">
        <v>3255.23648392224</v>
      </c>
      <c r="AP1884" s="2">
        <v>1721.8429519812801</v>
      </c>
      <c r="AQ1884" s="2">
        <v>3014.1813721705598</v>
      </c>
      <c r="AR1884" s="2">
        <v>3720.3114758608799</v>
      </c>
      <c r="AS1884" s="2">
        <v>3360.66164595091</v>
      </c>
      <c r="AT1884" s="2">
        <v>976.99721509600897</v>
      </c>
      <c r="AU1884" s="2">
        <v>1257.30589386267</v>
      </c>
      <c r="AV1884" s="2">
        <v>213.84606080408099</v>
      </c>
      <c r="AW1884" s="2">
        <v>373.42379129352702</v>
      </c>
      <c r="AX1884" s="2">
        <v>1384.4605564164799</v>
      </c>
    </row>
    <row r="1885" spans="1:50" x14ac:dyDescent="0.25">
      <c r="A1885" s="2" t="s">
        <v>12781</v>
      </c>
      <c r="B1885" s="2">
        <v>253.130508270397</v>
      </c>
      <c r="C1885" s="2">
        <v>0.70238333333333303</v>
      </c>
      <c r="D1885" s="2" t="s">
        <v>51</v>
      </c>
      <c r="E1885" s="2" t="s">
        <v>12782</v>
      </c>
      <c r="F1885" s="2">
        <v>53922</v>
      </c>
      <c r="G1885" s="3" t="str">
        <f>HYPERLINK("https://cloud.oebiotech.com/#/lm/network/53922", "https://cloud.oebiotech.com/#/lm/network/53922")</f>
        <v>https://cloud.oebiotech.com/#/lm/network/53922</v>
      </c>
      <c r="H1885" s="2" t="s">
        <v>12783</v>
      </c>
      <c r="I1885" s="2">
        <v>23773</v>
      </c>
      <c r="J1885" s="2"/>
      <c r="K1885" s="2">
        <v>7021870</v>
      </c>
      <c r="L1885" s="2"/>
      <c r="M1885" s="2"/>
      <c r="N1885" s="2"/>
      <c r="O1885" s="2">
        <v>74060</v>
      </c>
      <c r="P1885" s="2"/>
      <c r="Q1885" s="2"/>
      <c r="R1885" s="2" t="s">
        <v>12784</v>
      </c>
      <c r="S1885" s="2" t="s">
        <v>12785</v>
      </c>
      <c r="T1885" s="2" t="s">
        <v>12786</v>
      </c>
      <c r="U1885" s="2" t="s">
        <v>103</v>
      </c>
      <c r="V1885" s="2" t="s">
        <v>104</v>
      </c>
      <c r="W1885" s="2" t="s">
        <v>105</v>
      </c>
      <c r="X1885" s="2" t="s">
        <v>147</v>
      </c>
      <c r="Y1885" s="2">
        <v>44</v>
      </c>
      <c r="Z1885" s="2">
        <v>31.2</v>
      </c>
      <c r="AA1885" s="2" t="s">
        <v>163</v>
      </c>
      <c r="AB1885" s="2" t="s">
        <v>12787</v>
      </c>
      <c r="AC1885" s="2">
        <v>-0.41612347962448198</v>
      </c>
      <c r="AD1885" s="2"/>
      <c r="AE1885" s="2">
        <v>0.34572700141443402</v>
      </c>
      <c r="AF1885" s="2">
        <v>9893.0297866832498</v>
      </c>
      <c r="AG1885" s="2">
        <v>5970.5546928983904</v>
      </c>
      <c r="AH1885" s="5">
        <v>1.65696996268209</v>
      </c>
      <c r="AI1885" s="5">
        <v>0.72854744982408004</v>
      </c>
      <c r="AJ1885" s="5" t="s">
        <v>139</v>
      </c>
      <c r="AK1885" s="2">
        <v>0.38114244208687598</v>
      </c>
      <c r="AL1885" s="2">
        <v>0.65913977412323299</v>
      </c>
      <c r="AM1885" s="2">
        <v>17927.403441173799</v>
      </c>
      <c r="AN1885" s="2">
        <v>11727.744313851401</v>
      </c>
      <c r="AO1885" s="2">
        <v>8124.9145029067004</v>
      </c>
      <c r="AP1885" s="2">
        <v>6237.7731454827999</v>
      </c>
      <c r="AQ1885" s="2">
        <v>3541.3172597839798</v>
      </c>
      <c r="AR1885" s="2">
        <v>11799.026056900801</v>
      </c>
      <c r="AS1885" s="2">
        <v>8.559877937157E-6</v>
      </c>
      <c r="AT1885" s="2">
        <v>8.559877937157E-6</v>
      </c>
      <c r="AU1885" s="2">
        <v>23476.9773979975</v>
      </c>
      <c r="AV1885" s="2">
        <v>3004.0888835281498</v>
      </c>
      <c r="AW1885" s="2">
        <v>697.28635986645804</v>
      </c>
      <c r="AX1885" s="2">
        <v>8644.9754988785007</v>
      </c>
    </row>
    <row r="1886" spans="1:50" x14ac:dyDescent="0.25">
      <c r="A1886" s="2" t="s">
        <v>12788</v>
      </c>
      <c r="B1886" s="2">
        <v>312.16015941769598</v>
      </c>
      <c r="C1886" s="2">
        <v>10.011466666666699</v>
      </c>
      <c r="D1886" s="2" t="s">
        <v>51</v>
      </c>
      <c r="E1886" s="2" t="s">
        <v>12789</v>
      </c>
      <c r="F1886" s="2">
        <v>58409</v>
      </c>
      <c r="G1886" s="3" t="str">
        <f>HYPERLINK("https://cloud.oebiotech.com/#/lm/network/58409", "https://cloud.oebiotech.com/#/lm/network/58409")</f>
        <v>https://cloud.oebiotech.com/#/lm/network/58409</v>
      </c>
      <c r="H1886" s="2" t="s">
        <v>12790</v>
      </c>
      <c r="I1886" s="2">
        <v>89882</v>
      </c>
      <c r="J1886" s="2"/>
      <c r="K1886" s="2">
        <v>10244953</v>
      </c>
      <c r="L1886" s="2"/>
      <c r="M1886" s="2"/>
      <c r="N1886" s="2"/>
      <c r="O1886" s="2"/>
      <c r="P1886" s="2"/>
      <c r="Q1886" s="2"/>
      <c r="R1886" s="2" t="s">
        <v>12791</v>
      </c>
      <c r="S1886" s="2" t="s">
        <v>12792</v>
      </c>
      <c r="T1886" s="2" t="s">
        <v>12793</v>
      </c>
      <c r="U1886" s="2" t="s">
        <v>266</v>
      </c>
      <c r="V1886" s="2" t="s">
        <v>4740</v>
      </c>
      <c r="W1886" s="2" t="s">
        <v>240</v>
      </c>
      <c r="X1886" s="2" t="s">
        <v>59</v>
      </c>
      <c r="Y1886" s="2">
        <v>49.6</v>
      </c>
      <c r="Z1886" s="2">
        <v>55.8</v>
      </c>
      <c r="AA1886" s="2" t="s">
        <v>259</v>
      </c>
      <c r="AB1886" s="2" t="s">
        <v>12794</v>
      </c>
      <c r="AC1886" s="2">
        <v>2.3764861046529502</v>
      </c>
      <c r="AD1886" s="2"/>
      <c r="AE1886" s="2">
        <v>0.34572052734519798</v>
      </c>
      <c r="AF1886" s="2">
        <v>7012.2192627664699</v>
      </c>
      <c r="AG1886" s="2">
        <v>2670.5881764146302</v>
      </c>
      <c r="AH1886" s="5">
        <v>2.6257209272081199</v>
      </c>
      <c r="AI1886" s="5">
        <v>1.39271358861159</v>
      </c>
      <c r="AJ1886" s="5" t="s">
        <v>139</v>
      </c>
      <c r="AK1886" s="2">
        <v>0.24563768303277</v>
      </c>
      <c r="AL1886" s="2">
        <v>0.57060798295178805</v>
      </c>
      <c r="AM1886" s="2">
        <v>4948.1809773586001</v>
      </c>
      <c r="AN1886" s="2">
        <v>6501.7870260228401</v>
      </c>
      <c r="AO1886" s="2">
        <v>22499.333051240101</v>
      </c>
      <c r="AP1886" s="2">
        <v>5534.3468231048901</v>
      </c>
      <c r="AQ1886" s="2">
        <v>2338.0703364422802</v>
      </c>
      <c r="AR1886" s="2">
        <v>251.59736243011</v>
      </c>
      <c r="AS1886" s="2">
        <v>400.10942351686498</v>
      </c>
      <c r="AT1886" s="2">
        <v>1336.4089407040999</v>
      </c>
      <c r="AU1886" s="2">
        <v>9447.3962992785291</v>
      </c>
      <c r="AV1886" s="2">
        <v>2482.16528112893</v>
      </c>
      <c r="AW1886" s="2">
        <v>806.62539679010001</v>
      </c>
      <c r="AX1886" s="2">
        <v>1550.8237170692501</v>
      </c>
    </row>
    <row r="1887" spans="1:50" x14ac:dyDescent="0.25">
      <c r="A1887" s="2" t="s">
        <v>12795</v>
      </c>
      <c r="B1887" s="2">
        <v>299.201577336855</v>
      </c>
      <c r="C1887" s="2">
        <v>7.7165666666666697</v>
      </c>
      <c r="D1887" s="2" t="s">
        <v>51</v>
      </c>
      <c r="E1887" s="2" t="s">
        <v>12796</v>
      </c>
      <c r="F1887" s="2">
        <v>4230</v>
      </c>
      <c r="G1887" s="3" t="str">
        <f>HYPERLINK("https://cloud.oebiotech.com/#/lm/network/4230", "https://cloud.oebiotech.com/#/lm/network/4230")</f>
        <v>https://cloud.oebiotech.com/#/lm/network/4230</v>
      </c>
      <c r="H1887" s="2"/>
      <c r="I1887" s="2">
        <v>75108</v>
      </c>
      <c r="J1887" s="2" t="s">
        <v>12797</v>
      </c>
      <c r="K1887" s="2">
        <v>52921959</v>
      </c>
      <c r="L1887" s="2"/>
      <c r="M1887" s="2"/>
      <c r="N1887" s="2"/>
      <c r="O1887" s="2"/>
      <c r="P1887" s="2"/>
      <c r="Q1887" s="2"/>
      <c r="R1887" s="2"/>
      <c r="S1887" s="2" t="s">
        <v>12798</v>
      </c>
      <c r="T1887" s="2" t="s">
        <v>12799</v>
      </c>
      <c r="U1887" s="2" t="s">
        <v>56</v>
      </c>
      <c r="V1887" s="2" t="s">
        <v>145</v>
      </c>
      <c r="W1887" s="2" t="s">
        <v>231</v>
      </c>
      <c r="X1887" s="2" t="s">
        <v>147</v>
      </c>
      <c r="Y1887" s="2">
        <v>44.6</v>
      </c>
      <c r="Z1887" s="2">
        <v>32.200000000000003</v>
      </c>
      <c r="AA1887" s="2" t="s">
        <v>156</v>
      </c>
      <c r="AB1887" s="2" t="s">
        <v>708</v>
      </c>
      <c r="AC1887" s="2">
        <v>3.2283927978173801</v>
      </c>
      <c r="AD1887" s="2"/>
      <c r="AE1887" s="2">
        <v>0.34561428866899802</v>
      </c>
      <c r="AF1887" s="2">
        <v>8557.9738861168407</v>
      </c>
      <c r="AG1887" s="2">
        <v>5653.5633063853202</v>
      </c>
      <c r="AH1887" s="5">
        <v>1.5137309732520701</v>
      </c>
      <c r="AI1887" s="5">
        <v>0.59810882616740102</v>
      </c>
      <c r="AJ1887" s="5" t="s">
        <v>139</v>
      </c>
      <c r="AK1887" s="2">
        <v>1.95912597260424E-2</v>
      </c>
      <c r="AL1887" s="2">
        <v>0.21932247761462001</v>
      </c>
      <c r="AM1887" s="2">
        <v>9082.5317387660907</v>
      </c>
      <c r="AN1887" s="2">
        <v>10466.1761283502</v>
      </c>
      <c r="AO1887" s="2">
        <v>7954.0545282864296</v>
      </c>
      <c r="AP1887" s="2">
        <v>9730.1536590187607</v>
      </c>
      <c r="AQ1887" s="2">
        <v>6107.0960284410703</v>
      </c>
      <c r="AR1887" s="2">
        <v>8007.8312338384903</v>
      </c>
      <c r="AS1887" s="2">
        <v>8044.1630449159102</v>
      </c>
      <c r="AT1887" s="2">
        <v>5351.5945480928303</v>
      </c>
      <c r="AU1887" s="2">
        <v>7442.72915293391</v>
      </c>
      <c r="AV1887" s="2">
        <v>2823.7566301823499</v>
      </c>
      <c r="AW1887" s="2">
        <v>3842.0282003226198</v>
      </c>
      <c r="AX1887" s="2">
        <v>6417.1082618643204</v>
      </c>
    </row>
    <row r="1888" spans="1:50" x14ac:dyDescent="0.25">
      <c r="A1888" s="2" t="s">
        <v>12800</v>
      </c>
      <c r="B1888" s="2">
        <v>336.30234492384199</v>
      </c>
      <c r="C1888" s="2">
        <v>7.9849666666666703</v>
      </c>
      <c r="D1888" s="2" t="s">
        <v>51</v>
      </c>
      <c r="E1888" s="2" t="s">
        <v>12801</v>
      </c>
      <c r="F1888" s="2">
        <v>209276</v>
      </c>
      <c r="G1888" s="3" t="str">
        <f>HYPERLINK("https://cloud.oebiotech.com/#/lm/network/209276", "https://cloud.oebiotech.com/#/lm/network/209276")</f>
        <v>https://cloud.oebiotech.com/#/lm/network/209276</v>
      </c>
      <c r="H1888" s="2" t="s">
        <v>12802</v>
      </c>
      <c r="I1888" s="2"/>
      <c r="J1888" s="2"/>
      <c r="K1888" s="2">
        <v>15365</v>
      </c>
      <c r="L1888" s="2"/>
      <c r="M1888" s="2"/>
      <c r="N1888" s="2"/>
      <c r="O1888" s="2"/>
      <c r="P1888" s="2"/>
      <c r="Q1888" s="2"/>
      <c r="R1888" s="2"/>
      <c r="S1888" s="2" t="s">
        <v>12803</v>
      </c>
      <c r="T1888" s="2" t="s">
        <v>12804</v>
      </c>
      <c r="U1888" s="2" t="s">
        <v>119</v>
      </c>
      <c r="V1888" s="2" t="s">
        <v>120</v>
      </c>
      <c r="W1888" s="2" t="s">
        <v>1887</v>
      </c>
      <c r="X1888" s="2" t="s">
        <v>147</v>
      </c>
      <c r="Y1888" s="2">
        <v>37</v>
      </c>
      <c r="Z1888" s="2">
        <v>0</v>
      </c>
      <c r="AA1888" s="2" t="s">
        <v>395</v>
      </c>
      <c r="AB1888" s="2" t="s">
        <v>12805</v>
      </c>
      <c r="AC1888" s="2">
        <v>-1.2226424911176601</v>
      </c>
      <c r="AD1888" s="2"/>
      <c r="AE1888" s="2">
        <v>0.34546293908867098</v>
      </c>
      <c r="AF1888" s="2">
        <v>727.06928256045603</v>
      </c>
      <c r="AG1888" s="2">
        <v>6910.3181530624497</v>
      </c>
      <c r="AH1888" s="4">
        <v>0.105215022876803</v>
      </c>
      <c r="AI1888" s="4">
        <v>-3.2485873837695398</v>
      </c>
      <c r="AJ1888" s="4" t="s">
        <v>62</v>
      </c>
      <c r="AK1888" s="2">
        <v>0.354780047342176</v>
      </c>
      <c r="AL1888" s="2">
        <v>0.644232435870006</v>
      </c>
      <c r="AM1888" s="2">
        <v>8.559877937157E-6</v>
      </c>
      <c r="AN1888" s="2">
        <v>8.559877937157E-6</v>
      </c>
      <c r="AO1888" s="2">
        <v>867.26365060871001</v>
      </c>
      <c r="AP1888" s="2">
        <v>1484.8538107255499</v>
      </c>
      <c r="AQ1888" s="2">
        <v>2010.29820834884</v>
      </c>
      <c r="AR1888" s="2">
        <v>8.559877937157E-6</v>
      </c>
      <c r="AS1888" s="2">
        <v>574.18272400959904</v>
      </c>
      <c r="AT1888" s="2">
        <v>1578.51526822343</v>
      </c>
      <c r="AU1888" s="2">
        <v>608.25533223813602</v>
      </c>
      <c r="AV1888" s="2">
        <v>8.559877937157E-6</v>
      </c>
      <c r="AW1888" s="2">
        <v>8.559877937157E-6</v>
      </c>
      <c r="AX1888" s="2">
        <v>38700.955576783803</v>
      </c>
    </row>
    <row r="1889" spans="1:50" x14ac:dyDescent="0.25">
      <c r="A1889" s="2" t="s">
        <v>12806</v>
      </c>
      <c r="B1889" s="2">
        <v>721.35344095562402</v>
      </c>
      <c r="C1889" s="2">
        <v>4.1298500000000002</v>
      </c>
      <c r="D1889" s="2" t="s">
        <v>51</v>
      </c>
      <c r="E1889" s="2" t="s">
        <v>12807</v>
      </c>
      <c r="F1889" s="2">
        <v>210837</v>
      </c>
      <c r="G1889" s="3" t="str">
        <f>HYPERLINK("https://cloud.oebiotech.com/#/lm/network/210837", "https://cloud.oebiotech.com/#/lm/network/210837")</f>
        <v>https://cloud.oebiotech.com/#/lm/network/210837</v>
      </c>
      <c r="H1889" s="2" t="s">
        <v>12808</v>
      </c>
      <c r="I1889" s="2"/>
      <c r="J1889" s="2"/>
      <c r="K1889" s="2">
        <v>18702008</v>
      </c>
      <c r="L1889" s="2"/>
      <c r="M1889" s="2"/>
      <c r="N1889" s="2"/>
      <c r="O1889" s="2"/>
      <c r="P1889" s="2"/>
      <c r="Q1889" s="2"/>
      <c r="R1889" s="2"/>
      <c r="S1889" s="2" t="s">
        <v>12809</v>
      </c>
      <c r="T1889" s="2" t="s">
        <v>12810</v>
      </c>
      <c r="U1889" s="2" t="s">
        <v>610</v>
      </c>
      <c r="V1889" s="2" t="s">
        <v>611</v>
      </c>
      <c r="W1889" s="2" t="s">
        <v>1267</v>
      </c>
      <c r="X1889" s="2" t="s">
        <v>147</v>
      </c>
      <c r="Y1889" s="2">
        <v>37.299999999999997</v>
      </c>
      <c r="Z1889" s="2">
        <v>0</v>
      </c>
      <c r="AA1889" s="2" t="s">
        <v>478</v>
      </c>
      <c r="AB1889" s="2" t="s">
        <v>12811</v>
      </c>
      <c r="AC1889" s="2">
        <v>3.6870985917699399</v>
      </c>
      <c r="AD1889" s="2"/>
      <c r="AE1889" s="2">
        <v>0.34545668869624302</v>
      </c>
      <c r="AF1889" s="2">
        <v>21008.2085165356</v>
      </c>
      <c r="AG1889" s="2">
        <v>30925.301599087899</v>
      </c>
      <c r="AH1889" s="4">
        <v>0.67932105526030595</v>
      </c>
      <c r="AI1889" s="4">
        <v>-0.55783452430350999</v>
      </c>
      <c r="AJ1889" s="4" t="s">
        <v>62</v>
      </c>
      <c r="AK1889" s="2">
        <v>0.75825718072498105</v>
      </c>
      <c r="AL1889" s="2">
        <v>0.89144017464637904</v>
      </c>
      <c r="AM1889" s="2">
        <v>30914.860517893001</v>
      </c>
      <c r="AN1889" s="2">
        <v>8.559877937157E-6</v>
      </c>
      <c r="AO1889" s="2">
        <v>810.15555859672497</v>
      </c>
      <c r="AP1889" s="2">
        <v>1582.2121476175</v>
      </c>
      <c r="AQ1889" s="2">
        <v>68004.244865462693</v>
      </c>
      <c r="AR1889" s="2">
        <v>24737.778001084</v>
      </c>
      <c r="AS1889" s="2">
        <v>8.559877937157E-6</v>
      </c>
      <c r="AT1889" s="2">
        <v>8.559877937157E-6</v>
      </c>
      <c r="AU1889" s="2">
        <v>1114.9479300128801</v>
      </c>
      <c r="AV1889" s="2">
        <v>177854.19274126799</v>
      </c>
      <c r="AW1889" s="2">
        <v>8.559877937157E-6</v>
      </c>
      <c r="AX1889" s="2">
        <v>6582.6688975669003</v>
      </c>
    </row>
    <row r="1890" spans="1:50" x14ac:dyDescent="0.25">
      <c r="A1890" s="2" t="s">
        <v>12812</v>
      </c>
      <c r="B1890" s="2">
        <v>411.09619885345302</v>
      </c>
      <c r="C1890" s="2">
        <v>6.8908500000000004</v>
      </c>
      <c r="D1890" s="2" t="s">
        <v>51</v>
      </c>
      <c r="E1890" s="2" t="s">
        <v>12813</v>
      </c>
      <c r="F1890" s="2">
        <v>203989</v>
      </c>
      <c r="G1890" s="3" t="str">
        <f>HYPERLINK("https://cloud.oebiotech.com/#/lm/network/203989", "https://cloud.oebiotech.com/#/lm/network/203989")</f>
        <v>https://cloud.oebiotech.com/#/lm/network/203989</v>
      </c>
      <c r="H1890" s="2" t="s">
        <v>12814</v>
      </c>
      <c r="I1890" s="2">
        <v>68703</v>
      </c>
      <c r="J1890" s="2"/>
      <c r="K1890" s="2">
        <v>54960</v>
      </c>
      <c r="L1890" s="2" t="s">
        <v>12815</v>
      </c>
      <c r="M1890" s="2"/>
      <c r="N1890" s="2"/>
      <c r="O1890" s="2">
        <v>3017</v>
      </c>
      <c r="P1890" s="2"/>
      <c r="Q1890" s="2"/>
      <c r="R1890" s="2" t="s">
        <v>12816</v>
      </c>
      <c r="S1890" s="2" t="s">
        <v>12817</v>
      </c>
      <c r="T1890" s="2" t="s">
        <v>12818</v>
      </c>
      <c r="U1890" s="2" t="s">
        <v>610</v>
      </c>
      <c r="V1890" s="2" t="s">
        <v>611</v>
      </c>
      <c r="W1890" s="2" t="s">
        <v>1122</v>
      </c>
      <c r="X1890" s="2" t="s">
        <v>147</v>
      </c>
      <c r="Y1890" s="2">
        <v>37.9</v>
      </c>
      <c r="Z1890" s="2">
        <v>0</v>
      </c>
      <c r="AA1890" s="2" t="s">
        <v>259</v>
      </c>
      <c r="AB1890" s="2" t="s">
        <v>12819</v>
      </c>
      <c r="AC1890" s="2">
        <v>-1.70087681732278</v>
      </c>
      <c r="AD1890" s="2"/>
      <c r="AE1890" s="2">
        <v>0.34528735603750799</v>
      </c>
      <c r="AF1890" s="2">
        <v>3498.1419509692</v>
      </c>
      <c r="AG1890" s="2">
        <v>7476.9778417993002</v>
      </c>
      <c r="AH1890" s="4">
        <v>0.46785506457076598</v>
      </c>
      <c r="AI1890" s="4">
        <v>-1.0958664240734</v>
      </c>
      <c r="AJ1890" s="4" t="s">
        <v>62</v>
      </c>
      <c r="AK1890" s="2">
        <v>0.121429842638895</v>
      </c>
      <c r="AL1890" s="2">
        <v>0.43825469650280902</v>
      </c>
      <c r="AM1890" s="2">
        <v>2653.7380961643298</v>
      </c>
      <c r="AN1890" s="2">
        <v>2578.4575273782202</v>
      </c>
      <c r="AO1890" s="2">
        <v>4605.4129717837404</v>
      </c>
      <c r="AP1890" s="2">
        <v>223.42285295037999</v>
      </c>
      <c r="AQ1890" s="2">
        <v>2414.16372562979</v>
      </c>
      <c r="AR1890" s="2">
        <v>8513.6565319087094</v>
      </c>
      <c r="AS1890" s="2">
        <v>5345.6532045477297</v>
      </c>
      <c r="AT1890" s="2">
        <v>4191.70919427231</v>
      </c>
      <c r="AU1890" s="2">
        <v>8105.6276516299804</v>
      </c>
      <c r="AV1890" s="2">
        <v>15033.833702317699</v>
      </c>
      <c r="AW1890" s="2">
        <v>11057.166814410601</v>
      </c>
      <c r="AX1890" s="2">
        <v>1127.8764836174701</v>
      </c>
    </row>
    <row r="1891" spans="1:50" x14ac:dyDescent="0.25">
      <c r="A1891" s="2" t="s">
        <v>12820</v>
      </c>
      <c r="B1891" s="2">
        <v>423.02674842440001</v>
      </c>
      <c r="C1891" s="2">
        <v>9.95386666666667</v>
      </c>
      <c r="D1891" s="2" t="s">
        <v>51</v>
      </c>
      <c r="E1891" s="2" t="s">
        <v>12821</v>
      </c>
      <c r="F1891" s="2">
        <v>256621</v>
      </c>
      <c r="G1891" s="3" t="str">
        <f>HYPERLINK("https://cloud.oebiotech.com/#/lm/network/256621", "https://cloud.oebiotech.com/#/lm/network/256621")</f>
        <v>https://cloud.oebiotech.com/#/lm/network/256621</v>
      </c>
      <c r="H1891" s="2" t="s">
        <v>12822</v>
      </c>
      <c r="I1891" s="2"/>
      <c r="J1891" s="2"/>
      <c r="K1891" s="2">
        <v>3015907</v>
      </c>
      <c r="L1891" s="2"/>
      <c r="M1891" s="2"/>
      <c r="N1891" s="2"/>
      <c r="O1891" s="2"/>
      <c r="P1891" s="2"/>
      <c r="Q1891" s="2"/>
      <c r="R1891" s="2"/>
      <c r="S1891" s="2" t="s">
        <v>12823</v>
      </c>
      <c r="T1891" s="2" t="s">
        <v>12824</v>
      </c>
      <c r="U1891" s="2" t="s">
        <v>331</v>
      </c>
      <c r="V1891" s="2" t="s">
        <v>332</v>
      </c>
      <c r="W1891" s="2" t="s">
        <v>511</v>
      </c>
      <c r="X1891" s="2" t="s">
        <v>147</v>
      </c>
      <c r="Y1891" s="2">
        <v>37.9</v>
      </c>
      <c r="Z1891" s="2">
        <v>0</v>
      </c>
      <c r="AA1891" s="2" t="s">
        <v>218</v>
      </c>
      <c r="AB1891" s="2" t="s">
        <v>12825</v>
      </c>
      <c r="AC1891" s="2">
        <v>-1.0214817368270801</v>
      </c>
      <c r="AD1891" s="2"/>
      <c r="AE1891" s="2">
        <v>0.34513467372534601</v>
      </c>
      <c r="AF1891" s="2">
        <v>7182.5756530283597</v>
      </c>
      <c r="AG1891" s="2">
        <v>9602.1609374636901</v>
      </c>
      <c r="AH1891" s="4">
        <v>0.74801658707936203</v>
      </c>
      <c r="AI1891" s="4">
        <v>-0.41885783302068702</v>
      </c>
      <c r="AJ1891" s="4" t="s">
        <v>62</v>
      </c>
      <c r="AK1891" s="2">
        <v>4.57866989029384E-3</v>
      </c>
      <c r="AL1891" s="2">
        <v>0.12174388396289799</v>
      </c>
      <c r="AM1891" s="2">
        <v>5620.3040163306796</v>
      </c>
      <c r="AN1891" s="2">
        <v>5319.0128179877402</v>
      </c>
      <c r="AO1891" s="2">
        <v>7833.0814558436296</v>
      </c>
      <c r="AP1891" s="2">
        <v>6939.2826791192501</v>
      </c>
      <c r="AQ1891" s="2">
        <v>8820.9227447065805</v>
      </c>
      <c r="AR1891" s="2">
        <v>8562.8502041822703</v>
      </c>
      <c r="AS1891" s="2">
        <v>9262.3845992111892</v>
      </c>
      <c r="AT1891" s="2">
        <v>9778.6869496029303</v>
      </c>
      <c r="AU1891" s="2">
        <v>9495.4150304156192</v>
      </c>
      <c r="AV1891" s="2">
        <v>10729.3017586274</v>
      </c>
      <c r="AW1891" s="2">
        <v>8666.1029703713302</v>
      </c>
      <c r="AX1891" s="2">
        <v>9681.0743165536496</v>
      </c>
    </row>
    <row r="1892" spans="1:50" x14ac:dyDescent="0.25">
      <c r="A1892" s="2" t="s">
        <v>12826</v>
      </c>
      <c r="B1892" s="2">
        <v>130.07239999999999</v>
      </c>
      <c r="C1892" s="2">
        <v>11.101000000000001</v>
      </c>
      <c r="D1892" s="2" t="s">
        <v>125</v>
      </c>
      <c r="E1892" s="2" t="s">
        <v>12827</v>
      </c>
      <c r="F1892" s="2">
        <v>200395</v>
      </c>
      <c r="G1892" s="3" t="str">
        <f>HYPERLINK("https://cloud.oebiotech.com/#/lm/network/200395", "https://cloud.oebiotech.com/#/lm/network/200395")</f>
        <v>https://cloud.oebiotech.com/#/lm/network/200395</v>
      </c>
      <c r="H1892" s="2" t="s">
        <v>12828</v>
      </c>
      <c r="I1892" s="2"/>
      <c r="J1892" s="2"/>
      <c r="K1892" s="2">
        <v>8072</v>
      </c>
      <c r="L1892" s="2"/>
      <c r="M1892" s="2"/>
      <c r="N1892" s="2"/>
      <c r="O1892" s="2"/>
      <c r="P1892" s="2"/>
      <c r="Q1892" s="2"/>
      <c r="R1892" s="2"/>
      <c r="S1892" s="2" t="s">
        <v>12829</v>
      </c>
      <c r="T1892" s="2" t="s">
        <v>12830</v>
      </c>
      <c r="U1892" s="2" t="s">
        <v>119</v>
      </c>
      <c r="V1892" s="2" t="s">
        <v>120</v>
      </c>
      <c r="W1892" s="2" t="s">
        <v>1887</v>
      </c>
      <c r="X1892" s="2" t="s">
        <v>59</v>
      </c>
      <c r="Y1892" s="2">
        <v>79.900000000000006</v>
      </c>
      <c r="Z1892" s="2">
        <v>69.400000000000006</v>
      </c>
      <c r="AA1892" s="2"/>
      <c r="AB1892" s="2" t="s">
        <v>12831</v>
      </c>
      <c r="AC1892" s="2"/>
      <c r="AD1892" s="2">
        <v>375796.973293769</v>
      </c>
      <c r="AE1892" s="2">
        <v>0.34500659383223298</v>
      </c>
      <c r="AF1892" s="2">
        <v>83075.166042726705</v>
      </c>
      <c r="AG1892" s="2">
        <v>131380.43185950301</v>
      </c>
      <c r="AH1892" s="4">
        <v>0.63232526234626996</v>
      </c>
      <c r="AI1892" s="4">
        <v>-0.66126123638503598</v>
      </c>
      <c r="AJ1892" s="4" t="s">
        <v>62</v>
      </c>
      <c r="AK1892" s="2">
        <v>0.208870570781652</v>
      </c>
      <c r="AL1892" s="2">
        <v>0.53408340129961396</v>
      </c>
      <c r="AM1892" s="2">
        <v>14169.229497750301</v>
      </c>
      <c r="AN1892" s="2">
        <v>66955.580846554207</v>
      </c>
      <c r="AO1892" s="2">
        <v>91885.975294602802</v>
      </c>
      <c r="AP1892" s="2">
        <v>129971.143805463</v>
      </c>
      <c r="AQ1892" s="2">
        <v>141379.03703802501</v>
      </c>
      <c r="AR1892" s="2">
        <v>54090.0297739651</v>
      </c>
      <c r="AS1892" s="2">
        <v>154095.30256667899</v>
      </c>
      <c r="AT1892" s="2">
        <v>181142.37494688301</v>
      </c>
      <c r="AU1892" s="2">
        <v>20214.573236926699</v>
      </c>
      <c r="AV1892" s="2">
        <v>59569.490628089203</v>
      </c>
      <c r="AW1892" s="2">
        <v>168478.934085527</v>
      </c>
      <c r="AX1892" s="2">
        <v>204781.91569291599</v>
      </c>
    </row>
    <row r="1893" spans="1:50" x14ac:dyDescent="0.25">
      <c r="A1893" s="2" t="s">
        <v>12832</v>
      </c>
      <c r="B1893" s="2">
        <v>503.38623483851001</v>
      </c>
      <c r="C1893" s="2">
        <v>4.1970666666666698</v>
      </c>
      <c r="D1893" s="2" t="s">
        <v>51</v>
      </c>
      <c r="E1893" s="2" t="s">
        <v>12833</v>
      </c>
      <c r="F1893" s="2">
        <v>198853</v>
      </c>
      <c r="G1893" s="3" t="str">
        <f>HYPERLINK("https://cloud.oebiotech.com/#/lm/network/198853", "https://cloud.oebiotech.com/#/lm/network/198853")</f>
        <v>https://cloud.oebiotech.com/#/lm/network/198853</v>
      </c>
      <c r="H1893" s="2" t="s">
        <v>12834</v>
      </c>
      <c r="I1893" s="2"/>
      <c r="J1893" s="2"/>
      <c r="K1893" s="2">
        <v>14559780</v>
      </c>
      <c r="L1893" s="2"/>
      <c r="M1893" s="2"/>
      <c r="N1893" s="2"/>
      <c r="O1893" s="2"/>
      <c r="P1893" s="2"/>
      <c r="Q1893" s="2"/>
      <c r="R1893" s="2"/>
      <c r="S1893" s="2" t="s">
        <v>12835</v>
      </c>
      <c r="T1893" s="2" t="s">
        <v>12836</v>
      </c>
      <c r="U1893" s="2" t="s">
        <v>56</v>
      </c>
      <c r="V1893" s="2" t="s">
        <v>283</v>
      </c>
      <c r="W1893" s="2" t="s">
        <v>2042</v>
      </c>
      <c r="X1893" s="2" t="s">
        <v>147</v>
      </c>
      <c r="Y1893" s="2">
        <v>36.9</v>
      </c>
      <c r="Z1893" s="2">
        <v>0</v>
      </c>
      <c r="AA1893" s="2" t="s">
        <v>156</v>
      </c>
      <c r="AB1893" s="2" t="s">
        <v>12088</v>
      </c>
      <c r="AC1893" s="2">
        <v>3.6517268803462</v>
      </c>
      <c r="AD1893" s="2"/>
      <c r="AE1893" s="2">
        <v>0.344811881115001</v>
      </c>
      <c r="AF1893" s="2">
        <v>468.46396228360999</v>
      </c>
      <c r="AG1893" s="2">
        <v>4191.1845571653903</v>
      </c>
      <c r="AH1893" s="4">
        <v>0.11177364200836901</v>
      </c>
      <c r="AI1893" s="4">
        <v>-3.1613480768949098</v>
      </c>
      <c r="AJ1893" s="4" t="s">
        <v>62</v>
      </c>
      <c r="AK1893" s="2">
        <v>3.3420889048076899E-2</v>
      </c>
      <c r="AL1893" s="2">
        <v>0.27023848021491997</v>
      </c>
      <c r="AM1893" s="2">
        <v>167.321103132963</v>
      </c>
      <c r="AN1893" s="2">
        <v>848.87462620244503</v>
      </c>
      <c r="AO1893" s="2">
        <v>191.63360474499001</v>
      </c>
      <c r="AP1893" s="2">
        <v>230.08009598396501</v>
      </c>
      <c r="AQ1893" s="2">
        <v>597.19513733454005</v>
      </c>
      <c r="AR1893" s="2">
        <v>775.67920630275796</v>
      </c>
      <c r="AS1893" s="2">
        <v>8.559877937157E-6</v>
      </c>
      <c r="AT1893" s="2">
        <v>3811.8326621316201</v>
      </c>
      <c r="AU1893" s="2">
        <v>7302.7110347404096</v>
      </c>
      <c r="AV1893" s="2">
        <v>4634.4738371242602</v>
      </c>
      <c r="AW1893" s="2">
        <v>9163.9526360560503</v>
      </c>
      <c r="AX1893" s="2">
        <v>234.13716438010701</v>
      </c>
    </row>
    <row r="1894" spans="1:50" x14ac:dyDescent="0.25">
      <c r="A1894" s="2" t="s">
        <v>12837</v>
      </c>
      <c r="B1894" s="2">
        <v>205.02946820605101</v>
      </c>
      <c r="C1894" s="2">
        <v>1.00901666666667</v>
      </c>
      <c r="D1894" s="2" t="s">
        <v>51</v>
      </c>
      <c r="E1894" s="2" t="s">
        <v>12838</v>
      </c>
      <c r="F1894" s="2">
        <v>207524</v>
      </c>
      <c r="G1894" s="3" t="str">
        <f>HYPERLINK("https://cloud.oebiotech.com/#/lm/network/207524", "https://cloud.oebiotech.com/#/lm/network/207524")</f>
        <v>https://cloud.oebiotech.com/#/lm/network/207524</v>
      </c>
      <c r="H1894" s="2" t="s">
        <v>12839</v>
      </c>
      <c r="I1894" s="2"/>
      <c r="J1894" s="2"/>
      <c r="K1894" s="2">
        <v>49937</v>
      </c>
      <c r="L1894" s="2"/>
      <c r="M1894" s="2"/>
      <c r="N1894" s="2"/>
      <c r="O1894" s="2"/>
      <c r="P1894" s="2"/>
      <c r="Q1894" s="2"/>
      <c r="R1894" s="2"/>
      <c r="S1894" s="2" t="s">
        <v>12840</v>
      </c>
      <c r="T1894" s="2" t="s">
        <v>12841</v>
      </c>
      <c r="U1894" s="2" t="s">
        <v>103</v>
      </c>
      <c r="V1894" s="2" t="s">
        <v>12842</v>
      </c>
      <c r="W1894" s="2" t="s">
        <v>12843</v>
      </c>
      <c r="X1894" s="2" t="s">
        <v>147</v>
      </c>
      <c r="Y1894" s="2">
        <v>40.9</v>
      </c>
      <c r="Z1894" s="2">
        <v>11.3</v>
      </c>
      <c r="AA1894" s="2" t="s">
        <v>395</v>
      </c>
      <c r="AB1894" s="2" t="s">
        <v>12844</v>
      </c>
      <c r="AC1894" s="2">
        <v>-0.33228648591585003</v>
      </c>
      <c r="AD1894" s="2"/>
      <c r="AE1894" s="2">
        <v>0.344562437877028</v>
      </c>
      <c r="AF1894" s="2">
        <v>74623.126492336101</v>
      </c>
      <c r="AG1894" s="2">
        <v>69326.952727947893</v>
      </c>
      <c r="AH1894" s="5">
        <v>1.0763941519998901</v>
      </c>
      <c r="AI1894" s="5">
        <v>0.106206458016207</v>
      </c>
      <c r="AJ1894" s="5" t="s">
        <v>139</v>
      </c>
      <c r="AK1894" s="2">
        <v>0.60383270061271799</v>
      </c>
      <c r="AL1894" s="2">
        <v>0.80290139832871399</v>
      </c>
      <c r="AM1894" s="2">
        <v>99997.638949054701</v>
      </c>
      <c r="AN1894" s="2">
        <v>66096.357233557705</v>
      </c>
      <c r="AO1894" s="2">
        <v>78780.818109933607</v>
      </c>
      <c r="AP1894" s="2">
        <v>94607.649976608998</v>
      </c>
      <c r="AQ1894" s="2">
        <v>67298.338061694696</v>
      </c>
      <c r="AR1894" s="2">
        <v>40957.9566231668</v>
      </c>
      <c r="AS1894" s="2">
        <v>60812.926316299403</v>
      </c>
      <c r="AT1894" s="2">
        <v>81186.959462558894</v>
      </c>
      <c r="AU1894" s="2">
        <v>74486.601667977797</v>
      </c>
      <c r="AV1894" s="2">
        <v>51431.1937494956</v>
      </c>
      <c r="AW1894" s="2">
        <v>75920.309962040599</v>
      </c>
      <c r="AX1894" s="2">
        <v>72123.725209315002</v>
      </c>
    </row>
    <row r="1895" spans="1:50" x14ac:dyDescent="0.25">
      <c r="A1895" s="2" t="s">
        <v>12845</v>
      </c>
      <c r="B1895" s="2">
        <v>538.249782489533</v>
      </c>
      <c r="C1895" s="2">
        <v>4.0333666666666703</v>
      </c>
      <c r="D1895" s="2" t="s">
        <v>51</v>
      </c>
      <c r="E1895" s="2" t="s">
        <v>12846</v>
      </c>
      <c r="F1895" s="2">
        <v>28273</v>
      </c>
      <c r="G1895" s="3" t="str">
        <f>HYPERLINK("https://cloud.oebiotech.com/#/lm/network/28273", "https://cloud.oebiotech.com/#/lm/network/28273")</f>
        <v>https://cloud.oebiotech.com/#/lm/network/28273</v>
      </c>
      <c r="H1895" s="2"/>
      <c r="I1895" s="2">
        <v>41005</v>
      </c>
      <c r="J1895" s="2" t="s">
        <v>12847</v>
      </c>
      <c r="K1895" s="2">
        <v>448799</v>
      </c>
      <c r="L1895" s="2" t="s">
        <v>12848</v>
      </c>
      <c r="M1895" s="2"/>
      <c r="N1895" s="2"/>
      <c r="O1895" s="2">
        <v>31549</v>
      </c>
      <c r="P1895" s="2"/>
      <c r="Q1895" s="2"/>
      <c r="R1895" s="2"/>
      <c r="S1895" s="2" t="s">
        <v>12849</v>
      </c>
      <c r="T1895" s="2" t="s">
        <v>12850</v>
      </c>
      <c r="U1895" s="2" t="s">
        <v>540</v>
      </c>
      <c r="V1895" s="2" t="s">
        <v>563</v>
      </c>
      <c r="W1895" s="2" t="s">
        <v>12851</v>
      </c>
      <c r="X1895" s="2" t="s">
        <v>147</v>
      </c>
      <c r="Y1895" s="2">
        <v>36.5</v>
      </c>
      <c r="Z1895" s="2">
        <v>0</v>
      </c>
      <c r="AA1895" s="2" t="s">
        <v>218</v>
      </c>
      <c r="AB1895" s="2" t="s">
        <v>12852</v>
      </c>
      <c r="AC1895" s="2">
        <v>3.58975636850451</v>
      </c>
      <c r="AD1895" s="2"/>
      <c r="AE1895" s="2">
        <v>0.34421612078472902</v>
      </c>
      <c r="AF1895" s="2">
        <v>15006.7254425786</v>
      </c>
      <c r="AG1895" s="2">
        <v>9082.1560102345502</v>
      </c>
      <c r="AH1895" s="5">
        <v>1.65233072694058</v>
      </c>
      <c r="AI1895" s="5">
        <v>0.72450248237625103</v>
      </c>
      <c r="AJ1895" s="5" t="s">
        <v>139</v>
      </c>
      <c r="AK1895" s="2">
        <v>0.257488660561904</v>
      </c>
      <c r="AL1895" s="2">
        <v>0.57949589755724895</v>
      </c>
      <c r="AM1895" s="2">
        <v>3627.3833773823198</v>
      </c>
      <c r="AN1895" s="2">
        <v>26173.147860997</v>
      </c>
      <c r="AO1895" s="2">
        <v>24520.9721747697</v>
      </c>
      <c r="AP1895" s="2">
        <v>12839.479069511501</v>
      </c>
      <c r="AQ1895" s="2">
        <v>14431.393720014699</v>
      </c>
      <c r="AR1895" s="2">
        <v>8447.9764527964708</v>
      </c>
      <c r="AS1895" s="2">
        <v>202.77061826108601</v>
      </c>
      <c r="AT1895" s="2">
        <v>8799.8799208698692</v>
      </c>
      <c r="AU1895" s="2">
        <v>9146.0186232445394</v>
      </c>
      <c r="AV1895" s="2">
        <v>4831.7185651495902</v>
      </c>
      <c r="AW1895" s="2">
        <v>7054.9496036647297</v>
      </c>
      <c r="AX1895" s="2">
        <v>24457.598730217502</v>
      </c>
    </row>
    <row r="1896" spans="1:50" x14ac:dyDescent="0.25">
      <c r="A1896" s="2" t="s">
        <v>12853</v>
      </c>
      <c r="B1896" s="2">
        <v>421.19765975369199</v>
      </c>
      <c r="C1896" s="2">
        <v>7.69593333333333</v>
      </c>
      <c r="D1896" s="2" t="s">
        <v>51</v>
      </c>
      <c r="E1896" s="2" t="s">
        <v>12854</v>
      </c>
      <c r="F1896" s="2">
        <v>46220</v>
      </c>
      <c r="G1896" s="3" t="str">
        <f>HYPERLINK("https://cloud.oebiotech.com/#/lm/network/46220", "https://cloud.oebiotech.com/#/lm/network/46220")</f>
        <v>https://cloud.oebiotech.com/#/lm/network/46220</v>
      </c>
      <c r="H1896" s="2"/>
      <c r="I1896" s="2">
        <v>84672</v>
      </c>
      <c r="J1896" s="2" t="s">
        <v>12855</v>
      </c>
      <c r="K1896" s="2">
        <v>5284110</v>
      </c>
      <c r="L1896" s="2"/>
      <c r="M1896" s="2"/>
      <c r="N1896" s="2"/>
      <c r="O1896" s="2"/>
      <c r="P1896" s="2"/>
      <c r="Q1896" s="2"/>
      <c r="R1896" s="2"/>
      <c r="S1896" s="2" t="s">
        <v>12856</v>
      </c>
      <c r="T1896" s="2" t="s">
        <v>12857</v>
      </c>
      <c r="U1896" s="2" t="s">
        <v>56</v>
      </c>
      <c r="V1896" s="2" t="s">
        <v>283</v>
      </c>
      <c r="W1896" s="2" t="s">
        <v>2042</v>
      </c>
      <c r="X1896" s="2" t="s">
        <v>59</v>
      </c>
      <c r="Y1896" s="2">
        <v>48.9</v>
      </c>
      <c r="Z1896" s="2">
        <v>59.5</v>
      </c>
      <c r="AA1896" s="2" t="s">
        <v>95</v>
      </c>
      <c r="AB1896" s="2" t="s">
        <v>2471</v>
      </c>
      <c r="AC1896" s="2">
        <v>-2.2224145813852698</v>
      </c>
      <c r="AD1896" s="2"/>
      <c r="AE1896" s="2">
        <v>0.34402802113790498</v>
      </c>
      <c r="AF1896" s="2">
        <v>7188.8644929258198</v>
      </c>
      <c r="AG1896" s="2">
        <v>3900.7632547499002</v>
      </c>
      <c r="AH1896" s="5">
        <v>1.84293791328455</v>
      </c>
      <c r="AI1896" s="5">
        <v>0.88200746884965298</v>
      </c>
      <c r="AJ1896" s="5" t="s">
        <v>139</v>
      </c>
      <c r="AK1896" s="2">
        <v>0.26553014506758499</v>
      </c>
      <c r="AL1896" s="2">
        <v>0.58713313641201204</v>
      </c>
      <c r="AM1896" s="2">
        <v>19541.1001239617</v>
      </c>
      <c r="AN1896" s="2">
        <v>4878.2067919071396</v>
      </c>
      <c r="AO1896" s="2">
        <v>3874.2077543383598</v>
      </c>
      <c r="AP1896" s="2">
        <v>7136.4961499246101</v>
      </c>
      <c r="AQ1896" s="2">
        <v>1450.8460820545999</v>
      </c>
      <c r="AR1896" s="2">
        <v>6252.3300553685103</v>
      </c>
      <c r="AS1896" s="2">
        <v>6256.5739834788501</v>
      </c>
      <c r="AT1896" s="2">
        <v>4897.1138400978798</v>
      </c>
      <c r="AU1896" s="2">
        <v>6608.8985561672898</v>
      </c>
      <c r="AV1896" s="2">
        <v>321.74355611704101</v>
      </c>
      <c r="AW1896" s="2">
        <v>2068.8816185759001</v>
      </c>
      <c r="AX1896" s="2">
        <v>3251.3679740624202</v>
      </c>
    </row>
    <row r="1897" spans="1:50" x14ac:dyDescent="0.25">
      <c r="A1897" s="2" t="s">
        <v>12858</v>
      </c>
      <c r="B1897" s="2">
        <v>480.39121076337699</v>
      </c>
      <c r="C1897" s="2">
        <v>11.717783333333299</v>
      </c>
      <c r="D1897" s="2" t="s">
        <v>51</v>
      </c>
      <c r="E1897" s="2" t="s">
        <v>12859</v>
      </c>
      <c r="F1897" s="2">
        <v>10182</v>
      </c>
      <c r="G1897" s="3" t="str">
        <f>HYPERLINK("https://cloud.oebiotech.com/#/lm/network/10182", "https://cloud.oebiotech.com/#/lm/network/10182")</f>
        <v>https://cloud.oebiotech.com/#/lm/network/10182</v>
      </c>
      <c r="H1897" s="2"/>
      <c r="I1897" s="2"/>
      <c r="J1897" s="2" t="s">
        <v>12860</v>
      </c>
      <c r="K1897" s="2">
        <v>42607340</v>
      </c>
      <c r="L1897" s="2"/>
      <c r="M1897" s="2"/>
      <c r="N1897" s="2"/>
      <c r="O1897" s="2"/>
      <c r="P1897" s="2"/>
      <c r="Q1897" s="2"/>
      <c r="R1897" s="2"/>
      <c r="S1897" s="2" t="s">
        <v>12861</v>
      </c>
      <c r="T1897" s="2" t="s">
        <v>12862</v>
      </c>
      <c r="U1897" s="2" t="s">
        <v>56</v>
      </c>
      <c r="V1897" s="2" t="s">
        <v>145</v>
      </c>
      <c r="W1897" s="2" t="s">
        <v>3263</v>
      </c>
      <c r="X1897" s="2" t="s">
        <v>147</v>
      </c>
      <c r="Y1897" s="2">
        <v>36.200000000000003</v>
      </c>
      <c r="Z1897" s="2">
        <v>0</v>
      </c>
      <c r="AA1897" s="2" t="s">
        <v>512</v>
      </c>
      <c r="AB1897" s="2" t="s">
        <v>12863</v>
      </c>
      <c r="AC1897" s="2">
        <v>3.7445047807917802</v>
      </c>
      <c r="AD1897" s="2"/>
      <c r="AE1897" s="2">
        <v>0.34398715040729799</v>
      </c>
      <c r="AF1897" s="2">
        <v>3855.8108768867201</v>
      </c>
      <c r="AG1897" s="2">
        <v>7809.5647544945396</v>
      </c>
      <c r="AH1897" s="4">
        <v>0.493729291977204</v>
      </c>
      <c r="AI1897" s="4">
        <v>-1.0182078550410001</v>
      </c>
      <c r="AJ1897" s="4" t="s">
        <v>62</v>
      </c>
      <c r="AK1897" s="2">
        <v>0.18886125392127001</v>
      </c>
      <c r="AL1897" s="2">
        <v>0.51296291332672606</v>
      </c>
      <c r="AM1897" s="2">
        <v>8.559877937157E-6</v>
      </c>
      <c r="AN1897" s="2">
        <v>469.39056687276599</v>
      </c>
      <c r="AO1897" s="2">
        <v>3240.9742657664101</v>
      </c>
      <c r="AP1897" s="2">
        <v>535.19633369845303</v>
      </c>
      <c r="AQ1897" s="2">
        <v>9687.3148456804993</v>
      </c>
      <c r="AR1897" s="2">
        <v>9201.9892407423104</v>
      </c>
      <c r="AS1897" s="2">
        <v>1363.67834534085</v>
      </c>
      <c r="AT1897" s="2">
        <v>2157.95989432942</v>
      </c>
      <c r="AU1897" s="2">
        <v>11413.856973433099</v>
      </c>
      <c r="AV1897" s="2">
        <v>12594.774986856601</v>
      </c>
      <c r="AW1897" s="2">
        <v>6558.1438375173702</v>
      </c>
      <c r="AX1897" s="2">
        <v>12768.974489489899</v>
      </c>
    </row>
    <row r="1898" spans="1:50" x14ac:dyDescent="0.25">
      <c r="A1898" s="2" t="s">
        <v>12864</v>
      </c>
      <c r="B1898" s="2">
        <v>335.01391399221399</v>
      </c>
      <c r="C1898" s="2">
        <v>6.68523333333333</v>
      </c>
      <c r="D1898" s="2" t="s">
        <v>51</v>
      </c>
      <c r="E1898" s="2" t="s">
        <v>12865</v>
      </c>
      <c r="F1898" s="2">
        <v>202384</v>
      </c>
      <c r="G1898" s="3" t="str">
        <f>HYPERLINK("https://cloud.oebiotech.com/#/lm/network/202384", "https://cloud.oebiotech.com/#/lm/network/202384")</f>
        <v>https://cloud.oebiotech.com/#/lm/network/202384</v>
      </c>
      <c r="H1898" s="2" t="s">
        <v>12866</v>
      </c>
      <c r="I1898" s="2">
        <v>724</v>
      </c>
      <c r="J1898" s="2"/>
      <c r="K1898" s="2">
        <v>16161</v>
      </c>
      <c r="L1898" s="2"/>
      <c r="M1898" s="2"/>
      <c r="N1898" s="2"/>
      <c r="O1898" s="2"/>
      <c r="P1898" s="2"/>
      <c r="Q1898" s="2"/>
      <c r="R1898" s="2" t="s">
        <v>12867</v>
      </c>
      <c r="S1898" s="2" t="s">
        <v>12868</v>
      </c>
      <c r="T1898" s="2" t="s">
        <v>12869</v>
      </c>
      <c r="U1898" s="2" t="s">
        <v>266</v>
      </c>
      <c r="V1898" s="2" t="s">
        <v>2772</v>
      </c>
      <c r="W1898" s="2" t="s">
        <v>2773</v>
      </c>
      <c r="X1898" s="2" t="s">
        <v>147</v>
      </c>
      <c r="Y1898" s="2">
        <v>38.5</v>
      </c>
      <c r="Z1898" s="2">
        <v>0</v>
      </c>
      <c r="AA1898" s="2" t="s">
        <v>478</v>
      </c>
      <c r="AB1898" s="2" t="s">
        <v>12870</v>
      </c>
      <c r="AC1898" s="2">
        <v>8.0025119673098805E-2</v>
      </c>
      <c r="AD1898" s="2"/>
      <c r="AE1898" s="2">
        <v>0.343826213222796</v>
      </c>
      <c r="AF1898" s="2">
        <v>8951.0491879081201</v>
      </c>
      <c r="AG1898" s="2">
        <v>11364.332542383399</v>
      </c>
      <c r="AH1898" s="4">
        <v>0.78764407452220098</v>
      </c>
      <c r="AI1898" s="4">
        <v>-0.34438425191158301</v>
      </c>
      <c r="AJ1898" s="4" t="s">
        <v>62</v>
      </c>
      <c r="AK1898" s="2">
        <v>6.3560324495760198E-3</v>
      </c>
      <c r="AL1898" s="2">
        <v>0.13477058804690301</v>
      </c>
      <c r="AM1898" s="2">
        <v>8152.5313234474597</v>
      </c>
      <c r="AN1898" s="2">
        <v>7475.3608162540904</v>
      </c>
      <c r="AO1898" s="2">
        <v>9340.6827760466094</v>
      </c>
      <c r="AP1898" s="2">
        <v>11089.711206636501</v>
      </c>
      <c r="AQ1898" s="2">
        <v>9508.3425928781398</v>
      </c>
      <c r="AR1898" s="2">
        <v>8139.6664121859103</v>
      </c>
      <c r="AS1898" s="2">
        <v>11760.4467790443</v>
      </c>
      <c r="AT1898" s="2">
        <v>11988.9783782127</v>
      </c>
      <c r="AU1898" s="2">
        <v>9862.1206926268696</v>
      </c>
      <c r="AV1898" s="2">
        <v>11019.663122120201</v>
      </c>
      <c r="AW1898" s="2">
        <v>10550.444149831001</v>
      </c>
      <c r="AX1898" s="2">
        <v>13004.342132465399</v>
      </c>
    </row>
    <row r="1899" spans="1:50" x14ac:dyDescent="0.25">
      <c r="A1899" s="2" t="s">
        <v>12871</v>
      </c>
      <c r="B1899" s="2">
        <v>174.09829999999999</v>
      </c>
      <c r="C1899" s="2">
        <v>12.757</v>
      </c>
      <c r="D1899" s="2" t="s">
        <v>125</v>
      </c>
      <c r="E1899" s="2" t="s">
        <v>12872</v>
      </c>
      <c r="F1899" s="2">
        <v>58464</v>
      </c>
      <c r="G1899" s="3" t="str">
        <f>HYPERLINK("https://cloud.oebiotech.com/#/lm/network/58464", "https://cloud.oebiotech.com/#/lm/network/58464")</f>
        <v>https://cloud.oebiotech.com/#/lm/network/58464</v>
      </c>
      <c r="H1899" s="2" t="s">
        <v>12873</v>
      </c>
      <c r="I1899" s="2">
        <v>66444</v>
      </c>
      <c r="J1899" s="2"/>
      <c r="K1899" s="2">
        <v>7095</v>
      </c>
      <c r="L1899" s="2" t="s">
        <v>12874</v>
      </c>
      <c r="M1899" s="2"/>
      <c r="N1899" s="2"/>
      <c r="O1899" s="2">
        <v>17097</v>
      </c>
      <c r="P1899" s="2"/>
      <c r="Q1899" s="2"/>
      <c r="R1899" s="2" t="s">
        <v>12875</v>
      </c>
      <c r="S1899" s="2" t="s">
        <v>12876</v>
      </c>
      <c r="T1899" s="2" t="s">
        <v>12877</v>
      </c>
      <c r="U1899" s="2" t="s">
        <v>610</v>
      </c>
      <c r="V1899" s="2" t="s">
        <v>611</v>
      </c>
      <c r="W1899" s="2" t="s">
        <v>8482</v>
      </c>
      <c r="X1899" s="2" t="s">
        <v>59</v>
      </c>
      <c r="Y1899" s="2">
        <v>75.599999999999994</v>
      </c>
      <c r="Z1899" s="2">
        <v>59.8</v>
      </c>
      <c r="AA1899" s="2"/>
      <c r="AB1899" s="2" t="s">
        <v>12878</v>
      </c>
      <c r="AC1899" s="2"/>
      <c r="AD1899" s="2">
        <v>430605.28020081599</v>
      </c>
      <c r="AE1899" s="2">
        <v>0.343712429132773</v>
      </c>
      <c r="AF1899" s="2">
        <v>1725616.4490755899</v>
      </c>
      <c r="AG1899" s="2">
        <v>1788029.4845763301</v>
      </c>
      <c r="AH1899" s="4">
        <v>0.96509395620199501</v>
      </c>
      <c r="AI1899" s="4">
        <v>-5.1258692871143097E-2</v>
      </c>
      <c r="AJ1899" s="4" t="s">
        <v>62</v>
      </c>
      <c r="AK1899" s="2">
        <v>0.127267047166748</v>
      </c>
      <c r="AL1899" s="2">
        <v>0.44626309510015799</v>
      </c>
      <c r="AM1899" s="2">
        <v>1757548.15759759</v>
      </c>
      <c r="AN1899" s="2">
        <v>1737509.42206639</v>
      </c>
      <c r="AO1899" s="2">
        <v>1686969.4615416201</v>
      </c>
      <c r="AP1899" s="2">
        <v>1786755.35299374</v>
      </c>
      <c r="AQ1899" s="2">
        <v>1631717.16721969</v>
      </c>
      <c r="AR1899" s="2">
        <v>1753199.1330345001</v>
      </c>
      <c r="AS1899" s="2">
        <v>1717733.5124734601</v>
      </c>
      <c r="AT1899" s="2">
        <v>1922465.54513857</v>
      </c>
      <c r="AU1899" s="2">
        <v>1792878.4679942201</v>
      </c>
      <c r="AV1899" s="2">
        <v>1778597.7562092999</v>
      </c>
      <c r="AW1899" s="2">
        <v>1784508.8635309199</v>
      </c>
      <c r="AX1899" s="2">
        <v>1731992.76211154</v>
      </c>
    </row>
    <row r="1900" spans="1:50" x14ac:dyDescent="0.25">
      <c r="A1900" s="2" t="s">
        <v>12879</v>
      </c>
      <c r="B1900" s="2">
        <v>475.33859757028603</v>
      </c>
      <c r="C1900" s="2">
        <v>10.906883333333299</v>
      </c>
      <c r="D1900" s="2" t="s">
        <v>51</v>
      </c>
      <c r="E1900" s="2" t="s">
        <v>12880</v>
      </c>
      <c r="F1900" s="2">
        <v>44081</v>
      </c>
      <c r="G1900" s="3" t="str">
        <f>HYPERLINK("https://cloud.oebiotech.com/#/lm/network/44081", "https://cloud.oebiotech.com/#/lm/network/44081")</f>
        <v>https://cloud.oebiotech.com/#/lm/network/44081</v>
      </c>
      <c r="H1900" s="2"/>
      <c r="I1900" s="2">
        <v>84052</v>
      </c>
      <c r="J1900" s="2" t="s">
        <v>12881</v>
      </c>
      <c r="K1900" s="2">
        <v>44241584</v>
      </c>
      <c r="L1900" s="2"/>
      <c r="M1900" s="2"/>
      <c r="N1900" s="2"/>
      <c r="O1900" s="2"/>
      <c r="P1900" s="2"/>
      <c r="Q1900" s="2"/>
      <c r="R1900" s="2"/>
      <c r="S1900" s="2" t="s">
        <v>12882</v>
      </c>
      <c r="T1900" s="2" t="s">
        <v>12883</v>
      </c>
      <c r="U1900" s="2" t="s">
        <v>56</v>
      </c>
      <c r="V1900" s="2" t="s">
        <v>177</v>
      </c>
      <c r="W1900" s="2" t="s">
        <v>584</v>
      </c>
      <c r="X1900" s="2" t="s">
        <v>83</v>
      </c>
      <c r="Y1900" s="2">
        <v>40.9</v>
      </c>
      <c r="Z1900" s="2">
        <v>0</v>
      </c>
      <c r="AA1900" s="2" t="s">
        <v>259</v>
      </c>
      <c r="AB1900" s="2" t="s">
        <v>12884</v>
      </c>
      <c r="AC1900" s="2">
        <v>-6.7535348334599004</v>
      </c>
      <c r="AD1900" s="2"/>
      <c r="AE1900" s="2">
        <v>0.34339794155692499</v>
      </c>
      <c r="AF1900" s="2">
        <v>5337.6768129280599</v>
      </c>
      <c r="AG1900" s="2">
        <v>8133.7905828746498</v>
      </c>
      <c r="AH1900" s="4">
        <v>0.65623484629249196</v>
      </c>
      <c r="AI1900" s="4">
        <v>-0.60771589140195004</v>
      </c>
      <c r="AJ1900" s="4" t="s">
        <v>62</v>
      </c>
      <c r="AK1900" s="2">
        <v>1.97404105669566E-2</v>
      </c>
      <c r="AL1900" s="2">
        <v>0.21988521113700099</v>
      </c>
      <c r="AM1900" s="2">
        <v>3605.5828708993899</v>
      </c>
      <c r="AN1900" s="2">
        <v>4634.2634385345</v>
      </c>
      <c r="AO1900" s="2">
        <v>7770.5896399936901</v>
      </c>
      <c r="AP1900" s="2">
        <v>5094.9254941552599</v>
      </c>
      <c r="AQ1900" s="2">
        <v>3148.5360135761598</v>
      </c>
      <c r="AR1900" s="2">
        <v>7772.1634204093898</v>
      </c>
      <c r="AS1900" s="2">
        <v>8376.3387269102004</v>
      </c>
      <c r="AT1900" s="2">
        <v>6838.3586674806902</v>
      </c>
      <c r="AU1900" s="2">
        <v>8648.3995983725508</v>
      </c>
      <c r="AV1900" s="2">
        <v>9763.4541821828898</v>
      </c>
      <c r="AW1900" s="2">
        <v>9183.8180138102507</v>
      </c>
      <c r="AX1900" s="2">
        <v>5992.3743084913403</v>
      </c>
    </row>
    <row r="1901" spans="1:50" x14ac:dyDescent="0.25">
      <c r="A1901" s="2" t="s">
        <v>12885</v>
      </c>
      <c r="B1901" s="2">
        <v>300.29049646082899</v>
      </c>
      <c r="C1901" s="2">
        <v>11.940049999999999</v>
      </c>
      <c r="D1901" s="2" t="s">
        <v>51</v>
      </c>
      <c r="E1901" s="2" t="s">
        <v>12886</v>
      </c>
      <c r="F1901" s="2">
        <v>7797</v>
      </c>
      <c r="G1901" s="3" t="str">
        <f>HYPERLINK("https://cloud.oebiotech.com/#/lm/network/7797", "https://cloud.oebiotech.com/#/lm/network/7797")</f>
        <v>https://cloud.oebiotech.com/#/lm/network/7797</v>
      </c>
      <c r="H1901" s="2"/>
      <c r="I1901" s="2">
        <v>97409</v>
      </c>
      <c r="J1901" s="2" t="s">
        <v>12887</v>
      </c>
      <c r="K1901" s="2">
        <v>12628864</v>
      </c>
      <c r="L1901" s="2"/>
      <c r="M1901" s="2"/>
      <c r="N1901" s="2"/>
      <c r="O1901" s="2"/>
      <c r="P1901" s="2"/>
      <c r="Q1901" s="2"/>
      <c r="R1901" s="2"/>
      <c r="S1901" s="2" t="s">
        <v>12888</v>
      </c>
      <c r="T1901" s="2" t="s">
        <v>12889</v>
      </c>
      <c r="U1901" s="2" t="s">
        <v>540</v>
      </c>
      <c r="V1901" s="2" t="s">
        <v>563</v>
      </c>
      <c r="W1901" s="2" t="s">
        <v>240</v>
      </c>
      <c r="X1901" s="2" t="s">
        <v>69</v>
      </c>
      <c r="Y1901" s="2">
        <v>54.1</v>
      </c>
      <c r="Z1901" s="2">
        <v>48.3</v>
      </c>
      <c r="AA1901" s="2" t="s">
        <v>512</v>
      </c>
      <c r="AB1901" s="2" t="s">
        <v>3183</v>
      </c>
      <c r="AC1901" s="2">
        <v>2.8010092409981699</v>
      </c>
      <c r="AD1901" s="2"/>
      <c r="AE1901" s="2">
        <v>0.34302519154837102</v>
      </c>
      <c r="AF1901" s="2">
        <v>21688.7386646335</v>
      </c>
      <c r="AG1901" s="2">
        <v>31411.1462181428</v>
      </c>
      <c r="AH1901" s="4">
        <v>0.69047905842118695</v>
      </c>
      <c r="AI1901" s="4">
        <v>-0.53433043532083901</v>
      </c>
      <c r="AJ1901" s="4" t="s">
        <v>62</v>
      </c>
      <c r="AK1901" s="2">
        <v>0.38985520238597798</v>
      </c>
      <c r="AL1901" s="2">
        <v>0.66472439304007802</v>
      </c>
      <c r="AM1901" s="2">
        <v>23537.041448471198</v>
      </c>
      <c r="AN1901" s="2">
        <v>21444.132619361601</v>
      </c>
      <c r="AO1901" s="2">
        <v>16911.404119379</v>
      </c>
      <c r="AP1901" s="2">
        <v>17737.583055766401</v>
      </c>
      <c r="AQ1901" s="2">
        <v>32820.434133769697</v>
      </c>
      <c r="AR1901" s="2">
        <v>17681.836611052899</v>
      </c>
      <c r="AS1901" s="2">
        <v>14017.2497697423</v>
      </c>
      <c r="AT1901" s="2">
        <v>11930.9391574525</v>
      </c>
      <c r="AU1901" s="2">
        <v>70175.583302097599</v>
      </c>
      <c r="AV1901" s="2">
        <v>20681.512103626701</v>
      </c>
      <c r="AW1901" s="2">
        <v>58068.1819404083</v>
      </c>
      <c r="AX1901" s="2">
        <v>13593.4110355293</v>
      </c>
    </row>
    <row r="1902" spans="1:50" x14ac:dyDescent="0.25">
      <c r="A1902" s="2" t="s">
        <v>12890</v>
      </c>
      <c r="B1902" s="2">
        <v>475.24716421491598</v>
      </c>
      <c r="C1902" s="2">
        <v>10.3496666666667</v>
      </c>
      <c r="D1902" s="2" t="s">
        <v>51</v>
      </c>
      <c r="E1902" s="2" t="s">
        <v>12891</v>
      </c>
      <c r="F1902" s="2">
        <v>23681</v>
      </c>
      <c r="G1902" s="3" t="str">
        <f>HYPERLINK("https://cloud.oebiotech.com/#/lm/network/23681", "https://cloud.oebiotech.com/#/lm/network/23681")</f>
        <v>https://cloud.oebiotech.com/#/lm/network/23681</v>
      </c>
      <c r="H1902" s="2"/>
      <c r="I1902" s="2">
        <v>80007</v>
      </c>
      <c r="J1902" s="2" t="s">
        <v>12892</v>
      </c>
      <c r="K1902" s="2">
        <v>52927442</v>
      </c>
      <c r="L1902" s="2"/>
      <c r="M1902" s="2"/>
      <c r="N1902" s="2"/>
      <c r="O1902" s="2"/>
      <c r="P1902" s="2"/>
      <c r="Q1902" s="2"/>
      <c r="R1902" s="2"/>
      <c r="S1902" s="2" t="s">
        <v>12893</v>
      </c>
      <c r="T1902" s="2" t="s">
        <v>12894</v>
      </c>
      <c r="U1902" s="2" t="s">
        <v>56</v>
      </c>
      <c r="V1902" s="2" t="s">
        <v>57</v>
      </c>
      <c r="W1902" s="2" t="s">
        <v>570</v>
      </c>
      <c r="X1902" s="2" t="s">
        <v>147</v>
      </c>
      <c r="Y1902" s="2">
        <v>36.299999999999997</v>
      </c>
      <c r="Z1902" s="2">
        <v>0</v>
      </c>
      <c r="AA1902" s="2" t="s">
        <v>379</v>
      </c>
      <c r="AB1902" s="2" t="s">
        <v>12895</v>
      </c>
      <c r="AC1902" s="2">
        <v>1.08393359923571</v>
      </c>
      <c r="AD1902" s="2"/>
      <c r="AE1902" s="2">
        <v>0.342812869827053</v>
      </c>
      <c r="AF1902" s="2">
        <v>1880.1335302961299</v>
      </c>
      <c r="AG1902" s="2">
        <v>13161.663732082099</v>
      </c>
      <c r="AH1902" s="4">
        <v>0.14284923004933101</v>
      </c>
      <c r="AI1902" s="4">
        <v>-2.8074348346509201</v>
      </c>
      <c r="AJ1902" s="4" t="s">
        <v>62</v>
      </c>
      <c r="AK1902" s="2">
        <v>0.29090412686305001</v>
      </c>
      <c r="AL1902" s="2">
        <v>0.60497303631660804</v>
      </c>
      <c r="AM1902" s="2">
        <v>10864.7793364474</v>
      </c>
      <c r="AN1902" s="2">
        <v>222.72100441099599</v>
      </c>
      <c r="AO1902" s="2">
        <v>8.559877937157E-6</v>
      </c>
      <c r="AP1902" s="2">
        <v>8.559877937157E-6</v>
      </c>
      <c r="AQ1902" s="2">
        <v>8.559877937157E-6</v>
      </c>
      <c r="AR1902" s="2">
        <v>193.30081523876601</v>
      </c>
      <c r="AS1902" s="2">
        <v>8.559877937157E-6</v>
      </c>
      <c r="AT1902" s="2">
        <v>8.559877937157E-6</v>
      </c>
      <c r="AU1902" s="2">
        <v>62394.9119569584</v>
      </c>
      <c r="AV1902" s="2">
        <v>9708.76574218514</v>
      </c>
      <c r="AW1902" s="2">
        <v>4519.0081934876598</v>
      </c>
      <c r="AX1902" s="2">
        <v>2347.2964827415899</v>
      </c>
    </row>
    <row r="1903" spans="1:50" x14ac:dyDescent="0.25">
      <c r="A1903" s="2" t="s">
        <v>12896</v>
      </c>
      <c r="B1903" s="2">
        <v>206.08172797557199</v>
      </c>
      <c r="C1903" s="2">
        <v>4.8395999999999999</v>
      </c>
      <c r="D1903" s="2" t="s">
        <v>51</v>
      </c>
      <c r="E1903" s="2" t="s">
        <v>12897</v>
      </c>
      <c r="F1903" s="2">
        <v>47069</v>
      </c>
      <c r="G1903" s="3" t="str">
        <f>HYPERLINK("https://cloud.oebiotech.com/#/lm/network/47069", "https://cloud.oebiotech.com/#/lm/network/47069")</f>
        <v>https://cloud.oebiotech.com/#/lm/network/47069</v>
      </c>
      <c r="H1903" s="2" t="s">
        <v>12898</v>
      </c>
      <c r="I1903" s="2">
        <v>34536</v>
      </c>
      <c r="J1903" s="2"/>
      <c r="K1903" s="2">
        <v>74839</v>
      </c>
      <c r="L1903" s="2" t="s">
        <v>12899</v>
      </c>
      <c r="M1903" s="2" t="s">
        <v>5698</v>
      </c>
      <c r="N1903" s="2" t="s">
        <v>5699</v>
      </c>
      <c r="O1903" s="2">
        <v>16259</v>
      </c>
      <c r="P1903" s="2"/>
      <c r="Q1903" s="2"/>
      <c r="R1903" s="2" t="s">
        <v>12900</v>
      </c>
      <c r="S1903" s="2" t="s">
        <v>12901</v>
      </c>
      <c r="T1903" s="2" t="s">
        <v>12902</v>
      </c>
      <c r="U1903" s="2" t="s">
        <v>103</v>
      </c>
      <c r="V1903" s="2" t="s">
        <v>104</v>
      </c>
      <c r="W1903" s="2" t="s">
        <v>105</v>
      </c>
      <c r="X1903" s="2" t="s">
        <v>69</v>
      </c>
      <c r="Y1903" s="2">
        <v>57.9</v>
      </c>
      <c r="Z1903" s="2">
        <v>77.599999999999994</v>
      </c>
      <c r="AA1903" s="2" t="s">
        <v>163</v>
      </c>
      <c r="AB1903" s="2" t="s">
        <v>12903</v>
      </c>
      <c r="AC1903" s="2">
        <v>-2.6021247136559</v>
      </c>
      <c r="AD1903" s="2"/>
      <c r="AE1903" s="2">
        <v>0.34266917615566</v>
      </c>
      <c r="AF1903" s="2">
        <v>15355.118869082</v>
      </c>
      <c r="AG1903" s="2">
        <v>11307.405223735001</v>
      </c>
      <c r="AH1903" s="5">
        <v>1.3579701589583699</v>
      </c>
      <c r="AI1903" s="5">
        <v>0.44145177708205602</v>
      </c>
      <c r="AJ1903" s="5" t="s">
        <v>139</v>
      </c>
      <c r="AK1903" s="2">
        <v>0.50672807440035095</v>
      </c>
      <c r="AL1903" s="2">
        <v>0.74196312845079004</v>
      </c>
      <c r="AM1903" s="2">
        <v>42842.762831169697</v>
      </c>
      <c r="AN1903" s="2">
        <v>11551.775545566201</v>
      </c>
      <c r="AO1903" s="2">
        <v>4055.48560144968</v>
      </c>
      <c r="AP1903" s="2">
        <v>9422.1989956628204</v>
      </c>
      <c r="AQ1903" s="2">
        <v>15953.7964803463</v>
      </c>
      <c r="AR1903" s="2">
        <v>8304.6937602973794</v>
      </c>
      <c r="AS1903" s="2">
        <v>15850.0419498212</v>
      </c>
      <c r="AT1903" s="2">
        <v>13637.341995140399</v>
      </c>
      <c r="AU1903" s="2">
        <v>9536.2303488613397</v>
      </c>
      <c r="AV1903" s="2">
        <v>11573.794133687699</v>
      </c>
      <c r="AW1903" s="2">
        <v>10847.2737159101</v>
      </c>
      <c r="AX1903" s="2">
        <v>6399.7491989889704</v>
      </c>
    </row>
    <row r="1904" spans="1:50" x14ac:dyDescent="0.25">
      <c r="A1904" s="2" t="s">
        <v>12904</v>
      </c>
      <c r="B1904" s="2">
        <v>393.22767482607901</v>
      </c>
      <c r="C1904" s="2">
        <v>5.4438333333333304</v>
      </c>
      <c r="D1904" s="2" t="s">
        <v>51</v>
      </c>
      <c r="E1904" s="2" t="s">
        <v>12905</v>
      </c>
      <c r="F1904" s="2">
        <v>48213</v>
      </c>
      <c r="G1904" s="3" t="str">
        <f>HYPERLINK("https://cloud.oebiotech.com/#/lm/network/48213", "https://cloud.oebiotech.com/#/lm/network/48213")</f>
        <v>https://cloud.oebiotech.com/#/lm/network/48213</v>
      </c>
      <c r="H1904" s="2" t="s">
        <v>12906</v>
      </c>
      <c r="I1904" s="2"/>
      <c r="J1904" s="2"/>
      <c r="K1904" s="2">
        <v>53477777</v>
      </c>
      <c r="L1904" s="2"/>
      <c r="M1904" s="2"/>
      <c r="N1904" s="2"/>
      <c r="O1904" s="2">
        <v>174935</v>
      </c>
      <c r="P1904" s="2"/>
      <c r="Q1904" s="2"/>
      <c r="R1904" s="2"/>
      <c r="S1904" s="2" t="s">
        <v>12907</v>
      </c>
      <c r="T1904" s="2" t="s">
        <v>12908</v>
      </c>
      <c r="U1904" s="2" t="s">
        <v>56</v>
      </c>
      <c r="V1904" s="2" t="s">
        <v>145</v>
      </c>
      <c r="W1904" s="2" t="s">
        <v>187</v>
      </c>
      <c r="X1904" s="2" t="s">
        <v>83</v>
      </c>
      <c r="Y1904" s="2">
        <v>54.1</v>
      </c>
      <c r="Z1904" s="2">
        <v>0</v>
      </c>
      <c r="AA1904" s="2" t="s">
        <v>95</v>
      </c>
      <c r="AB1904" s="2" t="s">
        <v>312</v>
      </c>
      <c r="AC1904" s="2">
        <v>7.8742801090042196</v>
      </c>
      <c r="AD1904" s="2"/>
      <c r="AE1904" s="2">
        <v>0.34258847101456102</v>
      </c>
      <c r="AF1904" s="2">
        <v>6973.8525622876195</v>
      </c>
      <c r="AG1904" s="2">
        <v>3950.8024945219499</v>
      </c>
      <c r="AH1904" s="5">
        <v>1.7651736759702199</v>
      </c>
      <c r="AI1904" s="5">
        <v>0.81981013768010602</v>
      </c>
      <c r="AJ1904" s="5" t="s">
        <v>139</v>
      </c>
      <c r="AK1904" s="2">
        <v>0.152027252299615</v>
      </c>
      <c r="AL1904" s="2">
        <v>0.47358936336851498</v>
      </c>
      <c r="AM1904" s="2">
        <v>13107.7589624058</v>
      </c>
      <c r="AN1904" s="2">
        <v>9502.2503395575804</v>
      </c>
      <c r="AO1904" s="2">
        <v>5571.4365476765097</v>
      </c>
      <c r="AP1904" s="2">
        <v>5613.23545828635</v>
      </c>
      <c r="AQ1904" s="2">
        <v>2553.2975379418799</v>
      </c>
      <c r="AR1904" s="2">
        <v>5495.1365278576204</v>
      </c>
      <c r="AS1904" s="2">
        <v>6445.6466148619702</v>
      </c>
      <c r="AT1904" s="2">
        <v>1344.84657376674</v>
      </c>
      <c r="AU1904" s="2">
        <v>8255.6311501834698</v>
      </c>
      <c r="AV1904" s="2">
        <v>622.27984520110397</v>
      </c>
      <c r="AW1904" s="2">
        <v>2665.2496410437302</v>
      </c>
      <c r="AX1904" s="2">
        <v>4371.1611420747004</v>
      </c>
    </row>
    <row r="1905" spans="1:50" x14ac:dyDescent="0.25">
      <c r="A1905" s="2" t="s">
        <v>12909</v>
      </c>
      <c r="B1905" s="2">
        <v>399.32675648558899</v>
      </c>
      <c r="C1905" s="2">
        <v>12.979283333333299</v>
      </c>
      <c r="D1905" s="2" t="s">
        <v>51</v>
      </c>
      <c r="E1905" s="2" t="s">
        <v>12910</v>
      </c>
      <c r="F1905" s="2">
        <v>46393</v>
      </c>
      <c r="G1905" s="3" t="str">
        <f>HYPERLINK("https://cloud.oebiotech.com/#/lm/network/46393", "https://cloud.oebiotech.com/#/lm/network/46393")</f>
        <v>https://cloud.oebiotech.com/#/lm/network/46393</v>
      </c>
      <c r="H1905" s="2" t="s">
        <v>12911</v>
      </c>
      <c r="I1905" s="2">
        <v>57912</v>
      </c>
      <c r="J1905" s="2" t="s">
        <v>12912</v>
      </c>
      <c r="K1905" s="2">
        <v>40579073</v>
      </c>
      <c r="L1905" s="2"/>
      <c r="M1905" s="2"/>
      <c r="N1905" s="2"/>
      <c r="O1905" s="2">
        <v>86378</v>
      </c>
      <c r="P1905" s="2"/>
      <c r="Q1905" s="2"/>
      <c r="R1905" s="2" t="s">
        <v>12913</v>
      </c>
      <c r="S1905" s="2" t="s">
        <v>12914</v>
      </c>
      <c r="T1905" s="2" t="s">
        <v>12915</v>
      </c>
      <c r="U1905" s="2" t="s">
        <v>56</v>
      </c>
      <c r="V1905" s="2" t="s">
        <v>283</v>
      </c>
      <c r="W1905" s="2" t="s">
        <v>2042</v>
      </c>
      <c r="X1905" s="2" t="s">
        <v>83</v>
      </c>
      <c r="Y1905" s="2">
        <v>55.5</v>
      </c>
      <c r="Z1905" s="2">
        <v>0</v>
      </c>
      <c r="AA1905" s="2" t="s">
        <v>156</v>
      </c>
      <c r="AB1905" s="2" t="s">
        <v>12916</v>
      </c>
      <c r="AC1905" s="2">
        <v>2.4006632250505602</v>
      </c>
      <c r="AD1905" s="2"/>
      <c r="AE1905" s="2">
        <v>0.34255225745527301</v>
      </c>
      <c r="AF1905" s="2">
        <v>6152.0978920904499</v>
      </c>
      <c r="AG1905" s="2">
        <v>12368.2067516315</v>
      </c>
      <c r="AH1905" s="4">
        <v>0.497412277756347</v>
      </c>
      <c r="AI1905" s="4">
        <v>-1.00748597647692</v>
      </c>
      <c r="AJ1905" s="4" t="s">
        <v>62</v>
      </c>
      <c r="AK1905" s="2">
        <v>0.14292951200204901</v>
      </c>
      <c r="AL1905" s="2">
        <v>0.465481356421373</v>
      </c>
      <c r="AM1905" s="2">
        <v>7924.3637854196704</v>
      </c>
      <c r="AN1905" s="2">
        <v>7143.4701095933497</v>
      </c>
      <c r="AO1905" s="2">
        <v>5787.8087922000004</v>
      </c>
      <c r="AP1905" s="2">
        <v>4633.88161036375</v>
      </c>
      <c r="AQ1905" s="2">
        <v>7925.7417715489901</v>
      </c>
      <c r="AR1905" s="2">
        <v>3497.3212834169599</v>
      </c>
      <c r="AS1905" s="2">
        <v>2912.8360646065398</v>
      </c>
      <c r="AT1905" s="2">
        <v>5519.0256203921899</v>
      </c>
      <c r="AU1905" s="2">
        <v>28755.6681624917</v>
      </c>
      <c r="AV1905" s="2">
        <v>8758.2186318697404</v>
      </c>
      <c r="AW1905" s="2">
        <v>17105.120527063998</v>
      </c>
      <c r="AX1905" s="2">
        <v>11158.3715033648</v>
      </c>
    </row>
    <row r="1906" spans="1:50" x14ac:dyDescent="0.25">
      <c r="A1906" s="2" t="s">
        <v>12917</v>
      </c>
      <c r="B1906" s="2">
        <v>344.18199442386702</v>
      </c>
      <c r="C1906" s="2">
        <v>3.5042</v>
      </c>
      <c r="D1906" s="2" t="s">
        <v>51</v>
      </c>
      <c r="E1906" s="2" t="s">
        <v>12918</v>
      </c>
      <c r="F1906" s="2">
        <v>259475</v>
      </c>
      <c r="G1906" s="3" t="str">
        <f>HYPERLINK("https://cloud.oebiotech.com/#/lm/network/259475", "https://cloud.oebiotech.com/#/lm/network/259475")</f>
        <v>https://cloud.oebiotech.com/#/lm/network/259475</v>
      </c>
      <c r="H1906" s="2"/>
      <c r="I1906" s="2">
        <v>16685</v>
      </c>
      <c r="J1906" s="2"/>
      <c r="K1906" s="2">
        <v>145456246</v>
      </c>
      <c r="L1906" s="2"/>
      <c r="M1906" s="2"/>
      <c r="N1906" s="2"/>
      <c r="O1906" s="2"/>
      <c r="P1906" s="2"/>
      <c r="Q1906" s="2"/>
      <c r="R1906" s="2"/>
      <c r="S1906" s="2" t="s">
        <v>12919</v>
      </c>
      <c r="T1906" s="2" t="s">
        <v>12920</v>
      </c>
      <c r="U1906" s="2" t="s">
        <v>103</v>
      </c>
      <c r="V1906" s="2" t="s">
        <v>104</v>
      </c>
      <c r="W1906" s="2" t="s">
        <v>105</v>
      </c>
      <c r="X1906" s="2" t="s">
        <v>83</v>
      </c>
      <c r="Y1906" s="2">
        <v>53.4</v>
      </c>
      <c r="Z1906" s="2">
        <v>26.5</v>
      </c>
      <c r="AA1906" s="2" t="s">
        <v>259</v>
      </c>
      <c r="AB1906" s="2" t="s">
        <v>12921</v>
      </c>
      <c r="AC1906" s="2">
        <v>1.1144724926549501</v>
      </c>
      <c r="AD1906" s="2"/>
      <c r="AE1906" s="2">
        <v>0.34246909207316401</v>
      </c>
      <c r="AF1906" s="2">
        <v>2357.8404540369502</v>
      </c>
      <c r="AG1906" s="2">
        <v>6818.8941585275998</v>
      </c>
      <c r="AH1906" s="4">
        <v>0.34578047396266898</v>
      </c>
      <c r="AI1906" s="4">
        <v>-1.5320716918198001</v>
      </c>
      <c r="AJ1906" s="4" t="s">
        <v>62</v>
      </c>
      <c r="AK1906" s="2">
        <v>0.18235868359431301</v>
      </c>
      <c r="AL1906" s="2">
        <v>0.50524064131911905</v>
      </c>
      <c r="AM1906" s="2">
        <v>2974.39640782061</v>
      </c>
      <c r="AN1906" s="2">
        <v>697.33965932652495</v>
      </c>
      <c r="AO1906" s="2">
        <v>1696.94801259463</v>
      </c>
      <c r="AP1906" s="2">
        <v>5962.6531583250899</v>
      </c>
      <c r="AQ1906" s="2">
        <v>963.99826977707505</v>
      </c>
      <c r="AR1906" s="2">
        <v>1851.70721637774</v>
      </c>
      <c r="AS1906" s="2">
        <v>150.329541843481</v>
      </c>
      <c r="AT1906" s="2">
        <v>3591.1243021206101</v>
      </c>
      <c r="AU1906" s="2">
        <v>5625.8243904722403</v>
      </c>
      <c r="AV1906" s="2">
        <v>991.36364071185403</v>
      </c>
      <c r="AW1906" s="2">
        <v>10884.757634972901</v>
      </c>
      <c r="AX1906" s="2">
        <v>19669.9654410445</v>
      </c>
    </row>
    <row r="1907" spans="1:50" x14ac:dyDescent="0.25">
      <c r="A1907" s="2" t="s">
        <v>12922</v>
      </c>
      <c r="B1907" s="2">
        <v>449.32858937880297</v>
      </c>
      <c r="C1907" s="2">
        <v>9.8077500000000004</v>
      </c>
      <c r="D1907" s="2" t="s">
        <v>51</v>
      </c>
      <c r="E1907" s="2" t="s">
        <v>12923</v>
      </c>
      <c r="F1907" s="2">
        <v>468261</v>
      </c>
      <c r="G1907" s="3" t="str">
        <f>HYPERLINK("https://cloud.oebiotech.com/#/lm/network/468261", "https://cloud.oebiotech.com/#/lm/network/468261")</f>
        <v>https://cloud.oebiotech.com/#/lm/network/468261</v>
      </c>
      <c r="H1907" s="2" t="s">
        <v>12924</v>
      </c>
      <c r="I1907" s="2">
        <v>89828</v>
      </c>
      <c r="J1907" s="2"/>
      <c r="K1907" s="2">
        <v>76961652</v>
      </c>
      <c r="L1907" s="2"/>
      <c r="M1907" s="2"/>
      <c r="N1907" s="2"/>
      <c r="O1907" s="2"/>
      <c r="P1907" s="2"/>
      <c r="Q1907" s="2"/>
      <c r="R1907" s="2" t="s">
        <v>12925</v>
      </c>
      <c r="S1907" s="2" t="s">
        <v>12926</v>
      </c>
      <c r="T1907" s="2" t="s">
        <v>12927</v>
      </c>
      <c r="U1907" s="2" t="s">
        <v>56</v>
      </c>
      <c r="V1907" s="2" t="s">
        <v>177</v>
      </c>
      <c r="W1907" s="2" t="s">
        <v>3270</v>
      </c>
      <c r="X1907" s="2" t="s">
        <v>83</v>
      </c>
      <c r="Y1907" s="2">
        <v>46.7</v>
      </c>
      <c r="Z1907" s="2">
        <v>0.27400000000000002</v>
      </c>
      <c r="AA1907" s="2" t="s">
        <v>259</v>
      </c>
      <c r="AB1907" s="2" t="s">
        <v>12928</v>
      </c>
      <c r="AC1907" s="2">
        <v>5.4390704066942401</v>
      </c>
      <c r="AD1907" s="2"/>
      <c r="AE1907" s="2">
        <v>0.34238050098030298</v>
      </c>
      <c r="AF1907" s="2">
        <v>55495.176062452003</v>
      </c>
      <c r="AG1907" s="2">
        <v>60601.201701166799</v>
      </c>
      <c r="AH1907" s="4">
        <v>0.91574382198073601</v>
      </c>
      <c r="AI1907" s="4">
        <v>-0.12698403198964001</v>
      </c>
      <c r="AJ1907" s="4" t="s">
        <v>62</v>
      </c>
      <c r="AK1907" s="2">
        <v>0.35538476278294601</v>
      </c>
      <c r="AL1907" s="2">
        <v>0.64425017912743399</v>
      </c>
      <c r="AM1907" s="2">
        <v>44191.7982909907</v>
      </c>
      <c r="AN1907" s="2">
        <v>47480.674733536602</v>
      </c>
      <c r="AO1907" s="2">
        <v>50953.447808231998</v>
      </c>
      <c r="AP1907" s="2">
        <v>51036.826405701599</v>
      </c>
      <c r="AQ1907" s="2">
        <v>69723.9212778402</v>
      </c>
      <c r="AR1907" s="2">
        <v>69584.387858410701</v>
      </c>
      <c r="AS1907" s="2">
        <v>63091.987009469703</v>
      </c>
      <c r="AT1907" s="2">
        <v>67118.966607540395</v>
      </c>
      <c r="AU1907" s="2">
        <v>61486.526109584098</v>
      </c>
      <c r="AV1907" s="2">
        <v>48512.104877541897</v>
      </c>
      <c r="AW1907" s="2">
        <v>62551.3472939067</v>
      </c>
      <c r="AX1907" s="2">
        <v>60846.278308957902</v>
      </c>
    </row>
    <row r="1908" spans="1:50" x14ac:dyDescent="0.25">
      <c r="A1908" s="2" t="s">
        <v>12929</v>
      </c>
      <c r="B1908" s="2">
        <v>338.17210082922401</v>
      </c>
      <c r="C1908" s="2">
        <v>5.1816500000000003</v>
      </c>
      <c r="D1908" s="2" t="s">
        <v>51</v>
      </c>
      <c r="E1908" s="2" t="s">
        <v>12930</v>
      </c>
      <c r="F1908" s="2">
        <v>254904</v>
      </c>
      <c r="G1908" s="3" t="str">
        <f>HYPERLINK("https://cloud.oebiotech.com/#/lm/network/254904", "https://cloud.oebiotech.com/#/lm/network/254904")</f>
        <v>https://cloud.oebiotech.com/#/lm/network/254904</v>
      </c>
      <c r="H1908" s="2" t="s">
        <v>12931</v>
      </c>
      <c r="I1908" s="2">
        <v>67025</v>
      </c>
      <c r="J1908" s="2"/>
      <c r="K1908" s="2">
        <v>5281169</v>
      </c>
      <c r="L1908" s="2" t="s">
        <v>12932</v>
      </c>
      <c r="M1908" s="2"/>
      <c r="N1908" s="2"/>
      <c r="O1908" s="2"/>
      <c r="P1908" s="2"/>
      <c r="Q1908" s="2"/>
      <c r="R1908" s="2" t="s">
        <v>12933</v>
      </c>
      <c r="S1908" s="2" t="s">
        <v>12934</v>
      </c>
      <c r="T1908" s="2" t="s">
        <v>12935</v>
      </c>
      <c r="U1908" s="2" t="s">
        <v>266</v>
      </c>
      <c r="V1908" s="2" t="s">
        <v>12936</v>
      </c>
      <c r="W1908" s="2" t="s">
        <v>240</v>
      </c>
      <c r="X1908" s="2" t="s">
        <v>147</v>
      </c>
      <c r="Y1908" s="2">
        <v>45.2</v>
      </c>
      <c r="Z1908" s="2">
        <v>37.700000000000003</v>
      </c>
      <c r="AA1908" s="2" t="s">
        <v>122</v>
      </c>
      <c r="AB1908" s="2" t="s">
        <v>12937</v>
      </c>
      <c r="AC1908" s="2">
        <v>-2.4774955655695798</v>
      </c>
      <c r="AD1908" s="2"/>
      <c r="AE1908" s="2">
        <v>0.34224176355661501</v>
      </c>
      <c r="AF1908" s="2">
        <v>3713.7319936727499</v>
      </c>
      <c r="AG1908" s="2">
        <v>1044.2248819628701</v>
      </c>
      <c r="AH1908" s="5">
        <v>3.5564484794615399</v>
      </c>
      <c r="AI1908" s="5">
        <v>1.8304372640714599</v>
      </c>
      <c r="AJ1908" s="5" t="s">
        <v>139</v>
      </c>
      <c r="AK1908" s="2">
        <v>4.2105074744052499E-2</v>
      </c>
      <c r="AL1908" s="2">
        <v>0.29293759539812297</v>
      </c>
      <c r="AM1908" s="2">
        <v>5912.8661009141697</v>
      </c>
      <c r="AN1908" s="2">
        <v>8039.8472521577696</v>
      </c>
      <c r="AO1908" s="2">
        <v>2208.9972556374701</v>
      </c>
      <c r="AP1908" s="2">
        <v>1777.8834239272201</v>
      </c>
      <c r="AQ1908" s="2">
        <v>1108.0001950503699</v>
      </c>
      <c r="AR1908" s="2">
        <v>3234.7977343494999</v>
      </c>
      <c r="AS1908" s="2">
        <v>1893.6961291262901</v>
      </c>
      <c r="AT1908" s="2">
        <v>638.65099883251196</v>
      </c>
      <c r="AU1908" s="2">
        <v>1196.93449283417</v>
      </c>
      <c r="AV1908" s="2">
        <v>197.54561496470001</v>
      </c>
      <c r="AW1908" s="2">
        <v>405.86727465243098</v>
      </c>
      <c r="AX1908" s="2">
        <v>1932.6547813671</v>
      </c>
    </row>
    <row r="1909" spans="1:50" x14ac:dyDescent="0.25">
      <c r="A1909" s="2" t="s">
        <v>12938</v>
      </c>
      <c r="B1909" s="2">
        <v>335.19296314595402</v>
      </c>
      <c r="C1909" s="2">
        <v>3.9837333333333298</v>
      </c>
      <c r="D1909" s="2" t="s">
        <v>51</v>
      </c>
      <c r="E1909" s="2" t="s">
        <v>12939</v>
      </c>
      <c r="F1909" s="2">
        <v>52602</v>
      </c>
      <c r="G1909" s="3" t="str">
        <f>HYPERLINK("https://cloud.oebiotech.com/#/lm/network/52602", "https://cloud.oebiotech.com/#/lm/network/52602")</f>
        <v>https://cloud.oebiotech.com/#/lm/network/52602</v>
      </c>
      <c r="H1909" s="2" t="s">
        <v>12940</v>
      </c>
      <c r="I1909" s="2">
        <v>66811</v>
      </c>
      <c r="J1909" s="2"/>
      <c r="K1909" s="2">
        <v>65028</v>
      </c>
      <c r="L1909" s="2" t="s">
        <v>12941</v>
      </c>
      <c r="M1909" s="2"/>
      <c r="N1909" s="2"/>
      <c r="O1909" s="2">
        <v>7798</v>
      </c>
      <c r="P1909" s="2"/>
      <c r="Q1909" s="2"/>
      <c r="R1909" s="2" t="s">
        <v>12942</v>
      </c>
      <c r="S1909" s="2" t="s">
        <v>12943</v>
      </c>
      <c r="T1909" s="2" t="s">
        <v>12944</v>
      </c>
      <c r="U1909" s="2" t="s">
        <v>103</v>
      </c>
      <c r="V1909" s="2" t="s">
        <v>104</v>
      </c>
      <c r="W1909" s="2" t="s">
        <v>105</v>
      </c>
      <c r="X1909" s="2" t="s">
        <v>147</v>
      </c>
      <c r="Y1909" s="2">
        <v>36</v>
      </c>
      <c r="Z1909" s="2">
        <v>0</v>
      </c>
      <c r="AA1909" s="2" t="s">
        <v>95</v>
      </c>
      <c r="AB1909" s="2" t="s">
        <v>12945</v>
      </c>
      <c r="AC1909" s="2">
        <v>-3.7312669297889198</v>
      </c>
      <c r="AD1909" s="2"/>
      <c r="AE1909" s="2">
        <v>0.34222658073791201</v>
      </c>
      <c r="AF1909" s="2">
        <v>4029.2275269778302</v>
      </c>
      <c r="AG1909" s="2">
        <v>1033.5898602325401</v>
      </c>
      <c r="AH1909" s="5">
        <v>3.8982846891235301</v>
      </c>
      <c r="AI1909" s="5">
        <v>1.9628394534970499</v>
      </c>
      <c r="AJ1909" s="5" t="s">
        <v>139</v>
      </c>
      <c r="AK1909" s="2">
        <v>1.5412353525394501E-2</v>
      </c>
      <c r="AL1909" s="2">
        <v>0.196993902176336</v>
      </c>
      <c r="AM1909" s="2">
        <v>5481.3796945960203</v>
      </c>
      <c r="AN1909" s="2">
        <v>1667.803790597</v>
      </c>
      <c r="AO1909" s="2">
        <v>4943.1342698541303</v>
      </c>
      <c r="AP1909" s="2">
        <v>2304.1803595381298</v>
      </c>
      <c r="AQ1909" s="2">
        <v>2019.30528086457</v>
      </c>
      <c r="AR1909" s="2">
        <v>7759.5617664171295</v>
      </c>
      <c r="AS1909" s="2">
        <v>409.89592010127802</v>
      </c>
      <c r="AT1909" s="2">
        <v>463.49823770231001</v>
      </c>
      <c r="AU1909" s="2">
        <v>966.00389812197102</v>
      </c>
      <c r="AV1909" s="2">
        <v>1663.4162290648701</v>
      </c>
      <c r="AW1909" s="2">
        <v>678.31293512287903</v>
      </c>
      <c r="AX1909" s="2">
        <v>2020.41194128192</v>
      </c>
    </row>
    <row r="1910" spans="1:50" x14ac:dyDescent="0.25">
      <c r="A1910" s="2" t="s">
        <v>12946</v>
      </c>
      <c r="B1910" s="2">
        <v>431.20291528499502</v>
      </c>
      <c r="C1910" s="2">
        <v>10.329216666666699</v>
      </c>
      <c r="D1910" s="2" t="s">
        <v>51</v>
      </c>
      <c r="E1910" s="2" t="s">
        <v>12947</v>
      </c>
      <c r="F1910" s="2">
        <v>53010</v>
      </c>
      <c r="G1910" s="3" t="str">
        <f>HYPERLINK("https://cloud.oebiotech.com/#/lm/network/53010", "https://cloud.oebiotech.com/#/lm/network/53010")</f>
        <v>https://cloud.oebiotech.com/#/lm/network/53010</v>
      </c>
      <c r="H1910" s="2" t="s">
        <v>12948</v>
      </c>
      <c r="I1910" s="2">
        <v>2524</v>
      </c>
      <c r="J1910" s="2"/>
      <c r="K1910" s="2">
        <v>41693</v>
      </c>
      <c r="L1910" s="2" t="s">
        <v>12949</v>
      </c>
      <c r="M1910" s="2"/>
      <c r="N1910" s="2"/>
      <c r="O1910" s="2">
        <v>9316</v>
      </c>
      <c r="P1910" s="2"/>
      <c r="Q1910" s="2"/>
      <c r="R1910" s="2" t="s">
        <v>12950</v>
      </c>
      <c r="S1910" s="2" t="s">
        <v>12951</v>
      </c>
      <c r="T1910" s="2" t="s">
        <v>12952</v>
      </c>
      <c r="U1910" s="2" t="s">
        <v>610</v>
      </c>
      <c r="V1910" s="2" t="s">
        <v>611</v>
      </c>
      <c r="W1910" s="2" t="s">
        <v>1267</v>
      </c>
      <c r="X1910" s="2" t="s">
        <v>147</v>
      </c>
      <c r="Y1910" s="2">
        <v>36.6</v>
      </c>
      <c r="Z1910" s="2">
        <v>0</v>
      </c>
      <c r="AA1910" s="2" t="s">
        <v>218</v>
      </c>
      <c r="AB1910" s="2" t="s">
        <v>12953</v>
      </c>
      <c r="AC1910" s="2">
        <v>4.9538847945612696</v>
      </c>
      <c r="AD1910" s="2"/>
      <c r="AE1910" s="2">
        <v>0.342092728851073</v>
      </c>
      <c r="AF1910" s="2">
        <v>14424.0717012686</v>
      </c>
      <c r="AG1910" s="2">
        <v>11082.2295514096</v>
      </c>
      <c r="AH1910" s="5">
        <v>1.3015496235984301</v>
      </c>
      <c r="AI1910" s="5">
        <v>0.38023031777704203</v>
      </c>
      <c r="AJ1910" s="5" t="s">
        <v>139</v>
      </c>
      <c r="AK1910" s="2">
        <v>0.21583875732851401</v>
      </c>
      <c r="AL1910" s="2">
        <v>0.54114641142710695</v>
      </c>
      <c r="AM1910" s="2">
        <v>15992.0843077142</v>
      </c>
      <c r="AN1910" s="2">
        <v>21124.139478802099</v>
      </c>
      <c r="AO1910" s="2">
        <v>13680.8396967668</v>
      </c>
      <c r="AP1910" s="2">
        <v>7080.1837283037203</v>
      </c>
      <c r="AQ1910" s="2">
        <v>13275.857084032999</v>
      </c>
      <c r="AR1910" s="2">
        <v>15391.3259119918</v>
      </c>
      <c r="AS1910" s="2">
        <v>13109.415672953901</v>
      </c>
      <c r="AT1910" s="2">
        <v>9011.7238540958206</v>
      </c>
      <c r="AU1910" s="2">
        <v>17019.949035963698</v>
      </c>
      <c r="AV1910" s="2">
        <v>6831.4062755832201</v>
      </c>
      <c r="AW1910" s="2">
        <v>6742.6965952071096</v>
      </c>
      <c r="AX1910" s="2">
        <v>13778.1858746541</v>
      </c>
    </row>
    <row r="1911" spans="1:50" x14ac:dyDescent="0.25">
      <c r="A1911" s="2" t="s">
        <v>12954</v>
      </c>
      <c r="B1911" s="2">
        <v>467.03356618646097</v>
      </c>
      <c r="C1911" s="2">
        <v>9.7059333333333306</v>
      </c>
      <c r="D1911" s="2" t="s">
        <v>51</v>
      </c>
      <c r="E1911" s="2" t="s">
        <v>12955</v>
      </c>
      <c r="F1911" s="2">
        <v>197185</v>
      </c>
      <c r="G1911" s="3" t="str">
        <f>HYPERLINK("https://cloud.oebiotech.com/#/lm/network/197185", "https://cloud.oebiotech.com/#/lm/network/197185")</f>
        <v>https://cloud.oebiotech.com/#/lm/network/197185</v>
      </c>
      <c r="H1911" s="2" t="s">
        <v>12956</v>
      </c>
      <c r="I1911" s="2"/>
      <c r="J1911" s="2"/>
      <c r="K1911" s="2">
        <v>71749404</v>
      </c>
      <c r="L1911" s="2"/>
      <c r="M1911" s="2"/>
      <c r="N1911" s="2"/>
      <c r="O1911" s="2"/>
      <c r="P1911" s="2"/>
      <c r="Q1911" s="2"/>
      <c r="R1911" s="2"/>
      <c r="S1911" s="2" t="s">
        <v>12957</v>
      </c>
      <c r="T1911" s="2" t="s">
        <v>12958</v>
      </c>
      <c r="U1911" s="2" t="s">
        <v>103</v>
      </c>
      <c r="V1911" s="2" t="s">
        <v>4820</v>
      </c>
      <c r="W1911" s="2" t="s">
        <v>4821</v>
      </c>
      <c r="X1911" s="2" t="s">
        <v>147</v>
      </c>
      <c r="Y1911" s="2">
        <v>36.799999999999997</v>
      </c>
      <c r="Z1911" s="2">
        <v>0</v>
      </c>
      <c r="AA1911" s="2" t="s">
        <v>478</v>
      </c>
      <c r="AB1911" s="2" t="s">
        <v>12959</v>
      </c>
      <c r="AC1911" s="2">
        <v>2.6163219804215001</v>
      </c>
      <c r="AD1911" s="2"/>
      <c r="AE1911" s="2">
        <v>0.34154672303697498</v>
      </c>
      <c r="AF1911" s="2">
        <v>9212.43824588801</v>
      </c>
      <c r="AG1911" s="2">
        <v>11851.724648490201</v>
      </c>
      <c r="AH1911" s="4">
        <v>0.77730781967344997</v>
      </c>
      <c r="AI1911" s="4">
        <v>-0.36344206514329502</v>
      </c>
      <c r="AJ1911" s="4" t="s">
        <v>62</v>
      </c>
      <c r="AK1911" s="2">
        <v>2.2115290395922901E-2</v>
      </c>
      <c r="AL1911" s="2">
        <v>0.23156698250545699</v>
      </c>
      <c r="AM1911" s="2">
        <v>8200.1174105585906</v>
      </c>
      <c r="AN1911" s="2">
        <v>8873.7645019564898</v>
      </c>
      <c r="AO1911" s="2">
        <v>8154.4200917958997</v>
      </c>
      <c r="AP1911" s="2">
        <v>8585.1080044350601</v>
      </c>
      <c r="AQ1911" s="2">
        <v>12424.459828031</v>
      </c>
      <c r="AR1911" s="2">
        <v>9036.7596385510406</v>
      </c>
      <c r="AS1911" s="2">
        <v>11516.623198700599</v>
      </c>
      <c r="AT1911" s="2">
        <v>12346.652448541499</v>
      </c>
      <c r="AU1911" s="2">
        <v>8519.59990574519</v>
      </c>
      <c r="AV1911" s="2">
        <v>13366.006274712399</v>
      </c>
      <c r="AW1911" s="2">
        <v>12218.2657594107</v>
      </c>
      <c r="AX1911" s="2">
        <v>13143.200303830899</v>
      </c>
    </row>
    <row r="1912" spans="1:50" x14ac:dyDescent="0.25">
      <c r="A1912" s="2" t="s">
        <v>12960</v>
      </c>
      <c r="B1912" s="2">
        <v>645.43491729771995</v>
      </c>
      <c r="C1912" s="2">
        <v>10.72105</v>
      </c>
      <c r="D1912" s="2" t="s">
        <v>51</v>
      </c>
      <c r="E1912" s="2" t="s">
        <v>12961</v>
      </c>
      <c r="F1912" s="2">
        <v>251581</v>
      </c>
      <c r="G1912" s="3" t="str">
        <f>HYPERLINK("https://cloud.oebiotech.com/#/lm/network/251581", "https://cloud.oebiotech.com/#/lm/network/251581")</f>
        <v>https://cloud.oebiotech.com/#/lm/network/251581</v>
      </c>
      <c r="H1912" s="2" t="s">
        <v>12962</v>
      </c>
      <c r="I1912" s="2"/>
      <c r="J1912" s="2"/>
      <c r="K1912" s="2"/>
      <c r="L1912" s="2"/>
      <c r="M1912" s="2"/>
      <c r="N1912" s="2"/>
      <c r="O1912" s="2"/>
      <c r="P1912" s="2"/>
      <c r="Q1912" s="2"/>
      <c r="R1912" s="2"/>
      <c r="S1912" s="2" t="s">
        <v>12963</v>
      </c>
      <c r="T1912" s="2" t="s">
        <v>12964</v>
      </c>
      <c r="U1912" s="2" t="s">
        <v>56</v>
      </c>
      <c r="V1912" s="2" t="s">
        <v>3215</v>
      </c>
      <c r="W1912" s="2" t="s">
        <v>3216</v>
      </c>
      <c r="X1912" s="2" t="s">
        <v>147</v>
      </c>
      <c r="Y1912" s="2">
        <v>37</v>
      </c>
      <c r="Z1912" s="2">
        <v>0</v>
      </c>
      <c r="AA1912" s="2" t="s">
        <v>218</v>
      </c>
      <c r="AB1912" s="2" t="s">
        <v>12965</v>
      </c>
      <c r="AC1912" s="2">
        <v>-3.7892506640505301</v>
      </c>
      <c r="AD1912" s="2"/>
      <c r="AE1912" s="2">
        <v>0.34153555702855498</v>
      </c>
      <c r="AF1912" s="2">
        <v>3649.4610627524298</v>
      </c>
      <c r="AG1912" s="2">
        <v>470.16705353048002</v>
      </c>
      <c r="AH1912" s="5">
        <v>7.7620518820888398</v>
      </c>
      <c r="AI1912" s="5">
        <v>2.9564380762285101</v>
      </c>
      <c r="AJ1912" s="5" t="s">
        <v>139</v>
      </c>
      <c r="AK1912" s="2">
        <v>4.6469519147977201E-2</v>
      </c>
      <c r="AL1912" s="2">
        <v>0.303077969035141</v>
      </c>
      <c r="AM1912" s="2">
        <v>2001.16358451781</v>
      </c>
      <c r="AN1912" s="2">
        <v>8917.1518320147406</v>
      </c>
      <c r="AO1912" s="2">
        <v>5675.9987776490498</v>
      </c>
      <c r="AP1912" s="2">
        <v>459.48555589308103</v>
      </c>
      <c r="AQ1912" s="2">
        <v>378.84040631335102</v>
      </c>
      <c r="AR1912" s="2">
        <v>4464.1262201265499</v>
      </c>
      <c r="AS1912" s="2">
        <v>1510.72576547825</v>
      </c>
      <c r="AT1912" s="2">
        <v>8.559877937157E-6</v>
      </c>
      <c r="AU1912" s="2">
        <v>8.559877937157E-6</v>
      </c>
      <c r="AV1912" s="2">
        <v>8.559877937157E-6</v>
      </c>
      <c r="AW1912" s="2">
        <v>8.559877937157E-6</v>
      </c>
      <c r="AX1912" s="2">
        <v>1310.2765214651199</v>
      </c>
    </row>
    <row r="1913" spans="1:50" x14ac:dyDescent="0.25">
      <c r="A1913" s="2" t="s">
        <v>12966</v>
      </c>
      <c r="B1913" s="2">
        <v>451.31839155647299</v>
      </c>
      <c r="C1913" s="2">
        <v>11.0279666666667</v>
      </c>
      <c r="D1913" s="2" t="s">
        <v>51</v>
      </c>
      <c r="E1913" s="2" t="s">
        <v>12967</v>
      </c>
      <c r="F1913" s="2">
        <v>45155</v>
      </c>
      <c r="G1913" s="3" t="str">
        <f>HYPERLINK("https://cloud.oebiotech.com/#/lm/network/45155", "https://cloud.oebiotech.com/#/lm/network/45155")</f>
        <v>https://cloud.oebiotech.com/#/lm/network/45155</v>
      </c>
      <c r="H1913" s="2"/>
      <c r="I1913" s="2">
        <v>41927</v>
      </c>
      <c r="J1913" s="2" t="s">
        <v>12968</v>
      </c>
      <c r="K1913" s="2">
        <v>9547252</v>
      </c>
      <c r="L1913" s="2"/>
      <c r="M1913" s="2"/>
      <c r="N1913" s="2"/>
      <c r="O1913" s="2"/>
      <c r="P1913" s="2"/>
      <c r="Q1913" s="2"/>
      <c r="R1913" s="2"/>
      <c r="S1913" s="2" t="s">
        <v>12969</v>
      </c>
      <c r="T1913" s="2" t="s">
        <v>12970</v>
      </c>
      <c r="U1913" s="2" t="s">
        <v>56</v>
      </c>
      <c r="V1913" s="2" t="s">
        <v>283</v>
      </c>
      <c r="W1913" s="2" t="s">
        <v>420</v>
      </c>
      <c r="X1913" s="2" t="s">
        <v>83</v>
      </c>
      <c r="Y1913" s="2">
        <v>41.3</v>
      </c>
      <c r="Z1913" s="2">
        <v>0</v>
      </c>
      <c r="AA1913" s="2" t="s">
        <v>95</v>
      </c>
      <c r="AB1913" s="2" t="s">
        <v>12971</v>
      </c>
      <c r="AC1913" s="2">
        <v>0.29324817947790199</v>
      </c>
      <c r="AD1913" s="2"/>
      <c r="AE1913" s="2">
        <v>0.34151260865675398</v>
      </c>
      <c r="AF1913" s="2">
        <v>33745.348475996398</v>
      </c>
      <c r="AG1913" s="2">
        <v>38215.322174424196</v>
      </c>
      <c r="AH1913" s="4">
        <v>0.88303189809506899</v>
      </c>
      <c r="AI1913" s="4">
        <v>-0.179462541053966</v>
      </c>
      <c r="AJ1913" s="4" t="s">
        <v>62</v>
      </c>
      <c r="AK1913" s="2">
        <v>0.275765192370103</v>
      </c>
      <c r="AL1913" s="2">
        <v>0.59597940540640404</v>
      </c>
      <c r="AM1913" s="2">
        <v>25545.6354481792</v>
      </c>
      <c r="AN1913" s="2">
        <v>30416.836057082299</v>
      </c>
      <c r="AO1913" s="2">
        <v>33128.914714672297</v>
      </c>
      <c r="AP1913" s="2">
        <v>35613.963779532198</v>
      </c>
      <c r="AQ1913" s="2">
        <v>43339.972340708598</v>
      </c>
      <c r="AR1913" s="2">
        <v>34426.7685158038</v>
      </c>
      <c r="AS1913" s="2">
        <v>45096.509507943301</v>
      </c>
      <c r="AT1913" s="2">
        <v>47241.349198438402</v>
      </c>
      <c r="AU1913" s="2">
        <v>31141.843166171901</v>
      </c>
      <c r="AV1913" s="2">
        <v>28431.6906239251</v>
      </c>
      <c r="AW1913" s="2">
        <v>37903.170569823902</v>
      </c>
      <c r="AX1913" s="2">
        <v>39477.369980242598</v>
      </c>
    </row>
    <row r="1914" spans="1:50" x14ac:dyDescent="0.25">
      <c r="A1914" s="2" t="s">
        <v>12972</v>
      </c>
      <c r="B1914" s="2">
        <v>480.31000159223697</v>
      </c>
      <c r="C1914" s="2">
        <v>9.8909166666666692</v>
      </c>
      <c r="D1914" s="2" t="s">
        <v>51</v>
      </c>
      <c r="E1914" s="2" t="s">
        <v>12973</v>
      </c>
      <c r="F1914" s="2">
        <v>52262</v>
      </c>
      <c r="G1914" s="3" t="str">
        <f>HYPERLINK("https://cloud.oebiotech.com/#/lm/network/52262", "https://cloud.oebiotech.com/#/lm/network/52262")</f>
        <v>https://cloud.oebiotech.com/#/lm/network/52262</v>
      </c>
      <c r="H1914" s="2" t="s">
        <v>12974</v>
      </c>
      <c r="I1914" s="2"/>
      <c r="J1914" s="2"/>
      <c r="K1914" s="2"/>
      <c r="L1914" s="2"/>
      <c r="M1914" s="2"/>
      <c r="N1914" s="2"/>
      <c r="O1914" s="2"/>
      <c r="P1914" s="2"/>
      <c r="Q1914" s="2"/>
      <c r="R1914" s="2"/>
      <c r="S1914" s="2" t="s">
        <v>12975</v>
      </c>
      <c r="T1914" s="2" t="s">
        <v>12976</v>
      </c>
      <c r="U1914" s="2" t="s">
        <v>56</v>
      </c>
      <c r="V1914" s="2" t="s">
        <v>145</v>
      </c>
      <c r="W1914" s="2" t="s">
        <v>1188</v>
      </c>
      <c r="X1914" s="2" t="s">
        <v>83</v>
      </c>
      <c r="Y1914" s="2">
        <v>50</v>
      </c>
      <c r="Z1914" s="2">
        <v>0</v>
      </c>
      <c r="AA1914" s="2" t="s">
        <v>395</v>
      </c>
      <c r="AB1914" s="2" t="s">
        <v>12977</v>
      </c>
      <c r="AC1914" s="2">
        <v>3.21721325499185</v>
      </c>
      <c r="AD1914" s="2"/>
      <c r="AE1914" s="2">
        <v>0.34147284802880301</v>
      </c>
      <c r="AF1914" s="2">
        <v>5781.0010510304601</v>
      </c>
      <c r="AG1914" s="2">
        <v>10144.1526774554</v>
      </c>
      <c r="AH1914" s="4">
        <v>0.56988505938778999</v>
      </c>
      <c r="AI1914" s="4">
        <v>-0.81125712468494204</v>
      </c>
      <c r="AJ1914" s="4" t="s">
        <v>62</v>
      </c>
      <c r="AK1914" s="2">
        <v>0.180159204481431</v>
      </c>
      <c r="AL1914" s="2">
        <v>0.50334362212059203</v>
      </c>
      <c r="AM1914" s="2">
        <v>6104.70617385483</v>
      </c>
      <c r="AN1914" s="2">
        <v>13552.6834045628</v>
      </c>
      <c r="AO1914" s="2">
        <v>3103.40518037333</v>
      </c>
      <c r="AP1914" s="2">
        <v>3667.8641404370301</v>
      </c>
      <c r="AQ1914" s="2">
        <v>4410.3979768173203</v>
      </c>
      <c r="AR1914" s="2">
        <v>3846.9494301374598</v>
      </c>
      <c r="AS1914" s="2">
        <v>10763.092576572501</v>
      </c>
      <c r="AT1914" s="2">
        <v>4307.6143729856904</v>
      </c>
      <c r="AU1914" s="2">
        <v>6636.1984282554504</v>
      </c>
      <c r="AV1914" s="2">
        <v>20805.523796249199</v>
      </c>
      <c r="AW1914" s="2">
        <v>13359.266835906201</v>
      </c>
      <c r="AX1914" s="2">
        <v>4993.2200547631901</v>
      </c>
    </row>
    <row r="1915" spans="1:50" x14ac:dyDescent="0.25">
      <c r="A1915" s="2" t="s">
        <v>12978</v>
      </c>
      <c r="B1915" s="2">
        <v>266.12189889849998</v>
      </c>
      <c r="C1915" s="2">
        <v>7.6547833333333299</v>
      </c>
      <c r="D1915" s="2" t="s">
        <v>51</v>
      </c>
      <c r="E1915" s="2" t="s">
        <v>12979</v>
      </c>
      <c r="F1915" s="2">
        <v>210895</v>
      </c>
      <c r="G1915" s="3" t="str">
        <f>HYPERLINK("https://cloud.oebiotech.com/#/lm/network/210895", "https://cloud.oebiotech.com/#/lm/network/210895")</f>
        <v>https://cloud.oebiotech.com/#/lm/network/210895</v>
      </c>
      <c r="H1915" s="2" t="s">
        <v>12980</v>
      </c>
      <c r="I1915" s="2"/>
      <c r="J1915" s="2"/>
      <c r="K1915" s="2">
        <v>6433115</v>
      </c>
      <c r="L1915" s="2"/>
      <c r="M1915" s="2"/>
      <c r="N1915" s="2"/>
      <c r="O1915" s="2"/>
      <c r="P1915" s="2"/>
      <c r="Q1915" s="2"/>
      <c r="R1915" s="2"/>
      <c r="S1915" s="2" t="s">
        <v>12981</v>
      </c>
      <c r="T1915" s="2" t="s">
        <v>12982</v>
      </c>
      <c r="U1915" s="2" t="s">
        <v>56</v>
      </c>
      <c r="V1915" s="2" t="s">
        <v>177</v>
      </c>
      <c r="W1915" s="2" t="s">
        <v>584</v>
      </c>
      <c r="X1915" s="2" t="s">
        <v>147</v>
      </c>
      <c r="Y1915" s="2">
        <v>37.799999999999997</v>
      </c>
      <c r="Z1915" s="2">
        <v>0</v>
      </c>
      <c r="AA1915" s="2" t="s">
        <v>156</v>
      </c>
      <c r="AB1915" s="2" t="s">
        <v>12983</v>
      </c>
      <c r="AC1915" s="2">
        <v>3.4352821134471099</v>
      </c>
      <c r="AD1915" s="2"/>
      <c r="AE1915" s="2">
        <v>0.34114584386587898</v>
      </c>
      <c r="AF1915" s="2">
        <v>2268.6918271262798</v>
      </c>
      <c r="AG1915" s="2">
        <v>5412.3930770688303</v>
      </c>
      <c r="AH1915" s="4">
        <v>0.419166123897809</v>
      </c>
      <c r="AI1915" s="4">
        <v>-1.25440596880275</v>
      </c>
      <c r="AJ1915" s="4" t="s">
        <v>62</v>
      </c>
      <c r="AK1915" s="2">
        <v>1.5851841812430999E-2</v>
      </c>
      <c r="AL1915" s="2">
        <v>0.199280416991126</v>
      </c>
      <c r="AM1915" s="2">
        <v>3000.81682508638</v>
      </c>
      <c r="AN1915" s="2">
        <v>1028.9146229778401</v>
      </c>
      <c r="AO1915" s="2">
        <v>3912.1043554303601</v>
      </c>
      <c r="AP1915" s="2">
        <v>435.591855738672</v>
      </c>
      <c r="AQ1915" s="2">
        <v>1683.51370421563</v>
      </c>
      <c r="AR1915" s="2">
        <v>3551.2095993087701</v>
      </c>
      <c r="AS1915" s="2">
        <v>5653.5026567361901</v>
      </c>
      <c r="AT1915" s="2">
        <v>2078.1047650759201</v>
      </c>
      <c r="AU1915" s="2">
        <v>7323.1679200509798</v>
      </c>
      <c r="AV1915" s="2">
        <v>3329.2433110034299</v>
      </c>
      <c r="AW1915" s="2">
        <v>7615.60597643036</v>
      </c>
      <c r="AX1915" s="2">
        <v>6474.7338331160799</v>
      </c>
    </row>
    <row r="1916" spans="1:50" x14ac:dyDescent="0.25">
      <c r="A1916" s="2" t="s">
        <v>12984</v>
      </c>
      <c r="B1916" s="2">
        <v>290.17599937648299</v>
      </c>
      <c r="C1916" s="2">
        <v>9.21756666666667</v>
      </c>
      <c r="D1916" s="2" t="s">
        <v>51</v>
      </c>
      <c r="E1916" s="2" t="s">
        <v>12985</v>
      </c>
      <c r="F1916" s="2">
        <v>208510</v>
      </c>
      <c r="G1916" s="3" t="str">
        <f>HYPERLINK("https://cloud.oebiotech.com/#/lm/network/208510", "https://cloud.oebiotech.com/#/lm/network/208510")</f>
        <v>https://cloud.oebiotech.com/#/lm/network/208510</v>
      </c>
      <c r="H1916" s="2" t="s">
        <v>12986</v>
      </c>
      <c r="I1916" s="2"/>
      <c r="J1916" s="2"/>
      <c r="K1916" s="2">
        <v>119057580</v>
      </c>
      <c r="L1916" s="2"/>
      <c r="M1916" s="2"/>
      <c r="N1916" s="2"/>
      <c r="O1916" s="2"/>
      <c r="P1916" s="2"/>
      <c r="Q1916" s="2"/>
      <c r="R1916" s="2"/>
      <c r="S1916" s="2" t="s">
        <v>12987</v>
      </c>
      <c r="T1916" s="2" t="s">
        <v>12988</v>
      </c>
      <c r="U1916" s="2" t="s">
        <v>610</v>
      </c>
      <c r="V1916" s="2" t="s">
        <v>611</v>
      </c>
      <c r="W1916" s="2" t="s">
        <v>12989</v>
      </c>
      <c r="X1916" s="2" t="s">
        <v>147</v>
      </c>
      <c r="Y1916" s="2">
        <v>47.2</v>
      </c>
      <c r="Z1916" s="2">
        <v>43.3</v>
      </c>
      <c r="AA1916" s="2" t="s">
        <v>259</v>
      </c>
      <c r="AB1916" s="2" t="s">
        <v>12990</v>
      </c>
      <c r="AC1916" s="2">
        <v>3.21385511754933</v>
      </c>
      <c r="AD1916" s="2"/>
      <c r="AE1916" s="2">
        <v>0.34099634127741002</v>
      </c>
      <c r="AF1916" s="2">
        <v>18033.639354168299</v>
      </c>
      <c r="AG1916" s="2">
        <v>13399.5144319383</v>
      </c>
      <c r="AH1916" s="5">
        <v>1.3458427501808801</v>
      </c>
      <c r="AI1916" s="5">
        <v>0.42850985364273197</v>
      </c>
      <c r="AJ1916" s="5" t="s">
        <v>139</v>
      </c>
      <c r="AK1916" s="2">
        <v>0.16265419141367299</v>
      </c>
      <c r="AL1916" s="2">
        <v>0.484049089936329</v>
      </c>
      <c r="AM1916" s="2">
        <v>21283.9395510656</v>
      </c>
      <c r="AN1916" s="2">
        <v>24283.116944618501</v>
      </c>
      <c r="AO1916" s="2">
        <v>12315.691926355499</v>
      </c>
      <c r="AP1916" s="2">
        <v>21661.088252695099</v>
      </c>
      <c r="AQ1916" s="2">
        <v>13103.2477719496</v>
      </c>
      <c r="AR1916" s="2">
        <v>15554.7516783253</v>
      </c>
      <c r="AS1916" s="2">
        <v>12157.409319603699</v>
      </c>
      <c r="AT1916" s="2">
        <v>9352.3213336359095</v>
      </c>
      <c r="AU1916" s="2">
        <v>14546.569343998901</v>
      </c>
      <c r="AV1916" s="2">
        <v>5602.9477749908501</v>
      </c>
      <c r="AW1916" s="2">
        <v>21150.208785234299</v>
      </c>
      <c r="AX1916" s="2">
        <v>17587.630034165999</v>
      </c>
    </row>
    <row r="1917" spans="1:50" x14ac:dyDescent="0.25">
      <c r="A1917" s="2" t="s">
        <v>12991</v>
      </c>
      <c r="B1917" s="2">
        <v>431.31685226680599</v>
      </c>
      <c r="C1917" s="2">
        <v>10.555249999999999</v>
      </c>
      <c r="D1917" s="2" t="s">
        <v>51</v>
      </c>
      <c r="E1917" s="2" t="s">
        <v>12992</v>
      </c>
      <c r="F1917" s="2">
        <v>46464</v>
      </c>
      <c r="G1917" s="3" t="str">
        <f>HYPERLINK("https://cloud.oebiotech.com/#/lm/network/46464", "https://cloud.oebiotech.com/#/lm/network/46464")</f>
        <v>https://cloud.oebiotech.com/#/lm/network/46464</v>
      </c>
      <c r="H1917" s="2" t="s">
        <v>12993</v>
      </c>
      <c r="I1917" s="2">
        <v>57920</v>
      </c>
      <c r="J1917" s="2" t="s">
        <v>12994</v>
      </c>
      <c r="K1917" s="2">
        <v>24755528</v>
      </c>
      <c r="L1917" s="2"/>
      <c r="M1917" s="2"/>
      <c r="N1917" s="2"/>
      <c r="O1917" s="2">
        <v>48833</v>
      </c>
      <c r="P1917" s="2" t="s">
        <v>12995</v>
      </c>
      <c r="Q1917" s="2" t="s">
        <v>12996</v>
      </c>
      <c r="R1917" s="2"/>
      <c r="S1917" s="2" t="s">
        <v>12997</v>
      </c>
      <c r="T1917" s="2" t="s">
        <v>12998</v>
      </c>
      <c r="U1917" s="2" t="s">
        <v>56</v>
      </c>
      <c r="V1917" s="2" t="s">
        <v>283</v>
      </c>
      <c r="W1917" s="2" t="s">
        <v>2042</v>
      </c>
      <c r="X1917" s="2" t="s">
        <v>83</v>
      </c>
      <c r="Y1917" s="2">
        <v>54.7</v>
      </c>
      <c r="Z1917" s="2">
        <v>0</v>
      </c>
      <c r="AA1917" s="2" t="s">
        <v>163</v>
      </c>
      <c r="AB1917" s="2" t="s">
        <v>12999</v>
      </c>
      <c r="AC1917" s="2">
        <v>0.39046988386661302</v>
      </c>
      <c r="AD1917" s="2"/>
      <c r="AE1917" s="2">
        <v>0.34083623919788703</v>
      </c>
      <c r="AF1917" s="2">
        <v>10855.942263405401</v>
      </c>
      <c r="AG1917" s="2">
        <v>14400.1670469278</v>
      </c>
      <c r="AH1917" s="4">
        <v>0.75387613407731202</v>
      </c>
      <c r="AI1917" s="4">
        <v>-0.40760059451323999</v>
      </c>
      <c r="AJ1917" s="4" t="s">
        <v>62</v>
      </c>
      <c r="AK1917" s="2">
        <v>0.11760349536083201</v>
      </c>
      <c r="AL1917" s="2">
        <v>0.436261987215596</v>
      </c>
      <c r="AM1917" s="2">
        <v>8141.3527081844104</v>
      </c>
      <c r="AN1917" s="2">
        <v>8647.1717708285996</v>
      </c>
      <c r="AO1917" s="2">
        <v>9710.1648597510502</v>
      </c>
      <c r="AP1917" s="2">
        <v>9589.8434802438696</v>
      </c>
      <c r="AQ1917" s="2">
        <v>14295.4146353296</v>
      </c>
      <c r="AR1917" s="2">
        <v>14751.706126094899</v>
      </c>
      <c r="AS1917" s="2">
        <v>12353.906417181001</v>
      </c>
      <c r="AT1917" s="2">
        <v>12983.0625422756</v>
      </c>
      <c r="AU1917" s="2">
        <v>16063.4669817659</v>
      </c>
      <c r="AV1917" s="2">
        <v>21827.286365293799</v>
      </c>
      <c r="AW1917" s="2">
        <v>9799.2453504785499</v>
      </c>
      <c r="AX1917" s="2">
        <v>13374.034624571699</v>
      </c>
    </row>
    <row r="1918" spans="1:50" x14ac:dyDescent="0.25">
      <c r="A1918" s="2" t="s">
        <v>13000</v>
      </c>
      <c r="B1918" s="2">
        <v>168.066027188861</v>
      </c>
      <c r="C1918" s="2">
        <v>4.2174666666666702</v>
      </c>
      <c r="D1918" s="2" t="s">
        <v>51</v>
      </c>
      <c r="E1918" s="2" t="s">
        <v>13001</v>
      </c>
      <c r="F1918" s="2">
        <v>200262</v>
      </c>
      <c r="G1918" s="3" t="str">
        <f>HYPERLINK("https://cloud.oebiotech.com/#/lm/network/200262", "https://cloud.oebiotech.com/#/lm/network/200262")</f>
        <v>https://cloud.oebiotech.com/#/lm/network/200262</v>
      </c>
      <c r="H1918" s="2" t="s">
        <v>13002</v>
      </c>
      <c r="I1918" s="2"/>
      <c r="J1918" s="2"/>
      <c r="K1918" s="2">
        <v>114827</v>
      </c>
      <c r="L1918" s="2"/>
      <c r="M1918" s="2"/>
      <c r="N1918" s="2"/>
      <c r="O1918" s="2"/>
      <c r="P1918" s="2"/>
      <c r="Q1918" s="2"/>
      <c r="R1918" s="2"/>
      <c r="S1918" s="2" t="s">
        <v>13003</v>
      </c>
      <c r="T1918" s="2" t="s">
        <v>13004</v>
      </c>
      <c r="U1918" s="2" t="s">
        <v>103</v>
      </c>
      <c r="V1918" s="2" t="s">
        <v>104</v>
      </c>
      <c r="W1918" s="2" t="s">
        <v>105</v>
      </c>
      <c r="X1918" s="2" t="s">
        <v>147</v>
      </c>
      <c r="Y1918" s="2">
        <v>44</v>
      </c>
      <c r="Z1918" s="2">
        <v>27</v>
      </c>
      <c r="AA1918" s="2" t="s">
        <v>84</v>
      </c>
      <c r="AB1918" s="2" t="s">
        <v>13005</v>
      </c>
      <c r="AC1918" s="2">
        <v>2.7427801438328201</v>
      </c>
      <c r="AD1918" s="2"/>
      <c r="AE1918" s="2">
        <v>0.34079988122971</v>
      </c>
      <c r="AF1918" s="2">
        <v>2400.1249528431599</v>
      </c>
      <c r="AG1918" s="2">
        <v>6500.2149341173199</v>
      </c>
      <c r="AH1918" s="4">
        <v>0.36923778323786799</v>
      </c>
      <c r="AI1918" s="4">
        <v>-1.4373779067441901</v>
      </c>
      <c r="AJ1918" s="4" t="s">
        <v>62</v>
      </c>
      <c r="AK1918" s="2">
        <v>0.114302443887992</v>
      </c>
      <c r="AL1918" s="2">
        <v>0.42835315311351202</v>
      </c>
      <c r="AM1918" s="2">
        <v>893.54054978993804</v>
      </c>
      <c r="AN1918" s="2">
        <v>2851.1403792297201</v>
      </c>
      <c r="AO1918" s="2">
        <v>808.16119780572399</v>
      </c>
      <c r="AP1918" s="2">
        <v>5202.7153815171596</v>
      </c>
      <c r="AQ1918" s="2">
        <v>1973.1934433863601</v>
      </c>
      <c r="AR1918" s="2">
        <v>2671.99876533008</v>
      </c>
      <c r="AS1918" s="2">
        <v>3995.92461780956</v>
      </c>
      <c r="AT1918" s="2">
        <v>1204.90743543034</v>
      </c>
      <c r="AU1918" s="2">
        <v>15715.536393287701</v>
      </c>
      <c r="AV1918" s="2">
        <v>5341.2199611572696</v>
      </c>
      <c r="AW1918" s="2">
        <v>10541.056298134299</v>
      </c>
      <c r="AX1918" s="2">
        <v>2202.6448988847601</v>
      </c>
    </row>
    <row r="1919" spans="1:50" x14ac:dyDescent="0.25">
      <c r="A1919" s="2" t="s">
        <v>13006</v>
      </c>
      <c r="B1919" s="2">
        <v>594.23994573133098</v>
      </c>
      <c r="C1919" s="2">
        <v>3.7296666666666698</v>
      </c>
      <c r="D1919" s="2" t="s">
        <v>51</v>
      </c>
      <c r="E1919" s="2" t="s">
        <v>13007</v>
      </c>
      <c r="F1919" s="2">
        <v>46693</v>
      </c>
      <c r="G1919" s="3" t="str">
        <f>HYPERLINK("https://cloud.oebiotech.com/#/lm/network/46693", "https://cloud.oebiotech.com/#/lm/network/46693")</f>
        <v>https://cloud.oebiotech.com/#/lm/network/46693</v>
      </c>
      <c r="H1919" s="2" t="s">
        <v>13008</v>
      </c>
      <c r="I1919" s="2">
        <v>57982</v>
      </c>
      <c r="J1919" s="2" t="s">
        <v>13009</v>
      </c>
      <c r="K1919" s="2">
        <v>14454428</v>
      </c>
      <c r="L1919" s="2"/>
      <c r="M1919" s="2"/>
      <c r="N1919" s="2"/>
      <c r="O1919" s="2"/>
      <c r="P1919" s="2"/>
      <c r="Q1919" s="2"/>
      <c r="R1919" s="2"/>
      <c r="S1919" s="2" t="s">
        <v>13010</v>
      </c>
      <c r="T1919" s="2" t="s">
        <v>13011</v>
      </c>
      <c r="U1919" s="2" t="s">
        <v>56</v>
      </c>
      <c r="V1919" s="2" t="s">
        <v>283</v>
      </c>
      <c r="W1919" s="2" t="s">
        <v>2042</v>
      </c>
      <c r="X1919" s="2" t="s">
        <v>147</v>
      </c>
      <c r="Y1919" s="2">
        <v>43.5</v>
      </c>
      <c r="Z1919" s="2">
        <v>30.4</v>
      </c>
      <c r="AA1919" s="2" t="s">
        <v>163</v>
      </c>
      <c r="AB1919" s="2" t="s">
        <v>13012</v>
      </c>
      <c r="AC1919" s="2">
        <v>-2.1276496171766901</v>
      </c>
      <c r="AD1919" s="2"/>
      <c r="AE1919" s="2">
        <v>0.34060506055461698</v>
      </c>
      <c r="AF1919" s="2">
        <v>2746.2102535704998</v>
      </c>
      <c r="AG1919" s="2">
        <v>6847.8206958751498</v>
      </c>
      <c r="AH1919" s="4">
        <v>0.401034194020983</v>
      </c>
      <c r="AI1919" s="4">
        <v>-1.3182028421440199</v>
      </c>
      <c r="AJ1919" s="4" t="s">
        <v>62</v>
      </c>
      <c r="AK1919" s="2">
        <v>0.13612044828974401</v>
      </c>
      <c r="AL1919" s="2">
        <v>0.457070459966327</v>
      </c>
      <c r="AM1919" s="2">
        <v>6289.5842076428698</v>
      </c>
      <c r="AN1919" s="2">
        <v>8.559877937157E-6</v>
      </c>
      <c r="AO1919" s="2">
        <v>1977.7677422455199</v>
      </c>
      <c r="AP1919" s="2">
        <v>3158.8393388712798</v>
      </c>
      <c r="AQ1919" s="2">
        <v>8.559877937157E-6</v>
      </c>
      <c r="AR1919" s="2">
        <v>5051.0702155435501</v>
      </c>
      <c r="AS1919" s="2">
        <v>8.559877937157E-6</v>
      </c>
      <c r="AT1919" s="2">
        <v>285.18732443771302</v>
      </c>
      <c r="AU1919" s="2">
        <v>8017.8340903082399</v>
      </c>
      <c r="AV1919" s="2">
        <v>10368.9794295419</v>
      </c>
      <c r="AW1919" s="2">
        <v>14093.473246253599</v>
      </c>
      <c r="AX1919" s="2">
        <v>8321.4500761495892</v>
      </c>
    </row>
    <row r="1920" spans="1:50" x14ac:dyDescent="0.25">
      <c r="A1920" s="2" t="s">
        <v>13013</v>
      </c>
      <c r="B1920" s="2">
        <v>222.97768154440399</v>
      </c>
      <c r="C1920" s="2">
        <v>6.7341333333333298</v>
      </c>
      <c r="D1920" s="2" t="s">
        <v>51</v>
      </c>
      <c r="E1920" s="2" t="s">
        <v>13014</v>
      </c>
      <c r="F1920" s="2">
        <v>37</v>
      </c>
      <c r="G1920" s="3" t="str">
        <f>HYPERLINK("https://cloud.oebiotech.com/#/lm/network/37", "https://cloud.oebiotech.com/#/lm/network/37")</f>
        <v>https://cloud.oebiotech.com/#/lm/network/37</v>
      </c>
      <c r="H1920" s="2"/>
      <c r="I1920" s="2"/>
      <c r="J1920" s="2" t="s">
        <v>13015</v>
      </c>
      <c r="K1920" s="2">
        <v>86091224</v>
      </c>
      <c r="L1920" s="2"/>
      <c r="M1920" s="2"/>
      <c r="N1920" s="2"/>
      <c r="O1920" s="2"/>
      <c r="P1920" s="2"/>
      <c r="Q1920" s="2"/>
      <c r="R1920" s="2"/>
      <c r="S1920" s="2" t="s">
        <v>13016</v>
      </c>
      <c r="T1920" s="2" t="s">
        <v>13017</v>
      </c>
      <c r="U1920" s="2" t="s">
        <v>56</v>
      </c>
      <c r="V1920" s="2" t="s">
        <v>145</v>
      </c>
      <c r="W1920" s="2" t="s">
        <v>231</v>
      </c>
      <c r="X1920" s="2" t="s">
        <v>147</v>
      </c>
      <c r="Y1920" s="2">
        <v>40.1</v>
      </c>
      <c r="Z1920" s="2">
        <v>8.7899999999999991</v>
      </c>
      <c r="AA1920" s="2" t="s">
        <v>163</v>
      </c>
      <c r="AB1920" s="2" t="s">
        <v>13018</v>
      </c>
      <c r="AC1920" s="2">
        <v>-1.17945114051652</v>
      </c>
      <c r="AD1920" s="2"/>
      <c r="AE1920" s="2">
        <v>0.34016719010379498</v>
      </c>
      <c r="AF1920" s="2">
        <v>14005.486448809301</v>
      </c>
      <c r="AG1920" s="2">
        <v>16677.969344961399</v>
      </c>
      <c r="AH1920" s="4">
        <v>0.83975969490797497</v>
      </c>
      <c r="AI1920" s="4">
        <v>-0.25195154861940799</v>
      </c>
      <c r="AJ1920" s="4" t="s">
        <v>62</v>
      </c>
      <c r="AK1920" s="2">
        <v>2.8032028744515498E-2</v>
      </c>
      <c r="AL1920" s="2">
        <v>0.25613726906024897</v>
      </c>
      <c r="AM1920" s="2">
        <v>12094.485730393701</v>
      </c>
      <c r="AN1920" s="2">
        <v>12837.603860425501</v>
      </c>
      <c r="AO1920" s="2">
        <v>14544.1707446317</v>
      </c>
      <c r="AP1920" s="2">
        <v>15290.430960097099</v>
      </c>
      <c r="AQ1920" s="2">
        <v>17294.480524934199</v>
      </c>
      <c r="AR1920" s="2">
        <v>11971.7468723737</v>
      </c>
      <c r="AS1920" s="2">
        <v>17071.486960317699</v>
      </c>
      <c r="AT1920" s="2">
        <v>18033.879711177298</v>
      </c>
      <c r="AU1920" s="2">
        <v>14063.516697860599</v>
      </c>
      <c r="AV1920" s="2">
        <v>16000.087993273301</v>
      </c>
      <c r="AW1920" s="2">
        <v>17700.030068244399</v>
      </c>
      <c r="AX1920" s="2">
        <v>17198.814638894899</v>
      </c>
    </row>
    <row r="1921" spans="1:50" x14ac:dyDescent="0.25">
      <c r="A1921" s="2" t="s">
        <v>13019</v>
      </c>
      <c r="B1921" s="2">
        <v>161.09650572262299</v>
      </c>
      <c r="C1921" s="2">
        <v>2.3119499999999999</v>
      </c>
      <c r="D1921" s="2" t="s">
        <v>51</v>
      </c>
      <c r="E1921" s="2" t="s">
        <v>13020</v>
      </c>
      <c r="F1921" s="2">
        <v>62142</v>
      </c>
      <c r="G1921" s="3" t="str">
        <f>HYPERLINK("https://cloud.oebiotech.com/#/lm/network/62142", "https://cloud.oebiotech.com/#/lm/network/62142")</f>
        <v>https://cloud.oebiotech.com/#/lm/network/62142</v>
      </c>
      <c r="H1921" s="2" t="s">
        <v>13021</v>
      </c>
      <c r="I1921" s="2">
        <v>93433</v>
      </c>
      <c r="J1921" s="2"/>
      <c r="K1921" s="2">
        <v>61243</v>
      </c>
      <c r="L1921" s="2"/>
      <c r="M1921" s="2"/>
      <c r="N1921" s="2"/>
      <c r="O1921" s="2"/>
      <c r="P1921" s="2"/>
      <c r="Q1921" s="2"/>
      <c r="R1921" s="2" t="s">
        <v>13022</v>
      </c>
      <c r="S1921" s="2" t="s">
        <v>13023</v>
      </c>
      <c r="T1921" s="2" t="s">
        <v>13024</v>
      </c>
      <c r="U1921" s="2" t="s">
        <v>610</v>
      </c>
      <c r="V1921" s="2" t="s">
        <v>611</v>
      </c>
      <c r="W1921" s="2" t="s">
        <v>240</v>
      </c>
      <c r="X1921" s="2" t="s">
        <v>147</v>
      </c>
      <c r="Y1921" s="2">
        <v>39.700000000000003</v>
      </c>
      <c r="Z1921" s="2">
        <v>8.41</v>
      </c>
      <c r="AA1921" s="2" t="s">
        <v>259</v>
      </c>
      <c r="AB1921" s="2" t="s">
        <v>13025</v>
      </c>
      <c r="AC1921" s="2">
        <v>2.5878523927571999</v>
      </c>
      <c r="AD1921" s="2"/>
      <c r="AE1921" s="2">
        <v>0.33992401490063101</v>
      </c>
      <c r="AF1921" s="2">
        <v>14459.5253315338</v>
      </c>
      <c r="AG1921" s="2">
        <v>18592.554672408201</v>
      </c>
      <c r="AH1921" s="4">
        <v>0.77770513984246004</v>
      </c>
      <c r="AI1921" s="4">
        <v>-0.362704821319772</v>
      </c>
      <c r="AJ1921" s="4" t="s">
        <v>62</v>
      </c>
      <c r="AK1921" s="2">
        <v>5.3034744609645301E-2</v>
      </c>
      <c r="AL1921" s="2">
        <v>0.31731303224527402</v>
      </c>
      <c r="AM1921" s="2">
        <v>13160.435052766999</v>
      </c>
      <c r="AN1921" s="2">
        <v>15499.3540601437</v>
      </c>
      <c r="AO1921" s="2">
        <v>15143.2412314878</v>
      </c>
      <c r="AP1921" s="2">
        <v>16049.257113599801</v>
      </c>
      <c r="AQ1921" s="2">
        <v>14933.0433768193</v>
      </c>
      <c r="AR1921" s="2">
        <v>11971.821154385099</v>
      </c>
      <c r="AS1921" s="2">
        <v>17945.3920518741</v>
      </c>
      <c r="AT1921" s="2">
        <v>25140.237122460701</v>
      </c>
      <c r="AU1921" s="2">
        <v>15532.682165210699</v>
      </c>
      <c r="AV1921" s="2">
        <v>12946.412412055301</v>
      </c>
      <c r="AW1921" s="2">
        <v>18280.894658184301</v>
      </c>
      <c r="AX1921" s="2">
        <v>21709.709624663901</v>
      </c>
    </row>
    <row r="1922" spans="1:50" x14ac:dyDescent="0.25">
      <c r="A1922" s="2" t="s">
        <v>13026</v>
      </c>
      <c r="B1922" s="2">
        <v>395.24447384709998</v>
      </c>
      <c r="C1922" s="2">
        <v>7.5258333333333303</v>
      </c>
      <c r="D1922" s="2" t="s">
        <v>51</v>
      </c>
      <c r="E1922" s="2" t="s">
        <v>13027</v>
      </c>
      <c r="F1922" s="2">
        <v>44992</v>
      </c>
      <c r="G1922" s="3" t="str">
        <f>HYPERLINK("https://cloud.oebiotech.com/#/lm/network/44992", "https://cloud.oebiotech.com/#/lm/network/44992")</f>
        <v>https://cloud.oebiotech.com/#/lm/network/44992</v>
      </c>
      <c r="H1922" s="2" t="s">
        <v>13028</v>
      </c>
      <c r="I1922" s="2">
        <v>5267</v>
      </c>
      <c r="J1922" s="2" t="s">
        <v>13029</v>
      </c>
      <c r="K1922" s="2">
        <v>65553</v>
      </c>
      <c r="L1922" s="2" t="s">
        <v>13030</v>
      </c>
      <c r="M1922" s="2" t="s">
        <v>2681</v>
      </c>
      <c r="N1922" s="2" t="s">
        <v>2682</v>
      </c>
      <c r="O1922" s="2"/>
      <c r="P1922" s="2"/>
      <c r="Q1922" s="2"/>
      <c r="R1922" s="2" t="s">
        <v>13031</v>
      </c>
      <c r="S1922" s="2" t="s">
        <v>13032</v>
      </c>
      <c r="T1922" s="2" t="s">
        <v>13033</v>
      </c>
      <c r="U1922" s="2" t="s">
        <v>56</v>
      </c>
      <c r="V1922" s="2" t="s">
        <v>283</v>
      </c>
      <c r="W1922" s="2" t="s">
        <v>492</v>
      </c>
      <c r="X1922" s="2" t="s">
        <v>83</v>
      </c>
      <c r="Y1922" s="2">
        <v>41.6</v>
      </c>
      <c r="Z1922" s="2">
        <v>0</v>
      </c>
      <c r="AA1922" s="2" t="s">
        <v>218</v>
      </c>
      <c r="AB1922" s="2" t="s">
        <v>6539</v>
      </c>
      <c r="AC1922" s="2">
        <v>1.60289895064919</v>
      </c>
      <c r="AD1922" s="2"/>
      <c r="AE1922" s="2">
        <v>0.33957551131146502</v>
      </c>
      <c r="AF1922" s="2">
        <v>6555.0223735127302</v>
      </c>
      <c r="AG1922" s="2">
        <v>3126.4209887031402</v>
      </c>
      <c r="AH1922" s="5">
        <v>2.0966537766981301</v>
      </c>
      <c r="AI1922" s="5">
        <v>1.0680886468997</v>
      </c>
      <c r="AJ1922" s="5" t="s">
        <v>139</v>
      </c>
      <c r="AK1922" s="2">
        <v>6.32230727771117E-2</v>
      </c>
      <c r="AL1922" s="2">
        <v>0.33601027492909402</v>
      </c>
      <c r="AM1922" s="2">
        <v>6514.0540949386104</v>
      </c>
      <c r="AN1922" s="2">
        <v>7174.5483353360296</v>
      </c>
      <c r="AO1922" s="2">
        <v>4077.3189647934</v>
      </c>
      <c r="AP1922" s="2">
        <v>4352.8551541514598</v>
      </c>
      <c r="AQ1922" s="2">
        <v>7615.83241282986</v>
      </c>
      <c r="AR1922" s="2">
        <v>9595.5252790270297</v>
      </c>
      <c r="AS1922" s="2">
        <v>2622.5415916951001</v>
      </c>
      <c r="AT1922" s="2">
        <v>198.69760094806199</v>
      </c>
      <c r="AU1922" s="2">
        <v>9487.6313177159409</v>
      </c>
      <c r="AV1922" s="2">
        <v>627.70686222577694</v>
      </c>
      <c r="AW1922" s="2">
        <v>4221.0857398537501</v>
      </c>
      <c r="AX1922" s="2">
        <v>1600.86281978018</v>
      </c>
    </row>
    <row r="1923" spans="1:50" x14ac:dyDescent="0.25">
      <c r="A1923" s="2" t="s">
        <v>13034</v>
      </c>
      <c r="B1923" s="2">
        <v>332.12531609265301</v>
      </c>
      <c r="C1923" s="2">
        <v>3.5889500000000001</v>
      </c>
      <c r="D1923" s="2" t="s">
        <v>51</v>
      </c>
      <c r="E1923" s="2" t="s">
        <v>13035</v>
      </c>
      <c r="F1923" s="2">
        <v>54093</v>
      </c>
      <c r="G1923" s="3" t="str">
        <f>HYPERLINK("https://cloud.oebiotech.com/#/lm/network/54093", "https://cloud.oebiotech.com/#/lm/network/54093")</f>
        <v>https://cloud.oebiotech.com/#/lm/network/54093</v>
      </c>
      <c r="H1923" s="2" t="s">
        <v>13036</v>
      </c>
      <c r="I1923" s="2"/>
      <c r="J1923" s="2"/>
      <c r="K1923" s="2">
        <v>3634442</v>
      </c>
      <c r="L1923" s="2"/>
      <c r="M1923" s="2"/>
      <c r="N1923" s="2"/>
      <c r="O1923" s="2"/>
      <c r="P1923" s="2"/>
      <c r="Q1923" s="2"/>
      <c r="R1923" s="2"/>
      <c r="S1923" s="2" t="s">
        <v>13037</v>
      </c>
      <c r="T1923" s="2" t="s">
        <v>13038</v>
      </c>
      <c r="U1923" s="2" t="s">
        <v>103</v>
      </c>
      <c r="V1923" s="2" t="s">
        <v>104</v>
      </c>
      <c r="W1923" s="2" t="s">
        <v>105</v>
      </c>
      <c r="X1923" s="2" t="s">
        <v>69</v>
      </c>
      <c r="Y1923" s="2">
        <v>59.4</v>
      </c>
      <c r="Z1923" s="2">
        <v>83.7</v>
      </c>
      <c r="AA1923" s="2" t="s">
        <v>163</v>
      </c>
      <c r="AB1923" s="2" t="s">
        <v>7339</v>
      </c>
      <c r="AC1923" s="2">
        <v>0.36562969341361401</v>
      </c>
      <c r="AD1923" s="2"/>
      <c r="AE1923" s="2">
        <v>0.33933528517106498</v>
      </c>
      <c r="AF1923" s="2">
        <v>8205.9610724413196</v>
      </c>
      <c r="AG1923" s="2">
        <v>3453.2858776766102</v>
      </c>
      <c r="AH1923" s="5">
        <v>2.3762762085490401</v>
      </c>
      <c r="AI1923" s="5">
        <v>1.2487025388086901</v>
      </c>
      <c r="AJ1923" s="5" t="s">
        <v>139</v>
      </c>
      <c r="AK1923" s="2">
        <v>8.0482616140234206E-2</v>
      </c>
      <c r="AL1923" s="2">
        <v>0.36727539740551102</v>
      </c>
      <c r="AM1923" s="2">
        <v>8399.4005567549702</v>
      </c>
      <c r="AN1923" s="2">
        <v>3625.1309341685101</v>
      </c>
      <c r="AO1923" s="2">
        <v>5777.4216101219499</v>
      </c>
      <c r="AP1923" s="2">
        <v>18938.850188705299</v>
      </c>
      <c r="AQ1923" s="2">
        <v>6646.3398989657799</v>
      </c>
      <c r="AR1923" s="2">
        <v>5848.6232459314097</v>
      </c>
      <c r="AS1923" s="2">
        <v>5512.4717703119404</v>
      </c>
      <c r="AT1923" s="2">
        <v>4922.5666992926999</v>
      </c>
      <c r="AU1923" s="2">
        <v>5391.6195532328502</v>
      </c>
      <c r="AV1923" s="2">
        <v>863.59826817126702</v>
      </c>
      <c r="AW1923" s="2">
        <v>8.559877937157E-6</v>
      </c>
      <c r="AX1923" s="2">
        <v>4029.45896649104</v>
      </c>
    </row>
    <row r="1924" spans="1:50" x14ac:dyDescent="0.25">
      <c r="A1924" s="2" t="s">
        <v>13039</v>
      </c>
      <c r="B1924" s="2">
        <v>492.346190404742</v>
      </c>
      <c r="C1924" s="2">
        <v>12.1360166666667</v>
      </c>
      <c r="D1924" s="2" t="s">
        <v>51</v>
      </c>
      <c r="E1924" s="2" t="s">
        <v>13040</v>
      </c>
      <c r="F1924" s="2">
        <v>58061</v>
      </c>
      <c r="G1924" s="3" t="str">
        <f>HYPERLINK("https://cloud.oebiotech.com/#/lm/network/58061", "https://cloud.oebiotech.com/#/lm/network/58061")</f>
        <v>https://cloud.oebiotech.com/#/lm/network/58061</v>
      </c>
      <c r="H1924" s="2" t="s">
        <v>13041</v>
      </c>
      <c r="I1924" s="2">
        <v>89609</v>
      </c>
      <c r="J1924" s="2"/>
      <c r="K1924" s="2">
        <v>15340661</v>
      </c>
      <c r="L1924" s="2"/>
      <c r="M1924" s="2"/>
      <c r="N1924" s="2"/>
      <c r="O1924" s="2"/>
      <c r="P1924" s="2"/>
      <c r="Q1924" s="2"/>
      <c r="R1924" s="2" t="s">
        <v>13042</v>
      </c>
      <c r="S1924" s="2" t="s">
        <v>13043</v>
      </c>
      <c r="T1924" s="2" t="s">
        <v>13044</v>
      </c>
      <c r="U1924" s="2" t="s">
        <v>56</v>
      </c>
      <c r="V1924" s="2" t="s">
        <v>283</v>
      </c>
      <c r="W1924" s="2" t="s">
        <v>1338</v>
      </c>
      <c r="X1924" s="2" t="s">
        <v>147</v>
      </c>
      <c r="Y1924" s="2">
        <v>44.7</v>
      </c>
      <c r="Z1924" s="2">
        <v>39</v>
      </c>
      <c r="AA1924" s="2" t="s">
        <v>122</v>
      </c>
      <c r="AB1924" s="2" t="s">
        <v>13045</v>
      </c>
      <c r="AC1924" s="2">
        <v>2.23633391730149</v>
      </c>
      <c r="AD1924" s="2"/>
      <c r="AE1924" s="2">
        <v>0.33914501312001299</v>
      </c>
      <c r="AF1924" s="2">
        <v>23243.324211368501</v>
      </c>
      <c r="AG1924" s="2">
        <v>17965.404491505298</v>
      </c>
      <c r="AH1924" s="5">
        <v>1.2937824039730701</v>
      </c>
      <c r="AI1924" s="5">
        <v>0.371594996691823</v>
      </c>
      <c r="AJ1924" s="5" t="s">
        <v>139</v>
      </c>
      <c r="AK1924" s="2">
        <v>0.27407761809453501</v>
      </c>
      <c r="AL1924" s="2">
        <v>0.59437968945542996</v>
      </c>
      <c r="AM1924" s="2">
        <v>37033.595146385102</v>
      </c>
      <c r="AN1924" s="2">
        <v>25591.5316409146</v>
      </c>
      <c r="AO1924" s="2">
        <v>15064.4709461728</v>
      </c>
      <c r="AP1924" s="2">
        <v>32792.115637683899</v>
      </c>
      <c r="AQ1924" s="2">
        <v>11599.9019740695</v>
      </c>
      <c r="AR1924" s="2">
        <v>17378.329922984802</v>
      </c>
      <c r="AS1924" s="2">
        <v>18983.481561708799</v>
      </c>
      <c r="AT1924" s="2">
        <v>11893.1091992323</v>
      </c>
      <c r="AU1924" s="2">
        <v>18567.355434817098</v>
      </c>
      <c r="AV1924" s="2">
        <v>25410.6929026711</v>
      </c>
      <c r="AW1924" s="2">
        <v>17502.6109673758</v>
      </c>
      <c r="AX1924" s="2">
        <v>15435.176883226901</v>
      </c>
    </row>
    <row r="1925" spans="1:50" x14ac:dyDescent="0.25">
      <c r="A1925" s="2" t="s">
        <v>13046</v>
      </c>
      <c r="B1925" s="2">
        <v>281.01065904263498</v>
      </c>
      <c r="C1925" s="2">
        <v>5.8859166666666702</v>
      </c>
      <c r="D1925" s="2" t="s">
        <v>51</v>
      </c>
      <c r="E1925" s="2" t="s">
        <v>13047</v>
      </c>
      <c r="F1925" s="2">
        <v>266714</v>
      </c>
      <c r="G1925" s="3" t="str">
        <f>HYPERLINK("https://cloud.oebiotech.com/#/lm/network/266714", "https://cloud.oebiotech.com/#/lm/network/266714")</f>
        <v>https://cloud.oebiotech.com/#/lm/network/266714</v>
      </c>
      <c r="H1925" s="2"/>
      <c r="I1925" s="2">
        <v>43825</v>
      </c>
      <c r="J1925" s="2"/>
      <c r="K1925" s="2">
        <v>361510</v>
      </c>
      <c r="L1925" s="2"/>
      <c r="M1925" s="2"/>
      <c r="N1925" s="2"/>
      <c r="O1925" s="2"/>
      <c r="P1925" s="2"/>
      <c r="Q1925" s="2"/>
      <c r="R1925" s="2" t="s">
        <v>13048</v>
      </c>
      <c r="S1925" s="2" t="s">
        <v>13049</v>
      </c>
      <c r="T1925" s="2" t="s">
        <v>13050</v>
      </c>
      <c r="U1925" s="2" t="s">
        <v>610</v>
      </c>
      <c r="V1925" s="2" t="s">
        <v>9240</v>
      </c>
      <c r="W1925" s="2" t="s">
        <v>13051</v>
      </c>
      <c r="X1925" s="2" t="s">
        <v>147</v>
      </c>
      <c r="Y1925" s="2">
        <v>36.9</v>
      </c>
      <c r="Z1925" s="2">
        <v>0</v>
      </c>
      <c r="AA1925" s="2" t="s">
        <v>379</v>
      </c>
      <c r="AB1925" s="2" t="s">
        <v>13052</v>
      </c>
      <c r="AC1925" s="2">
        <v>4.9914479098443998</v>
      </c>
      <c r="AD1925" s="2"/>
      <c r="AE1925" s="2">
        <v>0.339055618716878</v>
      </c>
      <c r="AF1925" s="2">
        <v>3954.71762818467</v>
      </c>
      <c r="AG1925" s="2">
        <v>8283.4929231598999</v>
      </c>
      <c r="AH1925" s="4">
        <v>0.47742150139678802</v>
      </c>
      <c r="AI1925" s="4">
        <v>-1.06666455305923</v>
      </c>
      <c r="AJ1925" s="4" t="s">
        <v>62</v>
      </c>
      <c r="AK1925" s="2">
        <v>0.227857270870615</v>
      </c>
      <c r="AL1925" s="2">
        <v>0.55318612061801498</v>
      </c>
      <c r="AM1925" s="2">
        <v>3782.5906300694101</v>
      </c>
      <c r="AN1925" s="2">
        <v>3784.1836439634699</v>
      </c>
      <c r="AO1925" s="2">
        <v>3460.7971756319598</v>
      </c>
      <c r="AP1925" s="2">
        <v>4275.7678543111797</v>
      </c>
      <c r="AQ1925" s="2">
        <v>4467.2292817247699</v>
      </c>
      <c r="AR1925" s="2">
        <v>3957.7371834072001</v>
      </c>
      <c r="AS1925" s="2">
        <v>4579.4501288419096</v>
      </c>
      <c r="AT1925" s="2">
        <v>5571.9282858776296</v>
      </c>
      <c r="AU1925" s="2">
        <v>3524.29068673642</v>
      </c>
      <c r="AV1925" s="2">
        <v>5388.3481693042404</v>
      </c>
      <c r="AW1925" s="2">
        <v>25035.655701833701</v>
      </c>
      <c r="AX1925" s="2">
        <v>5601.2845663655098</v>
      </c>
    </row>
    <row r="1926" spans="1:50" x14ac:dyDescent="0.25">
      <c r="A1926" s="2" t="s">
        <v>13053</v>
      </c>
      <c r="B1926" s="2">
        <v>483.36942149708398</v>
      </c>
      <c r="C1926" s="2">
        <v>11.863566666666699</v>
      </c>
      <c r="D1926" s="2" t="s">
        <v>51</v>
      </c>
      <c r="E1926" s="2" t="s">
        <v>13054</v>
      </c>
      <c r="F1926" s="2">
        <v>10306</v>
      </c>
      <c r="G1926" s="3" t="str">
        <f>HYPERLINK("https://cloud.oebiotech.com/#/lm/network/10306", "https://cloud.oebiotech.com/#/lm/network/10306")</f>
        <v>https://cloud.oebiotech.com/#/lm/network/10306</v>
      </c>
      <c r="H1926" s="2"/>
      <c r="I1926" s="2"/>
      <c r="J1926" s="2" t="s">
        <v>13055</v>
      </c>
      <c r="K1926" s="2">
        <v>86289829</v>
      </c>
      <c r="L1926" s="2"/>
      <c r="M1926" s="2"/>
      <c r="N1926" s="2"/>
      <c r="O1926" s="2">
        <v>79240</v>
      </c>
      <c r="P1926" s="2"/>
      <c r="Q1926" s="2"/>
      <c r="R1926" s="2"/>
      <c r="S1926" s="2" t="s">
        <v>13056</v>
      </c>
      <c r="T1926" s="2" t="s">
        <v>13057</v>
      </c>
      <c r="U1926" s="2" t="s">
        <v>56</v>
      </c>
      <c r="V1926" s="2" t="s">
        <v>145</v>
      </c>
      <c r="W1926" s="2" t="s">
        <v>231</v>
      </c>
      <c r="X1926" s="2" t="s">
        <v>83</v>
      </c>
      <c r="Y1926" s="2">
        <v>46.9</v>
      </c>
      <c r="Z1926" s="2">
        <v>0</v>
      </c>
      <c r="AA1926" s="2" t="s">
        <v>379</v>
      </c>
      <c r="AB1926" s="2" t="s">
        <v>13058</v>
      </c>
      <c r="AC1926" s="2">
        <v>0.614164802444088</v>
      </c>
      <c r="AD1926" s="2"/>
      <c r="AE1926" s="2">
        <v>0.33891286021390499</v>
      </c>
      <c r="AF1926" s="2">
        <v>43372.475577787402</v>
      </c>
      <c r="AG1926" s="2">
        <v>35621.310956663103</v>
      </c>
      <c r="AH1926" s="5">
        <v>1.21759908360909</v>
      </c>
      <c r="AI1926" s="5">
        <v>0.28403917815159602</v>
      </c>
      <c r="AJ1926" s="5" t="s">
        <v>139</v>
      </c>
      <c r="AK1926" s="2">
        <v>0.35509542578523301</v>
      </c>
      <c r="AL1926" s="2">
        <v>0.644232435870006</v>
      </c>
      <c r="AM1926" s="2">
        <v>40541.728772909999</v>
      </c>
      <c r="AN1926" s="2">
        <v>41565.579088111997</v>
      </c>
      <c r="AO1926" s="2">
        <v>40689.144991577203</v>
      </c>
      <c r="AP1926" s="2">
        <v>62565.217725408198</v>
      </c>
      <c r="AQ1926" s="2">
        <v>39682.467830633097</v>
      </c>
      <c r="AR1926" s="2">
        <v>35190.715058083697</v>
      </c>
      <c r="AS1926" s="2">
        <v>27061.882256719899</v>
      </c>
      <c r="AT1926" s="2">
        <v>53577.318568225499</v>
      </c>
      <c r="AU1926" s="2">
        <v>23629.1177529058</v>
      </c>
      <c r="AV1926" s="2">
        <v>12404.9160634768</v>
      </c>
      <c r="AW1926" s="2">
        <v>52888.925964318099</v>
      </c>
      <c r="AX1926" s="2">
        <v>44165.705134332798</v>
      </c>
    </row>
    <row r="1927" spans="1:50" x14ac:dyDescent="0.25">
      <c r="A1927" s="2" t="s">
        <v>13059</v>
      </c>
      <c r="B1927" s="2">
        <v>471.22154003482399</v>
      </c>
      <c r="C1927" s="2">
        <v>4.75423333333333</v>
      </c>
      <c r="D1927" s="2" t="s">
        <v>51</v>
      </c>
      <c r="E1927" s="2" t="s">
        <v>13060</v>
      </c>
      <c r="F1927" s="2">
        <v>82712</v>
      </c>
      <c r="G1927" s="3" t="str">
        <f>HYPERLINK("https://cloud.oebiotech.com/#/lm/network/82712", "https://cloud.oebiotech.com/#/lm/network/82712")</f>
        <v>https://cloud.oebiotech.com/#/lm/network/82712</v>
      </c>
      <c r="H1927" s="2" t="s">
        <v>13061</v>
      </c>
      <c r="I1927" s="2"/>
      <c r="J1927" s="2"/>
      <c r="K1927" s="2">
        <v>10889901</v>
      </c>
      <c r="L1927" s="2"/>
      <c r="M1927" s="2"/>
      <c r="N1927" s="2"/>
      <c r="O1927" s="2"/>
      <c r="P1927" s="2"/>
      <c r="Q1927" s="2"/>
      <c r="R1927" s="2"/>
      <c r="S1927" s="2" t="s">
        <v>13062</v>
      </c>
      <c r="T1927" s="2" t="s">
        <v>13063</v>
      </c>
      <c r="U1927" s="2" t="s">
        <v>103</v>
      </c>
      <c r="V1927" s="2" t="s">
        <v>104</v>
      </c>
      <c r="W1927" s="2" t="s">
        <v>105</v>
      </c>
      <c r="X1927" s="2" t="s">
        <v>83</v>
      </c>
      <c r="Y1927" s="2">
        <v>39</v>
      </c>
      <c r="Z1927" s="2">
        <v>0</v>
      </c>
      <c r="AA1927" s="2" t="s">
        <v>478</v>
      </c>
      <c r="AB1927" s="2" t="s">
        <v>13064</v>
      </c>
      <c r="AC1927" s="2">
        <v>-7.1327115874020404</v>
      </c>
      <c r="AD1927" s="2"/>
      <c r="AE1927" s="2">
        <v>0.33840521275855601</v>
      </c>
      <c r="AF1927" s="2">
        <v>6387.0928014712199</v>
      </c>
      <c r="AG1927" s="2">
        <v>3107.7734556578298</v>
      </c>
      <c r="AH1927" s="5">
        <v>2.0551989688447998</v>
      </c>
      <c r="AI1927" s="5">
        <v>1.0392780715080101</v>
      </c>
      <c r="AJ1927" s="5" t="s">
        <v>139</v>
      </c>
      <c r="AK1927" s="2">
        <v>2.49835330791876E-2</v>
      </c>
      <c r="AL1927" s="2">
        <v>0.24527119295206001</v>
      </c>
      <c r="AM1927" s="2">
        <v>4286.9006147066302</v>
      </c>
      <c r="AN1927" s="2">
        <v>9676.5824069580794</v>
      </c>
      <c r="AO1927" s="2">
        <v>5943.2998974403199</v>
      </c>
      <c r="AP1927" s="2">
        <v>8086.3060329674399</v>
      </c>
      <c r="AQ1927" s="2">
        <v>5898.5678362865801</v>
      </c>
      <c r="AR1927" s="2">
        <v>4430.9000204682397</v>
      </c>
      <c r="AS1927" s="2">
        <v>6139.7669985227303</v>
      </c>
      <c r="AT1927" s="2">
        <v>2471.04829291942</v>
      </c>
      <c r="AU1927" s="2">
        <v>5529.9044680642201</v>
      </c>
      <c r="AV1927" s="2">
        <v>910.24834419991203</v>
      </c>
      <c r="AW1927" s="2">
        <v>2238.1998236681202</v>
      </c>
      <c r="AX1927" s="2">
        <v>1357.4728065725801</v>
      </c>
    </row>
    <row r="1928" spans="1:50" x14ac:dyDescent="0.25">
      <c r="A1928" s="2" t="s">
        <v>13065</v>
      </c>
      <c r="B1928" s="2">
        <v>250.01377470486</v>
      </c>
      <c r="C1928" s="2">
        <v>2.0478833333333299</v>
      </c>
      <c r="D1928" s="2" t="s">
        <v>51</v>
      </c>
      <c r="E1928" s="2" t="s">
        <v>13066</v>
      </c>
      <c r="F1928" s="2">
        <v>56271</v>
      </c>
      <c r="G1928" s="3" t="str">
        <f>HYPERLINK("https://cloud.oebiotech.com/#/lm/network/56271", "https://cloud.oebiotech.com/#/lm/network/56271")</f>
        <v>https://cloud.oebiotech.com/#/lm/network/56271</v>
      </c>
      <c r="H1928" s="2" t="s">
        <v>13067</v>
      </c>
      <c r="I1928" s="2">
        <v>87939</v>
      </c>
      <c r="J1928" s="2"/>
      <c r="K1928" s="2">
        <v>5372582</v>
      </c>
      <c r="L1928" s="2"/>
      <c r="M1928" s="2"/>
      <c r="N1928" s="2"/>
      <c r="O1928" s="2"/>
      <c r="P1928" s="2"/>
      <c r="Q1928" s="2"/>
      <c r="R1928" s="2"/>
      <c r="S1928" s="2" t="s">
        <v>13068</v>
      </c>
      <c r="T1928" s="2" t="s">
        <v>13069</v>
      </c>
      <c r="U1928" s="2" t="s">
        <v>103</v>
      </c>
      <c r="V1928" s="2" t="s">
        <v>1567</v>
      </c>
      <c r="W1928" s="2" t="s">
        <v>1568</v>
      </c>
      <c r="X1928" s="2" t="s">
        <v>147</v>
      </c>
      <c r="Y1928" s="2">
        <v>36.9</v>
      </c>
      <c r="Z1928" s="2">
        <v>0</v>
      </c>
      <c r="AA1928" s="2" t="s">
        <v>379</v>
      </c>
      <c r="AB1928" s="2" t="s">
        <v>13070</v>
      </c>
      <c r="AC1928" s="2">
        <v>2.5789535820971099</v>
      </c>
      <c r="AD1928" s="2"/>
      <c r="AE1928" s="2">
        <v>0.33828004814866702</v>
      </c>
      <c r="AF1928" s="2">
        <v>184.91288016897599</v>
      </c>
      <c r="AG1928" s="2">
        <v>4104.9173553254304</v>
      </c>
      <c r="AH1928" s="4">
        <v>4.5046675526629901E-2</v>
      </c>
      <c r="AI1928" s="4">
        <v>-4.4724355516209604</v>
      </c>
      <c r="AJ1928" s="4" t="s">
        <v>62</v>
      </c>
      <c r="AK1928" s="2">
        <v>6.3263831418606101E-2</v>
      </c>
      <c r="AL1928" s="2">
        <v>0.33601027492909402</v>
      </c>
      <c r="AM1928" s="2">
        <v>139.003312195153</v>
      </c>
      <c r="AN1928" s="2">
        <v>57.386448764388298</v>
      </c>
      <c r="AO1928" s="2">
        <v>8.559877937157E-6</v>
      </c>
      <c r="AP1928" s="2">
        <v>8.559877937157E-6</v>
      </c>
      <c r="AQ1928" s="2">
        <v>594.42584267796201</v>
      </c>
      <c r="AR1928" s="2">
        <v>318.66166025659902</v>
      </c>
      <c r="AS1928" s="2">
        <v>4075.78741325992</v>
      </c>
      <c r="AT1928" s="2">
        <v>9090.8644370455004</v>
      </c>
      <c r="AU1928" s="2">
        <v>725.84349374036401</v>
      </c>
      <c r="AV1928" s="2">
        <v>10325.2277954987</v>
      </c>
      <c r="AW1928" s="2">
        <v>296.93784481659901</v>
      </c>
      <c r="AX1928" s="2">
        <v>114.84314759147</v>
      </c>
    </row>
    <row r="1929" spans="1:50" x14ac:dyDescent="0.25">
      <c r="A1929" s="2" t="s">
        <v>13071</v>
      </c>
      <c r="B1929" s="2">
        <v>271.24287339116103</v>
      </c>
      <c r="C1929" s="2">
        <v>9.1347333333333296</v>
      </c>
      <c r="D1929" s="2" t="s">
        <v>51</v>
      </c>
      <c r="E1929" s="2" t="s">
        <v>13072</v>
      </c>
      <c r="F1929" s="2">
        <v>35864</v>
      </c>
      <c r="G1929" s="3" t="str">
        <f>HYPERLINK("https://cloud.oebiotech.com/#/lm/network/35864", "https://cloud.oebiotech.com/#/lm/network/35864")</f>
        <v>https://cloud.oebiotech.com/#/lm/network/35864</v>
      </c>
      <c r="H1929" s="2"/>
      <c r="I1929" s="2"/>
      <c r="J1929" s="2" t="s">
        <v>13073</v>
      </c>
      <c r="K1929" s="2">
        <v>11044431</v>
      </c>
      <c r="L1929" s="2"/>
      <c r="M1929" s="2"/>
      <c r="N1929" s="2"/>
      <c r="O1929" s="2"/>
      <c r="P1929" s="2"/>
      <c r="Q1929" s="2"/>
      <c r="R1929" s="2"/>
      <c r="S1929" s="2" t="s">
        <v>13074</v>
      </c>
      <c r="T1929" s="2" t="s">
        <v>13075</v>
      </c>
      <c r="U1929" s="2" t="s">
        <v>56</v>
      </c>
      <c r="V1929" s="2" t="s">
        <v>177</v>
      </c>
      <c r="W1929" s="2" t="s">
        <v>178</v>
      </c>
      <c r="X1929" s="2" t="s">
        <v>147</v>
      </c>
      <c r="Y1929" s="2">
        <v>47.3</v>
      </c>
      <c r="Z1929" s="2">
        <v>43.3</v>
      </c>
      <c r="AA1929" s="2" t="s">
        <v>156</v>
      </c>
      <c r="AB1929" s="2" t="s">
        <v>13076</v>
      </c>
      <c r="AC1929" s="2">
        <v>2.9349839028329998</v>
      </c>
      <c r="AD1929" s="2"/>
      <c r="AE1929" s="2">
        <v>0.33808796958421899</v>
      </c>
      <c r="AF1929" s="2">
        <v>2130.6007971998702</v>
      </c>
      <c r="AG1929" s="2">
        <v>7615.6197296237997</v>
      </c>
      <c r="AH1929" s="4">
        <v>0.279767224840824</v>
      </c>
      <c r="AI1929" s="4">
        <v>-1.83770113642054</v>
      </c>
      <c r="AJ1929" s="4" t="s">
        <v>62</v>
      </c>
      <c r="AK1929" s="2">
        <v>0.13938669517809801</v>
      </c>
      <c r="AL1929" s="2">
        <v>0.45923352345858398</v>
      </c>
      <c r="AM1929" s="2">
        <v>8603.4102500514891</v>
      </c>
      <c r="AN1929" s="2">
        <v>580.69211641766697</v>
      </c>
      <c r="AO1929" s="2">
        <v>628.71914169025899</v>
      </c>
      <c r="AP1929" s="2">
        <v>2970.7832579200699</v>
      </c>
      <c r="AQ1929" s="2">
        <v>8.559877937157E-6</v>
      </c>
      <c r="AR1929" s="2">
        <v>8.559877937157E-6</v>
      </c>
      <c r="AS1929" s="2">
        <v>1415.8218359171201</v>
      </c>
      <c r="AT1929" s="2">
        <v>571.64001844888298</v>
      </c>
      <c r="AU1929" s="2">
        <v>17363.536564796501</v>
      </c>
      <c r="AV1929" s="2">
        <v>13653.645184185099</v>
      </c>
      <c r="AW1929" s="2">
        <v>12298.1943982546</v>
      </c>
      <c r="AX1929" s="2">
        <v>390.88037614058902</v>
      </c>
    </row>
    <row r="1930" spans="1:50" x14ac:dyDescent="0.25">
      <c r="A1930" s="2" t="s">
        <v>13077</v>
      </c>
      <c r="B1930" s="2">
        <v>217.107721729671</v>
      </c>
      <c r="C1930" s="2">
        <v>4.8395999999999999</v>
      </c>
      <c r="D1930" s="2" t="s">
        <v>51</v>
      </c>
      <c r="E1930" s="2" t="s">
        <v>13078</v>
      </c>
      <c r="F1930" s="2">
        <v>2888</v>
      </c>
      <c r="G1930" s="3" t="str">
        <f>HYPERLINK("https://cloud.oebiotech.com/#/lm/network/2888", "https://cloud.oebiotech.com/#/lm/network/2888")</f>
        <v>https://cloud.oebiotech.com/#/lm/network/2888</v>
      </c>
      <c r="H1930" s="2" t="s">
        <v>13079</v>
      </c>
      <c r="I1930" s="2">
        <v>5413</v>
      </c>
      <c r="J1930" s="2" t="s">
        <v>13080</v>
      </c>
      <c r="K1930" s="2">
        <v>128458</v>
      </c>
      <c r="L1930" s="2"/>
      <c r="M1930" s="2"/>
      <c r="N1930" s="2"/>
      <c r="O1930" s="2">
        <v>89312</v>
      </c>
      <c r="P1930" s="2"/>
      <c r="Q1930" s="2"/>
      <c r="R1930" s="2" t="s">
        <v>13081</v>
      </c>
      <c r="S1930" s="2" t="s">
        <v>13082</v>
      </c>
      <c r="T1930" s="2" t="s">
        <v>13083</v>
      </c>
      <c r="U1930" s="2" t="s">
        <v>103</v>
      </c>
      <c r="V1930" s="2" t="s">
        <v>377</v>
      </c>
      <c r="W1930" s="2" t="s">
        <v>378</v>
      </c>
      <c r="X1930" s="2" t="s">
        <v>69</v>
      </c>
      <c r="Y1930" s="2">
        <v>63.1</v>
      </c>
      <c r="Z1930" s="2">
        <v>59.5</v>
      </c>
      <c r="AA1930" s="2" t="s">
        <v>163</v>
      </c>
      <c r="AB1930" s="2" t="s">
        <v>13084</v>
      </c>
      <c r="AC1930" s="2">
        <v>-1.9508633617362101</v>
      </c>
      <c r="AD1930" s="2"/>
      <c r="AE1930" s="2">
        <v>0.33801981647331603</v>
      </c>
      <c r="AF1930" s="2">
        <v>8788.6307664723699</v>
      </c>
      <c r="AG1930" s="2">
        <v>5611.5137845895097</v>
      </c>
      <c r="AH1930" s="5">
        <v>1.5661782370753401</v>
      </c>
      <c r="AI1930" s="5">
        <v>0.647248406187245</v>
      </c>
      <c r="AJ1930" s="5" t="s">
        <v>139</v>
      </c>
      <c r="AK1930" s="2">
        <v>8.7242959956514293E-2</v>
      </c>
      <c r="AL1930" s="2">
        <v>0.38018166893268901</v>
      </c>
      <c r="AM1930" s="2">
        <v>8726.3429106699696</v>
      </c>
      <c r="AN1930" s="2">
        <v>14458.230865101499</v>
      </c>
      <c r="AO1930" s="2">
        <v>7296.5852159986898</v>
      </c>
      <c r="AP1930" s="2">
        <v>5457.70545055824</v>
      </c>
      <c r="AQ1930" s="2">
        <v>8276.92579786852</v>
      </c>
      <c r="AR1930" s="2">
        <v>8515.9943586372992</v>
      </c>
      <c r="AS1930" s="2">
        <v>6796.3310434293298</v>
      </c>
      <c r="AT1930" s="2">
        <v>2987.5263122665201</v>
      </c>
      <c r="AU1930" s="2">
        <v>9517.5536225947799</v>
      </c>
      <c r="AV1930" s="2">
        <v>1929.4802198694299</v>
      </c>
      <c r="AW1930" s="2">
        <v>5662.2163268397699</v>
      </c>
      <c r="AX1930" s="2">
        <v>6775.9751825372196</v>
      </c>
    </row>
    <row r="1931" spans="1:50" x14ac:dyDescent="0.25">
      <c r="A1931" s="2" t="s">
        <v>13085</v>
      </c>
      <c r="B1931" s="2">
        <v>252.19664919472501</v>
      </c>
      <c r="C1931" s="2">
        <v>4.1970666666666698</v>
      </c>
      <c r="D1931" s="2" t="s">
        <v>51</v>
      </c>
      <c r="E1931" s="2" t="s">
        <v>13086</v>
      </c>
      <c r="F1931" s="2">
        <v>58559</v>
      </c>
      <c r="G1931" s="3" t="str">
        <f>HYPERLINK("https://cloud.oebiotech.com/#/lm/network/58559", "https://cloud.oebiotech.com/#/lm/network/58559")</f>
        <v>https://cloud.oebiotech.com/#/lm/network/58559</v>
      </c>
      <c r="H1931" s="2" t="s">
        <v>13087</v>
      </c>
      <c r="I1931" s="2">
        <v>90026</v>
      </c>
      <c r="J1931" s="2"/>
      <c r="K1931" s="2">
        <v>13913099</v>
      </c>
      <c r="L1931" s="2"/>
      <c r="M1931" s="2"/>
      <c r="N1931" s="2"/>
      <c r="O1931" s="2"/>
      <c r="P1931" s="2"/>
      <c r="Q1931" s="2"/>
      <c r="R1931" s="2" t="s">
        <v>13088</v>
      </c>
      <c r="S1931" s="2" t="s">
        <v>13089</v>
      </c>
      <c r="T1931" s="2" t="s">
        <v>13090</v>
      </c>
      <c r="U1931" s="2" t="s">
        <v>56</v>
      </c>
      <c r="V1931" s="2" t="s">
        <v>145</v>
      </c>
      <c r="W1931" s="2" t="s">
        <v>146</v>
      </c>
      <c r="X1931" s="2" t="s">
        <v>147</v>
      </c>
      <c r="Y1931" s="2">
        <v>40.299999999999997</v>
      </c>
      <c r="Z1931" s="2">
        <v>18.2</v>
      </c>
      <c r="AA1931" s="2" t="s">
        <v>512</v>
      </c>
      <c r="AB1931" s="2" t="s">
        <v>4027</v>
      </c>
      <c r="AC1931" s="2">
        <v>3.6031471265162902</v>
      </c>
      <c r="AD1931" s="2"/>
      <c r="AE1931" s="2">
        <v>0.33801205646152799</v>
      </c>
      <c r="AF1931" s="2">
        <v>662.95802469802595</v>
      </c>
      <c r="AG1931" s="2">
        <v>4107.7537117427901</v>
      </c>
      <c r="AH1931" s="4">
        <v>0.16139186310095299</v>
      </c>
      <c r="AI1931" s="4">
        <v>-2.63136025084306</v>
      </c>
      <c r="AJ1931" s="4" t="s">
        <v>62</v>
      </c>
      <c r="AK1931" s="2">
        <v>2.5504271477318999E-2</v>
      </c>
      <c r="AL1931" s="2">
        <v>0.245411442075921</v>
      </c>
      <c r="AM1931" s="2">
        <v>270.79792845440102</v>
      </c>
      <c r="AN1931" s="2">
        <v>728.49788573205296</v>
      </c>
      <c r="AO1931" s="2">
        <v>379.90217189532399</v>
      </c>
      <c r="AP1931" s="2">
        <v>517.45311760880998</v>
      </c>
      <c r="AQ1931" s="2">
        <v>1006.94724248462</v>
      </c>
      <c r="AR1931" s="2">
        <v>1074.14980201295</v>
      </c>
      <c r="AS1931" s="2">
        <v>207.73252318742499</v>
      </c>
      <c r="AT1931" s="2">
        <v>4106.8869940624199</v>
      </c>
      <c r="AU1931" s="2">
        <v>7060.9904880920503</v>
      </c>
      <c r="AV1931" s="2">
        <v>5174.9977883934398</v>
      </c>
      <c r="AW1931" s="2">
        <v>7664.0726155060602</v>
      </c>
      <c r="AX1931" s="2">
        <v>431.84186121535799</v>
      </c>
    </row>
    <row r="1932" spans="1:50" x14ac:dyDescent="0.25">
      <c r="A1932" s="2" t="s">
        <v>13091</v>
      </c>
      <c r="B1932" s="2">
        <v>467.31450333167498</v>
      </c>
      <c r="C1932" s="2">
        <v>12.932916666666699</v>
      </c>
      <c r="D1932" s="2" t="s">
        <v>51</v>
      </c>
      <c r="E1932" s="2" t="s">
        <v>13092</v>
      </c>
      <c r="F1932" s="2">
        <v>59143</v>
      </c>
      <c r="G1932" s="3" t="str">
        <f>HYPERLINK("https://cloud.oebiotech.com/#/lm/network/59143", "https://cloud.oebiotech.com/#/lm/network/59143")</f>
        <v>https://cloud.oebiotech.com/#/lm/network/59143</v>
      </c>
      <c r="H1932" s="2" t="s">
        <v>13093</v>
      </c>
      <c r="I1932" s="2">
        <v>90567</v>
      </c>
      <c r="J1932" s="2"/>
      <c r="K1932" s="2">
        <v>76064992</v>
      </c>
      <c r="L1932" s="2"/>
      <c r="M1932" s="2"/>
      <c r="N1932" s="2"/>
      <c r="O1932" s="2">
        <v>168613</v>
      </c>
      <c r="P1932" s="2"/>
      <c r="Q1932" s="2"/>
      <c r="R1932" s="2" t="s">
        <v>13094</v>
      </c>
      <c r="S1932" s="2" t="s">
        <v>13095</v>
      </c>
      <c r="T1932" s="2" t="s">
        <v>13096</v>
      </c>
      <c r="U1932" s="2" t="s">
        <v>56</v>
      </c>
      <c r="V1932" s="2" t="s">
        <v>177</v>
      </c>
      <c r="W1932" s="2" t="s">
        <v>3270</v>
      </c>
      <c r="X1932" s="2" t="s">
        <v>147</v>
      </c>
      <c r="Y1932" s="2">
        <v>36.9</v>
      </c>
      <c r="Z1932" s="2">
        <v>0</v>
      </c>
      <c r="AA1932" s="2" t="s">
        <v>298</v>
      </c>
      <c r="AB1932" s="2" t="s">
        <v>13097</v>
      </c>
      <c r="AC1932" s="2">
        <v>-4.4827608061185398</v>
      </c>
      <c r="AD1932" s="2"/>
      <c r="AE1932" s="2">
        <v>0.33759547659076899</v>
      </c>
      <c r="AF1932" s="2">
        <v>38700.431786151901</v>
      </c>
      <c r="AG1932" s="2">
        <v>28821.099476244301</v>
      </c>
      <c r="AH1932" s="5">
        <v>1.3427812432364199</v>
      </c>
      <c r="AI1932" s="5">
        <v>0.42522428987018002</v>
      </c>
      <c r="AJ1932" s="5" t="s">
        <v>139</v>
      </c>
      <c r="AK1932" s="2">
        <v>0.35381476689928298</v>
      </c>
      <c r="AL1932" s="2">
        <v>0.644232435870006</v>
      </c>
      <c r="AM1932" s="2">
        <v>18108.849275413999</v>
      </c>
      <c r="AN1932" s="2">
        <v>36598.030355568502</v>
      </c>
      <c r="AO1932" s="2">
        <v>42847.9657632749</v>
      </c>
      <c r="AP1932" s="2">
        <v>60910.936768320302</v>
      </c>
      <c r="AQ1932" s="2">
        <v>54214.053024225999</v>
      </c>
      <c r="AR1932" s="2">
        <v>19522.755530107901</v>
      </c>
      <c r="AS1932" s="2">
        <v>16912.809718074899</v>
      </c>
      <c r="AT1932" s="2">
        <v>49571.387488817498</v>
      </c>
      <c r="AU1932" s="2">
        <v>16479.077991394199</v>
      </c>
      <c r="AV1932" s="2">
        <v>7224.0530538461499</v>
      </c>
      <c r="AW1932" s="2">
        <v>36703.606125474398</v>
      </c>
      <c r="AX1932" s="2">
        <v>46035.6624798587</v>
      </c>
    </row>
    <row r="1933" spans="1:50" x14ac:dyDescent="0.25">
      <c r="A1933" s="2" t="s">
        <v>13098</v>
      </c>
      <c r="B1933" s="2">
        <v>386.29130442774698</v>
      </c>
      <c r="C1933" s="2">
        <v>8.1498833333333298</v>
      </c>
      <c r="D1933" s="2" t="s">
        <v>51</v>
      </c>
      <c r="E1933" s="2" t="s">
        <v>13099</v>
      </c>
      <c r="F1933" s="2">
        <v>197909</v>
      </c>
      <c r="G1933" s="3" t="str">
        <f>HYPERLINK("https://cloud.oebiotech.com/#/lm/network/197909", "https://cloud.oebiotech.com/#/lm/network/197909")</f>
        <v>https://cloud.oebiotech.com/#/lm/network/197909</v>
      </c>
      <c r="H1933" s="2" t="s">
        <v>13100</v>
      </c>
      <c r="I1933" s="2"/>
      <c r="J1933" s="2"/>
      <c r="K1933" s="2"/>
      <c r="L1933" s="2"/>
      <c r="M1933" s="2"/>
      <c r="N1933" s="2"/>
      <c r="O1933" s="2"/>
      <c r="P1933" s="2"/>
      <c r="Q1933" s="2"/>
      <c r="R1933" s="2"/>
      <c r="S1933" s="2" t="s">
        <v>13101</v>
      </c>
      <c r="T1933" s="2" t="s">
        <v>13102</v>
      </c>
      <c r="U1933" s="2" t="s">
        <v>56</v>
      </c>
      <c r="V1933" s="2" t="s">
        <v>145</v>
      </c>
      <c r="W1933" s="2" t="s">
        <v>1188</v>
      </c>
      <c r="X1933" s="2" t="s">
        <v>83</v>
      </c>
      <c r="Y1933" s="2">
        <v>46.5</v>
      </c>
      <c r="Z1933" s="2">
        <v>0</v>
      </c>
      <c r="AA1933" s="2" t="s">
        <v>259</v>
      </c>
      <c r="AB1933" s="2" t="s">
        <v>13103</v>
      </c>
      <c r="AC1933" s="2">
        <v>3.1266444917560801</v>
      </c>
      <c r="AD1933" s="2"/>
      <c r="AE1933" s="2">
        <v>0.33756965690511298</v>
      </c>
      <c r="AF1933" s="2">
        <v>9259.6644927414509</v>
      </c>
      <c r="AG1933" s="2">
        <v>858.11179241298396</v>
      </c>
      <c r="AH1933" s="5">
        <v>10.790743787244301</v>
      </c>
      <c r="AI1933" s="5">
        <v>3.43172240560633</v>
      </c>
      <c r="AJ1933" s="5" t="s">
        <v>139</v>
      </c>
      <c r="AK1933" s="2">
        <v>0.28057632719908798</v>
      </c>
      <c r="AL1933" s="2">
        <v>0.59978920543246905</v>
      </c>
      <c r="AM1933" s="2">
        <v>687.58451099463798</v>
      </c>
      <c r="AN1933" s="2">
        <v>8.559877937157E-6</v>
      </c>
      <c r="AO1933" s="2">
        <v>609.96057068795596</v>
      </c>
      <c r="AP1933" s="2">
        <v>281.702249189962</v>
      </c>
      <c r="AQ1933" s="2">
        <v>45413.980392511803</v>
      </c>
      <c r="AR1933" s="2">
        <v>8564.7592245044907</v>
      </c>
      <c r="AS1933" s="2">
        <v>145.96715300457799</v>
      </c>
      <c r="AT1933" s="2">
        <v>321.93856415424199</v>
      </c>
      <c r="AU1933" s="2">
        <v>547.78242913779604</v>
      </c>
      <c r="AV1933" s="2">
        <v>1519.2242247572999</v>
      </c>
      <c r="AW1933" s="2">
        <v>2613.75837486411</v>
      </c>
      <c r="AX1933" s="2">
        <v>8.559877937157E-6</v>
      </c>
    </row>
    <row r="1934" spans="1:50" x14ac:dyDescent="0.25">
      <c r="A1934" s="2" t="s">
        <v>13104</v>
      </c>
      <c r="B1934" s="2">
        <v>395.12948953747099</v>
      </c>
      <c r="C1934" s="2">
        <v>5.3466166666666703</v>
      </c>
      <c r="D1934" s="2" t="s">
        <v>51</v>
      </c>
      <c r="E1934" s="2" t="s">
        <v>13105</v>
      </c>
      <c r="F1934" s="2">
        <v>274293</v>
      </c>
      <c r="G1934" s="3" t="str">
        <f>HYPERLINK("https://cloud.oebiotech.com/#/lm/network/274293", "https://cloud.oebiotech.com/#/lm/network/274293")</f>
        <v>https://cloud.oebiotech.com/#/lm/network/274293</v>
      </c>
      <c r="H1934" s="2"/>
      <c r="I1934" s="2">
        <v>64181</v>
      </c>
      <c r="J1934" s="2"/>
      <c r="K1934" s="2">
        <v>5316860</v>
      </c>
      <c r="L1934" s="2" t="s">
        <v>13106</v>
      </c>
      <c r="M1934" s="2"/>
      <c r="N1934" s="2"/>
      <c r="O1934" s="2"/>
      <c r="P1934" s="2"/>
      <c r="Q1934" s="2"/>
      <c r="R1934" s="2" t="s">
        <v>13107</v>
      </c>
      <c r="S1934" s="2" t="s">
        <v>13108</v>
      </c>
      <c r="T1934" s="2" t="s">
        <v>13109</v>
      </c>
      <c r="U1934" s="2" t="s">
        <v>331</v>
      </c>
      <c r="V1934" s="2" t="s">
        <v>332</v>
      </c>
      <c r="W1934" s="2" t="s">
        <v>333</v>
      </c>
      <c r="X1934" s="2" t="s">
        <v>147</v>
      </c>
      <c r="Y1934" s="2">
        <v>37.799999999999997</v>
      </c>
      <c r="Z1934" s="2">
        <v>0</v>
      </c>
      <c r="AA1934" s="2" t="s">
        <v>95</v>
      </c>
      <c r="AB1934" s="2" t="s">
        <v>12735</v>
      </c>
      <c r="AC1934" s="2">
        <v>-4.7387505202002904</v>
      </c>
      <c r="AD1934" s="2"/>
      <c r="AE1934" s="2">
        <v>0.33755597055949998</v>
      </c>
      <c r="AF1934" s="2">
        <v>969.89792498945201</v>
      </c>
      <c r="AG1934" s="2">
        <v>4618.2742344510498</v>
      </c>
      <c r="AH1934" s="4">
        <v>0.21001306456734001</v>
      </c>
      <c r="AI1934" s="4">
        <v>-2.2514490165186101</v>
      </c>
      <c r="AJ1934" s="4" t="s">
        <v>62</v>
      </c>
      <c r="AK1934" s="2">
        <v>8.9861341120029997E-2</v>
      </c>
      <c r="AL1934" s="2">
        <v>0.38464800449143299</v>
      </c>
      <c r="AM1934" s="2">
        <v>969.64299988154596</v>
      </c>
      <c r="AN1934" s="2">
        <v>979.14112492140498</v>
      </c>
      <c r="AO1934" s="2">
        <v>857.63301115591901</v>
      </c>
      <c r="AP1934" s="2">
        <v>8.559877937157E-6</v>
      </c>
      <c r="AQ1934" s="2">
        <v>687.20494059975397</v>
      </c>
      <c r="AR1934" s="2">
        <v>2325.7654648182101</v>
      </c>
      <c r="AS1934" s="2">
        <v>981.64629343341005</v>
      </c>
      <c r="AT1934" s="2">
        <v>1838.1948743580899</v>
      </c>
      <c r="AU1934" s="2">
        <v>5155.4656760727103</v>
      </c>
      <c r="AV1934" s="2">
        <v>6161.4210381344101</v>
      </c>
      <c r="AW1934" s="2">
        <v>13005.7375524168</v>
      </c>
      <c r="AX1934" s="2">
        <v>567.17997229085404</v>
      </c>
    </row>
    <row r="1935" spans="1:50" x14ac:dyDescent="0.25">
      <c r="A1935" s="2" t="s">
        <v>13110</v>
      </c>
      <c r="B1935" s="2">
        <v>619.49249137125901</v>
      </c>
      <c r="C1935" s="2">
        <v>15.024316666666699</v>
      </c>
      <c r="D1935" s="2" t="s">
        <v>51</v>
      </c>
      <c r="E1935" s="2" t="s">
        <v>13111</v>
      </c>
      <c r="F1935" s="2">
        <v>250622</v>
      </c>
      <c r="G1935" s="3" t="str">
        <f>HYPERLINK("https://cloud.oebiotech.com/#/lm/network/250622", "https://cloud.oebiotech.com/#/lm/network/250622")</f>
        <v>https://cloud.oebiotech.com/#/lm/network/250622</v>
      </c>
      <c r="H1935" s="2" t="s">
        <v>13112</v>
      </c>
      <c r="I1935" s="2"/>
      <c r="J1935" s="2"/>
      <c r="K1935" s="2"/>
      <c r="L1935" s="2"/>
      <c r="M1935" s="2"/>
      <c r="N1935" s="2"/>
      <c r="O1935" s="2"/>
      <c r="P1935" s="2"/>
      <c r="Q1935" s="2"/>
      <c r="R1935" s="2"/>
      <c r="S1935" s="2" t="s">
        <v>13113</v>
      </c>
      <c r="T1935" s="2" t="s">
        <v>13114</v>
      </c>
      <c r="U1935" s="2" t="s">
        <v>56</v>
      </c>
      <c r="V1935" s="2" t="s">
        <v>145</v>
      </c>
      <c r="W1935" s="2" t="s">
        <v>187</v>
      </c>
      <c r="X1935" s="2" t="s">
        <v>59</v>
      </c>
      <c r="Y1935" s="2">
        <v>52.6</v>
      </c>
      <c r="Z1935" s="2">
        <v>68.8</v>
      </c>
      <c r="AA1935" s="2" t="s">
        <v>259</v>
      </c>
      <c r="AB1935" s="2" t="s">
        <v>13115</v>
      </c>
      <c r="AC1935" s="2">
        <v>-1.1720472108740201</v>
      </c>
      <c r="AD1935" s="2"/>
      <c r="AE1935" s="2">
        <v>0.33723156394140702</v>
      </c>
      <c r="AF1935" s="2">
        <v>95607.361347340498</v>
      </c>
      <c r="AG1935" s="2">
        <v>107264.284751432</v>
      </c>
      <c r="AH1935" s="4">
        <v>0.891325212011576</v>
      </c>
      <c r="AI1935" s="4">
        <v>-0.16597618036543499</v>
      </c>
      <c r="AJ1935" s="4" t="s">
        <v>62</v>
      </c>
      <c r="AK1935" s="2">
        <v>0.76791450865213795</v>
      </c>
      <c r="AL1935" s="2">
        <v>0.89499576715110796</v>
      </c>
      <c r="AM1935" s="2">
        <v>21192.4578583279</v>
      </c>
      <c r="AN1935" s="2">
        <v>77612.066996463793</v>
      </c>
      <c r="AO1935" s="2">
        <v>82837.959414459503</v>
      </c>
      <c r="AP1935" s="2">
        <v>155773.811649337</v>
      </c>
      <c r="AQ1935" s="2">
        <v>174591.088192692</v>
      </c>
      <c r="AR1935" s="2">
        <v>61636.783972762503</v>
      </c>
      <c r="AS1935" s="2">
        <v>81119.979802036498</v>
      </c>
      <c r="AT1935" s="2">
        <v>244015.02900708001</v>
      </c>
      <c r="AU1935" s="2">
        <v>43481.152453577997</v>
      </c>
      <c r="AV1935" s="2">
        <v>53382.4000671334</v>
      </c>
      <c r="AW1935" s="2">
        <v>132140.64311077501</v>
      </c>
      <c r="AX1935" s="2">
        <v>89446.504067990594</v>
      </c>
    </row>
    <row r="1936" spans="1:50" x14ac:dyDescent="0.25">
      <c r="A1936" s="2" t="s">
        <v>13116</v>
      </c>
      <c r="B1936" s="2">
        <v>352.247151984016</v>
      </c>
      <c r="C1936" s="2">
        <v>8.8874666666666702</v>
      </c>
      <c r="D1936" s="2" t="s">
        <v>51</v>
      </c>
      <c r="E1936" s="2" t="s">
        <v>13117</v>
      </c>
      <c r="F1936" s="2">
        <v>4093</v>
      </c>
      <c r="G1936" s="3" t="str">
        <f>HYPERLINK("https://cloud.oebiotech.com/#/lm/network/4093", "https://cloud.oebiotech.com/#/lm/network/4093")</f>
        <v>https://cloud.oebiotech.com/#/lm/network/4093</v>
      </c>
      <c r="H1936" s="2"/>
      <c r="I1936" s="2">
        <v>96927</v>
      </c>
      <c r="J1936" s="2" t="s">
        <v>13118</v>
      </c>
      <c r="K1936" s="2">
        <v>70698744</v>
      </c>
      <c r="L1936" s="2"/>
      <c r="M1936" s="2"/>
      <c r="N1936" s="2"/>
      <c r="O1936" s="2"/>
      <c r="P1936" s="2"/>
      <c r="Q1936" s="2"/>
      <c r="R1936" s="2"/>
      <c r="S1936" s="2" t="s">
        <v>13119</v>
      </c>
      <c r="T1936" s="2" t="s">
        <v>13120</v>
      </c>
      <c r="U1936" s="2" t="s">
        <v>56</v>
      </c>
      <c r="V1936" s="2" t="s">
        <v>145</v>
      </c>
      <c r="W1936" s="2" t="s">
        <v>187</v>
      </c>
      <c r="X1936" s="2" t="s">
        <v>83</v>
      </c>
      <c r="Y1936" s="2">
        <v>43.9</v>
      </c>
      <c r="Z1936" s="2">
        <v>0.39100000000000001</v>
      </c>
      <c r="AA1936" s="2" t="s">
        <v>512</v>
      </c>
      <c r="AB1936" s="2" t="s">
        <v>212</v>
      </c>
      <c r="AC1936" s="2">
        <v>-3.2403938698956698</v>
      </c>
      <c r="AD1936" s="2"/>
      <c r="AE1936" s="2">
        <v>0.33722666710924198</v>
      </c>
      <c r="AF1936" s="2">
        <v>7181.1193081852798</v>
      </c>
      <c r="AG1936" s="2">
        <v>1387.14246915374</v>
      </c>
      <c r="AH1936" s="5">
        <v>5.1769154703815703</v>
      </c>
      <c r="AI1936" s="5">
        <v>2.3720927618038399</v>
      </c>
      <c r="AJ1936" s="5" t="s">
        <v>139</v>
      </c>
      <c r="AK1936" s="2">
        <v>0.18048491095369401</v>
      </c>
      <c r="AL1936" s="2">
        <v>0.50362421935593504</v>
      </c>
      <c r="AM1936" s="2">
        <v>1863.8544268195301</v>
      </c>
      <c r="AN1936" s="2">
        <v>4488.9665708314897</v>
      </c>
      <c r="AO1936" s="2">
        <v>6589.1773430305602</v>
      </c>
      <c r="AP1936" s="2">
        <v>1132.5268504457699</v>
      </c>
      <c r="AQ1936" s="2">
        <v>26643.743115109199</v>
      </c>
      <c r="AR1936" s="2">
        <v>2368.4475428751498</v>
      </c>
      <c r="AS1936" s="2">
        <v>4258.2024822301</v>
      </c>
      <c r="AT1936" s="2">
        <v>517.36730340845804</v>
      </c>
      <c r="AU1936" s="2">
        <v>1769.1136673757801</v>
      </c>
      <c r="AV1936" s="2">
        <v>105.97431227688</v>
      </c>
      <c r="AW1936" s="2">
        <v>776.623414859082</v>
      </c>
      <c r="AX1936" s="2">
        <v>895.57363477213096</v>
      </c>
    </row>
    <row r="1937" spans="1:50" x14ac:dyDescent="0.25">
      <c r="A1937" s="2" t="s">
        <v>13121</v>
      </c>
      <c r="B1937" s="2">
        <v>409.22402495946898</v>
      </c>
      <c r="C1937" s="2">
        <v>6.9602500000000003</v>
      </c>
      <c r="D1937" s="2" t="s">
        <v>51</v>
      </c>
      <c r="E1937" s="2" t="s">
        <v>13122</v>
      </c>
      <c r="F1937" s="2">
        <v>212331</v>
      </c>
      <c r="G1937" s="3" t="str">
        <f>HYPERLINK("https://cloud.oebiotech.com/#/lm/network/212331", "https://cloud.oebiotech.com/#/lm/network/212331")</f>
        <v>https://cloud.oebiotech.com/#/lm/network/212331</v>
      </c>
      <c r="H1937" s="2" t="s">
        <v>13123</v>
      </c>
      <c r="I1937" s="2"/>
      <c r="J1937" s="2"/>
      <c r="K1937" s="2">
        <v>21263334</v>
      </c>
      <c r="L1937" s="2"/>
      <c r="M1937" s="2"/>
      <c r="N1937" s="2"/>
      <c r="O1937" s="2"/>
      <c r="P1937" s="2"/>
      <c r="Q1937" s="2"/>
      <c r="R1937" s="2"/>
      <c r="S1937" s="2" t="s">
        <v>13124</v>
      </c>
      <c r="T1937" s="2" t="s">
        <v>13125</v>
      </c>
      <c r="U1937" s="2" t="s">
        <v>266</v>
      </c>
      <c r="V1937" s="2" t="s">
        <v>4491</v>
      </c>
      <c r="W1937" s="2" t="s">
        <v>240</v>
      </c>
      <c r="X1937" s="2" t="s">
        <v>83</v>
      </c>
      <c r="Y1937" s="2">
        <v>46.2</v>
      </c>
      <c r="Z1937" s="2">
        <v>0</v>
      </c>
      <c r="AA1937" s="2" t="s">
        <v>218</v>
      </c>
      <c r="AB1937" s="2" t="s">
        <v>4492</v>
      </c>
      <c r="AC1937" s="2">
        <v>2.3281364245489402</v>
      </c>
      <c r="AD1937" s="2"/>
      <c r="AE1937" s="2">
        <v>0.33720287765684098</v>
      </c>
      <c r="AF1937" s="2">
        <v>5904.2933682268504</v>
      </c>
      <c r="AG1937" s="2">
        <v>3118.5415835630101</v>
      </c>
      <c r="AH1937" s="5">
        <v>1.8932867207372801</v>
      </c>
      <c r="AI1937" s="5">
        <v>0.92089291038786203</v>
      </c>
      <c r="AJ1937" s="5" t="s">
        <v>139</v>
      </c>
      <c r="AK1937" s="2">
        <v>3.6478169625308497E-2</v>
      </c>
      <c r="AL1937" s="2">
        <v>0.27847173649657597</v>
      </c>
      <c r="AM1937" s="2">
        <v>9312.5043515594898</v>
      </c>
      <c r="AN1937" s="2">
        <v>6840.6994666852297</v>
      </c>
      <c r="AO1937" s="2">
        <v>4279.5378186555999</v>
      </c>
      <c r="AP1937" s="2">
        <v>4425.2043245762998</v>
      </c>
      <c r="AQ1937" s="2">
        <v>2577.4365422964202</v>
      </c>
      <c r="AR1937" s="2">
        <v>7990.3777055880601</v>
      </c>
      <c r="AS1937" s="2">
        <v>3333.1736461994801</v>
      </c>
      <c r="AT1937" s="2">
        <v>1033.7582822382799</v>
      </c>
      <c r="AU1937" s="2">
        <v>4387.1750204500704</v>
      </c>
      <c r="AV1937" s="2">
        <v>2887.45167893589</v>
      </c>
      <c r="AW1937" s="2">
        <v>2889.3665892866402</v>
      </c>
      <c r="AX1937" s="2">
        <v>4180.32428426767</v>
      </c>
    </row>
    <row r="1938" spans="1:50" x14ac:dyDescent="0.25">
      <c r="A1938" s="2" t="s">
        <v>13126</v>
      </c>
      <c r="B1938" s="2">
        <v>369.17430806962301</v>
      </c>
      <c r="C1938" s="2">
        <v>6.0356166666666704</v>
      </c>
      <c r="D1938" s="2" t="s">
        <v>51</v>
      </c>
      <c r="E1938" s="2" t="s">
        <v>13127</v>
      </c>
      <c r="F1938" s="2">
        <v>209665</v>
      </c>
      <c r="G1938" s="3" t="str">
        <f>HYPERLINK("https://cloud.oebiotech.com/#/lm/network/209665", "https://cloud.oebiotech.com/#/lm/network/209665")</f>
        <v>https://cloud.oebiotech.com/#/lm/network/209665</v>
      </c>
      <c r="H1938" s="2" t="s">
        <v>13128</v>
      </c>
      <c r="I1938" s="2"/>
      <c r="J1938" s="2"/>
      <c r="K1938" s="2"/>
      <c r="L1938" s="2"/>
      <c r="M1938" s="2"/>
      <c r="N1938" s="2"/>
      <c r="O1938" s="2"/>
      <c r="P1938" s="2"/>
      <c r="Q1938" s="2"/>
      <c r="R1938" s="2"/>
      <c r="S1938" s="2" t="s">
        <v>13129</v>
      </c>
      <c r="T1938" s="2" t="s">
        <v>13130</v>
      </c>
      <c r="U1938" s="2" t="s">
        <v>266</v>
      </c>
      <c r="V1938" s="2" t="s">
        <v>2963</v>
      </c>
      <c r="W1938" s="2" t="s">
        <v>240</v>
      </c>
      <c r="X1938" s="2" t="s">
        <v>147</v>
      </c>
      <c r="Y1938" s="2">
        <v>37.799999999999997</v>
      </c>
      <c r="Z1938" s="2">
        <v>0.11899999999999999</v>
      </c>
      <c r="AA1938" s="2" t="s">
        <v>218</v>
      </c>
      <c r="AB1938" s="2" t="s">
        <v>13131</v>
      </c>
      <c r="AC1938" s="2">
        <v>3.3324188166684898</v>
      </c>
      <c r="AD1938" s="2"/>
      <c r="AE1938" s="2">
        <v>0.33716928488334802</v>
      </c>
      <c r="AF1938" s="2">
        <v>5917.1541895678201</v>
      </c>
      <c r="AG1938" s="2">
        <v>9916.0896705767209</v>
      </c>
      <c r="AH1938" s="4">
        <v>0.59672253742575099</v>
      </c>
      <c r="AI1938" s="4">
        <v>-0.74486782827050002</v>
      </c>
      <c r="AJ1938" s="4" t="s">
        <v>62</v>
      </c>
      <c r="AK1938" s="2">
        <v>0.24520711473596199</v>
      </c>
      <c r="AL1938" s="2">
        <v>0.57060798295178805</v>
      </c>
      <c r="AM1938" s="2">
        <v>651.51587364593195</v>
      </c>
      <c r="AN1938" s="2">
        <v>4491.0938199245402</v>
      </c>
      <c r="AO1938" s="2">
        <v>10865.2320073097</v>
      </c>
      <c r="AP1938" s="2">
        <v>12452.8097966642</v>
      </c>
      <c r="AQ1938" s="2">
        <v>5357.3597544916302</v>
      </c>
      <c r="AR1938" s="2">
        <v>1684.9138853709001</v>
      </c>
      <c r="AS1938" s="2">
        <v>3221.9510535783102</v>
      </c>
      <c r="AT1938" s="2">
        <v>4792.4806173224497</v>
      </c>
      <c r="AU1938" s="2">
        <v>12602.3327926234</v>
      </c>
      <c r="AV1938" s="2">
        <v>17407.179350400402</v>
      </c>
      <c r="AW1938" s="2">
        <v>5087.1894395407498</v>
      </c>
      <c r="AX1938" s="2">
        <v>16385.404769994999</v>
      </c>
    </row>
    <row r="1939" spans="1:50" x14ac:dyDescent="0.25">
      <c r="A1939" s="2" t="s">
        <v>13132</v>
      </c>
      <c r="B1939" s="2">
        <v>419.251298133126</v>
      </c>
      <c r="C1939" s="2">
        <v>4.2174666666666702</v>
      </c>
      <c r="D1939" s="2" t="s">
        <v>51</v>
      </c>
      <c r="E1939" s="2" t="s">
        <v>13133</v>
      </c>
      <c r="F1939" s="2">
        <v>35</v>
      </c>
      <c r="G1939" s="3" t="str">
        <f>HYPERLINK("https://cloud.oebiotech.com/#/lm/network/35", "https://cloud.oebiotech.com/#/lm/network/35")</f>
        <v>https://cloud.oebiotech.com/#/lm/network/35</v>
      </c>
      <c r="H1939" s="2"/>
      <c r="I1939" s="2"/>
      <c r="J1939" s="2" t="s">
        <v>13134</v>
      </c>
      <c r="K1939" s="2">
        <v>101891710</v>
      </c>
      <c r="L1939" s="2"/>
      <c r="M1939" s="2"/>
      <c r="N1939" s="2"/>
      <c r="O1939" s="2"/>
      <c r="P1939" s="2"/>
      <c r="Q1939" s="2"/>
      <c r="R1939" s="2"/>
      <c r="S1939" s="2" t="s">
        <v>13135</v>
      </c>
      <c r="T1939" s="2" t="s">
        <v>13136</v>
      </c>
      <c r="U1939" s="2" t="s">
        <v>56</v>
      </c>
      <c r="V1939" s="2" t="s">
        <v>145</v>
      </c>
      <c r="W1939" s="2" t="s">
        <v>231</v>
      </c>
      <c r="X1939" s="2" t="s">
        <v>147</v>
      </c>
      <c r="Y1939" s="2">
        <v>42.5</v>
      </c>
      <c r="Z1939" s="2">
        <v>21</v>
      </c>
      <c r="AA1939" s="2" t="s">
        <v>259</v>
      </c>
      <c r="AB1939" s="2" t="s">
        <v>13137</v>
      </c>
      <c r="AC1939" s="2">
        <v>2.8810140609101098</v>
      </c>
      <c r="AD1939" s="2"/>
      <c r="AE1939" s="2">
        <v>0.33710350270813499</v>
      </c>
      <c r="AF1939" s="2">
        <v>6433.9640303173501</v>
      </c>
      <c r="AG1939" s="2">
        <v>3439.20075501573</v>
      </c>
      <c r="AH1939" s="5">
        <v>1.87077303380271</v>
      </c>
      <c r="AI1939" s="5">
        <v>0.90363453833843999</v>
      </c>
      <c r="AJ1939" s="5" t="s">
        <v>139</v>
      </c>
      <c r="AK1939" s="2">
        <v>0.24120761695114301</v>
      </c>
      <c r="AL1939" s="2">
        <v>0.56524770370204702</v>
      </c>
      <c r="AM1939" s="2">
        <v>12193.141554170101</v>
      </c>
      <c r="AN1939" s="2">
        <v>2628.9837235484101</v>
      </c>
      <c r="AO1939" s="2">
        <v>11683.357766130601</v>
      </c>
      <c r="AP1939" s="2">
        <v>973.64781129820801</v>
      </c>
      <c r="AQ1939" s="2">
        <v>3474.3291726544599</v>
      </c>
      <c r="AR1939" s="2">
        <v>7650.3241541023099</v>
      </c>
      <c r="AS1939" s="2">
        <v>554.75387214602199</v>
      </c>
      <c r="AT1939" s="2">
        <v>3466.32069643263</v>
      </c>
      <c r="AU1939" s="2">
        <v>9603.5275605225797</v>
      </c>
      <c r="AV1939" s="2">
        <v>4492.7846338832296</v>
      </c>
      <c r="AW1939" s="2">
        <v>2015.64195516114</v>
      </c>
      <c r="AX1939" s="2">
        <v>502.17581194877602</v>
      </c>
    </row>
    <row r="1940" spans="1:50" x14ac:dyDescent="0.25">
      <c r="A1940" s="2" t="s">
        <v>13138</v>
      </c>
      <c r="B1940" s="2">
        <v>235.13354524730599</v>
      </c>
      <c r="C1940" s="2">
        <v>8.0458666666666705</v>
      </c>
      <c r="D1940" s="2" t="s">
        <v>51</v>
      </c>
      <c r="E1940" s="2" t="s">
        <v>13139</v>
      </c>
      <c r="F1940" s="2">
        <v>202025</v>
      </c>
      <c r="G1940" s="3" t="str">
        <f>HYPERLINK("https://cloud.oebiotech.com/#/lm/network/202025", "https://cloud.oebiotech.com/#/lm/network/202025")</f>
        <v>https://cloud.oebiotech.com/#/lm/network/202025</v>
      </c>
      <c r="H1940" s="2" t="s">
        <v>13140</v>
      </c>
      <c r="I1940" s="2"/>
      <c r="J1940" s="2"/>
      <c r="K1940" s="2"/>
      <c r="L1940" s="2"/>
      <c r="M1940" s="2"/>
      <c r="N1940" s="2"/>
      <c r="O1940" s="2"/>
      <c r="P1940" s="2"/>
      <c r="Q1940" s="2"/>
      <c r="R1940" s="2"/>
      <c r="S1940" s="2" t="s">
        <v>13141</v>
      </c>
      <c r="T1940" s="2" t="s">
        <v>13142</v>
      </c>
      <c r="U1940" s="2" t="s">
        <v>266</v>
      </c>
      <c r="V1940" s="2" t="s">
        <v>4740</v>
      </c>
      <c r="W1940" s="2" t="s">
        <v>240</v>
      </c>
      <c r="X1940" s="2" t="s">
        <v>83</v>
      </c>
      <c r="Y1940" s="2">
        <v>51.8</v>
      </c>
      <c r="Z1940" s="2">
        <v>0</v>
      </c>
      <c r="AA1940" s="2" t="s">
        <v>259</v>
      </c>
      <c r="AB1940" s="2" t="s">
        <v>13143</v>
      </c>
      <c r="AC1940" s="2">
        <v>2.88041710255371</v>
      </c>
      <c r="AD1940" s="2"/>
      <c r="AE1940" s="2">
        <v>0.33664181888648698</v>
      </c>
      <c r="AF1940" s="2">
        <v>5103.7569418061703</v>
      </c>
      <c r="AG1940" s="2">
        <v>2765.7594720973798</v>
      </c>
      <c r="AH1940" s="5">
        <v>1.84533651363971</v>
      </c>
      <c r="AI1940" s="5">
        <v>0.88388392863802701</v>
      </c>
      <c r="AJ1940" s="5" t="s">
        <v>139</v>
      </c>
      <c r="AK1940" s="2">
        <v>5.8471855035602104E-3</v>
      </c>
      <c r="AL1940" s="2">
        <v>0.128573112350507</v>
      </c>
      <c r="AM1940" s="2">
        <v>5551.50261627297</v>
      </c>
      <c r="AN1940" s="2">
        <v>7535.3258697330002</v>
      </c>
      <c r="AO1940" s="2">
        <v>4532.3905234648601</v>
      </c>
      <c r="AP1940" s="2">
        <v>3666.23120421676</v>
      </c>
      <c r="AQ1940" s="2">
        <v>4370.5619286448</v>
      </c>
      <c r="AR1940" s="2">
        <v>4966.52950850466</v>
      </c>
      <c r="AS1940" s="2">
        <v>4049.0491111998499</v>
      </c>
      <c r="AT1940" s="2">
        <v>2135.38837038154</v>
      </c>
      <c r="AU1940" s="2">
        <v>3815.2714881615598</v>
      </c>
      <c r="AV1940" s="2">
        <v>1748.5445271728499</v>
      </c>
      <c r="AW1940" s="2">
        <v>2372.43286640918</v>
      </c>
      <c r="AX1940" s="2">
        <v>2473.8704692592901</v>
      </c>
    </row>
    <row r="1941" spans="1:50" x14ac:dyDescent="0.25">
      <c r="A1941" s="2" t="s">
        <v>13144</v>
      </c>
      <c r="B1941" s="2">
        <v>391.18783649549101</v>
      </c>
      <c r="C1941" s="2">
        <v>9.6451499999999992</v>
      </c>
      <c r="D1941" s="2" t="s">
        <v>51</v>
      </c>
      <c r="E1941" s="2" t="s">
        <v>13145</v>
      </c>
      <c r="F1941" s="2">
        <v>267404</v>
      </c>
      <c r="G1941" s="3" t="str">
        <f>HYPERLINK("https://cloud.oebiotech.com/#/lm/network/267404", "https://cloud.oebiotech.com/#/lm/network/267404")</f>
        <v>https://cloud.oebiotech.com/#/lm/network/267404</v>
      </c>
      <c r="H1941" s="2"/>
      <c r="I1941" s="2">
        <v>45408</v>
      </c>
      <c r="J1941" s="2"/>
      <c r="K1941" s="2">
        <v>58713918</v>
      </c>
      <c r="L1941" s="2"/>
      <c r="M1941" s="2"/>
      <c r="N1941" s="2"/>
      <c r="O1941" s="2"/>
      <c r="P1941" s="2"/>
      <c r="Q1941" s="2"/>
      <c r="R1941" s="2" t="s">
        <v>13146</v>
      </c>
      <c r="S1941" s="2" t="s">
        <v>13147</v>
      </c>
      <c r="T1941" s="2" t="s">
        <v>13148</v>
      </c>
      <c r="U1941" s="2" t="s">
        <v>56</v>
      </c>
      <c r="V1941" s="2" t="s">
        <v>145</v>
      </c>
      <c r="W1941" s="2" t="s">
        <v>187</v>
      </c>
      <c r="X1941" s="2" t="s">
        <v>147</v>
      </c>
      <c r="Y1941" s="2">
        <v>38.5</v>
      </c>
      <c r="Z1941" s="2">
        <v>0</v>
      </c>
      <c r="AA1941" s="2" t="s">
        <v>786</v>
      </c>
      <c r="AB1941" s="2" t="s">
        <v>13149</v>
      </c>
      <c r="AC1941" s="2">
        <v>-0.38990003571832199</v>
      </c>
      <c r="AD1941" s="2"/>
      <c r="AE1941" s="2">
        <v>0.336453437086778</v>
      </c>
      <c r="AF1941" s="2">
        <v>3889.1850212793702</v>
      </c>
      <c r="AG1941" s="2">
        <v>1417.6459746850101</v>
      </c>
      <c r="AH1941" s="5">
        <v>2.743410619244</v>
      </c>
      <c r="AI1941" s="5">
        <v>1.4559705733386801</v>
      </c>
      <c r="AJ1941" s="5" t="s">
        <v>139</v>
      </c>
      <c r="AK1941" s="2">
        <v>7.2665378609132001E-3</v>
      </c>
      <c r="AL1941" s="2">
        <v>0.14428573672321601</v>
      </c>
      <c r="AM1941" s="2">
        <v>3383.5181064624398</v>
      </c>
      <c r="AN1941" s="2">
        <v>6854.2426679029304</v>
      </c>
      <c r="AO1941" s="2">
        <v>3655.7830718934001</v>
      </c>
      <c r="AP1941" s="2">
        <v>2146.7666353967602</v>
      </c>
      <c r="AQ1941" s="2">
        <v>2762.0014514024001</v>
      </c>
      <c r="AR1941" s="2">
        <v>4532.7981946182699</v>
      </c>
      <c r="AS1941" s="2">
        <v>1835.3791636319299</v>
      </c>
      <c r="AT1941" s="2">
        <v>1241.66381939808</v>
      </c>
      <c r="AU1941" s="2">
        <v>1870.5979781066601</v>
      </c>
      <c r="AV1941" s="2">
        <v>186.94244078066299</v>
      </c>
      <c r="AW1941" s="2">
        <v>1261.4296221611701</v>
      </c>
      <c r="AX1941" s="2">
        <v>2109.8628240315402</v>
      </c>
    </row>
    <row r="1942" spans="1:50" x14ac:dyDescent="0.25">
      <c r="A1942" s="2" t="s">
        <v>13150</v>
      </c>
      <c r="B1942" s="2">
        <v>250.062166071604</v>
      </c>
      <c r="C1942" s="2">
        <v>0.78368333333333295</v>
      </c>
      <c r="D1942" s="2" t="s">
        <v>51</v>
      </c>
      <c r="E1942" s="2" t="s">
        <v>13151</v>
      </c>
      <c r="F1942" s="2">
        <v>211517</v>
      </c>
      <c r="G1942" s="3" t="str">
        <f>HYPERLINK("https://cloud.oebiotech.com/#/lm/network/211517", "https://cloud.oebiotech.com/#/lm/network/211517")</f>
        <v>https://cloud.oebiotech.com/#/lm/network/211517</v>
      </c>
      <c r="H1942" s="2" t="s">
        <v>13152</v>
      </c>
      <c r="I1942" s="2"/>
      <c r="J1942" s="2"/>
      <c r="K1942" s="2"/>
      <c r="L1942" s="2"/>
      <c r="M1942" s="2"/>
      <c r="N1942" s="2"/>
      <c r="O1942" s="2"/>
      <c r="P1942" s="2"/>
      <c r="Q1942" s="2"/>
      <c r="R1942" s="2"/>
      <c r="S1942" s="2" t="s">
        <v>13153</v>
      </c>
      <c r="T1942" s="2" t="s">
        <v>13154</v>
      </c>
      <c r="U1942" s="2" t="s">
        <v>103</v>
      </c>
      <c r="V1942" s="2" t="s">
        <v>104</v>
      </c>
      <c r="W1942" s="2" t="s">
        <v>105</v>
      </c>
      <c r="X1942" s="2" t="s">
        <v>83</v>
      </c>
      <c r="Y1942" s="2">
        <v>43.4</v>
      </c>
      <c r="Z1942" s="2">
        <v>0</v>
      </c>
      <c r="AA1942" s="2" t="s">
        <v>122</v>
      </c>
      <c r="AB1942" s="2" t="s">
        <v>13155</v>
      </c>
      <c r="AC1942" s="2">
        <v>-0.70616300853893899</v>
      </c>
      <c r="AD1942" s="2"/>
      <c r="AE1942" s="2">
        <v>0.33622914438146401</v>
      </c>
      <c r="AF1942" s="2">
        <v>7653.1695979786</v>
      </c>
      <c r="AG1942" s="2">
        <v>4786.9936172383505</v>
      </c>
      <c r="AH1942" s="5">
        <v>1.59874238612287</v>
      </c>
      <c r="AI1942" s="5">
        <v>0.67693748840859902</v>
      </c>
      <c r="AJ1942" s="5" t="s">
        <v>139</v>
      </c>
      <c r="AK1942" s="2">
        <v>3.8854647854373897E-2</v>
      </c>
      <c r="AL1942" s="2">
        <v>0.28885336544489898</v>
      </c>
      <c r="AM1942" s="2">
        <v>11450.0784129645</v>
      </c>
      <c r="AN1942" s="2">
        <v>4801.4754785893601</v>
      </c>
      <c r="AO1942" s="2">
        <v>8091.6213403216798</v>
      </c>
      <c r="AP1942" s="2">
        <v>9397.5680922040392</v>
      </c>
      <c r="AQ1942" s="2">
        <v>4843.2327679645196</v>
      </c>
      <c r="AR1942" s="2">
        <v>7335.0414958275096</v>
      </c>
      <c r="AS1942" s="2">
        <v>3761.5824929650298</v>
      </c>
      <c r="AT1942" s="2">
        <v>4134.6223553822701</v>
      </c>
      <c r="AU1942" s="2">
        <v>6472.5595436773401</v>
      </c>
      <c r="AV1942" s="2">
        <v>2885.19604545632</v>
      </c>
      <c r="AW1942" s="2">
        <v>5992.0398091374</v>
      </c>
      <c r="AX1942" s="2">
        <v>5475.9614568117204</v>
      </c>
    </row>
    <row r="1943" spans="1:50" x14ac:dyDescent="0.25">
      <c r="A1943" s="2" t="s">
        <v>13156</v>
      </c>
      <c r="B1943" s="2">
        <v>526.24864672352703</v>
      </c>
      <c r="C1943" s="2">
        <v>6.5073166666666697</v>
      </c>
      <c r="D1943" s="2" t="s">
        <v>51</v>
      </c>
      <c r="E1943" s="2" t="s">
        <v>13157</v>
      </c>
      <c r="F1943" s="2">
        <v>3845</v>
      </c>
      <c r="G1943" s="3" t="str">
        <f>HYPERLINK("https://cloud.oebiotech.com/#/lm/network/3845", "https://cloud.oebiotech.com/#/lm/network/3845")</f>
        <v>https://cloud.oebiotech.com/#/lm/network/3845</v>
      </c>
      <c r="H1943" s="2"/>
      <c r="I1943" s="2">
        <v>36239</v>
      </c>
      <c r="J1943" s="2" t="s">
        <v>13158</v>
      </c>
      <c r="K1943" s="2">
        <v>5283123</v>
      </c>
      <c r="L1943" s="2" t="s">
        <v>13159</v>
      </c>
      <c r="M1943" s="2"/>
      <c r="N1943" s="2"/>
      <c r="O1943" s="2"/>
      <c r="P1943" s="2"/>
      <c r="Q1943" s="2"/>
      <c r="R1943" s="2"/>
      <c r="S1943" s="2" t="s">
        <v>13160</v>
      </c>
      <c r="T1943" s="2" t="s">
        <v>13161</v>
      </c>
      <c r="U1943" s="2" t="s">
        <v>56</v>
      </c>
      <c r="V1943" s="2" t="s">
        <v>145</v>
      </c>
      <c r="W1943" s="2" t="s">
        <v>187</v>
      </c>
      <c r="X1943" s="2" t="s">
        <v>147</v>
      </c>
      <c r="Y1943" s="2">
        <v>36.9</v>
      </c>
      <c r="Z1943" s="2">
        <v>0</v>
      </c>
      <c r="AA1943" s="2" t="s">
        <v>218</v>
      </c>
      <c r="AB1943" s="2" t="s">
        <v>13162</v>
      </c>
      <c r="AC1943" s="2">
        <v>1.319233016938</v>
      </c>
      <c r="AD1943" s="2"/>
      <c r="AE1943" s="2">
        <v>0.33605161105838099</v>
      </c>
      <c r="AF1943" s="2">
        <v>653.39885098071295</v>
      </c>
      <c r="AG1943" s="2">
        <v>6607.6946745577698</v>
      </c>
      <c r="AH1943" s="4">
        <v>9.8884540397509005E-2</v>
      </c>
      <c r="AI1943" s="4">
        <v>-3.33811120200793</v>
      </c>
      <c r="AJ1943" s="4" t="s">
        <v>62</v>
      </c>
      <c r="AK1943" s="2">
        <v>0.104872458600014</v>
      </c>
      <c r="AL1943" s="2">
        <v>0.41124688686148297</v>
      </c>
      <c r="AM1943" s="2">
        <v>2312.1889200078099</v>
      </c>
      <c r="AN1943" s="2">
        <v>804.47683699802599</v>
      </c>
      <c r="AO1943" s="2">
        <v>8.559877937157E-6</v>
      </c>
      <c r="AP1943" s="2">
        <v>182.87194976729</v>
      </c>
      <c r="AQ1943" s="2">
        <v>257.19469485371701</v>
      </c>
      <c r="AR1943" s="2">
        <v>363.660695697557</v>
      </c>
      <c r="AS1943" s="2">
        <v>4365.2887309716598</v>
      </c>
      <c r="AT1943" s="2">
        <v>22973.7862632818</v>
      </c>
      <c r="AU1943" s="2">
        <v>844.93875567497696</v>
      </c>
      <c r="AV1943" s="2">
        <v>4408.1937782502</v>
      </c>
      <c r="AW1943" s="2">
        <v>2855.36718870507</v>
      </c>
      <c r="AX1943" s="2">
        <v>4198.5933304629198</v>
      </c>
    </row>
    <row r="1944" spans="1:50" x14ac:dyDescent="0.25">
      <c r="A1944" s="2" t="s">
        <v>13163</v>
      </c>
      <c r="B1944" s="2">
        <v>377.15120659485598</v>
      </c>
      <c r="C1944" s="2">
        <v>1.3012999999999999</v>
      </c>
      <c r="D1944" s="2" t="s">
        <v>51</v>
      </c>
      <c r="E1944" s="2" t="s">
        <v>13164</v>
      </c>
      <c r="F1944" s="2">
        <v>82465</v>
      </c>
      <c r="G1944" s="3" t="str">
        <f>HYPERLINK("https://cloud.oebiotech.com/#/lm/network/82465", "https://cloud.oebiotech.com/#/lm/network/82465")</f>
        <v>https://cloud.oebiotech.com/#/lm/network/82465</v>
      </c>
      <c r="H1944" s="2" t="s">
        <v>13165</v>
      </c>
      <c r="I1944" s="2">
        <v>1259</v>
      </c>
      <c r="J1944" s="2"/>
      <c r="K1944" s="2">
        <v>5463984</v>
      </c>
      <c r="L1944" s="2"/>
      <c r="M1944" s="2"/>
      <c r="N1944" s="2"/>
      <c r="O1944" s="2">
        <v>88200</v>
      </c>
      <c r="P1944" s="2" t="s">
        <v>13166</v>
      </c>
      <c r="Q1944" s="2" t="s">
        <v>13167</v>
      </c>
      <c r="R1944" s="2" t="s">
        <v>13168</v>
      </c>
      <c r="S1944" s="2" t="s">
        <v>13169</v>
      </c>
      <c r="T1944" s="2" t="s">
        <v>13170</v>
      </c>
      <c r="U1944" s="2" t="s">
        <v>103</v>
      </c>
      <c r="V1944" s="2" t="s">
        <v>104</v>
      </c>
      <c r="W1944" s="2" t="s">
        <v>105</v>
      </c>
      <c r="X1944" s="2" t="s">
        <v>147</v>
      </c>
      <c r="Y1944" s="2">
        <v>45.3</v>
      </c>
      <c r="Z1944" s="2">
        <v>39.1</v>
      </c>
      <c r="AA1944" s="2" t="s">
        <v>379</v>
      </c>
      <c r="AB1944" s="2" t="s">
        <v>13171</v>
      </c>
      <c r="AC1944" s="2">
        <v>1.3273083226303</v>
      </c>
      <c r="AD1944" s="2"/>
      <c r="AE1944" s="2">
        <v>0.33593787441669898</v>
      </c>
      <c r="AF1944" s="2">
        <v>44388.871945225103</v>
      </c>
      <c r="AG1944" s="2">
        <v>50746.083415013898</v>
      </c>
      <c r="AH1944" s="4">
        <v>0.87472508138612404</v>
      </c>
      <c r="AI1944" s="4">
        <v>-0.193098433419059</v>
      </c>
      <c r="AJ1944" s="4" t="s">
        <v>62</v>
      </c>
      <c r="AK1944" s="2">
        <v>0.40866133836656199</v>
      </c>
      <c r="AL1944" s="2">
        <v>0.67432528234638101</v>
      </c>
      <c r="AM1944" s="2">
        <v>44770.175401842702</v>
      </c>
      <c r="AN1944" s="2">
        <v>50914.3667830657</v>
      </c>
      <c r="AO1944" s="2">
        <v>33569.2912944169</v>
      </c>
      <c r="AP1944" s="2">
        <v>49250.724715284203</v>
      </c>
      <c r="AQ1944" s="2">
        <v>52161.920554312499</v>
      </c>
      <c r="AR1944" s="2">
        <v>35666.752922428401</v>
      </c>
      <c r="AS1944" s="2">
        <v>38448.822332837699</v>
      </c>
      <c r="AT1944" s="2">
        <v>26797.904284438901</v>
      </c>
      <c r="AU1944" s="2">
        <v>68909.608651592993</v>
      </c>
      <c r="AV1944" s="2">
        <v>59724.283504563296</v>
      </c>
      <c r="AW1944" s="2">
        <v>47128.460592832103</v>
      </c>
      <c r="AX1944" s="2">
        <v>63467.4211238184</v>
      </c>
    </row>
    <row r="1945" spans="1:50" x14ac:dyDescent="0.25">
      <c r="A1945" s="2" t="s">
        <v>13172</v>
      </c>
      <c r="B1945" s="2">
        <v>428.20553233913603</v>
      </c>
      <c r="C1945" s="2">
        <v>11.068</v>
      </c>
      <c r="D1945" s="2" t="s">
        <v>51</v>
      </c>
      <c r="E1945" s="2" t="s">
        <v>13173</v>
      </c>
      <c r="F1945" s="2">
        <v>19856</v>
      </c>
      <c r="G1945" s="3" t="str">
        <f>HYPERLINK("https://cloud.oebiotech.com/#/lm/network/19856", "https://cloud.oebiotech.com/#/lm/network/19856")</f>
        <v>https://cloud.oebiotech.com/#/lm/network/19856</v>
      </c>
      <c r="H1945" s="2"/>
      <c r="I1945" s="2">
        <v>40332</v>
      </c>
      <c r="J1945" s="2" t="s">
        <v>13174</v>
      </c>
      <c r="K1945" s="2">
        <v>14420997</v>
      </c>
      <c r="L1945" s="2"/>
      <c r="M1945" s="2"/>
      <c r="N1945" s="2"/>
      <c r="O1945" s="2">
        <v>143866</v>
      </c>
      <c r="P1945" s="2"/>
      <c r="Q1945" s="2"/>
      <c r="R1945" s="2"/>
      <c r="S1945" s="2" t="s">
        <v>13175</v>
      </c>
      <c r="T1945" s="2" t="s">
        <v>13176</v>
      </c>
      <c r="U1945" s="2" t="s">
        <v>56</v>
      </c>
      <c r="V1945" s="2" t="s">
        <v>57</v>
      </c>
      <c r="W1945" s="2" t="s">
        <v>58</v>
      </c>
      <c r="X1945" s="2" t="s">
        <v>147</v>
      </c>
      <c r="Y1945" s="2">
        <v>40.799999999999997</v>
      </c>
      <c r="Z1945" s="2">
        <v>10.3</v>
      </c>
      <c r="AA1945" s="2" t="s">
        <v>218</v>
      </c>
      <c r="AB1945" s="2" t="s">
        <v>13177</v>
      </c>
      <c r="AC1945" s="2">
        <v>0.105444329390197</v>
      </c>
      <c r="AD1945" s="2"/>
      <c r="AE1945" s="2">
        <v>0.33593490229195699</v>
      </c>
      <c r="AF1945" s="2">
        <v>17062.628702161201</v>
      </c>
      <c r="AG1945" s="2">
        <v>12391.641337842701</v>
      </c>
      <c r="AH1945" s="5">
        <v>1.3769466236933301</v>
      </c>
      <c r="AI1945" s="5">
        <v>0.46147263556187701</v>
      </c>
      <c r="AJ1945" s="5" t="s">
        <v>139</v>
      </c>
      <c r="AK1945" s="2">
        <v>0.40828211587851698</v>
      </c>
      <c r="AL1945" s="2">
        <v>0.67407422746683998</v>
      </c>
      <c r="AM1945" s="2">
        <v>41087.703498932802</v>
      </c>
      <c r="AN1945" s="2">
        <v>10287.701734337301</v>
      </c>
      <c r="AO1945" s="2">
        <v>7664.8963617367699</v>
      </c>
      <c r="AP1945" s="2">
        <v>15772.1969458723</v>
      </c>
      <c r="AQ1945" s="2">
        <v>10832.5207060996</v>
      </c>
      <c r="AR1945" s="2">
        <v>16730.752965988198</v>
      </c>
      <c r="AS1945" s="2">
        <v>8146.9930212405698</v>
      </c>
      <c r="AT1945" s="2">
        <v>7110.0091193051103</v>
      </c>
      <c r="AU1945" s="2">
        <v>13662.1124599988</v>
      </c>
      <c r="AV1945" s="2">
        <v>17446.988731096601</v>
      </c>
      <c r="AW1945" s="2">
        <v>18908.358379644898</v>
      </c>
      <c r="AX1945" s="2">
        <v>9075.3863157699307</v>
      </c>
    </row>
    <row r="1946" spans="1:50" x14ac:dyDescent="0.25">
      <c r="A1946" s="2" t="s">
        <v>13178</v>
      </c>
      <c r="B1946" s="2">
        <v>319.03297665203399</v>
      </c>
      <c r="C1946" s="2">
        <v>7.2455166666666697</v>
      </c>
      <c r="D1946" s="2" t="s">
        <v>51</v>
      </c>
      <c r="E1946" s="2" t="s">
        <v>13179</v>
      </c>
      <c r="F1946" s="2">
        <v>59721</v>
      </c>
      <c r="G1946" s="3" t="str">
        <f>HYPERLINK("https://cloud.oebiotech.com/#/lm/network/59721", "https://cloud.oebiotech.com/#/lm/network/59721")</f>
        <v>https://cloud.oebiotech.com/#/lm/network/59721</v>
      </c>
      <c r="H1946" s="2" t="s">
        <v>13180</v>
      </c>
      <c r="I1946" s="2">
        <v>91104</v>
      </c>
      <c r="J1946" s="2"/>
      <c r="K1946" s="2">
        <v>539170</v>
      </c>
      <c r="L1946" s="2"/>
      <c r="M1946" s="2"/>
      <c r="N1946" s="2"/>
      <c r="O1946" s="2"/>
      <c r="P1946" s="2"/>
      <c r="Q1946" s="2"/>
      <c r="R1946" s="2" t="s">
        <v>13181</v>
      </c>
      <c r="S1946" s="2" t="s">
        <v>13182</v>
      </c>
      <c r="T1946" s="2" t="s">
        <v>13183</v>
      </c>
      <c r="U1946" s="2" t="s">
        <v>331</v>
      </c>
      <c r="V1946" s="2" t="s">
        <v>332</v>
      </c>
      <c r="W1946" s="2" t="s">
        <v>1207</v>
      </c>
      <c r="X1946" s="2" t="s">
        <v>147</v>
      </c>
      <c r="Y1946" s="2">
        <v>38.1</v>
      </c>
      <c r="Z1946" s="2">
        <v>0</v>
      </c>
      <c r="AA1946" s="2" t="s">
        <v>478</v>
      </c>
      <c r="AB1946" s="2" t="s">
        <v>13184</v>
      </c>
      <c r="AC1946" s="2">
        <v>4.4458778723243899</v>
      </c>
      <c r="AD1946" s="2"/>
      <c r="AE1946" s="2">
        <v>0.33564089094671501</v>
      </c>
      <c r="AF1946" s="2">
        <v>4726.9375529212202</v>
      </c>
      <c r="AG1946" s="2">
        <v>8864.8962881651605</v>
      </c>
      <c r="AH1946" s="4">
        <v>0.53321972409669305</v>
      </c>
      <c r="AI1946" s="4">
        <v>-0.90719794737461901</v>
      </c>
      <c r="AJ1946" s="4" t="s">
        <v>62</v>
      </c>
      <c r="AK1946" s="2">
        <v>0.17496369888805899</v>
      </c>
      <c r="AL1946" s="2">
        <v>0.49582791422358302</v>
      </c>
      <c r="AM1946" s="2">
        <v>8107.4546286080304</v>
      </c>
      <c r="AN1946" s="2">
        <v>3406.2345317702998</v>
      </c>
      <c r="AO1946" s="2">
        <v>2489.9257581008601</v>
      </c>
      <c r="AP1946" s="2">
        <v>7773.2615331142797</v>
      </c>
      <c r="AQ1946" s="2">
        <v>2401.2142035540501</v>
      </c>
      <c r="AR1946" s="2">
        <v>4183.5346623798096</v>
      </c>
      <c r="AS1946" s="2">
        <v>19750.627540740399</v>
      </c>
      <c r="AT1946" s="2">
        <v>3772.16164673295</v>
      </c>
      <c r="AU1946" s="2">
        <v>9342.5422254545192</v>
      </c>
      <c r="AV1946" s="2">
        <v>5848.2580765061302</v>
      </c>
      <c r="AW1946" s="2">
        <v>12174.7086971189</v>
      </c>
      <c r="AX1946" s="2">
        <v>2301.0795424380599</v>
      </c>
    </row>
    <row r="1947" spans="1:50" x14ac:dyDescent="0.25">
      <c r="A1947" s="2" t="s">
        <v>13185</v>
      </c>
      <c r="B1947" s="2">
        <v>230.140493439805</v>
      </c>
      <c r="C1947" s="2">
        <v>14.5626</v>
      </c>
      <c r="D1947" s="2" t="s">
        <v>51</v>
      </c>
      <c r="E1947" s="2" t="s">
        <v>13186</v>
      </c>
      <c r="F1947" s="2">
        <v>210171</v>
      </c>
      <c r="G1947" s="3" t="str">
        <f>HYPERLINK("https://cloud.oebiotech.com/#/lm/network/210171", "https://cloud.oebiotech.com/#/lm/network/210171")</f>
        <v>https://cloud.oebiotech.com/#/lm/network/210171</v>
      </c>
      <c r="H1947" s="2" t="s">
        <v>13187</v>
      </c>
      <c r="I1947" s="2"/>
      <c r="J1947" s="2"/>
      <c r="K1947" s="2"/>
      <c r="L1947" s="2"/>
      <c r="M1947" s="2"/>
      <c r="N1947" s="2"/>
      <c r="O1947" s="2"/>
      <c r="P1947" s="2"/>
      <c r="Q1947" s="2"/>
      <c r="R1947" s="2"/>
      <c r="S1947" s="2" t="s">
        <v>13188</v>
      </c>
      <c r="T1947" s="2" t="s">
        <v>13189</v>
      </c>
      <c r="U1947" s="2" t="s">
        <v>266</v>
      </c>
      <c r="V1947" s="2" t="s">
        <v>13190</v>
      </c>
      <c r="W1947" s="2" t="s">
        <v>240</v>
      </c>
      <c r="X1947" s="2" t="s">
        <v>147</v>
      </c>
      <c r="Y1947" s="2">
        <v>38.9</v>
      </c>
      <c r="Z1947" s="2">
        <v>5.09</v>
      </c>
      <c r="AA1947" s="2" t="s">
        <v>156</v>
      </c>
      <c r="AB1947" s="2" t="s">
        <v>13191</v>
      </c>
      <c r="AC1947" s="2">
        <v>1.9078042406083999</v>
      </c>
      <c r="AD1947" s="2"/>
      <c r="AE1947" s="2">
        <v>0.33559263541865503</v>
      </c>
      <c r="AF1947" s="2">
        <v>41492.186360663698</v>
      </c>
      <c r="AG1947" s="2">
        <v>45929.562625074999</v>
      </c>
      <c r="AH1947" s="4">
        <v>0.90338736075860804</v>
      </c>
      <c r="AI1947" s="4">
        <v>-0.146583365635329</v>
      </c>
      <c r="AJ1947" s="4" t="s">
        <v>62</v>
      </c>
      <c r="AK1947" s="2">
        <v>0.18638672187795399</v>
      </c>
      <c r="AL1947" s="2">
        <v>0.51040020334889302</v>
      </c>
      <c r="AM1947" s="2">
        <v>35686.895560208301</v>
      </c>
      <c r="AN1947" s="2">
        <v>44675.2450401393</v>
      </c>
      <c r="AO1947" s="2">
        <v>41678.720973798103</v>
      </c>
      <c r="AP1947" s="2">
        <v>43627.283990328098</v>
      </c>
      <c r="AQ1947" s="2">
        <v>47502.946897592898</v>
      </c>
      <c r="AR1947" s="2">
        <v>35782.025701915401</v>
      </c>
      <c r="AS1947" s="2">
        <v>49562.968256080698</v>
      </c>
      <c r="AT1947" s="2">
        <v>54218.816640149496</v>
      </c>
      <c r="AU1947" s="2">
        <v>38450.624904014003</v>
      </c>
      <c r="AV1947" s="2">
        <v>42082.280917558397</v>
      </c>
      <c r="AW1947" s="2">
        <v>42204.128280483797</v>
      </c>
      <c r="AX1947" s="2">
        <v>49058.556752163502</v>
      </c>
    </row>
    <row r="1948" spans="1:50" x14ac:dyDescent="0.25">
      <c r="A1948" s="2" t="s">
        <v>13192</v>
      </c>
      <c r="B1948" s="2">
        <v>257.13649542133498</v>
      </c>
      <c r="C1948" s="2">
        <v>12.85835</v>
      </c>
      <c r="D1948" s="2" t="s">
        <v>51</v>
      </c>
      <c r="E1948" s="2" t="s">
        <v>13193</v>
      </c>
      <c r="F1948" s="2">
        <v>46838</v>
      </c>
      <c r="G1948" s="3" t="str">
        <f>HYPERLINK("https://cloud.oebiotech.com/#/lm/network/46838", "https://cloud.oebiotech.com/#/lm/network/46838")</f>
        <v>https://cloud.oebiotech.com/#/lm/network/46838</v>
      </c>
      <c r="H1948" s="2" t="s">
        <v>13194</v>
      </c>
      <c r="I1948" s="2">
        <v>5106</v>
      </c>
      <c r="J1948" s="2"/>
      <c r="K1948" s="2">
        <v>119055</v>
      </c>
      <c r="L1948" s="2" t="s">
        <v>13195</v>
      </c>
      <c r="M1948" s="2" t="s">
        <v>13196</v>
      </c>
      <c r="N1948" s="2" t="s">
        <v>13197</v>
      </c>
      <c r="O1948" s="2">
        <v>43029</v>
      </c>
      <c r="P1948" s="2"/>
      <c r="Q1948" s="2"/>
      <c r="R1948" s="2" t="s">
        <v>13198</v>
      </c>
      <c r="S1948" s="2" t="s">
        <v>13199</v>
      </c>
      <c r="T1948" s="2" t="s">
        <v>13200</v>
      </c>
      <c r="U1948" s="2" t="s">
        <v>266</v>
      </c>
      <c r="V1948" s="2" t="s">
        <v>13201</v>
      </c>
      <c r="W1948" s="2" t="s">
        <v>13202</v>
      </c>
      <c r="X1948" s="2" t="s">
        <v>147</v>
      </c>
      <c r="Y1948" s="2">
        <v>38.700000000000003</v>
      </c>
      <c r="Z1948" s="2">
        <v>0</v>
      </c>
      <c r="AA1948" s="2" t="s">
        <v>512</v>
      </c>
      <c r="AB1948" s="2" t="s">
        <v>13203</v>
      </c>
      <c r="AC1948" s="2">
        <v>3.4737990627303401</v>
      </c>
      <c r="AD1948" s="2"/>
      <c r="AE1948" s="2">
        <v>0.33539198952099403</v>
      </c>
      <c r="AF1948" s="2">
        <v>4035.4158432007498</v>
      </c>
      <c r="AG1948" s="2">
        <v>1780.76387679501</v>
      </c>
      <c r="AH1948" s="5">
        <v>2.2661150620730401</v>
      </c>
      <c r="AI1948" s="5">
        <v>1.18022111591032</v>
      </c>
      <c r="AJ1948" s="5" t="s">
        <v>139</v>
      </c>
      <c r="AK1948" s="2">
        <v>4.3104410343411501E-4</v>
      </c>
      <c r="AL1948" s="2">
        <v>5.7808428828157503E-2</v>
      </c>
      <c r="AM1948" s="2">
        <v>4218.3801603572701</v>
      </c>
      <c r="AN1948" s="2">
        <v>5774.26081327066</v>
      </c>
      <c r="AO1948" s="2">
        <v>3901.74232284042</v>
      </c>
      <c r="AP1948" s="2">
        <v>4196.1356501315804</v>
      </c>
      <c r="AQ1948" s="2">
        <v>3175.4849727649698</v>
      </c>
      <c r="AR1948" s="2">
        <v>2946.4911398395898</v>
      </c>
      <c r="AS1948" s="2">
        <v>1669.7270505532999</v>
      </c>
      <c r="AT1948" s="2">
        <v>1773.25537036476</v>
      </c>
      <c r="AU1948" s="2">
        <v>1196.03038304816</v>
      </c>
      <c r="AV1948" s="2">
        <v>1728.46122125893</v>
      </c>
      <c r="AW1948" s="2">
        <v>1958.48062063219</v>
      </c>
      <c r="AX1948" s="2">
        <v>2358.62861491273</v>
      </c>
    </row>
    <row r="1949" spans="1:50" x14ac:dyDescent="0.25">
      <c r="A1949" s="2" t="s">
        <v>13204</v>
      </c>
      <c r="B1949" s="2">
        <v>132.10225382124099</v>
      </c>
      <c r="C1949" s="2">
        <v>0.80310000000000004</v>
      </c>
      <c r="D1949" s="2" t="s">
        <v>51</v>
      </c>
      <c r="E1949" s="2" t="s">
        <v>13205</v>
      </c>
      <c r="F1949" s="2">
        <v>278879</v>
      </c>
      <c r="G1949" s="3" t="str">
        <f>HYPERLINK("https://cloud.oebiotech.com/#/lm/network/278879", "https://cloud.oebiotech.com/#/lm/network/278879")</f>
        <v>https://cloud.oebiotech.com/#/lm/network/278879</v>
      </c>
      <c r="H1949" s="2"/>
      <c r="I1949" s="2">
        <v>71280</v>
      </c>
      <c r="J1949" s="2"/>
      <c r="K1949" s="2">
        <v>74151</v>
      </c>
      <c r="L1949" s="2" t="s">
        <v>13206</v>
      </c>
      <c r="M1949" s="2"/>
      <c r="N1949" s="2"/>
      <c r="O1949" s="2"/>
      <c r="P1949" s="2"/>
      <c r="Q1949" s="2"/>
      <c r="R1949" s="2"/>
      <c r="S1949" s="2" t="s">
        <v>13207</v>
      </c>
      <c r="T1949" s="2" t="s">
        <v>13208</v>
      </c>
      <c r="U1949" s="2" t="s">
        <v>103</v>
      </c>
      <c r="V1949" s="2" t="s">
        <v>104</v>
      </c>
      <c r="W1949" s="2" t="s">
        <v>105</v>
      </c>
      <c r="X1949" s="2" t="s">
        <v>69</v>
      </c>
      <c r="Y1949" s="2">
        <v>54.2</v>
      </c>
      <c r="Z1949" s="2">
        <v>70.400000000000006</v>
      </c>
      <c r="AA1949" s="2" t="s">
        <v>259</v>
      </c>
      <c r="AB1949" s="2" t="s">
        <v>5212</v>
      </c>
      <c r="AC1949" s="2">
        <v>2.6601273762947102</v>
      </c>
      <c r="AD1949" s="2"/>
      <c r="AE1949" s="2">
        <v>0.335156960329766</v>
      </c>
      <c r="AF1949" s="2">
        <v>2741392.6033986202</v>
      </c>
      <c r="AG1949" s="2">
        <v>2704999.89034604</v>
      </c>
      <c r="AH1949" s="5">
        <v>1.013453868587</v>
      </c>
      <c r="AI1949" s="5">
        <v>1.9280420254774298E-2</v>
      </c>
      <c r="AJ1949" s="5" t="s">
        <v>139</v>
      </c>
      <c r="AK1949" s="2">
        <v>0.93193348685453603</v>
      </c>
      <c r="AL1949" s="2">
        <v>0.97061347617365101</v>
      </c>
      <c r="AM1949" s="2">
        <v>3288646.2520139101</v>
      </c>
      <c r="AN1949" s="2">
        <v>2584134.1775342999</v>
      </c>
      <c r="AO1949" s="2">
        <v>2920309.7974388702</v>
      </c>
      <c r="AP1949" s="2">
        <v>3469097.2661264301</v>
      </c>
      <c r="AQ1949" s="2">
        <v>2487327.5476156501</v>
      </c>
      <c r="AR1949" s="2">
        <v>1698840.57966253</v>
      </c>
      <c r="AS1949" s="2">
        <v>1582882.1653554901</v>
      </c>
      <c r="AT1949" s="2">
        <v>1967156.5708838501</v>
      </c>
      <c r="AU1949" s="2">
        <v>3116267.7250147699</v>
      </c>
      <c r="AV1949" s="2">
        <v>2786456.6006644</v>
      </c>
      <c r="AW1949" s="2">
        <v>3051008.9614056698</v>
      </c>
      <c r="AX1949" s="2">
        <v>3726227.31875207</v>
      </c>
    </row>
    <row r="1950" spans="1:50" x14ac:dyDescent="0.25">
      <c r="A1950" s="2" t="s">
        <v>13209</v>
      </c>
      <c r="B1950" s="2">
        <v>164.930388164628</v>
      </c>
      <c r="C1950" s="2">
        <v>0.68110000000000004</v>
      </c>
      <c r="D1950" s="2" t="s">
        <v>51</v>
      </c>
      <c r="E1950" s="2" t="s">
        <v>13210</v>
      </c>
      <c r="F1950" s="2">
        <v>256299</v>
      </c>
      <c r="G1950" s="3" t="str">
        <f>HYPERLINK("https://cloud.oebiotech.com/#/lm/network/256299", "https://cloud.oebiotech.com/#/lm/network/256299")</f>
        <v>https://cloud.oebiotech.com/#/lm/network/256299</v>
      </c>
      <c r="H1950" s="2" t="s">
        <v>13211</v>
      </c>
      <c r="I1950" s="2"/>
      <c r="J1950" s="2"/>
      <c r="K1950" s="2">
        <v>24203</v>
      </c>
      <c r="L1950" s="2" t="s">
        <v>13212</v>
      </c>
      <c r="M1950" s="2"/>
      <c r="N1950" s="2"/>
      <c r="O1950" s="2">
        <v>34683</v>
      </c>
      <c r="P1950" s="2"/>
      <c r="Q1950" s="2"/>
      <c r="R1950" s="2"/>
      <c r="S1950" s="2" t="s">
        <v>13213</v>
      </c>
      <c r="T1950" s="2" t="s">
        <v>13214</v>
      </c>
      <c r="U1950" s="2" t="s">
        <v>13215</v>
      </c>
      <c r="V1950" s="2" t="s">
        <v>13216</v>
      </c>
      <c r="W1950" s="2" t="s">
        <v>13217</v>
      </c>
      <c r="X1950" s="2" t="s">
        <v>147</v>
      </c>
      <c r="Y1950" s="2">
        <v>39.200000000000003</v>
      </c>
      <c r="Z1950" s="2">
        <v>0</v>
      </c>
      <c r="AA1950" s="2" t="s">
        <v>1123</v>
      </c>
      <c r="AB1950" s="2" t="s">
        <v>13218</v>
      </c>
      <c r="AC1950" s="2">
        <v>2.7038213250781999</v>
      </c>
      <c r="AD1950" s="2"/>
      <c r="AE1950" s="2">
        <v>0.33513587969773001</v>
      </c>
      <c r="AF1950" s="2">
        <v>24771.029645391802</v>
      </c>
      <c r="AG1950" s="2">
        <v>23241.584264369802</v>
      </c>
      <c r="AH1950" s="5">
        <v>1.06580641679262</v>
      </c>
      <c r="AI1950" s="5">
        <v>9.1945424124476705E-2</v>
      </c>
      <c r="AJ1950" s="5" t="s">
        <v>139</v>
      </c>
      <c r="AK1950" s="2">
        <v>0.95618991824386701</v>
      </c>
      <c r="AL1950" s="2">
        <v>0.98216255097125205</v>
      </c>
      <c r="AM1950" s="2">
        <v>122120.986758085</v>
      </c>
      <c r="AN1950" s="2">
        <v>8.559877937157E-6</v>
      </c>
      <c r="AO1950" s="2">
        <v>102.407124054623</v>
      </c>
      <c r="AP1950" s="2">
        <v>22428.5584538597</v>
      </c>
      <c r="AQ1950" s="2">
        <v>1945.2102269659599</v>
      </c>
      <c r="AR1950" s="2">
        <v>2029.0153008254899</v>
      </c>
      <c r="AS1950" s="2">
        <v>4911.2248509089004</v>
      </c>
      <c r="AT1950" s="2">
        <v>2884.6614725936702</v>
      </c>
      <c r="AU1950" s="2">
        <v>116098.68886998401</v>
      </c>
      <c r="AV1950" s="2">
        <v>4388.3063732493401</v>
      </c>
      <c r="AW1950" s="2">
        <v>2209.1435194620599</v>
      </c>
      <c r="AX1950" s="2">
        <v>8957.4805000209508</v>
      </c>
    </row>
    <row r="1951" spans="1:50" x14ac:dyDescent="0.25">
      <c r="A1951" s="2" t="s">
        <v>13219</v>
      </c>
      <c r="B1951" s="2">
        <v>409.223776508051</v>
      </c>
      <c r="C1951" s="2">
        <v>6.2012166666666699</v>
      </c>
      <c r="D1951" s="2" t="s">
        <v>51</v>
      </c>
      <c r="E1951" s="2" t="s">
        <v>13220</v>
      </c>
      <c r="F1951" s="2">
        <v>201017</v>
      </c>
      <c r="G1951" s="3" t="str">
        <f>HYPERLINK("https://cloud.oebiotech.com/#/lm/network/201017", "https://cloud.oebiotech.com/#/lm/network/201017")</f>
        <v>https://cloud.oebiotech.com/#/lm/network/201017</v>
      </c>
      <c r="H1951" s="2" t="s">
        <v>13221</v>
      </c>
      <c r="I1951" s="2"/>
      <c r="J1951" s="2"/>
      <c r="K1951" s="2">
        <v>536800</v>
      </c>
      <c r="L1951" s="2"/>
      <c r="M1951" s="2"/>
      <c r="N1951" s="2"/>
      <c r="O1951" s="2"/>
      <c r="P1951" s="2"/>
      <c r="Q1951" s="2"/>
      <c r="R1951" s="2"/>
      <c r="S1951" s="2" t="s">
        <v>13222</v>
      </c>
      <c r="T1951" s="2" t="s">
        <v>13223</v>
      </c>
      <c r="U1951" s="2" t="s">
        <v>56</v>
      </c>
      <c r="V1951" s="2" t="s">
        <v>283</v>
      </c>
      <c r="W1951" s="2" t="s">
        <v>492</v>
      </c>
      <c r="X1951" s="2" t="s">
        <v>147</v>
      </c>
      <c r="Y1951" s="2">
        <v>43.3</v>
      </c>
      <c r="Z1951" s="2">
        <v>25.6</v>
      </c>
      <c r="AA1951" s="2" t="s">
        <v>218</v>
      </c>
      <c r="AB1951" s="2" t="s">
        <v>4492</v>
      </c>
      <c r="AC1951" s="2">
        <v>1.6459991848298501</v>
      </c>
      <c r="AD1951" s="2"/>
      <c r="AE1951" s="2">
        <v>0.33498008909245902</v>
      </c>
      <c r="AF1951" s="2">
        <v>48732.8565186341</v>
      </c>
      <c r="AG1951" s="2">
        <v>43258.9576904965</v>
      </c>
      <c r="AH1951" s="5">
        <v>1.12653792694918</v>
      </c>
      <c r="AI1951" s="5">
        <v>0.17189588534467801</v>
      </c>
      <c r="AJ1951" s="5" t="s">
        <v>139</v>
      </c>
      <c r="AK1951" s="2">
        <v>0.61112064854915804</v>
      </c>
      <c r="AL1951" s="2">
        <v>0.80562509339130595</v>
      </c>
      <c r="AM1951" s="2">
        <v>93219.041879569893</v>
      </c>
      <c r="AN1951" s="2">
        <v>53939.695072189497</v>
      </c>
      <c r="AO1951" s="2">
        <v>31529.5283298705</v>
      </c>
      <c r="AP1951" s="2">
        <v>42224.7996951557</v>
      </c>
      <c r="AQ1951" s="2">
        <v>29402.924362874001</v>
      </c>
      <c r="AR1951" s="2">
        <v>42081.149772145101</v>
      </c>
      <c r="AS1951" s="2">
        <v>39506.0463617227</v>
      </c>
      <c r="AT1951" s="2">
        <v>32816.693433327899</v>
      </c>
      <c r="AU1951" s="2">
        <v>31701.641775350501</v>
      </c>
      <c r="AV1951" s="2">
        <v>51374.393305315898</v>
      </c>
      <c r="AW1951" s="2">
        <v>48707.779155173499</v>
      </c>
      <c r="AX1951" s="2">
        <v>55447.1921120884</v>
      </c>
    </row>
    <row r="1952" spans="1:50" x14ac:dyDescent="0.25">
      <c r="A1952" s="2" t="s">
        <v>13224</v>
      </c>
      <c r="B1952" s="2">
        <v>126.12815554942399</v>
      </c>
      <c r="C1952" s="2">
        <v>4.8935333333333304</v>
      </c>
      <c r="D1952" s="2" t="s">
        <v>51</v>
      </c>
      <c r="E1952" s="2" t="s">
        <v>13225</v>
      </c>
      <c r="F1952" s="2">
        <v>210667</v>
      </c>
      <c r="G1952" s="3" t="str">
        <f>HYPERLINK("https://cloud.oebiotech.com/#/lm/network/210667", "https://cloud.oebiotech.com/#/lm/network/210667")</f>
        <v>https://cloud.oebiotech.com/#/lm/network/210667</v>
      </c>
      <c r="H1952" s="2" t="s">
        <v>13226</v>
      </c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 t="s">
        <v>13227</v>
      </c>
      <c r="T1952" s="2" t="s">
        <v>13228</v>
      </c>
      <c r="U1952" s="2" t="s">
        <v>266</v>
      </c>
      <c r="V1952" s="2" t="s">
        <v>2432</v>
      </c>
      <c r="W1952" s="2" t="s">
        <v>240</v>
      </c>
      <c r="X1952" s="2" t="s">
        <v>147</v>
      </c>
      <c r="Y1952" s="2">
        <v>41.6</v>
      </c>
      <c r="Z1952" s="2">
        <v>14.1</v>
      </c>
      <c r="AA1952" s="2" t="s">
        <v>156</v>
      </c>
      <c r="AB1952" s="2" t="s">
        <v>13229</v>
      </c>
      <c r="AC1952" s="2">
        <v>3.0016546492489899</v>
      </c>
      <c r="AD1952" s="2"/>
      <c r="AE1952" s="2">
        <v>0.33479376797201499</v>
      </c>
      <c r="AF1952" s="2">
        <v>6922.6598308566799</v>
      </c>
      <c r="AG1952" s="2">
        <v>13678.550979203599</v>
      </c>
      <c r="AH1952" s="4">
        <v>0.50609599228614699</v>
      </c>
      <c r="AI1952" s="4">
        <v>-0.9825170450256</v>
      </c>
      <c r="AJ1952" s="4" t="s">
        <v>62</v>
      </c>
      <c r="AK1952" s="2">
        <v>0.50684100883707806</v>
      </c>
      <c r="AL1952" s="2">
        <v>0.74196312845079004</v>
      </c>
      <c r="AM1952" s="2">
        <v>17910.467317753701</v>
      </c>
      <c r="AN1952" s="2">
        <v>670.36916503349596</v>
      </c>
      <c r="AO1952" s="2">
        <v>552.19763681710901</v>
      </c>
      <c r="AP1952" s="2">
        <v>21508.542517398499</v>
      </c>
      <c r="AQ1952" s="2">
        <v>525.41519302879306</v>
      </c>
      <c r="AR1952" s="2">
        <v>368.96715510849998</v>
      </c>
      <c r="AS1952" s="2">
        <v>11881.444253702901</v>
      </c>
      <c r="AT1952" s="2">
        <v>619.86894878729004</v>
      </c>
      <c r="AU1952" s="2">
        <v>375.76157825750698</v>
      </c>
      <c r="AV1952" s="2">
        <v>370.999850527653</v>
      </c>
      <c r="AW1952" s="2">
        <v>11999.461580852399</v>
      </c>
      <c r="AX1952" s="2">
        <v>56823.769663093699</v>
      </c>
    </row>
    <row r="1953" spans="1:50" x14ac:dyDescent="0.25">
      <c r="A1953" s="2" t="s">
        <v>13230</v>
      </c>
      <c r="B1953" s="2">
        <v>511.29142583732499</v>
      </c>
      <c r="C1953" s="2">
        <v>7.21756666666667</v>
      </c>
      <c r="D1953" s="2" t="s">
        <v>51</v>
      </c>
      <c r="E1953" s="2" t="s">
        <v>13231</v>
      </c>
      <c r="F1953" s="2">
        <v>202603</v>
      </c>
      <c r="G1953" s="3" t="str">
        <f>HYPERLINK("https://cloud.oebiotech.com/#/lm/network/202603", "https://cloud.oebiotech.com/#/lm/network/202603")</f>
        <v>https://cloud.oebiotech.com/#/lm/network/202603</v>
      </c>
      <c r="H1953" s="2" t="s">
        <v>13232</v>
      </c>
      <c r="I1953" s="2"/>
      <c r="J1953" s="2"/>
      <c r="K1953" s="2">
        <v>74934816</v>
      </c>
      <c r="L1953" s="2"/>
      <c r="M1953" s="2"/>
      <c r="N1953" s="2"/>
      <c r="O1953" s="2"/>
      <c r="P1953" s="2"/>
      <c r="Q1953" s="2"/>
      <c r="R1953" s="2"/>
      <c r="S1953" s="2" t="s">
        <v>13233</v>
      </c>
      <c r="T1953" s="2" t="s">
        <v>13234</v>
      </c>
      <c r="U1953" s="2" t="s">
        <v>56</v>
      </c>
      <c r="V1953" s="2" t="s">
        <v>283</v>
      </c>
      <c r="W1953" s="2" t="s">
        <v>3462</v>
      </c>
      <c r="X1953" s="2" t="s">
        <v>83</v>
      </c>
      <c r="Y1953" s="2">
        <v>45.7</v>
      </c>
      <c r="Z1953" s="2">
        <v>24.3</v>
      </c>
      <c r="AA1953" s="2" t="s">
        <v>163</v>
      </c>
      <c r="AB1953" s="2" t="s">
        <v>9615</v>
      </c>
      <c r="AC1953" s="2">
        <v>0.33043663839062598</v>
      </c>
      <c r="AD1953" s="2"/>
      <c r="AE1953" s="2">
        <v>0.33468001183336898</v>
      </c>
      <c r="AF1953" s="2">
        <v>19735.353213992199</v>
      </c>
      <c r="AG1953" s="2">
        <v>25567.756454245002</v>
      </c>
      <c r="AH1953" s="4">
        <v>0.77188443379104399</v>
      </c>
      <c r="AI1953" s="4">
        <v>-0.37354323091352098</v>
      </c>
      <c r="AJ1953" s="4" t="s">
        <v>62</v>
      </c>
      <c r="AK1953" s="2">
        <v>0.434291930517685</v>
      </c>
      <c r="AL1953" s="2">
        <v>0.69181411094271394</v>
      </c>
      <c r="AM1953" s="2">
        <v>9810.3472600846908</v>
      </c>
      <c r="AN1953" s="2">
        <v>16432.287030421601</v>
      </c>
      <c r="AO1953" s="2">
        <v>14322.947957119</v>
      </c>
      <c r="AP1953" s="2">
        <v>14831.9459974357</v>
      </c>
      <c r="AQ1953" s="2">
        <v>20068.702232412899</v>
      </c>
      <c r="AR1953" s="2">
        <v>42945.888806479401</v>
      </c>
      <c r="AS1953" s="2">
        <v>14902.786558448701</v>
      </c>
      <c r="AT1953" s="2">
        <v>35323.677190504801</v>
      </c>
      <c r="AU1953" s="2">
        <v>20762.729105855</v>
      </c>
      <c r="AV1953" s="2">
        <v>42659.236563640101</v>
      </c>
      <c r="AW1953" s="2">
        <v>31005.470855971598</v>
      </c>
      <c r="AX1953" s="2">
        <v>8752.6384510498592</v>
      </c>
    </row>
    <row r="1954" spans="1:50" x14ac:dyDescent="0.25">
      <c r="A1954" s="2" t="s">
        <v>13235</v>
      </c>
      <c r="B1954" s="2">
        <v>304.151026454229</v>
      </c>
      <c r="C1954" s="2">
        <v>0.74455000000000005</v>
      </c>
      <c r="D1954" s="2" t="s">
        <v>51</v>
      </c>
      <c r="E1954" s="2" t="s">
        <v>13236</v>
      </c>
      <c r="F1954" s="2">
        <v>259683</v>
      </c>
      <c r="G1954" s="3" t="str">
        <f>HYPERLINK("https://cloud.oebiotech.com/#/lm/network/259683", "https://cloud.oebiotech.com/#/lm/network/259683")</f>
        <v>https://cloud.oebiotech.com/#/lm/network/259683</v>
      </c>
      <c r="H1954" s="2"/>
      <c r="I1954" s="2">
        <v>16903</v>
      </c>
      <c r="J1954" s="2"/>
      <c r="K1954" s="2">
        <v>145457597</v>
      </c>
      <c r="L1954" s="2"/>
      <c r="M1954" s="2"/>
      <c r="N1954" s="2"/>
      <c r="O1954" s="2"/>
      <c r="P1954" s="2"/>
      <c r="Q1954" s="2"/>
      <c r="R1954" s="2"/>
      <c r="S1954" s="2" t="s">
        <v>13237</v>
      </c>
      <c r="T1954" s="2" t="s">
        <v>13238</v>
      </c>
      <c r="U1954" s="2" t="s">
        <v>103</v>
      </c>
      <c r="V1954" s="2" t="s">
        <v>104</v>
      </c>
      <c r="W1954" s="2" t="s">
        <v>105</v>
      </c>
      <c r="X1954" s="2" t="s">
        <v>83</v>
      </c>
      <c r="Y1954" s="2">
        <v>41</v>
      </c>
      <c r="Z1954" s="2">
        <v>14.2</v>
      </c>
      <c r="AA1954" s="2" t="s">
        <v>13239</v>
      </c>
      <c r="AB1954" s="2" t="s">
        <v>7676</v>
      </c>
      <c r="AC1954" s="2">
        <v>2.3573591205580202</v>
      </c>
      <c r="AD1954" s="2"/>
      <c r="AE1954" s="2">
        <v>0.33444328534526202</v>
      </c>
      <c r="AF1954" s="2">
        <v>39802.124050169499</v>
      </c>
      <c r="AG1954" s="2">
        <v>52241.568607045003</v>
      </c>
      <c r="AH1954" s="4">
        <v>0.76188608250943601</v>
      </c>
      <c r="AI1954" s="4">
        <v>-0.39235279334303902</v>
      </c>
      <c r="AJ1954" s="4" t="s">
        <v>62</v>
      </c>
      <c r="AK1954" s="2">
        <v>0.73304551341472901</v>
      </c>
      <c r="AL1954" s="2">
        <v>0.876907357070974</v>
      </c>
      <c r="AM1954" s="2">
        <v>78065.503608968298</v>
      </c>
      <c r="AN1954" s="2">
        <v>28438.273928750801</v>
      </c>
      <c r="AO1954" s="2">
        <v>9357.9151509435105</v>
      </c>
      <c r="AP1954" s="2">
        <v>10549.023604371199</v>
      </c>
      <c r="AQ1954" s="2">
        <v>65630.163429521694</v>
      </c>
      <c r="AR1954" s="2">
        <v>46771.864578461398</v>
      </c>
      <c r="AS1954" s="2">
        <v>843.49842291042398</v>
      </c>
      <c r="AT1954" s="2">
        <v>4025.8574251551499</v>
      </c>
      <c r="AU1954" s="2">
        <v>22516.922772358801</v>
      </c>
      <c r="AV1954" s="2">
        <v>215296.753357396</v>
      </c>
      <c r="AW1954" s="2">
        <v>17570.908968149601</v>
      </c>
      <c r="AX1954" s="2">
        <v>53195.470696300203</v>
      </c>
    </row>
    <row r="1955" spans="1:50" x14ac:dyDescent="0.25">
      <c r="A1955" s="2" t="s">
        <v>13240</v>
      </c>
      <c r="B1955" s="2">
        <v>363.25433957795201</v>
      </c>
      <c r="C1955" s="2">
        <v>10.4937</v>
      </c>
      <c r="D1955" s="2" t="s">
        <v>51</v>
      </c>
      <c r="E1955" s="2" t="s">
        <v>13241</v>
      </c>
      <c r="F1955" s="2">
        <v>205085</v>
      </c>
      <c r="G1955" s="3" t="str">
        <f>HYPERLINK("https://cloud.oebiotech.com/#/lm/network/205085", "https://cloud.oebiotech.com/#/lm/network/205085")</f>
        <v>https://cloud.oebiotech.com/#/lm/network/205085</v>
      </c>
      <c r="H1955" s="2" t="s">
        <v>13242</v>
      </c>
      <c r="I1955" s="2"/>
      <c r="J1955" s="2"/>
      <c r="K1955" s="2">
        <v>133773</v>
      </c>
      <c r="L1955" s="2"/>
      <c r="M1955" s="2"/>
      <c r="N1955" s="2"/>
      <c r="O1955" s="2"/>
      <c r="P1955" s="2"/>
      <c r="Q1955" s="2"/>
      <c r="R1955" s="2"/>
      <c r="S1955" s="2" t="s">
        <v>13243</v>
      </c>
      <c r="T1955" s="2" t="s">
        <v>13244</v>
      </c>
      <c r="U1955" s="2" t="s">
        <v>56</v>
      </c>
      <c r="V1955" s="2" t="s">
        <v>145</v>
      </c>
      <c r="W1955" s="2" t="s">
        <v>187</v>
      </c>
      <c r="X1955" s="2" t="s">
        <v>83</v>
      </c>
      <c r="Y1955" s="2">
        <v>50.2</v>
      </c>
      <c r="Z1955" s="2">
        <v>0</v>
      </c>
      <c r="AA1955" s="2" t="s">
        <v>163</v>
      </c>
      <c r="AB1955" s="2" t="s">
        <v>5901</v>
      </c>
      <c r="AC1955" s="2">
        <v>0.70382758143554403</v>
      </c>
      <c r="AD1955" s="2"/>
      <c r="AE1955" s="2">
        <v>0.33424599071965599</v>
      </c>
      <c r="AF1955" s="2">
        <v>4711.2942096422903</v>
      </c>
      <c r="AG1955" s="2">
        <v>2263.7508191120401</v>
      </c>
      <c r="AH1955" s="5">
        <v>2.0811894002937499</v>
      </c>
      <c r="AI1955" s="5">
        <v>1.0574082646554901</v>
      </c>
      <c r="AJ1955" s="5" t="s">
        <v>139</v>
      </c>
      <c r="AK1955" s="2">
        <v>2.67313541111419E-2</v>
      </c>
      <c r="AL1955" s="2">
        <v>0.25231168419371902</v>
      </c>
      <c r="AM1955" s="2">
        <v>7000.0628048964199</v>
      </c>
      <c r="AN1955" s="2">
        <v>5701.4263975224303</v>
      </c>
      <c r="AO1955" s="2">
        <v>3056.0746716367598</v>
      </c>
      <c r="AP1955" s="2">
        <v>2427.9146983247101</v>
      </c>
      <c r="AQ1955" s="2">
        <v>4044.0827866350501</v>
      </c>
      <c r="AR1955" s="2">
        <v>6038.2038988383601</v>
      </c>
      <c r="AS1955" s="2">
        <v>2801.8267972224498</v>
      </c>
      <c r="AT1955" s="2">
        <v>991.29427797533504</v>
      </c>
      <c r="AU1955" s="2">
        <v>4816.8098212187497</v>
      </c>
      <c r="AV1955" s="2">
        <v>940.640746778991</v>
      </c>
      <c r="AW1955" s="2">
        <v>2100.2793466441699</v>
      </c>
      <c r="AX1955" s="2">
        <v>1931.6539248325701</v>
      </c>
    </row>
    <row r="1956" spans="1:50" x14ac:dyDescent="0.25">
      <c r="A1956" s="2" t="s">
        <v>13245</v>
      </c>
      <c r="B1956" s="2">
        <v>241.11918157674</v>
      </c>
      <c r="C1956" s="2">
        <v>4.26596666666667</v>
      </c>
      <c r="D1956" s="2" t="s">
        <v>51</v>
      </c>
      <c r="E1956" s="2" t="s">
        <v>13246</v>
      </c>
      <c r="F1956" s="2">
        <v>200330</v>
      </c>
      <c r="G1956" s="3" t="str">
        <f>HYPERLINK("https://cloud.oebiotech.com/#/lm/network/200330", "https://cloud.oebiotech.com/#/lm/network/200330")</f>
        <v>https://cloud.oebiotech.com/#/lm/network/200330</v>
      </c>
      <c r="H1956" s="2" t="s">
        <v>13247</v>
      </c>
      <c r="I1956" s="2"/>
      <c r="J1956" s="2"/>
      <c r="K1956" s="2">
        <v>173117</v>
      </c>
      <c r="L1956" s="2"/>
      <c r="M1956" s="2"/>
      <c r="N1956" s="2"/>
      <c r="O1956" s="2"/>
      <c r="P1956" s="2"/>
      <c r="Q1956" s="2"/>
      <c r="R1956" s="2"/>
      <c r="S1956" s="2" t="s">
        <v>13248</v>
      </c>
      <c r="T1956" s="2" t="s">
        <v>13249</v>
      </c>
      <c r="U1956" s="2" t="s">
        <v>266</v>
      </c>
      <c r="V1956" s="2" t="s">
        <v>1585</v>
      </c>
      <c r="W1956" s="2" t="s">
        <v>1586</v>
      </c>
      <c r="X1956" s="2" t="s">
        <v>69</v>
      </c>
      <c r="Y1956" s="2">
        <v>59.2</v>
      </c>
      <c r="Z1956" s="2">
        <v>49.9</v>
      </c>
      <c r="AA1956" s="2" t="s">
        <v>218</v>
      </c>
      <c r="AB1956" s="2" t="s">
        <v>13250</v>
      </c>
      <c r="AC1956" s="2">
        <v>-1.0149597404142101</v>
      </c>
      <c r="AD1956" s="2"/>
      <c r="AE1956" s="2">
        <v>0.334168232148712</v>
      </c>
      <c r="AF1956" s="2">
        <v>32859.762988366798</v>
      </c>
      <c r="AG1956" s="2">
        <v>25398.141105263101</v>
      </c>
      <c r="AH1956" s="5">
        <v>1.2937861417565499</v>
      </c>
      <c r="AI1956" s="5">
        <v>0.37159916468319099</v>
      </c>
      <c r="AJ1956" s="5" t="s">
        <v>139</v>
      </c>
      <c r="AK1956" s="2">
        <v>0.59319547286222096</v>
      </c>
      <c r="AL1956" s="2">
        <v>0.79445105400022697</v>
      </c>
      <c r="AM1956" s="2">
        <v>40160.9945475559</v>
      </c>
      <c r="AN1956" s="2">
        <v>13030.658855977201</v>
      </c>
      <c r="AO1956" s="2">
        <v>83697.660470478106</v>
      </c>
      <c r="AP1956" s="2">
        <v>24749.560972019601</v>
      </c>
      <c r="AQ1956" s="2">
        <v>18844.6508431406</v>
      </c>
      <c r="AR1956" s="2">
        <v>16675.0522410294</v>
      </c>
      <c r="AS1956" s="2">
        <v>4343.8135209742504</v>
      </c>
      <c r="AT1956" s="2">
        <v>7250.9490499024396</v>
      </c>
      <c r="AU1956" s="2">
        <v>46477.1604856333</v>
      </c>
      <c r="AV1956" s="2">
        <v>51272.8305249845</v>
      </c>
      <c r="AW1956" s="2">
        <v>18894.5292224193</v>
      </c>
      <c r="AX1956" s="2">
        <v>24149.563827664999</v>
      </c>
    </row>
    <row r="1957" spans="1:50" x14ac:dyDescent="0.25">
      <c r="A1957" s="2" t="s">
        <v>13251</v>
      </c>
      <c r="B1957" s="2">
        <v>424.30618957664899</v>
      </c>
      <c r="C1957" s="2">
        <v>8.5599833333333297</v>
      </c>
      <c r="D1957" s="2" t="s">
        <v>51</v>
      </c>
      <c r="E1957" s="2" t="s">
        <v>13252</v>
      </c>
      <c r="F1957" s="2">
        <v>46036</v>
      </c>
      <c r="G1957" s="3" t="str">
        <f>HYPERLINK("https://cloud.oebiotech.com/#/lm/network/46036", "https://cloud.oebiotech.com/#/lm/network/46036")</f>
        <v>https://cloud.oebiotech.com/#/lm/network/46036</v>
      </c>
      <c r="H1957" s="2"/>
      <c r="I1957" s="2">
        <v>84488</v>
      </c>
      <c r="J1957" s="2" t="s">
        <v>13253</v>
      </c>
      <c r="K1957" s="2">
        <v>5283944</v>
      </c>
      <c r="L1957" s="2"/>
      <c r="M1957" s="2"/>
      <c r="N1957" s="2"/>
      <c r="O1957" s="2"/>
      <c r="P1957" s="2"/>
      <c r="Q1957" s="2"/>
      <c r="R1957" s="2"/>
      <c r="S1957" s="2" t="s">
        <v>13254</v>
      </c>
      <c r="T1957" s="2" t="s">
        <v>13255</v>
      </c>
      <c r="U1957" s="2" t="s">
        <v>56</v>
      </c>
      <c r="V1957" s="2" t="s">
        <v>283</v>
      </c>
      <c r="W1957" s="2" t="s">
        <v>2042</v>
      </c>
      <c r="X1957" s="2" t="s">
        <v>69</v>
      </c>
      <c r="Y1957" s="2">
        <v>61.3</v>
      </c>
      <c r="Z1957" s="2">
        <v>92.7</v>
      </c>
      <c r="AA1957" s="2" t="s">
        <v>512</v>
      </c>
      <c r="AB1957" s="2" t="s">
        <v>4227</v>
      </c>
      <c r="AC1957" s="2">
        <v>1.0823543615787301</v>
      </c>
      <c r="AD1957" s="2"/>
      <c r="AE1957" s="2">
        <v>0.33400096187449402</v>
      </c>
      <c r="AF1957" s="2">
        <v>10990.744406330199</v>
      </c>
      <c r="AG1957" s="2">
        <v>3441.15052800173</v>
      </c>
      <c r="AH1957" s="5">
        <v>3.1939156154010302</v>
      </c>
      <c r="AI1957" s="5">
        <v>1.6753261966405999</v>
      </c>
      <c r="AJ1957" s="5" t="s">
        <v>139</v>
      </c>
      <c r="AK1957" s="2">
        <v>0.253783623214073</v>
      </c>
      <c r="AL1957" s="2">
        <v>0.57694516623694203</v>
      </c>
      <c r="AM1957" s="2">
        <v>3169.4126399831598</v>
      </c>
      <c r="AN1957" s="2">
        <v>3111.8944854392098</v>
      </c>
      <c r="AO1957" s="2">
        <v>3506.6316047660298</v>
      </c>
      <c r="AP1957" s="2">
        <v>4206.6421023222201</v>
      </c>
      <c r="AQ1957" s="2">
        <v>41620.6887930796</v>
      </c>
      <c r="AR1957" s="2">
        <v>10329.196812390999</v>
      </c>
      <c r="AS1957" s="2">
        <v>2151.11800025614</v>
      </c>
      <c r="AT1957" s="2">
        <v>4123.15437598274</v>
      </c>
      <c r="AU1957" s="2">
        <v>3784.1747337787301</v>
      </c>
      <c r="AV1957" s="2">
        <v>3470.1364418369399</v>
      </c>
      <c r="AW1957" s="2">
        <v>3548.88575401873</v>
      </c>
      <c r="AX1957" s="2">
        <v>3569.4338621370798</v>
      </c>
    </row>
    <row r="1958" spans="1:50" x14ac:dyDescent="0.25">
      <c r="A1958" s="2" t="s">
        <v>13256</v>
      </c>
      <c r="B1958" s="2">
        <v>367.002613736277</v>
      </c>
      <c r="C1958" s="2">
        <v>8.3100500000000004</v>
      </c>
      <c r="D1958" s="2" t="s">
        <v>51</v>
      </c>
      <c r="E1958" s="2" t="s">
        <v>13257</v>
      </c>
      <c r="F1958" s="2">
        <v>200757</v>
      </c>
      <c r="G1958" s="3" t="str">
        <f>HYPERLINK("https://cloud.oebiotech.com/#/lm/network/200757", "https://cloud.oebiotech.com/#/lm/network/200757")</f>
        <v>https://cloud.oebiotech.com/#/lm/network/200757</v>
      </c>
      <c r="H1958" s="2" t="s">
        <v>13258</v>
      </c>
      <c r="I1958" s="2">
        <v>435839</v>
      </c>
      <c r="J1958" s="2"/>
      <c r="K1958" s="2">
        <v>3034255</v>
      </c>
      <c r="L1958" s="2"/>
      <c r="M1958" s="2"/>
      <c r="N1958" s="2"/>
      <c r="O1958" s="2"/>
      <c r="P1958" s="2"/>
      <c r="Q1958" s="2"/>
      <c r="R1958" s="2"/>
      <c r="S1958" s="2" t="s">
        <v>13259</v>
      </c>
      <c r="T1958" s="2" t="s">
        <v>13260</v>
      </c>
      <c r="U1958" s="2" t="s">
        <v>266</v>
      </c>
      <c r="V1958" s="2" t="s">
        <v>2772</v>
      </c>
      <c r="W1958" s="2" t="s">
        <v>2773</v>
      </c>
      <c r="X1958" s="2" t="s">
        <v>147</v>
      </c>
      <c r="Y1958" s="2">
        <v>37.700000000000003</v>
      </c>
      <c r="Z1958" s="2">
        <v>0</v>
      </c>
      <c r="AA1958" s="2" t="s">
        <v>478</v>
      </c>
      <c r="AB1958" s="2" t="s">
        <v>13261</v>
      </c>
      <c r="AC1958" s="2">
        <v>-2.9961195311320701</v>
      </c>
      <c r="AD1958" s="2"/>
      <c r="AE1958" s="2">
        <v>0.33399372112169001</v>
      </c>
      <c r="AF1958" s="2">
        <v>15220.800685010599</v>
      </c>
      <c r="AG1958" s="2">
        <v>18437.7337649867</v>
      </c>
      <c r="AH1958" s="4">
        <v>0.82552448576488502</v>
      </c>
      <c r="AI1958" s="4">
        <v>-0.276617087540864</v>
      </c>
      <c r="AJ1958" s="4" t="s">
        <v>62</v>
      </c>
      <c r="AK1958" s="2">
        <v>2.9550899725737101E-2</v>
      </c>
      <c r="AL1958" s="2">
        <v>0.25908320162100301</v>
      </c>
      <c r="AM1958" s="2">
        <v>15568.6411039591</v>
      </c>
      <c r="AN1958" s="2">
        <v>16474.022867158899</v>
      </c>
      <c r="AO1958" s="2">
        <v>16236.842022012301</v>
      </c>
      <c r="AP1958" s="2">
        <v>14474.992055036701</v>
      </c>
      <c r="AQ1958" s="2">
        <v>16463.435026534102</v>
      </c>
      <c r="AR1958" s="2">
        <v>12106.871035362199</v>
      </c>
      <c r="AS1958" s="2">
        <v>20756.450199051898</v>
      </c>
      <c r="AT1958" s="2">
        <v>17589.538441705299</v>
      </c>
      <c r="AU1958" s="2">
        <v>16021.4407065177</v>
      </c>
      <c r="AV1958" s="2">
        <v>17817.034936643198</v>
      </c>
      <c r="AW1958" s="2">
        <v>16043.3000399716</v>
      </c>
      <c r="AX1958" s="2">
        <v>22398.638266030801</v>
      </c>
    </row>
    <row r="1959" spans="1:50" x14ac:dyDescent="0.25">
      <c r="A1959" s="2" t="s">
        <v>13262</v>
      </c>
      <c r="B1959" s="2">
        <v>437.29097470224002</v>
      </c>
      <c r="C1959" s="2">
        <v>10.0152</v>
      </c>
      <c r="D1959" s="2" t="s">
        <v>51</v>
      </c>
      <c r="E1959" s="2" t="s">
        <v>13263</v>
      </c>
      <c r="F1959" s="2">
        <v>45909</v>
      </c>
      <c r="G1959" s="3" t="str">
        <f>HYPERLINK("https://cloud.oebiotech.com/#/lm/network/45909", "https://cloud.oebiotech.com/#/lm/network/45909")</f>
        <v>https://cloud.oebiotech.com/#/lm/network/45909</v>
      </c>
      <c r="H1959" s="2" t="s">
        <v>13264</v>
      </c>
      <c r="I1959" s="2">
        <v>5337</v>
      </c>
      <c r="J1959" s="2" t="s">
        <v>13265</v>
      </c>
      <c r="K1959" s="2">
        <v>5283835</v>
      </c>
      <c r="L1959" s="2"/>
      <c r="M1959" s="2"/>
      <c r="N1959" s="2"/>
      <c r="O1959" s="2"/>
      <c r="P1959" s="2"/>
      <c r="Q1959" s="2"/>
      <c r="R1959" s="2" t="s">
        <v>13266</v>
      </c>
      <c r="S1959" s="2" t="s">
        <v>13267</v>
      </c>
      <c r="T1959" s="2" t="s">
        <v>13268</v>
      </c>
      <c r="U1959" s="2" t="s">
        <v>56</v>
      </c>
      <c r="V1959" s="2" t="s">
        <v>283</v>
      </c>
      <c r="W1959" s="2" t="s">
        <v>2042</v>
      </c>
      <c r="X1959" s="2" t="s">
        <v>69</v>
      </c>
      <c r="Y1959" s="2">
        <v>65.599999999999994</v>
      </c>
      <c r="Z1959" s="2">
        <v>89.3</v>
      </c>
      <c r="AA1959" s="2" t="s">
        <v>2837</v>
      </c>
      <c r="AB1959" s="2" t="s">
        <v>3336</v>
      </c>
      <c r="AC1959" s="2">
        <v>0.28568263420405798</v>
      </c>
      <c r="AD1959" s="2"/>
      <c r="AE1959" s="2">
        <v>0.33371691200650699</v>
      </c>
      <c r="AF1959" s="2">
        <v>39740.917650199197</v>
      </c>
      <c r="AG1959" s="2">
        <v>25723.646348033999</v>
      </c>
      <c r="AH1959" s="5">
        <v>1.5449177427070599</v>
      </c>
      <c r="AI1959" s="5">
        <v>0.62753002560678195</v>
      </c>
      <c r="AJ1959" s="5" t="s">
        <v>139</v>
      </c>
      <c r="AK1959" s="2">
        <v>0.70472057289282797</v>
      </c>
      <c r="AL1959" s="2">
        <v>0.85874514419550696</v>
      </c>
      <c r="AM1959" s="2">
        <v>8.559877937157E-6</v>
      </c>
      <c r="AN1959" s="2">
        <v>4250.7281378753896</v>
      </c>
      <c r="AO1959" s="2">
        <v>804.62568268906705</v>
      </c>
      <c r="AP1959" s="2">
        <v>5151.14183434406</v>
      </c>
      <c r="AQ1959" s="2">
        <v>186115.160076139</v>
      </c>
      <c r="AR1959" s="2">
        <v>42123.850161588001</v>
      </c>
      <c r="AS1959" s="2">
        <v>8.559877937157E-6</v>
      </c>
      <c r="AT1959" s="2">
        <v>123482.38879110399</v>
      </c>
      <c r="AU1959" s="2">
        <v>20126.630433470102</v>
      </c>
      <c r="AV1959" s="2">
        <v>9484.0408067194694</v>
      </c>
      <c r="AW1959" s="2">
        <v>580.757718802309</v>
      </c>
      <c r="AX1959" s="2">
        <v>668.06032954804596</v>
      </c>
    </row>
    <row r="1960" spans="1:50" x14ac:dyDescent="0.25">
      <c r="A1960" s="2" t="s">
        <v>13269</v>
      </c>
      <c r="B1960" s="2">
        <v>362.18855063744797</v>
      </c>
      <c r="C1960" s="2">
        <v>4.1098999999999997</v>
      </c>
      <c r="D1960" s="2" t="s">
        <v>51</v>
      </c>
      <c r="E1960" s="2" t="s">
        <v>13270</v>
      </c>
      <c r="F1960" s="2">
        <v>208641</v>
      </c>
      <c r="G1960" s="3" t="str">
        <f>HYPERLINK("https://cloud.oebiotech.com/#/lm/network/208641", "https://cloud.oebiotech.com/#/lm/network/208641")</f>
        <v>https://cloud.oebiotech.com/#/lm/network/208641</v>
      </c>
      <c r="H1960" s="2" t="s">
        <v>13271</v>
      </c>
      <c r="I1960" s="2">
        <v>1192</v>
      </c>
      <c r="J1960" s="2"/>
      <c r="K1960" s="2">
        <v>165566</v>
      </c>
      <c r="L1960" s="2"/>
      <c r="M1960" s="2"/>
      <c r="N1960" s="2"/>
      <c r="O1960" s="2"/>
      <c r="P1960" s="2"/>
      <c r="Q1960" s="2"/>
      <c r="R1960" s="2" t="s">
        <v>13272</v>
      </c>
      <c r="S1960" s="2" t="s">
        <v>13273</v>
      </c>
      <c r="T1960" s="2" t="s">
        <v>13274</v>
      </c>
      <c r="U1960" s="2" t="s">
        <v>266</v>
      </c>
      <c r="V1960" s="2" t="s">
        <v>5547</v>
      </c>
      <c r="W1960" s="2" t="s">
        <v>5548</v>
      </c>
      <c r="X1960" s="2" t="s">
        <v>147</v>
      </c>
      <c r="Y1960" s="2">
        <v>38.299999999999997</v>
      </c>
      <c r="Z1960" s="2">
        <v>14.1</v>
      </c>
      <c r="AA1960" s="2" t="s">
        <v>512</v>
      </c>
      <c r="AB1960" s="2" t="s">
        <v>13275</v>
      </c>
      <c r="AC1960" s="2">
        <v>-3.2657034756003802</v>
      </c>
      <c r="AD1960" s="2"/>
      <c r="AE1960" s="2">
        <v>0.33369458769745303</v>
      </c>
      <c r="AF1960" s="2">
        <v>6386.6803442106502</v>
      </c>
      <c r="AG1960" s="2">
        <v>13834.341392415899</v>
      </c>
      <c r="AH1960" s="4">
        <v>0.46165409418852998</v>
      </c>
      <c r="AI1960" s="4">
        <v>-1.1151158136138599</v>
      </c>
      <c r="AJ1960" s="4" t="s">
        <v>62</v>
      </c>
      <c r="AK1960" s="2">
        <v>0.58833847761165103</v>
      </c>
      <c r="AL1960" s="2">
        <v>0.79259485853877298</v>
      </c>
      <c r="AM1960" s="2">
        <v>12237.526972682601</v>
      </c>
      <c r="AN1960" s="2">
        <v>8.559877937157E-6</v>
      </c>
      <c r="AO1960" s="2">
        <v>442.09332376961402</v>
      </c>
      <c r="AP1960" s="2">
        <v>8.559877937157E-6</v>
      </c>
      <c r="AQ1960" s="2">
        <v>17113.779056216601</v>
      </c>
      <c r="AR1960" s="2">
        <v>8526.6826954752996</v>
      </c>
      <c r="AS1960" s="2">
        <v>8.559877937157E-6</v>
      </c>
      <c r="AT1960" s="2">
        <v>265.12182904929</v>
      </c>
      <c r="AU1960" s="2">
        <v>8.559877937157E-6</v>
      </c>
      <c r="AV1960" s="2">
        <v>78627.106494160296</v>
      </c>
      <c r="AW1960" s="2">
        <v>8.559877937157E-6</v>
      </c>
      <c r="AX1960" s="2">
        <v>4113.8200056061996</v>
      </c>
    </row>
    <row r="1961" spans="1:50" x14ac:dyDescent="0.25">
      <c r="A1961" s="2" t="s">
        <v>13276</v>
      </c>
      <c r="B1961" s="2">
        <v>219.14984388486999</v>
      </c>
      <c r="C1961" s="2">
        <v>4.8329666666666702</v>
      </c>
      <c r="D1961" s="2" t="s">
        <v>51</v>
      </c>
      <c r="E1961" s="2" t="s">
        <v>13277</v>
      </c>
      <c r="F1961" s="2">
        <v>206227</v>
      </c>
      <c r="G1961" s="3" t="str">
        <f>HYPERLINK("https://cloud.oebiotech.com/#/lm/network/206227", "https://cloud.oebiotech.com/#/lm/network/206227")</f>
        <v>https://cloud.oebiotech.com/#/lm/network/206227</v>
      </c>
      <c r="H1961" s="2" t="s">
        <v>13278</v>
      </c>
      <c r="I1961" s="2">
        <v>44155</v>
      </c>
      <c r="J1961" s="2"/>
      <c r="K1961" s="2">
        <v>3169</v>
      </c>
      <c r="L1961" s="2"/>
      <c r="M1961" s="2"/>
      <c r="N1961" s="2"/>
      <c r="O1961" s="2"/>
      <c r="P1961" s="2"/>
      <c r="Q1961" s="2"/>
      <c r="R1961" s="2" t="s">
        <v>13279</v>
      </c>
      <c r="S1961" s="2" t="s">
        <v>13280</v>
      </c>
      <c r="T1961" s="2" t="s">
        <v>13281</v>
      </c>
      <c r="U1961" s="2" t="s">
        <v>266</v>
      </c>
      <c r="V1961" s="2" t="s">
        <v>2781</v>
      </c>
      <c r="W1961" s="2" t="s">
        <v>2782</v>
      </c>
      <c r="X1961" s="2" t="s">
        <v>147</v>
      </c>
      <c r="Y1961" s="2">
        <v>40.299999999999997</v>
      </c>
      <c r="Z1961" s="2">
        <v>8.59</v>
      </c>
      <c r="AA1961" s="2" t="s">
        <v>156</v>
      </c>
      <c r="AB1961" s="2" t="s">
        <v>13282</v>
      </c>
      <c r="AC1961" s="2">
        <v>2.7704335612026401</v>
      </c>
      <c r="AD1961" s="2"/>
      <c r="AE1961" s="2">
        <v>0.33356397816099398</v>
      </c>
      <c r="AF1961" s="2">
        <v>602.69126476294696</v>
      </c>
      <c r="AG1961" s="2">
        <v>3421.4682056758902</v>
      </c>
      <c r="AH1961" s="4">
        <v>0.17614989487937999</v>
      </c>
      <c r="AI1961" s="4">
        <v>-2.5051244810084601</v>
      </c>
      <c r="AJ1961" s="4" t="s">
        <v>62</v>
      </c>
      <c r="AK1961" s="2">
        <v>5.9350971379841001E-2</v>
      </c>
      <c r="AL1961" s="2">
        <v>0.32839395813803901</v>
      </c>
      <c r="AM1961" s="2">
        <v>1590.92531965642</v>
      </c>
      <c r="AN1961" s="2">
        <v>8.559877937157E-6</v>
      </c>
      <c r="AO1961" s="2">
        <v>1017.3471336899501</v>
      </c>
      <c r="AP1961" s="2">
        <v>1007.87510955168</v>
      </c>
      <c r="AQ1961" s="2">
        <v>8.559877937157E-6</v>
      </c>
      <c r="AR1961" s="2">
        <v>8.559877937157E-6</v>
      </c>
      <c r="AS1961" s="2">
        <v>3946.0943194929901</v>
      </c>
      <c r="AT1961" s="2">
        <v>8.559877937157E-6</v>
      </c>
      <c r="AU1961" s="2">
        <v>8.559877937157E-6</v>
      </c>
      <c r="AV1961" s="2">
        <v>2789.8253982287602</v>
      </c>
      <c r="AW1961" s="2">
        <v>7911.8969047198898</v>
      </c>
      <c r="AX1961" s="2">
        <v>5880.9925944939396</v>
      </c>
    </row>
    <row r="1962" spans="1:50" x14ac:dyDescent="0.25">
      <c r="A1962" s="2" t="s">
        <v>13283</v>
      </c>
      <c r="B1962" s="2">
        <v>251.04199302699399</v>
      </c>
      <c r="C1962" s="2">
        <v>0.75693333333333301</v>
      </c>
      <c r="D1962" s="2" t="s">
        <v>51</v>
      </c>
      <c r="E1962" s="2" t="s">
        <v>13284</v>
      </c>
      <c r="F1962" s="2">
        <v>2519</v>
      </c>
      <c r="G1962" s="3" t="str">
        <f>HYPERLINK("https://cloud.oebiotech.com/#/lm/network/2519", "https://cloud.oebiotech.com/#/lm/network/2519")</f>
        <v>https://cloud.oebiotech.com/#/lm/network/2519</v>
      </c>
      <c r="H1962" s="2" t="s">
        <v>13285</v>
      </c>
      <c r="I1962" s="2">
        <v>409712</v>
      </c>
      <c r="J1962" s="2" t="s">
        <v>13286</v>
      </c>
      <c r="K1962" s="2">
        <v>6112</v>
      </c>
      <c r="L1962" s="2" t="s">
        <v>13287</v>
      </c>
      <c r="M1962" s="2" t="s">
        <v>13288</v>
      </c>
      <c r="N1962" s="2" t="s">
        <v>13289</v>
      </c>
      <c r="O1962" s="2">
        <v>30314</v>
      </c>
      <c r="P1962" s="2"/>
      <c r="Q1962" s="2"/>
      <c r="R1962" s="2" t="s">
        <v>13290</v>
      </c>
      <c r="S1962" s="2" t="s">
        <v>13291</v>
      </c>
      <c r="T1962" s="2" t="s">
        <v>13292</v>
      </c>
      <c r="U1962" s="2" t="s">
        <v>266</v>
      </c>
      <c r="V1962" s="2" t="s">
        <v>13293</v>
      </c>
      <c r="W1962" s="2" t="s">
        <v>13294</v>
      </c>
      <c r="X1962" s="2" t="s">
        <v>147</v>
      </c>
      <c r="Y1962" s="2">
        <v>45.6</v>
      </c>
      <c r="Z1962" s="2">
        <v>41.4</v>
      </c>
      <c r="AA1962" s="2" t="s">
        <v>218</v>
      </c>
      <c r="AB1962" s="2" t="s">
        <v>13295</v>
      </c>
      <c r="AC1962" s="2">
        <v>1.3029717794190501</v>
      </c>
      <c r="AD1962" s="2"/>
      <c r="AE1962" s="2">
        <v>0.33354179682483998</v>
      </c>
      <c r="AF1962" s="2">
        <v>347.73028047275699</v>
      </c>
      <c r="AG1962" s="2">
        <v>11749.7757350298</v>
      </c>
      <c r="AH1962" s="4">
        <v>2.9594631277605098E-2</v>
      </c>
      <c r="AI1962" s="4">
        <v>-5.0785207075582202</v>
      </c>
      <c r="AJ1962" s="4" t="s">
        <v>62</v>
      </c>
      <c r="AK1962" s="2">
        <v>0.33948352133550502</v>
      </c>
      <c r="AL1962" s="2">
        <v>0.63815037094278604</v>
      </c>
      <c r="AM1962" s="2">
        <v>474.44944876800002</v>
      </c>
      <c r="AN1962" s="2">
        <v>1611.93219982903</v>
      </c>
      <c r="AO1962" s="2">
        <v>8.559877937157E-6</v>
      </c>
      <c r="AP1962" s="2">
        <v>8.559877937157E-6</v>
      </c>
      <c r="AQ1962" s="2">
        <v>8.559877937157E-6</v>
      </c>
      <c r="AR1962" s="2">
        <v>8.559877937157E-6</v>
      </c>
      <c r="AS1962" s="2">
        <v>8.559877937157E-6</v>
      </c>
      <c r="AT1962" s="2">
        <v>401.412653880476</v>
      </c>
      <c r="AU1962" s="2">
        <v>68565.369038288904</v>
      </c>
      <c r="AV1962" s="2">
        <v>8.559877937157E-6</v>
      </c>
      <c r="AW1962" s="2">
        <v>997.70069679526205</v>
      </c>
      <c r="AX1962" s="2">
        <v>534.17200409415102</v>
      </c>
    </row>
    <row r="1963" spans="1:50" x14ac:dyDescent="0.25">
      <c r="A1963" s="2" t="s">
        <v>13296</v>
      </c>
      <c r="B1963" s="2">
        <v>321.18556402501099</v>
      </c>
      <c r="C1963" s="2">
        <v>3.4002666666666701</v>
      </c>
      <c r="D1963" s="2" t="s">
        <v>51</v>
      </c>
      <c r="E1963" s="2" t="s">
        <v>13297</v>
      </c>
      <c r="F1963" s="2">
        <v>198957</v>
      </c>
      <c r="G1963" s="3" t="str">
        <f>HYPERLINK("https://cloud.oebiotech.com/#/lm/network/198957", "https://cloud.oebiotech.com/#/lm/network/198957")</f>
        <v>https://cloud.oebiotech.com/#/lm/network/198957</v>
      </c>
      <c r="H1963" s="2" t="s">
        <v>13298</v>
      </c>
      <c r="I1963" s="2"/>
      <c r="J1963" s="2"/>
      <c r="K1963" s="2"/>
      <c r="L1963" s="2"/>
      <c r="M1963" s="2"/>
      <c r="N1963" s="2"/>
      <c r="O1963" s="2"/>
      <c r="P1963" s="2"/>
      <c r="Q1963" s="2"/>
      <c r="R1963" s="2"/>
      <c r="S1963" s="2" t="s">
        <v>13299</v>
      </c>
      <c r="T1963" s="2" t="s">
        <v>13300</v>
      </c>
      <c r="U1963" s="2" t="s">
        <v>56</v>
      </c>
      <c r="V1963" s="2" t="s">
        <v>283</v>
      </c>
      <c r="W1963" s="2" t="s">
        <v>1944</v>
      </c>
      <c r="X1963" s="2" t="s">
        <v>147</v>
      </c>
      <c r="Y1963" s="2">
        <v>40</v>
      </c>
      <c r="Z1963" s="2">
        <v>14.5</v>
      </c>
      <c r="AA1963" s="2" t="s">
        <v>259</v>
      </c>
      <c r="AB1963" s="2" t="s">
        <v>13301</v>
      </c>
      <c r="AC1963" s="2">
        <v>-1.5156764280783499</v>
      </c>
      <c r="AD1963" s="2"/>
      <c r="AE1963" s="2">
        <v>0.33341684371033498</v>
      </c>
      <c r="AF1963" s="2">
        <v>2325.8411861241998</v>
      </c>
      <c r="AG1963" s="2">
        <v>8295.2633302984796</v>
      </c>
      <c r="AH1963" s="4">
        <v>0.280381838829523</v>
      </c>
      <c r="AI1963" s="4">
        <v>-1.8345351901862099</v>
      </c>
      <c r="AJ1963" s="4" t="s">
        <v>62</v>
      </c>
      <c r="AK1963" s="2">
        <v>0.48358262133265201</v>
      </c>
      <c r="AL1963" s="2">
        <v>0.72776426434777097</v>
      </c>
      <c r="AM1963" s="2">
        <v>2601.70964902686</v>
      </c>
      <c r="AN1963" s="2">
        <v>8.559877937157E-6</v>
      </c>
      <c r="AO1963" s="2">
        <v>311.21260173878397</v>
      </c>
      <c r="AP1963" s="2">
        <v>207.49789503143401</v>
      </c>
      <c r="AQ1963" s="2">
        <v>8174.6802546647004</v>
      </c>
      <c r="AR1963" s="2">
        <v>2659.9467077235499</v>
      </c>
      <c r="AS1963" s="2">
        <v>117.377510900559</v>
      </c>
      <c r="AT1963" s="2">
        <v>423.38719230050401</v>
      </c>
      <c r="AU1963" s="2">
        <v>8.559877937157E-6</v>
      </c>
      <c r="AV1963" s="2">
        <v>48824.972785031801</v>
      </c>
      <c r="AW1963" s="2">
        <v>131.17927373940501</v>
      </c>
      <c r="AX1963" s="2">
        <v>274.66321125875601</v>
      </c>
    </row>
    <row r="1964" spans="1:50" x14ac:dyDescent="0.25">
      <c r="A1964" s="2" t="s">
        <v>13302</v>
      </c>
      <c r="B1964" s="2">
        <v>393.07564007352499</v>
      </c>
      <c r="C1964" s="2">
        <v>5.0589333333333304</v>
      </c>
      <c r="D1964" s="2" t="s">
        <v>51</v>
      </c>
      <c r="E1964" s="2" t="s">
        <v>13303</v>
      </c>
      <c r="F1964" s="2">
        <v>82764</v>
      </c>
      <c r="G1964" s="3" t="str">
        <f>HYPERLINK("https://cloud.oebiotech.com/#/lm/network/82764", "https://cloud.oebiotech.com/#/lm/network/82764")</f>
        <v>https://cloud.oebiotech.com/#/lm/network/82764</v>
      </c>
      <c r="H1964" s="2" t="s">
        <v>13304</v>
      </c>
      <c r="I1964" s="2">
        <v>984018</v>
      </c>
      <c r="J1964" s="2"/>
      <c r="K1964" s="2">
        <v>71752997</v>
      </c>
      <c r="L1964" s="2"/>
      <c r="M1964" s="2"/>
      <c r="N1964" s="2"/>
      <c r="O1964" s="2"/>
      <c r="P1964" s="2"/>
      <c r="Q1964" s="2"/>
      <c r="R1964" s="2"/>
      <c r="S1964" s="2" t="s">
        <v>13305</v>
      </c>
      <c r="T1964" s="2" t="s">
        <v>13306</v>
      </c>
      <c r="U1964" s="2" t="s">
        <v>331</v>
      </c>
      <c r="V1964" s="2" t="s">
        <v>332</v>
      </c>
      <c r="W1964" s="2" t="s">
        <v>333</v>
      </c>
      <c r="X1964" s="2" t="s">
        <v>147</v>
      </c>
      <c r="Y1964" s="2">
        <v>38</v>
      </c>
      <c r="Z1964" s="2">
        <v>14.6</v>
      </c>
      <c r="AA1964" s="2" t="s">
        <v>379</v>
      </c>
      <c r="AB1964" s="2" t="s">
        <v>13307</v>
      </c>
      <c r="AC1964" s="2">
        <v>-1.3477844992458401</v>
      </c>
      <c r="AD1964" s="2"/>
      <c r="AE1964" s="2">
        <v>0.333328098711271</v>
      </c>
      <c r="AF1964" s="2">
        <v>7958.7522174797996</v>
      </c>
      <c r="AG1964" s="2">
        <v>5002.9095923494096</v>
      </c>
      <c r="AH1964" s="5">
        <v>1.590824713213</v>
      </c>
      <c r="AI1964" s="5">
        <v>0.669774879471563</v>
      </c>
      <c r="AJ1964" s="5" t="s">
        <v>139</v>
      </c>
      <c r="AK1964" s="2">
        <v>2.76466541745213E-2</v>
      </c>
      <c r="AL1964" s="2">
        <v>0.25505404741882998</v>
      </c>
      <c r="AM1964" s="2">
        <v>7508.3551342029396</v>
      </c>
      <c r="AN1964" s="2">
        <v>11690.1048961615</v>
      </c>
      <c r="AO1964" s="2">
        <v>5249.6715349532496</v>
      </c>
      <c r="AP1964" s="2">
        <v>6643.7913214086402</v>
      </c>
      <c r="AQ1964" s="2">
        <v>7682.0849528692197</v>
      </c>
      <c r="AR1964" s="2">
        <v>8978.5054652832696</v>
      </c>
      <c r="AS1964" s="2">
        <v>7539.7190967930301</v>
      </c>
      <c r="AT1964" s="2">
        <v>4118.4850618129503</v>
      </c>
      <c r="AU1964" s="2">
        <v>6584.0957127167803</v>
      </c>
      <c r="AV1964" s="2">
        <v>3220.5633151358002</v>
      </c>
      <c r="AW1964" s="2">
        <v>3480.9331957689301</v>
      </c>
      <c r="AX1964" s="2">
        <v>5073.6611718689901</v>
      </c>
    </row>
    <row r="1965" spans="1:50" x14ac:dyDescent="0.25">
      <c r="A1965" s="2" t="s">
        <v>13308</v>
      </c>
      <c r="B1965" s="2">
        <v>225.09900912257601</v>
      </c>
      <c r="C1965" s="2">
        <v>3.8365666666666698</v>
      </c>
      <c r="D1965" s="2" t="s">
        <v>51</v>
      </c>
      <c r="E1965" s="2" t="s">
        <v>13309</v>
      </c>
      <c r="F1965" s="2">
        <v>206631</v>
      </c>
      <c r="G1965" s="3" t="str">
        <f>HYPERLINK("https://cloud.oebiotech.com/#/lm/network/206631", "https://cloud.oebiotech.com/#/lm/network/206631")</f>
        <v>https://cloud.oebiotech.com/#/lm/network/206631</v>
      </c>
      <c r="H1965" s="2" t="s">
        <v>13310</v>
      </c>
      <c r="I1965" s="2">
        <v>44525</v>
      </c>
      <c r="J1965" s="2"/>
      <c r="K1965" s="2">
        <v>1892</v>
      </c>
      <c r="L1965" s="2"/>
      <c r="M1965" s="2"/>
      <c r="N1965" s="2"/>
      <c r="O1965" s="2"/>
      <c r="P1965" s="2"/>
      <c r="Q1965" s="2"/>
      <c r="R1965" s="2"/>
      <c r="S1965" s="2" t="s">
        <v>13311</v>
      </c>
      <c r="T1965" s="2" t="s">
        <v>13312</v>
      </c>
      <c r="U1965" s="2" t="s">
        <v>266</v>
      </c>
      <c r="V1965" s="2" t="s">
        <v>2772</v>
      </c>
      <c r="W1965" s="2" t="s">
        <v>2773</v>
      </c>
      <c r="X1965" s="2" t="s">
        <v>59</v>
      </c>
      <c r="Y1965" s="2">
        <v>51.4</v>
      </c>
      <c r="Z1965" s="2">
        <v>65.3</v>
      </c>
      <c r="AA1965" s="2" t="s">
        <v>259</v>
      </c>
      <c r="AB1965" s="2" t="s">
        <v>13313</v>
      </c>
      <c r="AC1965" s="2">
        <v>3.53618872135623</v>
      </c>
      <c r="AD1965" s="2"/>
      <c r="AE1965" s="2">
        <v>0.33320778035815901</v>
      </c>
      <c r="AF1965" s="2">
        <v>0.35757146002732298</v>
      </c>
      <c r="AG1965" s="2">
        <v>13469.1997389191</v>
      </c>
      <c r="AH1965" s="4">
        <v>2.6547342600772799E-5</v>
      </c>
      <c r="AI1965" s="4">
        <v>-15.2010730205096</v>
      </c>
      <c r="AJ1965" s="4" t="s">
        <v>62</v>
      </c>
      <c r="AK1965" s="2">
        <v>0.340905283237253</v>
      </c>
      <c r="AL1965" s="2">
        <v>0.63815037094278604</v>
      </c>
      <c r="AM1965" s="2">
        <v>8.559877937157E-6</v>
      </c>
      <c r="AN1965" s="2">
        <v>3.23936569713748E-2</v>
      </c>
      <c r="AO1965" s="2">
        <v>1.65922409408029</v>
      </c>
      <c r="AP1965" s="2">
        <v>4.7548965146045098E-3</v>
      </c>
      <c r="AQ1965" s="2">
        <v>0.44903899284179599</v>
      </c>
      <c r="AR1965" s="2">
        <v>8.559877937157E-6</v>
      </c>
      <c r="AS1965" s="2">
        <v>8.559877937157E-6</v>
      </c>
      <c r="AT1965" s="2">
        <v>80815.186693221302</v>
      </c>
      <c r="AU1965" s="2">
        <v>2.04992979355953E-3</v>
      </c>
      <c r="AV1965" s="2">
        <v>8.559877937157E-6</v>
      </c>
      <c r="AW1965" s="2">
        <v>9.6646835721719802E-3</v>
      </c>
      <c r="AX1965" s="2">
        <v>8.559877937157E-6</v>
      </c>
    </row>
    <row r="1966" spans="1:50" x14ac:dyDescent="0.25">
      <c r="A1966" s="2" t="s">
        <v>13314</v>
      </c>
      <c r="B1966" s="2">
        <v>241.11916995080099</v>
      </c>
      <c r="C1966" s="2">
        <v>4.3825500000000002</v>
      </c>
      <c r="D1966" s="2" t="s">
        <v>51</v>
      </c>
      <c r="E1966" s="2" t="s">
        <v>13315</v>
      </c>
      <c r="F1966" s="2">
        <v>206686</v>
      </c>
      <c r="G1966" s="3" t="str">
        <f>HYPERLINK("https://cloud.oebiotech.com/#/lm/network/206686", "https://cloud.oebiotech.com/#/lm/network/206686")</f>
        <v>https://cloud.oebiotech.com/#/lm/network/206686</v>
      </c>
      <c r="H1966" s="2" t="s">
        <v>13316</v>
      </c>
      <c r="I1966" s="2"/>
      <c r="J1966" s="2"/>
      <c r="K1966" s="2">
        <v>3042287</v>
      </c>
      <c r="L1966" s="2"/>
      <c r="M1966" s="2"/>
      <c r="N1966" s="2"/>
      <c r="O1966" s="2"/>
      <c r="P1966" s="2"/>
      <c r="Q1966" s="2"/>
      <c r="R1966" s="2"/>
      <c r="S1966" s="2" t="s">
        <v>13317</v>
      </c>
      <c r="T1966" s="2" t="s">
        <v>13318</v>
      </c>
      <c r="U1966" s="2" t="s">
        <v>103</v>
      </c>
      <c r="V1966" s="2" t="s">
        <v>104</v>
      </c>
      <c r="W1966" s="2" t="s">
        <v>105</v>
      </c>
      <c r="X1966" s="2" t="s">
        <v>69</v>
      </c>
      <c r="Y1966" s="2">
        <v>58.6</v>
      </c>
      <c r="Z1966" s="2">
        <v>86.4</v>
      </c>
      <c r="AA1966" s="2" t="s">
        <v>218</v>
      </c>
      <c r="AB1966" s="2" t="s">
        <v>13250</v>
      </c>
      <c r="AC1966" s="2">
        <v>-1.0742391091149801</v>
      </c>
      <c r="AD1966" s="2"/>
      <c r="AE1966" s="2">
        <v>0.333140568441888</v>
      </c>
      <c r="AF1966" s="2">
        <v>25290.248639015801</v>
      </c>
      <c r="AG1966" s="2">
        <v>38843.423575909197</v>
      </c>
      <c r="AH1966" s="4">
        <v>0.65108186433651305</v>
      </c>
      <c r="AI1966" s="4">
        <v>-0.61908914159327599</v>
      </c>
      <c r="AJ1966" s="4" t="s">
        <v>62</v>
      </c>
      <c r="AK1966" s="2">
        <v>0.42350228507089199</v>
      </c>
      <c r="AL1966" s="2">
        <v>0.683406571622166</v>
      </c>
      <c r="AM1966" s="2">
        <v>33379.240256382102</v>
      </c>
      <c r="AN1966" s="2">
        <v>34178.1323769187</v>
      </c>
      <c r="AO1966" s="2">
        <v>16377.662249834701</v>
      </c>
      <c r="AP1966" s="2">
        <v>38589.997933072897</v>
      </c>
      <c r="AQ1966" s="2">
        <v>14587.7045504445</v>
      </c>
      <c r="AR1966" s="2">
        <v>14628.7544674419</v>
      </c>
      <c r="AS1966" s="2">
        <v>4482.3189952826897</v>
      </c>
      <c r="AT1966" s="2">
        <v>15278.8192799032</v>
      </c>
      <c r="AU1966" s="2">
        <v>106742.194170039</v>
      </c>
      <c r="AV1966" s="2">
        <v>25213.204334256799</v>
      </c>
      <c r="AW1966" s="2">
        <v>21357.641550214899</v>
      </c>
      <c r="AX1966" s="2">
        <v>59986.3631257585</v>
      </c>
    </row>
    <row r="1967" spans="1:50" x14ac:dyDescent="0.25">
      <c r="A1967" s="2" t="s">
        <v>13319</v>
      </c>
      <c r="B1967" s="2">
        <v>489.20886272071903</v>
      </c>
      <c r="C1967" s="2">
        <v>8.7284333333333297</v>
      </c>
      <c r="D1967" s="2" t="s">
        <v>51</v>
      </c>
      <c r="E1967" s="2" t="s">
        <v>13320</v>
      </c>
      <c r="F1967" s="2">
        <v>83277</v>
      </c>
      <c r="G1967" s="3" t="str">
        <f>HYPERLINK("https://cloud.oebiotech.com/#/lm/network/83277", "https://cloud.oebiotech.com/#/lm/network/83277")</f>
        <v>https://cloud.oebiotech.com/#/lm/network/83277</v>
      </c>
      <c r="H1967" s="2" t="s">
        <v>13321</v>
      </c>
      <c r="I1967" s="2">
        <v>2283</v>
      </c>
      <c r="J1967" s="2"/>
      <c r="K1967" s="2">
        <v>131770407</v>
      </c>
      <c r="L1967" s="2"/>
      <c r="M1967" s="2"/>
      <c r="N1967" s="2"/>
      <c r="O1967" s="2"/>
      <c r="P1967" s="2"/>
      <c r="Q1967" s="2"/>
      <c r="R1967" s="2" t="s">
        <v>13322</v>
      </c>
      <c r="S1967" s="2" t="s">
        <v>13323</v>
      </c>
      <c r="T1967" s="2" t="s">
        <v>13324</v>
      </c>
      <c r="U1967" s="2" t="s">
        <v>56</v>
      </c>
      <c r="V1967" s="2" t="s">
        <v>177</v>
      </c>
      <c r="W1967" s="2" t="s">
        <v>394</v>
      </c>
      <c r="X1967" s="2" t="s">
        <v>83</v>
      </c>
      <c r="Y1967" s="2">
        <v>37.799999999999997</v>
      </c>
      <c r="Z1967" s="2">
        <v>0</v>
      </c>
      <c r="AA1967" s="2" t="s">
        <v>163</v>
      </c>
      <c r="AB1967" s="2" t="s">
        <v>13325</v>
      </c>
      <c r="AC1967" s="2">
        <v>-8.4523506008405302</v>
      </c>
      <c r="AD1967" s="2"/>
      <c r="AE1967" s="2">
        <v>0.33273920037867299</v>
      </c>
      <c r="AF1967" s="2">
        <v>5967.2345785313901</v>
      </c>
      <c r="AG1967" s="2">
        <v>3247.4010434493898</v>
      </c>
      <c r="AH1967" s="5">
        <v>1.8375416213431399</v>
      </c>
      <c r="AI1967" s="5">
        <v>0.87777692816684705</v>
      </c>
      <c r="AJ1967" s="5" t="s">
        <v>139</v>
      </c>
      <c r="AK1967" s="2">
        <v>3.6637158319026701E-3</v>
      </c>
      <c r="AL1967" s="2">
        <v>0.1120315017845</v>
      </c>
      <c r="AM1967" s="2">
        <v>5782.7672045773397</v>
      </c>
      <c r="AN1967" s="2">
        <v>6650.8215875630003</v>
      </c>
      <c r="AO1967" s="2">
        <v>6204.6911129866203</v>
      </c>
      <c r="AP1967" s="2">
        <v>5450.3521856836596</v>
      </c>
      <c r="AQ1967" s="2">
        <v>3921.7882537284599</v>
      </c>
      <c r="AR1967" s="2">
        <v>7792.9871266492801</v>
      </c>
      <c r="AS1967" s="2">
        <v>4539.3582852373602</v>
      </c>
      <c r="AT1967" s="2">
        <v>1529.88582139594</v>
      </c>
      <c r="AU1967" s="2">
        <v>3847.4633115029801</v>
      </c>
      <c r="AV1967" s="2">
        <v>1985.86029747878</v>
      </c>
      <c r="AW1967" s="2">
        <v>4029.4866300869598</v>
      </c>
      <c r="AX1967" s="2">
        <v>3552.3519149943099</v>
      </c>
    </row>
    <row r="1968" spans="1:50" x14ac:dyDescent="0.25">
      <c r="A1968" s="2" t="s">
        <v>13326</v>
      </c>
      <c r="B1968" s="2">
        <v>576.29343984872799</v>
      </c>
      <c r="C1968" s="2">
        <v>4.2577833333333297</v>
      </c>
      <c r="D1968" s="2" t="s">
        <v>51</v>
      </c>
      <c r="E1968" s="2" t="s">
        <v>13327</v>
      </c>
      <c r="F1968" s="2">
        <v>198837</v>
      </c>
      <c r="G1968" s="3" t="str">
        <f>HYPERLINK("https://cloud.oebiotech.com/#/lm/network/198837", "https://cloud.oebiotech.com/#/lm/network/198837")</f>
        <v>https://cloud.oebiotech.com/#/lm/network/198837</v>
      </c>
      <c r="H1968" s="2" t="s">
        <v>13328</v>
      </c>
      <c r="I1968" s="2"/>
      <c r="J1968" s="2"/>
      <c r="K1968" s="2">
        <v>85155408</v>
      </c>
      <c r="L1968" s="2"/>
      <c r="M1968" s="2"/>
      <c r="N1968" s="2"/>
      <c r="O1968" s="2"/>
      <c r="P1968" s="2"/>
      <c r="Q1968" s="2"/>
      <c r="R1968" s="2"/>
      <c r="S1968" s="2" t="s">
        <v>13329</v>
      </c>
      <c r="T1968" s="2" t="s">
        <v>13330</v>
      </c>
      <c r="U1968" s="2" t="s">
        <v>56</v>
      </c>
      <c r="V1968" s="2" t="s">
        <v>283</v>
      </c>
      <c r="W1968" s="2" t="s">
        <v>2042</v>
      </c>
      <c r="X1968" s="2" t="s">
        <v>147</v>
      </c>
      <c r="Y1968" s="2">
        <v>36.5</v>
      </c>
      <c r="Z1968" s="2">
        <v>0</v>
      </c>
      <c r="AA1968" s="2" t="s">
        <v>395</v>
      </c>
      <c r="AB1968" s="2" t="s">
        <v>13331</v>
      </c>
      <c r="AC1968" s="2">
        <v>0.212718668248777</v>
      </c>
      <c r="AD1968" s="2"/>
      <c r="AE1968" s="2">
        <v>0.33225204314441498</v>
      </c>
      <c r="AF1968" s="2">
        <v>2446.4997783300701</v>
      </c>
      <c r="AG1968" s="2">
        <v>8364.4844542813298</v>
      </c>
      <c r="AH1968" s="4">
        <v>0.292486619074035</v>
      </c>
      <c r="AI1968" s="4">
        <v>-1.77355747031818</v>
      </c>
      <c r="AJ1968" s="4" t="s">
        <v>62</v>
      </c>
      <c r="AK1968" s="2">
        <v>0.48157749031910002</v>
      </c>
      <c r="AL1968" s="2">
        <v>0.72613802625696799</v>
      </c>
      <c r="AM1968" s="2">
        <v>2756.79880897354</v>
      </c>
      <c r="AN1968" s="2">
        <v>471.692967769826</v>
      </c>
      <c r="AO1968" s="2">
        <v>386.99358076933498</v>
      </c>
      <c r="AP1968" s="2">
        <v>707.28667555833897</v>
      </c>
      <c r="AQ1968" s="2">
        <v>7119.8662798277801</v>
      </c>
      <c r="AR1968" s="2">
        <v>3236.3603570816199</v>
      </c>
      <c r="AS1968" s="2">
        <v>8.559877937157E-6</v>
      </c>
      <c r="AT1968" s="2">
        <v>8.559877937157E-6</v>
      </c>
      <c r="AU1968" s="2">
        <v>927.624424370935</v>
      </c>
      <c r="AV1968" s="2">
        <v>48489.592079243201</v>
      </c>
      <c r="AW1968" s="2">
        <v>171.83990493718801</v>
      </c>
      <c r="AX1968" s="2">
        <v>597.85030001692405</v>
      </c>
    </row>
    <row r="1969" spans="1:50" x14ac:dyDescent="0.25">
      <c r="A1969" s="2" t="s">
        <v>13332</v>
      </c>
      <c r="B1969" s="2">
        <v>302.30626279274202</v>
      </c>
      <c r="C1969" s="2">
        <v>9.5840166666666704</v>
      </c>
      <c r="D1969" s="2" t="s">
        <v>51</v>
      </c>
      <c r="E1969" s="2" t="s">
        <v>13333</v>
      </c>
      <c r="F1969" s="2">
        <v>64</v>
      </c>
      <c r="G1969" s="3" t="str">
        <f>HYPERLINK("https://cloud.oebiotech.com/#/lm/network/64", "https://cloud.oebiotech.com/#/lm/network/64")</f>
        <v>https://cloud.oebiotech.com/#/lm/network/64</v>
      </c>
      <c r="H1969" s="2" t="s">
        <v>13334</v>
      </c>
      <c r="I1969" s="2">
        <v>189</v>
      </c>
      <c r="J1969" s="2" t="s">
        <v>13335</v>
      </c>
      <c r="K1969" s="2">
        <v>5281</v>
      </c>
      <c r="L1969" s="2" t="s">
        <v>13336</v>
      </c>
      <c r="M1969" s="2" t="s">
        <v>3176</v>
      </c>
      <c r="N1969" s="2" t="s">
        <v>3177</v>
      </c>
      <c r="O1969" s="2">
        <v>28842</v>
      </c>
      <c r="P1969" s="2"/>
      <c r="Q1969" s="2"/>
      <c r="R1969" s="2" t="s">
        <v>13337</v>
      </c>
      <c r="S1969" s="2" t="s">
        <v>13338</v>
      </c>
      <c r="T1969" s="2" t="s">
        <v>13339</v>
      </c>
      <c r="U1969" s="2" t="s">
        <v>56</v>
      </c>
      <c r="V1969" s="2" t="s">
        <v>145</v>
      </c>
      <c r="W1969" s="2" t="s">
        <v>231</v>
      </c>
      <c r="X1969" s="2" t="s">
        <v>69</v>
      </c>
      <c r="Y1969" s="2">
        <v>68.3</v>
      </c>
      <c r="Z1969" s="2">
        <v>62.7</v>
      </c>
      <c r="AA1969" s="2" t="s">
        <v>512</v>
      </c>
      <c r="AB1969" s="2" t="s">
        <v>624</v>
      </c>
      <c r="AC1969" s="2">
        <v>3.19015098070021</v>
      </c>
      <c r="AD1969" s="2"/>
      <c r="AE1969" s="2">
        <v>0.33225124965165598</v>
      </c>
      <c r="AF1969" s="2">
        <v>6750.1387471355501</v>
      </c>
      <c r="AG1969" s="2">
        <v>12104.541374042499</v>
      </c>
      <c r="AH1969" s="4">
        <v>0.55765340780368899</v>
      </c>
      <c r="AI1969" s="4">
        <v>-0.84255935670161197</v>
      </c>
      <c r="AJ1969" s="4" t="s">
        <v>62</v>
      </c>
      <c r="AK1969" s="2">
        <v>0.283925641918923</v>
      </c>
      <c r="AL1969" s="2">
        <v>0.60000138164408201</v>
      </c>
      <c r="AM1969" s="2">
        <v>5334.2594703827999</v>
      </c>
      <c r="AN1969" s="2">
        <v>4315.53138574073</v>
      </c>
      <c r="AO1969" s="2">
        <v>1368.2423830840401</v>
      </c>
      <c r="AP1969" s="2">
        <v>7988.8438195769104</v>
      </c>
      <c r="AQ1969" s="2">
        <v>18606.5007977069</v>
      </c>
      <c r="AR1969" s="2">
        <v>2887.4546263218999</v>
      </c>
      <c r="AS1969" s="2">
        <v>1411.1242446905201</v>
      </c>
      <c r="AT1969" s="2">
        <v>6203.3713637525298</v>
      </c>
      <c r="AU1969" s="2">
        <v>22650.077046662202</v>
      </c>
      <c r="AV1969" s="2">
        <v>11677.455585292901</v>
      </c>
      <c r="AW1969" s="2">
        <v>25226.319175889399</v>
      </c>
      <c r="AX1969" s="2">
        <v>5458.9008279674199</v>
      </c>
    </row>
    <row r="1970" spans="1:50" x14ac:dyDescent="0.25">
      <c r="A1970" s="2" t="s">
        <v>13340</v>
      </c>
      <c r="B1970" s="2">
        <v>225.08765978859901</v>
      </c>
      <c r="C1970" s="2">
        <v>4.1329500000000001</v>
      </c>
      <c r="D1970" s="2" t="s">
        <v>51</v>
      </c>
      <c r="E1970" s="2" t="s">
        <v>13341</v>
      </c>
      <c r="F1970" s="2">
        <v>53469</v>
      </c>
      <c r="G1970" s="3" t="str">
        <f>HYPERLINK("https://cloud.oebiotech.com/#/lm/network/53469", "https://cloud.oebiotech.com/#/lm/network/53469")</f>
        <v>https://cloud.oebiotech.com/#/lm/network/53469</v>
      </c>
      <c r="H1970" s="2" t="s">
        <v>13342</v>
      </c>
      <c r="I1970" s="2">
        <v>85486</v>
      </c>
      <c r="J1970" s="2"/>
      <c r="K1970" s="2">
        <v>159269</v>
      </c>
      <c r="L1970" s="2"/>
      <c r="M1970" s="2"/>
      <c r="N1970" s="2"/>
      <c r="O1970" s="2">
        <v>63624</v>
      </c>
      <c r="P1970" s="2"/>
      <c r="Q1970" s="2"/>
      <c r="R1970" s="2" t="s">
        <v>13343</v>
      </c>
      <c r="S1970" s="2" t="s">
        <v>13344</v>
      </c>
      <c r="T1970" s="2" t="s">
        <v>13345</v>
      </c>
      <c r="U1970" s="2" t="s">
        <v>295</v>
      </c>
      <c r="V1970" s="2" t="s">
        <v>1818</v>
      </c>
      <c r="W1970" s="2" t="s">
        <v>1819</v>
      </c>
      <c r="X1970" s="2" t="s">
        <v>147</v>
      </c>
      <c r="Y1970" s="2">
        <v>47.1</v>
      </c>
      <c r="Z1970" s="2">
        <v>41.7</v>
      </c>
      <c r="AA1970" s="2" t="s">
        <v>904</v>
      </c>
      <c r="AB1970" s="2" t="s">
        <v>13346</v>
      </c>
      <c r="AC1970" s="2">
        <v>2.7943387194175702</v>
      </c>
      <c r="AD1970" s="2"/>
      <c r="AE1970" s="2">
        <v>0.33207679933947098</v>
      </c>
      <c r="AF1970" s="2">
        <v>5080.72848578718</v>
      </c>
      <c r="AG1970" s="2">
        <v>22613.969836902001</v>
      </c>
      <c r="AH1970" s="4">
        <v>0.22467211738720599</v>
      </c>
      <c r="AI1970" s="4">
        <v>-2.1541070028715601</v>
      </c>
      <c r="AJ1970" s="4" t="s">
        <v>62</v>
      </c>
      <c r="AK1970" s="2">
        <v>0.44514038977692599</v>
      </c>
      <c r="AL1970" s="2">
        <v>0.700312309697811</v>
      </c>
      <c r="AM1970" s="2">
        <v>2898.2271388220302</v>
      </c>
      <c r="AN1970" s="2">
        <v>9149.9186980807699</v>
      </c>
      <c r="AO1970" s="2">
        <v>15340.082223397099</v>
      </c>
      <c r="AP1970" s="2">
        <v>1219.2045493570299</v>
      </c>
      <c r="AQ1970" s="2">
        <v>1012.19241047014</v>
      </c>
      <c r="AR1970" s="2">
        <v>864.74589459602805</v>
      </c>
      <c r="AS1970" s="2">
        <v>967.17467562502998</v>
      </c>
      <c r="AT1970" s="2">
        <v>691.23421970811796</v>
      </c>
      <c r="AU1970" s="2">
        <v>132235.57265911001</v>
      </c>
      <c r="AV1970" s="2">
        <v>275.59996682621301</v>
      </c>
      <c r="AW1970" s="2">
        <v>629.30119486151</v>
      </c>
      <c r="AX1970" s="2">
        <v>884.93630528106803</v>
      </c>
    </row>
    <row r="1971" spans="1:50" x14ac:dyDescent="0.25">
      <c r="A1971" s="2" t="s">
        <v>13347</v>
      </c>
      <c r="B1971" s="2">
        <v>338.06390073409</v>
      </c>
      <c r="C1971" s="2">
        <v>7.2609000000000004</v>
      </c>
      <c r="D1971" s="2" t="s">
        <v>51</v>
      </c>
      <c r="E1971" s="2" t="s">
        <v>13348</v>
      </c>
      <c r="F1971" s="2">
        <v>207252</v>
      </c>
      <c r="G1971" s="3" t="str">
        <f>HYPERLINK("https://cloud.oebiotech.com/#/lm/network/207252", "https://cloud.oebiotech.com/#/lm/network/207252")</f>
        <v>https://cloud.oebiotech.com/#/lm/network/207252</v>
      </c>
      <c r="H1971" s="2" t="s">
        <v>13349</v>
      </c>
      <c r="I1971" s="2"/>
      <c r="J1971" s="2"/>
      <c r="K1971" s="2">
        <v>129629304</v>
      </c>
      <c r="L1971" s="2"/>
      <c r="M1971" s="2"/>
      <c r="N1971" s="2"/>
      <c r="O1971" s="2"/>
      <c r="P1971" s="2"/>
      <c r="Q1971" s="2"/>
      <c r="R1971" s="2"/>
      <c r="S1971" s="2" t="s">
        <v>13350</v>
      </c>
      <c r="T1971" s="2" t="s">
        <v>13351</v>
      </c>
      <c r="U1971" s="2" t="s">
        <v>103</v>
      </c>
      <c r="V1971" s="2" t="s">
        <v>104</v>
      </c>
      <c r="W1971" s="2" t="s">
        <v>105</v>
      </c>
      <c r="X1971" s="2" t="s">
        <v>147</v>
      </c>
      <c r="Y1971" s="2">
        <v>45.5</v>
      </c>
      <c r="Z1971" s="2">
        <v>39.1</v>
      </c>
      <c r="AA1971" s="2" t="s">
        <v>259</v>
      </c>
      <c r="AB1971" s="2" t="s">
        <v>13352</v>
      </c>
      <c r="AC1971" s="2">
        <v>-4.0383254491123903</v>
      </c>
      <c r="AD1971" s="2"/>
      <c r="AE1971" s="2">
        <v>0.33207429674917599</v>
      </c>
      <c r="AF1971" s="2">
        <v>2829.4800076822999</v>
      </c>
      <c r="AG1971" s="2">
        <v>5315.2198678881095</v>
      </c>
      <c r="AH1971" s="4">
        <v>0.53233545892929002</v>
      </c>
      <c r="AI1971" s="4">
        <v>-0.90959242733214196</v>
      </c>
      <c r="AJ1971" s="4" t="s">
        <v>62</v>
      </c>
      <c r="AK1971" s="2">
        <v>4.0639619102095896E-3</v>
      </c>
      <c r="AL1971" s="2">
        <v>0.115443740961313</v>
      </c>
      <c r="AM1971" s="2">
        <v>2828.9229234611798</v>
      </c>
      <c r="AN1971" s="2">
        <v>3249.66204324297</v>
      </c>
      <c r="AO1971" s="2">
        <v>3756.33362120744</v>
      </c>
      <c r="AP1971" s="2">
        <v>2690.8026661663498</v>
      </c>
      <c r="AQ1971" s="2">
        <v>2157.0551932762</v>
      </c>
      <c r="AR1971" s="2">
        <v>2294.1035987396399</v>
      </c>
      <c r="AS1971" s="2">
        <v>4520.6479169705099</v>
      </c>
      <c r="AT1971" s="2">
        <v>3791.88215387434</v>
      </c>
      <c r="AU1971" s="2">
        <v>4627.8345989974196</v>
      </c>
      <c r="AV1971" s="2">
        <v>5441.6973162849999</v>
      </c>
      <c r="AW1971" s="2">
        <v>5320.3582558256903</v>
      </c>
      <c r="AX1971" s="2">
        <v>8188.8989653756798</v>
      </c>
    </row>
    <row r="1972" spans="1:50" x14ac:dyDescent="0.25">
      <c r="A1972" s="2" t="s">
        <v>13353</v>
      </c>
      <c r="B1972" s="2">
        <v>235.00004347296601</v>
      </c>
      <c r="C1972" s="2">
        <v>8.94478333333333</v>
      </c>
      <c r="D1972" s="2" t="s">
        <v>51</v>
      </c>
      <c r="E1972" s="2" t="s">
        <v>13354</v>
      </c>
      <c r="F1972" s="2">
        <v>254864</v>
      </c>
      <c r="G1972" s="3" t="str">
        <f>HYPERLINK("https://cloud.oebiotech.com/#/lm/network/254864", "https://cloud.oebiotech.com/#/lm/network/254864")</f>
        <v>https://cloud.oebiotech.com/#/lm/network/254864</v>
      </c>
      <c r="H1972" s="2" t="s">
        <v>13355</v>
      </c>
      <c r="I1972" s="2">
        <v>3384</v>
      </c>
      <c r="J1972" s="2"/>
      <c r="K1972" s="2">
        <v>121947</v>
      </c>
      <c r="L1972" s="2" t="s">
        <v>13356</v>
      </c>
      <c r="M1972" s="2" t="s">
        <v>13357</v>
      </c>
      <c r="N1972" s="2" t="s">
        <v>13358</v>
      </c>
      <c r="O1972" s="2">
        <v>17052</v>
      </c>
      <c r="P1972" s="2"/>
      <c r="Q1972" s="2"/>
      <c r="R1972" s="2" t="s">
        <v>13359</v>
      </c>
      <c r="S1972" s="2" t="s">
        <v>13360</v>
      </c>
      <c r="T1972" s="2" t="s">
        <v>13361</v>
      </c>
      <c r="U1972" s="2" t="s">
        <v>103</v>
      </c>
      <c r="V1972" s="2" t="s">
        <v>1567</v>
      </c>
      <c r="W1972" s="2" t="s">
        <v>1568</v>
      </c>
      <c r="X1972" s="2" t="s">
        <v>147</v>
      </c>
      <c r="Y1972" s="2">
        <v>39.1</v>
      </c>
      <c r="Z1972" s="2">
        <v>6.32</v>
      </c>
      <c r="AA1972" s="2" t="s">
        <v>379</v>
      </c>
      <c r="AB1972" s="2" t="s">
        <v>13362</v>
      </c>
      <c r="AC1972" s="2">
        <v>-4.99704949254558</v>
      </c>
      <c r="AD1972" s="2"/>
      <c r="AE1972" s="2">
        <v>0.33195378103631301</v>
      </c>
      <c r="AF1972" s="2">
        <v>14826.3138487665</v>
      </c>
      <c r="AG1972" s="2">
        <v>17038.890786260701</v>
      </c>
      <c r="AH1972" s="4">
        <v>0.87014548275182402</v>
      </c>
      <c r="AI1972" s="4">
        <v>-0.200671464388397</v>
      </c>
      <c r="AJ1972" s="4" t="s">
        <v>62</v>
      </c>
      <c r="AK1972" s="2">
        <v>1.9828295152432101E-2</v>
      </c>
      <c r="AL1972" s="2">
        <v>0.22045053992507399</v>
      </c>
      <c r="AM1972" s="2">
        <v>13172.0695106157</v>
      </c>
      <c r="AN1972" s="2">
        <v>13261.2457141706</v>
      </c>
      <c r="AO1972" s="2">
        <v>15028.9116324775</v>
      </c>
      <c r="AP1972" s="2">
        <v>15394.5001129788</v>
      </c>
      <c r="AQ1972" s="2">
        <v>17541.830995308599</v>
      </c>
      <c r="AR1972" s="2">
        <v>14559.325127047599</v>
      </c>
      <c r="AS1972" s="2">
        <v>18142.827449930799</v>
      </c>
      <c r="AT1972" s="2">
        <v>16988.004860671201</v>
      </c>
      <c r="AU1972" s="2">
        <v>15008.7799054077</v>
      </c>
      <c r="AV1972" s="2">
        <v>17941.024112176699</v>
      </c>
      <c r="AW1972" s="2">
        <v>17037.751055491099</v>
      </c>
      <c r="AX1972" s="2">
        <v>17114.957333887</v>
      </c>
    </row>
    <row r="1973" spans="1:50" x14ac:dyDescent="0.25">
      <c r="A1973" s="2" t="s">
        <v>13363</v>
      </c>
      <c r="B1973" s="2">
        <v>364.19916448356201</v>
      </c>
      <c r="C1973" s="2">
        <v>4.8526333333333298</v>
      </c>
      <c r="D1973" s="2" t="s">
        <v>51</v>
      </c>
      <c r="E1973" s="2" t="s">
        <v>13364</v>
      </c>
      <c r="F1973" s="2">
        <v>57474</v>
      </c>
      <c r="G1973" s="3" t="str">
        <f>HYPERLINK("https://cloud.oebiotech.com/#/lm/network/57474", "https://cloud.oebiotech.com/#/lm/network/57474")</f>
        <v>https://cloud.oebiotech.com/#/lm/network/57474</v>
      </c>
      <c r="H1973" s="2" t="s">
        <v>13365</v>
      </c>
      <c r="I1973" s="2">
        <v>89090</v>
      </c>
      <c r="J1973" s="2"/>
      <c r="K1973" s="2">
        <v>85241696</v>
      </c>
      <c r="L1973" s="2"/>
      <c r="M1973" s="2"/>
      <c r="N1973" s="2"/>
      <c r="O1973" s="2">
        <v>169034</v>
      </c>
      <c r="P1973" s="2"/>
      <c r="Q1973" s="2"/>
      <c r="R1973" s="2" t="s">
        <v>13366</v>
      </c>
      <c r="S1973" s="2" t="s">
        <v>13367</v>
      </c>
      <c r="T1973" s="2" t="s">
        <v>13368</v>
      </c>
      <c r="U1973" s="2" t="s">
        <v>56</v>
      </c>
      <c r="V1973" s="2" t="s">
        <v>177</v>
      </c>
      <c r="W1973" s="2" t="s">
        <v>394</v>
      </c>
      <c r="X1973" s="2" t="s">
        <v>83</v>
      </c>
      <c r="Y1973" s="2">
        <v>38.799999999999997</v>
      </c>
      <c r="Z1973" s="2">
        <v>1.1200000000000001</v>
      </c>
      <c r="AA1973" s="2" t="s">
        <v>512</v>
      </c>
      <c r="AB1973" s="2" t="s">
        <v>3842</v>
      </c>
      <c r="AC1973" s="2">
        <v>7.4276135422100404</v>
      </c>
      <c r="AD1973" s="2"/>
      <c r="AE1973" s="2">
        <v>0.33190031345162002</v>
      </c>
      <c r="AF1973" s="2">
        <v>3548.3416813538101</v>
      </c>
      <c r="AG1973" s="2">
        <v>9580.7467703533493</v>
      </c>
      <c r="AH1973" s="4">
        <v>0.37036170211009001</v>
      </c>
      <c r="AI1973" s="4">
        <v>-1.4329931729427601</v>
      </c>
      <c r="AJ1973" s="4" t="s">
        <v>62</v>
      </c>
      <c r="AK1973" s="2">
        <v>0.44813892368728703</v>
      </c>
      <c r="AL1973" s="2">
        <v>0.70256160283375202</v>
      </c>
      <c r="AM1973" s="2">
        <v>5176.3398699654999</v>
      </c>
      <c r="AN1973" s="2">
        <v>3707.7344770489199</v>
      </c>
      <c r="AO1973" s="2">
        <v>1222.0008208659699</v>
      </c>
      <c r="AP1973" s="2">
        <v>1790.12562932578</v>
      </c>
      <c r="AQ1973" s="2">
        <v>650.30309309613995</v>
      </c>
      <c r="AR1973" s="2">
        <v>8743.5461978205694</v>
      </c>
      <c r="AS1973" s="2">
        <v>5535.1541706247799</v>
      </c>
      <c r="AT1973" s="2">
        <v>767.42982208833098</v>
      </c>
      <c r="AU1973" s="2">
        <v>2873.3291255157001</v>
      </c>
      <c r="AV1973" s="2">
        <v>514.77856312839799</v>
      </c>
      <c r="AW1973" s="2">
        <v>47067.885494154099</v>
      </c>
      <c r="AX1973" s="2">
        <v>725.903446608796</v>
      </c>
    </row>
    <row r="1974" spans="1:50" x14ac:dyDescent="0.25">
      <c r="A1974" s="2" t="s">
        <v>13369</v>
      </c>
      <c r="B1974" s="2">
        <v>526.35155496394395</v>
      </c>
      <c r="C1974" s="2">
        <v>11.381349999999999</v>
      </c>
      <c r="D1974" s="2" t="s">
        <v>51</v>
      </c>
      <c r="E1974" s="2" t="s">
        <v>13370</v>
      </c>
      <c r="F1974" s="2">
        <v>199425</v>
      </c>
      <c r="G1974" s="3" t="str">
        <f>HYPERLINK("https://cloud.oebiotech.com/#/lm/network/199425", "https://cloud.oebiotech.com/#/lm/network/199425")</f>
        <v>https://cloud.oebiotech.com/#/lm/network/199425</v>
      </c>
      <c r="H1974" s="2" t="s">
        <v>13371</v>
      </c>
      <c r="I1974" s="2">
        <v>24070</v>
      </c>
      <c r="J1974" s="2"/>
      <c r="K1974" s="2">
        <v>3983</v>
      </c>
      <c r="L1974" s="2" t="s">
        <v>13372</v>
      </c>
      <c r="M1974" s="2"/>
      <c r="N1974" s="2"/>
      <c r="O1974" s="2"/>
      <c r="P1974" s="2"/>
      <c r="Q1974" s="2"/>
      <c r="R1974" s="2" t="s">
        <v>13373</v>
      </c>
      <c r="S1974" s="2" t="s">
        <v>13374</v>
      </c>
      <c r="T1974" s="2" t="s">
        <v>13375</v>
      </c>
      <c r="U1974" s="2" t="s">
        <v>56</v>
      </c>
      <c r="V1974" s="2" t="s">
        <v>57</v>
      </c>
      <c r="W1974" s="2" t="s">
        <v>58</v>
      </c>
      <c r="X1974" s="2" t="s">
        <v>59</v>
      </c>
      <c r="Y1974" s="2">
        <v>58.7</v>
      </c>
      <c r="Z1974" s="2">
        <v>94.2</v>
      </c>
      <c r="AA1974" s="2" t="s">
        <v>218</v>
      </c>
      <c r="AB1974" s="2" t="s">
        <v>2121</v>
      </c>
      <c r="AC1974" s="2">
        <v>0.263993544830468</v>
      </c>
      <c r="AD1974" s="2"/>
      <c r="AE1974" s="2">
        <v>0.33168535989507297</v>
      </c>
      <c r="AF1974" s="2">
        <v>1116352.5863524301</v>
      </c>
      <c r="AG1974" s="2">
        <v>1237944.24312714</v>
      </c>
      <c r="AH1974" s="4">
        <v>0.90177937540420405</v>
      </c>
      <c r="AI1974" s="4">
        <v>-0.149153580412413</v>
      </c>
      <c r="AJ1974" s="4" t="s">
        <v>62</v>
      </c>
      <c r="AK1974" s="2">
        <v>0.64050830205119302</v>
      </c>
      <c r="AL1974" s="2">
        <v>0.824370604399012</v>
      </c>
      <c r="AM1974" s="2">
        <v>1880190.4084860201</v>
      </c>
      <c r="AN1974" s="2">
        <v>1270779.6840625899</v>
      </c>
      <c r="AO1974" s="2">
        <v>851649.02425051597</v>
      </c>
      <c r="AP1974" s="2">
        <v>865304.67460436304</v>
      </c>
      <c r="AQ1974" s="2">
        <v>765317.02323327505</v>
      </c>
      <c r="AR1974" s="2">
        <v>1064874.7034777901</v>
      </c>
      <c r="AS1974" s="2">
        <v>935944.49651420198</v>
      </c>
      <c r="AT1974" s="2">
        <v>620065.70498593303</v>
      </c>
      <c r="AU1974" s="2">
        <v>1982766.2984791901</v>
      </c>
      <c r="AV1974" s="2">
        <v>1232572.0273298</v>
      </c>
      <c r="AW1974" s="2">
        <v>1364221.7879272001</v>
      </c>
      <c r="AX1974" s="2">
        <v>1292095.1435265399</v>
      </c>
    </row>
    <row r="1975" spans="1:50" x14ac:dyDescent="0.25">
      <c r="A1975" s="2" t="s">
        <v>13376</v>
      </c>
      <c r="B1975" s="2">
        <v>254.16194262235501</v>
      </c>
      <c r="C1975" s="2">
        <v>1.5076000000000001</v>
      </c>
      <c r="D1975" s="2" t="s">
        <v>51</v>
      </c>
      <c r="E1975" s="2" t="s">
        <v>13377</v>
      </c>
      <c r="F1975" s="2">
        <v>53756</v>
      </c>
      <c r="G1975" s="3" t="str">
        <f>HYPERLINK("https://cloud.oebiotech.com/#/lm/network/53756", "https://cloud.oebiotech.com/#/lm/network/53756")</f>
        <v>https://cloud.oebiotech.com/#/lm/network/53756</v>
      </c>
      <c r="H1975" s="2" t="s">
        <v>13378</v>
      </c>
      <c r="I1975" s="2">
        <v>23679</v>
      </c>
      <c r="J1975" s="2"/>
      <c r="K1975" s="2">
        <v>151003</v>
      </c>
      <c r="L1975" s="2"/>
      <c r="M1975" s="2"/>
      <c r="N1975" s="2"/>
      <c r="O1975" s="2">
        <v>141419</v>
      </c>
      <c r="P1975" s="2"/>
      <c r="Q1975" s="2"/>
      <c r="R1975" s="2" t="s">
        <v>13379</v>
      </c>
      <c r="S1975" s="2" t="s">
        <v>13380</v>
      </c>
      <c r="T1975" s="2" t="s">
        <v>13381</v>
      </c>
      <c r="U1975" s="2" t="s">
        <v>103</v>
      </c>
      <c r="V1975" s="2" t="s">
        <v>104</v>
      </c>
      <c r="W1975" s="2" t="s">
        <v>105</v>
      </c>
      <c r="X1975" s="2" t="s">
        <v>69</v>
      </c>
      <c r="Y1975" s="2">
        <v>59.7</v>
      </c>
      <c r="Z1975" s="2">
        <v>78.400000000000006</v>
      </c>
      <c r="AA1975" s="2" t="s">
        <v>156</v>
      </c>
      <c r="AB1975" s="2" t="s">
        <v>13382</v>
      </c>
      <c r="AC1975" s="2">
        <v>2.9182152587836399</v>
      </c>
      <c r="AD1975" s="2"/>
      <c r="AE1975" s="2">
        <v>0.33154686204801098</v>
      </c>
      <c r="AF1975" s="2">
        <v>14294.737456357499</v>
      </c>
      <c r="AG1975" s="2">
        <v>5511.9091729398397</v>
      </c>
      <c r="AH1975" s="5">
        <v>2.59342761425316</v>
      </c>
      <c r="AI1975" s="5">
        <v>1.37486010287452</v>
      </c>
      <c r="AJ1975" s="5" t="s">
        <v>139</v>
      </c>
      <c r="AK1975" s="2">
        <v>0.29253999835505601</v>
      </c>
      <c r="AL1975" s="2">
        <v>0.60553329689908297</v>
      </c>
      <c r="AM1975" s="2">
        <v>4094.24998561455</v>
      </c>
      <c r="AN1975" s="2">
        <v>4002.39726130794</v>
      </c>
      <c r="AO1975" s="2">
        <v>3616.9428052939902</v>
      </c>
      <c r="AP1975" s="2">
        <v>6665.7154379249896</v>
      </c>
      <c r="AQ1975" s="2">
        <v>52613.604350999798</v>
      </c>
      <c r="AR1975" s="2">
        <v>14775.514897003501</v>
      </c>
      <c r="AS1975" s="2">
        <v>2259.6885197472502</v>
      </c>
      <c r="AT1975" s="2">
        <v>4457.97645790559</v>
      </c>
      <c r="AU1975" s="2">
        <v>6315.2739496560598</v>
      </c>
      <c r="AV1975" s="2">
        <v>7847.6504472535298</v>
      </c>
      <c r="AW1975" s="2">
        <v>4455.9877756290098</v>
      </c>
      <c r="AX1975" s="2">
        <v>7734.8778874476002</v>
      </c>
    </row>
    <row r="1976" spans="1:50" x14ac:dyDescent="0.25">
      <c r="A1976" s="2" t="s">
        <v>13383</v>
      </c>
      <c r="B1976" s="2">
        <v>148.11240095711901</v>
      </c>
      <c r="C1976" s="2">
        <v>5.1213666666666704</v>
      </c>
      <c r="D1976" s="2" t="s">
        <v>51</v>
      </c>
      <c r="E1976" s="2" t="s">
        <v>13384</v>
      </c>
      <c r="F1976" s="2">
        <v>47732</v>
      </c>
      <c r="G1976" s="3" t="str">
        <f>HYPERLINK("https://cloud.oebiotech.com/#/lm/network/47732", "https://cloud.oebiotech.com/#/lm/network/47732")</f>
        <v>https://cloud.oebiotech.com/#/lm/network/47732</v>
      </c>
      <c r="H1976" s="2" t="s">
        <v>13385</v>
      </c>
      <c r="I1976" s="2">
        <v>2189</v>
      </c>
      <c r="J1976" s="2"/>
      <c r="K1976" s="2">
        <v>7028</v>
      </c>
      <c r="L1976" s="2" t="s">
        <v>13386</v>
      </c>
      <c r="M1976" s="2"/>
      <c r="N1976" s="2"/>
      <c r="O1976" s="2">
        <v>51209</v>
      </c>
      <c r="P1976" s="2"/>
      <c r="Q1976" s="2"/>
      <c r="R1976" s="2" t="s">
        <v>13387</v>
      </c>
      <c r="S1976" s="2" t="s">
        <v>13388</v>
      </c>
      <c r="T1976" s="2" t="s">
        <v>13389</v>
      </c>
      <c r="U1976" s="2" t="s">
        <v>610</v>
      </c>
      <c r="V1976" s="2" t="s">
        <v>611</v>
      </c>
      <c r="W1976" s="2" t="s">
        <v>2744</v>
      </c>
      <c r="X1976" s="2" t="s">
        <v>147</v>
      </c>
      <c r="Y1976" s="2">
        <v>38.9</v>
      </c>
      <c r="Z1976" s="2">
        <v>0</v>
      </c>
      <c r="AA1976" s="2" t="s">
        <v>156</v>
      </c>
      <c r="AB1976" s="2" t="s">
        <v>13390</v>
      </c>
      <c r="AC1976" s="2">
        <v>1.9689367527122399</v>
      </c>
      <c r="AD1976" s="2"/>
      <c r="AE1976" s="2">
        <v>0.33154526415524599</v>
      </c>
      <c r="AF1976" s="2">
        <v>849.21205702318002</v>
      </c>
      <c r="AG1976" s="2">
        <v>4168.0577944463703</v>
      </c>
      <c r="AH1976" s="4">
        <v>0.203742869917661</v>
      </c>
      <c r="AI1976" s="4">
        <v>-2.2951785224855898</v>
      </c>
      <c r="AJ1976" s="4" t="s">
        <v>62</v>
      </c>
      <c r="AK1976" s="2">
        <v>0.16091552808794299</v>
      </c>
      <c r="AL1976" s="2">
        <v>0.48399353100485398</v>
      </c>
      <c r="AM1976" s="2">
        <v>929.325266357396</v>
      </c>
      <c r="AN1976" s="2">
        <v>8.559877937157E-6</v>
      </c>
      <c r="AO1976" s="2">
        <v>1230.31642213595</v>
      </c>
      <c r="AP1976" s="2">
        <v>2879.7340673065401</v>
      </c>
      <c r="AQ1976" s="2">
        <v>30.821483505688501</v>
      </c>
      <c r="AR1976" s="2">
        <v>25.075094273629201</v>
      </c>
      <c r="AS1976" s="2">
        <v>3244.7105597186801</v>
      </c>
      <c r="AT1976" s="2">
        <v>8.559877937157E-6</v>
      </c>
      <c r="AU1976" s="2">
        <v>8.559877937157E-6</v>
      </c>
      <c r="AV1976" s="2">
        <v>455.16904170611599</v>
      </c>
      <c r="AW1976" s="2">
        <v>12111.4679388726</v>
      </c>
      <c r="AX1976" s="2">
        <v>9196.9992092610591</v>
      </c>
    </row>
    <row r="1977" spans="1:50" x14ac:dyDescent="0.25">
      <c r="A1977" s="2" t="s">
        <v>13391</v>
      </c>
      <c r="B1977" s="2">
        <v>404.21917916189301</v>
      </c>
      <c r="C1977" s="2">
        <v>9.3200333333333294</v>
      </c>
      <c r="D1977" s="2" t="s">
        <v>51</v>
      </c>
      <c r="E1977" s="2" t="s">
        <v>13392</v>
      </c>
      <c r="F1977" s="2">
        <v>197951</v>
      </c>
      <c r="G1977" s="3" t="str">
        <f>HYPERLINK("https://cloud.oebiotech.com/#/lm/network/197951", "https://cloud.oebiotech.com/#/lm/network/197951")</f>
        <v>https://cloud.oebiotech.com/#/lm/network/197951</v>
      </c>
      <c r="H1977" s="2" t="s">
        <v>13393</v>
      </c>
      <c r="I1977" s="2"/>
      <c r="J1977" s="2"/>
      <c r="K1977" s="2"/>
      <c r="L1977" s="2"/>
      <c r="M1977" s="2"/>
      <c r="N1977" s="2"/>
      <c r="O1977" s="2"/>
      <c r="P1977" s="2"/>
      <c r="Q1977" s="2"/>
      <c r="R1977" s="2"/>
      <c r="S1977" s="2" t="s">
        <v>13394</v>
      </c>
      <c r="T1977" s="2" t="s">
        <v>13395</v>
      </c>
      <c r="U1977" s="2" t="s">
        <v>56</v>
      </c>
      <c r="V1977" s="2" t="s">
        <v>145</v>
      </c>
      <c r="W1977" s="2" t="s">
        <v>1188</v>
      </c>
      <c r="X1977" s="2" t="s">
        <v>83</v>
      </c>
      <c r="Y1977" s="2">
        <v>41.9</v>
      </c>
      <c r="Z1977" s="2">
        <v>0</v>
      </c>
      <c r="AA1977" s="2" t="s">
        <v>395</v>
      </c>
      <c r="AB1977" s="2" t="s">
        <v>13396</v>
      </c>
      <c r="AC1977" s="2">
        <v>-1.60852283984502</v>
      </c>
      <c r="AD1977" s="2"/>
      <c r="AE1977" s="2">
        <v>0.33130768650007503</v>
      </c>
      <c r="AF1977" s="2">
        <v>5910.3122650227497</v>
      </c>
      <c r="AG1977" s="2">
        <v>3330.3793756074501</v>
      </c>
      <c r="AH1977" s="5">
        <v>1.7746663663339299</v>
      </c>
      <c r="AI1977" s="5">
        <v>0.82754782637655599</v>
      </c>
      <c r="AJ1977" s="5" t="s">
        <v>139</v>
      </c>
      <c r="AK1977" s="2">
        <v>9.4155530886019002E-3</v>
      </c>
      <c r="AL1977" s="2">
        <v>0.159259654379001</v>
      </c>
      <c r="AM1977" s="2">
        <v>6301.6386417691901</v>
      </c>
      <c r="AN1977" s="2">
        <v>6361.8375669144398</v>
      </c>
      <c r="AO1977" s="2">
        <v>5935.5762836618696</v>
      </c>
      <c r="AP1977" s="2">
        <v>6588.2050329702397</v>
      </c>
      <c r="AQ1977" s="2">
        <v>4843.4809356324804</v>
      </c>
      <c r="AR1977" s="2">
        <v>5431.1351291882502</v>
      </c>
      <c r="AS1977" s="2">
        <v>5651.7157831585</v>
      </c>
      <c r="AT1977" s="2">
        <v>2456.9122093801302</v>
      </c>
      <c r="AU1977" s="2">
        <v>5348.8251582846797</v>
      </c>
      <c r="AV1977" s="2">
        <v>801.32858568567701</v>
      </c>
      <c r="AW1977" s="2">
        <v>2548.3030833124999</v>
      </c>
      <c r="AX1977" s="2">
        <v>3175.1914338232</v>
      </c>
    </row>
    <row r="1978" spans="1:50" x14ac:dyDescent="0.25">
      <c r="A1978" s="2" t="s">
        <v>13397</v>
      </c>
      <c r="B1978" s="2">
        <v>232.15516020587501</v>
      </c>
      <c r="C1978" s="2">
        <v>2.8218000000000001</v>
      </c>
      <c r="D1978" s="2" t="s">
        <v>51</v>
      </c>
      <c r="E1978" s="2" t="s">
        <v>13398</v>
      </c>
      <c r="F1978" s="2">
        <v>8357</v>
      </c>
      <c r="G1978" s="3" t="str">
        <f>HYPERLINK("https://cloud.oebiotech.com/#/lm/network/8357", "https://cloud.oebiotech.com/#/lm/network/8357")</f>
        <v>https://cloud.oebiotech.com/#/lm/network/8357</v>
      </c>
      <c r="H1978" s="2" t="s">
        <v>13399</v>
      </c>
      <c r="I1978" s="2"/>
      <c r="J1978" s="2" t="s">
        <v>13400</v>
      </c>
      <c r="K1978" s="2">
        <v>10177002</v>
      </c>
      <c r="L1978" s="2"/>
      <c r="M1978" s="2"/>
      <c r="N1978" s="2"/>
      <c r="O1978" s="2">
        <v>73017</v>
      </c>
      <c r="P1978" s="2"/>
      <c r="Q1978" s="2"/>
      <c r="R1978" s="2"/>
      <c r="S1978" s="2" t="s">
        <v>13401</v>
      </c>
      <c r="T1978" s="2" t="s">
        <v>13402</v>
      </c>
      <c r="U1978" s="2" t="s">
        <v>56</v>
      </c>
      <c r="V1978" s="2" t="s">
        <v>145</v>
      </c>
      <c r="W1978" s="2" t="s">
        <v>1188</v>
      </c>
      <c r="X1978" s="2" t="s">
        <v>69</v>
      </c>
      <c r="Y1978" s="2">
        <v>52.2</v>
      </c>
      <c r="Z1978" s="2">
        <v>55.3</v>
      </c>
      <c r="AA1978" s="2" t="s">
        <v>60</v>
      </c>
      <c r="AB1978" s="2" t="s">
        <v>13403</v>
      </c>
      <c r="AC1978" s="2">
        <v>3.5718272673047</v>
      </c>
      <c r="AD1978" s="2"/>
      <c r="AE1978" s="2">
        <v>0.33118733966878799</v>
      </c>
      <c r="AF1978" s="2">
        <v>41012.899996792301</v>
      </c>
      <c r="AG1978" s="2">
        <v>22228.502027691</v>
      </c>
      <c r="AH1978" s="5">
        <v>1.84505910230481</v>
      </c>
      <c r="AI1978" s="5">
        <v>0.88366703050593398</v>
      </c>
      <c r="AJ1978" s="5" t="s">
        <v>139</v>
      </c>
      <c r="AK1978" s="2">
        <v>0.39955346941199699</v>
      </c>
      <c r="AL1978" s="2">
        <v>0.66838297863585105</v>
      </c>
      <c r="AM1978" s="2">
        <v>18619.135607963701</v>
      </c>
      <c r="AN1978" s="2">
        <v>19275.927884958099</v>
      </c>
      <c r="AO1978" s="2">
        <v>33149.974294170599</v>
      </c>
      <c r="AP1978" s="2">
        <v>142005.87990543299</v>
      </c>
      <c r="AQ1978" s="2">
        <v>13551.1388847585</v>
      </c>
      <c r="AR1978" s="2">
        <v>19475.343403470099</v>
      </c>
      <c r="AS1978" s="2">
        <v>12345.3233603028</v>
      </c>
      <c r="AT1978" s="2">
        <v>20517.674631456899</v>
      </c>
      <c r="AU1978" s="2">
        <v>16600.721238837901</v>
      </c>
      <c r="AV1978" s="2">
        <v>9138.2994252863791</v>
      </c>
      <c r="AW1978" s="2">
        <v>22294.568483512699</v>
      </c>
      <c r="AX1978" s="2">
        <v>52474.425026749399</v>
      </c>
    </row>
    <row r="1979" spans="1:50" x14ac:dyDescent="0.25">
      <c r="A1979" s="2" t="s">
        <v>13404</v>
      </c>
      <c r="B1979" s="2">
        <v>233.150312533457</v>
      </c>
      <c r="C1979" s="2">
        <v>1.0683</v>
      </c>
      <c r="D1979" s="2" t="s">
        <v>51</v>
      </c>
      <c r="E1979" s="2" t="s">
        <v>13405</v>
      </c>
      <c r="F1979" s="2">
        <v>53940</v>
      </c>
      <c r="G1979" s="3" t="str">
        <f>HYPERLINK("https://cloud.oebiotech.com/#/lm/network/53940", "https://cloud.oebiotech.com/#/lm/network/53940")</f>
        <v>https://cloud.oebiotech.com/#/lm/network/53940</v>
      </c>
      <c r="H1979" s="2" t="s">
        <v>13406</v>
      </c>
      <c r="I1979" s="2">
        <v>85822</v>
      </c>
      <c r="J1979" s="2"/>
      <c r="K1979" s="2">
        <v>18218220</v>
      </c>
      <c r="L1979" s="2"/>
      <c r="M1979" s="2"/>
      <c r="N1979" s="2"/>
      <c r="O1979" s="2"/>
      <c r="P1979" s="2"/>
      <c r="Q1979" s="2"/>
      <c r="R1979" s="2"/>
      <c r="S1979" s="2" t="s">
        <v>13407</v>
      </c>
      <c r="T1979" s="2" t="s">
        <v>13408</v>
      </c>
      <c r="U1979" s="2" t="s">
        <v>103</v>
      </c>
      <c r="V1979" s="2" t="s">
        <v>104</v>
      </c>
      <c r="W1979" s="2" t="s">
        <v>105</v>
      </c>
      <c r="X1979" s="2" t="s">
        <v>147</v>
      </c>
      <c r="Y1979" s="2">
        <v>43.7</v>
      </c>
      <c r="Z1979" s="2">
        <v>27.5</v>
      </c>
      <c r="AA1979" s="2" t="s">
        <v>259</v>
      </c>
      <c r="AB1979" s="2" t="s">
        <v>5586</v>
      </c>
      <c r="AC1979" s="2">
        <v>3.1401954521712199</v>
      </c>
      <c r="AD1979" s="2"/>
      <c r="AE1979" s="2">
        <v>0.33117237537635502</v>
      </c>
      <c r="AF1979" s="2">
        <v>13502.7788384017</v>
      </c>
      <c r="AG1979" s="2">
        <v>6651.52443974179</v>
      </c>
      <c r="AH1979" s="5">
        <v>2.03002769676749</v>
      </c>
      <c r="AI1979" s="5">
        <v>1.02149941101465</v>
      </c>
      <c r="AJ1979" s="5" t="s">
        <v>139</v>
      </c>
      <c r="AK1979" s="2">
        <v>0.25630151543240398</v>
      </c>
      <c r="AL1979" s="2">
        <v>0.57898146204444401</v>
      </c>
      <c r="AM1979" s="2">
        <v>10962.131115395399</v>
      </c>
      <c r="AN1979" s="2">
        <v>5548.5101106824204</v>
      </c>
      <c r="AO1979" s="2">
        <v>10514.7866556443</v>
      </c>
      <c r="AP1979" s="2">
        <v>2904.6509523969798</v>
      </c>
      <c r="AQ1979" s="2">
        <v>33586.950836896001</v>
      </c>
      <c r="AR1979" s="2">
        <v>17499.643359395101</v>
      </c>
      <c r="AS1979" s="2">
        <v>2644.51403853899</v>
      </c>
      <c r="AT1979" s="2">
        <v>3455.7195003700799</v>
      </c>
      <c r="AU1979" s="2">
        <v>6240.2718921299902</v>
      </c>
      <c r="AV1979" s="2">
        <v>23577.393976932199</v>
      </c>
      <c r="AW1979" s="2">
        <v>451.92993987821399</v>
      </c>
      <c r="AX1979" s="2">
        <v>3539.3172906012601</v>
      </c>
    </row>
    <row r="1980" spans="1:50" x14ac:dyDescent="0.25">
      <c r="A1980" s="2" t="s">
        <v>13409</v>
      </c>
      <c r="B1980" s="2">
        <v>262.10434386538998</v>
      </c>
      <c r="C1980" s="2">
        <v>0.71519999999999995</v>
      </c>
      <c r="D1980" s="2" t="s">
        <v>51</v>
      </c>
      <c r="E1980" s="2" t="s">
        <v>13410</v>
      </c>
      <c r="F1980" s="2">
        <v>53769</v>
      </c>
      <c r="G1980" s="3" t="str">
        <f>HYPERLINK("https://cloud.oebiotech.com/#/lm/network/53769", "https://cloud.oebiotech.com/#/lm/network/53769")</f>
        <v>https://cloud.oebiotech.com/#/lm/network/53769</v>
      </c>
      <c r="H1980" s="2" t="s">
        <v>13411</v>
      </c>
      <c r="I1980" s="2">
        <v>23845</v>
      </c>
      <c r="J1980" s="2"/>
      <c r="K1980" s="2">
        <v>7019991</v>
      </c>
      <c r="L1980" s="2"/>
      <c r="M1980" s="2"/>
      <c r="N1980" s="2"/>
      <c r="O1980" s="2">
        <v>73824</v>
      </c>
      <c r="P1980" s="2"/>
      <c r="Q1980" s="2"/>
      <c r="R1980" s="2" t="s">
        <v>13412</v>
      </c>
      <c r="S1980" s="2" t="s">
        <v>13413</v>
      </c>
      <c r="T1980" s="2" t="s">
        <v>13414</v>
      </c>
      <c r="U1980" s="2" t="s">
        <v>103</v>
      </c>
      <c r="V1980" s="2" t="s">
        <v>104</v>
      </c>
      <c r="W1980" s="2" t="s">
        <v>105</v>
      </c>
      <c r="X1980" s="2" t="s">
        <v>83</v>
      </c>
      <c r="Y1980" s="2">
        <v>48.4</v>
      </c>
      <c r="Z1980" s="2">
        <v>0.152</v>
      </c>
      <c r="AA1980" s="2" t="s">
        <v>259</v>
      </c>
      <c r="AB1980" s="2" t="s">
        <v>8346</v>
      </c>
      <c r="AC1980" s="2">
        <v>3.7619123208413301</v>
      </c>
      <c r="AD1980" s="2"/>
      <c r="AE1980" s="2">
        <v>0.33114816082911303</v>
      </c>
      <c r="AF1980" s="2">
        <v>5890.3271429610404</v>
      </c>
      <c r="AG1980" s="2">
        <v>12802.067287776399</v>
      </c>
      <c r="AH1980" s="4">
        <v>0.46010749752778002</v>
      </c>
      <c r="AI1980" s="4">
        <v>-1.1199571293003301</v>
      </c>
      <c r="AJ1980" s="4" t="s">
        <v>62</v>
      </c>
      <c r="AK1980" s="2">
        <v>0.51070056400573005</v>
      </c>
      <c r="AL1980" s="2">
        <v>0.74460443234332496</v>
      </c>
      <c r="AM1980" s="2">
        <v>13062.759391584999</v>
      </c>
      <c r="AN1980" s="2">
        <v>8.559877937157E-6</v>
      </c>
      <c r="AO1980" s="2">
        <v>631.67316490780104</v>
      </c>
      <c r="AP1980" s="2">
        <v>1296.9519446188799</v>
      </c>
      <c r="AQ1980" s="2">
        <v>10529.7581267652</v>
      </c>
      <c r="AR1980" s="2">
        <v>9820.8202213294808</v>
      </c>
      <c r="AS1980" s="2">
        <v>301.42987808727497</v>
      </c>
      <c r="AT1980" s="2">
        <v>1601.2487181951601</v>
      </c>
      <c r="AU1980" s="2">
        <v>4019.0971139373601</v>
      </c>
      <c r="AV1980" s="2">
        <v>61557.998436520698</v>
      </c>
      <c r="AW1980" s="2">
        <v>159.39350344616599</v>
      </c>
      <c r="AX1980" s="2">
        <v>9173.2360764716395</v>
      </c>
    </row>
    <row r="1981" spans="1:50" x14ac:dyDescent="0.25">
      <c r="A1981" s="2" t="s">
        <v>13415</v>
      </c>
      <c r="B1981" s="2">
        <v>415.24684975705901</v>
      </c>
      <c r="C1981" s="2">
        <v>11.4020666666667</v>
      </c>
      <c r="D1981" s="2" t="s">
        <v>51</v>
      </c>
      <c r="E1981" s="2" t="s">
        <v>13416</v>
      </c>
      <c r="F1981" s="2">
        <v>250048</v>
      </c>
      <c r="G1981" s="3" t="str">
        <f>HYPERLINK("https://cloud.oebiotech.com/#/lm/network/250048", "https://cloud.oebiotech.com/#/lm/network/250048")</f>
        <v>https://cloud.oebiotech.com/#/lm/network/250048</v>
      </c>
      <c r="H1981" s="2" t="s">
        <v>13417</v>
      </c>
      <c r="I1981" s="2"/>
      <c r="J1981" s="2"/>
      <c r="K1981" s="2"/>
      <c r="L1981" s="2"/>
      <c r="M1981" s="2"/>
      <c r="N1981" s="2"/>
      <c r="O1981" s="2"/>
      <c r="P1981" s="2"/>
      <c r="Q1981" s="2"/>
      <c r="R1981" s="2"/>
      <c r="S1981" s="2" t="s">
        <v>13418</v>
      </c>
      <c r="T1981" s="2" t="s">
        <v>13419</v>
      </c>
      <c r="U1981" s="2" t="s">
        <v>56</v>
      </c>
      <c r="V1981" s="2" t="s">
        <v>145</v>
      </c>
      <c r="W1981" s="2" t="s">
        <v>187</v>
      </c>
      <c r="X1981" s="2" t="s">
        <v>83</v>
      </c>
      <c r="Y1981" s="2">
        <v>50.9</v>
      </c>
      <c r="Z1981" s="2">
        <v>0</v>
      </c>
      <c r="AA1981" s="2" t="s">
        <v>379</v>
      </c>
      <c r="AB1981" s="2" t="s">
        <v>13420</v>
      </c>
      <c r="AC1981" s="2">
        <v>-4.94640338293833</v>
      </c>
      <c r="AD1981" s="2"/>
      <c r="AE1981" s="2">
        <v>0.33105088992198001</v>
      </c>
      <c r="AF1981" s="2">
        <v>12251.2899096152</v>
      </c>
      <c r="AG1981" s="2">
        <v>17438.138418692201</v>
      </c>
      <c r="AH1981" s="4">
        <v>0.70255721198329502</v>
      </c>
      <c r="AI1981" s="4">
        <v>-0.50931238046663396</v>
      </c>
      <c r="AJ1981" s="4" t="s">
        <v>62</v>
      </c>
      <c r="AK1981" s="2">
        <v>0.23624127836529701</v>
      </c>
      <c r="AL1981" s="2">
        <v>0.56083325745832202</v>
      </c>
      <c r="AM1981" s="2">
        <v>11830.8119022464</v>
      </c>
      <c r="AN1981" s="2">
        <v>11310.8770964427</v>
      </c>
      <c r="AO1981" s="2">
        <v>11181.284710915501</v>
      </c>
      <c r="AP1981" s="2">
        <v>8405.9870210537701</v>
      </c>
      <c r="AQ1981" s="2">
        <v>15329.296249982801</v>
      </c>
      <c r="AR1981" s="2">
        <v>15449.4824770498</v>
      </c>
      <c r="AS1981" s="2">
        <v>7058.3718334917903</v>
      </c>
      <c r="AT1981" s="2">
        <v>7653.10824436653</v>
      </c>
      <c r="AU1981" s="2">
        <v>28541.561232407101</v>
      </c>
      <c r="AV1981" s="2">
        <v>22249.669536720801</v>
      </c>
      <c r="AW1981" s="2">
        <v>27067.757735840401</v>
      </c>
      <c r="AX1981" s="2">
        <v>12058.3619293264</v>
      </c>
    </row>
    <row r="1982" spans="1:50" x14ac:dyDescent="0.25">
      <c r="A1982" s="2" t="s">
        <v>13421</v>
      </c>
      <c r="B1982" s="2">
        <v>687.48253495438496</v>
      </c>
      <c r="C1982" s="2">
        <v>13.0194333333333</v>
      </c>
      <c r="D1982" s="2" t="s">
        <v>51</v>
      </c>
      <c r="E1982" s="2" t="s">
        <v>13422</v>
      </c>
      <c r="F1982" s="2">
        <v>252287</v>
      </c>
      <c r="G1982" s="3" t="str">
        <f>HYPERLINK("https://cloud.oebiotech.com/#/lm/network/252287", "https://cloud.oebiotech.com/#/lm/network/252287")</f>
        <v>https://cloud.oebiotech.com/#/lm/network/252287</v>
      </c>
      <c r="H1982" s="2" t="s">
        <v>13423</v>
      </c>
      <c r="I1982" s="2"/>
      <c r="J1982" s="2"/>
      <c r="K1982" s="2"/>
      <c r="L1982" s="2"/>
      <c r="M1982" s="2"/>
      <c r="N1982" s="2"/>
      <c r="O1982" s="2"/>
      <c r="P1982" s="2"/>
      <c r="Q1982" s="2"/>
      <c r="R1982" s="2"/>
      <c r="S1982" s="2" t="s">
        <v>13424</v>
      </c>
      <c r="T1982" s="2" t="s">
        <v>13425</v>
      </c>
      <c r="U1982" s="2" t="s">
        <v>56</v>
      </c>
      <c r="V1982" s="2" t="s">
        <v>145</v>
      </c>
      <c r="W1982" s="2" t="s">
        <v>187</v>
      </c>
      <c r="X1982" s="2" t="s">
        <v>59</v>
      </c>
      <c r="Y1982" s="2">
        <v>47.5</v>
      </c>
      <c r="Z1982" s="2">
        <v>53</v>
      </c>
      <c r="AA1982" s="2" t="s">
        <v>526</v>
      </c>
      <c r="AB1982" s="2" t="s">
        <v>5315</v>
      </c>
      <c r="AC1982" s="2">
        <v>2.8520114632778699</v>
      </c>
      <c r="AD1982" s="2"/>
      <c r="AE1982" s="2">
        <v>0.33100238270603699</v>
      </c>
      <c r="AF1982" s="2">
        <v>67187.776801118103</v>
      </c>
      <c r="AG1982" s="2">
        <v>63541.984511974602</v>
      </c>
      <c r="AH1982" s="5">
        <v>1.05737611623471</v>
      </c>
      <c r="AI1982" s="5">
        <v>8.0488644940168594E-2</v>
      </c>
      <c r="AJ1982" s="5" t="s">
        <v>139</v>
      </c>
      <c r="AK1982" s="2">
        <v>0.910279589158552</v>
      </c>
      <c r="AL1982" s="2">
        <v>0.96265157017390501</v>
      </c>
      <c r="AM1982" s="2">
        <v>77063.291898297801</v>
      </c>
      <c r="AN1982" s="2">
        <v>178011.825307077</v>
      </c>
      <c r="AO1982" s="2">
        <v>69734.499460721403</v>
      </c>
      <c r="AP1982" s="2">
        <v>33056.280175168104</v>
      </c>
      <c r="AQ1982" s="2">
        <v>17127.221381298299</v>
      </c>
      <c r="AR1982" s="2">
        <v>28133.542584145802</v>
      </c>
      <c r="AS1982" s="2">
        <v>16583.256024427701</v>
      </c>
      <c r="AT1982" s="2">
        <v>27509.1204245503</v>
      </c>
      <c r="AU1982" s="2">
        <v>142832.03490314601</v>
      </c>
      <c r="AV1982" s="2">
        <v>35966.1391738655</v>
      </c>
      <c r="AW1982" s="2">
        <v>54365.279417937199</v>
      </c>
      <c r="AX1982" s="2">
        <v>103996.077127921</v>
      </c>
    </row>
    <row r="1983" spans="1:50" x14ac:dyDescent="0.25">
      <c r="A1983" s="2" t="s">
        <v>13426</v>
      </c>
      <c r="B1983" s="2">
        <v>306.17218783179601</v>
      </c>
      <c r="C1983" s="2">
        <v>8.9080499999999994</v>
      </c>
      <c r="D1983" s="2" t="s">
        <v>51</v>
      </c>
      <c r="E1983" s="2" t="s">
        <v>13427</v>
      </c>
      <c r="F1983" s="2">
        <v>62356</v>
      </c>
      <c r="G1983" s="3" t="str">
        <f>HYPERLINK("https://cloud.oebiotech.com/#/lm/network/62356", "https://cloud.oebiotech.com/#/lm/network/62356")</f>
        <v>https://cloud.oebiotech.com/#/lm/network/62356</v>
      </c>
      <c r="H1983" s="2" t="s">
        <v>13428</v>
      </c>
      <c r="I1983" s="2">
        <v>93650</v>
      </c>
      <c r="J1983" s="2"/>
      <c r="K1983" s="2">
        <v>15081626</v>
      </c>
      <c r="L1983" s="2"/>
      <c r="M1983" s="2"/>
      <c r="N1983" s="2"/>
      <c r="O1983" s="2">
        <v>174751</v>
      </c>
      <c r="P1983" s="2"/>
      <c r="Q1983" s="2"/>
      <c r="R1983" s="2" t="s">
        <v>13429</v>
      </c>
      <c r="S1983" s="2" t="s">
        <v>13430</v>
      </c>
      <c r="T1983" s="2" t="s">
        <v>13431</v>
      </c>
      <c r="U1983" s="2" t="s">
        <v>540</v>
      </c>
      <c r="V1983" s="2" t="s">
        <v>1826</v>
      </c>
      <c r="W1983" s="2" t="s">
        <v>240</v>
      </c>
      <c r="X1983" s="2" t="s">
        <v>69</v>
      </c>
      <c r="Y1983" s="2">
        <v>59.9</v>
      </c>
      <c r="Z1983" s="2">
        <v>97.8</v>
      </c>
      <c r="AA1983" s="2" t="s">
        <v>512</v>
      </c>
      <c r="AB1983" s="2" t="s">
        <v>13432</v>
      </c>
      <c r="AC1983" s="2">
        <v>7.6463230543873504</v>
      </c>
      <c r="AD1983" s="2"/>
      <c r="AE1983" s="2">
        <v>0.330868527080247</v>
      </c>
      <c r="AF1983" s="2">
        <v>6273.3881063377003</v>
      </c>
      <c r="AG1983" s="2">
        <v>36.744934625897002</v>
      </c>
      <c r="AH1983" s="5">
        <v>170.727970268761</v>
      </c>
      <c r="AI1983" s="5">
        <v>7.4155556234326099</v>
      </c>
      <c r="AJ1983" s="5" t="s">
        <v>139</v>
      </c>
      <c r="AK1983" s="2">
        <v>0.15256671030438901</v>
      </c>
      <c r="AL1983" s="2">
        <v>0.47381118742890099</v>
      </c>
      <c r="AM1983" s="2">
        <v>8.559877937157E-6</v>
      </c>
      <c r="AN1983" s="2">
        <v>8.559877937157E-6</v>
      </c>
      <c r="AO1983" s="2">
        <v>8.559877937157E-6</v>
      </c>
      <c r="AP1983" s="2">
        <v>8.559877937157E-6</v>
      </c>
      <c r="AQ1983" s="2">
        <v>21502.454715948701</v>
      </c>
      <c r="AR1983" s="2">
        <v>16137.873887838001</v>
      </c>
      <c r="AS1983" s="2">
        <v>8.559877937157E-6</v>
      </c>
      <c r="AT1983" s="2">
        <v>8.559877937157E-6</v>
      </c>
      <c r="AU1983" s="2">
        <v>8.559877937157E-6</v>
      </c>
      <c r="AV1983" s="2">
        <v>220.46956495599201</v>
      </c>
      <c r="AW1983" s="2">
        <v>8.559877937157E-6</v>
      </c>
      <c r="AX1983" s="2">
        <v>8.559877937157E-6</v>
      </c>
    </row>
    <row r="1984" spans="1:50" x14ac:dyDescent="0.25">
      <c r="A1984" s="2" t="s">
        <v>13433</v>
      </c>
      <c r="B1984" s="2">
        <v>245.139337391857</v>
      </c>
      <c r="C1984" s="2">
        <v>5.5510999999999999</v>
      </c>
      <c r="D1984" s="2" t="s">
        <v>51</v>
      </c>
      <c r="E1984" s="2" t="s">
        <v>13434</v>
      </c>
      <c r="F1984" s="2">
        <v>2901</v>
      </c>
      <c r="G1984" s="3" t="str">
        <f>HYPERLINK("https://cloud.oebiotech.com/#/lm/network/2901", "https://cloud.oebiotech.com/#/lm/network/2901")</f>
        <v>https://cloud.oebiotech.com/#/lm/network/2901</v>
      </c>
      <c r="H1984" s="2" t="s">
        <v>13435</v>
      </c>
      <c r="I1984" s="2">
        <v>5402</v>
      </c>
      <c r="J1984" s="2" t="s">
        <v>13436</v>
      </c>
      <c r="K1984" s="2">
        <v>16663321</v>
      </c>
      <c r="L1984" s="2"/>
      <c r="M1984" s="2"/>
      <c r="N1984" s="2"/>
      <c r="O1984" s="2"/>
      <c r="P1984" s="2"/>
      <c r="Q1984" s="2"/>
      <c r="R1984" s="2" t="s">
        <v>13437</v>
      </c>
      <c r="S1984" s="2" t="s">
        <v>13438</v>
      </c>
      <c r="T1984" s="2" t="s">
        <v>13439</v>
      </c>
      <c r="U1984" s="2" t="s">
        <v>103</v>
      </c>
      <c r="V1984" s="2" t="s">
        <v>377</v>
      </c>
      <c r="W1984" s="2" t="s">
        <v>378</v>
      </c>
      <c r="X1984" s="2" t="s">
        <v>83</v>
      </c>
      <c r="Y1984" s="2">
        <v>42.1</v>
      </c>
      <c r="Z1984" s="2">
        <v>0</v>
      </c>
      <c r="AA1984" s="2" t="s">
        <v>163</v>
      </c>
      <c r="AB1984" s="2" t="s">
        <v>13440</v>
      </c>
      <c r="AC1984" s="2">
        <v>-0.44680457973826698</v>
      </c>
      <c r="AD1984" s="2"/>
      <c r="AE1984" s="2">
        <v>0.33081928078080203</v>
      </c>
      <c r="AF1984" s="2">
        <v>4946.9489243157204</v>
      </c>
      <c r="AG1984" s="2">
        <v>2142.27499547961</v>
      </c>
      <c r="AH1984" s="5">
        <v>2.30920350317033</v>
      </c>
      <c r="AI1984" s="5">
        <v>1.2073953190962301</v>
      </c>
      <c r="AJ1984" s="5" t="s">
        <v>139</v>
      </c>
      <c r="AK1984" s="2">
        <v>2.25638701258663E-2</v>
      </c>
      <c r="AL1984" s="2">
        <v>0.23313002309098199</v>
      </c>
      <c r="AM1984" s="2">
        <v>4721.1862820591996</v>
      </c>
      <c r="AN1984" s="2">
        <v>9482.2050891810795</v>
      </c>
      <c r="AO1984" s="2">
        <v>4333.5153504579102</v>
      </c>
      <c r="AP1984" s="2">
        <v>3148.9043545077002</v>
      </c>
      <c r="AQ1984" s="2">
        <v>3117.9785512600201</v>
      </c>
      <c r="AR1984" s="2">
        <v>4877.9039184284102</v>
      </c>
      <c r="AS1984" s="2">
        <v>3027.6739019183901</v>
      </c>
      <c r="AT1984" s="2">
        <v>365.410147572884</v>
      </c>
      <c r="AU1984" s="2">
        <v>2308.1733175748</v>
      </c>
      <c r="AV1984" s="2">
        <v>1807.97598671171</v>
      </c>
      <c r="AW1984" s="2">
        <v>2280.4859867086798</v>
      </c>
      <c r="AX1984" s="2">
        <v>3063.9306323911901</v>
      </c>
    </row>
    <row r="1985" spans="1:50" x14ac:dyDescent="0.25">
      <c r="A1985" s="2" t="s">
        <v>13441</v>
      </c>
      <c r="B1985" s="2">
        <v>491.37487578125803</v>
      </c>
      <c r="C1985" s="2">
        <v>12.257566666666699</v>
      </c>
      <c r="D1985" s="2" t="s">
        <v>51</v>
      </c>
      <c r="E1985" s="2" t="s">
        <v>13442</v>
      </c>
      <c r="F1985" s="2">
        <v>37466</v>
      </c>
      <c r="G1985" s="3" t="str">
        <f>HYPERLINK("https://cloud.oebiotech.com/#/lm/network/37466", "https://cloud.oebiotech.com/#/lm/network/37466")</f>
        <v>https://cloud.oebiotech.com/#/lm/network/37466</v>
      </c>
      <c r="H1985" s="2" t="s">
        <v>13443</v>
      </c>
      <c r="I1985" s="2"/>
      <c r="J1985" s="2" t="s">
        <v>13444</v>
      </c>
      <c r="K1985" s="2">
        <v>53481465</v>
      </c>
      <c r="L1985" s="2"/>
      <c r="M1985" s="2"/>
      <c r="N1985" s="2"/>
      <c r="O1985" s="2">
        <v>84962</v>
      </c>
      <c r="P1985" s="2"/>
      <c r="Q1985" s="2"/>
      <c r="R1985" s="2"/>
      <c r="S1985" s="2" t="s">
        <v>13445</v>
      </c>
      <c r="T1985" s="2" t="s">
        <v>13446</v>
      </c>
      <c r="U1985" s="2" t="s">
        <v>56</v>
      </c>
      <c r="V1985" s="2" t="s">
        <v>177</v>
      </c>
      <c r="W1985" s="2" t="s">
        <v>1463</v>
      </c>
      <c r="X1985" s="2" t="s">
        <v>83</v>
      </c>
      <c r="Y1985" s="2">
        <v>41.5</v>
      </c>
      <c r="Z1985" s="2">
        <v>0</v>
      </c>
      <c r="AA1985" s="2" t="s">
        <v>218</v>
      </c>
      <c r="AB1985" s="2" t="s">
        <v>13447</v>
      </c>
      <c r="AC1985" s="2">
        <v>1.51766467023709</v>
      </c>
      <c r="AD1985" s="2"/>
      <c r="AE1985" s="2">
        <v>0.33032588306654198</v>
      </c>
      <c r="AF1985" s="2">
        <v>41821.936839703703</v>
      </c>
      <c r="AG1985" s="2">
        <v>33878.119901632301</v>
      </c>
      <c r="AH1985" s="5">
        <v>1.2344822251393199</v>
      </c>
      <c r="AI1985" s="5">
        <v>0.30390606378893897</v>
      </c>
      <c r="AJ1985" s="5" t="s">
        <v>139</v>
      </c>
      <c r="AK1985" s="2">
        <v>0.29962595514516899</v>
      </c>
      <c r="AL1985" s="2">
        <v>0.61037838979491599</v>
      </c>
      <c r="AM1985" s="2">
        <v>30347.377370558799</v>
      </c>
      <c r="AN1985" s="2">
        <v>52338.277439161502</v>
      </c>
      <c r="AO1985" s="2">
        <v>42447.224159498001</v>
      </c>
      <c r="AP1985" s="2">
        <v>53432.494730293598</v>
      </c>
      <c r="AQ1985" s="2">
        <v>45658.396596652303</v>
      </c>
      <c r="AR1985" s="2">
        <v>26707.850742057799</v>
      </c>
      <c r="AS1985" s="2">
        <v>37171.123227295298</v>
      </c>
      <c r="AT1985" s="2">
        <v>36799.219612384397</v>
      </c>
      <c r="AU1985" s="2">
        <v>25123.579756442999</v>
      </c>
      <c r="AV1985" s="2">
        <v>10798.334905817799</v>
      </c>
      <c r="AW1985" s="2">
        <v>45203.102234794998</v>
      </c>
      <c r="AX1985" s="2">
        <v>48173.359673058098</v>
      </c>
    </row>
    <row r="1986" spans="1:50" x14ac:dyDescent="0.25">
      <c r="A1986" s="2" t="s">
        <v>13448</v>
      </c>
      <c r="B1986" s="2">
        <v>476.27330631527502</v>
      </c>
      <c r="C1986" s="2">
        <v>4.0481166666666697</v>
      </c>
      <c r="D1986" s="2" t="s">
        <v>51</v>
      </c>
      <c r="E1986" s="2" t="s">
        <v>13449</v>
      </c>
      <c r="F1986" s="2">
        <v>19820</v>
      </c>
      <c r="G1986" s="3" t="str">
        <f>HYPERLINK("https://cloud.oebiotech.com/#/lm/network/19820", "https://cloud.oebiotech.com/#/lm/network/19820")</f>
        <v>https://cloud.oebiotech.com/#/lm/network/19820</v>
      </c>
      <c r="H1986" s="2"/>
      <c r="I1986" s="2">
        <v>40267</v>
      </c>
      <c r="J1986" s="2" t="s">
        <v>13450</v>
      </c>
      <c r="K1986" s="2">
        <v>24779450</v>
      </c>
      <c r="L1986" s="2"/>
      <c r="M1986" s="2"/>
      <c r="N1986" s="2"/>
      <c r="O1986" s="2"/>
      <c r="P1986" s="2"/>
      <c r="Q1986" s="2"/>
      <c r="R1986" s="2"/>
      <c r="S1986" s="2" t="s">
        <v>13451</v>
      </c>
      <c r="T1986" s="2" t="s">
        <v>13452</v>
      </c>
      <c r="U1986" s="2" t="s">
        <v>56</v>
      </c>
      <c r="V1986" s="2" t="s">
        <v>57</v>
      </c>
      <c r="W1986" s="2" t="s">
        <v>58</v>
      </c>
      <c r="X1986" s="2" t="s">
        <v>147</v>
      </c>
      <c r="Y1986" s="2">
        <v>42.7</v>
      </c>
      <c r="Z1986" s="2">
        <v>22.4</v>
      </c>
      <c r="AA1986" s="2" t="s">
        <v>95</v>
      </c>
      <c r="AB1986" s="2" t="s">
        <v>2669</v>
      </c>
      <c r="AC1986" s="2">
        <v>-3.2071341331799901</v>
      </c>
      <c r="AD1986" s="2"/>
      <c r="AE1986" s="2">
        <v>0.33031060082440999</v>
      </c>
      <c r="AF1986" s="2">
        <v>7630.1658026162204</v>
      </c>
      <c r="AG1986" s="2">
        <v>4295.6463181359604</v>
      </c>
      <c r="AH1986" s="5">
        <v>1.7762555940422999</v>
      </c>
      <c r="AI1986" s="5">
        <v>0.82883919302013598</v>
      </c>
      <c r="AJ1986" s="5" t="s">
        <v>139</v>
      </c>
      <c r="AK1986" s="2">
        <v>0.181529616825121</v>
      </c>
      <c r="AL1986" s="2">
        <v>0.504560550136115</v>
      </c>
      <c r="AM1986" s="2">
        <v>11757.101605596399</v>
      </c>
      <c r="AN1986" s="2">
        <v>2456.5969559134901</v>
      </c>
      <c r="AO1986" s="2">
        <v>12945.8235606773</v>
      </c>
      <c r="AP1986" s="2">
        <v>3812.8125678787401</v>
      </c>
      <c r="AQ1986" s="2">
        <v>7283.65489110013</v>
      </c>
      <c r="AR1986" s="2">
        <v>7525.0052345312697</v>
      </c>
      <c r="AS1986" s="2">
        <v>8.559877937157E-6</v>
      </c>
      <c r="AT1986" s="2">
        <v>1974.1946902877701</v>
      </c>
      <c r="AU1986" s="2">
        <v>10266.814473812899</v>
      </c>
      <c r="AV1986" s="2">
        <v>6550.8851683870498</v>
      </c>
      <c r="AW1986" s="2">
        <v>5626.6643906834897</v>
      </c>
      <c r="AX1986" s="2">
        <v>1355.3191770846599</v>
      </c>
    </row>
    <row r="1987" spans="1:50" x14ac:dyDescent="0.25">
      <c r="A1987" s="2" t="s">
        <v>13453</v>
      </c>
      <c r="B1987" s="2">
        <v>729.43344207843597</v>
      </c>
      <c r="C1987" s="2">
        <v>10.9866666666667</v>
      </c>
      <c r="D1987" s="2" t="s">
        <v>51</v>
      </c>
      <c r="E1987" s="2" t="s">
        <v>13454</v>
      </c>
      <c r="F1987" s="2">
        <v>220634</v>
      </c>
      <c r="G1987" s="3" t="str">
        <f>HYPERLINK("https://cloud.oebiotech.com/#/lm/network/220634", "https://cloud.oebiotech.com/#/lm/network/220634")</f>
        <v>https://cloud.oebiotech.com/#/lm/network/220634</v>
      </c>
      <c r="H1987" s="2" t="s">
        <v>13455</v>
      </c>
      <c r="I1987" s="2"/>
      <c r="J1987" s="2"/>
      <c r="K1987" s="2"/>
      <c r="L1987" s="2"/>
      <c r="M1987" s="2"/>
      <c r="N1987" s="2"/>
      <c r="O1987" s="2"/>
      <c r="P1987" s="2"/>
      <c r="Q1987" s="2"/>
      <c r="R1987" s="2"/>
      <c r="S1987" s="2" t="s">
        <v>13456</v>
      </c>
      <c r="T1987" s="2" t="s">
        <v>13457</v>
      </c>
      <c r="U1987" s="2" t="s">
        <v>56</v>
      </c>
      <c r="V1987" s="2" t="s">
        <v>57</v>
      </c>
      <c r="W1987" s="2" t="s">
        <v>702</v>
      </c>
      <c r="X1987" s="2" t="s">
        <v>147</v>
      </c>
      <c r="Y1987" s="2">
        <v>39.700000000000003</v>
      </c>
      <c r="Z1987" s="2">
        <v>5.39</v>
      </c>
      <c r="AA1987" s="2" t="s">
        <v>218</v>
      </c>
      <c r="AB1987" s="2" t="s">
        <v>13458</v>
      </c>
      <c r="AC1987" s="2">
        <v>-2.0178379019402</v>
      </c>
      <c r="AD1987" s="2"/>
      <c r="AE1987" s="2">
        <v>0.33001133039653402</v>
      </c>
      <c r="AF1987" s="2">
        <v>15845.6175936564</v>
      </c>
      <c r="AG1987" s="2">
        <v>11495.698001844399</v>
      </c>
      <c r="AH1987" s="5">
        <v>1.3783954302830601</v>
      </c>
      <c r="AI1987" s="5">
        <v>0.462989823797605</v>
      </c>
      <c r="AJ1987" s="5" t="s">
        <v>139</v>
      </c>
      <c r="AK1987" s="2">
        <v>6.5492061071615607E-2</v>
      </c>
      <c r="AL1987" s="2">
        <v>0.34192828169447498</v>
      </c>
      <c r="AM1987" s="2">
        <v>14158.309158136501</v>
      </c>
      <c r="AN1987" s="2">
        <v>13935.298587965501</v>
      </c>
      <c r="AO1987" s="2">
        <v>12647.775850036</v>
      </c>
      <c r="AP1987" s="2">
        <v>17940.010389123301</v>
      </c>
      <c r="AQ1987" s="2">
        <v>16609.619000393701</v>
      </c>
      <c r="AR1987" s="2">
        <v>19782.692576283502</v>
      </c>
      <c r="AS1987" s="2">
        <v>13319.634797697499</v>
      </c>
      <c r="AT1987" s="2">
        <v>7299.3544627351203</v>
      </c>
      <c r="AU1987" s="2">
        <v>18270.725653037502</v>
      </c>
      <c r="AV1987" s="2">
        <v>10452.1912596936</v>
      </c>
      <c r="AW1987" s="2">
        <v>13129.768816697801</v>
      </c>
      <c r="AX1987" s="2">
        <v>6502.5130212046097</v>
      </c>
    </row>
    <row r="1988" spans="1:50" x14ac:dyDescent="0.25">
      <c r="A1988" s="2" t="s">
        <v>13459</v>
      </c>
      <c r="B1988" s="2">
        <v>200.12875079411199</v>
      </c>
      <c r="C1988" s="2">
        <v>4.0481166666666697</v>
      </c>
      <c r="D1988" s="2" t="s">
        <v>51</v>
      </c>
      <c r="E1988" s="2" t="s">
        <v>13460</v>
      </c>
      <c r="F1988" s="2">
        <v>83768</v>
      </c>
      <c r="G1988" s="3" t="str">
        <f>HYPERLINK("https://cloud.oebiotech.com/#/lm/network/83768", "https://cloud.oebiotech.com/#/lm/network/83768")</f>
        <v>https://cloud.oebiotech.com/#/lm/network/83768</v>
      </c>
      <c r="H1988" s="2" t="s">
        <v>13461</v>
      </c>
      <c r="I1988" s="2"/>
      <c r="J1988" s="2"/>
      <c r="K1988" s="2"/>
      <c r="L1988" s="2"/>
      <c r="M1988" s="2"/>
      <c r="N1988" s="2"/>
      <c r="O1988" s="2">
        <v>59908</v>
      </c>
      <c r="P1988" s="2"/>
      <c r="Q1988" s="2"/>
      <c r="R1988" s="2"/>
      <c r="S1988" s="2" t="s">
        <v>13462</v>
      </c>
      <c r="T1988" s="2" t="s">
        <v>13463</v>
      </c>
      <c r="U1988" s="2" t="s">
        <v>103</v>
      </c>
      <c r="V1988" s="2" t="s">
        <v>104</v>
      </c>
      <c r="W1988" s="2" t="s">
        <v>105</v>
      </c>
      <c r="X1988" s="2" t="s">
        <v>147</v>
      </c>
      <c r="Y1988" s="2">
        <v>38.799999999999997</v>
      </c>
      <c r="Z1988" s="2">
        <v>0</v>
      </c>
      <c r="AA1988" s="2" t="s">
        <v>122</v>
      </c>
      <c r="AB1988" s="2" t="s">
        <v>13464</v>
      </c>
      <c r="AC1988" s="2">
        <v>0.41100244676839398</v>
      </c>
      <c r="AD1988" s="2"/>
      <c r="AE1988" s="2">
        <v>0.32927613405189399</v>
      </c>
      <c r="AF1988" s="2">
        <v>3202.60541806014</v>
      </c>
      <c r="AG1988" s="2">
        <v>279.68975078099498</v>
      </c>
      <c r="AH1988" s="5">
        <v>11.450564095099301</v>
      </c>
      <c r="AI1988" s="5">
        <v>3.5173467671970302</v>
      </c>
      <c r="AJ1988" s="5" t="s">
        <v>139</v>
      </c>
      <c r="AK1988" s="2">
        <v>0.13325138563432101</v>
      </c>
      <c r="AL1988" s="2">
        <v>0.45370418977862098</v>
      </c>
      <c r="AM1988" s="2">
        <v>6720.2258943814604</v>
      </c>
      <c r="AN1988" s="2">
        <v>647.36016863371901</v>
      </c>
      <c r="AO1988" s="2">
        <v>10547.379427231799</v>
      </c>
      <c r="AP1988" s="2">
        <v>394.55734781049102</v>
      </c>
      <c r="AQ1988" s="2">
        <v>625.35588347220698</v>
      </c>
      <c r="AR1988" s="2">
        <v>280.75378683118998</v>
      </c>
      <c r="AS1988" s="2">
        <v>259.54547980066701</v>
      </c>
      <c r="AT1988" s="2">
        <v>429.35576756895199</v>
      </c>
      <c r="AU1988" s="2">
        <v>310.766273688485</v>
      </c>
      <c r="AV1988" s="2">
        <v>113.004938032052</v>
      </c>
      <c r="AW1988" s="2">
        <v>281.47087172723297</v>
      </c>
      <c r="AX1988" s="2">
        <v>283.995173868584</v>
      </c>
    </row>
    <row r="1989" spans="1:50" x14ac:dyDescent="0.25">
      <c r="A1989" s="2" t="s">
        <v>13465</v>
      </c>
      <c r="B1989" s="2">
        <v>620.393266411936</v>
      </c>
      <c r="C1989" s="2">
        <v>11.74925</v>
      </c>
      <c r="D1989" s="2" t="s">
        <v>51</v>
      </c>
      <c r="E1989" s="2" t="s">
        <v>13466</v>
      </c>
      <c r="F1989" s="2">
        <v>19885</v>
      </c>
      <c r="G1989" s="3" t="str">
        <f>HYPERLINK("https://cloud.oebiotech.com/#/lm/network/19885", "https://cloud.oebiotech.com/#/lm/network/19885")</f>
        <v>https://cloud.oebiotech.com/#/lm/network/19885</v>
      </c>
      <c r="H1989" s="2" t="s">
        <v>13467</v>
      </c>
      <c r="I1989" s="2">
        <v>61709</v>
      </c>
      <c r="J1989" s="2" t="s">
        <v>13468</v>
      </c>
      <c r="K1989" s="2">
        <v>52924059</v>
      </c>
      <c r="L1989" s="2" t="s">
        <v>691</v>
      </c>
      <c r="M1989" s="2" t="s">
        <v>692</v>
      </c>
      <c r="N1989" s="2" t="s">
        <v>693</v>
      </c>
      <c r="O1989" s="2">
        <v>88952</v>
      </c>
      <c r="P1989" s="2"/>
      <c r="Q1989" s="2"/>
      <c r="R1989" s="2"/>
      <c r="S1989" s="2" t="s">
        <v>13469</v>
      </c>
      <c r="T1989" s="2" t="s">
        <v>13470</v>
      </c>
      <c r="U1989" s="2" t="s">
        <v>56</v>
      </c>
      <c r="V1989" s="2" t="s">
        <v>57</v>
      </c>
      <c r="W1989" s="2" t="s">
        <v>58</v>
      </c>
      <c r="X1989" s="2" t="s">
        <v>83</v>
      </c>
      <c r="Y1989" s="2">
        <v>40.6</v>
      </c>
      <c r="Z1989" s="2">
        <v>0</v>
      </c>
      <c r="AA1989" s="2" t="s">
        <v>218</v>
      </c>
      <c r="AB1989" s="2" t="s">
        <v>13471</v>
      </c>
      <c r="AC1989" s="2">
        <v>-4.5690073126980799E-2</v>
      </c>
      <c r="AD1989" s="2"/>
      <c r="AE1989" s="2">
        <v>0.32919298343278802</v>
      </c>
      <c r="AF1989" s="2">
        <v>2889.8012102789598</v>
      </c>
      <c r="AG1989" s="2">
        <v>496.78107181958802</v>
      </c>
      <c r="AH1989" s="5">
        <v>5.8170517642596904</v>
      </c>
      <c r="AI1989" s="5">
        <v>2.5402881423485102</v>
      </c>
      <c r="AJ1989" s="5" t="s">
        <v>139</v>
      </c>
      <c r="AK1989" s="2">
        <v>6.8160766691797395E-2</v>
      </c>
      <c r="AL1989" s="2">
        <v>0.34616806830556102</v>
      </c>
      <c r="AM1989" s="2">
        <v>5464.6947839555196</v>
      </c>
      <c r="AN1989" s="2">
        <v>6696.0272779602201</v>
      </c>
      <c r="AO1989" s="2">
        <v>1383.38609979388</v>
      </c>
      <c r="AP1989" s="2">
        <v>395.73753499633199</v>
      </c>
      <c r="AQ1989" s="2">
        <v>8.559877937157E-6</v>
      </c>
      <c r="AR1989" s="2">
        <v>3398.9615564079099</v>
      </c>
      <c r="AS1989" s="2">
        <v>8.559877937157E-6</v>
      </c>
      <c r="AT1989" s="2">
        <v>484.624066284815</v>
      </c>
      <c r="AU1989" s="2">
        <v>1963.2973970683699</v>
      </c>
      <c r="AV1989" s="2">
        <v>8.559877937157E-6</v>
      </c>
      <c r="AW1989" s="2">
        <v>8.559877937157E-6</v>
      </c>
      <c r="AX1989" s="2">
        <v>532.76494188471099</v>
      </c>
    </row>
    <row r="1990" spans="1:50" x14ac:dyDescent="0.25">
      <c r="A1990" s="2" t="s">
        <v>13472</v>
      </c>
      <c r="B1990" s="2">
        <v>533.38481087980301</v>
      </c>
      <c r="C1990" s="2">
        <v>12.1338666666667</v>
      </c>
      <c r="D1990" s="2" t="s">
        <v>51</v>
      </c>
      <c r="E1990" s="2" t="s">
        <v>13473</v>
      </c>
      <c r="F1990" s="2">
        <v>45673</v>
      </c>
      <c r="G1990" s="3" t="str">
        <f>HYPERLINK("https://cloud.oebiotech.com/#/lm/network/45673", "https://cloud.oebiotech.com/#/lm/network/45673")</f>
        <v>https://cloud.oebiotech.com/#/lm/network/45673</v>
      </c>
      <c r="H1990" s="2"/>
      <c r="I1990" s="2"/>
      <c r="J1990" s="2" t="s">
        <v>13474</v>
      </c>
      <c r="K1990" s="2">
        <v>9547613</v>
      </c>
      <c r="L1990" s="2"/>
      <c r="M1990" s="2"/>
      <c r="N1990" s="2"/>
      <c r="O1990" s="2"/>
      <c r="P1990" s="2"/>
      <c r="Q1990" s="2"/>
      <c r="R1990" s="2"/>
      <c r="S1990" s="2" t="s">
        <v>13475</v>
      </c>
      <c r="T1990" s="2" t="s">
        <v>13476</v>
      </c>
      <c r="U1990" s="2" t="s">
        <v>56</v>
      </c>
      <c r="V1990" s="2" t="s">
        <v>283</v>
      </c>
      <c r="W1990" s="2" t="s">
        <v>420</v>
      </c>
      <c r="X1990" s="2" t="s">
        <v>83</v>
      </c>
      <c r="Y1990" s="2">
        <v>41.4</v>
      </c>
      <c r="Z1990" s="2">
        <v>0</v>
      </c>
      <c r="AA1990" s="2" t="s">
        <v>218</v>
      </c>
      <c r="AB1990" s="2" t="s">
        <v>13477</v>
      </c>
      <c r="AC1990" s="2">
        <v>9.8004177790550207E-2</v>
      </c>
      <c r="AD1990" s="2"/>
      <c r="AE1990" s="2">
        <v>0.32918851921328501</v>
      </c>
      <c r="AF1990" s="2">
        <v>12268.871620084199</v>
      </c>
      <c r="AG1990" s="2">
        <v>7976.7778784568</v>
      </c>
      <c r="AH1990" s="5">
        <v>1.5380736190761</v>
      </c>
      <c r="AI1990" s="5">
        <v>0.62112455878356099</v>
      </c>
      <c r="AJ1990" s="5" t="s">
        <v>139</v>
      </c>
      <c r="AK1990" s="2">
        <v>6.8434281748824502E-2</v>
      </c>
      <c r="AL1990" s="2">
        <v>0.34637197846783502</v>
      </c>
      <c r="AM1990" s="2">
        <v>7966.0093650566296</v>
      </c>
      <c r="AN1990" s="2">
        <v>15021.9063368632</v>
      </c>
      <c r="AO1990" s="2">
        <v>13588.409318740099</v>
      </c>
      <c r="AP1990" s="2">
        <v>17955.866961960601</v>
      </c>
      <c r="AQ1990" s="2">
        <v>10785.2207124949</v>
      </c>
      <c r="AR1990" s="2">
        <v>8295.8170253896606</v>
      </c>
      <c r="AS1990" s="2">
        <v>7090.1842399601101</v>
      </c>
      <c r="AT1990" s="2">
        <v>8182.2720834368502</v>
      </c>
      <c r="AU1990" s="2">
        <v>7592.9686306702597</v>
      </c>
      <c r="AV1990" s="2">
        <v>2721.0264186414001</v>
      </c>
      <c r="AW1990" s="2">
        <v>9431.0094016073508</v>
      </c>
      <c r="AX1990" s="2">
        <v>12843.2064964248</v>
      </c>
    </row>
    <row r="1991" spans="1:50" x14ac:dyDescent="0.25">
      <c r="A1991" s="2" t="s">
        <v>13478</v>
      </c>
      <c r="B1991" s="2">
        <v>655.29457702340198</v>
      </c>
      <c r="C1991" s="2">
        <v>4.9338333333333297</v>
      </c>
      <c r="D1991" s="2" t="s">
        <v>51</v>
      </c>
      <c r="E1991" s="2" t="s">
        <v>13479</v>
      </c>
      <c r="F1991" s="2">
        <v>35927</v>
      </c>
      <c r="G1991" s="3" t="str">
        <f>HYPERLINK("https://cloud.oebiotech.com/#/lm/network/35927", "https://cloud.oebiotech.com/#/lm/network/35927")</f>
        <v>https://cloud.oebiotech.com/#/lm/network/35927</v>
      </c>
      <c r="H1991" s="2"/>
      <c r="I1991" s="2"/>
      <c r="J1991" s="2" t="s">
        <v>13480</v>
      </c>
      <c r="K1991" s="2"/>
      <c r="L1991" s="2"/>
      <c r="M1991" s="2"/>
      <c r="N1991" s="2"/>
      <c r="O1991" s="2"/>
      <c r="P1991" s="2"/>
      <c r="Q1991" s="2"/>
      <c r="R1991" s="2"/>
      <c r="S1991" s="2" t="s">
        <v>13481</v>
      </c>
      <c r="T1991" s="2" t="s">
        <v>13482</v>
      </c>
      <c r="U1991" s="2" t="s">
        <v>56</v>
      </c>
      <c r="V1991" s="2" t="s">
        <v>177</v>
      </c>
      <c r="W1991" s="2" t="s">
        <v>178</v>
      </c>
      <c r="X1991" s="2" t="s">
        <v>83</v>
      </c>
      <c r="Y1991" s="2">
        <v>41.7</v>
      </c>
      <c r="Z1991" s="2">
        <v>0</v>
      </c>
      <c r="AA1991" s="2" t="s">
        <v>156</v>
      </c>
      <c r="AB1991" s="2" t="s">
        <v>13483</v>
      </c>
      <c r="AC1991" s="2">
        <v>-2.1650465983222298</v>
      </c>
      <c r="AD1991" s="2"/>
      <c r="AE1991" s="2">
        <v>0.32900288614092199</v>
      </c>
      <c r="AF1991" s="2">
        <v>8147.5297155874596</v>
      </c>
      <c r="AG1991" s="2">
        <v>4252.07980250536</v>
      </c>
      <c r="AH1991" s="5">
        <v>1.9161281288245999</v>
      </c>
      <c r="AI1991" s="5">
        <v>0.93819403531174805</v>
      </c>
      <c r="AJ1991" s="5" t="s">
        <v>139</v>
      </c>
      <c r="AK1991" s="2">
        <v>0.40966893338545901</v>
      </c>
      <c r="AL1991" s="2">
        <v>0.675237217520675</v>
      </c>
      <c r="AM1991" s="2">
        <v>27296.820703647802</v>
      </c>
      <c r="AN1991" s="2">
        <v>4231.1163555877101</v>
      </c>
      <c r="AO1991" s="2">
        <v>4035.7154828832399</v>
      </c>
      <c r="AP1991" s="2">
        <v>107.302349883617</v>
      </c>
      <c r="AQ1991" s="2">
        <v>2101.8104057583901</v>
      </c>
      <c r="AR1991" s="2">
        <v>11112.412995764</v>
      </c>
      <c r="AS1991" s="2">
        <v>38.7949783754433</v>
      </c>
      <c r="AT1991" s="2">
        <v>16.643410453652798</v>
      </c>
      <c r="AU1991" s="2">
        <v>5134.3167167767097</v>
      </c>
      <c r="AV1991" s="2">
        <v>12556.714544161499</v>
      </c>
      <c r="AW1991" s="2">
        <v>3598.0845964238201</v>
      </c>
      <c r="AX1991" s="2">
        <v>4167.9245688410201</v>
      </c>
    </row>
    <row r="1992" spans="1:50" x14ac:dyDescent="0.25">
      <c r="A1992" s="2" t="s">
        <v>13484</v>
      </c>
      <c r="B1992" s="2">
        <v>456.39089999999999</v>
      </c>
      <c r="C1992" s="2">
        <v>28.882999999999999</v>
      </c>
      <c r="D1992" s="2" t="s">
        <v>125</v>
      </c>
      <c r="E1992" s="2" t="s">
        <v>13485</v>
      </c>
      <c r="F1992" s="2">
        <v>545472</v>
      </c>
      <c r="G1992" s="3" t="str">
        <f>HYPERLINK("https://cloud.oebiotech.com/#/lm/network/545472", "https://cloud.oebiotech.com/#/lm/network/545472")</f>
        <v>https://cloud.oebiotech.com/#/lm/network/545472</v>
      </c>
      <c r="H1992" s="2"/>
      <c r="I1992" s="2"/>
      <c r="J1992" s="2"/>
      <c r="K1992" s="2">
        <v>59966826</v>
      </c>
      <c r="L1992" s="2"/>
      <c r="M1992" s="2"/>
      <c r="N1992" s="2"/>
      <c r="O1992" s="2"/>
      <c r="P1992" s="2"/>
      <c r="Q1992" s="2"/>
      <c r="R1992" s="2"/>
      <c r="S1992" s="2" t="s">
        <v>13486</v>
      </c>
      <c r="T1992" s="2" t="s">
        <v>13487</v>
      </c>
      <c r="U1992" s="2" t="s">
        <v>56</v>
      </c>
      <c r="V1992" s="2" t="s">
        <v>283</v>
      </c>
      <c r="W1992" s="2" t="s">
        <v>1108</v>
      </c>
      <c r="X1992" s="2" t="s">
        <v>69</v>
      </c>
      <c r="Y1992" s="2">
        <v>89.5</v>
      </c>
      <c r="Z1992" s="2">
        <v>92.8</v>
      </c>
      <c r="AA1992" s="2"/>
      <c r="AB1992" s="2" t="s">
        <v>5592</v>
      </c>
      <c r="AC1992" s="2"/>
      <c r="AD1992" s="2">
        <v>1166042.5179119799</v>
      </c>
      <c r="AE1992" s="2">
        <v>0.32897456430928801</v>
      </c>
      <c r="AF1992" s="2">
        <v>33706.775659044099</v>
      </c>
      <c r="AG1992" s="2">
        <v>16024.739505659099</v>
      </c>
      <c r="AH1992" s="5">
        <v>2.1034211287578599</v>
      </c>
      <c r="AI1992" s="5">
        <v>1.07273772289244</v>
      </c>
      <c r="AJ1992" s="5" t="s">
        <v>139</v>
      </c>
      <c r="AK1992" s="2">
        <v>1.1280806972798599E-4</v>
      </c>
      <c r="AL1992" s="2">
        <v>3.9225470277496198E-2</v>
      </c>
      <c r="AM1992" s="2">
        <v>34926.998679303397</v>
      </c>
      <c r="AN1992" s="2">
        <v>37678.442956924802</v>
      </c>
      <c r="AO1992" s="2">
        <v>26877.355088157001</v>
      </c>
      <c r="AP1992" s="2">
        <v>34148.184639856299</v>
      </c>
      <c r="AQ1992" s="2">
        <v>30371.021856906598</v>
      </c>
      <c r="AR1992" s="2">
        <v>38238.650733116599</v>
      </c>
      <c r="AS1992" s="2">
        <v>21978.066346546701</v>
      </c>
      <c r="AT1992" s="2">
        <v>21441.996469149999</v>
      </c>
      <c r="AU1992" s="2">
        <v>8982.8947969645506</v>
      </c>
      <c r="AV1992" s="2">
        <v>9865.9990212317007</v>
      </c>
      <c r="AW1992" s="2">
        <v>17553.1108893169</v>
      </c>
      <c r="AX1992" s="2">
        <v>16326.3695107447</v>
      </c>
    </row>
    <row r="1993" spans="1:50" x14ac:dyDescent="0.25">
      <c r="A1993" s="2" t="s">
        <v>13488</v>
      </c>
      <c r="B1993" s="2">
        <v>263.12889291334199</v>
      </c>
      <c r="C1993" s="2">
        <v>5.8746499999999999</v>
      </c>
      <c r="D1993" s="2" t="s">
        <v>51</v>
      </c>
      <c r="E1993" s="2" t="s">
        <v>13489</v>
      </c>
      <c r="F1993" s="2">
        <v>59988</v>
      </c>
      <c r="G1993" s="3" t="str">
        <f>HYPERLINK("https://cloud.oebiotech.com/#/lm/network/59988", "https://cloud.oebiotech.com/#/lm/network/59988")</f>
        <v>https://cloud.oebiotech.com/#/lm/network/59988</v>
      </c>
      <c r="H1993" s="2" t="s">
        <v>13490</v>
      </c>
      <c r="I1993" s="2">
        <v>91350</v>
      </c>
      <c r="J1993" s="2"/>
      <c r="K1993" s="2">
        <v>13944243</v>
      </c>
      <c r="L1993" s="2"/>
      <c r="M1993" s="2"/>
      <c r="N1993" s="2"/>
      <c r="O1993" s="2">
        <v>174479</v>
      </c>
      <c r="P1993" s="2"/>
      <c r="Q1993" s="2"/>
      <c r="R1993" s="2" t="s">
        <v>13491</v>
      </c>
      <c r="S1993" s="2" t="s">
        <v>13492</v>
      </c>
      <c r="T1993" s="2" t="s">
        <v>13493</v>
      </c>
      <c r="U1993" s="2" t="s">
        <v>56</v>
      </c>
      <c r="V1993" s="2" t="s">
        <v>177</v>
      </c>
      <c r="W1993" s="2" t="s">
        <v>806</v>
      </c>
      <c r="X1993" s="2" t="s">
        <v>83</v>
      </c>
      <c r="Y1993" s="2">
        <v>57</v>
      </c>
      <c r="Z1993" s="2">
        <v>6.11</v>
      </c>
      <c r="AA1993" s="2" t="s">
        <v>163</v>
      </c>
      <c r="AB1993" s="2" t="s">
        <v>13494</v>
      </c>
      <c r="AC1993" s="2">
        <v>3.8713754201909902E-2</v>
      </c>
      <c r="AD1993" s="2"/>
      <c r="AE1993" s="2">
        <v>0.32870542094748001</v>
      </c>
      <c r="AF1993" s="2">
        <v>5074.11305663247</v>
      </c>
      <c r="AG1993" s="2">
        <v>2689.20424849558</v>
      </c>
      <c r="AH1993" s="5">
        <v>1.8868455452839199</v>
      </c>
      <c r="AI1993" s="5">
        <v>0.91597633063681505</v>
      </c>
      <c r="AJ1993" s="5" t="s">
        <v>139</v>
      </c>
      <c r="AK1993" s="2">
        <v>4.2224149942627402E-2</v>
      </c>
      <c r="AL1993" s="2">
        <v>0.29293759539812297</v>
      </c>
      <c r="AM1993" s="2">
        <v>9130.1670818774292</v>
      </c>
      <c r="AN1993" s="2">
        <v>4803.2296759884603</v>
      </c>
      <c r="AO1993" s="2">
        <v>3970.55556212902</v>
      </c>
      <c r="AP1993" s="2">
        <v>3881.49495045393</v>
      </c>
      <c r="AQ1993" s="2">
        <v>2616.7986554904401</v>
      </c>
      <c r="AR1993" s="2">
        <v>6042.4324138555303</v>
      </c>
      <c r="AS1993" s="2">
        <v>4178.7577862075696</v>
      </c>
      <c r="AT1993" s="2">
        <v>3529.4231446417102</v>
      </c>
      <c r="AU1993" s="2">
        <v>2437.4576306645199</v>
      </c>
      <c r="AV1993" s="2">
        <v>1399.67091632504</v>
      </c>
      <c r="AW1993" s="2">
        <v>1851.6495130872599</v>
      </c>
      <c r="AX1993" s="2">
        <v>2738.2665000473598</v>
      </c>
    </row>
    <row r="1994" spans="1:50" x14ac:dyDescent="0.25">
      <c r="A1994" s="2" t="s">
        <v>13495</v>
      </c>
      <c r="B1994" s="2">
        <v>345.24362403315803</v>
      </c>
      <c r="C1994" s="2">
        <v>11.2129333333333</v>
      </c>
      <c r="D1994" s="2" t="s">
        <v>51</v>
      </c>
      <c r="E1994" s="2" t="s">
        <v>13496</v>
      </c>
      <c r="F1994" s="2">
        <v>36108</v>
      </c>
      <c r="G1994" s="3" t="str">
        <f>HYPERLINK("https://cloud.oebiotech.com/#/lm/network/36108", "https://cloud.oebiotech.com/#/lm/network/36108")</f>
        <v>https://cloud.oebiotech.com/#/lm/network/36108</v>
      </c>
      <c r="H1994" s="2"/>
      <c r="I1994" s="2">
        <v>330413</v>
      </c>
      <c r="J1994" s="2" t="s">
        <v>13497</v>
      </c>
      <c r="K1994" s="2">
        <v>443488</v>
      </c>
      <c r="L1994" s="2" t="s">
        <v>13498</v>
      </c>
      <c r="M1994" s="2"/>
      <c r="N1994" s="2"/>
      <c r="O1994" s="2">
        <v>50436</v>
      </c>
      <c r="P1994" s="2"/>
      <c r="Q1994" s="2"/>
      <c r="R1994" s="2"/>
      <c r="S1994" s="2" t="s">
        <v>13499</v>
      </c>
      <c r="T1994" s="2" t="s">
        <v>13500</v>
      </c>
      <c r="U1994" s="2" t="s">
        <v>56</v>
      </c>
      <c r="V1994" s="2" t="s">
        <v>177</v>
      </c>
      <c r="W1994" s="2" t="s">
        <v>178</v>
      </c>
      <c r="X1994" s="2" t="s">
        <v>69</v>
      </c>
      <c r="Y1994" s="2">
        <v>56.3</v>
      </c>
      <c r="Z1994" s="2">
        <v>61.9</v>
      </c>
      <c r="AA1994" s="2" t="s">
        <v>163</v>
      </c>
      <c r="AB1994" s="2" t="s">
        <v>7389</v>
      </c>
      <c r="AC1994" s="2">
        <v>0.30473893443904898</v>
      </c>
      <c r="AD1994" s="2"/>
      <c r="AE1994" s="2">
        <v>0.328300878682942</v>
      </c>
      <c r="AF1994" s="2">
        <v>72786.883974273296</v>
      </c>
      <c r="AG1994" s="2">
        <v>61079.274267674999</v>
      </c>
      <c r="AH1994" s="5">
        <v>1.1916789262310299</v>
      </c>
      <c r="AI1994" s="5">
        <v>0.25299558317411902</v>
      </c>
      <c r="AJ1994" s="5" t="s">
        <v>139</v>
      </c>
      <c r="AK1994" s="2">
        <v>0.53097644311747705</v>
      </c>
      <c r="AL1994" s="2">
        <v>0.75833705623970704</v>
      </c>
      <c r="AM1994" s="2">
        <v>99442.201235451299</v>
      </c>
      <c r="AN1994" s="2">
        <v>44198.598941614102</v>
      </c>
      <c r="AO1994" s="2">
        <v>36091.203422926403</v>
      </c>
      <c r="AP1994" s="2">
        <v>47455.625830481098</v>
      </c>
      <c r="AQ1994" s="2">
        <v>103242.72685400701</v>
      </c>
      <c r="AR1994" s="2">
        <v>106290.94756116001</v>
      </c>
      <c r="AS1994" s="2">
        <v>38736.583664422898</v>
      </c>
      <c r="AT1994" s="2">
        <v>22860.654708066199</v>
      </c>
      <c r="AU1994" s="2">
        <v>81760.940149853195</v>
      </c>
      <c r="AV1994" s="2">
        <v>86106.997182628897</v>
      </c>
      <c r="AW1994" s="2">
        <v>91668.367221498003</v>
      </c>
      <c r="AX1994" s="2">
        <v>45342.102679580603</v>
      </c>
    </row>
    <row r="1995" spans="1:50" x14ac:dyDescent="0.25">
      <c r="A1995" s="2" t="s">
        <v>13501</v>
      </c>
      <c r="B1995" s="2">
        <v>715.53395170183603</v>
      </c>
      <c r="C1995" s="2">
        <v>12.1338666666667</v>
      </c>
      <c r="D1995" s="2" t="s">
        <v>51</v>
      </c>
      <c r="E1995" s="2" t="s">
        <v>13502</v>
      </c>
      <c r="F1995" s="2">
        <v>8502</v>
      </c>
      <c r="G1995" s="3" t="str">
        <f>HYPERLINK("https://cloud.oebiotech.com/#/lm/network/8502", "https://cloud.oebiotech.com/#/lm/network/8502")</f>
        <v>https://cloud.oebiotech.com/#/lm/network/8502</v>
      </c>
      <c r="H1995" s="2"/>
      <c r="I1995" s="2"/>
      <c r="J1995" s="2" t="s">
        <v>13503</v>
      </c>
      <c r="K1995" s="2"/>
      <c r="L1995" s="2"/>
      <c r="M1995" s="2"/>
      <c r="N1995" s="2"/>
      <c r="O1995" s="2"/>
      <c r="P1995" s="2"/>
      <c r="Q1995" s="2"/>
      <c r="R1995" s="2"/>
      <c r="S1995" s="2" t="s">
        <v>13504</v>
      </c>
      <c r="T1995" s="2" t="s">
        <v>13505</v>
      </c>
      <c r="U1995" s="2" t="s">
        <v>56</v>
      </c>
      <c r="V1995" s="2" t="s">
        <v>145</v>
      </c>
      <c r="W1995" s="2" t="s">
        <v>1188</v>
      </c>
      <c r="X1995" s="2" t="s">
        <v>83</v>
      </c>
      <c r="Y1995" s="2">
        <v>51.6</v>
      </c>
      <c r="Z1995" s="2">
        <v>0</v>
      </c>
      <c r="AA1995" s="2" t="s">
        <v>478</v>
      </c>
      <c r="AB1995" s="2" t="s">
        <v>10283</v>
      </c>
      <c r="AC1995" s="2">
        <v>-3.6571370886988301</v>
      </c>
      <c r="AD1995" s="2"/>
      <c r="AE1995" s="2">
        <v>0.328221239374065</v>
      </c>
      <c r="AF1995" s="2">
        <v>1019.04101025963</v>
      </c>
      <c r="AG1995" s="2">
        <v>4783.4100800767001</v>
      </c>
      <c r="AH1995" s="4">
        <v>0.213036514369533</v>
      </c>
      <c r="AI1995" s="4">
        <v>-2.2308273659151201</v>
      </c>
      <c r="AJ1995" s="4" t="s">
        <v>62</v>
      </c>
      <c r="AK1995" s="2">
        <v>3.16071505639152E-2</v>
      </c>
      <c r="AL1995" s="2">
        <v>0.26208331410330299</v>
      </c>
      <c r="AM1995" s="2">
        <v>2002.9910903714299</v>
      </c>
      <c r="AN1995" s="2">
        <v>8.559877937157E-6</v>
      </c>
      <c r="AO1995" s="2">
        <v>8.559877937157E-6</v>
      </c>
      <c r="AP1995" s="2">
        <v>427.19731529025802</v>
      </c>
      <c r="AQ1995" s="2">
        <v>1699.3968549363799</v>
      </c>
      <c r="AR1995" s="2">
        <v>1984.66078383994</v>
      </c>
      <c r="AS1995" s="2">
        <v>8.559877937157E-6</v>
      </c>
      <c r="AT1995" s="2">
        <v>9041.9152679341405</v>
      </c>
      <c r="AU1995" s="2">
        <v>5115.2974577654304</v>
      </c>
      <c r="AV1995" s="2">
        <v>5654.5502588331301</v>
      </c>
      <c r="AW1995" s="2">
        <v>7705.8357180167504</v>
      </c>
      <c r="AX1995" s="2">
        <v>1182.86176935085</v>
      </c>
    </row>
    <row r="1996" spans="1:50" x14ac:dyDescent="0.25">
      <c r="A1996" s="2" t="s">
        <v>13506</v>
      </c>
      <c r="B1996" s="2">
        <v>208.98422927311501</v>
      </c>
      <c r="C1996" s="2">
        <v>5.9233833333333301</v>
      </c>
      <c r="D1996" s="2" t="s">
        <v>51</v>
      </c>
      <c r="E1996" s="2" t="s">
        <v>13507</v>
      </c>
      <c r="F1996" s="2">
        <v>201443</v>
      </c>
      <c r="G1996" s="3" t="str">
        <f>HYPERLINK("https://cloud.oebiotech.com/#/lm/network/201443", "https://cloud.oebiotech.com/#/lm/network/201443")</f>
        <v>https://cloud.oebiotech.com/#/lm/network/201443</v>
      </c>
      <c r="H1996" s="2" t="s">
        <v>13508</v>
      </c>
      <c r="I1996" s="2">
        <v>68986</v>
      </c>
      <c r="J1996" s="2"/>
      <c r="K1996" s="2">
        <v>11873</v>
      </c>
      <c r="L1996" s="2" t="s">
        <v>13509</v>
      </c>
      <c r="M1996" s="2"/>
      <c r="N1996" s="2"/>
      <c r="O1996" s="2">
        <v>53648</v>
      </c>
      <c r="P1996" s="2"/>
      <c r="Q1996" s="2"/>
      <c r="R1996" s="2" t="s">
        <v>13510</v>
      </c>
      <c r="S1996" s="2" t="s">
        <v>13511</v>
      </c>
      <c r="T1996" s="2" t="s">
        <v>13512</v>
      </c>
      <c r="U1996" s="2" t="s">
        <v>610</v>
      </c>
      <c r="V1996" s="2" t="s">
        <v>895</v>
      </c>
      <c r="W1996" s="2" t="s">
        <v>5799</v>
      </c>
      <c r="X1996" s="2" t="s">
        <v>147</v>
      </c>
      <c r="Y1996" s="2">
        <v>38.5</v>
      </c>
      <c r="Z1996" s="2">
        <v>0</v>
      </c>
      <c r="AA1996" s="2" t="s">
        <v>379</v>
      </c>
      <c r="AB1996" s="2" t="s">
        <v>13513</v>
      </c>
      <c r="AC1996" s="2">
        <v>0.96454618689324501</v>
      </c>
      <c r="AD1996" s="2"/>
      <c r="AE1996" s="2">
        <v>0.32821848540968601</v>
      </c>
      <c r="AF1996" s="2">
        <v>11788.6460697087</v>
      </c>
      <c r="AG1996" s="2">
        <v>14953.0922680863</v>
      </c>
      <c r="AH1996" s="4">
        <v>0.78837513059881503</v>
      </c>
      <c r="AI1996" s="4">
        <v>-0.34304582780030202</v>
      </c>
      <c r="AJ1996" s="4" t="s">
        <v>62</v>
      </c>
      <c r="AK1996" s="2">
        <v>2.7564204568571199E-2</v>
      </c>
      <c r="AL1996" s="2">
        <v>0.25505404741882998</v>
      </c>
      <c r="AM1996" s="2">
        <v>11573.900897666001</v>
      </c>
      <c r="AN1996" s="2">
        <v>12698.3663406624</v>
      </c>
      <c r="AO1996" s="2">
        <v>8983.4282676534003</v>
      </c>
      <c r="AP1996" s="2">
        <v>13743.461058622799</v>
      </c>
      <c r="AQ1996" s="2">
        <v>12061.3826554306</v>
      </c>
      <c r="AR1996" s="2">
        <v>11671.337198216999</v>
      </c>
      <c r="AS1996" s="2">
        <v>12379.8520346884</v>
      </c>
      <c r="AT1996" s="2">
        <v>18783.622423226199</v>
      </c>
      <c r="AU1996" s="2">
        <v>13653.829350263601</v>
      </c>
      <c r="AV1996" s="2">
        <v>17426.23103924</v>
      </c>
      <c r="AW1996" s="2">
        <v>13220.5711587856</v>
      </c>
      <c r="AX1996" s="2">
        <v>14254.4476023142</v>
      </c>
    </row>
    <row r="1997" spans="1:50" x14ac:dyDescent="0.25">
      <c r="A1997" s="2" t="s">
        <v>13514</v>
      </c>
      <c r="B1997" s="2">
        <v>337.122887769339</v>
      </c>
      <c r="C1997" s="2">
        <v>8.1498833333333298</v>
      </c>
      <c r="D1997" s="2" t="s">
        <v>51</v>
      </c>
      <c r="E1997" s="2" t="s">
        <v>13515</v>
      </c>
      <c r="F1997" s="2">
        <v>58078</v>
      </c>
      <c r="G1997" s="3" t="str">
        <f>HYPERLINK("https://cloud.oebiotech.com/#/lm/network/58078", "https://cloud.oebiotech.com/#/lm/network/58078")</f>
        <v>https://cloud.oebiotech.com/#/lm/network/58078</v>
      </c>
      <c r="H1997" s="2" t="s">
        <v>13516</v>
      </c>
      <c r="I1997" s="2"/>
      <c r="J1997" s="2"/>
      <c r="K1997" s="2">
        <v>13751493</v>
      </c>
      <c r="L1997" s="2"/>
      <c r="M1997" s="2"/>
      <c r="N1997" s="2"/>
      <c r="O1997" s="2">
        <v>38158</v>
      </c>
      <c r="P1997" s="2"/>
      <c r="Q1997" s="2"/>
      <c r="R1997" s="2" t="s">
        <v>13517</v>
      </c>
      <c r="S1997" s="2" t="s">
        <v>13518</v>
      </c>
      <c r="T1997" s="2" t="s">
        <v>13519</v>
      </c>
      <c r="U1997" s="2" t="s">
        <v>103</v>
      </c>
      <c r="V1997" s="2" t="s">
        <v>104</v>
      </c>
      <c r="W1997" s="2" t="s">
        <v>105</v>
      </c>
      <c r="X1997" s="2" t="s">
        <v>147</v>
      </c>
      <c r="Y1997" s="2">
        <v>40.9</v>
      </c>
      <c r="Z1997" s="2">
        <v>12</v>
      </c>
      <c r="AA1997" s="2" t="s">
        <v>259</v>
      </c>
      <c r="AB1997" s="2" t="s">
        <v>13520</v>
      </c>
      <c r="AC1997" s="2">
        <v>-3.77514422987446</v>
      </c>
      <c r="AD1997" s="2"/>
      <c r="AE1997" s="2">
        <v>0.32805575295469203</v>
      </c>
      <c r="AF1997" s="2">
        <v>695.40623786823198</v>
      </c>
      <c r="AG1997" s="2">
        <v>5973.2916995148698</v>
      </c>
      <c r="AH1997" s="4">
        <v>0.116419266436412</v>
      </c>
      <c r="AI1997" s="4">
        <v>-3.1025982626534598</v>
      </c>
      <c r="AJ1997" s="4" t="s">
        <v>62</v>
      </c>
      <c r="AK1997" s="2">
        <v>0.127228149261329</v>
      </c>
      <c r="AL1997" s="2">
        <v>0.44626309510015799</v>
      </c>
      <c r="AM1997" s="2">
        <v>900.66837131012403</v>
      </c>
      <c r="AN1997" s="2">
        <v>267.79659764208401</v>
      </c>
      <c r="AO1997" s="2">
        <v>1337.3620033823099</v>
      </c>
      <c r="AP1997" s="2">
        <v>8.559877937157E-6</v>
      </c>
      <c r="AQ1997" s="2">
        <v>566.50333002556499</v>
      </c>
      <c r="AR1997" s="2">
        <v>1100.10711628943</v>
      </c>
      <c r="AS1997" s="2">
        <v>2842.6456896796099</v>
      </c>
      <c r="AT1997" s="2">
        <v>601.87554235781602</v>
      </c>
      <c r="AU1997" s="2">
        <v>21224.4906300603</v>
      </c>
      <c r="AV1997" s="2">
        <v>1443.8947795188201</v>
      </c>
      <c r="AW1997" s="2">
        <v>6670.3771426495196</v>
      </c>
      <c r="AX1997" s="2">
        <v>3056.4664128231698</v>
      </c>
    </row>
    <row r="1998" spans="1:50" x14ac:dyDescent="0.25">
      <c r="A1998" s="2" t="s">
        <v>13521</v>
      </c>
      <c r="B1998" s="2">
        <v>435.21632057904202</v>
      </c>
      <c r="C1998" s="2">
        <v>10.6304833333333</v>
      </c>
      <c r="D1998" s="2" t="s">
        <v>51</v>
      </c>
      <c r="E1998" s="2" t="s">
        <v>13522</v>
      </c>
      <c r="F1998" s="2">
        <v>57681</v>
      </c>
      <c r="G1998" s="3" t="str">
        <f>HYPERLINK("https://cloud.oebiotech.com/#/lm/network/57681", "https://cloud.oebiotech.com/#/lm/network/57681")</f>
        <v>https://cloud.oebiotech.com/#/lm/network/57681</v>
      </c>
      <c r="H1998" s="2" t="s">
        <v>13523</v>
      </c>
      <c r="I1998" s="2"/>
      <c r="J1998" s="2"/>
      <c r="K1998" s="2"/>
      <c r="L1998" s="2"/>
      <c r="M1998" s="2"/>
      <c r="N1998" s="2"/>
      <c r="O1998" s="2"/>
      <c r="P1998" s="2"/>
      <c r="Q1998" s="2"/>
      <c r="R1998" s="2" t="s">
        <v>13524</v>
      </c>
      <c r="S1998" s="2" t="s">
        <v>13525</v>
      </c>
      <c r="T1998" s="2" t="s">
        <v>13526</v>
      </c>
      <c r="U1998" s="2" t="s">
        <v>331</v>
      </c>
      <c r="V1998" s="2" t="s">
        <v>332</v>
      </c>
      <c r="W1998" s="2" t="s">
        <v>511</v>
      </c>
      <c r="X1998" s="2" t="s">
        <v>147</v>
      </c>
      <c r="Y1998" s="2">
        <v>36.4</v>
      </c>
      <c r="Z1998" s="2">
        <v>0</v>
      </c>
      <c r="AA1998" s="2" t="s">
        <v>122</v>
      </c>
      <c r="AB1998" s="2" t="s">
        <v>13527</v>
      </c>
      <c r="AC1998" s="2">
        <v>1.1811528093369099</v>
      </c>
      <c r="AD1998" s="2"/>
      <c r="AE1998" s="2">
        <v>0.327888570233143</v>
      </c>
      <c r="AF1998" s="2">
        <v>5110.3872784405203</v>
      </c>
      <c r="AG1998" s="2">
        <v>2178.1194060774601</v>
      </c>
      <c r="AH1998" s="5">
        <v>2.3462383486329399</v>
      </c>
      <c r="AI1998" s="5">
        <v>1.2303495806826901</v>
      </c>
      <c r="AJ1998" s="5" t="s">
        <v>139</v>
      </c>
      <c r="AK1998" s="2">
        <v>2.9523784936642702E-2</v>
      </c>
      <c r="AL1998" s="2">
        <v>0.25908320162100301</v>
      </c>
      <c r="AM1998" s="2">
        <v>2094.7208028918799</v>
      </c>
      <c r="AN1998" s="2">
        <v>6928.9786482332802</v>
      </c>
      <c r="AO1998" s="2">
        <v>8405.2663847713993</v>
      </c>
      <c r="AP1998" s="2">
        <v>2919.1008466090798</v>
      </c>
      <c r="AQ1998" s="2">
        <v>5299.6401984903196</v>
      </c>
      <c r="AR1998" s="2">
        <v>5014.6167896471597</v>
      </c>
      <c r="AS1998" s="2">
        <v>3832.98991387044</v>
      </c>
      <c r="AT1998" s="2">
        <v>3712.7960462810001</v>
      </c>
      <c r="AU1998" s="2">
        <v>1682.72419904925</v>
      </c>
      <c r="AV1998" s="2">
        <v>8.559877937157E-6</v>
      </c>
      <c r="AW1998" s="2">
        <v>981.75791456677302</v>
      </c>
      <c r="AX1998" s="2">
        <v>2858.4483541373902</v>
      </c>
    </row>
    <row r="1999" spans="1:50" x14ac:dyDescent="0.25">
      <c r="A1999" s="2" t="s">
        <v>13528</v>
      </c>
      <c r="B1999" s="2">
        <v>152.995899739865</v>
      </c>
      <c r="C1999" s="2">
        <v>6.7040499999999996</v>
      </c>
      <c r="D1999" s="2" t="s">
        <v>51</v>
      </c>
      <c r="E1999" s="2" t="s">
        <v>13529</v>
      </c>
      <c r="F1999" s="2">
        <v>213065</v>
      </c>
      <c r="G1999" s="3" t="str">
        <f>HYPERLINK("https://cloud.oebiotech.com/#/lm/network/213065", "https://cloud.oebiotech.com/#/lm/network/213065")</f>
        <v>https://cloud.oebiotech.com/#/lm/network/213065</v>
      </c>
      <c r="H1999" s="2" t="s">
        <v>13530</v>
      </c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 t="s">
        <v>13531</v>
      </c>
      <c r="T1999" s="2" t="s">
        <v>13532</v>
      </c>
      <c r="U1999" s="2" t="s">
        <v>103</v>
      </c>
      <c r="V1999" s="2" t="s">
        <v>9072</v>
      </c>
      <c r="W1999" s="2" t="s">
        <v>13533</v>
      </c>
      <c r="X1999" s="2" t="s">
        <v>147</v>
      </c>
      <c r="Y1999" s="2">
        <v>39.6</v>
      </c>
      <c r="Z1999" s="2">
        <v>0</v>
      </c>
      <c r="AA1999" s="2" t="s">
        <v>218</v>
      </c>
      <c r="AB1999" s="2" t="s">
        <v>13534</v>
      </c>
      <c r="AC1999" s="2">
        <v>0.61316933274379504</v>
      </c>
      <c r="AD1999" s="2"/>
      <c r="AE1999" s="2">
        <v>0.32765355288985398</v>
      </c>
      <c r="AF1999" s="2">
        <v>13154.0679776777</v>
      </c>
      <c r="AG1999" s="2">
        <v>15553.693943856</v>
      </c>
      <c r="AH1999" s="4">
        <v>0.84571986726495796</v>
      </c>
      <c r="AI1999" s="4">
        <v>-0.24174822472663601</v>
      </c>
      <c r="AJ1999" s="4" t="s">
        <v>62</v>
      </c>
      <c r="AK1999" s="2">
        <v>2.04281551273124E-2</v>
      </c>
      <c r="AL1999" s="2">
        <v>0.222944773880246</v>
      </c>
      <c r="AM1999" s="2">
        <v>11778.9580171139</v>
      </c>
      <c r="AN1999" s="2">
        <v>11714.4153352134</v>
      </c>
      <c r="AO1999" s="2">
        <v>14772.502236747699</v>
      </c>
      <c r="AP1999" s="2">
        <v>15336.2864518486</v>
      </c>
      <c r="AQ1999" s="2">
        <v>13863.940064104399</v>
      </c>
      <c r="AR1999" s="2">
        <v>11458.3057610382</v>
      </c>
      <c r="AS1999" s="2">
        <v>16386.072965829801</v>
      </c>
      <c r="AT1999" s="2">
        <v>16572.419928691499</v>
      </c>
      <c r="AU1999" s="2">
        <v>13296.5144615889</v>
      </c>
      <c r="AV1999" s="2">
        <v>15168.0978872495</v>
      </c>
      <c r="AW1999" s="2">
        <v>15314.413628693201</v>
      </c>
      <c r="AX1999" s="2">
        <v>16584.644791083301</v>
      </c>
    </row>
    <row r="2000" spans="1:50" x14ac:dyDescent="0.25">
      <c r="A2000" s="2" t="s">
        <v>13535</v>
      </c>
      <c r="B2000" s="2">
        <v>438.28659763126097</v>
      </c>
      <c r="C2000" s="2">
        <v>6.8908500000000004</v>
      </c>
      <c r="D2000" s="2" t="s">
        <v>51</v>
      </c>
      <c r="E2000" s="2" t="s">
        <v>13536</v>
      </c>
      <c r="F2000" s="2">
        <v>56548</v>
      </c>
      <c r="G2000" s="3" t="str">
        <f>HYPERLINK("https://cloud.oebiotech.com/#/lm/network/56548", "https://cloud.oebiotech.com/#/lm/network/56548")</f>
        <v>https://cloud.oebiotech.com/#/lm/network/56548</v>
      </c>
      <c r="H2000" s="2" t="s">
        <v>13537</v>
      </c>
      <c r="I2000" s="2">
        <v>88183</v>
      </c>
      <c r="J2000" s="2"/>
      <c r="K2000" s="2">
        <v>131751255</v>
      </c>
      <c r="L2000" s="2"/>
      <c r="M2000" s="2"/>
      <c r="N2000" s="2"/>
      <c r="O2000" s="2">
        <v>172662</v>
      </c>
      <c r="P2000" s="2"/>
      <c r="Q2000" s="2"/>
      <c r="R2000" s="2"/>
      <c r="S2000" s="2" t="s">
        <v>13538</v>
      </c>
      <c r="T2000" s="2" t="s">
        <v>13539</v>
      </c>
      <c r="U2000" s="2" t="s">
        <v>103</v>
      </c>
      <c r="V2000" s="2" t="s">
        <v>2602</v>
      </c>
      <c r="W2000" s="2" t="s">
        <v>13540</v>
      </c>
      <c r="X2000" s="2" t="s">
        <v>147</v>
      </c>
      <c r="Y2000" s="2">
        <v>37.6</v>
      </c>
      <c r="Z2000" s="2">
        <v>0</v>
      </c>
      <c r="AA2000" s="2" t="s">
        <v>512</v>
      </c>
      <c r="AB2000" s="2" t="s">
        <v>13541</v>
      </c>
      <c r="AC2000" s="2">
        <v>3.7673406347246599</v>
      </c>
      <c r="AD2000" s="2"/>
      <c r="AE2000" s="2">
        <v>0.32761106245138</v>
      </c>
      <c r="AF2000" s="2">
        <v>6581.1076567254904</v>
      </c>
      <c r="AG2000" s="2">
        <v>3812.4009998844999</v>
      </c>
      <c r="AH2000" s="5">
        <v>1.7262369978721701</v>
      </c>
      <c r="AI2000" s="5">
        <v>0.78763054805263499</v>
      </c>
      <c r="AJ2000" s="5" t="s">
        <v>139</v>
      </c>
      <c r="AK2000" s="2">
        <v>0.180422200724346</v>
      </c>
      <c r="AL2000" s="2">
        <v>0.50362421935593504</v>
      </c>
      <c r="AM2000" s="2">
        <v>13872.370743539601</v>
      </c>
      <c r="AN2000" s="2">
        <v>5296.8870859083599</v>
      </c>
      <c r="AO2000" s="2">
        <v>7427.4589067497</v>
      </c>
      <c r="AP2000" s="2">
        <v>2528.8610386461301</v>
      </c>
      <c r="AQ2000" s="2">
        <v>3080.1574117462001</v>
      </c>
      <c r="AR2000" s="2">
        <v>7280.9107537629698</v>
      </c>
      <c r="AS2000" s="2">
        <v>6507.5712145740599</v>
      </c>
      <c r="AT2000" s="2">
        <v>2396.1550594769801</v>
      </c>
      <c r="AU2000" s="2">
        <v>6140.7530144400898</v>
      </c>
      <c r="AV2000" s="2">
        <v>1014.65713531123</v>
      </c>
      <c r="AW2000" s="2">
        <v>4703.6438962833199</v>
      </c>
      <c r="AX2000" s="2">
        <v>2111.6256792213399</v>
      </c>
    </row>
    <row r="2001" spans="1:50" x14ac:dyDescent="0.25">
      <c r="A2001" s="2" t="s">
        <v>13542</v>
      </c>
      <c r="B2001" s="2">
        <v>361.34366592297903</v>
      </c>
      <c r="C2001" s="2">
        <v>9.2584999999999997</v>
      </c>
      <c r="D2001" s="2" t="s">
        <v>51</v>
      </c>
      <c r="E2001" s="2" t="s">
        <v>13543</v>
      </c>
      <c r="F2001" s="2">
        <v>10114</v>
      </c>
      <c r="G2001" s="3" t="str">
        <f>HYPERLINK("https://cloud.oebiotech.com/#/lm/network/10114", "https://cloud.oebiotech.com/#/lm/network/10114")</f>
        <v>https://cloud.oebiotech.com/#/lm/network/10114</v>
      </c>
      <c r="H2001" s="2"/>
      <c r="I2001" s="2">
        <v>98319</v>
      </c>
      <c r="J2001" s="2" t="s">
        <v>13544</v>
      </c>
      <c r="K2001" s="2">
        <v>14057697</v>
      </c>
      <c r="L2001" s="2"/>
      <c r="M2001" s="2"/>
      <c r="N2001" s="2"/>
      <c r="O2001" s="2"/>
      <c r="P2001" s="2"/>
      <c r="Q2001" s="2"/>
      <c r="R2001" s="2"/>
      <c r="S2001" s="2" t="s">
        <v>13545</v>
      </c>
      <c r="T2001" s="2" t="s">
        <v>13546</v>
      </c>
      <c r="U2001" s="2" t="s">
        <v>266</v>
      </c>
      <c r="V2001" s="2" t="s">
        <v>1593</v>
      </c>
      <c r="W2001" s="2" t="s">
        <v>240</v>
      </c>
      <c r="X2001" s="2" t="s">
        <v>147</v>
      </c>
      <c r="Y2001" s="2">
        <v>38.299999999999997</v>
      </c>
      <c r="Z2001" s="2">
        <v>0</v>
      </c>
      <c r="AA2001" s="2" t="s">
        <v>95</v>
      </c>
      <c r="AB2001" s="2" t="s">
        <v>13547</v>
      </c>
      <c r="AC2001" s="2">
        <v>-1.24381778679586</v>
      </c>
      <c r="AD2001" s="2"/>
      <c r="AE2001" s="2">
        <v>0.32759403742651599</v>
      </c>
      <c r="AF2001" s="2">
        <v>7652.9914747250205</v>
      </c>
      <c r="AG2001" s="2">
        <v>1422.2658771395099</v>
      </c>
      <c r="AH2001" s="5">
        <v>5.38084446637846</v>
      </c>
      <c r="AI2001" s="5">
        <v>2.4278326062114899</v>
      </c>
      <c r="AJ2001" s="5" t="s">
        <v>139</v>
      </c>
      <c r="AK2001" s="2">
        <v>0.2648235747678</v>
      </c>
      <c r="AL2001" s="2">
        <v>0.58661024431081399</v>
      </c>
      <c r="AM2001" s="2">
        <v>186.40271288168501</v>
      </c>
      <c r="AN2001" s="2">
        <v>18.015144461077199</v>
      </c>
      <c r="AO2001" s="2">
        <v>14365.377501086499</v>
      </c>
      <c r="AP2001" s="2">
        <v>8.559877937157E-6</v>
      </c>
      <c r="AQ2001" s="2">
        <v>30891.688605551299</v>
      </c>
      <c r="AR2001" s="2">
        <v>456.46487580967801</v>
      </c>
      <c r="AS2001" s="2">
        <v>2763.7911952098002</v>
      </c>
      <c r="AT2001" s="2">
        <v>8.559877937157E-6</v>
      </c>
      <c r="AU2001" s="2">
        <v>5438.2310440686297</v>
      </c>
      <c r="AV2001" s="2">
        <v>235.069364779495</v>
      </c>
      <c r="AW2001" s="2">
        <v>60.351130078698802</v>
      </c>
      <c r="AX2001" s="2">
        <v>36.152520140529802</v>
      </c>
    </row>
    <row r="2002" spans="1:50" x14ac:dyDescent="0.25">
      <c r="A2002" s="2" t="s">
        <v>13548</v>
      </c>
      <c r="B2002" s="2">
        <v>267.059547996888</v>
      </c>
      <c r="C2002" s="2">
        <v>0.74455000000000005</v>
      </c>
      <c r="D2002" s="2" t="s">
        <v>51</v>
      </c>
      <c r="E2002" s="2" t="s">
        <v>13549</v>
      </c>
      <c r="F2002" s="2">
        <v>201496</v>
      </c>
      <c r="G2002" s="3" t="str">
        <f>HYPERLINK("https://cloud.oebiotech.com/#/lm/network/201496", "https://cloud.oebiotech.com/#/lm/network/201496")</f>
        <v>https://cloud.oebiotech.com/#/lm/network/201496</v>
      </c>
      <c r="H2002" s="2" t="s">
        <v>13550</v>
      </c>
      <c r="I2002" s="2"/>
      <c r="J2002" s="2"/>
      <c r="K2002" s="2">
        <v>1177</v>
      </c>
      <c r="L2002" s="2"/>
      <c r="M2002" s="2"/>
      <c r="N2002" s="2"/>
      <c r="O2002" s="2">
        <v>143353</v>
      </c>
      <c r="P2002" s="2"/>
      <c r="Q2002" s="2"/>
      <c r="R2002" s="2"/>
      <c r="S2002" s="2" t="s">
        <v>13551</v>
      </c>
      <c r="T2002" s="2" t="s">
        <v>13552</v>
      </c>
      <c r="U2002" s="2" t="s">
        <v>295</v>
      </c>
      <c r="V2002" s="2" t="s">
        <v>1818</v>
      </c>
      <c r="W2002" s="2" t="s">
        <v>240</v>
      </c>
      <c r="X2002" s="2" t="s">
        <v>147</v>
      </c>
      <c r="Y2002" s="2">
        <v>39</v>
      </c>
      <c r="Z2002" s="2">
        <v>5.23</v>
      </c>
      <c r="AA2002" s="2" t="s">
        <v>95</v>
      </c>
      <c r="AB2002" s="2" t="s">
        <v>13553</v>
      </c>
      <c r="AC2002" s="2">
        <v>3.2417199637251901</v>
      </c>
      <c r="AD2002" s="2"/>
      <c r="AE2002" s="2">
        <v>0.32754228325385798</v>
      </c>
      <c r="AF2002" s="2">
        <v>13877.6678614745</v>
      </c>
      <c r="AG2002" s="2">
        <v>19459.5484042729</v>
      </c>
      <c r="AH2002" s="4">
        <v>0.71315467210057204</v>
      </c>
      <c r="AI2002" s="4">
        <v>-0.48771308627933002</v>
      </c>
      <c r="AJ2002" s="4" t="s">
        <v>62</v>
      </c>
      <c r="AK2002" s="2">
        <v>0.34153118201834298</v>
      </c>
      <c r="AL2002" s="2">
        <v>0.63815037094278604</v>
      </c>
      <c r="AM2002" s="2">
        <v>4453.8947904676497</v>
      </c>
      <c r="AN2002" s="2">
        <v>23966.454221754</v>
      </c>
      <c r="AO2002" s="2">
        <v>11717.540923694</v>
      </c>
      <c r="AP2002" s="2">
        <v>7082.5359103532001</v>
      </c>
      <c r="AQ2002" s="2">
        <v>9347.5111693328508</v>
      </c>
      <c r="AR2002" s="2">
        <v>26698.070153245</v>
      </c>
      <c r="AS2002" s="2">
        <v>20417.3056662374</v>
      </c>
      <c r="AT2002" s="2">
        <v>12608.252527762501</v>
      </c>
      <c r="AU2002" s="2">
        <v>25437.368263169599</v>
      </c>
      <c r="AV2002" s="2">
        <v>3513.8466385003098</v>
      </c>
      <c r="AW2002" s="2">
        <v>32255.879701890601</v>
      </c>
      <c r="AX2002" s="2">
        <v>22524.637628076998</v>
      </c>
    </row>
    <row r="2003" spans="1:50" x14ac:dyDescent="0.25">
      <c r="A2003" s="2" t="s">
        <v>13554</v>
      </c>
      <c r="B2003" s="2">
        <v>295.166337609077</v>
      </c>
      <c r="C2003" s="2">
        <v>4.0044000000000004</v>
      </c>
      <c r="D2003" s="2" t="s">
        <v>51</v>
      </c>
      <c r="E2003" s="2" t="s">
        <v>13555</v>
      </c>
      <c r="F2003" s="2">
        <v>54120</v>
      </c>
      <c r="G2003" s="3" t="str">
        <f>HYPERLINK("https://cloud.oebiotech.com/#/lm/network/54120", "https://cloud.oebiotech.com/#/lm/network/54120")</f>
        <v>https://cloud.oebiotech.com/#/lm/network/54120</v>
      </c>
      <c r="H2003" s="2" t="s">
        <v>13556</v>
      </c>
      <c r="I2003" s="2">
        <v>24037</v>
      </c>
      <c r="J2003" s="2"/>
      <c r="K2003" s="2">
        <v>4466134</v>
      </c>
      <c r="L2003" s="2"/>
      <c r="M2003" s="2"/>
      <c r="N2003" s="2"/>
      <c r="O2003" s="2"/>
      <c r="P2003" s="2"/>
      <c r="Q2003" s="2"/>
      <c r="R2003" s="2"/>
      <c r="S2003" s="2" t="s">
        <v>13557</v>
      </c>
      <c r="T2003" s="2" t="s">
        <v>13558</v>
      </c>
      <c r="U2003" s="2" t="s">
        <v>103</v>
      </c>
      <c r="V2003" s="2" t="s">
        <v>104</v>
      </c>
      <c r="W2003" s="2" t="s">
        <v>105</v>
      </c>
      <c r="X2003" s="2" t="s">
        <v>69</v>
      </c>
      <c r="Y2003" s="2">
        <v>58.7</v>
      </c>
      <c r="Z2003" s="2">
        <v>80</v>
      </c>
      <c r="AA2003" s="2" t="s">
        <v>259</v>
      </c>
      <c r="AB2003" s="2" t="s">
        <v>9814</v>
      </c>
      <c r="AC2003" s="2">
        <v>3.7530301990015</v>
      </c>
      <c r="AD2003" s="2"/>
      <c r="AE2003" s="2">
        <v>0.32737700386396201</v>
      </c>
      <c r="AF2003" s="2">
        <v>8700.5589413219004</v>
      </c>
      <c r="AG2003" s="2">
        <v>6111.1155126450803</v>
      </c>
      <c r="AH2003" s="5">
        <v>1.42372680132109</v>
      </c>
      <c r="AI2003" s="5">
        <v>0.50967233437118398</v>
      </c>
      <c r="AJ2003" s="5" t="s">
        <v>139</v>
      </c>
      <c r="AK2003" s="2">
        <v>1.8177101008444101E-2</v>
      </c>
      <c r="AL2003" s="2">
        <v>0.212973194719246</v>
      </c>
      <c r="AM2003" s="2">
        <v>6706.2363172459</v>
      </c>
      <c r="AN2003" s="2">
        <v>10047.655313904999</v>
      </c>
      <c r="AO2003" s="2">
        <v>9368.9512989283303</v>
      </c>
      <c r="AP2003" s="2">
        <v>7820.8825699238296</v>
      </c>
      <c r="AQ2003" s="2">
        <v>10711.216385924499</v>
      </c>
      <c r="AR2003" s="2">
        <v>7548.4117620038596</v>
      </c>
      <c r="AS2003" s="2">
        <v>5144.7898952469604</v>
      </c>
      <c r="AT2003" s="2">
        <v>6509.3791260482703</v>
      </c>
      <c r="AU2003" s="2">
        <v>9070.3468570060595</v>
      </c>
      <c r="AV2003" s="2">
        <v>4566.7737924667099</v>
      </c>
      <c r="AW2003" s="2">
        <v>5282.2666897229401</v>
      </c>
      <c r="AX2003" s="2">
        <v>6093.13671537957</v>
      </c>
    </row>
    <row r="2004" spans="1:50" x14ac:dyDescent="0.25">
      <c r="A2004" s="2" t="s">
        <v>13559</v>
      </c>
      <c r="B2004" s="2">
        <v>455.24748298560201</v>
      </c>
      <c r="C2004" s="2">
        <v>9.8698333333333306</v>
      </c>
      <c r="D2004" s="2" t="s">
        <v>51</v>
      </c>
      <c r="E2004" s="2" t="s">
        <v>13560</v>
      </c>
      <c r="F2004" s="2">
        <v>202528</v>
      </c>
      <c r="G2004" s="3" t="str">
        <f>HYPERLINK("https://cloud.oebiotech.com/#/lm/network/202528", "https://cloud.oebiotech.com/#/lm/network/202528")</f>
        <v>https://cloud.oebiotech.com/#/lm/network/202528</v>
      </c>
      <c r="H2004" s="2" t="s">
        <v>13561</v>
      </c>
      <c r="I2004" s="2"/>
      <c r="J2004" s="2"/>
      <c r="K2004" s="2">
        <v>119053</v>
      </c>
      <c r="L2004" s="2"/>
      <c r="M2004" s="2"/>
      <c r="N2004" s="2"/>
      <c r="O2004" s="2"/>
      <c r="P2004" s="2"/>
      <c r="Q2004" s="2"/>
      <c r="R2004" s="2"/>
      <c r="S2004" s="2" t="s">
        <v>13562</v>
      </c>
      <c r="T2004" s="2" t="s">
        <v>13563</v>
      </c>
      <c r="U2004" s="2" t="s">
        <v>266</v>
      </c>
      <c r="V2004" s="2" t="s">
        <v>1393</v>
      </c>
      <c r="W2004" s="2" t="s">
        <v>1394</v>
      </c>
      <c r="X2004" s="2" t="s">
        <v>147</v>
      </c>
      <c r="Y2004" s="2">
        <v>37.299999999999997</v>
      </c>
      <c r="Z2004" s="2">
        <v>0</v>
      </c>
      <c r="AA2004" s="2" t="s">
        <v>478</v>
      </c>
      <c r="AB2004" s="2" t="s">
        <v>13564</v>
      </c>
      <c r="AC2004" s="2">
        <v>4.8945110734341597</v>
      </c>
      <c r="AD2004" s="2"/>
      <c r="AE2004" s="2">
        <v>0.32734606525034499</v>
      </c>
      <c r="AF2004" s="2">
        <v>3947.3413394150498</v>
      </c>
      <c r="AG2004" s="2">
        <v>8334.7409638627305</v>
      </c>
      <c r="AH2004" s="4">
        <v>0.47360096210904501</v>
      </c>
      <c r="AI2004" s="4">
        <v>-1.0782560831170001</v>
      </c>
      <c r="AJ2004" s="4" t="s">
        <v>62</v>
      </c>
      <c r="AK2004" s="2">
        <v>0.425580983757398</v>
      </c>
      <c r="AL2004" s="2">
        <v>0.68455006788612105</v>
      </c>
      <c r="AM2004" s="2">
        <v>8.559877937157E-6</v>
      </c>
      <c r="AN2004" s="2">
        <v>8.559877937157E-6</v>
      </c>
      <c r="AO2004" s="2">
        <v>8.559877937157E-6</v>
      </c>
      <c r="AP2004" s="2">
        <v>8.559877937157E-6</v>
      </c>
      <c r="AQ2004" s="2">
        <v>16080.0437760155</v>
      </c>
      <c r="AR2004" s="2">
        <v>7604.0042262352999</v>
      </c>
      <c r="AS2004" s="2">
        <v>8.559877937157E-6</v>
      </c>
      <c r="AT2004" s="2">
        <v>5710.3577943318196</v>
      </c>
      <c r="AU2004" s="2">
        <v>8.559877937157E-6</v>
      </c>
      <c r="AV2004" s="2">
        <v>25079.253301392098</v>
      </c>
      <c r="AW2004" s="2">
        <v>19218.834661772798</v>
      </c>
      <c r="AX2004" s="2">
        <v>8.559877937157E-6</v>
      </c>
    </row>
    <row r="2005" spans="1:50" x14ac:dyDescent="0.25">
      <c r="A2005" s="2" t="s">
        <v>13565</v>
      </c>
      <c r="B2005" s="2">
        <v>260.02336060635901</v>
      </c>
      <c r="C2005" s="2">
        <v>0.75693333333333301</v>
      </c>
      <c r="D2005" s="2" t="s">
        <v>51</v>
      </c>
      <c r="E2005" s="2" t="s">
        <v>13566</v>
      </c>
      <c r="F2005" s="2">
        <v>144433</v>
      </c>
      <c r="G2005" s="3" t="str">
        <f>HYPERLINK("https://cloud.oebiotech.com/#/lm/network/144433", "https://cloud.oebiotech.com/#/lm/network/144433")</f>
        <v>https://cloud.oebiotech.com/#/lm/network/144433</v>
      </c>
      <c r="H2005" s="2" t="s">
        <v>13567</v>
      </c>
      <c r="I2005" s="2"/>
      <c r="J2005" s="2"/>
      <c r="K2005" s="2">
        <v>514186</v>
      </c>
      <c r="L2005" s="2"/>
      <c r="M2005" s="2"/>
      <c r="N2005" s="2"/>
      <c r="O2005" s="2">
        <v>46215</v>
      </c>
      <c r="P2005" s="2"/>
      <c r="Q2005" s="2"/>
      <c r="R2005" s="2" t="s">
        <v>13568</v>
      </c>
      <c r="S2005" s="2" t="s">
        <v>13569</v>
      </c>
      <c r="T2005" s="2" t="s">
        <v>13570</v>
      </c>
      <c r="U2005" s="2" t="s">
        <v>103</v>
      </c>
      <c r="V2005" s="2" t="s">
        <v>104</v>
      </c>
      <c r="W2005" s="2" t="s">
        <v>105</v>
      </c>
      <c r="X2005" s="2" t="s">
        <v>147</v>
      </c>
      <c r="Y2005" s="2">
        <v>40.4</v>
      </c>
      <c r="Z2005" s="2">
        <v>17.600000000000001</v>
      </c>
      <c r="AA2005" s="2" t="s">
        <v>163</v>
      </c>
      <c r="AB2005" s="2" t="s">
        <v>13571</v>
      </c>
      <c r="AC2005" s="2">
        <v>-0.27213875324952402</v>
      </c>
      <c r="AD2005" s="2"/>
      <c r="AE2005" s="2">
        <v>0.32712689171655102</v>
      </c>
      <c r="AF2005" s="2">
        <v>5815.1609403763196</v>
      </c>
      <c r="AG2005" s="2">
        <v>8674.4994125325193</v>
      </c>
      <c r="AH2005" s="4">
        <v>0.67037423876873403</v>
      </c>
      <c r="AI2005" s="4">
        <v>-0.576961384863653</v>
      </c>
      <c r="AJ2005" s="4" t="s">
        <v>62</v>
      </c>
      <c r="AK2005" s="2">
        <v>9.4255429092572299E-2</v>
      </c>
      <c r="AL2005" s="2">
        <v>0.39491494885151801</v>
      </c>
      <c r="AM2005" s="2">
        <v>1953.7095335168201</v>
      </c>
      <c r="AN2005" s="2">
        <v>6648.2322981879397</v>
      </c>
      <c r="AO2005" s="2">
        <v>4266.9334674257098</v>
      </c>
      <c r="AP2005" s="2">
        <v>10331.134244757201</v>
      </c>
      <c r="AQ2005" s="2">
        <v>6183.2728323424699</v>
      </c>
      <c r="AR2005" s="2">
        <v>5507.6832660277796</v>
      </c>
      <c r="AS2005" s="2">
        <v>5515.9659894993001</v>
      </c>
      <c r="AT2005" s="2">
        <v>9137.4045593312094</v>
      </c>
      <c r="AU2005" s="2">
        <v>9308.9582531365795</v>
      </c>
      <c r="AV2005" s="2">
        <v>6066.4080806805596</v>
      </c>
      <c r="AW2005" s="2">
        <v>12566.180975970099</v>
      </c>
      <c r="AX2005" s="2">
        <v>9452.0786165773497</v>
      </c>
    </row>
    <row r="2006" spans="1:50" x14ac:dyDescent="0.25">
      <c r="A2006" s="2" t="s">
        <v>13572</v>
      </c>
      <c r="B2006" s="2">
        <v>421.25719963548102</v>
      </c>
      <c r="C2006" s="2">
        <v>3.9837333333333298</v>
      </c>
      <c r="D2006" s="2" t="s">
        <v>51</v>
      </c>
      <c r="E2006" s="2" t="s">
        <v>13573</v>
      </c>
      <c r="F2006" s="2">
        <v>36096</v>
      </c>
      <c r="G2006" s="3" t="str">
        <f>HYPERLINK("https://cloud.oebiotech.com/#/lm/network/36096", "https://cloud.oebiotech.com/#/lm/network/36096")</f>
        <v>https://cloud.oebiotech.com/#/lm/network/36096</v>
      </c>
      <c r="H2006" s="2"/>
      <c r="I2006" s="2">
        <v>53690</v>
      </c>
      <c r="J2006" s="2" t="s">
        <v>13574</v>
      </c>
      <c r="K2006" s="2">
        <v>42608251</v>
      </c>
      <c r="L2006" s="2"/>
      <c r="M2006" s="2"/>
      <c r="N2006" s="2"/>
      <c r="O2006" s="2"/>
      <c r="P2006" s="2"/>
      <c r="Q2006" s="2"/>
      <c r="R2006" s="2"/>
      <c r="S2006" s="2" t="s">
        <v>13575</v>
      </c>
      <c r="T2006" s="2" t="s">
        <v>13576</v>
      </c>
      <c r="U2006" s="2" t="s">
        <v>56</v>
      </c>
      <c r="V2006" s="2" t="s">
        <v>177</v>
      </c>
      <c r="W2006" s="2" t="s">
        <v>178</v>
      </c>
      <c r="X2006" s="2" t="s">
        <v>147</v>
      </c>
      <c r="Y2006" s="2">
        <v>40.1</v>
      </c>
      <c r="Z2006" s="2">
        <v>12</v>
      </c>
      <c r="AA2006" s="2" t="s">
        <v>156</v>
      </c>
      <c r="AB2006" s="2" t="s">
        <v>13577</v>
      </c>
      <c r="AC2006" s="2">
        <v>-2.8879319006246802</v>
      </c>
      <c r="AD2006" s="2"/>
      <c r="AE2006" s="2">
        <v>0.32712155659682901</v>
      </c>
      <c r="AF2006" s="2">
        <v>6609.6709994459898</v>
      </c>
      <c r="AG2006" s="2">
        <v>2204.14716528898</v>
      </c>
      <c r="AH2006" s="5">
        <v>2.9987430528847798</v>
      </c>
      <c r="AI2006" s="5">
        <v>1.5843579102660099</v>
      </c>
      <c r="AJ2006" s="5" t="s">
        <v>139</v>
      </c>
      <c r="AK2006" s="2">
        <v>0.148992527506355</v>
      </c>
      <c r="AL2006" s="2">
        <v>0.47024664296044399</v>
      </c>
      <c r="AM2006" s="2">
        <v>10954.297774325099</v>
      </c>
      <c r="AN2006" s="2">
        <v>2387.9851642282001</v>
      </c>
      <c r="AO2006" s="2">
        <v>4650.8037297768497</v>
      </c>
      <c r="AP2006" s="2">
        <v>3088.7653268846998</v>
      </c>
      <c r="AQ2006" s="2">
        <v>1029.2749068911</v>
      </c>
      <c r="AR2006" s="2">
        <v>17546.899094569999</v>
      </c>
      <c r="AS2006" s="2">
        <v>960.04511509543602</v>
      </c>
      <c r="AT2006" s="2">
        <v>655.39686199283301</v>
      </c>
      <c r="AU2006" s="2">
        <v>733.63081930617898</v>
      </c>
      <c r="AV2006" s="2">
        <v>7465.7478432551197</v>
      </c>
      <c r="AW2006" s="2">
        <v>2013.63843271973</v>
      </c>
      <c r="AX2006" s="2">
        <v>1396.4239193645601</v>
      </c>
    </row>
    <row r="2007" spans="1:50" x14ac:dyDescent="0.25">
      <c r="A2007" s="2" t="s">
        <v>13578</v>
      </c>
      <c r="B2007" s="2">
        <v>212.16505466743999</v>
      </c>
      <c r="C2007" s="2">
        <v>10.132949999999999</v>
      </c>
      <c r="D2007" s="2" t="s">
        <v>51</v>
      </c>
      <c r="E2007" s="2" t="s">
        <v>13579</v>
      </c>
      <c r="F2007" s="2">
        <v>7777</v>
      </c>
      <c r="G2007" s="3" t="str">
        <f>HYPERLINK("https://cloud.oebiotech.com/#/lm/network/7777", "https://cloud.oebiotech.com/#/lm/network/7777")</f>
        <v>https://cloud.oebiotech.com/#/lm/network/7777</v>
      </c>
      <c r="H2007" s="2"/>
      <c r="I2007" s="2">
        <v>97393</v>
      </c>
      <c r="J2007" s="2" t="s">
        <v>13580</v>
      </c>
      <c r="K2007" s="2">
        <v>56936046</v>
      </c>
      <c r="L2007" s="2"/>
      <c r="M2007" s="2"/>
      <c r="N2007" s="2"/>
      <c r="O2007" s="2"/>
      <c r="P2007" s="2"/>
      <c r="Q2007" s="2"/>
      <c r="R2007" s="2"/>
      <c r="S2007" s="2" t="s">
        <v>13581</v>
      </c>
      <c r="T2007" s="2" t="s">
        <v>13582</v>
      </c>
      <c r="U2007" s="2" t="s">
        <v>540</v>
      </c>
      <c r="V2007" s="2" t="s">
        <v>563</v>
      </c>
      <c r="W2007" s="2" t="s">
        <v>240</v>
      </c>
      <c r="X2007" s="2" t="s">
        <v>69</v>
      </c>
      <c r="Y2007" s="2">
        <v>73</v>
      </c>
      <c r="Z2007" s="2">
        <v>85.9</v>
      </c>
      <c r="AA2007" s="2" t="s">
        <v>2589</v>
      </c>
      <c r="AB2007" s="2" t="s">
        <v>5717</v>
      </c>
      <c r="AC2007" s="2">
        <v>2.82964578337404</v>
      </c>
      <c r="AD2007" s="2"/>
      <c r="AE2007" s="2">
        <v>0.32672275114970201</v>
      </c>
      <c r="AF2007" s="2">
        <v>5543.5603137536</v>
      </c>
      <c r="AG2007" s="2">
        <v>1752.04475063732</v>
      </c>
      <c r="AH2007" s="5">
        <v>3.16405178106158</v>
      </c>
      <c r="AI2007" s="5">
        <v>1.6617732103257099</v>
      </c>
      <c r="AJ2007" s="5" t="s">
        <v>139</v>
      </c>
      <c r="AK2007" s="2">
        <v>0.102577972373423</v>
      </c>
      <c r="AL2007" s="2">
        <v>0.40684186171176401</v>
      </c>
      <c r="AM2007" s="2">
        <v>1884.4673105120701</v>
      </c>
      <c r="AN2007" s="2">
        <v>3301.9900264019702</v>
      </c>
      <c r="AO2007" s="2">
        <v>11235.1749720306</v>
      </c>
      <c r="AP2007" s="2">
        <v>2304.0052915661599</v>
      </c>
      <c r="AQ2007" s="2">
        <v>12820.013124614399</v>
      </c>
      <c r="AR2007" s="2">
        <v>1715.71115739639</v>
      </c>
      <c r="AS2007" s="2">
        <v>1381.7803747860601</v>
      </c>
      <c r="AT2007" s="2">
        <v>2897.3357104290399</v>
      </c>
      <c r="AU2007" s="2">
        <v>2938.3270392948598</v>
      </c>
      <c r="AV2007" s="2">
        <v>540.07654974875504</v>
      </c>
      <c r="AW2007" s="2">
        <v>1193.63277208673</v>
      </c>
      <c r="AX2007" s="2">
        <v>1561.1160574784601</v>
      </c>
    </row>
    <row r="2008" spans="1:50" x14ac:dyDescent="0.25">
      <c r="A2008" s="2" t="s">
        <v>13583</v>
      </c>
      <c r="B2008" s="2">
        <v>317.212183020905</v>
      </c>
      <c r="C2008" s="2">
        <v>9.0288666666666693</v>
      </c>
      <c r="D2008" s="2" t="s">
        <v>51</v>
      </c>
      <c r="E2008" s="2" t="s">
        <v>13584</v>
      </c>
      <c r="F2008" s="2">
        <v>82095</v>
      </c>
      <c r="G2008" s="3" t="str">
        <f>HYPERLINK("https://cloud.oebiotech.com/#/lm/network/82095", "https://cloud.oebiotech.com/#/lm/network/82095")</f>
        <v>https://cloud.oebiotech.com/#/lm/network/82095</v>
      </c>
      <c r="H2008" s="2" t="s">
        <v>13585</v>
      </c>
      <c r="I2008" s="2"/>
      <c r="J2008" s="2"/>
      <c r="K2008" s="2">
        <v>131769823</v>
      </c>
      <c r="L2008" s="2"/>
      <c r="M2008" s="2"/>
      <c r="N2008" s="2"/>
      <c r="O2008" s="2"/>
      <c r="P2008" s="2"/>
      <c r="Q2008" s="2"/>
      <c r="R2008" s="2"/>
      <c r="S2008" s="2" t="s">
        <v>13586</v>
      </c>
      <c r="T2008" s="2" t="s">
        <v>13587</v>
      </c>
      <c r="U2008" s="2" t="s">
        <v>56</v>
      </c>
      <c r="V2008" s="2" t="s">
        <v>145</v>
      </c>
      <c r="W2008" s="2" t="s">
        <v>187</v>
      </c>
      <c r="X2008" s="2" t="s">
        <v>83</v>
      </c>
      <c r="Y2008" s="2">
        <v>52.9</v>
      </c>
      <c r="Z2008" s="2">
        <v>0</v>
      </c>
      <c r="AA2008" s="2" t="s">
        <v>379</v>
      </c>
      <c r="AB2008" s="2" t="s">
        <v>188</v>
      </c>
      <c r="AC2008" s="2">
        <v>-0.105176719746248</v>
      </c>
      <c r="AD2008" s="2"/>
      <c r="AE2008" s="2">
        <v>0.32659728960394102</v>
      </c>
      <c r="AF2008" s="2">
        <v>5278.5044667298898</v>
      </c>
      <c r="AG2008" s="2">
        <v>2684.0212205098601</v>
      </c>
      <c r="AH2008" s="5">
        <v>1.96664036274914</v>
      </c>
      <c r="AI2008" s="5">
        <v>0.975733157760869</v>
      </c>
      <c r="AJ2008" s="5" t="s">
        <v>139</v>
      </c>
      <c r="AK2008" s="2">
        <v>1.14244308055979E-2</v>
      </c>
      <c r="AL2008" s="2">
        <v>0.17165665021883</v>
      </c>
      <c r="AM2008" s="2">
        <v>5825.2719379611299</v>
      </c>
      <c r="AN2008" s="2">
        <v>5871.66873589441</v>
      </c>
      <c r="AO2008" s="2">
        <v>3808.3640043435698</v>
      </c>
      <c r="AP2008" s="2">
        <v>5744.0749201008603</v>
      </c>
      <c r="AQ2008" s="2">
        <v>3969.5518406700398</v>
      </c>
      <c r="AR2008" s="2">
        <v>6452.0953614092996</v>
      </c>
      <c r="AS2008" s="2">
        <v>5513.5675032192903</v>
      </c>
      <c r="AT2008" s="2">
        <v>3504.5497079972401</v>
      </c>
      <c r="AU2008" s="2">
        <v>3044.7908873053302</v>
      </c>
      <c r="AV2008" s="2">
        <v>773.68259480075596</v>
      </c>
      <c r="AW2008" s="2">
        <v>1214.65109008374</v>
      </c>
      <c r="AX2008" s="2">
        <v>2052.8855396527902</v>
      </c>
    </row>
    <row r="2009" spans="1:50" x14ac:dyDescent="0.25">
      <c r="A2009" s="2" t="s">
        <v>13588</v>
      </c>
      <c r="B2009" s="2">
        <v>358.29645557999601</v>
      </c>
      <c r="C2009" s="2">
        <v>9.0105500000000003</v>
      </c>
      <c r="D2009" s="2" t="s">
        <v>51</v>
      </c>
      <c r="E2009" s="2" t="s">
        <v>13589</v>
      </c>
      <c r="F2009" s="2">
        <v>197376</v>
      </c>
      <c r="G2009" s="3" t="str">
        <f>HYPERLINK("https://cloud.oebiotech.com/#/lm/network/197376", "https://cloud.oebiotech.com/#/lm/network/197376")</f>
        <v>https://cloud.oebiotech.com/#/lm/network/197376</v>
      </c>
      <c r="H2009" s="2" t="s">
        <v>13590</v>
      </c>
      <c r="I2009" s="2"/>
      <c r="J2009" s="2"/>
      <c r="K2009" s="2"/>
      <c r="L2009" s="2"/>
      <c r="M2009" s="2"/>
      <c r="N2009" s="2"/>
      <c r="O2009" s="2"/>
      <c r="P2009" s="2"/>
      <c r="Q2009" s="2"/>
      <c r="R2009" s="2"/>
      <c r="S2009" s="2" t="s">
        <v>13591</v>
      </c>
      <c r="T2009" s="2" t="s">
        <v>13592</v>
      </c>
      <c r="U2009" s="2" t="s">
        <v>56</v>
      </c>
      <c r="V2009" s="2" t="s">
        <v>145</v>
      </c>
      <c r="W2009" s="2" t="s">
        <v>1188</v>
      </c>
      <c r="X2009" s="2" t="s">
        <v>69</v>
      </c>
      <c r="Y2009" s="2">
        <v>51.6</v>
      </c>
      <c r="Z2009" s="2">
        <v>56.5</v>
      </c>
      <c r="AA2009" s="2" t="s">
        <v>259</v>
      </c>
      <c r="AB2009" s="2" t="s">
        <v>12301</v>
      </c>
      <c r="AC2009" s="2">
        <v>3.5557156980676301</v>
      </c>
      <c r="AD2009" s="2"/>
      <c r="AE2009" s="2">
        <v>0.32650186973930101</v>
      </c>
      <c r="AF2009" s="2">
        <v>13343.879545215499</v>
      </c>
      <c r="AG2009" s="2">
        <v>18950.311196871899</v>
      </c>
      <c r="AH2009" s="4">
        <v>0.70415094541656598</v>
      </c>
      <c r="AI2009" s="4">
        <v>-0.50604336934680505</v>
      </c>
      <c r="AJ2009" s="4" t="s">
        <v>62</v>
      </c>
      <c r="AK2009" s="2">
        <v>0.463045937056281</v>
      </c>
      <c r="AL2009" s="2">
        <v>0.712359837368158</v>
      </c>
      <c r="AM2009" s="2">
        <v>12928.5490189966</v>
      </c>
      <c r="AN2009" s="2">
        <v>11368.2635882417</v>
      </c>
      <c r="AO2009" s="2">
        <v>10278.846030442201</v>
      </c>
      <c r="AP2009" s="2">
        <v>19761.765730651299</v>
      </c>
      <c r="AQ2009" s="2">
        <v>15804.1099558971</v>
      </c>
      <c r="AR2009" s="2">
        <v>9921.7429470640309</v>
      </c>
      <c r="AS2009" s="2">
        <v>11905.3409803507</v>
      </c>
      <c r="AT2009" s="2">
        <v>19388.151739413399</v>
      </c>
      <c r="AU2009" s="2">
        <v>6295.8930411484198</v>
      </c>
      <c r="AV2009" s="2">
        <v>6745.6489877608501</v>
      </c>
      <c r="AW2009" s="2">
        <v>53298.867941472701</v>
      </c>
      <c r="AX2009" s="2">
        <v>16067.9644910853</v>
      </c>
    </row>
    <row r="2010" spans="1:50" x14ac:dyDescent="0.25">
      <c r="A2010" s="2" t="s">
        <v>13593</v>
      </c>
      <c r="B2010" s="2">
        <v>378.241852334969</v>
      </c>
      <c r="C2010" s="2">
        <v>8.96993333333333</v>
      </c>
      <c r="D2010" s="2" t="s">
        <v>51</v>
      </c>
      <c r="E2010" s="2" t="s">
        <v>13594</v>
      </c>
      <c r="F2010" s="2">
        <v>4895</v>
      </c>
      <c r="G2010" s="3" t="str">
        <f>HYPERLINK("https://cloud.oebiotech.com/#/lm/network/4895", "https://cloud.oebiotech.com/#/lm/network/4895")</f>
        <v>https://cloud.oebiotech.com/#/lm/network/4895</v>
      </c>
      <c r="H2010" s="2"/>
      <c r="I2010" s="2"/>
      <c r="J2010" s="2" t="s">
        <v>13595</v>
      </c>
      <c r="K2010" s="2"/>
      <c r="L2010" s="2"/>
      <c r="M2010" s="2"/>
      <c r="N2010" s="2"/>
      <c r="O2010" s="2"/>
      <c r="P2010" s="2"/>
      <c r="Q2010" s="2"/>
      <c r="R2010" s="2"/>
      <c r="S2010" s="2" t="s">
        <v>13596</v>
      </c>
      <c r="T2010" s="2" t="s">
        <v>13597</v>
      </c>
      <c r="U2010" s="2" t="s">
        <v>56</v>
      </c>
      <c r="V2010" s="2" t="s">
        <v>145</v>
      </c>
      <c r="W2010" s="2" t="s">
        <v>231</v>
      </c>
      <c r="X2010" s="2" t="s">
        <v>83</v>
      </c>
      <c r="Y2010" s="2">
        <v>49.3</v>
      </c>
      <c r="Z2010" s="2">
        <v>5.7099999999999998E-3</v>
      </c>
      <c r="AA2010" s="2" t="s">
        <v>122</v>
      </c>
      <c r="AB2010" s="2" t="s">
        <v>3507</v>
      </c>
      <c r="AC2010" s="2">
        <v>3.2467342484231199</v>
      </c>
      <c r="AD2010" s="2"/>
      <c r="AE2010" s="2">
        <v>0.32641646003743402</v>
      </c>
      <c r="AF2010" s="2">
        <v>65437.690059470398</v>
      </c>
      <c r="AG2010" s="2">
        <v>55808.235293382597</v>
      </c>
      <c r="AH2010" s="5">
        <v>1.1725454086742899</v>
      </c>
      <c r="AI2010" s="5">
        <v>0.229643794468324</v>
      </c>
      <c r="AJ2010" s="5" t="s">
        <v>139</v>
      </c>
      <c r="AK2010" s="2">
        <v>0.24713092836526199</v>
      </c>
      <c r="AL2010" s="2">
        <v>0.57119796911972998</v>
      </c>
      <c r="AM2010" s="2">
        <v>40042.1339861659</v>
      </c>
      <c r="AN2010" s="2">
        <v>62615.740825896297</v>
      </c>
      <c r="AO2010" s="2">
        <v>70669.169566512195</v>
      </c>
      <c r="AP2010" s="2">
        <v>90122.173466081906</v>
      </c>
      <c r="AQ2010" s="2">
        <v>65866.2242474878</v>
      </c>
      <c r="AR2010" s="2">
        <v>63310.698264678504</v>
      </c>
      <c r="AS2010" s="2">
        <v>70098.510696069497</v>
      </c>
      <c r="AT2010" s="2">
        <v>64041.810799807798</v>
      </c>
      <c r="AU2010" s="2">
        <v>60109.151513954901</v>
      </c>
      <c r="AV2010" s="2">
        <v>47422.289625752201</v>
      </c>
      <c r="AW2010" s="2">
        <v>49413.273563158902</v>
      </c>
      <c r="AX2010" s="2">
        <v>43764.3755615521</v>
      </c>
    </row>
    <row r="2011" spans="1:50" x14ac:dyDescent="0.25">
      <c r="A2011" s="2" t="s">
        <v>13598</v>
      </c>
      <c r="B2011" s="2">
        <v>249.18556015946999</v>
      </c>
      <c r="C2011" s="2">
        <v>10.753966666666701</v>
      </c>
      <c r="D2011" s="2" t="s">
        <v>51</v>
      </c>
      <c r="E2011" s="2" t="s">
        <v>13599</v>
      </c>
      <c r="F2011" s="2">
        <v>2637</v>
      </c>
      <c r="G2011" s="3" t="str">
        <f>HYPERLINK("https://cloud.oebiotech.com/#/lm/network/2637", "https://cloud.oebiotech.com/#/lm/network/2637")</f>
        <v>https://cloud.oebiotech.com/#/lm/network/2637</v>
      </c>
      <c r="H2011" s="2" t="s">
        <v>13600</v>
      </c>
      <c r="I2011" s="2"/>
      <c r="J2011" s="2" t="s">
        <v>13601</v>
      </c>
      <c r="K2011" s="2">
        <v>85564651</v>
      </c>
      <c r="L2011" s="2"/>
      <c r="M2011" s="2"/>
      <c r="N2011" s="2"/>
      <c r="O2011" s="2"/>
      <c r="P2011" s="2"/>
      <c r="Q2011" s="2"/>
      <c r="R2011" s="2" t="s">
        <v>13602</v>
      </c>
      <c r="S2011" s="2" t="s">
        <v>13603</v>
      </c>
      <c r="T2011" s="2" t="s">
        <v>13604</v>
      </c>
      <c r="U2011" s="2" t="s">
        <v>56</v>
      </c>
      <c r="V2011" s="2" t="s">
        <v>145</v>
      </c>
      <c r="W2011" s="2" t="s">
        <v>231</v>
      </c>
      <c r="X2011" s="2" t="s">
        <v>69</v>
      </c>
      <c r="Y2011" s="2">
        <v>71.599999999999994</v>
      </c>
      <c r="Z2011" s="2">
        <v>90.9</v>
      </c>
      <c r="AA2011" s="2" t="s">
        <v>156</v>
      </c>
      <c r="AB2011" s="2" t="s">
        <v>10329</v>
      </c>
      <c r="AC2011" s="2">
        <v>2.45584508693101</v>
      </c>
      <c r="AD2011" s="2"/>
      <c r="AE2011" s="2">
        <v>0.32613709883068098</v>
      </c>
      <c r="AF2011" s="2">
        <v>11546.7269465221</v>
      </c>
      <c r="AG2011" s="2">
        <v>14648.1515467345</v>
      </c>
      <c r="AH2011" s="4">
        <v>0.78827194746604201</v>
      </c>
      <c r="AI2011" s="4">
        <v>-0.34323466117492302</v>
      </c>
      <c r="AJ2011" s="4" t="s">
        <v>62</v>
      </c>
      <c r="AK2011" s="2">
        <v>0.10535570077676799</v>
      </c>
      <c r="AL2011" s="2">
        <v>0.41259683081244802</v>
      </c>
      <c r="AM2011" s="2">
        <v>6425.2389648461603</v>
      </c>
      <c r="AN2011" s="2">
        <v>13276.8195247494</v>
      </c>
      <c r="AO2011" s="2">
        <v>13856.581142274499</v>
      </c>
      <c r="AP2011" s="2">
        <v>10660.6197993692</v>
      </c>
      <c r="AQ2011" s="2">
        <v>15610.7829225271</v>
      </c>
      <c r="AR2011" s="2">
        <v>9450.3193253663194</v>
      </c>
      <c r="AS2011" s="2">
        <v>14983.867444351799</v>
      </c>
      <c r="AT2011" s="2">
        <v>16177.7304168679</v>
      </c>
      <c r="AU2011" s="2">
        <v>10524.254533880199</v>
      </c>
      <c r="AV2011" s="2">
        <v>13249.3534686477</v>
      </c>
      <c r="AW2011" s="2">
        <v>14650.021001990701</v>
      </c>
      <c r="AX2011" s="2">
        <v>18303.682414668699</v>
      </c>
    </row>
    <row r="2012" spans="1:50" x14ac:dyDescent="0.25">
      <c r="A2012" s="2" t="s">
        <v>13605</v>
      </c>
      <c r="B2012" s="2">
        <v>411.23934440358101</v>
      </c>
      <c r="C2012" s="2">
        <v>5.7653333333333299</v>
      </c>
      <c r="D2012" s="2" t="s">
        <v>51</v>
      </c>
      <c r="E2012" s="2" t="s">
        <v>13606</v>
      </c>
      <c r="F2012" s="2">
        <v>260187</v>
      </c>
      <c r="G2012" s="3" t="str">
        <f>HYPERLINK("https://cloud.oebiotech.com/#/lm/network/260187", "https://cloud.oebiotech.com/#/lm/network/260187")</f>
        <v>https://cloud.oebiotech.com/#/lm/network/260187</v>
      </c>
      <c r="H2012" s="2"/>
      <c r="I2012" s="2">
        <v>17432</v>
      </c>
      <c r="J2012" s="2"/>
      <c r="K2012" s="2">
        <v>145456454</v>
      </c>
      <c r="L2012" s="2"/>
      <c r="M2012" s="2"/>
      <c r="N2012" s="2"/>
      <c r="O2012" s="2"/>
      <c r="P2012" s="2"/>
      <c r="Q2012" s="2"/>
      <c r="R2012" s="2"/>
      <c r="S2012" s="2" t="s">
        <v>13607</v>
      </c>
      <c r="T2012" s="2" t="s">
        <v>13608</v>
      </c>
      <c r="U2012" s="2" t="s">
        <v>103</v>
      </c>
      <c r="V2012" s="2" t="s">
        <v>104</v>
      </c>
      <c r="W2012" s="2" t="s">
        <v>105</v>
      </c>
      <c r="X2012" s="2" t="s">
        <v>83</v>
      </c>
      <c r="Y2012" s="2">
        <v>39.9</v>
      </c>
      <c r="Z2012" s="2">
        <v>0</v>
      </c>
      <c r="AA2012" s="2" t="s">
        <v>379</v>
      </c>
      <c r="AB2012" s="2" t="s">
        <v>7116</v>
      </c>
      <c r="AC2012" s="2">
        <v>-1.90598252202107</v>
      </c>
      <c r="AD2012" s="2"/>
      <c r="AE2012" s="2">
        <v>0.32590757245599</v>
      </c>
      <c r="AF2012" s="2">
        <v>8181.5659806702897</v>
      </c>
      <c r="AG2012" s="2">
        <v>5260.6951213596703</v>
      </c>
      <c r="AH2012" s="5">
        <v>1.55522526813067</v>
      </c>
      <c r="AI2012" s="5">
        <v>0.63712356407090498</v>
      </c>
      <c r="AJ2012" s="5" t="s">
        <v>139</v>
      </c>
      <c r="AK2012" s="2">
        <v>0.10258417836997</v>
      </c>
      <c r="AL2012" s="2">
        <v>0.40684186171176401</v>
      </c>
      <c r="AM2012" s="2">
        <v>9889.02784605737</v>
      </c>
      <c r="AN2012" s="2">
        <v>12523.384741639</v>
      </c>
      <c r="AO2012" s="2">
        <v>6370.7197511324002</v>
      </c>
      <c r="AP2012" s="2">
        <v>6817.94114297949</v>
      </c>
      <c r="AQ2012" s="2">
        <v>4148.3315425950505</v>
      </c>
      <c r="AR2012" s="2">
        <v>9339.9908596184396</v>
      </c>
      <c r="AS2012" s="2">
        <v>7147.7837010872399</v>
      </c>
      <c r="AT2012" s="2">
        <v>3761.5378760385302</v>
      </c>
      <c r="AU2012" s="2">
        <v>8815.1307774802608</v>
      </c>
      <c r="AV2012" s="2">
        <v>1413.4054362962299</v>
      </c>
      <c r="AW2012" s="2">
        <v>6082.9446353580797</v>
      </c>
      <c r="AX2012" s="2">
        <v>4343.3683018976899</v>
      </c>
    </row>
    <row r="2013" spans="1:50" x14ac:dyDescent="0.25">
      <c r="A2013" s="2" t="s">
        <v>13609</v>
      </c>
      <c r="B2013" s="2">
        <v>380.24202585424899</v>
      </c>
      <c r="C2013" s="2">
        <v>9.5221499999999999</v>
      </c>
      <c r="D2013" s="2" t="s">
        <v>51</v>
      </c>
      <c r="E2013" s="2" t="s">
        <v>13610</v>
      </c>
      <c r="F2013" s="2">
        <v>45090</v>
      </c>
      <c r="G2013" s="3" t="str">
        <f>HYPERLINK("https://cloud.oebiotech.com/#/lm/network/45090", "https://cloud.oebiotech.com/#/lm/network/45090")</f>
        <v>https://cloud.oebiotech.com/#/lm/network/45090</v>
      </c>
      <c r="H2013" s="2"/>
      <c r="I2013" s="2"/>
      <c r="J2013" s="2" t="s">
        <v>13611</v>
      </c>
      <c r="K2013" s="2">
        <v>73242225</v>
      </c>
      <c r="L2013" s="2"/>
      <c r="M2013" s="2"/>
      <c r="N2013" s="2"/>
      <c r="O2013" s="2"/>
      <c r="P2013" s="2"/>
      <c r="Q2013" s="2"/>
      <c r="R2013" s="2"/>
      <c r="S2013" s="2" t="s">
        <v>13612</v>
      </c>
      <c r="T2013" s="2" t="s">
        <v>13613</v>
      </c>
      <c r="U2013" s="2" t="s">
        <v>56</v>
      </c>
      <c r="V2013" s="2" t="s">
        <v>283</v>
      </c>
      <c r="W2013" s="2" t="s">
        <v>3686</v>
      </c>
      <c r="X2013" s="2" t="s">
        <v>147</v>
      </c>
      <c r="Y2013" s="2">
        <v>40.799999999999997</v>
      </c>
      <c r="Z2013" s="2">
        <v>17</v>
      </c>
      <c r="AA2013" s="2" t="s">
        <v>512</v>
      </c>
      <c r="AB2013" s="2" t="s">
        <v>3082</v>
      </c>
      <c r="AC2013" s="2">
        <v>-3.10244815929221</v>
      </c>
      <c r="AD2013" s="2"/>
      <c r="AE2013" s="2">
        <v>0.32590172019601898</v>
      </c>
      <c r="AF2013" s="2">
        <v>6640.5480602586604</v>
      </c>
      <c r="AG2013" s="2">
        <v>555.88331702898597</v>
      </c>
      <c r="AH2013" s="5">
        <v>11.945938755187299</v>
      </c>
      <c r="AI2013" s="5">
        <v>3.5784483253444499</v>
      </c>
      <c r="AJ2013" s="5" t="s">
        <v>139</v>
      </c>
      <c r="AK2013" s="2">
        <v>0.22790858194907601</v>
      </c>
      <c r="AL2013" s="2">
        <v>0.55318612061801498</v>
      </c>
      <c r="AM2013" s="2">
        <v>8.559877937157E-6</v>
      </c>
      <c r="AN2013" s="2">
        <v>8.559877937157E-6</v>
      </c>
      <c r="AO2013" s="2">
        <v>11334.0210575777</v>
      </c>
      <c r="AP2013" s="2">
        <v>8.559877937157E-6</v>
      </c>
      <c r="AQ2013" s="2">
        <v>28372.411618205198</v>
      </c>
      <c r="AR2013" s="2">
        <v>136.85566008944301</v>
      </c>
      <c r="AS2013" s="2">
        <v>2359.8445955970901</v>
      </c>
      <c r="AT2013" s="2">
        <v>0.881751296924706</v>
      </c>
      <c r="AU2013" s="2">
        <v>693.71262036268695</v>
      </c>
      <c r="AV2013" s="2">
        <v>109.80572424793399</v>
      </c>
      <c r="AW2013" s="2">
        <v>148.26973527673999</v>
      </c>
      <c r="AX2013" s="2">
        <v>22.785475392541802</v>
      </c>
    </row>
    <row r="2014" spans="1:50" x14ac:dyDescent="0.25">
      <c r="A2014" s="2" t="s">
        <v>13614</v>
      </c>
      <c r="B2014" s="2">
        <v>331.17652445601999</v>
      </c>
      <c r="C2014" s="2">
        <v>6.84148333333333</v>
      </c>
      <c r="D2014" s="2" t="s">
        <v>51</v>
      </c>
      <c r="E2014" s="2" t="s">
        <v>13615</v>
      </c>
      <c r="F2014" s="2">
        <v>82028</v>
      </c>
      <c r="G2014" s="3" t="str">
        <f>HYPERLINK("https://cloud.oebiotech.com/#/lm/network/82028", "https://cloud.oebiotech.com/#/lm/network/82028")</f>
        <v>https://cloud.oebiotech.com/#/lm/network/82028</v>
      </c>
      <c r="H2014" s="2" t="s">
        <v>13616</v>
      </c>
      <c r="I2014" s="2"/>
      <c r="J2014" s="2"/>
      <c r="K2014" s="2">
        <v>183838</v>
      </c>
      <c r="L2014" s="2"/>
      <c r="M2014" s="2"/>
      <c r="N2014" s="2"/>
      <c r="O2014" s="2">
        <v>89610</v>
      </c>
      <c r="P2014" s="2"/>
      <c r="Q2014" s="2"/>
      <c r="R2014" s="2"/>
      <c r="S2014" s="2" t="s">
        <v>13617</v>
      </c>
      <c r="T2014" s="2" t="s">
        <v>13618</v>
      </c>
      <c r="U2014" s="2" t="s">
        <v>56</v>
      </c>
      <c r="V2014" s="2" t="s">
        <v>177</v>
      </c>
      <c r="W2014" s="2" t="s">
        <v>394</v>
      </c>
      <c r="X2014" s="2" t="s">
        <v>83</v>
      </c>
      <c r="Y2014" s="2">
        <v>42.3</v>
      </c>
      <c r="Z2014" s="2">
        <v>3.38</v>
      </c>
      <c r="AA2014" s="2" t="s">
        <v>163</v>
      </c>
      <c r="AB2014" s="2" t="s">
        <v>13619</v>
      </c>
      <c r="AC2014" s="2">
        <v>0.89605033752587804</v>
      </c>
      <c r="AD2014" s="2"/>
      <c r="AE2014" s="2">
        <v>0.32578564520713499</v>
      </c>
      <c r="AF2014" s="2">
        <v>258.83638262972499</v>
      </c>
      <c r="AG2014" s="2">
        <v>4224.5445076774904</v>
      </c>
      <c r="AH2014" s="4">
        <v>6.1269654553130701E-2</v>
      </c>
      <c r="AI2014" s="4">
        <v>-4.0286834725526797</v>
      </c>
      <c r="AJ2014" s="4" t="s">
        <v>62</v>
      </c>
      <c r="AK2014" s="2">
        <v>0.17455514509787801</v>
      </c>
      <c r="AL2014" s="2">
        <v>0.49564171907790799</v>
      </c>
      <c r="AM2014" s="2">
        <v>216.30683041870901</v>
      </c>
      <c r="AN2014" s="2">
        <v>527.84241147195098</v>
      </c>
      <c r="AO2014" s="2">
        <v>8.559877937157E-6</v>
      </c>
      <c r="AP2014" s="2">
        <v>349.03714889086899</v>
      </c>
      <c r="AQ2014" s="2">
        <v>220.86636214674701</v>
      </c>
      <c r="AR2014" s="2">
        <v>238.96553429019701</v>
      </c>
      <c r="AS2014" s="2">
        <v>103.817103961108</v>
      </c>
      <c r="AT2014" s="2">
        <v>1141.1343987847099</v>
      </c>
      <c r="AU2014" s="2">
        <v>3654.8131876577099</v>
      </c>
      <c r="AV2014" s="2">
        <v>2556.0403961974898</v>
      </c>
      <c r="AW2014" s="2">
        <v>17505.2869427156</v>
      </c>
      <c r="AX2014" s="2">
        <v>386.17501674830601</v>
      </c>
    </row>
    <row r="2015" spans="1:50" x14ac:dyDescent="0.25">
      <c r="A2015" s="2" t="s">
        <v>13620</v>
      </c>
      <c r="B2015" s="2">
        <v>529.20333579278702</v>
      </c>
      <c r="C2015" s="2">
        <v>8.1461000000000006</v>
      </c>
      <c r="D2015" s="2" t="s">
        <v>51</v>
      </c>
      <c r="E2015" s="2" t="s">
        <v>13621</v>
      </c>
      <c r="F2015" s="2">
        <v>63834</v>
      </c>
      <c r="G2015" s="3" t="str">
        <f>HYPERLINK("https://cloud.oebiotech.com/#/lm/network/63834", "https://cloud.oebiotech.com/#/lm/network/63834")</f>
        <v>https://cloud.oebiotech.com/#/lm/network/63834</v>
      </c>
      <c r="H2015" s="2" t="s">
        <v>13622</v>
      </c>
      <c r="I2015" s="2">
        <v>95169</v>
      </c>
      <c r="J2015" s="2"/>
      <c r="K2015" s="2">
        <v>10244594</v>
      </c>
      <c r="L2015" s="2"/>
      <c r="M2015" s="2"/>
      <c r="N2015" s="2"/>
      <c r="O2015" s="2">
        <v>165852</v>
      </c>
      <c r="P2015" s="2"/>
      <c r="Q2015" s="2"/>
      <c r="R2015" s="2" t="s">
        <v>13623</v>
      </c>
      <c r="S2015" s="2" t="s">
        <v>13624</v>
      </c>
      <c r="T2015" s="2" t="s">
        <v>13625</v>
      </c>
      <c r="U2015" s="2" t="s">
        <v>103</v>
      </c>
      <c r="V2015" s="2" t="s">
        <v>104</v>
      </c>
      <c r="W2015" s="2" t="s">
        <v>105</v>
      </c>
      <c r="X2015" s="2" t="s">
        <v>147</v>
      </c>
      <c r="Y2015" s="2">
        <v>38.4</v>
      </c>
      <c r="Z2015" s="2">
        <v>0</v>
      </c>
      <c r="AA2015" s="2" t="s">
        <v>478</v>
      </c>
      <c r="AB2015" s="2" t="s">
        <v>13626</v>
      </c>
      <c r="AC2015" s="2">
        <v>-3.58294561256174</v>
      </c>
      <c r="AD2015" s="2"/>
      <c r="AE2015" s="2">
        <v>0.32575606053808498</v>
      </c>
      <c r="AF2015" s="2">
        <v>6233.0210928574697</v>
      </c>
      <c r="AG2015" s="2">
        <v>3539.9489058819499</v>
      </c>
      <c r="AH2015" s="5">
        <v>1.7607658354900899</v>
      </c>
      <c r="AI2015" s="5">
        <v>0.81620305769831303</v>
      </c>
      <c r="AJ2015" s="5" t="s">
        <v>139</v>
      </c>
      <c r="AK2015" s="2">
        <v>3.9802255959465398E-2</v>
      </c>
      <c r="AL2015" s="2">
        <v>0.29155452793099101</v>
      </c>
      <c r="AM2015" s="2">
        <v>10734.4334204851</v>
      </c>
      <c r="AN2015" s="2">
        <v>4727.9967847333501</v>
      </c>
      <c r="AO2015" s="2">
        <v>3636.0875479945398</v>
      </c>
      <c r="AP2015" s="2">
        <v>6131.7326794351602</v>
      </c>
      <c r="AQ2015" s="2">
        <v>4837.1224283077399</v>
      </c>
      <c r="AR2015" s="2">
        <v>7330.75369618895</v>
      </c>
      <c r="AS2015" s="2">
        <v>5192.5071766685696</v>
      </c>
      <c r="AT2015" s="2">
        <v>3348.8773404929502</v>
      </c>
      <c r="AU2015" s="2">
        <v>3267.0970082097401</v>
      </c>
      <c r="AV2015" s="2">
        <v>2428.3396641285699</v>
      </c>
      <c r="AW2015" s="2">
        <v>2388.80655423903</v>
      </c>
      <c r="AX2015" s="2">
        <v>4614.0656915528298</v>
      </c>
    </row>
    <row r="2016" spans="1:50" x14ac:dyDescent="0.25">
      <c r="A2016" s="2" t="s">
        <v>13627</v>
      </c>
      <c r="B2016" s="2">
        <v>270.12482620139701</v>
      </c>
      <c r="C2016" s="2">
        <v>5.2489333333333299</v>
      </c>
      <c r="D2016" s="2" t="s">
        <v>51</v>
      </c>
      <c r="E2016" s="2" t="s">
        <v>13628</v>
      </c>
      <c r="F2016" s="2">
        <v>82969</v>
      </c>
      <c r="G2016" s="3" t="str">
        <f>HYPERLINK("https://cloud.oebiotech.com/#/lm/network/82969", "https://cloud.oebiotech.com/#/lm/network/82969")</f>
        <v>https://cloud.oebiotech.com/#/lm/network/82969</v>
      </c>
      <c r="H2016" s="2" t="s">
        <v>13629</v>
      </c>
      <c r="I2016" s="2"/>
      <c r="J2016" s="2"/>
      <c r="K2016" s="2">
        <v>131770052</v>
      </c>
      <c r="L2016" s="2"/>
      <c r="M2016" s="2"/>
      <c r="N2016" s="2"/>
      <c r="O2016" s="2"/>
      <c r="P2016" s="2"/>
      <c r="Q2016" s="2"/>
      <c r="R2016" s="2"/>
      <c r="S2016" s="2" t="s">
        <v>13630</v>
      </c>
      <c r="T2016" s="2" t="s">
        <v>13631</v>
      </c>
      <c r="U2016" s="2" t="s">
        <v>266</v>
      </c>
      <c r="V2016" s="2" t="s">
        <v>445</v>
      </c>
      <c r="W2016" s="2" t="s">
        <v>911</v>
      </c>
      <c r="X2016" s="2" t="s">
        <v>147</v>
      </c>
      <c r="Y2016" s="2">
        <v>44.7</v>
      </c>
      <c r="Z2016" s="2">
        <v>27.8</v>
      </c>
      <c r="AA2016" s="2" t="s">
        <v>379</v>
      </c>
      <c r="AB2016" s="2" t="s">
        <v>13632</v>
      </c>
      <c r="AC2016" s="2">
        <v>8.9364152225222995E-2</v>
      </c>
      <c r="AD2016" s="2"/>
      <c r="AE2016" s="2">
        <v>0.32570134580241999</v>
      </c>
      <c r="AF2016" s="2">
        <v>248.65505895065601</v>
      </c>
      <c r="AG2016" s="2">
        <v>5189.3644474419498</v>
      </c>
      <c r="AH2016" s="4">
        <v>4.7916283673856898E-2</v>
      </c>
      <c r="AI2016" s="4">
        <v>-4.3833401709052904</v>
      </c>
      <c r="AJ2016" s="4" t="s">
        <v>62</v>
      </c>
      <c r="AK2016" s="2">
        <v>0.35916304322417397</v>
      </c>
      <c r="AL2016" s="2">
        <v>0.64449606579735297</v>
      </c>
      <c r="AM2016" s="2">
        <v>31.248110747905201</v>
      </c>
      <c r="AN2016" s="2">
        <v>19.463896535847098</v>
      </c>
      <c r="AO2016" s="2">
        <v>1.62385104745703</v>
      </c>
      <c r="AP2016" s="2">
        <v>2.2888727193653899</v>
      </c>
      <c r="AQ2016" s="2">
        <v>129.10520397160201</v>
      </c>
      <c r="AR2016" s="2">
        <v>1308.2004186817601</v>
      </c>
      <c r="AS2016" s="2">
        <v>219.62098665025201</v>
      </c>
      <c r="AT2016" s="2">
        <v>8.559877937157E-6</v>
      </c>
      <c r="AU2016" s="2">
        <v>26.5366261349462</v>
      </c>
      <c r="AV2016" s="2">
        <v>8.559877937157E-6</v>
      </c>
      <c r="AW2016" s="2">
        <v>30870.0847912022</v>
      </c>
      <c r="AX2016" s="2">
        <v>19.9442635445223</v>
      </c>
    </row>
    <row r="2017" spans="1:50" x14ac:dyDescent="0.25">
      <c r="A2017" s="2" t="s">
        <v>13633</v>
      </c>
      <c r="B2017" s="2">
        <v>339.32680385363301</v>
      </c>
      <c r="C2017" s="2">
        <v>14.465633333333299</v>
      </c>
      <c r="D2017" s="2" t="s">
        <v>51</v>
      </c>
      <c r="E2017" s="2" t="s">
        <v>13634</v>
      </c>
      <c r="F2017" s="2">
        <v>6323</v>
      </c>
      <c r="G2017" s="3" t="str">
        <f>HYPERLINK("https://cloud.oebiotech.com/#/lm/network/6323", "https://cloud.oebiotech.com/#/lm/network/6323")</f>
        <v>https://cloud.oebiotech.com/#/lm/network/6323</v>
      </c>
      <c r="H2017" s="2" t="s">
        <v>13635</v>
      </c>
      <c r="I2017" s="2">
        <v>87349</v>
      </c>
      <c r="J2017" s="2" t="s">
        <v>13636</v>
      </c>
      <c r="K2017" s="2">
        <v>8185</v>
      </c>
      <c r="L2017" s="2"/>
      <c r="M2017" s="2"/>
      <c r="N2017" s="2"/>
      <c r="O2017" s="2">
        <v>131344</v>
      </c>
      <c r="P2017" s="2"/>
      <c r="Q2017" s="2"/>
      <c r="R2017" s="2" t="s">
        <v>13637</v>
      </c>
      <c r="S2017" s="2" t="s">
        <v>13638</v>
      </c>
      <c r="T2017" s="2" t="s">
        <v>13639</v>
      </c>
      <c r="U2017" s="2" t="s">
        <v>56</v>
      </c>
      <c r="V2017" s="2" t="s">
        <v>145</v>
      </c>
      <c r="W2017" s="2" t="s">
        <v>146</v>
      </c>
      <c r="X2017" s="2" t="s">
        <v>147</v>
      </c>
      <c r="Y2017" s="2">
        <v>39.5</v>
      </c>
      <c r="Z2017" s="2">
        <v>0</v>
      </c>
      <c r="AA2017" s="2" t="s">
        <v>478</v>
      </c>
      <c r="AB2017" s="2" t="s">
        <v>13640</v>
      </c>
      <c r="AC2017" s="2">
        <v>-0.14798564745527601</v>
      </c>
      <c r="AD2017" s="2"/>
      <c r="AE2017" s="2">
        <v>0.32549375322111801</v>
      </c>
      <c r="AF2017" s="2">
        <v>563.94456761252104</v>
      </c>
      <c r="AG2017" s="2">
        <v>5080.7056029233099</v>
      </c>
      <c r="AH2017" s="4">
        <v>0.11099729283429501</v>
      </c>
      <c r="AI2017" s="4">
        <v>-3.1714036044576099</v>
      </c>
      <c r="AJ2017" s="4" t="s">
        <v>62</v>
      </c>
      <c r="AK2017" s="2">
        <v>9.72932947866086E-2</v>
      </c>
      <c r="AL2017" s="2">
        <v>0.39786780237660802</v>
      </c>
      <c r="AM2017" s="2">
        <v>777.99883073431999</v>
      </c>
      <c r="AN2017" s="2">
        <v>309.57159419992001</v>
      </c>
      <c r="AO2017" s="2">
        <v>851.26051365242597</v>
      </c>
      <c r="AP2017" s="2">
        <v>119.698221243793</v>
      </c>
      <c r="AQ2017" s="2">
        <v>714.25841270741205</v>
      </c>
      <c r="AR2017" s="2">
        <v>610.87983313725499</v>
      </c>
      <c r="AS2017" s="2">
        <v>721.09557007560102</v>
      </c>
      <c r="AT2017" s="2">
        <v>745.68500550209603</v>
      </c>
      <c r="AU2017" s="2">
        <v>16157.451217239401</v>
      </c>
      <c r="AV2017" s="2">
        <v>6295.03978539134</v>
      </c>
      <c r="AW2017" s="2">
        <v>5933.3731622928699</v>
      </c>
      <c r="AX2017" s="2">
        <v>631.58887703852304</v>
      </c>
    </row>
    <row r="2018" spans="1:50" x14ac:dyDescent="0.25">
      <c r="A2018" s="2" t="s">
        <v>13641</v>
      </c>
      <c r="B2018" s="2">
        <v>155.04546584791399</v>
      </c>
      <c r="C2018" s="2">
        <v>3.64313333333333</v>
      </c>
      <c r="D2018" s="2" t="s">
        <v>51</v>
      </c>
      <c r="E2018" s="2" t="s">
        <v>13642</v>
      </c>
      <c r="F2018" s="2">
        <v>47456</v>
      </c>
      <c r="G2018" s="3" t="str">
        <f>HYPERLINK("https://cloud.oebiotech.com/#/lm/network/47456", "https://cloud.oebiotech.com/#/lm/network/47456")</f>
        <v>https://cloud.oebiotech.com/#/lm/network/47456</v>
      </c>
      <c r="H2018" s="2" t="s">
        <v>13643</v>
      </c>
      <c r="I2018" s="2">
        <v>6084</v>
      </c>
      <c r="J2018" s="2"/>
      <c r="K2018" s="2">
        <v>782</v>
      </c>
      <c r="L2018" s="2" t="s">
        <v>13644</v>
      </c>
      <c r="M2018" s="2" t="s">
        <v>2506</v>
      </c>
      <c r="N2018" s="2" t="s">
        <v>2507</v>
      </c>
      <c r="O2018" s="2">
        <v>28297</v>
      </c>
      <c r="P2018" s="2"/>
      <c r="Q2018" s="2"/>
      <c r="R2018" s="2" t="s">
        <v>13645</v>
      </c>
      <c r="S2018" s="2" t="s">
        <v>13646</v>
      </c>
      <c r="T2018" s="2" t="s">
        <v>13647</v>
      </c>
      <c r="U2018" s="2" t="s">
        <v>266</v>
      </c>
      <c r="V2018" s="2" t="s">
        <v>13648</v>
      </c>
      <c r="W2018" s="2" t="s">
        <v>13649</v>
      </c>
      <c r="X2018" s="2" t="s">
        <v>147</v>
      </c>
      <c r="Y2018" s="2">
        <v>37.9</v>
      </c>
      <c r="Z2018" s="2">
        <v>0</v>
      </c>
      <c r="AA2018" s="2" t="s">
        <v>156</v>
      </c>
      <c r="AB2018" s="2" t="s">
        <v>13650</v>
      </c>
      <c r="AC2018" s="2">
        <v>2.0189289786998699</v>
      </c>
      <c r="AD2018" s="2"/>
      <c r="AE2018" s="2">
        <v>0.32536618207534701</v>
      </c>
      <c r="AF2018" s="2">
        <v>60040.271724206497</v>
      </c>
      <c r="AG2018" s="2">
        <v>64930.293258637997</v>
      </c>
      <c r="AH2018" s="4">
        <v>0.92468813416639095</v>
      </c>
      <c r="AI2018" s="4">
        <v>-0.11296121915638301</v>
      </c>
      <c r="AJ2018" s="4" t="s">
        <v>62</v>
      </c>
      <c r="AK2018" s="2">
        <v>0.61632449289166102</v>
      </c>
      <c r="AL2018" s="2">
        <v>0.80961248686495102</v>
      </c>
      <c r="AM2018" s="2">
        <v>35160.410349319398</v>
      </c>
      <c r="AN2018" s="2">
        <v>63836.620728654503</v>
      </c>
      <c r="AO2018" s="2">
        <v>49955.143745824898</v>
      </c>
      <c r="AP2018" s="2">
        <v>72729.652542730895</v>
      </c>
      <c r="AQ2018" s="2">
        <v>83980.632352383196</v>
      </c>
      <c r="AR2018" s="2">
        <v>54579.170626326399</v>
      </c>
      <c r="AS2018" s="2">
        <v>64616.523228683298</v>
      </c>
      <c r="AT2018" s="2">
        <v>79038.726560727097</v>
      </c>
      <c r="AU2018" s="2">
        <v>49431.9050332185</v>
      </c>
      <c r="AV2018" s="2">
        <v>43331.239135153497</v>
      </c>
      <c r="AW2018" s="2">
        <v>78351.268469991803</v>
      </c>
      <c r="AX2018" s="2">
        <v>74812.097124053806</v>
      </c>
    </row>
    <row r="2019" spans="1:50" x14ac:dyDescent="0.25">
      <c r="A2019" s="2" t="s">
        <v>13651</v>
      </c>
      <c r="B2019" s="2">
        <v>423.238936146735</v>
      </c>
      <c r="C2019" s="2">
        <v>9.2956333333333294</v>
      </c>
      <c r="D2019" s="2" t="s">
        <v>51</v>
      </c>
      <c r="E2019" s="2" t="s">
        <v>13652</v>
      </c>
      <c r="F2019" s="2">
        <v>83672</v>
      </c>
      <c r="G2019" s="3" t="str">
        <f>HYPERLINK("https://cloud.oebiotech.com/#/lm/network/83672", "https://cloud.oebiotech.com/#/lm/network/83672")</f>
        <v>https://cloud.oebiotech.com/#/lm/network/83672</v>
      </c>
      <c r="H2019" s="2" t="s">
        <v>13653</v>
      </c>
      <c r="I2019" s="2"/>
      <c r="J2019" s="2"/>
      <c r="K2019" s="2">
        <v>91666454</v>
      </c>
      <c r="L2019" s="2"/>
      <c r="M2019" s="2"/>
      <c r="N2019" s="2"/>
      <c r="O2019" s="2">
        <v>85165</v>
      </c>
      <c r="P2019" s="2"/>
      <c r="Q2019" s="2"/>
      <c r="R2019" s="2"/>
      <c r="S2019" s="2" t="s">
        <v>13654</v>
      </c>
      <c r="T2019" s="2" t="s">
        <v>13655</v>
      </c>
      <c r="U2019" s="2" t="s">
        <v>56</v>
      </c>
      <c r="V2019" s="2" t="s">
        <v>145</v>
      </c>
      <c r="W2019" s="2" t="s">
        <v>187</v>
      </c>
      <c r="X2019" s="2" t="s">
        <v>83</v>
      </c>
      <c r="Y2019" s="2">
        <v>55.2</v>
      </c>
      <c r="Z2019" s="2">
        <v>0</v>
      </c>
      <c r="AA2019" s="2" t="s">
        <v>379</v>
      </c>
      <c r="AB2019" s="2" t="s">
        <v>13656</v>
      </c>
      <c r="AC2019" s="2">
        <v>0.246670321403199</v>
      </c>
      <c r="AD2019" s="2"/>
      <c r="AE2019" s="2">
        <v>0.32530360567858801</v>
      </c>
      <c r="AF2019" s="2">
        <v>4794.7492538872002</v>
      </c>
      <c r="AG2019" s="2">
        <v>1895.45271084192</v>
      </c>
      <c r="AH2019" s="5">
        <v>2.5296063713230099</v>
      </c>
      <c r="AI2019" s="5">
        <v>1.33891290653146</v>
      </c>
      <c r="AJ2019" s="5" t="s">
        <v>139</v>
      </c>
      <c r="AK2019" s="2">
        <v>3.5647743119037102E-2</v>
      </c>
      <c r="AL2019" s="2">
        <v>0.27473558926735903</v>
      </c>
      <c r="AM2019" s="2">
        <v>8329.4156052737708</v>
      </c>
      <c r="AN2019" s="2">
        <v>1844.8609914414101</v>
      </c>
      <c r="AO2019" s="2">
        <v>2025.6736101930001</v>
      </c>
      <c r="AP2019" s="2">
        <v>5958.8556425137504</v>
      </c>
      <c r="AQ2019" s="2">
        <v>3622.2130011433301</v>
      </c>
      <c r="AR2019" s="2">
        <v>6987.4766727579299</v>
      </c>
      <c r="AS2019" s="2">
        <v>1759.2110501233201</v>
      </c>
      <c r="AT2019" s="2">
        <v>1074.6407996447799</v>
      </c>
      <c r="AU2019" s="2">
        <v>4041.1016822771298</v>
      </c>
      <c r="AV2019" s="2">
        <v>1972.7633065887801</v>
      </c>
      <c r="AW2019" s="2">
        <v>864.95698544471702</v>
      </c>
      <c r="AX2019" s="2">
        <v>1660.04244097279</v>
      </c>
    </row>
    <row r="2020" spans="1:50" x14ac:dyDescent="0.25">
      <c r="A2020" s="2" t="s">
        <v>13657</v>
      </c>
      <c r="B2020" s="2">
        <v>253.08197676210099</v>
      </c>
      <c r="C2020" s="2">
        <v>7.8614666666666704</v>
      </c>
      <c r="D2020" s="2" t="s">
        <v>51</v>
      </c>
      <c r="E2020" s="2" t="s">
        <v>13658</v>
      </c>
      <c r="F2020" s="2">
        <v>55674</v>
      </c>
      <c r="G2020" s="3" t="str">
        <f>HYPERLINK("https://cloud.oebiotech.com/#/lm/network/55674", "https://cloud.oebiotech.com/#/lm/network/55674")</f>
        <v>https://cloud.oebiotech.com/#/lm/network/55674</v>
      </c>
      <c r="H2020" s="2" t="s">
        <v>13659</v>
      </c>
      <c r="I2020" s="2">
        <v>87330</v>
      </c>
      <c r="J2020" s="2"/>
      <c r="K2020" s="2">
        <v>131751113</v>
      </c>
      <c r="L2020" s="2"/>
      <c r="M2020" s="2"/>
      <c r="N2020" s="2"/>
      <c r="O2020" s="2">
        <v>172310</v>
      </c>
      <c r="P2020" s="2"/>
      <c r="Q2020" s="2"/>
      <c r="R2020" s="2"/>
      <c r="S2020" s="2" t="s">
        <v>13660</v>
      </c>
      <c r="T2020" s="2" t="s">
        <v>13661</v>
      </c>
      <c r="U2020" s="2" t="s">
        <v>266</v>
      </c>
      <c r="V2020" s="2" t="s">
        <v>3994</v>
      </c>
      <c r="W2020" s="2" t="s">
        <v>3995</v>
      </c>
      <c r="X2020" s="2" t="s">
        <v>83</v>
      </c>
      <c r="Y2020" s="2">
        <v>45.2</v>
      </c>
      <c r="Z2020" s="2">
        <v>0</v>
      </c>
      <c r="AA2020" s="2" t="s">
        <v>395</v>
      </c>
      <c r="AB2020" s="2" t="s">
        <v>8309</v>
      </c>
      <c r="AC2020" s="2">
        <v>-7.8944955171694202</v>
      </c>
      <c r="AD2020" s="2"/>
      <c r="AE2020" s="2">
        <v>0.32527907995335897</v>
      </c>
      <c r="AF2020" s="2">
        <v>2855.3645384536399</v>
      </c>
      <c r="AG2020" s="2">
        <v>6541.6994666446099</v>
      </c>
      <c r="AH2020" s="4">
        <v>0.43648665809440201</v>
      </c>
      <c r="AI2020" s="4">
        <v>-1.19599053861619</v>
      </c>
      <c r="AJ2020" s="4" t="s">
        <v>62</v>
      </c>
      <c r="AK2020" s="2">
        <v>2.9206715680266001E-2</v>
      </c>
      <c r="AL2020" s="2">
        <v>0.25880637461752098</v>
      </c>
      <c r="AM2020" s="2">
        <v>5137.9210124860301</v>
      </c>
      <c r="AN2020" s="2">
        <v>1153.3453789122</v>
      </c>
      <c r="AO2020" s="2">
        <v>4367.7748009551597</v>
      </c>
      <c r="AP2020" s="2">
        <v>62.374703067631501</v>
      </c>
      <c r="AQ2020" s="2">
        <v>1998.6052730341301</v>
      </c>
      <c r="AR2020" s="2">
        <v>4412.1660622666705</v>
      </c>
      <c r="AS2020" s="2">
        <v>8822.2119923440605</v>
      </c>
      <c r="AT2020" s="2">
        <v>4754.4525585690999</v>
      </c>
      <c r="AU2020" s="2">
        <v>9918.43441813963</v>
      </c>
      <c r="AV2020" s="2">
        <v>3535.9017802805702</v>
      </c>
      <c r="AW2020" s="2">
        <v>8607.2169858166308</v>
      </c>
      <c r="AX2020" s="2">
        <v>3611.9790647176601</v>
      </c>
    </row>
    <row r="2021" spans="1:50" x14ac:dyDescent="0.25">
      <c r="A2021" s="2" t="s">
        <v>13662</v>
      </c>
      <c r="B2021" s="2">
        <v>277.15574113114599</v>
      </c>
      <c r="C2021" s="2">
        <v>4.5012333333333299</v>
      </c>
      <c r="D2021" s="2" t="s">
        <v>51</v>
      </c>
      <c r="E2021" s="2" t="s">
        <v>13663</v>
      </c>
      <c r="F2021" s="2">
        <v>52226</v>
      </c>
      <c r="G2021" s="3" t="str">
        <f>HYPERLINK("https://cloud.oebiotech.com/#/lm/network/52226", "https://cloud.oebiotech.com/#/lm/network/52226")</f>
        <v>https://cloud.oebiotech.com/#/lm/network/52226</v>
      </c>
      <c r="H2021" s="2" t="s">
        <v>13664</v>
      </c>
      <c r="I2021" s="2">
        <v>24020</v>
      </c>
      <c r="J2021" s="2"/>
      <c r="K2021" s="2">
        <v>6992309</v>
      </c>
      <c r="L2021" s="2"/>
      <c r="M2021" s="2"/>
      <c r="N2021" s="2"/>
      <c r="O2021" s="2">
        <v>73585</v>
      </c>
      <c r="P2021" s="2"/>
      <c r="Q2021" s="2"/>
      <c r="R2021" s="2" t="s">
        <v>13665</v>
      </c>
      <c r="S2021" s="2" t="s">
        <v>13666</v>
      </c>
      <c r="T2021" s="2" t="s">
        <v>13667</v>
      </c>
      <c r="U2021" s="2" t="s">
        <v>103</v>
      </c>
      <c r="V2021" s="2" t="s">
        <v>104</v>
      </c>
      <c r="W2021" s="2" t="s">
        <v>105</v>
      </c>
      <c r="X2021" s="2" t="s">
        <v>69</v>
      </c>
      <c r="Y2021" s="2">
        <v>57</v>
      </c>
      <c r="Z2021" s="2">
        <v>79</v>
      </c>
      <c r="AA2021" s="2" t="s">
        <v>163</v>
      </c>
      <c r="AB2021" s="2" t="s">
        <v>13668</v>
      </c>
      <c r="AC2021" s="2">
        <v>-8.9913720455084306E-2</v>
      </c>
      <c r="AD2021" s="2"/>
      <c r="AE2021" s="2">
        <v>0.32524102528721699</v>
      </c>
      <c r="AF2021" s="2">
        <v>78228.402972821597</v>
      </c>
      <c r="AG2021" s="2">
        <v>66209.922274251803</v>
      </c>
      <c r="AH2021" s="5">
        <v>1.18152083986426</v>
      </c>
      <c r="AI2021" s="5">
        <v>0.24064507603514099</v>
      </c>
      <c r="AJ2021" s="5" t="s">
        <v>139</v>
      </c>
      <c r="AK2021" s="2">
        <v>0.53909628418058297</v>
      </c>
      <c r="AL2021" s="2">
        <v>0.76464258930367401</v>
      </c>
      <c r="AM2021" s="2">
        <v>49069.8762116898</v>
      </c>
      <c r="AN2021" s="2">
        <v>76739.462905739303</v>
      </c>
      <c r="AO2021" s="2">
        <v>65366.776654460598</v>
      </c>
      <c r="AP2021" s="2">
        <v>60785.209795202099</v>
      </c>
      <c r="AQ2021" s="2">
        <v>68602.910085530995</v>
      </c>
      <c r="AR2021" s="2">
        <v>148806.18218430699</v>
      </c>
      <c r="AS2021" s="2">
        <v>34521.089510526399</v>
      </c>
      <c r="AT2021" s="2">
        <v>52687.022047276601</v>
      </c>
      <c r="AU2021" s="2">
        <v>106248.52258090999</v>
      </c>
      <c r="AV2021" s="2">
        <v>53550.081459952598</v>
      </c>
      <c r="AW2021" s="2">
        <v>50535.051825060698</v>
      </c>
      <c r="AX2021" s="2">
        <v>99717.766221784303</v>
      </c>
    </row>
    <row r="2022" spans="1:50" x14ac:dyDescent="0.25">
      <c r="A2022" s="2" t="s">
        <v>13669</v>
      </c>
      <c r="B2022" s="2">
        <v>374.36411782422101</v>
      </c>
      <c r="C2022" s="2">
        <v>9.8284666666666691</v>
      </c>
      <c r="D2022" s="2" t="s">
        <v>51</v>
      </c>
      <c r="E2022" s="2" t="s">
        <v>13670</v>
      </c>
      <c r="F2022" s="2">
        <v>1706</v>
      </c>
      <c r="G2022" s="3" t="str">
        <f>HYPERLINK("https://cloud.oebiotech.com/#/lm/network/1706", "https://cloud.oebiotech.com/#/lm/network/1706")</f>
        <v>https://cloud.oebiotech.com/#/lm/network/1706</v>
      </c>
      <c r="H2022" s="2" t="s">
        <v>13671</v>
      </c>
      <c r="I2022" s="2"/>
      <c r="J2022" s="2" t="s">
        <v>13672</v>
      </c>
      <c r="K2022" s="2">
        <v>5282922</v>
      </c>
      <c r="L2022" s="2" t="s">
        <v>13673</v>
      </c>
      <c r="M2022" s="2"/>
      <c r="N2022" s="2"/>
      <c r="O2022" s="2">
        <v>76322</v>
      </c>
      <c r="P2022" s="2"/>
      <c r="Q2022" s="2"/>
      <c r="R2022" s="2"/>
      <c r="S2022" s="2" t="s">
        <v>13674</v>
      </c>
      <c r="T2022" s="2" t="s">
        <v>13675</v>
      </c>
      <c r="U2022" s="2" t="s">
        <v>56</v>
      </c>
      <c r="V2022" s="2" t="s">
        <v>145</v>
      </c>
      <c r="W2022" s="2" t="s">
        <v>231</v>
      </c>
      <c r="X2022" s="2" t="s">
        <v>59</v>
      </c>
      <c r="Y2022" s="2">
        <v>53.8</v>
      </c>
      <c r="Z2022" s="2">
        <v>78.2</v>
      </c>
      <c r="AA2022" s="2" t="s">
        <v>512</v>
      </c>
      <c r="AB2022" s="2" t="s">
        <v>13676</v>
      </c>
      <c r="AC2022" s="2">
        <v>3.49964303361137</v>
      </c>
      <c r="AD2022" s="2"/>
      <c r="AE2022" s="2">
        <v>0.32504599595669598</v>
      </c>
      <c r="AF2022" s="2">
        <v>2363.5555372561698</v>
      </c>
      <c r="AG2022" s="2">
        <v>7664.5323946261096</v>
      </c>
      <c r="AH2022" s="4">
        <v>0.30837569933337899</v>
      </c>
      <c r="AI2022" s="4">
        <v>-1.69723901261927</v>
      </c>
      <c r="AJ2022" s="4" t="s">
        <v>62</v>
      </c>
      <c r="AK2022" s="2">
        <v>0.19711775717038099</v>
      </c>
      <c r="AL2022" s="2">
        <v>0.520359326065163</v>
      </c>
      <c r="AM2022" s="2">
        <v>453.13509728837801</v>
      </c>
      <c r="AN2022" s="2">
        <v>438.97375668444198</v>
      </c>
      <c r="AO2022" s="2">
        <v>1454.6843614862601</v>
      </c>
      <c r="AP2022" s="2">
        <v>5794.0063063111402</v>
      </c>
      <c r="AQ2022" s="2">
        <v>5083.7524212999397</v>
      </c>
      <c r="AR2022" s="2">
        <v>956.78128046684799</v>
      </c>
      <c r="AS2022" s="2">
        <v>4201.8409939393796</v>
      </c>
      <c r="AT2022" s="2">
        <v>21411.367167853401</v>
      </c>
      <c r="AU2022" s="2">
        <v>769.53432155164501</v>
      </c>
      <c r="AV2022" s="2">
        <v>1334.46690389071</v>
      </c>
      <c r="AW2022" s="2">
        <v>1412.2952571547301</v>
      </c>
      <c r="AX2022" s="2">
        <v>16857.689723366799</v>
      </c>
    </row>
    <row r="2023" spans="1:50" x14ac:dyDescent="0.25">
      <c r="A2023" s="2" t="s">
        <v>13677</v>
      </c>
      <c r="B2023" s="2">
        <v>517.38956393488195</v>
      </c>
      <c r="C2023" s="2">
        <v>13.7702833333333</v>
      </c>
      <c r="D2023" s="2" t="s">
        <v>51</v>
      </c>
      <c r="E2023" s="2" t="s">
        <v>13678</v>
      </c>
      <c r="F2023" s="2">
        <v>44418</v>
      </c>
      <c r="G2023" s="3" t="str">
        <f>HYPERLINK("https://cloud.oebiotech.com/#/lm/network/44418", "https://cloud.oebiotech.com/#/lm/network/44418")</f>
        <v>https://cloud.oebiotech.com/#/lm/network/44418</v>
      </c>
      <c r="H2023" s="2"/>
      <c r="I2023" s="2"/>
      <c r="J2023" s="2" t="s">
        <v>13679</v>
      </c>
      <c r="K2023" s="2">
        <v>10973499</v>
      </c>
      <c r="L2023" s="2"/>
      <c r="M2023" s="2"/>
      <c r="N2023" s="2"/>
      <c r="O2023" s="2"/>
      <c r="P2023" s="2"/>
      <c r="Q2023" s="2"/>
      <c r="R2023" s="2"/>
      <c r="S2023" s="2" t="s">
        <v>13680</v>
      </c>
      <c r="T2023" s="2" t="s">
        <v>13681</v>
      </c>
      <c r="U2023" s="2" t="s">
        <v>56</v>
      </c>
      <c r="V2023" s="2" t="s">
        <v>283</v>
      </c>
      <c r="W2023" s="2" t="s">
        <v>5968</v>
      </c>
      <c r="X2023" s="2" t="s">
        <v>147</v>
      </c>
      <c r="Y2023" s="2">
        <v>36.5</v>
      </c>
      <c r="Z2023" s="2">
        <v>0</v>
      </c>
      <c r="AA2023" s="2" t="s">
        <v>156</v>
      </c>
      <c r="AB2023" s="2" t="s">
        <v>13682</v>
      </c>
      <c r="AC2023" s="2">
        <v>1.52086049543726</v>
      </c>
      <c r="AD2023" s="2"/>
      <c r="AE2023" s="2">
        <v>0.32499941667802101</v>
      </c>
      <c r="AF2023" s="2">
        <v>8635.7028865276006</v>
      </c>
      <c r="AG2023" s="2">
        <v>5005.6220713671701</v>
      </c>
      <c r="AH2023" s="5">
        <v>1.7252007369723299</v>
      </c>
      <c r="AI2023" s="5">
        <v>0.786764237476552</v>
      </c>
      <c r="AJ2023" s="5" t="s">
        <v>139</v>
      </c>
      <c r="AK2023" s="2">
        <v>5.6706731817477603E-2</v>
      </c>
      <c r="AL2023" s="2">
        <v>0.325203556477003</v>
      </c>
      <c r="AM2023" s="2">
        <v>8156.2818515587896</v>
      </c>
      <c r="AN2023" s="2">
        <v>9785.5313064827096</v>
      </c>
      <c r="AO2023" s="2">
        <v>8679.0207317693403</v>
      </c>
      <c r="AP2023" s="2">
        <v>13055.4676632583</v>
      </c>
      <c r="AQ2023" s="2">
        <v>9733.0608213832002</v>
      </c>
      <c r="AR2023" s="2">
        <v>2404.85494471323</v>
      </c>
      <c r="AS2023" s="2">
        <v>1223.8507318166301</v>
      </c>
      <c r="AT2023" s="2">
        <v>4680.9916702239498</v>
      </c>
      <c r="AU2023" s="2">
        <v>4603.5487225247498</v>
      </c>
      <c r="AV2023" s="2">
        <v>5296.1300771889801</v>
      </c>
      <c r="AW2023" s="2">
        <v>6584.7960196839003</v>
      </c>
      <c r="AX2023" s="2">
        <v>7644.4152067648001</v>
      </c>
    </row>
    <row r="2024" spans="1:50" x14ac:dyDescent="0.25">
      <c r="A2024" s="2" t="s">
        <v>13683</v>
      </c>
      <c r="B2024" s="2">
        <v>519.20513788415303</v>
      </c>
      <c r="C2024" s="2">
        <v>4.2766000000000002</v>
      </c>
      <c r="D2024" s="2" t="s">
        <v>51</v>
      </c>
      <c r="E2024" s="2" t="s">
        <v>13684</v>
      </c>
      <c r="F2024" s="2">
        <v>48471</v>
      </c>
      <c r="G2024" s="3" t="str">
        <f>HYPERLINK("https://cloud.oebiotech.com/#/lm/network/48471", "https://cloud.oebiotech.com/#/lm/network/48471")</f>
        <v>https://cloud.oebiotech.com/#/lm/network/48471</v>
      </c>
      <c r="H2024" s="2" t="s">
        <v>13685</v>
      </c>
      <c r="I2024" s="2">
        <v>44407</v>
      </c>
      <c r="J2024" s="2"/>
      <c r="K2024" s="2">
        <v>5212</v>
      </c>
      <c r="L2024" s="2" t="s">
        <v>13686</v>
      </c>
      <c r="M2024" s="2"/>
      <c r="N2024" s="2"/>
      <c r="O2024" s="2">
        <v>9139</v>
      </c>
      <c r="P2024" s="2"/>
      <c r="Q2024" s="2"/>
      <c r="R2024" s="2" t="s">
        <v>13687</v>
      </c>
      <c r="S2024" s="2" t="s">
        <v>13688</v>
      </c>
      <c r="T2024" s="2" t="s">
        <v>13689</v>
      </c>
      <c r="U2024" s="2" t="s">
        <v>610</v>
      </c>
      <c r="V2024" s="2" t="s">
        <v>611</v>
      </c>
      <c r="W2024" s="2" t="s">
        <v>5656</v>
      </c>
      <c r="X2024" s="2" t="s">
        <v>147</v>
      </c>
      <c r="Y2024" s="2">
        <v>41</v>
      </c>
      <c r="Z2024" s="2">
        <v>25.2</v>
      </c>
      <c r="AA2024" s="2" t="s">
        <v>218</v>
      </c>
      <c r="AB2024" s="2" t="s">
        <v>13690</v>
      </c>
      <c r="AC2024" s="2">
        <v>4.2398231428262001</v>
      </c>
      <c r="AD2024" s="2"/>
      <c r="AE2024" s="2">
        <v>0.324963159359697</v>
      </c>
      <c r="AF2024" s="2">
        <v>6162.4580930723696</v>
      </c>
      <c r="AG2024" s="2">
        <v>2317.6517913473699</v>
      </c>
      <c r="AH2024" s="5">
        <v>2.6589231894450398</v>
      </c>
      <c r="AI2024" s="5">
        <v>1.4108421014500701</v>
      </c>
      <c r="AJ2024" s="5" t="s">
        <v>139</v>
      </c>
      <c r="AK2024" s="2">
        <v>3.46747832024712E-2</v>
      </c>
      <c r="AL2024" s="2">
        <v>0.271975767980906</v>
      </c>
      <c r="AM2024" s="2">
        <v>3729.0308779269699</v>
      </c>
      <c r="AN2024" s="2">
        <v>3513.5870422694202</v>
      </c>
      <c r="AO2024" s="2">
        <v>9402.6713096639396</v>
      </c>
      <c r="AP2024" s="2">
        <v>6751.3248925137405</v>
      </c>
      <c r="AQ2024" s="2">
        <v>4059.64048910166</v>
      </c>
      <c r="AR2024" s="2">
        <v>9518.4939469584606</v>
      </c>
      <c r="AS2024" s="2">
        <v>8.559877937157E-6</v>
      </c>
      <c r="AT2024" s="2">
        <v>1272.50315576916</v>
      </c>
      <c r="AU2024" s="2">
        <v>1069.9479806474901</v>
      </c>
      <c r="AV2024" s="2">
        <v>2473.9924483147802</v>
      </c>
      <c r="AW2024" s="2">
        <v>1639.84768753494</v>
      </c>
      <c r="AX2024" s="2">
        <v>7449.6194672579904</v>
      </c>
    </row>
    <row r="2025" spans="1:50" x14ac:dyDescent="0.25">
      <c r="A2025" s="2" t="s">
        <v>13691</v>
      </c>
      <c r="B2025" s="2">
        <v>290.26998870277799</v>
      </c>
      <c r="C2025" s="2">
        <v>6.5393499999999998</v>
      </c>
      <c r="D2025" s="2" t="s">
        <v>51</v>
      </c>
      <c r="E2025" s="2" t="s">
        <v>13692</v>
      </c>
      <c r="F2025" s="2">
        <v>1695</v>
      </c>
      <c r="G2025" s="3" t="str">
        <f>HYPERLINK("https://cloud.oebiotech.com/#/lm/network/1695", "https://cloud.oebiotech.com/#/lm/network/1695")</f>
        <v>https://cloud.oebiotech.com/#/lm/network/1695</v>
      </c>
      <c r="H2025" s="2" t="s">
        <v>13693</v>
      </c>
      <c r="I2025" s="2">
        <v>58386</v>
      </c>
      <c r="J2025" s="2" t="s">
        <v>13694</v>
      </c>
      <c r="K2025" s="2">
        <v>10466</v>
      </c>
      <c r="L2025" s="2" t="s">
        <v>13695</v>
      </c>
      <c r="M2025" s="2"/>
      <c r="N2025" s="2"/>
      <c r="O2025" s="2">
        <v>55328</v>
      </c>
      <c r="P2025" s="2"/>
      <c r="Q2025" s="2"/>
      <c r="R2025" s="2" t="s">
        <v>13696</v>
      </c>
      <c r="S2025" s="2" t="s">
        <v>13697</v>
      </c>
      <c r="T2025" s="2" t="s">
        <v>13698</v>
      </c>
      <c r="U2025" s="2" t="s">
        <v>56</v>
      </c>
      <c r="V2025" s="2" t="s">
        <v>145</v>
      </c>
      <c r="W2025" s="2" t="s">
        <v>231</v>
      </c>
      <c r="X2025" s="2" t="s">
        <v>59</v>
      </c>
      <c r="Y2025" s="2">
        <v>49.3</v>
      </c>
      <c r="Z2025" s="2">
        <v>54.6</v>
      </c>
      <c r="AA2025" s="2" t="s">
        <v>512</v>
      </c>
      <c r="AB2025" s="2" t="s">
        <v>8612</v>
      </c>
      <c r="AC2025" s="2">
        <v>3.7404717091399502</v>
      </c>
      <c r="AD2025" s="2"/>
      <c r="AE2025" s="2">
        <v>0.32479360205722402</v>
      </c>
      <c r="AF2025" s="2">
        <v>2280.9569385475102</v>
      </c>
      <c r="AG2025" s="2">
        <v>8337.8532154454806</v>
      </c>
      <c r="AH2025" s="4">
        <v>0.27356645405104402</v>
      </c>
      <c r="AI2025" s="4">
        <v>-1.87003676357211</v>
      </c>
      <c r="AJ2025" s="4" t="s">
        <v>62</v>
      </c>
      <c r="AK2025" s="2">
        <v>0.28309477103575398</v>
      </c>
      <c r="AL2025" s="2">
        <v>0.60000138164408201</v>
      </c>
      <c r="AM2025" s="2">
        <v>8.559877937157E-6</v>
      </c>
      <c r="AN2025" s="2">
        <v>8.559877937157E-6</v>
      </c>
      <c r="AO2025" s="2">
        <v>828.18654135390398</v>
      </c>
      <c r="AP2025" s="2">
        <v>11480.9733594383</v>
      </c>
      <c r="AQ2025" s="2">
        <v>1376.5817048132501</v>
      </c>
      <c r="AR2025" s="2">
        <v>8.559877937157E-6</v>
      </c>
      <c r="AS2025" s="2">
        <v>1794.80102894987</v>
      </c>
      <c r="AT2025" s="2">
        <v>25301.805872125598</v>
      </c>
      <c r="AU2025" s="2">
        <v>8.559877937157E-6</v>
      </c>
      <c r="AV2025" s="2">
        <v>8.559877937157E-6</v>
      </c>
      <c r="AW2025" s="2">
        <v>8.559877937157E-6</v>
      </c>
      <c r="AX2025" s="2">
        <v>22930.512365917799</v>
      </c>
    </row>
    <row r="2026" spans="1:50" x14ac:dyDescent="0.25">
      <c r="A2026" s="2" t="s">
        <v>13699</v>
      </c>
      <c r="B2026" s="2">
        <v>487.19299508106502</v>
      </c>
      <c r="C2026" s="2">
        <v>7.5201000000000002</v>
      </c>
      <c r="D2026" s="2" t="s">
        <v>51</v>
      </c>
      <c r="E2026" s="2" t="s">
        <v>13700</v>
      </c>
      <c r="F2026" s="2">
        <v>206511</v>
      </c>
      <c r="G2026" s="3" t="str">
        <f>HYPERLINK("https://cloud.oebiotech.com/#/lm/network/206511", "https://cloud.oebiotech.com/#/lm/network/206511")</f>
        <v>https://cloud.oebiotech.com/#/lm/network/206511</v>
      </c>
      <c r="H2026" s="2" t="s">
        <v>13701</v>
      </c>
      <c r="I2026" s="2"/>
      <c r="J2026" s="2"/>
      <c r="K2026" s="2">
        <v>13066304</v>
      </c>
      <c r="L2026" s="2"/>
      <c r="M2026" s="2"/>
      <c r="N2026" s="2"/>
      <c r="O2026" s="2"/>
      <c r="P2026" s="2"/>
      <c r="Q2026" s="2"/>
      <c r="R2026" s="2"/>
      <c r="S2026" s="2" t="s">
        <v>13702</v>
      </c>
      <c r="T2026" s="2" t="s">
        <v>13703</v>
      </c>
      <c r="U2026" s="2" t="s">
        <v>56</v>
      </c>
      <c r="V2026" s="2" t="s">
        <v>283</v>
      </c>
      <c r="W2026" s="2" t="s">
        <v>1663</v>
      </c>
      <c r="X2026" s="2" t="s">
        <v>83</v>
      </c>
      <c r="Y2026" s="2">
        <v>39.700000000000003</v>
      </c>
      <c r="Z2026" s="2">
        <v>0</v>
      </c>
      <c r="AA2026" s="2" t="s">
        <v>163</v>
      </c>
      <c r="AB2026" s="2" t="s">
        <v>13704</v>
      </c>
      <c r="AC2026" s="2">
        <v>-8.9329123980639302</v>
      </c>
      <c r="AD2026" s="2"/>
      <c r="AE2026" s="2">
        <v>0.32478195498963902</v>
      </c>
      <c r="AF2026" s="2">
        <v>7119.7872677537698</v>
      </c>
      <c r="AG2026" s="2">
        <v>4113.1049539073801</v>
      </c>
      <c r="AH2026" s="5">
        <v>1.7310006303121701</v>
      </c>
      <c r="AI2026" s="5">
        <v>0.79160625003561602</v>
      </c>
      <c r="AJ2026" s="5" t="s">
        <v>139</v>
      </c>
      <c r="AK2026" s="2">
        <v>5.2532957375687202E-2</v>
      </c>
      <c r="AL2026" s="2">
        <v>0.31653622285434502</v>
      </c>
      <c r="AM2026" s="2">
        <v>8807.2747689623593</v>
      </c>
      <c r="AN2026" s="2">
        <v>5676.1227931764697</v>
      </c>
      <c r="AO2026" s="2">
        <v>5879.4455489253096</v>
      </c>
      <c r="AP2026" s="2">
        <v>9322.4863652210697</v>
      </c>
      <c r="AQ2026" s="2">
        <v>4589.4950586647501</v>
      </c>
      <c r="AR2026" s="2">
        <v>8443.8990715726795</v>
      </c>
      <c r="AS2026" s="2">
        <v>7365.1080395049403</v>
      </c>
      <c r="AT2026" s="2">
        <v>5839.93276892836</v>
      </c>
      <c r="AU2026" s="2">
        <v>5123.4654318010798</v>
      </c>
      <c r="AV2026" s="2">
        <v>377.95536786427402</v>
      </c>
      <c r="AW2026" s="2">
        <v>1321.9174219015699</v>
      </c>
      <c r="AX2026" s="2">
        <v>4650.2506934440498</v>
      </c>
    </row>
    <row r="2027" spans="1:50" x14ac:dyDescent="0.25">
      <c r="A2027" s="2" t="s">
        <v>13705</v>
      </c>
      <c r="B2027" s="2">
        <v>468.99390826183497</v>
      </c>
      <c r="C2027" s="2">
        <v>11.3173666666667</v>
      </c>
      <c r="D2027" s="2" t="s">
        <v>51</v>
      </c>
      <c r="E2027" s="2" t="s">
        <v>13706</v>
      </c>
      <c r="F2027" s="2">
        <v>52672</v>
      </c>
      <c r="G2027" s="3" t="str">
        <f>HYPERLINK("https://cloud.oebiotech.com/#/lm/network/52672", "https://cloud.oebiotech.com/#/lm/network/52672")</f>
        <v>https://cloud.oebiotech.com/#/lm/network/52672</v>
      </c>
      <c r="H2027" s="2" t="s">
        <v>13707</v>
      </c>
      <c r="I2027" s="2">
        <v>1692</v>
      </c>
      <c r="J2027" s="2"/>
      <c r="K2027" s="2">
        <v>4674</v>
      </c>
      <c r="L2027" s="2" t="s">
        <v>13708</v>
      </c>
      <c r="M2027" s="2"/>
      <c r="N2027" s="2"/>
      <c r="O2027" s="2">
        <v>160401</v>
      </c>
      <c r="P2027" s="2"/>
      <c r="Q2027" s="2"/>
      <c r="R2027" s="2" t="s">
        <v>13709</v>
      </c>
      <c r="S2027" s="2" t="s">
        <v>13710</v>
      </c>
      <c r="T2027" s="2" t="s">
        <v>13711</v>
      </c>
      <c r="U2027" s="2" t="s">
        <v>103</v>
      </c>
      <c r="V2027" s="2" t="s">
        <v>9072</v>
      </c>
      <c r="W2027" s="2" t="s">
        <v>9073</v>
      </c>
      <c r="X2027" s="2" t="s">
        <v>147</v>
      </c>
      <c r="Y2027" s="2">
        <v>39</v>
      </c>
      <c r="Z2027" s="2">
        <v>0</v>
      </c>
      <c r="AA2027" s="2" t="s">
        <v>478</v>
      </c>
      <c r="AB2027" s="2" t="s">
        <v>13712</v>
      </c>
      <c r="AC2027" s="2">
        <v>-2.05363985104339</v>
      </c>
      <c r="AD2027" s="2"/>
      <c r="AE2027" s="2">
        <v>0.32474848836453202</v>
      </c>
      <c r="AF2027" s="2">
        <v>11749.616631179901</v>
      </c>
      <c r="AG2027" s="2">
        <v>14029.478244136601</v>
      </c>
      <c r="AH2027" s="4">
        <v>0.83749491083822103</v>
      </c>
      <c r="AI2027" s="4">
        <v>-0.25584767115289497</v>
      </c>
      <c r="AJ2027" s="4" t="s">
        <v>62</v>
      </c>
      <c r="AK2027" s="2">
        <v>5.0412412738932199E-3</v>
      </c>
      <c r="AL2027" s="2">
        <v>0.123740271492219</v>
      </c>
      <c r="AM2027" s="2">
        <v>10666.273937092201</v>
      </c>
      <c r="AN2027" s="2">
        <v>11079.460277469499</v>
      </c>
      <c r="AO2027" s="2">
        <v>11467.5370885829</v>
      </c>
      <c r="AP2027" s="2">
        <v>12015.3507635116</v>
      </c>
      <c r="AQ2027" s="2">
        <v>13689.370763700599</v>
      </c>
      <c r="AR2027" s="2">
        <v>11579.706956722801</v>
      </c>
      <c r="AS2027" s="2">
        <v>14129.603573159</v>
      </c>
      <c r="AT2027" s="2">
        <v>14760.129208345001</v>
      </c>
      <c r="AU2027" s="2">
        <v>13733.381147971601</v>
      </c>
      <c r="AV2027" s="2">
        <v>15741.308232560301</v>
      </c>
      <c r="AW2027" s="2">
        <v>12386.1325377876</v>
      </c>
      <c r="AX2027" s="2">
        <v>13426.314764995999</v>
      </c>
    </row>
    <row r="2028" spans="1:50" x14ac:dyDescent="0.25">
      <c r="A2028" s="2" t="s">
        <v>13713</v>
      </c>
      <c r="B2028" s="2">
        <v>232.155135726428</v>
      </c>
      <c r="C2028" s="2">
        <v>4.4640000000000004</v>
      </c>
      <c r="D2028" s="2" t="s">
        <v>51</v>
      </c>
      <c r="E2028" s="2" t="s">
        <v>13714</v>
      </c>
      <c r="F2028" s="2">
        <v>8285</v>
      </c>
      <c r="G2028" s="3" t="str">
        <f>HYPERLINK("https://cloud.oebiotech.com/#/lm/network/8285", "https://cloud.oebiotech.com/#/lm/network/8285")</f>
        <v>https://cloud.oebiotech.com/#/lm/network/8285</v>
      </c>
      <c r="H2028" s="2" t="s">
        <v>13715</v>
      </c>
      <c r="I2028" s="2">
        <v>964</v>
      </c>
      <c r="J2028" s="2" t="s">
        <v>13716</v>
      </c>
      <c r="K2028" s="2">
        <v>213144</v>
      </c>
      <c r="L2028" s="2" t="s">
        <v>13717</v>
      </c>
      <c r="M2028" s="2"/>
      <c r="N2028" s="2"/>
      <c r="O2028" s="2">
        <v>21949</v>
      </c>
      <c r="P2028" s="2"/>
      <c r="Q2028" s="2"/>
      <c r="R2028" s="2" t="s">
        <v>13718</v>
      </c>
      <c r="S2028" s="2" t="s">
        <v>13719</v>
      </c>
      <c r="T2028" s="2" t="s">
        <v>13720</v>
      </c>
      <c r="U2028" s="2" t="s">
        <v>56</v>
      </c>
      <c r="V2028" s="2" t="s">
        <v>145</v>
      </c>
      <c r="W2028" s="2" t="s">
        <v>1188</v>
      </c>
      <c r="X2028" s="2" t="s">
        <v>147</v>
      </c>
      <c r="Y2028" s="2">
        <v>43.3</v>
      </c>
      <c r="Z2028" s="2">
        <v>27.2</v>
      </c>
      <c r="AA2028" s="2" t="s">
        <v>196</v>
      </c>
      <c r="AB2028" s="2" t="s">
        <v>13403</v>
      </c>
      <c r="AC2028" s="2">
        <v>3.4659230556173299</v>
      </c>
      <c r="AD2028" s="2"/>
      <c r="AE2028" s="2">
        <v>0.32474761616990899</v>
      </c>
      <c r="AF2028" s="2">
        <v>7185.9956895448904</v>
      </c>
      <c r="AG2028" s="2">
        <v>2472.2710954293798</v>
      </c>
      <c r="AH2028" s="5">
        <v>2.9066374245243698</v>
      </c>
      <c r="AI2028" s="5">
        <v>1.53935112016205</v>
      </c>
      <c r="AJ2028" s="5" t="s">
        <v>139</v>
      </c>
      <c r="AK2028" s="2">
        <v>0.16762072496452601</v>
      </c>
      <c r="AL2028" s="2">
        <v>0.49066991084681899</v>
      </c>
      <c r="AM2028" s="2">
        <v>2232.9001202641998</v>
      </c>
      <c r="AN2028" s="2">
        <v>3834.7549998283898</v>
      </c>
      <c r="AO2028" s="2">
        <v>10006.0415147402</v>
      </c>
      <c r="AP2028" s="2">
        <v>2368.17303970376</v>
      </c>
      <c r="AQ2028" s="2">
        <v>21296.021156271701</v>
      </c>
      <c r="AR2028" s="2">
        <v>3378.0833064611202</v>
      </c>
      <c r="AS2028" s="2">
        <v>2650.3931164620299</v>
      </c>
      <c r="AT2028" s="2">
        <v>1866.6253441538299</v>
      </c>
      <c r="AU2028" s="2">
        <v>6422.0003676738797</v>
      </c>
      <c r="AV2028" s="2">
        <v>788.67337091422701</v>
      </c>
      <c r="AW2028" s="2">
        <v>1386.2059228016799</v>
      </c>
      <c r="AX2028" s="2">
        <v>1719.72845057065</v>
      </c>
    </row>
    <row r="2029" spans="1:50" x14ac:dyDescent="0.25">
      <c r="A2029" s="2" t="s">
        <v>13721</v>
      </c>
      <c r="B2029" s="2">
        <v>471.34199954290801</v>
      </c>
      <c r="C2029" s="2">
        <v>9.7668833333333307</v>
      </c>
      <c r="D2029" s="2" t="s">
        <v>51</v>
      </c>
      <c r="E2029" s="2" t="s">
        <v>13722</v>
      </c>
      <c r="F2029" s="2">
        <v>28268</v>
      </c>
      <c r="G2029" s="3" t="str">
        <f>HYPERLINK("https://cloud.oebiotech.com/#/lm/network/28268", "https://cloud.oebiotech.com/#/lm/network/28268")</f>
        <v>https://cloud.oebiotech.com/#/lm/network/28268</v>
      </c>
      <c r="H2029" s="2"/>
      <c r="I2029" s="2">
        <v>40999</v>
      </c>
      <c r="J2029" s="2" t="s">
        <v>13723</v>
      </c>
      <c r="K2029" s="2">
        <v>5282032</v>
      </c>
      <c r="L2029" s="2" t="s">
        <v>13724</v>
      </c>
      <c r="M2029" s="2"/>
      <c r="N2029" s="2"/>
      <c r="O2029" s="2">
        <v>29706</v>
      </c>
      <c r="P2029" s="2"/>
      <c r="Q2029" s="2"/>
      <c r="R2029" s="2"/>
      <c r="S2029" s="2" t="s">
        <v>13725</v>
      </c>
      <c r="T2029" s="2" t="s">
        <v>13726</v>
      </c>
      <c r="U2029" s="2" t="s">
        <v>331</v>
      </c>
      <c r="V2029" s="2" t="s">
        <v>332</v>
      </c>
      <c r="W2029" s="2" t="s">
        <v>333</v>
      </c>
      <c r="X2029" s="2" t="s">
        <v>147</v>
      </c>
      <c r="Y2029" s="2">
        <v>40.700000000000003</v>
      </c>
      <c r="Z2029" s="2">
        <v>14.5</v>
      </c>
      <c r="AA2029" s="2" t="s">
        <v>512</v>
      </c>
      <c r="AB2029" s="2" t="s">
        <v>13727</v>
      </c>
      <c r="AC2029" s="2">
        <v>-1.9061792055567099</v>
      </c>
      <c r="AD2029" s="2"/>
      <c r="AE2029" s="2">
        <v>0.32458643680441701</v>
      </c>
      <c r="AF2029" s="2">
        <v>53658.821619019902</v>
      </c>
      <c r="AG2029" s="2">
        <v>58248.698104831601</v>
      </c>
      <c r="AH2029" s="4">
        <v>0.92120207600947301</v>
      </c>
      <c r="AI2029" s="4">
        <v>-0.118410432513446</v>
      </c>
      <c r="AJ2029" s="4" t="s">
        <v>62</v>
      </c>
      <c r="AK2029" s="2">
        <v>0.31529510322284499</v>
      </c>
      <c r="AL2029" s="2">
        <v>0.62413706859245499</v>
      </c>
      <c r="AM2029" s="2">
        <v>49434.187350188302</v>
      </c>
      <c r="AN2029" s="2">
        <v>44746.991164765197</v>
      </c>
      <c r="AO2029" s="2">
        <v>46349.479922885002</v>
      </c>
      <c r="AP2029" s="2">
        <v>55563.493495483002</v>
      </c>
      <c r="AQ2029" s="2">
        <v>63680.584582837801</v>
      </c>
      <c r="AR2029" s="2">
        <v>62178.193197959998</v>
      </c>
      <c r="AS2029" s="2">
        <v>59773.872703875102</v>
      </c>
      <c r="AT2029" s="2">
        <v>66117.964426511098</v>
      </c>
      <c r="AU2029" s="2">
        <v>58011.216011297402</v>
      </c>
      <c r="AV2029" s="2">
        <v>48181.711684656897</v>
      </c>
      <c r="AW2029" s="2">
        <v>64706.901345318802</v>
      </c>
      <c r="AX2029" s="2">
        <v>52700.522457330102</v>
      </c>
    </row>
    <row r="2030" spans="1:50" x14ac:dyDescent="0.25">
      <c r="A2030" s="2" t="s">
        <v>13728</v>
      </c>
      <c r="B2030" s="2">
        <v>453.278030585208</v>
      </c>
      <c r="C2030" s="2">
        <v>14.465633333333299</v>
      </c>
      <c r="D2030" s="2" t="s">
        <v>51</v>
      </c>
      <c r="E2030" s="2" t="s">
        <v>13729</v>
      </c>
      <c r="F2030" s="2">
        <v>47673</v>
      </c>
      <c r="G2030" s="3" t="str">
        <f>HYPERLINK("https://cloud.oebiotech.com/#/lm/network/47673", "https://cloud.oebiotech.com/#/lm/network/47673")</f>
        <v>https://cloud.oebiotech.com/#/lm/network/47673</v>
      </c>
      <c r="H2030" s="2" t="s">
        <v>13730</v>
      </c>
      <c r="I2030" s="2">
        <v>3009</v>
      </c>
      <c r="J2030" s="2"/>
      <c r="K2030" s="2">
        <v>2520</v>
      </c>
      <c r="L2030" s="2" t="s">
        <v>13731</v>
      </c>
      <c r="M2030" s="2"/>
      <c r="N2030" s="2"/>
      <c r="O2030" s="2">
        <v>77733</v>
      </c>
      <c r="P2030" s="2"/>
      <c r="Q2030" s="2"/>
      <c r="R2030" s="2" t="s">
        <v>13732</v>
      </c>
      <c r="S2030" s="2" t="s">
        <v>13733</v>
      </c>
      <c r="T2030" s="2" t="s">
        <v>13734</v>
      </c>
      <c r="U2030" s="2" t="s">
        <v>610</v>
      </c>
      <c r="V2030" s="2" t="s">
        <v>611</v>
      </c>
      <c r="W2030" s="2" t="s">
        <v>3953</v>
      </c>
      <c r="X2030" s="2" t="s">
        <v>147</v>
      </c>
      <c r="Y2030" s="2">
        <v>36.1</v>
      </c>
      <c r="Z2030" s="2">
        <v>0</v>
      </c>
      <c r="AA2030" s="2" t="s">
        <v>163</v>
      </c>
      <c r="AB2030" s="2" t="s">
        <v>13735</v>
      </c>
      <c r="AC2030" s="2">
        <v>4.7312137184619703</v>
      </c>
      <c r="AD2030" s="2"/>
      <c r="AE2030" s="2">
        <v>0.32456690065131899</v>
      </c>
      <c r="AF2030" s="2">
        <v>5154.1145725222596</v>
      </c>
      <c r="AG2030" s="2">
        <v>7593.8767047594501</v>
      </c>
      <c r="AH2030" s="4">
        <v>0.678719812410429</v>
      </c>
      <c r="AI2030" s="4">
        <v>-0.55911196764886195</v>
      </c>
      <c r="AJ2030" s="4" t="s">
        <v>62</v>
      </c>
      <c r="AK2030" s="2">
        <v>1.29987377859781E-2</v>
      </c>
      <c r="AL2030" s="2">
        <v>0.18001567684717801</v>
      </c>
      <c r="AM2030" s="2">
        <v>4334.46186017127</v>
      </c>
      <c r="AN2030" s="2">
        <v>3652.4700799314101</v>
      </c>
      <c r="AO2030" s="2">
        <v>6212.2887659116705</v>
      </c>
      <c r="AP2030" s="2">
        <v>3986.91655308794</v>
      </c>
      <c r="AQ2030" s="2">
        <v>7114.5701993745497</v>
      </c>
      <c r="AR2030" s="2">
        <v>5623.9799766567403</v>
      </c>
      <c r="AS2030" s="2">
        <v>6994.0184139247904</v>
      </c>
      <c r="AT2030" s="2">
        <v>8303.6033855409605</v>
      </c>
      <c r="AU2030" s="2">
        <v>5155.7228039745796</v>
      </c>
      <c r="AV2030" s="2">
        <v>8239.8634553143893</v>
      </c>
      <c r="AW2030" s="2">
        <v>7561.3200658409196</v>
      </c>
      <c r="AX2030" s="2">
        <v>9308.7321039610706</v>
      </c>
    </row>
    <row r="2031" spans="1:50" x14ac:dyDescent="0.25">
      <c r="A2031" s="2" t="s">
        <v>13736</v>
      </c>
      <c r="B2031" s="2">
        <v>369.174165579288</v>
      </c>
      <c r="C2031" s="2">
        <v>8.5727833333333301</v>
      </c>
      <c r="D2031" s="2" t="s">
        <v>51</v>
      </c>
      <c r="E2031" s="2" t="s">
        <v>13737</v>
      </c>
      <c r="F2031" s="2">
        <v>212094</v>
      </c>
      <c r="G2031" s="3" t="str">
        <f>HYPERLINK("https://cloud.oebiotech.com/#/lm/network/212094", "https://cloud.oebiotech.com/#/lm/network/212094")</f>
        <v>https://cloud.oebiotech.com/#/lm/network/212094</v>
      </c>
      <c r="H2031" s="2" t="s">
        <v>13738</v>
      </c>
      <c r="I2031" s="2">
        <v>72888</v>
      </c>
      <c r="J2031" s="2"/>
      <c r="K2031" s="2">
        <v>8442</v>
      </c>
      <c r="L2031" s="2" t="s">
        <v>13739</v>
      </c>
      <c r="M2031" s="2"/>
      <c r="N2031" s="2"/>
      <c r="O2031" s="2"/>
      <c r="P2031" s="2"/>
      <c r="Q2031" s="2"/>
      <c r="R2031" s="2" t="s">
        <v>13740</v>
      </c>
      <c r="S2031" s="2" t="s">
        <v>13741</v>
      </c>
      <c r="T2031" s="2" t="s">
        <v>13742</v>
      </c>
      <c r="U2031" s="2" t="s">
        <v>266</v>
      </c>
      <c r="V2031" s="2" t="s">
        <v>4740</v>
      </c>
      <c r="W2031" s="2" t="s">
        <v>240</v>
      </c>
      <c r="X2031" s="2" t="s">
        <v>147</v>
      </c>
      <c r="Y2031" s="2">
        <v>38.299999999999997</v>
      </c>
      <c r="Z2031" s="2">
        <v>0</v>
      </c>
      <c r="AA2031" s="2" t="s">
        <v>218</v>
      </c>
      <c r="AB2031" s="2" t="s">
        <v>13743</v>
      </c>
      <c r="AC2031" s="2">
        <v>0.14483694159378699</v>
      </c>
      <c r="AD2031" s="2"/>
      <c r="AE2031" s="2">
        <v>0.32424348248224399</v>
      </c>
      <c r="AF2031" s="2">
        <v>50062.5884227063</v>
      </c>
      <c r="AG2031" s="2">
        <v>59090.582771485002</v>
      </c>
      <c r="AH2031" s="4">
        <v>0.84721771346050601</v>
      </c>
      <c r="AI2031" s="4">
        <v>-0.23919534165900599</v>
      </c>
      <c r="AJ2031" s="4" t="s">
        <v>62</v>
      </c>
      <c r="AK2031" s="2">
        <v>0.73120709788093097</v>
      </c>
      <c r="AL2031" s="2">
        <v>0.87619950005733704</v>
      </c>
      <c r="AM2031" s="2">
        <v>13623.1491166867</v>
      </c>
      <c r="AN2031" s="2">
        <v>21699.1506482808</v>
      </c>
      <c r="AO2031" s="2">
        <v>141333.42150266</v>
      </c>
      <c r="AP2031" s="2">
        <v>75513.854045834698</v>
      </c>
      <c r="AQ2031" s="2">
        <v>47501.290317387597</v>
      </c>
      <c r="AR2031" s="2">
        <v>704.66490538782102</v>
      </c>
      <c r="AS2031" s="2">
        <v>100834.469175434</v>
      </c>
      <c r="AT2031" s="2">
        <v>81301.409916108503</v>
      </c>
      <c r="AU2031" s="2">
        <v>18100.0496678161</v>
      </c>
      <c r="AV2031" s="2">
        <v>86704.294517044895</v>
      </c>
      <c r="AW2031" s="2">
        <v>27489.236004087099</v>
      </c>
      <c r="AX2031" s="2">
        <v>40114.037348419399</v>
      </c>
    </row>
    <row r="2032" spans="1:50" x14ac:dyDescent="0.25">
      <c r="A2032" s="2" t="s">
        <v>13744</v>
      </c>
      <c r="B2032" s="2">
        <v>481.169665056893</v>
      </c>
      <c r="C2032" s="2">
        <v>4.9007166666666704</v>
      </c>
      <c r="D2032" s="2" t="s">
        <v>51</v>
      </c>
      <c r="E2032" s="2" t="s">
        <v>13745</v>
      </c>
      <c r="F2032" s="2">
        <v>211013</v>
      </c>
      <c r="G2032" s="3" t="str">
        <f>HYPERLINK("https://cloud.oebiotech.com/#/lm/network/211013", "https://cloud.oebiotech.com/#/lm/network/211013")</f>
        <v>https://cloud.oebiotech.com/#/lm/network/211013</v>
      </c>
      <c r="H2032" s="2" t="s">
        <v>13746</v>
      </c>
      <c r="I2032" s="2"/>
      <c r="J2032" s="2"/>
      <c r="K2032" s="2">
        <v>44215723</v>
      </c>
      <c r="L2032" s="2"/>
      <c r="M2032" s="2"/>
      <c r="N2032" s="2"/>
      <c r="O2032" s="2"/>
      <c r="P2032" s="2"/>
      <c r="Q2032" s="2"/>
      <c r="R2032" s="2"/>
      <c r="S2032" s="2" t="s">
        <v>13747</v>
      </c>
      <c r="T2032" s="2" t="s">
        <v>13748</v>
      </c>
      <c r="U2032" s="2" t="s">
        <v>103</v>
      </c>
      <c r="V2032" s="2" t="s">
        <v>104</v>
      </c>
      <c r="W2032" s="2" t="s">
        <v>105</v>
      </c>
      <c r="X2032" s="2" t="s">
        <v>147</v>
      </c>
      <c r="Y2032" s="2">
        <v>36.5</v>
      </c>
      <c r="Z2032" s="2">
        <v>0</v>
      </c>
      <c r="AA2032" s="2" t="s">
        <v>379</v>
      </c>
      <c r="AB2032" s="2" t="s">
        <v>13749</v>
      </c>
      <c r="AC2032" s="2">
        <v>-4.6806740663747499</v>
      </c>
      <c r="AD2032" s="2"/>
      <c r="AE2032" s="2">
        <v>0.32419325173679198</v>
      </c>
      <c r="AF2032" s="2">
        <v>1773.9163983026201</v>
      </c>
      <c r="AG2032" s="2">
        <v>5275.95259555341</v>
      </c>
      <c r="AH2032" s="4">
        <v>0.33622675074785202</v>
      </c>
      <c r="AI2032" s="4">
        <v>-1.57249358257992</v>
      </c>
      <c r="AJ2032" s="4" t="s">
        <v>62</v>
      </c>
      <c r="AK2032" s="2">
        <v>4.8933978757595899E-2</v>
      </c>
      <c r="AL2032" s="2">
        <v>0.30691247078395001</v>
      </c>
      <c r="AM2032" s="2">
        <v>2749.3578409378001</v>
      </c>
      <c r="AN2032" s="2">
        <v>1168.4974663442999</v>
      </c>
      <c r="AO2032" s="2">
        <v>2274.73516446128</v>
      </c>
      <c r="AP2032" s="2">
        <v>8.559877937157E-6</v>
      </c>
      <c r="AQ2032" s="2">
        <v>489.39774200150401</v>
      </c>
      <c r="AR2032" s="2">
        <v>3961.5101675109599</v>
      </c>
      <c r="AS2032" s="2">
        <v>1710.7496759624801</v>
      </c>
      <c r="AT2032" s="2">
        <v>5045.7946393788498</v>
      </c>
      <c r="AU2032" s="2">
        <v>5879.1098285992402</v>
      </c>
      <c r="AV2032" s="2">
        <v>7150.4408226679898</v>
      </c>
      <c r="AW2032" s="2">
        <v>10657.711261402799</v>
      </c>
      <c r="AX2032" s="2">
        <v>1211.90934530911</v>
      </c>
    </row>
    <row r="2033" spans="1:50" x14ac:dyDescent="0.25">
      <c r="A2033" s="2" t="s">
        <v>13750</v>
      </c>
      <c r="B2033" s="2">
        <v>481.35368012666601</v>
      </c>
      <c r="C2033" s="2">
        <v>11.4845333333333</v>
      </c>
      <c r="D2033" s="2" t="s">
        <v>51</v>
      </c>
      <c r="E2033" s="2" t="s">
        <v>13751</v>
      </c>
      <c r="F2033" s="2">
        <v>46337</v>
      </c>
      <c r="G2033" s="3" t="str">
        <f>HYPERLINK("https://cloud.oebiotech.com/#/lm/network/46337", "https://cloud.oebiotech.com/#/lm/network/46337")</f>
        <v>https://cloud.oebiotech.com/#/lm/network/46337</v>
      </c>
      <c r="H2033" s="2"/>
      <c r="I2033" s="2">
        <v>84761</v>
      </c>
      <c r="J2033" s="2" t="s">
        <v>13752</v>
      </c>
      <c r="K2033" s="2">
        <v>5284192</v>
      </c>
      <c r="L2033" s="2"/>
      <c r="M2033" s="2"/>
      <c r="N2033" s="2"/>
      <c r="O2033" s="2"/>
      <c r="P2033" s="2"/>
      <c r="Q2033" s="2"/>
      <c r="R2033" s="2"/>
      <c r="S2033" s="2" t="s">
        <v>13753</v>
      </c>
      <c r="T2033" s="2" t="s">
        <v>13754</v>
      </c>
      <c r="U2033" s="2" t="s">
        <v>56</v>
      </c>
      <c r="V2033" s="2" t="s">
        <v>283</v>
      </c>
      <c r="W2033" s="2" t="s">
        <v>2042</v>
      </c>
      <c r="X2033" s="2" t="s">
        <v>147</v>
      </c>
      <c r="Y2033" s="2">
        <v>37.799999999999997</v>
      </c>
      <c r="Z2033" s="2">
        <v>0</v>
      </c>
      <c r="AA2033" s="2" t="s">
        <v>218</v>
      </c>
      <c r="AB2033" s="2" t="s">
        <v>13755</v>
      </c>
      <c r="AC2033" s="2">
        <v>0.49784908348490098</v>
      </c>
      <c r="AD2033" s="2"/>
      <c r="AE2033" s="2">
        <v>0.32406256112731802</v>
      </c>
      <c r="AF2033" s="2">
        <v>40053.209878328802</v>
      </c>
      <c r="AG2033" s="2">
        <v>32040.189036978001</v>
      </c>
      <c r="AH2033" s="5">
        <v>1.25009280788271</v>
      </c>
      <c r="AI2033" s="5">
        <v>0.32203520568883798</v>
      </c>
      <c r="AJ2033" s="5" t="s">
        <v>139</v>
      </c>
      <c r="AK2033" s="2">
        <v>0.29776106997383101</v>
      </c>
      <c r="AL2033" s="2">
        <v>0.60853987330779502</v>
      </c>
      <c r="AM2033" s="2">
        <v>30128.835344564799</v>
      </c>
      <c r="AN2033" s="2">
        <v>43114.922552294403</v>
      </c>
      <c r="AO2033" s="2">
        <v>36469.871182798001</v>
      </c>
      <c r="AP2033" s="2">
        <v>60997.327082668002</v>
      </c>
      <c r="AQ2033" s="2">
        <v>39347.370088399599</v>
      </c>
      <c r="AR2033" s="2">
        <v>30260.933019247899</v>
      </c>
      <c r="AS2033" s="2">
        <v>27315.038189753101</v>
      </c>
      <c r="AT2033" s="2">
        <v>44464.250547158998</v>
      </c>
      <c r="AU2033" s="2">
        <v>21078.405446534602</v>
      </c>
      <c r="AV2033" s="2">
        <v>12466.5582799194</v>
      </c>
      <c r="AW2033" s="2">
        <v>43595.333021729602</v>
      </c>
      <c r="AX2033" s="2">
        <v>43321.548736772304</v>
      </c>
    </row>
    <row r="2034" spans="1:50" x14ac:dyDescent="0.25">
      <c r="A2034" s="2" t="s">
        <v>13756</v>
      </c>
      <c r="B2034" s="2">
        <v>275.08844019047899</v>
      </c>
      <c r="C2034" s="2">
        <v>0.73733333333333295</v>
      </c>
      <c r="D2034" s="2" t="s">
        <v>51</v>
      </c>
      <c r="E2034" s="2" t="s">
        <v>13757</v>
      </c>
      <c r="F2034" s="2">
        <v>62415</v>
      </c>
      <c r="G2034" s="3" t="str">
        <f>HYPERLINK("https://cloud.oebiotech.com/#/lm/network/62415", "https://cloud.oebiotech.com/#/lm/network/62415")</f>
        <v>https://cloud.oebiotech.com/#/lm/network/62415</v>
      </c>
      <c r="H2034" s="2" t="s">
        <v>13758</v>
      </c>
      <c r="I2034" s="2">
        <v>93711</v>
      </c>
      <c r="J2034" s="2"/>
      <c r="K2034" s="2">
        <v>14101166</v>
      </c>
      <c r="L2034" s="2"/>
      <c r="M2034" s="2"/>
      <c r="N2034" s="2"/>
      <c r="O2034" s="2">
        <v>174184</v>
      </c>
      <c r="P2034" s="2"/>
      <c r="Q2034" s="2"/>
      <c r="R2034" s="2"/>
      <c r="S2034" s="2" t="s">
        <v>13759</v>
      </c>
      <c r="T2034" s="2" t="s">
        <v>13760</v>
      </c>
      <c r="U2034" s="2" t="s">
        <v>103</v>
      </c>
      <c r="V2034" s="2" t="s">
        <v>104</v>
      </c>
      <c r="W2034" s="2" t="s">
        <v>105</v>
      </c>
      <c r="X2034" s="2" t="s">
        <v>69</v>
      </c>
      <c r="Y2034" s="2">
        <v>56.9</v>
      </c>
      <c r="Z2034" s="2">
        <v>78.599999999999994</v>
      </c>
      <c r="AA2034" s="2" t="s">
        <v>218</v>
      </c>
      <c r="AB2034" s="2" t="s">
        <v>4243</v>
      </c>
      <c r="AC2034" s="2">
        <v>-0.14879334449374201</v>
      </c>
      <c r="AD2034" s="2"/>
      <c r="AE2034" s="2">
        <v>0.32357048938780503</v>
      </c>
      <c r="AF2034" s="2">
        <v>122100.83496553</v>
      </c>
      <c r="AG2034" s="2">
        <v>102558.72617263399</v>
      </c>
      <c r="AH2034" s="5">
        <v>1.19054554909352</v>
      </c>
      <c r="AI2034" s="5">
        <v>0.25162281774747802</v>
      </c>
      <c r="AJ2034" s="5" t="s">
        <v>139</v>
      </c>
      <c r="AK2034" s="2">
        <v>0.56579277967094899</v>
      </c>
      <c r="AL2034" s="2">
        <v>0.78210510117681997</v>
      </c>
      <c r="AM2034" s="2">
        <v>136337.362617612</v>
      </c>
      <c r="AN2034" s="2">
        <v>18814.958518178199</v>
      </c>
      <c r="AO2034" s="2">
        <v>146508.10481285301</v>
      </c>
      <c r="AP2034" s="2">
        <v>143668.21930848301</v>
      </c>
      <c r="AQ2034" s="2">
        <v>182758.92120366899</v>
      </c>
      <c r="AR2034" s="2">
        <v>104517.443332385</v>
      </c>
      <c r="AS2034" s="2">
        <v>111704.72624547601</v>
      </c>
      <c r="AT2034" s="2">
        <v>42994.548826296101</v>
      </c>
      <c r="AU2034" s="2">
        <v>127930.975330204</v>
      </c>
      <c r="AV2034" s="2">
        <v>140395.887782359</v>
      </c>
      <c r="AW2034" s="2">
        <v>22758.3903950321</v>
      </c>
      <c r="AX2034" s="2">
        <v>169567.828456435</v>
      </c>
    </row>
    <row r="2035" spans="1:50" x14ac:dyDescent="0.25">
      <c r="A2035" s="2" t="s">
        <v>13761</v>
      </c>
      <c r="B2035" s="2">
        <v>434.95204679910501</v>
      </c>
      <c r="C2035" s="2">
        <v>5.4175500000000003</v>
      </c>
      <c r="D2035" s="2" t="s">
        <v>51</v>
      </c>
      <c r="E2035" s="2" t="s">
        <v>13762</v>
      </c>
      <c r="F2035" s="2">
        <v>200759</v>
      </c>
      <c r="G2035" s="3" t="str">
        <f>HYPERLINK("https://cloud.oebiotech.com/#/lm/network/200759", "https://cloud.oebiotech.com/#/lm/network/200759")</f>
        <v>https://cloud.oebiotech.com/#/lm/network/200759</v>
      </c>
      <c r="H2035" s="2" t="s">
        <v>13763</v>
      </c>
      <c r="I2035" s="2"/>
      <c r="J2035" s="2"/>
      <c r="K2035" s="2"/>
      <c r="L2035" s="2"/>
      <c r="M2035" s="2"/>
      <c r="N2035" s="2"/>
      <c r="O2035" s="2"/>
      <c r="P2035" s="2"/>
      <c r="Q2035" s="2"/>
      <c r="R2035" s="2"/>
      <c r="S2035" s="2" t="s">
        <v>13764</v>
      </c>
      <c r="T2035" s="2" t="s">
        <v>13765</v>
      </c>
      <c r="U2035" s="2" t="s">
        <v>266</v>
      </c>
      <c r="V2035" s="2" t="s">
        <v>13766</v>
      </c>
      <c r="W2035" s="2" t="s">
        <v>240</v>
      </c>
      <c r="X2035" s="2" t="s">
        <v>147</v>
      </c>
      <c r="Y2035" s="2">
        <v>38.299999999999997</v>
      </c>
      <c r="Z2035" s="2">
        <v>0</v>
      </c>
      <c r="AA2035" s="2" t="s">
        <v>478</v>
      </c>
      <c r="AB2035" s="2" t="s">
        <v>13767</v>
      </c>
      <c r="AC2035" s="2">
        <v>-0.43209745324952897</v>
      </c>
      <c r="AD2035" s="2"/>
      <c r="AE2035" s="2">
        <v>0.323523144061793</v>
      </c>
      <c r="AF2035" s="2">
        <v>12501.8345984714</v>
      </c>
      <c r="AG2035" s="2">
        <v>15698.178644805001</v>
      </c>
      <c r="AH2035" s="4">
        <v>0.79638758618718197</v>
      </c>
      <c r="AI2035" s="4">
        <v>-0.32845736188240399</v>
      </c>
      <c r="AJ2035" s="4" t="s">
        <v>62</v>
      </c>
      <c r="AK2035" s="2">
        <v>3.8569971401538602E-2</v>
      </c>
      <c r="AL2035" s="2">
        <v>0.288400403288331</v>
      </c>
      <c r="AM2035" s="2">
        <v>11687.3342636734</v>
      </c>
      <c r="AN2035" s="2">
        <v>10882.718872081001</v>
      </c>
      <c r="AO2035" s="2">
        <v>12769.464193940301</v>
      </c>
      <c r="AP2035" s="2">
        <v>15237.437329422301</v>
      </c>
      <c r="AQ2035" s="2">
        <v>13610.626947836899</v>
      </c>
      <c r="AR2035" s="2">
        <v>10823.4259838745</v>
      </c>
      <c r="AS2035" s="2">
        <v>16706.801978248899</v>
      </c>
      <c r="AT2035" s="2">
        <v>20519.1240897268</v>
      </c>
      <c r="AU2035" s="2">
        <v>14212.486692024801</v>
      </c>
      <c r="AV2035" s="2">
        <v>15175.218822359</v>
      </c>
      <c r="AW2035" s="2">
        <v>12182.345434745799</v>
      </c>
      <c r="AX2035" s="2">
        <v>15393.0948517246</v>
      </c>
    </row>
    <row r="2036" spans="1:50" x14ac:dyDescent="0.25">
      <c r="A2036" s="2" t="s">
        <v>13768</v>
      </c>
      <c r="B2036" s="2">
        <v>383.16773600613101</v>
      </c>
      <c r="C2036" s="2">
        <v>12.332233333333299</v>
      </c>
      <c r="D2036" s="2" t="s">
        <v>51</v>
      </c>
      <c r="E2036" s="2" t="s">
        <v>13769</v>
      </c>
      <c r="F2036" s="2">
        <v>10214</v>
      </c>
      <c r="G2036" s="3" t="str">
        <f>HYPERLINK("https://cloud.oebiotech.com/#/lm/network/10214", "https://cloud.oebiotech.com/#/lm/network/10214")</f>
        <v>https://cloud.oebiotech.com/#/lm/network/10214</v>
      </c>
      <c r="H2036" s="2"/>
      <c r="I2036" s="2"/>
      <c r="J2036" s="2" t="s">
        <v>13770</v>
      </c>
      <c r="K2036" s="2">
        <v>56936274</v>
      </c>
      <c r="L2036" s="2"/>
      <c r="M2036" s="2"/>
      <c r="N2036" s="2"/>
      <c r="O2036" s="2"/>
      <c r="P2036" s="2"/>
      <c r="Q2036" s="2"/>
      <c r="R2036" s="2"/>
      <c r="S2036" s="2" t="s">
        <v>13771</v>
      </c>
      <c r="T2036" s="2" t="s">
        <v>13772</v>
      </c>
      <c r="U2036" s="2" t="s">
        <v>56</v>
      </c>
      <c r="V2036" s="2" t="s">
        <v>145</v>
      </c>
      <c r="W2036" s="2" t="s">
        <v>3263</v>
      </c>
      <c r="X2036" s="2" t="s">
        <v>147</v>
      </c>
      <c r="Y2036" s="2">
        <v>40.200000000000003</v>
      </c>
      <c r="Z2036" s="2">
        <v>7.45</v>
      </c>
      <c r="AA2036" s="2" t="s">
        <v>95</v>
      </c>
      <c r="AB2036" s="2" t="s">
        <v>13773</v>
      </c>
      <c r="AC2036" s="2">
        <v>0.27062057482877799</v>
      </c>
      <c r="AD2036" s="2"/>
      <c r="AE2036" s="2">
        <v>0.32351667229847397</v>
      </c>
      <c r="AF2036" s="2">
        <v>28970.760647770701</v>
      </c>
      <c r="AG2036" s="2">
        <v>37216.768507396897</v>
      </c>
      <c r="AH2036" s="4">
        <v>0.778432996997379</v>
      </c>
      <c r="AI2036" s="4">
        <v>-0.36135522907009499</v>
      </c>
      <c r="AJ2036" s="4" t="s">
        <v>62</v>
      </c>
      <c r="AK2036" s="2">
        <v>0.26495979431052702</v>
      </c>
      <c r="AL2036" s="2">
        <v>0.58661024431081399</v>
      </c>
      <c r="AM2036" s="2">
        <v>54042.835560599</v>
      </c>
      <c r="AN2036" s="2">
        <v>18876.5733904054</v>
      </c>
      <c r="AO2036" s="2">
        <v>23400.988608353498</v>
      </c>
      <c r="AP2036" s="2">
        <v>25217.405395150101</v>
      </c>
      <c r="AQ2036" s="2">
        <v>28662.403630868801</v>
      </c>
      <c r="AR2036" s="2">
        <v>23624.357301247099</v>
      </c>
      <c r="AS2036" s="2">
        <v>21646.316970858399</v>
      </c>
      <c r="AT2036" s="2">
        <v>28838.022662752199</v>
      </c>
      <c r="AU2036" s="2">
        <v>39485.794315049097</v>
      </c>
      <c r="AV2036" s="2">
        <v>33441.776265330001</v>
      </c>
      <c r="AW2036" s="2">
        <v>51046.4940491862</v>
      </c>
      <c r="AX2036" s="2">
        <v>48842.206781205699</v>
      </c>
    </row>
    <row r="2037" spans="1:50" x14ac:dyDescent="0.25">
      <c r="A2037" s="2" t="s">
        <v>13774</v>
      </c>
      <c r="B2037" s="2">
        <v>283.01046938081299</v>
      </c>
      <c r="C2037" s="2">
        <v>3.64218333333333</v>
      </c>
      <c r="D2037" s="2" t="s">
        <v>51</v>
      </c>
      <c r="E2037" s="2" t="s">
        <v>13775</v>
      </c>
      <c r="F2037" s="2">
        <v>61239</v>
      </c>
      <c r="G2037" s="3" t="str">
        <f>HYPERLINK("https://cloud.oebiotech.com/#/lm/network/61239", "https://cloud.oebiotech.com/#/lm/network/61239")</f>
        <v>https://cloud.oebiotech.com/#/lm/network/61239</v>
      </c>
      <c r="H2037" s="2" t="s">
        <v>13776</v>
      </c>
      <c r="I2037" s="2">
        <v>92554</v>
      </c>
      <c r="J2037" s="2"/>
      <c r="K2037" s="2">
        <v>62144</v>
      </c>
      <c r="L2037" s="2"/>
      <c r="M2037" s="2"/>
      <c r="N2037" s="2"/>
      <c r="O2037" s="2"/>
      <c r="P2037" s="2"/>
      <c r="Q2037" s="2"/>
      <c r="R2037" s="2" t="s">
        <v>13777</v>
      </c>
      <c r="S2037" s="2" t="s">
        <v>13778</v>
      </c>
      <c r="T2037" s="2" t="s">
        <v>13779</v>
      </c>
      <c r="U2037" s="2" t="s">
        <v>266</v>
      </c>
      <c r="V2037" s="2" t="s">
        <v>7754</v>
      </c>
      <c r="W2037" s="2" t="s">
        <v>240</v>
      </c>
      <c r="X2037" s="2" t="s">
        <v>147</v>
      </c>
      <c r="Y2037" s="2">
        <v>42.2</v>
      </c>
      <c r="Z2037" s="2">
        <v>16</v>
      </c>
      <c r="AA2037" s="2" t="s">
        <v>478</v>
      </c>
      <c r="AB2037" s="2" t="s">
        <v>13780</v>
      </c>
      <c r="AC2037" s="2">
        <v>0.158263844322553</v>
      </c>
      <c r="AD2037" s="2"/>
      <c r="AE2037" s="2">
        <v>0.32342428026991499</v>
      </c>
      <c r="AF2037" s="2">
        <v>14717.946209395801</v>
      </c>
      <c r="AG2037" s="2">
        <v>17911.077298350101</v>
      </c>
      <c r="AH2037" s="4">
        <v>0.82172311381580398</v>
      </c>
      <c r="AI2037" s="4">
        <v>-0.28327574674474398</v>
      </c>
      <c r="AJ2037" s="4" t="s">
        <v>62</v>
      </c>
      <c r="AK2037" s="2">
        <v>0.19704020903372699</v>
      </c>
      <c r="AL2037" s="2">
        <v>0.520359326065163</v>
      </c>
      <c r="AM2037" s="2">
        <v>13457.763926101799</v>
      </c>
      <c r="AN2037" s="2">
        <v>10489.789477258901</v>
      </c>
      <c r="AO2037" s="2">
        <v>11368.9734257256</v>
      </c>
      <c r="AP2037" s="2">
        <v>16082.5346989108</v>
      </c>
      <c r="AQ2037" s="2">
        <v>19207.973264298402</v>
      </c>
      <c r="AR2037" s="2">
        <v>17700.642464079501</v>
      </c>
      <c r="AS2037" s="2">
        <v>16975.595494359401</v>
      </c>
      <c r="AT2037" s="2">
        <v>20087.8229813939</v>
      </c>
      <c r="AU2037" s="2">
        <v>12392.993931739</v>
      </c>
      <c r="AV2037" s="2">
        <v>24784.416702306</v>
      </c>
      <c r="AW2037" s="2">
        <v>14177.4270429434</v>
      </c>
      <c r="AX2037" s="2">
        <v>19048.207637359199</v>
      </c>
    </row>
    <row r="2038" spans="1:50" x14ac:dyDescent="0.25">
      <c r="A2038" s="2" t="s">
        <v>13781</v>
      </c>
      <c r="B2038" s="2">
        <v>306.26491794980501</v>
      </c>
      <c r="C2038" s="2">
        <v>5.3466166666666703</v>
      </c>
      <c r="D2038" s="2" t="s">
        <v>51</v>
      </c>
      <c r="E2038" s="2" t="s">
        <v>13782</v>
      </c>
      <c r="F2038" s="2">
        <v>1711</v>
      </c>
      <c r="G2038" s="3" t="str">
        <f>HYPERLINK("https://cloud.oebiotech.com/#/lm/network/1711", "https://cloud.oebiotech.com/#/lm/network/1711")</f>
        <v>https://cloud.oebiotech.com/#/lm/network/1711</v>
      </c>
      <c r="H2038" s="2"/>
      <c r="I2038" s="2">
        <v>35461</v>
      </c>
      <c r="J2038" s="2" t="s">
        <v>13783</v>
      </c>
      <c r="K2038" s="2">
        <v>5282925</v>
      </c>
      <c r="L2038" s="2"/>
      <c r="M2038" s="2"/>
      <c r="N2038" s="2"/>
      <c r="O2038" s="2"/>
      <c r="P2038" s="2"/>
      <c r="Q2038" s="2"/>
      <c r="R2038" s="2"/>
      <c r="S2038" s="2" t="s">
        <v>13784</v>
      </c>
      <c r="T2038" s="2" t="s">
        <v>13785</v>
      </c>
      <c r="U2038" s="2" t="s">
        <v>56</v>
      </c>
      <c r="V2038" s="2" t="s">
        <v>145</v>
      </c>
      <c r="W2038" s="2" t="s">
        <v>231</v>
      </c>
      <c r="X2038" s="2" t="s">
        <v>59</v>
      </c>
      <c r="Y2038" s="2">
        <v>47.7</v>
      </c>
      <c r="Z2038" s="2">
        <v>45.9</v>
      </c>
      <c r="AA2038" s="2" t="s">
        <v>512</v>
      </c>
      <c r="AB2038" s="2" t="s">
        <v>5226</v>
      </c>
      <c r="AC2038" s="2">
        <v>3.5836488643845099</v>
      </c>
      <c r="AD2038" s="2"/>
      <c r="AE2038" s="2">
        <v>0.32332584568025202</v>
      </c>
      <c r="AF2038" s="2">
        <v>663.95542643928002</v>
      </c>
      <c r="AG2038" s="2">
        <v>5805.0485813673704</v>
      </c>
      <c r="AH2038" s="4">
        <v>0.11437551592081401</v>
      </c>
      <c r="AI2038" s="4">
        <v>-3.12814984382099</v>
      </c>
      <c r="AJ2038" s="4" t="s">
        <v>62</v>
      </c>
      <c r="AK2038" s="2">
        <v>0.296081960800884</v>
      </c>
      <c r="AL2038" s="2">
        <v>0.60778876168892604</v>
      </c>
      <c r="AM2038" s="2">
        <v>62.592359148050598</v>
      </c>
      <c r="AN2038" s="2">
        <v>8.559877937157E-6</v>
      </c>
      <c r="AO2038" s="2">
        <v>108.648780945889</v>
      </c>
      <c r="AP2038" s="2">
        <v>3230.11800474646</v>
      </c>
      <c r="AQ2038" s="2">
        <v>502.48441286998201</v>
      </c>
      <c r="AR2038" s="2">
        <v>79.888992365423604</v>
      </c>
      <c r="AS2038" s="2">
        <v>315.197315631077</v>
      </c>
      <c r="AT2038" s="2">
        <v>6060.2658560340396</v>
      </c>
      <c r="AU2038" s="2">
        <v>8.559877937157E-6</v>
      </c>
      <c r="AV2038" s="2">
        <v>8.559877937157E-6</v>
      </c>
      <c r="AW2038" s="2">
        <v>8.559877937157E-6</v>
      </c>
      <c r="AX2038" s="2">
        <v>28454.828290859499</v>
      </c>
    </row>
    <row r="2039" spans="1:50" x14ac:dyDescent="0.25">
      <c r="A2039" s="2" t="s">
        <v>13786</v>
      </c>
      <c r="B2039" s="2">
        <v>486.34808728321298</v>
      </c>
      <c r="C2039" s="2">
        <v>8.4987499999999994</v>
      </c>
      <c r="D2039" s="2" t="s">
        <v>51</v>
      </c>
      <c r="E2039" s="2" t="s">
        <v>13787</v>
      </c>
      <c r="F2039" s="2">
        <v>6445</v>
      </c>
      <c r="G2039" s="3" t="str">
        <f>HYPERLINK("https://cloud.oebiotech.com/#/lm/network/6445", "https://cloud.oebiotech.com/#/lm/network/6445")</f>
        <v>https://cloud.oebiotech.com/#/lm/network/6445</v>
      </c>
      <c r="H2039" s="2"/>
      <c r="I2039" s="2"/>
      <c r="J2039" s="2" t="s">
        <v>13788</v>
      </c>
      <c r="K2039" s="2">
        <v>5469816</v>
      </c>
      <c r="L2039" s="2"/>
      <c r="M2039" s="2"/>
      <c r="N2039" s="2"/>
      <c r="O2039" s="2"/>
      <c r="P2039" s="2"/>
      <c r="Q2039" s="2"/>
      <c r="R2039" s="2"/>
      <c r="S2039" s="2" t="s">
        <v>13789</v>
      </c>
      <c r="T2039" s="2" t="s">
        <v>13790</v>
      </c>
      <c r="U2039" s="2" t="s">
        <v>56</v>
      </c>
      <c r="V2039" s="2" t="s">
        <v>145</v>
      </c>
      <c r="W2039" s="2" t="s">
        <v>146</v>
      </c>
      <c r="X2039" s="2" t="s">
        <v>147</v>
      </c>
      <c r="Y2039" s="2">
        <v>36.700000000000003</v>
      </c>
      <c r="Z2039" s="2">
        <v>14.8</v>
      </c>
      <c r="AA2039" s="2" t="s">
        <v>122</v>
      </c>
      <c r="AB2039" s="2" t="s">
        <v>13791</v>
      </c>
      <c r="AC2039" s="2">
        <v>-3.4821258168479599</v>
      </c>
      <c r="AD2039" s="2"/>
      <c r="AE2039" s="2">
        <v>0.32327148358687202</v>
      </c>
      <c r="AF2039" s="2">
        <v>12581.9078330785</v>
      </c>
      <c r="AG2039" s="2">
        <v>9813.4161822886199</v>
      </c>
      <c r="AH2039" s="5">
        <v>1.28211293594034</v>
      </c>
      <c r="AI2039" s="5">
        <v>0.35852334849709599</v>
      </c>
      <c r="AJ2039" s="5" t="s">
        <v>139</v>
      </c>
      <c r="AK2039" s="2">
        <v>4.5796170635575499E-2</v>
      </c>
      <c r="AL2039" s="2">
        <v>0.302781469310267</v>
      </c>
      <c r="AM2039" s="2">
        <v>11557.707049221401</v>
      </c>
      <c r="AN2039" s="2">
        <v>12456.4349573566</v>
      </c>
      <c r="AO2039" s="2">
        <v>12506.013626354499</v>
      </c>
      <c r="AP2039" s="2">
        <v>10290.5152743666</v>
      </c>
      <c r="AQ2039" s="2">
        <v>12548.998035196</v>
      </c>
      <c r="AR2039" s="2">
        <v>16131.778055975699</v>
      </c>
      <c r="AS2039" s="2">
        <v>8404.9817453389296</v>
      </c>
      <c r="AT2039" s="2">
        <v>12116.153007103399</v>
      </c>
      <c r="AU2039" s="2">
        <v>11694.291165316199</v>
      </c>
      <c r="AV2039" s="2">
        <v>7761.7894488409402</v>
      </c>
      <c r="AW2039" s="2">
        <v>11689.8113509179</v>
      </c>
      <c r="AX2039" s="2">
        <v>7213.4703762143699</v>
      </c>
    </row>
    <row r="2040" spans="1:50" x14ac:dyDescent="0.25">
      <c r="A2040" s="2" t="s">
        <v>13792</v>
      </c>
      <c r="B2040" s="2">
        <v>323.201358083559</v>
      </c>
      <c r="C2040" s="2">
        <v>9.8490833333333292</v>
      </c>
      <c r="D2040" s="2" t="s">
        <v>51</v>
      </c>
      <c r="E2040" s="2" t="s">
        <v>13793</v>
      </c>
      <c r="F2040" s="2">
        <v>63778</v>
      </c>
      <c r="G2040" s="3" t="str">
        <f>HYPERLINK("https://cloud.oebiotech.com/#/lm/network/63778", "https://cloud.oebiotech.com/#/lm/network/63778")</f>
        <v>https://cloud.oebiotech.com/#/lm/network/63778</v>
      </c>
      <c r="H2040" s="2" t="s">
        <v>13794</v>
      </c>
      <c r="I2040" s="2">
        <v>95113</v>
      </c>
      <c r="J2040" s="2"/>
      <c r="K2040" s="2">
        <v>13845938</v>
      </c>
      <c r="L2040" s="2"/>
      <c r="M2040" s="2"/>
      <c r="N2040" s="2"/>
      <c r="O2040" s="2">
        <v>174592</v>
      </c>
      <c r="P2040" s="2"/>
      <c r="Q2040" s="2"/>
      <c r="R2040" s="2" t="s">
        <v>13795</v>
      </c>
      <c r="S2040" s="2" t="s">
        <v>13796</v>
      </c>
      <c r="T2040" s="2" t="s">
        <v>13797</v>
      </c>
      <c r="U2040" s="2" t="s">
        <v>56</v>
      </c>
      <c r="V2040" s="2" t="s">
        <v>177</v>
      </c>
      <c r="W2040" s="2" t="s">
        <v>584</v>
      </c>
      <c r="X2040" s="2" t="s">
        <v>147</v>
      </c>
      <c r="Y2040" s="2">
        <v>44.8</v>
      </c>
      <c r="Z2040" s="2">
        <v>31.6</v>
      </c>
      <c r="AA2040" s="2" t="s">
        <v>156</v>
      </c>
      <c r="AB2040" s="2" t="s">
        <v>2358</v>
      </c>
      <c r="AC2040" s="2">
        <v>2.35616654859259</v>
      </c>
      <c r="AD2040" s="2"/>
      <c r="AE2040" s="2">
        <v>0.32311391431082798</v>
      </c>
      <c r="AF2040" s="2">
        <v>8785.3552877989805</v>
      </c>
      <c r="AG2040" s="2">
        <v>5773.8686336131304</v>
      </c>
      <c r="AH2040" s="5">
        <v>1.5215717303740099</v>
      </c>
      <c r="AI2040" s="5">
        <v>0.60556234740201398</v>
      </c>
      <c r="AJ2040" s="5" t="s">
        <v>139</v>
      </c>
      <c r="AK2040" s="2">
        <v>0.22711086614318399</v>
      </c>
      <c r="AL2040" s="2">
        <v>0.55318612061801498</v>
      </c>
      <c r="AM2040" s="2">
        <v>19952.468093892301</v>
      </c>
      <c r="AN2040" s="2">
        <v>6137.6636210134402</v>
      </c>
      <c r="AO2040" s="2">
        <v>6599.0088043483702</v>
      </c>
      <c r="AP2040" s="2">
        <v>8507.3811774803107</v>
      </c>
      <c r="AQ2040" s="2">
        <v>4231.6966341662301</v>
      </c>
      <c r="AR2040" s="2">
        <v>7283.9133958932098</v>
      </c>
      <c r="AS2040" s="2">
        <v>5697.7591700024504</v>
      </c>
      <c r="AT2040" s="2">
        <v>4918.5776743374599</v>
      </c>
      <c r="AU2040" s="2">
        <v>6499.2269680270902</v>
      </c>
      <c r="AV2040" s="2">
        <v>4451.6602212366497</v>
      </c>
      <c r="AW2040" s="2">
        <v>7055.2048576755496</v>
      </c>
      <c r="AX2040" s="2">
        <v>6020.78291039958</v>
      </c>
    </row>
    <row r="2041" spans="1:50" x14ac:dyDescent="0.25">
      <c r="A2041" s="2" t="s">
        <v>13798</v>
      </c>
      <c r="B2041" s="2">
        <v>492.31018165864299</v>
      </c>
      <c r="C2041" s="2">
        <v>9.9106500000000004</v>
      </c>
      <c r="D2041" s="2" t="s">
        <v>51</v>
      </c>
      <c r="E2041" s="2" t="s">
        <v>13799</v>
      </c>
      <c r="F2041" s="2">
        <v>18216</v>
      </c>
      <c r="G2041" s="3" t="str">
        <f>HYPERLINK("https://cloud.oebiotech.com/#/lm/network/18216", "https://cloud.oebiotech.com/#/lm/network/18216")</f>
        <v>https://cloud.oebiotech.com/#/lm/network/18216</v>
      </c>
      <c r="H2041" s="2"/>
      <c r="I2041" s="2">
        <v>39246</v>
      </c>
      <c r="J2041" s="2" t="s">
        <v>13800</v>
      </c>
      <c r="K2041" s="2">
        <v>24778632</v>
      </c>
      <c r="L2041" s="2"/>
      <c r="M2041" s="2"/>
      <c r="N2041" s="2"/>
      <c r="O2041" s="2"/>
      <c r="P2041" s="2"/>
      <c r="Q2041" s="2"/>
      <c r="R2041" s="2"/>
      <c r="S2041" s="2" t="s">
        <v>13801</v>
      </c>
      <c r="T2041" s="2" t="s">
        <v>13802</v>
      </c>
      <c r="U2041" s="2" t="s">
        <v>56</v>
      </c>
      <c r="V2041" s="2" t="s">
        <v>57</v>
      </c>
      <c r="W2041" s="2" t="s">
        <v>58</v>
      </c>
      <c r="X2041" s="2" t="s">
        <v>83</v>
      </c>
      <c r="Y2041" s="2">
        <v>45.6</v>
      </c>
      <c r="Z2041" s="2">
        <v>0</v>
      </c>
      <c r="AA2041" s="2" t="s">
        <v>156</v>
      </c>
      <c r="AB2041" s="2" t="s">
        <v>13803</v>
      </c>
      <c r="AC2041" s="2">
        <v>3.3688168177442099</v>
      </c>
      <c r="AD2041" s="2"/>
      <c r="AE2041" s="2">
        <v>0.323100957294987</v>
      </c>
      <c r="AF2041" s="2">
        <v>14155.7087387917</v>
      </c>
      <c r="AG2041" s="2">
        <v>20550.082322402799</v>
      </c>
      <c r="AH2041" s="4">
        <v>0.68883951493273499</v>
      </c>
      <c r="AI2041" s="4">
        <v>-0.53776019030250499</v>
      </c>
      <c r="AJ2041" s="4" t="s">
        <v>62</v>
      </c>
      <c r="AK2041" s="2">
        <v>0.35612430957817098</v>
      </c>
      <c r="AL2041" s="2">
        <v>0.64439059109587704</v>
      </c>
      <c r="AM2041" s="2">
        <v>15750.580646534299</v>
      </c>
      <c r="AN2041" s="2">
        <v>22457.086354085299</v>
      </c>
      <c r="AO2041" s="2">
        <v>13403.5605956651</v>
      </c>
      <c r="AP2041" s="2">
        <v>17743.407818396499</v>
      </c>
      <c r="AQ2041" s="2">
        <v>4189.1497558711799</v>
      </c>
      <c r="AR2041" s="2">
        <v>11390.467262198001</v>
      </c>
      <c r="AS2041" s="2">
        <v>5306.2976797378897</v>
      </c>
      <c r="AT2041" s="2">
        <v>6060.0463236461701</v>
      </c>
      <c r="AU2041" s="2">
        <v>32902.434818357498</v>
      </c>
      <c r="AV2041" s="2">
        <v>39878.901885204097</v>
      </c>
      <c r="AW2041" s="2">
        <v>28185.322448357001</v>
      </c>
      <c r="AX2041" s="2">
        <v>10967.4907791142</v>
      </c>
    </row>
    <row r="2042" spans="1:50" x14ac:dyDescent="0.25">
      <c r="A2042" s="2" t="s">
        <v>13804</v>
      </c>
      <c r="B2042" s="2">
        <v>245.01217815400901</v>
      </c>
      <c r="C2042" s="2">
        <v>5.3058500000000004</v>
      </c>
      <c r="D2042" s="2" t="s">
        <v>51</v>
      </c>
      <c r="E2042" s="2" t="s">
        <v>13805</v>
      </c>
      <c r="F2042" s="2">
        <v>115462</v>
      </c>
      <c r="G2042" s="3" t="str">
        <f>HYPERLINK("https://cloud.oebiotech.com/#/lm/network/115462", "https://cloud.oebiotech.com/#/lm/network/115462")</f>
        <v>https://cloud.oebiotech.com/#/lm/network/115462</v>
      </c>
      <c r="H2042" s="2" t="s">
        <v>13806</v>
      </c>
      <c r="I2042" s="2"/>
      <c r="J2042" s="2"/>
      <c r="K2042" s="2">
        <v>187488</v>
      </c>
      <c r="L2042" s="2"/>
      <c r="M2042" s="2"/>
      <c r="N2042" s="2"/>
      <c r="O2042" s="2">
        <v>64414</v>
      </c>
      <c r="P2042" s="2"/>
      <c r="Q2042" s="2"/>
      <c r="R2042" s="2"/>
      <c r="S2042" s="2" t="s">
        <v>13807</v>
      </c>
      <c r="T2042" s="2" t="s">
        <v>13808</v>
      </c>
      <c r="U2042" s="2" t="s">
        <v>103</v>
      </c>
      <c r="V2042" s="2" t="s">
        <v>4820</v>
      </c>
      <c r="W2042" s="2" t="s">
        <v>4821</v>
      </c>
      <c r="X2042" s="2" t="s">
        <v>69</v>
      </c>
      <c r="Y2042" s="2">
        <v>61.7</v>
      </c>
      <c r="Z2042" s="2">
        <v>79.599999999999994</v>
      </c>
      <c r="AA2042" s="2" t="s">
        <v>163</v>
      </c>
      <c r="AB2042" s="2" t="s">
        <v>13809</v>
      </c>
      <c r="AC2042" s="2">
        <v>-1.4407459799389599</v>
      </c>
      <c r="AD2042" s="2"/>
      <c r="AE2042" s="2">
        <v>0.32308265467497499</v>
      </c>
      <c r="AF2042" s="2">
        <v>110.634014094042</v>
      </c>
      <c r="AG2042" s="2">
        <v>4710.8390575563299</v>
      </c>
      <c r="AH2042" s="4">
        <v>2.3484991260013799E-2</v>
      </c>
      <c r="AI2042" s="4">
        <v>-5.4121171330807503</v>
      </c>
      <c r="AJ2042" s="4" t="s">
        <v>62</v>
      </c>
      <c r="AK2042" s="2">
        <v>0.29095263626335099</v>
      </c>
      <c r="AL2042" s="2">
        <v>0.60497303631660804</v>
      </c>
      <c r="AM2042" s="2">
        <v>84.345129414269294</v>
      </c>
      <c r="AN2042" s="2">
        <v>133.80189918451799</v>
      </c>
      <c r="AO2042" s="2">
        <v>116.217043215803</v>
      </c>
      <c r="AP2042" s="2">
        <v>83.754785950611506</v>
      </c>
      <c r="AQ2042" s="2">
        <v>151.799160509085</v>
      </c>
      <c r="AR2042" s="2">
        <v>93.886066289965996</v>
      </c>
      <c r="AS2042" s="2">
        <v>164.58350153480501</v>
      </c>
      <c r="AT2042" s="2">
        <v>184.210792431578</v>
      </c>
      <c r="AU2042" s="2">
        <v>2265.9588891920198</v>
      </c>
      <c r="AV2042" s="2">
        <v>212.00937148366199</v>
      </c>
      <c r="AW2042" s="2">
        <v>25270.2469311768</v>
      </c>
      <c r="AX2042" s="2">
        <v>168.02485951913101</v>
      </c>
    </row>
    <row r="2043" spans="1:50" x14ac:dyDescent="0.25">
      <c r="A2043" s="2" t="s">
        <v>13810</v>
      </c>
      <c r="B2043" s="2">
        <v>463.34320746938897</v>
      </c>
      <c r="C2043" s="2">
        <v>12.667533333333299</v>
      </c>
      <c r="D2043" s="2" t="s">
        <v>51</v>
      </c>
      <c r="E2043" s="2" t="s">
        <v>13811</v>
      </c>
      <c r="F2043" s="2">
        <v>43634</v>
      </c>
      <c r="G2043" s="3" t="str">
        <f>HYPERLINK("https://cloud.oebiotech.com/#/lm/network/43634", "https://cloud.oebiotech.com/#/lm/network/43634")</f>
        <v>https://cloud.oebiotech.com/#/lm/network/43634</v>
      </c>
      <c r="H2043" s="2"/>
      <c r="I2043" s="2">
        <v>83909</v>
      </c>
      <c r="J2043" s="2" t="s">
        <v>13812</v>
      </c>
      <c r="K2043" s="2">
        <v>10047655</v>
      </c>
      <c r="L2043" s="2"/>
      <c r="M2043" s="2"/>
      <c r="N2043" s="2"/>
      <c r="O2043" s="2"/>
      <c r="P2043" s="2"/>
      <c r="Q2043" s="2"/>
      <c r="R2043" s="2"/>
      <c r="S2043" s="2" t="s">
        <v>13813</v>
      </c>
      <c r="T2043" s="2" t="s">
        <v>13814</v>
      </c>
      <c r="U2043" s="2" t="s">
        <v>56</v>
      </c>
      <c r="V2043" s="2" t="s">
        <v>283</v>
      </c>
      <c r="W2043" s="2" t="s">
        <v>1108</v>
      </c>
      <c r="X2043" s="2" t="s">
        <v>83</v>
      </c>
      <c r="Y2043" s="2">
        <v>48.1</v>
      </c>
      <c r="Z2043" s="2">
        <v>0</v>
      </c>
      <c r="AA2043" s="2" t="s">
        <v>218</v>
      </c>
      <c r="AB2043" s="2" t="s">
        <v>9651</v>
      </c>
      <c r="AC2043" s="2">
        <v>0.739259975699739</v>
      </c>
      <c r="AD2043" s="2"/>
      <c r="AE2043" s="2">
        <v>0.32305550969549301</v>
      </c>
      <c r="AF2043" s="2">
        <v>66897.588212248302</v>
      </c>
      <c r="AG2043" s="2">
        <v>53775.156978625797</v>
      </c>
      <c r="AH2043" s="5">
        <v>1.2440240432740799</v>
      </c>
      <c r="AI2043" s="5">
        <v>0.31501436872983102</v>
      </c>
      <c r="AJ2043" s="5" t="s">
        <v>139</v>
      </c>
      <c r="AK2043" s="2">
        <v>0.51696227351537205</v>
      </c>
      <c r="AL2043" s="2">
        <v>0.74951702456617197</v>
      </c>
      <c r="AM2043" s="2">
        <v>29011.670816185298</v>
      </c>
      <c r="AN2043" s="2">
        <v>44992.198651471401</v>
      </c>
      <c r="AO2043" s="2">
        <v>95768.391481157101</v>
      </c>
      <c r="AP2043" s="2">
        <v>70478.889717118902</v>
      </c>
      <c r="AQ2043" s="2">
        <v>132424.214728691</v>
      </c>
      <c r="AR2043" s="2">
        <v>28710.1638788663</v>
      </c>
      <c r="AS2043" s="2">
        <v>45685.206941412602</v>
      </c>
      <c r="AT2043" s="2">
        <v>69458.906879932096</v>
      </c>
      <c r="AU2043" s="2">
        <v>48372.228812409601</v>
      </c>
      <c r="AV2043" s="2">
        <v>12627.251512577501</v>
      </c>
      <c r="AW2043" s="2">
        <v>64825.287260543497</v>
      </c>
      <c r="AX2043" s="2">
        <v>81682.060464879702</v>
      </c>
    </row>
    <row r="2044" spans="1:50" x14ac:dyDescent="0.25">
      <c r="A2044" s="2" t="s">
        <v>13815</v>
      </c>
      <c r="B2044" s="2">
        <v>411.30921819929301</v>
      </c>
      <c r="C2044" s="2">
        <v>13.526899999999999</v>
      </c>
      <c r="D2044" s="2" t="s">
        <v>51</v>
      </c>
      <c r="E2044" s="2" t="s">
        <v>13816</v>
      </c>
      <c r="F2044" s="2">
        <v>10287</v>
      </c>
      <c r="G2044" s="3" t="str">
        <f>HYPERLINK("https://cloud.oebiotech.com/#/lm/network/10287", "https://cloud.oebiotech.com/#/lm/network/10287")</f>
        <v>https://cloud.oebiotech.com/#/lm/network/10287</v>
      </c>
      <c r="H2044" s="2"/>
      <c r="I2044" s="2"/>
      <c r="J2044" s="2" t="s">
        <v>13817</v>
      </c>
      <c r="K2044" s="2">
        <v>86289702</v>
      </c>
      <c r="L2044" s="2"/>
      <c r="M2044" s="2"/>
      <c r="N2044" s="2"/>
      <c r="O2044" s="2">
        <v>78969</v>
      </c>
      <c r="P2044" s="2"/>
      <c r="Q2044" s="2"/>
      <c r="R2044" s="2"/>
      <c r="S2044" s="2" t="s">
        <v>13818</v>
      </c>
      <c r="T2044" s="2" t="s">
        <v>13819</v>
      </c>
      <c r="U2044" s="2" t="s">
        <v>56</v>
      </c>
      <c r="V2044" s="2" t="s">
        <v>145</v>
      </c>
      <c r="W2044" s="2" t="s">
        <v>231</v>
      </c>
      <c r="X2044" s="2" t="s">
        <v>147</v>
      </c>
      <c r="Y2044" s="2">
        <v>40.9</v>
      </c>
      <c r="Z2044" s="2">
        <v>21.6</v>
      </c>
      <c r="AA2044" s="2" t="s">
        <v>156</v>
      </c>
      <c r="AB2044" s="2" t="s">
        <v>13820</v>
      </c>
      <c r="AC2044" s="2">
        <v>-2.9947183109901698</v>
      </c>
      <c r="AD2044" s="2"/>
      <c r="AE2044" s="2">
        <v>0.32302018457214798</v>
      </c>
      <c r="AF2044" s="2">
        <v>6509.3862883837601</v>
      </c>
      <c r="AG2044" s="2">
        <v>10171.6810591792</v>
      </c>
      <c r="AH2044" s="4">
        <v>0.63995186739653998</v>
      </c>
      <c r="AI2044" s="4">
        <v>-0.64396469489920405</v>
      </c>
      <c r="AJ2044" s="4" t="s">
        <v>62</v>
      </c>
      <c r="AK2044" s="2">
        <v>0.24751165558868901</v>
      </c>
      <c r="AL2044" s="2">
        <v>0.57119796911972998</v>
      </c>
      <c r="AM2044" s="2">
        <v>1371.11516951063</v>
      </c>
      <c r="AN2044" s="2">
        <v>3225.87294707091</v>
      </c>
      <c r="AO2044" s="2">
        <v>10945.590992486699</v>
      </c>
      <c r="AP2044" s="2">
        <v>3081.2606185458699</v>
      </c>
      <c r="AQ2044" s="2">
        <v>13430.9311168695</v>
      </c>
      <c r="AR2044" s="2">
        <v>7001.5468858189397</v>
      </c>
      <c r="AS2044" s="2">
        <v>3106.8966821111999</v>
      </c>
      <c r="AT2044" s="2">
        <v>5563.2044250870504</v>
      </c>
      <c r="AU2044" s="2">
        <v>9055.0303330867991</v>
      </c>
      <c r="AV2044" s="2">
        <v>15851.4156811089</v>
      </c>
      <c r="AW2044" s="2">
        <v>10559.455982874801</v>
      </c>
      <c r="AX2044" s="2">
        <v>16894.083250806601</v>
      </c>
    </row>
    <row r="2045" spans="1:50" x14ac:dyDescent="0.25">
      <c r="A2045" s="2" t="s">
        <v>13821</v>
      </c>
      <c r="B2045" s="2">
        <v>352.26362261961998</v>
      </c>
      <c r="C2045" s="2">
        <v>8.6778666666666702</v>
      </c>
      <c r="D2045" s="2" t="s">
        <v>51</v>
      </c>
      <c r="E2045" s="2" t="s">
        <v>13822</v>
      </c>
      <c r="F2045" s="2">
        <v>267232</v>
      </c>
      <c r="G2045" s="3" t="str">
        <f>HYPERLINK("https://cloud.oebiotech.com/#/lm/network/267232", "https://cloud.oebiotech.com/#/lm/network/267232")</f>
        <v>https://cloud.oebiotech.com/#/lm/network/267232</v>
      </c>
      <c r="H2045" s="2"/>
      <c r="I2045" s="2">
        <v>45064</v>
      </c>
      <c r="J2045" s="2"/>
      <c r="K2045" s="2">
        <v>25021164</v>
      </c>
      <c r="L2045" s="2"/>
      <c r="M2045" s="2"/>
      <c r="N2045" s="2"/>
      <c r="O2045" s="2"/>
      <c r="P2045" s="2"/>
      <c r="Q2045" s="2"/>
      <c r="R2045" s="2"/>
      <c r="S2045" s="2" t="s">
        <v>13823</v>
      </c>
      <c r="T2045" s="2" t="s">
        <v>13824</v>
      </c>
      <c r="U2045" s="2" t="s">
        <v>266</v>
      </c>
      <c r="V2045" s="2" t="s">
        <v>2432</v>
      </c>
      <c r="W2045" s="2" t="s">
        <v>10026</v>
      </c>
      <c r="X2045" s="2" t="s">
        <v>147</v>
      </c>
      <c r="Y2045" s="2">
        <v>38.4</v>
      </c>
      <c r="Z2045" s="2">
        <v>0</v>
      </c>
      <c r="AA2045" s="2" t="s">
        <v>156</v>
      </c>
      <c r="AB2045" s="2" t="s">
        <v>13825</v>
      </c>
      <c r="AC2045" s="2">
        <v>0.35611990295816098</v>
      </c>
      <c r="AD2045" s="2"/>
      <c r="AE2045" s="2">
        <v>0.32301007521930902</v>
      </c>
      <c r="AF2045" s="2">
        <v>137.04208142643</v>
      </c>
      <c r="AG2045" s="2">
        <v>3417.9517616247099</v>
      </c>
      <c r="AH2045" s="4">
        <v>4.0094796821031703E-2</v>
      </c>
      <c r="AI2045" s="4">
        <v>-4.6404411622602701</v>
      </c>
      <c r="AJ2045" s="4" t="s">
        <v>62</v>
      </c>
      <c r="AK2045" s="2">
        <v>0.15909574904525001</v>
      </c>
      <c r="AL2045" s="2">
        <v>0.48227444314382201</v>
      </c>
      <c r="AM2045" s="2">
        <v>359.33107207842801</v>
      </c>
      <c r="AN2045" s="2">
        <v>4.5830348479574203</v>
      </c>
      <c r="AO2045" s="2">
        <v>5.8322485987563804</v>
      </c>
      <c r="AP2045" s="2">
        <v>202.92059118163601</v>
      </c>
      <c r="AQ2045" s="2">
        <v>3.2021039261436299</v>
      </c>
      <c r="AR2045" s="2">
        <v>246.383437925658</v>
      </c>
      <c r="AS2045" s="2">
        <v>10.228523351152401</v>
      </c>
      <c r="AT2045" s="2">
        <v>111.60418114997201</v>
      </c>
      <c r="AU2045" s="2">
        <v>5.04281617094954</v>
      </c>
      <c r="AV2045" s="2">
        <v>11298.353458068001</v>
      </c>
      <c r="AW2045" s="2">
        <v>9044.2725453499497</v>
      </c>
      <c r="AX2045" s="2">
        <v>38.209045658210897</v>
      </c>
    </row>
    <row r="2046" spans="1:50" x14ac:dyDescent="0.25">
      <c r="A2046" s="2" t="s">
        <v>13826</v>
      </c>
      <c r="B2046" s="2">
        <v>668.29029205071902</v>
      </c>
      <c r="C2046" s="2">
        <v>4.7092833333333299</v>
      </c>
      <c r="D2046" s="2" t="s">
        <v>51</v>
      </c>
      <c r="E2046" s="2" t="s">
        <v>13827</v>
      </c>
      <c r="F2046" s="2">
        <v>204786</v>
      </c>
      <c r="G2046" s="3" t="str">
        <f>HYPERLINK("https://cloud.oebiotech.com/#/lm/network/204786", "https://cloud.oebiotech.com/#/lm/network/204786")</f>
        <v>https://cloud.oebiotech.com/#/lm/network/204786</v>
      </c>
      <c r="H2046" s="2" t="s">
        <v>13828</v>
      </c>
      <c r="I2046" s="2"/>
      <c r="J2046" s="2"/>
      <c r="K2046" s="2">
        <v>72297286</v>
      </c>
      <c r="L2046" s="2"/>
      <c r="M2046" s="2"/>
      <c r="N2046" s="2"/>
      <c r="O2046" s="2"/>
      <c r="P2046" s="2"/>
      <c r="Q2046" s="2"/>
      <c r="R2046" s="2"/>
      <c r="S2046" s="2" t="s">
        <v>13829</v>
      </c>
      <c r="T2046" s="2" t="s">
        <v>13830</v>
      </c>
      <c r="U2046" s="2" t="s">
        <v>331</v>
      </c>
      <c r="V2046" s="2" t="s">
        <v>332</v>
      </c>
      <c r="W2046" s="2" t="s">
        <v>333</v>
      </c>
      <c r="X2046" s="2" t="s">
        <v>83</v>
      </c>
      <c r="Y2046" s="2">
        <v>40.6</v>
      </c>
      <c r="Z2046" s="2">
        <v>0</v>
      </c>
      <c r="AA2046" s="2" t="s">
        <v>512</v>
      </c>
      <c r="AB2046" s="2" t="s">
        <v>13831</v>
      </c>
      <c r="AC2046" s="2">
        <v>-3.5784410212351698</v>
      </c>
      <c r="AD2046" s="2"/>
      <c r="AE2046" s="2">
        <v>0.32296885839916201</v>
      </c>
      <c r="AF2046" s="2">
        <v>1741.2522577729401</v>
      </c>
      <c r="AG2046" s="2">
        <v>6866.9204934403997</v>
      </c>
      <c r="AH2046" s="4">
        <v>0.253571052619041</v>
      </c>
      <c r="AI2046" s="4">
        <v>-1.97953803642357</v>
      </c>
      <c r="AJ2046" s="4" t="s">
        <v>62</v>
      </c>
      <c r="AK2046" s="2">
        <v>0.28991438954807303</v>
      </c>
      <c r="AL2046" s="2">
        <v>0.60393744938488103</v>
      </c>
      <c r="AM2046" s="2">
        <v>282.18090313379702</v>
      </c>
      <c r="AN2046" s="2">
        <v>8.559877937157E-6</v>
      </c>
      <c r="AO2046" s="2">
        <v>806.45646844116095</v>
      </c>
      <c r="AP2046" s="2">
        <v>4697.5008841763101</v>
      </c>
      <c r="AQ2046" s="2">
        <v>1713.9033403169201</v>
      </c>
      <c r="AR2046" s="2">
        <v>2947.4719420095998</v>
      </c>
      <c r="AS2046" s="2">
        <v>2433.60567221888</v>
      </c>
      <c r="AT2046" s="2">
        <v>11003.730302256999</v>
      </c>
      <c r="AU2046" s="2">
        <v>8.559877937157E-6</v>
      </c>
      <c r="AV2046" s="2">
        <v>8.559877937157E-6</v>
      </c>
      <c r="AW2046" s="2">
        <v>8.559877937157E-6</v>
      </c>
      <c r="AX2046" s="2">
        <v>27764.186960486899</v>
      </c>
    </row>
    <row r="2047" spans="1:50" x14ac:dyDescent="0.25">
      <c r="A2047" s="2" t="s">
        <v>13832</v>
      </c>
      <c r="B2047" s="2">
        <v>674.35107522080898</v>
      </c>
      <c r="C2047" s="2">
        <v>3.9216000000000002</v>
      </c>
      <c r="D2047" s="2" t="s">
        <v>51</v>
      </c>
      <c r="E2047" s="2" t="s">
        <v>13833</v>
      </c>
      <c r="F2047" s="2">
        <v>27986</v>
      </c>
      <c r="G2047" s="3" t="str">
        <f>HYPERLINK("https://cloud.oebiotech.com/#/lm/network/27986", "https://cloud.oebiotech.com/#/lm/network/27986")</f>
        <v>https://cloud.oebiotech.com/#/lm/network/27986</v>
      </c>
      <c r="H2047" s="2"/>
      <c r="I2047" s="2"/>
      <c r="J2047" s="2" t="s">
        <v>13834</v>
      </c>
      <c r="K2047" s="2">
        <v>134812433</v>
      </c>
      <c r="L2047" s="2"/>
      <c r="M2047" s="2"/>
      <c r="N2047" s="2"/>
      <c r="O2047" s="2"/>
      <c r="P2047" s="2"/>
      <c r="Q2047" s="2"/>
      <c r="R2047" s="2"/>
      <c r="S2047" s="2" t="s">
        <v>13835</v>
      </c>
      <c r="T2047" s="2" t="s">
        <v>13836</v>
      </c>
      <c r="U2047" s="2" t="s">
        <v>56</v>
      </c>
      <c r="V2047" s="2" t="s">
        <v>57</v>
      </c>
      <c r="W2047" s="2" t="s">
        <v>1097</v>
      </c>
      <c r="X2047" s="2" t="s">
        <v>147</v>
      </c>
      <c r="Y2047" s="2">
        <v>43.3</v>
      </c>
      <c r="Z2047" s="2">
        <v>28.9</v>
      </c>
      <c r="AA2047" s="2" t="s">
        <v>512</v>
      </c>
      <c r="AB2047" s="2" t="s">
        <v>13837</v>
      </c>
      <c r="AC2047" s="2">
        <v>-6.5993599641490902E-2</v>
      </c>
      <c r="AD2047" s="2"/>
      <c r="AE2047" s="2">
        <v>0.32296717887894599</v>
      </c>
      <c r="AF2047" s="2">
        <v>6516.5691247119503</v>
      </c>
      <c r="AG2047" s="2">
        <v>13886.830509109301</v>
      </c>
      <c r="AH2047" s="4">
        <v>0.46926252325448198</v>
      </c>
      <c r="AI2047" s="4">
        <v>-1.09153284797495</v>
      </c>
      <c r="AJ2047" s="4" t="s">
        <v>62</v>
      </c>
      <c r="AK2047" s="2">
        <v>0.592791777221091</v>
      </c>
      <c r="AL2047" s="2">
        <v>0.79408952648050901</v>
      </c>
      <c r="AM2047" s="2">
        <v>14662.2892815823</v>
      </c>
      <c r="AN2047" s="2">
        <v>8.559877937157E-6</v>
      </c>
      <c r="AO2047" s="2">
        <v>8.559877937157E-6</v>
      </c>
      <c r="AP2047" s="2">
        <v>8.559877937157E-6</v>
      </c>
      <c r="AQ2047" s="2">
        <v>20200.2366883104</v>
      </c>
      <c r="AR2047" s="2">
        <v>4236.8887526993703</v>
      </c>
      <c r="AS2047" s="2">
        <v>8.559877937157E-6</v>
      </c>
      <c r="AT2047" s="2">
        <v>8.559877937157E-6</v>
      </c>
      <c r="AU2047" s="2">
        <v>8.559877937157E-6</v>
      </c>
      <c r="AV2047" s="2">
        <v>77990.571554571798</v>
      </c>
      <c r="AW2047" s="2">
        <v>8.559877937157E-6</v>
      </c>
      <c r="AX2047" s="2">
        <v>5330.4114658444996</v>
      </c>
    </row>
    <row r="2048" spans="1:50" x14ac:dyDescent="0.25">
      <c r="A2048" s="2" t="s">
        <v>13838</v>
      </c>
      <c r="B2048" s="2">
        <v>591.39068082773201</v>
      </c>
      <c r="C2048" s="2">
        <v>14.757666666666699</v>
      </c>
      <c r="D2048" s="2" t="s">
        <v>51</v>
      </c>
      <c r="E2048" s="2" t="s">
        <v>13839</v>
      </c>
      <c r="F2048" s="2">
        <v>247632</v>
      </c>
      <c r="G2048" s="3" t="str">
        <f>HYPERLINK("https://cloud.oebiotech.com/#/lm/network/247632", "https://cloud.oebiotech.com/#/lm/network/247632")</f>
        <v>https://cloud.oebiotech.com/#/lm/network/247632</v>
      </c>
      <c r="H2048" s="2" t="s">
        <v>13840</v>
      </c>
      <c r="I2048" s="2"/>
      <c r="J2048" s="2"/>
      <c r="K2048" s="2"/>
      <c r="L2048" s="2"/>
      <c r="M2048" s="2"/>
      <c r="N2048" s="2"/>
      <c r="O2048" s="2"/>
      <c r="P2048" s="2"/>
      <c r="Q2048" s="2"/>
      <c r="R2048" s="2"/>
      <c r="S2048" s="2" t="s">
        <v>13841</v>
      </c>
      <c r="T2048" s="2" t="s">
        <v>13842</v>
      </c>
      <c r="U2048" s="2" t="s">
        <v>56</v>
      </c>
      <c r="V2048" s="2" t="s">
        <v>145</v>
      </c>
      <c r="W2048" s="2" t="s">
        <v>187</v>
      </c>
      <c r="X2048" s="2" t="s">
        <v>147</v>
      </c>
      <c r="Y2048" s="2">
        <v>38.9</v>
      </c>
      <c r="Z2048" s="2">
        <v>0</v>
      </c>
      <c r="AA2048" s="2" t="s">
        <v>218</v>
      </c>
      <c r="AB2048" s="2" t="s">
        <v>13843</v>
      </c>
      <c r="AC2048" s="2">
        <v>0.80255304003426098</v>
      </c>
      <c r="AD2048" s="2"/>
      <c r="AE2048" s="2">
        <v>0.32291578213817901</v>
      </c>
      <c r="AF2048" s="2">
        <v>44452.207104904403</v>
      </c>
      <c r="AG2048" s="2">
        <v>37668.898202686803</v>
      </c>
      <c r="AH2048" s="5">
        <v>1.1800771784116999</v>
      </c>
      <c r="AI2048" s="5">
        <v>0.23888121659618899</v>
      </c>
      <c r="AJ2048" s="5" t="s">
        <v>139</v>
      </c>
      <c r="AK2048" s="2">
        <v>0.61056454105913804</v>
      </c>
      <c r="AL2048" s="2">
        <v>0.80553815117069005</v>
      </c>
      <c r="AM2048" s="2">
        <v>80566.205370609605</v>
      </c>
      <c r="AN2048" s="2">
        <v>42984.331651191504</v>
      </c>
      <c r="AO2048" s="2">
        <v>39572.098417749003</v>
      </c>
      <c r="AP2048" s="2">
        <v>51780.708067224499</v>
      </c>
      <c r="AQ2048" s="2">
        <v>31828.1707159037</v>
      </c>
      <c r="AR2048" s="2">
        <v>19981.728406747901</v>
      </c>
      <c r="AS2048" s="2">
        <v>25679.850261179501</v>
      </c>
      <c r="AT2048" s="2">
        <v>28779.704919277301</v>
      </c>
      <c r="AU2048" s="2">
        <v>37206.582498039497</v>
      </c>
      <c r="AV2048" s="2">
        <v>80554.719792896096</v>
      </c>
      <c r="AW2048" s="2">
        <v>43612.402005393102</v>
      </c>
      <c r="AX2048" s="2">
        <v>10180.1297393356</v>
      </c>
    </row>
    <row r="2049" spans="1:50" x14ac:dyDescent="0.25">
      <c r="A2049" s="2" t="s">
        <v>13844</v>
      </c>
      <c r="B2049" s="2">
        <v>477.30536158113102</v>
      </c>
      <c r="C2049" s="2">
        <v>6.3332833333333296</v>
      </c>
      <c r="D2049" s="2" t="s">
        <v>51</v>
      </c>
      <c r="E2049" s="2" t="s">
        <v>13845</v>
      </c>
      <c r="F2049" s="2">
        <v>10253</v>
      </c>
      <c r="G2049" s="3" t="str">
        <f>HYPERLINK("https://cloud.oebiotech.com/#/lm/network/10253", "https://cloud.oebiotech.com/#/lm/network/10253")</f>
        <v>https://cloud.oebiotech.com/#/lm/network/10253</v>
      </c>
      <c r="H2049" s="2"/>
      <c r="I2049" s="2"/>
      <c r="J2049" s="2" t="s">
        <v>13846</v>
      </c>
      <c r="K2049" s="2">
        <v>101354481</v>
      </c>
      <c r="L2049" s="2"/>
      <c r="M2049" s="2"/>
      <c r="N2049" s="2"/>
      <c r="O2049" s="2"/>
      <c r="P2049" s="2"/>
      <c r="Q2049" s="2"/>
      <c r="R2049" s="2"/>
      <c r="S2049" s="2" t="s">
        <v>13847</v>
      </c>
      <c r="T2049" s="2" t="s">
        <v>13848</v>
      </c>
      <c r="U2049" s="2" t="s">
        <v>56</v>
      </c>
      <c r="V2049" s="2" t="s">
        <v>145</v>
      </c>
      <c r="W2049" s="2" t="s">
        <v>1188</v>
      </c>
      <c r="X2049" s="2" t="s">
        <v>147</v>
      </c>
      <c r="Y2049" s="2">
        <v>37.9</v>
      </c>
      <c r="Z2049" s="2">
        <v>0</v>
      </c>
      <c r="AA2049" s="2" t="s">
        <v>259</v>
      </c>
      <c r="AB2049" s="2" t="s">
        <v>13849</v>
      </c>
      <c r="AC2049" s="2">
        <v>-0.94024641815021903</v>
      </c>
      <c r="AD2049" s="2"/>
      <c r="AE2049" s="2">
        <v>0.32290255547530999</v>
      </c>
      <c r="AF2049" s="2">
        <v>9246.3164411066191</v>
      </c>
      <c r="AG2049" s="2">
        <v>6750.7068577773798</v>
      </c>
      <c r="AH2049" s="5">
        <v>1.3696812253748101</v>
      </c>
      <c r="AI2049" s="5">
        <v>0.45384016465742799</v>
      </c>
      <c r="AJ2049" s="5" t="s">
        <v>139</v>
      </c>
      <c r="AK2049" s="2">
        <v>8.8817151547658704E-3</v>
      </c>
      <c r="AL2049" s="2">
        <v>0.15306555284881401</v>
      </c>
      <c r="AM2049" s="2">
        <v>10013.567935986101</v>
      </c>
      <c r="AN2049" s="2">
        <v>8014.6284002442999</v>
      </c>
      <c r="AO2049" s="2">
        <v>8396.20277032595</v>
      </c>
      <c r="AP2049" s="2">
        <v>9205.7231971548899</v>
      </c>
      <c r="AQ2049" s="2">
        <v>8984.4465723773992</v>
      </c>
      <c r="AR2049" s="2">
        <v>10863.3297705511</v>
      </c>
      <c r="AS2049" s="2">
        <v>8396.0232548850308</v>
      </c>
      <c r="AT2049" s="2">
        <v>8071.1284323978898</v>
      </c>
      <c r="AU2049" s="2">
        <v>6790.8010898562197</v>
      </c>
      <c r="AV2049" s="2">
        <v>4394.2503255114098</v>
      </c>
      <c r="AW2049" s="2">
        <v>7445.3913812005603</v>
      </c>
      <c r="AX2049" s="2">
        <v>5406.6466628131602</v>
      </c>
    </row>
    <row r="2050" spans="1:50" x14ac:dyDescent="0.25">
      <c r="A2050" s="2" t="s">
        <v>13850</v>
      </c>
      <c r="B2050" s="2">
        <v>197.08128871910299</v>
      </c>
      <c r="C2050" s="2">
        <v>5.0147000000000004</v>
      </c>
      <c r="D2050" s="2" t="s">
        <v>51</v>
      </c>
      <c r="E2050" s="2" t="s">
        <v>13851</v>
      </c>
      <c r="F2050" s="2">
        <v>63426</v>
      </c>
      <c r="G2050" s="3" t="str">
        <f>HYPERLINK("https://cloud.oebiotech.com/#/lm/network/63426", "https://cloud.oebiotech.com/#/lm/network/63426")</f>
        <v>https://cloud.oebiotech.com/#/lm/network/63426</v>
      </c>
      <c r="H2050" s="2" t="s">
        <v>13852</v>
      </c>
      <c r="I2050" s="2">
        <v>94747</v>
      </c>
      <c r="J2050" s="2"/>
      <c r="K2050" s="2">
        <v>62374</v>
      </c>
      <c r="L2050" s="2"/>
      <c r="M2050" s="2"/>
      <c r="N2050" s="2"/>
      <c r="O2050" s="2"/>
      <c r="P2050" s="2"/>
      <c r="Q2050" s="2"/>
      <c r="R2050" s="2" t="s">
        <v>13853</v>
      </c>
      <c r="S2050" s="2" t="s">
        <v>13854</v>
      </c>
      <c r="T2050" s="2" t="s">
        <v>13855</v>
      </c>
      <c r="U2050" s="2" t="s">
        <v>331</v>
      </c>
      <c r="V2050" s="2" t="s">
        <v>332</v>
      </c>
      <c r="W2050" s="2" t="s">
        <v>1207</v>
      </c>
      <c r="X2050" s="2" t="s">
        <v>69</v>
      </c>
      <c r="Y2050" s="2">
        <v>55</v>
      </c>
      <c r="Z2050" s="2">
        <v>66.2</v>
      </c>
      <c r="AA2050" s="2" t="s">
        <v>218</v>
      </c>
      <c r="AB2050" s="2" t="s">
        <v>13856</v>
      </c>
      <c r="AC2050" s="2">
        <v>-4.2330291246448004</v>
      </c>
      <c r="AD2050" s="2"/>
      <c r="AE2050" s="2">
        <v>0.32272590552590502</v>
      </c>
      <c r="AF2050" s="2">
        <v>7495.7431595900998</v>
      </c>
      <c r="AG2050" s="2">
        <v>3157.4239471869801</v>
      </c>
      <c r="AH2050" s="5">
        <v>2.3740059253899801</v>
      </c>
      <c r="AI2050" s="5">
        <v>1.24732353587286</v>
      </c>
      <c r="AJ2050" s="5" t="s">
        <v>139</v>
      </c>
      <c r="AK2050" s="2">
        <v>6.3820649613418406E-2</v>
      </c>
      <c r="AL2050" s="2">
        <v>0.33620514352694297</v>
      </c>
      <c r="AM2050" s="2">
        <v>1909.1197242242799</v>
      </c>
      <c r="AN2050" s="2">
        <v>12299.1831690117</v>
      </c>
      <c r="AO2050" s="2">
        <v>6766.0851859794902</v>
      </c>
      <c r="AP2050" s="2">
        <v>4187.61312119574</v>
      </c>
      <c r="AQ2050" s="2">
        <v>6239.5350629340701</v>
      </c>
      <c r="AR2050" s="2">
        <v>13572.9226941953</v>
      </c>
      <c r="AS2050" s="2">
        <v>7511.9151508580298</v>
      </c>
      <c r="AT2050" s="2">
        <v>1066.5035326294999</v>
      </c>
      <c r="AU2050" s="2">
        <v>2087.9091207605602</v>
      </c>
      <c r="AV2050" s="2">
        <v>2259.9258232970801</v>
      </c>
      <c r="AW2050" s="2">
        <v>3495.0100074563702</v>
      </c>
      <c r="AX2050" s="2">
        <v>2523.2800481203099</v>
      </c>
    </row>
    <row r="2051" spans="1:50" x14ac:dyDescent="0.25">
      <c r="A2051" s="2" t="s">
        <v>13857</v>
      </c>
      <c r="B2051" s="2">
        <v>207.05049973557001</v>
      </c>
      <c r="C2051" s="2">
        <v>0.74113333333333298</v>
      </c>
      <c r="D2051" s="2" t="s">
        <v>51</v>
      </c>
      <c r="E2051" s="2" t="s">
        <v>13858</v>
      </c>
      <c r="F2051" s="2">
        <v>207275</v>
      </c>
      <c r="G2051" s="3" t="str">
        <f>HYPERLINK("https://cloud.oebiotech.com/#/lm/network/207275", "https://cloud.oebiotech.com/#/lm/network/207275")</f>
        <v>https://cloud.oebiotech.com/#/lm/network/207275</v>
      </c>
      <c r="H2051" s="2" t="s">
        <v>13859</v>
      </c>
      <c r="I2051" s="2"/>
      <c r="J2051" s="2"/>
      <c r="K2051" s="2">
        <v>22168925</v>
      </c>
      <c r="L2051" s="2"/>
      <c r="M2051" s="2"/>
      <c r="N2051" s="2"/>
      <c r="O2051" s="2"/>
      <c r="P2051" s="2"/>
      <c r="Q2051" s="2"/>
      <c r="R2051" s="2"/>
      <c r="S2051" s="2" t="s">
        <v>13860</v>
      </c>
      <c r="T2051" s="2" t="s">
        <v>13861</v>
      </c>
      <c r="U2051" s="2" t="s">
        <v>56</v>
      </c>
      <c r="V2051" s="2" t="s">
        <v>3215</v>
      </c>
      <c r="W2051" s="2" t="s">
        <v>4174</v>
      </c>
      <c r="X2051" s="2" t="s">
        <v>83</v>
      </c>
      <c r="Y2051" s="2">
        <v>47.3</v>
      </c>
      <c r="Z2051" s="2">
        <v>15.8</v>
      </c>
      <c r="AA2051" s="2" t="s">
        <v>218</v>
      </c>
      <c r="AB2051" s="2" t="s">
        <v>6564</v>
      </c>
      <c r="AC2051" s="2">
        <v>-3.2492672383250301</v>
      </c>
      <c r="AD2051" s="2"/>
      <c r="AE2051" s="2">
        <v>0.32264603550068299</v>
      </c>
      <c r="AF2051" s="2">
        <v>16582.715432948498</v>
      </c>
      <c r="AG2051" s="2">
        <v>25375.352566675901</v>
      </c>
      <c r="AH2051" s="4">
        <v>0.653496947062156</v>
      </c>
      <c r="AI2051" s="4">
        <v>-0.61374759868084805</v>
      </c>
      <c r="AJ2051" s="4" t="s">
        <v>62</v>
      </c>
      <c r="AK2051" s="2">
        <v>0.39688628155133598</v>
      </c>
      <c r="AL2051" s="2">
        <v>0.66752996494649497</v>
      </c>
      <c r="AM2051" s="2">
        <v>29378.918431661299</v>
      </c>
      <c r="AN2051" s="2">
        <v>7602.1841529020403</v>
      </c>
      <c r="AO2051" s="2">
        <v>5881.6761150858101</v>
      </c>
      <c r="AP2051" s="2">
        <v>9853.4920081641503</v>
      </c>
      <c r="AQ2051" s="2">
        <v>16834.561729494399</v>
      </c>
      <c r="AR2051" s="2">
        <v>29945.460160383602</v>
      </c>
      <c r="AS2051" s="2">
        <v>62957.698089385602</v>
      </c>
      <c r="AT2051" s="2">
        <v>21359.092382049101</v>
      </c>
      <c r="AU2051" s="2">
        <v>38566.953469927699</v>
      </c>
      <c r="AV2051" s="2">
        <v>10730.355726821501</v>
      </c>
      <c r="AW2051" s="2">
        <v>4571.0037144897997</v>
      </c>
      <c r="AX2051" s="2">
        <v>14067.0120173818</v>
      </c>
    </row>
    <row r="2052" spans="1:50" x14ac:dyDescent="0.25">
      <c r="A2052" s="2" t="s">
        <v>13862</v>
      </c>
      <c r="B2052" s="2">
        <v>464.35980840940101</v>
      </c>
      <c r="C2052" s="2">
        <v>12.757199999999999</v>
      </c>
      <c r="D2052" s="2" t="s">
        <v>51</v>
      </c>
      <c r="E2052" s="2" t="s">
        <v>13863</v>
      </c>
      <c r="F2052" s="2">
        <v>10310</v>
      </c>
      <c r="G2052" s="3" t="str">
        <f>HYPERLINK("https://cloud.oebiotech.com/#/lm/network/10310", "https://cloud.oebiotech.com/#/lm/network/10310")</f>
        <v>https://cloud.oebiotech.com/#/lm/network/10310</v>
      </c>
      <c r="H2052" s="2"/>
      <c r="I2052" s="2"/>
      <c r="J2052" s="2" t="s">
        <v>13864</v>
      </c>
      <c r="K2052" s="2">
        <v>86289825</v>
      </c>
      <c r="L2052" s="2"/>
      <c r="M2052" s="2"/>
      <c r="N2052" s="2"/>
      <c r="O2052" s="2">
        <v>79236</v>
      </c>
      <c r="P2052" s="2"/>
      <c r="Q2052" s="2"/>
      <c r="R2052" s="2"/>
      <c r="S2052" s="2" t="s">
        <v>13865</v>
      </c>
      <c r="T2052" s="2" t="s">
        <v>13866</v>
      </c>
      <c r="U2052" s="2" t="s">
        <v>56</v>
      </c>
      <c r="V2052" s="2" t="s">
        <v>145</v>
      </c>
      <c r="W2052" s="2" t="s">
        <v>231</v>
      </c>
      <c r="X2052" s="2" t="s">
        <v>59</v>
      </c>
      <c r="Y2052" s="2">
        <v>47.7</v>
      </c>
      <c r="Z2052" s="2">
        <v>49.6</v>
      </c>
      <c r="AA2052" s="2" t="s">
        <v>526</v>
      </c>
      <c r="AB2052" s="2" t="s">
        <v>13867</v>
      </c>
      <c r="AC2052" s="2">
        <v>3.6499627395072798</v>
      </c>
      <c r="AD2052" s="2"/>
      <c r="AE2052" s="2">
        <v>0.32262542516855902</v>
      </c>
      <c r="AF2052" s="2">
        <v>22545.1509891309</v>
      </c>
      <c r="AG2052" s="2">
        <v>26862.3855963395</v>
      </c>
      <c r="AH2052" s="4">
        <v>0.83928327617346998</v>
      </c>
      <c r="AI2052" s="4">
        <v>-0.25277026139322101</v>
      </c>
      <c r="AJ2052" s="4" t="s">
        <v>62</v>
      </c>
      <c r="AK2052" s="2">
        <v>0.26677198303622901</v>
      </c>
      <c r="AL2052" s="2">
        <v>0.58823162872384205</v>
      </c>
      <c r="AM2052" s="2">
        <v>16915.558751642999</v>
      </c>
      <c r="AN2052" s="2">
        <v>21602.8507970555</v>
      </c>
      <c r="AO2052" s="2">
        <v>23479.645970073601</v>
      </c>
      <c r="AP2052" s="2">
        <v>27497.455487881001</v>
      </c>
      <c r="AQ2052" s="2">
        <v>25492.778751596401</v>
      </c>
      <c r="AR2052" s="2">
        <v>20282.616176535699</v>
      </c>
      <c r="AS2052" s="2">
        <v>19886.145036482099</v>
      </c>
      <c r="AT2052" s="2">
        <v>34169.490124571697</v>
      </c>
      <c r="AU2052" s="2">
        <v>19138.3246320371</v>
      </c>
      <c r="AV2052" s="2">
        <v>23725.334864407399</v>
      </c>
      <c r="AW2052" s="2">
        <v>24867.635054901501</v>
      </c>
      <c r="AX2052" s="2">
        <v>39387.383865637297</v>
      </c>
    </row>
    <row r="2053" spans="1:50" x14ac:dyDescent="0.25">
      <c r="A2053" s="2" t="s">
        <v>13868</v>
      </c>
      <c r="B2053" s="2">
        <v>540.36761478305903</v>
      </c>
      <c r="C2053" s="2">
        <v>10.946433333333299</v>
      </c>
      <c r="D2053" s="2" t="s">
        <v>51</v>
      </c>
      <c r="E2053" s="2" t="s">
        <v>13869</v>
      </c>
      <c r="F2053" s="2">
        <v>18120</v>
      </c>
      <c r="G2053" s="3" t="str">
        <f>HYPERLINK("https://cloud.oebiotech.com/#/lm/network/18120", "https://cloud.oebiotech.com/#/lm/network/18120")</f>
        <v>https://cloud.oebiotech.com/#/lm/network/18120</v>
      </c>
      <c r="H2053" s="2"/>
      <c r="I2053" s="2"/>
      <c r="J2053" s="2" t="s">
        <v>13870</v>
      </c>
      <c r="K2053" s="2"/>
      <c r="L2053" s="2"/>
      <c r="M2053" s="2"/>
      <c r="N2053" s="2"/>
      <c r="O2053" s="2"/>
      <c r="P2053" s="2"/>
      <c r="Q2053" s="2"/>
      <c r="R2053" s="2"/>
      <c r="S2053" s="2" t="s">
        <v>13871</v>
      </c>
      <c r="T2053" s="2" t="s">
        <v>13872</v>
      </c>
      <c r="U2053" s="2" t="s">
        <v>103</v>
      </c>
      <c r="V2053" s="2" t="s">
        <v>104</v>
      </c>
      <c r="W2053" s="2" t="s">
        <v>105</v>
      </c>
      <c r="X2053" s="2" t="s">
        <v>83</v>
      </c>
      <c r="Y2053" s="2">
        <v>51.2</v>
      </c>
      <c r="Z2053" s="2">
        <v>0</v>
      </c>
      <c r="AA2053" s="2" t="s">
        <v>395</v>
      </c>
      <c r="AB2053" s="2" t="s">
        <v>13873</v>
      </c>
      <c r="AC2053" s="2">
        <v>3.0279380757335099</v>
      </c>
      <c r="AD2053" s="2"/>
      <c r="AE2053" s="2">
        <v>0.32252649949579798</v>
      </c>
      <c r="AF2053" s="2">
        <v>25642.471081058298</v>
      </c>
      <c r="AG2053" s="2">
        <v>22140.177475758799</v>
      </c>
      <c r="AH2053" s="5">
        <v>1.1581872416846799</v>
      </c>
      <c r="AI2053" s="5">
        <v>0.211868509642234</v>
      </c>
      <c r="AJ2053" s="5" t="s">
        <v>139</v>
      </c>
      <c r="AK2053" s="2">
        <v>0.29928930459963898</v>
      </c>
      <c r="AL2053" s="2">
        <v>0.61037838979491599</v>
      </c>
      <c r="AM2053" s="2">
        <v>29873.1775281681</v>
      </c>
      <c r="AN2053" s="2">
        <v>29480.924103118701</v>
      </c>
      <c r="AO2053" s="2">
        <v>23751.4634165157</v>
      </c>
      <c r="AP2053" s="2">
        <v>25859.422559450399</v>
      </c>
      <c r="AQ2053" s="2">
        <v>20853.9040688852</v>
      </c>
      <c r="AR2053" s="2">
        <v>24035.934810211598</v>
      </c>
      <c r="AS2053" s="2">
        <v>21160.2824096275</v>
      </c>
      <c r="AT2053" s="2">
        <v>19425.336120750799</v>
      </c>
      <c r="AU2053" s="2">
        <v>34229.702272692899</v>
      </c>
      <c r="AV2053" s="2">
        <v>20138.970023909598</v>
      </c>
      <c r="AW2053" s="2">
        <v>24702.6589171452</v>
      </c>
      <c r="AX2053" s="2">
        <v>13184.115110426699</v>
      </c>
    </row>
    <row r="2054" spans="1:50" x14ac:dyDescent="0.25">
      <c r="A2054" s="2" t="s">
        <v>13874</v>
      </c>
      <c r="B2054" s="2">
        <v>501.33739259219601</v>
      </c>
      <c r="C2054" s="2">
        <v>8.5905500000000004</v>
      </c>
      <c r="D2054" s="2" t="s">
        <v>51</v>
      </c>
      <c r="E2054" s="2" t="s">
        <v>13875</v>
      </c>
      <c r="F2054" s="2">
        <v>6444</v>
      </c>
      <c r="G2054" s="3" t="str">
        <f>HYPERLINK("https://cloud.oebiotech.com/#/lm/network/6444", "https://cloud.oebiotech.com/#/lm/network/6444")</f>
        <v>https://cloud.oebiotech.com/#/lm/network/6444</v>
      </c>
      <c r="H2054" s="2"/>
      <c r="I2054" s="2"/>
      <c r="J2054" s="2" t="s">
        <v>13876</v>
      </c>
      <c r="K2054" s="2">
        <v>5469815</v>
      </c>
      <c r="L2054" s="2"/>
      <c r="M2054" s="2"/>
      <c r="N2054" s="2"/>
      <c r="O2054" s="2"/>
      <c r="P2054" s="2"/>
      <c r="Q2054" s="2"/>
      <c r="R2054" s="2"/>
      <c r="S2054" s="2" t="s">
        <v>13877</v>
      </c>
      <c r="T2054" s="2" t="s">
        <v>13878</v>
      </c>
      <c r="U2054" s="2" t="s">
        <v>56</v>
      </c>
      <c r="V2054" s="2" t="s">
        <v>145</v>
      </c>
      <c r="W2054" s="2" t="s">
        <v>146</v>
      </c>
      <c r="X2054" s="2" t="s">
        <v>147</v>
      </c>
      <c r="Y2054" s="2">
        <v>38.9</v>
      </c>
      <c r="Z2054" s="2">
        <v>1.95E-2</v>
      </c>
      <c r="AA2054" s="2" t="s">
        <v>163</v>
      </c>
      <c r="AB2054" s="2" t="s">
        <v>13879</v>
      </c>
      <c r="AC2054" s="2">
        <v>-5.2373806245444902E-2</v>
      </c>
      <c r="AD2054" s="2"/>
      <c r="AE2054" s="2">
        <v>0.32240983828696401</v>
      </c>
      <c r="AF2054" s="2">
        <v>67504.472598793494</v>
      </c>
      <c r="AG2054" s="2">
        <v>63663.8190039158</v>
      </c>
      <c r="AH2054" s="5">
        <v>1.06032710030546</v>
      </c>
      <c r="AI2054" s="5">
        <v>8.4509390441238397E-2</v>
      </c>
      <c r="AJ2054" s="5" t="s">
        <v>139</v>
      </c>
      <c r="AK2054" s="2">
        <v>0.40990623883879201</v>
      </c>
      <c r="AL2054" s="2">
        <v>0.67525811186721996</v>
      </c>
      <c r="AM2054" s="2">
        <v>77395.678866356204</v>
      </c>
      <c r="AN2054" s="2">
        <v>58774.596880306002</v>
      </c>
      <c r="AO2054" s="2">
        <v>77971.688212431196</v>
      </c>
      <c r="AP2054" s="2">
        <v>69839.7093136529</v>
      </c>
      <c r="AQ2054" s="2">
        <v>63774.345267895202</v>
      </c>
      <c r="AR2054" s="2">
        <v>57270.817052119302</v>
      </c>
      <c r="AS2054" s="2">
        <v>69766.151845007</v>
      </c>
      <c r="AT2054" s="2">
        <v>68656.867053600901</v>
      </c>
      <c r="AU2054" s="2">
        <v>67684.8188966288</v>
      </c>
      <c r="AV2054" s="2">
        <v>61554.175595710498</v>
      </c>
      <c r="AW2054" s="2">
        <v>60564.207481867001</v>
      </c>
      <c r="AX2054" s="2">
        <v>53756.693150680803</v>
      </c>
    </row>
    <row r="2055" spans="1:50" x14ac:dyDescent="0.25">
      <c r="A2055" s="2" t="s">
        <v>13880</v>
      </c>
      <c r="B2055" s="2">
        <v>375.18594096697399</v>
      </c>
      <c r="C2055" s="2">
        <v>9.3200333333333294</v>
      </c>
      <c r="D2055" s="2" t="s">
        <v>51</v>
      </c>
      <c r="E2055" s="2" t="s">
        <v>13881</v>
      </c>
      <c r="F2055" s="2">
        <v>28</v>
      </c>
      <c r="G2055" s="3" t="str">
        <f>HYPERLINK("https://cloud.oebiotech.com/#/lm/network/28", "https://cloud.oebiotech.com/#/lm/network/28")</f>
        <v>https://cloud.oebiotech.com/#/lm/network/28</v>
      </c>
      <c r="H2055" s="2"/>
      <c r="I2055" s="2"/>
      <c r="J2055" s="2" t="s">
        <v>13882</v>
      </c>
      <c r="K2055" s="2">
        <v>101891711</v>
      </c>
      <c r="L2055" s="2"/>
      <c r="M2055" s="2"/>
      <c r="N2055" s="2"/>
      <c r="O2055" s="2"/>
      <c r="P2055" s="2"/>
      <c r="Q2055" s="2"/>
      <c r="R2055" s="2"/>
      <c r="S2055" s="2" t="s">
        <v>13883</v>
      </c>
      <c r="T2055" s="2" t="s">
        <v>13884</v>
      </c>
      <c r="U2055" s="2" t="s">
        <v>56</v>
      </c>
      <c r="V2055" s="2" t="s">
        <v>145</v>
      </c>
      <c r="W2055" s="2" t="s">
        <v>231</v>
      </c>
      <c r="X2055" s="2" t="s">
        <v>147</v>
      </c>
      <c r="Y2055" s="2">
        <v>37.299999999999997</v>
      </c>
      <c r="Z2055" s="2">
        <v>0</v>
      </c>
      <c r="AA2055" s="2" t="s">
        <v>259</v>
      </c>
      <c r="AB2055" s="2" t="s">
        <v>13885</v>
      </c>
      <c r="AC2055" s="2">
        <v>-4.1475900861906698</v>
      </c>
      <c r="AD2055" s="2"/>
      <c r="AE2055" s="2">
        <v>0.32217628378559099</v>
      </c>
      <c r="AF2055" s="2">
        <v>3685.5757383330701</v>
      </c>
      <c r="AG2055" s="2">
        <v>1565.61960796169</v>
      </c>
      <c r="AH2055" s="5">
        <v>2.35406845928008</v>
      </c>
      <c r="AI2055" s="5">
        <v>1.23515627637795</v>
      </c>
      <c r="AJ2055" s="5" t="s">
        <v>139</v>
      </c>
      <c r="AK2055" s="2">
        <v>2.4251898785526099E-3</v>
      </c>
      <c r="AL2055" s="2">
        <v>0.10284537363547699</v>
      </c>
      <c r="AM2055" s="2">
        <v>4204.41821711189</v>
      </c>
      <c r="AN2055" s="2">
        <v>3843.1212113954298</v>
      </c>
      <c r="AO2055" s="2">
        <v>4331.4244420272498</v>
      </c>
      <c r="AP2055" s="2">
        <v>3282.3810492768498</v>
      </c>
      <c r="AQ2055" s="2">
        <v>3455.05164593579</v>
      </c>
      <c r="AR2055" s="2">
        <v>2997.05786425121</v>
      </c>
      <c r="AS2055" s="2">
        <v>3459.5428926212999</v>
      </c>
      <c r="AT2055" s="2">
        <v>1251.5396704787599</v>
      </c>
      <c r="AU2055" s="2">
        <v>2494.8989165599901</v>
      </c>
      <c r="AV2055" s="2">
        <v>311.46511211721599</v>
      </c>
      <c r="AW2055" s="2">
        <v>841.84537818042702</v>
      </c>
      <c r="AX2055" s="2">
        <v>1034.42567781247</v>
      </c>
    </row>
    <row r="2056" spans="1:50" x14ac:dyDescent="0.25">
      <c r="A2056" s="2" t="s">
        <v>13886</v>
      </c>
      <c r="B2056" s="2">
        <v>507.36915969227601</v>
      </c>
      <c r="C2056" s="2">
        <v>11.6313666666667</v>
      </c>
      <c r="D2056" s="2" t="s">
        <v>51</v>
      </c>
      <c r="E2056" s="2" t="s">
        <v>13887</v>
      </c>
      <c r="F2056" s="2">
        <v>208477</v>
      </c>
      <c r="G2056" s="3" t="str">
        <f>HYPERLINK("https://cloud.oebiotech.com/#/lm/network/208477", "https://cloud.oebiotech.com/#/lm/network/208477")</f>
        <v>https://cloud.oebiotech.com/#/lm/network/208477</v>
      </c>
      <c r="H2056" s="2" t="s">
        <v>13888</v>
      </c>
      <c r="I2056" s="2"/>
      <c r="J2056" s="2"/>
      <c r="K2056" s="2"/>
      <c r="L2056" s="2"/>
      <c r="M2056" s="2"/>
      <c r="N2056" s="2"/>
      <c r="O2056" s="2"/>
      <c r="P2056" s="2"/>
      <c r="Q2056" s="2"/>
      <c r="R2056" s="2"/>
      <c r="S2056" s="2" t="s">
        <v>13889</v>
      </c>
      <c r="T2056" s="2" t="s">
        <v>13890</v>
      </c>
      <c r="U2056" s="2" t="s">
        <v>56</v>
      </c>
      <c r="V2056" s="2" t="s">
        <v>283</v>
      </c>
      <c r="W2056" s="2" t="s">
        <v>420</v>
      </c>
      <c r="X2056" s="2" t="s">
        <v>83</v>
      </c>
      <c r="Y2056" s="2">
        <v>41.2</v>
      </c>
      <c r="Z2056" s="2">
        <v>0</v>
      </c>
      <c r="AA2056" s="2" t="s">
        <v>218</v>
      </c>
      <c r="AB2056" s="2" t="s">
        <v>11263</v>
      </c>
      <c r="AC2056" s="2">
        <v>0.10108883348140001</v>
      </c>
      <c r="AD2056" s="2"/>
      <c r="AE2056" s="2">
        <v>0.32214825219794002</v>
      </c>
      <c r="AF2056" s="2">
        <v>18917.340434452799</v>
      </c>
      <c r="AG2056" s="2">
        <v>14124.1145107548</v>
      </c>
      <c r="AH2056" s="5">
        <v>1.33936470283134</v>
      </c>
      <c r="AI2056" s="5">
        <v>0.42154885336191</v>
      </c>
      <c r="AJ2056" s="5" t="s">
        <v>139</v>
      </c>
      <c r="AK2056" s="2">
        <v>0.14701920981151501</v>
      </c>
      <c r="AL2056" s="2">
        <v>0.46813495501649</v>
      </c>
      <c r="AM2056" s="2">
        <v>16327.292660147599</v>
      </c>
      <c r="AN2056" s="2">
        <v>18695.452341350701</v>
      </c>
      <c r="AO2056" s="2">
        <v>19158.692772582799</v>
      </c>
      <c r="AP2056" s="2">
        <v>27274.0285833739</v>
      </c>
      <c r="AQ2056" s="2">
        <v>20496.032856107799</v>
      </c>
      <c r="AR2056" s="2">
        <v>11552.543393154099</v>
      </c>
      <c r="AS2056" s="2">
        <v>11530.685901499901</v>
      </c>
      <c r="AT2056" s="2">
        <v>18462.443526249601</v>
      </c>
      <c r="AU2056" s="2">
        <v>11003.927195800699</v>
      </c>
      <c r="AV2056" s="2">
        <v>6040.6766709923404</v>
      </c>
      <c r="AW2056" s="2">
        <v>19140.578089571201</v>
      </c>
      <c r="AX2056" s="2">
        <v>18566.3756804148</v>
      </c>
    </row>
    <row r="2057" spans="1:50" x14ac:dyDescent="0.25">
      <c r="A2057" s="2" t="s">
        <v>13891</v>
      </c>
      <c r="B2057" s="2">
        <v>376.09765422606102</v>
      </c>
      <c r="C2057" s="2">
        <v>5.7116499999999997</v>
      </c>
      <c r="D2057" s="2" t="s">
        <v>51</v>
      </c>
      <c r="E2057" s="2" t="s">
        <v>13892</v>
      </c>
      <c r="F2057" s="2">
        <v>256899</v>
      </c>
      <c r="G2057" s="3" t="str">
        <f>HYPERLINK("https://cloud.oebiotech.com/#/lm/network/256899", "https://cloud.oebiotech.com/#/lm/network/256899")</f>
        <v>https://cloud.oebiotech.com/#/lm/network/256899</v>
      </c>
      <c r="H2057" s="2" t="s">
        <v>13893</v>
      </c>
      <c r="I2057" s="2"/>
      <c r="J2057" s="2"/>
      <c r="K2057" s="2">
        <v>45479663</v>
      </c>
      <c r="L2057" s="2"/>
      <c r="M2057" s="2"/>
      <c r="N2057" s="2"/>
      <c r="O2057" s="2"/>
      <c r="P2057" s="2"/>
      <c r="Q2057" s="2"/>
      <c r="R2057" s="2"/>
      <c r="S2057" s="2" t="s">
        <v>13894</v>
      </c>
      <c r="T2057" s="2" t="s">
        <v>13895</v>
      </c>
      <c r="U2057" s="2" t="s">
        <v>610</v>
      </c>
      <c r="V2057" s="2" t="s">
        <v>611</v>
      </c>
      <c r="W2057" s="2" t="s">
        <v>6372</v>
      </c>
      <c r="X2057" s="2" t="s">
        <v>147</v>
      </c>
      <c r="Y2057" s="2">
        <v>45.2</v>
      </c>
      <c r="Z2057" s="2">
        <v>34.700000000000003</v>
      </c>
      <c r="AA2057" s="2" t="s">
        <v>259</v>
      </c>
      <c r="AB2057" s="2" t="s">
        <v>13896</v>
      </c>
      <c r="AC2057" s="2">
        <v>-2.7085695541675601</v>
      </c>
      <c r="AD2057" s="2"/>
      <c r="AE2057" s="2">
        <v>0.32169123112293901</v>
      </c>
      <c r="AF2057" s="2">
        <v>298.83598869446598</v>
      </c>
      <c r="AG2057" s="2">
        <v>4984.02672641762</v>
      </c>
      <c r="AH2057" s="4">
        <v>5.9958745227127103E-2</v>
      </c>
      <c r="AI2057" s="4">
        <v>-4.0598859978422404</v>
      </c>
      <c r="AJ2057" s="4" t="s">
        <v>62</v>
      </c>
      <c r="AK2057" s="2">
        <v>0.34773218317622501</v>
      </c>
      <c r="AL2057" s="2">
        <v>0.64074673231447798</v>
      </c>
      <c r="AM2057" s="2">
        <v>8.559877937157E-6</v>
      </c>
      <c r="AN2057" s="2">
        <v>107.036619583766</v>
      </c>
      <c r="AO2057" s="2">
        <v>8.559877937157E-6</v>
      </c>
      <c r="AP2057" s="2">
        <v>8.559877937157E-6</v>
      </c>
      <c r="AQ2057" s="2">
        <v>8.559877937157E-6</v>
      </c>
      <c r="AR2057" s="2">
        <v>1685.97927834352</v>
      </c>
      <c r="AS2057" s="2">
        <v>675.94131668236002</v>
      </c>
      <c r="AT2057" s="2">
        <v>8.559877937157E-6</v>
      </c>
      <c r="AU2057" s="2">
        <v>96.052494425645904</v>
      </c>
      <c r="AV2057" s="2">
        <v>293.813762982534</v>
      </c>
      <c r="AW2057" s="2">
        <v>28714.676858649302</v>
      </c>
      <c r="AX2057" s="2">
        <v>123.675917205999</v>
      </c>
    </row>
    <row r="2058" spans="1:50" x14ac:dyDescent="0.25">
      <c r="A2058" s="2" t="s">
        <v>13897</v>
      </c>
      <c r="B2058" s="2">
        <v>196.98413972298999</v>
      </c>
      <c r="C2058" s="2">
        <v>5.7783833333333297</v>
      </c>
      <c r="D2058" s="2" t="s">
        <v>51</v>
      </c>
      <c r="E2058" s="2" t="s">
        <v>13898</v>
      </c>
      <c r="F2058" s="2">
        <v>199444</v>
      </c>
      <c r="G2058" s="3" t="str">
        <f>HYPERLINK("https://cloud.oebiotech.com/#/lm/network/199444", "https://cloud.oebiotech.com/#/lm/network/199444")</f>
        <v>https://cloud.oebiotech.com/#/lm/network/199444</v>
      </c>
      <c r="H2058" s="2" t="s">
        <v>13899</v>
      </c>
      <c r="I2058" s="2">
        <v>340299</v>
      </c>
      <c r="J2058" s="2"/>
      <c r="K2058" s="2">
        <v>12335</v>
      </c>
      <c r="L2058" s="2"/>
      <c r="M2058" s="2"/>
      <c r="N2058" s="2"/>
      <c r="O2058" s="2"/>
      <c r="P2058" s="2"/>
      <c r="Q2058" s="2"/>
      <c r="R2058" s="2"/>
      <c r="S2058" s="2" t="s">
        <v>13900</v>
      </c>
      <c r="T2058" s="2" t="s">
        <v>13901</v>
      </c>
      <c r="U2058" s="2" t="s">
        <v>1357</v>
      </c>
      <c r="V2058" s="2" t="s">
        <v>3792</v>
      </c>
      <c r="W2058" s="2" t="s">
        <v>240</v>
      </c>
      <c r="X2058" s="2" t="s">
        <v>147</v>
      </c>
      <c r="Y2058" s="2">
        <v>37.9</v>
      </c>
      <c r="Z2058" s="2">
        <v>0</v>
      </c>
      <c r="AA2058" s="2" t="s">
        <v>163</v>
      </c>
      <c r="AB2058" s="2" t="s">
        <v>13902</v>
      </c>
      <c r="AC2058" s="2">
        <v>4.3830487200793096</v>
      </c>
      <c r="AD2058" s="2"/>
      <c r="AE2058" s="2">
        <v>0.321565449722437</v>
      </c>
      <c r="AF2058" s="2">
        <v>21489.485820408401</v>
      </c>
      <c r="AG2058" s="2">
        <v>24332.367213635502</v>
      </c>
      <c r="AH2058" s="4">
        <v>0.88316461903328702</v>
      </c>
      <c r="AI2058" s="4">
        <v>-0.179245718250962</v>
      </c>
      <c r="AJ2058" s="4" t="s">
        <v>62</v>
      </c>
      <c r="AK2058" s="2">
        <v>9.7416665565375302E-2</v>
      </c>
      <c r="AL2058" s="2">
        <v>0.39804731139823302</v>
      </c>
      <c r="AM2058" s="2">
        <v>17432.929105112398</v>
      </c>
      <c r="AN2058" s="2">
        <v>22560.209096235802</v>
      </c>
      <c r="AO2058" s="2">
        <v>21145.061116684199</v>
      </c>
      <c r="AP2058" s="2">
        <v>22061.626353566298</v>
      </c>
      <c r="AQ2058" s="2">
        <v>23581.616575536998</v>
      </c>
      <c r="AR2058" s="2">
        <v>22155.472675314799</v>
      </c>
      <c r="AS2058" s="2">
        <v>23976.386705998601</v>
      </c>
      <c r="AT2058" s="2">
        <v>27933.3496523092</v>
      </c>
      <c r="AU2058" s="2">
        <v>19218.8465751896</v>
      </c>
      <c r="AV2058" s="2">
        <v>26269.850689144801</v>
      </c>
      <c r="AW2058" s="2">
        <v>22474.0307128561</v>
      </c>
      <c r="AX2058" s="2">
        <v>26121.738946314501</v>
      </c>
    </row>
    <row r="2059" spans="1:50" x14ac:dyDescent="0.25">
      <c r="A2059" s="2" t="s">
        <v>13903</v>
      </c>
      <c r="B2059" s="2">
        <v>654.32636245477102</v>
      </c>
      <c r="C2059" s="2">
        <v>5.7232000000000003</v>
      </c>
      <c r="D2059" s="2" t="s">
        <v>51</v>
      </c>
      <c r="E2059" s="2" t="s">
        <v>13904</v>
      </c>
      <c r="F2059" s="2">
        <v>27890</v>
      </c>
      <c r="G2059" s="3" t="str">
        <f>HYPERLINK("https://cloud.oebiotech.com/#/lm/network/27890", "https://cloud.oebiotech.com/#/lm/network/27890")</f>
        <v>https://cloud.oebiotech.com/#/lm/network/27890</v>
      </c>
      <c r="H2059" s="2"/>
      <c r="I2059" s="2"/>
      <c r="J2059" s="2" t="s">
        <v>13905</v>
      </c>
      <c r="K2059" s="2">
        <v>134812347</v>
      </c>
      <c r="L2059" s="2"/>
      <c r="M2059" s="2"/>
      <c r="N2059" s="2"/>
      <c r="O2059" s="2"/>
      <c r="P2059" s="2"/>
      <c r="Q2059" s="2"/>
      <c r="R2059" s="2"/>
      <c r="S2059" s="2" t="s">
        <v>13906</v>
      </c>
      <c r="T2059" s="2" t="s">
        <v>13907</v>
      </c>
      <c r="U2059" s="2" t="s">
        <v>56</v>
      </c>
      <c r="V2059" s="2" t="s">
        <v>57</v>
      </c>
      <c r="W2059" s="2" t="s">
        <v>155</v>
      </c>
      <c r="X2059" s="2" t="s">
        <v>147</v>
      </c>
      <c r="Y2059" s="2">
        <v>46</v>
      </c>
      <c r="Z2059" s="2">
        <v>36.700000000000003</v>
      </c>
      <c r="AA2059" s="2" t="s">
        <v>218</v>
      </c>
      <c r="AB2059" s="2" t="s">
        <v>13908</v>
      </c>
      <c r="AC2059" s="2">
        <v>0.593222847007702</v>
      </c>
      <c r="AD2059" s="2"/>
      <c r="AE2059" s="2">
        <v>0.32070877427528</v>
      </c>
      <c r="AF2059" s="2">
        <v>5938.6858657662697</v>
      </c>
      <c r="AG2059" s="2">
        <v>2852.33958644021</v>
      </c>
      <c r="AH2059" s="5">
        <v>2.0820402640689402</v>
      </c>
      <c r="AI2059" s="5">
        <v>1.0579979688346901</v>
      </c>
      <c r="AJ2059" s="5" t="s">
        <v>139</v>
      </c>
      <c r="AK2059" s="2">
        <v>0.45383955958157501</v>
      </c>
      <c r="AL2059" s="2">
        <v>0.70627666192288596</v>
      </c>
      <c r="AM2059" s="2">
        <v>19402.7125086093</v>
      </c>
      <c r="AN2059" s="2">
        <v>248.427938907927</v>
      </c>
      <c r="AO2059" s="2">
        <v>5285.5084647339199</v>
      </c>
      <c r="AP2059" s="2">
        <v>1208.0049557355401</v>
      </c>
      <c r="AQ2059" s="2">
        <v>5117.6167913170802</v>
      </c>
      <c r="AR2059" s="2">
        <v>4369.8445352938397</v>
      </c>
      <c r="AS2059" s="2">
        <v>8.559877937157E-6</v>
      </c>
      <c r="AT2059" s="2">
        <v>8.559877937157E-6</v>
      </c>
      <c r="AU2059" s="2">
        <v>16720.686412820301</v>
      </c>
      <c r="AV2059" s="2">
        <v>393.35107158146502</v>
      </c>
      <c r="AW2059" s="2">
        <v>8.559877937157E-6</v>
      </c>
      <c r="AX2059" s="2">
        <v>8.559877937157E-6</v>
      </c>
    </row>
    <row r="2060" spans="1:50" x14ac:dyDescent="0.25">
      <c r="A2060" s="2" t="s">
        <v>13909</v>
      </c>
      <c r="B2060" s="2">
        <v>174.11</v>
      </c>
      <c r="C2060" s="2">
        <v>20.108000000000001</v>
      </c>
      <c r="D2060" s="2" t="s">
        <v>125</v>
      </c>
      <c r="E2060" s="2" t="s">
        <v>13910</v>
      </c>
      <c r="F2060" s="2">
        <v>52690</v>
      </c>
      <c r="G2060" s="3" t="str">
        <f>HYPERLINK("https://cloud.oebiotech.com/#/lm/network/52690", "https://cloud.oebiotech.com/#/lm/network/52690")</f>
        <v>https://cloud.oebiotech.com/#/lm/network/52690</v>
      </c>
      <c r="H2060" s="2" t="s">
        <v>13911</v>
      </c>
      <c r="I2060" s="2"/>
      <c r="J2060" s="2"/>
      <c r="K2060" s="2"/>
      <c r="L2060" s="2" t="s">
        <v>13912</v>
      </c>
      <c r="M2060" s="2"/>
      <c r="N2060" s="2"/>
      <c r="O2060" s="2">
        <v>48669</v>
      </c>
      <c r="P2060" s="2"/>
      <c r="Q2060" s="2"/>
      <c r="R2060" s="2" t="s">
        <v>13913</v>
      </c>
      <c r="S2060" s="2" t="s">
        <v>13914</v>
      </c>
      <c r="T2060" s="2" t="s">
        <v>13915</v>
      </c>
      <c r="U2060" s="2" t="s">
        <v>103</v>
      </c>
      <c r="V2060" s="2" t="s">
        <v>104</v>
      </c>
      <c r="W2060" s="2" t="s">
        <v>105</v>
      </c>
      <c r="X2060" s="2" t="s">
        <v>69</v>
      </c>
      <c r="Y2060" s="2">
        <v>86.1</v>
      </c>
      <c r="Z2060" s="2">
        <v>84</v>
      </c>
      <c r="AA2060" s="2"/>
      <c r="AB2060" s="2" t="s">
        <v>13916</v>
      </c>
      <c r="AC2060" s="2"/>
      <c r="AD2060" s="2">
        <v>675702.77661795402</v>
      </c>
      <c r="AE2060" s="2">
        <v>0.32052988347151101</v>
      </c>
      <c r="AF2060" s="2">
        <v>99640.422449659804</v>
      </c>
      <c r="AG2060" s="2">
        <v>4064.9824338015701</v>
      </c>
      <c r="AH2060" s="5">
        <v>24.511894964445499</v>
      </c>
      <c r="AI2060" s="5">
        <v>4.6154101152051696</v>
      </c>
      <c r="AJ2060" s="5" t="s">
        <v>139</v>
      </c>
      <c r="AK2060" s="2">
        <v>0.28605081295990498</v>
      </c>
      <c r="AL2060" s="2">
        <v>0.60106092987307402</v>
      </c>
      <c r="AM2060" s="2">
        <v>9308.2677749488903</v>
      </c>
      <c r="AN2060" s="2">
        <v>5141.3477791188398</v>
      </c>
      <c r="AO2060" s="2">
        <v>523082.85090497503</v>
      </c>
      <c r="AP2060" s="2">
        <v>9267.7931963359097</v>
      </c>
      <c r="AQ2060" s="2">
        <v>16459.271852016998</v>
      </c>
      <c r="AR2060" s="2">
        <v>34583.003190563402</v>
      </c>
      <c r="AS2060" s="2">
        <v>7943.1122385671697</v>
      </c>
      <c r="AT2060" s="2">
        <v>2299.8352172700202</v>
      </c>
      <c r="AU2060" s="2">
        <v>2299.8352172700202</v>
      </c>
      <c r="AV2060" s="2">
        <v>2299.8352172700202</v>
      </c>
      <c r="AW2060" s="2">
        <v>7247.4414951621502</v>
      </c>
      <c r="AX2060" s="2">
        <v>2299.8352172700202</v>
      </c>
    </row>
    <row r="2061" spans="1:50" x14ac:dyDescent="0.25">
      <c r="A2061" s="2" t="s">
        <v>13917</v>
      </c>
      <c r="B2061" s="2">
        <v>377.16328047973298</v>
      </c>
      <c r="C2061" s="2">
        <v>10.7136833333333</v>
      </c>
      <c r="D2061" s="2" t="s">
        <v>51</v>
      </c>
      <c r="E2061" s="2" t="s">
        <v>13918</v>
      </c>
      <c r="F2061" s="2">
        <v>267547</v>
      </c>
      <c r="G2061" s="3" t="str">
        <f>HYPERLINK("https://cloud.oebiotech.com/#/lm/network/267547", "https://cloud.oebiotech.com/#/lm/network/267547")</f>
        <v>https://cloud.oebiotech.com/#/lm/network/267547</v>
      </c>
      <c r="H2061" s="2"/>
      <c r="I2061" s="2">
        <v>45671</v>
      </c>
      <c r="J2061" s="2"/>
      <c r="K2061" s="2">
        <v>11976582</v>
      </c>
      <c r="L2061" s="2"/>
      <c r="M2061" s="2"/>
      <c r="N2061" s="2"/>
      <c r="O2061" s="2"/>
      <c r="P2061" s="2"/>
      <c r="Q2061" s="2"/>
      <c r="R2061" s="2" t="s">
        <v>13919</v>
      </c>
      <c r="S2061" s="2" t="s">
        <v>13920</v>
      </c>
      <c r="T2061" s="2" t="s">
        <v>13921</v>
      </c>
      <c r="U2061" s="2" t="s">
        <v>103</v>
      </c>
      <c r="V2061" s="2" t="s">
        <v>104</v>
      </c>
      <c r="W2061" s="2" t="s">
        <v>105</v>
      </c>
      <c r="X2061" s="2" t="s">
        <v>147</v>
      </c>
      <c r="Y2061" s="2">
        <v>37.6</v>
      </c>
      <c r="Z2061" s="2">
        <v>0</v>
      </c>
      <c r="AA2061" s="2" t="s">
        <v>179</v>
      </c>
      <c r="AB2061" s="2" t="s">
        <v>13922</v>
      </c>
      <c r="AC2061" s="2">
        <v>-2.4128224112657199</v>
      </c>
      <c r="AD2061" s="2"/>
      <c r="AE2061" s="2">
        <v>0.32044325870717699</v>
      </c>
      <c r="AF2061" s="2">
        <v>12340.3622578501</v>
      </c>
      <c r="AG2061" s="2">
        <v>9097.7562163632592</v>
      </c>
      <c r="AH2061" s="5">
        <v>1.3564182161371501</v>
      </c>
      <c r="AI2061" s="5">
        <v>0.43980206440539799</v>
      </c>
      <c r="AJ2061" s="5" t="s">
        <v>139</v>
      </c>
      <c r="AK2061" s="2">
        <v>4.4386452640117001E-2</v>
      </c>
      <c r="AL2061" s="2">
        <v>0.297793096711781</v>
      </c>
      <c r="AM2061" s="2">
        <v>9611.079883331</v>
      </c>
      <c r="AN2061" s="2">
        <v>14974.855423601801</v>
      </c>
      <c r="AO2061" s="2">
        <v>12764.296717625901</v>
      </c>
      <c r="AP2061" s="2">
        <v>9917.5910770761202</v>
      </c>
      <c r="AQ2061" s="2">
        <v>15309.748459991701</v>
      </c>
      <c r="AR2061" s="2">
        <v>11464.601985474101</v>
      </c>
      <c r="AS2061" s="2">
        <v>11596.1682501133</v>
      </c>
      <c r="AT2061" s="2">
        <v>7131.9108049160895</v>
      </c>
      <c r="AU2061" s="2">
        <v>11608.476559704801</v>
      </c>
      <c r="AV2061" s="2">
        <v>7443.5977720732399</v>
      </c>
      <c r="AW2061" s="2">
        <v>10592.342965313601</v>
      </c>
      <c r="AX2061" s="2">
        <v>6214.0409460585197</v>
      </c>
    </row>
    <row r="2062" spans="1:50" x14ac:dyDescent="0.25">
      <c r="A2062" s="2" t="s">
        <v>13923</v>
      </c>
      <c r="B2062" s="2">
        <v>429.20994606896102</v>
      </c>
      <c r="C2062" s="2">
        <v>4.2797999999999998</v>
      </c>
      <c r="D2062" s="2" t="s">
        <v>51</v>
      </c>
      <c r="E2062" s="2" t="s">
        <v>13924</v>
      </c>
      <c r="F2062" s="2">
        <v>59470</v>
      </c>
      <c r="G2062" s="3" t="str">
        <f>HYPERLINK("https://cloud.oebiotech.com/#/lm/network/59470", "https://cloud.oebiotech.com/#/lm/network/59470")</f>
        <v>https://cloud.oebiotech.com/#/lm/network/59470</v>
      </c>
      <c r="H2062" s="2" t="s">
        <v>13925</v>
      </c>
      <c r="I2062" s="2">
        <v>90883</v>
      </c>
      <c r="J2062" s="2"/>
      <c r="K2062" s="2">
        <v>131751813</v>
      </c>
      <c r="L2062" s="2"/>
      <c r="M2062" s="2"/>
      <c r="N2062" s="2"/>
      <c r="O2062" s="2">
        <v>169328</v>
      </c>
      <c r="P2062" s="2"/>
      <c r="Q2062" s="2"/>
      <c r="R2062" s="2" t="s">
        <v>13926</v>
      </c>
      <c r="S2062" s="2" t="s">
        <v>13927</v>
      </c>
      <c r="T2062" s="2" t="s">
        <v>13928</v>
      </c>
      <c r="U2062" s="2" t="s">
        <v>56</v>
      </c>
      <c r="V2062" s="2" t="s">
        <v>177</v>
      </c>
      <c r="W2062" s="2" t="s">
        <v>806</v>
      </c>
      <c r="X2062" s="2" t="s">
        <v>147</v>
      </c>
      <c r="Y2062" s="2">
        <v>39.200000000000003</v>
      </c>
      <c r="Z2062" s="2">
        <v>9.4700000000000006</v>
      </c>
      <c r="AA2062" s="2" t="s">
        <v>2589</v>
      </c>
      <c r="AB2062" s="2" t="s">
        <v>13929</v>
      </c>
      <c r="AC2062" s="2">
        <v>-4.5841758104139503</v>
      </c>
      <c r="AD2062" s="2"/>
      <c r="AE2062" s="2">
        <v>0.32034835734926498</v>
      </c>
      <c r="AF2062" s="2">
        <v>8307.8358559240096</v>
      </c>
      <c r="AG2062" s="2">
        <v>4140.2721483383402</v>
      </c>
      <c r="AH2062" s="5">
        <v>2.0065917307533199</v>
      </c>
      <c r="AI2062" s="5">
        <v>1.00474711000674</v>
      </c>
      <c r="AJ2062" s="5" t="s">
        <v>139</v>
      </c>
      <c r="AK2062" s="2">
        <v>0.118651041343454</v>
      </c>
      <c r="AL2062" s="2">
        <v>0.43690844816567598</v>
      </c>
      <c r="AM2062" s="2">
        <v>10666.277957968499</v>
      </c>
      <c r="AN2062" s="2">
        <v>2349.0315520693698</v>
      </c>
      <c r="AO2062" s="2">
        <v>6488.9614994736303</v>
      </c>
      <c r="AP2062" s="2">
        <v>4026.9888113034499</v>
      </c>
      <c r="AQ2062" s="2">
        <v>10434.2666467207</v>
      </c>
      <c r="AR2062" s="2">
        <v>15881.4886680084</v>
      </c>
      <c r="AS2062" s="2">
        <v>8.559877937157E-6</v>
      </c>
      <c r="AT2062" s="2">
        <v>1589.1582727197399</v>
      </c>
      <c r="AU2062" s="2">
        <v>4166.4763647097798</v>
      </c>
      <c r="AV2062" s="2">
        <v>5183.1239930955999</v>
      </c>
      <c r="AW2062" s="2">
        <v>4332.5090439147198</v>
      </c>
      <c r="AX2062" s="2">
        <v>9570.3652070303197</v>
      </c>
    </row>
    <row r="2063" spans="1:50" x14ac:dyDescent="0.25">
      <c r="A2063" s="2" t="s">
        <v>13930</v>
      </c>
      <c r="B2063" s="2">
        <v>293.06853575790598</v>
      </c>
      <c r="C2063" s="2">
        <v>0.72640000000000005</v>
      </c>
      <c r="D2063" s="2" t="s">
        <v>51</v>
      </c>
      <c r="E2063" s="2" t="s">
        <v>13931</v>
      </c>
      <c r="F2063" s="2">
        <v>202848</v>
      </c>
      <c r="G2063" s="3" t="str">
        <f>HYPERLINK("https://cloud.oebiotech.com/#/lm/network/202848", "https://cloud.oebiotech.com/#/lm/network/202848")</f>
        <v>https://cloud.oebiotech.com/#/lm/network/202848</v>
      </c>
      <c r="H2063" s="2" t="s">
        <v>13932</v>
      </c>
      <c r="I2063" s="2"/>
      <c r="J2063" s="2"/>
      <c r="K2063" s="2">
        <v>11998180</v>
      </c>
      <c r="L2063" s="2"/>
      <c r="M2063" s="2"/>
      <c r="N2063" s="2"/>
      <c r="O2063" s="2"/>
      <c r="P2063" s="2"/>
      <c r="Q2063" s="2"/>
      <c r="R2063" s="2"/>
      <c r="S2063" s="2" t="s">
        <v>13933</v>
      </c>
      <c r="T2063" s="2" t="s">
        <v>13934</v>
      </c>
      <c r="U2063" s="2" t="s">
        <v>266</v>
      </c>
      <c r="V2063" s="2" t="s">
        <v>1585</v>
      </c>
      <c r="W2063" s="2" t="s">
        <v>13935</v>
      </c>
      <c r="X2063" s="2" t="s">
        <v>147</v>
      </c>
      <c r="Y2063" s="2">
        <v>37.6</v>
      </c>
      <c r="Z2063" s="2">
        <v>0</v>
      </c>
      <c r="AA2063" s="2" t="s">
        <v>218</v>
      </c>
      <c r="AB2063" s="2" t="s">
        <v>13936</v>
      </c>
      <c r="AC2063" s="2">
        <v>2.1042164849503502</v>
      </c>
      <c r="AD2063" s="2"/>
      <c r="AE2063" s="2">
        <v>0.320338558905927</v>
      </c>
      <c r="AF2063" s="2">
        <v>20642.564175603398</v>
      </c>
      <c r="AG2063" s="2">
        <v>27812.893811092399</v>
      </c>
      <c r="AH2063" s="4">
        <v>0.74219404553188495</v>
      </c>
      <c r="AI2063" s="4">
        <v>-0.430131668247073</v>
      </c>
      <c r="AJ2063" s="4" t="s">
        <v>62</v>
      </c>
      <c r="AK2063" s="2">
        <v>0.47877374308645698</v>
      </c>
      <c r="AL2063" s="2">
        <v>0.72414606708131002</v>
      </c>
      <c r="AM2063" s="2">
        <v>19167.664298679501</v>
      </c>
      <c r="AN2063" s="2">
        <v>21574.8667215772</v>
      </c>
      <c r="AO2063" s="2">
        <v>31278.342561689002</v>
      </c>
      <c r="AP2063" s="2">
        <v>32868.0302802886</v>
      </c>
      <c r="AQ2063" s="2">
        <v>9057.9837080487105</v>
      </c>
      <c r="AR2063" s="2">
        <v>9908.49748333756</v>
      </c>
      <c r="AS2063" s="2">
        <v>25044.085979231299</v>
      </c>
      <c r="AT2063" s="2">
        <v>25650.351650737299</v>
      </c>
      <c r="AU2063" s="2">
        <v>16643.183584649501</v>
      </c>
      <c r="AV2063" s="2">
        <v>15737.1112195678</v>
      </c>
      <c r="AW2063" s="2">
        <v>13141.8699770699</v>
      </c>
      <c r="AX2063" s="2">
        <v>70660.760455298805</v>
      </c>
    </row>
    <row r="2064" spans="1:50" x14ac:dyDescent="0.25">
      <c r="A2064" s="2" t="s">
        <v>13937</v>
      </c>
      <c r="B2064" s="2">
        <v>298.275025281789</v>
      </c>
      <c r="C2064" s="2">
        <v>10.0524166666667</v>
      </c>
      <c r="D2064" s="2" t="s">
        <v>51</v>
      </c>
      <c r="E2064" s="2" t="s">
        <v>13938</v>
      </c>
      <c r="F2064" s="2">
        <v>1058</v>
      </c>
      <c r="G2064" s="3" t="str">
        <f>HYPERLINK("https://cloud.oebiotech.com/#/lm/network/1058", "https://cloud.oebiotech.com/#/lm/network/1058")</f>
        <v>https://cloud.oebiotech.com/#/lm/network/1058</v>
      </c>
      <c r="H2064" s="2"/>
      <c r="I2064" s="2">
        <v>74230</v>
      </c>
      <c r="J2064" s="2" t="s">
        <v>13939</v>
      </c>
      <c r="K2064" s="2">
        <v>5312698</v>
      </c>
      <c r="L2064" s="2"/>
      <c r="M2064" s="2"/>
      <c r="N2064" s="2"/>
      <c r="O2064" s="2"/>
      <c r="P2064" s="2"/>
      <c r="Q2064" s="2"/>
      <c r="R2064" s="2"/>
      <c r="S2064" s="2" t="s">
        <v>13940</v>
      </c>
      <c r="T2064" s="2" t="s">
        <v>13941</v>
      </c>
      <c r="U2064" s="2" t="s">
        <v>56</v>
      </c>
      <c r="V2064" s="2" t="s">
        <v>145</v>
      </c>
      <c r="W2064" s="2" t="s">
        <v>231</v>
      </c>
      <c r="X2064" s="2" t="s">
        <v>59</v>
      </c>
      <c r="Y2064" s="2">
        <v>53.6</v>
      </c>
      <c r="Z2064" s="2">
        <v>76.7</v>
      </c>
      <c r="AA2064" s="2" t="s">
        <v>512</v>
      </c>
      <c r="AB2064" s="2" t="s">
        <v>598</v>
      </c>
      <c r="AC2064" s="2">
        <v>3.45948341392157</v>
      </c>
      <c r="AD2064" s="2"/>
      <c r="AE2064" s="2">
        <v>0.32006343450164498</v>
      </c>
      <c r="AF2064" s="2">
        <v>14975.651197024899</v>
      </c>
      <c r="AG2064" s="2">
        <v>6190.6671545904701</v>
      </c>
      <c r="AH2064" s="5">
        <v>2.41906903134345</v>
      </c>
      <c r="AI2064" s="5">
        <v>1.2744519391218301</v>
      </c>
      <c r="AJ2064" s="5" t="s">
        <v>139</v>
      </c>
      <c r="AK2064" s="2">
        <v>0.392938636860095</v>
      </c>
      <c r="AL2064" s="2">
        <v>0.66558536006801206</v>
      </c>
      <c r="AM2064" s="2">
        <v>1028.12304279308</v>
      </c>
      <c r="AN2064" s="2">
        <v>559.72659281511403</v>
      </c>
      <c r="AO2064" s="2">
        <v>29370.754397790399</v>
      </c>
      <c r="AP2064" s="2">
        <v>1699.9128342060999</v>
      </c>
      <c r="AQ2064" s="2">
        <v>55010.269196802103</v>
      </c>
      <c r="AR2064" s="2">
        <v>2185.1211177425398</v>
      </c>
      <c r="AS2064" s="2">
        <v>21368.405407488601</v>
      </c>
      <c r="AT2064" s="2">
        <v>1098.16711033403</v>
      </c>
      <c r="AU2064" s="2">
        <v>10875.728440680899</v>
      </c>
      <c r="AV2064" s="2">
        <v>2188.5350049059298</v>
      </c>
      <c r="AW2064" s="2">
        <v>1112.0313208519401</v>
      </c>
      <c r="AX2064" s="2">
        <v>501.13564328142002</v>
      </c>
    </row>
    <row r="2065" spans="1:50" x14ac:dyDescent="0.25">
      <c r="A2065" s="2" t="s">
        <v>13942</v>
      </c>
      <c r="B2065" s="2">
        <v>525.27063010058203</v>
      </c>
      <c r="C2065" s="2">
        <v>6.5179666666666698</v>
      </c>
      <c r="D2065" s="2" t="s">
        <v>51</v>
      </c>
      <c r="E2065" s="2" t="s">
        <v>13943</v>
      </c>
      <c r="F2065" s="2">
        <v>35869</v>
      </c>
      <c r="G2065" s="3" t="str">
        <f>HYPERLINK("https://cloud.oebiotech.com/#/lm/network/35869", "https://cloud.oebiotech.com/#/lm/network/35869")</f>
        <v>https://cloud.oebiotech.com/#/lm/network/35869</v>
      </c>
      <c r="H2065" s="2"/>
      <c r="I2065" s="2"/>
      <c r="J2065" s="2" t="s">
        <v>13944</v>
      </c>
      <c r="K2065" s="2">
        <v>152758</v>
      </c>
      <c r="L2065" s="2"/>
      <c r="M2065" s="2"/>
      <c r="N2065" s="2"/>
      <c r="O2065" s="2"/>
      <c r="P2065" s="2"/>
      <c r="Q2065" s="2"/>
      <c r="R2065" s="2"/>
      <c r="S2065" s="2" t="s">
        <v>13945</v>
      </c>
      <c r="T2065" s="2" t="s">
        <v>13946</v>
      </c>
      <c r="U2065" s="2" t="s">
        <v>56</v>
      </c>
      <c r="V2065" s="2" t="s">
        <v>177</v>
      </c>
      <c r="W2065" s="2" t="s">
        <v>394</v>
      </c>
      <c r="X2065" s="2" t="s">
        <v>147</v>
      </c>
      <c r="Y2065" s="2">
        <v>44.7</v>
      </c>
      <c r="Z2065" s="2">
        <v>30.5</v>
      </c>
      <c r="AA2065" s="2" t="s">
        <v>218</v>
      </c>
      <c r="AB2065" s="2" t="s">
        <v>13947</v>
      </c>
      <c r="AC2065" s="2">
        <v>0.22693646459226099</v>
      </c>
      <c r="AD2065" s="2"/>
      <c r="AE2065" s="2">
        <v>0.31989663885639902</v>
      </c>
      <c r="AF2065" s="2">
        <v>21292.153322643699</v>
      </c>
      <c r="AG2065" s="2">
        <v>7365.5748521269397</v>
      </c>
      <c r="AH2065" s="5">
        <v>2.8907659958808498</v>
      </c>
      <c r="AI2065" s="5">
        <v>1.5314518290688901</v>
      </c>
      <c r="AJ2065" s="5" t="s">
        <v>139</v>
      </c>
      <c r="AK2065" s="2">
        <v>0.49055893771167902</v>
      </c>
      <c r="AL2065" s="2">
        <v>0.73230478484396699</v>
      </c>
      <c r="AM2065" s="2">
        <v>2304.3626660467298</v>
      </c>
      <c r="AN2065" s="2">
        <v>7342.25177972236</v>
      </c>
      <c r="AO2065" s="2">
        <v>7.60219991231844E-2</v>
      </c>
      <c r="AP2065" s="2">
        <v>191.471420108595</v>
      </c>
      <c r="AQ2065" s="2">
        <v>1209.0770626743299</v>
      </c>
      <c r="AR2065" s="2">
        <v>116705.680985311</v>
      </c>
      <c r="AS2065" s="2">
        <v>1299.61335450605</v>
      </c>
      <c r="AT2065" s="2">
        <v>14100.553591137899</v>
      </c>
      <c r="AU2065" s="2">
        <v>244.73506717717899</v>
      </c>
      <c r="AV2065" s="2">
        <v>21986.067952170099</v>
      </c>
      <c r="AW2065" s="2">
        <v>6354.2930634665099</v>
      </c>
      <c r="AX2065" s="2">
        <v>208.18608430388699</v>
      </c>
    </row>
    <row r="2066" spans="1:50" x14ac:dyDescent="0.25">
      <c r="A2066" s="2" t="s">
        <v>13948</v>
      </c>
      <c r="B2066" s="2">
        <v>505.09276812143003</v>
      </c>
      <c r="C2066" s="2">
        <v>5.3152666666666697</v>
      </c>
      <c r="D2066" s="2" t="s">
        <v>51</v>
      </c>
      <c r="E2066" s="2" t="s">
        <v>13949</v>
      </c>
      <c r="F2066" s="2">
        <v>58361</v>
      </c>
      <c r="G2066" s="3" t="str">
        <f>HYPERLINK("https://cloud.oebiotech.com/#/lm/network/58361", "https://cloud.oebiotech.com/#/lm/network/58361")</f>
        <v>https://cloud.oebiotech.com/#/lm/network/58361</v>
      </c>
      <c r="H2066" s="2" t="s">
        <v>13950</v>
      </c>
      <c r="I2066" s="2"/>
      <c r="J2066" s="2"/>
      <c r="K2066" s="2">
        <v>5321255</v>
      </c>
      <c r="L2066" s="2" t="s">
        <v>13951</v>
      </c>
      <c r="M2066" s="2"/>
      <c r="N2066" s="2"/>
      <c r="O2066" s="2"/>
      <c r="P2066" s="2"/>
      <c r="Q2066" s="2"/>
      <c r="R2066" s="2" t="s">
        <v>13952</v>
      </c>
      <c r="S2066" s="2" t="s">
        <v>13953</v>
      </c>
      <c r="T2066" s="2" t="s">
        <v>13954</v>
      </c>
      <c r="U2066" s="2" t="s">
        <v>610</v>
      </c>
      <c r="V2066" s="2" t="s">
        <v>9240</v>
      </c>
      <c r="W2066" s="2" t="s">
        <v>13051</v>
      </c>
      <c r="X2066" s="2" t="s">
        <v>147</v>
      </c>
      <c r="Y2066" s="2">
        <v>40.299999999999997</v>
      </c>
      <c r="Z2066" s="2">
        <v>15.8</v>
      </c>
      <c r="AA2066" s="2" t="s">
        <v>379</v>
      </c>
      <c r="AB2066" s="2" t="s">
        <v>13955</v>
      </c>
      <c r="AC2066" s="2">
        <v>-0.23463745783973</v>
      </c>
      <c r="AD2066" s="2"/>
      <c r="AE2066" s="2">
        <v>0.31961111078751198</v>
      </c>
      <c r="AF2066" s="2">
        <v>5753.1984525607504</v>
      </c>
      <c r="AG2066" s="2">
        <v>1266.53158851477</v>
      </c>
      <c r="AH2066" s="5">
        <v>4.54248319168049</v>
      </c>
      <c r="AI2066" s="5">
        <v>2.1834811761381898</v>
      </c>
      <c r="AJ2066" s="5" t="s">
        <v>139</v>
      </c>
      <c r="AK2066" s="2">
        <v>0.161953391541271</v>
      </c>
      <c r="AL2066" s="2">
        <v>0.48399353100485398</v>
      </c>
      <c r="AM2066" s="2">
        <v>8.559877937157E-6</v>
      </c>
      <c r="AN2066" s="2">
        <v>7602.7182459470596</v>
      </c>
      <c r="AO2066" s="2">
        <v>16360.4856103326</v>
      </c>
      <c r="AP2066" s="2">
        <v>8.559877937157E-6</v>
      </c>
      <c r="AQ2066" s="2">
        <v>8.559877937157E-6</v>
      </c>
      <c r="AR2066" s="2">
        <v>10555.986833405201</v>
      </c>
      <c r="AS2066" s="2">
        <v>5707.3579528896198</v>
      </c>
      <c r="AT2066" s="2">
        <v>8.559877937157E-6</v>
      </c>
      <c r="AU2066" s="2">
        <v>8.559877937157E-6</v>
      </c>
      <c r="AV2066" s="2">
        <v>8.559877937157E-6</v>
      </c>
      <c r="AW2066" s="2">
        <v>1891.8315439595001</v>
      </c>
      <c r="AX2066" s="2">
        <v>8.559877937157E-6</v>
      </c>
    </row>
    <row r="2067" spans="1:50" x14ac:dyDescent="0.25">
      <c r="A2067" s="2" t="s">
        <v>13956</v>
      </c>
      <c r="B2067" s="2">
        <v>733.29095597804599</v>
      </c>
      <c r="C2067" s="2">
        <v>8.4484666666666701</v>
      </c>
      <c r="D2067" s="2" t="s">
        <v>51</v>
      </c>
      <c r="E2067" s="2" t="s">
        <v>13957</v>
      </c>
      <c r="F2067" s="2">
        <v>56459</v>
      </c>
      <c r="G2067" s="3" t="str">
        <f>HYPERLINK("https://cloud.oebiotech.com/#/lm/network/56459", "https://cloud.oebiotech.com/#/lm/network/56459")</f>
        <v>https://cloud.oebiotech.com/#/lm/network/56459</v>
      </c>
      <c r="H2067" s="2" t="s">
        <v>13958</v>
      </c>
      <c r="I2067" s="2">
        <v>88106</v>
      </c>
      <c r="J2067" s="2"/>
      <c r="K2067" s="2">
        <v>67340977</v>
      </c>
      <c r="L2067" s="2"/>
      <c r="M2067" s="2"/>
      <c r="N2067" s="2"/>
      <c r="O2067" s="2"/>
      <c r="P2067" s="2"/>
      <c r="Q2067" s="2"/>
      <c r="R2067" s="2" t="s">
        <v>13959</v>
      </c>
      <c r="S2067" s="2" t="s">
        <v>13960</v>
      </c>
      <c r="T2067" s="2" t="s">
        <v>13961</v>
      </c>
      <c r="U2067" s="2" t="s">
        <v>331</v>
      </c>
      <c r="V2067" s="2" t="s">
        <v>332</v>
      </c>
      <c r="W2067" s="2" t="s">
        <v>333</v>
      </c>
      <c r="X2067" s="2" t="s">
        <v>147</v>
      </c>
      <c r="Y2067" s="2">
        <v>37.6</v>
      </c>
      <c r="Z2067" s="2">
        <v>0</v>
      </c>
      <c r="AA2067" s="2" t="s">
        <v>478</v>
      </c>
      <c r="AB2067" s="2" t="s">
        <v>13962</v>
      </c>
      <c r="AC2067" s="2">
        <v>3.4596495300716299</v>
      </c>
      <c r="AD2067" s="2"/>
      <c r="AE2067" s="2">
        <v>0.31952776818698198</v>
      </c>
      <c r="AF2067" s="2">
        <v>7629.8645516104998</v>
      </c>
      <c r="AG2067" s="2">
        <v>4397.4404759310401</v>
      </c>
      <c r="AH2067" s="5">
        <v>1.7350694326328699</v>
      </c>
      <c r="AI2067" s="5">
        <v>0.79499339658499601</v>
      </c>
      <c r="AJ2067" s="5" t="s">
        <v>139</v>
      </c>
      <c r="AK2067" s="2">
        <v>5.8645148703477097E-2</v>
      </c>
      <c r="AL2067" s="2">
        <v>0.32837652512840398</v>
      </c>
      <c r="AM2067" s="2">
        <v>6463.2322906366499</v>
      </c>
      <c r="AN2067" s="2">
        <v>9398.0145051455293</v>
      </c>
      <c r="AO2067" s="2">
        <v>8981.8417546042692</v>
      </c>
      <c r="AP2067" s="2">
        <v>4393.5836045897104</v>
      </c>
      <c r="AQ2067" s="2">
        <v>6169.8490401715599</v>
      </c>
      <c r="AR2067" s="2">
        <v>10372.666114515299</v>
      </c>
      <c r="AS2067" s="2">
        <v>7102.1054406560797</v>
      </c>
      <c r="AT2067" s="2">
        <v>2289.8490720971399</v>
      </c>
      <c r="AU2067" s="2">
        <v>4814.0219769591704</v>
      </c>
      <c r="AV2067" s="2">
        <v>1292.5097415386299</v>
      </c>
      <c r="AW2067" s="2">
        <v>2389.9075695357901</v>
      </c>
      <c r="AX2067" s="2">
        <v>8496.2490547994203</v>
      </c>
    </row>
    <row r="2068" spans="1:50" x14ac:dyDescent="0.25">
      <c r="A2068" s="2" t="s">
        <v>13963</v>
      </c>
      <c r="B2068" s="2">
        <v>528.28167023217497</v>
      </c>
      <c r="C2068" s="2">
        <v>4.7497999999999996</v>
      </c>
      <c r="D2068" s="2" t="s">
        <v>51</v>
      </c>
      <c r="E2068" s="2" t="s">
        <v>13964</v>
      </c>
      <c r="F2068" s="2">
        <v>199116</v>
      </c>
      <c r="G2068" s="3" t="str">
        <f>HYPERLINK("https://cloud.oebiotech.com/#/lm/network/199116", "https://cloud.oebiotech.com/#/lm/network/199116")</f>
        <v>https://cloud.oebiotech.com/#/lm/network/199116</v>
      </c>
      <c r="H2068" s="2" t="s">
        <v>13965</v>
      </c>
      <c r="I2068" s="2"/>
      <c r="J2068" s="2"/>
      <c r="K2068" s="2">
        <v>72822913</v>
      </c>
      <c r="L2068" s="2"/>
      <c r="M2068" s="2"/>
      <c r="N2068" s="2"/>
      <c r="O2068" s="2"/>
      <c r="P2068" s="2"/>
      <c r="Q2068" s="2"/>
      <c r="R2068" s="2"/>
      <c r="S2068" s="2" t="s">
        <v>13966</v>
      </c>
      <c r="T2068" s="2" t="s">
        <v>13967</v>
      </c>
      <c r="U2068" s="2" t="s">
        <v>331</v>
      </c>
      <c r="V2068" s="2" t="s">
        <v>332</v>
      </c>
      <c r="W2068" s="2" t="s">
        <v>333</v>
      </c>
      <c r="X2068" s="2" t="s">
        <v>147</v>
      </c>
      <c r="Y2068" s="2">
        <v>42.7</v>
      </c>
      <c r="Z2068" s="2">
        <v>28.9</v>
      </c>
      <c r="AA2068" s="2" t="s">
        <v>395</v>
      </c>
      <c r="AB2068" s="2" t="s">
        <v>13968</v>
      </c>
      <c r="AC2068" s="2">
        <v>4.6256633629687798</v>
      </c>
      <c r="AD2068" s="2"/>
      <c r="AE2068" s="2">
        <v>0.31946565381908099</v>
      </c>
      <c r="AF2068" s="2">
        <v>15889.3420191809</v>
      </c>
      <c r="AG2068" s="2">
        <v>9108.4986098825993</v>
      </c>
      <c r="AH2068" s="5">
        <v>1.7444523735164399</v>
      </c>
      <c r="AI2068" s="5">
        <v>0.80277421006906402</v>
      </c>
      <c r="AJ2068" s="5" t="s">
        <v>139</v>
      </c>
      <c r="AK2068" s="2">
        <v>0.29973326717266802</v>
      </c>
      <c r="AL2068" s="2">
        <v>0.61037838979491599</v>
      </c>
      <c r="AM2068" s="2">
        <v>16485.565093777401</v>
      </c>
      <c r="AN2068" s="2">
        <v>2754.3168675010602</v>
      </c>
      <c r="AO2068" s="2">
        <v>19731.635102964101</v>
      </c>
      <c r="AP2068" s="2">
        <v>8941.8132747721702</v>
      </c>
      <c r="AQ2068" s="2">
        <v>20906.581212231999</v>
      </c>
      <c r="AR2068" s="2">
        <v>26516.1405638387</v>
      </c>
      <c r="AS2068" s="2">
        <v>32518.200348943399</v>
      </c>
      <c r="AT2068" s="2">
        <v>13044.962221508</v>
      </c>
      <c r="AU2068" s="2">
        <v>305.53444435753801</v>
      </c>
      <c r="AV2068" s="2">
        <v>6852.7306802969397</v>
      </c>
      <c r="AW2068" s="2">
        <v>502.33948152426598</v>
      </c>
      <c r="AX2068" s="2">
        <v>1427.2244826654501</v>
      </c>
    </row>
    <row r="2069" spans="1:50" x14ac:dyDescent="0.25">
      <c r="A2069" s="2" t="s">
        <v>13969</v>
      </c>
      <c r="B2069" s="2">
        <v>284.20768368671901</v>
      </c>
      <c r="C2069" s="2">
        <v>3.62381666666667</v>
      </c>
      <c r="D2069" s="2" t="s">
        <v>51</v>
      </c>
      <c r="E2069" s="2" t="s">
        <v>13970</v>
      </c>
      <c r="F2069" s="2">
        <v>88</v>
      </c>
      <c r="G2069" s="3" t="str">
        <f>HYPERLINK("https://cloud.oebiotech.com/#/lm/network/88", "https://cloud.oebiotech.com/#/lm/network/88")</f>
        <v>https://cloud.oebiotech.com/#/lm/network/88</v>
      </c>
      <c r="H2069" s="2"/>
      <c r="I2069" s="2"/>
      <c r="J2069" s="2" t="s">
        <v>13971</v>
      </c>
      <c r="K2069" s="2">
        <v>44256490</v>
      </c>
      <c r="L2069" s="2"/>
      <c r="M2069" s="2"/>
      <c r="N2069" s="2"/>
      <c r="O2069" s="2"/>
      <c r="P2069" s="2"/>
      <c r="Q2069" s="2"/>
      <c r="R2069" s="2"/>
      <c r="S2069" s="2" t="s">
        <v>13972</v>
      </c>
      <c r="T2069" s="2" t="s">
        <v>13973</v>
      </c>
      <c r="U2069" s="2" t="s">
        <v>56</v>
      </c>
      <c r="V2069" s="2" t="s">
        <v>145</v>
      </c>
      <c r="W2069" s="2" t="s">
        <v>231</v>
      </c>
      <c r="X2069" s="2" t="s">
        <v>147</v>
      </c>
      <c r="Y2069" s="2">
        <v>37</v>
      </c>
      <c r="Z2069" s="2">
        <v>0.95799999999999996</v>
      </c>
      <c r="AA2069" s="2" t="s">
        <v>395</v>
      </c>
      <c r="AB2069" s="2" t="s">
        <v>13974</v>
      </c>
      <c r="AC2069" s="2">
        <v>4.5471896969234198</v>
      </c>
      <c r="AD2069" s="2"/>
      <c r="AE2069" s="2">
        <v>0.31922016645396101</v>
      </c>
      <c r="AF2069" s="2">
        <v>35697.750058189398</v>
      </c>
      <c r="AG2069" s="2">
        <v>40935.247769902198</v>
      </c>
      <c r="AH2069" s="4">
        <v>0.87205408548757601</v>
      </c>
      <c r="AI2069" s="4">
        <v>-0.19751048001709401</v>
      </c>
      <c r="AJ2069" s="4" t="s">
        <v>62</v>
      </c>
      <c r="AK2069" s="2">
        <v>0.35942841062068998</v>
      </c>
      <c r="AL2069" s="2">
        <v>0.64449606579735297</v>
      </c>
      <c r="AM2069" s="2">
        <v>23159.532398186901</v>
      </c>
      <c r="AN2069" s="2">
        <v>34372.103813940099</v>
      </c>
      <c r="AO2069" s="2">
        <v>40295.050644304603</v>
      </c>
      <c r="AP2069" s="2">
        <v>35723.559959184502</v>
      </c>
      <c r="AQ2069" s="2">
        <v>45311.998561551103</v>
      </c>
      <c r="AR2069" s="2">
        <v>35324.2549719694</v>
      </c>
      <c r="AS2069" s="2">
        <v>44779.698501829203</v>
      </c>
      <c r="AT2069" s="2">
        <v>51403.19634653</v>
      </c>
      <c r="AU2069" s="2">
        <v>35967.299200259898</v>
      </c>
      <c r="AV2069" s="2">
        <v>20679.8378972459</v>
      </c>
      <c r="AW2069" s="2">
        <v>45937.796221375502</v>
      </c>
      <c r="AX2069" s="2">
        <v>46843.6584521728</v>
      </c>
    </row>
    <row r="2070" spans="1:50" x14ac:dyDescent="0.25">
      <c r="A2070" s="2" t="s">
        <v>13975</v>
      </c>
      <c r="B2070" s="2">
        <v>229.10787761360399</v>
      </c>
      <c r="C2070" s="2">
        <v>4.7703666666666704</v>
      </c>
      <c r="D2070" s="2" t="s">
        <v>51</v>
      </c>
      <c r="E2070" s="2" t="s">
        <v>13976</v>
      </c>
      <c r="F2070" s="2">
        <v>62364</v>
      </c>
      <c r="G2070" s="3" t="str">
        <f>HYPERLINK("https://cloud.oebiotech.com/#/lm/network/62364", "https://cloud.oebiotech.com/#/lm/network/62364")</f>
        <v>https://cloud.oebiotech.com/#/lm/network/62364</v>
      </c>
      <c r="H2070" s="2" t="s">
        <v>13977</v>
      </c>
      <c r="I2070" s="2"/>
      <c r="J2070" s="2"/>
      <c r="K2070" s="2">
        <v>73120805</v>
      </c>
      <c r="L2070" s="2"/>
      <c r="M2070" s="2"/>
      <c r="N2070" s="2"/>
      <c r="O2070" s="2"/>
      <c r="P2070" s="2"/>
      <c r="Q2070" s="2"/>
      <c r="R2070" s="2" t="s">
        <v>13978</v>
      </c>
      <c r="S2070" s="2" t="s">
        <v>13979</v>
      </c>
      <c r="T2070" s="2" t="s">
        <v>13980</v>
      </c>
      <c r="U2070" s="2" t="s">
        <v>56</v>
      </c>
      <c r="V2070" s="2" t="s">
        <v>177</v>
      </c>
      <c r="W2070" s="2" t="s">
        <v>584</v>
      </c>
      <c r="X2070" s="2" t="s">
        <v>147</v>
      </c>
      <c r="Y2070" s="2">
        <v>46.3</v>
      </c>
      <c r="Z2070" s="2">
        <v>36.6</v>
      </c>
      <c r="AA2070" s="2" t="s">
        <v>218</v>
      </c>
      <c r="AB2070" s="2" t="s">
        <v>8172</v>
      </c>
      <c r="AC2070" s="2">
        <v>-1.4644955577349901</v>
      </c>
      <c r="AD2070" s="2"/>
      <c r="AE2070" s="2">
        <v>0.31912778575559098</v>
      </c>
      <c r="AF2070" s="2">
        <v>3545.3063904719702</v>
      </c>
      <c r="AG2070" s="2">
        <v>1407.2865201434199</v>
      </c>
      <c r="AH2070" s="5">
        <v>2.5192498753634398</v>
      </c>
      <c r="AI2070" s="5">
        <v>1.3329942249181399</v>
      </c>
      <c r="AJ2070" s="5" t="s">
        <v>139</v>
      </c>
      <c r="AK2070" s="2">
        <v>2.1524927965545001E-2</v>
      </c>
      <c r="AL2070" s="2">
        <v>0.22861090756966099</v>
      </c>
      <c r="AM2070" s="2">
        <v>6868.6318339006702</v>
      </c>
      <c r="AN2070" s="2">
        <v>3893.0324942551701</v>
      </c>
      <c r="AO2070" s="2">
        <v>1727.8803745906901</v>
      </c>
      <c r="AP2070" s="2">
        <v>2568.4068161141299</v>
      </c>
      <c r="AQ2070" s="2">
        <v>3821.5851162959302</v>
      </c>
      <c r="AR2070" s="2">
        <v>2392.3017076752499</v>
      </c>
      <c r="AS2070" s="2">
        <v>1823.68028636242</v>
      </c>
      <c r="AT2070" s="2">
        <v>732.60496073789</v>
      </c>
      <c r="AU2070" s="2">
        <v>2271.2464470794598</v>
      </c>
      <c r="AV2070" s="2">
        <v>904.10018259637104</v>
      </c>
      <c r="AW2070" s="2">
        <v>1181.98640048884</v>
      </c>
      <c r="AX2070" s="2">
        <v>1530.10084359556</v>
      </c>
    </row>
    <row r="2071" spans="1:50" x14ac:dyDescent="0.25">
      <c r="A2071" s="2" t="s">
        <v>13981</v>
      </c>
      <c r="B2071" s="2">
        <v>188.13983462319101</v>
      </c>
      <c r="C2071" s="2">
        <v>0.67084999999999995</v>
      </c>
      <c r="D2071" s="2" t="s">
        <v>51</v>
      </c>
      <c r="E2071" s="2" t="s">
        <v>13982</v>
      </c>
      <c r="F2071" s="2">
        <v>273706</v>
      </c>
      <c r="G2071" s="3" t="str">
        <f>HYPERLINK("https://cloud.oebiotech.com/#/lm/network/273706", "https://cloud.oebiotech.com/#/lm/network/273706")</f>
        <v>https://cloud.oebiotech.com/#/lm/network/273706</v>
      </c>
      <c r="H2071" s="2"/>
      <c r="I2071" s="2">
        <v>62970</v>
      </c>
      <c r="J2071" s="2"/>
      <c r="K2071" s="2">
        <v>2733506</v>
      </c>
      <c r="L2071" s="2"/>
      <c r="M2071" s="2"/>
      <c r="N2071" s="2"/>
      <c r="O2071" s="2"/>
      <c r="P2071" s="2"/>
      <c r="Q2071" s="2"/>
      <c r="R2071" s="2" t="s">
        <v>13983</v>
      </c>
      <c r="S2071" s="2" t="s">
        <v>13984</v>
      </c>
      <c r="T2071" s="2" t="s">
        <v>13985</v>
      </c>
      <c r="U2071" s="2" t="s">
        <v>103</v>
      </c>
      <c r="V2071" s="2" t="s">
        <v>104</v>
      </c>
      <c r="W2071" s="2" t="s">
        <v>105</v>
      </c>
      <c r="X2071" s="2" t="s">
        <v>147</v>
      </c>
      <c r="Y2071" s="2">
        <v>37</v>
      </c>
      <c r="Z2071" s="2">
        <v>25.6</v>
      </c>
      <c r="AA2071" s="2" t="s">
        <v>259</v>
      </c>
      <c r="AB2071" s="2" t="s">
        <v>2496</v>
      </c>
      <c r="AC2071" s="2">
        <v>2.5724744195997999</v>
      </c>
      <c r="AD2071" s="2"/>
      <c r="AE2071" s="2">
        <v>0.31904163250135398</v>
      </c>
      <c r="AF2071" s="2">
        <v>8891.2247618824804</v>
      </c>
      <c r="AG2071" s="2">
        <v>12225.768193517401</v>
      </c>
      <c r="AH2071" s="4">
        <v>0.72725284997608097</v>
      </c>
      <c r="AI2071" s="4">
        <v>-0.45947104988243798</v>
      </c>
      <c r="AJ2071" s="4" t="s">
        <v>62</v>
      </c>
      <c r="AK2071" s="2">
        <v>0.22614828981169299</v>
      </c>
      <c r="AL2071" s="2">
        <v>0.55268103475036801</v>
      </c>
      <c r="AM2071" s="2">
        <v>5329.6629456548599</v>
      </c>
      <c r="AN2071" s="2">
        <v>12766.3485822164</v>
      </c>
      <c r="AO2071" s="2">
        <v>4576.2416843050996</v>
      </c>
      <c r="AP2071" s="2">
        <v>12262.4780743338</v>
      </c>
      <c r="AQ2071" s="2">
        <v>8959.1585820434793</v>
      </c>
      <c r="AR2071" s="2">
        <v>9453.4587027412708</v>
      </c>
      <c r="AS2071" s="2">
        <v>11947.206236559799</v>
      </c>
      <c r="AT2071" s="2">
        <v>13973.545322973099</v>
      </c>
      <c r="AU2071" s="2">
        <v>4526.4601580609497</v>
      </c>
      <c r="AV2071" s="2">
        <v>9590.7129733117508</v>
      </c>
      <c r="AW2071" s="2">
        <v>12543.8776678756</v>
      </c>
      <c r="AX2071" s="2">
        <v>20772.806802323499</v>
      </c>
    </row>
    <row r="2072" spans="1:50" x14ac:dyDescent="0.25">
      <c r="A2072" s="2" t="s">
        <v>13986</v>
      </c>
      <c r="B2072" s="2">
        <v>441.24793207070599</v>
      </c>
      <c r="C2072" s="2">
        <v>7.0694833333333298</v>
      </c>
      <c r="D2072" s="2" t="s">
        <v>51</v>
      </c>
      <c r="E2072" s="2" t="s">
        <v>13987</v>
      </c>
      <c r="F2072" s="2">
        <v>212860</v>
      </c>
      <c r="G2072" s="3" t="str">
        <f>HYPERLINK("https://cloud.oebiotech.com/#/lm/network/212860", "https://cloud.oebiotech.com/#/lm/network/212860")</f>
        <v>https://cloud.oebiotech.com/#/lm/network/212860</v>
      </c>
      <c r="H2072" s="2" t="s">
        <v>13988</v>
      </c>
      <c r="I2072" s="2"/>
      <c r="J2072" s="2"/>
      <c r="K2072" s="2">
        <v>10013772</v>
      </c>
      <c r="L2072" s="2"/>
      <c r="M2072" s="2"/>
      <c r="N2072" s="2"/>
      <c r="O2072" s="2"/>
      <c r="P2072" s="2"/>
      <c r="Q2072" s="2"/>
      <c r="R2072" s="2"/>
      <c r="S2072" s="2" t="s">
        <v>13989</v>
      </c>
      <c r="T2072" s="2" t="s">
        <v>13990</v>
      </c>
      <c r="U2072" s="2" t="s">
        <v>119</v>
      </c>
      <c r="V2072" s="2" t="s">
        <v>120</v>
      </c>
      <c r="W2072" s="2" t="s">
        <v>3243</v>
      </c>
      <c r="X2072" s="2" t="s">
        <v>147</v>
      </c>
      <c r="Y2072" s="2">
        <v>37.5</v>
      </c>
      <c r="Z2072" s="2">
        <v>0</v>
      </c>
      <c r="AA2072" s="2" t="s">
        <v>478</v>
      </c>
      <c r="AB2072" s="2" t="s">
        <v>13991</v>
      </c>
      <c r="AC2072" s="2">
        <v>-0.252674211778672</v>
      </c>
      <c r="AD2072" s="2"/>
      <c r="AE2072" s="2">
        <v>0.31880633109999801</v>
      </c>
      <c r="AF2072" s="2">
        <v>2722.4488401129101</v>
      </c>
      <c r="AG2072" s="2">
        <v>673.14447925268303</v>
      </c>
      <c r="AH2072" s="5">
        <v>4.0443752032778102</v>
      </c>
      <c r="AI2072" s="5">
        <v>2.01591684461942</v>
      </c>
      <c r="AJ2072" s="5" t="s">
        <v>139</v>
      </c>
      <c r="AK2072" s="2">
        <v>1.4107924518650301E-2</v>
      </c>
      <c r="AL2072" s="2">
        <v>0.189071665614507</v>
      </c>
      <c r="AM2072" s="2">
        <v>4344.7102284678203</v>
      </c>
      <c r="AN2072" s="2">
        <v>4104.6832235475704</v>
      </c>
      <c r="AO2072" s="2">
        <v>2783.3309906498098</v>
      </c>
      <c r="AP2072" s="2">
        <v>2692.3722829652002</v>
      </c>
      <c r="AQ2072" s="2">
        <v>1193.3464250499801</v>
      </c>
      <c r="AR2072" s="2">
        <v>1216.2498899970701</v>
      </c>
      <c r="AS2072" s="2">
        <v>8.559877937157E-6</v>
      </c>
      <c r="AT2072" s="2">
        <v>173.18485852197699</v>
      </c>
      <c r="AU2072" s="2">
        <v>2363.6544906829499</v>
      </c>
      <c r="AV2072" s="2">
        <v>8.559877937157E-6</v>
      </c>
      <c r="AW2072" s="2">
        <v>1502.0275006315401</v>
      </c>
      <c r="AX2072" s="2">
        <v>8.559877937157E-6</v>
      </c>
    </row>
    <row r="2073" spans="1:50" x14ac:dyDescent="0.25">
      <c r="A2073" s="2" t="s">
        <v>13992</v>
      </c>
      <c r="B2073" s="2">
        <v>181.05240026292199</v>
      </c>
      <c r="C2073" s="2">
        <v>0.74455000000000005</v>
      </c>
      <c r="D2073" s="2" t="s">
        <v>51</v>
      </c>
      <c r="E2073" s="2" t="s">
        <v>13993</v>
      </c>
      <c r="F2073" s="2">
        <v>47388</v>
      </c>
      <c r="G2073" s="3" t="str">
        <f>HYPERLINK("https://cloud.oebiotech.com/#/lm/network/47388", "https://cloud.oebiotech.com/#/lm/network/47388")</f>
        <v>https://cloud.oebiotech.com/#/lm/network/47388</v>
      </c>
      <c r="H2073" s="2" t="s">
        <v>13994</v>
      </c>
      <c r="I2073" s="2">
        <v>5995</v>
      </c>
      <c r="J2073" s="2"/>
      <c r="K2073" s="2">
        <v>439904</v>
      </c>
      <c r="L2073" s="2" t="s">
        <v>13995</v>
      </c>
      <c r="M2073" s="2" t="s">
        <v>8993</v>
      </c>
      <c r="N2073" s="2" t="s">
        <v>8994</v>
      </c>
      <c r="O2073" s="2">
        <v>16895</v>
      </c>
      <c r="P2073" s="2"/>
      <c r="Q2073" s="2"/>
      <c r="R2073" s="2" t="s">
        <v>13996</v>
      </c>
      <c r="S2073" s="2" t="s">
        <v>13997</v>
      </c>
      <c r="T2073" s="2" t="s">
        <v>13998</v>
      </c>
      <c r="U2073" s="2" t="s">
        <v>331</v>
      </c>
      <c r="V2073" s="2" t="s">
        <v>332</v>
      </c>
      <c r="W2073" s="2" t="s">
        <v>333</v>
      </c>
      <c r="X2073" s="2" t="s">
        <v>147</v>
      </c>
      <c r="Y2073" s="2">
        <v>36.9</v>
      </c>
      <c r="Z2073" s="2">
        <v>0</v>
      </c>
      <c r="AA2073" s="2" t="s">
        <v>259</v>
      </c>
      <c r="AB2073" s="2" t="s">
        <v>13999</v>
      </c>
      <c r="AC2073" s="2">
        <v>-2.8105772877800401</v>
      </c>
      <c r="AD2073" s="2"/>
      <c r="AE2073" s="2">
        <v>0.318702211902401</v>
      </c>
      <c r="AF2073" s="2">
        <v>8967.5864042448393</v>
      </c>
      <c r="AG2073" s="2">
        <v>5532.9367682960101</v>
      </c>
      <c r="AH2073" s="5">
        <v>1.6207643028977901</v>
      </c>
      <c r="AI2073" s="5">
        <v>0.696674304449451</v>
      </c>
      <c r="AJ2073" s="5" t="s">
        <v>139</v>
      </c>
      <c r="AK2073" s="2">
        <v>0.12669539425756601</v>
      </c>
      <c r="AL2073" s="2">
        <v>0.44561051878386998</v>
      </c>
      <c r="AM2073" s="2">
        <v>4331.9466859990598</v>
      </c>
      <c r="AN2073" s="2">
        <v>17634.542147371601</v>
      </c>
      <c r="AO2073" s="2">
        <v>8583.1028274584805</v>
      </c>
      <c r="AP2073" s="2">
        <v>8498.1841850059609</v>
      </c>
      <c r="AQ2073" s="2">
        <v>5304.0993891080998</v>
      </c>
      <c r="AR2073" s="2">
        <v>9453.6431905258705</v>
      </c>
      <c r="AS2073" s="2">
        <v>5315.3311326728799</v>
      </c>
      <c r="AT2073" s="2">
        <v>7350.2813146471299</v>
      </c>
      <c r="AU2073" s="2">
        <v>7922.2292502226301</v>
      </c>
      <c r="AV2073" s="2">
        <v>3010.1972209361402</v>
      </c>
      <c r="AW2073" s="2">
        <v>4358.8892019773502</v>
      </c>
      <c r="AX2073" s="2">
        <v>5240.6924893199603</v>
      </c>
    </row>
    <row r="2074" spans="1:50" x14ac:dyDescent="0.25">
      <c r="A2074" s="2" t="s">
        <v>14000</v>
      </c>
      <c r="B2074" s="2">
        <v>443.18544727330698</v>
      </c>
      <c r="C2074" s="2">
        <v>7.5713999999999997</v>
      </c>
      <c r="D2074" s="2" t="s">
        <v>51</v>
      </c>
      <c r="E2074" s="2" t="s">
        <v>14001</v>
      </c>
      <c r="F2074" s="2">
        <v>205730</v>
      </c>
      <c r="G2074" s="3" t="str">
        <f>HYPERLINK("https://cloud.oebiotech.com/#/lm/network/205730", "https://cloud.oebiotech.com/#/lm/network/205730")</f>
        <v>https://cloud.oebiotech.com/#/lm/network/205730</v>
      </c>
      <c r="H2074" s="2" t="s">
        <v>14002</v>
      </c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 t="s">
        <v>14003</v>
      </c>
      <c r="T2074" s="2" t="s">
        <v>14004</v>
      </c>
      <c r="U2074" s="2" t="s">
        <v>56</v>
      </c>
      <c r="V2074" s="2" t="s">
        <v>283</v>
      </c>
      <c r="W2074" s="2" t="s">
        <v>492</v>
      </c>
      <c r="X2074" s="2" t="s">
        <v>83</v>
      </c>
      <c r="Y2074" s="2">
        <v>40.799999999999997</v>
      </c>
      <c r="Z2074" s="2">
        <v>0</v>
      </c>
      <c r="AA2074" s="2" t="s">
        <v>395</v>
      </c>
      <c r="AB2074" s="2" t="s">
        <v>14005</v>
      </c>
      <c r="AC2074" s="2">
        <v>5.9384750083489202</v>
      </c>
      <c r="AD2074" s="2"/>
      <c r="AE2074" s="2">
        <v>0.31860134924382399</v>
      </c>
      <c r="AF2074" s="2">
        <v>1441.9783437732899</v>
      </c>
      <c r="AG2074" s="2">
        <v>4441.8056185350097</v>
      </c>
      <c r="AH2074" s="4">
        <v>0.32463787648791298</v>
      </c>
      <c r="AI2074" s="4">
        <v>-1.6230967615652501</v>
      </c>
      <c r="AJ2074" s="4" t="s">
        <v>62</v>
      </c>
      <c r="AK2074" s="2">
        <v>4.2565615251537098E-2</v>
      </c>
      <c r="AL2074" s="2">
        <v>0.29385122993997198</v>
      </c>
      <c r="AM2074" s="2">
        <v>474.915434496383</v>
      </c>
      <c r="AN2074" s="2">
        <v>3237.0380526527101</v>
      </c>
      <c r="AO2074" s="2">
        <v>1669.6206578205099</v>
      </c>
      <c r="AP2074" s="2">
        <v>2100.6006391280598</v>
      </c>
      <c r="AQ2074" s="2">
        <v>598.40894445308504</v>
      </c>
      <c r="AR2074" s="2">
        <v>571.28633408897599</v>
      </c>
      <c r="AS2074" s="2">
        <v>4795.3788283322101</v>
      </c>
      <c r="AT2074" s="2">
        <v>6136.8613330325297</v>
      </c>
      <c r="AU2074" s="2">
        <v>2852.1591481075502</v>
      </c>
      <c r="AV2074" s="2">
        <v>9057.9749021277094</v>
      </c>
      <c r="AW2074" s="2">
        <v>3354.94388592736</v>
      </c>
      <c r="AX2074" s="2">
        <v>453.51561368270302</v>
      </c>
    </row>
    <row r="2075" spans="1:50" x14ac:dyDescent="0.25">
      <c r="A2075" s="2" t="s">
        <v>14006</v>
      </c>
      <c r="B2075" s="2">
        <v>293.21180855054098</v>
      </c>
      <c r="C2075" s="2">
        <v>9.5639333333333294</v>
      </c>
      <c r="D2075" s="2" t="s">
        <v>51</v>
      </c>
      <c r="E2075" s="2" t="s">
        <v>14007</v>
      </c>
      <c r="F2075" s="2">
        <v>3227</v>
      </c>
      <c r="G2075" s="3" t="str">
        <f>HYPERLINK("https://cloud.oebiotech.com/#/lm/network/3227", "https://cloud.oebiotech.com/#/lm/network/3227")</f>
        <v>https://cloud.oebiotech.com/#/lm/network/3227</v>
      </c>
      <c r="H2075" s="2"/>
      <c r="I2075" s="2">
        <v>35858</v>
      </c>
      <c r="J2075" s="2" t="s">
        <v>14008</v>
      </c>
      <c r="K2075" s="2">
        <v>5281118</v>
      </c>
      <c r="L2075" s="2" t="s">
        <v>14009</v>
      </c>
      <c r="M2075" s="2"/>
      <c r="N2075" s="2"/>
      <c r="O2075" s="2">
        <v>28771</v>
      </c>
      <c r="P2075" s="2"/>
      <c r="Q2075" s="2"/>
      <c r="R2075" s="2"/>
      <c r="S2075" s="2" t="s">
        <v>14010</v>
      </c>
      <c r="T2075" s="2" t="s">
        <v>14011</v>
      </c>
      <c r="U2075" s="2" t="s">
        <v>56</v>
      </c>
      <c r="V2075" s="2" t="s">
        <v>145</v>
      </c>
      <c r="W2075" s="2" t="s">
        <v>203</v>
      </c>
      <c r="X2075" s="2" t="s">
        <v>83</v>
      </c>
      <c r="Y2075" s="2">
        <v>42</v>
      </c>
      <c r="Z2075" s="2">
        <v>0</v>
      </c>
      <c r="AA2075" s="2" t="s">
        <v>179</v>
      </c>
      <c r="AB2075" s="2" t="s">
        <v>10721</v>
      </c>
      <c r="AC2075" s="2">
        <v>2.3523369503092102</v>
      </c>
      <c r="AD2075" s="2"/>
      <c r="AE2075" s="2">
        <v>0.31845868293491703</v>
      </c>
      <c r="AF2075" s="2">
        <v>16053.0217850997</v>
      </c>
      <c r="AG2075" s="2">
        <v>12448.0994181484</v>
      </c>
      <c r="AH2075" s="5">
        <v>1.2895962062847599</v>
      </c>
      <c r="AI2075" s="5">
        <v>0.36691940488560998</v>
      </c>
      <c r="AJ2075" s="5" t="s">
        <v>139</v>
      </c>
      <c r="AK2075" s="2">
        <v>0.23606628536693799</v>
      </c>
      <c r="AL2075" s="2">
        <v>0.56083325745832202</v>
      </c>
      <c r="AM2075" s="2">
        <v>14999.2069787036</v>
      </c>
      <c r="AN2075" s="2">
        <v>22266.693458758498</v>
      </c>
      <c r="AO2075" s="2">
        <v>17337.398000408801</v>
      </c>
      <c r="AP2075" s="2">
        <v>11009.116151726999</v>
      </c>
      <c r="AQ2075" s="2">
        <v>16815.027438132201</v>
      </c>
      <c r="AR2075" s="2">
        <v>13890.6886828678</v>
      </c>
      <c r="AS2075" s="2">
        <v>10564.2423550273</v>
      </c>
      <c r="AT2075" s="2">
        <v>5939.7623092651802</v>
      </c>
      <c r="AU2075" s="2">
        <v>22576.986177883198</v>
      </c>
      <c r="AV2075" s="2">
        <v>8093.4197454698597</v>
      </c>
      <c r="AW2075" s="2">
        <v>12668.721376629001</v>
      </c>
      <c r="AX2075" s="2">
        <v>14845.464544615599</v>
      </c>
    </row>
    <row r="2076" spans="1:50" x14ac:dyDescent="0.25">
      <c r="A2076" s="2" t="s">
        <v>14012</v>
      </c>
      <c r="B2076" s="2">
        <v>233.15437515618001</v>
      </c>
      <c r="C2076" s="2">
        <v>9.0315999999999992</v>
      </c>
      <c r="D2076" s="2" t="s">
        <v>51</v>
      </c>
      <c r="E2076" s="2" t="s">
        <v>14013</v>
      </c>
      <c r="F2076" s="2">
        <v>53446</v>
      </c>
      <c r="G2076" s="3" t="str">
        <f>HYPERLINK("https://cloud.oebiotech.com/#/lm/network/53446", "https://cloud.oebiotech.com/#/lm/network/53446")</f>
        <v>https://cloud.oebiotech.com/#/lm/network/53446</v>
      </c>
      <c r="H2076" s="2" t="s">
        <v>14014</v>
      </c>
      <c r="I2076" s="2">
        <v>3023</v>
      </c>
      <c r="J2076" s="2"/>
      <c r="K2076" s="2">
        <v>3463</v>
      </c>
      <c r="L2076" s="2" t="s">
        <v>14015</v>
      </c>
      <c r="M2076" s="2" t="s">
        <v>2636</v>
      </c>
      <c r="N2076" s="2" t="s">
        <v>2637</v>
      </c>
      <c r="O2076" s="2">
        <v>5296</v>
      </c>
      <c r="P2076" s="2"/>
      <c r="Q2076" s="2"/>
      <c r="R2076" s="2" t="s">
        <v>14016</v>
      </c>
      <c r="S2076" s="2" t="s">
        <v>14017</v>
      </c>
      <c r="T2076" s="2" t="s">
        <v>14018</v>
      </c>
      <c r="U2076" s="2" t="s">
        <v>610</v>
      </c>
      <c r="V2076" s="2" t="s">
        <v>4556</v>
      </c>
      <c r="W2076" s="2" t="s">
        <v>240</v>
      </c>
      <c r="X2076" s="2" t="s">
        <v>83</v>
      </c>
      <c r="Y2076" s="2">
        <v>46.6</v>
      </c>
      <c r="Z2076" s="2">
        <v>25.5</v>
      </c>
      <c r="AA2076" s="2" t="s">
        <v>179</v>
      </c>
      <c r="AB2076" s="2" t="s">
        <v>8328</v>
      </c>
      <c r="AC2076" s="2">
        <v>3.0734390165963199</v>
      </c>
      <c r="AD2076" s="2"/>
      <c r="AE2076" s="2">
        <v>0.318318987363154</v>
      </c>
      <c r="AF2076" s="2">
        <v>9385.3086649343404</v>
      </c>
      <c r="AG2076" s="2">
        <v>6955.7017120054297</v>
      </c>
      <c r="AH2076" s="5">
        <v>1.34929717424993</v>
      </c>
      <c r="AI2076" s="5">
        <v>0.43220812782690898</v>
      </c>
      <c r="AJ2076" s="5" t="s">
        <v>139</v>
      </c>
      <c r="AK2076" s="2">
        <v>3.9479106879150398E-2</v>
      </c>
      <c r="AL2076" s="2">
        <v>0.29135565991996598</v>
      </c>
      <c r="AM2076" s="2">
        <v>9667.7242431508294</v>
      </c>
      <c r="AN2076" s="2">
        <v>13471.784523995901</v>
      </c>
      <c r="AO2076" s="2">
        <v>8496.9330651110704</v>
      </c>
      <c r="AP2076" s="2">
        <v>7857.9533467757001</v>
      </c>
      <c r="AQ2076" s="2">
        <v>7747.7332950852697</v>
      </c>
      <c r="AR2076" s="2">
        <v>9069.7235154872706</v>
      </c>
      <c r="AS2076" s="2">
        <v>7534.6200103572201</v>
      </c>
      <c r="AT2076" s="2">
        <v>6550.33130356316</v>
      </c>
      <c r="AU2076" s="2">
        <v>7976.7222261736997</v>
      </c>
      <c r="AV2076" s="2">
        <v>5300.3063525501702</v>
      </c>
      <c r="AW2076" s="2">
        <v>5679.9119494239003</v>
      </c>
      <c r="AX2076" s="2">
        <v>8692.3184299644108</v>
      </c>
    </row>
    <row r="2077" spans="1:50" x14ac:dyDescent="0.25">
      <c r="A2077" s="2" t="s">
        <v>14019</v>
      </c>
      <c r="B2077" s="2">
        <v>217.10769366550099</v>
      </c>
      <c r="C2077" s="2">
        <v>5.0147000000000004</v>
      </c>
      <c r="D2077" s="2" t="s">
        <v>51</v>
      </c>
      <c r="E2077" s="2" t="s">
        <v>14020</v>
      </c>
      <c r="F2077" s="2">
        <v>1793</v>
      </c>
      <c r="G2077" s="3" t="str">
        <f>HYPERLINK("https://cloud.oebiotech.com/#/lm/network/1793", "https://cloud.oebiotech.com/#/lm/network/1793")</f>
        <v>https://cloud.oebiotech.com/#/lm/network/1793</v>
      </c>
      <c r="H2077" s="2"/>
      <c r="I2077" s="2">
        <v>74606</v>
      </c>
      <c r="J2077" s="2" t="s">
        <v>14021</v>
      </c>
      <c r="K2077" s="2">
        <v>5312793</v>
      </c>
      <c r="L2077" s="2"/>
      <c r="M2077" s="2"/>
      <c r="N2077" s="2"/>
      <c r="O2077" s="2"/>
      <c r="P2077" s="2"/>
      <c r="Q2077" s="2"/>
      <c r="R2077" s="2"/>
      <c r="S2077" s="2" t="s">
        <v>14022</v>
      </c>
      <c r="T2077" s="2" t="s">
        <v>14023</v>
      </c>
      <c r="U2077" s="2" t="s">
        <v>103</v>
      </c>
      <c r="V2077" s="2" t="s">
        <v>377</v>
      </c>
      <c r="W2077" s="2" t="s">
        <v>378</v>
      </c>
      <c r="X2077" s="2" t="s">
        <v>83</v>
      </c>
      <c r="Y2077" s="2">
        <v>44.7</v>
      </c>
      <c r="Z2077" s="2">
        <v>15.2</v>
      </c>
      <c r="AA2077" s="2" t="s">
        <v>218</v>
      </c>
      <c r="AB2077" s="2" t="s">
        <v>14024</v>
      </c>
      <c r="AC2077" s="2">
        <v>-2.63538693665358</v>
      </c>
      <c r="AD2077" s="2"/>
      <c r="AE2077" s="2">
        <v>0.31827768205368501</v>
      </c>
      <c r="AF2077" s="2">
        <v>4299.2746330566797</v>
      </c>
      <c r="AG2077" s="2">
        <v>1929.7635617350199</v>
      </c>
      <c r="AH2077" s="5">
        <v>2.2278763669841899</v>
      </c>
      <c r="AI2077" s="5">
        <v>1.15566917446979</v>
      </c>
      <c r="AJ2077" s="5" t="s">
        <v>139</v>
      </c>
      <c r="AK2077" s="2">
        <v>1.5944646603178399E-2</v>
      </c>
      <c r="AL2077" s="2">
        <v>0.199280416991126</v>
      </c>
      <c r="AM2077" s="2">
        <v>4640.2521564769404</v>
      </c>
      <c r="AN2077" s="2">
        <v>7570.3656852779004</v>
      </c>
      <c r="AO2077" s="2">
        <v>2866.4996647371599</v>
      </c>
      <c r="AP2077" s="2">
        <v>3645.72355711604</v>
      </c>
      <c r="AQ2077" s="2">
        <v>2538.5983467053902</v>
      </c>
      <c r="AR2077" s="2">
        <v>4534.20838802663</v>
      </c>
      <c r="AS2077" s="2">
        <v>3022.9557968178501</v>
      </c>
      <c r="AT2077" s="2">
        <v>1455.31943329257</v>
      </c>
      <c r="AU2077" s="2">
        <v>2559.0934091446502</v>
      </c>
      <c r="AV2077" s="2">
        <v>1000.56725865343</v>
      </c>
      <c r="AW2077" s="2">
        <v>1098.4626330318799</v>
      </c>
      <c r="AX2077" s="2">
        <v>2442.18283946973</v>
      </c>
    </row>
    <row r="2078" spans="1:50" x14ac:dyDescent="0.25">
      <c r="A2078" s="2" t="s">
        <v>14025</v>
      </c>
      <c r="B2078" s="2">
        <v>245.09899999999999</v>
      </c>
      <c r="C2078" s="2">
        <v>15.502000000000001</v>
      </c>
      <c r="D2078" s="2" t="s">
        <v>125</v>
      </c>
      <c r="E2078" s="2" t="s">
        <v>14026</v>
      </c>
      <c r="F2078" s="2">
        <v>208580</v>
      </c>
      <c r="G2078" s="3" t="str">
        <f>HYPERLINK("https://cloud.oebiotech.com/#/lm/network/208580", "https://cloud.oebiotech.com/#/lm/network/208580")</f>
        <v>https://cloud.oebiotech.com/#/lm/network/208580</v>
      </c>
      <c r="H2078" s="2" t="s">
        <v>14027</v>
      </c>
      <c r="I2078" s="2">
        <v>984323</v>
      </c>
      <c r="J2078" s="2"/>
      <c r="K2078" s="2">
        <v>6268</v>
      </c>
      <c r="L2078" s="2"/>
      <c r="M2078" s="2"/>
      <c r="N2078" s="2"/>
      <c r="O2078" s="2">
        <v>38705</v>
      </c>
      <c r="P2078" s="2"/>
      <c r="Q2078" s="2"/>
      <c r="R2078" s="2"/>
      <c r="S2078" s="2" t="s">
        <v>14028</v>
      </c>
      <c r="T2078" s="2" t="s">
        <v>14029</v>
      </c>
      <c r="U2078" s="2" t="s">
        <v>56</v>
      </c>
      <c r="V2078" s="2" t="s">
        <v>145</v>
      </c>
      <c r="W2078" s="2" t="s">
        <v>231</v>
      </c>
      <c r="X2078" s="2" t="s">
        <v>59</v>
      </c>
      <c r="Y2078" s="2">
        <v>74.5</v>
      </c>
      <c r="Z2078" s="2">
        <v>57.7</v>
      </c>
      <c r="AA2078" s="2"/>
      <c r="AB2078" s="2" t="s">
        <v>14030</v>
      </c>
      <c r="AC2078" s="2"/>
      <c r="AD2078" s="2">
        <v>521380.37728055101</v>
      </c>
      <c r="AE2078" s="2">
        <v>0.318121994552578</v>
      </c>
      <c r="AF2078" s="2">
        <v>33204.313152347902</v>
      </c>
      <c r="AG2078" s="2">
        <v>15108.994997477799</v>
      </c>
      <c r="AH2078" s="5">
        <v>2.19765200517246</v>
      </c>
      <c r="AI2078" s="5">
        <v>1.1359629558233999</v>
      </c>
      <c r="AJ2078" s="5" t="s">
        <v>139</v>
      </c>
      <c r="AK2078" s="2">
        <v>2.3528295788265898E-3</v>
      </c>
      <c r="AL2078" s="2">
        <v>0.101912249503871</v>
      </c>
      <c r="AM2078" s="2">
        <v>43480.251477049598</v>
      </c>
      <c r="AN2078" s="2">
        <v>43806.787675051499</v>
      </c>
      <c r="AO2078" s="2">
        <v>22687.2495122812</v>
      </c>
      <c r="AP2078" s="2">
        <v>27163.017853176501</v>
      </c>
      <c r="AQ2078" s="2">
        <v>22378.369508633299</v>
      </c>
      <c r="AR2078" s="2">
        <v>39710.202887895197</v>
      </c>
      <c r="AS2078" s="2">
        <v>17250.854588572802</v>
      </c>
      <c r="AT2078" s="2">
        <v>14604.378185477801</v>
      </c>
      <c r="AU2078" s="2">
        <v>11550.9779472176</v>
      </c>
      <c r="AV2078" s="2">
        <v>10897.2856319372</v>
      </c>
      <c r="AW2078" s="2">
        <v>14820.422329404701</v>
      </c>
      <c r="AX2078" s="2">
        <v>21530.051302256899</v>
      </c>
    </row>
    <row r="2079" spans="1:50" x14ac:dyDescent="0.25">
      <c r="A2079" s="2" t="s">
        <v>14031</v>
      </c>
      <c r="B2079" s="2">
        <v>483.19569178774401</v>
      </c>
      <c r="C2079" s="2">
        <v>12.708216666666701</v>
      </c>
      <c r="D2079" s="2" t="s">
        <v>51</v>
      </c>
      <c r="E2079" s="2" t="s">
        <v>14032</v>
      </c>
      <c r="F2079" s="2">
        <v>201102</v>
      </c>
      <c r="G2079" s="3" t="str">
        <f>HYPERLINK("https://cloud.oebiotech.com/#/lm/network/201102", "https://cloud.oebiotech.com/#/lm/network/201102")</f>
        <v>https://cloud.oebiotech.com/#/lm/network/201102</v>
      </c>
      <c r="H2079" s="2" t="s">
        <v>14033</v>
      </c>
      <c r="I2079" s="2">
        <v>1332</v>
      </c>
      <c r="J2079" s="2"/>
      <c r="K2079" s="2">
        <v>4238</v>
      </c>
      <c r="L2079" s="2"/>
      <c r="M2079" s="2"/>
      <c r="N2079" s="2"/>
      <c r="O2079" s="2"/>
      <c r="P2079" s="2"/>
      <c r="Q2079" s="2"/>
      <c r="R2079" s="2" t="s">
        <v>14034</v>
      </c>
      <c r="S2079" s="2" t="s">
        <v>14035</v>
      </c>
      <c r="T2079" s="2" t="s">
        <v>14036</v>
      </c>
      <c r="U2079" s="2" t="s">
        <v>266</v>
      </c>
      <c r="V2079" s="2" t="s">
        <v>12382</v>
      </c>
      <c r="W2079" s="2" t="s">
        <v>12383</v>
      </c>
      <c r="X2079" s="2" t="s">
        <v>147</v>
      </c>
      <c r="Y2079" s="2">
        <v>37.700000000000003</v>
      </c>
      <c r="Z2079" s="2">
        <v>0</v>
      </c>
      <c r="AA2079" s="2" t="s">
        <v>478</v>
      </c>
      <c r="AB2079" s="2" t="s">
        <v>14037</v>
      </c>
      <c r="AC2079" s="2">
        <v>-8.6065337914878304E-2</v>
      </c>
      <c r="AD2079" s="2"/>
      <c r="AE2079" s="2">
        <v>0.31792135040456698</v>
      </c>
      <c r="AF2079" s="2">
        <v>4559.8620275243002</v>
      </c>
      <c r="AG2079" s="2">
        <v>6640.91870843775</v>
      </c>
      <c r="AH2079" s="4">
        <v>0.68663120687363299</v>
      </c>
      <c r="AI2079" s="4">
        <v>-0.542392666693987</v>
      </c>
      <c r="AJ2079" s="4" t="s">
        <v>62</v>
      </c>
      <c r="AK2079" s="2">
        <v>3.9280269610094797E-3</v>
      </c>
      <c r="AL2079" s="2">
        <v>0.11375949301226</v>
      </c>
      <c r="AM2079" s="2">
        <v>3143.7021043724999</v>
      </c>
      <c r="AN2079" s="2">
        <v>5200.8916602334402</v>
      </c>
      <c r="AO2079" s="2">
        <v>4482.2390929430403</v>
      </c>
      <c r="AP2079" s="2">
        <v>4052.1483873218299</v>
      </c>
      <c r="AQ2079" s="2">
        <v>5943.2751988415102</v>
      </c>
      <c r="AR2079" s="2">
        <v>4536.91572143349</v>
      </c>
      <c r="AS2079" s="2">
        <v>5537.2506533209298</v>
      </c>
      <c r="AT2079" s="2">
        <v>6279.0766261178396</v>
      </c>
      <c r="AU2079" s="2">
        <v>6149.1586039345302</v>
      </c>
      <c r="AV2079" s="2">
        <v>8359.1533283849603</v>
      </c>
      <c r="AW2079" s="2">
        <v>7065.2175635740796</v>
      </c>
      <c r="AX2079" s="2">
        <v>6455.6554752941802</v>
      </c>
    </row>
    <row r="2080" spans="1:50" x14ac:dyDescent="0.25">
      <c r="A2080" s="2" t="s">
        <v>14038</v>
      </c>
      <c r="B2080" s="2">
        <v>475.20922477142102</v>
      </c>
      <c r="C2080" s="2">
        <v>5.3695666666666702</v>
      </c>
      <c r="D2080" s="2" t="s">
        <v>51</v>
      </c>
      <c r="E2080" s="2" t="s">
        <v>14039</v>
      </c>
      <c r="F2080" s="2">
        <v>205942</v>
      </c>
      <c r="G2080" s="3" t="str">
        <f>HYPERLINK("https://cloud.oebiotech.com/#/lm/network/205942", "https://cloud.oebiotech.com/#/lm/network/205942")</f>
        <v>https://cloud.oebiotech.com/#/lm/network/205942</v>
      </c>
      <c r="H2080" s="2" t="s">
        <v>14040</v>
      </c>
      <c r="I2080" s="2"/>
      <c r="J2080" s="2"/>
      <c r="K2080" s="2">
        <v>58223327</v>
      </c>
      <c r="L2080" s="2"/>
      <c r="M2080" s="2"/>
      <c r="N2080" s="2"/>
      <c r="O2080" s="2"/>
      <c r="P2080" s="2"/>
      <c r="Q2080" s="2"/>
      <c r="R2080" s="2"/>
      <c r="S2080" s="2" t="s">
        <v>14041</v>
      </c>
      <c r="T2080" s="2" t="s">
        <v>14042</v>
      </c>
      <c r="U2080" s="2" t="s">
        <v>610</v>
      </c>
      <c r="V2080" s="2" t="s">
        <v>611</v>
      </c>
      <c r="W2080" s="2" t="s">
        <v>4746</v>
      </c>
      <c r="X2080" s="2" t="s">
        <v>147</v>
      </c>
      <c r="Y2080" s="2">
        <v>42.9</v>
      </c>
      <c r="Z2080" s="2">
        <v>20.3</v>
      </c>
      <c r="AA2080" s="2" t="s">
        <v>60</v>
      </c>
      <c r="AB2080" s="2" t="s">
        <v>14043</v>
      </c>
      <c r="AC2080" s="2">
        <v>0.83297610037511904</v>
      </c>
      <c r="AD2080" s="2"/>
      <c r="AE2080" s="2">
        <v>0.31791985153006902</v>
      </c>
      <c r="AF2080" s="2">
        <v>12173.6448964836</v>
      </c>
      <c r="AG2080" s="2">
        <v>17898.134943106801</v>
      </c>
      <c r="AH2080" s="4">
        <v>0.68016276194029501</v>
      </c>
      <c r="AI2080" s="4">
        <v>-0.55604807242684795</v>
      </c>
      <c r="AJ2080" s="4" t="s">
        <v>62</v>
      </c>
      <c r="AK2080" s="2">
        <v>0.59805144677819699</v>
      </c>
      <c r="AL2080" s="2">
        <v>0.79813782014335899</v>
      </c>
      <c r="AM2080" s="2">
        <v>8.559877937157E-6</v>
      </c>
      <c r="AN2080" s="2">
        <v>11126.547425934999</v>
      </c>
      <c r="AO2080" s="2">
        <v>11717.987436298699</v>
      </c>
      <c r="AP2080" s="2">
        <v>840.86469692328103</v>
      </c>
      <c r="AQ2080" s="2">
        <v>12631.619121391701</v>
      </c>
      <c r="AR2080" s="2">
        <v>36724.8506897931</v>
      </c>
      <c r="AS2080" s="2">
        <v>41767.975159608497</v>
      </c>
      <c r="AT2080" s="2">
        <v>12289.259668660001</v>
      </c>
      <c r="AU2080" s="2">
        <v>1005.11200687554</v>
      </c>
      <c r="AV2080" s="2">
        <v>2517.5135311024901</v>
      </c>
      <c r="AW2080" s="2">
        <v>266.60411763548598</v>
      </c>
      <c r="AX2080" s="2">
        <v>49542.345174758702</v>
      </c>
    </row>
    <row r="2081" spans="1:50" x14ac:dyDescent="0.25">
      <c r="A2081" s="2" t="s">
        <v>14044</v>
      </c>
      <c r="B2081" s="2">
        <v>145.13395329676999</v>
      </c>
      <c r="C2081" s="2">
        <v>0.99048333333333305</v>
      </c>
      <c r="D2081" s="2" t="s">
        <v>51</v>
      </c>
      <c r="E2081" s="2" t="s">
        <v>14045</v>
      </c>
      <c r="F2081" s="2">
        <v>47893</v>
      </c>
      <c r="G2081" s="3" t="str">
        <f>HYPERLINK("https://cloud.oebiotech.com/#/lm/network/47893", "https://cloud.oebiotech.com/#/lm/network/47893")</f>
        <v>https://cloud.oebiotech.com/#/lm/network/47893</v>
      </c>
      <c r="H2081" s="2" t="s">
        <v>14046</v>
      </c>
      <c r="I2081" s="2">
        <v>6592</v>
      </c>
      <c r="J2081" s="2"/>
      <c r="K2081" s="2">
        <v>189087</v>
      </c>
      <c r="L2081" s="2"/>
      <c r="M2081" s="2"/>
      <c r="N2081" s="2"/>
      <c r="O2081" s="2">
        <v>88824</v>
      </c>
      <c r="P2081" s="2"/>
      <c r="Q2081" s="2"/>
      <c r="R2081" s="2" t="s">
        <v>14047</v>
      </c>
      <c r="S2081" s="2" t="s">
        <v>14048</v>
      </c>
      <c r="T2081" s="2" t="s">
        <v>14049</v>
      </c>
      <c r="U2081" s="2" t="s">
        <v>103</v>
      </c>
      <c r="V2081" s="2" t="s">
        <v>104</v>
      </c>
      <c r="W2081" s="2" t="s">
        <v>9173</v>
      </c>
      <c r="X2081" s="2" t="s">
        <v>59</v>
      </c>
      <c r="Y2081" s="2">
        <v>52.9</v>
      </c>
      <c r="Z2081" s="2">
        <v>70.900000000000006</v>
      </c>
      <c r="AA2081" s="2" t="s">
        <v>259</v>
      </c>
      <c r="AB2081" s="2" t="s">
        <v>14050</v>
      </c>
      <c r="AC2081" s="2">
        <v>2.8705558629496002</v>
      </c>
      <c r="AD2081" s="2"/>
      <c r="AE2081" s="2">
        <v>0.31785745566449802</v>
      </c>
      <c r="AF2081" s="2">
        <v>9071.0013528051095</v>
      </c>
      <c r="AG2081" s="2">
        <v>1250.41589999401</v>
      </c>
      <c r="AH2081" s="5">
        <v>7.2543874025023003</v>
      </c>
      <c r="AI2081" s="5">
        <v>2.85885379090307</v>
      </c>
      <c r="AJ2081" s="5" t="s">
        <v>139</v>
      </c>
      <c r="AK2081" s="2">
        <v>0.318014663514949</v>
      </c>
      <c r="AL2081" s="2">
        <v>0.62647948297840095</v>
      </c>
      <c r="AM2081" s="2">
        <v>8.559877937157E-6</v>
      </c>
      <c r="AN2081" s="2">
        <v>8.559877937157E-6</v>
      </c>
      <c r="AO2081" s="2">
        <v>8.559877937157E-6</v>
      </c>
      <c r="AP2081" s="2">
        <v>8.559877937157E-6</v>
      </c>
      <c r="AQ2081" s="2">
        <v>45231.087351465598</v>
      </c>
      <c r="AR2081" s="2">
        <v>9194.9207311255504</v>
      </c>
      <c r="AS2081" s="2">
        <v>38.216865072434203</v>
      </c>
      <c r="AT2081" s="2">
        <v>8.559877937157E-6</v>
      </c>
      <c r="AU2081" s="2">
        <v>5474.5090993717304</v>
      </c>
      <c r="AV2081" s="2">
        <v>1989.7694098402501</v>
      </c>
      <c r="AW2081" s="2">
        <v>8.559877937157E-6</v>
      </c>
      <c r="AX2081" s="2">
        <v>8.559877937157E-6</v>
      </c>
    </row>
    <row r="2082" spans="1:50" x14ac:dyDescent="0.25">
      <c r="A2082" s="2" t="s">
        <v>14051</v>
      </c>
      <c r="B2082" s="2">
        <v>835.72748556872398</v>
      </c>
      <c r="C2082" s="2">
        <v>4.6885500000000002</v>
      </c>
      <c r="D2082" s="2" t="s">
        <v>51</v>
      </c>
      <c r="E2082" s="2" t="s">
        <v>14052</v>
      </c>
      <c r="F2082" s="2">
        <v>21046</v>
      </c>
      <c r="G2082" s="3" t="str">
        <f>HYPERLINK("https://cloud.oebiotech.com/#/lm/network/21046", "https://cloud.oebiotech.com/#/lm/network/21046")</f>
        <v>https://cloud.oebiotech.com/#/lm/network/21046</v>
      </c>
      <c r="H2082" s="2"/>
      <c r="I2082" s="2">
        <v>77569</v>
      </c>
      <c r="J2082" s="2" t="s">
        <v>14053</v>
      </c>
      <c r="K2082" s="2">
        <v>52925025</v>
      </c>
      <c r="L2082" s="2"/>
      <c r="M2082" s="2"/>
      <c r="N2082" s="2"/>
      <c r="O2082" s="2"/>
      <c r="P2082" s="2"/>
      <c r="Q2082" s="2"/>
      <c r="R2082" s="2"/>
      <c r="S2082" s="2" t="s">
        <v>14054</v>
      </c>
      <c r="T2082" s="2" t="s">
        <v>14055</v>
      </c>
      <c r="U2082" s="2" t="s">
        <v>56</v>
      </c>
      <c r="V2082" s="2" t="s">
        <v>57</v>
      </c>
      <c r="W2082" s="2" t="s">
        <v>155</v>
      </c>
      <c r="X2082" s="2" t="s">
        <v>147</v>
      </c>
      <c r="Y2082" s="2">
        <v>36.9</v>
      </c>
      <c r="Z2082" s="2">
        <v>0</v>
      </c>
      <c r="AA2082" s="2" t="s">
        <v>512</v>
      </c>
      <c r="AB2082" s="2" t="s">
        <v>14056</v>
      </c>
      <c r="AC2082" s="2">
        <v>1.49076623832255</v>
      </c>
      <c r="AD2082" s="2"/>
      <c r="AE2082" s="2">
        <v>0.31764005529929801</v>
      </c>
      <c r="AF2082" s="2">
        <v>19077.2032356161</v>
      </c>
      <c r="AG2082" s="2">
        <v>30190.599277925201</v>
      </c>
      <c r="AH2082" s="4">
        <v>0.631892168154642</v>
      </c>
      <c r="AI2082" s="4">
        <v>-0.66224971012676404</v>
      </c>
      <c r="AJ2082" s="4" t="s">
        <v>62</v>
      </c>
      <c r="AK2082" s="2">
        <v>0.64697488819895899</v>
      </c>
      <c r="AL2082" s="2">
        <v>0.82748660873842805</v>
      </c>
      <c r="AM2082" s="2">
        <v>42791.193805798503</v>
      </c>
      <c r="AN2082" s="2">
        <v>14901.8324665943</v>
      </c>
      <c r="AO2082" s="2">
        <v>21216.6462825212</v>
      </c>
      <c r="AP2082" s="2">
        <v>2304.1797028504898</v>
      </c>
      <c r="AQ2082" s="2">
        <v>5660.1534661225096</v>
      </c>
      <c r="AR2082" s="2">
        <v>27589.2136898096</v>
      </c>
      <c r="AS2082" s="2">
        <v>445.23737311013099</v>
      </c>
      <c r="AT2082" s="2">
        <v>2361.84075922479</v>
      </c>
      <c r="AU2082" s="2">
        <v>18402.698002749999</v>
      </c>
      <c r="AV2082" s="2">
        <v>143064.901554226</v>
      </c>
      <c r="AW2082" s="2">
        <v>11549.6448139533</v>
      </c>
      <c r="AX2082" s="2">
        <v>5319.2731642868102</v>
      </c>
    </row>
    <row r="2083" spans="1:50" x14ac:dyDescent="0.25">
      <c r="A2083" s="2" t="s">
        <v>14057</v>
      </c>
      <c r="B2083" s="2">
        <v>189.12391929082801</v>
      </c>
      <c r="C2083" s="2">
        <v>2.3474166666666698</v>
      </c>
      <c r="D2083" s="2" t="s">
        <v>51</v>
      </c>
      <c r="E2083" s="2" t="s">
        <v>14058</v>
      </c>
      <c r="F2083" s="2">
        <v>266169</v>
      </c>
      <c r="G2083" s="3" t="str">
        <f>HYPERLINK("https://cloud.oebiotech.com/#/lm/network/266169", "https://cloud.oebiotech.com/#/lm/network/266169")</f>
        <v>https://cloud.oebiotech.com/#/lm/network/266169</v>
      </c>
      <c r="H2083" s="2"/>
      <c r="I2083" s="2">
        <v>23851</v>
      </c>
      <c r="J2083" s="2"/>
      <c r="K2083" s="2">
        <v>6992386</v>
      </c>
      <c r="L2083" s="2"/>
      <c r="M2083" s="2"/>
      <c r="N2083" s="2"/>
      <c r="O2083" s="2"/>
      <c r="P2083" s="2"/>
      <c r="Q2083" s="2"/>
      <c r="R2083" s="2"/>
      <c r="S2083" s="2" t="s">
        <v>14059</v>
      </c>
      <c r="T2083" s="2" t="s">
        <v>14060</v>
      </c>
      <c r="U2083" s="2" t="s">
        <v>103</v>
      </c>
      <c r="V2083" s="2" t="s">
        <v>104</v>
      </c>
      <c r="W2083" s="2" t="s">
        <v>105</v>
      </c>
      <c r="X2083" s="2" t="s">
        <v>69</v>
      </c>
      <c r="Y2083" s="2">
        <v>67.3</v>
      </c>
      <c r="Z2083" s="2">
        <v>86.7</v>
      </c>
      <c r="AA2083" s="2" t="s">
        <v>259</v>
      </c>
      <c r="AB2083" s="2" t="s">
        <v>14061</v>
      </c>
      <c r="AC2083" s="2">
        <v>2.9262644190892302</v>
      </c>
      <c r="AD2083" s="2"/>
      <c r="AE2083" s="2">
        <v>0.31757159089562598</v>
      </c>
      <c r="AF2083" s="2">
        <v>26502.5423927845</v>
      </c>
      <c r="AG2083" s="2">
        <v>17847.6253203099</v>
      </c>
      <c r="AH2083" s="5">
        <v>1.48493381708465</v>
      </c>
      <c r="AI2083" s="5">
        <v>0.57039863210919195</v>
      </c>
      <c r="AJ2083" s="5" t="s">
        <v>139</v>
      </c>
      <c r="AK2083" s="2">
        <v>0.55084766599074098</v>
      </c>
      <c r="AL2083" s="2">
        <v>0.77204499362300005</v>
      </c>
      <c r="AM2083" s="2">
        <v>48453.366064690803</v>
      </c>
      <c r="AN2083" s="2">
        <v>4649.4811642525201</v>
      </c>
      <c r="AO2083" s="2">
        <v>6710.2537611274201</v>
      </c>
      <c r="AP2083" s="2">
        <v>9982.6337640295405</v>
      </c>
      <c r="AQ2083" s="2">
        <v>66909.687608733802</v>
      </c>
      <c r="AR2083" s="2">
        <v>22309.831993873198</v>
      </c>
      <c r="AS2083" s="2">
        <v>3125.4611220773299</v>
      </c>
      <c r="AT2083" s="2">
        <v>6545.6562224302097</v>
      </c>
      <c r="AU2083" s="2">
        <v>24394.132324371101</v>
      </c>
      <c r="AV2083" s="2">
        <v>61742.669346821</v>
      </c>
      <c r="AW2083" s="2">
        <v>3274.1465934077801</v>
      </c>
      <c r="AX2083" s="2">
        <v>8003.6863127521201</v>
      </c>
    </row>
    <row r="2084" spans="1:50" x14ac:dyDescent="0.25">
      <c r="A2084" s="2" t="s">
        <v>14062</v>
      </c>
      <c r="B2084" s="2">
        <v>415.18102425540002</v>
      </c>
      <c r="C2084" s="2">
        <v>5.7232000000000003</v>
      </c>
      <c r="D2084" s="2" t="s">
        <v>51</v>
      </c>
      <c r="E2084" s="2" t="s">
        <v>14063</v>
      </c>
      <c r="F2084" s="2">
        <v>209135</v>
      </c>
      <c r="G2084" s="3" t="str">
        <f>HYPERLINK("https://cloud.oebiotech.com/#/lm/network/209135", "https://cloud.oebiotech.com/#/lm/network/209135")</f>
        <v>https://cloud.oebiotech.com/#/lm/network/209135</v>
      </c>
      <c r="H2084" s="2" t="s">
        <v>14064</v>
      </c>
      <c r="I2084" s="2"/>
      <c r="J2084" s="2"/>
      <c r="K2084" s="2">
        <v>67984615</v>
      </c>
      <c r="L2084" s="2"/>
      <c r="M2084" s="2"/>
      <c r="N2084" s="2"/>
      <c r="O2084" s="2"/>
      <c r="P2084" s="2"/>
      <c r="Q2084" s="2"/>
      <c r="R2084" s="2"/>
      <c r="S2084" s="2" t="s">
        <v>14065</v>
      </c>
      <c r="T2084" s="2" t="s">
        <v>14066</v>
      </c>
      <c r="U2084" s="2" t="s">
        <v>266</v>
      </c>
      <c r="V2084" s="2" t="s">
        <v>445</v>
      </c>
      <c r="W2084" s="2" t="s">
        <v>240</v>
      </c>
      <c r="X2084" s="2" t="s">
        <v>83</v>
      </c>
      <c r="Y2084" s="2">
        <v>39.6</v>
      </c>
      <c r="Z2084" s="2">
        <v>0.32600000000000001</v>
      </c>
      <c r="AA2084" s="2" t="s">
        <v>218</v>
      </c>
      <c r="AB2084" s="2" t="s">
        <v>14067</v>
      </c>
      <c r="AC2084" s="2">
        <v>6.2595664633158696</v>
      </c>
      <c r="AD2084" s="2"/>
      <c r="AE2084" s="2">
        <v>0.31737852514447601</v>
      </c>
      <c r="AF2084" s="2">
        <v>130.54767482427101</v>
      </c>
      <c r="AG2084" s="2">
        <v>4836.3304514308802</v>
      </c>
      <c r="AH2084" s="4">
        <v>2.69931254977929E-2</v>
      </c>
      <c r="AI2084" s="4">
        <v>-5.2112641555745398</v>
      </c>
      <c r="AJ2084" s="4" t="s">
        <v>62</v>
      </c>
      <c r="AK2084" s="2">
        <v>0.34942621091104198</v>
      </c>
      <c r="AL2084" s="2">
        <v>0.642273502841751</v>
      </c>
      <c r="AM2084" s="2">
        <v>131.850442641775</v>
      </c>
      <c r="AN2084" s="2">
        <v>222.78966207757901</v>
      </c>
      <c r="AO2084" s="2">
        <v>84.210993125242496</v>
      </c>
      <c r="AP2084" s="2">
        <v>109.863606269382</v>
      </c>
      <c r="AQ2084" s="2">
        <v>53.919147047540299</v>
      </c>
      <c r="AR2084" s="2">
        <v>180.65219778410901</v>
      </c>
      <c r="AS2084" s="2">
        <v>72.2971651430978</v>
      </c>
      <c r="AT2084" s="2">
        <v>29.037736779932001</v>
      </c>
      <c r="AU2084" s="2">
        <v>88.237842183196193</v>
      </c>
      <c r="AV2084" s="2">
        <v>12.2210539564025</v>
      </c>
      <c r="AW2084" s="2">
        <v>28804.704195580201</v>
      </c>
      <c r="AX2084" s="2">
        <v>11.4847149424387</v>
      </c>
    </row>
    <row r="2085" spans="1:50" x14ac:dyDescent="0.25">
      <c r="A2085" s="2" t="s">
        <v>14068</v>
      </c>
      <c r="B2085" s="2">
        <v>435.12773397217001</v>
      </c>
      <c r="C2085" s="2">
        <v>6.2990333333333304</v>
      </c>
      <c r="D2085" s="2" t="s">
        <v>51</v>
      </c>
      <c r="E2085" s="2" t="s">
        <v>14069</v>
      </c>
      <c r="F2085" s="2">
        <v>257487</v>
      </c>
      <c r="G2085" s="3" t="str">
        <f>HYPERLINK("https://cloud.oebiotech.com/#/lm/network/257487", "https://cloud.oebiotech.com/#/lm/network/257487")</f>
        <v>https://cloud.oebiotech.com/#/lm/network/257487</v>
      </c>
      <c r="H2085" s="2" t="s">
        <v>14070</v>
      </c>
      <c r="I2085" s="2"/>
      <c r="J2085" s="2"/>
      <c r="K2085" s="2"/>
      <c r="L2085" s="2"/>
      <c r="M2085" s="2"/>
      <c r="N2085" s="2"/>
      <c r="O2085" s="2"/>
      <c r="P2085" s="2"/>
      <c r="Q2085" s="2"/>
      <c r="R2085" s="2"/>
      <c r="S2085" s="2" t="s">
        <v>14071</v>
      </c>
      <c r="T2085" s="2" t="s">
        <v>14072</v>
      </c>
      <c r="U2085" s="2" t="s">
        <v>540</v>
      </c>
      <c r="V2085" s="2" t="s">
        <v>7590</v>
      </c>
      <c r="W2085" s="2" t="s">
        <v>240</v>
      </c>
      <c r="X2085" s="2" t="s">
        <v>83</v>
      </c>
      <c r="Y2085" s="2">
        <v>38.799999999999997</v>
      </c>
      <c r="Z2085" s="2">
        <v>0</v>
      </c>
      <c r="AA2085" s="2" t="s">
        <v>379</v>
      </c>
      <c r="AB2085" s="2" t="s">
        <v>14073</v>
      </c>
      <c r="AC2085" s="2">
        <v>8.6683733378304897</v>
      </c>
      <c r="AD2085" s="2"/>
      <c r="AE2085" s="2">
        <v>0.31711894265160201</v>
      </c>
      <c r="AF2085" s="2">
        <v>347.91401431727098</v>
      </c>
      <c r="AG2085" s="2">
        <v>3472.3302074831599</v>
      </c>
      <c r="AH2085" s="4">
        <v>0.10019612004857401</v>
      </c>
      <c r="AI2085" s="4">
        <v>-3.3191014515744</v>
      </c>
      <c r="AJ2085" s="4" t="s">
        <v>62</v>
      </c>
      <c r="AK2085" s="2">
        <v>9.4253609745952496E-2</v>
      </c>
      <c r="AL2085" s="2">
        <v>0.39491494885151801</v>
      </c>
      <c r="AM2085" s="2">
        <v>301.63322882853601</v>
      </c>
      <c r="AN2085" s="2">
        <v>8.559877937157E-6</v>
      </c>
      <c r="AO2085" s="2">
        <v>753.97029792182605</v>
      </c>
      <c r="AP2085" s="2">
        <v>8.559877937157E-6</v>
      </c>
      <c r="AQ2085" s="2">
        <v>8.559877937157E-6</v>
      </c>
      <c r="AR2085" s="2">
        <v>1031.8805334736301</v>
      </c>
      <c r="AS2085" s="2">
        <v>183.81718854391301</v>
      </c>
      <c r="AT2085" s="2">
        <v>749.946291000261</v>
      </c>
      <c r="AU2085" s="2">
        <v>3468.1590002328198</v>
      </c>
      <c r="AV2085" s="2">
        <v>5385.4686915584198</v>
      </c>
      <c r="AW2085" s="2">
        <v>10738.524717541401</v>
      </c>
      <c r="AX2085" s="2">
        <v>308.06535602212602</v>
      </c>
    </row>
    <row r="2086" spans="1:50" x14ac:dyDescent="0.25">
      <c r="A2086" s="2" t="s">
        <v>14074</v>
      </c>
      <c r="B2086" s="2">
        <v>297.051059545996</v>
      </c>
      <c r="C2086" s="2">
        <v>7.2455166666666697</v>
      </c>
      <c r="D2086" s="2" t="s">
        <v>51</v>
      </c>
      <c r="E2086" s="2" t="s">
        <v>14075</v>
      </c>
      <c r="F2086" s="2">
        <v>55053</v>
      </c>
      <c r="G2086" s="3" t="str">
        <f>HYPERLINK("https://cloud.oebiotech.com/#/lm/network/55053", "https://cloud.oebiotech.com/#/lm/network/55053")</f>
        <v>https://cloud.oebiotech.com/#/lm/network/55053</v>
      </c>
      <c r="H2086" s="2" t="s">
        <v>14076</v>
      </c>
      <c r="I2086" s="2"/>
      <c r="J2086" s="2"/>
      <c r="K2086" s="2">
        <v>137185901</v>
      </c>
      <c r="L2086" s="2" t="s">
        <v>14077</v>
      </c>
      <c r="M2086" s="2"/>
      <c r="N2086" s="2"/>
      <c r="O2086" s="2"/>
      <c r="P2086" s="2"/>
      <c r="Q2086" s="2"/>
      <c r="R2086" s="2" t="s">
        <v>14078</v>
      </c>
      <c r="S2086" s="2" t="s">
        <v>14079</v>
      </c>
      <c r="T2086" s="2" t="s">
        <v>14080</v>
      </c>
      <c r="U2086" s="2" t="s">
        <v>238</v>
      </c>
      <c r="V2086" s="2" t="s">
        <v>14081</v>
      </c>
      <c r="W2086" s="2" t="s">
        <v>240</v>
      </c>
      <c r="X2086" s="2" t="s">
        <v>147</v>
      </c>
      <c r="Y2086" s="2">
        <v>38</v>
      </c>
      <c r="Z2086" s="2">
        <v>0</v>
      </c>
      <c r="AA2086" s="2" t="s">
        <v>218</v>
      </c>
      <c r="AB2086" s="2" t="s">
        <v>14082</v>
      </c>
      <c r="AC2086" s="2">
        <v>-2.52108724391733</v>
      </c>
      <c r="AD2086" s="2"/>
      <c r="AE2086" s="2">
        <v>0.316831094043526</v>
      </c>
      <c r="AF2086" s="2">
        <v>4413.2008454143097</v>
      </c>
      <c r="AG2086" s="2">
        <v>8588.4527104963308</v>
      </c>
      <c r="AH2086" s="4">
        <v>0.51385284336732096</v>
      </c>
      <c r="AI2086" s="4">
        <v>-0.96057283379647795</v>
      </c>
      <c r="AJ2086" s="4" t="s">
        <v>62</v>
      </c>
      <c r="AK2086" s="2">
        <v>0.20373957574490301</v>
      </c>
      <c r="AL2086" s="2">
        <v>0.52867214213176905</v>
      </c>
      <c r="AM2086" s="2">
        <v>8533.1354890152397</v>
      </c>
      <c r="AN2086" s="2">
        <v>3324.8577274688</v>
      </c>
      <c r="AO2086" s="2">
        <v>2325.5678170337801</v>
      </c>
      <c r="AP2086" s="2">
        <v>8207.3244777565305</v>
      </c>
      <c r="AQ2086" s="2">
        <v>143.560117556173</v>
      </c>
      <c r="AR2086" s="2">
        <v>3944.75944365534</v>
      </c>
      <c r="AS2086" s="2">
        <v>19724.331911310699</v>
      </c>
      <c r="AT2086" s="2">
        <v>4708.7365952396003</v>
      </c>
      <c r="AU2086" s="2">
        <v>9232.5959336684991</v>
      </c>
      <c r="AV2086" s="2">
        <v>5373.5949167427298</v>
      </c>
      <c r="AW2086" s="2">
        <v>12018.9458533039</v>
      </c>
      <c r="AX2086" s="2">
        <v>472.51105271252999</v>
      </c>
    </row>
    <row r="2087" spans="1:50" x14ac:dyDescent="0.25">
      <c r="A2087" s="2" t="s">
        <v>14083</v>
      </c>
      <c r="B2087" s="2">
        <v>381.19218311072501</v>
      </c>
      <c r="C2087" s="2">
        <v>4.8803666666666699</v>
      </c>
      <c r="D2087" s="2" t="s">
        <v>51</v>
      </c>
      <c r="E2087" s="2" t="s">
        <v>14084</v>
      </c>
      <c r="F2087" s="2">
        <v>59060</v>
      </c>
      <c r="G2087" s="3" t="str">
        <f>HYPERLINK("https://cloud.oebiotech.com/#/lm/network/59060", "https://cloud.oebiotech.com/#/lm/network/59060")</f>
        <v>https://cloud.oebiotech.com/#/lm/network/59060</v>
      </c>
      <c r="H2087" s="2" t="s">
        <v>14085</v>
      </c>
      <c r="I2087" s="2">
        <v>71840</v>
      </c>
      <c r="J2087" s="2"/>
      <c r="K2087" s="2">
        <v>12880072</v>
      </c>
      <c r="L2087" s="2" t="s">
        <v>14086</v>
      </c>
      <c r="M2087" s="2"/>
      <c r="N2087" s="2"/>
      <c r="O2087" s="2"/>
      <c r="P2087" s="2"/>
      <c r="Q2087" s="2"/>
      <c r="R2087" s="2" t="s">
        <v>14087</v>
      </c>
      <c r="S2087" s="2" t="s">
        <v>14088</v>
      </c>
      <c r="T2087" s="2" t="s">
        <v>14089</v>
      </c>
      <c r="U2087" s="2" t="s">
        <v>56</v>
      </c>
      <c r="V2087" s="2" t="s">
        <v>177</v>
      </c>
      <c r="W2087" s="2" t="s">
        <v>806</v>
      </c>
      <c r="X2087" s="2" t="s">
        <v>83</v>
      </c>
      <c r="Y2087" s="2">
        <v>40</v>
      </c>
      <c r="Z2087" s="2">
        <v>0</v>
      </c>
      <c r="AA2087" s="2" t="s">
        <v>163</v>
      </c>
      <c r="AB2087" s="2" t="s">
        <v>7807</v>
      </c>
      <c r="AC2087" s="2">
        <v>0.80126735692099604</v>
      </c>
      <c r="AD2087" s="2"/>
      <c r="AE2087" s="2">
        <v>0.31671590133347599</v>
      </c>
      <c r="AF2087" s="2">
        <v>5240.0802988580199</v>
      </c>
      <c r="AG2087" s="2">
        <v>2601.4050869421199</v>
      </c>
      <c r="AH2087" s="5">
        <v>2.0143269209247201</v>
      </c>
      <c r="AI2087" s="5">
        <v>1.01029784864813</v>
      </c>
      <c r="AJ2087" s="5" t="s">
        <v>139</v>
      </c>
      <c r="AK2087" s="2">
        <v>0.18900591795966001</v>
      </c>
      <c r="AL2087" s="2">
        <v>0.51309013942684201</v>
      </c>
      <c r="AM2087" s="2">
        <v>11536.373679894201</v>
      </c>
      <c r="AN2087" s="2">
        <v>8132.8731069024398</v>
      </c>
      <c r="AO2087" s="2">
        <v>3570.8239633094499</v>
      </c>
      <c r="AP2087" s="2">
        <v>5078.6102996786503</v>
      </c>
      <c r="AQ2087" s="2">
        <v>832.94403648847299</v>
      </c>
      <c r="AR2087" s="2">
        <v>2288.8567068749198</v>
      </c>
      <c r="AS2087" s="2">
        <v>5494.03704617315</v>
      </c>
      <c r="AT2087" s="2">
        <v>1808.78363254431</v>
      </c>
      <c r="AU2087" s="2">
        <v>4920.8501472416201</v>
      </c>
      <c r="AV2087" s="2">
        <v>36.821730139722099</v>
      </c>
      <c r="AW2087" s="2">
        <v>350.667812089476</v>
      </c>
      <c r="AX2087" s="2">
        <v>2997.2701534644402</v>
      </c>
    </row>
    <row r="2088" spans="1:50" x14ac:dyDescent="0.25">
      <c r="A2088" s="2" t="s">
        <v>14090</v>
      </c>
      <c r="B2088" s="2">
        <v>301.12996959262199</v>
      </c>
      <c r="C2088" s="2">
        <v>4.2455333333333298</v>
      </c>
      <c r="D2088" s="2" t="s">
        <v>51</v>
      </c>
      <c r="E2088" s="2" t="s">
        <v>14091</v>
      </c>
      <c r="F2088" s="2">
        <v>54017</v>
      </c>
      <c r="G2088" s="3" t="str">
        <f>HYPERLINK("https://cloud.oebiotech.com/#/lm/network/54017", "https://cloud.oebiotech.com/#/lm/network/54017")</f>
        <v>https://cloud.oebiotech.com/#/lm/network/54017</v>
      </c>
      <c r="H2088" s="2" t="s">
        <v>14092</v>
      </c>
      <c r="I2088" s="2">
        <v>23660</v>
      </c>
      <c r="J2088" s="2"/>
      <c r="K2088" s="2">
        <v>9966159</v>
      </c>
      <c r="L2088" s="2"/>
      <c r="M2088" s="2"/>
      <c r="N2088" s="2"/>
      <c r="O2088" s="2">
        <v>73634</v>
      </c>
      <c r="P2088" s="2"/>
      <c r="Q2088" s="2"/>
      <c r="R2088" s="2" t="s">
        <v>14093</v>
      </c>
      <c r="S2088" s="2" t="s">
        <v>14094</v>
      </c>
      <c r="T2088" s="2" t="s">
        <v>14095</v>
      </c>
      <c r="U2088" s="2" t="s">
        <v>103</v>
      </c>
      <c r="V2088" s="2" t="s">
        <v>104</v>
      </c>
      <c r="W2088" s="2" t="s">
        <v>105</v>
      </c>
      <c r="X2088" s="2" t="s">
        <v>147</v>
      </c>
      <c r="Y2088" s="2">
        <v>39</v>
      </c>
      <c r="Z2088" s="2">
        <v>8.26</v>
      </c>
      <c r="AA2088" s="2" t="s">
        <v>163</v>
      </c>
      <c r="AB2088" s="2" t="s">
        <v>8858</v>
      </c>
      <c r="AC2088" s="2">
        <v>-2.1329020253653801</v>
      </c>
      <c r="AD2088" s="2"/>
      <c r="AE2088" s="2">
        <v>0.31660544353537801</v>
      </c>
      <c r="AF2088" s="2">
        <v>3809.6653222643099</v>
      </c>
      <c r="AG2088" s="2">
        <v>1406.52715814465</v>
      </c>
      <c r="AH2088" s="5">
        <v>2.7085615092492299</v>
      </c>
      <c r="AI2088" s="5">
        <v>1.4375268536227801</v>
      </c>
      <c r="AJ2088" s="5" t="s">
        <v>139</v>
      </c>
      <c r="AK2088" s="2">
        <v>1.53048241439439E-2</v>
      </c>
      <c r="AL2088" s="2">
        <v>0.196993902176336</v>
      </c>
      <c r="AM2088" s="2">
        <v>4041.8012529940402</v>
      </c>
      <c r="AN2088" s="2">
        <v>2361.5316706261001</v>
      </c>
      <c r="AO2088" s="2">
        <v>6540.7007872979502</v>
      </c>
      <c r="AP2088" s="2">
        <v>3212.4111828157502</v>
      </c>
      <c r="AQ2088" s="2">
        <v>2464.01189548812</v>
      </c>
      <c r="AR2088" s="2">
        <v>4237.5351443639101</v>
      </c>
      <c r="AS2088" s="2">
        <v>3484.5109542565401</v>
      </c>
      <c r="AT2088" s="2">
        <v>2334.7064584077798</v>
      </c>
      <c r="AU2088" s="2">
        <v>1365.32002794914</v>
      </c>
      <c r="AV2088" s="2">
        <v>195.28261542563899</v>
      </c>
      <c r="AW2088" s="2">
        <v>233.34885385340399</v>
      </c>
      <c r="AX2088" s="2">
        <v>825.99403897541197</v>
      </c>
    </row>
    <row r="2089" spans="1:50" x14ac:dyDescent="0.25">
      <c r="A2089" s="2" t="s">
        <v>14096</v>
      </c>
      <c r="B2089" s="2">
        <v>218.21219208270799</v>
      </c>
      <c r="C2089" s="2">
        <v>5.14096666666667</v>
      </c>
      <c r="D2089" s="2" t="s">
        <v>51</v>
      </c>
      <c r="E2089" s="2" t="s">
        <v>14097</v>
      </c>
      <c r="F2089" s="2">
        <v>154</v>
      </c>
      <c r="G2089" s="3" t="str">
        <f>HYPERLINK("https://cloud.oebiotech.com/#/lm/network/154", "https://cloud.oebiotech.com/#/lm/network/154")</f>
        <v>https://cloud.oebiotech.com/#/lm/network/154</v>
      </c>
      <c r="H2089" s="2"/>
      <c r="I2089" s="2">
        <v>4460</v>
      </c>
      <c r="J2089" s="2" t="s">
        <v>14098</v>
      </c>
      <c r="K2089" s="2">
        <v>5282637</v>
      </c>
      <c r="L2089" s="2"/>
      <c r="M2089" s="2"/>
      <c r="N2089" s="2"/>
      <c r="O2089" s="2"/>
      <c r="P2089" s="2"/>
      <c r="Q2089" s="2"/>
      <c r="R2089" s="2"/>
      <c r="S2089" s="2" t="s">
        <v>14099</v>
      </c>
      <c r="T2089" s="2" t="s">
        <v>14100</v>
      </c>
      <c r="U2089" s="2" t="s">
        <v>56</v>
      </c>
      <c r="V2089" s="2" t="s">
        <v>145</v>
      </c>
      <c r="W2089" s="2" t="s">
        <v>231</v>
      </c>
      <c r="X2089" s="2" t="s">
        <v>147</v>
      </c>
      <c r="Y2089" s="2">
        <v>41.3</v>
      </c>
      <c r="Z2089" s="2">
        <v>14.5</v>
      </c>
      <c r="AA2089" s="2" t="s">
        <v>512</v>
      </c>
      <c r="AB2089" s="2" t="s">
        <v>14101</v>
      </c>
      <c r="AC2089" s="2">
        <v>3.6794516323364199</v>
      </c>
      <c r="AD2089" s="2"/>
      <c r="AE2089" s="2">
        <v>0.31624204482423102</v>
      </c>
      <c r="AF2089" s="2">
        <v>2954.77380314935</v>
      </c>
      <c r="AG2089" s="2">
        <v>9672.7487642259093</v>
      </c>
      <c r="AH2089" s="4">
        <v>0.305474056565742</v>
      </c>
      <c r="AI2089" s="4">
        <v>-1.7108782354759999</v>
      </c>
      <c r="AJ2089" s="4" t="s">
        <v>62</v>
      </c>
      <c r="AK2089" s="2">
        <v>0.289695063239019</v>
      </c>
      <c r="AL2089" s="2">
        <v>0.60369237994034897</v>
      </c>
      <c r="AM2089" s="2">
        <v>1052.1228448638001</v>
      </c>
      <c r="AN2089" s="2">
        <v>754.69850650343005</v>
      </c>
      <c r="AO2089" s="2">
        <v>1529.8643335588499</v>
      </c>
      <c r="AP2089" s="2">
        <v>11820.499819114901</v>
      </c>
      <c r="AQ2089" s="2">
        <v>1773.1866150757901</v>
      </c>
      <c r="AR2089" s="2">
        <v>798.27069977934696</v>
      </c>
      <c r="AS2089" s="2">
        <v>2341.3992886758001</v>
      </c>
      <c r="AT2089" s="2">
        <v>33356.959985594003</v>
      </c>
      <c r="AU2089" s="2">
        <v>732.94006382303701</v>
      </c>
      <c r="AV2089" s="2">
        <v>459.67543986676401</v>
      </c>
      <c r="AW2089" s="2">
        <v>401.35505627025901</v>
      </c>
      <c r="AX2089" s="2">
        <v>20744.162751125601</v>
      </c>
    </row>
    <row r="2090" spans="1:50" x14ac:dyDescent="0.25">
      <c r="A2090" s="2" t="s">
        <v>14102</v>
      </c>
      <c r="B2090" s="2">
        <v>333.135405418012</v>
      </c>
      <c r="C2090" s="2">
        <v>11.6520833333333</v>
      </c>
      <c r="D2090" s="2" t="s">
        <v>51</v>
      </c>
      <c r="E2090" s="2" t="s">
        <v>14103</v>
      </c>
      <c r="F2090" s="2">
        <v>257049</v>
      </c>
      <c r="G2090" s="3" t="str">
        <f>HYPERLINK("https://cloud.oebiotech.com/#/lm/network/257049", "https://cloud.oebiotech.com/#/lm/network/257049")</f>
        <v>https://cloud.oebiotech.com/#/lm/network/257049</v>
      </c>
      <c r="H2090" s="2" t="s">
        <v>14104</v>
      </c>
      <c r="I2090" s="2"/>
      <c r="J2090" s="2"/>
      <c r="K2090" s="2">
        <v>25203460</v>
      </c>
      <c r="L2090" s="2"/>
      <c r="M2090" s="2"/>
      <c r="N2090" s="2"/>
      <c r="O2090" s="2"/>
      <c r="P2090" s="2"/>
      <c r="Q2090" s="2"/>
      <c r="R2090" s="2"/>
      <c r="S2090" s="2" t="s">
        <v>14105</v>
      </c>
      <c r="T2090" s="2" t="s">
        <v>14106</v>
      </c>
      <c r="U2090" s="2" t="s">
        <v>266</v>
      </c>
      <c r="V2090" s="2" t="s">
        <v>11698</v>
      </c>
      <c r="W2090" s="2" t="s">
        <v>11699</v>
      </c>
      <c r="X2090" s="2" t="s">
        <v>147</v>
      </c>
      <c r="Y2090" s="2">
        <v>38.799999999999997</v>
      </c>
      <c r="Z2090" s="2">
        <v>0</v>
      </c>
      <c r="AA2090" s="2" t="s">
        <v>478</v>
      </c>
      <c r="AB2090" s="2" t="s">
        <v>14107</v>
      </c>
      <c r="AC2090" s="2">
        <v>3.1227090308347201</v>
      </c>
      <c r="AD2090" s="2"/>
      <c r="AE2090" s="2">
        <v>0.31619237411614198</v>
      </c>
      <c r="AF2090" s="2">
        <v>3610.4291121005799</v>
      </c>
      <c r="AG2090" s="2">
        <v>5578.6980271000803</v>
      </c>
      <c r="AH2090" s="4">
        <v>0.64718131265788403</v>
      </c>
      <c r="AI2090" s="4">
        <v>-0.62775814429659005</v>
      </c>
      <c r="AJ2090" s="4" t="s">
        <v>62</v>
      </c>
      <c r="AK2090" s="2">
        <v>3.5653390851406001E-3</v>
      </c>
      <c r="AL2090" s="2">
        <v>0.1120315017845</v>
      </c>
      <c r="AM2090" s="2">
        <v>2356.0164394234498</v>
      </c>
      <c r="AN2090" s="2">
        <v>3602.2611181678999</v>
      </c>
      <c r="AO2090" s="2">
        <v>3310.2158852331099</v>
      </c>
      <c r="AP2090" s="2">
        <v>3093.9251873026201</v>
      </c>
      <c r="AQ2090" s="2">
        <v>4744.6584449008697</v>
      </c>
      <c r="AR2090" s="2">
        <v>4555.4975975755196</v>
      </c>
      <c r="AS2090" s="2">
        <v>7093.0098092775897</v>
      </c>
      <c r="AT2090" s="2">
        <v>5740.8204790946602</v>
      </c>
      <c r="AU2090" s="2">
        <v>4381.1713952863802</v>
      </c>
      <c r="AV2090" s="2">
        <v>5637.48261041965</v>
      </c>
      <c r="AW2090" s="2">
        <v>5091.1838400496499</v>
      </c>
      <c r="AX2090" s="2">
        <v>5528.5200284725497</v>
      </c>
    </row>
    <row r="2091" spans="1:50" x14ac:dyDescent="0.25">
      <c r="A2091" s="2" t="s">
        <v>14108</v>
      </c>
      <c r="B2091" s="2">
        <v>310.20197105958403</v>
      </c>
      <c r="C2091" s="2">
        <v>5.8168333333333297</v>
      </c>
      <c r="D2091" s="2" t="s">
        <v>51</v>
      </c>
      <c r="E2091" s="2" t="s">
        <v>14109</v>
      </c>
      <c r="F2091" s="2">
        <v>197674</v>
      </c>
      <c r="G2091" s="3" t="str">
        <f>HYPERLINK("https://cloud.oebiotech.com/#/lm/network/197674", "https://cloud.oebiotech.com/#/lm/network/197674")</f>
        <v>https://cloud.oebiotech.com/#/lm/network/197674</v>
      </c>
      <c r="H2091" s="2" t="s">
        <v>14110</v>
      </c>
      <c r="I2091" s="2"/>
      <c r="J2091" s="2"/>
      <c r="K2091" s="2"/>
      <c r="L2091" s="2"/>
      <c r="M2091" s="2"/>
      <c r="N2091" s="2"/>
      <c r="O2091" s="2"/>
      <c r="P2091" s="2"/>
      <c r="Q2091" s="2"/>
      <c r="R2091" s="2"/>
      <c r="S2091" s="2" t="s">
        <v>14111</v>
      </c>
      <c r="T2091" s="2" t="s">
        <v>14112</v>
      </c>
      <c r="U2091" s="2" t="s">
        <v>56</v>
      </c>
      <c r="V2091" s="2" t="s">
        <v>145</v>
      </c>
      <c r="W2091" s="2" t="s">
        <v>1188</v>
      </c>
      <c r="X2091" s="2" t="s">
        <v>83</v>
      </c>
      <c r="Y2091" s="2">
        <v>61.4</v>
      </c>
      <c r="Z2091" s="2">
        <v>25.7</v>
      </c>
      <c r="AA2091" s="2" t="s">
        <v>196</v>
      </c>
      <c r="AB2091" s="2" t="s">
        <v>14113</v>
      </c>
      <c r="AC2091" s="2">
        <v>2.2195729389029499</v>
      </c>
      <c r="AD2091" s="2"/>
      <c r="AE2091" s="2">
        <v>0.31607246811382</v>
      </c>
      <c r="AF2091" s="2">
        <v>47154.937164460804</v>
      </c>
      <c r="AG2091" s="2">
        <v>53062.562608902001</v>
      </c>
      <c r="AH2091" s="4">
        <v>0.88866678965387702</v>
      </c>
      <c r="AI2091" s="4">
        <v>-0.17028552063220001</v>
      </c>
      <c r="AJ2091" s="4" t="s">
        <v>62</v>
      </c>
      <c r="AK2091" s="2">
        <v>0.77236673157337699</v>
      </c>
      <c r="AL2091" s="2">
        <v>0.89824510976516003</v>
      </c>
      <c r="AM2091" s="2">
        <v>30615.278587311099</v>
      </c>
      <c r="AN2091" s="2">
        <v>57130.736480436899</v>
      </c>
      <c r="AO2091" s="2">
        <v>47231.297238116698</v>
      </c>
      <c r="AP2091" s="2">
        <v>56402.169038317399</v>
      </c>
      <c r="AQ2091" s="2">
        <v>36505.179692712401</v>
      </c>
      <c r="AR2091" s="2">
        <v>55044.961949870201</v>
      </c>
      <c r="AS2091" s="2">
        <v>28266.681629164901</v>
      </c>
      <c r="AT2091" s="2">
        <v>41522.041657246104</v>
      </c>
      <c r="AU2091" s="2">
        <v>17193.892653340201</v>
      </c>
      <c r="AV2091" s="2">
        <v>56919.306935715103</v>
      </c>
      <c r="AW2091" s="2">
        <v>145678.95940617999</v>
      </c>
      <c r="AX2091" s="2">
        <v>28794.493371765599</v>
      </c>
    </row>
    <row r="2092" spans="1:50" x14ac:dyDescent="0.25">
      <c r="A2092" s="2" t="s">
        <v>14114</v>
      </c>
      <c r="B2092" s="2">
        <v>650.43986423414799</v>
      </c>
      <c r="C2092" s="2">
        <v>11.56945</v>
      </c>
      <c r="D2092" s="2" t="s">
        <v>51</v>
      </c>
      <c r="E2092" s="2" t="s">
        <v>14115</v>
      </c>
      <c r="F2092" s="2">
        <v>19688</v>
      </c>
      <c r="G2092" s="3" t="str">
        <f>HYPERLINK("https://cloud.oebiotech.com/#/lm/network/19688", "https://cloud.oebiotech.com/#/lm/network/19688")</f>
        <v>https://cloud.oebiotech.com/#/lm/network/19688</v>
      </c>
      <c r="H2092" s="2"/>
      <c r="I2092" s="2">
        <v>62938</v>
      </c>
      <c r="J2092" s="2" t="s">
        <v>14116</v>
      </c>
      <c r="K2092" s="2">
        <v>17757205</v>
      </c>
      <c r="L2092" s="2"/>
      <c r="M2092" s="2"/>
      <c r="N2092" s="2"/>
      <c r="O2092" s="2">
        <v>138940</v>
      </c>
      <c r="P2092" s="2"/>
      <c r="Q2092" s="2"/>
      <c r="R2092" s="2"/>
      <c r="S2092" s="2" t="s">
        <v>14117</v>
      </c>
      <c r="T2092" s="2" t="s">
        <v>14118</v>
      </c>
      <c r="U2092" s="2" t="s">
        <v>56</v>
      </c>
      <c r="V2092" s="2" t="s">
        <v>57</v>
      </c>
      <c r="W2092" s="2" t="s">
        <v>58</v>
      </c>
      <c r="X2092" s="2" t="s">
        <v>69</v>
      </c>
      <c r="Y2092" s="2">
        <v>69.099999999999994</v>
      </c>
      <c r="Z2092" s="2">
        <v>83</v>
      </c>
      <c r="AA2092" s="2" t="s">
        <v>163</v>
      </c>
      <c r="AB2092" s="2" t="s">
        <v>14119</v>
      </c>
      <c r="AC2092" s="2">
        <v>-0.58126142350765597</v>
      </c>
      <c r="AD2092" s="2"/>
      <c r="AE2092" s="2">
        <v>0.31597508276770803</v>
      </c>
      <c r="AF2092" s="2">
        <v>17486.4376663578</v>
      </c>
      <c r="AG2092" s="2">
        <v>13463.5471302842</v>
      </c>
      <c r="AH2092" s="5">
        <v>1.2987987115984301</v>
      </c>
      <c r="AI2092" s="5">
        <v>0.37717785859136499</v>
      </c>
      <c r="AJ2092" s="5" t="s">
        <v>139</v>
      </c>
      <c r="AK2092" s="2">
        <v>0.34111163236195002</v>
      </c>
      <c r="AL2092" s="2">
        <v>0.63815037094278604</v>
      </c>
      <c r="AM2092" s="2">
        <v>17982.996961155499</v>
      </c>
      <c r="AN2092" s="2">
        <v>23983.603025911001</v>
      </c>
      <c r="AO2092" s="2">
        <v>25665.105435474001</v>
      </c>
      <c r="AP2092" s="2">
        <v>12299.4924556354</v>
      </c>
      <c r="AQ2092" s="2">
        <v>10871.6744617526</v>
      </c>
      <c r="AR2092" s="2">
        <v>14115.7536582185</v>
      </c>
      <c r="AS2092" s="2">
        <v>19308.356821326299</v>
      </c>
      <c r="AT2092" s="2">
        <v>6783.8230228397297</v>
      </c>
      <c r="AU2092" s="2">
        <v>20620.714590779698</v>
      </c>
      <c r="AV2092" s="2">
        <v>3583.6360561022502</v>
      </c>
      <c r="AW2092" s="2">
        <v>9735.4637524497793</v>
      </c>
      <c r="AX2092" s="2">
        <v>20749.2885382075</v>
      </c>
    </row>
    <row r="2093" spans="1:50" x14ac:dyDescent="0.25">
      <c r="A2093" s="2" t="s">
        <v>14120</v>
      </c>
      <c r="B2093" s="2">
        <v>312.14539761476601</v>
      </c>
      <c r="C2093" s="2">
        <v>7.2044833333333296</v>
      </c>
      <c r="D2093" s="2" t="s">
        <v>51</v>
      </c>
      <c r="E2093" s="2" t="s">
        <v>14121</v>
      </c>
      <c r="F2093" s="2">
        <v>211703</v>
      </c>
      <c r="G2093" s="3" t="str">
        <f>HYPERLINK("https://cloud.oebiotech.com/#/lm/network/211703", "https://cloud.oebiotech.com/#/lm/network/211703")</f>
        <v>https://cloud.oebiotech.com/#/lm/network/211703</v>
      </c>
      <c r="H2093" s="2" t="s">
        <v>14122</v>
      </c>
      <c r="I2093" s="2"/>
      <c r="J2093" s="2"/>
      <c r="K2093" s="2">
        <v>18473259</v>
      </c>
      <c r="L2093" s="2"/>
      <c r="M2093" s="2"/>
      <c r="N2093" s="2"/>
      <c r="O2093" s="2"/>
      <c r="P2093" s="2"/>
      <c r="Q2093" s="2"/>
      <c r="R2093" s="2"/>
      <c r="S2093" s="2" t="s">
        <v>14123</v>
      </c>
      <c r="T2093" s="2" t="s">
        <v>14124</v>
      </c>
      <c r="U2093" s="2" t="s">
        <v>266</v>
      </c>
      <c r="V2093" s="2" t="s">
        <v>2143</v>
      </c>
      <c r="W2093" s="2" t="s">
        <v>6504</v>
      </c>
      <c r="X2093" s="2" t="s">
        <v>147</v>
      </c>
      <c r="Y2093" s="2">
        <v>40.200000000000003</v>
      </c>
      <c r="Z2093" s="2">
        <v>6.95</v>
      </c>
      <c r="AA2093" s="2" t="s">
        <v>218</v>
      </c>
      <c r="AB2093" s="2" t="s">
        <v>14125</v>
      </c>
      <c r="AC2093" s="2">
        <v>0.51128489529151899</v>
      </c>
      <c r="AD2093" s="2"/>
      <c r="AE2093" s="2">
        <v>0.315696951467616</v>
      </c>
      <c r="AF2093" s="2">
        <v>3246.59236729965</v>
      </c>
      <c r="AG2093" s="2">
        <v>908.31219962750595</v>
      </c>
      <c r="AH2093" s="5">
        <v>3.5743132907727801</v>
      </c>
      <c r="AI2093" s="5">
        <v>1.8376660930350699</v>
      </c>
      <c r="AJ2093" s="5" t="s">
        <v>139</v>
      </c>
      <c r="AK2093" s="2">
        <v>2.5130391266443002E-2</v>
      </c>
      <c r="AL2093" s="2">
        <v>0.24527119295206001</v>
      </c>
      <c r="AM2093" s="2">
        <v>4094.72908001528</v>
      </c>
      <c r="AN2093" s="2">
        <v>6954.6555682374101</v>
      </c>
      <c r="AO2093" s="2">
        <v>2148.2317477679098</v>
      </c>
      <c r="AP2093" s="2">
        <v>2329.9393334200699</v>
      </c>
      <c r="AQ2093" s="2">
        <v>1241.0204638452601</v>
      </c>
      <c r="AR2093" s="2">
        <v>2710.9780105119899</v>
      </c>
      <c r="AS2093" s="2">
        <v>1260.5020000570701</v>
      </c>
      <c r="AT2093" s="2">
        <v>528.91394110273404</v>
      </c>
      <c r="AU2093" s="2">
        <v>771.06157319896499</v>
      </c>
      <c r="AV2093" s="2">
        <v>155.05561667180601</v>
      </c>
      <c r="AW2093" s="2">
        <v>472.63294422478299</v>
      </c>
      <c r="AX2093" s="2">
        <v>2261.7071225096802</v>
      </c>
    </row>
    <row r="2094" spans="1:50" x14ac:dyDescent="0.25">
      <c r="A2094" s="2" t="s">
        <v>14126</v>
      </c>
      <c r="B2094" s="2">
        <v>199.02175717232501</v>
      </c>
      <c r="C2094" s="2">
        <v>1.7673666666666701</v>
      </c>
      <c r="D2094" s="2" t="s">
        <v>51</v>
      </c>
      <c r="E2094" s="2" t="s">
        <v>14127</v>
      </c>
      <c r="F2094" s="2">
        <v>201563</v>
      </c>
      <c r="G2094" s="3" t="str">
        <f>HYPERLINK("https://cloud.oebiotech.com/#/lm/network/201563", "https://cloud.oebiotech.com/#/lm/network/201563")</f>
        <v>https://cloud.oebiotech.com/#/lm/network/201563</v>
      </c>
      <c r="H2094" s="2" t="s">
        <v>14128</v>
      </c>
      <c r="I2094" s="2">
        <v>336899</v>
      </c>
      <c r="J2094" s="2"/>
      <c r="K2094" s="2">
        <v>73943</v>
      </c>
      <c r="L2094" s="2"/>
      <c r="M2094" s="2"/>
      <c r="N2094" s="2"/>
      <c r="O2094" s="2"/>
      <c r="P2094" s="2"/>
      <c r="Q2094" s="2"/>
      <c r="R2094" s="2"/>
      <c r="S2094" s="2" t="s">
        <v>14129</v>
      </c>
      <c r="T2094" s="2" t="s">
        <v>14130</v>
      </c>
      <c r="U2094" s="2" t="s">
        <v>331</v>
      </c>
      <c r="V2094" s="2" t="s">
        <v>332</v>
      </c>
      <c r="W2094" s="2" t="s">
        <v>1207</v>
      </c>
      <c r="X2094" s="2" t="s">
        <v>147</v>
      </c>
      <c r="Y2094" s="2">
        <v>38.299999999999997</v>
      </c>
      <c r="Z2094" s="2">
        <v>0</v>
      </c>
      <c r="AA2094" s="2" t="s">
        <v>218</v>
      </c>
      <c r="AB2094" s="2" t="s">
        <v>14131</v>
      </c>
      <c r="AC2094" s="2">
        <v>-3.95884079783416</v>
      </c>
      <c r="AD2094" s="2"/>
      <c r="AE2094" s="2">
        <v>0.31556989926879198</v>
      </c>
      <c r="AF2094" s="2">
        <v>4645.0168111843504</v>
      </c>
      <c r="AG2094" s="2">
        <v>2394.2636727284098</v>
      </c>
      <c r="AH2094" s="5">
        <v>1.94006068090699</v>
      </c>
      <c r="AI2094" s="5">
        <v>0.95610177750234304</v>
      </c>
      <c r="AJ2094" s="5" t="s">
        <v>139</v>
      </c>
      <c r="AK2094" s="2">
        <v>3.6045637620112799E-3</v>
      </c>
      <c r="AL2094" s="2">
        <v>0.1120315017845</v>
      </c>
      <c r="AM2094" s="2">
        <v>4259.0578159585402</v>
      </c>
      <c r="AN2094" s="2">
        <v>6538.8040099537202</v>
      </c>
      <c r="AO2094" s="2">
        <v>3209.4537427227101</v>
      </c>
      <c r="AP2094" s="2">
        <v>3234.3718733249698</v>
      </c>
      <c r="AQ2094" s="2">
        <v>5439.2021270703399</v>
      </c>
      <c r="AR2094" s="2">
        <v>5189.2112980758502</v>
      </c>
      <c r="AS2094" s="2">
        <v>3167.3913044024698</v>
      </c>
      <c r="AT2094" s="2">
        <v>1768.97153314198</v>
      </c>
      <c r="AU2094" s="2">
        <v>3097.2508307143798</v>
      </c>
      <c r="AV2094" s="2">
        <v>1872.3617805367301</v>
      </c>
      <c r="AW2094" s="2">
        <v>1988.5211770670301</v>
      </c>
      <c r="AX2094" s="2">
        <v>2471.0854105078802</v>
      </c>
    </row>
    <row r="2095" spans="1:50" x14ac:dyDescent="0.25">
      <c r="A2095" s="2" t="s">
        <v>14132</v>
      </c>
      <c r="B2095" s="2">
        <v>386.182496300482</v>
      </c>
      <c r="C2095" s="2">
        <v>6.2920666666666696</v>
      </c>
      <c r="D2095" s="2" t="s">
        <v>51</v>
      </c>
      <c r="E2095" s="2" t="s">
        <v>14133</v>
      </c>
      <c r="F2095" s="2">
        <v>64017</v>
      </c>
      <c r="G2095" s="3" t="str">
        <f>HYPERLINK("https://cloud.oebiotech.com/#/lm/network/64017", "https://cloud.oebiotech.com/#/lm/network/64017")</f>
        <v>https://cloud.oebiotech.com/#/lm/network/64017</v>
      </c>
      <c r="H2095" s="2" t="s">
        <v>14134</v>
      </c>
      <c r="I2095" s="2">
        <v>95348</v>
      </c>
      <c r="J2095" s="2"/>
      <c r="K2095" s="2">
        <v>131752976</v>
      </c>
      <c r="L2095" s="2"/>
      <c r="M2095" s="2"/>
      <c r="N2095" s="2"/>
      <c r="O2095" s="2">
        <v>175740</v>
      </c>
      <c r="P2095" s="2"/>
      <c r="Q2095" s="2"/>
      <c r="R2095" s="2" t="s">
        <v>14135</v>
      </c>
      <c r="S2095" s="2" t="s">
        <v>14136</v>
      </c>
      <c r="T2095" s="2" t="s">
        <v>14137</v>
      </c>
      <c r="U2095" s="2" t="s">
        <v>56</v>
      </c>
      <c r="V2095" s="2" t="s">
        <v>145</v>
      </c>
      <c r="W2095" s="2" t="s">
        <v>3263</v>
      </c>
      <c r="X2095" s="2" t="s">
        <v>147</v>
      </c>
      <c r="Y2095" s="2">
        <v>38.700000000000003</v>
      </c>
      <c r="Z2095" s="2">
        <v>2.27</v>
      </c>
      <c r="AA2095" s="2" t="s">
        <v>512</v>
      </c>
      <c r="AB2095" s="2" t="s">
        <v>6523</v>
      </c>
      <c r="AC2095" s="2">
        <v>4.2185426618143698</v>
      </c>
      <c r="AD2095" s="2"/>
      <c r="AE2095" s="2">
        <v>0.31536456286702103</v>
      </c>
      <c r="AF2095" s="2">
        <v>415.13627135525297</v>
      </c>
      <c r="AG2095" s="2">
        <v>3820.6614200622998</v>
      </c>
      <c r="AH2095" s="4">
        <v>0.108655603235443</v>
      </c>
      <c r="AI2095" s="4">
        <v>-3.20216552044596</v>
      </c>
      <c r="AJ2095" s="4" t="s">
        <v>62</v>
      </c>
      <c r="AK2095" s="2">
        <v>0.130816509504702</v>
      </c>
      <c r="AL2095" s="2">
        <v>0.45075891870540802</v>
      </c>
      <c r="AM2095" s="2">
        <v>550.97875928860901</v>
      </c>
      <c r="AN2095" s="2">
        <v>259.26106365855799</v>
      </c>
      <c r="AO2095" s="2">
        <v>328.11007224789302</v>
      </c>
      <c r="AP2095" s="2">
        <v>41.846345290669099</v>
      </c>
      <c r="AQ2095" s="2">
        <v>446.60330648861401</v>
      </c>
      <c r="AR2095" s="2">
        <v>864.01808115717404</v>
      </c>
      <c r="AS2095" s="2">
        <v>462.838380925428</v>
      </c>
      <c r="AT2095" s="2">
        <v>1054.0973113049199</v>
      </c>
      <c r="AU2095" s="2">
        <v>3526.9851734665499</v>
      </c>
      <c r="AV2095" s="2">
        <v>3693.6879649723301</v>
      </c>
      <c r="AW2095" s="2">
        <v>13711.3112380895</v>
      </c>
      <c r="AX2095" s="2">
        <v>475.048451615077</v>
      </c>
    </row>
    <row r="2096" spans="1:50" x14ac:dyDescent="0.25">
      <c r="A2096" s="2" t="s">
        <v>14138</v>
      </c>
      <c r="B2096" s="2">
        <v>79.015559999999994</v>
      </c>
      <c r="C2096" s="2">
        <v>23.567</v>
      </c>
      <c r="D2096" s="2" t="s">
        <v>125</v>
      </c>
      <c r="E2096" s="2" t="s">
        <v>14139</v>
      </c>
      <c r="F2096" s="2">
        <v>511</v>
      </c>
      <c r="G2096" s="3" t="str">
        <f>HYPERLINK("https://cloud.oebiotech.com/#/lm/network/511", "https://cloud.oebiotech.com/#/lm/network/511")</f>
        <v>https://cloud.oebiotech.com/#/lm/network/511</v>
      </c>
      <c r="H2096" s="2" t="s">
        <v>14140</v>
      </c>
      <c r="I2096" s="2">
        <v>193</v>
      </c>
      <c r="J2096" s="2" t="s">
        <v>14141</v>
      </c>
      <c r="K2096" s="2">
        <v>444899</v>
      </c>
      <c r="L2096" s="2" t="s">
        <v>14142</v>
      </c>
      <c r="M2096" s="2" t="s">
        <v>14143</v>
      </c>
      <c r="N2096" s="2" t="s">
        <v>14144</v>
      </c>
      <c r="O2096" s="2">
        <v>15843</v>
      </c>
      <c r="P2096" s="2"/>
      <c r="Q2096" s="2"/>
      <c r="R2096" s="2" t="s">
        <v>14145</v>
      </c>
      <c r="S2096" s="2" t="s">
        <v>14146</v>
      </c>
      <c r="T2096" s="2" t="s">
        <v>14147</v>
      </c>
      <c r="U2096" s="2" t="s">
        <v>56</v>
      </c>
      <c r="V2096" s="2" t="s">
        <v>145</v>
      </c>
      <c r="W2096" s="2" t="s">
        <v>231</v>
      </c>
      <c r="X2096" s="2" t="s">
        <v>69</v>
      </c>
      <c r="Y2096" s="2">
        <v>98.6</v>
      </c>
      <c r="Z2096" s="2">
        <v>99.6</v>
      </c>
      <c r="AA2096" s="2"/>
      <c r="AB2096" s="2" t="s">
        <v>1794</v>
      </c>
      <c r="AC2096" s="2"/>
      <c r="AD2096" s="2">
        <v>833444.48630136997</v>
      </c>
      <c r="AE2096" s="2">
        <v>0.31528795386425401</v>
      </c>
      <c r="AF2096" s="2">
        <v>76746.872841913602</v>
      </c>
      <c r="AG2096" s="2">
        <v>105693.080900413</v>
      </c>
      <c r="AH2096" s="4">
        <v>0.7261295837731</v>
      </c>
      <c r="AI2096" s="4">
        <v>-0.46170106294116903</v>
      </c>
      <c r="AJ2096" s="4" t="s">
        <v>62</v>
      </c>
      <c r="AK2096" s="2">
        <v>0.19649748633411701</v>
      </c>
      <c r="AL2096" s="2">
        <v>0.52014995935017205</v>
      </c>
      <c r="AM2096" s="2">
        <v>78103.197170892599</v>
      </c>
      <c r="AN2096" s="2">
        <v>89129.533902286697</v>
      </c>
      <c r="AO2096" s="2">
        <v>63780.497893707601</v>
      </c>
      <c r="AP2096" s="2">
        <v>60815.007946257698</v>
      </c>
      <c r="AQ2096" s="2">
        <v>79156.127277173102</v>
      </c>
      <c r="AR2096" s="2">
        <v>89496.872861163996</v>
      </c>
      <c r="AS2096" s="2">
        <v>38030.384122354299</v>
      </c>
      <c r="AT2096" s="2">
        <v>60107.778723914496</v>
      </c>
      <c r="AU2096" s="2">
        <v>117607.131261046</v>
      </c>
      <c r="AV2096" s="2">
        <v>113174.045479049</v>
      </c>
      <c r="AW2096" s="2">
        <v>176295.867687461</v>
      </c>
      <c r="AX2096" s="2">
        <v>128943.278128654</v>
      </c>
    </row>
    <row r="2097" spans="1:50" x14ac:dyDescent="0.25">
      <c r="A2097" s="2" t="s">
        <v>14148</v>
      </c>
      <c r="B2097" s="2">
        <v>641.44011140598604</v>
      </c>
      <c r="C2097" s="2">
        <v>13.36505</v>
      </c>
      <c r="D2097" s="2" t="s">
        <v>51</v>
      </c>
      <c r="E2097" s="2" t="s">
        <v>14149</v>
      </c>
      <c r="F2097" s="2">
        <v>53502</v>
      </c>
      <c r="G2097" s="3" t="str">
        <f>HYPERLINK("https://cloud.oebiotech.com/#/lm/network/53502", "https://cloud.oebiotech.com/#/lm/network/53502")</f>
        <v>https://cloud.oebiotech.com/#/lm/network/53502</v>
      </c>
      <c r="H2097" s="2" t="s">
        <v>14150</v>
      </c>
      <c r="I2097" s="2">
        <v>85497</v>
      </c>
      <c r="J2097" s="2"/>
      <c r="K2097" s="2">
        <v>50192</v>
      </c>
      <c r="L2097" s="2" t="s">
        <v>14151</v>
      </c>
      <c r="M2097" s="2"/>
      <c r="N2097" s="2"/>
      <c r="O2097" s="2">
        <v>775157</v>
      </c>
      <c r="P2097" s="2"/>
      <c r="Q2097" s="2"/>
      <c r="R2097" s="2" t="s">
        <v>14152</v>
      </c>
      <c r="S2097" s="2" t="s">
        <v>14153</v>
      </c>
      <c r="T2097" s="2" t="s">
        <v>14154</v>
      </c>
      <c r="U2097" s="2" t="s">
        <v>56</v>
      </c>
      <c r="V2097" s="2" t="s">
        <v>283</v>
      </c>
      <c r="W2097" s="2" t="s">
        <v>1663</v>
      </c>
      <c r="X2097" s="2" t="s">
        <v>147</v>
      </c>
      <c r="Y2097" s="2">
        <v>37.4</v>
      </c>
      <c r="Z2097" s="2">
        <v>0</v>
      </c>
      <c r="AA2097" s="2" t="s">
        <v>395</v>
      </c>
      <c r="AB2097" s="2" t="s">
        <v>14155</v>
      </c>
      <c r="AC2097" s="2">
        <v>-0.25421678671663001</v>
      </c>
      <c r="AD2097" s="2"/>
      <c r="AE2097" s="2">
        <v>0.31501077082992601</v>
      </c>
      <c r="AF2097" s="2">
        <v>5908.3137475256399</v>
      </c>
      <c r="AG2097" s="2">
        <v>2053.9303836365598</v>
      </c>
      <c r="AH2097" s="5">
        <v>2.8765890969803798</v>
      </c>
      <c r="AI2097" s="5">
        <v>1.52435915570141</v>
      </c>
      <c r="AJ2097" s="5" t="s">
        <v>139</v>
      </c>
      <c r="AK2097" s="2">
        <v>0.31001831277223302</v>
      </c>
      <c r="AL2097" s="2">
        <v>0.61951488486326001</v>
      </c>
      <c r="AM2097" s="2">
        <v>4040.1401586161701</v>
      </c>
      <c r="AN2097" s="2">
        <v>23433.821669989698</v>
      </c>
      <c r="AO2097" s="2">
        <v>3561.5695443593199</v>
      </c>
      <c r="AP2097" s="2">
        <v>458.26223892039502</v>
      </c>
      <c r="AQ2097" s="2">
        <v>691.17128973802198</v>
      </c>
      <c r="AR2097" s="2">
        <v>3264.9175835302499</v>
      </c>
      <c r="AS2097" s="2">
        <v>8.559877937157E-6</v>
      </c>
      <c r="AT2097" s="2">
        <v>1478.5605977100299</v>
      </c>
      <c r="AU2097" s="2">
        <v>2856.16383932798</v>
      </c>
      <c r="AV2097" s="2">
        <v>1769.3791129818601</v>
      </c>
      <c r="AW2097" s="2">
        <v>2071.2637440040999</v>
      </c>
      <c r="AX2097" s="2">
        <v>4148.2149992354998</v>
      </c>
    </row>
    <row r="2098" spans="1:50" x14ac:dyDescent="0.25">
      <c r="A2098" s="2" t="s">
        <v>14156</v>
      </c>
      <c r="B2098" s="2">
        <v>206.139484127429</v>
      </c>
      <c r="C2098" s="2">
        <v>2.6235166666666698</v>
      </c>
      <c r="D2098" s="2" t="s">
        <v>51</v>
      </c>
      <c r="E2098" s="2" t="s">
        <v>14157</v>
      </c>
      <c r="F2098" s="2">
        <v>8774</v>
      </c>
      <c r="G2098" s="3" t="str">
        <f>HYPERLINK("https://cloud.oebiotech.com/#/lm/network/8774", "https://cloud.oebiotech.com/#/lm/network/8774")</f>
        <v>https://cloud.oebiotech.com/#/lm/network/8774</v>
      </c>
      <c r="H2098" s="2" t="s">
        <v>14158</v>
      </c>
      <c r="I2098" s="2">
        <v>3978</v>
      </c>
      <c r="J2098" s="2" t="s">
        <v>14159</v>
      </c>
      <c r="K2098" s="2">
        <v>131204</v>
      </c>
      <c r="L2098" s="2" t="s">
        <v>14160</v>
      </c>
      <c r="M2098" s="2" t="s">
        <v>14161</v>
      </c>
      <c r="N2098" s="2" t="s">
        <v>14162</v>
      </c>
      <c r="O2098" s="2">
        <v>27373</v>
      </c>
      <c r="P2098" s="2"/>
      <c r="Q2098" s="2"/>
      <c r="R2098" s="2" t="s">
        <v>14163</v>
      </c>
      <c r="S2098" s="2" t="s">
        <v>14164</v>
      </c>
      <c r="T2098" s="2" t="s">
        <v>14165</v>
      </c>
      <c r="U2098" s="2" t="s">
        <v>331</v>
      </c>
      <c r="V2098" s="2" t="s">
        <v>332</v>
      </c>
      <c r="W2098" s="2" t="s">
        <v>519</v>
      </c>
      <c r="X2098" s="2" t="s">
        <v>83</v>
      </c>
      <c r="Y2098" s="2">
        <v>47.9</v>
      </c>
      <c r="Z2098" s="2">
        <v>44.4</v>
      </c>
      <c r="AA2098" s="2" t="s">
        <v>60</v>
      </c>
      <c r="AB2098" s="2" t="s">
        <v>14166</v>
      </c>
      <c r="AC2098" s="2">
        <v>3.8980040474034401</v>
      </c>
      <c r="AD2098" s="2"/>
      <c r="AE2098" s="2">
        <v>0.31498275948371901</v>
      </c>
      <c r="AF2098" s="2">
        <v>9027.9048979095896</v>
      </c>
      <c r="AG2098" s="2">
        <v>1821.91570620991</v>
      </c>
      <c r="AH2098" s="5">
        <v>4.95517156317299</v>
      </c>
      <c r="AI2098" s="5">
        <v>2.3089350087849199</v>
      </c>
      <c r="AJ2098" s="5" t="s">
        <v>139</v>
      </c>
      <c r="AK2098" s="2">
        <v>0.24042434485168901</v>
      </c>
      <c r="AL2098" s="2">
        <v>0.56463581304765598</v>
      </c>
      <c r="AM2098" s="2">
        <v>1129.55756187722</v>
      </c>
      <c r="AN2098" s="2">
        <v>1017.94346453889</v>
      </c>
      <c r="AO2098" s="2">
        <v>2134.8908429233102</v>
      </c>
      <c r="AP2098" s="2">
        <v>1288.75008213912</v>
      </c>
      <c r="AQ2098" s="2">
        <v>12125.041201562</v>
      </c>
      <c r="AR2098" s="2">
        <v>36471.246234416998</v>
      </c>
      <c r="AS2098" s="2">
        <v>1672.60095457069</v>
      </c>
      <c r="AT2098" s="2">
        <v>2328.8253865938</v>
      </c>
      <c r="AU2098" s="2">
        <v>1069.90437115083</v>
      </c>
      <c r="AV2098" s="2">
        <v>3132.1124233088299</v>
      </c>
      <c r="AW2098" s="2">
        <v>945.75039689344499</v>
      </c>
      <c r="AX2098" s="2">
        <v>1782.30070474187</v>
      </c>
    </row>
    <row r="2099" spans="1:50" x14ac:dyDescent="0.25">
      <c r="A2099" s="2" t="s">
        <v>14167</v>
      </c>
      <c r="B2099" s="2">
        <v>263.09010631345399</v>
      </c>
      <c r="C2099" s="2">
        <v>8.0245666666666704</v>
      </c>
      <c r="D2099" s="2" t="s">
        <v>51</v>
      </c>
      <c r="E2099" s="2" t="s">
        <v>14168</v>
      </c>
      <c r="F2099" s="2">
        <v>267354</v>
      </c>
      <c r="G2099" s="3" t="str">
        <f>HYPERLINK("https://cloud.oebiotech.com/#/lm/network/267354", "https://cloud.oebiotech.com/#/lm/network/267354")</f>
        <v>https://cloud.oebiotech.com/#/lm/network/267354</v>
      </c>
      <c r="H2099" s="2"/>
      <c r="I2099" s="2">
        <v>45317</v>
      </c>
      <c r="J2099" s="2"/>
      <c r="K2099" s="2">
        <v>135398514</v>
      </c>
      <c r="L2099" s="2"/>
      <c r="M2099" s="2"/>
      <c r="N2099" s="2"/>
      <c r="O2099" s="2"/>
      <c r="P2099" s="2"/>
      <c r="Q2099" s="2"/>
      <c r="R2099" s="2" t="s">
        <v>14169</v>
      </c>
      <c r="S2099" s="2" t="s">
        <v>14170</v>
      </c>
      <c r="T2099" s="2" t="s">
        <v>14171</v>
      </c>
      <c r="U2099" s="2" t="s">
        <v>610</v>
      </c>
      <c r="V2099" s="2" t="s">
        <v>895</v>
      </c>
      <c r="W2099" s="2" t="s">
        <v>919</v>
      </c>
      <c r="X2099" s="2" t="s">
        <v>147</v>
      </c>
      <c r="Y2099" s="2">
        <v>39.1</v>
      </c>
      <c r="Z2099" s="2">
        <v>0</v>
      </c>
      <c r="AA2099" s="2" t="s">
        <v>218</v>
      </c>
      <c r="AB2099" s="2" t="s">
        <v>14172</v>
      </c>
      <c r="AC2099" s="2">
        <v>1.35023257343398</v>
      </c>
      <c r="AD2099" s="2"/>
      <c r="AE2099" s="2">
        <v>0.31489315163799197</v>
      </c>
      <c r="AF2099" s="2">
        <v>4717.89671360803</v>
      </c>
      <c r="AG2099" s="2">
        <v>2168.07263045226</v>
      </c>
      <c r="AH2099" s="5">
        <v>2.1760787195694</v>
      </c>
      <c r="AI2099" s="5">
        <v>1.1217307469734601</v>
      </c>
      <c r="AJ2099" s="5" t="s">
        <v>139</v>
      </c>
      <c r="AK2099" s="2">
        <v>4.0581906403189601E-2</v>
      </c>
      <c r="AL2099" s="2">
        <v>0.29155452793099101</v>
      </c>
      <c r="AM2099" s="2">
        <v>6308.0290374119704</v>
      </c>
      <c r="AN2099" s="2">
        <v>7302.1730183929403</v>
      </c>
      <c r="AO2099" s="2">
        <v>2012.5237101626999</v>
      </c>
      <c r="AP2099" s="2">
        <v>3250.8992386700802</v>
      </c>
      <c r="AQ2099" s="2">
        <v>3088.92921560474</v>
      </c>
      <c r="AR2099" s="2">
        <v>6344.8260614057299</v>
      </c>
      <c r="AS2099" s="2">
        <v>4240.2547565598297</v>
      </c>
      <c r="AT2099" s="2">
        <v>1020.9742696875099</v>
      </c>
      <c r="AU2099" s="2">
        <v>3446.0187844659299</v>
      </c>
      <c r="AV2099" s="2">
        <v>303.25821389754401</v>
      </c>
      <c r="AW2099" s="2">
        <v>1480.7382185686099</v>
      </c>
      <c r="AX2099" s="2">
        <v>2517.1915395341498</v>
      </c>
    </row>
    <row r="2100" spans="1:50" x14ac:dyDescent="0.25">
      <c r="A2100" s="2" t="s">
        <v>14173</v>
      </c>
      <c r="B2100" s="2">
        <v>471.17051026356199</v>
      </c>
      <c r="C2100" s="2">
        <v>3.5459333333333301</v>
      </c>
      <c r="D2100" s="2" t="s">
        <v>51</v>
      </c>
      <c r="E2100" s="2" t="s">
        <v>14174</v>
      </c>
      <c r="F2100" s="2">
        <v>204529</v>
      </c>
      <c r="G2100" s="3" t="str">
        <f>HYPERLINK("https://cloud.oebiotech.com/#/lm/network/204529", "https://cloud.oebiotech.com/#/lm/network/204529")</f>
        <v>https://cloud.oebiotech.com/#/lm/network/204529</v>
      </c>
      <c r="H2100" s="2" t="s">
        <v>14175</v>
      </c>
      <c r="I2100" s="2">
        <v>320568</v>
      </c>
      <c r="J2100" s="2"/>
      <c r="K2100" s="2">
        <v>2557</v>
      </c>
      <c r="L2100" s="2"/>
      <c r="M2100" s="2"/>
      <c r="N2100" s="2"/>
      <c r="O2100" s="2"/>
      <c r="P2100" s="2"/>
      <c r="Q2100" s="2"/>
      <c r="R2100" s="2"/>
      <c r="S2100" s="2" t="s">
        <v>14176</v>
      </c>
      <c r="T2100" s="2" t="s">
        <v>14177</v>
      </c>
      <c r="U2100" s="2" t="s">
        <v>266</v>
      </c>
      <c r="V2100" s="2" t="s">
        <v>445</v>
      </c>
      <c r="W2100" s="2" t="s">
        <v>240</v>
      </c>
      <c r="X2100" s="2" t="s">
        <v>83</v>
      </c>
      <c r="Y2100" s="2">
        <v>42.2</v>
      </c>
      <c r="Z2100" s="2">
        <v>0</v>
      </c>
      <c r="AA2100" s="2" t="s">
        <v>478</v>
      </c>
      <c r="AB2100" s="2" t="s">
        <v>14178</v>
      </c>
      <c r="AC2100" s="2">
        <v>-8.67002747565272</v>
      </c>
      <c r="AD2100" s="2"/>
      <c r="AE2100" s="2">
        <v>0.314406105902933</v>
      </c>
      <c r="AF2100" s="2">
        <v>10231.7986444406</v>
      </c>
      <c r="AG2100" s="2">
        <v>14653.371198344699</v>
      </c>
      <c r="AH2100" s="4">
        <v>0.69825560998525904</v>
      </c>
      <c r="AI2100" s="4">
        <v>-0.51817283531103098</v>
      </c>
      <c r="AJ2100" s="4" t="s">
        <v>62</v>
      </c>
      <c r="AK2100" s="2">
        <v>0.487463402680821</v>
      </c>
      <c r="AL2100" s="2">
        <v>0.73069856189217597</v>
      </c>
      <c r="AM2100" s="2">
        <v>5035.6751647741903</v>
      </c>
      <c r="AN2100" s="2">
        <v>2750.79845107649</v>
      </c>
      <c r="AO2100" s="2">
        <v>12559.6278054165</v>
      </c>
      <c r="AP2100" s="2">
        <v>17931.582282518</v>
      </c>
      <c r="AQ2100" s="2">
        <v>8572.84978365813</v>
      </c>
      <c r="AR2100" s="2">
        <v>14540.258379200201</v>
      </c>
      <c r="AS2100" s="2">
        <v>11105.6257417573</v>
      </c>
      <c r="AT2100" s="2">
        <v>14521.179090408799</v>
      </c>
      <c r="AU2100" s="2">
        <v>2499.22056399148</v>
      </c>
      <c r="AV2100" s="2">
        <v>9892.40462185467</v>
      </c>
      <c r="AW2100" s="2">
        <v>8152.0181434086599</v>
      </c>
      <c r="AX2100" s="2">
        <v>41749.779028647099</v>
      </c>
    </row>
    <row r="2101" spans="1:50" x14ac:dyDescent="0.25">
      <c r="A2101" s="2" t="s">
        <v>14179</v>
      </c>
      <c r="B2101" s="2">
        <v>216.04849921522501</v>
      </c>
      <c r="C2101" s="2">
        <v>4.5102333333333302</v>
      </c>
      <c r="D2101" s="2" t="s">
        <v>51</v>
      </c>
      <c r="E2101" s="2" t="s">
        <v>14180</v>
      </c>
      <c r="F2101" s="2">
        <v>204558</v>
      </c>
      <c r="G2101" s="3" t="str">
        <f>HYPERLINK("https://cloud.oebiotech.com/#/lm/network/204558", "https://cloud.oebiotech.com/#/lm/network/204558")</f>
        <v>https://cloud.oebiotech.com/#/lm/network/204558</v>
      </c>
      <c r="H2101" s="2" t="s">
        <v>14181</v>
      </c>
      <c r="I2101" s="2">
        <v>68941</v>
      </c>
      <c r="J2101" s="2"/>
      <c r="K2101" s="2">
        <v>21307</v>
      </c>
      <c r="L2101" s="2" t="s">
        <v>14182</v>
      </c>
      <c r="M2101" s="2"/>
      <c r="N2101" s="2"/>
      <c r="O2101" s="2">
        <v>3405</v>
      </c>
      <c r="P2101" s="2"/>
      <c r="Q2101" s="2"/>
      <c r="R2101" s="2" t="s">
        <v>14183</v>
      </c>
      <c r="S2101" s="2" t="s">
        <v>14184</v>
      </c>
      <c r="T2101" s="2" t="s">
        <v>14185</v>
      </c>
      <c r="U2101" s="2" t="s">
        <v>610</v>
      </c>
      <c r="V2101" s="2" t="s">
        <v>611</v>
      </c>
      <c r="W2101" s="2" t="s">
        <v>1267</v>
      </c>
      <c r="X2101" s="2" t="s">
        <v>147</v>
      </c>
      <c r="Y2101" s="2">
        <v>37</v>
      </c>
      <c r="Z2101" s="2">
        <v>0.91200000000000003</v>
      </c>
      <c r="AA2101" s="2" t="s">
        <v>379</v>
      </c>
      <c r="AB2101" s="2" t="s">
        <v>14186</v>
      </c>
      <c r="AC2101" s="2">
        <v>-1.5286112625981001</v>
      </c>
      <c r="AD2101" s="2"/>
      <c r="AE2101" s="2">
        <v>0.31423925223597998</v>
      </c>
      <c r="AF2101" s="2">
        <v>8540.4228152051601</v>
      </c>
      <c r="AG2101" s="2">
        <v>4942.6013054058203</v>
      </c>
      <c r="AH2101" s="5">
        <v>1.7279206408707</v>
      </c>
      <c r="AI2101" s="5">
        <v>0.78903695960126496</v>
      </c>
      <c r="AJ2101" s="5" t="s">
        <v>139</v>
      </c>
      <c r="AK2101" s="2">
        <v>7.7909950647158194E-2</v>
      </c>
      <c r="AL2101" s="2">
        <v>0.361903935282124</v>
      </c>
      <c r="AM2101" s="2">
        <v>11441.145855036601</v>
      </c>
      <c r="AN2101" s="2">
        <v>4574.5513067333304</v>
      </c>
      <c r="AO2101" s="2">
        <v>5668.53367570522</v>
      </c>
      <c r="AP2101" s="2">
        <v>11852.6017308556</v>
      </c>
      <c r="AQ2101" s="2">
        <v>12284.8963064239</v>
      </c>
      <c r="AR2101" s="2">
        <v>5420.8080164762896</v>
      </c>
      <c r="AS2101" s="2">
        <v>3548.0587128632901</v>
      </c>
      <c r="AT2101" s="2">
        <v>5706.7499911238301</v>
      </c>
      <c r="AU2101" s="2">
        <v>4437.0763881949497</v>
      </c>
      <c r="AV2101" s="2">
        <v>9799.5153913224003</v>
      </c>
      <c r="AW2101" s="2">
        <v>3441.2327320948698</v>
      </c>
      <c r="AX2101" s="2">
        <v>2722.97461683556</v>
      </c>
    </row>
    <row r="2102" spans="1:50" x14ac:dyDescent="0.25">
      <c r="A2102" s="2" t="s">
        <v>14187</v>
      </c>
      <c r="B2102" s="2">
        <v>247.17002627180901</v>
      </c>
      <c r="C2102" s="2">
        <v>9.6251166666666705</v>
      </c>
      <c r="D2102" s="2" t="s">
        <v>51</v>
      </c>
      <c r="E2102" s="2" t="s">
        <v>14188</v>
      </c>
      <c r="F2102" s="2">
        <v>1962</v>
      </c>
      <c r="G2102" s="3" t="str">
        <f>HYPERLINK("https://cloud.oebiotech.com/#/lm/network/1962", "https://cloud.oebiotech.com/#/lm/network/1962")</f>
        <v>https://cloud.oebiotech.com/#/lm/network/1962</v>
      </c>
      <c r="H2102" s="2"/>
      <c r="I2102" s="2"/>
      <c r="J2102" s="2" t="s">
        <v>14189</v>
      </c>
      <c r="K2102" s="2">
        <v>70679005</v>
      </c>
      <c r="L2102" s="2"/>
      <c r="M2102" s="2"/>
      <c r="N2102" s="2"/>
      <c r="O2102" s="2">
        <v>70740</v>
      </c>
      <c r="P2102" s="2"/>
      <c r="Q2102" s="2"/>
      <c r="R2102" s="2"/>
      <c r="S2102" s="2" t="s">
        <v>14190</v>
      </c>
      <c r="T2102" s="2" t="s">
        <v>14191</v>
      </c>
      <c r="U2102" s="2" t="s">
        <v>56</v>
      </c>
      <c r="V2102" s="2" t="s">
        <v>145</v>
      </c>
      <c r="W2102" s="2" t="s">
        <v>231</v>
      </c>
      <c r="X2102" s="2" t="s">
        <v>83</v>
      </c>
      <c r="Y2102" s="2">
        <v>41.3</v>
      </c>
      <c r="Z2102" s="2">
        <v>0</v>
      </c>
      <c r="AA2102" s="2" t="s">
        <v>156</v>
      </c>
      <c r="AB2102" s="2" t="s">
        <v>10507</v>
      </c>
      <c r="AC2102" s="2">
        <v>2.9143583039117802</v>
      </c>
      <c r="AD2102" s="2"/>
      <c r="AE2102" s="2">
        <v>0.31377269048713002</v>
      </c>
      <c r="AF2102" s="2">
        <v>6571.1882016025202</v>
      </c>
      <c r="AG2102" s="2">
        <v>4267.9138032381998</v>
      </c>
      <c r="AH2102" s="5">
        <v>1.53967219221174</v>
      </c>
      <c r="AI2102" s="5">
        <v>0.62262322299048201</v>
      </c>
      <c r="AJ2102" s="5" t="s">
        <v>139</v>
      </c>
      <c r="AK2102" s="2">
        <v>8.2910645092140398E-2</v>
      </c>
      <c r="AL2102" s="2">
        <v>0.37259997232052</v>
      </c>
      <c r="AM2102" s="2">
        <v>10765.8558248237</v>
      </c>
      <c r="AN2102" s="2">
        <v>7995.1438169305002</v>
      </c>
      <c r="AO2102" s="2">
        <v>4868.1954457928296</v>
      </c>
      <c r="AP2102" s="2">
        <v>4894.60981857361</v>
      </c>
      <c r="AQ2102" s="2">
        <v>5275.3180909251096</v>
      </c>
      <c r="AR2102" s="2">
        <v>5628.0062125693803</v>
      </c>
      <c r="AS2102" s="2">
        <v>5946.5422706190302</v>
      </c>
      <c r="AT2102" s="2">
        <v>2706.4379917245501</v>
      </c>
      <c r="AU2102" s="2">
        <v>6507.9556670971797</v>
      </c>
      <c r="AV2102" s="2">
        <v>2568.8238953383898</v>
      </c>
      <c r="AW2102" s="2">
        <v>3044.1370253432901</v>
      </c>
      <c r="AX2102" s="2">
        <v>4833.5859693067496</v>
      </c>
    </row>
    <row r="2103" spans="1:50" x14ac:dyDescent="0.25">
      <c r="A2103" s="2" t="s">
        <v>14192</v>
      </c>
      <c r="B2103" s="2">
        <v>243.062015230475</v>
      </c>
      <c r="C2103" s="2">
        <v>1.0339</v>
      </c>
      <c r="D2103" s="2" t="s">
        <v>51</v>
      </c>
      <c r="E2103" s="2" t="s">
        <v>14193</v>
      </c>
      <c r="F2103" s="2">
        <v>46982</v>
      </c>
      <c r="G2103" s="3" t="str">
        <f>HYPERLINK("https://cloud.oebiotech.com/#/lm/network/46982", "https://cloud.oebiotech.com/#/lm/network/46982")</f>
        <v>https://cloud.oebiotech.com/#/lm/network/46982</v>
      </c>
      <c r="H2103" s="2" t="s">
        <v>14194</v>
      </c>
      <c r="I2103" s="2">
        <v>90</v>
      </c>
      <c r="J2103" s="2"/>
      <c r="K2103" s="2">
        <v>6029</v>
      </c>
      <c r="L2103" s="2" t="s">
        <v>14195</v>
      </c>
      <c r="M2103" s="2" t="s">
        <v>3456</v>
      </c>
      <c r="N2103" s="2" t="s">
        <v>3457</v>
      </c>
      <c r="O2103" s="2">
        <v>16704</v>
      </c>
      <c r="P2103" s="2" t="s">
        <v>14196</v>
      </c>
      <c r="Q2103" s="2" t="s">
        <v>14197</v>
      </c>
      <c r="R2103" s="2" t="s">
        <v>14198</v>
      </c>
      <c r="S2103" s="2" t="s">
        <v>14199</v>
      </c>
      <c r="T2103" s="2" t="s">
        <v>14200</v>
      </c>
      <c r="U2103" s="2" t="s">
        <v>295</v>
      </c>
      <c r="V2103" s="2" t="s">
        <v>1818</v>
      </c>
      <c r="W2103" s="2" t="s">
        <v>240</v>
      </c>
      <c r="X2103" s="2" t="s">
        <v>69</v>
      </c>
      <c r="Y2103" s="2">
        <v>49.9</v>
      </c>
      <c r="Z2103" s="2">
        <v>49.9</v>
      </c>
      <c r="AA2103" s="2" t="s">
        <v>241</v>
      </c>
      <c r="AB2103" s="2" t="s">
        <v>13553</v>
      </c>
      <c r="AC2103" s="2">
        <v>-1.00155606865424</v>
      </c>
      <c r="AD2103" s="2"/>
      <c r="AE2103" s="2">
        <v>0.31362758638666099</v>
      </c>
      <c r="AF2103" s="2">
        <v>26461.546442656301</v>
      </c>
      <c r="AG2103" s="2">
        <v>32044.754720393099</v>
      </c>
      <c r="AH2103" s="4">
        <v>0.825768418998579</v>
      </c>
      <c r="AI2103" s="4">
        <v>-0.27619085029597201</v>
      </c>
      <c r="AJ2103" s="4" t="s">
        <v>62</v>
      </c>
      <c r="AK2103" s="2">
        <v>0.28315266615477402</v>
      </c>
      <c r="AL2103" s="2">
        <v>0.60000138164408201</v>
      </c>
      <c r="AM2103" s="2">
        <v>22829.831790592401</v>
      </c>
      <c r="AN2103" s="2">
        <v>22692.4048386102</v>
      </c>
      <c r="AO2103" s="2">
        <v>36996.343852055703</v>
      </c>
      <c r="AP2103" s="2">
        <v>25868.542878489301</v>
      </c>
      <c r="AQ2103" s="2">
        <v>23511.936784420301</v>
      </c>
      <c r="AR2103" s="2">
        <v>26870.218511769599</v>
      </c>
      <c r="AS2103" s="2">
        <v>22147.443863497199</v>
      </c>
      <c r="AT2103" s="2">
        <v>28640.363769122101</v>
      </c>
      <c r="AU2103" s="2">
        <v>42550.5461236911</v>
      </c>
      <c r="AV2103" s="2">
        <v>48346.940728676702</v>
      </c>
      <c r="AW2103" s="2">
        <v>26392.736750627901</v>
      </c>
      <c r="AX2103" s="2">
        <v>24190.4970867435</v>
      </c>
    </row>
    <row r="2104" spans="1:50" x14ac:dyDescent="0.25">
      <c r="A2104" s="2" t="s">
        <v>14201</v>
      </c>
      <c r="B2104" s="2">
        <v>709.39965448123701</v>
      </c>
      <c r="C2104" s="2">
        <v>12.55655</v>
      </c>
      <c r="D2104" s="2" t="s">
        <v>51</v>
      </c>
      <c r="E2104" s="2" t="s">
        <v>14202</v>
      </c>
      <c r="F2104" s="2">
        <v>204300</v>
      </c>
      <c r="G2104" s="3" t="str">
        <f>HYPERLINK("https://cloud.oebiotech.com/#/lm/network/204300", "https://cloud.oebiotech.com/#/lm/network/204300")</f>
        <v>https://cloud.oebiotech.com/#/lm/network/204300</v>
      </c>
      <c r="H2104" s="2" t="s">
        <v>14203</v>
      </c>
      <c r="I2104" s="2"/>
      <c r="J2104" s="2"/>
      <c r="K2104" s="2">
        <v>71346343</v>
      </c>
      <c r="L2104" s="2"/>
      <c r="M2104" s="2"/>
      <c r="N2104" s="2"/>
      <c r="O2104" s="2"/>
      <c r="P2104" s="2"/>
      <c r="Q2104" s="2"/>
      <c r="R2104" s="2"/>
      <c r="S2104" s="2" t="s">
        <v>14204</v>
      </c>
      <c r="T2104" s="2" t="s">
        <v>14205</v>
      </c>
      <c r="U2104" s="2" t="s">
        <v>103</v>
      </c>
      <c r="V2104" s="2" t="s">
        <v>1372</v>
      </c>
      <c r="W2104" s="2" t="s">
        <v>1373</v>
      </c>
      <c r="X2104" s="2" t="s">
        <v>147</v>
      </c>
      <c r="Y2104" s="2">
        <v>36.4</v>
      </c>
      <c r="Z2104" s="2">
        <v>0</v>
      </c>
      <c r="AA2104" s="2" t="s">
        <v>379</v>
      </c>
      <c r="AB2104" s="2" t="s">
        <v>14206</v>
      </c>
      <c r="AC2104" s="2">
        <v>3.5631467674792998</v>
      </c>
      <c r="AD2104" s="2"/>
      <c r="AE2104" s="2">
        <v>0.31343486381135899</v>
      </c>
      <c r="AF2104" s="2">
        <v>6925.6548508743399</v>
      </c>
      <c r="AG2104" s="2">
        <v>10429.251287413001</v>
      </c>
      <c r="AH2104" s="4">
        <v>0.66406059840871701</v>
      </c>
      <c r="AI2104" s="4">
        <v>-0.59061319513042798</v>
      </c>
      <c r="AJ2104" s="4" t="s">
        <v>62</v>
      </c>
      <c r="AK2104" s="2">
        <v>0.18867864679193599</v>
      </c>
      <c r="AL2104" s="2">
        <v>0.51296291332672606</v>
      </c>
      <c r="AM2104" s="2">
        <v>5719.9442425398802</v>
      </c>
      <c r="AN2104" s="2">
        <v>4869.1774092247797</v>
      </c>
      <c r="AO2104" s="2">
        <v>5729.2233188685304</v>
      </c>
      <c r="AP2104" s="2">
        <v>4560.7018187780004</v>
      </c>
      <c r="AQ2104" s="2">
        <v>9864.2855984023608</v>
      </c>
      <c r="AR2104" s="2">
        <v>10810.5967174325</v>
      </c>
      <c r="AS2104" s="2">
        <v>4588.8105921490496</v>
      </c>
      <c r="AT2104" s="2">
        <v>2720.7182694274302</v>
      </c>
      <c r="AU2104" s="2">
        <v>15730.539677443299</v>
      </c>
      <c r="AV2104" s="2">
        <v>14718.9014152943</v>
      </c>
      <c r="AW2104" s="2">
        <v>11798.5049998425</v>
      </c>
      <c r="AX2104" s="2">
        <v>13018.032770321301</v>
      </c>
    </row>
    <row r="2105" spans="1:50" x14ac:dyDescent="0.25">
      <c r="A2105" s="2" t="s">
        <v>14207</v>
      </c>
      <c r="B2105" s="2">
        <v>421.111952281703</v>
      </c>
      <c r="C2105" s="2">
        <v>4.9007166666666704</v>
      </c>
      <c r="D2105" s="2" t="s">
        <v>51</v>
      </c>
      <c r="E2105" s="2" t="s">
        <v>14208</v>
      </c>
      <c r="F2105" s="2">
        <v>210468</v>
      </c>
      <c r="G2105" s="3" t="str">
        <f>HYPERLINK("https://cloud.oebiotech.com/#/lm/network/210468", "https://cloud.oebiotech.com/#/lm/network/210468")</f>
        <v>https://cloud.oebiotech.com/#/lm/network/210468</v>
      </c>
      <c r="H2105" s="2" t="s">
        <v>14209</v>
      </c>
      <c r="I2105" s="2"/>
      <c r="J2105" s="2"/>
      <c r="K2105" s="2">
        <v>4486826</v>
      </c>
      <c r="L2105" s="2"/>
      <c r="M2105" s="2"/>
      <c r="N2105" s="2"/>
      <c r="O2105" s="2"/>
      <c r="P2105" s="2"/>
      <c r="Q2105" s="2"/>
      <c r="R2105" s="2"/>
      <c r="S2105" s="2" t="s">
        <v>14210</v>
      </c>
      <c r="T2105" s="2" t="s">
        <v>14211</v>
      </c>
      <c r="U2105" s="2" t="s">
        <v>2723</v>
      </c>
      <c r="V2105" s="2" t="s">
        <v>14212</v>
      </c>
      <c r="W2105" s="2" t="s">
        <v>14213</v>
      </c>
      <c r="X2105" s="2" t="s">
        <v>59</v>
      </c>
      <c r="Y2105" s="2">
        <v>49.4</v>
      </c>
      <c r="Z2105" s="2">
        <v>64</v>
      </c>
      <c r="AA2105" s="2" t="s">
        <v>163</v>
      </c>
      <c r="AB2105" s="2" t="s">
        <v>14214</v>
      </c>
      <c r="AC2105" s="2">
        <v>-4.8995098141262403</v>
      </c>
      <c r="AD2105" s="2"/>
      <c r="AE2105" s="2">
        <v>0.31339534271356301</v>
      </c>
      <c r="AF2105" s="2">
        <v>2001.7955693424799</v>
      </c>
      <c r="AG2105" s="2">
        <v>5364.3134238299199</v>
      </c>
      <c r="AH2105" s="4">
        <v>0.37316901738997799</v>
      </c>
      <c r="AI2105" s="4">
        <v>-1.42209888445691</v>
      </c>
      <c r="AJ2105" s="4" t="s">
        <v>62</v>
      </c>
      <c r="AK2105" s="2">
        <v>5.3179462200445997E-2</v>
      </c>
      <c r="AL2105" s="2">
        <v>0.31731303224527402</v>
      </c>
      <c r="AM2105" s="2">
        <v>1668.0074927406299</v>
      </c>
      <c r="AN2105" s="2">
        <v>795.08850288282201</v>
      </c>
      <c r="AO2105" s="2">
        <v>1235.4415207244599</v>
      </c>
      <c r="AP2105" s="2">
        <v>8.559877937157E-6</v>
      </c>
      <c r="AQ2105" s="2">
        <v>496.03180250836698</v>
      </c>
      <c r="AR2105" s="2">
        <v>7816.2040886387304</v>
      </c>
      <c r="AS2105" s="2">
        <v>4486.74278463256</v>
      </c>
      <c r="AT2105" s="2">
        <v>8607.1408672602502</v>
      </c>
      <c r="AU2105" s="2">
        <v>5240.9191603672698</v>
      </c>
      <c r="AV2105" s="2">
        <v>3368.6929661077502</v>
      </c>
      <c r="AW2105" s="2">
        <v>7796.61708626769</v>
      </c>
      <c r="AX2105" s="2">
        <v>2685.7676783440202</v>
      </c>
    </row>
    <row r="2106" spans="1:50" x14ac:dyDescent="0.25">
      <c r="A2106" s="2" t="s">
        <v>14215</v>
      </c>
      <c r="B2106" s="2">
        <v>435.14580029232599</v>
      </c>
      <c r="C2106" s="2">
        <v>5.8543500000000002</v>
      </c>
      <c r="D2106" s="2" t="s">
        <v>51</v>
      </c>
      <c r="E2106" s="2" t="s">
        <v>14216</v>
      </c>
      <c r="F2106" s="2">
        <v>30033</v>
      </c>
      <c r="G2106" s="3" t="str">
        <f>HYPERLINK("https://cloud.oebiotech.com/#/lm/network/30033", "https://cloud.oebiotech.com/#/lm/network/30033")</f>
        <v>https://cloud.oebiotech.com/#/lm/network/30033</v>
      </c>
      <c r="H2106" s="2"/>
      <c r="I2106" s="2">
        <v>48383</v>
      </c>
      <c r="J2106" s="2" t="s">
        <v>14217</v>
      </c>
      <c r="K2106" s="2">
        <v>44257540</v>
      </c>
      <c r="L2106" s="2"/>
      <c r="M2106" s="2"/>
      <c r="N2106" s="2"/>
      <c r="O2106" s="2"/>
      <c r="P2106" s="2"/>
      <c r="Q2106" s="2"/>
      <c r="R2106" s="2"/>
      <c r="S2106" s="2" t="s">
        <v>14218</v>
      </c>
      <c r="T2106" s="2" t="s">
        <v>14219</v>
      </c>
      <c r="U2106" s="2" t="s">
        <v>540</v>
      </c>
      <c r="V2106" s="2" t="s">
        <v>11459</v>
      </c>
      <c r="W2106" s="2" t="s">
        <v>14220</v>
      </c>
      <c r="X2106" s="2" t="s">
        <v>147</v>
      </c>
      <c r="Y2106" s="2">
        <v>45.8</v>
      </c>
      <c r="Z2106" s="2">
        <v>40.5</v>
      </c>
      <c r="AA2106" s="2" t="s">
        <v>218</v>
      </c>
      <c r="AB2106" s="2" t="s">
        <v>14221</v>
      </c>
      <c r="AC2106" s="2">
        <v>2.2392062583680099</v>
      </c>
      <c r="AD2106" s="2"/>
      <c r="AE2106" s="2">
        <v>0.31320174972972697</v>
      </c>
      <c r="AF2106" s="2">
        <v>6451.2539247301402</v>
      </c>
      <c r="AG2106" s="2">
        <v>9311.77358242427</v>
      </c>
      <c r="AH2106" s="4">
        <v>0.692806141346339</v>
      </c>
      <c r="AI2106" s="4">
        <v>-0.52947637606602904</v>
      </c>
      <c r="AJ2106" s="4" t="s">
        <v>62</v>
      </c>
      <c r="AK2106" s="2">
        <v>1.9336032509504199E-2</v>
      </c>
      <c r="AL2106" s="2">
        <v>0.21866290477890701</v>
      </c>
      <c r="AM2106" s="2">
        <v>4864.3193304984998</v>
      </c>
      <c r="AN2106" s="2">
        <v>7943.0989505759298</v>
      </c>
      <c r="AO2106" s="2">
        <v>6572.8360183552904</v>
      </c>
      <c r="AP2106" s="2">
        <v>5195.6893213763296</v>
      </c>
      <c r="AQ2106" s="2">
        <v>6211.7910756289903</v>
      </c>
      <c r="AR2106" s="2">
        <v>7919.7888519457902</v>
      </c>
      <c r="AS2106" s="2">
        <v>7046.9046324303699</v>
      </c>
      <c r="AT2106" s="2">
        <v>11873.8484570911</v>
      </c>
      <c r="AU2106" s="2">
        <v>8554.8157001729705</v>
      </c>
      <c r="AV2106" s="2">
        <v>11939.292181401401</v>
      </c>
      <c r="AW2106" s="2">
        <v>7329.2793321741101</v>
      </c>
      <c r="AX2106" s="2">
        <v>9126.5011912756709</v>
      </c>
    </row>
    <row r="2107" spans="1:50" x14ac:dyDescent="0.25">
      <c r="A2107" s="2" t="s">
        <v>14222</v>
      </c>
      <c r="B2107" s="2">
        <v>467.30307823266298</v>
      </c>
      <c r="C2107" s="2">
        <v>5.0586333333333302</v>
      </c>
      <c r="D2107" s="2" t="s">
        <v>51</v>
      </c>
      <c r="E2107" s="2" t="s">
        <v>14223</v>
      </c>
      <c r="F2107" s="2">
        <v>206270</v>
      </c>
      <c r="G2107" s="3" t="str">
        <f>HYPERLINK("https://cloud.oebiotech.com/#/lm/network/206270", "https://cloud.oebiotech.com/#/lm/network/206270")</f>
        <v>https://cloud.oebiotech.com/#/lm/network/206270</v>
      </c>
      <c r="H2107" s="2" t="s">
        <v>14224</v>
      </c>
      <c r="I2107" s="2"/>
      <c r="J2107" s="2"/>
      <c r="K2107" s="2">
        <v>45102599</v>
      </c>
      <c r="L2107" s="2"/>
      <c r="M2107" s="2"/>
      <c r="N2107" s="2"/>
      <c r="O2107" s="2"/>
      <c r="P2107" s="2"/>
      <c r="Q2107" s="2"/>
      <c r="R2107" s="2"/>
      <c r="S2107" s="2" t="s">
        <v>14225</v>
      </c>
      <c r="T2107" s="2" t="s">
        <v>14226</v>
      </c>
      <c r="U2107" s="2" t="s">
        <v>266</v>
      </c>
      <c r="V2107" s="2" t="s">
        <v>1585</v>
      </c>
      <c r="W2107" s="2" t="s">
        <v>14227</v>
      </c>
      <c r="X2107" s="2" t="s">
        <v>147</v>
      </c>
      <c r="Y2107" s="2">
        <v>37.9</v>
      </c>
      <c r="Z2107" s="2">
        <v>10.199999999999999</v>
      </c>
      <c r="AA2107" s="2" t="s">
        <v>526</v>
      </c>
      <c r="AB2107" s="2" t="s">
        <v>14228</v>
      </c>
      <c r="AC2107" s="2">
        <v>3.14001359684887</v>
      </c>
      <c r="AD2107" s="2"/>
      <c r="AE2107" s="2">
        <v>0.31307787301828</v>
      </c>
      <c r="AF2107" s="2">
        <v>10271.2395122338</v>
      </c>
      <c r="AG2107" s="2">
        <v>4432.7501026363498</v>
      </c>
      <c r="AH2107" s="5">
        <v>2.31712577393548</v>
      </c>
      <c r="AI2107" s="5">
        <v>1.21233635603193</v>
      </c>
      <c r="AJ2107" s="5" t="s">
        <v>139</v>
      </c>
      <c r="AK2107" s="2">
        <v>0.40348237244660601</v>
      </c>
      <c r="AL2107" s="2">
        <v>0.67054288321757405</v>
      </c>
      <c r="AM2107" s="2">
        <v>814.06462019383298</v>
      </c>
      <c r="AN2107" s="2">
        <v>801.28206854232894</v>
      </c>
      <c r="AO2107" s="2">
        <v>41272.917248935701</v>
      </c>
      <c r="AP2107" s="2">
        <v>10833.648619068699</v>
      </c>
      <c r="AQ2107" s="2">
        <v>5397.2597416671797</v>
      </c>
      <c r="AR2107" s="2">
        <v>2508.2647749952498</v>
      </c>
      <c r="AS2107" s="2">
        <v>1219.57227669493</v>
      </c>
      <c r="AT2107" s="2">
        <v>14214.370364063299</v>
      </c>
      <c r="AU2107" s="2">
        <v>2590.3411224802198</v>
      </c>
      <c r="AV2107" s="2">
        <v>2083.1150779587401</v>
      </c>
      <c r="AW2107" s="2">
        <v>2364.3042708840499</v>
      </c>
      <c r="AX2107" s="2">
        <v>4124.7975037368697</v>
      </c>
    </row>
    <row r="2108" spans="1:50" x14ac:dyDescent="0.25">
      <c r="A2108" s="2" t="s">
        <v>14229</v>
      </c>
      <c r="B2108" s="2">
        <v>460.37976338887501</v>
      </c>
      <c r="C2108" s="2">
        <v>13.526899999999999</v>
      </c>
      <c r="D2108" s="2" t="s">
        <v>51</v>
      </c>
      <c r="E2108" s="2" t="s">
        <v>14230</v>
      </c>
      <c r="F2108" s="2">
        <v>56951</v>
      </c>
      <c r="G2108" s="3" t="str">
        <f>HYPERLINK("https://cloud.oebiotech.com/#/lm/network/56951", "https://cloud.oebiotech.com/#/lm/network/56951")</f>
        <v>https://cloud.oebiotech.com/#/lm/network/56951</v>
      </c>
      <c r="H2108" s="2" t="s">
        <v>14231</v>
      </c>
      <c r="I2108" s="2">
        <v>88609</v>
      </c>
      <c r="J2108" s="2"/>
      <c r="K2108" s="2">
        <v>131751276</v>
      </c>
      <c r="L2108" s="2"/>
      <c r="M2108" s="2"/>
      <c r="N2108" s="2"/>
      <c r="O2108" s="2"/>
      <c r="P2108" s="2"/>
      <c r="Q2108" s="2"/>
      <c r="R2108" s="2" t="s">
        <v>14232</v>
      </c>
      <c r="S2108" s="2" t="s">
        <v>14233</v>
      </c>
      <c r="T2108" s="2" t="s">
        <v>14234</v>
      </c>
      <c r="U2108" s="2" t="s">
        <v>56</v>
      </c>
      <c r="V2108" s="2" t="s">
        <v>283</v>
      </c>
      <c r="W2108" s="2" t="s">
        <v>1215</v>
      </c>
      <c r="X2108" s="2" t="s">
        <v>147</v>
      </c>
      <c r="Y2108" s="2">
        <v>36.4</v>
      </c>
      <c r="Z2108" s="2">
        <v>0</v>
      </c>
      <c r="AA2108" s="2" t="s">
        <v>512</v>
      </c>
      <c r="AB2108" s="2" t="s">
        <v>14235</v>
      </c>
      <c r="AC2108" s="2">
        <v>2.8089519050728899</v>
      </c>
      <c r="AD2108" s="2"/>
      <c r="AE2108" s="2">
        <v>0.31295432312516502</v>
      </c>
      <c r="AF2108" s="2">
        <v>5987.3932603985504</v>
      </c>
      <c r="AG2108" s="2">
        <v>3662.7991667004198</v>
      </c>
      <c r="AH2108" s="5">
        <v>1.6346496184753201</v>
      </c>
      <c r="AI2108" s="5">
        <v>0.70898143213948905</v>
      </c>
      <c r="AJ2108" s="5" t="s">
        <v>139</v>
      </c>
      <c r="AK2108" s="2">
        <v>7.3491631658209405E-2</v>
      </c>
      <c r="AL2108" s="2">
        <v>0.35559887298678799</v>
      </c>
      <c r="AM2108" s="2">
        <v>7465.7015753284504</v>
      </c>
      <c r="AN2108" s="2">
        <v>4542.5143498172401</v>
      </c>
      <c r="AO2108" s="2">
        <v>7125.2791349827303</v>
      </c>
      <c r="AP2108" s="2">
        <v>7413.7002396790003</v>
      </c>
      <c r="AQ2108" s="2">
        <v>6155.6248489542404</v>
      </c>
      <c r="AR2108" s="2">
        <v>3221.53941362964</v>
      </c>
      <c r="AS2108" s="2">
        <v>1601.9791205696999</v>
      </c>
      <c r="AT2108" s="2">
        <v>6836.2542223800601</v>
      </c>
      <c r="AU2108" s="2">
        <v>5833.4825517310901</v>
      </c>
      <c r="AV2108" s="2">
        <v>3177.4726952936298</v>
      </c>
      <c r="AW2108" s="2">
        <v>1238.54112046559</v>
      </c>
      <c r="AX2108" s="2">
        <v>3289.06528976245</v>
      </c>
    </row>
    <row r="2109" spans="1:50" x14ac:dyDescent="0.25">
      <c r="A2109" s="2" t="s">
        <v>14236</v>
      </c>
      <c r="B2109" s="2">
        <v>377.16377964272499</v>
      </c>
      <c r="C2109" s="2">
        <v>12.708216666666701</v>
      </c>
      <c r="D2109" s="2" t="s">
        <v>51</v>
      </c>
      <c r="E2109" s="2" t="s">
        <v>14237</v>
      </c>
      <c r="F2109" s="2">
        <v>206763</v>
      </c>
      <c r="G2109" s="3" t="str">
        <f>HYPERLINK("https://cloud.oebiotech.com/#/lm/network/206763", "https://cloud.oebiotech.com/#/lm/network/206763")</f>
        <v>https://cloud.oebiotech.com/#/lm/network/206763</v>
      </c>
      <c r="H2109" s="2" t="s">
        <v>14238</v>
      </c>
      <c r="I2109" s="2"/>
      <c r="J2109" s="2"/>
      <c r="K2109" s="2">
        <v>24993045</v>
      </c>
      <c r="L2109" s="2"/>
      <c r="M2109" s="2"/>
      <c r="N2109" s="2"/>
      <c r="O2109" s="2"/>
      <c r="P2109" s="2"/>
      <c r="Q2109" s="2"/>
      <c r="R2109" s="2"/>
      <c r="S2109" s="2" t="s">
        <v>14239</v>
      </c>
      <c r="T2109" s="2" t="s">
        <v>14240</v>
      </c>
      <c r="U2109" s="2" t="s">
        <v>266</v>
      </c>
      <c r="V2109" s="2" t="s">
        <v>6667</v>
      </c>
      <c r="W2109" s="2" t="s">
        <v>14241</v>
      </c>
      <c r="X2109" s="2" t="s">
        <v>147</v>
      </c>
      <c r="Y2109" s="2">
        <v>37</v>
      </c>
      <c r="Z2109" s="2">
        <v>0</v>
      </c>
      <c r="AA2109" s="2" t="s">
        <v>163</v>
      </c>
      <c r="AB2109" s="2" t="s">
        <v>14242</v>
      </c>
      <c r="AC2109" s="2">
        <v>4.9329542201347998</v>
      </c>
      <c r="AD2109" s="2"/>
      <c r="AE2109" s="2">
        <v>0.312876709862494</v>
      </c>
      <c r="AF2109" s="2">
        <v>12437.090319767</v>
      </c>
      <c r="AG2109" s="2">
        <v>17339.9093520235</v>
      </c>
      <c r="AH2109" s="4">
        <v>0.71725232625369495</v>
      </c>
      <c r="AI2109" s="4">
        <v>-0.47944735281468098</v>
      </c>
      <c r="AJ2109" s="4" t="s">
        <v>62</v>
      </c>
      <c r="AK2109" s="2">
        <v>0.212438675170177</v>
      </c>
      <c r="AL2109" s="2">
        <v>0.53706865589344099</v>
      </c>
      <c r="AM2109" s="2">
        <v>9404.2627741917895</v>
      </c>
      <c r="AN2109" s="2">
        <v>10082.862794574599</v>
      </c>
      <c r="AO2109" s="2">
        <v>20352.352387575102</v>
      </c>
      <c r="AP2109" s="2">
        <v>7446.2973050876099</v>
      </c>
      <c r="AQ2109" s="2">
        <v>18589.0522994946</v>
      </c>
      <c r="AR2109" s="2">
        <v>8747.7143576785002</v>
      </c>
      <c r="AS2109" s="2">
        <v>12602.9078324608</v>
      </c>
      <c r="AT2109" s="2">
        <v>9939.1832273602904</v>
      </c>
      <c r="AU2109" s="2">
        <v>28449.162295032002</v>
      </c>
      <c r="AV2109" s="2">
        <v>21961.114037575699</v>
      </c>
      <c r="AW2109" s="2">
        <v>19028.516621476199</v>
      </c>
      <c r="AX2109" s="2">
        <v>12058.5720982358</v>
      </c>
    </row>
    <row r="2110" spans="1:50" x14ac:dyDescent="0.25">
      <c r="A2110" s="2" t="s">
        <v>14243</v>
      </c>
      <c r="B2110" s="2">
        <v>378.09609883542902</v>
      </c>
      <c r="C2110" s="2">
        <v>0.74113333333333298</v>
      </c>
      <c r="D2110" s="2" t="s">
        <v>51</v>
      </c>
      <c r="E2110" s="2" t="s">
        <v>14244</v>
      </c>
      <c r="F2110" s="2">
        <v>47376</v>
      </c>
      <c r="G2110" s="3" t="str">
        <f>HYPERLINK("https://cloud.oebiotech.com/#/lm/network/47376", "https://cloud.oebiotech.com/#/lm/network/47376")</f>
        <v>https://cloud.oebiotech.com/#/lm/network/47376</v>
      </c>
      <c r="H2110" s="2" t="s">
        <v>14245</v>
      </c>
      <c r="I2110" s="2">
        <v>5979</v>
      </c>
      <c r="J2110" s="2"/>
      <c r="K2110" s="2">
        <v>440018</v>
      </c>
      <c r="L2110" s="2" t="s">
        <v>14246</v>
      </c>
      <c r="M2110" s="2" t="s">
        <v>2832</v>
      </c>
      <c r="N2110" s="2" t="s">
        <v>2833</v>
      </c>
      <c r="O2110" s="2">
        <v>15694</v>
      </c>
      <c r="P2110" s="2" t="s">
        <v>14247</v>
      </c>
      <c r="Q2110" s="2" t="s">
        <v>14248</v>
      </c>
      <c r="R2110" s="2" t="s">
        <v>14249</v>
      </c>
      <c r="S2110" s="2" t="s">
        <v>14250</v>
      </c>
      <c r="T2110" s="2" t="s">
        <v>14251</v>
      </c>
      <c r="U2110" s="2" t="s">
        <v>103</v>
      </c>
      <c r="V2110" s="2" t="s">
        <v>104</v>
      </c>
      <c r="W2110" s="2" t="s">
        <v>105</v>
      </c>
      <c r="X2110" s="2" t="s">
        <v>147</v>
      </c>
      <c r="Y2110" s="2">
        <v>38.4</v>
      </c>
      <c r="Z2110" s="2">
        <v>9.2899999999999991</v>
      </c>
      <c r="AA2110" s="2" t="s">
        <v>163</v>
      </c>
      <c r="AB2110" s="2" t="s">
        <v>14252</v>
      </c>
      <c r="AC2110" s="2">
        <v>-4.1159498970846604</v>
      </c>
      <c r="AD2110" s="2"/>
      <c r="AE2110" s="2">
        <v>0.312738615824391</v>
      </c>
      <c r="AF2110" s="2">
        <v>9508.7567229072702</v>
      </c>
      <c r="AG2110" s="2">
        <v>15011.1650842364</v>
      </c>
      <c r="AH2110" s="4">
        <v>0.63344561661590604</v>
      </c>
      <c r="AI2110" s="4">
        <v>-0.65870733030645401</v>
      </c>
      <c r="AJ2110" s="4" t="s">
        <v>62</v>
      </c>
      <c r="AK2110" s="2">
        <v>0.38553407812228702</v>
      </c>
      <c r="AL2110" s="2">
        <v>0.66172761544146197</v>
      </c>
      <c r="AM2110" s="2">
        <v>228.52475782575601</v>
      </c>
      <c r="AN2110" s="2">
        <v>18263.089252956601</v>
      </c>
      <c r="AO2110" s="2">
        <v>9550.8740925525799</v>
      </c>
      <c r="AP2110" s="2">
        <v>2733.5161464282701</v>
      </c>
      <c r="AQ2110" s="2">
        <v>8461.7908205206204</v>
      </c>
      <c r="AR2110" s="2">
        <v>17814.7452671598</v>
      </c>
      <c r="AS2110" s="2">
        <v>32441.293164693299</v>
      </c>
      <c r="AT2110" s="2">
        <v>24307.4256325346</v>
      </c>
      <c r="AU2110" s="2">
        <v>781.74789346104103</v>
      </c>
      <c r="AV2110" s="2">
        <v>5728.2338128000201</v>
      </c>
      <c r="AW2110" s="2">
        <v>5028.19277577097</v>
      </c>
      <c r="AX2110" s="2">
        <v>21780.097226158399</v>
      </c>
    </row>
    <row r="2111" spans="1:50" x14ac:dyDescent="0.25">
      <c r="A2111" s="2" t="s">
        <v>14253</v>
      </c>
      <c r="B2111" s="2">
        <v>131.045105503738</v>
      </c>
      <c r="C2111" s="2">
        <v>0.68473333333333297</v>
      </c>
      <c r="D2111" s="2" t="s">
        <v>51</v>
      </c>
      <c r="E2111" s="2" t="s">
        <v>14254</v>
      </c>
      <c r="F2111" s="2">
        <v>57964</v>
      </c>
      <c r="G2111" s="3" t="str">
        <f>HYPERLINK("https://cloud.oebiotech.com/#/lm/network/57964", "https://cloud.oebiotech.com/#/lm/network/57964")</f>
        <v>https://cloud.oebiotech.com/#/lm/network/57964</v>
      </c>
      <c r="H2111" s="2" t="s">
        <v>14255</v>
      </c>
      <c r="I2111" s="2">
        <v>65674</v>
      </c>
      <c r="J2111" s="2"/>
      <c r="K2111" s="2">
        <v>439600</v>
      </c>
      <c r="L2111" s="2" t="s">
        <v>14256</v>
      </c>
      <c r="M2111" s="2"/>
      <c r="N2111" s="2"/>
      <c r="O2111" s="2">
        <v>28159</v>
      </c>
      <c r="P2111" s="2"/>
      <c r="Q2111" s="2"/>
      <c r="R2111" s="2" t="s">
        <v>14257</v>
      </c>
      <c r="S2111" s="2" t="s">
        <v>14258</v>
      </c>
      <c r="T2111" s="2" t="s">
        <v>14259</v>
      </c>
      <c r="U2111" s="2" t="s">
        <v>103</v>
      </c>
      <c r="V2111" s="2" t="s">
        <v>104</v>
      </c>
      <c r="W2111" s="2" t="s">
        <v>105</v>
      </c>
      <c r="X2111" s="2" t="s">
        <v>83</v>
      </c>
      <c r="Y2111" s="2">
        <v>46.2</v>
      </c>
      <c r="Z2111" s="2">
        <v>0</v>
      </c>
      <c r="AA2111" s="2" t="s">
        <v>163</v>
      </c>
      <c r="AB2111" s="2" t="s">
        <v>14260</v>
      </c>
      <c r="AC2111" s="2">
        <v>-8.4071165690077105</v>
      </c>
      <c r="AD2111" s="2"/>
      <c r="AE2111" s="2">
        <v>0.31268673650876799</v>
      </c>
      <c r="AF2111" s="2">
        <v>4630.3988946117297</v>
      </c>
      <c r="AG2111" s="2">
        <v>2221.5845387456402</v>
      </c>
      <c r="AH2111" s="5">
        <v>2.0842776017995499</v>
      </c>
      <c r="AI2111" s="5">
        <v>1.05954744079671</v>
      </c>
      <c r="AJ2111" s="5" t="s">
        <v>139</v>
      </c>
      <c r="AK2111" s="2">
        <v>8.1717762980705294E-2</v>
      </c>
      <c r="AL2111" s="2">
        <v>0.369785334463755</v>
      </c>
      <c r="AM2111" s="2">
        <v>8502.4394535453794</v>
      </c>
      <c r="AN2111" s="2">
        <v>5511.3631544484197</v>
      </c>
      <c r="AO2111" s="2">
        <v>4308.5580045576298</v>
      </c>
      <c r="AP2111" s="2">
        <v>4634.42441150778</v>
      </c>
      <c r="AQ2111" s="2">
        <v>3161.2547006544</v>
      </c>
      <c r="AR2111" s="2">
        <v>1664.35364295677</v>
      </c>
      <c r="AS2111" s="2">
        <v>411.90068673804802</v>
      </c>
      <c r="AT2111" s="2">
        <v>604.63346456565603</v>
      </c>
      <c r="AU2111" s="2">
        <v>4321.1092463331397</v>
      </c>
      <c r="AV2111" s="2">
        <v>3674.1467483297602</v>
      </c>
      <c r="AW2111" s="2">
        <v>257.02403712440901</v>
      </c>
      <c r="AX2111" s="2">
        <v>4060.6930493828199</v>
      </c>
    </row>
    <row r="2112" spans="1:50" x14ac:dyDescent="0.25">
      <c r="A2112" s="2" t="s">
        <v>14261</v>
      </c>
      <c r="B2112" s="2">
        <v>282.13464787123797</v>
      </c>
      <c r="C2112" s="2">
        <v>6.3538666666666703</v>
      </c>
      <c r="D2112" s="2" t="s">
        <v>51</v>
      </c>
      <c r="E2112" s="2" t="s">
        <v>14262</v>
      </c>
      <c r="F2112" s="2">
        <v>197595</v>
      </c>
      <c r="G2112" s="3" t="str">
        <f>HYPERLINK("https://cloud.oebiotech.com/#/lm/network/197595", "https://cloud.oebiotech.com/#/lm/network/197595")</f>
        <v>https://cloud.oebiotech.com/#/lm/network/197595</v>
      </c>
      <c r="H2112" s="2" t="s">
        <v>14263</v>
      </c>
      <c r="I2112" s="2"/>
      <c r="J2112" s="2"/>
      <c r="K2112" s="2"/>
      <c r="L2112" s="2"/>
      <c r="M2112" s="2"/>
      <c r="N2112" s="2"/>
      <c r="O2112" s="2"/>
      <c r="P2112" s="2"/>
      <c r="Q2112" s="2"/>
      <c r="R2112" s="2"/>
      <c r="S2112" s="2" t="s">
        <v>14264</v>
      </c>
      <c r="T2112" s="2" t="s">
        <v>14265</v>
      </c>
      <c r="U2112" s="2" t="s">
        <v>56</v>
      </c>
      <c r="V2112" s="2" t="s">
        <v>145</v>
      </c>
      <c r="W2112" s="2" t="s">
        <v>1188</v>
      </c>
      <c r="X2112" s="2" t="s">
        <v>147</v>
      </c>
      <c r="Y2112" s="2">
        <v>44.1</v>
      </c>
      <c r="Z2112" s="2">
        <v>31</v>
      </c>
      <c r="AA2112" s="2" t="s">
        <v>156</v>
      </c>
      <c r="AB2112" s="2" t="s">
        <v>14266</v>
      </c>
      <c r="AC2112" s="2">
        <v>3.5058384721037701</v>
      </c>
      <c r="AD2112" s="2"/>
      <c r="AE2112" s="2">
        <v>0.31251427588485298</v>
      </c>
      <c r="AF2112" s="2">
        <v>652.50549459003696</v>
      </c>
      <c r="AG2112" s="2">
        <v>3645.4580237417499</v>
      </c>
      <c r="AH2112" s="4">
        <v>0.17899136139833999</v>
      </c>
      <c r="AI2112" s="4">
        <v>-2.4820381340375901</v>
      </c>
      <c r="AJ2112" s="4" t="s">
        <v>62</v>
      </c>
      <c r="AK2112" s="2">
        <v>6.2844792908376898E-2</v>
      </c>
      <c r="AL2112" s="2">
        <v>0.33601027492909402</v>
      </c>
      <c r="AM2112" s="2">
        <v>8.559877937157E-6</v>
      </c>
      <c r="AN2112" s="2">
        <v>636.12212556316797</v>
      </c>
      <c r="AO2112" s="2">
        <v>8.559877937157E-6</v>
      </c>
      <c r="AP2112" s="2">
        <v>2130.8044459432299</v>
      </c>
      <c r="AQ2112" s="2">
        <v>266.41405766983797</v>
      </c>
      <c r="AR2112" s="2">
        <v>881.69232124423297</v>
      </c>
      <c r="AS2112" s="2">
        <v>1741.7468281566901</v>
      </c>
      <c r="AT2112" s="2">
        <v>8.559877937157E-6</v>
      </c>
      <c r="AU2112" s="2">
        <v>8917.3637947184907</v>
      </c>
      <c r="AV2112" s="2">
        <v>6725.6808825123999</v>
      </c>
      <c r="AW2112" s="2">
        <v>2208.3434346282302</v>
      </c>
      <c r="AX2112" s="2">
        <v>2279.6131938748399</v>
      </c>
    </row>
    <row r="2113" spans="1:50" x14ac:dyDescent="0.25">
      <c r="A2113" s="2" t="s">
        <v>14267</v>
      </c>
      <c r="B2113" s="2">
        <v>419.241931293108</v>
      </c>
      <c r="C2113" s="2">
        <v>8.9491666666666703</v>
      </c>
      <c r="D2113" s="2" t="s">
        <v>51</v>
      </c>
      <c r="E2113" s="2" t="s">
        <v>14268</v>
      </c>
      <c r="F2113" s="2">
        <v>202411</v>
      </c>
      <c r="G2113" s="3" t="str">
        <f>HYPERLINK("https://cloud.oebiotech.com/#/lm/network/202411", "https://cloud.oebiotech.com/#/lm/network/202411")</f>
        <v>https://cloud.oebiotech.com/#/lm/network/202411</v>
      </c>
      <c r="H2113" s="2" t="s">
        <v>14269</v>
      </c>
      <c r="I2113" s="2"/>
      <c r="J2113" s="2"/>
      <c r="K2113" s="2">
        <v>4995412</v>
      </c>
      <c r="L2113" s="2"/>
      <c r="M2113" s="2"/>
      <c r="N2113" s="2"/>
      <c r="O2113" s="2"/>
      <c r="P2113" s="2"/>
      <c r="Q2113" s="2"/>
      <c r="R2113" s="2"/>
      <c r="S2113" s="2" t="s">
        <v>14270</v>
      </c>
      <c r="T2113" s="2" t="s">
        <v>14271</v>
      </c>
      <c r="U2113" s="2" t="s">
        <v>103</v>
      </c>
      <c r="V2113" s="2" t="s">
        <v>104</v>
      </c>
      <c r="W2113" s="2" t="s">
        <v>105</v>
      </c>
      <c r="X2113" s="2" t="s">
        <v>147</v>
      </c>
      <c r="Y2113" s="2">
        <v>36.5</v>
      </c>
      <c r="Z2113" s="2">
        <v>0</v>
      </c>
      <c r="AA2113" s="2" t="s">
        <v>122</v>
      </c>
      <c r="AB2113" s="2" t="s">
        <v>14272</v>
      </c>
      <c r="AC2113" s="2">
        <v>-0.21461923508469699</v>
      </c>
      <c r="AD2113" s="2"/>
      <c r="AE2113" s="2">
        <v>0.312412423618326</v>
      </c>
      <c r="AF2113" s="2">
        <v>4545.7246154695304</v>
      </c>
      <c r="AG2113" s="2">
        <v>1694.5774939415301</v>
      </c>
      <c r="AH2113" s="5">
        <v>2.68251209031245</v>
      </c>
      <c r="AI2113" s="5">
        <v>1.4235846733469499</v>
      </c>
      <c r="AJ2113" s="5" t="s">
        <v>139</v>
      </c>
      <c r="AK2113" s="2">
        <v>2.6832479304819599E-2</v>
      </c>
      <c r="AL2113" s="2">
        <v>0.25286417402018102</v>
      </c>
      <c r="AM2113" s="2">
        <v>5181.7258370152604</v>
      </c>
      <c r="AN2113" s="2">
        <v>4008.89912747071</v>
      </c>
      <c r="AO2113" s="2">
        <v>1102.6513228674901</v>
      </c>
      <c r="AP2113" s="2">
        <v>2379.7909465315001</v>
      </c>
      <c r="AQ2113" s="2">
        <v>6513.5054544083696</v>
      </c>
      <c r="AR2113" s="2">
        <v>8087.7750045238399</v>
      </c>
      <c r="AS2113" s="2">
        <v>2247.66242733642</v>
      </c>
      <c r="AT2113" s="2">
        <v>1060.07262182152</v>
      </c>
      <c r="AU2113" s="2">
        <v>2208.2210117531899</v>
      </c>
      <c r="AV2113" s="2">
        <v>1346.7486355133101</v>
      </c>
      <c r="AW2113" s="2">
        <v>777.88053729533794</v>
      </c>
      <c r="AX2113" s="2">
        <v>2526.8797299294001</v>
      </c>
    </row>
    <row r="2114" spans="1:50" x14ac:dyDescent="0.25">
      <c r="A2114" s="2" t="s">
        <v>14273</v>
      </c>
      <c r="B2114" s="2">
        <v>213.076305668976</v>
      </c>
      <c r="C2114" s="2">
        <v>4.3974166666666701</v>
      </c>
      <c r="D2114" s="2" t="s">
        <v>51</v>
      </c>
      <c r="E2114" s="2" t="s">
        <v>14274</v>
      </c>
      <c r="F2114" s="2">
        <v>55284</v>
      </c>
      <c r="G2114" s="3" t="str">
        <f>HYPERLINK("https://cloud.oebiotech.com/#/lm/network/55284", "https://cloud.oebiotech.com/#/lm/network/55284")</f>
        <v>https://cloud.oebiotech.com/#/lm/network/55284</v>
      </c>
      <c r="H2114" s="2" t="s">
        <v>14275</v>
      </c>
      <c r="I2114" s="2">
        <v>87002</v>
      </c>
      <c r="J2114" s="2"/>
      <c r="K2114" s="2">
        <v>161819</v>
      </c>
      <c r="L2114" s="2"/>
      <c r="M2114" s="2"/>
      <c r="N2114" s="2"/>
      <c r="O2114" s="2">
        <v>173765</v>
      </c>
      <c r="P2114" s="2"/>
      <c r="Q2114" s="2"/>
      <c r="R2114" s="2" t="s">
        <v>14276</v>
      </c>
      <c r="S2114" s="2" t="s">
        <v>14277</v>
      </c>
      <c r="T2114" s="2" t="s">
        <v>14278</v>
      </c>
      <c r="U2114" s="2" t="s">
        <v>266</v>
      </c>
      <c r="V2114" s="2" t="s">
        <v>7754</v>
      </c>
      <c r="W2114" s="2" t="s">
        <v>240</v>
      </c>
      <c r="X2114" s="2" t="s">
        <v>147</v>
      </c>
      <c r="Y2114" s="2">
        <v>41</v>
      </c>
      <c r="Z2114" s="2">
        <v>12.4</v>
      </c>
      <c r="AA2114" s="2" t="s">
        <v>218</v>
      </c>
      <c r="AB2114" s="2" t="s">
        <v>11998</v>
      </c>
      <c r="AC2114" s="2">
        <v>-3.2213761957860498</v>
      </c>
      <c r="AD2114" s="2"/>
      <c r="AE2114" s="2">
        <v>0.31227370395301302</v>
      </c>
      <c r="AF2114" s="2">
        <v>4327.2013425380801</v>
      </c>
      <c r="AG2114" s="2">
        <v>2077.5366561178098</v>
      </c>
      <c r="AH2114" s="5">
        <v>2.0828519823203102</v>
      </c>
      <c r="AI2114" s="5">
        <v>1.0585603180343299</v>
      </c>
      <c r="AJ2114" s="5" t="s">
        <v>139</v>
      </c>
      <c r="AK2114" s="2">
        <v>7.1522123841732094E-2</v>
      </c>
      <c r="AL2114" s="2">
        <v>0.35359330830404301</v>
      </c>
      <c r="AM2114" s="2">
        <v>7962.9760485611696</v>
      </c>
      <c r="AN2114" s="2">
        <v>6872.96732282425</v>
      </c>
      <c r="AO2114" s="2">
        <v>2789.38660379985</v>
      </c>
      <c r="AP2114" s="2">
        <v>2343.7950669653301</v>
      </c>
      <c r="AQ2114" s="2">
        <v>1757.4398847267</v>
      </c>
      <c r="AR2114" s="2">
        <v>4236.6431283512002</v>
      </c>
      <c r="AS2114" s="2">
        <v>2976.3419953088901</v>
      </c>
      <c r="AT2114" s="2">
        <v>1925.21491367818</v>
      </c>
      <c r="AU2114" s="2">
        <v>1782.8819375432099</v>
      </c>
      <c r="AV2114" s="2">
        <v>1017.16061061085</v>
      </c>
      <c r="AW2114" s="2">
        <v>1254.8513880565399</v>
      </c>
      <c r="AX2114" s="2">
        <v>3508.7690915091998</v>
      </c>
    </row>
    <row r="2115" spans="1:50" x14ac:dyDescent="0.25">
      <c r="A2115" s="2" t="s">
        <v>14279</v>
      </c>
      <c r="B2115" s="2">
        <v>440.31472703435298</v>
      </c>
      <c r="C2115" s="2">
        <v>10.834516666666699</v>
      </c>
      <c r="D2115" s="2" t="s">
        <v>51</v>
      </c>
      <c r="E2115" s="2" t="s">
        <v>14280</v>
      </c>
      <c r="F2115" s="2">
        <v>26114</v>
      </c>
      <c r="G2115" s="3" t="str">
        <f>HYPERLINK("https://cloud.oebiotech.com/#/lm/network/26114", "https://cloud.oebiotech.com/#/lm/network/26114")</f>
        <v>https://cloud.oebiotech.com/#/lm/network/26114</v>
      </c>
      <c r="H2115" s="2"/>
      <c r="I2115" s="2"/>
      <c r="J2115" s="2" t="s">
        <v>14281</v>
      </c>
      <c r="K2115" s="2">
        <v>124603690</v>
      </c>
      <c r="L2115" s="2"/>
      <c r="M2115" s="2"/>
      <c r="N2115" s="2"/>
      <c r="O2115" s="2"/>
      <c r="P2115" s="2"/>
      <c r="Q2115" s="2"/>
      <c r="R2115" s="2"/>
      <c r="S2115" s="2" t="s">
        <v>14282</v>
      </c>
      <c r="T2115" s="2" t="s">
        <v>14283</v>
      </c>
      <c r="U2115" s="2" t="s">
        <v>56</v>
      </c>
      <c r="V2115" s="2" t="s">
        <v>57</v>
      </c>
      <c r="W2115" s="2" t="s">
        <v>702</v>
      </c>
      <c r="X2115" s="2" t="s">
        <v>59</v>
      </c>
      <c r="Y2115" s="2">
        <v>48.8</v>
      </c>
      <c r="Z2115" s="2">
        <v>56</v>
      </c>
      <c r="AA2115" s="2" t="s">
        <v>512</v>
      </c>
      <c r="AB2115" s="2" t="s">
        <v>14284</v>
      </c>
      <c r="AC2115" s="2">
        <v>2.78435811918642</v>
      </c>
      <c r="AD2115" s="2"/>
      <c r="AE2115" s="2">
        <v>0.31224431327175001</v>
      </c>
      <c r="AF2115" s="2">
        <v>91977.942815947506</v>
      </c>
      <c r="AG2115" s="2">
        <v>116879.316503004</v>
      </c>
      <c r="AH2115" s="4">
        <v>0.78694798676020405</v>
      </c>
      <c r="AI2115" s="4">
        <v>-0.34565981077202801</v>
      </c>
      <c r="AJ2115" s="4" t="s">
        <v>62</v>
      </c>
      <c r="AK2115" s="2">
        <v>0.46639597899083002</v>
      </c>
      <c r="AL2115" s="2">
        <v>0.71329029553543499</v>
      </c>
      <c r="AM2115" s="2">
        <v>237315.49836863199</v>
      </c>
      <c r="AN2115" s="2">
        <v>49782.973558760503</v>
      </c>
      <c r="AO2115" s="2">
        <v>58936.5752137913</v>
      </c>
      <c r="AP2115" s="2">
        <v>66140.806872734101</v>
      </c>
      <c r="AQ2115" s="2">
        <v>49136.716712294699</v>
      </c>
      <c r="AR2115" s="2">
        <v>90555.086169472503</v>
      </c>
      <c r="AS2115" s="2">
        <v>111282.007028743</v>
      </c>
      <c r="AT2115" s="2">
        <v>73023.982382035596</v>
      </c>
      <c r="AU2115" s="2">
        <v>164217.50826391301</v>
      </c>
      <c r="AV2115" s="2">
        <v>150414.84208069899</v>
      </c>
      <c r="AW2115" s="2">
        <v>93079.147174821497</v>
      </c>
      <c r="AX2115" s="2">
        <v>109258.412087811</v>
      </c>
    </row>
    <row r="2116" spans="1:50" x14ac:dyDescent="0.25">
      <c r="A2116" s="2" t="s">
        <v>14285</v>
      </c>
      <c r="B2116" s="2">
        <v>251.09238836063301</v>
      </c>
      <c r="C2116" s="2">
        <v>7.9598333333333304</v>
      </c>
      <c r="D2116" s="2" t="s">
        <v>51</v>
      </c>
      <c r="E2116" s="2" t="s">
        <v>14286</v>
      </c>
      <c r="F2116" s="2">
        <v>212648</v>
      </c>
      <c r="G2116" s="3" t="str">
        <f>HYPERLINK("https://cloud.oebiotech.com/#/lm/network/212648", "https://cloud.oebiotech.com/#/lm/network/212648")</f>
        <v>https://cloud.oebiotech.com/#/lm/network/212648</v>
      </c>
      <c r="H2116" s="2" t="s">
        <v>14287</v>
      </c>
      <c r="I2116" s="2"/>
      <c r="J2116" s="2"/>
      <c r="K2116" s="2"/>
      <c r="L2116" s="2" t="s">
        <v>14288</v>
      </c>
      <c r="M2116" s="2"/>
      <c r="N2116" s="2"/>
      <c r="O2116" s="2">
        <v>81817</v>
      </c>
      <c r="P2116" s="2"/>
      <c r="Q2116" s="2"/>
      <c r="R2116" s="2"/>
      <c r="S2116" s="2" t="s">
        <v>14289</v>
      </c>
      <c r="T2116" s="2" t="s">
        <v>14290</v>
      </c>
      <c r="U2116" s="2" t="s">
        <v>103</v>
      </c>
      <c r="V2116" s="2" t="s">
        <v>14291</v>
      </c>
      <c r="W2116" s="2" t="s">
        <v>240</v>
      </c>
      <c r="X2116" s="2" t="s">
        <v>147</v>
      </c>
      <c r="Y2116" s="2">
        <v>43.9</v>
      </c>
      <c r="Z2116" s="2">
        <v>23.6</v>
      </c>
      <c r="AA2116" s="2" t="s">
        <v>163</v>
      </c>
      <c r="AB2116" s="2" t="s">
        <v>14292</v>
      </c>
      <c r="AC2116" s="2">
        <v>-0.43164769856833601</v>
      </c>
      <c r="AD2116" s="2"/>
      <c r="AE2116" s="2">
        <v>0.31202551456314997</v>
      </c>
      <c r="AF2116" s="2">
        <v>26093.591973160499</v>
      </c>
      <c r="AG2116" s="2">
        <v>29203.912380176</v>
      </c>
      <c r="AH2116" s="4">
        <v>0.89349644778667303</v>
      </c>
      <c r="AI2116" s="4">
        <v>-0.16246610123418201</v>
      </c>
      <c r="AJ2116" s="4" t="s">
        <v>62</v>
      </c>
      <c r="AK2116" s="2">
        <v>0.147390114655708</v>
      </c>
      <c r="AL2116" s="2">
        <v>0.46813495501649</v>
      </c>
      <c r="AM2116" s="2">
        <v>22697.600633330701</v>
      </c>
      <c r="AN2116" s="2">
        <v>24557.381934687099</v>
      </c>
      <c r="AO2116" s="2">
        <v>25010.4346168472</v>
      </c>
      <c r="AP2116" s="2">
        <v>27617.988560885999</v>
      </c>
      <c r="AQ2116" s="2">
        <v>29244.240989378799</v>
      </c>
      <c r="AR2116" s="2">
        <v>27433.905103833102</v>
      </c>
      <c r="AS2116" s="2">
        <v>28901.4685116361</v>
      </c>
      <c r="AT2116" s="2">
        <v>35141.880451868601</v>
      </c>
      <c r="AU2116" s="2">
        <v>23582.240485611499</v>
      </c>
      <c r="AV2116" s="2">
        <v>31204.578992771301</v>
      </c>
      <c r="AW2116" s="2">
        <v>25405.579314772101</v>
      </c>
      <c r="AX2116" s="2">
        <v>30987.726524396301</v>
      </c>
    </row>
    <row r="2117" spans="1:50" x14ac:dyDescent="0.25">
      <c r="A2117" s="2" t="s">
        <v>14293</v>
      </c>
      <c r="B2117" s="2">
        <v>515.37259116809798</v>
      </c>
      <c r="C2117" s="2">
        <v>13.953466666666699</v>
      </c>
      <c r="D2117" s="2" t="s">
        <v>51</v>
      </c>
      <c r="E2117" s="2" t="s">
        <v>14294</v>
      </c>
      <c r="F2117" s="2">
        <v>44039</v>
      </c>
      <c r="G2117" s="3" t="str">
        <f>HYPERLINK("https://cloud.oebiotech.com/#/lm/network/44039", "https://cloud.oebiotech.com/#/lm/network/44039")</f>
        <v>https://cloud.oebiotech.com/#/lm/network/44039</v>
      </c>
      <c r="H2117" s="2"/>
      <c r="I2117" s="2">
        <v>84010</v>
      </c>
      <c r="J2117" s="2" t="s">
        <v>14295</v>
      </c>
      <c r="K2117" s="2">
        <v>14034721</v>
      </c>
      <c r="L2117" s="2"/>
      <c r="M2117" s="2"/>
      <c r="N2117" s="2"/>
      <c r="O2117" s="2"/>
      <c r="P2117" s="2"/>
      <c r="Q2117" s="2"/>
      <c r="R2117" s="2"/>
      <c r="S2117" s="2" t="s">
        <v>14296</v>
      </c>
      <c r="T2117" s="2" t="s">
        <v>14297</v>
      </c>
      <c r="U2117" s="2" t="s">
        <v>56</v>
      </c>
      <c r="V2117" s="2" t="s">
        <v>283</v>
      </c>
      <c r="W2117" s="2" t="s">
        <v>1215</v>
      </c>
      <c r="X2117" s="2" t="s">
        <v>147</v>
      </c>
      <c r="Y2117" s="2">
        <v>42.6</v>
      </c>
      <c r="Z2117" s="2">
        <v>26.1</v>
      </c>
      <c r="AA2117" s="2" t="s">
        <v>95</v>
      </c>
      <c r="AB2117" s="2" t="s">
        <v>14298</v>
      </c>
      <c r="AC2117" s="2">
        <v>3.8501096295836001</v>
      </c>
      <c r="AD2117" s="2"/>
      <c r="AE2117" s="2">
        <v>0.31196157612923697</v>
      </c>
      <c r="AF2117" s="2">
        <v>8761.1254706422296</v>
      </c>
      <c r="AG2117" s="2">
        <v>4735.7809952277003</v>
      </c>
      <c r="AH2117" s="5">
        <v>1.84998535182917</v>
      </c>
      <c r="AI2117" s="5">
        <v>0.88751384753776497</v>
      </c>
      <c r="AJ2117" s="5" t="s">
        <v>139</v>
      </c>
      <c r="AK2117" s="2">
        <v>0.162048553080295</v>
      </c>
      <c r="AL2117" s="2">
        <v>0.48399353100485398</v>
      </c>
      <c r="AM2117" s="2">
        <v>7851.4008991600103</v>
      </c>
      <c r="AN2117" s="2">
        <v>5905.6628699785297</v>
      </c>
      <c r="AO2117" s="2">
        <v>10056.6980825093</v>
      </c>
      <c r="AP2117" s="2">
        <v>16041.380529116201</v>
      </c>
      <c r="AQ2117" s="2">
        <v>9798.7762396992293</v>
      </c>
      <c r="AR2117" s="2">
        <v>2912.8342033901199</v>
      </c>
      <c r="AS2117" s="2">
        <v>1182.85959975073</v>
      </c>
      <c r="AT2117" s="2">
        <v>12737.472502205999</v>
      </c>
      <c r="AU2117" s="2">
        <v>1392.60797235978</v>
      </c>
      <c r="AV2117" s="2">
        <v>264.79325649336698</v>
      </c>
      <c r="AW2117" s="2">
        <v>5764.8914351139701</v>
      </c>
      <c r="AX2117" s="2">
        <v>7072.06120544234</v>
      </c>
    </row>
    <row r="2118" spans="1:50" x14ac:dyDescent="0.25">
      <c r="A2118" s="2" t="s">
        <v>14299</v>
      </c>
      <c r="B2118" s="2">
        <v>491.11990841504399</v>
      </c>
      <c r="C2118" s="2">
        <v>7.2044833333333296</v>
      </c>
      <c r="D2118" s="2" t="s">
        <v>51</v>
      </c>
      <c r="E2118" s="2" t="s">
        <v>14300</v>
      </c>
      <c r="F2118" s="2">
        <v>267809</v>
      </c>
      <c r="G2118" s="3" t="str">
        <f>HYPERLINK("https://cloud.oebiotech.com/#/lm/network/267809", "https://cloud.oebiotech.com/#/lm/network/267809")</f>
        <v>https://cloud.oebiotech.com/#/lm/network/267809</v>
      </c>
      <c r="H2118" s="2"/>
      <c r="I2118" s="2">
        <v>47856</v>
      </c>
      <c r="J2118" s="2"/>
      <c r="K2118" s="2">
        <v>44257332</v>
      </c>
      <c r="L2118" s="2"/>
      <c r="M2118" s="2"/>
      <c r="N2118" s="2"/>
      <c r="O2118" s="2"/>
      <c r="P2118" s="2"/>
      <c r="Q2118" s="2"/>
      <c r="R2118" s="2"/>
      <c r="S2118" s="2" t="s">
        <v>14301</v>
      </c>
      <c r="T2118" s="2" t="s">
        <v>14302</v>
      </c>
      <c r="U2118" s="2" t="s">
        <v>540</v>
      </c>
      <c r="V2118" s="2" t="s">
        <v>784</v>
      </c>
      <c r="W2118" s="2" t="s">
        <v>11250</v>
      </c>
      <c r="X2118" s="2" t="s">
        <v>147</v>
      </c>
      <c r="Y2118" s="2">
        <v>37.799999999999997</v>
      </c>
      <c r="Z2118" s="2">
        <v>0</v>
      </c>
      <c r="AA2118" s="2" t="s">
        <v>218</v>
      </c>
      <c r="AB2118" s="2" t="s">
        <v>11499</v>
      </c>
      <c r="AC2118" s="2">
        <v>0.91599281880947803</v>
      </c>
      <c r="AD2118" s="2"/>
      <c r="AE2118" s="2">
        <v>0.31194439156713799</v>
      </c>
      <c r="AF2118" s="2">
        <v>6290.3268387020398</v>
      </c>
      <c r="AG2118" s="2">
        <v>8634.8382175063707</v>
      </c>
      <c r="AH2118" s="4">
        <v>0.72848230392423097</v>
      </c>
      <c r="AI2118" s="4">
        <v>-0.45703416769138</v>
      </c>
      <c r="AJ2118" s="4" t="s">
        <v>62</v>
      </c>
      <c r="AK2118" s="2">
        <v>9.6776604251365098E-2</v>
      </c>
      <c r="AL2118" s="2">
        <v>0.39679744436488601</v>
      </c>
      <c r="AM2118" s="2">
        <v>3121.06324578558</v>
      </c>
      <c r="AN2118" s="2">
        <v>3810.4334274541802</v>
      </c>
      <c r="AO2118" s="2">
        <v>7667.7539147765201</v>
      </c>
      <c r="AP2118" s="2">
        <v>8311.2382843502692</v>
      </c>
      <c r="AQ2118" s="2">
        <v>10110.7838840717</v>
      </c>
      <c r="AR2118" s="2">
        <v>4720.6882757739904</v>
      </c>
      <c r="AS2118" s="2">
        <v>10130.8331584114</v>
      </c>
      <c r="AT2118" s="2">
        <v>7638.3139832426696</v>
      </c>
      <c r="AU2118" s="2">
        <v>7987.3643432443596</v>
      </c>
      <c r="AV2118" s="2">
        <v>8257.5296461140697</v>
      </c>
      <c r="AW2118" s="2">
        <v>7174.1659510731397</v>
      </c>
      <c r="AX2118" s="2">
        <v>10620.8222229526</v>
      </c>
    </row>
    <row r="2119" spans="1:50" x14ac:dyDescent="0.25">
      <c r="A2119" s="2" t="s">
        <v>14303</v>
      </c>
      <c r="B2119" s="2">
        <v>407.20531595024403</v>
      </c>
      <c r="C2119" s="2">
        <v>7.5508333333333297</v>
      </c>
      <c r="D2119" s="2" t="s">
        <v>51</v>
      </c>
      <c r="E2119" s="2" t="s">
        <v>14304</v>
      </c>
      <c r="F2119" s="2">
        <v>62325</v>
      </c>
      <c r="G2119" s="3" t="str">
        <f>HYPERLINK("https://cloud.oebiotech.com/#/lm/network/62325", "https://cloud.oebiotech.com/#/lm/network/62325")</f>
        <v>https://cloud.oebiotech.com/#/lm/network/62325</v>
      </c>
      <c r="H2119" s="2" t="s">
        <v>14305</v>
      </c>
      <c r="I2119" s="2">
        <v>93619</v>
      </c>
      <c r="J2119" s="2"/>
      <c r="K2119" s="2">
        <v>131752510</v>
      </c>
      <c r="L2119" s="2"/>
      <c r="M2119" s="2"/>
      <c r="N2119" s="2"/>
      <c r="O2119" s="2">
        <v>176061</v>
      </c>
      <c r="P2119" s="2"/>
      <c r="Q2119" s="2"/>
      <c r="R2119" s="2"/>
      <c r="S2119" s="2" t="s">
        <v>14306</v>
      </c>
      <c r="T2119" s="2" t="s">
        <v>14307</v>
      </c>
      <c r="U2119" s="2" t="s">
        <v>56</v>
      </c>
      <c r="V2119" s="2" t="s">
        <v>177</v>
      </c>
      <c r="W2119" s="2" t="s">
        <v>806</v>
      </c>
      <c r="X2119" s="2" t="s">
        <v>83</v>
      </c>
      <c r="Y2119" s="2">
        <v>42.5</v>
      </c>
      <c r="Z2119" s="2">
        <v>0</v>
      </c>
      <c r="AA2119" s="2" t="s">
        <v>156</v>
      </c>
      <c r="AB2119" s="2" t="s">
        <v>14308</v>
      </c>
      <c r="AC2119" s="2">
        <v>-2.62554681961086</v>
      </c>
      <c r="AD2119" s="2"/>
      <c r="AE2119" s="2">
        <v>0.31109340204407299</v>
      </c>
      <c r="AF2119" s="2">
        <v>4796.3141957288199</v>
      </c>
      <c r="AG2119" s="2">
        <v>2583.0895788361399</v>
      </c>
      <c r="AH2119" s="5">
        <v>1.8568129557047299</v>
      </c>
      <c r="AI2119" s="5">
        <v>0.892828494073448</v>
      </c>
      <c r="AJ2119" s="5" t="s">
        <v>139</v>
      </c>
      <c r="AK2119" s="2">
        <v>4.94721429816917E-3</v>
      </c>
      <c r="AL2119" s="2">
        <v>0.123740271492219</v>
      </c>
      <c r="AM2119" s="2">
        <v>3924.2628022416502</v>
      </c>
      <c r="AN2119" s="2">
        <v>6905.0320556815204</v>
      </c>
      <c r="AO2119" s="2">
        <v>5125.4319269178804</v>
      </c>
      <c r="AP2119" s="2">
        <v>4519.2950565562296</v>
      </c>
      <c r="AQ2119" s="2">
        <v>3777.8198483537899</v>
      </c>
      <c r="AR2119" s="2">
        <v>4526.0434846218704</v>
      </c>
      <c r="AS2119" s="2">
        <v>3515.84443801014</v>
      </c>
      <c r="AT2119" s="2">
        <v>1963.9585368984001</v>
      </c>
      <c r="AU2119" s="2">
        <v>3668.77727967387</v>
      </c>
      <c r="AV2119" s="2">
        <v>1146.7942904060501</v>
      </c>
      <c r="AW2119" s="2">
        <v>3058.6362139570901</v>
      </c>
      <c r="AX2119" s="2">
        <v>2144.5267140712799</v>
      </c>
    </row>
    <row r="2120" spans="1:50" x14ac:dyDescent="0.25">
      <c r="A2120" s="2" t="s">
        <v>14309</v>
      </c>
      <c r="B2120" s="2">
        <v>375.14764572303102</v>
      </c>
      <c r="C2120" s="2">
        <v>10.5512333333333</v>
      </c>
      <c r="D2120" s="2" t="s">
        <v>51</v>
      </c>
      <c r="E2120" s="2" t="s">
        <v>14310</v>
      </c>
      <c r="F2120" s="2">
        <v>198720</v>
      </c>
      <c r="G2120" s="3" t="str">
        <f>HYPERLINK("https://cloud.oebiotech.com/#/lm/network/198720", "https://cloud.oebiotech.com/#/lm/network/198720")</f>
        <v>https://cloud.oebiotech.com/#/lm/network/198720</v>
      </c>
      <c r="H2120" s="2" t="s">
        <v>14311</v>
      </c>
      <c r="I2120" s="2"/>
      <c r="J2120" s="2"/>
      <c r="K2120" s="2">
        <v>418553</v>
      </c>
      <c r="L2120" s="2"/>
      <c r="M2120" s="2"/>
      <c r="N2120" s="2"/>
      <c r="O2120" s="2"/>
      <c r="P2120" s="2"/>
      <c r="Q2120" s="2"/>
      <c r="R2120" s="2"/>
      <c r="S2120" s="2" t="s">
        <v>14312</v>
      </c>
      <c r="T2120" s="2" t="s">
        <v>14313</v>
      </c>
      <c r="U2120" s="2" t="s">
        <v>238</v>
      </c>
      <c r="V2120" s="2" t="s">
        <v>14314</v>
      </c>
      <c r="W2120" s="2" t="s">
        <v>240</v>
      </c>
      <c r="X2120" s="2" t="s">
        <v>147</v>
      </c>
      <c r="Y2120" s="2">
        <v>37.6</v>
      </c>
      <c r="Z2120" s="2">
        <v>0</v>
      </c>
      <c r="AA2120" s="2" t="s">
        <v>395</v>
      </c>
      <c r="AB2120" s="2" t="s">
        <v>14315</v>
      </c>
      <c r="AC2120" s="2">
        <v>2.11082353509472</v>
      </c>
      <c r="AD2120" s="2"/>
      <c r="AE2120" s="2">
        <v>0.31085178081501902</v>
      </c>
      <c r="AF2120" s="2">
        <v>5682.8911138758003</v>
      </c>
      <c r="AG2120" s="2">
        <v>3107.3927525157401</v>
      </c>
      <c r="AH2120" s="5">
        <v>1.8288293648348599</v>
      </c>
      <c r="AI2120" s="5">
        <v>0.87092047367022696</v>
      </c>
      <c r="AJ2120" s="5" t="s">
        <v>139</v>
      </c>
      <c r="AK2120" s="2">
        <v>0.29261833060526699</v>
      </c>
      <c r="AL2120" s="2">
        <v>0.60553329689908297</v>
      </c>
      <c r="AM2120" s="2">
        <v>15072.684194634699</v>
      </c>
      <c r="AN2120" s="2">
        <v>7271.5321322604104</v>
      </c>
      <c r="AO2120" s="2">
        <v>3539.7897612480001</v>
      </c>
      <c r="AP2120" s="2">
        <v>3374.8567242306799</v>
      </c>
      <c r="AQ2120" s="2">
        <v>2116.7737535036899</v>
      </c>
      <c r="AR2120" s="2">
        <v>2721.7101173773199</v>
      </c>
      <c r="AS2120" s="2">
        <v>4019.03420999028</v>
      </c>
      <c r="AT2120" s="2">
        <v>415.3856195011</v>
      </c>
      <c r="AU2120" s="2">
        <v>8259.3142269429409</v>
      </c>
      <c r="AV2120" s="2">
        <v>2265.2675020001702</v>
      </c>
      <c r="AW2120" s="2">
        <v>1281.7577304615299</v>
      </c>
      <c r="AX2120" s="2">
        <v>2403.5972261984298</v>
      </c>
    </row>
    <row r="2121" spans="1:50" x14ac:dyDescent="0.25">
      <c r="A2121" s="2" t="s">
        <v>14316</v>
      </c>
      <c r="B2121" s="2">
        <v>613.48422475409495</v>
      </c>
      <c r="C2121" s="2">
        <v>13.831099999999999</v>
      </c>
      <c r="D2121" s="2" t="s">
        <v>51</v>
      </c>
      <c r="E2121" s="2" t="s">
        <v>14317</v>
      </c>
      <c r="F2121" s="2">
        <v>49298</v>
      </c>
      <c r="G2121" s="3" t="str">
        <f>HYPERLINK("https://cloud.oebiotech.com/#/lm/network/49298", "https://cloud.oebiotech.com/#/lm/network/49298")</f>
        <v>https://cloud.oebiotech.com/#/lm/network/49298</v>
      </c>
      <c r="H2121" s="2" t="s">
        <v>14318</v>
      </c>
      <c r="I2121" s="2">
        <v>59051</v>
      </c>
      <c r="J2121" s="2"/>
      <c r="K2121" s="2">
        <v>53478341</v>
      </c>
      <c r="L2121" s="2"/>
      <c r="M2121" s="2"/>
      <c r="N2121" s="2"/>
      <c r="O2121" s="2"/>
      <c r="P2121" s="2"/>
      <c r="Q2121" s="2"/>
      <c r="R2121" s="2"/>
      <c r="S2121" s="2" t="s">
        <v>14319</v>
      </c>
      <c r="T2121" s="2" t="s">
        <v>14320</v>
      </c>
      <c r="U2121" s="2" t="s">
        <v>56</v>
      </c>
      <c r="V2121" s="2" t="s">
        <v>3215</v>
      </c>
      <c r="W2121" s="2" t="s">
        <v>3216</v>
      </c>
      <c r="X2121" s="2" t="s">
        <v>147</v>
      </c>
      <c r="Y2121" s="2">
        <v>44.2</v>
      </c>
      <c r="Z2121" s="2">
        <v>24.9</v>
      </c>
      <c r="AA2121" s="2" t="s">
        <v>179</v>
      </c>
      <c r="AB2121" s="2" t="s">
        <v>14321</v>
      </c>
      <c r="AC2121" s="2">
        <v>2.5685470447293599</v>
      </c>
      <c r="AD2121" s="2"/>
      <c r="AE2121" s="2">
        <v>0.310661430287555</v>
      </c>
      <c r="AF2121" s="2">
        <v>759472.88490626297</v>
      </c>
      <c r="AG2121" s="2">
        <v>867684.96459226799</v>
      </c>
      <c r="AH2121" s="4">
        <v>0.87528644139079304</v>
      </c>
      <c r="AI2121" s="4">
        <v>-0.192172872287459</v>
      </c>
      <c r="AJ2121" s="4" t="s">
        <v>62</v>
      </c>
      <c r="AK2121" s="2">
        <v>0.71023115117629798</v>
      </c>
      <c r="AL2121" s="2">
        <v>0.86212274474211503</v>
      </c>
      <c r="AM2121" s="2">
        <v>996243.02923469699</v>
      </c>
      <c r="AN2121" s="2">
        <v>1371963.00373814</v>
      </c>
      <c r="AO2121" s="2">
        <v>657331.79014819895</v>
      </c>
      <c r="AP2121" s="2">
        <v>782080.92171599099</v>
      </c>
      <c r="AQ2121" s="2">
        <v>240682.92108502801</v>
      </c>
      <c r="AR2121" s="2">
        <v>508535.643515523</v>
      </c>
      <c r="AS2121" s="2">
        <v>207603.36501349101</v>
      </c>
      <c r="AT2121" s="2">
        <v>459645.26616745</v>
      </c>
      <c r="AU2121" s="2">
        <v>1548218.65942719</v>
      </c>
      <c r="AV2121" s="2">
        <v>522332.48994518002</v>
      </c>
      <c r="AW2121" s="2">
        <v>937482.28087400994</v>
      </c>
      <c r="AX2121" s="2">
        <v>1530827.7261262899</v>
      </c>
    </row>
    <row r="2122" spans="1:50" x14ac:dyDescent="0.25">
      <c r="A2122" s="2" t="s">
        <v>14322</v>
      </c>
      <c r="B2122" s="2">
        <v>372.17885618253302</v>
      </c>
      <c r="C2122" s="2">
        <v>4.0892666666666697</v>
      </c>
      <c r="D2122" s="2" t="s">
        <v>51</v>
      </c>
      <c r="E2122" s="2" t="s">
        <v>14323</v>
      </c>
      <c r="F2122" s="2">
        <v>205188</v>
      </c>
      <c r="G2122" s="3" t="str">
        <f>HYPERLINK("https://cloud.oebiotech.com/#/lm/network/205188", "https://cloud.oebiotech.com/#/lm/network/205188")</f>
        <v>https://cloud.oebiotech.com/#/lm/network/205188</v>
      </c>
      <c r="H2122" s="2" t="s">
        <v>14324</v>
      </c>
      <c r="I2122" s="2"/>
      <c r="J2122" s="2"/>
      <c r="K2122" s="2">
        <v>2832</v>
      </c>
      <c r="L2122" s="2" t="s">
        <v>14325</v>
      </c>
      <c r="M2122" s="2"/>
      <c r="N2122" s="2"/>
      <c r="O2122" s="2"/>
      <c r="P2122" s="2"/>
      <c r="Q2122" s="2"/>
      <c r="R2122" s="2"/>
      <c r="S2122" s="2" t="s">
        <v>14326</v>
      </c>
      <c r="T2122" s="2" t="s">
        <v>14327</v>
      </c>
      <c r="U2122" s="2" t="s">
        <v>11948</v>
      </c>
      <c r="V2122" s="2" t="s">
        <v>11949</v>
      </c>
      <c r="W2122" s="2" t="s">
        <v>240</v>
      </c>
      <c r="X2122" s="2" t="s">
        <v>147</v>
      </c>
      <c r="Y2122" s="2">
        <v>37.6</v>
      </c>
      <c r="Z2122" s="2">
        <v>5.39</v>
      </c>
      <c r="AA2122" s="2" t="s">
        <v>60</v>
      </c>
      <c r="AB2122" s="2" t="s">
        <v>14328</v>
      </c>
      <c r="AC2122" s="2">
        <v>-4.5616264438101304</v>
      </c>
      <c r="AD2122" s="2"/>
      <c r="AE2122" s="2">
        <v>0.31053501922318699</v>
      </c>
      <c r="AF2122" s="2">
        <v>5936.5116463602199</v>
      </c>
      <c r="AG2122" s="2">
        <v>11620.4615785243</v>
      </c>
      <c r="AH2122" s="4">
        <v>0.51086711196837697</v>
      </c>
      <c r="AI2122" s="4">
        <v>-0.96898003236829</v>
      </c>
      <c r="AJ2122" s="4" t="s">
        <v>62</v>
      </c>
      <c r="AK2122" s="2">
        <v>0.35921998763572</v>
      </c>
      <c r="AL2122" s="2">
        <v>0.64449606579735297</v>
      </c>
      <c r="AM2122" s="2">
        <v>8095.4534861704997</v>
      </c>
      <c r="AN2122" s="2">
        <v>1144.76269493423</v>
      </c>
      <c r="AO2122" s="2">
        <v>3828.6080228286601</v>
      </c>
      <c r="AP2122" s="2">
        <v>8503.5301730106803</v>
      </c>
      <c r="AQ2122" s="2">
        <v>9164.7261692821903</v>
      </c>
      <c r="AR2122" s="2">
        <v>4881.9893319350303</v>
      </c>
      <c r="AS2122" s="2">
        <v>3493.1823344248601</v>
      </c>
      <c r="AT2122" s="2">
        <v>168.237782054294</v>
      </c>
      <c r="AU2122" s="2">
        <v>27265.5934672648</v>
      </c>
      <c r="AV2122" s="2">
        <v>32036.883127095902</v>
      </c>
      <c r="AW2122" s="2">
        <v>1847.68620236268</v>
      </c>
      <c r="AX2122" s="2">
        <v>4911.1865579434398</v>
      </c>
    </row>
    <row r="2123" spans="1:50" x14ac:dyDescent="0.25">
      <c r="A2123" s="2" t="s">
        <v>14329</v>
      </c>
      <c r="B2123" s="2">
        <v>283.03487113177903</v>
      </c>
      <c r="C2123" s="2">
        <v>1.20183333333333</v>
      </c>
      <c r="D2123" s="2" t="s">
        <v>51</v>
      </c>
      <c r="E2123" s="2" t="s">
        <v>14330</v>
      </c>
      <c r="F2123" s="2">
        <v>53455</v>
      </c>
      <c r="G2123" s="3" t="str">
        <f>HYPERLINK("https://cloud.oebiotech.com/#/lm/network/53455", "https://cloud.oebiotech.com/#/lm/network/53455")</f>
        <v>https://cloud.oebiotech.com/#/lm/network/53455</v>
      </c>
      <c r="H2123" s="2" t="s">
        <v>14331</v>
      </c>
      <c r="I2123" s="2"/>
      <c r="J2123" s="2"/>
      <c r="K2123" s="2"/>
      <c r="L2123" s="2" t="s">
        <v>14332</v>
      </c>
      <c r="M2123" s="2"/>
      <c r="N2123" s="2"/>
      <c r="O2123" s="2">
        <v>101369</v>
      </c>
      <c r="P2123" s="2"/>
      <c r="Q2123" s="2"/>
      <c r="R2123" s="2" t="s">
        <v>14333</v>
      </c>
      <c r="S2123" s="2" t="s">
        <v>14334</v>
      </c>
      <c r="T2123" s="2" t="s">
        <v>14335</v>
      </c>
      <c r="U2123" s="2" t="s">
        <v>266</v>
      </c>
      <c r="V2123" s="2" t="s">
        <v>9022</v>
      </c>
      <c r="W2123" s="2" t="s">
        <v>240</v>
      </c>
      <c r="X2123" s="2" t="s">
        <v>147</v>
      </c>
      <c r="Y2123" s="2">
        <v>37.1</v>
      </c>
      <c r="Z2123" s="2">
        <v>1.4</v>
      </c>
      <c r="AA2123" s="2" t="s">
        <v>379</v>
      </c>
      <c r="AB2123" s="2" t="s">
        <v>14336</v>
      </c>
      <c r="AC2123" s="2">
        <v>-3.8860479371659702</v>
      </c>
      <c r="AD2123" s="2"/>
      <c r="AE2123" s="2">
        <v>0.310389750075243</v>
      </c>
      <c r="AF2123" s="2">
        <v>17093.355187444198</v>
      </c>
      <c r="AG2123" s="2">
        <v>13946.296769124499</v>
      </c>
      <c r="AH2123" s="5">
        <v>1.2256554890820099</v>
      </c>
      <c r="AI2123" s="5">
        <v>0.29355351896434501</v>
      </c>
      <c r="AJ2123" s="5" t="s">
        <v>139</v>
      </c>
      <c r="AK2123" s="2">
        <v>0.63398396572044602</v>
      </c>
      <c r="AL2123" s="2">
        <v>0.820119264563689</v>
      </c>
      <c r="AM2123" s="2">
        <v>39764.356843201997</v>
      </c>
      <c r="AN2123" s="2">
        <v>12904.2834359301</v>
      </c>
      <c r="AO2123" s="2">
        <v>8185.7861697295602</v>
      </c>
      <c r="AP2123" s="2">
        <v>9877.1948672287999</v>
      </c>
      <c r="AQ2123" s="2">
        <v>19846.9019818251</v>
      </c>
      <c r="AR2123" s="2">
        <v>11981.6078267495</v>
      </c>
      <c r="AS2123" s="2">
        <v>8556.2505613698395</v>
      </c>
      <c r="AT2123" s="2">
        <v>9379.9404224403097</v>
      </c>
      <c r="AU2123" s="2">
        <v>34188.070821077999</v>
      </c>
      <c r="AV2123" s="2">
        <v>8105.4069225786998</v>
      </c>
      <c r="AW2123" s="2">
        <v>15716.645573955901</v>
      </c>
      <c r="AX2123" s="2">
        <v>7731.4663133241802</v>
      </c>
    </row>
    <row r="2124" spans="1:50" x14ac:dyDescent="0.25">
      <c r="A2124" s="2" t="s">
        <v>14337</v>
      </c>
      <c r="B2124" s="2">
        <v>414.039895658891</v>
      </c>
      <c r="C2124" s="2">
        <v>7.2658333333333296</v>
      </c>
      <c r="D2124" s="2" t="s">
        <v>51</v>
      </c>
      <c r="E2124" s="2" t="s">
        <v>14338</v>
      </c>
      <c r="F2124" s="2">
        <v>277066</v>
      </c>
      <c r="G2124" s="3" t="str">
        <f>HYPERLINK("https://cloud.oebiotech.com/#/lm/network/277066", "https://cloud.oebiotech.com/#/lm/network/277066")</f>
        <v>https://cloud.oebiotech.com/#/lm/network/277066</v>
      </c>
      <c r="H2124" s="2"/>
      <c r="I2124" s="2">
        <v>68700</v>
      </c>
      <c r="J2124" s="2"/>
      <c r="K2124" s="2">
        <v>91777</v>
      </c>
      <c r="L2124" s="2" t="s">
        <v>14339</v>
      </c>
      <c r="M2124" s="2"/>
      <c r="N2124" s="2"/>
      <c r="O2124" s="2"/>
      <c r="P2124" s="2"/>
      <c r="Q2124" s="2"/>
      <c r="R2124" s="2" t="s">
        <v>14340</v>
      </c>
      <c r="S2124" s="2" t="s">
        <v>14341</v>
      </c>
      <c r="T2124" s="2" t="s">
        <v>14342</v>
      </c>
      <c r="U2124" s="2" t="s">
        <v>331</v>
      </c>
      <c r="V2124" s="2" t="s">
        <v>332</v>
      </c>
      <c r="W2124" s="2" t="s">
        <v>511</v>
      </c>
      <c r="X2124" s="2" t="s">
        <v>147</v>
      </c>
      <c r="Y2124" s="2">
        <v>36.9</v>
      </c>
      <c r="Z2124" s="2">
        <v>0</v>
      </c>
      <c r="AA2124" s="2" t="s">
        <v>218</v>
      </c>
      <c r="AB2124" s="2" t="s">
        <v>14343</v>
      </c>
      <c r="AC2124" s="2">
        <v>1.09187489999482</v>
      </c>
      <c r="AD2124" s="2"/>
      <c r="AE2124" s="2">
        <v>0.31036265377801697</v>
      </c>
      <c r="AF2124" s="2">
        <v>3555.5794487173098</v>
      </c>
      <c r="AG2124" s="2">
        <v>7158.9239173986098</v>
      </c>
      <c r="AH2124" s="4">
        <v>0.49666395253566697</v>
      </c>
      <c r="AI2124" s="4">
        <v>-1.0096580539411699</v>
      </c>
      <c r="AJ2124" s="4" t="s">
        <v>62</v>
      </c>
      <c r="AK2124" s="2">
        <v>0.166338952087453</v>
      </c>
      <c r="AL2124" s="2">
        <v>0.48840472727161599</v>
      </c>
      <c r="AM2124" s="2">
        <v>6557.6384720071901</v>
      </c>
      <c r="AN2124" s="2">
        <v>2908.9506017397498</v>
      </c>
      <c r="AO2124" s="2">
        <v>1725.9950504267199</v>
      </c>
      <c r="AP2124" s="2">
        <v>6544.4223978151804</v>
      </c>
      <c r="AQ2124" s="2">
        <v>300.20571340028101</v>
      </c>
      <c r="AR2124" s="2">
        <v>3296.2644569147501</v>
      </c>
      <c r="AS2124" s="2">
        <v>15750.8026135074</v>
      </c>
      <c r="AT2124" s="2">
        <v>4201.3923651766099</v>
      </c>
      <c r="AU2124" s="2">
        <v>6776.05824186877</v>
      </c>
      <c r="AV2124" s="2">
        <v>4827.0727026336899</v>
      </c>
      <c r="AW2124" s="2">
        <v>10698.8334393759</v>
      </c>
      <c r="AX2124" s="2">
        <v>699.38414182929398</v>
      </c>
    </row>
    <row r="2125" spans="1:50" x14ac:dyDescent="0.25">
      <c r="A2125" s="2" t="s">
        <v>14344</v>
      </c>
      <c r="B2125" s="2">
        <v>648.38837626369695</v>
      </c>
      <c r="C2125" s="2">
        <v>11.6107833333333</v>
      </c>
      <c r="D2125" s="2" t="s">
        <v>51</v>
      </c>
      <c r="E2125" s="2" t="s">
        <v>14345</v>
      </c>
      <c r="F2125" s="2">
        <v>27835</v>
      </c>
      <c r="G2125" s="3" t="str">
        <f>HYPERLINK("https://cloud.oebiotech.com/#/lm/network/27835", "https://cloud.oebiotech.com/#/lm/network/27835")</f>
        <v>https://cloud.oebiotech.com/#/lm/network/27835</v>
      </c>
      <c r="H2125" s="2"/>
      <c r="I2125" s="2"/>
      <c r="J2125" s="2" t="s">
        <v>14346</v>
      </c>
      <c r="K2125" s="2">
        <v>134812289</v>
      </c>
      <c r="L2125" s="2"/>
      <c r="M2125" s="2"/>
      <c r="N2125" s="2"/>
      <c r="O2125" s="2"/>
      <c r="P2125" s="2"/>
      <c r="Q2125" s="2"/>
      <c r="R2125" s="2"/>
      <c r="S2125" s="2" t="s">
        <v>14347</v>
      </c>
      <c r="T2125" s="2" t="s">
        <v>14348</v>
      </c>
      <c r="U2125" s="2" t="s">
        <v>56</v>
      </c>
      <c r="V2125" s="2" t="s">
        <v>57</v>
      </c>
      <c r="W2125" s="2" t="s">
        <v>58</v>
      </c>
      <c r="X2125" s="2" t="s">
        <v>59</v>
      </c>
      <c r="Y2125" s="2">
        <v>47.7</v>
      </c>
      <c r="Z2125" s="2">
        <v>54.8</v>
      </c>
      <c r="AA2125" s="2" t="s">
        <v>163</v>
      </c>
      <c r="AB2125" s="2" t="s">
        <v>6576</v>
      </c>
      <c r="AC2125" s="2">
        <v>0.26015132785147599</v>
      </c>
      <c r="AD2125" s="2"/>
      <c r="AE2125" s="2">
        <v>0.31016140461914898</v>
      </c>
      <c r="AF2125" s="2">
        <v>2434.89354968098</v>
      </c>
      <c r="AG2125" s="2">
        <v>171.463719693077</v>
      </c>
      <c r="AH2125" s="5">
        <v>14.2006341285462</v>
      </c>
      <c r="AI2125" s="5">
        <v>3.82788344952451</v>
      </c>
      <c r="AJ2125" s="5" t="s">
        <v>139</v>
      </c>
      <c r="AK2125" s="2">
        <v>2.1658800746458099E-2</v>
      </c>
      <c r="AL2125" s="2">
        <v>0.22894871932414601</v>
      </c>
      <c r="AM2125" s="2">
        <v>4112.5097027900702</v>
      </c>
      <c r="AN2125" s="2">
        <v>4613.6897377511696</v>
      </c>
      <c r="AO2125" s="2">
        <v>8.559877937157E-6</v>
      </c>
      <c r="AP2125" s="2">
        <v>2465.6448755852998</v>
      </c>
      <c r="AQ2125" s="2">
        <v>8.559877937157E-6</v>
      </c>
      <c r="AR2125" s="2">
        <v>3417.5169648395799</v>
      </c>
      <c r="AS2125" s="2">
        <v>319.15808470951299</v>
      </c>
      <c r="AT2125" s="2">
        <v>709.62419920943603</v>
      </c>
      <c r="AU2125" s="2">
        <v>8.559877937157E-6</v>
      </c>
      <c r="AV2125" s="2">
        <v>8.559877937157E-6</v>
      </c>
      <c r="AW2125" s="2">
        <v>8.559877937157E-6</v>
      </c>
      <c r="AX2125" s="2">
        <v>8.559877937157E-6</v>
      </c>
    </row>
    <row r="2126" spans="1:50" x14ac:dyDescent="0.25">
      <c r="A2126" s="2" t="s">
        <v>14349</v>
      </c>
      <c r="B2126" s="2">
        <v>195.06316648972799</v>
      </c>
      <c r="C2126" s="2">
        <v>4.7222</v>
      </c>
      <c r="D2126" s="2" t="s">
        <v>51</v>
      </c>
      <c r="E2126" s="2" t="s">
        <v>14350</v>
      </c>
      <c r="F2126" s="2">
        <v>200937</v>
      </c>
      <c r="G2126" s="3" t="str">
        <f>HYPERLINK("https://cloud.oebiotech.com/#/lm/network/200937", "https://cloud.oebiotech.com/#/lm/network/200937")</f>
        <v>https://cloud.oebiotech.com/#/lm/network/200937</v>
      </c>
      <c r="H2126" s="2" t="s">
        <v>14351</v>
      </c>
      <c r="I2126" s="2">
        <v>344623</v>
      </c>
      <c r="J2126" s="2"/>
      <c r="K2126" s="2">
        <v>30976</v>
      </c>
      <c r="L2126" s="2"/>
      <c r="M2126" s="2"/>
      <c r="N2126" s="2"/>
      <c r="O2126" s="2">
        <v>40235</v>
      </c>
      <c r="P2126" s="2"/>
      <c r="Q2126" s="2"/>
      <c r="R2126" s="2"/>
      <c r="S2126" s="2" t="s">
        <v>14352</v>
      </c>
      <c r="T2126" s="2" t="s">
        <v>14353</v>
      </c>
      <c r="U2126" s="2" t="s">
        <v>266</v>
      </c>
      <c r="V2126" s="2" t="s">
        <v>2772</v>
      </c>
      <c r="W2126" s="2" t="s">
        <v>2773</v>
      </c>
      <c r="X2126" s="2" t="s">
        <v>147</v>
      </c>
      <c r="Y2126" s="2">
        <v>39.1</v>
      </c>
      <c r="Z2126" s="2">
        <v>0</v>
      </c>
      <c r="AA2126" s="2" t="s">
        <v>218</v>
      </c>
      <c r="AB2126" s="2" t="s">
        <v>14354</v>
      </c>
      <c r="AC2126" s="2">
        <v>-2.8694256557072402</v>
      </c>
      <c r="AD2126" s="2"/>
      <c r="AE2126" s="2">
        <v>0.31015748400124599</v>
      </c>
      <c r="AF2126" s="2">
        <v>8116.0622797698798</v>
      </c>
      <c r="AG2126" s="2">
        <v>5688.2644227560604</v>
      </c>
      <c r="AH2126" s="5">
        <v>1.42680819254839</v>
      </c>
      <c r="AI2126" s="5">
        <v>0.51279140470976603</v>
      </c>
      <c r="AJ2126" s="5" t="s">
        <v>139</v>
      </c>
      <c r="AK2126" s="2">
        <v>0.28249725487744598</v>
      </c>
      <c r="AL2126" s="2">
        <v>0.60000138164408201</v>
      </c>
      <c r="AM2126" s="2">
        <v>14979.187577418401</v>
      </c>
      <c r="AN2126" s="2">
        <v>10320.1486031779</v>
      </c>
      <c r="AO2126" s="2">
        <v>6182.1921504273096</v>
      </c>
      <c r="AP2126" s="2">
        <v>4816.1076343105797</v>
      </c>
      <c r="AQ2126" s="2">
        <v>6374.5174475881004</v>
      </c>
      <c r="AR2126" s="2">
        <v>6024.2202656970103</v>
      </c>
      <c r="AS2126" s="2">
        <v>4910.7625304215298</v>
      </c>
      <c r="AT2126" s="2">
        <v>3572.6757958419298</v>
      </c>
      <c r="AU2126" s="2">
        <v>12678.6670710157</v>
      </c>
      <c r="AV2126" s="2">
        <v>3303.28455678809</v>
      </c>
      <c r="AW2126" s="2">
        <v>3844.0597504365501</v>
      </c>
      <c r="AX2126" s="2">
        <v>5820.13683203255</v>
      </c>
    </row>
    <row r="2127" spans="1:50" x14ac:dyDescent="0.25">
      <c r="A2127" s="2" t="s">
        <v>14355</v>
      </c>
      <c r="B2127" s="2">
        <v>544.301399760442</v>
      </c>
      <c r="C2127" s="2">
        <v>10.3920333333333</v>
      </c>
      <c r="D2127" s="2" t="s">
        <v>51</v>
      </c>
      <c r="E2127" s="2" t="s">
        <v>14356</v>
      </c>
      <c r="F2127" s="2">
        <v>207671</v>
      </c>
      <c r="G2127" s="3" t="str">
        <f>HYPERLINK("https://cloud.oebiotech.com/#/lm/network/207671", "https://cloud.oebiotech.com/#/lm/network/207671")</f>
        <v>https://cloud.oebiotech.com/#/lm/network/207671</v>
      </c>
      <c r="H2127" s="2" t="s">
        <v>14357</v>
      </c>
      <c r="I2127" s="2"/>
      <c r="J2127" s="2"/>
      <c r="K2127" s="2">
        <v>53398717</v>
      </c>
      <c r="L2127" s="2"/>
      <c r="M2127" s="2"/>
      <c r="N2127" s="2"/>
      <c r="O2127" s="2"/>
      <c r="P2127" s="2"/>
      <c r="Q2127" s="2"/>
      <c r="R2127" s="2"/>
      <c r="S2127" s="2" t="s">
        <v>14358</v>
      </c>
      <c r="T2127" s="2" t="s">
        <v>14359</v>
      </c>
      <c r="U2127" s="2" t="s">
        <v>56</v>
      </c>
      <c r="V2127" s="2" t="s">
        <v>283</v>
      </c>
      <c r="W2127" s="2" t="s">
        <v>1108</v>
      </c>
      <c r="X2127" s="2" t="s">
        <v>147</v>
      </c>
      <c r="Y2127" s="2">
        <v>38</v>
      </c>
      <c r="Z2127" s="2">
        <v>0</v>
      </c>
      <c r="AA2127" s="2" t="s">
        <v>512</v>
      </c>
      <c r="AB2127" s="2" t="s">
        <v>14360</v>
      </c>
      <c r="AC2127" s="2">
        <v>0.77926881915323098</v>
      </c>
      <c r="AD2127" s="2"/>
      <c r="AE2127" s="2">
        <v>0.309613043423066</v>
      </c>
      <c r="AF2127" s="2">
        <v>3616.8757093426798</v>
      </c>
      <c r="AG2127" s="2">
        <v>1139.2402864098799</v>
      </c>
      <c r="AH2127" s="5">
        <v>3.1748137355119801</v>
      </c>
      <c r="AI2127" s="5">
        <v>1.6666719522829401</v>
      </c>
      <c r="AJ2127" s="5" t="s">
        <v>139</v>
      </c>
      <c r="AK2127" s="2">
        <v>8.8329675114957706E-2</v>
      </c>
      <c r="AL2127" s="2">
        <v>0.38072356452622402</v>
      </c>
      <c r="AM2127" s="2">
        <v>9437.1413282690191</v>
      </c>
      <c r="AN2127" s="2">
        <v>2711.97973411884</v>
      </c>
      <c r="AO2127" s="2">
        <v>3348.6719188587799</v>
      </c>
      <c r="AP2127" s="2">
        <v>2199.1551410427101</v>
      </c>
      <c r="AQ2127" s="2">
        <v>1228.4419914637001</v>
      </c>
      <c r="AR2127" s="2">
        <v>2775.8641423030499</v>
      </c>
      <c r="AS2127" s="2">
        <v>8.559877937157E-6</v>
      </c>
      <c r="AT2127" s="2">
        <v>8.559877937157E-6</v>
      </c>
      <c r="AU2127" s="2">
        <v>8.559877937157E-6</v>
      </c>
      <c r="AV2127" s="2">
        <v>1747.3194352023299</v>
      </c>
      <c r="AW2127" s="2">
        <v>2902.7843786342701</v>
      </c>
      <c r="AX2127" s="2">
        <v>2185.3378789430299</v>
      </c>
    </row>
    <row r="2128" spans="1:50" x14ac:dyDescent="0.25">
      <c r="A2128" s="2" t="s">
        <v>14361</v>
      </c>
      <c r="B2128" s="2">
        <v>267.123118862372</v>
      </c>
      <c r="C2128" s="2">
        <v>5.5057499999999999</v>
      </c>
      <c r="D2128" s="2" t="s">
        <v>51</v>
      </c>
      <c r="E2128" s="2" t="s">
        <v>14362</v>
      </c>
      <c r="F2128" s="2">
        <v>64661</v>
      </c>
      <c r="G2128" s="3" t="str">
        <f>HYPERLINK("https://cloud.oebiotech.com/#/lm/network/64661", "https://cloud.oebiotech.com/#/lm/network/64661")</f>
        <v>https://cloud.oebiotech.com/#/lm/network/64661</v>
      </c>
      <c r="H2128" s="2" t="s">
        <v>14363</v>
      </c>
      <c r="I2128" s="2">
        <v>95962</v>
      </c>
      <c r="J2128" s="2"/>
      <c r="K2128" s="2">
        <v>85214158</v>
      </c>
      <c r="L2128" s="2"/>
      <c r="M2128" s="2"/>
      <c r="N2128" s="2"/>
      <c r="O2128" s="2"/>
      <c r="P2128" s="2"/>
      <c r="Q2128" s="2"/>
      <c r="R2128" s="2" t="s">
        <v>14364</v>
      </c>
      <c r="S2128" s="2" t="s">
        <v>14365</v>
      </c>
      <c r="T2128" s="2" t="s">
        <v>14366</v>
      </c>
      <c r="U2128" s="2" t="s">
        <v>266</v>
      </c>
      <c r="V2128" s="2" t="s">
        <v>3994</v>
      </c>
      <c r="W2128" s="2" t="s">
        <v>3995</v>
      </c>
      <c r="X2128" s="2" t="s">
        <v>69</v>
      </c>
      <c r="Y2128" s="2">
        <v>55.2</v>
      </c>
      <c r="Z2128" s="2">
        <v>59.7</v>
      </c>
      <c r="AA2128" s="2" t="s">
        <v>259</v>
      </c>
      <c r="AB2128" s="2" t="s">
        <v>14367</v>
      </c>
      <c r="AC2128" s="2">
        <v>1.5735852725755</v>
      </c>
      <c r="AD2128" s="2"/>
      <c r="AE2128" s="2">
        <v>0.30924334009493298</v>
      </c>
      <c r="AF2128" s="2">
        <v>3051.87763111914</v>
      </c>
      <c r="AG2128" s="2">
        <v>5749.5848948457497</v>
      </c>
      <c r="AH2128" s="4">
        <v>0.53079964674580504</v>
      </c>
      <c r="AI2128" s="4">
        <v>-0.91376068431159396</v>
      </c>
      <c r="AJ2128" s="4" t="s">
        <v>62</v>
      </c>
      <c r="AK2128" s="2">
        <v>7.0010668100633305E-2</v>
      </c>
      <c r="AL2128" s="2">
        <v>0.34954547296639299</v>
      </c>
      <c r="AM2128" s="2">
        <v>1692.500930853</v>
      </c>
      <c r="AN2128" s="2">
        <v>3997.7746731969301</v>
      </c>
      <c r="AO2128" s="2">
        <v>1764.8439482907099</v>
      </c>
      <c r="AP2128" s="2">
        <v>2954.3642737673999</v>
      </c>
      <c r="AQ2128" s="2">
        <v>3469.3398213549599</v>
      </c>
      <c r="AR2128" s="2">
        <v>4432.4421392518298</v>
      </c>
      <c r="AS2128" s="2">
        <v>3723.1885584250999</v>
      </c>
      <c r="AT2128" s="2">
        <v>1753.8087987541001</v>
      </c>
      <c r="AU2128" s="2">
        <v>9166.4449149005795</v>
      </c>
      <c r="AV2128" s="2">
        <v>9029.0326820678401</v>
      </c>
      <c r="AW2128" s="2">
        <v>6800.8206936402003</v>
      </c>
      <c r="AX2128" s="2">
        <v>4024.2137212866601</v>
      </c>
    </row>
    <row r="2129" spans="1:50" x14ac:dyDescent="0.25">
      <c r="A2129" s="2" t="s">
        <v>14368</v>
      </c>
      <c r="B2129" s="2">
        <v>294.24381157315099</v>
      </c>
      <c r="C2129" s="2">
        <v>7.13835</v>
      </c>
      <c r="D2129" s="2" t="s">
        <v>51</v>
      </c>
      <c r="E2129" s="2" t="s">
        <v>14369</v>
      </c>
      <c r="F2129" s="2">
        <v>1015</v>
      </c>
      <c r="G2129" s="3" t="str">
        <f>HYPERLINK("https://cloud.oebiotech.com/#/lm/network/1015", "https://cloud.oebiotech.com/#/lm/network/1015")</f>
        <v>https://cloud.oebiotech.com/#/lm/network/1015</v>
      </c>
      <c r="H2129" s="2"/>
      <c r="I2129" s="2">
        <v>74187</v>
      </c>
      <c r="J2129" s="2" t="s">
        <v>14370</v>
      </c>
      <c r="K2129" s="2">
        <v>5312660</v>
      </c>
      <c r="L2129" s="2"/>
      <c r="M2129" s="2"/>
      <c r="N2129" s="2"/>
      <c r="O2129" s="2"/>
      <c r="P2129" s="2"/>
      <c r="Q2129" s="2"/>
      <c r="R2129" s="2"/>
      <c r="S2129" s="2" t="s">
        <v>14371</v>
      </c>
      <c r="T2129" s="2" t="s">
        <v>14372</v>
      </c>
      <c r="U2129" s="2" t="s">
        <v>56</v>
      </c>
      <c r="V2129" s="2" t="s">
        <v>145</v>
      </c>
      <c r="W2129" s="2" t="s">
        <v>231</v>
      </c>
      <c r="X2129" s="2" t="s">
        <v>59</v>
      </c>
      <c r="Y2129" s="2">
        <v>47.3</v>
      </c>
      <c r="Z2129" s="2">
        <v>47.7</v>
      </c>
      <c r="AA2129" s="2" t="s">
        <v>512</v>
      </c>
      <c r="AB2129" s="2" t="s">
        <v>6435</v>
      </c>
      <c r="AC2129" s="2">
        <v>3.8228527604326201</v>
      </c>
      <c r="AD2129" s="2"/>
      <c r="AE2129" s="2">
        <v>0.30918663955077402</v>
      </c>
      <c r="AF2129" s="2">
        <v>6092.7198723469401</v>
      </c>
      <c r="AG2129" s="2">
        <v>732.55020228478202</v>
      </c>
      <c r="AH2129" s="5">
        <v>8.3171362909246298</v>
      </c>
      <c r="AI2129" s="5">
        <v>3.05608687331106</v>
      </c>
      <c r="AJ2129" s="5" t="s">
        <v>139</v>
      </c>
      <c r="AK2129" s="2">
        <v>0.23999022614805901</v>
      </c>
      <c r="AL2129" s="2">
        <v>0.56436764387373395</v>
      </c>
      <c r="AM2129" s="2">
        <v>8.559877937157E-6</v>
      </c>
      <c r="AN2129" s="2">
        <v>8.559877937157E-6</v>
      </c>
      <c r="AO2129" s="2">
        <v>11219.4169945011</v>
      </c>
      <c r="AP2129" s="2">
        <v>8.559877937157E-6</v>
      </c>
      <c r="AQ2129" s="2">
        <v>25336.902205341001</v>
      </c>
      <c r="AR2129" s="2">
        <v>8.559877937157E-6</v>
      </c>
      <c r="AS2129" s="2">
        <v>1616.2251611617301</v>
      </c>
      <c r="AT2129" s="2">
        <v>8.559877937157E-6</v>
      </c>
      <c r="AU2129" s="2">
        <v>2779.0760183074499</v>
      </c>
      <c r="AV2129" s="2">
        <v>8.559877937157E-6</v>
      </c>
      <c r="AW2129" s="2">
        <v>8.559877937157E-6</v>
      </c>
      <c r="AX2129" s="2">
        <v>8.559877937157E-6</v>
      </c>
    </row>
    <row r="2130" spans="1:50" x14ac:dyDescent="0.25">
      <c r="A2130" s="2" t="s">
        <v>14373</v>
      </c>
      <c r="B2130" s="2">
        <v>201.12382983597601</v>
      </c>
      <c r="C2130" s="2">
        <v>1.51036666666667</v>
      </c>
      <c r="D2130" s="2" t="s">
        <v>51</v>
      </c>
      <c r="E2130" s="2" t="s">
        <v>14374</v>
      </c>
      <c r="F2130" s="2">
        <v>201586</v>
      </c>
      <c r="G2130" s="3" t="str">
        <f>HYPERLINK("https://cloud.oebiotech.com/#/lm/network/201586", "https://cloud.oebiotech.com/#/lm/network/201586")</f>
        <v>https://cloud.oebiotech.com/#/lm/network/201586</v>
      </c>
      <c r="H2130" s="2" t="s">
        <v>14375</v>
      </c>
      <c r="I2130" s="2"/>
      <c r="J2130" s="2"/>
      <c r="K2130" s="2">
        <v>77452</v>
      </c>
      <c r="L2130" s="2"/>
      <c r="M2130" s="2"/>
      <c r="N2130" s="2"/>
      <c r="O2130" s="2"/>
      <c r="P2130" s="2"/>
      <c r="Q2130" s="2"/>
      <c r="R2130" s="2"/>
      <c r="S2130" s="2" t="s">
        <v>14376</v>
      </c>
      <c r="T2130" s="2" t="s">
        <v>14377</v>
      </c>
      <c r="U2130" s="2" t="s">
        <v>103</v>
      </c>
      <c r="V2130" s="2" t="s">
        <v>104</v>
      </c>
      <c r="W2130" s="2" t="s">
        <v>14378</v>
      </c>
      <c r="X2130" s="2" t="s">
        <v>147</v>
      </c>
      <c r="Y2130" s="2">
        <v>38.9</v>
      </c>
      <c r="Z2130" s="2">
        <v>2.86</v>
      </c>
      <c r="AA2130" s="2" t="s">
        <v>218</v>
      </c>
      <c r="AB2130" s="2" t="s">
        <v>14379</v>
      </c>
      <c r="AC2130" s="2">
        <v>-4.0747552078970202</v>
      </c>
      <c r="AD2130" s="2"/>
      <c r="AE2130" s="2">
        <v>0.309094606160709</v>
      </c>
      <c r="AF2130" s="2">
        <v>8330.1547361226403</v>
      </c>
      <c r="AG2130" s="2">
        <v>4696.3333748671503</v>
      </c>
      <c r="AH2130" s="5">
        <v>1.77375711458267</v>
      </c>
      <c r="AI2130" s="5">
        <v>0.82680847098211696</v>
      </c>
      <c r="AJ2130" s="5" t="s">
        <v>139</v>
      </c>
      <c r="AK2130" s="2">
        <v>0.15069891653235101</v>
      </c>
      <c r="AL2130" s="2">
        <v>0.47152425089815803</v>
      </c>
      <c r="AM2130" s="2">
        <v>12044.892520551701</v>
      </c>
      <c r="AN2130" s="2">
        <v>3879.7612491688301</v>
      </c>
      <c r="AO2130" s="2">
        <v>9197.4358413483606</v>
      </c>
      <c r="AP2130" s="2">
        <v>4741.4904434018599</v>
      </c>
      <c r="AQ2130" s="2">
        <v>5409.7849189694798</v>
      </c>
      <c r="AR2130" s="2">
        <v>14707.563443295599</v>
      </c>
      <c r="AS2130" s="2">
        <v>1300.48896247482</v>
      </c>
      <c r="AT2130" s="2">
        <v>1921.08660769883</v>
      </c>
      <c r="AU2130" s="2">
        <v>5624.23359082968</v>
      </c>
      <c r="AV2130" s="2">
        <v>10358.6255190419</v>
      </c>
      <c r="AW2130" s="2">
        <v>1759.08440115389</v>
      </c>
      <c r="AX2130" s="2">
        <v>7214.4811680038101</v>
      </c>
    </row>
    <row r="2131" spans="1:50" x14ac:dyDescent="0.25">
      <c r="A2131" s="2" t="s">
        <v>14380</v>
      </c>
      <c r="B2131" s="2">
        <v>524.22761296655904</v>
      </c>
      <c r="C2131" s="2">
        <v>4.59985</v>
      </c>
      <c r="D2131" s="2" t="s">
        <v>51</v>
      </c>
      <c r="E2131" s="2" t="s">
        <v>14381</v>
      </c>
      <c r="F2131" s="2">
        <v>211911</v>
      </c>
      <c r="G2131" s="3" t="str">
        <f>HYPERLINK("https://cloud.oebiotech.com/#/lm/network/211911", "https://cloud.oebiotech.com/#/lm/network/211911")</f>
        <v>https://cloud.oebiotech.com/#/lm/network/211911</v>
      </c>
      <c r="H2131" s="2" t="s">
        <v>14382</v>
      </c>
      <c r="I2131" s="2"/>
      <c r="J2131" s="2"/>
      <c r="K2131" s="2">
        <v>73015407</v>
      </c>
      <c r="L2131" s="2"/>
      <c r="M2131" s="2"/>
      <c r="N2131" s="2"/>
      <c r="O2131" s="2"/>
      <c r="P2131" s="2"/>
      <c r="Q2131" s="2"/>
      <c r="R2131" s="2"/>
      <c r="S2131" s="2" t="s">
        <v>14383</v>
      </c>
      <c r="T2131" s="2" t="s">
        <v>14384</v>
      </c>
      <c r="U2131" s="2" t="s">
        <v>56</v>
      </c>
      <c r="V2131" s="2" t="s">
        <v>283</v>
      </c>
      <c r="W2131" s="2" t="s">
        <v>1338</v>
      </c>
      <c r="X2131" s="2" t="s">
        <v>147</v>
      </c>
      <c r="Y2131" s="2">
        <v>40.1</v>
      </c>
      <c r="Z2131" s="2">
        <v>22.6</v>
      </c>
      <c r="AA2131" s="2" t="s">
        <v>163</v>
      </c>
      <c r="AB2131" s="2" t="s">
        <v>14385</v>
      </c>
      <c r="AC2131" s="2">
        <v>-2.6229818040839001</v>
      </c>
      <c r="AD2131" s="2"/>
      <c r="AE2131" s="2">
        <v>0.30908767436977103</v>
      </c>
      <c r="AF2131" s="2">
        <v>5965.2446418849404</v>
      </c>
      <c r="AG2131" s="2">
        <v>10294.835320811</v>
      </c>
      <c r="AH2131" s="4">
        <v>0.57944051128493601</v>
      </c>
      <c r="AI2131" s="4">
        <v>-0.78726754147210998</v>
      </c>
      <c r="AJ2131" s="4" t="s">
        <v>62</v>
      </c>
      <c r="AK2131" s="2">
        <v>0.40563827154142301</v>
      </c>
      <c r="AL2131" s="2">
        <v>0.67216736447411196</v>
      </c>
      <c r="AM2131" s="2">
        <v>2673.4679921676002</v>
      </c>
      <c r="AN2131" s="2">
        <v>2939.3475706376598</v>
      </c>
      <c r="AO2131" s="2">
        <v>2712.5391889634502</v>
      </c>
      <c r="AP2131" s="2">
        <v>1369.8963387649601</v>
      </c>
      <c r="AQ2131" s="2">
        <v>7619.2159548334803</v>
      </c>
      <c r="AR2131" s="2">
        <v>18477.000805942502</v>
      </c>
      <c r="AS2131" s="2">
        <v>28838.257625698501</v>
      </c>
      <c r="AT2131" s="2">
        <v>3752.19496265008</v>
      </c>
      <c r="AU2131" s="2">
        <v>9410.5921374257596</v>
      </c>
      <c r="AV2131" s="2">
        <v>2408.91879916983</v>
      </c>
      <c r="AW2131" s="2">
        <v>2345.4619870159099</v>
      </c>
      <c r="AX2131" s="2">
        <v>15013.586412905899</v>
      </c>
    </row>
    <row r="2132" spans="1:50" x14ac:dyDescent="0.25">
      <c r="A2132" s="2" t="s">
        <v>14386</v>
      </c>
      <c r="B2132" s="2">
        <v>288.203837315481</v>
      </c>
      <c r="C2132" s="2">
        <v>0.74455000000000005</v>
      </c>
      <c r="D2132" s="2" t="s">
        <v>51</v>
      </c>
      <c r="E2132" s="2" t="s">
        <v>14387</v>
      </c>
      <c r="F2132" s="2">
        <v>53925</v>
      </c>
      <c r="G2132" s="3" t="str">
        <f>HYPERLINK("https://cloud.oebiotech.com/#/lm/network/53925", "https://cloud.oebiotech.com/#/lm/network/53925")</f>
        <v>https://cloud.oebiotech.com/#/lm/network/53925</v>
      </c>
      <c r="H2132" s="2" t="s">
        <v>14388</v>
      </c>
      <c r="I2132" s="2"/>
      <c r="J2132" s="2"/>
      <c r="K2132" s="2">
        <v>9900561</v>
      </c>
      <c r="L2132" s="2"/>
      <c r="M2132" s="2"/>
      <c r="N2132" s="2"/>
      <c r="O2132" s="2"/>
      <c r="P2132" s="2"/>
      <c r="Q2132" s="2"/>
      <c r="R2132" s="2"/>
      <c r="S2132" s="2" t="s">
        <v>14389</v>
      </c>
      <c r="T2132" s="2" t="s">
        <v>14390</v>
      </c>
      <c r="U2132" s="2" t="s">
        <v>103</v>
      </c>
      <c r="V2132" s="2" t="s">
        <v>104</v>
      </c>
      <c r="W2132" s="2" t="s">
        <v>105</v>
      </c>
      <c r="X2132" s="2" t="s">
        <v>147</v>
      </c>
      <c r="Y2132" s="2">
        <v>43.1</v>
      </c>
      <c r="Z2132" s="2">
        <v>28</v>
      </c>
      <c r="AA2132" s="2" t="s">
        <v>259</v>
      </c>
      <c r="AB2132" s="2" t="s">
        <v>6264</v>
      </c>
      <c r="AC2132" s="2">
        <v>2.85937058867006</v>
      </c>
      <c r="AD2132" s="2"/>
      <c r="AE2132" s="2">
        <v>0.30892768356804101</v>
      </c>
      <c r="AF2132" s="2">
        <v>31889.135853353899</v>
      </c>
      <c r="AG2132" s="2">
        <v>26788.006495088401</v>
      </c>
      <c r="AH2132" s="5">
        <v>1.19042586685951</v>
      </c>
      <c r="AI2132" s="5">
        <v>0.25147778033587997</v>
      </c>
      <c r="AJ2132" s="5" t="s">
        <v>139</v>
      </c>
      <c r="AK2132" s="2">
        <v>0.58434720773926097</v>
      </c>
      <c r="AL2132" s="2">
        <v>0.79098708899863002</v>
      </c>
      <c r="AM2132" s="2">
        <v>37250.590739647101</v>
      </c>
      <c r="AN2132" s="2">
        <v>48198.821364412303</v>
      </c>
      <c r="AO2132" s="2">
        <v>29394.953614582701</v>
      </c>
      <c r="AP2132" s="2">
        <v>10550.405303543799</v>
      </c>
      <c r="AQ2132" s="2">
        <v>18207.017567428898</v>
      </c>
      <c r="AR2132" s="2">
        <v>47733.026530508403</v>
      </c>
      <c r="AS2132" s="2">
        <v>8743.7646066873403</v>
      </c>
      <c r="AT2132" s="2">
        <v>8444.3269960248799</v>
      </c>
      <c r="AU2132" s="2">
        <v>49141.327411509898</v>
      </c>
      <c r="AV2132" s="2">
        <v>31102.8919602686</v>
      </c>
      <c r="AW2132" s="2">
        <v>28412.564104683701</v>
      </c>
      <c r="AX2132" s="2">
        <v>34883.163891356096</v>
      </c>
    </row>
    <row r="2133" spans="1:50" x14ac:dyDescent="0.25">
      <c r="A2133" s="2" t="s">
        <v>14391</v>
      </c>
      <c r="B2133" s="2">
        <v>204.12370802834101</v>
      </c>
      <c r="C2133" s="2">
        <v>0.74455000000000005</v>
      </c>
      <c r="D2133" s="2" t="s">
        <v>51</v>
      </c>
      <c r="E2133" s="2" t="s">
        <v>14392</v>
      </c>
      <c r="F2133" s="2">
        <v>46926</v>
      </c>
      <c r="G2133" s="3" t="str">
        <f>HYPERLINK("https://cloud.oebiotech.com/#/lm/network/46926", "https://cloud.oebiotech.com/#/lm/network/46926")</f>
        <v>https://cloud.oebiotech.com/#/lm/network/46926</v>
      </c>
      <c r="H2133" s="2" t="s">
        <v>14393</v>
      </c>
      <c r="I2133" s="2"/>
      <c r="J2133" s="2"/>
      <c r="K2133" s="2"/>
      <c r="L2133" s="2"/>
      <c r="M2133" s="2"/>
      <c r="N2133" s="2"/>
      <c r="O2133" s="2">
        <v>57589</v>
      </c>
      <c r="P2133" s="2"/>
      <c r="Q2133" s="2"/>
      <c r="R2133" s="2" t="s">
        <v>14394</v>
      </c>
      <c r="S2133" s="2" t="s">
        <v>14395</v>
      </c>
      <c r="T2133" s="2" t="s">
        <v>14396</v>
      </c>
      <c r="U2133" s="2" t="s">
        <v>56</v>
      </c>
      <c r="V2133" s="2" t="s">
        <v>145</v>
      </c>
      <c r="W2133" s="2" t="s">
        <v>1188</v>
      </c>
      <c r="X2133" s="2" t="s">
        <v>69</v>
      </c>
      <c r="Y2133" s="2">
        <v>52.6</v>
      </c>
      <c r="Z2133" s="2">
        <v>63.6</v>
      </c>
      <c r="AA2133" s="2" t="s">
        <v>122</v>
      </c>
      <c r="AB2133" s="2" t="s">
        <v>14397</v>
      </c>
      <c r="AC2133" s="2">
        <v>0.61172765578551203</v>
      </c>
      <c r="AD2133" s="2"/>
      <c r="AE2133" s="2">
        <v>0.308915225864062</v>
      </c>
      <c r="AF2133" s="2">
        <v>67736.316088316598</v>
      </c>
      <c r="AG2133" s="2">
        <v>79153.227486800897</v>
      </c>
      <c r="AH2133" s="4">
        <v>0.85576189675413905</v>
      </c>
      <c r="AI2133" s="4">
        <v>-0.22471865124687901</v>
      </c>
      <c r="AJ2133" s="4" t="s">
        <v>62</v>
      </c>
      <c r="AK2133" s="2">
        <v>0.78897015539848303</v>
      </c>
      <c r="AL2133" s="2">
        <v>0.90672005663972099</v>
      </c>
      <c r="AM2133" s="2">
        <v>2447.1538194500899</v>
      </c>
      <c r="AN2133" s="2">
        <v>6780.0031286741896</v>
      </c>
      <c r="AO2133" s="2">
        <v>95109.484430795797</v>
      </c>
      <c r="AP2133" s="2">
        <v>32718.717915047499</v>
      </c>
      <c r="AQ2133" s="2">
        <v>104895.367964497</v>
      </c>
      <c r="AR2133" s="2">
        <v>164467.16927143501</v>
      </c>
      <c r="AS2133" s="2">
        <v>77719.435101118099</v>
      </c>
      <c r="AT2133" s="2">
        <v>14316.2508182286</v>
      </c>
      <c r="AU2133" s="2">
        <v>226514.10751980499</v>
      </c>
      <c r="AV2133" s="2">
        <v>94495.170334897703</v>
      </c>
      <c r="AW2133" s="2">
        <v>41845.292732207599</v>
      </c>
      <c r="AX2133" s="2">
        <v>20029.108414548598</v>
      </c>
    </row>
    <row r="2134" spans="1:50" x14ac:dyDescent="0.25">
      <c r="A2134" s="2" t="s">
        <v>14398</v>
      </c>
      <c r="B2134" s="2">
        <v>389.23129646944102</v>
      </c>
      <c r="C2134" s="2">
        <v>10.783149999999999</v>
      </c>
      <c r="D2134" s="2" t="s">
        <v>51</v>
      </c>
      <c r="E2134" s="2" t="s">
        <v>14399</v>
      </c>
      <c r="F2134" s="2">
        <v>82060</v>
      </c>
      <c r="G2134" s="3" t="str">
        <f>HYPERLINK("https://cloud.oebiotech.com/#/lm/network/82060", "https://cloud.oebiotech.com/#/lm/network/82060")</f>
        <v>https://cloud.oebiotech.com/#/lm/network/82060</v>
      </c>
      <c r="H2134" s="2" t="s">
        <v>14400</v>
      </c>
      <c r="I2134" s="2"/>
      <c r="J2134" s="2"/>
      <c r="K2134" s="2">
        <v>131769810</v>
      </c>
      <c r="L2134" s="2"/>
      <c r="M2134" s="2"/>
      <c r="N2134" s="2"/>
      <c r="O2134" s="2"/>
      <c r="P2134" s="2"/>
      <c r="Q2134" s="2"/>
      <c r="R2134" s="2"/>
      <c r="S2134" s="2" t="s">
        <v>14401</v>
      </c>
      <c r="T2134" s="2" t="s">
        <v>14402</v>
      </c>
      <c r="U2134" s="2" t="s">
        <v>56</v>
      </c>
      <c r="V2134" s="2" t="s">
        <v>145</v>
      </c>
      <c r="W2134" s="2" t="s">
        <v>231</v>
      </c>
      <c r="X2134" s="2" t="s">
        <v>83</v>
      </c>
      <c r="Y2134" s="2">
        <v>57.3</v>
      </c>
      <c r="Z2134" s="2">
        <v>24.6</v>
      </c>
      <c r="AA2134" s="2" t="s">
        <v>218</v>
      </c>
      <c r="AB2134" s="2" t="s">
        <v>2918</v>
      </c>
      <c r="AC2134" s="2">
        <v>-5.9589658697110197</v>
      </c>
      <c r="AD2134" s="2"/>
      <c r="AE2134" s="2">
        <v>0.30881996897749198</v>
      </c>
      <c r="AF2134" s="2">
        <v>9317.6205015272008</v>
      </c>
      <c r="AG2134" s="2">
        <v>13525.7399795578</v>
      </c>
      <c r="AH2134" s="4">
        <v>0.68888064650137104</v>
      </c>
      <c r="AI2134" s="4">
        <v>-0.53767404754032</v>
      </c>
      <c r="AJ2134" s="4" t="s">
        <v>62</v>
      </c>
      <c r="AK2134" s="2">
        <v>0.30950625803477799</v>
      </c>
      <c r="AL2134" s="2">
        <v>0.61932546476322203</v>
      </c>
      <c r="AM2134" s="2">
        <v>13187.8176298658</v>
      </c>
      <c r="AN2134" s="2">
        <v>9320.6817732772306</v>
      </c>
      <c r="AO2134" s="2">
        <v>6101.1102965812497</v>
      </c>
      <c r="AP2134" s="2">
        <v>4859.1468040280397</v>
      </c>
      <c r="AQ2134" s="2">
        <v>13768.115260210699</v>
      </c>
      <c r="AR2134" s="2">
        <v>8668.8512452001996</v>
      </c>
      <c r="AS2134" s="2">
        <v>7045.3896982443503</v>
      </c>
      <c r="AT2134" s="2">
        <v>6553.9849843928996</v>
      </c>
      <c r="AU2134" s="2">
        <v>5816.8204147347597</v>
      </c>
      <c r="AV2134" s="2">
        <v>28389.603952494399</v>
      </c>
      <c r="AW2134" s="2">
        <v>14767.902660993501</v>
      </c>
      <c r="AX2134" s="2">
        <v>18580.738166486801</v>
      </c>
    </row>
    <row r="2135" spans="1:50" x14ac:dyDescent="0.25">
      <c r="A2135" s="2" t="s">
        <v>14403</v>
      </c>
      <c r="B2135" s="2">
        <v>640.29260144614102</v>
      </c>
      <c r="C2135" s="2">
        <v>12.051083333333301</v>
      </c>
      <c r="D2135" s="2" t="s">
        <v>51</v>
      </c>
      <c r="E2135" s="2" t="s">
        <v>14404</v>
      </c>
      <c r="F2135" s="2">
        <v>3927</v>
      </c>
      <c r="G2135" s="3" t="str">
        <f>HYPERLINK("https://cloud.oebiotech.com/#/lm/network/3927", "https://cloud.oebiotech.com/#/lm/network/3927")</f>
        <v>https://cloud.oebiotech.com/#/lm/network/3927</v>
      </c>
      <c r="H2135" s="2"/>
      <c r="I2135" s="2">
        <v>45970</v>
      </c>
      <c r="J2135" s="2" t="s">
        <v>14405</v>
      </c>
      <c r="K2135" s="2">
        <v>9548805</v>
      </c>
      <c r="L2135" s="2"/>
      <c r="M2135" s="2"/>
      <c r="N2135" s="2"/>
      <c r="O2135" s="2">
        <v>36220</v>
      </c>
      <c r="P2135" s="2"/>
      <c r="Q2135" s="2"/>
      <c r="R2135" s="2"/>
      <c r="S2135" s="2" t="s">
        <v>14406</v>
      </c>
      <c r="T2135" s="2" t="s">
        <v>14407</v>
      </c>
      <c r="U2135" s="2" t="s">
        <v>103</v>
      </c>
      <c r="V2135" s="2" t="s">
        <v>104</v>
      </c>
      <c r="W2135" s="2" t="s">
        <v>105</v>
      </c>
      <c r="X2135" s="2" t="s">
        <v>147</v>
      </c>
      <c r="Y2135" s="2">
        <v>38.200000000000003</v>
      </c>
      <c r="Z2135" s="2">
        <v>0.76700000000000002</v>
      </c>
      <c r="AA2135" s="2" t="s">
        <v>163</v>
      </c>
      <c r="AB2135" s="2" t="s">
        <v>14408</v>
      </c>
      <c r="AC2135" s="2">
        <v>2.5918688220742401</v>
      </c>
      <c r="AD2135" s="2"/>
      <c r="AE2135" s="2">
        <v>0.308740062538157</v>
      </c>
      <c r="AF2135" s="2">
        <v>53121.808496895399</v>
      </c>
      <c r="AG2135" s="2">
        <v>64017.978064367002</v>
      </c>
      <c r="AH2135" s="4">
        <v>0.82979516228213401</v>
      </c>
      <c r="AI2135" s="4">
        <v>-0.26917284858635498</v>
      </c>
      <c r="AJ2135" s="4" t="s">
        <v>62</v>
      </c>
      <c r="AK2135" s="2">
        <v>0.48517952192161501</v>
      </c>
      <c r="AL2135" s="2">
        <v>0.72897292237929801</v>
      </c>
      <c r="AM2135" s="2">
        <v>85014.693232465506</v>
      </c>
      <c r="AN2135" s="2">
        <v>68188.679732979595</v>
      </c>
      <c r="AO2135" s="2">
        <v>40247.536419800599</v>
      </c>
      <c r="AP2135" s="2">
        <v>36706.818012039403</v>
      </c>
      <c r="AQ2135" s="2">
        <v>41380.1951661895</v>
      </c>
      <c r="AR2135" s="2">
        <v>47192.928417898103</v>
      </c>
      <c r="AS2135" s="2">
        <v>32188.961328419198</v>
      </c>
      <c r="AT2135" s="2">
        <v>17433.1873934342</v>
      </c>
      <c r="AU2135" s="2">
        <v>82087.101727218993</v>
      </c>
      <c r="AV2135" s="2">
        <v>80975.937659019095</v>
      </c>
      <c r="AW2135" s="2">
        <v>95429.542883915507</v>
      </c>
      <c r="AX2135" s="2">
        <v>75993.137394194695</v>
      </c>
    </row>
    <row r="2136" spans="1:50" x14ac:dyDescent="0.25">
      <c r="A2136" s="2" t="s">
        <v>14409</v>
      </c>
      <c r="B2136" s="2">
        <v>297.24328620023698</v>
      </c>
      <c r="C2136" s="2">
        <v>9.7874166666666707</v>
      </c>
      <c r="D2136" s="2" t="s">
        <v>51</v>
      </c>
      <c r="E2136" s="2" t="s">
        <v>14410</v>
      </c>
      <c r="F2136" s="2">
        <v>3115</v>
      </c>
      <c r="G2136" s="3" t="str">
        <f>HYPERLINK("https://cloud.oebiotech.com/#/lm/network/3115", "https://cloud.oebiotech.com/#/lm/network/3115")</f>
        <v>https://cloud.oebiotech.com/#/lm/network/3115</v>
      </c>
      <c r="H2136" s="2" t="s">
        <v>14411</v>
      </c>
      <c r="I2136" s="2">
        <v>35501</v>
      </c>
      <c r="J2136" s="2" t="s">
        <v>14412</v>
      </c>
      <c r="K2136" s="2">
        <v>5282958</v>
      </c>
      <c r="L2136" s="2"/>
      <c r="M2136" s="2"/>
      <c r="N2136" s="2"/>
      <c r="O2136" s="2"/>
      <c r="P2136" s="2"/>
      <c r="Q2136" s="2"/>
      <c r="R2136" s="2"/>
      <c r="S2136" s="2" t="s">
        <v>14413</v>
      </c>
      <c r="T2136" s="2" t="s">
        <v>14414</v>
      </c>
      <c r="U2136" s="2" t="s">
        <v>56</v>
      </c>
      <c r="V2136" s="2" t="s">
        <v>145</v>
      </c>
      <c r="W2136" s="2" t="s">
        <v>231</v>
      </c>
      <c r="X2136" s="2" t="s">
        <v>69</v>
      </c>
      <c r="Y2136" s="2">
        <v>68.2</v>
      </c>
      <c r="Z2136" s="2">
        <v>93.4</v>
      </c>
      <c r="AA2136" s="2" t="s">
        <v>156</v>
      </c>
      <c r="AB2136" s="2" t="s">
        <v>6470</v>
      </c>
      <c r="AC2136" s="2">
        <v>2.75224638100212</v>
      </c>
      <c r="AD2136" s="2"/>
      <c r="AE2136" s="2">
        <v>0.30863032345345598</v>
      </c>
      <c r="AF2136" s="2">
        <v>17298.973090377898</v>
      </c>
      <c r="AG2136" s="2">
        <v>10644.284331639101</v>
      </c>
      <c r="AH2136" s="5">
        <v>1.62518893252019</v>
      </c>
      <c r="AI2136" s="5">
        <v>0.70060744501230598</v>
      </c>
      <c r="AJ2136" s="5" t="s">
        <v>139</v>
      </c>
      <c r="AK2136" s="2">
        <v>0.277036978464206</v>
      </c>
      <c r="AL2136" s="2">
        <v>0.59615496925829403</v>
      </c>
      <c r="AM2136" s="2">
        <v>10559.020408729501</v>
      </c>
      <c r="AN2136" s="2">
        <v>11387.3995962801</v>
      </c>
      <c r="AO2136" s="2">
        <v>11424.0871727715</v>
      </c>
      <c r="AP2136" s="2">
        <v>9607.8626480614203</v>
      </c>
      <c r="AQ2136" s="2">
        <v>45919.277618147702</v>
      </c>
      <c r="AR2136" s="2">
        <v>14896.191098277401</v>
      </c>
      <c r="AS2136" s="2">
        <v>9357.9553613490298</v>
      </c>
      <c r="AT2136" s="2">
        <v>9547.2587073019804</v>
      </c>
      <c r="AU2136" s="2">
        <v>10773.2143076017</v>
      </c>
      <c r="AV2136" s="2">
        <v>10343.0410066187</v>
      </c>
      <c r="AW2136" s="2">
        <v>11943.1440891768</v>
      </c>
      <c r="AX2136" s="2">
        <v>11901.092517786299</v>
      </c>
    </row>
    <row r="2137" spans="1:50" x14ac:dyDescent="0.25">
      <c r="A2137" s="2" t="s">
        <v>14415</v>
      </c>
      <c r="B2137" s="2">
        <v>115.00248299994099</v>
      </c>
      <c r="C2137" s="2">
        <v>0.74113333333333298</v>
      </c>
      <c r="D2137" s="2" t="s">
        <v>51</v>
      </c>
      <c r="E2137" s="2" t="s">
        <v>14416</v>
      </c>
      <c r="F2137" s="2">
        <v>257700</v>
      </c>
      <c r="G2137" s="3" t="str">
        <f>HYPERLINK("https://cloud.oebiotech.com/#/lm/network/257700", "https://cloud.oebiotech.com/#/lm/network/257700")</f>
        <v>https://cloud.oebiotech.com/#/lm/network/257700</v>
      </c>
      <c r="H2137" s="2" t="s">
        <v>14417</v>
      </c>
      <c r="I2137" s="2">
        <v>118</v>
      </c>
      <c r="J2137" s="2"/>
      <c r="K2137" s="2">
        <v>525</v>
      </c>
      <c r="L2137" s="2" t="s">
        <v>14418</v>
      </c>
      <c r="M2137" s="2" t="s">
        <v>14419</v>
      </c>
      <c r="N2137" s="2" t="s">
        <v>14420</v>
      </c>
      <c r="O2137" s="2"/>
      <c r="P2137" s="2"/>
      <c r="Q2137" s="2"/>
      <c r="R2137" s="2" t="s">
        <v>14421</v>
      </c>
      <c r="S2137" s="2" t="s">
        <v>14422</v>
      </c>
      <c r="T2137" s="2" t="s">
        <v>14423</v>
      </c>
      <c r="U2137" s="2" t="s">
        <v>103</v>
      </c>
      <c r="V2137" s="2" t="s">
        <v>377</v>
      </c>
      <c r="W2137" s="2" t="s">
        <v>7726</v>
      </c>
      <c r="X2137" s="2" t="s">
        <v>69</v>
      </c>
      <c r="Y2137" s="2">
        <v>51.3</v>
      </c>
      <c r="Z2137" s="2">
        <v>68.3</v>
      </c>
      <c r="AA2137" s="2" t="s">
        <v>379</v>
      </c>
      <c r="AB2137" s="2" t="s">
        <v>14424</v>
      </c>
      <c r="AC2137" s="2">
        <v>-8.9475947575701706</v>
      </c>
      <c r="AD2137" s="2"/>
      <c r="AE2137" s="2">
        <v>0.308546936959052</v>
      </c>
      <c r="AF2137" s="2">
        <v>7039.8612009175404</v>
      </c>
      <c r="AG2137" s="2">
        <v>4245.9707434619304</v>
      </c>
      <c r="AH2137" s="5">
        <v>1.6580098230205</v>
      </c>
      <c r="AI2137" s="5">
        <v>0.72945255422870503</v>
      </c>
      <c r="AJ2137" s="5" t="s">
        <v>139</v>
      </c>
      <c r="AK2137" s="2">
        <v>0.37519440238192903</v>
      </c>
      <c r="AL2137" s="2">
        <v>0.65674286284187</v>
      </c>
      <c r="AM2137" s="2">
        <v>20669.491717593999</v>
      </c>
      <c r="AN2137" s="2">
        <v>3527.6959431606601</v>
      </c>
      <c r="AO2137" s="2">
        <v>3733.3547853824698</v>
      </c>
      <c r="AP2137" s="2">
        <v>6578.5439067139796</v>
      </c>
      <c r="AQ2137" s="2">
        <v>4820.7899703951298</v>
      </c>
      <c r="AR2137" s="2">
        <v>2909.2908822589998</v>
      </c>
      <c r="AS2137" s="2">
        <v>3068.4826086698499</v>
      </c>
      <c r="AT2137" s="2">
        <v>3783.5453785864602</v>
      </c>
      <c r="AU2137" s="2">
        <v>9674.5435383750391</v>
      </c>
      <c r="AV2137" s="2">
        <v>4390.5718918973598</v>
      </c>
      <c r="AW2137" s="2">
        <v>3222.7338978683802</v>
      </c>
      <c r="AX2137" s="2">
        <v>1335.94714537452</v>
      </c>
    </row>
    <row r="2138" spans="1:50" x14ac:dyDescent="0.25">
      <c r="A2138" s="2" t="s">
        <v>14425</v>
      </c>
      <c r="B2138" s="2">
        <v>214.02971583330799</v>
      </c>
      <c r="C2138" s="2">
        <v>6.8908500000000004</v>
      </c>
      <c r="D2138" s="2" t="s">
        <v>51</v>
      </c>
      <c r="E2138" s="2" t="s">
        <v>14426</v>
      </c>
      <c r="F2138" s="2">
        <v>200683</v>
      </c>
      <c r="G2138" s="3" t="str">
        <f>HYPERLINK("https://cloud.oebiotech.com/#/lm/network/200683", "https://cloud.oebiotech.com/#/lm/network/200683")</f>
        <v>https://cloud.oebiotech.com/#/lm/network/200683</v>
      </c>
      <c r="H2138" s="2" t="s">
        <v>14427</v>
      </c>
      <c r="I2138" s="2"/>
      <c r="J2138" s="2"/>
      <c r="K2138" s="2">
        <v>165189</v>
      </c>
      <c r="L2138" s="2"/>
      <c r="M2138" s="2"/>
      <c r="N2138" s="2"/>
      <c r="O2138" s="2"/>
      <c r="P2138" s="2"/>
      <c r="Q2138" s="2"/>
      <c r="R2138" s="2"/>
      <c r="S2138" s="2" t="s">
        <v>14428</v>
      </c>
      <c r="T2138" s="2" t="s">
        <v>14429</v>
      </c>
      <c r="U2138" s="2" t="s">
        <v>103</v>
      </c>
      <c r="V2138" s="2" t="s">
        <v>104</v>
      </c>
      <c r="W2138" s="2" t="s">
        <v>105</v>
      </c>
      <c r="X2138" s="2" t="s">
        <v>147</v>
      </c>
      <c r="Y2138" s="2">
        <v>40</v>
      </c>
      <c r="Z2138" s="2">
        <v>7.12</v>
      </c>
      <c r="AA2138" s="2" t="s">
        <v>395</v>
      </c>
      <c r="AB2138" s="2" t="s">
        <v>14430</v>
      </c>
      <c r="AC2138" s="2">
        <v>-0.81059117896739796</v>
      </c>
      <c r="AD2138" s="2"/>
      <c r="AE2138" s="2">
        <v>0.30853707388209101</v>
      </c>
      <c r="AF2138" s="2">
        <v>4653.9068230923303</v>
      </c>
      <c r="AG2138" s="2">
        <v>8179.1068145907802</v>
      </c>
      <c r="AH2138" s="4">
        <v>0.56899939426028601</v>
      </c>
      <c r="AI2138" s="4">
        <v>-0.81350097820462097</v>
      </c>
      <c r="AJ2138" s="4" t="s">
        <v>62</v>
      </c>
      <c r="AK2138" s="2">
        <v>0.14201084395637301</v>
      </c>
      <c r="AL2138" s="2">
        <v>0.46376148546148899</v>
      </c>
      <c r="AM2138" s="2">
        <v>4008.5461954382399</v>
      </c>
      <c r="AN2138" s="2">
        <v>3560.1481014455399</v>
      </c>
      <c r="AO2138" s="2">
        <v>7404.3847068899004</v>
      </c>
      <c r="AP2138" s="2">
        <v>452.16382585879899</v>
      </c>
      <c r="AQ2138" s="2">
        <v>3700.68562915441</v>
      </c>
      <c r="AR2138" s="2">
        <v>8797.5124797670906</v>
      </c>
      <c r="AS2138" s="2">
        <v>6508.5767426626999</v>
      </c>
      <c r="AT2138" s="2">
        <v>4913.8728097990297</v>
      </c>
      <c r="AU2138" s="2">
        <v>9157.7763415689096</v>
      </c>
      <c r="AV2138" s="2">
        <v>14425.0703471488</v>
      </c>
      <c r="AW2138" s="2">
        <v>11818.369941270699</v>
      </c>
      <c r="AX2138" s="2">
        <v>2250.9747050945398</v>
      </c>
    </row>
    <row r="2139" spans="1:50" x14ac:dyDescent="0.25">
      <c r="A2139" s="2" t="s">
        <v>14431</v>
      </c>
      <c r="B2139" s="2">
        <v>704.33235953672204</v>
      </c>
      <c r="C2139" s="2">
        <v>4.6849833333333297</v>
      </c>
      <c r="D2139" s="2" t="s">
        <v>51</v>
      </c>
      <c r="E2139" s="2" t="s">
        <v>14432</v>
      </c>
      <c r="F2139" s="2">
        <v>47940</v>
      </c>
      <c r="G2139" s="3" t="str">
        <f>HYPERLINK("https://cloud.oebiotech.com/#/lm/network/47940", "https://cloud.oebiotech.com/#/lm/network/47940")</f>
        <v>https://cloud.oebiotech.com/#/lm/network/47940</v>
      </c>
      <c r="H2139" s="2" t="s">
        <v>14433</v>
      </c>
      <c r="I2139" s="2"/>
      <c r="J2139" s="2"/>
      <c r="K2139" s="2">
        <v>5283812</v>
      </c>
      <c r="L2139" s="2"/>
      <c r="M2139" s="2"/>
      <c r="N2139" s="2"/>
      <c r="O2139" s="2"/>
      <c r="P2139" s="2"/>
      <c r="Q2139" s="2"/>
      <c r="R2139" s="2" t="s">
        <v>14434</v>
      </c>
      <c r="S2139" s="2" t="s">
        <v>14435</v>
      </c>
      <c r="T2139" s="2" t="s">
        <v>14436</v>
      </c>
      <c r="U2139" s="2" t="s">
        <v>56</v>
      </c>
      <c r="V2139" s="2" t="s">
        <v>283</v>
      </c>
      <c r="W2139" s="2" t="s">
        <v>2042</v>
      </c>
      <c r="X2139" s="2" t="s">
        <v>147</v>
      </c>
      <c r="Y2139" s="2">
        <v>36.5</v>
      </c>
      <c r="Z2139" s="2">
        <v>4.09</v>
      </c>
      <c r="AA2139" s="2" t="s">
        <v>218</v>
      </c>
      <c r="AB2139" s="2" t="s">
        <v>14437</v>
      </c>
      <c r="AC2139" s="2">
        <v>0.33995983144178998</v>
      </c>
      <c r="AD2139" s="2"/>
      <c r="AE2139" s="2">
        <v>0.30835300396408699</v>
      </c>
      <c r="AF2139" s="2">
        <v>9010.3153082380304</v>
      </c>
      <c r="AG2139" s="2">
        <v>4148.9254132697097</v>
      </c>
      <c r="AH2139" s="5">
        <v>2.1717226536345802</v>
      </c>
      <c r="AI2139" s="5">
        <v>1.1188398712018599</v>
      </c>
      <c r="AJ2139" s="5" t="s">
        <v>139</v>
      </c>
      <c r="AK2139" s="2">
        <v>0.204547041663937</v>
      </c>
      <c r="AL2139" s="2">
        <v>0.52937915708753103</v>
      </c>
      <c r="AM2139" s="2">
        <v>3952.0404106373599</v>
      </c>
      <c r="AN2139" s="2">
        <v>6523.7565660577302</v>
      </c>
      <c r="AO2139" s="2">
        <v>11407.179280136899</v>
      </c>
      <c r="AP2139" s="2">
        <v>16233.9843083213</v>
      </c>
      <c r="AQ2139" s="2">
        <v>15944.931275715</v>
      </c>
      <c r="AR2139" s="2">
        <v>8.559877937157E-6</v>
      </c>
      <c r="AS2139" s="2">
        <v>8.559877937157E-6</v>
      </c>
      <c r="AT2139" s="2">
        <v>2205.0323825210398</v>
      </c>
      <c r="AU2139" s="2">
        <v>14218.078307166301</v>
      </c>
      <c r="AV2139" s="2">
        <v>7861.9799699557097</v>
      </c>
      <c r="AW2139" s="2">
        <v>8.559877937157E-6</v>
      </c>
      <c r="AX2139" s="2">
        <v>608.46180285545404</v>
      </c>
    </row>
    <row r="2140" spans="1:50" x14ac:dyDescent="0.25">
      <c r="A2140" s="2" t="s">
        <v>14438</v>
      </c>
      <c r="B2140" s="2">
        <v>481.17972589798001</v>
      </c>
      <c r="C2140" s="2">
        <v>12.051083333333301</v>
      </c>
      <c r="D2140" s="2" t="s">
        <v>51</v>
      </c>
      <c r="E2140" s="2" t="s">
        <v>14439</v>
      </c>
      <c r="F2140" s="2">
        <v>53145</v>
      </c>
      <c r="G2140" s="3" t="str">
        <f>HYPERLINK("https://cloud.oebiotech.com/#/lm/network/53145", "https://cloud.oebiotech.com/#/lm/network/53145")</f>
        <v>https://cloud.oebiotech.com/#/lm/network/53145</v>
      </c>
      <c r="H2140" s="2" t="s">
        <v>14440</v>
      </c>
      <c r="I2140" s="2"/>
      <c r="J2140" s="2"/>
      <c r="K2140" s="2">
        <v>25137855</v>
      </c>
      <c r="L2140" s="2"/>
      <c r="M2140" s="2"/>
      <c r="N2140" s="2"/>
      <c r="O2140" s="2">
        <v>5121</v>
      </c>
      <c r="P2140" s="2"/>
      <c r="Q2140" s="2"/>
      <c r="R2140" s="2" t="s">
        <v>14441</v>
      </c>
      <c r="S2140" s="2" t="s">
        <v>14442</v>
      </c>
      <c r="T2140" s="2" t="s">
        <v>14443</v>
      </c>
      <c r="U2140" s="2" t="s">
        <v>266</v>
      </c>
      <c r="V2140" s="2" t="s">
        <v>14444</v>
      </c>
      <c r="W2140" s="2" t="s">
        <v>14445</v>
      </c>
      <c r="X2140" s="2" t="s">
        <v>147</v>
      </c>
      <c r="Y2140" s="2">
        <v>36.200000000000003</v>
      </c>
      <c r="Z2140" s="2">
        <v>0</v>
      </c>
      <c r="AA2140" s="2" t="s">
        <v>218</v>
      </c>
      <c r="AB2140" s="2" t="s">
        <v>14446</v>
      </c>
      <c r="AC2140" s="2">
        <v>4.3648828287840704</v>
      </c>
      <c r="AD2140" s="2"/>
      <c r="AE2140" s="2">
        <v>0.30815847727944301</v>
      </c>
      <c r="AF2140" s="2">
        <v>751.98675349247799</v>
      </c>
      <c r="AG2140" s="2">
        <v>2925.2055069787598</v>
      </c>
      <c r="AH2140" s="4">
        <v>0.257071426844521</v>
      </c>
      <c r="AI2140" s="4">
        <v>-1.9597588294864401</v>
      </c>
      <c r="AJ2140" s="4" t="s">
        <v>62</v>
      </c>
      <c r="AK2140" s="2">
        <v>4.6363822367073001E-3</v>
      </c>
      <c r="AL2140" s="2">
        <v>0.12174388396289799</v>
      </c>
      <c r="AM2140" s="2">
        <v>418.58817098470001</v>
      </c>
      <c r="AN2140" s="2">
        <v>895.228735259725</v>
      </c>
      <c r="AO2140" s="2">
        <v>1267.7709730219501</v>
      </c>
      <c r="AP2140" s="2">
        <v>519.18650182732097</v>
      </c>
      <c r="AQ2140" s="2">
        <v>1158.3147273063601</v>
      </c>
      <c r="AR2140" s="2">
        <v>252.83141255481399</v>
      </c>
      <c r="AS2140" s="2">
        <v>2184.95908056085</v>
      </c>
      <c r="AT2140" s="2">
        <v>1119.1334880765901</v>
      </c>
      <c r="AU2140" s="2">
        <v>4353.6948131630797</v>
      </c>
      <c r="AV2140" s="2">
        <v>3577.2344386248501</v>
      </c>
      <c r="AW2140" s="2">
        <v>4484.9130686007502</v>
      </c>
      <c r="AX2140" s="2">
        <v>1831.29815284642</v>
      </c>
    </row>
    <row r="2141" spans="1:50" x14ac:dyDescent="0.25">
      <c r="A2141" s="2" t="s">
        <v>14447</v>
      </c>
      <c r="B2141" s="2">
        <v>661.39873102888703</v>
      </c>
      <c r="C2141" s="2">
        <v>12.708216666666701</v>
      </c>
      <c r="D2141" s="2" t="s">
        <v>51</v>
      </c>
      <c r="E2141" s="2" t="s">
        <v>14448</v>
      </c>
      <c r="F2141" s="2">
        <v>36322</v>
      </c>
      <c r="G2141" s="3" t="str">
        <f>HYPERLINK("https://cloud.oebiotech.com/#/lm/network/36322", "https://cloud.oebiotech.com/#/lm/network/36322")</f>
        <v>https://cloud.oebiotech.com/#/lm/network/36322</v>
      </c>
      <c r="H2141" s="2"/>
      <c r="I2141" s="2"/>
      <c r="J2141" s="2" t="s">
        <v>14449</v>
      </c>
      <c r="K2141" s="2"/>
      <c r="L2141" s="2"/>
      <c r="M2141" s="2"/>
      <c r="N2141" s="2"/>
      <c r="O2141" s="2"/>
      <c r="P2141" s="2"/>
      <c r="Q2141" s="2"/>
      <c r="R2141" s="2"/>
      <c r="S2141" s="2" t="s">
        <v>14450</v>
      </c>
      <c r="T2141" s="2" t="s">
        <v>14451</v>
      </c>
      <c r="U2141" s="2" t="s">
        <v>56</v>
      </c>
      <c r="V2141" s="2" t="s">
        <v>177</v>
      </c>
      <c r="W2141" s="2" t="s">
        <v>394</v>
      </c>
      <c r="X2141" s="2" t="s">
        <v>147</v>
      </c>
      <c r="Y2141" s="2">
        <v>42.2</v>
      </c>
      <c r="Z2141" s="2">
        <v>27.8</v>
      </c>
      <c r="AA2141" s="2" t="s">
        <v>379</v>
      </c>
      <c r="AB2141" s="2" t="s">
        <v>14452</v>
      </c>
      <c r="AC2141" s="2">
        <v>4.4229123164995796</v>
      </c>
      <c r="AD2141" s="2"/>
      <c r="AE2141" s="2">
        <v>0.30813101949612198</v>
      </c>
      <c r="AF2141" s="2">
        <v>8481.2437019781901</v>
      </c>
      <c r="AG2141" s="2">
        <v>13737.4488305226</v>
      </c>
      <c r="AH2141" s="4">
        <v>0.61738127701950896</v>
      </c>
      <c r="AI2141" s="4">
        <v>-0.69576636308541595</v>
      </c>
      <c r="AJ2141" s="4" t="s">
        <v>62</v>
      </c>
      <c r="AK2141" s="2">
        <v>0.14874763488502199</v>
      </c>
      <c r="AL2141" s="2">
        <v>0.47024664296044399</v>
      </c>
      <c r="AM2141" s="2">
        <v>5965.0079293967101</v>
      </c>
      <c r="AN2141" s="2">
        <v>5415.3446376326201</v>
      </c>
      <c r="AO2141" s="2">
        <v>15700.5708080859</v>
      </c>
      <c r="AP2141" s="2">
        <v>4532.1076318586802</v>
      </c>
      <c r="AQ2141" s="2">
        <v>11765.004650801</v>
      </c>
      <c r="AR2141" s="2">
        <v>7509.4265540942397</v>
      </c>
      <c r="AS2141" s="2">
        <v>13475.158622319101</v>
      </c>
      <c r="AT2141" s="2">
        <v>12787.778990532801</v>
      </c>
      <c r="AU2141" s="2">
        <v>27335.231873413901</v>
      </c>
      <c r="AV2141" s="2">
        <v>9477.19451239113</v>
      </c>
      <c r="AW2141" s="2">
        <v>11460.7797663929</v>
      </c>
      <c r="AX2141" s="2">
        <v>7888.54921808569</v>
      </c>
    </row>
    <row r="2142" spans="1:50" x14ac:dyDescent="0.25">
      <c r="A2142" s="2" t="s">
        <v>14453</v>
      </c>
      <c r="B2142" s="2">
        <v>129.066280559478</v>
      </c>
      <c r="C2142" s="2">
        <v>0.69773333333333298</v>
      </c>
      <c r="D2142" s="2" t="s">
        <v>51</v>
      </c>
      <c r="E2142" s="2" t="s">
        <v>14454</v>
      </c>
      <c r="F2142" s="2">
        <v>255744</v>
      </c>
      <c r="G2142" s="3" t="str">
        <f>HYPERLINK("https://cloud.oebiotech.com/#/lm/network/255744", "https://cloud.oebiotech.com/#/lm/network/255744")</f>
        <v>https://cloud.oebiotech.com/#/lm/network/255744</v>
      </c>
      <c r="H2142" s="2" t="s">
        <v>14455</v>
      </c>
      <c r="I2142" s="2"/>
      <c r="J2142" s="2"/>
      <c r="K2142" s="2"/>
      <c r="L2142" s="2"/>
      <c r="M2142" s="2"/>
      <c r="N2142" s="2"/>
      <c r="O2142" s="2">
        <v>73836</v>
      </c>
      <c r="P2142" s="2"/>
      <c r="Q2142" s="2"/>
      <c r="R2142" s="2"/>
      <c r="S2142" s="2" t="s">
        <v>14456</v>
      </c>
      <c r="T2142" s="2" t="s">
        <v>14457</v>
      </c>
      <c r="U2142" s="2" t="s">
        <v>103</v>
      </c>
      <c r="V2142" s="2" t="s">
        <v>104</v>
      </c>
      <c r="W2142" s="2" t="s">
        <v>105</v>
      </c>
      <c r="X2142" s="2" t="s">
        <v>69</v>
      </c>
      <c r="Y2142" s="2">
        <v>59.4</v>
      </c>
      <c r="Z2142" s="2">
        <v>81.8</v>
      </c>
      <c r="AA2142" s="2" t="s">
        <v>156</v>
      </c>
      <c r="AB2142" s="2" t="s">
        <v>14458</v>
      </c>
      <c r="AC2142" s="2">
        <v>2.9206750394171799</v>
      </c>
      <c r="AD2142" s="2"/>
      <c r="AE2142" s="2">
        <v>0.30779285291185798</v>
      </c>
      <c r="AF2142" s="2">
        <v>50847.693473279804</v>
      </c>
      <c r="AG2142" s="2">
        <v>61772.191768526602</v>
      </c>
      <c r="AH2142" s="4">
        <v>0.82314860485793995</v>
      </c>
      <c r="AI2142" s="4">
        <v>-0.28077518776640298</v>
      </c>
      <c r="AJ2142" s="4" t="s">
        <v>62</v>
      </c>
      <c r="AK2142" s="2">
        <v>0.60785600363626002</v>
      </c>
      <c r="AL2142" s="2">
        <v>0.80448616752299296</v>
      </c>
      <c r="AM2142" s="2">
        <v>18093.910004686801</v>
      </c>
      <c r="AN2142" s="2">
        <v>51538.4416489984</v>
      </c>
      <c r="AO2142" s="2">
        <v>82914.759144264506</v>
      </c>
      <c r="AP2142" s="2">
        <v>77925.262431466894</v>
      </c>
      <c r="AQ2142" s="2">
        <v>44902.947739437099</v>
      </c>
      <c r="AR2142" s="2">
        <v>29710.839870825399</v>
      </c>
      <c r="AS2142" s="2">
        <v>58986.423284606099</v>
      </c>
      <c r="AT2142" s="2">
        <v>137404.25711249499</v>
      </c>
      <c r="AU2142" s="2">
        <v>26400.639307831902</v>
      </c>
      <c r="AV2142" s="2">
        <v>34641.475799891297</v>
      </c>
      <c r="AW2142" s="2">
        <v>85524.149605660394</v>
      </c>
      <c r="AX2142" s="2">
        <v>27676.2055006751</v>
      </c>
    </row>
    <row r="2143" spans="1:50" x14ac:dyDescent="0.25">
      <c r="A2143" s="2" t="s">
        <v>14459</v>
      </c>
      <c r="B2143" s="2">
        <v>163.11216695447399</v>
      </c>
      <c r="C2143" s="2">
        <v>6.2292500000000004</v>
      </c>
      <c r="D2143" s="2" t="s">
        <v>51</v>
      </c>
      <c r="E2143" s="2" t="s">
        <v>14460</v>
      </c>
      <c r="F2143" s="2">
        <v>63051</v>
      </c>
      <c r="G2143" s="3" t="str">
        <f>HYPERLINK("https://cloud.oebiotech.com/#/lm/network/63051", "https://cloud.oebiotech.com/#/lm/network/63051")</f>
        <v>https://cloud.oebiotech.com/#/lm/network/63051</v>
      </c>
      <c r="H2143" s="2" t="s">
        <v>14461</v>
      </c>
      <c r="I2143" s="2">
        <v>94352</v>
      </c>
      <c r="J2143" s="2"/>
      <c r="K2143" s="2">
        <v>61935</v>
      </c>
      <c r="L2143" s="2"/>
      <c r="M2143" s="2"/>
      <c r="N2143" s="2"/>
      <c r="O2143" s="2"/>
      <c r="P2143" s="2"/>
      <c r="Q2143" s="2"/>
      <c r="R2143" s="2" t="s">
        <v>14462</v>
      </c>
      <c r="S2143" s="2" t="s">
        <v>14463</v>
      </c>
      <c r="T2143" s="2" t="s">
        <v>14464</v>
      </c>
      <c r="U2143" s="2" t="s">
        <v>331</v>
      </c>
      <c r="V2143" s="2" t="s">
        <v>332</v>
      </c>
      <c r="W2143" s="2" t="s">
        <v>1207</v>
      </c>
      <c r="X2143" s="2" t="s">
        <v>147</v>
      </c>
      <c r="Y2143" s="2">
        <v>41.1</v>
      </c>
      <c r="Z2143" s="2">
        <v>13.7</v>
      </c>
      <c r="AA2143" s="2" t="s">
        <v>179</v>
      </c>
      <c r="AB2143" s="2" t="s">
        <v>14465</v>
      </c>
      <c r="AC2143" s="2">
        <v>2.6245664101670498</v>
      </c>
      <c r="AD2143" s="2"/>
      <c r="AE2143" s="2">
        <v>0.30733108972563</v>
      </c>
      <c r="AF2143" s="2">
        <v>7722.5813402159301</v>
      </c>
      <c r="AG2143" s="2">
        <v>5277.4077993692099</v>
      </c>
      <c r="AH2143" s="5">
        <v>1.46332851919061</v>
      </c>
      <c r="AI2143" s="5">
        <v>0.54925369278577396</v>
      </c>
      <c r="AJ2143" s="5" t="s">
        <v>139</v>
      </c>
      <c r="AK2143" s="2">
        <v>0.15988221842817399</v>
      </c>
      <c r="AL2143" s="2">
        <v>0.482327607117922</v>
      </c>
      <c r="AM2143" s="2">
        <v>14247.226262256199</v>
      </c>
      <c r="AN2143" s="2">
        <v>9325.1830518369406</v>
      </c>
      <c r="AO2143" s="2">
        <v>4887.37791493851</v>
      </c>
      <c r="AP2143" s="2">
        <v>6865.3432061493304</v>
      </c>
      <c r="AQ2143" s="2">
        <v>4390.1050816602301</v>
      </c>
      <c r="AR2143" s="2">
        <v>6620.2525244543904</v>
      </c>
      <c r="AS2143" s="2">
        <v>6782.21933358766</v>
      </c>
      <c r="AT2143" s="2">
        <v>5252.1068433970404</v>
      </c>
      <c r="AU2143" s="2">
        <v>5428.8505652505</v>
      </c>
      <c r="AV2143" s="2">
        <v>3215.9279651501402</v>
      </c>
      <c r="AW2143" s="2">
        <v>3921.4635022852299</v>
      </c>
      <c r="AX2143" s="2">
        <v>7063.8785865446698</v>
      </c>
    </row>
    <row r="2144" spans="1:50" x14ac:dyDescent="0.25">
      <c r="A2144" s="2" t="s">
        <v>14466</v>
      </c>
      <c r="B2144" s="2">
        <v>429.37404818683899</v>
      </c>
      <c r="C2144" s="2">
        <v>14.056416666666699</v>
      </c>
      <c r="D2144" s="2" t="s">
        <v>51</v>
      </c>
      <c r="E2144" s="2" t="s">
        <v>14467</v>
      </c>
      <c r="F2144" s="2">
        <v>256792</v>
      </c>
      <c r="G2144" s="3" t="str">
        <f>HYPERLINK("https://cloud.oebiotech.com/#/lm/network/256792", "https://cloud.oebiotech.com/#/lm/network/256792")</f>
        <v>https://cloud.oebiotech.com/#/lm/network/256792</v>
      </c>
      <c r="H2144" s="2" t="s">
        <v>14468</v>
      </c>
      <c r="I2144" s="2"/>
      <c r="J2144" s="2"/>
      <c r="K2144" s="2">
        <v>74413736</v>
      </c>
      <c r="L2144" s="2"/>
      <c r="M2144" s="2"/>
      <c r="N2144" s="2"/>
      <c r="O2144" s="2"/>
      <c r="P2144" s="2"/>
      <c r="Q2144" s="2"/>
      <c r="R2144" s="2"/>
      <c r="S2144" s="2" t="s">
        <v>14469</v>
      </c>
      <c r="T2144" s="2" t="s">
        <v>14470</v>
      </c>
      <c r="U2144" s="2" t="s">
        <v>56</v>
      </c>
      <c r="V2144" s="2" t="s">
        <v>283</v>
      </c>
      <c r="W2144" s="2" t="s">
        <v>10738</v>
      </c>
      <c r="X2144" s="2" t="s">
        <v>83</v>
      </c>
      <c r="Y2144" s="2">
        <v>45.1</v>
      </c>
      <c r="Z2144" s="2">
        <v>1.89</v>
      </c>
      <c r="AA2144" s="2" t="s">
        <v>259</v>
      </c>
      <c r="AB2144" s="2" t="s">
        <v>8760</v>
      </c>
      <c r="AC2144" s="2">
        <v>3.1304495249879398</v>
      </c>
      <c r="AD2144" s="2"/>
      <c r="AE2144" s="2">
        <v>0.307254752468749</v>
      </c>
      <c r="AF2144" s="2">
        <v>136851.26943857301</v>
      </c>
      <c r="AG2144" s="2">
        <v>147998.613614114</v>
      </c>
      <c r="AH2144" s="4">
        <v>0.92467940135840598</v>
      </c>
      <c r="AI2144" s="4">
        <v>-0.11297484411576</v>
      </c>
      <c r="AJ2144" s="4" t="s">
        <v>62</v>
      </c>
      <c r="AK2144" s="2">
        <v>0.82149813660508397</v>
      </c>
      <c r="AL2144" s="2">
        <v>0.92196891676237602</v>
      </c>
      <c r="AM2144" s="2">
        <v>76943.218574125698</v>
      </c>
      <c r="AN2144" s="2">
        <v>280009.87870840798</v>
      </c>
      <c r="AO2144" s="2">
        <v>111245.45426652201</v>
      </c>
      <c r="AP2144" s="2">
        <v>154724.05667668299</v>
      </c>
      <c r="AQ2144" s="2">
        <v>124801.943216114</v>
      </c>
      <c r="AR2144" s="2">
        <v>73383.065189582601</v>
      </c>
      <c r="AS2144" s="2">
        <v>327209.415079889</v>
      </c>
      <c r="AT2144" s="2">
        <v>141994.77293669101</v>
      </c>
      <c r="AU2144" s="2">
        <v>86580.988498822</v>
      </c>
      <c r="AV2144" s="2">
        <v>100364.97954557301</v>
      </c>
      <c r="AW2144" s="2">
        <v>116299.01649577099</v>
      </c>
      <c r="AX2144" s="2">
        <v>115542.509127935</v>
      </c>
    </row>
    <row r="2145" spans="1:50" x14ac:dyDescent="0.25">
      <c r="A2145" s="2" t="s">
        <v>14471</v>
      </c>
      <c r="B2145" s="2">
        <v>579.26368359486003</v>
      </c>
      <c r="C2145" s="2">
        <v>8.6046999999999993</v>
      </c>
      <c r="D2145" s="2" t="s">
        <v>51</v>
      </c>
      <c r="E2145" s="2" t="s">
        <v>14472</v>
      </c>
      <c r="F2145" s="2">
        <v>210768</v>
      </c>
      <c r="G2145" s="3" t="str">
        <f>HYPERLINK("https://cloud.oebiotech.com/#/lm/network/210768", "https://cloud.oebiotech.com/#/lm/network/210768")</f>
        <v>https://cloud.oebiotech.com/#/lm/network/210768</v>
      </c>
      <c r="H2145" s="2" t="s">
        <v>14473</v>
      </c>
      <c r="I2145" s="2"/>
      <c r="J2145" s="2"/>
      <c r="K2145" s="2"/>
      <c r="L2145" s="2"/>
      <c r="M2145" s="2"/>
      <c r="N2145" s="2"/>
      <c r="O2145" s="2"/>
      <c r="P2145" s="2"/>
      <c r="Q2145" s="2"/>
      <c r="R2145" s="2"/>
      <c r="S2145" s="2" t="s">
        <v>14474</v>
      </c>
      <c r="T2145" s="2" t="s">
        <v>14475</v>
      </c>
      <c r="U2145" s="2" t="s">
        <v>266</v>
      </c>
      <c r="V2145" s="2" t="s">
        <v>2271</v>
      </c>
      <c r="W2145" s="2" t="s">
        <v>240</v>
      </c>
      <c r="X2145" s="2" t="s">
        <v>147</v>
      </c>
      <c r="Y2145" s="2">
        <v>38</v>
      </c>
      <c r="Z2145" s="2">
        <v>16.7</v>
      </c>
      <c r="AA2145" s="2" t="s">
        <v>218</v>
      </c>
      <c r="AB2145" s="2" t="s">
        <v>14476</v>
      </c>
      <c r="AC2145" s="2">
        <v>4.47299587155144</v>
      </c>
      <c r="AD2145" s="2"/>
      <c r="AE2145" s="2">
        <v>0.30722360170864299</v>
      </c>
      <c r="AF2145" s="2">
        <v>5520.7291319777296</v>
      </c>
      <c r="AG2145" s="2">
        <v>8518.2886388861698</v>
      </c>
      <c r="AH2145" s="4">
        <v>0.64810308337938705</v>
      </c>
      <c r="AI2145" s="4">
        <v>-0.62570479712850002</v>
      </c>
      <c r="AJ2145" s="4" t="s">
        <v>62</v>
      </c>
      <c r="AK2145" s="2">
        <v>3.2558242750010902E-2</v>
      </c>
      <c r="AL2145" s="2">
        <v>0.26650967218830601</v>
      </c>
      <c r="AM2145" s="2">
        <v>4703.4397350154904</v>
      </c>
      <c r="AN2145" s="2">
        <v>4900.2350229526801</v>
      </c>
      <c r="AO2145" s="2">
        <v>6981.6949254019801</v>
      </c>
      <c r="AP2145" s="2">
        <v>5460.2397677655099</v>
      </c>
      <c r="AQ2145" s="2">
        <v>5775.2648703468003</v>
      </c>
      <c r="AR2145" s="2">
        <v>5303.5004703839404</v>
      </c>
      <c r="AS2145" s="2">
        <v>8050.1136392911203</v>
      </c>
      <c r="AT2145" s="2">
        <v>13812.861839621901</v>
      </c>
      <c r="AU2145" s="2">
        <v>5200.6370710513702</v>
      </c>
      <c r="AV2145" s="2">
        <v>8535.4406570459905</v>
      </c>
      <c r="AW2145" s="2">
        <v>7991.9316691006397</v>
      </c>
      <c r="AX2145" s="2">
        <v>7518.7469572060099</v>
      </c>
    </row>
    <row r="2146" spans="1:50" x14ac:dyDescent="0.25">
      <c r="A2146" s="2" t="s">
        <v>14477</v>
      </c>
      <c r="B2146" s="2">
        <v>267.07352786593299</v>
      </c>
      <c r="C2146" s="2">
        <v>1.27705</v>
      </c>
      <c r="D2146" s="2" t="s">
        <v>51</v>
      </c>
      <c r="E2146" s="2" t="s">
        <v>14478</v>
      </c>
      <c r="F2146" s="2">
        <v>46924</v>
      </c>
      <c r="G2146" s="3" t="str">
        <f>HYPERLINK("https://cloud.oebiotech.com/#/lm/network/46924", "https://cloud.oebiotech.com/#/lm/network/46924")</f>
        <v>https://cloud.oebiotech.com/#/lm/network/46924</v>
      </c>
      <c r="H2146" s="2" t="s">
        <v>14479</v>
      </c>
      <c r="I2146" s="2">
        <v>84</v>
      </c>
      <c r="J2146" s="2"/>
      <c r="K2146" s="2">
        <v>6021</v>
      </c>
      <c r="L2146" s="2" t="s">
        <v>14480</v>
      </c>
      <c r="M2146" s="2" t="s">
        <v>2788</v>
      </c>
      <c r="N2146" s="2" t="s">
        <v>2789</v>
      </c>
      <c r="O2146" s="2">
        <v>17596</v>
      </c>
      <c r="P2146" s="2" t="s">
        <v>14481</v>
      </c>
      <c r="Q2146" s="2" t="s">
        <v>14482</v>
      </c>
      <c r="R2146" s="2" t="s">
        <v>14483</v>
      </c>
      <c r="S2146" s="2" t="s">
        <v>14484</v>
      </c>
      <c r="T2146" s="2" t="s">
        <v>14485</v>
      </c>
      <c r="U2146" s="2" t="s">
        <v>295</v>
      </c>
      <c r="V2146" s="2" t="s">
        <v>5395</v>
      </c>
      <c r="W2146" s="2" t="s">
        <v>240</v>
      </c>
      <c r="X2146" s="2" t="s">
        <v>69</v>
      </c>
      <c r="Y2146" s="2">
        <v>57</v>
      </c>
      <c r="Z2146" s="2">
        <v>70.099999999999994</v>
      </c>
      <c r="AA2146" s="2" t="s">
        <v>163</v>
      </c>
      <c r="AB2146" s="2" t="s">
        <v>14486</v>
      </c>
      <c r="AC2146" s="2">
        <v>0.12979704969625999</v>
      </c>
      <c r="AD2146" s="2"/>
      <c r="AE2146" s="2">
        <v>0.30699333334867701</v>
      </c>
      <c r="AF2146" s="2">
        <v>126928.130880208</v>
      </c>
      <c r="AG2146" s="2">
        <v>125577.468050638</v>
      </c>
      <c r="AH2146" s="5">
        <v>1.0107556144469001</v>
      </c>
      <c r="AI2146" s="5">
        <v>1.54342173738404E-2</v>
      </c>
      <c r="AJ2146" s="5" t="s">
        <v>139</v>
      </c>
      <c r="AK2146" s="2">
        <v>0.98912610717504101</v>
      </c>
      <c r="AL2146" s="2">
        <v>0.99545530263140103</v>
      </c>
      <c r="AM2146" s="2">
        <v>3819.9722195366198</v>
      </c>
      <c r="AN2146" s="2">
        <v>170190.18903764599</v>
      </c>
      <c r="AO2146" s="2">
        <v>235577.67528700299</v>
      </c>
      <c r="AP2146" s="2">
        <v>38696.930593980003</v>
      </c>
      <c r="AQ2146" s="2">
        <v>284637.42471812299</v>
      </c>
      <c r="AR2146" s="2">
        <v>28646.593424957999</v>
      </c>
      <c r="AS2146" s="2">
        <v>1038.03522620788</v>
      </c>
      <c r="AT2146" s="2">
        <v>529939.01382176497</v>
      </c>
      <c r="AU2146" s="2">
        <v>20428.850891265101</v>
      </c>
      <c r="AV2146" s="2">
        <v>68427.089622171407</v>
      </c>
      <c r="AW2146" s="2">
        <v>107.159444119675</v>
      </c>
      <c r="AX2146" s="2">
        <v>133524.65929829699</v>
      </c>
    </row>
    <row r="2147" spans="1:50" x14ac:dyDescent="0.25">
      <c r="A2147" s="2" t="s">
        <v>14487</v>
      </c>
      <c r="B2147" s="2">
        <v>259.15461286433299</v>
      </c>
      <c r="C2147" s="2">
        <v>11.75825</v>
      </c>
      <c r="D2147" s="2" t="s">
        <v>51</v>
      </c>
      <c r="E2147" s="2" t="s">
        <v>14488</v>
      </c>
      <c r="F2147" s="2">
        <v>205568</v>
      </c>
      <c r="G2147" s="3" t="str">
        <f>HYPERLINK("https://cloud.oebiotech.com/#/lm/network/205568", "https://cloud.oebiotech.com/#/lm/network/205568")</f>
        <v>https://cloud.oebiotech.com/#/lm/network/205568</v>
      </c>
      <c r="H2147" s="2" t="s">
        <v>14489</v>
      </c>
      <c r="I2147" s="2"/>
      <c r="J2147" s="2"/>
      <c r="K2147" s="2">
        <v>10265467</v>
      </c>
      <c r="L2147" s="2"/>
      <c r="M2147" s="2"/>
      <c r="N2147" s="2"/>
      <c r="O2147" s="2"/>
      <c r="P2147" s="2"/>
      <c r="Q2147" s="2"/>
      <c r="R2147" s="2"/>
      <c r="S2147" s="2" t="s">
        <v>14490</v>
      </c>
      <c r="T2147" s="2" t="s">
        <v>14491</v>
      </c>
      <c r="U2147" s="2" t="s">
        <v>331</v>
      </c>
      <c r="V2147" s="2" t="s">
        <v>332</v>
      </c>
      <c r="W2147" s="2" t="s">
        <v>333</v>
      </c>
      <c r="X2147" s="2" t="s">
        <v>147</v>
      </c>
      <c r="Y2147" s="2">
        <v>45.4</v>
      </c>
      <c r="Z2147" s="2">
        <v>32.1</v>
      </c>
      <c r="AA2147" s="2" t="s">
        <v>156</v>
      </c>
      <c r="AB2147" s="2" t="s">
        <v>14492</v>
      </c>
      <c r="AC2147" s="2">
        <v>2.2183998691318099</v>
      </c>
      <c r="AD2147" s="2"/>
      <c r="AE2147" s="2">
        <v>0.30695852371036603</v>
      </c>
      <c r="AF2147" s="2">
        <v>644.81705745327395</v>
      </c>
      <c r="AG2147" s="2">
        <v>12501.7514369891</v>
      </c>
      <c r="AH2147" s="4">
        <v>5.15781377276021E-2</v>
      </c>
      <c r="AI2147" s="4">
        <v>-4.2770965054350203</v>
      </c>
      <c r="AJ2147" s="4" t="s">
        <v>62</v>
      </c>
      <c r="AK2147" s="2">
        <v>0.34767673226226498</v>
      </c>
      <c r="AL2147" s="2">
        <v>0.64074673231447798</v>
      </c>
      <c r="AM2147" s="2">
        <v>882.79713270512104</v>
      </c>
      <c r="AN2147" s="2">
        <v>1229.7855483073199</v>
      </c>
      <c r="AO2147" s="2">
        <v>364.79254861624099</v>
      </c>
      <c r="AP2147" s="2">
        <v>688.81804433148898</v>
      </c>
      <c r="AQ2147" s="2">
        <v>253.369798698008</v>
      </c>
      <c r="AR2147" s="2">
        <v>449.33927206146501</v>
      </c>
      <c r="AS2147" s="2">
        <v>796.71629997545995</v>
      </c>
      <c r="AT2147" s="2">
        <v>72658.484922050397</v>
      </c>
      <c r="AU2147" s="2">
        <v>510.61349747554402</v>
      </c>
      <c r="AV2147" s="2">
        <v>8.559877937157E-6</v>
      </c>
      <c r="AW2147" s="2">
        <v>355.52538287532099</v>
      </c>
      <c r="AX2147" s="2">
        <v>689.16851099826704</v>
      </c>
    </row>
    <row r="2148" spans="1:50" x14ac:dyDescent="0.25">
      <c r="A2148" s="2" t="s">
        <v>14493</v>
      </c>
      <c r="B2148" s="2">
        <v>405.264886780523</v>
      </c>
      <c r="C2148" s="2">
        <v>8.5672166666666705</v>
      </c>
      <c r="D2148" s="2" t="s">
        <v>51</v>
      </c>
      <c r="E2148" s="2" t="s">
        <v>14494</v>
      </c>
      <c r="F2148" s="2">
        <v>46035</v>
      </c>
      <c r="G2148" s="3" t="str">
        <f>HYPERLINK("https://cloud.oebiotech.com/#/lm/network/46035", "https://cloud.oebiotech.com/#/lm/network/46035")</f>
        <v>https://cloud.oebiotech.com/#/lm/network/46035</v>
      </c>
      <c r="H2148" s="2"/>
      <c r="I2148" s="2">
        <v>84487</v>
      </c>
      <c r="J2148" s="2" t="s">
        <v>14495</v>
      </c>
      <c r="K2148" s="2">
        <v>5283943</v>
      </c>
      <c r="L2148" s="2"/>
      <c r="M2148" s="2"/>
      <c r="N2148" s="2"/>
      <c r="O2148" s="2"/>
      <c r="P2148" s="2"/>
      <c r="Q2148" s="2"/>
      <c r="R2148" s="2"/>
      <c r="S2148" s="2" t="s">
        <v>14496</v>
      </c>
      <c r="T2148" s="2" t="s">
        <v>14497</v>
      </c>
      <c r="U2148" s="2" t="s">
        <v>56</v>
      </c>
      <c r="V2148" s="2" t="s">
        <v>283</v>
      </c>
      <c r="W2148" s="2" t="s">
        <v>2042</v>
      </c>
      <c r="X2148" s="2" t="s">
        <v>83</v>
      </c>
      <c r="Y2148" s="2">
        <v>53.7</v>
      </c>
      <c r="Z2148" s="2">
        <v>0</v>
      </c>
      <c r="AA2148" s="2" t="s">
        <v>241</v>
      </c>
      <c r="AB2148" s="2" t="s">
        <v>4227</v>
      </c>
      <c r="AC2148" s="2">
        <v>0.58802011413990196</v>
      </c>
      <c r="AD2148" s="2"/>
      <c r="AE2148" s="2">
        <v>0.30687811891977901</v>
      </c>
      <c r="AF2148" s="2">
        <v>6522.6824269230601</v>
      </c>
      <c r="AG2148" s="2">
        <v>210.639703461295</v>
      </c>
      <c r="AH2148" s="5">
        <v>30.966063471132799</v>
      </c>
      <c r="AI2148" s="5">
        <v>4.9526160884378303</v>
      </c>
      <c r="AJ2148" s="5" t="s">
        <v>139</v>
      </c>
      <c r="AK2148" s="2">
        <v>0.241330514061045</v>
      </c>
      <c r="AL2148" s="2">
        <v>0.56524770370204702</v>
      </c>
      <c r="AM2148" s="2">
        <v>144.515973417726</v>
      </c>
      <c r="AN2148" s="2">
        <v>50.0993506389527</v>
      </c>
      <c r="AO2148" s="2">
        <v>202.90381815467001</v>
      </c>
      <c r="AP2148" s="2">
        <v>229.98076742493501</v>
      </c>
      <c r="AQ2148" s="2">
        <v>31173.181404415602</v>
      </c>
      <c r="AR2148" s="2">
        <v>7335.41324748648</v>
      </c>
      <c r="AS2148" s="2">
        <v>206.35191140007001</v>
      </c>
      <c r="AT2148" s="2">
        <v>186.05596593819999</v>
      </c>
      <c r="AU2148" s="2">
        <v>112.122538592946</v>
      </c>
      <c r="AV2148" s="2">
        <v>368.26555079106498</v>
      </c>
      <c r="AW2148" s="2">
        <v>264.76566301405398</v>
      </c>
      <c r="AX2148" s="2">
        <v>126.276591031436</v>
      </c>
    </row>
    <row r="2149" spans="1:50" x14ac:dyDescent="0.25">
      <c r="A2149" s="2" t="s">
        <v>14498</v>
      </c>
      <c r="B2149" s="2">
        <v>299.25888561422801</v>
      </c>
      <c r="C2149" s="2">
        <v>13.283716666666701</v>
      </c>
      <c r="D2149" s="2" t="s">
        <v>51</v>
      </c>
      <c r="E2149" s="2" t="s">
        <v>14499</v>
      </c>
      <c r="F2149" s="2">
        <v>3100</v>
      </c>
      <c r="G2149" s="3" t="str">
        <f>HYPERLINK("https://cloud.oebiotech.com/#/lm/network/3100", "https://cloud.oebiotech.com/#/lm/network/3100")</f>
        <v>https://cloud.oebiotech.com/#/lm/network/3100</v>
      </c>
      <c r="H2149" s="2"/>
      <c r="I2149" s="2">
        <v>35471</v>
      </c>
      <c r="J2149" s="2" t="s">
        <v>14500</v>
      </c>
      <c r="K2149" s="2">
        <v>5282931</v>
      </c>
      <c r="L2149" s="2"/>
      <c r="M2149" s="2"/>
      <c r="N2149" s="2"/>
      <c r="O2149" s="2"/>
      <c r="P2149" s="2"/>
      <c r="Q2149" s="2"/>
      <c r="R2149" s="2"/>
      <c r="S2149" s="2" t="s">
        <v>14501</v>
      </c>
      <c r="T2149" s="2" t="s">
        <v>14502</v>
      </c>
      <c r="U2149" s="2" t="s">
        <v>56</v>
      </c>
      <c r="V2149" s="2" t="s">
        <v>145</v>
      </c>
      <c r="W2149" s="2" t="s">
        <v>231</v>
      </c>
      <c r="X2149" s="2" t="s">
        <v>59</v>
      </c>
      <c r="Y2149" s="2">
        <v>48.4</v>
      </c>
      <c r="Z2149" s="2">
        <v>51.6</v>
      </c>
      <c r="AA2149" s="2" t="s">
        <v>179</v>
      </c>
      <c r="AB2149" s="2" t="s">
        <v>4702</v>
      </c>
      <c r="AC2149" s="2">
        <v>2.57455248193396</v>
      </c>
      <c r="AD2149" s="2"/>
      <c r="AE2149" s="2">
        <v>0.30683660948750602</v>
      </c>
      <c r="AF2149" s="2">
        <v>20688.070315443099</v>
      </c>
      <c r="AG2149" s="2">
        <v>15214.6275705105</v>
      </c>
      <c r="AH2149" s="5">
        <v>1.35974871679025</v>
      </c>
      <c r="AI2149" s="5">
        <v>0.44334006431676498</v>
      </c>
      <c r="AJ2149" s="5" t="s">
        <v>139</v>
      </c>
      <c r="AK2149" s="2">
        <v>0.39234410339494902</v>
      </c>
      <c r="AL2149" s="2">
        <v>0.66541006670828395</v>
      </c>
      <c r="AM2149" s="2">
        <v>24835.6923732008</v>
      </c>
      <c r="AN2149" s="2">
        <v>12703.1162811249</v>
      </c>
      <c r="AO2149" s="2">
        <v>21039.858302134398</v>
      </c>
      <c r="AP2149" s="2">
        <v>30673.5925693178</v>
      </c>
      <c r="AQ2149" s="2">
        <v>29058.230207740002</v>
      </c>
      <c r="AR2149" s="2">
        <v>5817.9321591409498</v>
      </c>
      <c r="AS2149" s="2">
        <v>8201.7499945180898</v>
      </c>
      <c r="AT2149" s="2">
        <v>28579.8281952385</v>
      </c>
      <c r="AU2149" s="2">
        <v>8851.9004914456309</v>
      </c>
      <c r="AV2149" s="2">
        <v>3725.5893043801202</v>
      </c>
      <c r="AW2149" s="2">
        <v>30613.260918827698</v>
      </c>
      <c r="AX2149" s="2">
        <v>11315.436518652699</v>
      </c>
    </row>
    <row r="2150" spans="1:50" x14ac:dyDescent="0.25">
      <c r="A2150" s="2" t="s">
        <v>14503</v>
      </c>
      <c r="B2150" s="2">
        <v>209.05642553543001</v>
      </c>
      <c r="C2150" s="2">
        <v>4.6687166666666702</v>
      </c>
      <c r="D2150" s="2" t="s">
        <v>51</v>
      </c>
      <c r="E2150" s="2" t="s">
        <v>14504</v>
      </c>
      <c r="F2150" s="2">
        <v>254902</v>
      </c>
      <c r="G2150" s="3" t="str">
        <f>HYPERLINK("https://cloud.oebiotech.com/#/lm/network/254902", "https://cloud.oebiotech.com/#/lm/network/254902")</f>
        <v>https://cloud.oebiotech.com/#/lm/network/254902</v>
      </c>
      <c r="H2150" s="2" t="s">
        <v>14505</v>
      </c>
      <c r="I2150" s="2">
        <v>66984</v>
      </c>
      <c r="J2150" s="2"/>
      <c r="K2150" s="2">
        <v>129326</v>
      </c>
      <c r="L2150" s="2" t="s">
        <v>14506</v>
      </c>
      <c r="M2150" s="2"/>
      <c r="N2150" s="2"/>
      <c r="O2150" s="2"/>
      <c r="P2150" s="2"/>
      <c r="Q2150" s="2"/>
      <c r="R2150" s="2" t="s">
        <v>14507</v>
      </c>
      <c r="S2150" s="2" t="s">
        <v>14508</v>
      </c>
      <c r="T2150" s="2" t="s">
        <v>14509</v>
      </c>
      <c r="U2150" s="2" t="s">
        <v>331</v>
      </c>
      <c r="V2150" s="2" t="s">
        <v>332</v>
      </c>
      <c r="W2150" s="2" t="s">
        <v>1207</v>
      </c>
      <c r="X2150" s="2" t="s">
        <v>147</v>
      </c>
      <c r="Y2150" s="2">
        <v>44.3</v>
      </c>
      <c r="Z2150" s="2">
        <v>31.8</v>
      </c>
      <c r="AA2150" s="2" t="s">
        <v>95</v>
      </c>
      <c r="AB2150" s="2" t="s">
        <v>14510</v>
      </c>
      <c r="AC2150" s="2">
        <v>-4.7009911217015903</v>
      </c>
      <c r="AD2150" s="2"/>
      <c r="AE2150" s="2">
        <v>0.30681259730075999</v>
      </c>
      <c r="AF2150" s="2">
        <v>365.524662667624</v>
      </c>
      <c r="AG2150" s="2">
        <v>10424.321926598899</v>
      </c>
      <c r="AH2150" s="4">
        <v>3.5064598468984597E-2</v>
      </c>
      <c r="AI2150" s="4">
        <v>-4.8338409822292503</v>
      </c>
      <c r="AJ2150" s="4" t="s">
        <v>62</v>
      </c>
      <c r="AK2150" s="2">
        <v>0.355102291663138</v>
      </c>
      <c r="AL2150" s="2">
        <v>0.644232435870006</v>
      </c>
      <c r="AM2150" s="2">
        <v>8.559877937157E-6</v>
      </c>
      <c r="AN2150" s="2">
        <v>557.15890099596197</v>
      </c>
      <c r="AO2150" s="2">
        <v>1635.9890407702701</v>
      </c>
      <c r="AP2150" s="2">
        <v>8.559877937157E-6</v>
      </c>
      <c r="AQ2150" s="2">
        <v>8.559877937157E-6</v>
      </c>
      <c r="AR2150" s="2">
        <v>8.559877937157E-6</v>
      </c>
      <c r="AS2150" s="2">
        <v>8.559877937157E-6</v>
      </c>
      <c r="AT2150" s="2">
        <v>8.559877937157E-6</v>
      </c>
      <c r="AU2150" s="2">
        <v>62276.225428264901</v>
      </c>
      <c r="AV2150" s="2">
        <v>208.24565679432601</v>
      </c>
      <c r="AW2150" s="2">
        <v>61.460448854729698</v>
      </c>
      <c r="AX2150" s="2">
        <v>8.559877937157E-6</v>
      </c>
    </row>
    <row r="2151" spans="1:50" x14ac:dyDescent="0.25">
      <c r="A2151" s="2" t="s">
        <v>14511</v>
      </c>
      <c r="B2151" s="2">
        <v>423.06510606819199</v>
      </c>
      <c r="C2151" s="2">
        <v>0.68110000000000004</v>
      </c>
      <c r="D2151" s="2" t="s">
        <v>51</v>
      </c>
      <c r="E2151" s="2" t="s">
        <v>14512</v>
      </c>
      <c r="F2151" s="2">
        <v>61810</v>
      </c>
      <c r="G2151" s="3" t="str">
        <f>HYPERLINK("https://cloud.oebiotech.com/#/lm/network/61810", "https://cloud.oebiotech.com/#/lm/network/61810")</f>
        <v>https://cloud.oebiotech.com/#/lm/network/61810</v>
      </c>
      <c r="H2151" s="2" t="s">
        <v>14513</v>
      </c>
      <c r="I2151" s="2"/>
      <c r="J2151" s="2"/>
      <c r="K2151" s="2">
        <v>15560248</v>
      </c>
      <c r="L2151" s="2" t="s">
        <v>14514</v>
      </c>
      <c r="M2151" s="2"/>
      <c r="N2151" s="2"/>
      <c r="O2151" s="2">
        <v>5413</v>
      </c>
      <c r="P2151" s="2"/>
      <c r="Q2151" s="2"/>
      <c r="R2151" s="2" t="s">
        <v>14515</v>
      </c>
      <c r="S2151" s="2" t="s">
        <v>14516</v>
      </c>
      <c r="T2151" s="2" t="s">
        <v>14517</v>
      </c>
      <c r="U2151" s="2" t="s">
        <v>331</v>
      </c>
      <c r="V2151" s="2" t="s">
        <v>332</v>
      </c>
      <c r="W2151" s="2" t="s">
        <v>333</v>
      </c>
      <c r="X2151" s="2" t="s">
        <v>147</v>
      </c>
      <c r="Y2151" s="2">
        <v>36.299999999999997</v>
      </c>
      <c r="Z2151" s="2">
        <v>0</v>
      </c>
      <c r="AA2151" s="2" t="s">
        <v>122</v>
      </c>
      <c r="AB2151" s="2" t="s">
        <v>14518</v>
      </c>
      <c r="AC2151" s="2">
        <v>-1.5772633020985101</v>
      </c>
      <c r="AD2151" s="2"/>
      <c r="AE2151" s="2">
        <v>0.30670718262608299</v>
      </c>
      <c r="AF2151" s="2">
        <v>1989.90331406517</v>
      </c>
      <c r="AG2151" s="2">
        <v>7264.3454234116598</v>
      </c>
      <c r="AH2151" s="4">
        <v>0.27392740819456002</v>
      </c>
      <c r="AI2151" s="4">
        <v>-1.86813447072758</v>
      </c>
      <c r="AJ2151" s="4" t="s">
        <v>62</v>
      </c>
      <c r="AK2151" s="2">
        <v>0.22918239744949201</v>
      </c>
      <c r="AL2151" s="2">
        <v>0.55433375359650505</v>
      </c>
      <c r="AM2151" s="2">
        <v>8.559877937157E-6</v>
      </c>
      <c r="AN2151" s="2">
        <v>8.559877937157E-6</v>
      </c>
      <c r="AO2151" s="2">
        <v>1126.33012779456</v>
      </c>
      <c r="AP2151" s="2">
        <v>8.559877937157E-6</v>
      </c>
      <c r="AQ2151" s="2">
        <v>7973.7122487964098</v>
      </c>
      <c r="AR2151" s="2">
        <v>2839.3774821204302</v>
      </c>
      <c r="AS2151" s="2">
        <v>14814.8505577373</v>
      </c>
      <c r="AT2151" s="2">
        <v>23149.134171372301</v>
      </c>
      <c r="AU2151" s="2">
        <v>8.559877937157E-6</v>
      </c>
      <c r="AV2151" s="2">
        <v>4406.5995876676498</v>
      </c>
      <c r="AW2151" s="2">
        <v>1215.48820657295</v>
      </c>
      <c r="AX2151" s="2">
        <v>8.559877937157E-6</v>
      </c>
    </row>
    <row r="2152" spans="1:50" x14ac:dyDescent="0.25">
      <c r="A2152" s="2" t="s">
        <v>14519</v>
      </c>
      <c r="B2152" s="2">
        <v>742.31131850697102</v>
      </c>
      <c r="C2152" s="2">
        <v>4.8329666666666702</v>
      </c>
      <c r="D2152" s="2" t="s">
        <v>51</v>
      </c>
      <c r="E2152" s="2" t="s">
        <v>14520</v>
      </c>
      <c r="F2152" s="2">
        <v>199296</v>
      </c>
      <c r="G2152" s="3" t="str">
        <f>HYPERLINK("https://cloud.oebiotech.com/#/lm/network/199296", "https://cloud.oebiotech.com/#/lm/network/199296")</f>
        <v>https://cloud.oebiotech.com/#/lm/network/199296</v>
      </c>
      <c r="H2152" s="2" t="s">
        <v>14521</v>
      </c>
      <c r="I2152" s="2"/>
      <c r="J2152" s="2"/>
      <c r="K2152" s="2">
        <v>18432409</v>
      </c>
      <c r="L2152" s="2"/>
      <c r="M2152" s="2"/>
      <c r="N2152" s="2"/>
      <c r="O2152" s="2"/>
      <c r="P2152" s="2"/>
      <c r="Q2152" s="2"/>
      <c r="R2152" s="2"/>
      <c r="S2152" s="2" t="s">
        <v>14522</v>
      </c>
      <c r="T2152" s="2" t="s">
        <v>14523</v>
      </c>
      <c r="U2152" s="2" t="s">
        <v>295</v>
      </c>
      <c r="V2152" s="2" t="s">
        <v>1818</v>
      </c>
      <c r="W2152" s="2" t="s">
        <v>8257</v>
      </c>
      <c r="X2152" s="2" t="s">
        <v>147</v>
      </c>
      <c r="Y2152" s="2">
        <v>36.700000000000003</v>
      </c>
      <c r="Z2152" s="2">
        <v>0</v>
      </c>
      <c r="AA2152" s="2" t="s">
        <v>122</v>
      </c>
      <c r="AB2152" s="2" t="s">
        <v>14524</v>
      </c>
      <c r="AC2152" s="2">
        <v>0.63627968570640203</v>
      </c>
      <c r="AD2152" s="2"/>
      <c r="AE2152" s="2">
        <v>0.30607701514843999</v>
      </c>
      <c r="AF2152" s="2">
        <v>9898.2432072894499</v>
      </c>
      <c r="AG2152" s="2">
        <v>4918.7267779686799</v>
      </c>
      <c r="AH2152" s="5">
        <v>2.0123588184699299</v>
      </c>
      <c r="AI2152" s="5">
        <v>1.0088875712829</v>
      </c>
      <c r="AJ2152" s="5" t="s">
        <v>139</v>
      </c>
      <c r="AK2152" s="2">
        <v>0.14141742936703999</v>
      </c>
      <c r="AL2152" s="2">
        <v>0.46258693011135898</v>
      </c>
      <c r="AM2152" s="2">
        <v>5944.8168362603801</v>
      </c>
      <c r="AN2152" s="2">
        <v>9780.6613316498697</v>
      </c>
      <c r="AO2152" s="2">
        <v>4799.10196086</v>
      </c>
      <c r="AP2152" s="2">
        <v>13912.623270201901</v>
      </c>
      <c r="AQ2152" s="2">
        <v>4415.2290259484698</v>
      </c>
      <c r="AR2152" s="2">
        <v>20537.026818816099</v>
      </c>
      <c r="AS2152" s="2">
        <v>4719.2369359744898</v>
      </c>
      <c r="AT2152" s="2">
        <v>3847.83840883725</v>
      </c>
      <c r="AU2152" s="2">
        <v>8467.7056317654005</v>
      </c>
      <c r="AV2152" s="2">
        <v>8.559877937157E-6</v>
      </c>
      <c r="AW2152" s="2">
        <v>11204.123726444899</v>
      </c>
      <c r="AX2152" s="2">
        <v>1273.4559562301399</v>
      </c>
    </row>
    <row r="2153" spans="1:50" x14ac:dyDescent="0.25">
      <c r="A2153" s="2" t="s">
        <v>14525</v>
      </c>
      <c r="B2153" s="2">
        <v>233.06080425736499</v>
      </c>
      <c r="C2153" s="2">
        <v>1.27196666666667</v>
      </c>
      <c r="D2153" s="2" t="s">
        <v>51</v>
      </c>
      <c r="E2153" s="2" t="s">
        <v>14526</v>
      </c>
      <c r="F2153" s="2">
        <v>256657</v>
      </c>
      <c r="G2153" s="3" t="str">
        <f>HYPERLINK("https://cloud.oebiotech.com/#/lm/network/256657", "https://cloud.oebiotech.com/#/lm/network/256657")</f>
        <v>https://cloud.oebiotech.com/#/lm/network/256657</v>
      </c>
      <c r="H2153" s="2" t="s">
        <v>14527</v>
      </c>
      <c r="I2153" s="2"/>
      <c r="J2153" s="2"/>
      <c r="K2153" s="2">
        <v>842</v>
      </c>
      <c r="L2153" s="2"/>
      <c r="M2153" s="2"/>
      <c r="N2153" s="2"/>
      <c r="O2153" s="2"/>
      <c r="P2153" s="2"/>
      <c r="Q2153" s="2"/>
      <c r="R2153" s="2"/>
      <c r="S2153" s="2" t="s">
        <v>14528</v>
      </c>
      <c r="T2153" s="2" t="s">
        <v>14529</v>
      </c>
      <c r="U2153" s="2" t="s">
        <v>103</v>
      </c>
      <c r="V2153" s="2" t="s">
        <v>104</v>
      </c>
      <c r="W2153" s="2" t="s">
        <v>105</v>
      </c>
      <c r="X2153" s="2" t="s">
        <v>83</v>
      </c>
      <c r="Y2153" s="2">
        <v>39.700000000000003</v>
      </c>
      <c r="Z2153" s="2">
        <v>0.158</v>
      </c>
      <c r="AA2153" s="2" t="s">
        <v>156</v>
      </c>
      <c r="AB2153" s="2" t="s">
        <v>13155</v>
      </c>
      <c r="AC2153" s="2">
        <v>6.9980588330069704</v>
      </c>
      <c r="AD2153" s="2"/>
      <c r="AE2153" s="2">
        <v>0.30580412940569401</v>
      </c>
      <c r="AF2153" s="2">
        <v>33953.434420020603</v>
      </c>
      <c r="AG2153" s="2">
        <v>20251.340602952499</v>
      </c>
      <c r="AH2153" s="5">
        <v>1.67660181544083</v>
      </c>
      <c r="AI2153" s="5">
        <v>0.74554009671440102</v>
      </c>
      <c r="AJ2153" s="5" t="s">
        <v>139</v>
      </c>
      <c r="AK2153" s="2">
        <v>0.67038067487196695</v>
      </c>
      <c r="AL2153" s="2">
        <v>0.84110581294895703</v>
      </c>
      <c r="AM2153" s="2">
        <v>369.60046024446802</v>
      </c>
      <c r="AN2153" s="2">
        <v>3364.3011874090098</v>
      </c>
      <c r="AO2153" s="2">
        <v>182829.87902618301</v>
      </c>
      <c r="AP2153" s="2">
        <v>4591.3697902215299</v>
      </c>
      <c r="AQ2153" s="2">
        <v>9630.1422687937702</v>
      </c>
      <c r="AR2153" s="2">
        <v>2935.3137872718498</v>
      </c>
      <c r="AS2153" s="2">
        <v>396.48689270928702</v>
      </c>
      <c r="AT2153" s="2">
        <v>476.87006115322703</v>
      </c>
      <c r="AU2153" s="2">
        <v>1663.1310789971601</v>
      </c>
      <c r="AV2153" s="2">
        <v>50399.929346315301</v>
      </c>
      <c r="AW2153" s="2">
        <v>44818.968149320703</v>
      </c>
      <c r="AX2153" s="2">
        <v>23752.658089219101</v>
      </c>
    </row>
    <row r="2154" spans="1:50" x14ac:dyDescent="0.25">
      <c r="A2154" s="2" t="s">
        <v>14530</v>
      </c>
      <c r="B2154" s="2">
        <v>265.10593654009801</v>
      </c>
      <c r="C2154" s="2">
        <v>5.1832166666666701</v>
      </c>
      <c r="D2154" s="2" t="s">
        <v>51</v>
      </c>
      <c r="E2154" s="2" t="s">
        <v>14531</v>
      </c>
      <c r="F2154" s="2">
        <v>212380</v>
      </c>
      <c r="G2154" s="3" t="str">
        <f>HYPERLINK("https://cloud.oebiotech.com/#/lm/network/212380", "https://cloud.oebiotech.com/#/lm/network/212380")</f>
        <v>https://cloud.oebiotech.com/#/lm/network/212380</v>
      </c>
      <c r="H2154" s="2" t="s">
        <v>14532</v>
      </c>
      <c r="I2154" s="2"/>
      <c r="J2154" s="2"/>
      <c r="K2154" s="2">
        <v>85669800</v>
      </c>
      <c r="L2154" s="2"/>
      <c r="M2154" s="2"/>
      <c r="N2154" s="2"/>
      <c r="O2154" s="2"/>
      <c r="P2154" s="2"/>
      <c r="Q2154" s="2"/>
      <c r="R2154" s="2"/>
      <c r="S2154" s="2" t="s">
        <v>14533</v>
      </c>
      <c r="T2154" s="2" t="s">
        <v>14534</v>
      </c>
      <c r="U2154" s="2" t="s">
        <v>266</v>
      </c>
      <c r="V2154" s="2" t="s">
        <v>2772</v>
      </c>
      <c r="W2154" s="2" t="s">
        <v>2773</v>
      </c>
      <c r="X2154" s="2" t="s">
        <v>147</v>
      </c>
      <c r="Y2154" s="2">
        <v>42</v>
      </c>
      <c r="Z2154" s="2">
        <v>16.899999999999999</v>
      </c>
      <c r="AA2154" s="2" t="s">
        <v>218</v>
      </c>
      <c r="AB2154" s="2" t="s">
        <v>14535</v>
      </c>
      <c r="AC2154" s="2">
        <v>2.1563891178227501</v>
      </c>
      <c r="AD2154" s="2"/>
      <c r="AE2154" s="2">
        <v>0.30561322857313</v>
      </c>
      <c r="AF2154" s="2">
        <v>3852.4925370830401</v>
      </c>
      <c r="AG2154" s="2">
        <v>1861.06010745248</v>
      </c>
      <c r="AH2154" s="5">
        <v>2.0700527197676299</v>
      </c>
      <c r="AI2154" s="5">
        <v>1.04966751051628</v>
      </c>
      <c r="AJ2154" s="5" t="s">
        <v>139</v>
      </c>
      <c r="AK2154" s="2">
        <v>2.60640022942835E-2</v>
      </c>
      <c r="AL2154" s="2">
        <v>0.24798394490570699</v>
      </c>
      <c r="AM2154" s="2">
        <v>5456.6872673770504</v>
      </c>
      <c r="AN2154" s="2">
        <v>5192.4264984583397</v>
      </c>
      <c r="AO2154" s="2">
        <v>4611.5441057179796</v>
      </c>
      <c r="AP2154" s="2">
        <v>2089.66460840026</v>
      </c>
      <c r="AQ2154" s="2">
        <v>3198.9084584113998</v>
      </c>
      <c r="AR2154" s="2">
        <v>2565.7242841331999</v>
      </c>
      <c r="AS2154" s="2">
        <v>2979.8805813896902</v>
      </c>
      <c r="AT2154" s="2">
        <v>651.47289259875697</v>
      </c>
      <c r="AU2154" s="2">
        <v>2998.2240766438299</v>
      </c>
      <c r="AV2154" s="2">
        <v>845.67250759266506</v>
      </c>
      <c r="AW2154" s="2">
        <v>773.86562179806197</v>
      </c>
      <c r="AX2154" s="2">
        <v>2917.2449646918799</v>
      </c>
    </row>
    <row r="2155" spans="1:50" x14ac:dyDescent="0.25">
      <c r="A2155" s="2" t="s">
        <v>14536</v>
      </c>
      <c r="B2155" s="2">
        <v>277.14440538994398</v>
      </c>
      <c r="C2155" s="2">
        <v>10.3901166666667</v>
      </c>
      <c r="D2155" s="2" t="s">
        <v>51</v>
      </c>
      <c r="E2155" s="2" t="s">
        <v>14537</v>
      </c>
      <c r="F2155" s="2">
        <v>55530</v>
      </c>
      <c r="G2155" s="3" t="str">
        <f>HYPERLINK("https://cloud.oebiotech.com/#/lm/network/55530", "https://cloud.oebiotech.com/#/lm/network/55530")</f>
        <v>https://cloud.oebiotech.com/#/lm/network/55530</v>
      </c>
      <c r="H2155" s="2" t="s">
        <v>14538</v>
      </c>
      <c r="I2155" s="2">
        <v>87198</v>
      </c>
      <c r="J2155" s="2"/>
      <c r="K2155" s="2">
        <v>71361317</v>
      </c>
      <c r="L2155" s="2"/>
      <c r="M2155" s="2"/>
      <c r="N2155" s="2"/>
      <c r="O2155" s="2"/>
      <c r="P2155" s="2"/>
      <c r="Q2155" s="2"/>
      <c r="R2155" s="2" t="s">
        <v>14539</v>
      </c>
      <c r="S2155" s="2" t="s">
        <v>14540</v>
      </c>
      <c r="T2155" s="2" t="s">
        <v>14541</v>
      </c>
      <c r="U2155" s="2" t="s">
        <v>266</v>
      </c>
      <c r="V2155" s="2" t="s">
        <v>4740</v>
      </c>
      <c r="W2155" s="2" t="s">
        <v>240</v>
      </c>
      <c r="X2155" s="2" t="s">
        <v>69</v>
      </c>
      <c r="Y2155" s="2">
        <v>61.8</v>
      </c>
      <c r="Z2155" s="2">
        <v>49.9</v>
      </c>
      <c r="AA2155" s="2" t="s">
        <v>218</v>
      </c>
      <c r="AB2155" s="2" t="s">
        <v>14542</v>
      </c>
      <c r="AC2155" s="2">
        <v>-0.54862196748519598</v>
      </c>
      <c r="AD2155" s="2"/>
      <c r="AE2155" s="2">
        <v>0.30557437155469402</v>
      </c>
      <c r="AF2155" s="2">
        <v>57638.233037926897</v>
      </c>
      <c r="AG2155" s="2">
        <v>66253.039716469299</v>
      </c>
      <c r="AH2155" s="4">
        <v>0.86997114826112898</v>
      </c>
      <c r="AI2155" s="4">
        <v>-0.20096053869702701</v>
      </c>
      <c r="AJ2155" s="4" t="s">
        <v>62</v>
      </c>
      <c r="AK2155" s="2">
        <v>0.537464736472552</v>
      </c>
      <c r="AL2155" s="2">
        <v>0.764111144740791</v>
      </c>
      <c r="AM2155" s="2">
        <v>76404.242702787698</v>
      </c>
      <c r="AN2155" s="2">
        <v>48194.951620588603</v>
      </c>
      <c r="AO2155" s="2">
        <v>58307.744296968798</v>
      </c>
      <c r="AP2155" s="2">
        <v>77486.427082253795</v>
      </c>
      <c r="AQ2155" s="2">
        <v>48004.099198465403</v>
      </c>
      <c r="AR2155" s="2">
        <v>37431.933326497201</v>
      </c>
      <c r="AS2155" s="2">
        <v>36696.889417383703</v>
      </c>
      <c r="AT2155" s="2">
        <v>56129.920926922903</v>
      </c>
      <c r="AU2155" s="2">
        <v>71547.168085973302</v>
      </c>
      <c r="AV2155" s="2">
        <v>114963.227384133</v>
      </c>
      <c r="AW2155" s="2">
        <v>77037.221446282201</v>
      </c>
      <c r="AX2155" s="2">
        <v>41143.811038120402</v>
      </c>
    </row>
    <row r="2156" spans="1:50" x14ac:dyDescent="0.25">
      <c r="A2156" s="2" t="s">
        <v>14543</v>
      </c>
      <c r="B2156" s="2">
        <v>379.24907721410602</v>
      </c>
      <c r="C2156" s="2">
        <v>10.2258</v>
      </c>
      <c r="D2156" s="2" t="s">
        <v>51</v>
      </c>
      <c r="E2156" s="2" t="s">
        <v>14544</v>
      </c>
      <c r="F2156" s="2">
        <v>45008</v>
      </c>
      <c r="G2156" s="3" t="str">
        <f>HYPERLINK("https://cloud.oebiotech.com/#/lm/network/45008", "https://cloud.oebiotech.com/#/lm/network/45008")</f>
        <v>https://cloud.oebiotech.com/#/lm/network/45008</v>
      </c>
      <c r="H2156" s="2" t="s">
        <v>14545</v>
      </c>
      <c r="I2156" s="2">
        <v>41885</v>
      </c>
      <c r="J2156" s="2" t="s">
        <v>14546</v>
      </c>
      <c r="K2156" s="2">
        <v>101771</v>
      </c>
      <c r="L2156" s="2" t="s">
        <v>14547</v>
      </c>
      <c r="M2156" s="2" t="s">
        <v>2681</v>
      </c>
      <c r="N2156" s="2" t="s">
        <v>2682</v>
      </c>
      <c r="O2156" s="2">
        <v>805752</v>
      </c>
      <c r="P2156" s="2"/>
      <c r="Q2156" s="2"/>
      <c r="R2156" s="2" t="s">
        <v>14548</v>
      </c>
      <c r="S2156" s="2" t="s">
        <v>14549</v>
      </c>
      <c r="T2156" s="2" t="s">
        <v>14550</v>
      </c>
      <c r="U2156" s="2" t="s">
        <v>56</v>
      </c>
      <c r="V2156" s="2" t="s">
        <v>283</v>
      </c>
      <c r="W2156" s="2" t="s">
        <v>492</v>
      </c>
      <c r="X2156" s="2" t="s">
        <v>147</v>
      </c>
      <c r="Y2156" s="2">
        <v>38.6</v>
      </c>
      <c r="Z2156" s="2">
        <v>0</v>
      </c>
      <c r="AA2156" s="2" t="s">
        <v>218</v>
      </c>
      <c r="AB2156" s="2" t="s">
        <v>14551</v>
      </c>
      <c r="AC2156" s="2">
        <v>0.23753135939261599</v>
      </c>
      <c r="AD2156" s="2"/>
      <c r="AE2156" s="2">
        <v>0.30549648281950698</v>
      </c>
      <c r="AF2156" s="2">
        <v>10538.6901342</v>
      </c>
      <c r="AG2156" s="2">
        <v>6767.2830231037697</v>
      </c>
      <c r="AH2156" s="5">
        <v>1.5573000417184499</v>
      </c>
      <c r="AI2156" s="5">
        <v>0.63904693221183195</v>
      </c>
      <c r="AJ2156" s="5" t="s">
        <v>139</v>
      </c>
      <c r="AK2156" s="2">
        <v>7.6707580504177295E-2</v>
      </c>
      <c r="AL2156" s="2">
        <v>0.36102259885854299</v>
      </c>
      <c r="AM2156" s="2">
        <v>10450.582469422199</v>
      </c>
      <c r="AN2156" s="2">
        <v>9989.9555334616707</v>
      </c>
      <c r="AO2156" s="2">
        <v>6454.2037939822703</v>
      </c>
      <c r="AP2156" s="2">
        <v>7704.8273220806996</v>
      </c>
      <c r="AQ2156" s="2">
        <v>10115.835914401599</v>
      </c>
      <c r="AR2156" s="2">
        <v>18516.735771851701</v>
      </c>
      <c r="AS2156" s="2">
        <v>6264.7919049837501</v>
      </c>
      <c r="AT2156" s="2">
        <v>3259.5852842948402</v>
      </c>
      <c r="AU2156" s="2">
        <v>8149.9074339755798</v>
      </c>
      <c r="AV2156" s="2">
        <v>7844.7689319084202</v>
      </c>
      <c r="AW2156" s="2">
        <v>8936.6840873896599</v>
      </c>
      <c r="AX2156" s="2">
        <v>6147.96049607036</v>
      </c>
    </row>
    <row r="2157" spans="1:50" x14ac:dyDescent="0.25">
      <c r="A2157" s="2" t="s">
        <v>14552</v>
      </c>
      <c r="B2157" s="2">
        <v>374.06434040070798</v>
      </c>
      <c r="C2157" s="2">
        <v>2.3623333333333298</v>
      </c>
      <c r="D2157" s="2" t="s">
        <v>51</v>
      </c>
      <c r="E2157" s="2" t="s">
        <v>14553</v>
      </c>
      <c r="F2157" s="2">
        <v>33341</v>
      </c>
      <c r="G2157" s="3" t="str">
        <f>HYPERLINK("https://cloud.oebiotech.com/#/lm/network/33341", "https://cloud.oebiotech.com/#/lm/network/33341")</f>
        <v>https://cloud.oebiotech.com/#/lm/network/33341</v>
      </c>
      <c r="H2157" s="2"/>
      <c r="I2157" s="2">
        <v>51668</v>
      </c>
      <c r="J2157" s="2" t="s">
        <v>14554</v>
      </c>
      <c r="K2157" s="2">
        <v>44260028</v>
      </c>
      <c r="L2157" s="2"/>
      <c r="M2157" s="2"/>
      <c r="N2157" s="2"/>
      <c r="O2157" s="2"/>
      <c r="P2157" s="2"/>
      <c r="Q2157" s="2"/>
      <c r="R2157" s="2"/>
      <c r="S2157" s="2" t="s">
        <v>14555</v>
      </c>
      <c r="T2157" s="2" t="s">
        <v>14556</v>
      </c>
      <c r="U2157" s="2" t="s">
        <v>540</v>
      </c>
      <c r="V2157" s="2" t="s">
        <v>541</v>
      </c>
      <c r="W2157" s="2" t="s">
        <v>3377</v>
      </c>
      <c r="X2157" s="2" t="s">
        <v>147</v>
      </c>
      <c r="Y2157" s="2">
        <v>41.6</v>
      </c>
      <c r="Z2157" s="2">
        <v>22.9</v>
      </c>
      <c r="AA2157" s="2" t="s">
        <v>122</v>
      </c>
      <c r="AB2157" s="2" t="s">
        <v>14557</v>
      </c>
      <c r="AC2157" s="2">
        <v>1.49246121820764</v>
      </c>
      <c r="AD2157" s="2"/>
      <c r="AE2157" s="2">
        <v>0.30536284285703502</v>
      </c>
      <c r="AF2157" s="2">
        <v>41987.667852938102</v>
      </c>
      <c r="AG2157" s="2">
        <v>47026.679090106802</v>
      </c>
      <c r="AH2157" s="4">
        <v>0.89284781884101305</v>
      </c>
      <c r="AI2157" s="4">
        <v>-0.163513798278797</v>
      </c>
      <c r="AJ2157" s="4" t="s">
        <v>62</v>
      </c>
      <c r="AK2157" s="2">
        <v>0.21966208140679999</v>
      </c>
      <c r="AL2157" s="2">
        <v>0.54520642864221103</v>
      </c>
      <c r="AM2157" s="2">
        <v>37759.278820638101</v>
      </c>
      <c r="AN2157" s="2">
        <v>47285.4900590998</v>
      </c>
      <c r="AO2157" s="2">
        <v>40548.492307513901</v>
      </c>
      <c r="AP2157" s="2">
        <v>46990.307687967499</v>
      </c>
      <c r="AQ2157" s="2">
        <v>42512.5300188732</v>
      </c>
      <c r="AR2157" s="2">
        <v>36829.9082235362</v>
      </c>
      <c r="AS2157" s="2">
        <v>48595.505466671697</v>
      </c>
      <c r="AT2157" s="2">
        <v>58728.542383132597</v>
      </c>
      <c r="AU2157" s="2">
        <v>43153.215460835498</v>
      </c>
      <c r="AV2157" s="2">
        <v>33742.184293623199</v>
      </c>
      <c r="AW2157" s="2">
        <v>47254.115371589498</v>
      </c>
      <c r="AX2157" s="2">
        <v>50686.511564788198</v>
      </c>
    </row>
    <row r="2158" spans="1:50" x14ac:dyDescent="0.25">
      <c r="A2158" s="2" t="s">
        <v>14558</v>
      </c>
      <c r="B2158" s="2">
        <v>479.28389151330299</v>
      </c>
      <c r="C2158" s="2">
        <v>13.159000000000001</v>
      </c>
      <c r="D2158" s="2" t="s">
        <v>51</v>
      </c>
      <c r="E2158" s="2" t="s">
        <v>14559</v>
      </c>
      <c r="F2158" s="2">
        <v>45226</v>
      </c>
      <c r="G2158" s="3" t="str">
        <f>HYPERLINK("https://cloud.oebiotech.com/#/lm/network/45226", "https://cloud.oebiotech.com/#/lm/network/45226")</f>
        <v>https://cloud.oebiotech.com/#/lm/network/45226</v>
      </c>
      <c r="H2158" s="2"/>
      <c r="I2158" s="2"/>
      <c r="J2158" s="2" t="s">
        <v>14560</v>
      </c>
      <c r="K2158" s="2">
        <v>9547309</v>
      </c>
      <c r="L2158" s="2"/>
      <c r="M2158" s="2"/>
      <c r="N2158" s="2"/>
      <c r="O2158" s="2"/>
      <c r="P2158" s="2"/>
      <c r="Q2158" s="2"/>
      <c r="R2158" s="2"/>
      <c r="S2158" s="2" t="s">
        <v>14561</v>
      </c>
      <c r="T2158" s="2" t="s">
        <v>14562</v>
      </c>
      <c r="U2158" s="2" t="s">
        <v>56</v>
      </c>
      <c r="V2158" s="2" t="s">
        <v>283</v>
      </c>
      <c r="W2158" s="2" t="s">
        <v>420</v>
      </c>
      <c r="X2158" s="2" t="s">
        <v>147</v>
      </c>
      <c r="Y2158" s="2">
        <v>36.5</v>
      </c>
      <c r="Z2158" s="2">
        <v>0</v>
      </c>
      <c r="AA2158" s="2" t="s">
        <v>218</v>
      </c>
      <c r="AB2158" s="2" t="s">
        <v>8606</v>
      </c>
      <c r="AC2158" s="2">
        <v>0.51219232493980105</v>
      </c>
      <c r="AD2158" s="2"/>
      <c r="AE2158" s="2">
        <v>0.30531031750441701</v>
      </c>
      <c r="AF2158" s="2">
        <v>19506.7535581105</v>
      </c>
      <c r="AG2158" s="2">
        <v>25419.118440682101</v>
      </c>
      <c r="AH2158" s="4">
        <v>0.76740480216225304</v>
      </c>
      <c r="AI2158" s="4">
        <v>-0.38194030201599299</v>
      </c>
      <c r="AJ2158" s="4" t="s">
        <v>62</v>
      </c>
      <c r="AK2158" s="2">
        <v>0.49600081259441098</v>
      </c>
      <c r="AL2158" s="2">
        <v>0.73518516839452297</v>
      </c>
      <c r="AM2158" s="2">
        <v>10047.1648448498</v>
      </c>
      <c r="AN2158" s="2">
        <v>10988.9985502533</v>
      </c>
      <c r="AO2158" s="2">
        <v>36775.463509949899</v>
      </c>
      <c r="AP2158" s="2">
        <v>16239.1864027091</v>
      </c>
      <c r="AQ2158" s="2">
        <v>35479.361472123397</v>
      </c>
      <c r="AR2158" s="2">
        <v>7510.3465687775497</v>
      </c>
      <c r="AS2158" s="2">
        <v>54218.442810410401</v>
      </c>
      <c r="AT2158" s="2">
        <v>32162.024154110899</v>
      </c>
      <c r="AU2158" s="2">
        <v>12947.1704735561</v>
      </c>
      <c r="AV2158" s="2">
        <v>13931.660879544201</v>
      </c>
      <c r="AW2158" s="2">
        <v>20485.066675327202</v>
      </c>
      <c r="AX2158" s="2">
        <v>18770.3456511437</v>
      </c>
    </row>
    <row r="2159" spans="1:50" x14ac:dyDescent="0.25">
      <c r="A2159" s="2" t="s">
        <v>14563</v>
      </c>
      <c r="B2159" s="2">
        <v>501.29574703892501</v>
      </c>
      <c r="C2159" s="2">
        <v>8.5796666666666699</v>
      </c>
      <c r="D2159" s="2" t="s">
        <v>51</v>
      </c>
      <c r="E2159" s="2" t="s">
        <v>14564</v>
      </c>
      <c r="F2159" s="2">
        <v>22468</v>
      </c>
      <c r="G2159" s="3" t="str">
        <f>HYPERLINK("https://cloud.oebiotech.com/#/lm/network/22468", "https://cloud.oebiotech.com/#/lm/network/22468")</f>
        <v>https://cloud.oebiotech.com/#/lm/network/22468</v>
      </c>
      <c r="H2159" s="2"/>
      <c r="I2159" s="2"/>
      <c r="J2159" s="2" t="s">
        <v>14565</v>
      </c>
      <c r="K2159" s="2">
        <v>137323941</v>
      </c>
      <c r="L2159" s="2"/>
      <c r="M2159" s="2"/>
      <c r="N2159" s="2"/>
      <c r="O2159" s="2"/>
      <c r="P2159" s="2"/>
      <c r="Q2159" s="2"/>
      <c r="R2159" s="2"/>
      <c r="S2159" s="2" t="s">
        <v>14566</v>
      </c>
      <c r="T2159" s="2" t="s">
        <v>14567</v>
      </c>
      <c r="U2159" s="2" t="s">
        <v>56</v>
      </c>
      <c r="V2159" s="2" t="s">
        <v>57</v>
      </c>
      <c r="W2159" s="2" t="s">
        <v>82</v>
      </c>
      <c r="X2159" s="2" t="s">
        <v>147</v>
      </c>
      <c r="Y2159" s="2">
        <v>37.799999999999997</v>
      </c>
      <c r="Z2159" s="2">
        <v>0</v>
      </c>
      <c r="AA2159" s="2" t="s">
        <v>512</v>
      </c>
      <c r="AB2159" s="2" t="s">
        <v>14568</v>
      </c>
      <c r="AC2159" s="2">
        <v>4.5585242481366004</v>
      </c>
      <c r="AD2159" s="2"/>
      <c r="AE2159" s="2">
        <v>0.30523909517299103</v>
      </c>
      <c r="AF2159" s="2">
        <v>14919.5725091242</v>
      </c>
      <c r="AG2159" s="2">
        <v>17440.131721490601</v>
      </c>
      <c r="AH2159" s="4">
        <v>0.85547361381104303</v>
      </c>
      <c r="AI2159" s="4">
        <v>-0.225204737906189</v>
      </c>
      <c r="AJ2159" s="4" t="s">
        <v>62</v>
      </c>
      <c r="AK2159" s="2">
        <v>0.12189067249115</v>
      </c>
      <c r="AL2159" s="2">
        <v>0.43938368098358099</v>
      </c>
      <c r="AM2159" s="2">
        <v>13656.4068812487</v>
      </c>
      <c r="AN2159" s="2">
        <v>13714.502614863801</v>
      </c>
      <c r="AO2159" s="2">
        <v>17441.807046857299</v>
      </c>
      <c r="AP2159" s="2">
        <v>19318.830883255399</v>
      </c>
      <c r="AQ2159" s="2">
        <v>12191.9534704896</v>
      </c>
      <c r="AR2159" s="2">
        <v>13193.934158030401</v>
      </c>
      <c r="AS2159" s="2">
        <v>18164.351883063198</v>
      </c>
      <c r="AT2159" s="2">
        <v>17473.583445794899</v>
      </c>
      <c r="AU2159" s="2">
        <v>13060.143999120601</v>
      </c>
      <c r="AV2159" s="2">
        <v>17419.6485145681</v>
      </c>
      <c r="AW2159" s="2">
        <v>18487.086478280198</v>
      </c>
      <c r="AX2159" s="2">
        <v>20035.976008116799</v>
      </c>
    </row>
    <row r="2160" spans="1:50" x14ac:dyDescent="0.25">
      <c r="A2160" s="2" t="s">
        <v>14569</v>
      </c>
      <c r="B2160" s="2">
        <v>422.29137305897899</v>
      </c>
      <c r="C2160" s="2">
        <v>8.5398833333333304</v>
      </c>
      <c r="D2160" s="2" t="s">
        <v>51</v>
      </c>
      <c r="E2160" s="2" t="s">
        <v>14570</v>
      </c>
      <c r="F2160" s="2">
        <v>46193</v>
      </c>
      <c r="G2160" s="3" t="str">
        <f>HYPERLINK("https://cloud.oebiotech.com/#/lm/network/46193", "https://cloud.oebiotech.com/#/lm/network/46193")</f>
        <v>https://cloud.oebiotech.com/#/lm/network/46193</v>
      </c>
      <c r="H2160" s="2"/>
      <c r="I2160" s="2">
        <v>84645</v>
      </c>
      <c r="J2160" s="2" t="s">
        <v>14571</v>
      </c>
      <c r="K2160" s="2">
        <v>5284083</v>
      </c>
      <c r="L2160" s="2"/>
      <c r="M2160" s="2"/>
      <c r="N2160" s="2"/>
      <c r="O2160" s="2"/>
      <c r="P2160" s="2"/>
      <c r="Q2160" s="2"/>
      <c r="R2160" s="2"/>
      <c r="S2160" s="2" t="s">
        <v>14572</v>
      </c>
      <c r="T2160" s="2" t="s">
        <v>14573</v>
      </c>
      <c r="U2160" s="2" t="s">
        <v>56</v>
      </c>
      <c r="V2160" s="2" t="s">
        <v>283</v>
      </c>
      <c r="W2160" s="2" t="s">
        <v>2042</v>
      </c>
      <c r="X2160" s="2" t="s">
        <v>83</v>
      </c>
      <c r="Y2160" s="2">
        <v>56</v>
      </c>
      <c r="Z2160" s="2">
        <v>0</v>
      </c>
      <c r="AA2160" s="2" t="s">
        <v>512</v>
      </c>
      <c r="AB2160" s="2" t="s">
        <v>9082</v>
      </c>
      <c r="AC2160" s="2">
        <v>3.14967692435255</v>
      </c>
      <c r="AD2160" s="2"/>
      <c r="AE2160" s="2">
        <v>0.30505463390168203</v>
      </c>
      <c r="AF2160" s="2">
        <v>6313.1601904196104</v>
      </c>
      <c r="AG2160" s="2">
        <v>3980.8756826324402</v>
      </c>
      <c r="AH2160" s="5">
        <v>1.5858722285557301</v>
      </c>
      <c r="AI2160" s="5">
        <v>0.66527653985990498</v>
      </c>
      <c r="AJ2160" s="5" t="s">
        <v>139</v>
      </c>
      <c r="AK2160" s="2">
        <v>9.8091158665251796E-2</v>
      </c>
      <c r="AL2160" s="2">
        <v>0.39942881275418401</v>
      </c>
      <c r="AM2160" s="2">
        <v>12289.8521349846</v>
      </c>
      <c r="AN2160" s="2">
        <v>4805.7024879125702</v>
      </c>
      <c r="AO2160" s="2">
        <v>5581.9851215690296</v>
      </c>
      <c r="AP2160" s="2">
        <v>6405.6671300563503</v>
      </c>
      <c r="AQ2160" s="2">
        <v>3738.3947363798202</v>
      </c>
      <c r="AR2160" s="2">
        <v>5057.3595316152996</v>
      </c>
      <c r="AS2160" s="2">
        <v>4885.4881712391698</v>
      </c>
      <c r="AT2160" s="2">
        <v>4298.6409066137303</v>
      </c>
      <c r="AU2160" s="2">
        <v>3452.67606042527</v>
      </c>
      <c r="AV2160" s="2">
        <v>2995.1173162314799</v>
      </c>
      <c r="AW2160" s="2">
        <v>4326.4913932852296</v>
      </c>
      <c r="AX2160" s="2">
        <v>3926.8402479997399</v>
      </c>
    </row>
    <row r="2161" spans="1:50" x14ac:dyDescent="0.25">
      <c r="A2161" s="2" t="s">
        <v>14574</v>
      </c>
      <c r="B2161" s="2">
        <v>431.24214537384699</v>
      </c>
      <c r="C2161" s="2">
        <v>9.1141833333333295</v>
      </c>
      <c r="D2161" s="2" t="s">
        <v>51</v>
      </c>
      <c r="E2161" s="2" t="s">
        <v>14575</v>
      </c>
      <c r="F2161" s="2">
        <v>53434</v>
      </c>
      <c r="G2161" s="3" t="str">
        <f>HYPERLINK("https://cloud.oebiotech.com/#/lm/network/53434", "https://cloud.oebiotech.com/#/lm/network/53434")</f>
        <v>https://cloud.oebiotech.com/#/lm/network/53434</v>
      </c>
      <c r="H2161" s="2" t="s">
        <v>14576</v>
      </c>
      <c r="I2161" s="2">
        <v>1389</v>
      </c>
      <c r="J2161" s="2"/>
      <c r="K2161" s="2">
        <v>5281004</v>
      </c>
      <c r="L2161" s="2" t="s">
        <v>14577</v>
      </c>
      <c r="M2161" s="2"/>
      <c r="N2161" s="2"/>
      <c r="O2161" s="2">
        <v>3207</v>
      </c>
      <c r="P2161" s="2"/>
      <c r="Q2161" s="2"/>
      <c r="R2161" s="2" t="s">
        <v>14578</v>
      </c>
      <c r="S2161" s="2" t="s">
        <v>14579</v>
      </c>
      <c r="T2161" s="2" t="s">
        <v>14580</v>
      </c>
      <c r="U2161" s="2" t="s">
        <v>56</v>
      </c>
      <c r="V2161" s="2" t="s">
        <v>283</v>
      </c>
      <c r="W2161" s="2" t="s">
        <v>492</v>
      </c>
      <c r="X2161" s="2" t="s">
        <v>147</v>
      </c>
      <c r="Y2161" s="2">
        <v>38.9</v>
      </c>
      <c r="Z2161" s="2">
        <v>7.47</v>
      </c>
      <c r="AA2161" s="2" t="s">
        <v>259</v>
      </c>
      <c r="AB2161" s="2" t="s">
        <v>14581</v>
      </c>
      <c r="AC2161" s="2">
        <v>-1.55697480189425</v>
      </c>
      <c r="AD2161" s="2"/>
      <c r="AE2161" s="2">
        <v>0.30493322373137299</v>
      </c>
      <c r="AF2161" s="2">
        <v>9099.1494554308192</v>
      </c>
      <c r="AG2161" s="2">
        <v>5823.8420592314496</v>
      </c>
      <c r="AH2161" s="5">
        <v>1.5623963292424199</v>
      </c>
      <c r="AI2161" s="5">
        <v>0.64376046481482496</v>
      </c>
      <c r="AJ2161" s="5" t="s">
        <v>139</v>
      </c>
      <c r="AK2161" s="2">
        <v>0.212560217215056</v>
      </c>
      <c r="AL2161" s="2">
        <v>0.53706865589344099</v>
      </c>
      <c r="AM2161" s="2">
        <v>18349.670314745701</v>
      </c>
      <c r="AN2161" s="2">
        <v>5525.2624078661902</v>
      </c>
      <c r="AO2161" s="2">
        <v>6407.0444479940097</v>
      </c>
      <c r="AP2161" s="2">
        <v>13759.918322239701</v>
      </c>
      <c r="AQ2161" s="2">
        <v>2213.41167349547</v>
      </c>
      <c r="AR2161" s="2">
        <v>8339.5895662438506</v>
      </c>
      <c r="AS2161" s="2">
        <v>6344.4985246883498</v>
      </c>
      <c r="AT2161" s="2">
        <v>4808.64651499914</v>
      </c>
      <c r="AU2161" s="2">
        <v>7574.4494877461302</v>
      </c>
      <c r="AV2161" s="2">
        <v>5868.9727421976604</v>
      </c>
      <c r="AW2161" s="2">
        <v>4469.1588647366498</v>
      </c>
      <c r="AX2161" s="2">
        <v>5877.3262210207704</v>
      </c>
    </row>
    <row r="2162" spans="1:50" x14ac:dyDescent="0.25">
      <c r="A2162" s="2" t="s">
        <v>14582</v>
      </c>
      <c r="B2162" s="2">
        <v>303.232618685852</v>
      </c>
      <c r="C2162" s="2">
        <v>13.5068</v>
      </c>
      <c r="D2162" s="2" t="s">
        <v>51</v>
      </c>
      <c r="E2162" s="2" t="s">
        <v>14583</v>
      </c>
      <c r="F2162" s="2">
        <v>35948</v>
      </c>
      <c r="G2162" s="3" t="str">
        <f>HYPERLINK("https://cloud.oebiotech.com/#/lm/network/35948", "https://cloud.oebiotech.com/#/lm/network/35948")</f>
        <v>https://cloud.oebiotech.com/#/lm/network/35948</v>
      </c>
      <c r="H2162" s="2" t="s">
        <v>14584</v>
      </c>
      <c r="I2162" s="2">
        <v>24100</v>
      </c>
      <c r="J2162" s="2" t="s">
        <v>14585</v>
      </c>
      <c r="K2162" s="2">
        <v>442048</v>
      </c>
      <c r="L2162" s="2" t="s">
        <v>14586</v>
      </c>
      <c r="M2162" s="2"/>
      <c r="N2162" s="2"/>
      <c r="O2162" s="2">
        <v>6039</v>
      </c>
      <c r="P2162" s="2"/>
      <c r="Q2162" s="2"/>
      <c r="R2162" s="2" t="s">
        <v>14587</v>
      </c>
      <c r="S2162" s="2" t="s">
        <v>14588</v>
      </c>
      <c r="T2162" s="2" t="s">
        <v>14589</v>
      </c>
      <c r="U2162" s="2" t="s">
        <v>56</v>
      </c>
      <c r="V2162" s="2" t="s">
        <v>177</v>
      </c>
      <c r="W2162" s="2" t="s">
        <v>178</v>
      </c>
      <c r="X2162" s="2" t="s">
        <v>147</v>
      </c>
      <c r="Y2162" s="2">
        <v>37.6</v>
      </c>
      <c r="Z2162" s="2">
        <v>0</v>
      </c>
      <c r="AA2162" s="2" t="s">
        <v>259</v>
      </c>
      <c r="AB2162" s="2" t="s">
        <v>835</v>
      </c>
      <c r="AC2162" s="2">
        <v>2.52147800710192</v>
      </c>
      <c r="AD2162" s="2"/>
      <c r="AE2162" s="2">
        <v>0.30482324318864601</v>
      </c>
      <c r="AF2162" s="2">
        <v>3440.72003353539</v>
      </c>
      <c r="AG2162" s="2">
        <v>1340.1316072666</v>
      </c>
      <c r="AH2162" s="5">
        <v>2.5674493571219101</v>
      </c>
      <c r="AI2162" s="5">
        <v>1.3603358196984301</v>
      </c>
      <c r="AJ2162" s="5" t="s">
        <v>139</v>
      </c>
      <c r="AK2162" s="2">
        <v>1.5587996881095E-3</v>
      </c>
      <c r="AL2162" s="2">
        <v>9.8160839002130199E-2</v>
      </c>
      <c r="AM2162" s="2">
        <v>2132.35617676534</v>
      </c>
      <c r="AN2162" s="2">
        <v>4882.3966272345797</v>
      </c>
      <c r="AO2162" s="2">
        <v>3613.67287353137</v>
      </c>
      <c r="AP2162" s="2">
        <v>1920.0781235689601</v>
      </c>
      <c r="AQ2162" s="2">
        <v>4317.2572447291604</v>
      </c>
      <c r="AR2162" s="2">
        <v>3778.5591553829099</v>
      </c>
      <c r="AS2162" s="2">
        <v>1518.8230596925</v>
      </c>
      <c r="AT2162" s="2">
        <v>1251.0478113791701</v>
      </c>
      <c r="AU2162" s="2">
        <v>1256.04547903086</v>
      </c>
      <c r="AV2162" s="2">
        <v>1089.0029410468701</v>
      </c>
      <c r="AW2162" s="2">
        <v>1479.0517996108999</v>
      </c>
      <c r="AX2162" s="2">
        <v>1446.8185528393001</v>
      </c>
    </row>
    <row r="2163" spans="1:50" x14ac:dyDescent="0.25">
      <c r="A2163" s="2" t="s">
        <v>14590</v>
      </c>
      <c r="B2163" s="2">
        <v>431.29916705583997</v>
      </c>
      <c r="C2163" s="2">
        <v>9.9291999999999998</v>
      </c>
      <c r="D2163" s="2" t="s">
        <v>51</v>
      </c>
      <c r="E2163" s="2" t="s">
        <v>14591</v>
      </c>
      <c r="F2163" s="2">
        <v>250063</v>
      </c>
      <c r="G2163" s="3" t="str">
        <f>HYPERLINK("https://cloud.oebiotech.com/#/lm/network/250063", "https://cloud.oebiotech.com/#/lm/network/250063")</f>
        <v>https://cloud.oebiotech.com/#/lm/network/250063</v>
      </c>
      <c r="H2163" s="2" t="s">
        <v>14592</v>
      </c>
      <c r="I2163" s="2"/>
      <c r="J2163" s="2"/>
      <c r="K2163" s="2"/>
      <c r="L2163" s="2"/>
      <c r="M2163" s="2"/>
      <c r="N2163" s="2"/>
      <c r="O2163" s="2"/>
      <c r="P2163" s="2"/>
      <c r="Q2163" s="2"/>
      <c r="R2163" s="2"/>
      <c r="S2163" s="2" t="s">
        <v>14593</v>
      </c>
      <c r="T2163" s="2" t="s">
        <v>14594</v>
      </c>
      <c r="U2163" s="2" t="s">
        <v>56</v>
      </c>
      <c r="V2163" s="2" t="s">
        <v>3215</v>
      </c>
      <c r="W2163" s="2" t="s">
        <v>3216</v>
      </c>
      <c r="X2163" s="2" t="s">
        <v>147</v>
      </c>
      <c r="Y2163" s="2">
        <v>40.9</v>
      </c>
      <c r="Z2163" s="2">
        <v>11.2</v>
      </c>
      <c r="AA2163" s="2" t="s">
        <v>259</v>
      </c>
      <c r="AB2163" s="2" t="s">
        <v>14595</v>
      </c>
      <c r="AC2163" s="2">
        <v>-2.7029486310778701</v>
      </c>
      <c r="AD2163" s="2"/>
      <c r="AE2163" s="2">
        <v>0.304539237724264</v>
      </c>
      <c r="AF2163" s="2">
        <v>30959.5061107326</v>
      </c>
      <c r="AG2163" s="2">
        <v>27039.852741615501</v>
      </c>
      <c r="AH2163" s="5">
        <v>1.1449583844472799</v>
      </c>
      <c r="AI2163" s="5">
        <v>0.19529516195312099</v>
      </c>
      <c r="AJ2163" s="5" t="s">
        <v>139</v>
      </c>
      <c r="AK2163" s="2">
        <v>0.22424567923786601</v>
      </c>
      <c r="AL2163" s="2">
        <v>0.550416338716189</v>
      </c>
      <c r="AM2163" s="2">
        <v>30888.976310827398</v>
      </c>
      <c r="AN2163" s="2">
        <v>24261.304339931201</v>
      </c>
      <c r="AO2163" s="2">
        <v>27850.652841853</v>
      </c>
      <c r="AP2163" s="2">
        <v>35565.239421656297</v>
      </c>
      <c r="AQ2163" s="2">
        <v>34710.853178105899</v>
      </c>
      <c r="AR2163" s="2">
        <v>32480.010572021802</v>
      </c>
      <c r="AS2163" s="2">
        <v>18421.157903148</v>
      </c>
      <c r="AT2163" s="2">
        <v>33812.291288507899</v>
      </c>
      <c r="AU2163" s="2">
        <v>32657.306352603198</v>
      </c>
      <c r="AV2163" s="2">
        <v>23408.588241105699</v>
      </c>
      <c r="AW2163" s="2">
        <v>29934.960453253199</v>
      </c>
      <c r="AX2163" s="2">
        <v>24004.812211075201</v>
      </c>
    </row>
    <row r="2164" spans="1:50" x14ac:dyDescent="0.25">
      <c r="A2164" s="2" t="s">
        <v>14596</v>
      </c>
      <c r="B2164" s="2">
        <v>395.24424701413</v>
      </c>
      <c r="C2164" s="2">
        <v>7.0432499999999996</v>
      </c>
      <c r="D2164" s="2" t="s">
        <v>51</v>
      </c>
      <c r="E2164" s="2" t="s">
        <v>14597</v>
      </c>
      <c r="F2164" s="2">
        <v>64985</v>
      </c>
      <c r="G2164" s="3" t="str">
        <f>HYPERLINK("https://cloud.oebiotech.com/#/lm/network/64985", "https://cloud.oebiotech.com/#/lm/network/64985")</f>
        <v>https://cloud.oebiotech.com/#/lm/network/64985</v>
      </c>
      <c r="H2164" s="2" t="s">
        <v>14598</v>
      </c>
      <c r="I2164" s="2">
        <v>70840</v>
      </c>
      <c r="J2164" s="2"/>
      <c r="K2164" s="2">
        <v>150786</v>
      </c>
      <c r="L2164" s="2" t="s">
        <v>14599</v>
      </c>
      <c r="M2164" s="2"/>
      <c r="N2164" s="2"/>
      <c r="O2164" s="2">
        <v>79870</v>
      </c>
      <c r="P2164" s="2"/>
      <c r="Q2164" s="2"/>
      <c r="R2164" s="2" t="s">
        <v>14600</v>
      </c>
      <c r="S2164" s="2" t="s">
        <v>14601</v>
      </c>
      <c r="T2164" s="2" t="s">
        <v>14602</v>
      </c>
      <c r="U2164" s="2" t="s">
        <v>56</v>
      </c>
      <c r="V2164" s="2" t="s">
        <v>283</v>
      </c>
      <c r="W2164" s="2" t="s">
        <v>3686</v>
      </c>
      <c r="X2164" s="2" t="s">
        <v>83</v>
      </c>
      <c r="Y2164" s="2">
        <v>48.1</v>
      </c>
      <c r="Z2164" s="2">
        <v>0</v>
      </c>
      <c r="AA2164" s="2" t="s">
        <v>218</v>
      </c>
      <c r="AB2164" s="2" t="s">
        <v>6539</v>
      </c>
      <c r="AC2164" s="2">
        <v>0.95525941054024599</v>
      </c>
      <c r="AD2164" s="2"/>
      <c r="AE2164" s="2">
        <v>0.30424180540764301</v>
      </c>
      <c r="AF2164" s="2">
        <v>5608.8726885270698</v>
      </c>
      <c r="AG2164" s="2">
        <v>3226.3661713933002</v>
      </c>
      <c r="AH2164" s="5">
        <v>1.73844888973185</v>
      </c>
      <c r="AI2164" s="5">
        <v>0.79780065256205202</v>
      </c>
      <c r="AJ2164" s="5" t="s">
        <v>139</v>
      </c>
      <c r="AK2164" s="2">
        <v>4.8358902509170097E-2</v>
      </c>
      <c r="AL2164" s="2">
        <v>0.30691247078395001</v>
      </c>
      <c r="AM2164" s="2">
        <v>6504.4277036983003</v>
      </c>
      <c r="AN2164" s="2">
        <v>8270.2251085213393</v>
      </c>
      <c r="AO2164" s="2">
        <v>4626.0526146192396</v>
      </c>
      <c r="AP2164" s="2">
        <v>3782.0023297563698</v>
      </c>
      <c r="AQ2164" s="2">
        <v>4519.8633868501702</v>
      </c>
      <c r="AR2164" s="2">
        <v>5950.6649877169903</v>
      </c>
      <c r="AS2164" s="2">
        <v>4340.8735519841002</v>
      </c>
      <c r="AT2164" s="2">
        <v>749.89483303277996</v>
      </c>
      <c r="AU2164" s="2">
        <v>6237.0340465494701</v>
      </c>
      <c r="AV2164" s="2">
        <v>1469.79953931877</v>
      </c>
      <c r="AW2164" s="2">
        <v>3864.0765092618299</v>
      </c>
      <c r="AX2164" s="2">
        <v>2696.51854821282</v>
      </c>
    </row>
    <row r="2165" spans="1:50" x14ac:dyDescent="0.25">
      <c r="A2165" s="2" t="s">
        <v>14603</v>
      </c>
      <c r="B2165" s="2">
        <v>384.993220106423</v>
      </c>
      <c r="C2165" s="2">
        <v>13.554083333333301</v>
      </c>
      <c r="D2165" s="2" t="s">
        <v>51</v>
      </c>
      <c r="E2165" s="2" t="s">
        <v>14604</v>
      </c>
      <c r="F2165" s="2">
        <v>48682</v>
      </c>
      <c r="G2165" s="3" t="str">
        <f>HYPERLINK("https://cloud.oebiotech.com/#/lm/network/48682", "https://cloud.oebiotech.com/#/lm/network/48682")</f>
        <v>https://cloud.oebiotech.com/#/lm/network/48682</v>
      </c>
      <c r="H2165" s="2" t="s">
        <v>14605</v>
      </c>
      <c r="I2165" s="2">
        <v>58371</v>
      </c>
      <c r="J2165" s="2"/>
      <c r="K2165" s="2">
        <v>440211</v>
      </c>
      <c r="L2165" s="2" t="s">
        <v>14606</v>
      </c>
      <c r="M2165" s="2" t="s">
        <v>14607</v>
      </c>
      <c r="N2165" s="2" t="s">
        <v>14608</v>
      </c>
      <c r="O2165" s="2">
        <v>28858</v>
      </c>
      <c r="P2165" s="2" t="s">
        <v>14609</v>
      </c>
      <c r="Q2165" s="2" t="s">
        <v>14610</v>
      </c>
      <c r="R2165" s="2" t="s">
        <v>14611</v>
      </c>
      <c r="S2165" s="2" t="s">
        <v>14612</v>
      </c>
      <c r="T2165" s="2" t="s">
        <v>14613</v>
      </c>
      <c r="U2165" s="2" t="s">
        <v>331</v>
      </c>
      <c r="V2165" s="2" t="s">
        <v>332</v>
      </c>
      <c r="W2165" s="2" t="s">
        <v>519</v>
      </c>
      <c r="X2165" s="2" t="s">
        <v>147</v>
      </c>
      <c r="Y2165" s="2">
        <v>37.700000000000003</v>
      </c>
      <c r="Z2165" s="2">
        <v>0</v>
      </c>
      <c r="AA2165" s="2" t="s">
        <v>218</v>
      </c>
      <c r="AB2165" s="2" t="s">
        <v>14614</v>
      </c>
      <c r="AC2165" s="2">
        <v>-3.0350566720443499</v>
      </c>
      <c r="AD2165" s="2"/>
      <c r="AE2165" s="2">
        <v>0.30424114714600098</v>
      </c>
      <c r="AF2165" s="2">
        <v>16810.5975847271</v>
      </c>
      <c r="AG2165" s="2">
        <v>19442.089496351698</v>
      </c>
      <c r="AH2165" s="4">
        <v>0.86464973777029397</v>
      </c>
      <c r="AI2165" s="4">
        <v>-0.209812267246346</v>
      </c>
      <c r="AJ2165" s="4" t="s">
        <v>62</v>
      </c>
      <c r="AK2165" s="2">
        <v>3.1602705883532298E-2</v>
      </c>
      <c r="AL2165" s="2">
        <v>0.26208331410330299</v>
      </c>
      <c r="AM2165" s="2">
        <v>16190.3614579852</v>
      </c>
      <c r="AN2165" s="2">
        <v>16060.086790617101</v>
      </c>
      <c r="AO2165" s="2">
        <v>17209.817240183402</v>
      </c>
      <c r="AP2165" s="2">
        <v>16084.837537792901</v>
      </c>
      <c r="AQ2165" s="2">
        <v>19570.533512198399</v>
      </c>
      <c r="AR2165" s="2">
        <v>15747.948969585799</v>
      </c>
      <c r="AS2165" s="2">
        <v>19861.436388674301</v>
      </c>
      <c r="AT2165" s="2">
        <v>22353.092627723301</v>
      </c>
      <c r="AU2165" s="2">
        <v>16305.3926722246</v>
      </c>
      <c r="AV2165" s="2">
        <v>20865.821142975601</v>
      </c>
      <c r="AW2165" s="2">
        <v>17887.910487727</v>
      </c>
      <c r="AX2165" s="2">
        <v>19378.8836587857</v>
      </c>
    </row>
    <row r="2166" spans="1:50" x14ac:dyDescent="0.25">
      <c r="A2166" s="2" t="s">
        <v>14615</v>
      </c>
      <c r="B2166" s="2">
        <v>599.45790143298996</v>
      </c>
      <c r="C2166" s="2">
        <v>14.459250000000001</v>
      </c>
      <c r="D2166" s="2" t="s">
        <v>51</v>
      </c>
      <c r="E2166" s="2" t="s">
        <v>14616</v>
      </c>
      <c r="F2166" s="2">
        <v>60544</v>
      </c>
      <c r="G2166" s="3" t="str">
        <f>HYPERLINK("https://cloud.oebiotech.com/#/lm/network/60544", "https://cloud.oebiotech.com/#/lm/network/60544")</f>
        <v>https://cloud.oebiotech.com/#/lm/network/60544</v>
      </c>
      <c r="H2166" s="2" t="s">
        <v>14617</v>
      </c>
      <c r="I2166" s="2">
        <v>91875</v>
      </c>
      <c r="J2166" s="2"/>
      <c r="K2166" s="2">
        <v>131752073</v>
      </c>
      <c r="L2166" s="2"/>
      <c r="M2166" s="2"/>
      <c r="N2166" s="2"/>
      <c r="O2166" s="2"/>
      <c r="P2166" s="2"/>
      <c r="Q2166" s="2"/>
      <c r="R2166" s="2" t="s">
        <v>14618</v>
      </c>
      <c r="S2166" s="2" t="s">
        <v>14619</v>
      </c>
      <c r="T2166" s="2" t="s">
        <v>14620</v>
      </c>
      <c r="U2166" s="2" t="s">
        <v>56</v>
      </c>
      <c r="V2166" s="2" t="s">
        <v>177</v>
      </c>
      <c r="W2166" s="2" t="s">
        <v>14621</v>
      </c>
      <c r="X2166" s="2" t="s">
        <v>147</v>
      </c>
      <c r="Y2166" s="2">
        <v>38.1</v>
      </c>
      <c r="Z2166" s="2">
        <v>4.3899999999999997</v>
      </c>
      <c r="AA2166" s="2" t="s">
        <v>395</v>
      </c>
      <c r="AB2166" s="2" t="s">
        <v>14622</v>
      </c>
      <c r="AC2166" s="2">
        <v>-1.7365325396423501</v>
      </c>
      <c r="AD2166" s="2"/>
      <c r="AE2166" s="2">
        <v>0.30350364636000698</v>
      </c>
      <c r="AF2166" s="2">
        <v>18111.6354411906</v>
      </c>
      <c r="AG2166" s="2">
        <v>12253.733359150299</v>
      </c>
      <c r="AH2166" s="5">
        <v>1.4780503957731399</v>
      </c>
      <c r="AI2166" s="5">
        <v>0.56369546061564602</v>
      </c>
      <c r="AJ2166" s="5" t="s">
        <v>139</v>
      </c>
      <c r="AK2166" s="2">
        <v>0.28915657866216499</v>
      </c>
      <c r="AL2166" s="2">
        <v>0.60369237994034897</v>
      </c>
      <c r="AM2166" s="2">
        <v>3279.4885187119098</v>
      </c>
      <c r="AN2166" s="2">
        <v>23020.846020679099</v>
      </c>
      <c r="AO2166" s="2">
        <v>30234.033955520601</v>
      </c>
      <c r="AP2166" s="2">
        <v>24250.3227178454</v>
      </c>
      <c r="AQ2166" s="2">
        <v>12565.9334925532</v>
      </c>
      <c r="AR2166" s="2">
        <v>15319.187941833399</v>
      </c>
      <c r="AS2166" s="2">
        <v>8418.9966899771898</v>
      </c>
      <c r="AT2166" s="2">
        <v>24617.303982808498</v>
      </c>
      <c r="AU2166" s="2">
        <v>4108.7389444687497</v>
      </c>
      <c r="AV2166" s="2">
        <v>5168.8670435063796</v>
      </c>
      <c r="AW2166" s="2">
        <v>10715.804561094399</v>
      </c>
      <c r="AX2166" s="2">
        <v>20492.688933046698</v>
      </c>
    </row>
    <row r="2167" spans="1:50" x14ac:dyDescent="0.25">
      <c r="A2167" s="2" t="s">
        <v>14623</v>
      </c>
      <c r="B2167" s="2">
        <v>399.19784785932598</v>
      </c>
      <c r="C2167" s="2">
        <v>7.0694833333333298</v>
      </c>
      <c r="D2167" s="2" t="s">
        <v>51</v>
      </c>
      <c r="E2167" s="2" t="s">
        <v>14624</v>
      </c>
      <c r="F2167" s="2">
        <v>278024</v>
      </c>
      <c r="G2167" s="3" t="str">
        <f>HYPERLINK("https://cloud.oebiotech.com/#/lm/network/278024", "https://cloud.oebiotech.com/#/lm/network/278024")</f>
        <v>https://cloud.oebiotech.com/#/lm/network/278024</v>
      </c>
      <c r="H2167" s="2"/>
      <c r="I2167" s="2">
        <v>70218</v>
      </c>
      <c r="J2167" s="2"/>
      <c r="K2167" s="2">
        <v>240767</v>
      </c>
      <c r="L2167" s="2" t="s">
        <v>14625</v>
      </c>
      <c r="M2167" s="2"/>
      <c r="N2167" s="2"/>
      <c r="O2167" s="2"/>
      <c r="P2167" s="2"/>
      <c r="Q2167" s="2"/>
      <c r="R2167" s="2" t="s">
        <v>14626</v>
      </c>
      <c r="S2167" s="2" t="s">
        <v>14627</v>
      </c>
      <c r="T2167" s="2" t="s">
        <v>14628</v>
      </c>
      <c r="U2167" s="2" t="s">
        <v>56</v>
      </c>
      <c r="V2167" s="2" t="s">
        <v>283</v>
      </c>
      <c r="W2167" s="2" t="s">
        <v>3686</v>
      </c>
      <c r="X2167" s="2" t="s">
        <v>147</v>
      </c>
      <c r="Y2167" s="2">
        <v>36.700000000000003</v>
      </c>
      <c r="Z2167" s="2">
        <v>0</v>
      </c>
      <c r="AA2167" s="2" t="s">
        <v>379</v>
      </c>
      <c r="AB2167" s="2" t="s">
        <v>14629</v>
      </c>
      <c r="AC2167" s="2">
        <v>0.32678688023291402</v>
      </c>
      <c r="AD2167" s="2"/>
      <c r="AE2167" s="2">
        <v>0.30338929652571001</v>
      </c>
      <c r="AF2167" s="2">
        <v>4520.4782170489398</v>
      </c>
      <c r="AG2167" s="2">
        <v>2174.44755361429</v>
      </c>
      <c r="AH2167" s="5">
        <v>2.0789088288356998</v>
      </c>
      <c r="AI2167" s="5">
        <v>1.05582648976398</v>
      </c>
      <c r="AJ2167" s="5" t="s">
        <v>139</v>
      </c>
      <c r="AK2167" s="2">
        <v>3.2589863905795803E-2</v>
      </c>
      <c r="AL2167" s="2">
        <v>0.26650967218830601</v>
      </c>
      <c r="AM2167" s="2">
        <v>3848.6959886114901</v>
      </c>
      <c r="AN2167" s="2">
        <v>7800.7747096255098</v>
      </c>
      <c r="AO2167" s="2">
        <v>4647.9238467346304</v>
      </c>
      <c r="AP2167" s="2">
        <v>3112.0920686022901</v>
      </c>
      <c r="AQ2167" s="2">
        <v>3610.4958396644201</v>
      </c>
      <c r="AR2167" s="2">
        <v>4102.8868490553004</v>
      </c>
      <c r="AS2167" s="2">
        <v>1893.8355963397401</v>
      </c>
      <c r="AT2167" s="2">
        <v>370.11420197232098</v>
      </c>
      <c r="AU2167" s="2">
        <v>4657.6790919040504</v>
      </c>
      <c r="AV2167" s="2">
        <v>881.58471832469195</v>
      </c>
      <c r="AW2167" s="2">
        <v>3356.0081004560998</v>
      </c>
      <c r="AX2167" s="2">
        <v>1887.4636126888299</v>
      </c>
    </row>
    <row r="2168" spans="1:50" x14ac:dyDescent="0.25">
      <c r="A2168" s="2" t="s">
        <v>14630</v>
      </c>
      <c r="B2168" s="2">
        <v>431.202615169826</v>
      </c>
      <c r="C2168" s="2">
        <v>10.644133333333301</v>
      </c>
      <c r="D2168" s="2" t="s">
        <v>51</v>
      </c>
      <c r="E2168" s="2" t="s">
        <v>14631</v>
      </c>
      <c r="F2168" s="2">
        <v>209856</v>
      </c>
      <c r="G2168" s="3" t="str">
        <f>HYPERLINK("https://cloud.oebiotech.com/#/lm/network/209856", "https://cloud.oebiotech.com/#/lm/network/209856")</f>
        <v>https://cloud.oebiotech.com/#/lm/network/209856</v>
      </c>
      <c r="H2168" s="2" t="s">
        <v>14632</v>
      </c>
      <c r="I2168" s="2"/>
      <c r="J2168" s="2"/>
      <c r="K2168" s="2">
        <v>66555030</v>
      </c>
      <c r="L2168" s="2"/>
      <c r="M2168" s="2"/>
      <c r="N2168" s="2"/>
      <c r="O2168" s="2"/>
      <c r="P2168" s="2"/>
      <c r="Q2168" s="2"/>
      <c r="R2168" s="2"/>
      <c r="S2168" s="2" t="s">
        <v>14633</v>
      </c>
      <c r="T2168" s="2" t="s">
        <v>14634</v>
      </c>
      <c r="U2168" s="2" t="s">
        <v>331</v>
      </c>
      <c r="V2168" s="2" t="s">
        <v>332</v>
      </c>
      <c r="W2168" s="2" t="s">
        <v>511</v>
      </c>
      <c r="X2168" s="2" t="s">
        <v>147</v>
      </c>
      <c r="Y2168" s="2">
        <v>36.9</v>
      </c>
      <c r="Z2168" s="2">
        <v>0.47699999999999998</v>
      </c>
      <c r="AA2168" s="2" t="s">
        <v>218</v>
      </c>
      <c r="AB2168" s="2" t="s">
        <v>12953</v>
      </c>
      <c r="AC2168" s="2">
        <v>4.1767926323974898</v>
      </c>
      <c r="AD2168" s="2"/>
      <c r="AE2168" s="2">
        <v>0.30322990698705699</v>
      </c>
      <c r="AF2168" s="2">
        <v>47890.447377829798</v>
      </c>
      <c r="AG2168" s="2">
        <v>40936.837917172699</v>
      </c>
      <c r="AH2168" s="5">
        <v>1.1698619095770499</v>
      </c>
      <c r="AI2168" s="5">
        <v>0.226338244230886</v>
      </c>
      <c r="AJ2168" s="5" t="s">
        <v>139</v>
      </c>
      <c r="AK2168" s="2">
        <v>0.35246322952133002</v>
      </c>
      <c r="AL2168" s="2">
        <v>0.64327519018387302</v>
      </c>
      <c r="AM2168" s="2">
        <v>26406.190739273599</v>
      </c>
      <c r="AN2168" s="2">
        <v>49142.815629792203</v>
      </c>
      <c r="AO2168" s="2">
        <v>62097.616580558999</v>
      </c>
      <c r="AP2168" s="2">
        <v>31117.011532241198</v>
      </c>
      <c r="AQ2168" s="2">
        <v>66487.976682076303</v>
      </c>
      <c r="AR2168" s="2">
        <v>52091.073103036601</v>
      </c>
      <c r="AS2168" s="2">
        <v>49573.0716282785</v>
      </c>
      <c r="AT2168" s="2">
        <v>43719.306200754298</v>
      </c>
      <c r="AU2168" s="2">
        <v>40441.130512738302</v>
      </c>
      <c r="AV2168" s="2">
        <v>36218.430466449397</v>
      </c>
      <c r="AW2168" s="2">
        <v>31075.0671257922</v>
      </c>
      <c r="AX2168" s="2">
        <v>44594.021569023302</v>
      </c>
    </row>
    <row r="2169" spans="1:50" x14ac:dyDescent="0.25">
      <c r="A2169" s="2" t="s">
        <v>14635</v>
      </c>
      <c r="B2169" s="2">
        <v>207.088426200036</v>
      </c>
      <c r="C2169" s="2">
        <v>2.3972833333333301</v>
      </c>
      <c r="D2169" s="2" t="s">
        <v>51</v>
      </c>
      <c r="E2169" s="2" t="s">
        <v>14636</v>
      </c>
      <c r="F2169" s="2">
        <v>206876</v>
      </c>
      <c r="G2169" s="3" t="str">
        <f>HYPERLINK("https://cloud.oebiotech.com/#/lm/network/206876", "https://cloud.oebiotech.com/#/lm/network/206876")</f>
        <v>https://cloud.oebiotech.com/#/lm/network/206876</v>
      </c>
      <c r="H2169" s="2" t="s">
        <v>14637</v>
      </c>
      <c r="I2169" s="2"/>
      <c r="J2169" s="2"/>
      <c r="K2169" s="2">
        <v>92242</v>
      </c>
      <c r="L2169" s="2"/>
      <c r="M2169" s="2"/>
      <c r="N2169" s="2"/>
      <c r="O2169" s="2"/>
      <c r="P2169" s="2"/>
      <c r="Q2169" s="2"/>
      <c r="R2169" s="2"/>
      <c r="S2169" s="2" t="s">
        <v>14638</v>
      </c>
      <c r="T2169" s="2" t="s">
        <v>14639</v>
      </c>
      <c r="U2169" s="2" t="s">
        <v>3062</v>
      </c>
      <c r="V2169" s="2" t="s">
        <v>3063</v>
      </c>
      <c r="W2169" s="2" t="s">
        <v>3064</v>
      </c>
      <c r="X2169" s="2" t="s">
        <v>147</v>
      </c>
      <c r="Y2169" s="2">
        <v>39.200000000000003</v>
      </c>
      <c r="Z2169" s="2">
        <v>1.17</v>
      </c>
      <c r="AA2169" s="2" t="s">
        <v>512</v>
      </c>
      <c r="AB2169" s="2" t="s">
        <v>14640</v>
      </c>
      <c r="AC2169" s="2">
        <v>-1.9501185573809201</v>
      </c>
      <c r="AD2169" s="2"/>
      <c r="AE2169" s="2">
        <v>0.30308139792598499</v>
      </c>
      <c r="AF2169" s="2">
        <v>1.62246249772721</v>
      </c>
      <c r="AG2169" s="2">
        <v>4703.4273581328198</v>
      </c>
      <c r="AH2169" s="4">
        <v>3.4495323817891399E-4</v>
      </c>
      <c r="AI2169" s="4">
        <v>-11.501311575977001</v>
      </c>
      <c r="AJ2169" s="4" t="s">
        <v>62</v>
      </c>
      <c r="AK2169" s="2">
        <v>0.34064339964544899</v>
      </c>
      <c r="AL2169" s="2">
        <v>0.63815037094278604</v>
      </c>
      <c r="AM2169" s="2">
        <v>8.559877937157E-6</v>
      </c>
      <c r="AN2169" s="2">
        <v>8.559877937157E-6</v>
      </c>
      <c r="AO2169" s="2">
        <v>8.559877937157E-6</v>
      </c>
      <c r="AP2169" s="2">
        <v>9.7347321869735808</v>
      </c>
      <c r="AQ2169" s="2">
        <v>8.559877937157E-6</v>
      </c>
      <c r="AR2169" s="2">
        <v>8.559877937157E-6</v>
      </c>
      <c r="AS2169" s="2">
        <v>3.51850171169129</v>
      </c>
      <c r="AT2169" s="2">
        <v>9.1922242435360495</v>
      </c>
      <c r="AU2169" s="2">
        <v>8.559877937157E-6</v>
      </c>
      <c r="AV2169" s="2">
        <v>8.559877937157E-6</v>
      </c>
      <c r="AW2169" s="2">
        <v>8.1437946032587902</v>
      </c>
      <c r="AX2169" s="2">
        <v>28199.709611118698</v>
      </c>
    </row>
    <row r="2170" spans="1:50" x14ac:dyDescent="0.25">
      <c r="A2170" s="2" t="s">
        <v>14641</v>
      </c>
      <c r="B2170" s="2">
        <v>837.18813495961399</v>
      </c>
      <c r="C2170" s="2">
        <v>11.068</v>
      </c>
      <c r="D2170" s="2" t="s">
        <v>51</v>
      </c>
      <c r="E2170" s="2" t="s">
        <v>14642</v>
      </c>
      <c r="F2170" s="2">
        <v>61459</v>
      </c>
      <c r="G2170" s="3" t="str">
        <f>HYPERLINK("https://cloud.oebiotech.com/#/lm/network/61459", "https://cloud.oebiotech.com/#/lm/network/61459")</f>
        <v>https://cloud.oebiotech.com/#/lm/network/61459</v>
      </c>
      <c r="H2170" s="2" t="s">
        <v>14643</v>
      </c>
      <c r="I2170" s="2">
        <v>92773</v>
      </c>
      <c r="J2170" s="2"/>
      <c r="K2170" s="2">
        <v>131752265</v>
      </c>
      <c r="L2170" s="2"/>
      <c r="M2170" s="2"/>
      <c r="N2170" s="2"/>
      <c r="O2170" s="2"/>
      <c r="P2170" s="2"/>
      <c r="Q2170" s="2"/>
      <c r="R2170" s="2" t="s">
        <v>14644</v>
      </c>
      <c r="S2170" s="2" t="s">
        <v>14645</v>
      </c>
      <c r="T2170" s="2" t="s">
        <v>14646</v>
      </c>
      <c r="U2170" s="2" t="s">
        <v>540</v>
      </c>
      <c r="V2170" s="2" t="s">
        <v>541</v>
      </c>
      <c r="W2170" s="2" t="s">
        <v>9202</v>
      </c>
      <c r="X2170" s="2" t="s">
        <v>147</v>
      </c>
      <c r="Y2170" s="2">
        <v>38.799999999999997</v>
      </c>
      <c r="Z2170" s="2">
        <v>0</v>
      </c>
      <c r="AA2170" s="2" t="s">
        <v>478</v>
      </c>
      <c r="AB2170" s="2" t="s">
        <v>14647</v>
      </c>
      <c r="AC2170" s="2">
        <v>-0.27704539860954802</v>
      </c>
      <c r="AD2170" s="2"/>
      <c r="AE2170" s="2">
        <v>0.30282189787661201</v>
      </c>
      <c r="AF2170" s="2">
        <v>6309.0325300110899</v>
      </c>
      <c r="AG2170" s="2">
        <v>8576.8310959646005</v>
      </c>
      <c r="AH2170" s="4">
        <v>0.73559015671644601</v>
      </c>
      <c r="AI2170" s="4">
        <v>-0.44302592040040301</v>
      </c>
      <c r="AJ2170" s="4" t="s">
        <v>62</v>
      </c>
      <c r="AK2170" s="2">
        <v>2.51173263790694E-2</v>
      </c>
      <c r="AL2170" s="2">
        <v>0.24527119295206001</v>
      </c>
      <c r="AM2170" s="2">
        <v>4582.5410555905801</v>
      </c>
      <c r="AN2170" s="2">
        <v>5649.6073327959202</v>
      </c>
      <c r="AO2170" s="2">
        <v>6504.6607117159601</v>
      </c>
      <c r="AP2170" s="2">
        <v>8344.7470569927991</v>
      </c>
      <c r="AQ2170" s="2">
        <v>7294.7473006028004</v>
      </c>
      <c r="AR2170" s="2">
        <v>5477.8917223685003</v>
      </c>
      <c r="AS2170" s="2">
        <v>7013.4929910782503</v>
      </c>
      <c r="AT2170" s="2">
        <v>10712.982207213399</v>
      </c>
      <c r="AU2170" s="2">
        <v>7366.6095437532904</v>
      </c>
      <c r="AV2170" s="2">
        <v>8828.0572952660295</v>
      </c>
      <c r="AW2170" s="2">
        <v>7283.6012545298499</v>
      </c>
      <c r="AX2170" s="2">
        <v>10256.2432839468</v>
      </c>
    </row>
    <row r="2171" spans="1:50" x14ac:dyDescent="0.25">
      <c r="A2171" s="2" t="s">
        <v>14648</v>
      </c>
      <c r="B2171" s="2">
        <v>345.24325192714502</v>
      </c>
      <c r="C2171" s="2">
        <v>10.783149999999999</v>
      </c>
      <c r="D2171" s="2" t="s">
        <v>51</v>
      </c>
      <c r="E2171" s="2" t="s">
        <v>14649</v>
      </c>
      <c r="F2171" s="2">
        <v>267390</v>
      </c>
      <c r="G2171" s="3" t="str">
        <f>HYPERLINK("https://cloud.oebiotech.com/#/lm/network/267390", "https://cloud.oebiotech.com/#/lm/network/267390")</f>
        <v>https://cloud.oebiotech.com/#/lm/network/267390</v>
      </c>
      <c r="H2171" s="2"/>
      <c r="I2171" s="2">
        <v>45366</v>
      </c>
      <c r="J2171" s="2"/>
      <c r="K2171" s="2">
        <v>12149511</v>
      </c>
      <c r="L2171" s="2"/>
      <c r="M2171" s="2"/>
      <c r="N2171" s="2"/>
      <c r="O2171" s="2"/>
      <c r="P2171" s="2"/>
      <c r="Q2171" s="2"/>
      <c r="R2171" s="2" t="s">
        <v>14650</v>
      </c>
      <c r="S2171" s="2" t="s">
        <v>14651</v>
      </c>
      <c r="T2171" s="2" t="s">
        <v>14652</v>
      </c>
      <c r="U2171" s="2" t="s">
        <v>56</v>
      </c>
      <c r="V2171" s="2" t="s">
        <v>145</v>
      </c>
      <c r="W2171" s="2" t="s">
        <v>187</v>
      </c>
      <c r="X2171" s="2" t="s">
        <v>83</v>
      </c>
      <c r="Y2171" s="2">
        <v>55</v>
      </c>
      <c r="Z2171" s="2">
        <v>0</v>
      </c>
      <c r="AA2171" s="2" t="s">
        <v>379</v>
      </c>
      <c r="AB2171" s="2" t="s">
        <v>5901</v>
      </c>
      <c r="AC2171" s="2">
        <v>-0.73185257755785504</v>
      </c>
      <c r="AD2171" s="2"/>
      <c r="AE2171" s="2">
        <v>0.30269030453201501</v>
      </c>
      <c r="AF2171" s="2">
        <v>17483.2652401142</v>
      </c>
      <c r="AG2171" s="2">
        <v>14437.2167619963</v>
      </c>
      <c r="AH2171" s="5">
        <v>1.21098585193623</v>
      </c>
      <c r="AI2171" s="5">
        <v>0.27618200998627501</v>
      </c>
      <c r="AJ2171" s="5" t="s">
        <v>139</v>
      </c>
      <c r="AK2171" s="2">
        <v>0.41594873642814501</v>
      </c>
      <c r="AL2171" s="2">
        <v>0.67850535309682802</v>
      </c>
      <c r="AM2171" s="2">
        <v>31392.898137068201</v>
      </c>
      <c r="AN2171" s="2">
        <v>19448.855436260099</v>
      </c>
      <c r="AO2171" s="2">
        <v>11098.360918950701</v>
      </c>
      <c r="AP2171" s="2">
        <v>9374.7265691268294</v>
      </c>
      <c r="AQ2171" s="2">
        <v>16552.7183830951</v>
      </c>
      <c r="AR2171" s="2">
        <v>17032.0319961844</v>
      </c>
      <c r="AS2171" s="2">
        <v>16213.320707052901</v>
      </c>
      <c r="AT2171" s="2">
        <v>8249.5034424959395</v>
      </c>
      <c r="AU2171" s="2">
        <v>20260.440040107602</v>
      </c>
      <c r="AV2171" s="2">
        <v>14442.091402349201</v>
      </c>
      <c r="AW2171" s="2">
        <v>15347.990838580699</v>
      </c>
      <c r="AX2171" s="2">
        <v>12109.9541413917</v>
      </c>
    </row>
    <row r="2172" spans="1:50" x14ac:dyDescent="0.25">
      <c r="A2172" s="2" t="s">
        <v>14653</v>
      </c>
      <c r="B2172" s="2">
        <v>399.22117810115299</v>
      </c>
      <c r="C2172" s="2">
        <v>8.3508166666666703</v>
      </c>
      <c r="D2172" s="2" t="s">
        <v>51</v>
      </c>
      <c r="E2172" s="2" t="s">
        <v>14654</v>
      </c>
      <c r="F2172" s="2">
        <v>197228</v>
      </c>
      <c r="G2172" s="3" t="str">
        <f>HYPERLINK("https://cloud.oebiotech.com/#/lm/network/197228", "https://cloud.oebiotech.com/#/lm/network/197228")</f>
        <v>https://cloud.oebiotech.com/#/lm/network/197228</v>
      </c>
      <c r="H2172" s="2" t="s">
        <v>14655</v>
      </c>
      <c r="I2172" s="2"/>
      <c r="J2172" s="2"/>
      <c r="K2172" s="2"/>
      <c r="L2172" s="2"/>
      <c r="M2172" s="2"/>
      <c r="N2172" s="2"/>
      <c r="O2172" s="2"/>
      <c r="P2172" s="2"/>
      <c r="Q2172" s="2"/>
      <c r="R2172" s="2" t="s">
        <v>14656</v>
      </c>
      <c r="S2172" s="2" t="s">
        <v>14657</v>
      </c>
      <c r="T2172" s="2" t="s">
        <v>14658</v>
      </c>
      <c r="U2172" s="2" t="s">
        <v>56</v>
      </c>
      <c r="V2172" s="2" t="s">
        <v>283</v>
      </c>
      <c r="W2172" s="2" t="s">
        <v>2305</v>
      </c>
      <c r="X2172" s="2" t="s">
        <v>147</v>
      </c>
      <c r="Y2172" s="2">
        <v>37.200000000000003</v>
      </c>
      <c r="Z2172" s="2">
        <v>0.46300000000000002</v>
      </c>
      <c r="AA2172" s="2" t="s">
        <v>163</v>
      </c>
      <c r="AB2172" s="2" t="s">
        <v>14659</v>
      </c>
      <c r="AC2172" s="2">
        <v>0.27304620945931501</v>
      </c>
      <c r="AD2172" s="2"/>
      <c r="AE2172" s="2">
        <v>0.302433172601214</v>
      </c>
      <c r="AF2172" s="2">
        <v>6116.26252188955</v>
      </c>
      <c r="AG2172" s="2">
        <v>10881.090662234499</v>
      </c>
      <c r="AH2172" s="4">
        <v>0.56210013423723404</v>
      </c>
      <c r="AI2172" s="4">
        <v>-0.83110093543909402</v>
      </c>
      <c r="AJ2172" s="4" t="s">
        <v>62</v>
      </c>
      <c r="AK2172" s="2">
        <v>0.34596220423764701</v>
      </c>
      <c r="AL2172" s="2">
        <v>0.63966913938303005</v>
      </c>
      <c r="AM2172" s="2">
        <v>8594.0078350365602</v>
      </c>
      <c r="AN2172" s="2">
        <v>15304.018899706</v>
      </c>
      <c r="AO2172" s="2">
        <v>957.34204928960696</v>
      </c>
      <c r="AP2172" s="2">
        <v>7390.9520700182502</v>
      </c>
      <c r="AQ2172" s="2">
        <v>2681.9346274852301</v>
      </c>
      <c r="AR2172" s="2">
        <v>1769.31964980165</v>
      </c>
      <c r="AS2172" s="2">
        <v>11146.933800024701</v>
      </c>
      <c r="AT2172" s="2">
        <v>7546.0604441812202</v>
      </c>
      <c r="AU2172" s="2">
        <v>3739.9762725271798</v>
      </c>
      <c r="AV2172" s="2">
        <v>31102.487447874799</v>
      </c>
      <c r="AW2172" s="2">
        <v>9451.40068078269</v>
      </c>
      <c r="AX2172" s="2">
        <v>2299.6853280166501</v>
      </c>
    </row>
    <row r="2173" spans="1:50" x14ac:dyDescent="0.25">
      <c r="A2173" s="2" t="s">
        <v>14660</v>
      </c>
      <c r="B2173" s="2">
        <v>335.10750753472797</v>
      </c>
      <c r="C2173" s="2">
        <v>8.1777666666666704</v>
      </c>
      <c r="D2173" s="2" t="s">
        <v>51</v>
      </c>
      <c r="E2173" s="2" t="s">
        <v>14661</v>
      </c>
      <c r="F2173" s="2">
        <v>57135</v>
      </c>
      <c r="G2173" s="3" t="str">
        <f>HYPERLINK("https://cloud.oebiotech.com/#/lm/network/57135", "https://cloud.oebiotech.com/#/lm/network/57135")</f>
        <v>https://cloud.oebiotech.com/#/lm/network/57135</v>
      </c>
      <c r="H2173" s="2" t="s">
        <v>14662</v>
      </c>
      <c r="I2173" s="2">
        <v>66941</v>
      </c>
      <c r="J2173" s="2"/>
      <c r="K2173" s="2">
        <v>10321</v>
      </c>
      <c r="L2173" s="2" t="s">
        <v>14663</v>
      </c>
      <c r="M2173" s="2"/>
      <c r="N2173" s="2"/>
      <c r="O2173" s="2">
        <v>3369</v>
      </c>
      <c r="P2173" s="2"/>
      <c r="Q2173" s="2"/>
      <c r="R2173" s="2" t="s">
        <v>14664</v>
      </c>
      <c r="S2173" s="2" t="s">
        <v>14665</v>
      </c>
      <c r="T2173" s="2" t="s">
        <v>14666</v>
      </c>
      <c r="U2173" s="2" t="s">
        <v>610</v>
      </c>
      <c r="V2173" s="2" t="s">
        <v>611</v>
      </c>
      <c r="W2173" s="2" t="s">
        <v>14667</v>
      </c>
      <c r="X2173" s="2" t="s">
        <v>147</v>
      </c>
      <c r="Y2173" s="2">
        <v>39.5</v>
      </c>
      <c r="Z2173" s="2">
        <v>0</v>
      </c>
      <c r="AA2173" s="2" t="s">
        <v>478</v>
      </c>
      <c r="AB2173" s="2" t="s">
        <v>14668</v>
      </c>
      <c r="AC2173" s="2">
        <v>-0.731254153603625</v>
      </c>
      <c r="AD2173" s="2"/>
      <c r="AE2173" s="2">
        <v>0.30225059563010498</v>
      </c>
      <c r="AF2173" s="2">
        <v>558.49738820039704</v>
      </c>
      <c r="AG2173" s="2">
        <v>5079.7982510860302</v>
      </c>
      <c r="AH2173" s="4">
        <v>0.109944797134609</v>
      </c>
      <c r="AI2173" s="4">
        <v>-3.1851487610509999</v>
      </c>
      <c r="AJ2173" s="4" t="s">
        <v>62</v>
      </c>
      <c r="AK2173" s="2">
        <v>0.13401393073705001</v>
      </c>
      <c r="AL2173" s="2">
        <v>0.454911782038804</v>
      </c>
      <c r="AM2173" s="2">
        <v>658.28645218954205</v>
      </c>
      <c r="AN2173" s="2">
        <v>269.75401147171101</v>
      </c>
      <c r="AO2173" s="2">
        <v>661.40456922988005</v>
      </c>
      <c r="AP2173" s="2">
        <v>8.559877937157E-6</v>
      </c>
      <c r="AQ2173" s="2">
        <v>450.88671759809398</v>
      </c>
      <c r="AR2173" s="2">
        <v>1310.6525701532801</v>
      </c>
      <c r="AS2173" s="2">
        <v>2414.4459184110601</v>
      </c>
      <c r="AT2173" s="2">
        <v>598.19657022763602</v>
      </c>
      <c r="AU2173" s="2">
        <v>18247.9889646068</v>
      </c>
      <c r="AV2173" s="2">
        <v>848.611662605628</v>
      </c>
      <c r="AW2173" s="2">
        <v>6369.1275244513699</v>
      </c>
      <c r="AX2173" s="2">
        <v>2000.4188662136901</v>
      </c>
    </row>
    <row r="2174" spans="1:50" x14ac:dyDescent="0.25">
      <c r="A2174" s="2" t="s">
        <v>14669</v>
      </c>
      <c r="B2174" s="2">
        <v>221.09285634046199</v>
      </c>
      <c r="C2174" s="2">
        <v>1.4665999999999999</v>
      </c>
      <c r="D2174" s="2" t="s">
        <v>51</v>
      </c>
      <c r="E2174" s="2" t="s">
        <v>14670</v>
      </c>
      <c r="F2174" s="2">
        <v>257733</v>
      </c>
      <c r="G2174" s="3" t="str">
        <f>HYPERLINK("https://cloud.oebiotech.com/#/lm/network/257733", "https://cloud.oebiotech.com/#/lm/network/257733")</f>
        <v>https://cloud.oebiotech.com/#/lm/network/257733</v>
      </c>
      <c r="H2174" s="2" t="s">
        <v>14671</v>
      </c>
      <c r="I2174" s="2">
        <v>364</v>
      </c>
      <c r="J2174" s="2"/>
      <c r="K2174" s="2">
        <v>144</v>
      </c>
      <c r="L2174" s="2" t="s">
        <v>14672</v>
      </c>
      <c r="M2174" s="2" t="s">
        <v>14673</v>
      </c>
      <c r="N2174" s="2" t="s">
        <v>14674</v>
      </c>
      <c r="O2174" s="2"/>
      <c r="P2174" s="2"/>
      <c r="Q2174" s="2"/>
      <c r="R2174" s="2" t="s">
        <v>14675</v>
      </c>
      <c r="S2174" s="2" t="s">
        <v>14676</v>
      </c>
      <c r="T2174" s="2" t="s">
        <v>14677</v>
      </c>
      <c r="U2174" s="2" t="s">
        <v>266</v>
      </c>
      <c r="V2174" s="2" t="s">
        <v>445</v>
      </c>
      <c r="W2174" s="2" t="s">
        <v>3500</v>
      </c>
      <c r="X2174" s="2" t="s">
        <v>83</v>
      </c>
      <c r="Y2174" s="2">
        <v>44.1</v>
      </c>
      <c r="Z2174" s="2">
        <v>32.6</v>
      </c>
      <c r="AA2174" s="2" t="s">
        <v>179</v>
      </c>
      <c r="AB2174" s="2" t="s">
        <v>14678</v>
      </c>
      <c r="AC2174" s="2">
        <v>3.57887218754035</v>
      </c>
      <c r="AD2174" s="2"/>
      <c r="AE2174" s="2">
        <v>0.30214701105948699</v>
      </c>
      <c r="AF2174" s="2">
        <v>13754.056146553999</v>
      </c>
      <c r="AG2174" s="2">
        <v>11119.5274488709</v>
      </c>
      <c r="AH2174" s="5">
        <v>1.2369281167564901</v>
      </c>
      <c r="AI2174" s="5">
        <v>0.30676166150080503</v>
      </c>
      <c r="AJ2174" s="5" t="s">
        <v>139</v>
      </c>
      <c r="AK2174" s="2">
        <v>0.20089419074974099</v>
      </c>
      <c r="AL2174" s="2">
        <v>0.524812102806965</v>
      </c>
      <c r="AM2174" s="2">
        <v>14627.668663778801</v>
      </c>
      <c r="AN2174" s="2">
        <v>16656.5564397325</v>
      </c>
      <c r="AO2174" s="2">
        <v>10009.294211390101</v>
      </c>
      <c r="AP2174" s="2">
        <v>12695.7638627217</v>
      </c>
      <c r="AQ2174" s="2">
        <v>17933.948580307999</v>
      </c>
      <c r="AR2174" s="2">
        <v>10601.1051213928</v>
      </c>
      <c r="AS2174" s="2">
        <v>9218.8356800224192</v>
      </c>
      <c r="AT2174" s="2">
        <v>15089.3028082459</v>
      </c>
      <c r="AU2174" s="2">
        <v>14586.1557491272</v>
      </c>
      <c r="AV2174" s="2">
        <v>9064.1692937817206</v>
      </c>
      <c r="AW2174" s="2">
        <v>6408.5011747397502</v>
      </c>
      <c r="AX2174" s="2">
        <v>12350.199987308601</v>
      </c>
    </row>
    <row r="2175" spans="1:50" x14ac:dyDescent="0.25">
      <c r="A2175" s="2" t="s">
        <v>14679</v>
      </c>
      <c r="B2175" s="2">
        <v>469.330292095983</v>
      </c>
      <c r="C2175" s="2">
        <v>13.5068</v>
      </c>
      <c r="D2175" s="2" t="s">
        <v>51</v>
      </c>
      <c r="E2175" s="2" t="s">
        <v>14680</v>
      </c>
      <c r="F2175" s="2">
        <v>52646</v>
      </c>
      <c r="G2175" s="3" t="str">
        <f>HYPERLINK("https://cloud.oebiotech.com/#/lm/network/52646", "https://cloud.oebiotech.com/#/lm/network/52646")</f>
        <v>https://cloud.oebiotech.com/#/lm/network/52646</v>
      </c>
      <c r="H2175" s="2" t="s">
        <v>14681</v>
      </c>
      <c r="I2175" s="2">
        <v>1454</v>
      </c>
      <c r="J2175" s="2"/>
      <c r="K2175" s="2">
        <v>54746</v>
      </c>
      <c r="L2175" s="2" t="s">
        <v>14682</v>
      </c>
      <c r="M2175" s="2"/>
      <c r="N2175" s="2"/>
      <c r="O2175" s="2">
        <v>3286</v>
      </c>
      <c r="P2175" s="2"/>
      <c r="Q2175" s="2"/>
      <c r="R2175" s="2" t="s">
        <v>14683</v>
      </c>
      <c r="S2175" s="2" t="s">
        <v>14684</v>
      </c>
      <c r="T2175" s="2" t="s">
        <v>14685</v>
      </c>
      <c r="U2175" s="2" t="s">
        <v>238</v>
      </c>
      <c r="V2175" s="2" t="s">
        <v>860</v>
      </c>
      <c r="W2175" s="2" t="s">
        <v>861</v>
      </c>
      <c r="X2175" s="2" t="s">
        <v>147</v>
      </c>
      <c r="Y2175" s="2">
        <v>37.5</v>
      </c>
      <c r="Z2175" s="2">
        <v>0</v>
      </c>
      <c r="AA2175" s="2" t="s">
        <v>2589</v>
      </c>
      <c r="AB2175" s="2" t="s">
        <v>14686</v>
      </c>
      <c r="AC2175" s="2">
        <v>3.8580470254837902</v>
      </c>
      <c r="AD2175" s="2"/>
      <c r="AE2175" s="2">
        <v>0.30205761116112001</v>
      </c>
      <c r="AF2175" s="2">
        <v>9032.05874295576</v>
      </c>
      <c r="AG2175" s="2">
        <v>6383.4202879822897</v>
      </c>
      <c r="AH2175" s="5">
        <v>1.41492465410117</v>
      </c>
      <c r="AI2175" s="5">
        <v>0.50072523040786499</v>
      </c>
      <c r="AJ2175" s="5" t="s">
        <v>139</v>
      </c>
      <c r="AK2175" s="2">
        <v>0.222381411354483</v>
      </c>
      <c r="AL2175" s="2">
        <v>0.54873825251944697</v>
      </c>
      <c r="AM2175" s="2">
        <v>14547.8780818548</v>
      </c>
      <c r="AN2175" s="2">
        <v>9425.3766177820198</v>
      </c>
      <c r="AO2175" s="2">
        <v>10121.758504195401</v>
      </c>
      <c r="AP2175" s="2">
        <v>6703.7975321823296</v>
      </c>
      <c r="AQ2175" s="2">
        <v>10163.332914905401</v>
      </c>
      <c r="AR2175" s="2">
        <v>3230.20880681463</v>
      </c>
      <c r="AS2175" s="2">
        <v>2220.7470236330601</v>
      </c>
      <c r="AT2175" s="2">
        <v>7655.9226651997596</v>
      </c>
      <c r="AU2175" s="2">
        <v>4460.2607642111197</v>
      </c>
      <c r="AV2175" s="2">
        <v>6421.3497388857704</v>
      </c>
      <c r="AW2175" s="2">
        <v>5760.2494150049397</v>
      </c>
      <c r="AX2175" s="2">
        <v>11781.992120959099</v>
      </c>
    </row>
    <row r="2176" spans="1:50" x14ac:dyDescent="0.25">
      <c r="A2176" s="2" t="s">
        <v>14687</v>
      </c>
      <c r="B2176" s="2">
        <v>473.17742938715702</v>
      </c>
      <c r="C2176" s="2">
        <v>6.5865666666666698</v>
      </c>
      <c r="D2176" s="2" t="s">
        <v>51</v>
      </c>
      <c r="E2176" s="2" t="s">
        <v>14688</v>
      </c>
      <c r="F2176" s="2">
        <v>257637</v>
      </c>
      <c r="G2176" s="3" t="str">
        <f>HYPERLINK("https://cloud.oebiotech.com/#/lm/network/257637", "https://cloud.oebiotech.com/#/lm/network/257637")</f>
        <v>https://cloud.oebiotech.com/#/lm/network/257637</v>
      </c>
      <c r="H2176" s="2" t="s">
        <v>14689</v>
      </c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 t="s">
        <v>14690</v>
      </c>
      <c r="T2176" s="2" t="s">
        <v>14691</v>
      </c>
      <c r="U2176" s="2" t="s">
        <v>266</v>
      </c>
      <c r="V2176" s="2" t="s">
        <v>2432</v>
      </c>
      <c r="W2176" s="2" t="s">
        <v>9828</v>
      </c>
      <c r="X2176" s="2" t="s">
        <v>147</v>
      </c>
      <c r="Y2176" s="2">
        <v>37.200000000000003</v>
      </c>
      <c r="Z2176" s="2">
        <v>0</v>
      </c>
      <c r="AA2176" s="2" t="s">
        <v>218</v>
      </c>
      <c r="AB2176" s="2" t="s">
        <v>14692</v>
      </c>
      <c r="AC2176" s="2">
        <v>4.6618632551072396</v>
      </c>
      <c r="AD2176" s="2"/>
      <c r="AE2176" s="2">
        <v>0.30182837905774401</v>
      </c>
      <c r="AF2176" s="2">
        <v>3812.5350484732598</v>
      </c>
      <c r="AG2176" s="2">
        <v>1489.33925962425</v>
      </c>
      <c r="AH2176" s="5">
        <v>2.5598835348200901</v>
      </c>
      <c r="AI2176" s="5">
        <v>1.3560781744597801</v>
      </c>
      <c r="AJ2176" s="5" t="s">
        <v>139</v>
      </c>
      <c r="AK2176" s="2">
        <v>1.17615028242286E-2</v>
      </c>
      <c r="AL2176" s="2">
        <v>0.17342171897304801</v>
      </c>
      <c r="AM2176" s="2">
        <v>2384.5619513882302</v>
      </c>
      <c r="AN2176" s="2">
        <v>5583.0140044579402</v>
      </c>
      <c r="AO2176" s="2">
        <v>5792.3714905542502</v>
      </c>
      <c r="AP2176" s="2">
        <v>3554.4352108286498</v>
      </c>
      <c r="AQ2176" s="2">
        <v>1992.6862906419999</v>
      </c>
      <c r="AR2176" s="2">
        <v>3568.1413429684899</v>
      </c>
      <c r="AS2176" s="2">
        <v>2490.2816517204601</v>
      </c>
      <c r="AT2176" s="2">
        <v>821.55273231842295</v>
      </c>
      <c r="AU2176" s="2">
        <v>1989.51615147797</v>
      </c>
      <c r="AV2176" s="2">
        <v>8.559877937157E-6</v>
      </c>
      <c r="AW2176" s="2">
        <v>1331.16696823083</v>
      </c>
      <c r="AX2176" s="2">
        <v>2303.5180454379301</v>
      </c>
    </row>
    <row r="2177" spans="1:50" x14ac:dyDescent="0.25">
      <c r="A2177" s="2" t="s">
        <v>14693</v>
      </c>
      <c r="B2177" s="2">
        <v>251.128617681713</v>
      </c>
      <c r="C2177" s="2">
        <v>7.2826500000000003</v>
      </c>
      <c r="D2177" s="2" t="s">
        <v>51</v>
      </c>
      <c r="E2177" s="2" t="s">
        <v>14694</v>
      </c>
      <c r="F2177" s="2">
        <v>2665</v>
      </c>
      <c r="G2177" s="3" t="str">
        <f>HYPERLINK("https://cloud.oebiotech.com/#/lm/network/2665", "https://cloud.oebiotech.com/#/lm/network/2665")</f>
        <v>https://cloud.oebiotech.com/#/lm/network/2665</v>
      </c>
      <c r="H2177" s="2"/>
      <c r="I2177" s="2"/>
      <c r="J2177" s="2" t="s">
        <v>14695</v>
      </c>
      <c r="K2177" s="2">
        <v>86080377</v>
      </c>
      <c r="L2177" s="2"/>
      <c r="M2177" s="2"/>
      <c r="N2177" s="2"/>
      <c r="O2177" s="2"/>
      <c r="P2177" s="2"/>
      <c r="Q2177" s="2"/>
      <c r="R2177" s="2"/>
      <c r="S2177" s="2" t="s">
        <v>14696</v>
      </c>
      <c r="T2177" s="2" t="s">
        <v>14697</v>
      </c>
      <c r="U2177" s="2" t="s">
        <v>56</v>
      </c>
      <c r="V2177" s="2" t="s">
        <v>145</v>
      </c>
      <c r="W2177" s="2" t="s">
        <v>231</v>
      </c>
      <c r="X2177" s="2" t="s">
        <v>83</v>
      </c>
      <c r="Y2177" s="2">
        <v>55.1</v>
      </c>
      <c r="Z2177" s="2">
        <v>19.100000000000001</v>
      </c>
      <c r="AA2177" s="2" t="s">
        <v>156</v>
      </c>
      <c r="AB2177" s="2" t="s">
        <v>14698</v>
      </c>
      <c r="AC2177" s="2">
        <v>3.1036779940568602</v>
      </c>
      <c r="AD2177" s="2"/>
      <c r="AE2177" s="2">
        <v>0.301709632324896</v>
      </c>
      <c r="AF2177" s="2">
        <v>9216.4558982930394</v>
      </c>
      <c r="AG2177" s="2">
        <v>6738.6593068229604</v>
      </c>
      <c r="AH2177" s="5">
        <v>1.3676987481710601</v>
      </c>
      <c r="AI2177" s="5">
        <v>0.45175049456544097</v>
      </c>
      <c r="AJ2177" s="5" t="s">
        <v>139</v>
      </c>
      <c r="AK2177" s="2">
        <v>7.5985230421329E-2</v>
      </c>
      <c r="AL2177" s="2">
        <v>0.35970690181898002</v>
      </c>
      <c r="AM2177" s="2">
        <v>9609.3713912622006</v>
      </c>
      <c r="AN2177" s="2">
        <v>12560.906553851501</v>
      </c>
      <c r="AO2177" s="2">
        <v>7394.7907412848399</v>
      </c>
      <c r="AP2177" s="2">
        <v>10084.7168224451</v>
      </c>
      <c r="AQ2177" s="2">
        <v>5986.2597083394003</v>
      </c>
      <c r="AR2177" s="2">
        <v>9662.6901725751995</v>
      </c>
      <c r="AS2177" s="2">
        <v>8091.0932612999204</v>
      </c>
      <c r="AT2177" s="2">
        <v>6885.2552771863502</v>
      </c>
      <c r="AU2177" s="2">
        <v>9858.4184360571999</v>
      </c>
      <c r="AV2177" s="2">
        <v>3974.6816915900399</v>
      </c>
      <c r="AW2177" s="2">
        <v>5679.4149462465903</v>
      </c>
      <c r="AX2177" s="2">
        <v>5943.0922285576899</v>
      </c>
    </row>
    <row r="2178" spans="1:50" x14ac:dyDescent="0.25">
      <c r="A2178" s="2" t="s">
        <v>14699</v>
      </c>
      <c r="B2178" s="2">
        <v>456.39179999999999</v>
      </c>
      <c r="C2178" s="2">
        <v>27.803000000000001</v>
      </c>
      <c r="D2178" s="2" t="s">
        <v>125</v>
      </c>
      <c r="E2178" s="2" t="s">
        <v>14700</v>
      </c>
      <c r="F2178" s="2">
        <v>43432</v>
      </c>
      <c r="G2178" s="3" t="str">
        <f>HYPERLINK("https://cloud.oebiotech.com/#/lm/network/43432", "https://cloud.oebiotech.com/#/lm/network/43432")</f>
        <v>https://cloud.oebiotech.com/#/lm/network/43432</v>
      </c>
      <c r="H2178" s="2" t="s">
        <v>14701</v>
      </c>
      <c r="I2178" s="2">
        <v>6997</v>
      </c>
      <c r="J2178" s="2" t="s">
        <v>14702</v>
      </c>
      <c r="K2178" s="2">
        <v>91498</v>
      </c>
      <c r="L2178" s="2" t="s">
        <v>14703</v>
      </c>
      <c r="M2178" s="2"/>
      <c r="N2178" s="2"/>
      <c r="O2178" s="2">
        <v>73006</v>
      </c>
      <c r="P2178" s="2"/>
      <c r="Q2178" s="2"/>
      <c r="R2178" s="2" t="s">
        <v>14704</v>
      </c>
      <c r="S2178" s="2" t="s">
        <v>14705</v>
      </c>
      <c r="T2178" s="2" t="s">
        <v>14706</v>
      </c>
      <c r="U2178" s="2" t="s">
        <v>56</v>
      </c>
      <c r="V2178" s="2" t="s">
        <v>283</v>
      </c>
      <c r="W2178" s="2" t="s">
        <v>1108</v>
      </c>
      <c r="X2178" s="2" t="s">
        <v>59</v>
      </c>
      <c r="Y2178" s="2">
        <v>73.5</v>
      </c>
      <c r="Z2178" s="2">
        <v>55.9</v>
      </c>
      <c r="AA2178" s="2"/>
      <c r="AB2178" s="2" t="s">
        <v>7874</v>
      </c>
      <c r="AC2178" s="2"/>
      <c r="AD2178" s="2">
        <v>1097285.0972364401</v>
      </c>
      <c r="AE2178" s="2">
        <v>0.30132278290470699</v>
      </c>
      <c r="AF2178" s="2">
        <v>28292.138272596399</v>
      </c>
      <c r="AG2178" s="2">
        <v>13166.077137005101</v>
      </c>
      <c r="AH2178" s="5">
        <v>2.1488662095923301</v>
      </c>
      <c r="AI2178" s="5">
        <v>1.1035756620275401</v>
      </c>
      <c r="AJ2178" s="5" t="s">
        <v>139</v>
      </c>
      <c r="AK2178" s="2">
        <v>1.9306387162797099E-4</v>
      </c>
      <c r="AL2178" s="2">
        <v>4.19735296205151E-2</v>
      </c>
      <c r="AM2178" s="2">
        <v>33051.557372505398</v>
      </c>
      <c r="AN2178" s="2">
        <v>28715.3143666092</v>
      </c>
      <c r="AO2178" s="2">
        <v>27543.1444870329</v>
      </c>
      <c r="AP2178" s="2">
        <v>31093.952969558501</v>
      </c>
      <c r="AQ2178" s="2">
        <v>22746.591422768499</v>
      </c>
      <c r="AR2178" s="2">
        <v>26602.269017103801</v>
      </c>
      <c r="AS2178" s="2">
        <v>18020.960155171299</v>
      </c>
      <c r="AT2178" s="2">
        <v>17768.078826627501</v>
      </c>
      <c r="AU2178" s="2">
        <v>7178.1720849901503</v>
      </c>
      <c r="AV2178" s="2">
        <v>5666.9787652482601</v>
      </c>
      <c r="AW2178" s="2">
        <v>15258.5059431229</v>
      </c>
      <c r="AX2178" s="2">
        <v>15103.7670468703</v>
      </c>
    </row>
    <row r="2179" spans="1:50" x14ac:dyDescent="0.25">
      <c r="A2179" s="2" t="s">
        <v>14707</v>
      </c>
      <c r="B2179" s="2">
        <v>522.25830530331302</v>
      </c>
      <c r="C2179" s="2">
        <v>10.252599999999999</v>
      </c>
      <c r="D2179" s="2" t="s">
        <v>51</v>
      </c>
      <c r="E2179" s="2" t="s">
        <v>14708</v>
      </c>
      <c r="F2179" s="2">
        <v>22466</v>
      </c>
      <c r="G2179" s="3" t="str">
        <f>HYPERLINK("https://cloud.oebiotech.com/#/lm/network/22466", "https://cloud.oebiotech.com/#/lm/network/22466")</f>
        <v>https://cloud.oebiotech.com/#/lm/network/22466</v>
      </c>
      <c r="H2179" s="2"/>
      <c r="I2179" s="2">
        <v>78863</v>
      </c>
      <c r="J2179" s="2" t="s">
        <v>14709</v>
      </c>
      <c r="K2179" s="2">
        <v>52926303</v>
      </c>
      <c r="L2179" s="2"/>
      <c r="M2179" s="2"/>
      <c r="N2179" s="2"/>
      <c r="O2179" s="2"/>
      <c r="P2179" s="2"/>
      <c r="Q2179" s="2"/>
      <c r="R2179" s="2"/>
      <c r="S2179" s="2" t="s">
        <v>14710</v>
      </c>
      <c r="T2179" s="2" t="s">
        <v>14711</v>
      </c>
      <c r="U2179" s="2" t="s">
        <v>56</v>
      </c>
      <c r="V2179" s="2" t="s">
        <v>57</v>
      </c>
      <c r="W2179" s="2" t="s">
        <v>82</v>
      </c>
      <c r="X2179" s="2" t="s">
        <v>147</v>
      </c>
      <c r="Y2179" s="2">
        <v>37.700000000000003</v>
      </c>
      <c r="Z2179" s="2">
        <v>0</v>
      </c>
      <c r="AA2179" s="2" t="s">
        <v>84</v>
      </c>
      <c r="AB2179" s="2" t="s">
        <v>14712</v>
      </c>
      <c r="AC2179" s="2">
        <v>-1.9798280573264599</v>
      </c>
      <c r="AD2179" s="2"/>
      <c r="AE2179" s="2">
        <v>0.301283562527421</v>
      </c>
      <c r="AF2179" s="2">
        <v>7983.7322910602397</v>
      </c>
      <c r="AG2179" s="2">
        <v>10326.1050215624</v>
      </c>
      <c r="AH2179" s="4">
        <v>0.77316009031372701</v>
      </c>
      <c r="AI2179" s="4">
        <v>-0.37116092577133297</v>
      </c>
      <c r="AJ2179" s="4" t="s">
        <v>62</v>
      </c>
      <c r="AK2179" s="2">
        <v>1.1601427758463199E-2</v>
      </c>
      <c r="AL2179" s="2">
        <v>0.17219419150498999</v>
      </c>
      <c r="AM2179" s="2">
        <v>6088.1208858464597</v>
      </c>
      <c r="AN2179" s="2">
        <v>9806.4823597189097</v>
      </c>
      <c r="AO2179" s="2">
        <v>8339.2084109837397</v>
      </c>
      <c r="AP2179" s="2">
        <v>9013.2037718014999</v>
      </c>
      <c r="AQ2179" s="2">
        <v>7779.5226538700299</v>
      </c>
      <c r="AR2179" s="2">
        <v>6875.8556641407904</v>
      </c>
      <c r="AS2179" s="2">
        <v>8166.5334971370103</v>
      </c>
      <c r="AT2179" s="2">
        <v>11453.081654429099</v>
      </c>
      <c r="AU2179" s="2">
        <v>10745.9673297634</v>
      </c>
      <c r="AV2179" s="2">
        <v>9896.0647932884494</v>
      </c>
      <c r="AW2179" s="2">
        <v>11595.5666615315</v>
      </c>
      <c r="AX2179" s="2">
        <v>10099.416193225101</v>
      </c>
    </row>
    <row r="2180" spans="1:50" x14ac:dyDescent="0.25">
      <c r="A2180" s="2" t="s">
        <v>14713</v>
      </c>
      <c r="B2180" s="2">
        <v>373.21462907727198</v>
      </c>
      <c r="C2180" s="2">
        <v>4.8526333333333298</v>
      </c>
      <c r="D2180" s="2" t="s">
        <v>51</v>
      </c>
      <c r="E2180" s="2" t="s">
        <v>14714</v>
      </c>
      <c r="F2180" s="2">
        <v>200243</v>
      </c>
      <c r="G2180" s="3" t="str">
        <f>HYPERLINK("https://cloud.oebiotech.com/#/lm/network/200243", "https://cloud.oebiotech.com/#/lm/network/200243")</f>
        <v>https://cloud.oebiotech.com/#/lm/network/200243</v>
      </c>
      <c r="H2180" s="2" t="s">
        <v>14715</v>
      </c>
      <c r="I2180" s="2"/>
      <c r="J2180" s="2"/>
      <c r="K2180" s="2">
        <v>536976</v>
      </c>
      <c r="L2180" s="2"/>
      <c r="M2180" s="2"/>
      <c r="N2180" s="2"/>
      <c r="O2180" s="2"/>
      <c r="P2180" s="2"/>
      <c r="Q2180" s="2"/>
      <c r="R2180" s="2"/>
      <c r="S2180" s="2" t="s">
        <v>14716</v>
      </c>
      <c r="T2180" s="2" t="s">
        <v>14717</v>
      </c>
      <c r="U2180" s="2" t="s">
        <v>56</v>
      </c>
      <c r="V2180" s="2" t="s">
        <v>283</v>
      </c>
      <c r="W2180" s="2" t="s">
        <v>3686</v>
      </c>
      <c r="X2180" s="2" t="s">
        <v>147</v>
      </c>
      <c r="Y2180" s="2">
        <v>40</v>
      </c>
      <c r="Z2180" s="2">
        <v>17.3</v>
      </c>
      <c r="AA2180" s="2" t="s">
        <v>395</v>
      </c>
      <c r="AB2180" s="2" t="s">
        <v>14551</v>
      </c>
      <c r="AC2180" s="2">
        <v>2.0225777222756598</v>
      </c>
      <c r="AD2180" s="2"/>
      <c r="AE2180" s="2">
        <v>0.30122550320763503</v>
      </c>
      <c r="AF2180" s="2">
        <v>5068.6840501677098</v>
      </c>
      <c r="AG2180" s="2">
        <v>2534.0479696885</v>
      </c>
      <c r="AH2180" s="5">
        <v>2.0002320835271199</v>
      </c>
      <c r="AI2180" s="5">
        <v>1.0001674031641401</v>
      </c>
      <c r="AJ2180" s="5" t="s">
        <v>139</v>
      </c>
      <c r="AK2180" s="2">
        <v>6.0720449509032798E-2</v>
      </c>
      <c r="AL2180" s="2">
        <v>0.33208680584697498</v>
      </c>
      <c r="AM2180" s="2">
        <v>3683.1399667068499</v>
      </c>
      <c r="AN2180" s="2">
        <v>5049.1308247003299</v>
      </c>
      <c r="AO2180" s="2">
        <v>10194.5970546355</v>
      </c>
      <c r="AP2180" s="2">
        <v>5327.8516786205</v>
      </c>
      <c r="AQ2180" s="2">
        <v>3621.1844144153101</v>
      </c>
      <c r="AR2180" s="2">
        <v>2536.2003619277398</v>
      </c>
      <c r="AS2180" s="2">
        <v>2081.7095157690801</v>
      </c>
      <c r="AT2180" s="2">
        <v>4705.5442413898099</v>
      </c>
      <c r="AU2180" s="2">
        <v>2218.4049963517</v>
      </c>
      <c r="AV2180" s="2">
        <v>1671.0986816913901</v>
      </c>
      <c r="AW2180" s="2">
        <v>1773.88131792688</v>
      </c>
      <c r="AX2180" s="2">
        <v>2753.6490650021401</v>
      </c>
    </row>
    <row r="2181" spans="1:50" x14ac:dyDescent="0.25">
      <c r="A2181" s="2" t="s">
        <v>14718</v>
      </c>
      <c r="B2181" s="2">
        <v>509.02449454123399</v>
      </c>
      <c r="C2181" s="2">
        <v>13.698116666666699</v>
      </c>
      <c r="D2181" s="2" t="s">
        <v>51</v>
      </c>
      <c r="E2181" s="2" t="s">
        <v>14719</v>
      </c>
      <c r="F2181" s="2">
        <v>279916</v>
      </c>
      <c r="G2181" s="3" t="str">
        <f>HYPERLINK("https://cloud.oebiotech.com/#/lm/network/279916", "https://cloud.oebiotech.com/#/lm/network/279916")</f>
        <v>https://cloud.oebiotech.com/#/lm/network/279916</v>
      </c>
      <c r="H2181" s="2"/>
      <c r="I2181" s="2">
        <v>72762</v>
      </c>
      <c r="J2181" s="2"/>
      <c r="K2181" s="2">
        <v>13689</v>
      </c>
      <c r="L2181" s="2" t="s">
        <v>14720</v>
      </c>
      <c r="M2181" s="2"/>
      <c r="N2181" s="2"/>
      <c r="O2181" s="2"/>
      <c r="P2181" s="2"/>
      <c r="Q2181" s="2"/>
      <c r="R2181" s="2" t="s">
        <v>14721</v>
      </c>
      <c r="S2181" s="2" t="s">
        <v>14722</v>
      </c>
      <c r="T2181" s="2" t="s">
        <v>14723</v>
      </c>
      <c r="U2181" s="2" t="s">
        <v>103</v>
      </c>
      <c r="V2181" s="2" t="s">
        <v>1567</v>
      </c>
      <c r="W2181" s="2" t="s">
        <v>1568</v>
      </c>
      <c r="X2181" s="2" t="s">
        <v>147</v>
      </c>
      <c r="Y2181" s="2">
        <v>37</v>
      </c>
      <c r="Z2181" s="2">
        <v>0</v>
      </c>
      <c r="AA2181" s="2" t="s">
        <v>478</v>
      </c>
      <c r="AB2181" s="2" t="s">
        <v>14724</v>
      </c>
      <c r="AC2181" s="2">
        <v>2.4059114269230601</v>
      </c>
      <c r="AD2181" s="2"/>
      <c r="AE2181" s="2">
        <v>0.30118895075609298</v>
      </c>
      <c r="AF2181" s="2">
        <v>9995.9744751867602</v>
      </c>
      <c r="AG2181" s="2">
        <v>11899.5267794597</v>
      </c>
      <c r="AH2181" s="4">
        <v>0.84003126010365703</v>
      </c>
      <c r="AI2181" s="4">
        <v>-0.25148507895146199</v>
      </c>
      <c r="AJ2181" s="4" t="s">
        <v>62</v>
      </c>
      <c r="AK2181" s="2">
        <v>4.2732737411042401E-2</v>
      </c>
      <c r="AL2181" s="2">
        <v>0.29432048957002199</v>
      </c>
      <c r="AM2181" s="2">
        <v>8154.7469778656396</v>
      </c>
      <c r="AN2181" s="2">
        <v>9111.11316328057</v>
      </c>
      <c r="AO2181" s="2">
        <v>9275.5465460488394</v>
      </c>
      <c r="AP2181" s="2">
        <v>11151.4300843078</v>
      </c>
      <c r="AQ2181" s="2">
        <v>12288.888394244101</v>
      </c>
      <c r="AR2181" s="2">
        <v>9994.1216853736205</v>
      </c>
      <c r="AS2181" s="2">
        <v>14428.4792526826</v>
      </c>
      <c r="AT2181" s="2">
        <v>11250.386963451399</v>
      </c>
      <c r="AU2181" s="2">
        <v>11000.8917347852</v>
      </c>
      <c r="AV2181" s="2">
        <v>12217.408830058501</v>
      </c>
      <c r="AW2181" s="2">
        <v>10842.0303742612</v>
      </c>
      <c r="AX2181" s="2">
        <v>11657.963521519399</v>
      </c>
    </row>
    <row r="2182" spans="1:50" x14ac:dyDescent="0.25">
      <c r="A2182" s="2" t="s">
        <v>14725</v>
      </c>
      <c r="B2182" s="2">
        <v>521.42204605930704</v>
      </c>
      <c r="C2182" s="2">
        <v>14.077</v>
      </c>
      <c r="D2182" s="2" t="s">
        <v>51</v>
      </c>
      <c r="E2182" s="2" t="s">
        <v>14726</v>
      </c>
      <c r="F2182" s="2">
        <v>114511</v>
      </c>
      <c r="G2182" s="3" t="str">
        <f>HYPERLINK("https://cloud.oebiotech.com/#/lm/network/114511", "https://cloud.oebiotech.com/#/lm/network/114511")</f>
        <v>https://cloud.oebiotech.com/#/lm/network/114511</v>
      </c>
      <c r="H2182" s="2" t="s">
        <v>14727</v>
      </c>
      <c r="I2182" s="2"/>
      <c r="J2182" s="2"/>
      <c r="K2182" s="2">
        <v>131802453</v>
      </c>
      <c r="L2182" s="2"/>
      <c r="M2182" s="2"/>
      <c r="N2182" s="2"/>
      <c r="O2182" s="2"/>
      <c r="P2182" s="2"/>
      <c r="Q2182" s="2"/>
      <c r="R2182" s="2"/>
      <c r="S2182" s="2" t="s">
        <v>14728</v>
      </c>
      <c r="T2182" s="2" t="s">
        <v>14729</v>
      </c>
      <c r="U2182" s="2" t="s">
        <v>56</v>
      </c>
      <c r="V2182" s="2" t="s">
        <v>3215</v>
      </c>
      <c r="W2182" s="2" t="s">
        <v>3216</v>
      </c>
      <c r="X2182" s="2" t="s">
        <v>69</v>
      </c>
      <c r="Y2182" s="2">
        <v>58.1</v>
      </c>
      <c r="Z2182" s="2">
        <v>91</v>
      </c>
      <c r="AA2182" s="2" t="s">
        <v>95</v>
      </c>
      <c r="AB2182" s="2" t="s">
        <v>14730</v>
      </c>
      <c r="AC2182" s="2">
        <v>8.8285924843629395</v>
      </c>
      <c r="AD2182" s="2"/>
      <c r="AE2182" s="2">
        <v>0.30069650137485998</v>
      </c>
      <c r="AF2182" s="2">
        <v>38993.550982317203</v>
      </c>
      <c r="AG2182" s="2">
        <v>31222.569273186698</v>
      </c>
      <c r="AH2182" s="5">
        <v>1.2488898860672599</v>
      </c>
      <c r="AI2182" s="5">
        <v>0.32064628092678799</v>
      </c>
      <c r="AJ2182" s="5" t="s">
        <v>139</v>
      </c>
      <c r="AK2182" s="2">
        <v>0.422649639436042</v>
      </c>
      <c r="AL2182" s="2">
        <v>0.683406571622166</v>
      </c>
      <c r="AM2182" s="2">
        <v>28520.6016140756</v>
      </c>
      <c r="AN2182" s="2">
        <v>45388.912412513899</v>
      </c>
      <c r="AO2182" s="2">
        <v>35304.943019427999</v>
      </c>
      <c r="AP2182" s="2">
        <v>54967.313026157099</v>
      </c>
      <c r="AQ2182" s="2">
        <v>47576.228925946198</v>
      </c>
      <c r="AR2182" s="2">
        <v>22203.3068957822</v>
      </c>
      <c r="AS2182" s="2">
        <v>12621.6721710855</v>
      </c>
      <c r="AT2182" s="2">
        <v>53573.3427423834</v>
      </c>
      <c r="AU2182" s="2">
        <v>11200.452667322301</v>
      </c>
      <c r="AV2182" s="2">
        <v>19315.890771368799</v>
      </c>
      <c r="AW2182" s="2">
        <v>49289.261461106304</v>
      </c>
      <c r="AX2182" s="2">
        <v>41334.795825854097</v>
      </c>
    </row>
    <row r="2183" spans="1:50" x14ac:dyDescent="0.25">
      <c r="A2183" s="2" t="s">
        <v>14731</v>
      </c>
      <c r="B2183" s="2">
        <v>336.01642650884799</v>
      </c>
      <c r="C2183" s="2">
        <v>0.61653333333333304</v>
      </c>
      <c r="D2183" s="2" t="s">
        <v>51</v>
      </c>
      <c r="E2183" s="2" t="s">
        <v>14732</v>
      </c>
      <c r="F2183" s="2">
        <v>209472</v>
      </c>
      <c r="G2183" s="3" t="str">
        <f>HYPERLINK("https://cloud.oebiotech.com/#/lm/network/209472", "https://cloud.oebiotech.com/#/lm/network/209472")</f>
        <v>https://cloud.oebiotech.com/#/lm/network/209472</v>
      </c>
      <c r="H2183" s="2" t="s">
        <v>14733</v>
      </c>
      <c r="I2183" s="2">
        <v>69621</v>
      </c>
      <c r="J2183" s="2"/>
      <c r="K2183" s="2">
        <v>3272524</v>
      </c>
      <c r="L2183" s="2" t="s">
        <v>14734</v>
      </c>
      <c r="M2183" s="2"/>
      <c r="N2183" s="2"/>
      <c r="O2183" s="2"/>
      <c r="P2183" s="2"/>
      <c r="Q2183" s="2"/>
      <c r="R2183" s="2" t="s">
        <v>14735</v>
      </c>
      <c r="S2183" s="2" t="s">
        <v>14736</v>
      </c>
      <c r="T2183" s="2" t="s">
        <v>14737</v>
      </c>
      <c r="U2183" s="2" t="s">
        <v>610</v>
      </c>
      <c r="V2183" s="2" t="s">
        <v>813</v>
      </c>
      <c r="W2183" s="2" t="s">
        <v>814</v>
      </c>
      <c r="X2183" s="2" t="s">
        <v>147</v>
      </c>
      <c r="Y2183" s="2">
        <v>37</v>
      </c>
      <c r="Z2183" s="2">
        <v>0</v>
      </c>
      <c r="AA2183" s="2" t="s">
        <v>122</v>
      </c>
      <c r="AB2183" s="2" t="s">
        <v>14738</v>
      </c>
      <c r="AC2183" s="2">
        <v>-8.5068073398788593E-2</v>
      </c>
      <c r="AD2183" s="2"/>
      <c r="AE2183" s="2">
        <v>0.30067843709617098</v>
      </c>
      <c r="AF2183" s="2">
        <v>18579.742470761401</v>
      </c>
      <c r="AG2183" s="2">
        <v>22412.490922299199</v>
      </c>
      <c r="AH2183" s="4">
        <v>0.82899051850928096</v>
      </c>
      <c r="AI2183" s="4">
        <v>-0.27057249374277298</v>
      </c>
      <c r="AJ2183" s="4" t="s">
        <v>62</v>
      </c>
      <c r="AK2183" s="2">
        <v>0.29420364611729399</v>
      </c>
      <c r="AL2183" s="2">
        <v>0.60634549190129605</v>
      </c>
      <c r="AM2183" s="2">
        <v>19309.433256733701</v>
      </c>
      <c r="AN2183" s="2">
        <v>20662.6203956877</v>
      </c>
      <c r="AO2183" s="2">
        <v>19469.466259724399</v>
      </c>
      <c r="AP2183" s="2">
        <v>24326.091010309101</v>
      </c>
      <c r="AQ2183" s="2">
        <v>14166.5126089488</v>
      </c>
      <c r="AR2183" s="2">
        <v>13544.3312931646</v>
      </c>
      <c r="AS2183" s="2">
        <v>15454.178606993601</v>
      </c>
      <c r="AT2183" s="2">
        <v>16996.100389985098</v>
      </c>
      <c r="AU2183" s="2">
        <v>20462.098983956301</v>
      </c>
      <c r="AV2183" s="2">
        <v>26236.8438769489</v>
      </c>
      <c r="AW2183" s="2">
        <v>35561.514574807901</v>
      </c>
      <c r="AX2183" s="2">
        <v>19764.209101103501</v>
      </c>
    </row>
    <row r="2184" spans="1:50" x14ac:dyDescent="0.25">
      <c r="A2184" s="2" t="s">
        <v>14739</v>
      </c>
      <c r="B2184" s="2">
        <v>633.44068554331602</v>
      </c>
      <c r="C2184" s="2">
        <v>12.11665</v>
      </c>
      <c r="D2184" s="2" t="s">
        <v>51</v>
      </c>
      <c r="E2184" s="2" t="s">
        <v>14740</v>
      </c>
      <c r="F2184" s="2">
        <v>20051</v>
      </c>
      <c r="G2184" s="3" t="str">
        <f>HYPERLINK("https://cloud.oebiotech.com/#/lm/network/20051", "https://cloud.oebiotech.com/#/lm/network/20051")</f>
        <v>https://cloud.oebiotech.com/#/lm/network/20051</v>
      </c>
      <c r="H2184" s="2"/>
      <c r="I2184" s="2">
        <v>76597</v>
      </c>
      <c r="J2184" s="2" t="s">
        <v>14741</v>
      </c>
      <c r="K2184" s="2">
        <v>52924069</v>
      </c>
      <c r="L2184" s="2"/>
      <c r="M2184" s="2"/>
      <c r="N2184" s="2"/>
      <c r="O2184" s="2"/>
      <c r="P2184" s="2"/>
      <c r="Q2184" s="2"/>
      <c r="R2184" s="2"/>
      <c r="S2184" s="2" t="s">
        <v>14742</v>
      </c>
      <c r="T2184" s="2" t="s">
        <v>14743</v>
      </c>
      <c r="U2184" s="2" t="s">
        <v>56</v>
      </c>
      <c r="V2184" s="2" t="s">
        <v>57</v>
      </c>
      <c r="W2184" s="2" t="s">
        <v>155</v>
      </c>
      <c r="X2184" s="2" t="s">
        <v>83</v>
      </c>
      <c r="Y2184" s="2">
        <v>47.1</v>
      </c>
      <c r="Z2184" s="2">
        <v>0</v>
      </c>
      <c r="AA2184" s="2" t="s">
        <v>122</v>
      </c>
      <c r="AB2184" s="2" t="s">
        <v>14744</v>
      </c>
      <c r="AC2184" s="2">
        <v>5.8897725003049803</v>
      </c>
      <c r="AD2184" s="2"/>
      <c r="AE2184" s="2">
        <v>0.30056310187059798</v>
      </c>
      <c r="AF2184" s="2">
        <v>23302.536977960201</v>
      </c>
      <c r="AG2184" s="2">
        <v>27214.358227214601</v>
      </c>
      <c r="AH2184" s="4">
        <v>0.85625891977336799</v>
      </c>
      <c r="AI2184" s="4">
        <v>-0.223880983085053</v>
      </c>
      <c r="AJ2184" s="4" t="s">
        <v>62</v>
      </c>
      <c r="AK2184" s="2">
        <v>0.390070936410711</v>
      </c>
      <c r="AL2184" s="2">
        <v>0.66483118389622697</v>
      </c>
      <c r="AM2184" s="2">
        <v>16752.3417400908</v>
      </c>
      <c r="AN2184" s="2">
        <v>17934.842453547</v>
      </c>
      <c r="AO2184" s="2">
        <v>24272.772904880301</v>
      </c>
      <c r="AP2184" s="2">
        <v>21704.954709595699</v>
      </c>
      <c r="AQ2184" s="2">
        <v>31866.0740984367</v>
      </c>
      <c r="AR2184" s="2">
        <v>27284.235961210801</v>
      </c>
      <c r="AS2184" s="2">
        <v>41957.645507412002</v>
      </c>
      <c r="AT2184" s="2">
        <v>31141.959902447299</v>
      </c>
      <c r="AU2184" s="2">
        <v>21299.499384718099</v>
      </c>
      <c r="AV2184" s="2">
        <v>16649.618565116802</v>
      </c>
      <c r="AW2184" s="2">
        <v>29475.347229762501</v>
      </c>
      <c r="AX2184" s="2">
        <v>22762.078773830799</v>
      </c>
    </row>
    <row r="2185" spans="1:50" x14ac:dyDescent="0.25">
      <c r="A2185" s="2" t="s">
        <v>14745</v>
      </c>
      <c r="B2185" s="2">
        <v>408.04849319312302</v>
      </c>
      <c r="C2185" s="2">
        <v>4.3658666666666699</v>
      </c>
      <c r="D2185" s="2" t="s">
        <v>51</v>
      </c>
      <c r="E2185" s="2" t="s">
        <v>14746</v>
      </c>
      <c r="F2185" s="2">
        <v>207900</v>
      </c>
      <c r="G2185" s="3" t="str">
        <f>HYPERLINK("https://cloud.oebiotech.com/#/lm/network/207900", "https://cloud.oebiotech.com/#/lm/network/207900")</f>
        <v>https://cloud.oebiotech.com/#/lm/network/207900</v>
      </c>
      <c r="H2185" s="2" t="s">
        <v>14747</v>
      </c>
      <c r="I2185" s="2"/>
      <c r="J2185" s="2"/>
      <c r="K2185" s="2">
        <v>127044</v>
      </c>
      <c r="L2185" s="2"/>
      <c r="M2185" s="2"/>
      <c r="N2185" s="2"/>
      <c r="O2185" s="2"/>
      <c r="P2185" s="2"/>
      <c r="Q2185" s="2"/>
      <c r="R2185" s="2"/>
      <c r="S2185" s="2" t="s">
        <v>14748</v>
      </c>
      <c r="T2185" s="2" t="s">
        <v>14749</v>
      </c>
      <c r="U2185" s="2" t="s">
        <v>266</v>
      </c>
      <c r="V2185" s="2" t="s">
        <v>10063</v>
      </c>
      <c r="W2185" s="2" t="s">
        <v>240</v>
      </c>
      <c r="X2185" s="2" t="s">
        <v>147</v>
      </c>
      <c r="Y2185" s="2">
        <v>37.799999999999997</v>
      </c>
      <c r="Z2185" s="2">
        <v>0.17199999999999999</v>
      </c>
      <c r="AA2185" s="2" t="s">
        <v>379</v>
      </c>
      <c r="AB2185" s="2" t="s">
        <v>14750</v>
      </c>
      <c r="AC2185" s="2">
        <v>4.4319871165595002</v>
      </c>
      <c r="AD2185" s="2"/>
      <c r="AE2185" s="2">
        <v>0.30048907339035202</v>
      </c>
      <c r="AF2185" s="2">
        <v>2871.1493734359501</v>
      </c>
      <c r="AG2185" s="2">
        <v>16283.991650445299</v>
      </c>
      <c r="AH2185" s="4">
        <v>0.17631729584910699</v>
      </c>
      <c r="AI2185" s="4">
        <v>-2.5037540920850301</v>
      </c>
      <c r="AJ2185" s="4" t="s">
        <v>62</v>
      </c>
      <c r="AK2185" s="2">
        <v>0.43010159680427701</v>
      </c>
      <c r="AL2185" s="2">
        <v>0.68819175824183598</v>
      </c>
      <c r="AM2185" s="2">
        <v>1207.32268987765</v>
      </c>
      <c r="AN2185" s="2">
        <v>5659.6472965637004</v>
      </c>
      <c r="AO2185" s="2">
        <v>10359.9262284947</v>
      </c>
      <c r="AP2185" s="2">
        <v>8.559877937157E-6</v>
      </c>
      <c r="AQ2185" s="2">
        <v>8.559877937157E-6</v>
      </c>
      <c r="AR2185" s="2">
        <v>8.559877937157E-6</v>
      </c>
      <c r="AS2185" s="2">
        <v>8.559877937157E-6</v>
      </c>
      <c r="AT2185" s="2">
        <v>8.559877937157E-6</v>
      </c>
      <c r="AU2185" s="2">
        <v>97376.875562738802</v>
      </c>
      <c r="AV2185" s="2">
        <v>8.559877937157E-6</v>
      </c>
      <c r="AW2185" s="2">
        <v>327.07430569343302</v>
      </c>
      <c r="AX2185" s="2">
        <v>8.559877937157E-6</v>
      </c>
    </row>
    <row r="2186" spans="1:50" x14ac:dyDescent="0.25">
      <c r="A2186" s="2" t="s">
        <v>14751</v>
      </c>
      <c r="B2186" s="2">
        <v>260.03549627701398</v>
      </c>
      <c r="C2186" s="2">
        <v>6.9113499999999997</v>
      </c>
      <c r="D2186" s="2" t="s">
        <v>51</v>
      </c>
      <c r="E2186" s="2" t="s">
        <v>14752</v>
      </c>
      <c r="F2186" s="2">
        <v>197316</v>
      </c>
      <c r="G2186" s="3" t="str">
        <f>HYPERLINK("https://cloud.oebiotech.com/#/lm/network/197316", "https://cloud.oebiotech.com/#/lm/network/197316")</f>
        <v>https://cloud.oebiotech.com/#/lm/network/197316</v>
      </c>
      <c r="H2186" s="2" t="s">
        <v>14753</v>
      </c>
      <c r="I2186" s="2"/>
      <c r="J2186" s="2"/>
      <c r="K2186" s="2">
        <v>122198220</v>
      </c>
      <c r="L2186" s="2"/>
      <c r="M2186" s="2"/>
      <c r="N2186" s="2"/>
      <c r="O2186" s="2">
        <v>133707</v>
      </c>
      <c r="P2186" s="2"/>
      <c r="Q2186" s="2"/>
      <c r="R2186" s="2"/>
      <c r="S2186" s="2" t="s">
        <v>14754</v>
      </c>
      <c r="T2186" s="2" t="s">
        <v>14755</v>
      </c>
      <c r="U2186" s="2" t="s">
        <v>103</v>
      </c>
      <c r="V2186" s="2" t="s">
        <v>4820</v>
      </c>
      <c r="W2186" s="2" t="s">
        <v>4821</v>
      </c>
      <c r="X2186" s="2" t="s">
        <v>147</v>
      </c>
      <c r="Y2186" s="2">
        <v>37.1</v>
      </c>
      <c r="Z2186" s="2">
        <v>0</v>
      </c>
      <c r="AA2186" s="2" t="s">
        <v>179</v>
      </c>
      <c r="AB2186" s="2" t="s">
        <v>14756</v>
      </c>
      <c r="AC2186" s="2">
        <v>2.2614378046821799</v>
      </c>
      <c r="AD2186" s="2"/>
      <c r="AE2186" s="2">
        <v>0.30036294467197899</v>
      </c>
      <c r="AF2186" s="2">
        <v>4978.1517786432396</v>
      </c>
      <c r="AG2186" s="2">
        <v>8467.3872239772809</v>
      </c>
      <c r="AH2186" s="4">
        <v>0.58792064741606498</v>
      </c>
      <c r="AI2186" s="4">
        <v>-0.76630664952786098</v>
      </c>
      <c r="AJ2186" s="4" t="s">
        <v>62</v>
      </c>
      <c r="AK2186" s="2">
        <v>0.14974796175282201</v>
      </c>
      <c r="AL2186" s="2">
        <v>0.470571123844368</v>
      </c>
      <c r="AM2186" s="2">
        <v>4586.9052192560102</v>
      </c>
      <c r="AN2186" s="2">
        <v>3784.2035157659998</v>
      </c>
      <c r="AO2186" s="2">
        <v>7585.7669102582904</v>
      </c>
      <c r="AP2186" s="2">
        <v>360.54783277704701</v>
      </c>
      <c r="AQ2186" s="2">
        <v>4257.6702913191702</v>
      </c>
      <c r="AR2186" s="2">
        <v>9293.8169024829203</v>
      </c>
      <c r="AS2186" s="2">
        <v>6468.2535980295397</v>
      </c>
      <c r="AT2186" s="2">
        <v>5817.0840959818397</v>
      </c>
      <c r="AU2186" s="2">
        <v>9053.5972045443395</v>
      </c>
      <c r="AV2186" s="2">
        <v>14441.058763176099</v>
      </c>
      <c r="AW2186" s="2">
        <v>12626.140541213401</v>
      </c>
      <c r="AX2186" s="2">
        <v>2398.18914091846</v>
      </c>
    </row>
    <row r="2187" spans="1:50" x14ac:dyDescent="0.25">
      <c r="A2187" s="2" t="s">
        <v>14757</v>
      </c>
      <c r="B2187" s="2">
        <v>317.114378586116</v>
      </c>
      <c r="C2187" s="2">
        <v>5.2056333333333296</v>
      </c>
      <c r="D2187" s="2" t="s">
        <v>51</v>
      </c>
      <c r="E2187" s="2" t="s">
        <v>14758</v>
      </c>
      <c r="F2187" s="2">
        <v>204498</v>
      </c>
      <c r="G2187" s="3" t="str">
        <f>HYPERLINK("https://cloud.oebiotech.com/#/lm/network/204498", "https://cloud.oebiotech.com/#/lm/network/204498")</f>
        <v>https://cloud.oebiotech.com/#/lm/network/204498</v>
      </c>
      <c r="H2187" s="2" t="s">
        <v>14759</v>
      </c>
      <c r="I2187" s="2"/>
      <c r="J2187" s="2"/>
      <c r="K2187" s="2">
        <v>65892</v>
      </c>
      <c r="L2187" s="2"/>
      <c r="M2187" s="2"/>
      <c r="N2187" s="2"/>
      <c r="O2187" s="2"/>
      <c r="P2187" s="2"/>
      <c r="Q2187" s="2"/>
      <c r="R2187" s="2"/>
      <c r="S2187" s="2" t="s">
        <v>14760</v>
      </c>
      <c r="T2187" s="2" t="s">
        <v>14761</v>
      </c>
      <c r="U2187" s="2" t="s">
        <v>610</v>
      </c>
      <c r="V2187" s="2" t="s">
        <v>14762</v>
      </c>
      <c r="W2187" s="2" t="s">
        <v>240</v>
      </c>
      <c r="X2187" s="2" t="s">
        <v>83</v>
      </c>
      <c r="Y2187" s="2">
        <v>49.3</v>
      </c>
      <c r="Z2187" s="2">
        <v>0</v>
      </c>
      <c r="AA2187" s="2" t="s">
        <v>218</v>
      </c>
      <c r="AB2187" s="2" t="s">
        <v>14763</v>
      </c>
      <c r="AC2187" s="2">
        <v>0.30624692160772499</v>
      </c>
      <c r="AD2187" s="2"/>
      <c r="AE2187" s="2">
        <v>0.30026310973599801</v>
      </c>
      <c r="AF2187" s="2">
        <v>24051.6878824345</v>
      </c>
      <c r="AG2187" s="2">
        <v>32571.026531880099</v>
      </c>
      <c r="AH2187" s="4">
        <v>0.738438128712122</v>
      </c>
      <c r="AI2187" s="4">
        <v>-0.43745104747827102</v>
      </c>
      <c r="AJ2187" s="4" t="s">
        <v>62</v>
      </c>
      <c r="AK2187" s="2">
        <v>0.62737461068479905</v>
      </c>
      <c r="AL2187" s="2">
        <v>0.81682523325343204</v>
      </c>
      <c r="AM2187" s="2">
        <v>31469.950230620401</v>
      </c>
      <c r="AN2187" s="2">
        <v>30210.7703633655</v>
      </c>
      <c r="AO2187" s="2">
        <v>23018.799447518701</v>
      </c>
      <c r="AP2187" s="2">
        <v>22483.243344697399</v>
      </c>
      <c r="AQ2187" s="2">
        <v>19426.931386636101</v>
      </c>
      <c r="AR2187" s="2">
        <v>17700.4325217687</v>
      </c>
      <c r="AS2187" s="2">
        <v>114439.285927221</v>
      </c>
      <c r="AT2187" s="2">
        <v>32990.708145559998</v>
      </c>
      <c r="AU2187" s="2">
        <v>4872.0706460763104</v>
      </c>
      <c r="AV2187" s="2">
        <v>18233.979374509599</v>
      </c>
      <c r="AW2187" s="2">
        <v>8015.6671810736698</v>
      </c>
      <c r="AX2187" s="2">
        <v>16874.447916840301</v>
      </c>
    </row>
    <row r="2188" spans="1:50" x14ac:dyDescent="0.25">
      <c r="A2188" s="2" t="s">
        <v>14764</v>
      </c>
      <c r="B2188" s="2">
        <v>246.089524807814</v>
      </c>
      <c r="C2188" s="2">
        <v>4.8935333333333304</v>
      </c>
      <c r="D2188" s="2" t="s">
        <v>51</v>
      </c>
      <c r="E2188" s="2" t="s">
        <v>14765</v>
      </c>
      <c r="F2188" s="2">
        <v>202385</v>
      </c>
      <c r="G2188" s="3" t="str">
        <f>HYPERLINK("https://cloud.oebiotech.com/#/lm/network/202385", "https://cloud.oebiotech.com/#/lm/network/202385")</f>
        <v>https://cloud.oebiotech.com/#/lm/network/202385</v>
      </c>
      <c r="H2188" s="2" t="s">
        <v>14766</v>
      </c>
      <c r="I2188" s="2"/>
      <c r="J2188" s="2"/>
      <c r="K2188" s="2">
        <v>122132</v>
      </c>
      <c r="L2188" s="2"/>
      <c r="M2188" s="2"/>
      <c r="N2188" s="2"/>
      <c r="O2188" s="2"/>
      <c r="P2188" s="2"/>
      <c r="Q2188" s="2"/>
      <c r="R2188" s="2"/>
      <c r="S2188" s="2" t="s">
        <v>14767</v>
      </c>
      <c r="T2188" s="2" t="s">
        <v>14768</v>
      </c>
      <c r="U2188" s="2" t="s">
        <v>610</v>
      </c>
      <c r="V2188" s="2" t="s">
        <v>9501</v>
      </c>
      <c r="W2188" s="2" t="s">
        <v>240</v>
      </c>
      <c r="X2188" s="2" t="s">
        <v>147</v>
      </c>
      <c r="Y2188" s="2">
        <v>39.1</v>
      </c>
      <c r="Z2188" s="2">
        <v>7.86</v>
      </c>
      <c r="AA2188" s="2" t="s">
        <v>395</v>
      </c>
      <c r="AB2188" s="2" t="s">
        <v>11143</v>
      </c>
      <c r="AC2188" s="2">
        <v>2.11435963866878</v>
      </c>
      <c r="AD2188" s="2"/>
      <c r="AE2188" s="2">
        <v>0.30020111476933398</v>
      </c>
      <c r="AF2188" s="2">
        <v>1756.49384477795</v>
      </c>
      <c r="AG2188" s="2">
        <v>4885.8086805417697</v>
      </c>
      <c r="AH2188" s="4">
        <v>0.35950933809041002</v>
      </c>
      <c r="AI2188" s="4">
        <v>-1.4758988503931401</v>
      </c>
      <c r="AJ2188" s="4" t="s">
        <v>62</v>
      </c>
      <c r="AK2188" s="2">
        <v>6.9332089076427295E-2</v>
      </c>
      <c r="AL2188" s="2">
        <v>0.34853904559419902</v>
      </c>
      <c r="AM2188" s="2">
        <v>2948.1147691568199</v>
      </c>
      <c r="AN2188" s="2">
        <v>1412.02487087131</v>
      </c>
      <c r="AO2188" s="2">
        <v>1650.4139592507499</v>
      </c>
      <c r="AP2188" s="2">
        <v>201.466531023111</v>
      </c>
      <c r="AQ2188" s="2">
        <v>720.43113677387998</v>
      </c>
      <c r="AR2188" s="2">
        <v>3606.5118015918301</v>
      </c>
      <c r="AS2188" s="2">
        <v>2476.78882128541</v>
      </c>
      <c r="AT2188" s="2">
        <v>3468.1977842443598</v>
      </c>
      <c r="AU2188" s="2">
        <v>5796.7658339879099</v>
      </c>
      <c r="AV2188" s="2">
        <v>4578.8888250700202</v>
      </c>
      <c r="AW2188" s="2">
        <v>11427.201625817001</v>
      </c>
      <c r="AX2188" s="2">
        <v>1567.0091928459101</v>
      </c>
    </row>
    <row r="2189" spans="1:50" x14ac:dyDescent="0.25">
      <c r="A2189" s="2" t="s">
        <v>14769</v>
      </c>
      <c r="B2189" s="2">
        <v>494.36210797196401</v>
      </c>
      <c r="C2189" s="2">
        <v>11.999083333333299</v>
      </c>
      <c r="D2189" s="2" t="s">
        <v>51</v>
      </c>
      <c r="E2189" s="2" t="s">
        <v>14770</v>
      </c>
      <c r="F2189" s="2">
        <v>21255</v>
      </c>
      <c r="G2189" s="3" t="str">
        <f>HYPERLINK("https://cloud.oebiotech.com/#/lm/network/21255", "https://cloud.oebiotech.com/#/lm/network/21255")</f>
        <v>https://cloud.oebiotech.com/#/lm/network/21255</v>
      </c>
      <c r="H2189" s="2"/>
      <c r="I2189" s="2"/>
      <c r="J2189" s="2" t="s">
        <v>14771</v>
      </c>
      <c r="K2189" s="2">
        <v>137323925</v>
      </c>
      <c r="L2189" s="2"/>
      <c r="M2189" s="2"/>
      <c r="N2189" s="2"/>
      <c r="O2189" s="2"/>
      <c r="P2189" s="2"/>
      <c r="Q2189" s="2"/>
      <c r="R2189" s="2"/>
      <c r="S2189" s="2" t="s">
        <v>14772</v>
      </c>
      <c r="T2189" s="2" t="s">
        <v>14773</v>
      </c>
      <c r="U2189" s="2" t="s">
        <v>56</v>
      </c>
      <c r="V2189" s="2" t="s">
        <v>57</v>
      </c>
      <c r="W2189" s="2" t="s">
        <v>155</v>
      </c>
      <c r="X2189" s="2" t="s">
        <v>83</v>
      </c>
      <c r="Y2189" s="2">
        <v>47.8</v>
      </c>
      <c r="Z2189" s="2">
        <v>0</v>
      </c>
      <c r="AA2189" s="2" t="s">
        <v>156</v>
      </c>
      <c r="AB2189" s="2" t="s">
        <v>14774</v>
      </c>
      <c r="AC2189" s="2">
        <v>3.1416351643701801</v>
      </c>
      <c r="AD2189" s="2"/>
      <c r="AE2189" s="2">
        <v>0.29995095142984401</v>
      </c>
      <c r="AF2189" s="2">
        <v>90598.707008091704</v>
      </c>
      <c r="AG2189" s="2">
        <v>84378.069595321998</v>
      </c>
      <c r="AH2189" s="5">
        <v>1.07372339095459</v>
      </c>
      <c r="AI2189" s="5">
        <v>0.1026223788948</v>
      </c>
      <c r="AJ2189" s="5" t="s">
        <v>139</v>
      </c>
      <c r="AK2189" s="2">
        <v>0.70271604626436301</v>
      </c>
      <c r="AL2189" s="2">
        <v>0.85738289491811004</v>
      </c>
      <c r="AM2189" s="2">
        <v>124687.73788364101</v>
      </c>
      <c r="AN2189" s="2">
        <v>99171.651854651602</v>
      </c>
      <c r="AO2189" s="2">
        <v>69610.899071125707</v>
      </c>
      <c r="AP2189" s="2">
        <v>55628.642341978302</v>
      </c>
      <c r="AQ2189" s="2">
        <v>109308.292467928</v>
      </c>
      <c r="AR2189" s="2">
        <v>85185.018429225893</v>
      </c>
      <c r="AS2189" s="2">
        <v>59482.235280640598</v>
      </c>
      <c r="AT2189" s="2">
        <v>46205.692002827796</v>
      </c>
      <c r="AU2189" s="2">
        <v>109353.798490014</v>
      </c>
      <c r="AV2189" s="2">
        <v>100914.61103381</v>
      </c>
      <c r="AW2189" s="2">
        <v>117953.97468737701</v>
      </c>
      <c r="AX2189" s="2">
        <v>72358.106077262302</v>
      </c>
    </row>
    <row r="2190" spans="1:50" x14ac:dyDescent="0.25">
      <c r="A2190" s="2" t="s">
        <v>14775</v>
      </c>
      <c r="B2190" s="2">
        <v>243.12356976764099</v>
      </c>
      <c r="C2190" s="2">
        <v>4.6849833333333297</v>
      </c>
      <c r="D2190" s="2" t="s">
        <v>51</v>
      </c>
      <c r="E2190" s="2" t="s">
        <v>14776</v>
      </c>
      <c r="F2190" s="2">
        <v>10303</v>
      </c>
      <c r="G2190" s="3" t="str">
        <f>HYPERLINK("https://cloud.oebiotech.com/#/lm/network/10303", "https://cloud.oebiotech.com/#/lm/network/10303")</f>
        <v>https://cloud.oebiotech.com/#/lm/network/10303</v>
      </c>
      <c r="H2190" s="2"/>
      <c r="I2190" s="2"/>
      <c r="J2190" s="2" t="s">
        <v>14777</v>
      </c>
      <c r="K2190" s="2">
        <v>86289663</v>
      </c>
      <c r="L2190" s="2"/>
      <c r="M2190" s="2"/>
      <c r="N2190" s="2"/>
      <c r="O2190" s="2">
        <v>78841</v>
      </c>
      <c r="P2190" s="2"/>
      <c r="Q2190" s="2"/>
      <c r="R2190" s="2"/>
      <c r="S2190" s="2" t="s">
        <v>14778</v>
      </c>
      <c r="T2190" s="2" t="s">
        <v>14779</v>
      </c>
      <c r="U2190" s="2" t="s">
        <v>331</v>
      </c>
      <c r="V2190" s="2" t="s">
        <v>332</v>
      </c>
      <c r="W2190" s="2" t="s">
        <v>333</v>
      </c>
      <c r="X2190" s="2" t="s">
        <v>83</v>
      </c>
      <c r="Y2190" s="2">
        <v>45.7</v>
      </c>
      <c r="Z2190" s="2">
        <v>10.6</v>
      </c>
      <c r="AA2190" s="2" t="s">
        <v>379</v>
      </c>
      <c r="AB2190" s="2" t="s">
        <v>14780</v>
      </c>
      <c r="AC2190" s="2">
        <v>-0.86798594933505002</v>
      </c>
      <c r="AD2190" s="2"/>
      <c r="AE2190" s="2">
        <v>0.29968247372573498</v>
      </c>
      <c r="AF2190" s="2">
        <v>4459.4127583029103</v>
      </c>
      <c r="AG2190" s="2">
        <v>2432.1371594020102</v>
      </c>
      <c r="AH2190" s="5">
        <v>1.8335367070331501</v>
      </c>
      <c r="AI2190" s="5">
        <v>0.87462914880092402</v>
      </c>
      <c r="AJ2190" s="5" t="s">
        <v>139</v>
      </c>
      <c r="AK2190" s="2">
        <v>0.13653940444874499</v>
      </c>
      <c r="AL2190" s="2">
        <v>0.45714014015627302</v>
      </c>
      <c r="AM2190" s="2">
        <v>10247.9767734951</v>
      </c>
      <c r="AN2190" s="2">
        <v>4990.5968394346</v>
      </c>
      <c r="AO2190" s="2">
        <v>3036.3045329145002</v>
      </c>
      <c r="AP2190" s="2">
        <v>2789.4897542282301</v>
      </c>
      <c r="AQ2190" s="2">
        <v>2200.2500672494002</v>
      </c>
      <c r="AR2190" s="2">
        <v>3491.8585824956599</v>
      </c>
      <c r="AS2190" s="2">
        <v>2462.1747302328999</v>
      </c>
      <c r="AT2190" s="2">
        <v>2476.46027601694</v>
      </c>
      <c r="AU2190" s="2">
        <v>3369.0439063958702</v>
      </c>
      <c r="AV2190" s="2">
        <v>1518.72212399111</v>
      </c>
      <c r="AW2190" s="2">
        <v>1799.5485600751599</v>
      </c>
      <c r="AX2190" s="2">
        <v>2966.8733597000701</v>
      </c>
    </row>
    <row r="2191" spans="1:50" x14ac:dyDescent="0.25">
      <c r="A2191" s="2" t="s">
        <v>14781</v>
      </c>
      <c r="B2191" s="2">
        <v>328.32192468198798</v>
      </c>
      <c r="C2191" s="2">
        <v>13.1599</v>
      </c>
      <c r="D2191" s="2" t="s">
        <v>51</v>
      </c>
      <c r="E2191" s="2" t="s">
        <v>14782</v>
      </c>
      <c r="F2191" s="2">
        <v>9060</v>
      </c>
      <c r="G2191" s="3" t="str">
        <f>HYPERLINK("https://cloud.oebiotech.com/#/lm/network/9060", "https://cloud.oebiotech.com/#/lm/network/9060")</f>
        <v>https://cloud.oebiotech.com/#/lm/network/9060</v>
      </c>
      <c r="H2191" s="2" t="s">
        <v>14783</v>
      </c>
      <c r="I2191" s="2">
        <v>3720</v>
      </c>
      <c r="J2191" s="2" t="s">
        <v>14784</v>
      </c>
      <c r="K2191" s="2">
        <v>27902</v>
      </c>
      <c r="L2191" s="2"/>
      <c r="M2191" s="2"/>
      <c r="N2191" s="2"/>
      <c r="O2191" s="2">
        <v>85299</v>
      </c>
      <c r="P2191" s="2" t="s">
        <v>14785</v>
      </c>
      <c r="Q2191" s="2" t="s">
        <v>14786</v>
      </c>
      <c r="R2191" s="2" t="s">
        <v>14787</v>
      </c>
      <c r="S2191" s="2" t="s">
        <v>14788</v>
      </c>
      <c r="T2191" s="2" t="s">
        <v>14789</v>
      </c>
      <c r="U2191" s="2" t="s">
        <v>119</v>
      </c>
      <c r="V2191" s="2" t="s">
        <v>120</v>
      </c>
      <c r="W2191" s="2" t="s">
        <v>1887</v>
      </c>
      <c r="X2191" s="2" t="s">
        <v>83</v>
      </c>
      <c r="Y2191" s="2">
        <v>50.6</v>
      </c>
      <c r="Z2191" s="2">
        <v>0</v>
      </c>
      <c r="AA2191" s="2" t="s">
        <v>259</v>
      </c>
      <c r="AB2191" s="2" t="s">
        <v>14790</v>
      </c>
      <c r="AC2191" s="2">
        <v>2.8067603486141302</v>
      </c>
      <c r="AD2191" s="2"/>
      <c r="AE2191" s="2">
        <v>0.299635699497934</v>
      </c>
      <c r="AF2191" s="2">
        <v>10163.5599948007</v>
      </c>
      <c r="AG2191" s="2">
        <v>7373.1238125844602</v>
      </c>
      <c r="AH2191" s="5">
        <v>1.37846050780452</v>
      </c>
      <c r="AI2191" s="5">
        <v>0.46305793545784102</v>
      </c>
      <c r="AJ2191" s="5" t="s">
        <v>139</v>
      </c>
      <c r="AK2191" s="2">
        <v>9.9874011979136604E-2</v>
      </c>
      <c r="AL2191" s="2">
        <v>0.40172900346892498</v>
      </c>
      <c r="AM2191" s="2">
        <v>10538.248436731899</v>
      </c>
      <c r="AN2191" s="2">
        <v>10821.8481451718</v>
      </c>
      <c r="AO2191" s="2">
        <v>10261.6668025705</v>
      </c>
      <c r="AP2191" s="2">
        <v>7390.3630535420198</v>
      </c>
      <c r="AQ2191" s="2">
        <v>15698.3109776949</v>
      </c>
      <c r="AR2191" s="2">
        <v>6270.92255309333</v>
      </c>
      <c r="AS2191" s="2">
        <v>4600.03806119621</v>
      </c>
      <c r="AT2191" s="2">
        <v>7047.4474880070302</v>
      </c>
      <c r="AU2191" s="2">
        <v>8154.7053647101102</v>
      </c>
      <c r="AV2191" s="2">
        <v>7106.1230967552101</v>
      </c>
      <c r="AW2191" s="2">
        <v>10273.2692168585</v>
      </c>
      <c r="AX2191" s="2">
        <v>7057.1596479797099</v>
      </c>
    </row>
    <row r="2192" spans="1:50" x14ac:dyDescent="0.25">
      <c r="A2192" s="2" t="s">
        <v>14791</v>
      </c>
      <c r="B2192" s="2">
        <v>305.10077814273302</v>
      </c>
      <c r="C2192" s="2">
        <v>5.0147000000000004</v>
      </c>
      <c r="D2192" s="2" t="s">
        <v>51</v>
      </c>
      <c r="E2192" s="2" t="s">
        <v>14792</v>
      </c>
      <c r="F2192" s="2">
        <v>202347</v>
      </c>
      <c r="G2192" s="3" t="str">
        <f>HYPERLINK("https://cloud.oebiotech.com/#/lm/network/202347", "https://cloud.oebiotech.com/#/lm/network/202347")</f>
        <v>https://cloud.oebiotech.com/#/lm/network/202347</v>
      </c>
      <c r="H2192" s="2" t="s">
        <v>14793</v>
      </c>
      <c r="I2192" s="2"/>
      <c r="J2192" s="2"/>
      <c r="K2192" s="2">
        <v>3782617</v>
      </c>
      <c r="L2192" s="2"/>
      <c r="M2192" s="2"/>
      <c r="N2192" s="2"/>
      <c r="O2192" s="2"/>
      <c r="P2192" s="2"/>
      <c r="Q2192" s="2"/>
      <c r="R2192" s="2"/>
      <c r="S2192" s="2" t="s">
        <v>14794</v>
      </c>
      <c r="T2192" s="2" t="s">
        <v>14795</v>
      </c>
      <c r="U2192" s="2" t="s">
        <v>266</v>
      </c>
      <c r="V2192" s="2" t="s">
        <v>2143</v>
      </c>
      <c r="W2192" s="2" t="s">
        <v>2624</v>
      </c>
      <c r="X2192" s="2" t="s">
        <v>147</v>
      </c>
      <c r="Y2192" s="2">
        <v>40.700000000000003</v>
      </c>
      <c r="Z2192" s="2">
        <v>9.27</v>
      </c>
      <c r="AA2192" s="2" t="s">
        <v>478</v>
      </c>
      <c r="AB2192" s="2" t="s">
        <v>14796</v>
      </c>
      <c r="AC2192" s="2">
        <v>1.3120178763693999</v>
      </c>
      <c r="AD2192" s="2"/>
      <c r="AE2192" s="2">
        <v>0.29962211522744903</v>
      </c>
      <c r="AF2192" s="2">
        <v>5826.97952097703</v>
      </c>
      <c r="AG2192" s="2">
        <v>3086.8558724806198</v>
      </c>
      <c r="AH2192" s="5">
        <v>1.88767463130516</v>
      </c>
      <c r="AI2192" s="5">
        <v>0.91661011625967403</v>
      </c>
      <c r="AJ2192" s="5" t="s">
        <v>139</v>
      </c>
      <c r="AK2192" s="2">
        <v>2.5408295422162001E-2</v>
      </c>
      <c r="AL2192" s="2">
        <v>0.245411442075921</v>
      </c>
      <c r="AM2192" s="2">
        <v>3285.3041168416098</v>
      </c>
      <c r="AN2192" s="2">
        <v>9124.4625612281907</v>
      </c>
      <c r="AO2192" s="2">
        <v>5787.6956414256601</v>
      </c>
      <c r="AP2192" s="2">
        <v>7732.9757027887099</v>
      </c>
      <c r="AQ2192" s="2">
        <v>3185.6722865202801</v>
      </c>
      <c r="AR2192" s="2">
        <v>5845.7668170577199</v>
      </c>
      <c r="AS2192" s="2">
        <v>3788.6613552645499</v>
      </c>
      <c r="AT2192" s="2">
        <v>2542.07158076115</v>
      </c>
      <c r="AU2192" s="2">
        <v>4675.3129952111003</v>
      </c>
      <c r="AV2192" s="2">
        <v>2525.3779770032302</v>
      </c>
      <c r="AW2192" s="2">
        <v>2029.8757325947299</v>
      </c>
      <c r="AX2192" s="2">
        <v>2959.83559404893</v>
      </c>
    </row>
    <row r="2193" spans="1:50" x14ac:dyDescent="0.25">
      <c r="A2193" s="2" t="s">
        <v>14797</v>
      </c>
      <c r="B2193" s="2">
        <v>285.22200465402199</v>
      </c>
      <c r="C2193" s="2">
        <v>10.5512333333333</v>
      </c>
      <c r="D2193" s="2" t="s">
        <v>51</v>
      </c>
      <c r="E2193" s="2" t="s">
        <v>14798</v>
      </c>
      <c r="F2193" s="2">
        <v>200075</v>
      </c>
      <c r="G2193" s="3" t="str">
        <f>HYPERLINK("https://cloud.oebiotech.com/#/lm/network/200075", "https://cloud.oebiotech.com/#/lm/network/200075")</f>
        <v>https://cloud.oebiotech.com/#/lm/network/200075</v>
      </c>
      <c r="H2193" s="2" t="s">
        <v>14799</v>
      </c>
      <c r="I2193" s="2"/>
      <c r="J2193" s="2"/>
      <c r="K2193" s="2">
        <v>3081897</v>
      </c>
      <c r="L2193" s="2"/>
      <c r="M2193" s="2"/>
      <c r="N2193" s="2"/>
      <c r="O2193" s="2"/>
      <c r="P2193" s="2"/>
      <c r="Q2193" s="2"/>
      <c r="R2193" s="2"/>
      <c r="S2193" s="2" t="s">
        <v>14800</v>
      </c>
      <c r="T2193" s="2" t="s">
        <v>14801</v>
      </c>
      <c r="U2193" s="2" t="s">
        <v>56</v>
      </c>
      <c r="V2193" s="2" t="s">
        <v>177</v>
      </c>
      <c r="W2193" s="2" t="s">
        <v>3987</v>
      </c>
      <c r="X2193" s="2" t="s">
        <v>83</v>
      </c>
      <c r="Y2193" s="2">
        <v>51.5</v>
      </c>
      <c r="Z2193" s="2">
        <v>39.799999999999997</v>
      </c>
      <c r="AA2193" s="2" t="s">
        <v>156</v>
      </c>
      <c r="AB2193" s="2" t="s">
        <v>835</v>
      </c>
      <c r="AC2193" s="2">
        <v>2.3581894002850801</v>
      </c>
      <c r="AD2193" s="2"/>
      <c r="AE2193" s="2">
        <v>0.29919848340423699</v>
      </c>
      <c r="AF2193" s="2">
        <v>4897.2911312455299</v>
      </c>
      <c r="AG2193" s="2">
        <v>2827.5480875496901</v>
      </c>
      <c r="AH2193" s="5">
        <v>1.7319921640977101</v>
      </c>
      <c r="AI2193" s="5">
        <v>0.79243240301905804</v>
      </c>
      <c r="AJ2193" s="5" t="s">
        <v>139</v>
      </c>
      <c r="AK2193" s="2">
        <v>1.8434130566733001E-2</v>
      </c>
      <c r="AL2193" s="2">
        <v>0.2138667084026</v>
      </c>
      <c r="AM2193" s="2">
        <v>5381.6243042123297</v>
      </c>
      <c r="AN2193" s="2">
        <v>6995.6601381338296</v>
      </c>
      <c r="AO2193" s="2">
        <v>3300.8808895040902</v>
      </c>
      <c r="AP2193" s="2">
        <v>2941.30096517744</v>
      </c>
      <c r="AQ2193" s="2">
        <v>5406.3904560832198</v>
      </c>
      <c r="AR2193" s="2">
        <v>5357.8900343622599</v>
      </c>
      <c r="AS2193" s="2">
        <v>4189.98201703205</v>
      </c>
      <c r="AT2193" s="2">
        <v>2205.8873202364998</v>
      </c>
      <c r="AU2193" s="2">
        <v>3953.21940801347</v>
      </c>
      <c r="AV2193" s="2">
        <v>2128.09432000469</v>
      </c>
      <c r="AW2193" s="2">
        <v>2023.3942005148101</v>
      </c>
      <c r="AX2193" s="2">
        <v>2464.7112594966002</v>
      </c>
    </row>
    <row r="2194" spans="1:50" x14ac:dyDescent="0.25">
      <c r="A2194" s="2" t="s">
        <v>14802</v>
      </c>
      <c r="B2194" s="2">
        <v>202.06913750254299</v>
      </c>
      <c r="C2194" s="2">
        <v>0.63544999999999996</v>
      </c>
      <c r="D2194" s="2" t="s">
        <v>51</v>
      </c>
      <c r="E2194" s="2" t="s">
        <v>14803</v>
      </c>
      <c r="F2194" s="2">
        <v>540878</v>
      </c>
      <c r="G2194" s="3" t="str">
        <f>HYPERLINK("https://cloud.oebiotech.com/#/lm/network/540878", "https://cloud.oebiotech.com/#/lm/network/540878")</f>
        <v>https://cloud.oebiotech.com/#/lm/network/540878</v>
      </c>
      <c r="H2194" s="2"/>
      <c r="I2194" s="2"/>
      <c r="J2194" s="2"/>
      <c r="K2194" s="2"/>
      <c r="L2194" s="2" t="s">
        <v>14804</v>
      </c>
      <c r="M2194" s="2"/>
      <c r="N2194" s="2"/>
      <c r="O2194" s="2"/>
      <c r="P2194" s="2"/>
      <c r="Q2194" s="2"/>
      <c r="R2194" s="2" t="s">
        <v>14805</v>
      </c>
      <c r="S2194" s="2" t="s">
        <v>14806</v>
      </c>
      <c r="T2194" s="2" t="s">
        <v>14807</v>
      </c>
      <c r="U2194" s="2" t="s">
        <v>331</v>
      </c>
      <c r="V2194" s="2" t="s">
        <v>332</v>
      </c>
      <c r="W2194" s="2" t="s">
        <v>333</v>
      </c>
      <c r="X2194" s="2" t="s">
        <v>69</v>
      </c>
      <c r="Y2194" s="2">
        <v>54.5</v>
      </c>
      <c r="Z2194" s="2">
        <v>76.599999999999994</v>
      </c>
      <c r="AA2194" s="2" t="s">
        <v>1123</v>
      </c>
      <c r="AB2194" s="2" t="s">
        <v>14808</v>
      </c>
      <c r="AC2194" s="2">
        <v>3.0394513075924698</v>
      </c>
      <c r="AD2194" s="2"/>
      <c r="AE2194" s="2">
        <v>0.29916787026243602</v>
      </c>
      <c r="AF2194" s="2">
        <v>15028.1307432635</v>
      </c>
      <c r="AG2194" s="2">
        <v>20254.005154119201</v>
      </c>
      <c r="AH2194" s="4">
        <v>0.74198315981998098</v>
      </c>
      <c r="AI2194" s="4">
        <v>-0.43054165132956401</v>
      </c>
      <c r="AJ2194" s="4" t="s">
        <v>62</v>
      </c>
      <c r="AK2194" s="2">
        <v>0.488415221464571</v>
      </c>
      <c r="AL2194" s="2">
        <v>0.73151391771825403</v>
      </c>
      <c r="AM2194" s="2">
        <v>1029.2654131514901</v>
      </c>
      <c r="AN2194" s="2">
        <v>31742.606747396701</v>
      </c>
      <c r="AO2194" s="2">
        <v>11568.746615988101</v>
      </c>
      <c r="AP2194" s="2">
        <v>5778.4015953398803</v>
      </c>
      <c r="AQ2194" s="2">
        <v>15138.1465206178</v>
      </c>
      <c r="AR2194" s="2">
        <v>24911.617567087302</v>
      </c>
      <c r="AS2194" s="2">
        <v>34967.306502696498</v>
      </c>
      <c r="AT2194" s="2">
        <v>29503.9504646188</v>
      </c>
      <c r="AU2194" s="2">
        <v>4159.7999881138403</v>
      </c>
      <c r="AV2194" s="2">
        <v>30789.376472393498</v>
      </c>
      <c r="AW2194" s="2">
        <v>17028.818076574</v>
      </c>
      <c r="AX2194" s="2">
        <v>5074.7794203186304</v>
      </c>
    </row>
    <row r="2195" spans="1:50" x14ac:dyDescent="0.25">
      <c r="A2195" s="2" t="s">
        <v>14809</v>
      </c>
      <c r="B2195" s="2">
        <v>262.16579520336597</v>
      </c>
      <c r="C2195" s="2">
        <v>4.3824333333333296</v>
      </c>
      <c r="D2195" s="2" t="s">
        <v>51</v>
      </c>
      <c r="E2195" s="2" t="s">
        <v>14810</v>
      </c>
      <c r="F2195" s="2">
        <v>2947</v>
      </c>
      <c r="G2195" s="3" t="str">
        <f>HYPERLINK("https://cloud.oebiotech.com/#/lm/network/2947", "https://cloud.oebiotech.com/#/lm/network/2947")</f>
        <v>https://cloud.oebiotech.com/#/lm/network/2947</v>
      </c>
      <c r="H2195" s="2"/>
      <c r="I2195" s="2"/>
      <c r="J2195" s="2" t="s">
        <v>14811</v>
      </c>
      <c r="K2195" s="2">
        <v>38357880</v>
      </c>
      <c r="L2195" s="2"/>
      <c r="M2195" s="2"/>
      <c r="N2195" s="2"/>
      <c r="O2195" s="2"/>
      <c r="P2195" s="2"/>
      <c r="Q2195" s="2"/>
      <c r="R2195" s="2"/>
      <c r="S2195" s="2" t="s">
        <v>14812</v>
      </c>
      <c r="T2195" s="2" t="s">
        <v>14813</v>
      </c>
      <c r="U2195" s="2" t="s">
        <v>103</v>
      </c>
      <c r="V2195" s="2" t="s">
        <v>377</v>
      </c>
      <c r="W2195" s="2" t="s">
        <v>378</v>
      </c>
      <c r="X2195" s="2" t="s">
        <v>59</v>
      </c>
      <c r="Y2195" s="2">
        <v>47.5</v>
      </c>
      <c r="Z2195" s="2">
        <v>49.2</v>
      </c>
      <c r="AA2195" s="2" t="s">
        <v>512</v>
      </c>
      <c r="AB2195" s="2" t="s">
        <v>6973</v>
      </c>
      <c r="AC2195" s="2">
        <v>3.6698899162320702</v>
      </c>
      <c r="AD2195" s="2"/>
      <c r="AE2195" s="2">
        <v>0.29915158192636998</v>
      </c>
      <c r="AF2195" s="2">
        <v>3795.2290082660502</v>
      </c>
      <c r="AG2195" s="2">
        <v>1795.86530540638</v>
      </c>
      <c r="AH2195" s="5">
        <v>2.1133149556599098</v>
      </c>
      <c r="AI2195" s="5">
        <v>1.07950779382637</v>
      </c>
      <c r="AJ2195" s="5" t="s">
        <v>139</v>
      </c>
      <c r="AK2195" s="2">
        <v>4.4105652878679097E-2</v>
      </c>
      <c r="AL2195" s="2">
        <v>0.297793096711781</v>
      </c>
      <c r="AM2195" s="2">
        <v>6244.8234192969103</v>
      </c>
      <c r="AN2195" s="2">
        <v>6249.54765310127</v>
      </c>
      <c r="AO2195" s="2">
        <v>1971.9415750206001</v>
      </c>
      <c r="AP2195" s="2">
        <v>2609.9375957520801</v>
      </c>
      <c r="AQ2195" s="2">
        <v>2138.4753900632199</v>
      </c>
      <c r="AR2195" s="2">
        <v>3556.6484163622299</v>
      </c>
      <c r="AS2195" s="2">
        <v>2582.8433284133998</v>
      </c>
      <c r="AT2195" s="2">
        <v>1420.85890100079</v>
      </c>
      <c r="AU2195" s="2">
        <v>2416.5447432534702</v>
      </c>
      <c r="AV2195" s="2">
        <v>604.65216877866396</v>
      </c>
      <c r="AW2195" s="2">
        <v>1375.6732161482701</v>
      </c>
      <c r="AX2195" s="2">
        <v>2374.6194748436601</v>
      </c>
    </row>
    <row r="2196" spans="1:50" x14ac:dyDescent="0.25">
      <c r="A2196" s="2" t="s">
        <v>14814</v>
      </c>
      <c r="B2196" s="2">
        <v>254.077522532784</v>
      </c>
      <c r="C2196" s="2">
        <v>9.2380666666666702</v>
      </c>
      <c r="D2196" s="2" t="s">
        <v>51</v>
      </c>
      <c r="E2196" s="2" t="s">
        <v>14815</v>
      </c>
      <c r="F2196" s="2">
        <v>54396</v>
      </c>
      <c r="G2196" s="3" t="str">
        <f>HYPERLINK("https://cloud.oebiotech.com/#/lm/network/54396", "https://cloud.oebiotech.com/#/lm/network/54396")</f>
        <v>https://cloud.oebiotech.com/#/lm/network/54396</v>
      </c>
      <c r="H2196" s="2" t="s">
        <v>14816</v>
      </c>
      <c r="I2196" s="2"/>
      <c r="J2196" s="2"/>
      <c r="K2196" s="2">
        <v>440551</v>
      </c>
      <c r="L2196" s="2" t="s">
        <v>14817</v>
      </c>
      <c r="M2196" s="2" t="s">
        <v>1194</v>
      </c>
      <c r="N2196" s="2" t="s">
        <v>1195</v>
      </c>
      <c r="O2196" s="2">
        <v>18412</v>
      </c>
      <c r="P2196" s="2"/>
      <c r="Q2196" s="2"/>
      <c r="R2196" s="2" t="s">
        <v>14818</v>
      </c>
      <c r="S2196" s="2" t="s">
        <v>14819</v>
      </c>
      <c r="T2196" s="2" t="s">
        <v>14820</v>
      </c>
      <c r="U2196" s="2" t="s">
        <v>103</v>
      </c>
      <c r="V2196" s="2" t="s">
        <v>104</v>
      </c>
      <c r="W2196" s="2" t="s">
        <v>105</v>
      </c>
      <c r="X2196" s="2" t="s">
        <v>147</v>
      </c>
      <c r="Y2196" s="2">
        <v>39.4</v>
      </c>
      <c r="Z2196" s="2">
        <v>1.06</v>
      </c>
      <c r="AA2196" s="2" t="s">
        <v>122</v>
      </c>
      <c r="AB2196" s="2" t="s">
        <v>14821</v>
      </c>
      <c r="AC2196" s="2">
        <v>-1.9041209949223299</v>
      </c>
      <c r="AD2196" s="2"/>
      <c r="AE2196" s="2">
        <v>0.29877697147450599</v>
      </c>
      <c r="AF2196" s="2">
        <v>3622.4605079630501</v>
      </c>
      <c r="AG2196" s="2">
        <v>1692.03635154527</v>
      </c>
      <c r="AH2196" s="5">
        <v>2.1408881107399398</v>
      </c>
      <c r="AI2196" s="5">
        <v>1.0982093981060701</v>
      </c>
      <c r="AJ2196" s="5" t="s">
        <v>139</v>
      </c>
      <c r="AK2196" s="2">
        <v>3.7573269276160899E-3</v>
      </c>
      <c r="AL2196" s="2">
        <v>0.1120315017845</v>
      </c>
      <c r="AM2196" s="2">
        <v>3653.3814778525498</v>
      </c>
      <c r="AN2196" s="2">
        <v>4948.7503495575502</v>
      </c>
      <c r="AO2196" s="2">
        <v>3448.7978860490698</v>
      </c>
      <c r="AP2196" s="2">
        <v>2757.93797672131</v>
      </c>
      <c r="AQ2196" s="2">
        <v>3199.3933710584101</v>
      </c>
      <c r="AR2196" s="2">
        <v>3726.5019865394202</v>
      </c>
      <c r="AS2196" s="2">
        <v>3314.5976217593102</v>
      </c>
      <c r="AT2196" s="2">
        <v>1245.23673241151</v>
      </c>
      <c r="AU2196" s="2">
        <v>2126.1644775067598</v>
      </c>
      <c r="AV2196" s="2">
        <v>486.611995790349</v>
      </c>
      <c r="AW2196" s="2">
        <v>920.22655724470997</v>
      </c>
      <c r="AX2196" s="2">
        <v>2059.3807245589701</v>
      </c>
    </row>
    <row r="2197" spans="1:50" x14ac:dyDescent="0.25">
      <c r="A2197" s="2" t="s">
        <v>14822</v>
      </c>
      <c r="B2197" s="2">
        <v>378.15042032027497</v>
      </c>
      <c r="C2197" s="2">
        <v>10.644133333333301</v>
      </c>
      <c r="D2197" s="2" t="s">
        <v>51</v>
      </c>
      <c r="E2197" s="2" t="s">
        <v>14823</v>
      </c>
      <c r="F2197" s="2">
        <v>279395</v>
      </c>
      <c r="G2197" s="3" t="str">
        <f>HYPERLINK("https://cloud.oebiotech.com/#/lm/network/279395", "https://cloud.oebiotech.com/#/lm/network/279395")</f>
        <v>https://cloud.oebiotech.com/#/lm/network/279395</v>
      </c>
      <c r="H2197" s="2"/>
      <c r="I2197" s="2">
        <v>71964</v>
      </c>
      <c r="J2197" s="2"/>
      <c r="K2197" s="2">
        <v>65174</v>
      </c>
      <c r="L2197" s="2" t="s">
        <v>14824</v>
      </c>
      <c r="M2197" s="2"/>
      <c r="N2197" s="2"/>
      <c r="O2197" s="2"/>
      <c r="P2197" s="2"/>
      <c r="Q2197" s="2"/>
      <c r="R2197" s="2" t="s">
        <v>14825</v>
      </c>
      <c r="S2197" s="2" t="s">
        <v>14826</v>
      </c>
      <c r="T2197" s="2" t="s">
        <v>14827</v>
      </c>
      <c r="U2197" s="2" t="s">
        <v>331</v>
      </c>
      <c r="V2197" s="2" t="s">
        <v>332</v>
      </c>
      <c r="W2197" s="2" t="s">
        <v>333</v>
      </c>
      <c r="X2197" s="2" t="s">
        <v>147</v>
      </c>
      <c r="Y2197" s="2">
        <v>38.200000000000003</v>
      </c>
      <c r="Z2197" s="2">
        <v>0</v>
      </c>
      <c r="AA2197" s="2" t="s">
        <v>163</v>
      </c>
      <c r="AB2197" s="2" t="s">
        <v>14828</v>
      </c>
      <c r="AC2197" s="2">
        <v>-3.6465958224000001</v>
      </c>
      <c r="AD2197" s="2"/>
      <c r="AE2197" s="2">
        <v>0.29871996205137502</v>
      </c>
      <c r="AF2197" s="2">
        <v>5764.9754486035899</v>
      </c>
      <c r="AG2197" s="2">
        <v>3587.01875923951</v>
      </c>
      <c r="AH2197" s="5">
        <v>1.6071773903479201</v>
      </c>
      <c r="AI2197" s="5">
        <v>0.684529173599987</v>
      </c>
      <c r="AJ2197" s="5" t="s">
        <v>139</v>
      </c>
      <c r="AK2197" s="2">
        <v>5.73095837557967E-2</v>
      </c>
      <c r="AL2197" s="2">
        <v>0.32619617973633502</v>
      </c>
      <c r="AM2197" s="2">
        <v>5404.7873092402297</v>
      </c>
      <c r="AN2197" s="2">
        <v>7766.0820558348596</v>
      </c>
      <c r="AO2197" s="2">
        <v>7887.9712635937703</v>
      </c>
      <c r="AP2197" s="2">
        <v>3568.61664809883</v>
      </c>
      <c r="AQ2197" s="2">
        <v>5009.5891459424402</v>
      </c>
      <c r="AR2197" s="2">
        <v>4952.8062689114104</v>
      </c>
      <c r="AS2197" s="2">
        <v>6221.8825905753502</v>
      </c>
      <c r="AT2197" s="2">
        <v>5250.9527531064596</v>
      </c>
      <c r="AU2197" s="2">
        <v>3433.10323611696</v>
      </c>
      <c r="AV2197" s="2">
        <v>1612.9664786097001</v>
      </c>
      <c r="AW2197" s="2">
        <v>2206.0925589169001</v>
      </c>
      <c r="AX2197" s="2">
        <v>2797.1149381117102</v>
      </c>
    </row>
    <row r="2198" spans="1:50" x14ac:dyDescent="0.25">
      <c r="A2198" s="2" t="s">
        <v>14829</v>
      </c>
      <c r="B2198" s="2">
        <v>563.43188273356304</v>
      </c>
      <c r="C2198" s="2">
        <v>13.779583333333299</v>
      </c>
      <c r="D2198" s="2" t="s">
        <v>51</v>
      </c>
      <c r="E2198" s="2" t="s">
        <v>14830</v>
      </c>
      <c r="F2198" s="2">
        <v>35224</v>
      </c>
      <c r="G2198" s="3" t="str">
        <f>HYPERLINK("https://cloud.oebiotech.com/#/lm/network/35224", "https://cloud.oebiotech.com/#/lm/network/35224")</f>
        <v>https://cloud.oebiotech.com/#/lm/network/35224</v>
      </c>
      <c r="H2198" s="2"/>
      <c r="I2198" s="2"/>
      <c r="J2198" s="2" t="s">
        <v>14831</v>
      </c>
      <c r="K2198" s="2"/>
      <c r="L2198" s="2"/>
      <c r="M2198" s="2"/>
      <c r="N2198" s="2"/>
      <c r="O2198" s="2"/>
      <c r="P2198" s="2"/>
      <c r="Q2198" s="2"/>
      <c r="R2198" s="2"/>
      <c r="S2198" s="2" t="s">
        <v>14832</v>
      </c>
      <c r="T2198" s="2" t="s">
        <v>14833</v>
      </c>
      <c r="U2198" s="2" t="s">
        <v>610</v>
      </c>
      <c r="V2198" s="2" t="s">
        <v>611</v>
      </c>
      <c r="W2198" s="2" t="s">
        <v>1122</v>
      </c>
      <c r="X2198" s="2" t="s">
        <v>83</v>
      </c>
      <c r="Y2198" s="2">
        <v>42.2</v>
      </c>
      <c r="Z2198" s="2">
        <v>0</v>
      </c>
      <c r="AA2198" s="2" t="s">
        <v>218</v>
      </c>
      <c r="AB2198" s="2" t="s">
        <v>14834</v>
      </c>
      <c r="AC2198" s="2">
        <v>0.326995188321694</v>
      </c>
      <c r="AD2198" s="2"/>
      <c r="AE2198" s="2">
        <v>0.29868882014423698</v>
      </c>
      <c r="AF2198" s="2">
        <v>4839.8711779914802</v>
      </c>
      <c r="AG2198" s="2">
        <v>2012.7027962345601</v>
      </c>
      <c r="AH2198" s="5">
        <v>2.4046626193624299</v>
      </c>
      <c r="AI2198" s="5">
        <v>1.2658344941963999</v>
      </c>
      <c r="AJ2198" s="5" t="s">
        <v>139</v>
      </c>
      <c r="AK2198" s="2">
        <v>5.6772882349708599E-2</v>
      </c>
      <c r="AL2198" s="2">
        <v>0.325203556477003</v>
      </c>
      <c r="AM2198" s="2">
        <v>1958.1230535022801</v>
      </c>
      <c r="AN2198" s="2">
        <v>10137.693684378701</v>
      </c>
      <c r="AO2198" s="2">
        <v>3504.32272025264</v>
      </c>
      <c r="AP2198" s="2">
        <v>5029.1356302278</v>
      </c>
      <c r="AQ2198" s="2">
        <v>2327.1616132843001</v>
      </c>
      <c r="AR2198" s="2">
        <v>6082.7903663031502</v>
      </c>
      <c r="AS2198" s="2">
        <v>939.10665990121697</v>
      </c>
      <c r="AT2198" s="2">
        <v>3496.4321880745301</v>
      </c>
      <c r="AU2198" s="2">
        <v>2264.0630148116402</v>
      </c>
      <c r="AV2198" s="2">
        <v>2615.27180603639</v>
      </c>
      <c r="AW2198" s="2">
        <v>2121.8947427742801</v>
      </c>
      <c r="AX2198" s="2">
        <v>639.44836580927301</v>
      </c>
    </row>
    <row r="2199" spans="1:50" x14ac:dyDescent="0.25">
      <c r="A2199" s="2" t="s">
        <v>14835</v>
      </c>
      <c r="B2199" s="2">
        <v>367.19001035184698</v>
      </c>
      <c r="C2199" s="2">
        <v>12.174899999999999</v>
      </c>
      <c r="D2199" s="2" t="s">
        <v>51</v>
      </c>
      <c r="E2199" s="2" t="s">
        <v>14836</v>
      </c>
      <c r="F2199" s="2">
        <v>203826</v>
      </c>
      <c r="G2199" s="3" t="str">
        <f>HYPERLINK("https://cloud.oebiotech.com/#/lm/network/203826", "https://cloud.oebiotech.com/#/lm/network/203826")</f>
        <v>https://cloud.oebiotech.com/#/lm/network/203826</v>
      </c>
      <c r="H2199" s="2" t="s">
        <v>14837</v>
      </c>
      <c r="I2199" s="2"/>
      <c r="J2199" s="2"/>
      <c r="K2199" s="2">
        <v>42636350</v>
      </c>
      <c r="L2199" s="2"/>
      <c r="M2199" s="2"/>
      <c r="N2199" s="2"/>
      <c r="O2199" s="2"/>
      <c r="P2199" s="2"/>
      <c r="Q2199" s="2"/>
      <c r="R2199" s="2"/>
      <c r="S2199" s="2" t="s">
        <v>14838</v>
      </c>
      <c r="T2199" s="2" t="s">
        <v>14839</v>
      </c>
      <c r="U2199" s="2" t="s">
        <v>266</v>
      </c>
      <c r="V2199" s="2" t="s">
        <v>3926</v>
      </c>
      <c r="W2199" s="2" t="s">
        <v>3927</v>
      </c>
      <c r="X2199" s="2" t="s">
        <v>147</v>
      </c>
      <c r="Y2199" s="2">
        <v>42.9</v>
      </c>
      <c r="Z2199" s="2">
        <v>33.5</v>
      </c>
      <c r="AA2199" s="2" t="s">
        <v>122</v>
      </c>
      <c r="AB2199" s="2" t="s">
        <v>14840</v>
      </c>
      <c r="AC2199" s="2">
        <v>1.13994793652222</v>
      </c>
      <c r="AD2199" s="2"/>
      <c r="AE2199" s="2">
        <v>0.29863702014660098</v>
      </c>
      <c r="AF2199" s="2">
        <v>9151.9761891090293</v>
      </c>
      <c r="AG2199" s="2">
        <v>16776.107824077699</v>
      </c>
      <c r="AH2199" s="4">
        <v>0.54553632374571204</v>
      </c>
      <c r="AI2199" s="4">
        <v>-0.87425283538130105</v>
      </c>
      <c r="AJ2199" s="4" t="s">
        <v>62</v>
      </c>
      <c r="AK2199" s="2">
        <v>0.227765137716679</v>
      </c>
      <c r="AL2199" s="2">
        <v>0.55318612061801498</v>
      </c>
      <c r="AM2199" s="2">
        <v>19666.937043423499</v>
      </c>
      <c r="AN2199" s="2">
        <v>4604.44077085749</v>
      </c>
      <c r="AO2199" s="2">
        <v>6650.4991683376802</v>
      </c>
      <c r="AP2199" s="2">
        <v>4540.0748745074598</v>
      </c>
      <c r="AQ2199" s="2">
        <v>11320.115248660401</v>
      </c>
      <c r="AR2199" s="2">
        <v>8129.7900288676201</v>
      </c>
      <c r="AS2199" s="2">
        <v>6466.0771824776302</v>
      </c>
      <c r="AT2199" s="2">
        <v>9260.4584915631294</v>
      </c>
      <c r="AU2199" s="2">
        <v>42857.860667088797</v>
      </c>
      <c r="AV2199" s="2">
        <v>12712.6839450935</v>
      </c>
      <c r="AW2199" s="2">
        <v>18090.109740744199</v>
      </c>
      <c r="AX2199" s="2">
        <v>11269.456917498999</v>
      </c>
    </row>
    <row r="2200" spans="1:50" x14ac:dyDescent="0.25">
      <c r="A2200" s="2" t="s">
        <v>14841</v>
      </c>
      <c r="B2200" s="2">
        <v>261.09227891883501</v>
      </c>
      <c r="C2200" s="2">
        <v>5.0586333333333302</v>
      </c>
      <c r="D2200" s="2" t="s">
        <v>51</v>
      </c>
      <c r="E2200" s="2" t="s">
        <v>14842</v>
      </c>
      <c r="F2200" s="2">
        <v>211641</v>
      </c>
      <c r="G2200" s="3" t="str">
        <f>HYPERLINK("https://cloud.oebiotech.com/#/lm/network/211641", "https://cloud.oebiotech.com/#/lm/network/211641")</f>
        <v>https://cloud.oebiotech.com/#/lm/network/211641</v>
      </c>
      <c r="H2200" s="2" t="s">
        <v>14843</v>
      </c>
      <c r="I2200" s="2"/>
      <c r="J2200" s="2"/>
      <c r="K2200" s="2"/>
      <c r="L2200" s="2"/>
      <c r="M2200" s="2"/>
      <c r="N2200" s="2"/>
      <c r="O2200" s="2"/>
      <c r="P2200" s="2"/>
      <c r="Q2200" s="2"/>
      <c r="R2200" s="2"/>
      <c r="S2200" s="2" t="s">
        <v>14844</v>
      </c>
      <c r="T2200" s="2" t="s">
        <v>14845</v>
      </c>
      <c r="U2200" s="2" t="s">
        <v>103</v>
      </c>
      <c r="V2200" s="2" t="s">
        <v>104</v>
      </c>
      <c r="W2200" s="2" t="s">
        <v>105</v>
      </c>
      <c r="X2200" s="2" t="s">
        <v>83</v>
      </c>
      <c r="Y2200" s="2">
        <v>41</v>
      </c>
      <c r="Z2200" s="2">
        <v>0</v>
      </c>
      <c r="AA2200" s="2" t="s">
        <v>512</v>
      </c>
      <c r="AB2200" s="2" t="s">
        <v>14846</v>
      </c>
      <c r="AC2200" s="2">
        <v>7.9178654196973097</v>
      </c>
      <c r="AD2200" s="2"/>
      <c r="AE2200" s="2">
        <v>0.29817481357328901</v>
      </c>
      <c r="AF2200" s="2">
        <v>7515.4128762588298</v>
      </c>
      <c r="AG2200" s="2">
        <v>4920.4956256392297</v>
      </c>
      <c r="AH2200" s="5">
        <v>1.5273690798744499</v>
      </c>
      <c r="AI2200" s="5">
        <v>0.61104872314672598</v>
      </c>
      <c r="AJ2200" s="5" t="s">
        <v>139</v>
      </c>
      <c r="AK2200" s="2">
        <v>7.0552793057192406E-2</v>
      </c>
      <c r="AL2200" s="2">
        <v>0.350520445506738</v>
      </c>
      <c r="AM2200" s="2">
        <v>7158.2750922452196</v>
      </c>
      <c r="AN2200" s="2">
        <v>12670.373005539799</v>
      </c>
      <c r="AO2200" s="2">
        <v>5175.88275173291</v>
      </c>
      <c r="AP2200" s="2">
        <v>5496.5944016932999</v>
      </c>
      <c r="AQ2200" s="2">
        <v>6550.3365199891596</v>
      </c>
      <c r="AR2200" s="2">
        <v>8041.0154863526004</v>
      </c>
      <c r="AS2200" s="2">
        <v>6707.2907595416</v>
      </c>
      <c r="AT2200" s="2">
        <v>3672.1457999289801</v>
      </c>
      <c r="AU2200" s="2">
        <v>6265.1427781590401</v>
      </c>
      <c r="AV2200" s="2">
        <v>2644.3528656455901</v>
      </c>
      <c r="AW2200" s="2">
        <v>5282.9042135624804</v>
      </c>
      <c r="AX2200" s="2">
        <v>4951.1373369977</v>
      </c>
    </row>
    <row r="2201" spans="1:50" x14ac:dyDescent="0.25">
      <c r="A2201" s="2" t="s">
        <v>14847</v>
      </c>
      <c r="B2201" s="2">
        <v>360.06797234386602</v>
      </c>
      <c r="C2201" s="2">
        <v>1.08968333333333</v>
      </c>
      <c r="D2201" s="2" t="s">
        <v>51</v>
      </c>
      <c r="E2201" s="2" t="s">
        <v>14848</v>
      </c>
      <c r="F2201" s="2">
        <v>211929</v>
      </c>
      <c r="G2201" s="3" t="str">
        <f>HYPERLINK("https://cloud.oebiotech.com/#/lm/network/211929", "https://cloud.oebiotech.com/#/lm/network/211929")</f>
        <v>https://cloud.oebiotech.com/#/lm/network/211929</v>
      </c>
      <c r="H2201" s="2" t="s">
        <v>14849</v>
      </c>
      <c r="I2201" s="2"/>
      <c r="J2201" s="2"/>
      <c r="K2201" s="2">
        <v>14967</v>
      </c>
      <c r="L2201" s="2"/>
      <c r="M2201" s="2"/>
      <c r="N2201" s="2"/>
      <c r="O2201" s="2"/>
      <c r="P2201" s="2"/>
      <c r="Q2201" s="2"/>
      <c r="R2201" s="2"/>
      <c r="S2201" s="2" t="s">
        <v>14850</v>
      </c>
      <c r="T2201" s="2" t="s">
        <v>14851</v>
      </c>
      <c r="U2201" s="2" t="s">
        <v>266</v>
      </c>
      <c r="V2201" s="2" t="s">
        <v>3926</v>
      </c>
      <c r="W2201" s="2" t="s">
        <v>4115</v>
      </c>
      <c r="X2201" s="2" t="s">
        <v>147</v>
      </c>
      <c r="Y2201" s="2">
        <v>37.799999999999997</v>
      </c>
      <c r="Z2201" s="2">
        <v>12.3</v>
      </c>
      <c r="AA2201" s="2" t="s">
        <v>163</v>
      </c>
      <c r="AB2201" s="2" t="s">
        <v>14852</v>
      </c>
      <c r="AC2201" s="2">
        <v>-3.77744117303211</v>
      </c>
      <c r="AD2201" s="2"/>
      <c r="AE2201" s="2">
        <v>0.29814318050059602</v>
      </c>
      <c r="AF2201" s="2">
        <v>6057.1340103382699</v>
      </c>
      <c r="AG2201" s="2">
        <v>3703.3381044621601</v>
      </c>
      <c r="AH2201" s="5">
        <v>1.6355876345829801</v>
      </c>
      <c r="AI2201" s="5">
        <v>0.70980906091329798</v>
      </c>
      <c r="AJ2201" s="5" t="s">
        <v>139</v>
      </c>
      <c r="AK2201" s="2">
        <v>3.9652244098927501E-2</v>
      </c>
      <c r="AL2201" s="2">
        <v>0.29135565991996598</v>
      </c>
      <c r="AM2201" s="2">
        <v>7647.3925117817598</v>
      </c>
      <c r="AN2201" s="2">
        <v>6957.5228924275398</v>
      </c>
      <c r="AO2201" s="2">
        <v>4112.22780009095</v>
      </c>
      <c r="AP2201" s="2">
        <v>8918.2176158954408</v>
      </c>
      <c r="AQ2201" s="2">
        <v>5194.0329434115001</v>
      </c>
      <c r="AR2201" s="2">
        <v>3513.4102984224</v>
      </c>
      <c r="AS2201" s="2">
        <v>2953.1165347790402</v>
      </c>
      <c r="AT2201" s="2">
        <v>4711.3670144887901</v>
      </c>
      <c r="AU2201" s="2">
        <v>4282.7387249371504</v>
      </c>
      <c r="AV2201" s="2">
        <v>1630.95291082481</v>
      </c>
      <c r="AW2201" s="2">
        <v>4663.6184453328397</v>
      </c>
      <c r="AX2201" s="2">
        <v>3978.23499641032</v>
      </c>
    </row>
    <row r="2202" spans="1:50" x14ac:dyDescent="0.25">
      <c r="A2202" s="2" t="s">
        <v>14853</v>
      </c>
      <c r="B2202" s="2">
        <v>417.18995712812</v>
      </c>
      <c r="C2202" s="2">
        <v>8.4689333333333305</v>
      </c>
      <c r="D2202" s="2" t="s">
        <v>51</v>
      </c>
      <c r="E2202" s="2" t="s">
        <v>14854</v>
      </c>
      <c r="F2202" s="2">
        <v>60586</v>
      </c>
      <c r="G2202" s="3" t="str">
        <f>HYPERLINK("https://cloud.oebiotech.com/#/lm/network/60586", "https://cloud.oebiotech.com/#/lm/network/60586")</f>
        <v>https://cloud.oebiotech.com/#/lm/network/60586</v>
      </c>
      <c r="H2202" s="2" t="s">
        <v>14855</v>
      </c>
      <c r="I2202" s="2">
        <v>91919</v>
      </c>
      <c r="J2202" s="2"/>
      <c r="K2202" s="2">
        <v>14707326</v>
      </c>
      <c r="L2202" s="2"/>
      <c r="M2202" s="2"/>
      <c r="N2202" s="2"/>
      <c r="O2202" s="2">
        <v>175348</v>
      </c>
      <c r="P2202" s="2"/>
      <c r="Q2202" s="2"/>
      <c r="R2202" s="2" t="s">
        <v>14856</v>
      </c>
      <c r="S2202" s="2" t="s">
        <v>14857</v>
      </c>
      <c r="T2202" s="2" t="s">
        <v>14858</v>
      </c>
      <c r="U2202" s="2" t="s">
        <v>56</v>
      </c>
      <c r="V2202" s="2" t="s">
        <v>177</v>
      </c>
      <c r="W2202" s="2" t="s">
        <v>1996</v>
      </c>
      <c r="X2202" s="2" t="s">
        <v>147</v>
      </c>
      <c r="Y2202" s="2">
        <v>36.700000000000003</v>
      </c>
      <c r="Z2202" s="2">
        <v>0</v>
      </c>
      <c r="AA2202" s="2" t="s">
        <v>163</v>
      </c>
      <c r="AB2202" s="2" t="s">
        <v>11619</v>
      </c>
      <c r="AC2202" s="2">
        <v>-4.5904896866832203</v>
      </c>
      <c r="AD2202" s="2"/>
      <c r="AE2202" s="2">
        <v>0.29803666368923099</v>
      </c>
      <c r="AF2202" s="2">
        <v>3175.5252476861401</v>
      </c>
      <c r="AG2202" s="2">
        <v>1313.7554350727901</v>
      </c>
      <c r="AH2202" s="5">
        <v>2.4171357643214599</v>
      </c>
      <c r="AI2202" s="5">
        <v>1.2732985078625101</v>
      </c>
      <c r="AJ2202" s="5" t="s">
        <v>139</v>
      </c>
      <c r="AK2202" s="2">
        <v>2.36789859699606E-3</v>
      </c>
      <c r="AL2202" s="2">
        <v>0.101912249503871</v>
      </c>
      <c r="AM2202" s="2">
        <v>4344.74228595156</v>
      </c>
      <c r="AN2202" s="2">
        <v>3626.3010651137502</v>
      </c>
      <c r="AO2202" s="2">
        <v>2922.11443402653</v>
      </c>
      <c r="AP2202" s="2">
        <v>3181.0019058180901</v>
      </c>
      <c r="AQ2202" s="2">
        <v>2145.0876232221699</v>
      </c>
      <c r="AR2202" s="2">
        <v>2833.9041719847301</v>
      </c>
      <c r="AS2202" s="2">
        <v>2497.2100850521801</v>
      </c>
      <c r="AT2202" s="2">
        <v>276.076141555253</v>
      </c>
      <c r="AU2202" s="2">
        <v>1890.2858458742801</v>
      </c>
      <c r="AV2202" s="2">
        <v>451.31546258630499</v>
      </c>
      <c r="AW2202" s="2">
        <v>1394.0771961625901</v>
      </c>
      <c r="AX2202" s="2">
        <v>1373.5678792061101</v>
      </c>
    </row>
    <row r="2203" spans="1:50" x14ac:dyDescent="0.25">
      <c r="A2203" s="2" t="s">
        <v>14859</v>
      </c>
      <c r="B2203" s="2">
        <v>207.138621217815</v>
      </c>
      <c r="C2203" s="2">
        <v>7.69593333333333</v>
      </c>
      <c r="D2203" s="2" t="s">
        <v>51</v>
      </c>
      <c r="E2203" s="2" t="s">
        <v>14860</v>
      </c>
      <c r="F2203" s="2">
        <v>479</v>
      </c>
      <c r="G2203" s="3" t="str">
        <f>HYPERLINK("https://cloud.oebiotech.com/#/lm/network/479", "https://cloud.oebiotech.com/#/lm/network/479")</f>
        <v>https://cloud.oebiotech.com/#/lm/network/479</v>
      </c>
      <c r="H2203" s="2"/>
      <c r="I2203" s="2"/>
      <c r="J2203" s="2" t="s">
        <v>14861</v>
      </c>
      <c r="K2203" s="2">
        <v>10443614</v>
      </c>
      <c r="L2203" s="2"/>
      <c r="M2203" s="2"/>
      <c r="N2203" s="2"/>
      <c r="O2203" s="2"/>
      <c r="P2203" s="2"/>
      <c r="Q2203" s="2"/>
      <c r="R2203" s="2"/>
      <c r="S2203" s="2" t="s">
        <v>14862</v>
      </c>
      <c r="T2203" s="2" t="s">
        <v>14863</v>
      </c>
      <c r="U2203" s="2" t="s">
        <v>56</v>
      </c>
      <c r="V2203" s="2" t="s">
        <v>145</v>
      </c>
      <c r="W2203" s="2" t="s">
        <v>231</v>
      </c>
      <c r="X2203" s="2" t="s">
        <v>83</v>
      </c>
      <c r="Y2203" s="2">
        <v>49.3</v>
      </c>
      <c r="Z2203" s="2">
        <v>25.7</v>
      </c>
      <c r="AA2203" s="2" t="s">
        <v>786</v>
      </c>
      <c r="AB2203" s="2" t="s">
        <v>14864</v>
      </c>
      <c r="AC2203" s="2">
        <v>2.96673526700663</v>
      </c>
      <c r="AD2203" s="2"/>
      <c r="AE2203" s="2">
        <v>0.29782571872728197</v>
      </c>
      <c r="AF2203" s="2">
        <v>5433.4000876167202</v>
      </c>
      <c r="AG2203" s="2">
        <v>3549.7120522457699</v>
      </c>
      <c r="AH2203" s="5">
        <v>1.53065939085938</v>
      </c>
      <c r="AI2203" s="5">
        <v>0.61415328362952804</v>
      </c>
      <c r="AJ2203" s="5" t="s">
        <v>139</v>
      </c>
      <c r="AK2203" s="2">
        <v>1.82515270778148E-2</v>
      </c>
      <c r="AL2203" s="2">
        <v>0.212973194719246</v>
      </c>
      <c r="AM2203" s="2">
        <v>7764.2758599582703</v>
      </c>
      <c r="AN2203" s="2">
        <v>5927.3394877952296</v>
      </c>
      <c r="AO2203" s="2">
        <v>4388.7687978232698</v>
      </c>
      <c r="AP2203" s="2">
        <v>4723.7378783095701</v>
      </c>
      <c r="AQ2203" s="2">
        <v>4967.5179436892004</v>
      </c>
      <c r="AR2203" s="2">
        <v>4828.7605581247699</v>
      </c>
      <c r="AS2203" s="2">
        <v>3350.78344983128</v>
      </c>
      <c r="AT2203" s="2">
        <v>2358.10867884557</v>
      </c>
      <c r="AU2203" s="2">
        <v>5056.2856302617301</v>
      </c>
      <c r="AV2203" s="2">
        <v>2557.8353273043399</v>
      </c>
      <c r="AW2203" s="2">
        <v>4468.3919554251897</v>
      </c>
      <c r="AX2203" s="2">
        <v>3506.86727180653</v>
      </c>
    </row>
    <row r="2204" spans="1:50" x14ac:dyDescent="0.25">
      <c r="A2204" s="2" t="s">
        <v>14865</v>
      </c>
      <c r="B2204" s="2">
        <v>285.22129999999999</v>
      </c>
      <c r="C2204" s="2">
        <v>18.975000000000001</v>
      </c>
      <c r="D2204" s="2" t="s">
        <v>125</v>
      </c>
      <c r="E2204" s="2" t="s">
        <v>14866</v>
      </c>
      <c r="F2204" s="2">
        <v>61</v>
      </c>
      <c r="G2204" s="3" t="str">
        <f>HYPERLINK("https://cloud.oebiotech.com/#/lm/network/61", "https://cloud.oebiotech.com/#/lm/network/61")</f>
        <v>https://cloud.oebiotech.com/#/lm/network/61</v>
      </c>
      <c r="H2204" s="2" t="s">
        <v>14867</v>
      </c>
      <c r="I2204" s="2">
        <v>196</v>
      </c>
      <c r="J2204" s="2" t="s">
        <v>14868</v>
      </c>
      <c r="K2204" s="2">
        <v>11005</v>
      </c>
      <c r="L2204" s="2" t="s">
        <v>14869</v>
      </c>
      <c r="M2204" s="2" t="s">
        <v>12589</v>
      </c>
      <c r="N2204" s="2" t="s">
        <v>12590</v>
      </c>
      <c r="O2204" s="2">
        <v>28875</v>
      </c>
      <c r="P2204" s="2" t="s">
        <v>14870</v>
      </c>
      <c r="Q2204" s="2" t="s">
        <v>14871</v>
      </c>
      <c r="R2204" s="2" t="s">
        <v>14872</v>
      </c>
      <c r="S2204" s="2" t="s">
        <v>14873</v>
      </c>
      <c r="T2204" s="2" t="s">
        <v>14874</v>
      </c>
      <c r="U2204" s="2" t="s">
        <v>56</v>
      </c>
      <c r="V2204" s="2" t="s">
        <v>145</v>
      </c>
      <c r="W2204" s="2" t="s">
        <v>231</v>
      </c>
      <c r="X2204" s="2" t="s">
        <v>69</v>
      </c>
      <c r="Y2204" s="2">
        <v>90.9</v>
      </c>
      <c r="Z2204" s="2">
        <v>89.1</v>
      </c>
      <c r="AA2204" s="2"/>
      <c r="AB2204" s="2" t="s">
        <v>10886</v>
      </c>
      <c r="AC2204" s="2"/>
      <c r="AD2204" s="2">
        <v>636743.79483224102</v>
      </c>
      <c r="AE2204" s="2">
        <v>0.29774014345522098</v>
      </c>
      <c r="AF2204" s="2">
        <v>67424.288841042799</v>
      </c>
      <c r="AG2204" s="2">
        <v>90782.760572099403</v>
      </c>
      <c r="AH2204" s="4">
        <v>0.74269925717333396</v>
      </c>
      <c r="AI2204" s="4">
        <v>-0.42914995951889101</v>
      </c>
      <c r="AJ2204" s="4" t="s">
        <v>62</v>
      </c>
      <c r="AK2204" s="2">
        <v>0.13607203401440399</v>
      </c>
      <c r="AL2204" s="2">
        <v>0.457070459966327</v>
      </c>
      <c r="AM2204" s="2">
        <v>58633.243931241603</v>
      </c>
      <c r="AN2204" s="2">
        <v>63921.548541633201</v>
      </c>
      <c r="AO2204" s="2">
        <v>71716.453995921896</v>
      </c>
      <c r="AP2204" s="2">
        <v>56749.2604713248</v>
      </c>
      <c r="AQ2204" s="2">
        <v>80944.975497873602</v>
      </c>
      <c r="AR2204" s="2">
        <v>72580.250608261995</v>
      </c>
      <c r="AS2204" s="2">
        <v>49000.2916501867</v>
      </c>
      <c r="AT2204" s="2">
        <v>68483.411803006195</v>
      </c>
      <c r="AU2204" s="2">
        <v>116077.91968223199</v>
      </c>
      <c r="AV2204" s="2">
        <v>115039.801869271</v>
      </c>
      <c r="AW2204" s="2">
        <v>131369.91262963001</v>
      </c>
      <c r="AX2204" s="2">
        <v>64725.225798270301</v>
      </c>
    </row>
    <row r="2205" spans="1:50" x14ac:dyDescent="0.25">
      <c r="A2205" s="2" t="s">
        <v>14875</v>
      </c>
      <c r="B2205" s="2">
        <v>226.07181315166201</v>
      </c>
      <c r="C2205" s="2">
        <v>4.2577833333333297</v>
      </c>
      <c r="D2205" s="2" t="s">
        <v>51</v>
      </c>
      <c r="E2205" s="2" t="s">
        <v>14876</v>
      </c>
      <c r="F2205" s="2">
        <v>256993</v>
      </c>
      <c r="G2205" s="3" t="str">
        <f>HYPERLINK("https://cloud.oebiotech.com/#/lm/network/256993", "https://cloud.oebiotech.com/#/lm/network/256993")</f>
        <v>https://cloud.oebiotech.com/#/lm/network/256993</v>
      </c>
      <c r="H2205" s="2" t="s">
        <v>14877</v>
      </c>
      <c r="I2205" s="2">
        <v>3363</v>
      </c>
      <c r="J2205" s="2"/>
      <c r="K2205" s="2">
        <v>443142</v>
      </c>
      <c r="L2205" s="2" t="s">
        <v>14878</v>
      </c>
      <c r="M2205" s="2" t="s">
        <v>13196</v>
      </c>
      <c r="N2205" s="2" t="s">
        <v>13197</v>
      </c>
      <c r="O2205" s="2">
        <v>18198</v>
      </c>
      <c r="P2205" s="2"/>
      <c r="Q2205" s="2"/>
      <c r="R2205" s="2" t="s">
        <v>14879</v>
      </c>
      <c r="S2205" s="2" t="s">
        <v>14880</v>
      </c>
      <c r="T2205" s="2" t="s">
        <v>14881</v>
      </c>
      <c r="U2205" s="2" t="s">
        <v>103</v>
      </c>
      <c r="V2205" s="2" t="s">
        <v>104</v>
      </c>
      <c r="W2205" s="2" t="s">
        <v>3415</v>
      </c>
      <c r="X2205" s="2" t="s">
        <v>147</v>
      </c>
      <c r="Y2205" s="2">
        <v>43.5</v>
      </c>
      <c r="Z2205" s="2">
        <v>26.3</v>
      </c>
      <c r="AA2205" s="2" t="s">
        <v>259</v>
      </c>
      <c r="AB2205" s="2" t="s">
        <v>14882</v>
      </c>
      <c r="AC2205" s="2">
        <v>3.61792777019404</v>
      </c>
      <c r="AD2205" s="2"/>
      <c r="AE2205" s="2">
        <v>0.29738133623902302</v>
      </c>
      <c r="AF2205" s="2">
        <v>719.972274323036</v>
      </c>
      <c r="AG2205" s="2">
        <v>3542.0725390830298</v>
      </c>
      <c r="AH2205" s="4">
        <v>0.203262995429625</v>
      </c>
      <c r="AI2205" s="4">
        <v>-2.2985805022794099</v>
      </c>
      <c r="AJ2205" s="4" t="s">
        <v>62</v>
      </c>
      <c r="AK2205" s="2">
        <v>7.7380103883234005E-2</v>
      </c>
      <c r="AL2205" s="2">
        <v>0.361870085436303</v>
      </c>
      <c r="AM2205" s="2">
        <v>293.26395118079898</v>
      </c>
      <c r="AN2205" s="2">
        <v>660.237871427605</v>
      </c>
      <c r="AO2205" s="2">
        <v>8.559877937157E-6</v>
      </c>
      <c r="AP2205" s="2">
        <v>2040.2547642101899</v>
      </c>
      <c r="AQ2205" s="2">
        <v>415.386466740809</v>
      </c>
      <c r="AR2205" s="2">
        <v>910.69058381893399</v>
      </c>
      <c r="AS2205" s="2">
        <v>1662.4217892643401</v>
      </c>
      <c r="AT2205" s="2">
        <v>8.559877937157E-6</v>
      </c>
      <c r="AU2205" s="2">
        <v>8370.9422626949909</v>
      </c>
      <c r="AV2205" s="2">
        <v>7341.1703102429001</v>
      </c>
      <c r="AW2205" s="2">
        <v>1680.98467751819</v>
      </c>
      <c r="AX2205" s="2">
        <v>2196.9161862178898</v>
      </c>
    </row>
    <row r="2206" spans="1:50" x14ac:dyDescent="0.25">
      <c r="A2206" s="2" t="s">
        <v>14883</v>
      </c>
      <c r="B2206" s="2">
        <v>599.93561798592805</v>
      </c>
      <c r="C2206" s="2">
        <v>12.253033333333301</v>
      </c>
      <c r="D2206" s="2" t="s">
        <v>51</v>
      </c>
      <c r="E2206" s="2" t="s">
        <v>14884</v>
      </c>
      <c r="F2206" s="2">
        <v>211722</v>
      </c>
      <c r="G2206" s="3" t="str">
        <f>HYPERLINK("https://cloud.oebiotech.com/#/lm/network/211722", "https://cloud.oebiotech.com/#/lm/network/211722")</f>
        <v>https://cloud.oebiotech.com/#/lm/network/211722</v>
      </c>
      <c r="H2206" s="2" t="s">
        <v>14885</v>
      </c>
      <c r="I2206" s="2"/>
      <c r="J2206" s="2"/>
      <c r="K2206" s="2">
        <v>88321905</v>
      </c>
      <c r="L2206" s="2"/>
      <c r="M2206" s="2"/>
      <c r="N2206" s="2"/>
      <c r="O2206" s="2"/>
      <c r="P2206" s="2"/>
      <c r="Q2206" s="2"/>
      <c r="R2206" s="2"/>
      <c r="S2206" s="2" t="s">
        <v>14886</v>
      </c>
      <c r="T2206" s="2" t="s">
        <v>14887</v>
      </c>
      <c r="U2206" s="2" t="s">
        <v>1357</v>
      </c>
      <c r="V2206" s="2" t="s">
        <v>4878</v>
      </c>
      <c r="W2206" s="2" t="s">
        <v>4879</v>
      </c>
      <c r="X2206" s="2" t="s">
        <v>147</v>
      </c>
      <c r="Y2206" s="2">
        <v>36</v>
      </c>
      <c r="Z2206" s="2">
        <v>0</v>
      </c>
      <c r="AA2206" s="2" t="s">
        <v>395</v>
      </c>
      <c r="AB2206" s="2" t="s">
        <v>14888</v>
      </c>
      <c r="AC2206" s="2">
        <v>3.90024606889807</v>
      </c>
      <c r="AD2206" s="2"/>
      <c r="AE2206" s="2">
        <v>0.29736239876745701</v>
      </c>
      <c r="AF2206" s="2">
        <v>6636.0188186534797</v>
      </c>
      <c r="AG2206" s="2">
        <v>9002.2577149895005</v>
      </c>
      <c r="AH2206" s="4">
        <v>0.73715050476770505</v>
      </c>
      <c r="AI2206" s="4">
        <v>-0.43996888898030101</v>
      </c>
      <c r="AJ2206" s="4" t="s">
        <v>62</v>
      </c>
      <c r="AK2206" s="2">
        <v>0.20785474036909901</v>
      </c>
      <c r="AL2206" s="2">
        <v>0.53282970361456905</v>
      </c>
      <c r="AM2206" s="2">
        <v>6498.4891111632996</v>
      </c>
      <c r="AN2206" s="2">
        <v>2781.1454258086401</v>
      </c>
      <c r="AO2206" s="2">
        <v>5135.1062871872</v>
      </c>
      <c r="AP2206" s="2">
        <v>7616.0312747421804</v>
      </c>
      <c r="AQ2206" s="2">
        <v>8359.6418503213208</v>
      </c>
      <c r="AR2206" s="2">
        <v>9425.6989626982595</v>
      </c>
      <c r="AS2206" s="2">
        <v>14602.3080016074</v>
      </c>
      <c r="AT2206" s="2">
        <v>6970.0257358421604</v>
      </c>
      <c r="AU2206" s="2">
        <v>4818.8478777042401</v>
      </c>
      <c r="AV2206" s="2">
        <v>9952.3163954299507</v>
      </c>
      <c r="AW2206" s="2">
        <v>11053.7473671876</v>
      </c>
      <c r="AX2206" s="2">
        <v>6616.3009121656796</v>
      </c>
    </row>
    <row r="2207" spans="1:50" x14ac:dyDescent="0.25">
      <c r="A2207" s="2" t="s">
        <v>14889</v>
      </c>
      <c r="B2207" s="2">
        <v>453.08679588984302</v>
      </c>
      <c r="C2207" s="2">
        <v>5.0147000000000004</v>
      </c>
      <c r="D2207" s="2" t="s">
        <v>51</v>
      </c>
      <c r="E2207" s="2" t="s">
        <v>14890</v>
      </c>
      <c r="F2207" s="2">
        <v>209152</v>
      </c>
      <c r="G2207" s="3" t="str">
        <f>HYPERLINK("https://cloud.oebiotech.com/#/lm/network/209152", "https://cloud.oebiotech.com/#/lm/network/209152")</f>
        <v>https://cloud.oebiotech.com/#/lm/network/209152</v>
      </c>
      <c r="H2207" s="2" t="s">
        <v>14891</v>
      </c>
      <c r="I2207" s="2"/>
      <c r="J2207" s="2"/>
      <c r="K2207" s="2">
        <v>4043781</v>
      </c>
      <c r="L2207" s="2"/>
      <c r="M2207" s="2"/>
      <c r="N2207" s="2"/>
      <c r="O2207" s="2"/>
      <c r="P2207" s="2"/>
      <c r="Q2207" s="2"/>
      <c r="R2207" s="2"/>
      <c r="S2207" s="2" t="s">
        <v>14892</v>
      </c>
      <c r="T2207" s="2" t="s">
        <v>14893</v>
      </c>
      <c r="U2207" s="2" t="s">
        <v>266</v>
      </c>
      <c r="V2207" s="2" t="s">
        <v>2772</v>
      </c>
      <c r="W2207" s="2" t="s">
        <v>2773</v>
      </c>
      <c r="X2207" s="2" t="s">
        <v>147</v>
      </c>
      <c r="Y2207" s="2">
        <v>37.299999999999997</v>
      </c>
      <c r="Z2207" s="2">
        <v>0</v>
      </c>
      <c r="AA2207" s="2" t="s">
        <v>478</v>
      </c>
      <c r="AB2207" s="2" t="s">
        <v>14894</v>
      </c>
      <c r="AC2207" s="2">
        <v>-2.9041952030073399</v>
      </c>
      <c r="AD2207" s="2"/>
      <c r="AE2207" s="2">
        <v>0.297295974867609</v>
      </c>
      <c r="AF2207" s="2">
        <v>8089.4438649633503</v>
      </c>
      <c r="AG2207" s="2">
        <v>16231.085947424401</v>
      </c>
      <c r="AH2207" s="4">
        <v>0.49839202941605898</v>
      </c>
      <c r="AI2207" s="4">
        <v>-1.00464709878442</v>
      </c>
      <c r="AJ2207" s="4" t="s">
        <v>62</v>
      </c>
      <c r="AK2207" s="2">
        <v>0.247908294682473</v>
      </c>
      <c r="AL2207" s="2">
        <v>0.57136317761251598</v>
      </c>
      <c r="AM2207" s="2">
        <v>22985.198083274201</v>
      </c>
      <c r="AN2207" s="2">
        <v>5860.6651403115402</v>
      </c>
      <c r="AO2207" s="2">
        <v>5728.7197059808304</v>
      </c>
      <c r="AP2207" s="2">
        <v>10481.847073533299</v>
      </c>
      <c r="AQ2207" s="2">
        <v>1066.9422346265901</v>
      </c>
      <c r="AR2207" s="2">
        <v>2413.29095205363</v>
      </c>
      <c r="AS2207" s="2">
        <v>6484.7506044103102</v>
      </c>
      <c r="AT2207" s="2">
        <v>37920.662133762002</v>
      </c>
      <c r="AU2207" s="2">
        <v>8201.0449897304006</v>
      </c>
      <c r="AV2207" s="2">
        <v>30548.031134833898</v>
      </c>
      <c r="AW2207" s="2">
        <v>7207.58095069106</v>
      </c>
      <c r="AX2207" s="2">
        <v>7024.44587111897</v>
      </c>
    </row>
    <row r="2208" spans="1:50" x14ac:dyDescent="0.25">
      <c r="A2208" s="2" t="s">
        <v>14895</v>
      </c>
      <c r="B2208" s="2">
        <v>391.246873292423</v>
      </c>
      <c r="C2208" s="2">
        <v>10.331950000000001</v>
      </c>
      <c r="D2208" s="2" t="s">
        <v>51</v>
      </c>
      <c r="E2208" s="2" t="s">
        <v>14896</v>
      </c>
      <c r="F2208" s="2">
        <v>213601</v>
      </c>
      <c r="G2208" s="3" t="str">
        <f>HYPERLINK("https://cloud.oebiotech.com/#/lm/network/213601", "https://cloud.oebiotech.com/#/lm/network/213601")</f>
        <v>https://cloud.oebiotech.com/#/lm/network/213601</v>
      </c>
      <c r="H2208" s="2" t="s">
        <v>14897</v>
      </c>
      <c r="I2208" s="2"/>
      <c r="J2208" s="2"/>
      <c r="K2208" s="2"/>
      <c r="L2208" s="2"/>
      <c r="M2208" s="2"/>
      <c r="N2208" s="2"/>
      <c r="O2208" s="2"/>
      <c r="P2208" s="2"/>
      <c r="Q2208" s="2"/>
      <c r="R2208" s="2"/>
      <c r="S2208" s="2" t="s">
        <v>14898</v>
      </c>
      <c r="T2208" s="2" t="s">
        <v>14899</v>
      </c>
      <c r="U2208" s="2" t="s">
        <v>56</v>
      </c>
      <c r="V2208" s="2" t="s">
        <v>145</v>
      </c>
      <c r="W2208" s="2" t="s">
        <v>203</v>
      </c>
      <c r="X2208" s="2" t="s">
        <v>83</v>
      </c>
      <c r="Y2208" s="2">
        <v>46</v>
      </c>
      <c r="Z2208" s="2">
        <v>0.108</v>
      </c>
      <c r="AA2208" s="2" t="s">
        <v>95</v>
      </c>
      <c r="AB2208" s="2" t="s">
        <v>14900</v>
      </c>
      <c r="AC2208" s="2">
        <v>3.7429371850723898</v>
      </c>
      <c r="AD2208" s="2"/>
      <c r="AE2208" s="2">
        <v>0.297230493747767</v>
      </c>
      <c r="AF2208" s="2">
        <v>30476.042987162698</v>
      </c>
      <c r="AG2208" s="2">
        <v>24112.206576330002</v>
      </c>
      <c r="AH2208" s="5">
        <v>1.2639259244352901</v>
      </c>
      <c r="AI2208" s="5">
        <v>0.33791191321324299</v>
      </c>
      <c r="AJ2208" s="5" t="s">
        <v>139</v>
      </c>
      <c r="AK2208" s="2">
        <v>0.54916377512180403</v>
      </c>
      <c r="AL2208" s="2">
        <v>0.77131409273705298</v>
      </c>
      <c r="AM2208" s="2">
        <v>27573.078878031301</v>
      </c>
      <c r="AN2208" s="2">
        <v>60624.229001463202</v>
      </c>
      <c r="AO2208" s="2">
        <v>31963.386741965001</v>
      </c>
      <c r="AP2208" s="2">
        <v>26564.525806119502</v>
      </c>
      <c r="AQ2208" s="2">
        <v>16742.979219640001</v>
      </c>
      <c r="AR2208" s="2">
        <v>19388.058275756899</v>
      </c>
      <c r="AS2208" s="2">
        <v>21308.960965536298</v>
      </c>
      <c r="AT2208" s="2">
        <v>16639.282941801099</v>
      </c>
      <c r="AU2208" s="2">
        <v>18393.8533961865</v>
      </c>
      <c r="AV2208" s="2">
        <v>9925.7991931744491</v>
      </c>
      <c r="AW2208" s="2">
        <v>15100.912136167</v>
      </c>
      <c r="AX2208" s="2">
        <v>63304.430825114701</v>
      </c>
    </row>
    <row r="2209" spans="1:50" x14ac:dyDescent="0.25">
      <c r="A2209" s="2" t="s">
        <v>14901</v>
      </c>
      <c r="B2209" s="2">
        <v>635.52599142337397</v>
      </c>
      <c r="C2209" s="2">
        <v>12.708216666666701</v>
      </c>
      <c r="D2209" s="2" t="s">
        <v>51</v>
      </c>
      <c r="E2209" s="2" t="s">
        <v>14902</v>
      </c>
      <c r="F2209" s="2">
        <v>252764</v>
      </c>
      <c r="G2209" s="3" t="str">
        <f>HYPERLINK("https://cloud.oebiotech.com/#/lm/network/252764", "https://cloud.oebiotech.com/#/lm/network/252764")</f>
        <v>https://cloud.oebiotech.com/#/lm/network/252764</v>
      </c>
      <c r="H2209" s="2" t="s">
        <v>14903</v>
      </c>
      <c r="I2209" s="2"/>
      <c r="J2209" s="2"/>
      <c r="K2209" s="2"/>
      <c r="L2209" s="2"/>
      <c r="M2209" s="2"/>
      <c r="N2209" s="2"/>
      <c r="O2209" s="2"/>
      <c r="P2209" s="2"/>
      <c r="Q2209" s="2"/>
      <c r="R2209" s="2"/>
      <c r="S2209" s="2" t="s">
        <v>14904</v>
      </c>
      <c r="T2209" s="2" t="s">
        <v>14905</v>
      </c>
      <c r="U2209" s="2" t="s">
        <v>56</v>
      </c>
      <c r="V2209" s="2" t="s">
        <v>3215</v>
      </c>
      <c r="W2209" s="2" t="s">
        <v>3216</v>
      </c>
      <c r="X2209" s="2" t="s">
        <v>83</v>
      </c>
      <c r="Y2209" s="2">
        <v>46.6</v>
      </c>
      <c r="Z2209" s="2">
        <v>0</v>
      </c>
      <c r="AA2209" s="2" t="s">
        <v>379</v>
      </c>
      <c r="AB2209" s="2" t="s">
        <v>14906</v>
      </c>
      <c r="AC2209" s="2">
        <v>0.57724704286820505</v>
      </c>
      <c r="AD2209" s="2"/>
      <c r="AE2209" s="2">
        <v>0.29698083378297802</v>
      </c>
      <c r="AF2209" s="2">
        <v>1682.8927458221499</v>
      </c>
      <c r="AG2209" s="2">
        <v>6928.8984473361998</v>
      </c>
      <c r="AH2209" s="4">
        <v>0.24288027290530301</v>
      </c>
      <c r="AI2209" s="4">
        <v>-2.0416827779784201</v>
      </c>
      <c r="AJ2209" s="4" t="s">
        <v>62</v>
      </c>
      <c r="AK2209" s="2">
        <v>0.17582378209809099</v>
      </c>
      <c r="AL2209" s="2">
        <v>0.49660599158723501</v>
      </c>
      <c r="AM2209" s="2">
        <v>1985.43943044408</v>
      </c>
      <c r="AN2209" s="2">
        <v>1259.24090774451</v>
      </c>
      <c r="AO2209" s="2">
        <v>1267.93680796632</v>
      </c>
      <c r="AP2209" s="2">
        <v>705.59305290233794</v>
      </c>
      <c r="AQ2209" s="2">
        <v>3855.2500761605302</v>
      </c>
      <c r="AR2209" s="2">
        <v>1023.8961997151</v>
      </c>
      <c r="AS2209" s="2">
        <v>8.559877937157E-6</v>
      </c>
      <c r="AT2209" s="2">
        <v>3522.4161389613801</v>
      </c>
      <c r="AU2209" s="2">
        <v>23739.350485814</v>
      </c>
      <c r="AV2209" s="2">
        <v>6185.2930483128603</v>
      </c>
      <c r="AW2209" s="2">
        <v>7472.9542193161396</v>
      </c>
      <c r="AX2209" s="2">
        <v>653.37678305296004</v>
      </c>
    </row>
    <row r="2210" spans="1:50" x14ac:dyDescent="0.25">
      <c r="A2210" s="2" t="s">
        <v>14907</v>
      </c>
      <c r="B2210" s="2">
        <v>466.29384433289698</v>
      </c>
      <c r="C2210" s="2">
        <v>11.0279666666667</v>
      </c>
      <c r="D2210" s="2" t="s">
        <v>51</v>
      </c>
      <c r="E2210" s="2" t="s">
        <v>14908</v>
      </c>
      <c r="F2210" s="2">
        <v>21191</v>
      </c>
      <c r="G2210" s="3" t="str">
        <f>HYPERLINK("https://cloud.oebiotech.com/#/lm/network/21191", "https://cloud.oebiotech.com/#/lm/network/21191")</f>
        <v>https://cloud.oebiotech.com/#/lm/network/21191</v>
      </c>
      <c r="H2210" s="2" t="s">
        <v>14909</v>
      </c>
      <c r="I2210" s="2">
        <v>77696</v>
      </c>
      <c r="J2210" s="2" t="s">
        <v>14910</v>
      </c>
      <c r="K2210" s="2">
        <v>52925149</v>
      </c>
      <c r="L2210" s="2"/>
      <c r="M2210" s="2"/>
      <c r="N2210" s="2"/>
      <c r="O2210" s="2">
        <v>84490</v>
      </c>
      <c r="P2210" s="2"/>
      <c r="Q2210" s="2"/>
      <c r="R2210" s="2"/>
      <c r="S2210" s="2" t="s">
        <v>14911</v>
      </c>
      <c r="T2210" s="2" t="s">
        <v>14912</v>
      </c>
      <c r="U2210" s="2" t="s">
        <v>56</v>
      </c>
      <c r="V2210" s="2" t="s">
        <v>57</v>
      </c>
      <c r="W2210" s="2" t="s">
        <v>155</v>
      </c>
      <c r="X2210" s="2" t="s">
        <v>69</v>
      </c>
      <c r="Y2210" s="2">
        <v>58.1</v>
      </c>
      <c r="Z2210" s="2">
        <v>70.599999999999994</v>
      </c>
      <c r="AA2210" s="2" t="s">
        <v>163</v>
      </c>
      <c r="AB2210" s="2" t="s">
        <v>14913</v>
      </c>
      <c r="AC2210" s="2">
        <v>-0.146975964024227</v>
      </c>
      <c r="AD2210" s="2"/>
      <c r="AE2210" s="2">
        <v>0.29681512375396901</v>
      </c>
      <c r="AF2210" s="2">
        <v>10500.403994152601</v>
      </c>
      <c r="AG2210" s="2">
        <v>16438.3677844636</v>
      </c>
      <c r="AH2210" s="4">
        <v>0.63877412476905404</v>
      </c>
      <c r="AI2210" s="4">
        <v>-0.646622221122927</v>
      </c>
      <c r="AJ2210" s="4" t="s">
        <v>62</v>
      </c>
      <c r="AK2210" s="2">
        <v>0.15894767496258599</v>
      </c>
      <c r="AL2210" s="2">
        <v>0.48227444314382201</v>
      </c>
      <c r="AM2210" s="2">
        <v>21084.742389578601</v>
      </c>
      <c r="AN2210" s="2">
        <v>9219.1133399539995</v>
      </c>
      <c r="AO2210" s="2">
        <v>8733.7275931127606</v>
      </c>
      <c r="AP2210" s="2">
        <v>5667.0986959402198</v>
      </c>
      <c r="AQ2210" s="2">
        <v>11664.1155952965</v>
      </c>
      <c r="AR2210" s="2">
        <v>6633.6263510333001</v>
      </c>
      <c r="AS2210" s="2">
        <v>5063.9118039122704</v>
      </c>
      <c r="AT2210" s="2">
        <v>10370.713399875</v>
      </c>
      <c r="AU2210" s="2">
        <v>26590.4548008727</v>
      </c>
      <c r="AV2210" s="2">
        <v>20594.0099258314</v>
      </c>
      <c r="AW2210" s="2">
        <v>20085.1779084794</v>
      </c>
      <c r="AX2210" s="2">
        <v>15925.938867810901</v>
      </c>
    </row>
    <row r="2211" spans="1:50" x14ac:dyDescent="0.25">
      <c r="A2211" s="2" t="s">
        <v>14914</v>
      </c>
      <c r="B2211" s="2">
        <v>415.13554518544402</v>
      </c>
      <c r="C2211" s="2">
        <v>6.1879499999999998</v>
      </c>
      <c r="D2211" s="2" t="s">
        <v>51</v>
      </c>
      <c r="E2211" s="2" t="s">
        <v>14915</v>
      </c>
      <c r="F2211" s="2">
        <v>29584</v>
      </c>
      <c r="G2211" s="3" t="str">
        <f>HYPERLINK("https://cloud.oebiotech.com/#/lm/network/29584", "https://cloud.oebiotech.com/#/lm/network/29584")</f>
        <v>https://cloud.oebiotech.com/#/lm/network/29584</v>
      </c>
      <c r="H2211" s="2"/>
      <c r="I2211" s="2"/>
      <c r="J2211" s="2" t="s">
        <v>14916</v>
      </c>
      <c r="K2211" s="2">
        <v>181856</v>
      </c>
      <c r="L2211" s="2"/>
      <c r="M2211" s="2"/>
      <c r="N2211" s="2"/>
      <c r="O2211" s="2"/>
      <c r="P2211" s="2"/>
      <c r="Q2211" s="2"/>
      <c r="R2211" s="2"/>
      <c r="S2211" s="2" t="s">
        <v>14917</v>
      </c>
      <c r="T2211" s="2" t="s">
        <v>14918</v>
      </c>
      <c r="U2211" s="2" t="s">
        <v>540</v>
      </c>
      <c r="V2211" s="2" t="s">
        <v>784</v>
      </c>
      <c r="W2211" s="2" t="s">
        <v>11250</v>
      </c>
      <c r="X2211" s="2" t="s">
        <v>83</v>
      </c>
      <c r="Y2211" s="2">
        <v>38.4</v>
      </c>
      <c r="Z2211" s="2">
        <v>0.13300000000000001</v>
      </c>
      <c r="AA2211" s="2" t="s">
        <v>156</v>
      </c>
      <c r="AB2211" s="2" t="s">
        <v>14919</v>
      </c>
      <c r="AC2211" s="2">
        <v>-7.4024511306878296</v>
      </c>
      <c r="AD2211" s="2"/>
      <c r="AE2211" s="2">
        <v>0.29657636172769902</v>
      </c>
      <c r="AF2211" s="2">
        <v>279.33672471793602</v>
      </c>
      <c r="AG2211" s="2">
        <v>3551.4354808234998</v>
      </c>
      <c r="AH2211" s="4">
        <v>7.8654596493799703E-2</v>
      </c>
      <c r="AI2211" s="4">
        <v>-3.6683251120543998</v>
      </c>
      <c r="AJ2211" s="4" t="s">
        <v>62</v>
      </c>
      <c r="AK2211" s="2">
        <v>0.14695461879650301</v>
      </c>
      <c r="AL2211" s="2">
        <v>0.46813495501649</v>
      </c>
      <c r="AM2211" s="2">
        <v>605.12862184003097</v>
      </c>
      <c r="AN2211" s="2">
        <v>8.559877937157E-6</v>
      </c>
      <c r="AO2211" s="2">
        <v>205.877623619151</v>
      </c>
      <c r="AP2211" s="2">
        <v>0.145444420959711</v>
      </c>
      <c r="AQ2211" s="2">
        <v>136.04108304206599</v>
      </c>
      <c r="AR2211" s="2">
        <v>728.82756682553099</v>
      </c>
      <c r="AS2211" s="2">
        <v>574.82384894447796</v>
      </c>
      <c r="AT2211" s="2">
        <v>1047.0428567624599</v>
      </c>
      <c r="AU2211" s="2">
        <v>4224.0903853930404</v>
      </c>
      <c r="AV2211" s="2">
        <v>1973.8684166026601</v>
      </c>
      <c r="AW2211" s="2">
        <v>13488.787368678501</v>
      </c>
      <c r="AX2211" s="2">
        <v>8.559877937157E-6</v>
      </c>
    </row>
    <row r="2212" spans="1:50" x14ac:dyDescent="0.25">
      <c r="A2212" s="2" t="s">
        <v>14920</v>
      </c>
      <c r="B2212" s="2">
        <v>191.055386738267</v>
      </c>
      <c r="C2212" s="2">
        <v>0.75693333333333301</v>
      </c>
      <c r="D2212" s="2" t="s">
        <v>51</v>
      </c>
      <c r="E2212" s="2" t="s">
        <v>14921</v>
      </c>
      <c r="F2212" s="2">
        <v>48024</v>
      </c>
      <c r="G2212" s="3" t="str">
        <f>HYPERLINK("https://cloud.oebiotech.com/#/lm/network/48024", "https://cloud.oebiotech.com/#/lm/network/48024")</f>
        <v>https://cloud.oebiotech.com/#/lm/network/48024</v>
      </c>
      <c r="H2212" s="2" t="s">
        <v>14922</v>
      </c>
      <c r="I2212" s="2"/>
      <c r="J2212" s="2"/>
      <c r="K2212" s="2">
        <v>6508</v>
      </c>
      <c r="L2212" s="2" t="s">
        <v>14923</v>
      </c>
      <c r="M2212" s="2" t="s">
        <v>13357</v>
      </c>
      <c r="N2212" s="2" t="s">
        <v>13358</v>
      </c>
      <c r="O2212" s="2">
        <v>17521</v>
      </c>
      <c r="P2212" s="2"/>
      <c r="Q2212" s="2"/>
      <c r="R2212" s="2" t="s">
        <v>14924</v>
      </c>
      <c r="S2212" s="2" t="s">
        <v>14925</v>
      </c>
      <c r="T2212" s="2" t="s">
        <v>14926</v>
      </c>
      <c r="U2212" s="2" t="s">
        <v>331</v>
      </c>
      <c r="V2212" s="2" t="s">
        <v>332</v>
      </c>
      <c r="W2212" s="2" t="s">
        <v>519</v>
      </c>
      <c r="X2212" s="2" t="s">
        <v>83</v>
      </c>
      <c r="Y2212" s="2">
        <v>43.5</v>
      </c>
      <c r="Z2212" s="2">
        <v>0</v>
      </c>
      <c r="AA2212" s="2" t="s">
        <v>163</v>
      </c>
      <c r="AB2212" s="2" t="s">
        <v>14927</v>
      </c>
      <c r="AC2212" s="2">
        <v>-3.77444103427344</v>
      </c>
      <c r="AD2212" s="2"/>
      <c r="AE2212" s="2">
        <v>0.29656202076937899</v>
      </c>
      <c r="AF2212" s="2">
        <v>6749.1375956587999</v>
      </c>
      <c r="AG2212" s="2">
        <v>1993.8968042322399</v>
      </c>
      <c r="AH2212" s="5">
        <v>3.3848981458484202</v>
      </c>
      <c r="AI2212" s="5">
        <v>1.7591124226657999</v>
      </c>
      <c r="AJ2212" s="5" t="s">
        <v>139</v>
      </c>
      <c r="AK2212" s="2">
        <v>0.209894999452751</v>
      </c>
      <c r="AL2212" s="2">
        <v>0.53413913919887801</v>
      </c>
      <c r="AM2212" s="2">
        <v>4259.9698797114997</v>
      </c>
      <c r="AN2212" s="2">
        <v>5291.9005504329598</v>
      </c>
      <c r="AO2212" s="2">
        <v>622.31075064001197</v>
      </c>
      <c r="AP2212" s="2">
        <v>8.559877937157E-6</v>
      </c>
      <c r="AQ2212" s="2">
        <v>23364.293432899201</v>
      </c>
      <c r="AR2212" s="2">
        <v>6956.3509517092198</v>
      </c>
      <c r="AS2212" s="2">
        <v>2582.2935596765001</v>
      </c>
      <c r="AT2212" s="2">
        <v>348.70744885615699</v>
      </c>
      <c r="AU2212" s="2">
        <v>2381.0349221371598</v>
      </c>
      <c r="AV2212" s="2">
        <v>231.12096596354201</v>
      </c>
      <c r="AW2212" s="2">
        <v>3919.9760974108199</v>
      </c>
      <c r="AX2212" s="2">
        <v>2500.2478313492402</v>
      </c>
    </row>
    <row r="2213" spans="1:50" x14ac:dyDescent="0.25">
      <c r="A2213" s="2" t="s">
        <v>14928</v>
      </c>
      <c r="B2213" s="2">
        <v>319.22749641435098</v>
      </c>
      <c r="C2213" s="2">
        <v>10.753966666666701</v>
      </c>
      <c r="D2213" s="2" t="s">
        <v>51</v>
      </c>
      <c r="E2213" s="2" t="s">
        <v>14929</v>
      </c>
      <c r="F2213" s="2">
        <v>3973</v>
      </c>
      <c r="G2213" s="3" t="str">
        <f>HYPERLINK("https://cloud.oebiotech.com/#/lm/network/3973", "https://cloud.oebiotech.com/#/lm/network/3973")</f>
        <v>https://cloud.oebiotech.com/#/lm/network/3973</v>
      </c>
      <c r="H2213" s="2" t="s">
        <v>14930</v>
      </c>
      <c r="I2213" s="2">
        <v>3846</v>
      </c>
      <c r="J2213" s="2" t="s">
        <v>14931</v>
      </c>
      <c r="K2213" s="2">
        <v>5280893</v>
      </c>
      <c r="L2213" s="2" t="s">
        <v>14932</v>
      </c>
      <c r="M2213" s="2" t="s">
        <v>305</v>
      </c>
      <c r="N2213" s="2" t="s">
        <v>306</v>
      </c>
      <c r="O2213" s="2">
        <v>15628</v>
      </c>
      <c r="P2213" s="2" t="s">
        <v>14933</v>
      </c>
      <c r="Q2213" s="2" t="s">
        <v>14934</v>
      </c>
      <c r="R2213" s="2" t="s">
        <v>14935</v>
      </c>
      <c r="S2213" s="2" t="s">
        <v>14936</v>
      </c>
      <c r="T2213" s="2" t="s">
        <v>14937</v>
      </c>
      <c r="U2213" s="2" t="s">
        <v>56</v>
      </c>
      <c r="V2213" s="2" t="s">
        <v>145</v>
      </c>
      <c r="W2213" s="2" t="s">
        <v>187</v>
      </c>
      <c r="X2213" s="2" t="s">
        <v>83</v>
      </c>
      <c r="Y2213" s="2">
        <v>53.1</v>
      </c>
      <c r="Z2213" s="2">
        <v>0</v>
      </c>
      <c r="AA2213" s="2" t="s">
        <v>156</v>
      </c>
      <c r="AB2213" s="2" t="s">
        <v>188</v>
      </c>
      <c r="AC2213" s="2">
        <v>2.1567371811091198</v>
      </c>
      <c r="AD2213" s="2"/>
      <c r="AE2213" s="2">
        <v>0.29650900470822</v>
      </c>
      <c r="AF2213" s="2">
        <v>5125.15331296767</v>
      </c>
      <c r="AG2213" s="2">
        <v>2780.3774812697002</v>
      </c>
      <c r="AH2213" s="5">
        <v>1.8433300325203299</v>
      </c>
      <c r="AI2213" s="5">
        <v>0.88231439633694098</v>
      </c>
      <c r="AJ2213" s="5" t="s">
        <v>139</v>
      </c>
      <c r="AK2213" s="2">
        <v>2.40142620692822E-2</v>
      </c>
      <c r="AL2213" s="2">
        <v>0.24042609427542799</v>
      </c>
      <c r="AM2213" s="2">
        <v>4278.5742609737599</v>
      </c>
      <c r="AN2213" s="2">
        <v>7543.2919017675304</v>
      </c>
      <c r="AO2213" s="2">
        <v>6777.9762493402004</v>
      </c>
      <c r="AP2213" s="2">
        <v>4010.12308169674</v>
      </c>
      <c r="AQ2213" s="2">
        <v>4075.7166378625402</v>
      </c>
      <c r="AR2213" s="2">
        <v>4065.23774616526</v>
      </c>
      <c r="AS2213" s="2">
        <v>4789.3759533893399</v>
      </c>
      <c r="AT2213" s="2">
        <v>2140.7065587062202</v>
      </c>
      <c r="AU2213" s="2">
        <v>2064.2435853970701</v>
      </c>
      <c r="AV2213" s="2">
        <v>1750.54631181487</v>
      </c>
      <c r="AW2213" s="2">
        <v>1467.6063485780101</v>
      </c>
      <c r="AX2213" s="2">
        <v>4469.7861297326599</v>
      </c>
    </row>
    <row r="2214" spans="1:50" x14ac:dyDescent="0.25">
      <c r="A2214" s="2" t="s">
        <v>14938</v>
      </c>
      <c r="B2214" s="2">
        <v>244.264169972925</v>
      </c>
      <c r="C2214" s="2">
        <v>8.59643333333333</v>
      </c>
      <c r="D2214" s="2" t="s">
        <v>51</v>
      </c>
      <c r="E2214" s="2" t="s">
        <v>14939</v>
      </c>
      <c r="F2214" s="2">
        <v>6030</v>
      </c>
      <c r="G2214" s="3" t="str">
        <f>HYPERLINK("https://cloud.oebiotech.com/#/lm/network/6030", "https://cloud.oebiotech.com/#/lm/network/6030")</f>
        <v>https://cloud.oebiotech.com/#/lm/network/6030</v>
      </c>
      <c r="H2214" s="2"/>
      <c r="I2214" s="2">
        <v>36507</v>
      </c>
      <c r="J2214" s="2" t="s">
        <v>14940</v>
      </c>
      <c r="K2214" s="2">
        <v>5283299</v>
      </c>
      <c r="L2214" s="2"/>
      <c r="M2214" s="2"/>
      <c r="N2214" s="2"/>
      <c r="O2214" s="2"/>
      <c r="P2214" s="2"/>
      <c r="Q2214" s="2"/>
      <c r="R2214" s="2"/>
      <c r="S2214" s="2" t="s">
        <v>14941</v>
      </c>
      <c r="T2214" s="2" t="s">
        <v>14942</v>
      </c>
      <c r="U2214" s="2" t="s">
        <v>56</v>
      </c>
      <c r="V2214" s="2" t="s">
        <v>145</v>
      </c>
      <c r="W2214" s="2" t="s">
        <v>146</v>
      </c>
      <c r="X2214" s="2" t="s">
        <v>147</v>
      </c>
      <c r="Y2214" s="2">
        <v>39.799999999999997</v>
      </c>
      <c r="Z2214" s="2">
        <v>7.5</v>
      </c>
      <c r="AA2214" s="2" t="s">
        <v>512</v>
      </c>
      <c r="AB2214" s="2" t="s">
        <v>14943</v>
      </c>
      <c r="AC2214" s="2">
        <v>3.0007614755356098</v>
      </c>
      <c r="AD2214" s="2"/>
      <c r="AE2214" s="2">
        <v>0.29650673898373198</v>
      </c>
      <c r="AF2214" s="2">
        <v>13372.4812036934</v>
      </c>
      <c r="AG2214" s="2">
        <v>17747.530758665798</v>
      </c>
      <c r="AH2214" s="4">
        <v>0.75348404155681803</v>
      </c>
      <c r="AI2214" s="4">
        <v>-0.40835113835377501</v>
      </c>
      <c r="AJ2214" s="4" t="s">
        <v>62</v>
      </c>
      <c r="AK2214" s="2">
        <v>0.37812751596449401</v>
      </c>
      <c r="AL2214" s="2">
        <v>0.65844593389412398</v>
      </c>
      <c r="AM2214" s="2">
        <v>16831.895357771002</v>
      </c>
      <c r="AN2214" s="2">
        <v>13450.755705285001</v>
      </c>
      <c r="AO2214" s="2">
        <v>9790.6858734929301</v>
      </c>
      <c r="AP2214" s="2">
        <v>12026.9948872557</v>
      </c>
      <c r="AQ2214" s="2">
        <v>18947.279912005</v>
      </c>
      <c r="AR2214" s="2">
        <v>9187.2754863509308</v>
      </c>
      <c r="AS2214" s="2">
        <v>8821.7592791552597</v>
      </c>
      <c r="AT2214" s="2">
        <v>13535.1036897673</v>
      </c>
      <c r="AU2214" s="2">
        <v>9679.6131264029991</v>
      </c>
      <c r="AV2214" s="2">
        <v>30099.864078437</v>
      </c>
      <c r="AW2214" s="2">
        <v>33258.0016389429</v>
      </c>
      <c r="AX2214" s="2">
        <v>11090.842739289201</v>
      </c>
    </row>
    <row r="2215" spans="1:50" x14ac:dyDescent="0.25">
      <c r="A2215" s="2" t="s">
        <v>14944</v>
      </c>
      <c r="B2215" s="2">
        <v>281.01401102679802</v>
      </c>
      <c r="C2215" s="2">
        <v>1.4109499999999999</v>
      </c>
      <c r="D2215" s="2" t="s">
        <v>51</v>
      </c>
      <c r="E2215" s="2" t="s">
        <v>14945</v>
      </c>
      <c r="F2215" s="2">
        <v>256215</v>
      </c>
      <c r="G2215" s="3" t="str">
        <f>HYPERLINK("https://cloud.oebiotech.com/#/lm/network/256215", "https://cloud.oebiotech.com/#/lm/network/256215")</f>
        <v>https://cloud.oebiotech.com/#/lm/network/256215</v>
      </c>
      <c r="H2215" s="2" t="s">
        <v>14946</v>
      </c>
      <c r="I2215" s="2"/>
      <c r="J2215" s="2"/>
      <c r="K2215" s="2">
        <v>62425</v>
      </c>
      <c r="L2215" s="2"/>
      <c r="M2215" s="2"/>
      <c r="N2215" s="2"/>
      <c r="O2215" s="2"/>
      <c r="P2215" s="2"/>
      <c r="Q2215" s="2"/>
      <c r="R2215" s="2"/>
      <c r="S2215" s="2" t="s">
        <v>14947</v>
      </c>
      <c r="T2215" s="2" t="s">
        <v>14948</v>
      </c>
      <c r="U2215" s="2" t="s">
        <v>610</v>
      </c>
      <c r="V2215" s="2" t="s">
        <v>611</v>
      </c>
      <c r="W2215" s="2" t="s">
        <v>1122</v>
      </c>
      <c r="X2215" s="2" t="s">
        <v>147</v>
      </c>
      <c r="Y2215" s="2">
        <v>36.700000000000003</v>
      </c>
      <c r="Z2215" s="2">
        <v>0</v>
      </c>
      <c r="AA2215" s="2" t="s">
        <v>163</v>
      </c>
      <c r="AB2215" s="2" t="s">
        <v>14949</v>
      </c>
      <c r="AC2215" s="2">
        <v>2.7929879501603199</v>
      </c>
      <c r="AD2215" s="2"/>
      <c r="AE2215" s="2">
        <v>0.29628135451037202</v>
      </c>
      <c r="AF2215" s="2">
        <v>25518.844891734501</v>
      </c>
      <c r="AG2215" s="2">
        <v>20877.455945506699</v>
      </c>
      <c r="AH2215" s="5">
        <v>1.2223158299719401</v>
      </c>
      <c r="AI2215" s="5">
        <v>0.28961710632093501</v>
      </c>
      <c r="AJ2215" s="5" t="s">
        <v>139</v>
      </c>
      <c r="AK2215" s="2">
        <v>0.64411087317399396</v>
      </c>
      <c r="AL2215" s="2">
        <v>0.82614375542364304</v>
      </c>
      <c r="AM2215" s="2">
        <v>34088.819777923898</v>
      </c>
      <c r="AN2215" s="2">
        <v>19249.922646896299</v>
      </c>
      <c r="AO2215" s="2">
        <v>21864.916601363399</v>
      </c>
      <c r="AP2215" s="2">
        <v>36602.299021231702</v>
      </c>
      <c r="AQ2215" s="2">
        <v>24705.805973437498</v>
      </c>
      <c r="AR2215" s="2">
        <v>16601.3053295545</v>
      </c>
      <c r="AS2215" s="2">
        <v>2525.2603456792499</v>
      </c>
      <c r="AT2215" s="2">
        <v>19152.227224373699</v>
      </c>
      <c r="AU2215" s="2">
        <v>62941.6218605225</v>
      </c>
      <c r="AV2215" s="2">
        <v>25706.695878725699</v>
      </c>
      <c r="AW2215" s="2">
        <v>11200.908586203201</v>
      </c>
      <c r="AX2215" s="2">
        <v>3738.02177753564</v>
      </c>
    </row>
    <row r="2216" spans="1:50" x14ac:dyDescent="0.25">
      <c r="A2216" s="2" t="s">
        <v>14950</v>
      </c>
      <c r="B2216" s="2">
        <v>245.11412405623099</v>
      </c>
      <c r="C2216" s="2">
        <v>1.2499499999999999</v>
      </c>
      <c r="D2216" s="2" t="s">
        <v>51</v>
      </c>
      <c r="E2216" s="2" t="s">
        <v>14951</v>
      </c>
      <c r="F2216" s="2">
        <v>53864</v>
      </c>
      <c r="G2216" s="3" t="str">
        <f>HYPERLINK("https://cloud.oebiotech.com/#/lm/network/53864", "https://cloud.oebiotech.com/#/lm/network/53864")</f>
        <v>https://cloud.oebiotech.com/#/lm/network/53864</v>
      </c>
      <c r="H2216" s="2" t="s">
        <v>14952</v>
      </c>
      <c r="I2216" s="2">
        <v>23993</v>
      </c>
      <c r="J2216" s="2"/>
      <c r="K2216" s="2">
        <v>6992567</v>
      </c>
      <c r="L2216" s="2"/>
      <c r="M2216" s="2"/>
      <c r="N2216" s="2"/>
      <c r="O2216" s="2">
        <v>68846</v>
      </c>
      <c r="P2216" s="2"/>
      <c r="Q2216" s="2"/>
      <c r="R2216" s="2" t="s">
        <v>14953</v>
      </c>
      <c r="S2216" s="2" t="s">
        <v>14954</v>
      </c>
      <c r="T2216" s="2" t="s">
        <v>14955</v>
      </c>
      <c r="U2216" s="2" t="s">
        <v>103</v>
      </c>
      <c r="V2216" s="2" t="s">
        <v>104</v>
      </c>
      <c r="W2216" s="2" t="s">
        <v>105</v>
      </c>
      <c r="X2216" s="2" t="s">
        <v>83</v>
      </c>
      <c r="Y2216" s="2">
        <v>49.8</v>
      </c>
      <c r="Z2216" s="2">
        <v>41.6</v>
      </c>
      <c r="AA2216" s="2" t="s">
        <v>163</v>
      </c>
      <c r="AB2216" s="2" t="s">
        <v>14956</v>
      </c>
      <c r="AC2216" s="2">
        <v>-0.69557669473313899</v>
      </c>
      <c r="AD2216" s="2"/>
      <c r="AE2216" s="2">
        <v>0.29626398928264902</v>
      </c>
      <c r="AF2216" s="2">
        <v>12586.9175463683</v>
      </c>
      <c r="AG2216" s="2">
        <v>8261.0144673127907</v>
      </c>
      <c r="AH2216" s="5">
        <v>1.5236527663971799</v>
      </c>
      <c r="AI2216" s="5">
        <v>0.60753415658789001</v>
      </c>
      <c r="AJ2216" s="5" t="s">
        <v>139</v>
      </c>
      <c r="AK2216" s="2">
        <v>9.29356972193634E-2</v>
      </c>
      <c r="AL2216" s="2">
        <v>0.39171747207476998</v>
      </c>
      <c r="AM2216" s="2">
        <v>8839.0906481017701</v>
      </c>
      <c r="AN2216" s="2">
        <v>4557.9176555900904</v>
      </c>
      <c r="AO2216" s="2">
        <v>16628.9778059491</v>
      </c>
      <c r="AP2216" s="2">
        <v>14530.1990907749</v>
      </c>
      <c r="AQ2216" s="2">
        <v>17667.327899477001</v>
      </c>
      <c r="AR2216" s="2">
        <v>13297.992178316699</v>
      </c>
      <c r="AS2216" s="2">
        <v>8039.9792947524402</v>
      </c>
      <c r="AT2216" s="2">
        <v>7134.4847056549997</v>
      </c>
      <c r="AU2216" s="2">
        <v>8960.5538229053709</v>
      </c>
      <c r="AV2216" s="2">
        <v>8161.6338982001798</v>
      </c>
      <c r="AW2216" s="2">
        <v>4408.6573283963598</v>
      </c>
      <c r="AX2216" s="2">
        <v>12860.777753967401</v>
      </c>
    </row>
    <row r="2217" spans="1:50" x14ac:dyDescent="0.25">
      <c r="A2217" s="2" t="s">
        <v>14957</v>
      </c>
      <c r="B2217" s="2">
        <v>494.27279689203402</v>
      </c>
      <c r="C2217" s="2">
        <v>4.6687166666666702</v>
      </c>
      <c r="D2217" s="2" t="s">
        <v>51</v>
      </c>
      <c r="E2217" s="2" t="s">
        <v>14958</v>
      </c>
      <c r="F2217" s="2">
        <v>10368</v>
      </c>
      <c r="G2217" s="3" t="str">
        <f>HYPERLINK("https://cloud.oebiotech.com/#/lm/network/10368", "https://cloud.oebiotech.com/#/lm/network/10368")</f>
        <v>https://cloud.oebiotech.com/#/lm/network/10368</v>
      </c>
      <c r="H2217" s="2"/>
      <c r="I2217" s="2"/>
      <c r="J2217" s="2" t="s">
        <v>14959</v>
      </c>
      <c r="K2217" s="2">
        <v>86289878</v>
      </c>
      <c r="L2217" s="2"/>
      <c r="M2217" s="2"/>
      <c r="N2217" s="2"/>
      <c r="O2217" s="2">
        <v>79303</v>
      </c>
      <c r="P2217" s="2"/>
      <c r="Q2217" s="2"/>
      <c r="R2217" s="2"/>
      <c r="S2217" s="2" t="s">
        <v>14960</v>
      </c>
      <c r="T2217" s="2" t="s">
        <v>14961</v>
      </c>
      <c r="U2217" s="2" t="s">
        <v>56</v>
      </c>
      <c r="V2217" s="2" t="s">
        <v>145</v>
      </c>
      <c r="W2217" s="2" t="s">
        <v>3263</v>
      </c>
      <c r="X2217" s="2" t="s">
        <v>147</v>
      </c>
      <c r="Y2217" s="2">
        <v>47.1</v>
      </c>
      <c r="Z2217" s="2">
        <v>38.4</v>
      </c>
      <c r="AA2217" s="2" t="s">
        <v>122</v>
      </c>
      <c r="AB2217" s="2" t="s">
        <v>14962</v>
      </c>
      <c r="AC2217" s="2">
        <v>0.17122113218184301</v>
      </c>
      <c r="AD2217" s="2"/>
      <c r="AE2217" s="2">
        <v>0.29610994971758697</v>
      </c>
      <c r="AF2217" s="2">
        <v>4626.4902558249196</v>
      </c>
      <c r="AG2217" s="2">
        <v>961.67003665446998</v>
      </c>
      <c r="AH2217" s="5">
        <v>4.8108915526992</v>
      </c>
      <c r="AI2217" s="5">
        <v>2.2663042785000602</v>
      </c>
      <c r="AJ2217" s="5" t="s">
        <v>139</v>
      </c>
      <c r="AK2217" s="2">
        <v>9.61313443757357E-2</v>
      </c>
      <c r="AL2217" s="2">
        <v>0.39524362296311799</v>
      </c>
      <c r="AM2217" s="2">
        <v>285.30293190128702</v>
      </c>
      <c r="AN2217" s="2">
        <v>2051.96256811994</v>
      </c>
      <c r="AO2217" s="2">
        <v>9110.15734568671</v>
      </c>
      <c r="AP2217" s="2">
        <v>873.55061834041896</v>
      </c>
      <c r="AQ2217" s="2">
        <v>3371.6527483229502</v>
      </c>
      <c r="AR2217" s="2">
        <v>12066.315322578201</v>
      </c>
      <c r="AS2217" s="2">
        <v>2133.26945548307</v>
      </c>
      <c r="AT2217" s="2">
        <v>1297.72616898878</v>
      </c>
      <c r="AU2217" s="2">
        <v>1110.1022634864901</v>
      </c>
      <c r="AV2217" s="2">
        <v>923.77191661793199</v>
      </c>
      <c r="AW2217" s="2">
        <v>305.15040679066902</v>
      </c>
      <c r="AX2217" s="2">
        <v>8.559877937157E-6</v>
      </c>
    </row>
    <row r="2218" spans="1:50" x14ac:dyDescent="0.25">
      <c r="A2218" s="2" t="s">
        <v>14963</v>
      </c>
      <c r="B2218" s="2">
        <v>221.154309560527</v>
      </c>
      <c r="C2218" s="2">
        <v>9.0934000000000008</v>
      </c>
      <c r="D2218" s="2" t="s">
        <v>51</v>
      </c>
      <c r="E2218" s="2" t="s">
        <v>14964</v>
      </c>
      <c r="F2218" s="2">
        <v>2636</v>
      </c>
      <c r="G2218" s="3" t="str">
        <f>HYPERLINK("https://cloud.oebiotech.com/#/lm/network/2636", "https://cloud.oebiotech.com/#/lm/network/2636")</f>
        <v>https://cloud.oebiotech.com/#/lm/network/2636</v>
      </c>
      <c r="H2218" s="2" t="s">
        <v>14965</v>
      </c>
      <c r="I2218" s="2"/>
      <c r="J2218" s="2" t="s">
        <v>14966</v>
      </c>
      <c r="K2218" s="2">
        <v>23425504</v>
      </c>
      <c r="L2218" s="2"/>
      <c r="M2218" s="2"/>
      <c r="N2218" s="2"/>
      <c r="O2218" s="2"/>
      <c r="P2218" s="2"/>
      <c r="Q2218" s="2"/>
      <c r="R2218" s="2" t="s">
        <v>14967</v>
      </c>
      <c r="S2218" s="2" t="s">
        <v>14968</v>
      </c>
      <c r="T2218" s="2" t="s">
        <v>14969</v>
      </c>
      <c r="U2218" s="2" t="s">
        <v>56</v>
      </c>
      <c r="V2218" s="2" t="s">
        <v>145</v>
      </c>
      <c r="W2218" s="2" t="s">
        <v>231</v>
      </c>
      <c r="X2218" s="2" t="s">
        <v>83</v>
      </c>
      <c r="Y2218" s="2">
        <v>47.9</v>
      </c>
      <c r="Z2218" s="2">
        <v>27.5</v>
      </c>
      <c r="AA2218" s="2" t="s">
        <v>156</v>
      </c>
      <c r="AB2218" s="2" t="s">
        <v>10230</v>
      </c>
      <c r="AC2218" s="2">
        <v>2.9528698221603502</v>
      </c>
      <c r="AD2218" s="2"/>
      <c r="AE2218" s="2">
        <v>0.29578104936786598</v>
      </c>
      <c r="AF2218" s="2">
        <v>4858.8698929539996</v>
      </c>
      <c r="AG2218" s="2">
        <v>3154.7594021449499</v>
      </c>
      <c r="AH2218" s="5">
        <v>1.5401713010667</v>
      </c>
      <c r="AI2218" s="5">
        <v>0.62309081939775501</v>
      </c>
      <c r="AJ2218" s="5" t="s">
        <v>139</v>
      </c>
      <c r="AK2218" s="2">
        <v>1.53952276268591E-2</v>
      </c>
      <c r="AL2218" s="2">
        <v>0.196993902176336</v>
      </c>
      <c r="AM2218" s="2">
        <v>6845.8502845536004</v>
      </c>
      <c r="AN2218" s="2">
        <v>6030.4624232803799</v>
      </c>
      <c r="AO2218" s="2">
        <v>3846.5263256581202</v>
      </c>
      <c r="AP2218" s="2">
        <v>3847.2920539535198</v>
      </c>
      <c r="AQ2218" s="2">
        <v>4357.8127099051799</v>
      </c>
      <c r="AR2218" s="2">
        <v>4225.2755603731903</v>
      </c>
      <c r="AS2218" s="2">
        <v>3368.3701743320999</v>
      </c>
      <c r="AT2218" s="2">
        <v>2711.31741445224</v>
      </c>
      <c r="AU2218" s="2">
        <v>4288.5588786939898</v>
      </c>
      <c r="AV2218" s="2">
        <v>2644.91528875329</v>
      </c>
      <c r="AW2218" s="2">
        <v>2535.6767819736101</v>
      </c>
      <c r="AX2218" s="2">
        <v>3379.7178746645</v>
      </c>
    </row>
    <row r="2219" spans="1:50" x14ac:dyDescent="0.25">
      <c r="A2219" s="2" t="s">
        <v>14970</v>
      </c>
      <c r="B2219" s="2">
        <v>231.08713813446499</v>
      </c>
      <c r="C2219" s="2">
        <v>6.0356166666666704</v>
      </c>
      <c r="D2219" s="2" t="s">
        <v>51</v>
      </c>
      <c r="E2219" s="2" t="s">
        <v>14971</v>
      </c>
      <c r="F2219" s="2">
        <v>55680</v>
      </c>
      <c r="G2219" s="3" t="str">
        <f>HYPERLINK("https://cloud.oebiotech.com/#/lm/network/55680", "https://cloud.oebiotech.com/#/lm/network/55680")</f>
        <v>https://cloud.oebiotech.com/#/lm/network/55680</v>
      </c>
      <c r="H2219" s="2" t="s">
        <v>14972</v>
      </c>
      <c r="I2219" s="2">
        <v>87336</v>
      </c>
      <c r="J2219" s="2"/>
      <c r="K2219" s="2">
        <v>131751118</v>
      </c>
      <c r="L2219" s="2"/>
      <c r="M2219" s="2"/>
      <c r="N2219" s="2"/>
      <c r="O2219" s="2">
        <v>173888</v>
      </c>
      <c r="P2219" s="2"/>
      <c r="Q2219" s="2"/>
      <c r="R2219" s="2"/>
      <c r="S2219" s="2" t="s">
        <v>14973</v>
      </c>
      <c r="T2219" s="2" t="s">
        <v>14974</v>
      </c>
      <c r="U2219" s="2" t="s">
        <v>266</v>
      </c>
      <c r="V2219" s="2" t="s">
        <v>3994</v>
      </c>
      <c r="W2219" s="2" t="s">
        <v>3995</v>
      </c>
      <c r="X2219" s="2" t="s">
        <v>83</v>
      </c>
      <c r="Y2219" s="2">
        <v>42.3</v>
      </c>
      <c r="Z2219" s="2">
        <v>1.33</v>
      </c>
      <c r="AA2219" s="2" t="s">
        <v>218</v>
      </c>
      <c r="AB2219" s="2" t="s">
        <v>14975</v>
      </c>
      <c r="AC2219" s="2">
        <v>-1.4705998067883099</v>
      </c>
      <c r="AD2219" s="2"/>
      <c r="AE2219" s="2">
        <v>0.29575968944782999</v>
      </c>
      <c r="AF2219" s="2">
        <v>7759.2848173368402</v>
      </c>
      <c r="AG2219" s="2">
        <v>4110.2019894343803</v>
      </c>
      <c r="AH2219" s="5">
        <v>1.88781107042494</v>
      </c>
      <c r="AI2219" s="5">
        <v>0.91671438895840696</v>
      </c>
      <c r="AJ2219" s="5" t="s">
        <v>139</v>
      </c>
      <c r="AK2219" s="2">
        <v>0.24629209135014099</v>
      </c>
      <c r="AL2219" s="2">
        <v>0.57119796911972998</v>
      </c>
      <c r="AM2219" s="2">
        <v>7291.0832578914496</v>
      </c>
      <c r="AN2219" s="2">
        <v>18349.4906460446</v>
      </c>
      <c r="AO2219" s="2">
        <v>2390.0074521174602</v>
      </c>
      <c r="AP2219" s="2">
        <v>2360.1576933084102</v>
      </c>
      <c r="AQ2219" s="2">
        <v>5141.5205788666999</v>
      </c>
      <c r="AR2219" s="2">
        <v>11023.4492757924</v>
      </c>
      <c r="AS2219" s="2">
        <v>4934.8936241820702</v>
      </c>
      <c r="AT2219" s="2">
        <v>1347.69556016718</v>
      </c>
      <c r="AU2219" s="2">
        <v>4694.1976753151002</v>
      </c>
      <c r="AV2219" s="2">
        <v>839.07535450896603</v>
      </c>
      <c r="AW2219" s="2">
        <v>1654.3787134593399</v>
      </c>
      <c r="AX2219" s="2">
        <v>11190.9710089736</v>
      </c>
    </row>
    <row r="2220" spans="1:50" x14ac:dyDescent="0.25">
      <c r="A2220" s="2" t="s">
        <v>14976</v>
      </c>
      <c r="B2220" s="2">
        <v>350.29162217728998</v>
      </c>
      <c r="C2220" s="2">
        <v>6.6433166666666699</v>
      </c>
      <c r="D2220" s="2" t="s">
        <v>51</v>
      </c>
      <c r="E2220" s="2" t="s">
        <v>14977</v>
      </c>
      <c r="F2220" s="2">
        <v>1976</v>
      </c>
      <c r="G2220" s="3" t="str">
        <f>HYPERLINK("https://cloud.oebiotech.com/#/lm/network/1976", "https://cloud.oebiotech.com/#/lm/network/1976")</f>
        <v>https://cloud.oebiotech.com/#/lm/network/1976</v>
      </c>
      <c r="H2220" s="2" t="s">
        <v>14978</v>
      </c>
      <c r="I2220" s="2">
        <v>87299</v>
      </c>
      <c r="J2220" s="2" t="s">
        <v>14979</v>
      </c>
      <c r="K2220" s="2">
        <v>45359277</v>
      </c>
      <c r="L2220" s="2"/>
      <c r="M2220" s="2"/>
      <c r="N2220" s="2"/>
      <c r="O2220" s="2"/>
      <c r="P2220" s="2"/>
      <c r="Q2220" s="2"/>
      <c r="R2220" s="2" t="s">
        <v>14980</v>
      </c>
      <c r="S2220" s="2" t="s">
        <v>14981</v>
      </c>
      <c r="T2220" s="2" t="s">
        <v>14982</v>
      </c>
      <c r="U2220" s="2" t="s">
        <v>56</v>
      </c>
      <c r="V2220" s="2" t="s">
        <v>145</v>
      </c>
      <c r="W2220" s="2" t="s">
        <v>231</v>
      </c>
      <c r="X2220" s="2" t="s">
        <v>59</v>
      </c>
      <c r="Y2220" s="2">
        <v>47.8</v>
      </c>
      <c r="Z2220" s="2">
        <v>47.2</v>
      </c>
      <c r="AA2220" s="2" t="s">
        <v>512</v>
      </c>
      <c r="AB2220" s="2" t="s">
        <v>14983</v>
      </c>
      <c r="AC2220" s="2">
        <v>4.5819901320167702</v>
      </c>
      <c r="AD2220" s="2"/>
      <c r="AE2220" s="2">
        <v>0.29521393034210103</v>
      </c>
      <c r="AF2220" s="2">
        <v>963.48354027635105</v>
      </c>
      <c r="AG2220" s="2">
        <v>5613.9312612124504</v>
      </c>
      <c r="AH2220" s="4">
        <v>0.17162367963662301</v>
      </c>
      <c r="AI2220" s="4">
        <v>-2.5426794736498599</v>
      </c>
      <c r="AJ2220" s="4" t="s">
        <v>62</v>
      </c>
      <c r="AK2220" s="2">
        <v>0.38030667789616701</v>
      </c>
      <c r="AL2220" s="2">
        <v>0.65913977412323299</v>
      </c>
      <c r="AM2220" s="2">
        <v>8.559877937157E-6</v>
      </c>
      <c r="AN2220" s="2">
        <v>8.559877937157E-6</v>
      </c>
      <c r="AO2220" s="2">
        <v>1419.05054251714</v>
      </c>
      <c r="AP2220" s="2">
        <v>1010.82927023518</v>
      </c>
      <c r="AQ2220" s="2">
        <v>3351.0214032261501</v>
      </c>
      <c r="AR2220" s="2">
        <v>8.559877937157E-6</v>
      </c>
      <c r="AS2220" s="2">
        <v>1099.5175727732801</v>
      </c>
      <c r="AT2220" s="2">
        <v>1401.5932572787301</v>
      </c>
      <c r="AU2220" s="2">
        <v>405.61447002424501</v>
      </c>
      <c r="AV2220" s="2">
        <v>8.559877937157E-6</v>
      </c>
      <c r="AW2220" s="2">
        <v>8.559877937157E-6</v>
      </c>
      <c r="AX2220" s="2">
        <v>30776.862250078699</v>
      </c>
    </row>
    <row r="2221" spans="1:50" x14ac:dyDescent="0.25">
      <c r="A2221" s="2" t="s">
        <v>14984</v>
      </c>
      <c r="B2221" s="2">
        <v>463.02076923950898</v>
      </c>
      <c r="C2221" s="2">
        <v>14.8657166666667</v>
      </c>
      <c r="D2221" s="2" t="s">
        <v>51</v>
      </c>
      <c r="E2221" s="2" t="s">
        <v>14985</v>
      </c>
      <c r="F2221" s="2">
        <v>210342</v>
      </c>
      <c r="G2221" s="3" t="str">
        <f>HYPERLINK("https://cloud.oebiotech.com/#/lm/network/210342", "https://cloud.oebiotech.com/#/lm/network/210342")</f>
        <v>https://cloud.oebiotech.com/#/lm/network/210342</v>
      </c>
      <c r="H2221" s="2" t="s">
        <v>14986</v>
      </c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 t="s">
        <v>14987</v>
      </c>
      <c r="T2221" s="2" t="s">
        <v>14988</v>
      </c>
      <c r="U2221" s="2" t="s">
        <v>103</v>
      </c>
      <c r="V2221" s="2" t="s">
        <v>1567</v>
      </c>
      <c r="W2221" s="2" t="s">
        <v>1568</v>
      </c>
      <c r="X2221" s="2" t="s">
        <v>147</v>
      </c>
      <c r="Y2221" s="2">
        <v>39.299999999999997</v>
      </c>
      <c r="Z2221" s="2">
        <v>0</v>
      </c>
      <c r="AA2221" s="2" t="s">
        <v>478</v>
      </c>
      <c r="AB2221" s="2" t="s">
        <v>14989</v>
      </c>
      <c r="AC2221" s="2">
        <v>1.5007725943280299</v>
      </c>
      <c r="AD2221" s="2"/>
      <c r="AE2221" s="2">
        <v>0.29508190303761</v>
      </c>
      <c r="AF2221" s="2">
        <v>14457.1118286074</v>
      </c>
      <c r="AG2221" s="2">
        <v>16706.417044204001</v>
      </c>
      <c r="AH2221" s="4">
        <v>0.86536279983643005</v>
      </c>
      <c r="AI2221" s="4">
        <v>-0.20862299128151601</v>
      </c>
      <c r="AJ2221" s="4" t="s">
        <v>62</v>
      </c>
      <c r="AK2221" s="2">
        <v>3.95023837436577E-2</v>
      </c>
      <c r="AL2221" s="2">
        <v>0.29135565991996598</v>
      </c>
      <c r="AM2221" s="2">
        <v>11715.6227360639</v>
      </c>
      <c r="AN2221" s="2">
        <v>15046.652708976801</v>
      </c>
      <c r="AO2221" s="2">
        <v>14564.6721813888</v>
      </c>
      <c r="AP2221" s="2">
        <v>14354.746866334899</v>
      </c>
      <c r="AQ2221" s="2">
        <v>16173.844136083901</v>
      </c>
      <c r="AR2221" s="2">
        <v>14887.1323427962</v>
      </c>
      <c r="AS2221" s="2">
        <v>19329.7955042703</v>
      </c>
      <c r="AT2221" s="2">
        <v>18020.759627392199</v>
      </c>
      <c r="AU2221" s="2">
        <v>15961.196398195199</v>
      </c>
      <c r="AV2221" s="2">
        <v>15919.461722807</v>
      </c>
      <c r="AW2221" s="2">
        <v>14199.089133416999</v>
      </c>
      <c r="AX2221" s="2">
        <v>16808.199879142201</v>
      </c>
    </row>
    <row r="2222" spans="1:50" x14ac:dyDescent="0.25">
      <c r="A2222" s="2" t="s">
        <v>14990</v>
      </c>
      <c r="B2222" s="2">
        <v>182.04506160059299</v>
      </c>
      <c r="C2222" s="2">
        <v>1.4660833333333301</v>
      </c>
      <c r="D2222" s="2" t="s">
        <v>51</v>
      </c>
      <c r="E2222" s="2" t="s">
        <v>14991</v>
      </c>
      <c r="F2222" s="2">
        <v>46827</v>
      </c>
      <c r="G2222" s="3" t="str">
        <f>HYPERLINK("https://cloud.oebiotech.com/#/lm/network/46827", "https://cloud.oebiotech.com/#/lm/network/46827")</f>
        <v>https://cloud.oebiotech.com/#/lm/network/46827</v>
      </c>
      <c r="H2222" s="2" t="s">
        <v>14992</v>
      </c>
      <c r="I2222" s="2">
        <v>239</v>
      </c>
      <c r="J2222" s="2"/>
      <c r="K2222" s="2">
        <v>6723</v>
      </c>
      <c r="L2222" s="2" t="s">
        <v>14993</v>
      </c>
      <c r="M2222" s="2" t="s">
        <v>14994</v>
      </c>
      <c r="N2222" s="2" t="s">
        <v>14995</v>
      </c>
      <c r="O2222" s="2">
        <v>17405</v>
      </c>
      <c r="P2222" s="2" t="s">
        <v>14996</v>
      </c>
      <c r="Q2222" s="2" t="s">
        <v>14997</v>
      </c>
      <c r="R2222" s="2" t="s">
        <v>14998</v>
      </c>
      <c r="S2222" s="2" t="s">
        <v>14999</v>
      </c>
      <c r="T2222" s="2" t="s">
        <v>15000</v>
      </c>
      <c r="U2222" s="2" t="s">
        <v>266</v>
      </c>
      <c r="V2222" s="2" t="s">
        <v>2143</v>
      </c>
      <c r="W2222" s="2" t="s">
        <v>2624</v>
      </c>
      <c r="X2222" s="2" t="s">
        <v>69</v>
      </c>
      <c r="Y2222" s="2">
        <v>54.1</v>
      </c>
      <c r="Z2222" s="2">
        <v>50.3</v>
      </c>
      <c r="AA2222" s="2" t="s">
        <v>163</v>
      </c>
      <c r="AB2222" s="2" t="s">
        <v>15001</v>
      </c>
      <c r="AC2222" s="2">
        <v>-4.4781476966058902</v>
      </c>
      <c r="AD2222" s="2"/>
      <c r="AE2222" s="2">
        <v>0.294884537736049</v>
      </c>
      <c r="AF2222" s="2">
        <v>4509.3442291236997</v>
      </c>
      <c r="AG2222" s="2">
        <v>1960.30137418816</v>
      </c>
      <c r="AH2222" s="5">
        <v>2.30033212673291</v>
      </c>
      <c r="AI2222" s="5">
        <v>1.20184217551659</v>
      </c>
      <c r="AJ2222" s="5" t="s">
        <v>139</v>
      </c>
      <c r="AK2222" s="2">
        <v>0.309718899848691</v>
      </c>
      <c r="AL2222" s="2">
        <v>0.61933348211575701</v>
      </c>
      <c r="AM2222" s="2">
        <v>16197.709433150299</v>
      </c>
      <c r="AN2222" s="2">
        <v>2395.5678360379202</v>
      </c>
      <c r="AO2222" s="2">
        <v>1070.0468021614499</v>
      </c>
      <c r="AP2222" s="2">
        <v>1492.70567575051</v>
      </c>
      <c r="AQ2222" s="2">
        <v>3878.46756237315</v>
      </c>
      <c r="AR2222" s="2">
        <v>2021.56806526885</v>
      </c>
      <c r="AS2222" s="2">
        <v>1963.07429102736</v>
      </c>
      <c r="AT2222" s="2">
        <v>2132.6305595761801</v>
      </c>
      <c r="AU2222" s="2">
        <v>1216.77898244369</v>
      </c>
      <c r="AV2222" s="2">
        <v>1598.52195202137</v>
      </c>
      <c r="AW2222" s="2">
        <v>2913.0699029106399</v>
      </c>
      <c r="AX2222" s="2">
        <v>1937.7325571497299</v>
      </c>
    </row>
    <row r="2223" spans="1:50" x14ac:dyDescent="0.25">
      <c r="A2223" s="2" t="s">
        <v>15002</v>
      </c>
      <c r="B2223" s="2">
        <v>233.11802208831199</v>
      </c>
      <c r="C2223" s="2">
        <v>7.01406666666667</v>
      </c>
      <c r="D2223" s="2" t="s">
        <v>51</v>
      </c>
      <c r="E2223" s="2" t="s">
        <v>15003</v>
      </c>
      <c r="F2223" s="2">
        <v>467792</v>
      </c>
      <c r="G2223" s="3" t="str">
        <f>HYPERLINK("https://cloud.oebiotech.com/#/lm/network/467792", "https://cloud.oebiotech.com/#/lm/network/467792")</f>
        <v>https://cloud.oebiotech.com/#/lm/network/467792</v>
      </c>
      <c r="H2223" s="2"/>
      <c r="I2223" s="2">
        <v>85151</v>
      </c>
      <c r="J2223" s="2"/>
      <c r="K2223" s="2">
        <v>15940870</v>
      </c>
      <c r="L2223" s="2"/>
      <c r="M2223" s="2"/>
      <c r="N2223" s="2"/>
      <c r="O2223" s="2"/>
      <c r="P2223" s="2"/>
      <c r="Q2223" s="2"/>
      <c r="R2223" s="2" t="s">
        <v>15004</v>
      </c>
      <c r="S2223" s="2" t="s">
        <v>15005</v>
      </c>
      <c r="T2223" s="2" t="s">
        <v>15006</v>
      </c>
      <c r="U2223" s="2" t="s">
        <v>540</v>
      </c>
      <c r="V2223" s="2" t="s">
        <v>11343</v>
      </c>
      <c r="W2223" s="2" t="s">
        <v>240</v>
      </c>
      <c r="X2223" s="2" t="s">
        <v>59</v>
      </c>
      <c r="Y2223" s="2">
        <v>49.2</v>
      </c>
      <c r="Z2223" s="2">
        <v>54.8</v>
      </c>
      <c r="AA2223" s="2" t="s">
        <v>259</v>
      </c>
      <c r="AB2223" s="2" t="s">
        <v>15007</v>
      </c>
      <c r="AC2223" s="2">
        <v>3.4521765709785499</v>
      </c>
      <c r="AD2223" s="2"/>
      <c r="AE2223" s="2">
        <v>0.29483646317228202</v>
      </c>
      <c r="AF2223" s="2">
        <v>4665.48675641718</v>
      </c>
      <c r="AG2223" s="2">
        <v>2641.0906641935699</v>
      </c>
      <c r="AH2223" s="5">
        <v>1.76650003715103</v>
      </c>
      <c r="AI2223" s="5">
        <v>0.820893779569697</v>
      </c>
      <c r="AJ2223" s="5" t="s">
        <v>139</v>
      </c>
      <c r="AK2223" s="2">
        <v>9.7305718216411499E-2</v>
      </c>
      <c r="AL2223" s="2">
        <v>0.39786780237660802</v>
      </c>
      <c r="AM2223" s="2">
        <v>9628.7714717327308</v>
      </c>
      <c r="AN2223" s="2">
        <v>4061.6514839741699</v>
      </c>
      <c r="AO2223" s="2">
        <v>3708.75909770007</v>
      </c>
      <c r="AP2223" s="2">
        <v>3566.5407439720202</v>
      </c>
      <c r="AQ2223" s="2">
        <v>2808.4054212802698</v>
      </c>
      <c r="AR2223" s="2">
        <v>4218.7923198438402</v>
      </c>
      <c r="AS2223" s="2">
        <v>3921.72869283623</v>
      </c>
      <c r="AT2223" s="2">
        <v>2607.6639722725999</v>
      </c>
      <c r="AU2223" s="2">
        <v>3222.80279292155</v>
      </c>
      <c r="AV2223" s="2">
        <v>1044.80164810424</v>
      </c>
      <c r="AW2223" s="2">
        <v>1682.1191494468901</v>
      </c>
      <c r="AX2223" s="2">
        <v>3367.4277295799102</v>
      </c>
    </row>
    <row r="2224" spans="1:50" x14ac:dyDescent="0.25">
      <c r="A2224" s="2" t="s">
        <v>15008</v>
      </c>
      <c r="B2224" s="2">
        <v>317.150651853733</v>
      </c>
      <c r="C2224" s="2">
        <v>5.3845499999999999</v>
      </c>
      <c r="D2224" s="2" t="s">
        <v>51</v>
      </c>
      <c r="E2224" s="2" t="s">
        <v>15009</v>
      </c>
      <c r="F2224" s="2">
        <v>211979</v>
      </c>
      <c r="G2224" s="3" t="str">
        <f>HYPERLINK("https://cloud.oebiotech.com/#/lm/network/211979", "https://cloud.oebiotech.com/#/lm/network/211979")</f>
        <v>https://cloud.oebiotech.com/#/lm/network/211979</v>
      </c>
      <c r="H2224" s="2" t="s">
        <v>15010</v>
      </c>
      <c r="I2224" s="2"/>
      <c r="J2224" s="2"/>
      <c r="K2224" s="2"/>
      <c r="L2224" s="2"/>
      <c r="M2224" s="2"/>
      <c r="N2224" s="2"/>
      <c r="O2224" s="2"/>
      <c r="P2224" s="2"/>
      <c r="Q2224" s="2"/>
      <c r="R2224" s="2"/>
      <c r="S2224" s="2" t="s">
        <v>15011</v>
      </c>
      <c r="T2224" s="2" t="s">
        <v>15012</v>
      </c>
      <c r="U2224" s="2" t="s">
        <v>540</v>
      </c>
      <c r="V2224" s="2" t="s">
        <v>3291</v>
      </c>
      <c r="W2224" s="2" t="s">
        <v>3292</v>
      </c>
      <c r="X2224" s="2" t="s">
        <v>147</v>
      </c>
      <c r="Y2224" s="2">
        <v>39</v>
      </c>
      <c r="Z2224" s="2">
        <v>0</v>
      </c>
      <c r="AA2224" s="2" t="s">
        <v>218</v>
      </c>
      <c r="AB2224" s="2" t="s">
        <v>15013</v>
      </c>
      <c r="AC2224" s="2">
        <v>-0.106213940787898</v>
      </c>
      <c r="AD2224" s="2"/>
      <c r="AE2224" s="2">
        <v>0.29474297436367802</v>
      </c>
      <c r="AF2224" s="2">
        <v>9907.6159693889203</v>
      </c>
      <c r="AG2224" s="2">
        <v>1724.09500886603</v>
      </c>
      <c r="AH2224" s="5">
        <v>5.7465603220470696</v>
      </c>
      <c r="AI2224" s="5">
        <v>2.5226986706335501</v>
      </c>
      <c r="AJ2224" s="5" t="s">
        <v>139</v>
      </c>
      <c r="AK2224" s="2">
        <v>0.36076224023863801</v>
      </c>
      <c r="AL2224" s="2">
        <v>0.64548561867063303</v>
      </c>
      <c r="AM2224" s="2">
        <v>8.559877937157E-6</v>
      </c>
      <c r="AN2224" s="2">
        <v>8.559877937157E-6</v>
      </c>
      <c r="AO2224" s="2">
        <v>893.92271675439599</v>
      </c>
      <c r="AP2224" s="2">
        <v>453.13140454057202</v>
      </c>
      <c r="AQ2224" s="2">
        <v>52204.605955491301</v>
      </c>
      <c r="AR2224" s="2">
        <v>5894.0357224275103</v>
      </c>
      <c r="AS2224" s="2">
        <v>1390.1427398992601</v>
      </c>
      <c r="AT2224" s="2">
        <v>596.826618707737</v>
      </c>
      <c r="AU2224" s="2">
        <v>8.559877937157E-6</v>
      </c>
      <c r="AV2224" s="2">
        <v>5359.3269592147099</v>
      </c>
      <c r="AW2224" s="2">
        <v>1954.94315042685</v>
      </c>
      <c r="AX2224" s="2">
        <v>1043.3305763877399</v>
      </c>
    </row>
    <row r="2225" spans="1:50" x14ac:dyDescent="0.25">
      <c r="A2225" s="2" t="s">
        <v>15014</v>
      </c>
      <c r="B2225" s="2">
        <v>489.110308879949</v>
      </c>
      <c r="C2225" s="2">
        <v>6.8908500000000004</v>
      </c>
      <c r="D2225" s="2" t="s">
        <v>51</v>
      </c>
      <c r="E2225" s="2" t="s">
        <v>15015</v>
      </c>
      <c r="F2225" s="2">
        <v>293609</v>
      </c>
      <c r="G2225" s="3" t="str">
        <f>HYPERLINK("https://cloud.oebiotech.com/#/lm/network/293609", "https://cloud.oebiotech.com/#/lm/network/293609")</f>
        <v>https://cloud.oebiotech.com/#/lm/network/293609</v>
      </c>
      <c r="H2225" s="2"/>
      <c r="I2225" s="2">
        <v>317558</v>
      </c>
      <c r="J2225" s="2"/>
      <c r="K2225" s="2">
        <v>9869142</v>
      </c>
      <c r="L2225" s="2"/>
      <c r="M2225" s="2"/>
      <c r="N2225" s="2"/>
      <c r="O2225" s="2"/>
      <c r="P2225" s="2"/>
      <c r="Q2225" s="2"/>
      <c r="R2225" s="2"/>
      <c r="S2225" s="2" t="s">
        <v>15016</v>
      </c>
      <c r="T2225" s="2" t="s">
        <v>15017</v>
      </c>
      <c r="U2225" s="2" t="s">
        <v>610</v>
      </c>
      <c r="V2225" s="2" t="s">
        <v>611</v>
      </c>
      <c r="W2225" s="2" t="s">
        <v>4746</v>
      </c>
      <c r="X2225" s="2" t="s">
        <v>147</v>
      </c>
      <c r="Y2225" s="2">
        <v>36.700000000000003</v>
      </c>
      <c r="Z2225" s="2">
        <v>0</v>
      </c>
      <c r="AA2225" s="2" t="s">
        <v>95</v>
      </c>
      <c r="AB2225" s="2" t="s">
        <v>15018</v>
      </c>
      <c r="AC2225" s="2">
        <v>0.188568673449933</v>
      </c>
      <c r="AD2225" s="2"/>
      <c r="AE2225" s="2">
        <v>0.29467616575297001</v>
      </c>
      <c r="AF2225" s="2">
        <v>2292.7086348110302</v>
      </c>
      <c r="AG2225" s="2">
        <v>4700.5509791307904</v>
      </c>
      <c r="AH2225" s="4">
        <v>0.48775316872214702</v>
      </c>
      <c r="AI2225" s="4">
        <v>-1.03577684945465</v>
      </c>
      <c r="AJ2225" s="4" t="s">
        <v>62</v>
      </c>
      <c r="AK2225" s="2">
        <v>1.02071390229209E-2</v>
      </c>
      <c r="AL2225" s="2">
        <v>0.163783201024544</v>
      </c>
      <c r="AM2225" s="2">
        <v>2425.9398963672002</v>
      </c>
      <c r="AN2225" s="2">
        <v>2107.9922500760499</v>
      </c>
      <c r="AO2225" s="2">
        <v>3141.7249237552501</v>
      </c>
      <c r="AP2225" s="2">
        <v>194.595080045651</v>
      </c>
      <c r="AQ2225" s="2">
        <v>2957.4639962593001</v>
      </c>
      <c r="AR2225" s="2">
        <v>2928.5356623627399</v>
      </c>
      <c r="AS2225" s="2">
        <v>5488.00684215819</v>
      </c>
      <c r="AT2225" s="2">
        <v>5268.6091382547302</v>
      </c>
      <c r="AU2225" s="2">
        <v>4414.2569146481101</v>
      </c>
      <c r="AV2225" s="2">
        <v>5394.6466852908698</v>
      </c>
      <c r="AW2225" s="2">
        <v>5864.2438917992404</v>
      </c>
      <c r="AX2225" s="2">
        <v>1773.54240263361</v>
      </c>
    </row>
    <row r="2226" spans="1:50" x14ac:dyDescent="0.25">
      <c r="A2226" s="2" t="s">
        <v>15019</v>
      </c>
      <c r="B2226" s="2">
        <v>265.25330968656601</v>
      </c>
      <c r="C2226" s="2">
        <v>11.391833333333301</v>
      </c>
      <c r="D2226" s="2" t="s">
        <v>51</v>
      </c>
      <c r="E2226" s="2" t="s">
        <v>15020</v>
      </c>
      <c r="F2226" s="2">
        <v>35700</v>
      </c>
      <c r="G2226" s="3" t="str">
        <f>HYPERLINK("https://cloud.oebiotech.com/#/lm/network/35700", "https://cloud.oebiotech.com/#/lm/network/35700")</f>
        <v>https://cloud.oebiotech.com/#/lm/network/35700</v>
      </c>
      <c r="H2226" s="2"/>
      <c r="I2226" s="2">
        <v>53485</v>
      </c>
      <c r="J2226" s="2" t="s">
        <v>15021</v>
      </c>
      <c r="K2226" s="2">
        <v>24755572</v>
      </c>
      <c r="L2226" s="2"/>
      <c r="M2226" s="2"/>
      <c r="N2226" s="2"/>
      <c r="O2226" s="2">
        <v>48328</v>
      </c>
      <c r="P2226" s="2"/>
      <c r="Q2226" s="2"/>
      <c r="R2226" s="2"/>
      <c r="S2226" s="2" t="s">
        <v>15022</v>
      </c>
      <c r="T2226" s="2" t="s">
        <v>15023</v>
      </c>
      <c r="U2226" s="2" t="s">
        <v>56</v>
      </c>
      <c r="V2226" s="2" t="s">
        <v>177</v>
      </c>
      <c r="W2226" s="2" t="s">
        <v>1996</v>
      </c>
      <c r="X2226" s="2" t="s">
        <v>69</v>
      </c>
      <c r="Y2226" s="2">
        <v>71.099999999999994</v>
      </c>
      <c r="Z2226" s="2">
        <v>87.3</v>
      </c>
      <c r="AA2226" s="2" t="s">
        <v>259</v>
      </c>
      <c r="AB2226" s="2" t="s">
        <v>1545</v>
      </c>
      <c r="AC2226" s="2">
        <v>2.7156915322567099</v>
      </c>
      <c r="AD2226" s="2"/>
      <c r="AE2226" s="2">
        <v>0.29452437244076402</v>
      </c>
      <c r="AF2226" s="2">
        <v>6388.43678227497</v>
      </c>
      <c r="AG2226" s="2">
        <v>716.44573887617298</v>
      </c>
      <c r="AH2226" s="5">
        <v>8.9168466439565499</v>
      </c>
      <c r="AI2226" s="5">
        <v>3.1565336052751101</v>
      </c>
      <c r="AJ2226" s="5" t="s">
        <v>139</v>
      </c>
      <c r="AK2226" s="2">
        <v>0.22879747390335201</v>
      </c>
      <c r="AL2226" s="2">
        <v>0.55425453586297302</v>
      </c>
      <c r="AM2226" s="2">
        <v>559.17136831065602</v>
      </c>
      <c r="AN2226" s="2">
        <v>628.79722120386998</v>
      </c>
      <c r="AO2226" s="2">
        <v>1837.85702062473</v>
      </c>
      <c r="AP2226" s="2">
        <v>578.05677597216095</v>
      </c>
      <c r="AQ2226" s="2">
        <v>27886.5291182617</v>
      </c>
      <c r="AR2226" s="2">
        <v>6840.2091892767303</v>
      </c>
      <c r="AS2226" s="2">
        <v>12.6828514566753</v>
      </c>
      <c r="AT2226" s="2">
        <v>8.559877937157E-6</v>
      </c>
      <c r="AU2226" s="2">
        <v>886.44572764376596</v>
      </c>
      <c r="AV2226" s="2">
        <v>2163.6888898577099</v>
      </c>
      <c r="AW2226" s="2">
        <v>918.574793362729</v>
      </c>
      <c r="AX2226" s="2">
        <v>317.28216237628101</v>
      </c>
    </row>
    <row r="2227" spans="1:50" x14ac:dyDescent="0.25">
      <c r="A2227" s="2" t="s">
        <v>15024</v>
      </c>
      <c r="B2227" s="2">
        <v>259.04046099924602</v>
      </c>
      <c r="C2227" s="2">
        <v>3.9471833333333302</v>
      </c>
      <c r="D2227" s="2" t="s">
        <v>51</v>
      </c>
      <c r="E2227" s="2" t="s">
        <v>15025</v>
      </c>
      <c r="F2227" s="2">
        <v>29875</v>
      </c>
      <c r="G2227" s="3" t="str">
        <f>HYPERLINK("https://cloud.oebiotech.com/#/lm/network/29875", "https://cloud.oebiotech.com/#/lm/network/29875")</f>
        <v>https://cloud.oebiotech.com/#/lm/network/29875</v>
      </c>
      <c r="H2227" s="2"/>
      <c r="I2227" s="2">
        <v>48232</v>
      </c>
      <c r="J2227" s="2" t="s">
        <v>15026</v>
      </c>
      <c r="K2227" s="2">
        <v>44257497</v>
      </c>
      <c r="L2227" s="2"/>
      <c r="M2227" s="2"/>
      <c r="N2227" s="2"/>
      <c r="O2227" s="2"/>
      <c r="P2227" s="2"/>
      <c r="Q2227" s="2"/>
      <c r="R2227" s="2"/>
      <c r="S2227" s="2" t="s">
        <v>15027</v>
      </c>
      <c r="T2227" s="2" t="s">
        <v>15028</v>
      </c>
      <c r="U2227" s="2" t="s">
        <v>540</v>
      </c>
      <c r="V2227" s="2" t="s">
        <v>784</v>
      </c>
      <c r="W2227" s="2" t="s">
        <v>15029</v>
      </c>
      <c r="X2227" s="2" t="s">
        <v>147</v>
      </c>
      <c r="Y2227" s="2">
        <v>37.6</v>
      </c>
      <c r="Z2227" s="2">
        <v>0</v>
      </c>
      <c r="AA2227" s="2" t="s">
        <v>379</v>
      </c>
      <c r="AB2227" s="2" t="s">
        <v>15030</v>
      </c>
      <c r="AC2227" s="2">
        <v>1.41452659237428</v>
      </c>
      <c r="AD2227" s="2"/>
      <c r="AE2227" s="2">
        <v>0.294400433014535</v>
      </c>
      <c r="AF2227" s="2">
        <v>1248.37447820496</v>
      </c>
      <c r="AG2227" s="2">
        <v>6097.9903728464296</v>
      </c>
      <c r="AH2227" s="4">
        <v>0.20471899787900899</v>
      </c>
      <c r="AI2227" s="4">
        <v>-2.2882831045238001</v>
      </c>
      <c r="AJ2227" s="4" t="s">
        <v>62</v>
      </c>
      <c r="AK2227" s="2">
        <v>0.40318746479592399</v>
      </c>
      <c r="AL2227" s="2">
        <v>0.67051091834549104</v>
      </c>
      <c r="AM2227" s="2">
        <v>1173.12566941366</v>
      </c>
      <c r="AN2227" s="2">
        <v>870.63881680070801</v>
      </c>
      <c r="AO2227" s="2">
        <v>600.88651814262403</v>
      </c>
      <c r="AP2227" s="2">
        <v>951.05842043659197</v>
      </c>
      <c r="AQ2227" s="2">
        <v>1267.8656303293001</v>
      </c>
      <c r="AR2227" s="2">
        <v>2626.6718141069</v>
      </c>
      <c r="AS2227" s="2">
        <v>377.48703575700603</v>
      </c>
      <c r="AT2227" s="2">
        <v>94.043059366924098</v>
      </c>
      <c r="AU2227" s="2">
        <v>1157.4568691793199</v>
      </c>
      <c r="AV2227" s="2">
        <v>56.517371418042103</v>
      </c>
      <c r="AW2227" s="2">
        <v>1081.28715065951</v>
      </c>
      <c r="AX2227" s="2">
        <v>33821.150750697801</v>
      </c>
    </row>
    <row r="2228" spans="1:50" x14ac:dyDescent="0.25">
      <c r="A2228" s="2" t="s">
        <v>15031</v>
      </c>
      <c r="B2228" s="2">
        <v>453.322417095145</v>
      </c>
      <c r="C2228" s="2">
        <v>10.74095</v>
      </c>
      <c r="D2228" s="2" t="s">
        <v>51</v>
      </c>
      <c r="E2228" s="2" t="s">
        <v>15032</v>
      </c>
      <c r="F2228" s="2">
        <v>46311</v>
      </c>
      <c r="G2228" s="3" t="str">
        <f>HYPERLINK("https://cloud.oebiotech.com/#/lm/network/46311", "https://cloud.oebiotech.com/#/lm/network/46311")</f>
        <v>https://cloud.oebiotech.com/#/lm/network/46311</v>
      </c>
      <c r="H2228" s="2" t="s">
        <v>15033</v>
      </c>
      <c r="I2228" s="2">
        <v>57911</v>
      </c>
      <c r="J2228" s="2" t="s">
        <v>15034</v>
      </c>
      <c r="K2228" s="2">
        <v>196302</v>
      </c>
      <c r="L2228" s="2"/>
      <c r="M2228" s="2"/>
      <c r="N2228" s="2"/>
      <c r="O2228" s="2"/>
      <c r="P2228" s="2"/>
      <c r="Q2228" s="2"/>
      <c r="R2228" s="2" t="s">
        <v>15035</v>
      </c>
      <c r="S2228" s="2" t="s">
        <v>15036</v>
      </c>
      <c r="T2228" s="2" t="s">
        <v>15037</v>
      </c>
      <c r="U2228" s="2" t="s">
        <v>56</v>
      </c>
      <c r="V2228" s="2" t="s">
        <v>283</v>
      </c>
      <c r="W2228" s="2" t="s">
        <v>2042</v>
      </c>
      <c r="X2228" s="2" t="s">
        <v>147</v>
      </c>
      <c r="Y2228" s="2">
        <v>41.9</v>
      </c>
      <c r="Z2228" s="2">
        <v>16.2</v>
      </c>
      <c r="AA2228" s="2" t="s">
        <v>163</v>
      </c>
      <c r="AB2228" s="2" t="s">
        <v>15038</v>
      </c>
      <c r="AC2228" s="2">
        <v>0.55980207910501201</v>
      </c>
      <c r="AD2228" s="2"/>
      <c r="AE2228" s="2">
        <v>0.29432917495921801</v>
      </c>
      <c r="AF2228" s="2">
        <v>15965.387498141799</v>
      </c>
      <c r="AG2228" s="2">
        <v>11332.490926598601</v>
      </c>
      <c r="AH2228" s="5">
        <v>1.40881537885632</v>
      </c>
      <c r="AI2228" s="5">
        <v>0.49448256305990002</v>
      </c>
      <c r="AJ2228" s="5" t="s">
        <v>139</v>
      </c>
      <c r="AK2228" s="2">
        <v>0.16328374537892601</v>
      </c>
      <c r="AL2228" s="2">
        <v>0.48434324587146799</v>
      </c>
      <c r="AM2228" s="2">
        <v>10162.2813053436</v>
      </c>
      <c r="AN2228" s="2">
        <v>21219.232100446101</v>
      </c>
      <c r="AO2228" s="2">
        <v>12625.411886989399</v>
      </c>
      <c r="AP2228" s="2">
        <v>15442.492091230801</v>
      </c>
      <c r="AQ2228" s="2">
        <v>21678.673603925999</v>
      </c>
      <c r="AR2228" s="2">
        <v>14664.234000915099</v>
      </c>
      <c r="AS2228" s="2">
        <v>7428.658010917</v>
      </c>
      <c r="AT2228" s="2">
        <v>12997.5447543421</v>
      </c>
      <c r="AU2228" s="2">
        <v>5370.4742031584401</v>
      </c>
      <c r="AV2228" s="2">
        <v>7059.7479399800604</v>
      </c>
      <c r="AW2228" s="2">
        <v>13847.5065902653</v>
      </c>
      <c r="AX2228" s="2">
        <v>21291.014060928901</v>
      </c>
    </row>
    <row r="2229" spans="1:50" x14ac:dyDescent="0.25">
      <c r="A2229" s="2" t="s">
        <v>15039</v>
      </c>
      <c r="B2229" s="2">
        <v>533.19581073566599</v>
      </c>
      <c r="C2229" s="2">
        <v>7.0694833333333298</v>
      </c>
      <c r="D2229" s="2" t="s">
        <v>51</v>
      </c>
      <c r="E2229" s="2" t="s">
        <v>15040</v>
      </c>
      <c r="F2229" s="2">
        <v>210577</v>
      </c>
      <c r="G2229" s="3" t="str">
        <f>HYPERLINK("https://cloud.oebiotech.com/#/lm/network/210577", "https://cloud.oebiotech.com/#/lm/network/210577")</f>
        <v>https://cloud.oebiotech.com/#/lm/network/210577</v>
      </c>
      <c r="H2229" s="2" t="s">
        <v>15041</v>
      </c>
      <c r="I2229" s="2">
        <v>68722</v>
      </c>
      <c r="J2229" s="2"/>
      <c r="K2229" s="2">
        <v>60352</v>
      </c>
      <c r="L2229" s="2" t="s">
        <v>15042</v>
      </c>
      <c r="M2229" s="2"/>
      <c r="N2229" s="2"/>
      <c r="O2229" s="2">
        <v>8415</v>
      </c>
      <c r="P2229" s="2"/>
      <c r="Q2229" s="2"/>
      <c r="R2229" s="2" t="s">
        <v>15043</v>
      </c>
      <c r="S2229" s="2" t="s">
        <v>15044</v>
      </c>
      <c r="T2229" s="2" t="s">
        <v>15045</v>
      </c>
      <c r="U2229" s="2" t="s">
        <v>610</v>
      </c>
      <c r="V2229" s="2" t="s">
        <v>611</v>
      </c>
      <c r="W2229" s="2" t="s">
        <v>1267</v>
      </c>
      <c r="X2229" s="2" t="s">
        <v>147</v>
      </c>
      <c r="Y2229" s="2">
        <v>38.9</v>
      </c>
      <c r="Z2229" s="2">
        <v>0</v>
      </c>
      <c r="AA2229" s="2" t="s">
        <v>478</v>
      </c>
      <c r="AB2229" s="2" t="s">
        <v>15046</v>
      </c>
      <c r="AC2229" s="2">
        <v>2.87125111572727</v>
      </c>
      <c r="AD2229" s="2"/>
      <c r="AE2229" s="2">
        <v>0.29390111170269201</v>
      </c>
      <c r="AF2229" s="2">
        <v>12148.5016837277</v>
      </c>
      <c r="AG2229" s="2">
        <v>8585.9925774197709</v>
      </c>
      <c r="AH2229" s="5">
        <v>1.4149210559157599</v>
      </c>
      <c r="AI2229" s="5">
        <v>0.50072156159706704</v>
      </c>
      <c r="AJ2229" s="5" t="s">
        <v>139</v>
      </c>
      <c r="AK2229" s="2">
        <v>0.28637904222690203</v>
      </c>
      <c r="AL2229" s="2">
        <v>0.60106092987307402</v>
      </c>
      <c r="AM2229" s="2">
        <v>8730.4103070981291</v>
      </c>
      <c r="AN2229" s="2">
        <v>20485.844178256</v>
      </c>
      <c r="AO2229" s="2">
        <v>16000.9770824651</v>
      </c>
      <c r="AP2229" s="2">
        <v>4910.1921811128404</v>
      </c>
      <c r="AQ2229" s="2">
        <v>12915.014716855099</v>
      </c>
      <c r="AR2229" s="2">
        <v>9848.5716365789503</v>
      </c>
      <c r="AS2229" s="2">
        <v>7099.6070125715296</v>
      </c>
      <c r="AT2229" s="2">
        <v>3144.4792598048298</v>
      </c>
      <c r="AU2229" s="2">
        <v>15400.492923461899</v>
      </c>
      <c r="AV2229" s="2">
        <v>3087.7363794937401</v>
      </c>
      <c r="AW2229" s="2">
        <v>14682.050244251101</v>
      </c>
      <c r="AX2229" s="2">
        <v>8101.5896449355396</v>
      </c>
    </row>
    <row r="2230" spans="1:50" x14ac:dyDescent="0.25">
      <c r="A2230" s="2" t="s">
        <v>15047</v>
      </c>
      <c r="B2230" s="2">
        <v>437.222666638585</v>
      </c>
      <c r="C2230" s="2">
        <v>3.5446</v>
      </c>
      <c r="D2230" s="2" t="s">
        <v>51</v>
      </c>
      <c r="E2230" s="2" t="s">
        <v>15048</v>
      </c>
      <c r="F2230" s="2">
        <v>274867</v>
      </c>
      <c r="G2230" s="3" t="str">
        <f>HYPERLINK("https://cloud.oebiotech.com/#/lm/network/274867", "https://cloud.oebiotech.com/#/lm/network/274867")</f>
        <v>https://cloud.oebiotech.com/#/lm/network/274867</v>
      </c>
      <c r="H2230" s="2"/>
      <c r="I2230" s="2">
        <v>65648</v>
      </c>
      <c r="J2230" s="2"/>
      <c r="K2230" s="2">
        <v>33042</v>
      </c>
      <c r="L2230" s="2" t="s">
        <v>15049</v>
      </c>
      <c r="M2230" s="2" t="s">
        <v>6887</v>
      </c>
      <c r="N2230" s="2" t="s">
        <v>6888</v>
      </c>
      <c r="O2230" s="2"/>
      <c r="P2230" s="2"/>
      <c r="Q2230" s="2"/>
      <c r="R2230" s="2" t="s">
        <v>15050</v>
      </c>
      <c r="S2230" s="2" t="s">
        <v>15051</v>
      </c>
      <c r="T2230" s="2" t="s">
        <v>15052</v>
      </c>
      <c r="U2230" s="2" t="s">
        <v>331</v>
      </c>
      <c r="V2230" s="2" t="s">
        <v>332</v>
      </c>
      <c r="W2230" s="2" t="s">
        <v>333</v>
      </c>
      <c r="X2230" s="2" t="s">
        <v>147</v>
      </c>
      <c r="Y2230" s="2">
        <v>36</v>
      </c>
      <c r="Z2230" s="2">
        <v>0</v>
      </c>
      <c r="AA2230" s="2" t="s">
        <v>156</v>
      </c>
      <c r="AB2230" s="2" t="s">
        <v>15053</v>
      </c>
      <c r="AC2230" s="2">
        <v>-3.38688568491335</v>
      </c>
      <c r="AD2230" s="2"/>
      <c r="AE2230" s="2">
        <v>0.29385957688082998</v>
      </c>
      <c r="AF2230" s="2">
        <v>1882.0085969864599</v>
      </c>
      <c r="AG2230" s="2">
        <v>6517.52736907491</v>
      </c>
      <c r="AH2230" s="4">
        <v>0.28876113446280599</v>
      </c>
      <c r="AI2230" s="4">
        <v>-1.7920515177973899</v>
      </c>
      <c r="AJ2230" s="4" t="s">
        <v>62</v>
      </c>
      <c r="AK2230" s="2">
        <v>0.465439302911902</v>
      </c>
      <c r="AL2230" s="2">
        <v>0.71329029553543499</v>
      </c>
      <c r="AM2230" s="2">
        <v>3490.9736002067302</v>
      </c>
      <c r="AN2230" s="2">
        <v>8.559877937157E-6</v>
      </c>
      <c r="AO2230" s="2">
        <v>8.559877937157E-6</v>
      </c>
      <c r="AP2230" s="2">
        <v>367.84927042406599</v>
      </c>
      <c r="AQ2230" s="2">
        <v>3496.9425546203702</v>
      </c>
      <c r="AR2230" s="2">
        <v>3936.2861395478399</v>
      </c>
      <c r="AS2230" s="2">
        <v>8.559877937157E-6</v>
      </c>
      <c r="AT2230" s="2">
        <v>8.559877937157E-6</v>
      </c>
      <c r="AU2230" s="2">
        <v>559.57435510983703</v>
      </c>
      <c r="AV2230" s="2">
        <v>36790.376671490303</v>
      </c>
      <c r="AW2230" s="2">
        <v>683.02284361817306</v>
      </c>
      <c r="AX2230" s="2">
        <v>1072.1903271113699</v>
      </c>
    </row>
    <row r="2231" spans="1:50" x14ac:dyDescent="0.25">
      <c r="A2231" s="2" t="s">
        <v>15054</v>
      </c>
      <c r="B2231" s="2">
        <v>487.21611042605701</v>
      </c>
      <c r="C2231" s="2">
        <v>4.3825500000000002</v>
      </c>
      <c r="D2231" s="2" t="s">
        <v>51</v>
      </c>
      <c r="E2231" s="2" t="s">
        <v>15055</v>
      </c>
      <c r="F2231" s="2">
        <v>211869</v>
      </c>
      <c r="G2231" s="3" t="str">
        <f>HYPERLINK("https://cloud.oebiotech.com/#/lm/network/211869", "https://cloud.oebiotech.com/#/lm/network/211869")</f>
        <v>https://cloud.oebiotech.com/#/lm/network/211869</v>
      </c>
      <c r="H2231" s="2" t="s">
        <v>15056</v>
      </c>
      <c r="I2231" s="2"/>
      <c r="J2231" s="2"/>
      <c r="K2231" s="2"/>
      <c r="L2231" s="2"/>
      <c r="M2231" s="2"/>
      <c r="N2231" s="2"/>
      <c r="O2231" s="2"/>
      <c r="P2231" s="2"/>
      <c r="Q2231" s="2"/>
      <c r="R2231" s="2"/>
      <c r="S2231" s="2" t="s">
        <v>15057</v>
      </c>
      <c r="T2231" s="2" t="s">
        <v>15058</v>
      </c>
      <c r="U2231" s="2" t="s">
        <v>540</v>
      </c>
      <c r="V2231" s="2" t="s">
        <v>1916</v>
      </c>
      <c r="W2231" s="2" t="s">
        <v>240</v>
      </c>
      <c r="X2231" s="2" t="s">
        <v>147</v>
      </c>
      <c r="Y2231" s="2">
        <v>40.6</v>
      </c>
      <c r="Z2231" s="2">
        <v>17.8</v>
      </c>
      <c r="AA2231" s="2" t="s">
        <v>218</v>
      </c>
      <c r="AB2231" s="2" t="s">
        <v>15059</v>
      </c>
      <c r="AC2231" s="2">
        <v>0.28716040430401701</v>
      </c>
      <c r="AD2231" s="2"/>
      <c r="AE2231" s="2">
        <v>0.293340787224663</v>
      </c>
      <c r="AF2231" s="2">
        <v>3726.2523104131501</v>
      </c>
      <c r="AG2231" s="2">
        <v>9402.4820329051108</v>
      </c>
      <c r="AH2231" s="4">
        <v>0.39630517743853999</v>
      </c>
      <c r="AI2231" s="4">
        <v>-1.3353162796982601</v>
      </c>
      <c r="AJ2231" s="4" t="s">
        <v>62</v>
      </c>
      <c r="AK2231" s="2">
        <v>0.56039527851632898</v>
      </c>
      <c r="AL2231" s="2">
        <v>0.77935506407857702</v>
      </c>
      <c r="AM2231" s="2">
        <v>8513.8161942344705</v>
      </c>
      <c r="AN2231" s="2">
        <v>8.559877937157E-6</v>
      </c>
      <c r="AO2231" s="2">
        <v>8.559877937157E-6</v>
      </c>
      <c r="AP2231" s="2">
        <v>8.559877937157E-6</v>
      </c>
      <c r="AQ2231" s="2">
        <v>8468.6597896724506</v>
      </c>
      <c r="AR2231" s="2">
        <v>5375.0378528923202</v>
      </c>
      <c r="AS2231" s="2">
        <v>8.559877937157E-6</v>
      </c>
      <c r="AT2231" s="2">
        <v>8.559877937157E-6</v>
      </c>
      <c r="AU2231" s="2">
        <v>8.559877937157E-6</v>
      </c>
      <c r="AV2231" s="2">
        <v>55721.1414850039</v>
      </c>
      <c r="AW2231" s="2">
        <v>8.559877937157E-6</v>
      </c>
      <c r="AX2231" s="2">
        <v>693.75067818723505</v>
      </c>
    </row>
    <row r="2232" spans="1:50" x14ac:dyDescent="0.25">
      <c r="A2232" s="2" t="s">
        <v>15060</v>
      </c>
      <c r="B2232" s="2">
        <v>709.44856165137298</v>
      </c>
      <c r="C2232" s="2">
        <v>11.068</v>
      </c>
      <c r="D2232" s="2" t="s">
        <v>51</v>
      </c>
      <c r="E2232" s="2" t="s">
        <v>15061</v>
      </c>
      <c r="F2232" s="2">
        <v>220902</v>
      </c>
      <c r="G2232" s="3" t="str">
        <f>HYPERLINK("https://cloud.oebiotech.com/#/lm/network/220902", "https://cloud.oebiotech.com/#/lm/network/220902")</f>
        <v>https://cloud.oebiotech.com/#/lm/network/220902</v>
      </c>
      <c r="H2232" s="2" t="s">
        <v>15062</v>
      </c>
      <c r="I2232" s="2"/>
      <c r="J2232" s="2"/>
      <c r="K2232" s="2"/>
      <c r="L2232" s="2"/>
      <c r="M2232" s="2"/>
      <c r="N2232" s="2"/>
      <c r="O2232" s="2"/>
      <c r="P2232" s="2"/>
      <c r="Q2232" s="2"/>
      <c r="R2232" s="2"/>
      <c r="S2232" s="2" t="s">
        <v>15063</v>
      </c>
      <c r="T2232" s="2" t="s">
        <v>15064</v>
      </c>
      <c r="U2232" s="2" t="s">
        <v>56</v>
      </c>
      <c r="V2232" s="2" t="s">
        <v>57</v>
      </c>
      <c r="W2232" s="2" t="s">
        <v>702</v>
      </c>
      <c r="X2232" s="2" t="s">
        <v>147</v>
      </c>
      <c r="Y2232" s="2">
        <v>37.799999999999997</v>
      </c>
      <c r="Z2232" s="2">
        <v>4</v>
      </c>
      <c r="AA2232" s="2" t="s">
        <v>379</v>
      </c>
      <c r="AB2232" s="2" t="s">
        <v>15065</v>
      </c>
      <c r="AC2232" s="2">
        <v>4.8976183432013203</v>
      </c>
      <c r="AD2232" s="2"/>
      <c r="AE2232" s="2">
        <v>0.29333181463621899</v>
      </c>
      <c r="AF2232" s="2">
        <v>3787.9229106888401</v>
      </c>
      <c r="AG2232" s="2">
        <v>1106.7541651438601</v>
      </c>
      <c r="AH2232" s="5">
        <v>3.42255130360995</v>
      </c>
      <c r="AI2232" s="5">
        <v>1.77507216746094</v>
      </c>
      <c r="AJ2232" s="5" t="s">
        <v>139</v>
      </c>
      <c r="AK2232" s="2">
        <v>0.35013102611793601</v>
      </c>
      <c r="AL2232" s="2">
        <v>0.64273559662805702</v>
      </c>
      <c r="AM2232" s="2">
        <v>17194.050432816199</v>
      </c>
      <c r="AN2232" s="2">
        <v>631.51582911637001</v>
      </c>
      <c r="AO2232" s="2">
        <v>452.461830005102</v>
      </c>
      <c r="AP2232" s="2">
        <v>1016.95386328462</v>
      </c>
      <c r="AQ2232" s="2">
        <v>1042.26704320671</v>
      </c>
      <c r="AR2232" s="2">
        <v>2390.2884657040599</v>
      </c>
      <c r="AS2232" s="2">
        <v>242.10758836526901</v>
      </c>
      <c r="AT2232" s="2">
        <v>119.08707692916801</v>
      </c>
      <c r="AU2232" s="2">
        <v>1655.9897072161</v>
      </c>
      <c r="AV2232" s="2">
        <v>1806.9738663604901</v>
      </c>
      <c r="AW2232" s="2">
        <v>2787.6042714371702</v>
      </c>
      <c r="AX2232" s="2">
        <v>28.762480554942002</v>
      </c>
    </row>
    <row r="2233" spans="1:50" x14ac:dyDescent="0.25">
      <c r="A2233" s="2" t="s">
        <v>15066</v>
      </c>
      <c r="B2233" s="2">
        <v>321.02599285284901</v>
      </c>
      <c r="C2233" s="2">
        <v>5.5480499999999999</v>
      </c>
      <c r="D2233" s="2" t="s">
        <v>51</v>
      </c>
      <c r="E2233" s="2" t="s">
        <v>15067</v>
      </c>
      <c r="F2233" s="2">
        <v>53614</v>
      </c>
      <c r="G2233" s="3" t="str">
        <f>HYPERLINK("https://cloud.oebiotech.com/#/lm/network/53614", "https://cloud.oebiotech.com/#/lm/network/53614")</f>
        <v>https://cloud.oebiotech.com/#/lm/network/53614</v>
      </c>
      <c r="H2233" s="2" t="s">
        <v>15068</v>
      </c>
      <c r="I2233" s="2">
        <v>6454</v>
      </c>
      <c r="J2233" s="2"/>
      <c r="K2233" s="2">
        <v>4488</v>
      </c>
      <c r="L2233" s="2" t="s">
        <v>15069</v>
      </c>
      <c r="M2233" s="2"/>
      <c r="N2233" s="2"/>
      <c r="O2233" s="2">
        <v>197010</v>
      </c>
      <c r="P2233" s="2"/>
      <c r="Q2233" s="2"/>
      <c r="R2233" s="2" t="s">
        <v>15070</v>
      </c>
      <c r="S2233" s="2" t="s">
        <v>15071</v>
      </c>
      <c r="T2233" s="2" t="s">
        <v>15072</v>
      </c>
      <c r="U2233" s="2" t="s">
        <v>610</v>
      </c>
      <c r="V2233" s="2" t="s">
        <v>611</v>
      </c>
      <c r="W2233" s="2" t="s">
        <v>3746</v>
      </c>
      <c r="X2233" s="2" t="s">
        <v>147</v>
      </c>
      <c r="Y2233" s="2">
        <v>37.4</v>
      </c>
      <c r="Z2233" s="2">
        <v>2.31</v>
      </c>
      <c r="AA2233" s="2" t="s">
        <v>395</v>
      </c>
      <c r="AB2233" s="2" t="s">
        <v>15073</v>
      </c>
      <c r="AC2233" s="2">
        <v>4.33442711086869</v>
      </c>
      <c r="AD2233" s="2"/>
      <c r="AE2233" s="2">
        <v>0.293118269329603</v>
      </c>
      <c r="AF2233" s="2">
        <v>6484.6491595008501</v>
      </c>
      <c r="AG2233" s="2">
        <v>2367.20484360929</v>
      </c>
      <c r="AH2233" s="5">
        <v>2.7393696734811002</v>
      </c>
      <c r="AI2233" s="5">
        <v>1.4538439685298099</v>
      </c>
      <c r="AJ2233" s="5" t="s">
        <v>139</v>
      </c>
      <c r="AK2233" s="2">
        <v>0.210552622354578</v>
      </c>
      <c r="AL2233" s="2">
        <v>0.53512453720853104</v>
      </c>
      <c r="AM2233" s="2">
        <v>3286.4002789710198</v>
      </c>
      <c r="AN2233" s="2">
        <v>9160.2525577639699</v>
      </c>
      <c r="AO2233" s="2">
        <v>1401.65565031898</v>
      </c>
      <c r="AP2233" s="2">
        <v>15617.3969955799</v>
      </c>
      <c r="AQ2233" s="2">
        <v>2057.14232904049</v>
      </c>
      <c r="AR2233" s="2">
        <v>7385.04714533075</v>
      </c>
      <c r="AS2233" s="2">
        <v>8.559877937157E-6</v>
      </c>
      <c r="AT2233" s="2">
        <v>13024.2653815392</v>
      </c>
      <c r="AU2233" s="2">
        <v>152.35499824567199</v>
      </c>
      <c r="AV2233" s="2">
        <v>1026.60865619122</v>
      </c>
      <c r="AW2233" s="2">
        <v>8.559877937157E-6</v>
      </c>
      <c r="AX2233" s="2">
        <v>8.559877937157E-6</v>
      </c>
    </row>
    <row r="2234" spans="1:50" x14ac:dyDescent="0.25">
      <c r="A2234" s="2" t="s">
        <v>15074</v>
      </c>
      <c r="B2234" s="2">
        <v>177.16419097120999</v>
      </c>
      <c r="C2234" s="2">
        <v>11.0279666666667</v>
      </c>
      <c r="D2234" s="2" t="s">
        <v>51</v>
      </c>
      <c r="E2234" s="2" t="s">
        <v>15075</v>
      </c>
      <c r="F2234" s="2">
        <v>9802</v>
      </c>
      <c r="G2234" s="3" t="str">
        <f>HYPERLINK("https://cloud.oebiotech.com/#/lm/network/9802", "https://cloud.oebiotech.com/#/lm/network/9802")</f>
        <v>https://cloud.oebiotech.com/#/lm/network/9802</v>
      </c>
      <c r="H2234" s="2"/>
      <c r="I2234" s="2">
        <v>98068</v>
      </c>
      <c r="J2234" s="2" t="s">
        <v>15076</v>
      </c>
      <c r="K2234" s="2">
        <v>1549778</v>
      </c>
      <c r="L2234" s="2"/>
      <c r="M2234" s="2"/>
      <c r="N2234" s="2"/>
      <c r="O2234" s="2">
        <v>67206</v>
      </c>
      <c r="P2234" s="2"/>
      <c r="Q2234" s="2"/>
      <c r="R2234" s="2"/>
      <c r="S2234" s="2" t="s">
        <v>15077</v>
      </c>
      <c r="T2234" s="2" t="s">
        <v>15078</v>
      </c>
      <c r="U2234" s="2" t="s">
        <v>56</v>
      </c>
      <c r="V2234" s="2" t="s">
        <v>177</v>
      </c>
      <c r="W2234" s="2" t="s">
        <v>584</v>
      </c>
      <c r="X2234" s="2" t="s">
        <v>83</v>
      </c>
      <c r="Y2234" s="2">
        <v>58.8</v>
      </c>
      <c r="Z2234" s="2">
        <v>24.4</v>
      </c>
      <c r="AA2234" s="2" t="s">
        <v>179</v>
      </c>
      <c r="AB2234" s="2" t="s">
        <v>15079</v>
      </c>
      <c r="AC2234" s="2">
        <v>2.1316494067996699</v>
      </c>
      <c r="AD2234" s="2"/>
      <c r="AE2234" s="2">
        <v>0.29310338672041603</v>
      </c>
      <c r="AF2234" s="2">
        <v>6003.4310708852499</v>
      </c>
      <c r="AG2234" s="2">
        <v>8072.1632848419304</v>
      </c>
      <c r="AH2234" s="4">
        <v>0.74372022208205502</v>
      </c>
      <c r="AI2234" s="4">
        <v>-0.42716809469146699</v>
      </c>
      <c r="AJ2234" s="4" t="s">
        <v>62</v>
      </c>
      <c r="AK2234" s="2">
        <v>8.3067540749725798E-3</v>
      </c>
      <c r="AL2234" s="2">
        <v>0.149900300738943</v>
      </c>
      <c r="AM2234" s="2">
        <v>4994.3050181008102</v>
      </c>
      <c r="AN2234" s="2">
        <v>7126.85837451097</v>
      </c>
      <c r="AO2234" s="2">
        <v>5742.2277539362503</v>
      </c>
      <c r="AP2234" s="2">
        <v>5912.8519897147298</v>
      </c>
      <c r="AQ2234" s="2">
        <v>6817.4728251319102</v>
      </c>
      <c r="AR2234" s="2">
        <v>5426.87046391682</v>
      </c>
      <c r="AS2234" s="2">
        <v>7440.5809788238803</v>
      </c>
      <c r="AT2234" s="2">
        <v>8494.8316751925595</v>
      </c>
      <c r="AU2234" s="2">
        <v>7177.7220728674201</v>
      </c>
      <c r="AV2234" s="2">
        <v>7090.2405416916499</v>
      </c>
      <c r="AW2234" s="2">
        <v>7687.3465622531703</v>
      </c>
      <c r="AX2234" s="2">
        <v>10542.257878222899</v>
      </c>
    </row>
    <row r="2235" spans="1:50" x14ac:dyDescent="0.25">
      <c r="A2235" s="2" t="s">
        <v>15080</v>
      </c>
      <c r="B2235" s="2">
        <v>555.00964098178497</v>
      </c>
      <c r="C2235" s="2">
        <v>12.2162666666667</v>
      </c>
      <c r="D2235" s="2" t="s">
        <v>51</v>
      </c>
      <c r="E2235" s="2" t="s">
        <v>15081</v>
      </c>
      <c r="F2235" s="2">
        <v>197171</v>
      </c>
      <c r="G2235" s="3" t="str">
        <f>HYPERLINK("https://cloud.oebiotech.com/#/lm/network/197171", "https://cloud.oebiotech.com/#/lm/network/197171")</f>
        <v>https://cloud.oebiotech.com/#/lm/network/197171</v>
      </c>
      <c r="H2235" s="2" t="s">
        <v>15082</v>
      </c>
      <c r="I2235" s="2"/>
      <c r="J2235" s="2"/>
      <c r="K2235" s="2"/>
      <c r="L2235" s="2"/>
      <c r="M2235" s="2"/>
      <c r="N2235" s="2"/>
      <c r="O2235" s="2"/>
      <c r="P2235" s="2"/>
      <c r="Q2235" s="2"/>
      <c r="R2235" s="2"/>
      <c r="S2235" s="2" t="s">
        <v>15083</v>
      </c>
      <c r="T2235" s="2" t="s">
        <v>15084</v>
      </c>
      <c r="U2235" s="2" t="s">
        <v>610</v>
      </c>
      <c r="V2235" s="2" t="s">
        <v>611</v>
      </c>
      <c r="W2235" s="2" t="s">
        <v>1122</v>
      </c>
      <c r="X2235" s="2" t="s">
        <v>147</v>
      </c>
      <c r="Y2235" s="2">
        <v>37</v>
      </c>
      <c r="Z2235" s="2">
        <v>0</v>
      </c>
      <c r="AA2235" s="2" t="s">
        <v>478</v>
      </c>
      <c r="AB2235" s="2" t="s">
        <v>15085</v>
      </c>
      <c r="AC2235" s="2">
        <v>-4.2429114862967401</v>
      </c>
      <c r="AD2235" s="2"/>
      <c r="AE2235" s="2">
        <v>0.29304294570917799</v>
      </c>
      <c r="AF2235" s="2">
        <v>8808.1986558367407</v>
      </c>
      <c r="AG2235" s="2">
        <v>11314.506630572099</v>
      </c>
      <c r="AH2235" s="4">
        <v>0.77848720615327505</v>
      </c>
      <c r="AI2235" s="4">
        <v>-0.36125476498689302</v>
      </c>
      <c r="AJ2235" s="4" t="s">
        <v>62</v>
      </c>
      <c r="AK2235" s="2">
        <v>3.1160499145417901E-2</v>
      </c>
      <c r="AL2235" s="2">
        <v>0.26161747766708798</v>
      </c>
      <c r="AM2235" s="2">
        <v>8406.1623046349596</v>
      </c>
      <c r="AN2235" s="2">
        <v>7362.04579221109</v>
      </c>
      <c r="AO2235" s="2">
        <v>8830.1110930904597</v>
      </c>
      <c r="AP2235" s="2">
        <v>8218.5948336414094</v>
      </c>
      <c r="AQ2235" s="2">
        <v>10466.068419461701</v>
      </c>
      <c r="AR2235" s="2">
        <v>9566.2094919808496</v>
      </c>
      <c r="AS2235" s="2">
        <v>8130.5321341654098</v>
      </c>
      <c r="AT2235" s="2">
        <v>13851.2861949288</v>
      </c>
      <c r="AU2235" s="2">
        <v>9659.8962160382198</v>
      </c>
      <c r="AV2235" s="2">
        <v>11129.6219542615</v>
      </c>
      <c r="AW2235" s="2">
        <v>13469.532149962501</v>
      </c>
      <c r="AX2235" s="2">
        <v>11646.171134075899</v>
      </c>
    </row>
    <row r="2236" spans="1:50" x14ac:dyDescent="0.25">
      <c r="A2236" s="2" t="s">
        <v>15086</v>
      </c>
      <c r="B2236" s="2">
        <v>276.16018238728202</v>
      </c>
      <c r="C2236" s="2">
        <v>10.430199999999999</v>
      </c>
      <c r="D2236" s="2" t="s">
        <v>51</v>
      </c>
      <c r="E2236" s="2" t="s">
        <v>15087</v>
      </c>
      <c r="F2236" s="2">
        <v>274772</v>
      </c>
      <c r="G2236" s="3" t="str">
        <f>HYPERLINK("https://cloud.oebiotech.com/#/lm/network/274772", "https://cloud.oebiotech.com/#/lm/network/274772")</f>
        <v>https://cloud.oebiotech.com/#/lm/network/274772</v>
      </c>
      <c r="H2236" s="2"/>
      <c r="I2236" s="2">
        <v>65459</v>
      </c>
      <c r="J2236" s="2"/>
      <c r="K2236" s="2">
        <v>45380201</v>
      </c>
      <c r="L2236" s="2"/>
      <c r="M2236" s="2"/>
      <c r="N2236" s="2"/>
      <c r="O2236" s="2"/>
      <c r="P2236" s="2"/>
      <c r="Q2236" s="2"/>
      <c r="R2236" s="2"/>
      <c r="S2236" s="2" t="s">
        <v>15088</v>
      </c>
      <c r="T2236" s="2" t="s">
        <v>15089</v>
      </c>
      <c r="U2236" s="2" t="s">
        <v>266</v>
      </c>
      <c r="V2236" s="2" t="s">
        <v>13648</v>
      </c>
      <c r="W2236" s="2" t="s">
        <v>15090</v>
      </c>
      <c r="X2236" s="2" t="s">
        <v>147</v>
      </c>
      <c r="Y2236" s="2">
        <v>40.299999999999997</v>
      </c>
      <c r="Z2236" s="2">
        <v>11.7</v>
      </c>
      <c r="AA2236" s="2" t="s">
        <v>259</v>
      </c>
      <c r="AB2236" s="2" t="s">
        <v>15091</v>
      </c>
      <c r="AC2236" s="2">
        <v>2.7708973021779699</v>
      </c>
      <c r="AD2236" s="2"/>
      <c r="AE2236" s="2">
        <v>0.29299497785657302</v>
      </c>
      <c r="AF2236" s="2">
        <v>2093.9850527581998</v>
      </c>
      <c r="AG2236" s="2">
        <v>4641.2098458578503</v>
      </c>
      <c r="AH2236" s="4">
        <v>0.45117224221762398</v>
      </c>
      <c r="AI2236" s="4">
        <v>-1.1482497843466699</v>
      </c>
      <c r="AJ2236" s="4" t="s">
        <v>62</v>
      </c>
      <c r="AK2236" s="2">
        <v>7.7922181091286499E-2</v>
      </c>
      <c r="AL2236" s="2">
        <v>0.361903935282124</v>
      </c>
      <c r="AM2236" s="2">
        <v>8.559877937157E-6</v>
      </c>
      <c r="AN2236" s="2">
        <v>367.40577924063899</v>
      </c>
      <c r="AO2236" s="2">
        <v>2555.0928151439398</v>
      </c>
      <c r="AP2236" s="2">
        <v>440.09514010668602</v>
      </c>
      <c r="AQ2236" s="2">
        <v>4855.8064909308996</v>
      </c>
      <c r="AR2236" s="2">
        <v>4345.5100825671698</v>
      </c>
      <c r="AS2236" s="2">
        <v>3788.2487094695598</v>
      </c>
      <c r="AT2236" s="2">
        <v>6487.0183609998003</v>
      </c>
      <c r="AU2236" s="2">
        <v>2227.0944790448798</v>
      </c>
      <c r="AV2236" s="2">
        <v>3025.5690776125898</v>
      </c>
      <c r="AW2236" s="2">
        <v>3893.6170982797998</v>
      </c>
      <c r="AX2236" s="2">
        <v>8425.7113497404898</v>
      </c>
    </row>
    <row r="2237" spans="1:50" x14ac:dyDescent="0.25">
      <c r="A2237" s="2" t="s">
        <v>15092</v>
      </c>
      <c r="B2237" s="2">
        <v>740.46571326772403</v>
      </c>
      <c r="C2237" s="2">
        <v>4.8730833333333301</v>
      </c>
      <c r="D2237" s="2" t="s">
        <v>51</v>
      </c>
      <c r="E2237" s="2" t="s">
        <v>15093</v>
      </c>
      <c r="F2237" s="2">
        <v>20561</v>
      </c>
      <c r="G2237" s="3" t="str">
        <f>HYPERLINK("https://cloud.oebiotech.com/#/lm/network/20561", "https://cloud.oebiotech.com/#/lm/network/20561")</f>
        <v>https://cloud.oebiotech.com/#/lm/network/20561</v>
      </c>
      <c r="H2237" s="2"/>
      <c r="I2237" s="2">
        <v>77107</v>
      </c>
      <c r="J2237" s="2" t="s">
        <v>15094</v>
      </c>
      <c r="K2237" s="2">
        <v>52924573</v>
      </c>
      <c r="L2237" s="2"/>
      <c r="M2237" s="2"/>
      <c r="N2237" s="2"/>
      <c r="O2237" s="2"/>
      <c r="P2237" s="2"/>
      <c r="Q2237" s="2"/>
      <c r="R2237" s="2"/>
      <c r="S2237" s="2" t="s">
        <v>15095</v>
      </c>
      <c r="T2237" s="2" t="s">
        <v>15096</v>
      </c>
      <c r="U2237" s="2" t="s">
        <v>56</v>
      </c>
      <c r="V2237" s="2" t="s">
        <v>57</v>
      </c>
      <c r="W2237" s="2" t="s">
        <v>155</v>
      </c>
      <c r="X2237" s="2" t="s">
        <v>147</v>
      </c>
      <c r="Y2237" s="2">
        <v>41.4</v>
      </c>
      <c r="Z2237" s="2">
        <v>20.100000000000001</v>
      </c>
      <c r="AA2237" s="2" t="s">
        <v>395</v>
      </c>
      <c r="AB2237" s="2" t="s">
        <v>15097</v>
      </c>
      <c r="AC2237" s="2">
        <v>4.27696266176258</v>
      </c>
      <c r="AD2237" s="2"/>
      <c r="AE2237" s="2">
        <v>0.29286733540723803</v>
      </c>
      <c r="AF2237" s="2">
        <v>12279.8925971645</v>
      </c>
      <c r="AG2237" s="2">
        <v>6901.7129029008702</v>
      </c>
      <c r="AH2237" s="5">
        <v>1.77925288546893</v>
      </c>
      <c r="AI2237" s="5">
        <v>0.83127157563237297</v>
      </c>
      <c r="AJ2237" s="5" t="s">
        <v>139</v>
      </c>
      <c r="AK2237" s="2">
        <v>0.39595802996257101</v>
      </c>
      <c r="AL2237" s="2">
        <v>0.66752996494649497</v>
      </c>
      <c r="AM2237" s="2">
        <v>1588.29710851101</v>
      </c>
      <c r="AN2237" s="2">
        <v>2652.8471365740302</v>
      </c>
      <c r="AO2237" s="2">
        <v>38811.666134117702</v>
      </c>
      <c r="AP2237" s="2">
        <v>13208.550266133099</v>
      </c>
      <c r="AQ2237" s="2">
        <v>10512.5264813351</v>
      </c>
      <c r="AR2237" s="2">
        <v>6905.4684563160799</v>
      </c>
      <c r="AS2237" s="2">
        <v>3061.3188312441798</v>
      </c>
      <c r="AT2237" s="2">
        <v>18244.135656577899</v>
      </c>
      <c r="AU2237" s="2">
        <v>4759.9015436292002</v>
      </c>
      <c r="AV2237" s="2">
        <v>5135.4249541789904</v>
      </c>
      <c r="AW2237" s="2">
        <v>4157.92696259072</v>
      </c>
      <c r="AX2237" s="2">
        <v>6051.56946918422</v>
      </c>
    </row>
    <row r="2238" spans="1:50" x14ac:dyDescent="0.25">
      <c r="A2238" s="2" t="s">
        <v>15098</v>
      </c>
      <c r="B2238" s="2">
        <v>319.22755217458899</v>
      </c>
      <c r="C2238" s="2">
        <v>11.5340333333333</v>
      </c>
      <c r="D2238" s="2" t="s">
        <v>51</v>
      </c>
      <c r="E2238" s="2" t="s">
        <v>15099</v>
      </c>
      <c r="F2238" s="2">
        <v>3860</v>
      </c>
      <c r="G2238" s="3" t="str">
        <f>HYPERLINK("https://cloud.oebiotech.com/#/lm/network/3860", "https://cloud.oebiotech.com/#/lm/network/3860")</f>
        <v>https://cloud.oebiotech.com/#/lm/network/3860</v>
      </c>
      <c r="H2238" s="2" t="s">
        <v>15100</v>
      </c>
      <c r="I2238" s="2">
        <v>3449</v>
      </c>
      <c r="J2238" s="2" t="s">
        <v>15101</v>
      </c>
      <c r="K2238" s="2">
        <v>5280383</v>
      </c>
      <c r="L2238" s="2" t="s">
        <v>15102</v>
      </c>
      <c r="M2238" s="2" t="s">
        <v>15103</v>
      </c>
      <c r="N2238" s="2" t="s">
        <v>15104</v>
      </c>
      <c r="O2238" s="2">
        <v>15651</v>
      </c>
      <c r="P2238" s="2" t="s">
        <v>15105</v>
      </c>
      <c r="Q2238" s="2" t="s">
        <v>15106</v>
      </c>
      <c r="R2238" s="2" t="s">
        <v>15107</v>
      </c>
      <c r="S2238" s="2" t="s">
        <v>15108</v>
      </c>
      <c r="T2238" s="2" t="s">
        <v>15109</v>
      </c>
      <c r="U2238" s="2" t="s">
        <v>56</v>
      </c>
      <c r="V2238" s="2" t="s">
        <v>145</v>
      </c>
      <c r="W2238" s="2" t="s">
        <v>231</v>
      </c>
      <c r="X2238" s="2" t="s">
        <v>83</v>
      </c>
      <c r="Y2238" s="2">
        <v>45.3</v>
      </c>
      <c r="Z2238" s="2">
        <v>0</v>
      </c>
      <c r="AA2238" s="2" t="s">
        <v>259</v>
      </c>
      <c r="AB2238" s="2" t="s">
        <v>180</v>
      </c>
      <c r="AC2238" s="2">
        <v>2.4540350985627102</v>
      </c>
      <c r="AD2238" s="2"/>
      <c r="AE2238" s="2">
        <v>0.29276748425981702</v>
      </c>
      <c r="AF2238" s="2">
        <v>6101.5532020949404</v>
      </c>
      <c r="AG2238" s="2">
        <v>3420.51080393031</v>
      </c>
      <c r="AH2238" s="5">
        <v>1.7838134570672901</v>
      </c>
      <c r="AI2238" s="5">
        <v>0.83496475279446003</v>
      </c>
      <c r="AJ2238" s="5" t="s">
        <v>139</v>
      </c>
      <c r="AK2238" s="2">
        <v>2.1280747825109799E-2</v>
      </c>
      <c r="AL2238" s="2">
        <v>0.22764648619401201</v>
      </c>
      <c r="AM2238" s="2">
        <v>3163.2744877239202</v>
      </c>
      <c r="AN2238" s="2">
        <v>9026.5957390315998</v>
      </c>
      <c r="AO2238" s="2">
        <v>7214.8661867132296</v>
      </c>
      <c r="AP2238" s="2">
        <v>6884.6799370877698</v>
      </c>
      <c r="AQ2238" s="2">
        <v>5001.0081581230397</v>
      </c>
      <c r="AR2238" s="2">
        <v>5318.8947038900997</v>
      </c>
      <c r="AS2238" s="2">
        <v>5198.6954886023996</v>
      </c>
      <c r="AT2238" s="2">
        <v>4549.2284763378502</v>
      </c>
      <c r="AU2238" s="2">
        <v>1651.8521839247401</v>
      </c>
      <c r="AV2238" s="2">
        <v>2794.1671208999201</v>
      </c>
      <c r="AW2238" s="2">
        <v>3289.5070691324499</v>
      </c>
      <c r="AX2238" s="2">
        <v>3039.61448468451</v>
      </c>
    </row>
    <row r="2239" spans="1:50" x14ac:dyDescent="0.25">
      <c r="A2239" s="2" t="s">
        <v>15110</v>
      </c>
      <c r="B2239" s="2">
        <v>231.11357842293401</v>
      </c>
      <c r="C2239" s="2">
        <v>8.5398833333333304</v>
      </c>
      <c r="D2239" s="2" t="s">
        <v>51</v>
      </c>
      <c r="E2239" s="2" t="s">
        <v>15111</v>
      </c>
      <c r="F2239" s="2">
        <v>82585</v>
      </c>
      <c r="G2239" s="3" t="str">
        <f>HYPERLINK("https://cloud.oebiotech.com/#/lm/network/82585", "https://cloud.oebiotech.com/#/lm/network/82585")</f>
        <v>https://cloud.oebiotech.com/#/lm/network/82585</v>
      </c>
      <c r="H2239" s="2" t="s">
        <v>15112</v>
      </c>
      <c r="I2239" s="2"/>
      <c r="J2239" s="2"/>
      <c r="K2239" s="2">
        <v>9859734</v>
      </c>
      <c r="L2239" s="2"/>
      <c r="M2239" s="2"/>
      <c r="N2239" s="2"/>
      <c r="O2239" s="2"/>
      <c r="P2239" s="2"/>
      <c r="Q2239" s="2"/>
      <c r="R2239" s="2"/>
      <c r="S2239" s="2" t="s">
        <v>15113</v>
      </c>
      <c r="T2239" s="2" t="s">
        <v>15114</v>
      </c>
      <c r="U2239" s="2" t="s">
        <v>266</v>
      </c>
      <c r="V2239" s="2" t="s">
        <v>445</v>
      </c>
      <c r="W2239" s="2" t="s">
        <v>8002</v>
      </c>
      <c r="X2239" s="2" t="s">
        <v>147</v>
      </c>
      <c r="Y2239" s="2">
        <v>43.1</v>
      </c>
      <c r="Z2239" s="2">
        <v>23.8</v>
      </c>
      <c r="AA2239" s="2" t="s">
        <v>156</v>
      </c>
      <c r="AB2239" s="2" t="s">
        <v>15115</v>
      </c>
      <c r="AC2239" s="2">
        <v>3.1206824454539799</v>
      </c>
      <c r="AD2239" s="2"/>
      <c r="AE2239" s="2">
        <v>0.29276628639378599</v>
      </c>
      <c r="AF2239" s="2">
        <v>2188.14089242925</v>
      </c>
      <c r="AG2239" s="2">
        <v>4449.6426787298897</v>
      </c>
      <c r="AH2239" s="4">
        <v>0.49175654101147598</v>
      </c>
      <c r="AI2239" s="4">
        <v>-1.0239838525064699</v>
      </c>
      <c r="AJ2239" s="4" t="s">
        <v>62</v>
      </c>
      <c r="AK2239" s="2">
        <v>3.45708887652822E-2</v>
      </c>
      <c r="AL2239" s="2">
        <v>0.271975767980906</v>
      </c>
      <c r="AM2239" s="2">
        <v>2571.0457443535602</v>
      </c>
      <c r="AN2239" s="2">
        <v>3356.84237846001</v>
      </c>
      <c r="AO2239" s="2">
        <v>1601.89543119418</v>
      </c>
      <c r="AP2239" s="2">
        <v>1576.1178910661199</v>
      </c>
      <c r="AQ2239" s="2">
        <v>2196.0429904836201</v>
      </c>
      <c r="AR2239" s="2">
        <v>1826.90091901798</v>
      </c>
      <c r="AS2239" s="2">
        <v>7830.2695689250904</v>
      </c>
      <c r="AT2239" s="2">
        <v>1216.0743143104901</v>
      </c>
      <c r="AU2239" s="2">
        <v>4921.1112702172604</v>
      </c>
      <c r="AV2239" s="2">
        <v>4822.9674300506404</v>
      </c>
      <c r="AW2239" s="2">
        <v>4489.0577239682698</v>
      </c>
      <c r="AX2239" s="2">
        <v>3418.3757649075601</v>
      </c>
    </row>
    <row r="2240" spans="1:50" x14ac:dyDescent="0.25">
      <c r="A2240" s="2" t="s">
        <v>15116</v>
      </c>
      <c r="B2240" s="2">
        <v>369.30118026441801</v>
      </c>
      <c r="C2240" s="2">
        <v>14.4452</v>
      </c>
      <c r="D2240" s="2" t="s">
        <v>51</v>
      </c>
      <c r="E2240" s="2" t="s">
        <v>15117</v>
      </c>
      <c r="F2240" s="2">
        <v>7374</v>
      </c>
      <c r="G2240" s="3" t="str">
        <f>HYPERLINK("https://cloud.oebiotech.com/#/lm/network/7374", "https://cloud.oebiotech.com/#/lm/network/7374")</f>
        <v>https://cloud.oebiotech.com/#/lm/network/7374</v>
      </c>
      <c r="H2240" s="2"/>
      <c r="I2240" s="2">
        <v>97325</v>
      </c>
      <c r="J2240" s="2" t="s">
        <v>15118</v>
      </c>
      <c r="K2240" s="2">
        <v>56936015</v>
      </c>
      <c r="L2240" s="2"/>
      <c r="M2240" s="2"/>
      <c r="N2240" s="2"/>
      <c r="O2240" s="2"/>
      <c r="P2240" s="2"/>
      <c r="Q2240" s="2"/>
      <c r="R2240" s="2"/>
      <c r="S2240" s="2" t="s">
        <v>15119</v>
      </c>
      <c r="T2240" s="2" t="s">
        <v>15120</v>
      </c>
      <c r="U2240" s="2" t="s">
        <v>56</v>
      </c>
      <c r="V2240" s="2" t="s">
        <v>145</v>
      </c>
      <c r="W2240" s="2" t="s">
        <v>1188</v>
      </c>
      <c r="X2240" s="2" t="s">
        <v>83</v>
      </c>
      <c r="Y2240" s="2">
        <v>42.6</v>
      </c>
      <c r="Z2240" s="2">
        <v>0</v>
      </c>
      <c r="AA2240" s="2" t="s">
        <v>218</v>
      </c>
      <c r="AB2240" s="2" t="s">
        <v>15121</v>
      </c>
      <c r="AC2240" s="2">
        <v>0.45288688374755398</v>
      </c>
      <c r="AD2240" s="2"/>
      <c r="AE2240" s="2">
        <v>0.29268769352163299</v>
      </c>
      <c r="AF2240" s="2">
        <v>2585.4013229010402</v>
      </c>
      <c r="AG2240" s="2">
        <v>4329.5248051676599</v>
      </c>
      <c r="AH2240" s="4">
        <v>0.59715590953887998</v>
      </c>
      <c r="AI2240" s="4">
        <v>-0.74382044555323601</v>
      </c>
      <c r="AJ2240" s="4" t="s">
        <v>62</v>
      </c>
      <c r="AK2240" s="2">
        <v>2.31686301483147E-3</v>
      </c>
      <c r="AL2240" s="2">
        <v>0.101912249503871</v>
      </c>
      <c r="AM2240" s="2">
        <v>2575.9694848310701</v>
      </c>
      <c r="AN2240" s="2">
        <v>2078.3899466621401</v>
      </c>
      <c r="AO2240" s="2">
        <v>2452.7344976221998</v>
      </c>
      <c r="AP2240" s="2">
        <v>1828.03492626505</v>
      </c>
      <c r="AQ2240" s="2">
        <v>3343.2030908863799</v>
      </c>
      <c r="AR2240" s="2">
        <v>3234.0759911393702</v>
      </c>
      <c r="AS2240" s="2">
        <v>4769.8829279855599</v>
      </c>
      <c r="AT2240" s="2">
        <v>3103.6171821170901</v>
      </c>
      <c r="AU2240" s="2">
        <v>4321.4136350307399</v>
      </c>
      <c r="AV2240" s="2">
        <v>4821.8268143011201</v>
      </c>
      <c r="AW2240" s="2">
        <v>5410.4683010861299</v>
      </c>
      <c r="AX2240" s="2">
        <v>3549.9399704852999</v>
      </c>
    </row>
    <row r="2241" spans="1:50" x14ac:dyDescent="0.25">
      <c r="A2241" s="2" t="s">
        <v>15122</v>
      </c>
      <c r="B2241" s="2">
        <v>376.26212613882302</v>
      </c>
      <c r="C2241" s="2">
        <v>13.5068</v>
      </c>
      <c r="D2241" s="2" t="s">
        <v>51</v>
      </c>
      <c r="E2241" s="2" t="s">
        <v>15123</v>
      </c>
      <c r="F2241" s="2">
        <v>38936</v>
      </c>
      <c r="G2241" s="3" t="str">
        <f>HYPERLINK("https://cloud.oebiotech.com/#/lm/network/38936", "https://cloud.oebiotech.com/#/lm/network/38936")</f>
        <v>https://cloud.oebiotech.com/#/lm/network/38936</v>
      </c>
      <c r="H2241" s="2"/>
      <c r="I2241" s="2">
        <v>83701</v>
      </c>
      <c r="J2241" s="2" t="s">
        <v>15124</v>
      </c>
      <c r="K2241" s="2">
        <v>52931109</v>
      </c>
      <c r="L2241" s="2"/>
      <c r="M2241" s="2"/>
      <c r="N2241" s="2"/>
      <c r="O2241" s="2"/>
      <c r="P2241" s="2"/>
      <c r="Q2241" s="2"/>
      <c r="R2241" s="2"/>
      <c r="S2241" s="2" t="s">
        <v>15125</v>
      </c>
      <c r="T2241" s="2" t="s">
        <v>15126</v>
      </c>
      <c r="U2241" s="2" t="s">
        <v>56</v>
      </c>
      <c r="V2241" s="2" t="s">
        <v>344</v>
      </c>
      <c r="W2241" s="2" t="s">
        <v>1239</v>
      </c>
      <c r="X2241" s="2" t="s">
        <v>147</v>
      </c>
      <c r="Y2241" s="2">
        <v>36.799999999999997</v>
      </c>
      <c r="Z2241" s="2">
        <v>0</v>
      </c>
      <c r="AA2241" s="2" t="s">
        <v>156</v>
      </c>
      <c r="AB2241" s="2" t="s">
        <v>15127</v>
      </c>
      <c r="AC2241" s="2">
        <v>2.5539392781257901</v>
      </c>
      <c r="AD2241" s="2"/>
      <c r="AE2241" s="2">
        <v>0.29257420454943001</v>
      </c>
      <c r="AF2241" s="2">
        <v>7985.6952667953401</v>
      </c>
      <c r="AG2241" s="2">
        <v>12091.615653422699</v>
      </c>
      <c r="AH2241" s="4">
        <v>0.66043244308173998</v>
      </c>
      <c r="AI2241" s="4">
        <v>-0.59851710194769603</v>
      </c>
      <c r="AJ2241" s="4" t="s">
        <v>62</v>
      </c>
      <c r="AK2241" s="2">
        <v>0.24393272070632399</v>
      </c>
      <c r="AL2241" s="2">
        <v>0.56882504431792902</v>
      </c>
      <c r="AM2241" s="2">
        <v>6184.2187738173598</v>
      </c>
      <c r="AN2241" s="2">
        <v>4280.4211640145004</v>
      </c>
      <c r="AO2241" s="2">
        <v>11765.5850576168</v>
      </c>
      <c r="AP2241" s="2">
        <v>4444.2738832934501</v>
      </c>
      <c r="AQ2241" s="2">
        <v>14171.020493833599</v>
      </c>
      <c r="AR2241" s="2">
        <v>7068.6522281963498</v>
      </c>
      <c r="AS2241" s="2">
        <v>5471.7041479198497</v>
      </c>
      <c r="AT2241" s="2">
        <v>6477.5302850825501</v>
      </c>
      <c r="AU2241" s="2">
        <v>19359.515700823998</v>
      </c>
      <c r="AV2241" s="2">
        <v>11807.728869815601</v>
      </c>
      <c r="AW2241" s="2">
        <v>21961.312120177499</v>
      </c>
      <c r="AX2241" s="2">
        <v>7471.9027967165603</v>
      </c>
    </row>
    <row r="2242" spans="1:50" x14ac:dyDescent="0.25">
      <c r="A2242" s="2" t="s">
        <v>15128</v>
      </c>
      <c r="B2242" s="2">
        <v>363.19271629388999</v>
      </c>
      <c r="C2242" s="2">
        <v>4.7092833333333299</v>
      </c>
      <c r="D2242" s="2" t="s">
        <v>51</v>
      </c>
      <c r="E2242" s="2" t="s">
        <v>15129</v>
      </c>
      <c r="F2242" s="2">
        <v>210890</v>
      </c>
      <c r="G2242" s="3" t="str">
        <f>HYPERLINK("https://cloud.oebiotech.com/#/lm/network/210890", "https://cloud.oebiotech.com/#/lm/network/210890")</f>
        <v>https://cloud.oebiotech.com/#/lm/network/210890</v>
      </c>
      <c r="H2242" s="2" t="s">
        <v>15130</v>
      </c>
      <c r="I2242" s="2">
        <v>419324</v>
      </c>
      <c r="J2242" s="2"/>
      <c r="K2242" s="2">
        <v>131560</v>
      </c>
      <c r="L2242" s="2"/>
      <c r="M2242" s="2"/>
      <c r="N2242" s="2"/>
      <c r="O2242" s="2"/>
      <c r="P2242" s="2"/>
      <c r="Q2242" s="2"/>
      <c r="R2242" s="2"/>
      <c r="S2242" s="2" t="s">
        <v>15131</v>
      </c>
      <c r="T2242" s="2" t="s">
        <v>15132</v>
      </c>
      <c r="U2242" s="2" t="s">
        <v>103</v>
      </c>
      <c r="V2242" s="2" t="s">
        <v>104</v>
      </c>
      <c r="W2242" s="2" t="s">
        <v>105</v>
      </c>
      <c r="X2242" s="2" t="s">
        <v>83</v>
      </c>
      <c r="Y2242" s="2">
        <v>39.5</v>
      </c>
      <c r="Z2242" s="2">
        <v>0</v>
      </c>
      <c r="AA2242" s="2" t="s">
        <v>259</v>
      </c>
      <c r="AB2242" s="2" t="s">
        <v>15133</v>
      </c>
      <c r="AC2242" s="2">
        <v>3.5007622304280801</v>
      </c>
      <c r="AD2242" s="2"/>
      <c r="AE2242" s="2">
        <v>0.29253825218782298</v>
      </c>
      <c r="AF2242" s="2">
        <v>1040.6385292526099</v>
      </c>
      <c r="AG2242" s="2">
        <v>5201.0531679063897</v>
      </c>
      <c r="AH2242" s="4">
        <v>0.20008227096657599</v>
      </c>
      <c r="AI2242" s="4">
        <v>-2.3213347573376901</v>
      </c>
      <c r="AJ2242" s="4" t="s">
        <v>62</v>
      </c>
      <c r="AK2242" s="2">
        <v>0.255826920298726</v>
      </c>
      <c r="AL2242" s="2">
        <v>0.57883765962140699</v>
      </c>
      <c r="AM2242" s="2">
        <v>841.66842163572903</v>
      </c>
      <c r="AN2242" s="2">
        <v>1966.3716435470999</v>
      </c>
      <c r="AO2242" s="2">
        <v>1126.0198692531701</v>
      </c>
      <c r="AP2242" s="2">
        <v>920.95579294360198</v>
      </c>
      <c r="AQ2242" s="2">
        <v>30.000413080318399</v>
      </c>
      <c r="AR2242" s="2">
        <v>1358.8150350557601</v>
      </c>
      <c r="AS2242" s="2">
        <v>265.94738310663399</v>
      </c>
      <c r="AT2242" s="2">
        <v>443.33606314652798</v>
      </c>
      <c r="AU2242" s="2">
        <v>9327.1957181816106</v>
      </c>
      <c r="AV2242" s="2">
        <v>18.2636250495684</v>
      </c>
      <c r="AW2242" s="2">
        <v>20742.772859178502</v>
      </c>
      <c r="AX2242" s="2">
        <v>408.80335877551198</v>
      </c>
    </row>
    <row r="2243" spans="1:50" x14ac:dyDescent="0.25">
      <c r="A2243" s="2" t="s">
        <v>15134</v>
      </c>
      <c r="B2243" s="2">
        <v>464.19318664533102</v>
      </c>
      <c r="C2243" s="2">
        <v>5.5877166666666698</v>
      </c>
      <c r="D2243" s="2" t="s">
        <v>51</v>
      </c>
      <c r="E2243" s="2" t="s">
        <v>15135</v>
      </c>
      <c r="F2243" s="2">
        <v>82957</v>
      </c>
      <c r="G2243" s="3" t="str">
        <f>HYPERLINK("https://cloud.oebiotech.com/#/lm/network/82957", "https://cloud.oebiotech.com/#/lm/network/82957")</f>
        <v>https://cloud.oebiotech.com/#/lm/network/82957</v>
      </c>
      <c r="H2243" s="2" t="s">
        <v>15136</v>
      </c>
      <c r="I2243" s="2"/>
      <c r="J2243" s="2"/>
      <c r="K2243" s="2">
        <v>131770045</v>
      </c>
      <c r="L2243" s="2"/>
      <c r="M2243" s="2"/>
      <c r="N2243" s="2"/>
      <c r="O2243" s="2"/>
      <c r="P2243" s="2"/>
      <c r="Q2243" s="2"/>
      <c r="R2243" s="2"/>
      <c r="S2243" s="2" t="s">
        <v>15137</v>
      </c>
      <c r="T2243" s="2" t="s">
        <v>15138</v>
      </c>
      <c r="U2243" s="2" t="s">
        <v>238</v>
      </c>
      <c r="V2243" s="2" t="s">
        <v>15139</v>
      </c>
      <c r="W2243" s="2" t="s">
        <v>240</v>
      </c>
      <c r="X2243" s="2" t="s">
        <v>59</v>
      </c>
      <c r="Y2243" s="2">
        <v>48.2</v>
      </c>
      <c r="Z2243" s="2">
        <v>50.2</v>
      </c>
      <c r="AA2243" s="2" t="s">
        <v>259</v>
      </c>
      <c r="AB2243" s="2" t="s">
        <v>15140</v>
      </c>
      <c r="AC2243" s="2">
        <v>3.6242651333765301</v>
      </c>
      <c r="AD2243" s="2"/>
      <c r="AE2243" s="2">
        <v>0.29245897944052601</v>
      </c>
      <c r="AF2243" s="2">
        <v>6117.8913621462498</v>
      </c>
      <c r="AG2243" s="2">
        <v>3356.1012727738998</v>
      </c>
      <c r="AH2243" s="5">
        <v>1.82291619498409</v>
      </c>
      <c r="AI2243" s="5">
        <v>0.86624823781149496</v>
      </c>
      <c r="AJ2243" s="5" t="s">
        <v>139</v>
      </c>
      <c r="AK2243" s="2">
        <v>0.505950846050364</v>
      </c>
      <c r="AL2243" s="2">
        <v>0.74196312845079004</v>
      </c>
      <c r="AM2243" s="2">
        <v>13746.1656847574</v>
      </c>
      <c r="AN2243" s="2">
        <v>3185.8398307771099</v>
      </c>
      <c r="AO2243" s="2">
        <v>18240.837555379501</v>
      </c>
      <c r="AP2243" s="2">
        <v>1241.5309508109799</v>
      </c>
      <c r="AQ2243" s="2">
        <v>292.97414259262302</v>
      </c>
      <c r="AR2243" s="2">
        <v>8.559877937157E-6</v>
      </c>
      <c r="AS2243" s="2">
        <v>8.559877937157E-6</v>
      </c>
      <c r="AT2243" s="2">
        <v>211.88229155834799</v>
      </c>
      <c r="AU2243" s="2">
        <v>15142.762630720799</v>
      </c>
      <c r="AV2243" s="2">
        <v>2879.4455468603901</v>
      </c>
      <c r="AW2243" s="2">
        <v>977.190119386628</v>
      </c>
      <c r="AX2243" s="2">
        <v>925.32703955734098</v>
      </c>
    </row>
    <row r="2244" spans="1:50" x14ac:dyDescent="0.25">
      <c r="A2244" s="2" t="s">
        <v>15141</v>
      </c>
      <c r="B2244" s="2">
        <v>462.29927747804402</v>
      </c>
      <c r="C2244" s="2">
        <v>11.0481833333333</v>
      </c>
      <c r="D2244" s="2" t="s">
        <v>51</v>
      </c>
      <c r="E2244" s="2" t="s">
        <v>15142</v>
      </c>
      <c r="F2244" s="2">
        <v>197243</v>
      </c>
      <c r="G2244" s="3" t="str">
        <f>HYPERLINK("https://cloud.oebiotech.com/#/lm/network/197243", "https://cloud.oebiotech.com/#/lm/network/197243")</f>
        <v>https://cloud.oebiotech.com/#/lm/network/197243</v>
      </c>
      <c r="H2244" s="2" t="s">
        <v>15143</v>
      </c>
      <c r="I2244" s="2"/>
      <c r="J2244" s="2"/>
      <c r="K2244" s="2"/>
      <c r="L2244" s="2"/>
      <c r="M2244" s="2"/>
      <c r="N2244" s="2"/>
      <c r="O2244" s="2"/>
      <c r="P2244" s="2"/>
      <c r="Q2244" s="2"/>
      <c r="R2244" s="2" t="s">
        <v>15144</v>
      </c>
      <c r="S2244" s="2" t="s">
        <v>15145</v>
      </c>
      <c r="T2244" s="2" t="s">
        <v>15146</v>
      </c>
      <c r="U2244" s="2" t="s">
        <v>56</v>
      </c>
      <c r="V2244" s="2" t="s">
        <v>57</v>
      </c>
      <c r="W2244" s="2" t="s">
        <v>155</v>
      </c>
      <c r="X2244" s="2" t="s">
        <v>69</v>
      </c>
      <c r="Y2244" s="2">
        <v>60.1</v>
      </c>
      <c r="Z2244" s="2">
        <v>81.7</v>
      </c>
      <c r="AA2244" s="2" t="s">
        <v>163</v>
      </c>
      <c r="AB2244" s="2" t="s">
        <v>15147</v>
      </c>
      <c r="AC2244" s="2">
        <v>0.60237186211300897</v>
      </c>
      <c r="AD2244" s="2"/>
      <c r="AE2244" s="2">
        <v>0.292406050376322</v>
      </c>
      <c r="AF2244" s="2">
        <v>263138.403697245</v>
      </c>
      <c r="AG2244" s="2">
        <v>253272.11319363301</v>
      </c>
      <c r="AH2244" s="5">
        <v>1.0389552974435401</v>
      </c>
      <c r="AI2244" s="5">
        <v>5.5133581533813203E-2</v>
      </c>
      <c r="AJ2244" s="5" t="s">
        <v>139</v>
      </c>
      <c r="AK2244" s="2">
        <v>0.882686024030231</v>
      </c>
      <c r="AL2244" s="2">
        <v>0.94885151632581499</v>
      </c>
      <c r="AM2244" s="2">
        <v>472632.97612708202</v>
      </c>
      <c r="AN2244" s="2">
        <v>182396.62726328499</v>
      </c>
      <c r="AO2244" s="2">
        <v>224990.73375011099</v>
      </c>
      <c r="AP2244" s="2">
        <v>233552.14992405899</v>
      </c>
      <c r="AQ2244" s="2">
        <v>184572.24467092101</v>
      </c>
      <c r="AR2244" s="2">
        <v>280685.69044800999</v>
      </c>
      <c r="AS2244" s="2">
        <v>183163.46954761699</v>
      </c>
      <c r="AT2244" s="2">
        <v>111332.226134533</v>
      </c>
      <c r="AU2244" s="2">
        <v>311078.98955686198</v>
      </c>
      <c r="AV2244" s="2">
        <v>441741.15231770999</v>
      </c>
      <c r="AW2244" s="2">
        <v>279210.40833097801</v>
      </c>
      <c r="AX2244" s="2">
        <v>193106.433274098</v>
      </c>
    </row>
    <row r="2245" spans="1:50" x14ac:dyDescent="0.25">
      <c r="A2245" s="2" t="s">
        <v>15148</v>
      </c>
      <c r="B2245" s="2">
        <v>280.101247713455</v>
      </c>
      <c r="C2245" s="2">
        <v>7.69593333333333</v>
      </c>
      <c r="D2245" s="2" t="s">
        <v>51</v>
      </c>
      <c r="E2245" s="2" t="s">
        <v>15149</v>
      </c>
      <c r="F2245" s="2">
        <v>257021</v>
      </c>
      <c r="G2245" s="3" t="str">
        <f>HYPERLINK("https://cloud.oebiotech.com/#/lm/network/257021", "https://cloud.oebiotech.com/#/lm/network/257021")</f>
        <v>https://cloud.oebiotech.com/#/lm/network/257021</v>
      </c>
      <c r="H2245" s="2" t="s">
        <v>15150</v>
      </c>
      <c r="I2245" s="2">
        <v>64413</v>
      </c>
      <c r="J2245" s="2"/>
      <c r="K2245" s="2">
        <v>129803</v>
      </c>
      <c r="L2245" s="2" t="s">
        <v>15151</v>
      </c>
      <c r="M2245" s="2" t="s">
        <v>13196</v>
      </c>
      <c r="N2245" s="2" t="s">
        <v>13197</v>
      </c>
      <c r="O2245" s="2">
        <v>15374</v>
      </c>
      <c r="P2245" s="2" t="s">
        <v>15152</v>
      </c>
      <c r="Q2245" s="2" t="s">
        <v>15153</v>
      </c>
      <c r="R2245" s="2"/>
      <c r="S2245" s="2" t="s">
        <v>15154</v>
      </c>
      <c r="T2245" s="2" t="s">
        <v>15155</v>
      </c>
      <c r="U2245" s="2" t="s">
        <v>266</v>
      </c>
      <c r="V2245" s="2" t="s">
        <v>13201</v>
      </c>
      <c r="W2245" s="2" t="s">
        <v>13202</v>
      </c>
      <c r="X2245" s="2" t="s">
        <v>147</v>
      </c>
      <c r="Y2245" s="2">
        <v>39.4</v>
      </c>
      <c r="Z2245" s="2">
        <v>0</v>
      </c>
      <c r="AA2245" s="2" t="s">
        <v>95</v>
      </c>
      <c r="AB2245" s="2" t="s">
        <v>15156</v>
      </c>
      <c r="AC2245" s="2">
        <v>-1.4660896531863501</v>
      </c>
      <c r="AD2245" s="2"/>
      <c r="AE2245" s="2">
        <v>0.29219568716077099</v>
      </c>
      <c r="AF2245" s="2">
        <v>2587.0555294311598</v>
      </c>
      <c r="AG2245" s="2">
        <v>6183.2744507388197</v>
      </c>
      <c r="AH2245" s="4">
        <v>0.41839571412232002</v>
      </c>
      <c r="AI2245" s="4">
        <v>-1.2570600216154699</v>
      </c>
      <c r="AJ2245" s="4" t="s">
        <v>62</v>
      </c>
      <c r="AK2245" s="2">
        <v>0.117722712867619</v>
      </c>
      <c r="AL2245" s="2">
        <v>0.436261987215596</v>
      </c>
      <c r="AM2245" s="2">
        <v>4095.3728675303601</v>
      </c>
      <c r="AN2245" s="2">
        <v>708.88363760960704</v>
      </c>
      <c r="AO2245" s="2">
        <v>3711.6757769639398</v>
      </c>
      <c r="AP2245" s="2">
        <v>8.559877937157E-6</v>
      </c>
      <c r="AQ2245" s="2">
        <v>1451.4558746912101</v>
      </c>
      <c r="AR2245" s="2">
        <v>5554.9450112319701</v>
      </c>
      <c r="AS2245" s="2">
        <v>10993.3807358867</v>
      </c>
      <c r="AT2245" s="2">
        <v>1091.77472485509</v>
      </c>
      <c r="AU2245" s="2">
        <v>12503.4304267271</v>
      </c>
      <c r="AV2245" s="2">
        <v>1963.17171264741</v>
      </c>
      <c r="AW2245" s="2">
        <v>5067.0696243707198</v>
      </c>
      <c r="AX2245" s="2">
        <v>5480.8194799458697</v>
      </c>
    </row>
    <row r="2246" spans="1:50" x14ac:dyDescent="0.25">
      <c r="A2246" s="2" t="s">
        <v>15157</v>
      </c>
      <c r="B2246" s="2">
        <v>391.16603327364902</v>
      </c>
      <c r="C2246" s="2">
        <v>9.8278499999999998</v>
      </c>
      <c r="D2246" s="2" t="s">
        <v>51</v>
      </c>
      <c r="E2246" s="2" t="s">
        <v>15158</v>
      </c>
      <c r="F2246" s="2">
        <v>52528</v>
      </c>
      <c r="G2246" s="3" t="str">
        <f>HYPERLINK("https://cloud.oebiotech.com/#/lm/network/52528", "https://cloud.oebiotech.com/#/lm/network/52528")</f>
        <v>https://cloud.oebiotech.com/#/lm/network/52528</v>
      </c>
      <c r="H2246" s="2" t="s">
        <v>15159</v>
      </c>
      <c r="I2246" s="2">
        <v>1571</v>
      </c>
      <c r="J2246" s="2"/>
      <c r="K2246" s="2">
        <v>155763</v>
      </c>
      <c r="L2246" s="2"/>
      <c r="M2246" s="2"/>
      <c r="N2246" s="2"/>
      <c r="O2246" s="2">
        <v>175128</v>
      </c>
      <c r="P2246" s="2"/>
      <c r="Q2246" s="2"/>
      <c r="R2246" s="2" t="s">
        <v>15160</v>
      </c>
      <c r="S2246" s="2" t="s">
        <v>15161</v>
      </c>
      <c r="T2246" s="2" t="s">
        <v>15162</v>
      </c>
      <c r="U2246" s="2" t="s">
        <v>266</v>
      </c>
      <c r="V2246" s="2" t="s">
        <v>445</v>
      </c>
      <c r="W2246" s="2" t="s">
        <v>911</v>
      </c>
      <c r="X2246" s="2" t="s">
        <v>147</v>
      </c>
      <c r="Y2246" s="2">
        <v>37.799999999999997</v>
      </c>
      <c r="Z2246" s="2">
        <v>0</v>
      </c>
      <c r="AA2246" s="2" t="s">
        <v>163</v>
      </c>
      <c r="AB2246" s="2" t="s">
        <v>15163</v>
      </c>
      <c r="AC2246" s="2">
        <v>-0.75872487455897297</v>
      </c>
      <c r="AD2246" s="2"/>
      <c r="AE2246" s="2">
        <v>0.29209270162185103</v>
      </c>
      <c r="AF2246" s="2">
        <v>2306.3630190884801</v>
      </c>
      <c r="AG2246" s="2">
        <v>550.21095602269702</v>
      </c>
      <c r="AH2246" s="5">
        <v>4.1917795235493998</v>
      </c>
      <c r="AI2246" s="5">
        <v>2.06756283695006</v>
      </c>
      <c r="AJ2246" s="5" t="s">
        <v>139</v>
      </c>
      <c r="AK2246" s="2">
        <v>1.6043824265223299E-3</v>
      </c>
      <c r="AL2246" s="2">
        <v>9.8160839002130199E-2</v>
      </c>
      <c r="AM2246" s="2">
        <v>2243.51043279946</v>
      </c>
      <c r="AN2246" s="2">
        <v>3125.8563517972898</v>
      </c>
      <c r="AO2246" s="2">
        <v>2522.4942331731399</v>
      </c>
      <c r="AP2246" s="2">
        <v>1409.3300143322101</v>
      </c>
      <c r="AQ2246" s="2">
        <v>1259.08792518373</v>
      </c>
      <c r="AR2246" s="2">
        <v>3277.89915724505</v>
      </c>
      <c r="AS2246" s="2">
        <v>1210.2701123265599</v>
      </c>
      <c r="AT2246" s="2">
        <v>236.38717964436299</v>
      </c>
      <c r="AU2246" s="2">
        <v>1089.56266681238</v>
      </c>
      <c r="AV2246" s="2">
        <v>8.559877937157E-6</v>
      </c>
      <c r="AW2246" s="2">
        <v>8.559877937157E-6</v>
      </c>
      <c r="AX2246" s="2">
        <v>765.045760233122</v>
      </c>
    </row>
    <row r="2247" spans="1:50" x14ac:dyDescent="0.25">
      <c r="A2247" s="2" t="s">
        <v>15164</v>
      </c>
      <c r="B2247" s="2">
        <v>515.37460630263001</v>
      </c>
      <c r="C2247" s="2">
        <v>12.4654166666667</v>
      </c>
      <c r="D2247" s="2" t="s">
        <v>51</v>
      </c>
      <c r="E2247" s="2" t="s">
        <v>15165</v>
      </c>
      <c r="F2247" s="2">
        <v>44617</v>
      </c>
      <c r="G2247" s="3" t="str">
        <f>HYPERLINK("https://cloud.oebiotech.com/#/lm/network/44617", "https://cloud.oebiotech.com/#/lm/network/44617")</f>
        <v>https://cloud.oebiotech.com/#/lm/network/44617</v>
      </c>
      <c r="H2247" s="2"/>
      <c r="I2247" s="2"/>
      <c r="J2247" s="2" t="s">
        <v>15166</v>
      </c>
      <c r="K2247" s="2"/>
      <c r="L2247" s="2"/>
      <c r="M2247" s="2"/>
      <c r="N2247" s="2"/>
      <c r="O2247" s="2"/>
      <c r="P2247" s="2"/>
      <c r="Q2247" s="2"/>
      <c r="R2247" s="2"/>
      <c r="S2247" s="2" t="s">
        <v>15167</v>
      </c>
      <c r="T2247" s="2" t="s">
        <v>15168</v>
      </c>
      <c r="U2247" s="2" t="s">
        <v>56</v>
      </c>
      <c r="V2247" s="2" t="s">
        <v>283</v>
      </c>
      <c r="W2247" s="2" t="s">
        <v>4007</v>
      </c>
      <c r="X2247" s="2" t="s">
        <v>83</v>
      </c>
      <c r="Y2247" s="2">
        <v>51.3</v>
      </c>
      <c r="Z2247" s="2">
        <v>0</v>
      </c>
      <c r="AA2247" s="2" t="s">
        <v>218</v>
      </c>
      <c r="AB2247" s="2" t="s">
        <v>15169</v>
      </c>
      <c r="AC2247" s="2">
        <v>0.86732837958902198</v>
      </c>
      <c r="AD2247" s="2"/>
      <c r="AE2247" s="2">
        <v>0.29196595719331597</v>
      </c>
      <c r="AF2247" s="2">
        <v>5475.1095833340396</v>
      </c>
      <c r="AG2247" s="2">
        <v>3086.2966512899902</v>
      </c>
      <c r="AH2247" s="5">
        <v>1.7740062612081</v>
      </c>
      <c r="AI2247" s="5">
        <v>0.82701110152056501</v>
      </c>
      <c r="AJ2247" s="5" t="s">
        <v>139</v>
      </c>
      <c r="AK2247" s="2">
        <v>2.1171572695235799E-2</v>
      </c>
      <c r="AL2247" s="2">
        <v>0.226887413522771</v>
      </c>
      <c r="AM2247" s="2">
        <v>4406.9747707480501</v>
      </c>
      <c r="AN2247" s="2">
        <v>7780.0633430764401</v>
      </c>
      <c r="AO2247" s="2">
        <v>6566.5567198161698</v>
      </c>
      <c r="AP2247" s="2">
        <v>6343.2162716819503</v>
      </c>
      <c r="AQ2247" s="2">
        <v>4524.5018707935897</v>
      </c>
      <c r="AR2247" s="2">
        <v>3229.3445238880499</v>
      </c>
      <c r="AS2247" s="2">
        <v>1683.7303549615999</v>
      </c>
      <c r="AT2247" s="2">
        <v>2868.66198656085</v>
      </c>
      <c r="AU2247" s="2">
        <v>2208.78468954962</v>
      </c>
      <c r="AV2247" s="2">
        <v>2909.9200917513399</v>
      </c>
      <c r="AW2247" s="2">
        <v>3369.0451616179098</v>
      </c>
      <c r="AX2247" s="2">
        <v>5477.6376232986304</v>
      </c>
    </row>
    <row r="2248" spans="1:50" x14ac:dyDescent="0.25">
      <c r="A2248" s="2" t="s">
        <v>15170</v>
      </c>
      <c r="B2248" s="2">
        <v>361.23820999202297</v>
      </c>
      <c r="C2248" s="2">
        <v>10.470333333333301</v>
      </c>
      <c r="D2248" s="2" t="s">
        <v>51</v>
      </c>
      <c r="E2248" s="2" t="s">
        <v>15171</v>
      </c>
      <c r="F2248" s="2">
        <v>3936</v>
      </c>
      <c r="G2248" s="3" t="str">
        <f>HYPERLINK("https://cloud.oebiotech.com/#/lm/network/3936", "https://cloud.oebiotech.com/#/lm/network/3936")</f>
        <v>https://cloud.oebiotech.com/#/lm/network/3936</v>
      </c>
      <c r="H2248" s="2" t="s">
        <v>15172</v>
      </c>
      <c r="I2248" s="2"/>
      <c r="J2248" s="2" t="s">
        <v>15173</v>
      </c>
      <c r="K2248" s="2">
        <v>5283142</v>
      </c>
      <c r="L2248" s="2" t="s">
        <v>15174</v>
      </c>
      <c r="M2248" s="2" t="s">
        <v>305</v>
      </c>
      <c r="N2248" s="2" t="s">
        <v>306</v>
      </c>
      <c r="O2248" s="2">
        <v>63974</v>
      </c>
      <c r="P2248" s="2" t="s">
        <v>15175</v>
      </c>
      <c r="Q2248" s="2" t="s">
        <v>15176</v>
      </c>
      <c r="R2248" s="2" t="s">
        <v>15177</v>
      </c>
      <c r="S2248" s="2" t="s">
        <v>15178</v>
      </c>
      <c r="T2248" s="2" t="s">
        <v>15179</v>
      </c>
      <c r="U2248" s="2" t="s">
        <v>56</v>
      </c>
      <c r="V2248" s="2" t="s">
        <v>145</v>
      </c>
      <c r="W2248" s="2" t="s">
        <v>187</v>
      </c>
      <c r="X2248" s="2" t="s">
        <v>83</v>
      </c>
      <c r="Y2248" s="2">
        <v>53.9</v>
      </c>
      <c r="Z2248" s="2">
        <v>0</v>
      </c>
      <c r="AA2248" s="2" t="s">
        <v>95</v>
      </c>
      <c r="AB2248" s="2" t="s">
        <v>2182</v>
      </c>
      <c r="AC2248" s="2">
        <v>9.6963340856857396</v>
      </c>
      <c r="AD2248" s="2"/>
      <c r="AE2248" s="2">
        <v>0.29183160875536701</v>
      </c>
      <c r="AF2248" s="2">
        <v>6791.4829171473302</v>
      </c>
      <c r="AG2248" s="2">
        <v>4499.0066743820598</v>
      </c>
      <c r="AH2248" s="5">
        <v>1.5095516429924301</v>
      </c>
      <c r="AI2248" s="5">
        <v>0.59412011346936899</v>
      </c>
      <c r="AJ2248" s="5" t="s">
        <v>139</v>
      </c>
      <c r="AK2248" s="2">
        <v>8.1093017494793196E-2</v>
      </c>
      <c r="AL2248" s="2">
        <v>0.36864413848896399</v>
      </c>
      <c r="AM2248" s="2">
        <v>11270.145507769599</v>
      </c>
      <c r="AN2248" s="2">
        <v>6749.6042507893198</v>
      </c>
      <c r="AO2248" s="2">
        <v>5149.9767072560799</v>
      </c>
      <c r="AP2248" s="2">
        <v>6835.0039578109099</v>
      </c>
      <c r="AQ2248" s="2">
        <v>4181.8628451775303</v>
      </c>
      <c r="AR2248" s="2">
        <v>6562.3042340805696</v>
      </c>
      <c r="AS2248" s="2">
        <v>4841.65695549459</v>
      </c>
      <c r="AT2248" s="2">
        <v>1796.63093072735</v>
      </c>
      <c r="AU2248" s="2">
        <v>6625.3552746130699</v>
      </c>
      <c r="AV2248" s="2">
        <v>4444.6104332193099</v>
      </c>
      <c r="AW2248" s="2">
        <v>4261.8973461414598</v>
      </c>
      <c r="AX2248" s="2">
        <v>5023.8891060965998</v>
      </c>
    </row>
    <row r="2249" spans="1:50" x14ac:dyDescent="0.25">
      <c r="A2249" s="2" t="s">
        <v>15180</v>
      </c>
      <c r="B2249" s="2">
        <v>446.327730480404</v>
      </c>
      <c r="C2249" s="2">
        <v>9.6451499999999992</v>
      </c>
      <c r="D2249" s="2" t="s">
        <v>51</v>
      </c>
      <c r="E2249" s="2" t="s">
        <v>15181</v>
      </c>
      <c r="F2249" s="2">
        <v>198865</v>
      </c>
      <c r="G2249" s="3" t="str">
        <f>HYPERLINK("https://cloud.oebiotech.com/#/lm/network/198865", "https://cloud.oebiotech.com/#/lm/network/198865")</f>
        <v>https://cloud.oebiotech.com/#/lm/network/198865</v>
      </c>
      <c r="H2249" s="2" t="s">
        <v>15182</v>
      </c>
      <c r="I2249" s="2"/>
      <c r="J2249" s="2"/>
      <c r="K2249" s="2"/>
      <c r="L2249" s="2"/>
      <c r="M2249" s="2"/>
      <c r="N2249" s="2"/>
      <c r="O2249" s="2"/>
      <c r="P2249" s="2"/>
      <c r="Q2249" s="2"/>
      <c r="R2249" s="2"/>
      <c r="S2249" s="2" t="s">
        <v>15183</v>
      </c>
      <c r="T2249" s="2" t="s">
        <v>15184</v>
      </c>
      <c r="U2249" s="2" t="s">
        <v>56</v>
      </c>
      <c r="V2249" s="2" t="s">
        <v>283</v>
      </c>
      <c r="W2249" s="2" t="s">
        <v>2042</v>
      </c>
      <c r="X2249" s="2" t="s">
        <v>83</v>
      </c>
      <c r="Y2249" s="2">
        <v>42.9</v>
      </c>
      <c r="Z2249" s="2">
        <v>0</v>
      </c>
      <c r="AA2249" s="2" t="s">
        <v>156</v>
      </c>
      <c r="AB2249" s="2" t="s">
        <v>15185</v>
      </c>
      <c r="AC2249" s="2">
        <v>2.6874695422205499</v>
      </c>
      <c r="AD2249" s="2"/>
      <c r="AE2249" s="2">
        <v>0.29166880563243502</v>
      </c>
      <c r="AF2249" s="2">
        <v>5571.3566107138304</v>
      </c>
      <c r="AG2249" s="2">
        <v>2797.5746611893601</v>
      </c>
      <c r="AH2249" s="5">
        <v>1.99149523621479</v>
      </c>
      <c r="AI2249" s="5">
        <v>0.993852028686525</v>
      </c>
      <c r="AJ2249" s="5" t="s">
        <v>139</v>
      </c>
      <c r="AK2249" s="2">
        <v>0.34486620405559898</v>
      </c>
      <c r="AL2249" s="2">
        <v>0.63883639734105901</v>
      </c>
      <c r="AM2249" s="2">
        <v>18297.360279135701</v>
      </c>
      <c r="AN2249" s="2">
        <v>2253.49544475533</v>
      </c>
      <c r="AO2249" s="2">
        <v>4503.3741715529604</v>
      </c>
      <c r="AP2249" s="2">
        <v>6126.9726611563901</v>
      </c>
      <c r="AQ2249" s="2">
        <v>1540.8621353041101</v>
      </c>
      <c r="AR2249" s="2">
        <v>706.07497237846906</v>
      </c>
      <c r="AS2249" s="2">
        <v>2282.2007484322098</v>
      </c>
      <c r="AT2249" s="2">
        <v>988.25695495958598</v>
      </c>
      <c r="AU2249" s="2">
        <v>4708.6955727085297</v>
      </c>
      <c r="AV2249" s="2">
        <v>2111.8815376263401</v>
      </c>
      <c r="AW2249" s="2">
        <v>5821.1711322399697</v>
      </c>
      <c r="AX2249" s="2">
        <v>873.24202116954098</v>
      </c>
    </row>
    <row r="2250" spans="1:50" x14ac:dyDescent="0.25">
      <c r="A2250" s="2" t="s">
        <v>15186</v>
      </c>
      <c r="B2250" s="2">
        <v>588.291752069974</v>
      </c>
      <c r="C2250" s="2">
        <v>4.3411833333333298</v>
      </c>
      <c r="D2250" s="2" t="s">
        <v>51</v>
      </c>
      <c r="E2250" s="2" t="s">
        <v>15187</v>
      </c>
      <c r="F2250" s="2">
        <v>293858</v>
      </c>
      <c r="G2250" s="3" t="str">
        <f>HYPERLINK("https://cloud.oebiotech.com/#/lm/network/293858", "https://cloud.oebiotech.com/#/lm/network/293858")</f>
        <v>https://cloud.oebiotech.com/#/lm/network/293858</v>
      </c>
      <c r="H2250" s="2"/>
      <c r="I2250" s="2">
        <v>317818</v>
      </c>
      <c r="J2250" s="2"/>
      <c r="K2250" s="2">
        <v>60196412</v>
      </c>
      <c r="L2250" s="2"/>
      <c r="M2250" s="2"/>
      <c r="N2250" s="2"/>
      <c r="O2250" s="2"/>
      <c r="P2250" s="2"/>
      <c r="Q2250" s="2"/>
      <c r="R2250" s="2"/>
      <c r="S2250" s="2" t="s">
        <v>15188</v>
      </c>
      <c r="T2250" s="2" t="s">
        <v>15189</v>
      </c>
      <c r="U2250" s="2" t="s">
        <v>103</v>
      </c>
      <c r="V2250" s="2" t="s">
        <v>104</v>
      </c>
      <c r="W2250" s="2" t="s">
        <v>105</v>
      </c>
      <c r="X2250" s="2" t="s">
        <v>147</v>
      </c>
      <c r="Y2250" s="2">
        <v>37.700000000000003</v>
      </c>
      <c r="Z2250" s="2">
        <v>0</v>
      </c>
      <c r="AA2250" s="2" t="s">
        <v>60</v>
      </c>
      <c r="AB2250" s="2" t="s">
        <v>15190</v>
      </c>
      <c r="AC2250" s="2">
        <v>4.4958718202455703</v>
      </c>
      <c r="AD2250" s="2"/>
      <c r="AE2250" s="2">
        <v>0.291607900307507</v>
      </c>
      <c r="AF2250" s="2">
        <v>1260.83690046536</v>
      </c>
      <c r="AG2250" s="2">
        <v>5698.8679872743796</v>
      </c>
      <c r="AH2250" s="4">
        <v>0.22124339487786401</v>
      </c>
      <c r="AI2250" s="4">
        <v>-2.1762937100609601</v>
      </c>
      <c r="AJ2250" s="4" t="s">
        <v>62</v>
      </c>
      <c r="AK2250" s="2">
        <v>0.38357224207412299</v>
      </c>
      <c r="AL2250" s="2">
        <v>0.66067042543613197</v>
      </c>
      <c r="AM2250" s="2">
        <v>3975.7475858592702</v>
      </c>
      <c r="AN2250" s="2">
        <v>769.62961773956499</v>
      </c>
      <c r="AO2250" s="2">
        <v>688.386793915564</v>
      </c>
      <c r="AP2250" s="2">
        <v>2.38605826127823</v>
      </c>
      <c r="AQ2250" s="2">
        <v>875.87080307532301</v>
      </c>
      <c r="AR2250" s="2">
        <v>1253.00054394118</v>
      </c>
      <c r="AS2250" s="2">
        <v>8.559877937157E-6</v>
      </c>
      <c r="AT2250" s="2">
        <v>8.559877937157E-6</v>
      </c>
      <c r="AU2250" s="2">
        <v>1071.5007190830499</v>
      </c>
      <c r="AV2250" s="2">
        <v>29732.881061207499</v>
      </c>
      <c r="AW2250" s="2">
        <v>8.559877937157E-6</v>
      </c>
      <c r="AX2250" s="2">
        <v>3388.8261176761198</v>
      </c>
    </row>
    <row r="2251" spans="1:50" x14ac:dyDescent="0.25">
      <c r="A2251" s="2" t="s">
        <v>15191</v>
      </c>
      <c r="B2251" s="2">
        <v>254.990069851405</v>
      </c>
      <c r="C2251" s="2">
        <v>13.533483333333299</v>
      </c>
      <c r="D2251" s="2" t="s">
        <v>51</v>
      </c>
      <c r="E2251" s="2" t="s">
        <v>15192</v>
      </c>
      <c r="F2251" s="2">
        <v>48206</v>
      </c>
      <c r="G2251" s="3" t="str">
        <f>HYPERLINK("https://cloud.oebiotech.com/#/lm/network/48206", "https://cloud.oebiotech.com/#/lm/network/48206")</f>
        <v>https://cloud.oebiotech.com/#/lm/network/48206</v>
      </c>
      <c r="H2251" s="2" t="s">
        <v>15193</v>
      </c>
      <c r="I2251" s="2"/>
      <c r="J2251" s="2"/>
      <c r="K2251" s="2">
        <v>439432</v>
      </c>
      <c r="L2251" s="2" t="s">
        <v>15194</v>
      </c>
      <c r="M2251" s="2" t="s">
        <v>15195</v>
      </c>
      <c r="N2251" s="2" t="s">
        <v>15196</v>
      </c>
      <c r="O2251" s="2">
        <v>16787</v>
      </c>
      <c r="P2251" s="2"/>
      <c r="Q2251" s="2"/>
      <c r="R2251" s="2" t="s">
        <v>15197</v>
      </c>
      <c r="S2251" s="2" t="s">
        <v>15198</v>
      </c>
      <c r="T2251" s="2" t="s">
        <v>15199</v>
      </c>
      <c r="U2251" s="2" t="s">
        <v>331</v>
      </c>
      <c r="V2251" s="2" t="s">
        <v>332</v>
      </c>
      <c r="W2251" s="2" t="s">
        <v>333</v>
      </c>
      <c r="X2251" s="2" t="s">
        <v>147</v>
      </c>
      <c r="Y2251" s="2">
        <v>37.4</v>
      </c>
      <c r="Z2251" s="2">
        <v>0</v>
      </c>
      <c r="AA2251" s="2" t="s">
        <v>379</v>
      </c>
      <c r="AB2251" s="2" t="s">
        <v>15200</v>
      </c>
      <c r="AC2251" s="2">
        <v>-3.9130358168601802</v>
      </c>
      <c r="AD2251" s="2"/>
      <c r="AE2251" s="2">
        <v>0.29156794651411899</v>
      </c>
      <c r="AF2251" s="2">
        <v>8255.2004199573403</v>
      </c>
      <c r="AG2251" s="2">
        <v>9948.2693639102199</v>
      </c>
      <c r="AH2251" s="4">
        <v>0.82981271595892803</v>
      </c>
      <c r="AI2251" s="4">
        <v>-0.26914232980804198</v>
      </c>
      <c r="AJ2251" s="4" t="s">
        <v>62</v>
      </c>
      <c r="AK2251" s="2">
        <v>5.0608693323113503E-3</v>
      </c>
      <c r="AL2251" s="2">
        <v>0.123740271492219</v>
      </c>
      <c r="AM2251" s="2">
        <v>7172.9530105671902</v>
      </c>
      <c r="AN2251" s="2">
        <v>8232.0668251740099</v>
      </c>
      <c r="AO2251" s="2">
        <v>8508.7711871736592</v>
      </c>
      <c r="AP2251" s="2">
        <v>8460.2795779038206</v>
      </c>
      <c r="AQ2251" s="2">
        <v>9542.2049988296694</v>
      </c>
      <c r="AR2251" s="2">
        <v>7614.9269200956796</v>
      </c>
      <c r="AS2251" s="2">
        <v>9622.5267955062409</v>
      </c>
      <c r="AT2251" s="2">
        <v>10206.8998926437</v>
      </c>
      <c r="AU2251" s="2">
        <v>8502.2519123155507</v>
      </c>
      <c r="AV2251" s="2">
        <v>10828.7080493548</v>
      </c>
      <c r="AW2251" s="2">
        <v>10536.6599144294</v>
      </c>
      <c r="AX2251" s="2">
        <v>9992.5696192116302</v>
      </c>
    </row>
    <row r="2252" spans="1:50" x14ac:dyDescent="0.25">
      <c r="A2252" s="2" t="s">
        <v>15201</v>
      </c>
      <c r="B2252" s="2">
        <v>609.36293427876797</v>
      </c>
      <c r="C2252" s="2">
        <v>5.6083833333333297</v>
      </c>
      <c r="D2252" s="2" t="s">
        <v>51</v>
      </c>
      <c r="E2252" s="2" t="s">
        <v>15202</v>
      </c>
      <c r="F2252" s="2">
        <v>43757</v>
      </c>
      <c r="G2252" s="3" t="str">
        <f>HYPERLINK("https://cloud.oebiotech.com/#/lm/network/43757", "https://cloud.oebiotech.com/#/lm/network/43757")</f>
        <v>https://cloud.oebiotech.com/#/lm/network/43757</v>
      </c>
      <c r="H2252" s="2"/>
      <c r="I2252" s="2"/>
      <c r="J2252" s="2" t="s">
        <v>15203</v>
      </c>
      <c r="K2252" s="2">
        <v>101514323</v>
      </c>
      <c r="L2252" s="2"/>
      <c r="M2252" s="2"/>
      <c r="N2252" s="2"/>
      <c r="O2252" s="2"/>
      <c r="P2252" s="2"/>
      <c r="Q2252" s="2"/>
      <c r="R2252" s="2"/>
      <c r="S2252" s="2" t="s">
        <v>15204</v>
      </c>
      <c r="T2252" s="2" t="s">
        <v>15205</v>
      </c>
      <c r="U2252" s="2" t="s">
        <v>56</v>
      </c>
      <c r="V2252" s="2" t="s">
        <v>283</v>
      </c>
      <c r="W2252" s="2" t="s">
        <v>3462</v>
      </c>
      <c r="X2252" s="2" t="s">
        <v>147</v>
      </c>
      <c r="Y2252" s="2">
        <v>41.7</v>
      </c>
      <c r="Z2252" s="2">
        <v>16.399999999999999</v>
      </c>
      <c r="AA2252" s="2" t="s">
        <v>60</v>
      </c>
      <c r="AB2252" s="2" t="s">
        <v>15206</v>
      </c>
      <c r="AC2252" s="2">
        <v>-0.64109903046970396</v>
      </c>
      <c r="AD2252" s="2"/>
      <c r="AE2252" s="2">
        <v>0.29129397051508099</v>
      </c>
      <c r="AF2252" s="2">
        <v>879.25157793881499</v>
      </c>
      <c r="AG2252" s="2">
        <v>11083.415853927499</v>
      </c>
      <c r="AH2252" s="4">
        <v>7.9330378786359595E-2</v>
      </c>
      <c r="AI2252" s="4">
        <v>-3.65598275219683</v>
      </c>
      <c r="AJ2252" s="4" t="s">
        <v>62</v>
      </c>
      <c r="AK2252" s="2">
        <v>0.373800886974965</v>
      </c>
      <c r="AL2252" s="2">
        <v>0.65522759550350496</v>
      </c>
      <c r="AM2252" s="2">
        <v>3758.6975009050698</v>
      </c>
      <c r="AN2252" s="2">
        <v>346.67819676648998</v>
      </c>
      <c r="AO2252" s="2">
        <v>344.77981008583998</v>
      </c>
      <c r="AP2252" s="2">
        <v>623.03997998138198</v>
      </c>
      <c r="AQ2252" s="2">
        <v>8.559877937157E-6</v>
      </c>
      <c r="AR2252" s="2">
        <v>202.31397133423101</v>
      </c>
      <c r="AS2252" s="2">
        <v>8.559877937157E-6</v>
      </c>
      <c r="AT2252" s="2">
        <v>68.305739038960496</v>
      </c>
      <c r="AU2252" s="2">
        <v>65808.7807798914</v>
      </c>
      <c r="AV2252" s="2">
        <v>8.559877937157E-6</v>
      </c>
      <c r="AW2252" s="2">
        <v>542.30968614897199</v>
      </c>
      <c r="AX2252" s="2">
        <v>81.098901366171404</v>
      </c>
    </row>
    <row r="2253" spans="1:50" x14ac:dyDescent="0.25">
      <c r="A2253" s="2" t="s">
        <v>15207</v>
      </c>
      <c r="B2253" s="2">
        <v>448.93352745018097</v>
      </c>
      <c r="C2253" s="2">
        <v>10.72105</v>
      </c>
      <c r="D2253" s="2" t="s">
        <v>51</v>
      </c>
      <c r="E2253" s="2" t="s">
        <v>15208</v>
      </c>
      <c r="F2253" s="2">
        <v>210187</v>
      </c>
      <c r="G2253" s="3" t="str">
        <f>HYPERLINK("https://cloud.oebiotech.com/#/lm/network/210187", "https://cloud.oebiotech.com/#/lm/network/210187")</f>
        <v>https://cloud.oebiotech.com/#/lm/network/210187</v>
      </c>
      <c r="H2253" s="2" t="s">
        <v>15209</v>
      </c>
      <c r="I2253" s="2">
        <v>336965</v>
      </c>
      <c r="J2253" s="2"/>
      <c r="K2253" s="2">
        <v>67820</v>
      </c>
      <c r="L2253" s="2"/>
      <c r="M2253" s="2"/>
      <c r="N2253" s="2"/>
      <c r="O2253" s="2"/>
      <c r="P2253" s="2"/>
      <c r="Q2253" s="2"/>
      <c r="R2253" s="2"/>
      <c r="S2253" s="2" t="s">
        <v>15210</v>
      </c>
      <c r="T2253" s="2" t="s">
        <v>15211</v>
      </c>
      <c r="U2253" s="2" t="s">
        <v>1357</v>
      </c>
      <c r="V2253" s="2" t="s">
        <v>4878</v>
      </c>
      <c r="W2253" s="2" t="s">
        <v>4879</v>
      </c>
      <c r="X2253" s="2" t="s">
        <v>147</v>
      </c>
      <c r="Y2253" s="2">
        <v>38.700000000000003</v>
      </c>
      <c r="Z2253" s="2">
        <v>6.51</v>
      </c>
      <c r="AA2253" s="2" t="s">
        <v>163</v>
      </c>
      <c r="AB2253" s="2" t="s">
        <v>15212</v>
      </c>
      <c r="AC2253" s="2">
        <v>0.25712596027415702</v>
      </c>
      <c r="AD2253" s="2"/>
      <c r="AE2253" s="2">
        <v>0.29116298000702401</v>
      </c>
      <c r="AF2253" s="2">
        <v>10441.383000015299</v>
      </c>
      <c r="AG2253" s="2">
        <v>3638.6777674023301</v>
      </c>
      <c r="AH2253" s="5">
        <v>2.8695541807950402</v>
      </c>
      <c r="AI2253" s="5">
        <v>1.5208266145607401</v>
      </c>
      <c r="AJ2253" s="5" t="s">
        <v>139</v>
      </c>
      <c r="AK2253" s="2">
        <v>0.33725713173720401</v>
      </c>
      <c r="AL2253" s="2">
        <v>0.63815037094278604</v>
      </c>
      <c r="AM2253" s="2">
        <v>3253.6206927522599</v>
      </c>
      <c r="AN2253" s="2">
        <v>218.16285529324901</v>
      </c>
      <c r="AO2253" s="2">
        <v>10401.9561612993</v>
      </c>
      <c r="AP2253" s="2">
        <v>5941.4270677489103</v>
      </c>
      <c r="AQ2253" s="2">
        <v>8.559877937157E-6</v>
      </c>
      <c r="AR2253" s="2">
        <v>42833.131214438297</v>
      </c>
      <c r="AS2253" s="2">
        <v>6078.7759345596296</v>
      </c>
      <c r="AT2253" s="2">
        <v>5711.6847759152697</v>
      </c>
      <c r="AU2253" s="2">
        <v>5758.3125435872898</v>
      </c>
      <c r="AV2253" s="2">
        <v>321.24486140072599</v>
      </c>
      <c r="AW2253" s="2">
        <v>2546.8675448319</v>
      </c>
      <c r="AX2253" s="2">
        <v>1415.1809441191499</v>
      </c>
    </row>
    <row r="2254" spans="1:50" x14ac:dyDescent="0.25">
      <c r="A2254" s="2" t="s">
        <v>15213</v>
      </c>
      <c r="B2254" s="2">
        <v>451.24606523950001</v>
      </c>
      <c r="C2254" s="2">
        <v>4.0687333333333298</v>
      </c>
      <c r="D2254" s="2" t="s">
        <v>51</v>
      </c>
      <c r="E2254" s="2" t="s">
        <v>15214</v>
      </c>
      <c r="F2254" s="2">
        <v>50907</v>
      </c>
      <c r="G2254" s="3" t="str">
        <f>HYPERLINK("https://cloud.oebiotech.com/#/lm/network/50907", "https://cloud.oebiotech.com/#/lm/network/50907")</f>
        <v>https://cloud.oebiotech.com/#/lm/network/50907</v>
      </c>
      <c r="H2254" s="2" t="s">
        <v>15215</v>
      </c>
      <c r="I2254" s="2"/>
      <c r="J2254" s="2"/>
      <c r="K2254" s="2">
        <v>24883428</v>
      </c>
      <c r="L2254" s="2"/>
      <c r="M2254" s="2"/>
      <c r="N2254" s="2"/>
      <c r="O2254" s="2">
        <v>32645</v>
      </c>
      <c r="P2254" s="2"/>
      <c r="Q2254" s="2"/>
      <c r="R2254" s="2"/>
      <c r="S2254" s="2" t="s">
        <v>15216</v>
      </c>
      <c r="T2254" s="2" t="s">
        <v>15217</v>
      </c>
      <c r="U2254" s="2" t="s">
        <v>238</v>
      </c>
      <c r="V2254" s="2" t="s">
        <v>15139</v>
      </c>
      <c r="W2254" s="2" t="s">
        <v>240</v>
      </c>
      <c r="X2254" s="2" t="s">
        <v>83</v>
      </c>
      <c r="Y2254" s="2">
        <v>36.9</v>
      </c>
      <c r="Z2254" s="2">
        <v>0</v>
      </c>
      <c r="AA2254" s="2" t="s">
        <v>512</v>
      </c>
      <c r="AB2254" s="2" t="s">
        <v>15218</v>
      </c>
      <c r="AC2254" s="2">
        <v>5.0492217308972904</v>
      </c>
      <c r="AD2254" s="2"/>
      <c r="AE2254" s="2">
        <v>0.29115458252523402</v>
      </c>
      <c r="AF2254" s="2">
        <v>10445.7374079437</v>
      </c>
      <c r="AG2254" s="2">
        <v>15434.1311666939</v>
      </c>
      <c r="AH2254" s="4">
        <v>0.67679465044881204</v>
      </c>
      <c r="AI2254" s="4">
        <v>-0.56320992980046802</v>
      </c>
      <c r="AJ2254" s="4" t="s">
        <v>62</v>
      </c>
      <c r="AK2254" s="2">
        <v>0.49576660638057801</v>
      </c>
      <c r="AL2254" s="2">
        <v>0.73518516839452297</v>
      </c>
      <c r="AM2254" s="2">
        <v>11496.151384143501</v>
      </c>
      <c r="AN2254" s="2">
        <v>2118.23206988013</v>
      </c>
      <c r="AO2254" s="2">
        <v>13634.062657884901</v>
      </c>
      <c r="AP2254" s="2">
        <v>17502.0185908204</v>
      </c>
      <c r="AQ2254" s="2">
        <v>3702.99831792962</v>
      </c>
      <c r="AR2254" s="2">
        <v>14220.9614270036</v>
      </c>
      <c r="AS2254" s="2">
        <v>546.17301035393803</v>
      </c>
      <c r="AT2254" s="2">
        <v>19594.3296029089</v>
      </c>
      <c r="AU2254" s="2">
        <v>2067.0501607167198</v>
      </c>
      <c r="AV2254" s="2">
        <v>9747.91291545485</v>
      </c>
      <c r="AW2254" s="2">
        <v>44648.409577384598</v>
      </c>
      <c r="AX2254" s="2">
        <v>16000.911733344199</v>
      </c>
    </row>
    <row r="2255" spans="1:50" x14ac:dyDescent="0.25">
      <c r="A2255" s="2" t="s">
        <v>15219</v>
      </c>
      <c r="B2255" s="2">
        <v>129.04</v>
      </c>
      <c r="C2255" s="2">
        <v>28.45</v>
      </c>
      <c r="D2255" s="2" t="s">
        <v>125</v>
      </c>
      <c r="E2255" s="2" t="s">
        <v>15220</v>
      </c>
      <c r="F2255" s="2">
        <v>60532</v>
      </c>
      <c r="G2255" s="3" t="str">
        <f>HYPERLINK("https://cloud.oebiotech.com/#/lm/network/60532", "https://cloud.oebiotech.com/#/lm/network/60532")</f>
        <v>https://cloud.oebiotech.com/#/lm/network/60532</v>
      </c>
      <c r="H2255" s="2" t="s">
        <v>15221</v>
      </c>
      <c r="I2255" s="2"/>
      <c r="J2255" s="2"/>
      <c r="K2255" s="2">
        <v>65243</v>
      </c>
      <c r="L2255" s="2" t="s">
        <v>15222</v>
      </c>
      <c r="M2255" s="2"/>
      <c r="N2255" s="2"/>
      <c r="O2255" s="2"/>
      <c r="P2255" s="2"/>
      <c r="Q2255" s="2"/>
      <c r="R2255" s="2" t="s">
        <v>15223</v>
      </c>
      <c r="S2255" s="2" t="s">
        <v>15224</v>
      </c>
      <c r="T2255" s="2" t="s">
        <v>15225</v>
      </c>
      <c r="U2255" s="2" t="s">
        <v>56</v>
      </c>
      <c r="V2255" s="2" t="s">
        <v>177</v>
      </c>
      <c r="W2255" s="2" t="s">
        <v>806</v>
      </c>
      <c r="X2255" s="2" t="s">
        <v>59</v>
      </c>
      <c r="Y2255" s="2">
        <v>70.8</v>
      </c>
      <c r="Z2255" s="2">
        <v>53.7</v>
      </c>
      <c r="AA2255" s="2"/>
      <c r="AB2255" s="2" t="s">
        <v>15226</v>
      </c>
      <c r="AC2255" s="2"/>
      <c r="AD2255" s="2">
        <v>1138475.8853633599</v>
      </c>
      <c r="AE2255" s="2">
        <v>0.29114674923522299</v>
      </c>
      <c r="AF2255" s="2">
        <v>13481.439799681501</v>
      </c>
      <c r="AG2255" s="2">
        <v>31958.627200442701</v>
      </c>
      <c r="AH2255" s="4">
        <v>0.421840391175962</v>
      </c>
      <c r="AI2255" s="4">
        <v>-1.2452308552337299</v>
      </c>
      <c r="AJ2255" s="4" t="s">
        <v>62</v>
      </c>
      <c r="AK2255" s="2">
        <v>7.2295617065286102E-2</v>
      </c>
      <c r="AL2255" s="2">
        <v>0.35370651166856698</v>
      </c>
      <c r="AM2255" s="2">
        <v>18871.121664324899</v>
      </c>
      <c r="AN2255" s="2">
        <v>5875.0022979000896</v>
      </c>
      <c r="AO2255" s="2">
        <v>15912.535222206099</v>
      </c>
      <c r="AP2255" s="2">
        <v>15116.7248451828</v>
      </c>
      <c r="AQ2255" s="2">
        <v>6694.1384500364302</v>
      </c>
      <c r="AR2255" s="2">
        <v>18419.116318438599</v>
      </c>
      <c r="AS2255" s="2">
        <v>11402.777395380701</v>
      </c>
      <c r="AT2255" s="2">
        <v>5451.4771395587204</v>
      </c>
      <c r="AU2255" s="2">
        <v>45980.896932255797</v>
      </c>
      <c r="AV2255" s="2">
        <v>42824.1166366529</v>
      </c>
      <c r="AW2255" s="2">
        <v>61566.547846633999</v>
      </c>
      <c r="AX2255" s="2">
        <v>24525.947252174199</v>
      </c>
    </row>
    <row r="2256" spans="1:50" x14ac:dyDescent="0.25">
      <c r="A2256" s="2" t="s">
        <v>15227</v>
      </c>
      <c r="B2256" s="2">
        <v>222.147272444273</v>
      </c>
      <c r="C2256" s="2">
        <v>6.1681499999999998</v>
      </c>
      <c r="D2256" s="2" t="s">
        <v>51</v>
      </c>
      <c r="E2256" s="2" t="s">
        <v>15228</v>
      </c>
      <c r="F2256" s="2">
        <v>212330</v>
      </c>
      <c r="G2256" s="3" t="str">
        <f>HYPERLINK("https://cloud.oebiotech.com/#/lm/network/212330", "https://cloud.oebiotech.com/#/lm/network/212330")</f>
        <v>https://cloud.oebiotech.com/#/lm/network/212330</v>
      </c>
      <c r="H2256" s="2" t="s">
        <v>15229</v>
      </c>
      <c r="I2256" s="2"/>
      <c r="J2256" s="2"/>
      <c r="K2256" s="2"/>
      <c r="L2256" s="2"/>
      <c r="M2256" s="2"/>
      <c r="N2256" s="2"/>
      <c r="O2256" s="2">
        <v>46785</v>
      </c>
      <c r="P2256" s="2"/>
      <c r="Q2256" s="2"/>
      <c r="R2256" s="2"/>
      <c r="S2256" s="2" t="s">
        <v>15230</v>
      </c>
      <c r="T2256" s="2" t="s">
        <v>15231</v>
      </c>
      <c r="U2256" s="2" t="s">
        <v>331</v>
      </c>
      <c r="V2256" s="2" t="s">
        <v>332</v>
      </c>
      <c r="W2256" s="2" t="s">
        <v>511</v>
      </c>
      <c r="X2256" s="2" t="s">
        <v>147</v>
      </c>
      <c r="Y2256" s="2">
        <v>38.5</v>
      </c>
      <c r="Z2256" s="2">
        <v>0</v>
      </c>
      <c r="AA2256" s="2" t="s">
        <v>122</v>
      </c>
      <c r="AB2256" s="2" t="s">
        <v>15232</v>
      </c>
      <c r="AC2256" s="2">
        <v>2.4692731144730198</v>
      </c>
      <c r="AD2256" s="2"/>
      <c r="AE2256" s="2">
        <v>0.29080902473680198</v>
      </c>
      <c r="AF2256" s="2">
        <v>3657.2853145679701</v>
      </c>
      <c r="AG2256" s="2">
        <v>7260.6655926008898</v>
      </c>
      <c r="AH2256" s="4">
        <v>0.50371212775520102</v>
      </c>
      <c r="AI2256" s="4">
        <v>-0.98932862805315902</v>
      </c>
      <c r="AJ2256" s="4" t="s">
        <v>62</v>
      </c>
      <c r="AK2256" s="2">
        <v>0.33276140972586998</v>
      </c>
      <c r="AL2256" s="2">
        <v>0.63449001011255801</v>
      </c>
      <c r="AM2256" s="2">
        <v>2307.6542615774301</v>
      </c>
      <c r="AN2256" s="2">
        <v>2754.7053031291498</v>
      </c>
      <c r="AO2256" s="2">
        <v>4811.3953496826098</v>
      </c>
      <c r="AP2256" s="2">
        <v>3140.3948584696</v>
      </c>
      <c r="AQ2256" s="2">
        <v>5802.9999889420897</v>
      </c>
      <c r="AR2256" s="2">
        <v>3126.5621256069699</v>
      </c>
      <c r="AS2256" s="2">
        <v>24723.4738430299</v>
      </c>
      <c r="AT2256" s="2">
        <v>4138.0594335719397</v>
      </c>
      <c r="AU2256" s="2">
        <v>3242.2091185224199</v>
      </c>
      <c r="AV2256" s="2">
        <v>3953.00183815541</v>
      </c>
      <c r="AW2256" s="2">
        <v>3248.6269746212502</v>
      </c>
      <c r="AX2256" s="2">
        <v>4258.6223477044296</v>
      </c>
    </row>
    <row r="2257" spans="1:50" x14ac:dyDescent="0.25">
      <c r="A2257" s="2" t="s">
        <v>15233</v>
      </c>
      <c r="B2257" s="2">
        <v>408.17940744053902</v>
      </c>
      <c r="C2257" s="2">
        <v>6.9943499999999998</v>
      </c>
      <c r="D2257" s="2" t="s">
        <v>51</v>
      </c>
      <c r="E2257" s="2" t="s">
        <v>15234</v>
      </c>
      <c r="F2257" s="2">
        <v>197810</v>
      </c>
      <c r="G2257" s="3" t="str">
        <f>HYPERLINK("https://cloud.oebiotech.com/#/lm/network/197810", "https://cloud.oebiotech.com/#/lm/network/197810")</f>
        <v>https://cloud.oebiotech.com/#/lm/network/197810</v>
      </c>
      <c r="H2257" s="2" t="s">
        <v>15235</v>
      </c>
      <c r="I2257" s="2"/>
      <c r="J2257" s="2"/>
      <c r="K2257" s="2"/>
      <c r="L2257" s="2"/>
      <c r="M2257" s="2"/>
      <c r="N2257" s="2"/>
      <c r="O2257" s="2"/>
      <c r="P2257" s="2"/>
      <c r="Q2257" s="2"/>
      <c r="R2257" s="2"/>
      <c r="S2257" s="2" t="s">
        <v>15236</v>
      </c>
      <c r="T2257" s="2" t="s">
        <v>15237</v>
      </c>
      <c r="U2257" s="2" t="s">
        <v>56</v>
      </c>
      <c r="V2257" s="2" t="s">
        <v>145</v>
      </c>
      <c r="W2257" s="2" t="s">
        <v>1188</v>
      </c>
      <c r="X2257" s="2" t="s">
        <v>59</v>
      </c>
      <c r="Y2257" s="2">
        <v>51.2</v>
      </c>
      <c r="Z2257" s="2">
        <v>64.599999999999994</v>
      </c>
      <c r="AA2257" s="2" t="s">
        <v>395</v>
      </c>
      <c r="AB2257" s="2" t="s">
        <v>15238</v>
      </c>
      <c r="AC2257" s="2">
        <v>3.01083053077621</v>
      </c>
      <c r="AD2257" s="2"/>
      <c r="AE2257" s="2">
        <v>0.29068042775702901</v>
      </c>
      <c r="AF2257" s="2">
        <v>5995.0524348027202</v>
      </c>
      <c r="AG2257" s="2">
        <v>3202.2603045802598</v>
      </c>
      <c r="AH2257" s="5">
        <v>1.87213151480155</v>
      </c>
      <c r="AI2257" s="5">
        <v>0.90468178592959603</v>
      </c>
      <c r="AJ2257" s="5" t="s">
        <v>139</v>
      </c>
      <c r="AK2257" s="2">
        <v>6.8650006435569302E-2</v>
      </c>
      <c r="AL2257" s="2">
        <v>0.346872415496149</v>
      </c>
      <c r="AM2257" s="2">
        <v>4908.9908419582198</v>
      </c>
      <c r="AN2257" s="2">
        <v>10427.9508478683</v>
      </c>
      <c r="AO2257" s="2">
        <v>3712.26807639452</v>
      </c>
      <c r="AP2257" s="2">
        <v>5119.9101185234404</v>
      </c>
      <c r="AQ2257" s="2">
        <v>4409.5647576237097</v>
      </c>
      <c r="AR2257" s="2">
        <v>7391.6299664481103</v>
      </c>
      <c r="AS2257" s="2">
        <v>6287.0438946489403</v>
      </c>
      <c r="AT2257" s="2">
        <v>3510.7865558602798</v>
      </c>
      <c r="AU2257" s="2">
        <v>1976.78255097478</v>
      </c>
      <c r="AV2257" s="2">
        <v>853.676414322445</v>
      </c>
      <c r="AW2257" s="2">
        <v>1254.1263679471499</v>
      </c>
      <c r="AX2257" s="2">
        <v>5331.1460437279802</v>
      </c>
    </row>
    <row r="2258" spans="1:50" x14ac:dyDescent="0.25">
      <c r="A2258" s="2" t="s">
        <v>15239</v>
      </c>
      <c r="B2258" s="2">
        <v>373.149714079521</v>
      </c>
      <c r="C2258" s="2">
        <v>4.8730833333333301</v>
      </c>
      <c r="D2258" s="2" t="s">
        <v>51</v>
      </c>
      <c r="E2258" s="2" t="s">
        <v>15240</v>
      </c>
      <c r="F2258" s="2">
        <v>204726</v>
      </c>
      <c r="G2258" s="3" t="str">
        <f>HYPERLINK("https://cloud.oebiotech.com/#/lm/network/204726", "https://cloud.oebiotech.com/#/lm/network/204726")</f>
        <v>https://cloud.oebiotech.com/#/lm/network/204726</v>
      </c>
      <c r="H2258" s="2" t="s">
        <v>15241</v>
      </c>
      <c r="I2258" s="2"/>
      <c r="J2258" s="2"/>
      <c r="K2258" s="2">
        <v>10473374</v>
      </c>
      <c r="L2258" s="2"/>
      <c r="M2258" s="2"/>
      <c r="N2258" s="2"/>
      <c r="O2258" s="2"/>
      <c r="P2258" s="2"/>
      <c r="Q2258" s="2"/>
      <c r="R2258" s="2"/>
      <c r="S2258" s="2" t="s">
        <v>15242</v>
      </c>
      <c r="T2258" s="2" t="s">
        <v>15243</v>
      </c>
      <c r="U2258" s="2" t="s">
        <v>266</v>
      </c>
      <c r="V2258" s="2" t="s">
        <v>4415</v>
      </c>
      <c r="W2258" s="2" t="s">
        <v>240</v>
      </c>
      <c r="X2258" s="2" t="s">
        <v>147</v>
      </c>
      <c r="Y2258" s="2">
        <v>37.700000000000003</v>
      </c>
      <c r="Z2258" s="2">
        <v>2.5</v>
      </c>
      <c r="AA2258" s="2" t="s">
        <v>512</v>
      </c>
      <c r="AB2258" s="2" t="s">
        <v>15244</v>
      </c>
      <c r="AC2258" s="2">
        <v>-2.6247922228418399</v>
      </c>
      <c r="AD2258" s="2"/>
      <c r="AE2258" s="2">
        <v>0.29060333867003901</v>
      </c>
      <c r="AF2258" s="2">
        <v>1378.23130818956</v>
      </c>
      <c r="AG2258" s="2">
        <v>5417.1840873067804</v>
      </c>
      <c r="AH2258" s="4">
        <v>0.25441840003535199</v>
      </c>
      <c r="AI2258" s="4">
        <v>-1.97472508197022</v>
      </c>
      <c r="AJ2258" s="4" t="s">
        <v>62</v>
      </c>
      <c r="AK2258" s="2">
        <v>0.387981962822533</v>
      </c>
      <c r="AL2258" s="2">
        <v>0.66381813062748596</v>
      </c>
      <c r="AM2258" s="2">
        <v>1014.2078040471901</v>
      </c>
      <c r="AN2258" s="2">
        <v>439.88950778664298</v>
      </c>
      <c r="AO2258" s="2">
        <v>526.48923105923302</v>
      </c>
      <c r="AP2258" s="2">
        <v>273.35828546825297</v>
      </c>
      <c r="AQ2258" s="2">
        <v>1609.8963293674301</v>
      </c>
      <c r="AR2258" s="2">
        <v>4405.5466914086001</v>
      </c>
      <c r="AS2258" s="2">
        <v>2600.48622255185</v>
      </c>
      <c r="AT2258" s="2">
        <v>8.559877937157E-6</v>
      </c>
      <c r="AU2258" s="2">
        <v>2484.9986923281999</v>
      </c>
      <c r="AV2258" s="2">
        <v>8.559877937157E-6</v>
      </c>
      <c r="AW2258" s="2">
        <v>27417.619583281001</v>
      </c>
      <c r="AX2258" s="2">
        <v>8.559877937157E-6</v>
      </c>
    </row>
    <row r="2259" spans="1:50" x14ac:dyDescent="0.25">
      <c r="A2259" s="2" t="s">
        <v>15245</v>
      </c>
      <c r="B2259" s="2">
        <v>354.26273035312198</v>
      </c>
      <c r="C2259" s="2">
        <v>7.4269166666666697</v>
      </c>
      <c r="D2259" s="2" t="s">
        <v>51</v>
      </c>
      <c r="E2259" s="2" t="s">
        <v>15246</v>
      </c>
      <c r="F2259" s="2">
        <v>62470</v>
      </c>
      <c r="G2259" s="3" t="str">
        <f>HYPERLINK("https://cloud.oebiotech.com/#/lm/network/62470", "https://cloud.oebiotech.com/#/lm/network/62470")</f>
        <v>https://cloud.oebiotech.com/#/lm/network/62470</v>
      </c>
      <c r="H2259" s="2" t="s">
        <v>15247</v>
      </c>
      <c r="I2259" s="2">
        <v>93765</v>
      </c>
      <c r="J2259" s="2"/>
      <c r="K2259" s="2">
        <v>85233059</v>
      </c>
      <c r="L2259" s="2"/>
      <c r="M2259" s="2"/>
      <c r="N2259" s="2"/>
      <c r="O2259" s="2">
        <v>175295</v>
      </c>
      <c r="P2259" s="2"/>
      <c r="Q2259" s="2"/>
      <c r="R2259" s="2" t="s">
        <v>15248</v>
      </c>
      <c r="S2259" s="2" t="s">
        <v>15249</v>
      </c>
      <c r="T2259" s="2" t="s">
        <v>15250</v>
      </c>
      <c r="U2259" s="2" t="s">
        <v>56</v>
      </c>
      <c r="V2259" s="2" t="s">
        <v>177</v>
      </c>
      <c r="W2259" s="2" t="s">
        <v>1996</v>
      </c>
      <c r="X2259" s="2" t="s">
        <v>147</v>
      </c>
      <c r="Y2259" s="2">
        <v>39.700000000000003</v>
      </c>
      <c r="Z2259" s="2">
        <v>27.4</v>
      </c>
      <c r="AA2259" s="2" t="s">
        <v>512</v>
      </c>
      <c r="AB2259" s="2" t="s">
        <v>188</v>
      </c>
      <c r="AC2259" s="2">
        <v>-3.4342002608604401</v>
      </c>
      <c r="AD2259" s="2"/>
      <c r="AE2259" s="2">
        <v>0.29038119910612897</v>
      </c>
      <c r="AF2259" s="2">
        <v>5789.0393813556602</v>
      </c>
      <c r="AG2259" s="2">
        <v>802.53624313090097</v>
      </c>
      <c r="AH2259" s="5">
        <v>7.2134304598769496</v>
      </c>
      <c r="AI2259" s="5">
        <v>2.8506855188909301</v>
      </c>
      <c r="AJ2259" s="5" t="s">
        <v>139</v>
      </c>
      <c r="AK2259" s="2">
        <v>0.23528973638524101</v>
      </c>
      <c r="AL2259" s="2">
        <v>0.560559857511708</v>
      </c>
      <c r="AM2259" s="2">
        <v>35.948290652744397</v>
      </c>
      <c r="AN2259" s="2">
        <v>86.630462593144202</v>
      </c>
      <c r="AO2259" s="2">
        <v>7762.25751055004</v>
      </c>
      <c r="AP2259" s="2">
        <v>122.738836935596</v>
      </c>
      <c r="AQ2259" s="2">
        <v>24481.668094350702</v>
      </c>
      <c r="AR2259" s="2">
        <v>2244.9930930517298</v>
      </c>
      <c r="AS2259" s="2">
        <v>1987.90522783098</v>
      </c>
      <c r="AT2259" s="2">
        <v>492.36785739870601</v>
      </c>
      <c r="AU2259" s="2">
        <v>1936.54397114728</v>
      </c>
      <c r="AV2259" s="2">
        <v>209.38365267701499</v>
      </c>
      <c r="AW2259" s="2">
        <v>129.43963773304</v>
      </c>
      <c r="AX2259" s="2">
        <v>59.577111998386897</v>
      </c>
    </row>
    <row r="2260" spans="1:50" x14ac:dyDescent="0.25">
      <c r="A2260" s="2" t="s">
        <v>15251</v>
      </c>
      <c r="B2260" s="2">
        <v>219.13460254361601</v>
      </c>
      <c r="C2260" s="2">
        <v>2.3474166666666698</v>
      </c>
      <c r="D2260" s="2" t="s">
        <v>51</v>
      </c>
      <c r="E2260" s="2" t="s">
        <v>15252</v>
      </c>
      <c r="F2260" s="2">
        <v>211803</v>
      </c>
      <c r="G2260" s="3" t="str">
        <f>HYPERLINK("https://cloud.oebiotech.com/#/lm/network/211803", "https://cloud.oebiotech.com/#/lm/network/211803")</f>
        <v>https://cloud.oebiotech.com/#/lm/network/211803</v>
      </c>
      <c r="H2260" s="2" t="s">
        <v>15253</v>
      </c>
      <c r="I2260" s="2"/>
      <c r="J2260" s="2"/>
      <c r="K2260" s="2"/>
      <c r="L2260" s="2"/>
      <c r="M2260" s="2"/>
      <c r="N2260" s="2"/>
      <c r="O2260" s="2"/>
      <c r="P2260" s="2"/>
      <c r="Q2260" s="2"/>
      <c r="R2260" s="2"/>
      <c r="S2260" s="2" t="s">
        <v>15254</v>
      </c>
      <c r="T2260" s="2" t="s">
        <v>15255</v>
      </c>
      <c r="U2260" s="2" t="s">
        <v>103</v>
      </c>
      <c r="V2260" s="2" t="s">
        <v>104</v>
      </c>
      <c r="W2260" s="2" t="s">
        <v>105</v>
      </c>
      <c r="X2260" s="2" t="s">
        <v>69</v>
      </c>
      <c r="Y2260" s="2">
        <v>57.8</v>
      </c>
      <c r="Z2260" s="2">
        <v>69.099999999999994</v>
      </c>
      <c r="AA2260" s="2" t="s">
        <v>259</v>
      </c>
      <c r="AB2260" s="2" t="s">
        <v>7350</v>
      </c>
      <c r="AC2260" s="2">
        <v>3.0672386633892299</v>
      </c>
      <c r="AD2260" s="2"/>
      <c r="AE2260" s="2">
        <v>0.29035883060519302</v>
      </c>
      <c r="AF2260" s="2">
        <v>16378.516241597399</v>
      </c>
      <c r="AG2260" s="2">
        <v>12245.743677818</v>
      </c>
      <c r="AH2260" s="5">
        <v>1.33748645019131</v>
      </c>
      <c r="AI2260" s="5">
        <v>0.41952427593185998</v>
      </c>
      <c r="AJ2260" s="5" t="s">
        <v>139</v>
      </c>
      <c r="AK2260" s="2">
        <v>0.47467760516896301</v>
      </c>
      <c r="AL2260" s="2">
        <v>0.720891618216292</v>
      </c>
      <c r="AM2260" s="2">
        <v>11437.253010206399</v>
      </c>
      <c r="AN2260" s="2">
        <v>19049.050007718699</v>
      </c>
      <c r="AO2260" s="2">
        <v>15043.2352811034</v>
      </c>
      <c r="AP2260" s="2">
        <v>11708.5918921391</v>
      </c>
      <c r="AQ2260" s="2">
        <v>25695.6657328152</v>
      </c>
      <c r="AR2260" s="2">
        <v>15337.301525601501</v>
      </c>
      <c r="AS2260" s="2">
        <v>13636.076735008301</v>
      </c>
      <c r="AT2260" s="2">
        <v>10421.957667635499</v>
      </c>
      <c r="AU2260" s="2">
        <v>36403.686790088301</v>
      </c>
      <c r="AV2260" s="2">
        <v>3960.5830403136001</v>
      </c>
      <c r="AW2260" s="2">
        <v>2418.4424180382898</v>
      </c>
      <c r="AX2260" s="2">
        <v>6633.7154158237199</v>
      </c>
    </row>
    <row r="2261" spans="1:50" x14ac:dyDescent="0.25">
      <c r="A2261" s="2" t="s">
        <v>15256</v>
      </c>
      <c r="B2261" s="2">
        <v>675.48555511122504</v>
      </c>
      <c r="C2261" s="2">
        <v>13.3257833333333</v>
      </c>
      <c r="D2261" s="2" t="s">
        <v>51</v>
      </c>
      <c r="E2261" s="2" t="s">
        <v>15257</v>
      </c>
      <c r="F2261" s="2">
        <v>252364</v>
      </c>
      <c r="G2261" s="3" t="str">
        <f>HYPERLINK("https://cloud.oebiotech.com/#/lm/network/252364", "https://cloud.oebiotech.com/#/lm/network/252364")</f>
        <v>https://cloud.oebiotech.com/#/lm/network/252364</v>
      </c>
      <c r="H2261" s="2" t="s">
        <v>15258</v>
      </c>
      <c r="I2261" s="2"/>
      <c r="J2261" s="2"/>
      <c r="K2261" s="2"/>
      <c r="L2261" s="2"/>
      <c r="M2261" s="2"/>
      <c r="N2261" s="2"/>
      <c r="O2261" s="2"/>
      <c r="P2261" s="2"/>
      <c r="Q2261" s="2"/>
      <c r="R2261" s="2"/>
      <c r="S2261" s="2" t="s">
        <v>15259</v>
      </c>
      <c r="T2261" s="2" t="s">
        <v>15260</v>
      </c>
      <c r="U2261" s="2" t="s">
        <v>56</v>
      </c>
      <c r="V2261" s="2" t="s">
        <v>145</v>
      </c>
      <c r="W2261" s="2" t="s">
        <v>187</v>
      </c>
      <c r="X2261" s="2" t="s">
        <v>83</v>
      </c>
      <c r="Y2261" s="2">
        <v>40.700000000000003</v>
      </c>
      <c r="Z2261" s="2">
        <v>0</v>
      </c>
      <c r="AA2261" s="2" t="s">
        <v>218</v>
      </c>
      <c r="AB2261" s="2" t="s">
        <v>15261</v>
      </c>
      <c r="AC2261" s="2">
        <v>2.2401883303355001</v>
      </c>
      <c r="AD2261" s="2"/>
      <c r="AE2261" s="2">
        <v>0.29024105270074702</v>
      </c>
      <c r="AF2261" s="2">
        <v>824.61052114643201</v>
      </c>
      <c r="AG2261" s="2">
        <v>4290.6171309637002</v>
      </c>
      <c r="AH2261" s="4">
        <v>0.192189257623464</v>
      </c>
      <c r="AI2261" s="4">
        <v>-2.3794003956460199</v>
      </c>
      <c r="AJ2261" s="4" t="s">
        <v>62</v>
      </c>
      <c r="AK2261" s="2">
        <v>8.4727410169158898E-2</v>
      </c>
      <c r="AL2261" s="2">
        <v>0.37683388396156398</v>
      </c>
      <c r="AM2261" s="2">
        <v>1667.18629419271</v>
      </c>
      <c r="AN2261" s="2">
        <v>1054.9592669559199</v>
      </c>
      <c r="AO2261" s="2">
        <v>857.59106626962705</v>
      </c>
      <c r="AP2261" s="2">
        <v>8.559877937157E-6</v>
      </c>
      <c r="AQ2261" s="2">
        <v>8.559877937157E-6</v>
      </c>
      <c r="AR2261" s="2">
        <v>1367.9264823405799</v>
      </c>
      <c r="AS2261" s="2">
        <v>8.559877937157E-6</v>
      </c>
      <c r="AT2261" s="2">
        <v>8.559877937157E-6</v>
      </c>
      <c r="AU2261" s="2">
        <v>11804.897861113401</v>
      </c>
      <c r="AV2261" s="2">
        <v>5748.0158080246101</v>
      </c>
      <c r="AW2261" s="2">
        <v>3577.5656833969701</v>
      </c>
      <c r="AX2261" s="2">
        <v>4613.22341612745</v>
      </c>
    </row>
    <row r="2262" spans="1:50" x14ac:dyDescent="0.25">
      <c r="A2262" s="2" t="s">
        <v>15262</v>
      </c>
      <c r="B2262" s="2">
        <v>148.097202903777</v>
      </c>
      <c r="C2262" s="2">
        <v>1.3362333333333301</v>
      </c>
      <c r="D2262" s="2" t="s">
        <v>51</v>
      </c>
      <c r="E2262" s="2" t="s">
        <v>15263</v>
      </c>
      <c r="F2262" s="2">
        <v>48649</v>
      </c>
      <c r="G2262" s="3" t="str">
        <f>HYPERLINK("https://cloud.oebiotech.com/#/lm/network/48649", "https://cloud.oebiotech.com/#/lm/network/48649")</f>
        <v>https://cloud.oebiotech.com/#/lm/network/48649</v>
      </c>
      <c r="H2262" s="2" t="s">
        <v>15264</v>
      </c>
      <c r="I2262" s="2"/>
      <c r="J2262" s="2"/>
      <c r="K2262" s="2">
        <v>5325923</v>
      </c>
      <c r="L2262" s="2"/>
      <c r="M2262" s="2"/>
      <c r="N2262" s="2"/>
      <c r="O2262" s="2"/>
      <c r="P2262" s="2"/>
      <c r="Q2262" s="2"/>
      <c r="R2262" s="2" t="s">
        <v>15265</v>
      </c>
      <c r="S2262" s="2" t="s">
        <v>15266</v>
      </c>
      <c r="T2262" s="2" t="s">
        <v>15267</v>
      </c>
      <c r="U2262" s="2" t="s">
        <v>266</v>
      </c>
      <c r="V2262" s="2" t="s">
        <v>3994</v>
      </c>
      <c r="W2262" s="2" t="s">
        <v>8308</v>
      </c>
      <c r="X2262" s="2" t="s">
        <v>147</v>
      </c>
      <c r="Y2262" s="2">
        <v>42.7</v>
      </c>
      <c r="Z2262" s="2">
        <v>21.3</v>
      </c>
      <c r="AA2262" s="2" t="s">
        <v>512</v>
      </c>
      <c r="AB2262" s="2" t="s">
        <v>15268</v>
      </c>
      <c r="AC2262" s="2">
        <v>2.9462215561001299</v>
      </c>
      <c r="AD2262" s="2"/>
      <c r="AE2262" s="2">
        <v>0.28974245558434703</v>
      </c>
      <c r="AF2262" s="2">
        <v>4971.9642652037501</v>
      </c>
      <c r="AG2262" s="2">
        <v>9260.2457742102597</v>
      </c>
      <c r="AH2262" s="4">
        <v>0.53691493578395599</v>
      </c>
      <c r="AI2262" s="4">
        <v>-0.89723455685101605</v>
      </c>
      <c r="AJ2262" s="4" t="s">
        <v>62</v>
      </c>
      <c r="AK2262" s="2">
        <v>0.32669261590120702</v>
      </c>
      <c r="AL2262" s="2">
        <v>0.62992073899545697</v>
      </c>
      <c r="AM2262" s="2">
        <v>12102.391634461301</v>
      </c>
      <c r="AN2262" s="2">
        <v>2602.0288419090298</v>
      </c>
      <c r="AO2262" s="2">
        <v>5127.8845440315499</v>
      </c>
      <c r="AP2262" s="2">
        <v>5487.3585238902797</v>
      </c>
      <c r="AQ2262" s="2">
        <v>2664.4345644258601</v>
      </c>
      <c r="AR2262" s="2">
        <v>1847.6874825044799</v>
      </c>
      <c r="AS2262" s="2">
        <v>26348.8730535379</v>
      </c>
      <c r="AT2262" s="2">
        <v>2872.19386722428</v>
      </c>
      <c r="AU2262" s="2">
        <v>2285.6406617236498</v>
      </c>
      <c r="AV2262" s="2">
        <v>2977.2794841703899</v>
      </c>
      <c r="AW2262" s="2">
        <v>7174.4613960482602</v>
      </c>
      <c r="AX2262" s="2">
        <v>13903.0261825571</v>
      </c>
    </row>
    <row r="2263" spans="1:50" x14ac:dyDescent="0.25">
      <c r="A2263" s="2" t="s">
        <v>15269</v>
      </c>
      <c r="B2263" s="2">
        <v>292.22725623140298</v>
      </c>
      <c r="C2263" s="2">
        <v>9.4626166666666691</v>
      </c>
      <c r="D2263" s="2" t="s">
        <v>51</v>
      </c>
      <c r="E2263" s="2" t="s">
        <v>15270</v>
      </c>
      <c r="F2263" s="2">
        <v>44879</v>
      </c>
      <c r="G2263" s="3" t="str">
        <f>HYPERLINK("https://cloud.oebiotech.com/#/lm/network/44879", "https://cloud.oebiotech.com/#/lm/network/44879")</f>
        <v>https://cloud.oebiotech.com/#/lm/network/44879</v>
      </c>
      <c r="H2263" s="2" t="s">
        <v>15271</v>
      </c>
      <c r="I2263" s="2">
        <v>1434</v>
      </c>
      <c r="J2263" s="2" t="s">
        <v>15272</v>
      </c>
      <c r="K2263" s="2">
        <v>9904</v>
      </c>
      <c r="L2263" s="2" t="s">
        <v>15273</v>
      </c>
      <c r="M2263" s="2"/>
      <c r="N2263" s="2"/>
      <c r="O2263" s="2">
        <v>7466</v>
      </c>
      <c r="P2263" s="2"/>
      <c r="Q2263" s="2"/>
      <c r="R2263" s="2" t="s">
        <v>15274</v>
      </c>
      <c r="S2263" s="2" t="s">
        <v>15275</v>
      </c>
      <c r="T2263" s="2" t="s">
        <v>15276</v>
      </c>
      <c r="U2263" s="2" t="s">
        <v>56</v>
      </c>
      <c r="V2263" s="2" t="s">
        <v>283</v>
      </c>
      <c r="W2263" s="2" t="s">
        <v>1944</v>
      </c>
      <c r="X2263" s="2" t="s">
        <v>69</v>
      </c>
      <c r="Y2263" s="2">
        <v>56.1</v>
      </c>
      <c r="Z2263" s="2">
        <v>71</v>
      </c>
      <c r="AA2263" s="2" t="s">
        <v>512</v>
      </c>
      <c r="AB2263" s="2" t="s">
        <v>6458</v>
      </c>
      <c r="AC2263" s="2">
        <v>0.54935140269701599</v>
      </c>
      <c r="AD2263" s="2"/>
      <c r="AE2263" s="2">
        <v>0.28964298536130001</v>
      </c>
      <c r="AF2263" s="2">
        <v>6955.9463851467799</v>
      </c>
      <c r="AG2263" s="2">
        <v>1501.0241592971499</v>
      </c>
      <c r="AH2263" s="5">
        <v>4.6341335294722201</v>
      </c>
      <c r="AI2263" s="5">
        <v>2.2122996150987002</v>
      </c>
      <c r="AJ2263" s="5" t="s">
        <v>139</v>
      </c>
      <c r="AK2263" s="2">
        <v>0.274559353218578</v>
      </c>
      <c r="AL2263" s="2">
        <v>0.59452451187415001</v>
      </c>
      <c r="AM2263" s="2">
        <v>8.559877937157E-6</v>
      </c>
      <c r="AN2263" s="2">
        <v>8.559877937157E-6</v>
      </c>
      <c r="AO2263" s="2">
        <v>14284.8908631373</v>
      </c>
      <c r="AP2263" s="2">
        <v>8.559877937157E-6</v>
      </c>
      <c r="AQ2263" s="2">
        <v>26720.8940450681</v>
      </c>
      <c r="AR2263" s="2">
        <v>729.89337699567</v>
      </c>
      <c r="AS2263" s="2">
        <v>7124.8309028037502</v>
      </c>
      <c r="AT2263" s="2">
        <v>8.559877937157E-6</v>
      </c>
      <c r="AU2263" s="2">
        <v>1544.4994076248599</v>
      </c>
      <c r="AV2263" s="2">
        <v>336.81461967467499</v>
      </c>
      <c r="AW2263" s="2">
        <v>8.559877937157E-6</v>
      </c>
      <c r="AX2263" s="2">
        <v>8.559877937157E-6</v>
      </c>
    </row>
    <row r="2264" spans="1:50" x14ac:dyDescent="0.25">
      <c r="A2264" s="2" t="s">
        <v>15277</v>
      </c>
      <c r="B2264" s="2">
        <v>246.13449429566199</v>
      </c>
      <c r="C2264" s="2">
        <v>4.3064166666666699</v>
      </c>
      <c r="D2264" s="2" t="s">
        <v>51</v>
      </c>
      <c r="E2264" s="2" t="s">
        <v>15278</v>
      </c>
      <c r="F2264" s="2">
        <v>81792</v>
      </c>
      <c r="G2264" s="3" t="str">
        <f>HYPERLINK("https://cloud.oebiotech.com/#/lm/network/81792", "https://cloud.oebiotech.com/#/lm/network/81792")</f>
        <v>https://cloud.oebiotech.com/#/lm/network/81792</v>
      </c>
      <c r="H2264" s="2" t="s">
        <v>15279</v>
      </c>
      <c r="I2264" s="2"/>
      <c r="J2264" s="2"/>
      <c r="K2264" s="2">
        <v>95555</v>
      </c>
      <c r="L2264" s="2"/>
      <c r="M2264" s="2"/>
      <c r="N2264" s="2"/>
      <c r="O2264" s="2">
        <v>89901</v>
      </c>
      <c r="P2264" s="2"/>
      <c r="Q2264" s="2"/>
      <c r="R2264" s="2"/>
      <c r="S2264" s="2" t="s">
        <v>15280</v>
      </c>
      <c r="T2264" s="2" t="s">
        <v>15281</v>
      </c>
      <c r="U2264" s="2" t="s">
        <v>103</v>
      </c>
      <c r="V2264" s="2" t="s">
        <v>104</v>
      </c>
      <c r="W2264" s="2" t="s">
        <v>105</v>
      </c>
      <c r="X2264" s="2" t="s">
        <v>147</v>
      </c>
      <c r="Y2264" s="2">
        <v>43.1</v>
      </c>
      <c r="Z2264" s="2">
        <v>21.6</v>
      </c>
      <c r="AA2264" s="2" t="s">
        <v>218</v>
      </c>
      <c r="AB2264" s="2" t="s">
        <v>15282</v>
      </c>
      <c r="AC2264" s="2">
        <v>-1.00452754702714</v>
      </c>
      <c r="AD2264" s="2"/>
      <c r="AE2264" s="2">
        <v>0.28962586907574001</v>
      </c>
      <c r="AF2264" s="2">
        <v>3504.6514851085099</v>
      </c>
      <c r="AG2264" s="2">
        <v>1528.0259086609501</v>
      </c>
      <c r="AH2264" s="5">
        <v>2.2935811920753002</v>
      </c>
      <c r="AI2264" s="5">
        <v>1.1976019792886701</v>
      </c>
      <c r="AJ2264" s="5" t="s">
        <v>139</v>
      </c>
      <c r="AK2264" s="2">
        <v>5.8780391081918099E-2</v>
      </c>
      <c r="AL2264" s="2">
        <v>0.32837652512840398</v>
      </c>
      <c r="AM2264" s="2">
        <v>5468.89223471268</v>
      </c>
      <c r="AN2264" s="2">
        <v>6338.7495641584701</v>
      </c>
      <c r="AO2264" s="2">
        <v>2552.7376013078401</v>
      </c>
      <c r="AP2264" s="2">
        <v>2831.7704144540999</v>
      </c>
      <c r="AQ2264" s="2">
        <v>1543.26625997822</v>
      </c>
      <c r="AR2264" s="2">
        <v>2292.4928360397798</v>
      </c>
      <c r="AS2264" s="2">
        <v>1250.6350797586899</v>
      </c>
      <c r="AT2264" s="2">
        <v>769.78977956489496</v>
      </c>
      <c r="AU2264" s="2">
        <v>2428.4076598074598</v>
      </c>
      <c r="AV2264" s="2">
        <v>775.87024961958002</v>
      </c>
      <c r="AW2264" s="2">
        <v>424.357190955014</v>
      </c>
      <c r="AX2264" s="2">
        <v>3519.0954922600499</v>
      </c>
    </row>
    <row r="2265" spans="1:50" x14ac:dyDescent="0.25">
      <c r="A2265" s="2" t="s">
        <v>15283</v>
      </c>
      <c r="B2265" s="2">
        <v>711.26867162980204</v>
      </c>
      <c r="C2265" s="2">
        <v>4.5643000000000002</v>
      </c>
      <c r="D2265" s="2" t="s">
        <v>51</v>
      </c>
      <c r="E2265" s="2" t="s">
        <v>15284</v>
      </c>
      <c r="F2265" s="2">
        <v>208638</v>
      </c>
      <c r="G2265" s="3" t="str">
        <f>HYPERLINK("https://cloud.oebiotech.com/#/lm/network/208638", "https://cloud.oebiotech.com/#/lm/network/208638")</f>
        <v>https://cloud.oebiotech.com/#/lm/network/208638</v>
      </c>
      <c r="H2265" s="2" t="s">
        <v>15285</v>
      </c>
      <c r="I2265" s="2">
        <v>44645</v>
      </c>
      <c r="J2265" s="2"/>
      <c r="K2265" s="2">
        <v>4106</v>
      </c>
      <c r="L2265" s="2"/>
      <c r="M2265" s="2"/>
      <c r="N2265" s="2"/>
      <c r="O2265" s="2">
        <v>64203</v>
      </c>
      <c r="P2265" s="2"/>
      <c r="Q2265" s="2"/>
      <c r="R2265" s="2" t="s">
        <v>15286</v>
      </c>
      <c r="S2265" s="2" t="s">
        <v>15287</v>
      </c>
      <c r="T2265" s="2" t="s">
        <v>15288</v>
      </c>
      <c r="U2265" s="2" t="s">
        <v>266</v>
      </c>
      <c r="V2265" s="2" t="s">
        <v>15289</v>
      </c>
      <c r="W2265" s="2" t="s">
        <v>15290</v>
      </c>
      <c r="X2265" s="2" t="s">
        <v>147</v>
      </c>
      <c r="Y2265" s="2">
        <v>36</v>
      </c>
      <c r="Z2265" s="2">
        <v>0</v>
      </c>
      <c r="AA2265" s="2" t="s">
        <v>478</v>
      </c>
      <c r="AB2265" s="2" t="s">
        <v>15291</v>
      </c>
      <c r="AC2265" s="2">
        <v>-0.32781772602722498</v>
      </c>
      <c r="AD2265" s="2"/>
      <c r="AE2265" s="2">
        <v>0.289517452804052</v>
      </c>
      <c r="AF2265" s="2">
        <v>4213.4141112037196</v>
      </c>
      <c r="AG2265" s="2">
        <v>8695.2471204442609</v>
      </c>
      <c r="AH2265" s="4">
        <v>0.48456519439190399</v>
      </c>
      <c r="AI2265" s="4">
        <v>-1.0452373130480499</v>
      </c>
      <c r="AJ2265" s="4" t="s">
        <v>62</v>
      </c>
      <c r="AK2265" s="2">
        <v>0.47772474776761198</v>
      </c>
      <c r="AL2265" s="2">
        <v>0.72334910163129595</v>
      </c>
      <c r="AM2265" s="2">
        <v>8.559877937157E-6</v>
      </c>
      <c r="AN2265" s="2">
        <v>8.559877937157E-6</v>
      </c>
      <c r="AO2265" s="2">
        <v>4387.0353024605402</v>
      </c>
      <c r="AP2265" s="2">
        <v>8.559877937157E-6</v>
      </c>
      <c r="AQ2265" s="2">
        <v>8421.3253847502492</v>
      </c>
      <c r="AR2265" s="2">
        <v>12472.123954331901</v>
      </c>
      <c r="AS2265" s="2">
        <v>35837.737736586401</v>
      </c>
      <c r="AT2265" s="2">
        <v>10002.6280476258</v>
      </c>
      <c r="AU2265" s="2">
        <v>8.559877937157E-6</v>
      </c>
      <c r="AV2265" s="2">
        <v>189.83147682741199</v>
      </c>
      <c r="AW2265" s="2">
        <v>8.559877937157E-6</v>
      </c>
      <c r="AX2265" s="2">
        <v>6141.2854445062203</v>
      </c>
    </row>
    <row r="2266" spans="1:50" x14ac:dyDescent="0.25">
      <c r="A2266" s="2" t="s">
        <v>15292</v>
      </c>
      <c r="B2266" s="2">
        <v>495.17481410231301</v>
      </c>
      <c r="C2266" s="2">
        <v>7.3937166666666698</v>
      </c>
      <c r="D2266" s="2" t="s">
        <v>51</v>
      </c>
      <c r="E2266" s="2" t="s">
        <v>15293</v>
      </c>
      <c r="F2266" s="2">
        <v>57033</v>
      </c>
      <c r="G2266" s="3" t="str">
        <f>HYPERLINK("https://cloud.oebiotech.com/#/lm/network/57033", "https://cloud.oebiotech.com/#/lm/network/57033")</f>
        <v>https://cloud.oebiotech.com/#/lm/network/57033</v>
      </c>
      <c r="H2266" s="2" t="s">
        <v>15294</v>
      </c>
      <c r="I2266" s="2">
        <v>88688</v>
      </c>
      <c r="J2266" s="2"/>
      <c r="K2266" s="2">
        <v>131751297</v>
      </c>
      <c r="L2266" s="2"/>
      <c r="M2266" s="2"/>
      <c r="N2266" s="2"/>
      <c r="O2266" s="2"/>
      <c r="P2266" s="2"/>
      <c r="Q2266" s="2"/>
      <c r="R2266" s="2"/>
      <c r="S2266" s="2" t="s">
        <v>15295</v>
      </c>
      <c r="T2266" s="2" t="s">
        <v>15296</v>
      </c>
      <c r="U2266" s="2" t="s">
        <v>331</v>
      </c>
      <c r="V2266" s="2" t="s">
        <v>332</v>
      </c>
      <c r="W2266" s="2" t="s">
        <v>333</v>
      </c>
      <c r="X2266" s="2" t="s">
        <v>147</v>
      </c>
      <c r="Y2266" s="2">
        <v>36</v>
      </c>
      <c r="Z2266" s="2">
        <v>0</v>
      </c>
      <c r="AA2266" s="2" t="s">
        <v>379</v>
      </c>
      <c r="AB2266" s="2" t="s">
        <v>15297</v>
      </c>
      <c r="AC2266" s="2">
        <v>-4.8139806854035196</v>
      </c>
      <c r="AD2266" s="2"/>
      <c r="AE2266" s="2">
        <v>0.28943803377114502</v>
      </c>
      <c r="AF2266" s="2">
        <v>2812.5730548493002</v>
      </c>
      <c r="AG2266" s="2">
        <v>883.038541046722</v>
      </c>
      <c r="AH2266" s="5">
        <v>3.18510792463869</v>
      </c>
      <c r="AI2266" s="5">
        <v>1.6713422577886601</v>
      </c>
      <c r="AJ2266" s="5" t="s">
        <v>139</v>
      </c>
      <c r="AK2266" s="2">
        <v>1.83805201063405E-3</v>
      </c>
      <c r="AL2266" s="2">
        <v>0.100114814560866</v>
      </c>
      <c r="AM2266" s="2">
        <v>1683.2963879111201</v>
      </c>
      <c r="AN2266" s="2">
        <v>3842.9092684739999</v>
      </c>
      <c r="AO2266" s="2">
        <v>3153.89601151633</v>
      </c>
      <c r="AP2266" s="2">
        <v>2825.77958715348</v>
      </c>
      <c r="AQ2266" s="2">
        <v>2372.81732217423</v>
      </c>
      <c r="AR2266" s="2">
        <v>2996.7397518666298</v>
      </c>
      <c r="AS2266" s="2">
        <v>2183.1216766113198</v>
      </c>
      <c r="AT2266" s="2">
        <v>789.15841639264795</v>
      </c>
      <c r="AU2266" s="2">
        <v>1513.26487318622</v>
      </c>
      <c r="AV2266" s="2">
        <v>8.559877937157E-6</v>
      </c>
      <c r="AW2266" s="2">
        <v>8.559877937157E-6</v>
      </c>
      <c r="AX2266" s="2">
        <v>812.68626297038895</v>
      </c>
    </row>
    <row r="2267" spans="1:50" x14ac:dyDescent="0.25">
      <c r="A2267" s="2" t="s">
        <v>15298</v>
      </c>
      <c r="B2267" s="2">
        <v>242.058629040494</v>
      </c>
      <c r="C2267" s="2">
        <v>5.3260166666666704</v>
      </c>
      <c r="D2267" s="2" t="s">
        <v>51</v>
      </c>
      <c r="E2267" s="2" t="s">
        <v>15299</v>
      </c>
      <c r="F2267" s="2">
        <v>199286</v>
      </c>
      <c r="G2267" s="3" t="str">
        <f>HYPERLINK("https://cloud.oebiotech.com/#/lm/network/199286", "https://cloud.oebiotech.com/#/lm/network/199286")</f>
        <v>https://cloud.oebiotech.com/#/lm/network/199286</v>
      </c>
      <c r="H2267" s="2" t="s">
        <v>15300</v>
      </c>
      <c r="I2267" s="2"/>
      <c r="J2267" s="2"/>
      <c r="K2267" s="2">
        <v>602662</v>
      </c>
      <c r="L2267" s="2"/>
      <c r="M2267" s="2"/>
      <c r="N2267" s="2"/>
      <c r="O2267" s="2"/>
      <c r="P2267" s="2"/>
      <c r="Q2267" s="2"/>
      <c r="R2267" s="2"/>
      <c r="S2267" s="2" t="s">
        <v>15301</v>
      </c>
      <c r="T2267" s="2" t="s">
        <v>15302</v>
      </c>
      <c r="U2267" s="2" t="s">
        <v>103</v>
      </c>
      <c r="V2267" s="2" t="s">
        <v>104</v>
      </c>
      <c r="W2267" s="2" t="s">
        <v>105</v>
      </c>
      <c r="X2267" s="2" t="s">
        <v>69</v>
      </c>
      <c r="Y2267" s="2">
        <v>57.8</v>
      </c>
      <c r="Z2267" s="2">
        <v>96.8</v>
      </c>
      <c r="AA2267" s="2" t="s">
        <v>259</v>
      </c>
      <c r="AB2267" s="2" t="s">
        <v>15303</v>
      </c>
      <c r="AC2267" s="2">
        <v>3.24272276705311</v>
      </c>
      <c r="AD2267" s="2"/>
      <c r="AE2267" s="2">
        <v>0.28934104911346598</v>
      </c>
      <c r="AF2267" s="2">
        <v>8290.2498084962608</v>
      </c>
      <c r="AG2267" s="2">
        <v>10178.5879895331</v>
      </c>
      <c r="AH2267" s="4">
        <v>0.81447935774798497</v>
      </c>
      <c r="AI2267" s="4">
        <v>-0.29604995949076401</v>
      </c>
      <c r="AJ2267" s="4" t="s">
        <v>62</v>
      </c>
      <c r="AK2267" s="2">
        <v>1.30077017630856E-2</v>
      </c>
      <c r="AL2267" s="2">
        <v>0.18001567684717801</v>
      </c>
      <c r="AM2267" s="2">
        <v>6804.4316633035596</v>
      </c>
      <c r="AN2267" s="2">
        <v>9353.2299513600792</v>
      </c>
      <c r="AO2267" s="2">
        <v>7625.1676708349996</v>
      </c>
      <c r="AP2267" s="2">
        <v>8455.2271176771101</v>
      </c>
      <c r="AQ2267" s="2">
        <v>9960.9865726803291</v>
      </c>
      <c r="AR2267" s="2">
        <v>7542.45587512151</v>
      </c>
      <c r="AS2267" s="2">
        <v>10526.352071298101</v>
      </c>
      <c r="AT2267" s="2">
        <v>11014.8301360398</v>
      </c>
      <c r="AU2267" s="2">
        <v>8553.5532581428706</v>
      </c>
      <c r="AV2267" s="2">
        <v>9831.4705401276206</v>
      </c>
      <c r="AW2267" s="2">
        <v>9973.1085739703594</v>
      </c>
      <c r="AX2267" s="2">
        <v>11172.213357619799</v>
      </c>
    </row>
    <row r="2268" spans="1:50" x14ac:dyDescent="0.25">
      <c r="A2268" s="2" t="s">
        <v>15304</v>
      </c>
      <c r="B2268" s="2">
        <v>297.14323535129301</v>
      </c>
      <c r="C2268" s="2">
        <v>3.5195500000000002</v>
      </c>
      <c r="D2268" s="2" t="s">
        <v>51</v>
      </c>
      <c r="E2268" s="2" t="s">
        <v>15305</v>
      </c>
      <c r="F2268" s="2">
        <v>213098</v>
      </c>
      <c r="G2268" s="3" t="str">
        <f>HYPERLINK("https://cloud.oebiotech.com/#/lm/network/213098", "https://cloud.oebiotech.com/#/lm/network/213098")</f>
        <v>https://cloud.oebiotech.com/#/lm/network/213098</v>
      </c>
      <c r="H2268" s="2" t="s">
        <v>15306</v>
      </c>
      <c r="I2268" s="2"/>
      <c r="J2268" s="2"/>
      <c r="K2268" s="2"/>
      <c r="L2268" s="2"/>
      <c r="M2268" s="2"/>
      <c r="N2268" s="2"/>
      <c r="O2268" s="2"/>
      <c r="P2268" s="2"/>
      <c r="Q2268" s="2"/>
      <c r="R2268" s="2"/>
      <c r="S2268" s="2" t="s">
        <v>15307</v>
      </c>
      <c r="T2268" s="2" t="s">
        <v>15308</v>
      </c>
      <c r="U2268" s="2" t="s">
        <v>266</v>
      </c>
      <c r="V2268" s="2" t="s">
        <v>2781</v>
      </c>
      <c r="W2268" s="2" t="s">
        <v>2782</v>
      </c>
      <c r="X2268" s="2" t="s">
        <v>147</v>
      </c>
      <c r="Y2268" s="2">
        <v>39.700000000000003</v>
      </c>
      <c r="Z2268" s="2">
        <v>14.3</v>
      </c>
      <c r="AA2268" s="2" t="s">
        <v>163</v>
      </c>
      <c r="AB2268" s="2" t="s">
        <v>15309</v>
      </c>
      <c r="AC2268" s="2">
        <v>0.47649832864561198</v>
      </c>
      <c r="AD2268" s="2"/>
      <c r="AE2268" s="2">
        <v>0.289284196373567</v>
      </c>
      <c r="AF2268" s="2">
        <v>5799.2453146538401</v>
      </c>
      <c r="AG2268" s="2">
        <v>2768.7089622117101</v>
      </c>
      <c r="AH2268" s="5">
        <v>2.0945665990192301</v>
      </c>
      <c r="AI2268" s="5">
        <v>1.06665175698898</v>
      </c>
      <c r="AJ2268" s="5" t="s">
        <v>139</v>
      </c>
      <c r="AK2268" s="2">
        <v>0.26397705564997798</v>
      </c>
      <c r="AL2268" s="2">
        <v>0.58602374896457698</v>
      </c>
      <c r="AM2268" s="2">
        <v>10039.901606163699</v>
      </c>
      <c r="AN2268" s="2">
        <v>869.63823750151096</v>
      </c>
      <c r="AO2268" s="2">
        <v>3012.3415495286199</v>
      </c>
      <c r="AP2268" s="2">
        <v>1501.20804592848</v>
      </c>
      <c r="AQ2268" s="2">
        <v>12453.789630201099</v>
      </c>
      <c r="AR2268" s="2">
        <v>6918.5928185996199</v>
      </c>
      <c r="AS2268" s="2">
        <v>313.34558185775199</v>
      </c>
      <c r="AT2268" s="2">
        <v>725.96658764416395</v>
      </c>
      <c r="AU2268" s="2">
        <v>10990.139945974101</v>
      </c>
      <c r="AV2268" s="2">
        <v>1819.7895851385199</v>
      </c>
      <c r="AW2268" s="2">
        <v>1155.6762117781</v>
      </c>
      <c r="AX2268" s="2">
        <v>1607.33586087764</v>
      </c>
    </row>
    <row r="2269" spans="1:50" x14ac:dyDescent="0.25">
      <c r="A2269" s="2" t="s">
        <v>15310</v>
      </c>
      <c r="B2269" s="2">
        <v>692.41129289467403</v>
      </c>
      <c r="C2269" s="2">
        <v>12.708216666666701</v>
      </c>
      <c r="D2269" s="2" t="s">
        <v>51</v>
      </c>
      <c r="E2269" s="2" t="s">
        <v>15311</v>
      </c>
      <c r="F2269" s="2">
        <v>212375</v>
      </c>
      <c r="G2269" s="3" t="str">
        <f>HYPERLINK("https://cloud.oebiotech.com/#/lm/network/212375", "https://cloud.oebiotech.com/#/lm/network/212375")</f>
        <v>https://cloud.oebiotech.com/#/lm/network/212375</v>
      </c>
      <c r="H2269" s="2" t="s">
        <v>15312</v>
      </c>
      <c r="I2269" s="2"/>
      <c r="J2269" s="2"/>
      <c r="K2269" s="2">
        <v>76420061</v>
      </c>
      <c r="L2269" s="2"/>
      <c r="M2269" s="2"/>
      <c r="N2269" s="2"/>
      <c r="O2269" s="2"/>
      <c r="P2269" s="2"/>
      <c r="Q2269" s="2"/>
      <c r="R2269" s="2"/>
      <c r="S2269" s="2" t="s">
        <v>15313</v>
      </c>
      <c r="T2269" s="2" t="s">
        <v>15314</v>
      </c>
      <c r="U2269" s="2" t="s">
        <v>103</v>
      </c>
      <c r="V2269" s="2" t="s">
        <v>104</v>
      </c>
      <c r="W2269" s="2" t="s">
        <v>105</v>
      </c>
      <c r="X2269" s="2" t="s">
        <v>147</v>
      </c>
      <c r="Y2269" s="2">
        <v>36.5</v>
      </c>
      <c r="Z2269" s="2">
        <v>0</v>
      </c>
      <c r="AA2269" s="2" t="s">
        <v>218</v>
      </c>
      <c r="AB2269" s="2" t="s">
        <v>15315</v>
      </c>
      <c r="AC2269" s="2">
        <v>1.86830739502913</v>
      </c>
      <c r="AD2269" s="2"/>
      <c r="AE2269" s="2">
        <v>0.289169347676002</v>
      </c>
      <c r="AF2269" s="2">
        <v>2253.2985559516301</v>
      </c>
      <c r="AG2269" s="2">
        <v>673.12193821365395</v>
      </c>
      <c r="AH2269" s="5">
        <v>3.3475339727174598</v>
      </c>
      <c r="AI2269" s="5">
        <v>1.7430986969304101</v>
      </c>
      <c r="AJ2269" s="5" t="s">
        <v>139</v>
      </c>
      <c r="AK2269" s="2">
        <v>1.9525903872995201E-3</v>
      </c>
      <c r="AL2269" s="2">
        <v>0.10025137111515001</v>
      </c>
      <c r="AM2269" s="2">
        <v>3325.3609518389399</v>
      </c>
      <c r="AN2269" s="2">
        <v>2447.2864329316899</v>
      </c>
      <c r="AO2269" s="2">
        <v>1730.52380771045</v>
      </c>
      <c r="AP2269" s="2">
        <v>2237.6588859315102</v>
      </c>
      <c r="AQ2269" s="2">
        <v>1392.7787771862199</v>
      </c>
      <c r="AR2269" s="2">
        <v>2386.1824801109901</v>
      </c>
      <c r="AS2269" s="2">
        <v>639.57309893161596</v>
      </c>
      <c r="AT2269" s="2">
        <v>571.59741732067403</v>
      </c>
      <c r="AU2269" s="2">
        <v>1634.86986052317</v>
      </c>
      <c r="AV2269" s="2">
        <v>8.559877937157E-6</v>
      </c>
      <c r="AW2269" s="2">
        <v>8.559877937157E-6</v>
      </c>
      <c r="AX2269" s="2">
        <v>1192.6912353867101</v>
      </c>
    </row>
    <row r="2270" spans="1:50" x14ac:dyDescent="0.25">
      <c r="A2270" s="2" t="s">
        <v>15316</v>
      </c>
      <c r="B2270" s="2">
        <v>175.94</v>
      </c>
      <c r="C2270" s="2">
        <v>10.798</v>
      </c>
      <c r="D2270" s="2" t="s">
        <v>125</v>
      </c>
      <c r="E2270" s="2" t="s">
        <v>15317</v>
      </c>
      <c r="F2270" s="2">
        <v>257761</v>
      </c>
      <c r="G2270" s="3" t="str">
        <f>HYPERLINK("https://cloud.oebiotech.com/#/lm/network/257761", "https://cloud.oebiotech.com/#/lm/network/257761")</f>
        <v>https://cloud.oebiotech.com/#/lm/network/257761</v>
      </c>
      <c r="H2270" s="2"/>
      <c r="I2270" s="2">
        <v>491</v>
      </c>
      <c r="J2270" s="2"/>
      <c r="K2270" s="2">
        <v>5801</v>
      </c>
      <c r="L2270" s="2" t="s">
        <v>15318</v>
      </c>
      <c r="M2270" s="2" t="s">
        <v>15319</v>
      </c>
      <c r="N2270" s="2" t="s">
        <v>15320</v>
      </c>
      <c r="O2270" s="2"/>
      <c r="P2270" s="2"/>
      <c r="Q2270" s="2"/>
      <c r="R2270" s="2" t="s">
        <v>15321</v>
      </c>
      <c r="S2270" s="2" t="s">
        <v>15322</v>
      </c>
      <c r="T2270" s="2" t="s">
        <v>15323</v>
      </c>
      <c r="U2270" s="2" t="s">
        <v>610</v>
      </c>
      <c r="V2270" s="2" t="s">
        <v>611</v>
      </c>
      <c r="W2270" s="2" t="s">
        <v>977</v>
      </c>
      <c r="X2270" s="2" t="s">
        <v>83</v>
      </c>
      <c r="Y2270" s="2">
        <v>81.099999999999994</v>
      </c>
      <c r="Z2270" s="2">
        <v>69.400000000000006</v>
      </c>
      <c r="AA2270" s="2"/>
      <c r="AB2270" s="2" t="s">
        <v>15324</v>
      </c>
      <c r="AC2270" s="2"/>
      <c r="AD2270" s="2">
        <v>365385.28189911001</v>
      </c>
      <c r="AE2270" s="2">
        <v>0.28894814767858701</v>
      </c>
      <c r="AF2270" s="2">
        <v>3569.0964309118599</v>
      </c>
      <c r="AG2270" s="2">
        <v>50505.919020983703</v>
      </c>
      <c r="AH2270" s="4">
        <v>7.0666894100650093E-2</v>
      </c>
      <c r="AI2270" s="4">
        <v>-3.8228216876499701</v>
      </c>
      <c r="AJ2270" s="4" t="s">
        <v>62</v>
      </c>
      <c r="AK2270" s="2">
        <v>0.31148542356579201</v>
      </c>
      <c r="AL2270" s="2">
        <v>0.62015055657616003</v>
      </c>
      <c r="AM2270" s="2">
        <v>2299.8352172700202</v>
      </c>
      <c r="AN2270" s="2">
        <v>6320.46221768329</v>
      </c>
      <c r="AO2270" s="2">
        <v>2299.8352172700202</v>
      </c>
      <c r="AP2270" s="2">
        <v>5894.7754987078097</v>
      </c>
      <c r="AQ2270" s="2">
        <v>2299.8352172700202</v>
      </c>
      <c r="AR2270" s="2">
        <v>2299.8352172700202</v>
      </c>
      <c r="AS2270" s="2">
        <v>270559.74176262401</v>
      </c>
      <c r="AT2270" s="2">
        <v>5567.0960204586099</v>
      </c>
      <c r="AU2270" s="2">
        <v>8677.9746484221705</v>
      </c>
      <c r="AV2270" s="2">
        <v>9733.7932990864992</v>
      </c>
      <c r="AW2270" s="2">
        <v>2299.8352172700202</v>
      </c>
      <c r="AX2270" s="2">
        <v>6197.0731780408496</v>
      </c>
    </row>
    <row r="2271" spans="1:50" x14ac:dyDescent="0.25">
      <c r="A2271" s="2" t="s">
        <v>15325</v>
      </c>
      <c r="B2271" s="2">
        <v>354.15049953151498</v>
      </c>
      <c r="C2271" s="2">
        <v>12.092183333333301</v>
      </c>
      <c r="D2271" s="2" t="s">
        <v>51</v>
      </c>
      <c r="E2271" s="2" t="s">
        <v>15326</v>
      </c>
      <c r="F2271" s="2">
        <v>204244</v>
      </c>
      <c r="G2271" s="3" t="str">
        <f>HYPERLINK("https://cloud.oebiotech.com/#/lm/network/204244", "https://cloud.oebiotech.com/#/lm/network/204244")</f>
        <v>https://cloud.oebiotech.com/#/lm/network/204244</v>
      </c>
      <c r="H2271" s="2" t="s">
        <v>15327</v>
      </c>
      <c r="I2271" s="2"/>
      <c r="J2271" s="2"/>
      <c r="K2271" s="2"/>
      <c r="L2271" s="2"/>
      <c r="M2271" s="2"/>
      <c r="N2271" s="2"/>
      <c r="O2271" s="2"/>
      <c r="P2271" s="2"/>
      <c r="Q2271" s="2"/>
      <c r="R2271" s="2"/>
      <c r="S2271" s="2" t="s">
        <v>15328</v>
      </c>
      <c r="T2271" s="2" t="s">
        <v>15329</v>
      </c>
      <c r="U2271" s="2" t="s">
        <v>540</v>
      </c>
      <c r="V2271" s="2" t="s">
        <v>2365</v>
      </c>
      <c r="W2271" s="2" t="s">
        <v>7571</v>
      </c>
      <c r="X2271" s="2" t="s">
        <v>147</v>
      </c>
      <c r="Y2271" s="2">
        <v>40.6</v>
      </c>
      <c r="Z2271" s="2">
        <v>11.1</v>
      </c>
      <c r="AA2271" s="2" t="s">
        <v>218</v>
      </c>
      <c r="AB2271" s="2" t="s">
        <v>15330</v>
      </c>
      <c r="AC2271" s="2">
        <v>1.7695108813848901</v>
      </c>
      <c r="AD2271" s="2"/>
      <c r="AE2271" s="2">
        <v>0.28862034171433698</v>
      </c>
      <c r="AF2271" s="2">
        <v>7615.9130131108705</v>
      </c>
      <c r="AG2271" s="2">
        <v>11104.331759586699</v>
      </c>
      <c r="AH2271" s="4">
        <v>0.68585063721063999</v>
      </c>
      <c r="AI2271" s="4">
        <v>-0.544033670701636</v>
      </c>
      <c r="AJ2271" s="4" t="s">
        <v>62</v>
      </c>
      <c r="AK2271" s="2">
        <v>0.10228175881724801</v>
      </c>
      <c r="AL2271" s="2">
        <v>0.40647423480565198</v>
      </c>
      <c r="AM2271" s="2">
        <v>7144.2345557082599</v>
      </c>
      <c r="AN2271" s="2">
        <v>9283.5432243567702</v>
      </c>
      <c r="AO2271" s="2">
        <v>5731.5315493952503</v>
      </c>
      <c r="AP2271" s="2">
        <v>5440.6054692384696</v>
      </c>
      <c r="AQ2271" s="2">
        <v>7193.3520198509004</v>
      </c>
      <c r="AR2271" s="2">
        <v>10902.2112601156</v>
      </c>
      <c r="AS2271" s="2">
        <v>17923.525728896599</v>
      </c>
      <c r="AT2271" s="2">
        <v>13533.0337507441</v>
      </c>
      <c r="AU2271" s="2">
        <v>12068.933397336799</v>
      </c>
      <c r="AV2271" s="2">
        <v>6412.9239058534704</v>
      </c>
      <c r="AW2271" s="2">
        <v>8387.3025441227492</v>
      </c>
      <c r="AX2271" s="2">
        <v>8300.2712305663699</v>
      </c>
    </row>
    <row r="2272" spans="1:50" x14ac:dyDescent="0.25">
      <c r="A2272" s="2" t="s">
        <v>15331</v>
      </c>
      <c r="B2272" s="2">
        <v>257.00535120164102</v>
      </c>
      <c r="C2272" s="2">
        <v>5.0332333333333299</v>
      </c>
      <c r="D2272" s="2" t="s">
        <v>51</v>
      </c>
      <c r="E2272" s="2" t="s">
        <v>15332</v>
      </c>
      <c r="F2272" s="2">
        <v>211708</v>
      </c>
      <c r="G2272" s="3" t="str">
        <f>HYPERLINK("https://cloud.oebiotech.com/#/lm/network/211708", "https://cloud.oebiotech.com/#/lm/network/211708")</f>
        <v>https://cloud.oebiotech.com/#/lm/network/211708</v>
      </c>
      <c r="H2272" s="2" t="s">
        <v>15333</v>
      </c>
      <c r="I2272" s="2"/>
      <c r="J2272" s="2"/>
      <c r="K2272" s="2">
        <v>67416565</v>
      </c>
      <c r="L2272" s="2"/>
      <c r="M2272" s="2"/>
      <c r="N2272" s="2"/>
      <c r="O2272" s="2"/>
      <c r="P2272" s="2"/>
      <c r="Q2272" s="2"/>
      <c r="R2272" s="2"/>
      <c r="S2272" s="2" t="s">
        <v>15334</v>
      </c>
      <c r="T2272" s="2" t="s">
        <v>15335</v>
      </c>
      <c r="U2272" s="2" t="s">
        <v>103</v>
      </c>
      <c r="V2272" s="2" t="s">
        <v>104</v>
      </c>
      <c r="W2272" s="2" t="s">
        <v>105</v>
      </c>
      <c r="X2272" s="2" t="s">
        <v>147</v>
      </c>
      <c r="Y2272" s="2">
        <v>38.9</v>
      </c>
      <c r="Z2272" s="2">
        <v>0</v>
      </c>
      <c r="AA2272" s="2" t="s">
        <v>478</v>
      </c>
      <c r="AB2272" s="2" t="s">
        <v>15336</v>
      </c>
      <c r="AC2272" s="2">
        <v>0.82350743092643197</v>
      </c>
      <c r="AD2272" s="2"/>
      <c r="AE2272" s="2">
        <v>0.28849311896401902</v>
      </c>
      <c r="AF2272" s="2">
        <v>30064.241956826801</v>
      </c>
      <c r="AG2272" s="2">
        <v>33150.222481102297</v>
      </c>
      <c r="AH2272" s="4">
        <v>0.90690920623429605</v>
      </c>
      <c r="AI2272" s="4">
        <v>-0.14096997001241601</v>
      </c>
      <c r="AJ2272" s="4" t="s">
        <v>62</v>
      </c>
      <c r="AK2272" s="2">
        <v>0.29764769199177299</v>
      </c>
      <c r="AL2272" s="2">
        <v>0.60853987330779502</v>
      </c>
      <c r="AM2272" s="2">
        <v>26409.732150323001</v>
      </c>
      <c r="AN2272" s="2">
        <v>29541.871077027299</v>
      </c>
      <c r="AO2272" s="2">
        <v>33369.976234331603</v>
      </c>
      <c r="AP2272" s="2">
        <v>32346.398215104498</v>
      </c>
      <c r="AQ2272" s="2">
        <v>31572.821080575399</v>
      </c>
      <c r="AR2272" s="2">
        <v>27144.652983599299</v>
      </c>
      <c r="AS2272" s="2">
        <v>37278.750993158501</v>
      </c>
      <c r="AT2272" s="2">
        <v>35872.583549723997</v>
      </c>
      <c r="AU2272" s="2">
        <v>24635.736397413701</v>
      </c>
      <c r="AV2272" s="2">
        <v>40921.558310876499</v>
      </c>
      <c r="AW2272" s="2">
        <v>26925.2737174301</v>
      </c>
      <c r="AX2272" s="2">
        <v>33267.4319180112</v>
      </c>
    </row>
    <row r="2273" spans="1:50" x14ac:dyDescent="0.25">
      <c r="A2273" s="2" t="s">
        <v>15337</v>
      </c>
      <c r="B2273" s="2">
        <v>336.31212712881302</v>
      </c>
      <c r="C2273" s="2">
        <v>14.5626</v>
      </c>
      <c r="D2273" s="2" t="s">
        <v>51</v>
      </c>
      <c r="E2273" s="2" t="s">
        <v>15338</v>
      </c>
      <c r="F2273" s="2">
        <v>10490</v>
      </c>
      <c r="G2273" s="3" t="str">
        <f>HYPERLINK("https://cloud.oebiotech.com/#/lm/network/10490", "https://cloud.oebiotech.com/#/lm/network/10490")</f>
        <v>https://cloud.oebiotech.com/#/lm/network/10490</v>
      </c>
      <c r="H2273" s="2"/>
      <c r="I2273" s="2"/>
      <c r="J2273" s="2" t="s">
        <v>15339</v>
      </c>
      <c r="K2273" s="2">
        <v>137323863</v>
      </c>
      <c r="L2273" s="2"/>
      <c r="M2273" s="2"/>
      <c r="N2273" s="2"/>
      <c r="O2273" s="2"/>
      <c r="P2273" s="2"/>
      <c r="Q2273" s="2"/>
      <c r="R2273" s="2"/>
      <c r="S2273" s="2" t="s">
        <v>15340</v>
      </c>
      <c r="T2273" s="2" t="s">
        <v>15341</v>
      </c>
      <c r="U2273" s="2" t="s">
        <v>56</v>
      </c>
      <c r="V2273" s="2" t="s">
        <v>145</v>
      </c>
      <c r="W2273" s="2" t="s">
        <v>146</v>
      </c>
      <c r="X2273" s="2" t="s">
        <v>147</v>
      </c>
      <c r="Y2273" s="2">
        <v>44.7</v>
      </c>
      <c r="Z2273" s="2">
        <v>35.700000000000003</v>
      </c>
      <c r="AA2273" s="2" t="s">
        <v>512</v>
      </c>
      <c r="AB2273" s="2" t="s">
        <v>15342</v>
      </c>
      <c r="AC2273" s="2">
        <v>4.0590487964080397</v>
      </c>
      <c r="AD2273" s="2"/>
      <c r="AE2273" s="2">
        <v>0.28847188074394903</v>
      </c>
      <c r="AF2273" s="2">
        <v>20331.450598454401</v>
      </c>
      <c r="AG2273" s="2">
        <v>22874.913747943501</v>
      </c>
      <c r="AH2273" s="4">
        <v>0.88880993486947202</v>
      </c>
      <c r="AI2273" s="4">
        <v>-0.17005315202757801</v>
      </c>
      <c r="AJ2273" s="4" t="s">
        <v>62</v>
      </c>
      <c r="AK2273" s="2">
        <v>7.7237026079690699E-2</v>
      </c>
      <c r="AL2273" s="2">
        <v>0.36167090103694299</v>
      </c>
      <c r="AM2273" s="2">
        <v>18325.546687631599</v>
      </c>
      <c r="AN2273" s="2">
        <v>21350.754661470299</v>
      </c>
      <c r="AO2273" s="2">
        <v>21834.103893077601</v>
      </c>
      <c r="AP2273" s="2">
        <v>21627.8834902868</v>
      </c>
      <c r="AQ2273" s="2">
        <v>21570.6182400865</v>
      </c>
      <c r="AR2273" s="2">
        <v>17279.796618173801</v>
      </c>
      <c r="AS2273" s="2">
        <v>22249.5203711965</v>
      </c>
      <c r="AT2273" s="2">
        <v>25146.893052540901</v>
      </c>
      <c r="AU2273" s="2">
        <v>19222.738963844102</v>
      </c>
      <c r="AV2273" s="2">
        <v>21103.904826718001</v>
      </c>
      <c r="AW2273" s="2">
        <v>24043.481066991801</v>
      </c>
      <c r="AX2273" s="2">
        <v>25482.944206369499</v>
      </c>
    </row>
    <row r="2274" spans="1:50" x14ac:dyDescent="0.25">
      <c r="A2274" s="2" t="s">
        <v>15343</v>
      </c>
      <c r="B2274" s="2">
        <v>244.98537648274001</v>
      </c>
      <c r="C2274" s="2">
        <v>5.4531000000000001</v>
      </c>
      <c r="D2274" s="2" t="s">
        <v>51</v>
      </c>
      <c r="E2274" s="2" t="s">
        <v>15344</v>
      </c>
      <c r="F2274" s="2">
        <v>210191</v>
      </c>
      <c r="G2274" s="3" t="str">
        <f>HYPERLINK("https://cloud.oebiotech.com/#/lm/network/210191", "https://cloud.oebiotech.com/#/lm/network/210191")</f>
        <v>https://cloud.oebiotech.com/#/lm/network/210191</v>
      </c>
      <c r="H2274" s="2" t="s">
        <v>15345</v>
      </c>
      <c r="I2274" s="2"/>
      <c r="J2274" s="2"/>
      <c r="K2274" s="2"/>
      <c r="L2274" s="2"/>
      <c r="M2274" s="2"/>
      <c r="N2274" s="2"/>
      <c r="O2274" s="2"/>
      <c r="P2274" s="2"/>
      <c r="Q2274" s="2"/>
      <c r="R2274" s="2"/>
      <c r="S2274" s="2" t="s">
        <v>15346</v>
      </c>
      <c r="T2274" s="2" t="s">
        <v>15347</v>
      </c>
      <c r="U2274" s="2" t="s">
        <v>331</v>
      </c>
      <c r="V2274" s="2" t="s">
        <v>332</v>
      </c>
      <c r="W2274" s="2" t="s">
        <v>15348</v>
      </c>
      <c r="X2274" s="2" t="s">
        <v>147</v>
      </c>
      <c r="Y2274" s="2">
        <v>45.7</v>
      </c>
      <c r="Z2274" s="2">
        <v>32.1</v>
      </c>
      <c r="AA2274" s="2" t="s">
        <v>218</v>
      </c>
      <c r="AB2274" s="2" t="s">
        <v>15349</v>
      </c>
      <c r="AC2274" s="2">
        <v>-0.26075295328908998</v>
      </c>
      <c r="AD2274" s="2"/>
      <c r="AE2274" s="2">
        <v>0.28834280223708397</v>
      </c>
      <c r="AF2274" s="2">
        <v>64567.318529320903</v>
      </c>
      <c r="AG2274" s="2">
        <v>70098.577067632097</v>
      </c>
      <c r="AH2274" s="4">
        <v>0.92109314097810302</v>
      </c>
      <c r="AI2274" s="4">
        <v>-0.118581045809589</v>
      </c>
      <c r="AJ2274" s="4" t="s">
        <v>62</v>
      </c>
      <c r="AK2274" s="2">
        <v>0.45971637652268099</v>
      </c>
      <c r="AL2274" s="2">
        <v>0.70984034523151096</v>
      </c>
      <c r="AM2274" s="2">
        <v>58498.136076729999</v>
      </c>
      <c r="AN2274" s="2">
        <v>64398.493317795503</v>
      </c>
      <c r="AO2274" s="2">
        <v>71915.447284779904</v>
      </c>
      <c r="AP2274" s="2">
        <v>74684.376897538998</v>
      </c>
      <c r="AQ2274" s="2">
        <v>66334.961238945194</v>
      </c>
      <c r="AR2274" s="2">
        <v>51572.496360135803</v>
      </c>
      <c r="AS2274" s="2">
        <v>81683.566744794502</v>
      </c>
      <c r="AT2274" s="2">
        <v>89174.042722910395</v>
      </c>
      <c r="AU2274" s="2">
        <v>51601.697609481802</v>
      </c>
      <c r="AV2274" s="2">
        <v>76084.991379408195</v>
      </c>
      <c r="AW2274" s="2">
        <v>52466.585286158399</v>
      </c>
      <c r="AX2274" s="2">
        <v>69580.5786630394</v>
      </c>
    </row>
    <row r="2275" spans="1:50" x14ac:dyDescent="0.25">
      <c r="A2275" s="2" t="s">
        <v>15350</v>
      </c>
      <c r="B2275" s="2">
        <v>276.08376521933297</v>
      </c>
      <c r="C2275" s="2">
        <v>2.07778333333333</v>
      </c>
      <c r="D2275" s="2" t="s">
        <v>51</v>
      </c>
      <c r="E2275" s="2" t="s">
        <v>15351</v>
      </c>
      <c r="F2275" s="2">
        <v>198734</v>
      </c>
      <c r="G2275" s="3" t="str">
        <f>HYPERLINK("https://cloud.oebiotech.com/#/lm/network/198734", "https://cloud.oebiotech.com/#/lm/network/198734")</f>
        <v>https://cloud.oebiotech.com/#/lm/network/198734</v>
      </c>
      <c r="H2275" s="2" t="s">
        <v>15352</v>
      </c>
      <c r="I2275" s="2"/>
      <c r="J2275" s="2"/>
      <c r="K2275" s="2">
        <v>6809955</v>
      </c>
      <c r="L2275" s="2"/>
      <c r="M2275" s="2"/>
      <c r="N2275" s="2"/>
      <c r="O2275" s="2"/>
      <c r="P2275" s="2"/>
      <c r="Q2275" s="2"/>
      <c r="R2275" s="2"/>
      <c r="S2275" s="2" t="s">
        <v>15353</v>
      </c>
      <c r="T2275" s="2" t="s">
        <v>15354</v>
      </c>
      <c r="U2275" s="2" t="s">
        <v>119</v>
      </c>
      <c r="V2275" s="2" t="s">
        <v>120</v>
      </c>
      <c r="W2275" s="2" t="s">
        <v>15355</v>
      </c>
      <c r="X2275" s="2" t="s">
        <v>147</v>
      </c>
      <c r="Y2275" s="2">
        <v>39.5</v>
      </c>
      <c r="Z2275" s="2">
        <v>2.0699999999999998</v>
      </c>
      <c r="AA2275" s="2" t="s">
        <v>218</v>
      </c>
      <c r="AB2275" s="2" t="s">
        <v>15356</v>
      </c>
      <c r="AC2275" s="2">
        <v>0.18097292537793699</v>
      </c>
      <c r="AD2275" s="2"/>
      <c r="AE2275" s="2">
        <v>0.28831228226454098</v>
      </c>
      <c r="AF2275" s="2">
        <v>2389.78627573724</v>
      </c>
      <c r="AG2275" s="2">
        <v>7260.35610675921</v>
      </c>
      <c r="AH2275" s="4">
        <v>0.329155518076091</v>
      </c>
      <c r="AI2275" s="4">
        <v>-1.6031587110933401</v>
      </c>
      <c r="AJ2275" s="4" t="s">
        <v>62</v>
      </c>
      <c r="AK2275" s="2">
        <v>0.17967296939913299</v>
      </c>
      <c r="AL2275" s="2">
        <v>0.50293183372119499</v>
      </c>
      <c r="AM2275" s="2">
        <v>3474.1568087656901</v>
      </c>
      <c r="AN2275" s="2">
        <v>1968.28006212884</v>
      </c>
      <c r="AO2275" s="2">
        <v>1446.1627527103201</v>
      </c>
      <c r="AP2275" s="2">
        <v>2819.03395345439</v>
      </c>
      <c r="AQ2275" s="2">
        <v>3146.7461839788798</v>
      </c>
      <c r="AR2275" s="2">
        <v>1484.3378933853301</v>
      </c>
      <c r="AS2275" s="2">
        <v>12411.5528259861</v>
      </c>
      <c r="AT2275" s="2">
        <v>21635.820994209898</v>
      </c>
      <c r="AU2275" s="2">
        <v>1518.0219334000201</v>
      </c>
      <c r="AV2275" s="2">
        <v>5057.3282905190499</v>
      </c>
      <c r="AW2275" s="2">
        <v>1467.8037996837299</v>
      </c>
      <c r="AX2275" s="2">
        <v>1471.6087967564699</v>
      </c>
    </row>
    <row r="2276" spans="1:50" x14ac:dyDescent="0.25">
      <c r="A2276" s="2" t="s">
        <v>15357</v>
      </c>
      <c r="B2276" s="2">
        <v>480.198341793998</v>
      </c>
      <c r="C2276" s="2">
        <v>12.363666666666701</v>
      </c>
      <c r="D2276" s="2" t="s">
        <v>51</v>
      </c>
      <c r="E2276" s="2" t="s">
        <v>15358</v>
      </c>
      <c r="F2276" s="2">
        <v>207074</v>
      </c>
      <c r="G2276" s="3" t="str">
        <f>HYPERLINK("https://cloud.oebiotech.com/#/lm/network/207074", "https://cloud.oebiotech.com/#/lm/network/207074")</f>
        <v>https://cloud.oebiotech.com/#/lm/network/207074</v>
      </c>
      <c r="H2276" s="2" t="s">
        <v>15359</v>
      </c>
      <c r="I2276" s="2"/>
      <c r="J2276" s="2"/>
      <c r="K2276" s="2">
        <v>129856331</v>
      </c>
      <c r="L2276" s="2"/>
      <c r="M2276" s="2"/>
      <c r="N2276" s="2"/>
      <c r="O2276" s="2"/>
      <c r="P2276" s="2"/>
      <c r="Q2276" s="2"/>
      <c r="R2276" s="2"/>
      <c r="S2276" s="2" t="s">
        <v>15360</v>
      </c>
      <c r="T2276" s="2" t="s">
        <v>15361</v>
      </c>
      <c r="U2276" s="2" t="s">
        <v>331</v>
      </c>
      <c r="V2276" s="2" t="s">
        <v>332</v>
      </c>
      <c r="W2276" s="2" t="s">
        <v>1207</v>
      </c>
      <c r="X2276" s="2" t="s">
        <v>147</v>
      </c>
      <c r="Y2276" s="2">
        <v>36.700000000000003</v>
      </c>
      <c r="Z2276" s="2">
        <v>0</v>
      </c>
      <c r="AA2276" s="2" t="s">
        <v>163</v>
      </c>
      <c r="AB2276" s="2" t="s">
        <v>15362</v>
      </c>
      <c r="AC2276" s="2">
        <v>-3.6341324179696302</v>
      </c>
      <c r="AD2276" s="2"/>
      <c r="AE2276" s="2">
        <v>0.28816982928515</v>
      </c>
      <c r="AF2276" s="2">
        <v>2127.9754197090201</v>
      </c>
      <c r="AG2276" s="2">
        <v>4636.2463011259197</v>
      </c>
      <c r="AH2276" s="4">
        <v>0.45898670637757899</v>
      </c>
      <c r="AI2276" s="4">
        <v>-1.1234757253896199</v>
      </c>
      <c r="AJ2276" s="4" t="s">
        <v>62</v>
      </c>
      <c r="AK2276" s="2">
        <v>7.8601182544030798E-2</v>
      </c>
      <c r="AL2276" s="2">
        <v>0.36259246282337698</v>
      </c>
      <c r="AM2276" s="2">
        <v>3798.4320835518201</v>
      </c>
      <c r="AN2276" s="2">
        <v>1447.52738277453</v>
      </c>
      <c r="AO2276" s="2">
        <v>1389.18705145332</v>
      </c>
      <c r="AP2276" s="2">
        <v>1629.15747624094</v>
      </c>
      <c r="AQ2276" s="2">
        <v>2203.3755285051102</v>
      </c>
      <c r="AR2276" s="2">
        <v>2300.1729957283701</v>
      </c>
      <c r="AS2276" s="2">
        <v>1831.46731437741</v>
      </c>
      <c r="AT2276" s="2">
        <v>2190.2027272196101</v>
      </c>
      <c r="AU2276" s="2">
        <v>2703.1103836366401</v>
      </c>
      <c r="AV2276" s="2">
        <v>5463.6780593125204</v>
      </c>
      <c r="AW2276" s="2">
        <v>9636.1980476151602</v>
      </c>
      <c r="AX2276" s="2">
        <v>5992.8212745941501</v>
      </c>
    </row>
    <row r="2277" spans="1:50" x14ac:dyDescent="0.25">
      <c r="A2277" s="2" t="s">
        <v>15363</v>
      </c>
      <c r="B2277" s="2">
        <v>709.30316731185701</v>
      </c>
      <c r="C2277" s="2">
        <v>4.4470999999999998</v>
      </c>
      <c r="D2277" s="2" t="s">
        <v>51</v>
      </c>
      <c r="E2277" s="2" t="s">
        <v>15364</v>
      </c>
      <c r="F2277" s="2">
        <v>47330</v>
      </c>
      <c r="G2277" s="3" t="str">
        <f>HYPERLINK("https://cloud.oebiotech.com/#/lm/network/47330", "https://cloud.oebiotech.com/#/lm/network/47330")</f>
        <v>https://cloud.oebiotech.com/#/lm/network/47330</v>
      </c>
      <c r="H2277" s="2" t="s">
        <v>15365</v>
      </c>
      <c r="I2277" s="2">
        <v>3501</v>
      </c>
      <c r="J2277" s="2"/>
      <c r="K2277" s="2">
        <v>439415</v>
      </c>
      <c r="L2277" s="2" t="s">
        <v>15366</v>
      </c>
      <c r="M2277" s="2" t="s">
        <v>15367</v>
      </c>
      <c r="N2277" s="2" t="s">
        <v>15368</v>
      </c>
      <c r="O2277" s="2">
        <v>15625</v>
      </c>
      <c r="P2277" s="2"/>
      <c r="Q2277" s="2"/>
      <c r="R2277" s="2" t="s">
        <v>15369</v>
      </c>
      <c r="S2277" s="2" t="s">
        <v>15370</v>
      </c>
      <c r="T2277" s="2" t="s">
        <v>15371</v>
      </c>
      <c r="U2277" s="2" t="s">
        <v>295</v>
      </c>
      <c r="V2277" s="2" t="s">
        <v>15372</v>
      </c>
      <c r="W2277" s="2" t="s">
        <v>15373</v>
      </c>
      <c r="X2277" s="2" t="s">
        <v>147</v>
      </c>
      <c r="Y2277" s="2">
        <v>37.299999999999997</v>
      </c>
      <c r="Z2277" s="2">
        <v>0</v>
      </c>
      <c r="AA2277" s="2" t="s">
        <v>478</v>
      </c>
      <c r="AB2277" s="2" t="s">
        <v>15374</v>
      </c>
      <c r="AC2277" s="2">
        <v>-3.5908696612080598E-2</v>
      </c>
      <c r="AD2277" s="2"/>
      <c r="AE2277" s="2">
        <v>0.28805410071769599</v>
      </c>
      <c r="AF2277" s="2">
        <v>6040.6116072117702</v>
      </c>
      <c r="AG2277" s="2">
        <v>3048.6502933370498</v>
      </c>
      <c r="AH2277" s="5">
        <v>1.9814052206688899</v>
      </c>
      <c r="AI2277" s="5">
        <v>0.98652395850382502</v>
      </c>
      <c r="AJ2277" s="5" t="s">
        <v>139</v>
      </c>
      <c r="AK2277" s="2">
        <v>0.23084612657271</v>
      </c>
      <c r="AL2277" s="2">
        <v>0.55509657896402498</v>
      </c>
      <c r="AM2277" s="2">
        <v>12150.2429416307</v>
      </c>
      <c r="AN2277" s="2">
        <v>1329.89521161071</v>
      </c>
      <c r="AO2277" s="2">
        <v>9159.1196935928492</v>
      </c>
      <c r="AP2277" s="2">
        <v>10148.289360111001</v>
      </c>
      <c r="AQ2277" s="2">
        <v>2031.4197616997101</v>
      </c>
      <c r="AR2277" s="2">
        <v>1424.7026746256299</v>
      </c>
      <c r="AS2277" s="2">
        <v>8.559877937157E-6</v>
      </c>
      <c r="AT2277" s="2">
        <v>987.009867757606</v>
      </c>
      <c r="AU2277" s="2">
        <v>6806.2238323418796</v>
      </c>
      <c r="AV2277" s="2">
        <v>3780.82087695684</v>
      </c>
      <c r="AW2277" s="2">
        <v>800.46186835549497</v>
      </c>
      <c r="AX2277" s="2">
        <v>5917.3853060505999</v>
      </c>
    </row>
    <row r="2278" spans="1:50" x14ac:dyDescent="0.25">
      <c r="A2278" s="2" t="s">
        <v>15375</v>
      </c>
      <c r="B2278" s="2">
        <v>193.03476302507099</v>
      </c>
      <c r="C2278" s="2">
        <v>0.68473333333333297</v>
      </c>
      <c r="D2278" s="2" t="s">
        <v>51</v>
      </c>
      <c r="E2278" s="2" t="s">
        <v>15376</v>
      </c>
      <c r="F2278" s="2">
        <v>48077</v>
      </c>
      <c r="G2278" s="3" t="str">
        <f>HYPERLINK("https://cloud.oebiotech.com/#/lm/network/48077", "https://cloud.oebiotech.com/#/lm/network/48077")</f>
        <v>https://cloud.oebiotech.com/#/lm/network/48077</v>
      </c>
      <c r="H2278" s="2" t="s">
        <v>15377</v>
      </c>
      <c r="I2278" s="2">
        <v>6904</v>
      </c>
      <c r="J2278" s="2"/>
      <c r="K2278" s="2">
        <v>445929</v>
      </c>
      <c r="L2278" s="2" t="s">
        <v>15378</v>
      </c>
      <c r="M2278" s="2" t="s">
        <v>15379</v>
      </c>
      <c r="N2278" s="2" t="s">
        <v>15380</v>
      </c>
      <c r="O2278" s="2">
        <v>33885</v>
      </c>
      <c r="P2278" s="2"/>
      <c r="Q2278" s="2"/>
      <c r="R2278" s="2" t="s">
        <v>15381</v>
      </c>
      <c r="S2278" s="2" t="s">
        <v>15382</v>
      </c>
      <c r="T2278" s="2" t="s">
        <v>15383</v>
      </c>
      <c r="U2278" s="2" t="s">
        <v>331</v>
      </c>
      <c r="V2278" s="2" t="s">
        <v>332</v>
      </c>
      <c r="W2278" s="2" t="s">
        <v>333</v>
      </c>
      <c r="X2278" s="2" t="s">
        <v>83</v>
      </c>
      <c r="Y2278" s="2">
        <v>43.4</v>
      </c>
      <c r="Z2278" s="2">
        <v>0</v>
      </c>
      <c r="AA2278" s="2" t="s">
        <v>163</v>
      </c>
      <c r="AB2278" s="2" t="s">
        <v>15384</v>
      </c>
      <c r="AC2278" s="2">
        <v>-3.16013279096396</v>
      </c>
      <c r="AD2278" s="2"/>
      <c r="AE2278" s="2">
        <v>0.28799598799903697</v>
      </c>
      <c r="AF2278" s="2">
        <v>13985.062384990801</v>
      </c>
      <c r="AG2278" s="2">
        <v>17877.340689604502</v>
      </c>
      <c r="AH2278" s="4">
        <v>0.78227867487712999</v>
      </c>
      <c r="AI2278" s="4">
        <v>-0.35424545763104698</v>
      </c>
      <c r="AJ2278" s="4" t="s">
        <v>62</v>
      </c>
      <c r="AK2278" s="2">
        <v>0.40293473892595499</v>
      </c>
      <c r="AL2278" s="2">
        <v>0.67027838190064204</v>
      </c>
      <c r="AM2278" s="2">
        <v>14951.748520637801</v>
      </c>
      <c r="AN2278" s="2">
        <v>10165.2481132382</v>
      </c>
      <c r="AO2278" s="2">
        <v>6758.63104381019</v>
      </c>
      <c r="AP2278" s="2">
        <v>6539.8043845826996</v>
      </c>
      <c r="AQ2278" s="2">
        <v>27723.897095028598</v>
      </c>
      <c r="AR2278" s="2">
        <v>17771.045152647199</v>
      </c>
      <c r="AS2278" s="2">
        <v>30039.086447285499</v>
      </c>
      <c r="AT2278" s="2">
        <v>15754.566108111499</v>
      </c>
      <c r="AU2278" s="2">
        <v>10560.0275774701</v>
      </c>
      <c r="AV2278" s="2">
        <v>18027.1574699087</v>
      </c>
      <c r="AW2278" s="2">
        <v>21893.287704523002</v>
      </c>
      <c r="AX2278" s="2">
        <v>10989.918830328001</v>
      </c>
    </row>
    <row r="2279" spans="1:50" x14ac:dyDescent="0.25">
      <c r="A2279" s="2" t="s">
        <v>15385</v>
      </c>
      <c r="B2279" s="2">
        <v>377.14718713786601</v>
      </c>
      <c r="C2279" s="2">
        <v>4.9557333333333302</v>
      </c>
      <c r="D2279" s="2" t="s">
        <v>51</v>
      </c>
      <c r="E2279" s="2" t="s">
        <v>15386</v>
      </c>
      <c r="F2279" s="2">
        <v>202722</v>
      </c>
      <c r="G2279" s="3" t="str">
        <f>HYPERLINK("https://cloud.oebiotech.com/#/lm/network/202722", "https://cloud.oebiotech.com/#/lm/network/202722")</f>
        <v>https://cloud.oebiotech.com/#/lm/network/202722</v>
      </c>
      <c r="H2279" s="2" t="s">
        <v>15387</v>
      </c>
      <c r="I2279" s="2"/>
      <c r="J2279" s="2"/>
      <c r="K2279" s="2">
        <v>1072</v>
      </c>
      <c r="L2279" s="2"/>
      <c r="M2279" s="2"/>
      <c r="N2279" s="2"/>
      <c r="O2279" s="2"/>
      <c r="P2279" s="2"/>
      <c r="Q2279" s="2"/>
      <c r="R2279" s="2"/>
      <c r="S2279" s="2" t="s">
        <v>15388</v>
      </c>
      <c r="T2279" s="2" t="s">
        <v>15389</v>
      </c>
      <c r="U2279" s="2" t="s">
        <v>266</v>
      </c>
      <c r="V2279" s="2" t="s">
        <v>13201</v>
      </c>
      <c r="W2279" s="2" t="s">
        <v>15390</v>
      </c>
      <c r="X2279" s="2" t="s">
        <v>83</v>
      </c>
      <c r="Y2279" s="2">
        <v>42.3</v>
      </c>
      <c r="Z2279" s="2">
        <v>1.92</v>
      </c>
      <c r="AA2279" s="2" t="s">
        <v>259</v>
      </c>
      <c r="AB2279" s="2" t="s">
        <v>15391</v>
      </c>
      <c r="AC2279" s="2">
        <v>4.3237499959856898</v>
      </c>
      <c r="AD2279" s="2"/>
      <c r="AE2279" s="2">
        <v>0.28774022380210501</v>
      </c>
      <c r="AF2279" s="2">
        <v>52.044956430869597</v>
      </c>
      <c r="AG2279" s="2">
        <v>3882.7614361471501</v>
      </c>
      <c r="AH2279" s="4">
        <v>1.34041087217848E-2</v>
      </c>
      <c r="AI2279" s="4">
        <v>-6.2211808962587902</v>
      </c>
      <c r="AJ2279" s="4" t="s">
        <v>62</v>
      </c>
      <c r="AK2279" s="2">
        <v>0.34409041293251702</v>
      </c>
      <c r="AL2279" s="2">
        <v>0.63883639734105901</v>
      </c>
      <c r="AM2279" s="2">
        <v>53.390680043236799</v>
      </c>
      <c r="AN2279" s="2">
        <v>8.559877937157E-6</v>
      </c>
      <c r="AO2279" s="2">
        <v>26.6534062967418</v>
      </c>
      <c r="AP2279" s="2">
        <v>26.807129007174101</v>
      </c>
      <c r="AQ2279" s="2">
        <v>8.559877937157E-6</v>
      </c>
      <c r="AR2279" s="2">
        <v>205.41850611830901</v>
      </c>
      <c r="AS2279" s="2">
        <v>8.559877937157E-6</v>
      </c>
      <c r="AT2279" s="2">
        <v>8.559877937157E-6</v>
      </c>
      <c r="AU2279" s="2">
        <v>103.028060708439</v>
      </c>
      <c r="AV2279" s="2">
        <v>24.637561803210001</v>
      </c>
      <c r="AW2279" s="2">
        <v>23168.9029686916</v>
      </c>
      <c r="AX2279" s="2">
        <v>8.559877937157E-6</v>
      </c>
    </row>
    <row r="2280" spans="1:50" x14ac:dyDescent="0.25">
      <c r="A2280" s="2" t="s">
        <v>15392</v>
      </c>
      <c r="B2280" s="2">
        <v>419.316563521798</v>
      </c>
      <c r="C2280" s="2">
        <v>11.920066666666701</v>
      </c>
      <c r="D2280" s="2" t="s">
        <v>51</v>
      </c>
      <c r="E2280" s="2" t="s">
        <v>15393</v>
      </c>
      <c r="F2280" s="2">
        <v>1997</v>
      </c>
      <c r="G2280" s="3" t="str">
        <f>HYPERLINK("https://cloud.oebiotech.com/#/lm/network/1997", "https://cloud.oebiotech.com/#/lm/network/1997")</f>
        <v>https://cloud.oebiotech.com/#/lm/network/1997</v>
      </c>
      <c r="H2280" s="2"/>
      <c r="I2280" s="2"/>
      <c r="J2280" s="2" t="s">
        <v>15394</v>
      </c>
      <c r="K2280" s="2">
        <v>137323799</v>
      </c>
      <c r="L2280" s="2"/>
      <c r="M2280" s="2"/>
      <c r="N2280" s="2"/>
      <c r="O2280" s="2"/>
      <c r="P2280" s="2"/>
      <c r="Q2280" s="2"/>
      <c r="R2280" s="2"/>
      <c r="S2280" s="2" t="s">
        <v>15395</v>
      </c>
      <c r="T2280" s="2" t="s">
        <v>15396</v>
      </c>
      <c r="U2280" s="2" t="s">
        <v>56</v>
      </c>
      <c r="V2280" s="2" t="s">
        <v>145</v>
      </c>
      <c r="W2280" s="2" t="s">
        <v>231</v>
      </c>
      <c r="X2280" s="2" t="s">
        <v>83</v>
      </c>
      <c r="Y2280" s="2">
        <v>42.2</v>
      </c>
      <c r="Z2280" s="2">
        <v>0</v>
      </c>
      <c r="AA2280" s="2" t="s">
        <v>60</v>
      </c>
      <c r="AB2280" s="2" t="s">
        <v>15397</v>
      </c>
      <c r="AC2280" s="2">
        <v>8.5358262932444209</v>
      </c>
      <c r="AD2280" s="2"/>
      <c r="AE2280" s="2">
        <v>0.287376366306346</v>
      </c>
      <c r="AF2280" s="2">
        <v>29789.799080317502</v>
      </c>
      <c r="AG2280" s="2">
        <v>34059.998266184899</v>
      </c>
      <c r="AH2280" s="4">
        <v>0.87462714611741599</v>
      </c>
      <c r="AI2280" s="4">
        <v>-0.19325996832828901</v>
      </c>
      <c r="AJ2280" s="4" t="s">
        <v>62</v>
      </c>
      <c r="AK2280" s="2">
        <v>0.59207111323291794</v>
      </c>
      <c r="AL2280" s="2">
        <v>0.79384060507313303</v>
      </c>
      <c r="AM2280" s="2">
        <v>18209.457814517798</v>
      </c>
      <c r="AN2280" s="2">
        <v>33453.798751465503</v>
      </c>
      <c r="AO2280" s="2">
        <v>45090.226837482602</v>
      </c>
      <c r="AP2280" s="2">
        <v>45945.924070491397</v>
      </c>
      <c r="AQ2280" s="2">
        <v>17778.279019464801</v>
      </c>
      <c r="AR2280" s="2">
        <v>18261.1079884828</v>
      </c>
      <c r="AS2280" s="2">
        <v>38363.354175293003</v>
      </c>
      <c r="AT2280" s="2">
        <v>32806.281696476603</v>
      </c>
      <c r="AU2280" s="2">
        <v>17204.310422910901</v>
      </c>
      <c r="AV2280" s="2">
        <v>23941.0204575686</v>
      </c>
      <c r="AW2280" s="2">
        <v>36725.714497224501</v>
      </c>
      <c r="AX2280" s="2">
        <v>55319.308347636099</v>
      </c>
    </row>
    <row r="2281" spans="1:50" x14ac:dyDescent="0.25">
      <c r="A2281" s="2" t="s">
        <v>15398</v>
      </c>
      <c r="B2281" s="2">
        <v>280.26432886313398</v>
      </c>
      <c r="C2281" s="2">
        <v>11.431950000000001</v>
      </c>
      <c r="D2281" s="2" t="s">
        <v>51</v>
      </c>
      <c r="E2281" s="2" t="s">
        <v>15399</v>
      </c>
      <c r="F2281" s="2">
        <v>35694</v>
      </c>
      <c r="G2281" s="3" t="str">
        <f>HYPERLINK("https://cloud.oebiotech.com/#/lm/network/35694", "https://cloud.oebiotech.com/#/lm/network/35694")</f>
        <v>https://cloud.oebiotech.com/#/lm/network/35694</v>
      </c>
      <c r="H2281" s="2"/>
      <c r="I2281" s="2">
        <v>53479</v>
      </c>
      <c r="J2281" s="2" t="s">
        <v>15400</v>
      </c>
      <c r="K2281" s="2">
        <v>24755578</v>
      </c>
      <c r="L2281" s="2"/>
      <c r="M2281" s="2"/>
      <c r="N2281" s="2"/>
      <c r="O2281" s="2">
        <v>48322</v>
      </c>
      <c r="P2281" s="2"/>
      <c r="Q2281" s="2"/>
      <c r="R2281" s="2"/>
      <c r="S2281" s="2" t="s">
        <v>15401</v>
      </c>
      <c r="T2281" s="2" t="s">
        <v>15402</v>
      </c>
      <c r="U2281" s="2" t="s">
        <v>56</v>
      </c>
      <c r="V2281" s="2" t="s">
        <v>177</v>
      </c>
      <c r="W2281" s="2" t="s">
        <v>1996</v>
      </c>
      <c r="X2281" s="2" t="s">
        <v>83</v>
      </c>
      <c r="Y2281" s="2">
        <v>41.3</v>
      </c>
      <c r="Z2281" s="2">
        <v>0</v>
      </c>
      <c r="AA2281" s="2" t="s">
        <v>512</v>
      </c>
      <c r="AB2281" s="2" t="s">
        <v>1669</v>
      </c>
      <c r="AC2281" s="2">
        <v>3.1947242594978502</v>
      </c>
      <c r="AD2281" s="2"/>
      <c r="AE2281" s="2">
        <v>0.28730859003930398</v>
      </c>
      <c r="AF2281" s="2">
        <v>5456.8917679289898</v>
      </c>
      <c r="AG2281" s="2">
        <v>1160.95459606181</v>
      </c>
      <c r="AH2281" s="5">
        <v>4.7003489942155099</v>
      </c>
      <c r="AI2281" s="5">
        <v>2.2327678788183101</v>
      </c>
      <c r="AJ2281" s="5" t="s">
        <v>139</v>
      </c>
      <c r="AK2281" s="2">
        <v>0.20971282696187499</v>
      </c>
      <c r="AL2281" s="2">
        <v>0.53413913919887801</v>
      </c>
      <c r="AM2281" s="2">
        <v>8.559877937157E-6</v>
      </c>
      <c r="AN2281" s="2">
        <v>8.559877937157E-6</v>
      </c>
      <c r="AO2281" s="2">
        <v>12338.2276225406</v>
      </c>
      <c r="AP2281" s="2">
        <v>1130.1719180432499</v>
      </c>
      <c r="AQ2281" s="2">
        <v>17994.101451299401</v>
      </c>
      <c r="AR2281" s="2">
        <v>1278.8495985709101</v>
      </c>
      <c r="AS2281" s="2">
        <v>2459.2072741639499</v>
      </c>
      <c r="AT2281" s="2">
        <v>1111.61161991003</v>
      </c>
      <c r="AU2281" s="2">
        <v>2889.5392940575198</v>
      </c>
      <c r="AV2281" s="2">
        <v>505.36937111958201</v>
      </c>
      <c r="AW2281" s="2">
        <v>8.559877937157E-6</v>
      </c>
      <c r="AX2281" s="2">
        <v>8.559877937157E-6</v>
      </c>
    </row>
    <row r="2282" spans="1:50" x14ac:dyDescent="0.25">
      <c r="A2282" s="2" t="s">
        <v>15403</v>
      </c>
      <c r="B2282" s="2">
        <v>225.11284285127999</v>
      </c>
      <c r="C2282" s="2">
        <v>6.8097833333333302</v>
      </c>
      <c r="D2282" s="2" t="s">
        <v>51</v>
      </c>
      <c r="E2282" s="2" t="s">
        <v>15404</v>
      </c>
      <c r="F2282" s="2">
        <v>2931</v>
      </c>
      <c r="G2282" s="3" t="str">
        <f>HYPERLINK("https://cloud.oebiotech.com/#/lm/network/2931", "https://cloud.oebiotech.com/#/lm/network/2931")</f>
        <v>https://cloud.oebiotech.com/#/lm/network/2931</v>
      </c>
      <c r="H2282" s="2"/>
      <c r="I2282" s="2">
        <v>96875</v>
      </c>
      <c r="J2282" s="2" t="s">
        <v>15405</v>
      </c>
      <c r="K2282" s="2">
        <v>14216440</v>
      </c>
      <c r="L2282" s="2"/>
      <c r="M2282" s="2"/>
      <c r="N2282" s="2"/>
      <c r="O2282" s="2"/>
      <c r="P2282" s="2"/>
      <c r="Q2282" s="2"/>
      <c r="R2282" s="2"/>
      <c r="S2282" s="2" t="s">
        <v>15406</v>
      </c>
      <c r="T2282" s="2" t="s">
        <v>15407</v>
      </c>
      <c r="U2282" s="2" t="s">
        <v>56</v>
      </c>
      <c r="V2282" s="2" t="s">
        <v>177</v>
      </c>
      <c r="W2282" s="2" t="s">
        <v>584</v>
      </c>
      <c r="X2282" s="2" t="s">
        <v>83</v>
      </c>
      <c r="Y2282" s="2">
        <v>56.2</v>
      </c>
      <c r="Z2282" s="2">
        <v>38.4</v>
      </c>
      <c r="AA2282" s="2" t="s">
        <v>163</v>
      </c>
      <c r="AB2282" s="2" t="s">
        <v>15408</v>
      </c>
      <c r="AC2282" s="2">
        <v>-1.7237367013521001</v>
      </c>
      <c r="AD2282" s="2"/>
      <c r="AE2282" s="2">
        <v>0.28682100579842301</v>
      </c>
      <c r="AF2282" s="2">
        <v>5017.35271436537</v>
      </c>
      <c r="AG2282" s="2">
        <v>2931.4773363951799</v>
      </c>
      <c r="AH2282" s="5">
        <v>1.7115440914631701</v>
      </c>
      <c r="AI2282" s="5">
        <v>0.77529845841022105</v>
      </c>
      <c r="AJ2282" s="5" t="s">
        <v>139</v>
      </c>
      <c r="AK2282" s="2">
        <v>0.19640573459798699</v>
      </c>
      <c r="AL2282" s="2">
        <v>0.52014995935017205</v>
      </c>
      <c r="AM2282" s="2">
        <v>11092.5035423354</v>
      </c>
      <c r="AN2282" s="2">
        <v>5372.6362755198097</v>
      </c>
      <c r="AO2282" s="2">
        <v>2567.4264665877199</v>
      </c>
      <c r="AP2282" s="2">
        <v>3877.9667877291599</v>
      </c>
      <c r="AQ2282" s="2">
        <v>3130.9328826164101</v>
      </c>
      <c r="AR2282" s="2">
        <v>4062.65033140373</v>
      </c>
      <c r="AS2282" s="2">
        <v>2379.2261202341701</v>
      </c>
      <c r="AT2282" s="2">
        <v>1577.93056708877</v>
      </c>
      <c r="AU2282" s="2">
        <v>6589.7651017498301</v>
      </c>
      <c r="AV2282" s="2">
        <v>1358.9819662467901</v>
      </c>
      <c r="AW2282" s="2">
        <v>2031.9924342573199</v>
      </c>
      <c r="AX2282" s="2">
        <v>3650.9678287941902</v>
      </c>
    </row>
    <row r="2283" spans="1:50" x14ac:dyDescent="0.25">
      <c r="A2283" s="2" t="s">
        <v>15409</v>
      </c>
      <c r="B2283" s="2">
        <v>352.17796281926002</v>
      </c>
      <c r="C2283" s="2">
        <v>8.9080499999999994</v>
      </c>
      <c r="D2283" s="2" t="s">
        <v>51</v>
      </c>
      <c r="E2283" s="2" t="s">
        <v>15410</v>
      </c>
      <c r="F2283" s="2">
        <v>64872</v>
      </c>
      <c r="G2283" s="3" t="str">
        <f>HYPERLINK("https://cloud.oebiotech.com/#/lm/network/64872", "https://cloud.oebiotech.com/#/lm/network/64872")</f>
        <v>https://cloud.oebiotech.com/#/lm/network/64872</v>
      </c>
      <c r="H2283" s="2" t="s">
        <v>15411</v>
      </c>
      <c r="I2283" s="2">
        <v>96152</v>
      </c>
      <c r="J2283" s="2"/>
      <c r="K2283" s="2">
        <v>55492</v>
      </c>
      <c r="L2283" s="2"/>
      <c r="M2283" s="2"/>
      <c r="N2283" s="2"/>
      <c r="O2283" s="2"/>
      <c r="P2283" s="2"/>
      <c r="Q2283" s="2"/>
      <c r="R2283" s="2" t="s">
        <v>15412</v>
      </c>
      <c r="S2283" s="2" t="s">
        <v>15413</v>
      </c>
      <c r="T2283" s="2" t="s">
        <v>15414</v>
      </c>
      <c r="U2283" s="2" t="s">
        <v>266</v>
      </c>
      <c r="V2283" s="2" t="s">
        <v>1393</v>
      </c>
      <c r="W2283" s="2" t="s">
        <v>1643</v>
      </c>
      <c r="X2283" s="2" t="s">
        <v>147</v>
      </c>
      <c r="Y2283" s="2">
        <v>39.200000000000003</v>
      </c>
      <c r="Z2283" s="2">
        <v>0</v>
      </c>
      <c r="AA2283" s="2" t="s">
        <v>512</v>
      </c>
      <c r="AB2283" s="2" t="s">
        <v>15415</v>
      </c>
      <c r="AC2283" s="2">
        <v>5.5610885088254403E-2</v>
      </c>
      <c r="AD2283" s="2"/>
      <c r="AE2283" s="2">
        <v>0.28680024827767903</v>
      </c>
      <c r="AF2283" s="2">
        <v>4659.3204411046399</v>
      </c>
      <c r="AG2283" s="2">
        <v>25.424520563260302</v>
      </c>
      <c r="AH2283" s="5">
        <v>183.26089687754401</v>
      </c>
      <c r="AI2283" s="5">
        <v>7.5177551747848099</v>
      </c>
      <c r="AJ2283" s="5" t="s">
        <v>139</v>
      </c>
      <c r="AK2283" s="2">
        <v>0.14620833309321099</v>
      </c>
      <c r="AL2283" s="2">
        <v>0.46813495501649</v>
      </c>
      <c r="AM2283" s="2">
        <v>8.559877937157E-6</v>
      </c>
      <c r="AN2283" s="2">
        <v>38.148287120752599</v>
      </c>
      <c r="AO2283" s="2">
        <v>8.559877937157E-6</v>
      </c>
      <c r="AP2283" s="2">
        <v>49.791453429226401</v>
      </c>
      <c r="AQ2283" s="2">
        <v>14781.3415688977</v>
      </c>
      <c r="AR2283" s="2">
        <v>13086.6413200604</v>
      </c>
      <c r="AS2283" s="2">
        <v>8.559877937157E-6</v>
      </c>
      <c r="AT2283" s="2">
        <v>8.559877937157E-6</v>
      </c>
      <c r="AU2283" s="2">
        <v>29.555355178512301</v>
      </c>
      <c r="AV2283" s="2">
        <v>122.991733961538</v>
      </c>
      <c r="AW2283" s="2">
        <v>8.559877937157E-6</v>
      </c>
      <c r="AX2283" s="2">
        <v>8.559877937157E-6</v>
      </c>
    </row>
    <row r="2284" spans="1:50" x14ac:dyDescent="0.25">
      <c r="A2284" s="2" t="s">
        <v>15416</v>
      </c>
      <c r="B2284" s="2">
        <v>526.29437032856697</v>
      </c>
      <c r="C2284" s="2">
        <v>10.452766666666699</v>
      </c>
      <c r="D2284" s="2" t="s">
        <v>51</v>
      </c>
      <c r="E2284" s="2" t="s">
        <v>15417</v>
      </c>
      <c r="F2284" s="2">
        <v>21219</v>
      </c>
      <c r="G2284" s="3" t="str">
        <f>HYPERLINK("https://cloud.oebiotech.com/#/lm/network/21219", "https://cloud.oebiotech.com/#/lm/network/21219")</f>
        <v>https://cloud.oebiotech.com/#/lm/network/21219</v>
      </c>
      <c r="H2284" s="2" t="s">
        <v>15418</v>
      </c>
      <c r="I2284" s="2">
        <v>62282</v>
      </c>
      <c r="J2284" s="2" t="s">
        <v>15419</v>
      </c>
      <c r="K2284" s="2">
        <v>53480943</v>
      </c>
      <c r="L2284" s="2"/>
      <c r="M2284" s="2"/>
      <c r="N2284" s="2"/>
      <c r="O2284" s="2"/>
      <c r="P2284" s="2"/>
      <c r="Q2284" s="2"/>
      <c r="R2284" s="2"/>
      <c r="S2284" s="2" t="s">
        <v>15420</v>
      </c>
      <c r="T2284" s="2" t="s">
        <v>15421</v>
      </c>
      <c r="U2284" s="2" t="s">
        <v>56</v>
      </c>
      <c r="V2284" s="2" t="s">
        <v>57</v>
      </c>
      <c r="W2284" s="2" t="s">
        <v>155</v>
      </c>
      <c r="X2284" s="2" t="s">
        <v>83</v>
      </c>
      <c r="Y2284" s="2">
        <v>52.7</v>
      </c>
      <c r="Z2284" s="2">
        <v>38.4</v>
      </c>
      <c r="AA2284" s="2" t="s">
        <v>163</v>
      </c>
      <c r="AB2284" s="2" t="s">
        <v>6987</v>
      </c>
      <c r="AC2284" s="2">
        <v>0.86727213233187594</v>
      </c>
      <c r="AD2284" s="2"/>
      <c r="AE2284" s="2">
        <v>0.286784987393293</v>
      </c>
      <c r="AF2284" s="2">
        <v>16255.7887320345</v>
      </c>
      <c r="AG2284" s="2">
        <v>19493.507391320902</v>
      </c>
      <c r="AH2284" s="4">
        <v>0.83390784458173395</v>
      </c>
      <c r="AI2284" s="4">
        <v>-0.26204013509145802</v>
      </c>
      <c r="AJ2284" s="4" t="s">
        <v>62</v>
      </c>
      <c r="AK2284" s="2">
        <v>0.32720916618752599</v>
      </c>
      <c r="AL2284" s="2">
        <v>0.62992073899545697</v>
      </c>
      <c r="AM2284" s="2">
        <v>16335.0636458275</v>
      </c>
      <c r="AN2284" s="2">
        <v>20276.566412411401</v>
      </c>
      <c r="AO2284" s="2">
        <v>17398.544705238899</v>
      </c>
      <c r="AP2284" s="2">
        <v>18160.9833481194</v>
      </c>
      <c r="AQ2284" s="2">
        <v>11327.595396442601</v>
      </c>
      <c r="AR2284" s="2">
        <v>14035.9788841674</v>
      </c>
      <c r="AS2284" s="2">
        <v>15622.7620927588</v>
      </c>
      <c r="AT2284" s="2">
        <v>10922.974681916799</v>
      </c>
      <c r="AU2284" s="2">
        <v>15333.177660892299</v>
      </c>
      <c r="AV2284" s="2">
        <v>30700.774802107899</v>
      </c>
      <c r="AW2284" s="2">
        <v>21943.377855882401</v>
      </c>
      <c r="AX2284" s="2">
        <v>22437.977254367299</v>
      </c>
    </row>
    <row r="2285" spans="1:50" x14ac:dyDescent="0.25">
      <c r="A2285" s="2" t="s">
        <v>15422</v>
      </c>
      <c r="B2285" s="2">
        <v>415.14040965038902</v>
      </c>
      <c r="C2285" s="2">
        <v>9.6251166666666705</v>
      </c>
      <c r="D2285" s="2" t="s">
        <v>51</v>
      </c>
      <c r="E2285" s="2" t="s">
        <v>15423</v>
      </c>
      <c r="F2285" s="2">
        <v>29055</v>
      </c>
      <c r="G2285" s="3" t="str">
        <f>HYPERLINK("https://cloud.oebiotech.com/#/lm/network/29055", "https://cloud.oebiotech.com/#/lm/network/29055")</f>
        <v>https://cloud.oebiotech.com/#/lm/network/29055</v>
      </c>
      <c r="H2285" s="2"/>
      <c r="I2285" s="2"/>
      <c r="J2285" s="2" t="s">
        <v>15424</v>
      </c>
      <c r="K2285" s="2">
        <v>44257175</v>
      </c>
      <c r="L2285" s="2"/>
      <c r="M2285" s="2"/>
      <c r="N2285" s="2"/>
      <c r="O2285" s="2"/>
      <c r="P2285" s="2"/>
      <c r="Q2285" s="2"/>
      <c r="R2285" s="2"/>
      <c r="S2285" s="2" t="s">
        <v>15425</v>
      </c>
      <c r="T2285" s="2" t="s">
        <v>15426</v>
      </c>
      <c r="U2285" s="2" t="s">
        <v>540</v>
      </c>
      <c r="V2285" s="2" t="s">
        <v>541</v>
      </c>
      <c r="W2285" s="2" t="s">
        <v>542</v>
      </c>
      <c r="X2285" s="2" t="s">
        <v>147</v>
      </c>
      <c r="Y2285" s="2">
        <v>36.9</v>
      </c>
      <c r="Z2285" s="2">
        <v>0</v>
      </c>
      <c r="AA2285" s="2" t="s">
        <v>156</v>
      </c>
      <c r="AB2285" s="2" t="s">
        <v>14919</v>
      </c>
      <c r="AC2285" s="2">
        <v>3.8541834504947698</v>
      </c>
      <c r="AD2285" s="2"/>
      <c r="AE2285" s="2">
        <v>0.28676092377578599</v>
      </c>
      <c r="AF2285" s="2">
        <v>3595.9497624330002</v>
      </c>
      <c r="AG2285" s="2">
        <v>2036.4122281539201</v>
      </c>
      <c r="AH2285" s="5">
        <v>1.7658260506974299</v>
      </c>
      <c r="AI2285" s="5">
        <v>0.82034323191251601</v>
      </c>
      <c r="AJ2285" s="5" t="s">
        <v>139</v>
      </c>
      <c r="AK2285" s="2">
        <v>2.5661137942135401E-3</v>
      </c>
      <c r="AL2285" s="2">
        <v>0.10427243461803801</v>
      </c>
      <c r="AM2285" s="2">
        <v>4491.6305878122103</v>
      </c>
      <c r="AN2285" s="2">
        <v>4382.4429009403302</v>
      </c>
      <c r="AO2285" s="2">
        <v>3541.5650222311701</v>
      </c>
      <c r="AP2285" s="2">
        <v>2964.07742938817</v>
      </c>
      <c r="AQ2285" s="2">
        <v>2680.4009482962201</v>
      </c>
      <c r="AR2285" s="2">
        <v>3515.5816859298902</v>
      </c>
      <c r="AS2285" s="2">
        <v>2537.3727296381799</v>
      </c>
      <c r="AT2285" s="2">
        <v>2928.9127475134701</v>
      </c>
      <c r="AU2285" s="2">
        <v>1257.2116049475601</v>
      </c>
      <c r="AV2285" s="2">
        <v>1528.99100092198</v>
      </c>
      <c r="AW2285" s="2">
        <v>1956.6455877345099</v>
      </c>
      <c r="AX2285" s="2">
        <v>2009.33969816782</v>
      </c>
    </row>
    <row r="2286" spans="1:50" x14ac:dyDescent="0.25">
      <c r="A2286" s="2" t="s">
        <v>15427</v>
      </c>
      <c r="B2286" s="2">
        <v>568.42884050393798</v>
      </c>
      <c r="C2286" s="2">
        <v>15.2194</v>
      </c>
      <c r="D2286" s="2" t="s">
        <v>51</v>
      </c>
      <c r="E2286" s="2" t="s">
        <v>15428</v>
      </c>
      <c r="F2286" s="2">
        <v>37097</v>
      </c>
      <c r="G2286" s="3" t="str">
        <f>HYPERLINK("https://cloud.oebiotech.com/#/lm/network/37097", "https://cloud.oebiotech.com/#/lm/network/37097")</f>
        <v>https://cloud.oebiotech.com/#/lm/network/37097</v>
      </c>
      <c r="H2286" s="2"/>
      <c r="I2286" s="2"/>
      <c r="J2286" s="2" t="s">
        <v>15429</v>
      </c>
      <c r="K2286" s="2">
        <v>11082356</v>
      </c>
      <c r="L2286" s="2"/>
      <c r="M2286" s="2"/>
      <c r="N2286" s="2"/>
      <c r="O2286" s="2"/>
      <c r="P2286" s="2"/>
      <c r="Q2286" s="2"/>
      <c r="R2286" s="2"/>
      <c r="S2286" s="2" t="s">
        <v>15430</v>
      </c>
      <c r="T2286" s="2" t="s">
        <v>15431</v>
      </c>
      <c r="U2286" s="2" t="s">
        <v>56</v>
      </c>
      <c r="V2286" s="2" t="s">
        <v>177</v>
      </c>
      <c r="W2286" s="2" t="s">
        <v>928</v>
      </c>
      <c r="X2286" s="2" t="s">
        <v>147</v>
      </c>
      <c r="Y2286" s="2">
        <v>44.7</v>
      </c>
      <c r="Z2286" s="2">
        <v>34.299999999999997</v>
      </c>
      <c r="AA2286" s="2" t="s">
        <v>122</v>
      </c>
      <c r="AB2286" s="2" t="s">
        <v>9683</v>
      </c>
      <c r="AC2286" s="2">
        <v>1.4238722467203899</v>
      </c>
      <c r="AD2286" s="2"/>
      <c r="AE2286" s="2">
        <v>0.28658674845800303</v>
      </c>
      <c r="AF2286" s="2">
        <v>2025.51855860145</v>
      </c>
      <c r="AG2286" s="2">
        <v>5253.6581914406197</v>
      </c>
      <c r="AH2286" s="4">
        <v>0.385544412063479</v>
      </c>
      <c r="AI2286" s="4">
        <v>-1.3750310366323799</v>
      </c>
      <c r="AJ2286" s="4" t="s">
        <v>62</v>
      </c>
      <c r="AK2286" s="2">
        <v>0.346500682784873</v>
      </c>
      <c r="AL2286" s="2">
        <v>0.639867668333994</v>
      </c>
      <c r="AM2286" s="2">
        <v>392.13954089319401</v>
      </c>
      <c r="AN2286" s="2">
        <v>1673.3948888268301</v>
      </c>
      <c r="AO2286" s="2">
        <v>3060.4452028241899</v>
      </c>
      <c r="AP2286" s="2">
        <v>803.46298248674202</v>
      </c>
      <c r="AQ2286" s="2">
        <v>3745.27829061076</v>
      </c>
      <c r="AR2286" s="2">
        <v>2478.3904459669898</v>
      </c>
      <c r="AS2286" s="2">
        <v>20722.8201521722</v>
      </c>
      <c r="AT2286" s="2">
        <v>458.64913802143201</v>
      </c>
      <c r="AU2286" s="2">
        <v>8.559877937157E-6</v>
      </c>
      <c r="AV2286" s="2">
        <v>2445.4075442604799</v>
      </c>
      <c r="AW2286" s="2">
        <v>1642.64040799401</v>
      </c>
      <c r="AX2286" s="2">
        <v>6252.4318976356899</v>
      </c>
    </row>
    <row r="2287" spans="1:50" x14ac:dyDescent="0.25">
      <c r="A2287" s="2" t="s">
        <v>15432</v>
      </c>
      <c r="B2287" s="2">
        <v>147.04</v>
      </c>
      <c r="C2287" s="2">
        <v>13.516</v>
      </c>
      <c r="D2287" s="2" t="s">
        <v>125</v>
      </c>
      <c r="E2287" s="2" t="s">
        <v>15433</v>
      </c>
      <c r="F2287" s="2">
        <v>47418</v>
      </c>
      <c r="G2287" s="3" t="str">
        <f>HYPERLINK("https://cloud.oebiotech.com/#/lm/network/47418", "https://cloud.oebiotech.com/#/lm/network/47418")</f>
        <v>https://cloud.oebiotech.com/#/lm/network/47418</v>
      </c>
      <c r="H2287" s="2" t="s">
        <v>15434</v>
      </c>
      <c r="I2287" s="2">
        <v>58024</v>
      </c>
      <c r="J2287" s="2"/>
      <c r="K2287" s="2">
        <v>100714</v>
      </c>
      <c r="L2287" s="2" t="s">
        <v>15435</v>
      </c>
      <c r="M2287" s="2"/>
      <c r="N2287" s="2"/>
      <c r="O2287" s="2">
        <v>17475</v>
      </c>
      <c r="P2287" s="2"/>
      <c r="Q2287" s="2"/>
      <c r="R2287" s="2" t="s">
        <v>15436</v>
      </c>
      <c r="S2287" s="2" t="s">
        <v>15437</v>
      </c>
      <c r="T2287" s="2" t="s">
        <v>15438</v>
      </c>
      <c r="U2287" s="2" t="s">
        <v>103</v>
      </c>
      <c r="V2287" s="2" t="s">
        <v>104</v>
      </c>
      <c r="W2287" s="2" t="s">
        <v>105</v>
      </c>
      <c r="X2287" s="2" t="s">
        <v>69</v>
      </c>
      <c r="Y2287" s="2">
        <v>89.9</v>
      </c>
      <c r="Z2287" s="2">
        <v>87.1</v>
      </c>
      <c r="AA2287" s="2"/>
      <c r="AB2287" s="2" t="s">
        <v>15439</v>
      </c>
      <c r="AC2287" s="2"/>
      <c r="AD2287" s="2">
        <v>455628.70285534998</v>
      </c>
      <c r="AE2287" s="2">
        <v>0.28621650631614098</v>
      </c>
      <c r="AF2287" s="2">
        <v>722517.21146287501</v>
      </c>
      <c r="AG2287" s="2">
        <v>581001.95231210999</v>
      </c>
      <c r="AH2287" s="5">
        <v>1.2435710561515401</v>
      </c>
      <c r="AI2287" s="5">
        <v>0.31448894376605702</v>
      </c>
      <c r="AJ2287" s="5" t="s">
        <v>139</v>
      </c>
      <c r="AK2287" s="2">
        <v>0.76842289021653998</v>
      </c>
      <c r="AL2287" s="2">
        <v>0.89541250229943004</v>
      </c>
      <c r="AM2287" s="2">
        <v>286813.21807398502</v>
      </c>
      <c r="AN2287" s="2">
        <v>199788.60249728599</v>
      </c>
      <c r="AO2287" s="2">
        <v>175031.464831327</v>
      </c>
      <c r="AP2287" s="2">
        <v>430180.00519260502</v>
      </c>
      <c r="AQ2287" s="2">
        <v>2937005.1409470602</v>
      </c>
      <c r="AR2287" s="2">
        <v>306284.83723498997</v>
      </c>
      <c r="AS2287" s="2">
        <v>305540.24224135402</v>
      </c>
      <c r="AT2287" s="2">
        <v>416272.950774948</v>
      </c>
      <c r="AU2287" s="2">
        <v>1081327.8899034001</v>
      </c>
      <c r="AV2287" s="2">
        <v>947744.00680622098</v>
      </c>
      <c r="AW2287" s="2">
        <v>196580.00453258201</v>
      </c>
      <c r="AX2287" s="2">
        <v>538546.61961415701</v>
      </c>
    </row>
    <row r="2288" spans="1:50" x14ac:dyDescent="0.25">
      <c r="A2288" s="2" t="s">
        <v>15440</v>
      </c>
      <c r="B2288" s="2">
        <v>147.05000000000001</v>
      </c>
      <c r="C2288" s="2">
        <v>8.0839999999999996</v>
      </c>
      <c r="D2288" s="2" t="s">
        <v>125</v>
      </c>
      <c r="E2288" s="2" t="s">
        <v>15441</v>
      </c>
      <c r="F2288" s="2">
        <v>61285</v>
      </c>
      <c r="G2288" s="3" t="str">
        <f>HYPERLINK("https://cloud.oebiotech.com/#/lm/network/61285", "https://cloud.oebiotech.com/#/lm/network/61285")</f>
        <v>https://cloud.oebiotech.com/#/lm/network/61285</v>
      </c>
      <c r="H2288" s="2" t="s">
        <v>15442</v>
      </c>
      <c r="I2288" s="2">
        <v>3209</v>
      </c>
      <c r="J2288" s="2"/>
      <c r="K2288" s="2">
        <v>174</v>
      </c>
      <c r="L2288" s="2" t="s">
        <v>15443</v>
      </c>
      <c r="M2288" s="2"/>
      <c r="N2288" s="2"/>
      <c r="O2288" s="2">
        <v>30742</v>
      </c>
      <c r="P2288" s="2"/>
      <c r="Q2288" s="2"/>
      <c r="R2288" s="2" t="s">
        <v>15444</v>
      </c>
      <c r="S2288" s="2" t="s">
        <v>15445</v>
      </c>
      <c r="T2288" s="2" t="s">
        <v>15446</v>
      </c>
      <c r="U2288" s="2" t="s">
        <v>331</v>
      </c>
      <c r="V2288" s="2" t="s">
        <v>332</v>
      </c>
      <c r="W2288" s="2" t="s">
        <v>519</v>
      </c>
      <c r="X2288" s="2" t="s">
        <v>83</v>
      </c>
      <c r="Y2288" s="2">
        <v>82.8</v>
      </c>
      <c r="Z2288" s="2">
        <v>77.400000000000006</v>
      </c>
      <c r="AA2288" s="2"/>
      <c r="AB2288" s="2" t="s">
        <v>15447</v>
      </c>
      <c r="AC2288" s="2"/>
      <c r="AD2288" s="2">
        <v>269636.18257261399</v>
      </c>
      <c r="AE2288" s="2">
        <v>0.285856558461205</v>
      </c>
      <c r="AF2288" s="2">
        <v>15078387.7171338</v>
      </c>
      <c r="AG2288" s="2">
        <v>14931656.618710799</v>
      </c>
      <c r="AH2288" s="5">
        <v>1.0098268465562701</v>
      </c>
      <c r="AI2288" s="5">
        <v>1.41079375014078E-2</v>
      </c>
      <c r="AJ2288" s="5" t="s">
        <v>139</v>
      </c>
      <c r="AK2288" s="2">
        <v>0.83765480653275104</v>
      </c>
      <c r="AL2288" s="2">
        <v>0.92869404040801895</v>
      </c>
      <c r="AM2288" s="2">
        <v>13767389.856368899</v>
      </c>
      <c r="AN2288" s="2">
        <v>15115297.224427899</v>
      </c>
      <c r="AO2288" s="2">
        <v>13871416.3164485</v>
      </c>
      <c r="AP2288" s="2">
        <v>16043302.989731601</v>
      </c>
      <c r="AQ2288" s="2">
        <v>16546756.665677</v>
      </c>
      <c r="AR2288" s="2">
        <v>15126163.2501492</v>
      </c>
      <c r="AS2288" s="2">
        <v>12837722.426739199</v>
      </c>
      <c r="AT2288" s="2">
        <v>16058892.9074401</v>
      </c>
      <c r="AU2288" s="2">
        <v>15089633.658015801</v>
      </c>
      <c r="AV2288" s="2">
        <v>16199280.454475399</v>
      </c>
      <c r="AW2288" s="2">
        <v>15389782.501654699</v>
      </c>
      <c r="AX2288" s="2">
        <v>14014627.7639399</v>
      </c>
    </row>
    <row r="2289" spans="1:50" x14ac:dyDescent="0.25">
      <c r="A2289" s="2" t="s">
        <v>15448</v>
      </c>
      <c r="B2289" s="2">
        <v>150.05877027891501</v>
      </c>
      <c r="C2289" s="2">
        <v>0.99048333333333305</v>
      </c>
      <c r="D2289" s="2" t="s">
        <v>51</v>
      </c>
      <c r="E2289" s="2" t="s">
        <v>15449</v>
      </c>
      <c r="F2289" s="2">
        <v>47164</v>
      </c>
      <c r="G2289" s="3" t="str">
        <f>HYPERLINK("https://cloud.oebiotech.com/#/lm/network/47164", "https://cloud.oebiotech.com/#/lm/network/47164")</f>
        <v>https://cloud.oebiotech.com/#/lm/network/47164</v>
      </c>
      <c r="H2289" s="2" t="s">
        <v>15450</v>
      </c>
      <c r="I2289" s="2">
        <v>26</v>
      </c>
      <c r="J2289" s="2"/>
      <c r="K2289" s="2">
        <v>6137</v>
      </c>
      <c r="L2289" s="2" t="s">
        <v>15451</v>
      </c>
      <c r="M2289" s="2" t="s">
        <v>15452</v>
      </c>
      <c r="N2289" s="2" t="s">
        <v>15453</v>
      </c>
      <c r="O2289" s="2">
        <v>16643</v>
      </c>
      <c r="P2289" s="2"/>
      <c r="Q2289" s="2"/>
      <c r="R2289" s="2" t="s">
        <v>15454</v>
      </c>
      <c r="S2289" s="2" t="s">
        <v>15455</v>
      </c>
      <c r="T2289" s="2" t="s">
        <v>15456</v>
      </c>
      <c r="U2289" s="2" t="s">
        <v>103</v>
      </c>
      <c r="V2289" s="2" t="s">
        <v>104</v>
      </c>
      <c r="W2289" s="2" t="s">
        <v>105</v>
      </c>
      <c r="X2289" s="2" t="s">
        <v>69</v>
      </c>
      <c r="Y2289" s="2">
        <v>55.6</v>
      </c>
      <c r="Z2289" s="2">
        <v>82.1</v>
      </c>
      <c r="AA2289" s="2" t="s">
        <v>259</v>
      </c>
      <c r="AB2289" s="2" t="s">
        <v>15457</v>
      </c>
      <c r="AC2289" s="2">
        <v>2.9805239599267899</v>
      </c>
      <c r="AD2289" s="2"/>
      <c r="AE2289" s="2">
        <v>0.28578491818037999</v>
      </c>
      <c r="AF2289" s="2">
        <v>11346.477562862599</v>
      </c>
      <c r="AG2289" s="2">
        <v>3953.15581029442</v>
      </c>
      <c r="AH2289" s="5">
        <v>2.8702328234357002</v>
      </c>
      <c r="AI2289" s="5">
        <v>1.5211677681178499</v>
      </c>
      <c r="AJ2289" s="5" t="s">
        <v>139</v>
      </c>
      <c r="AK2289" s="2">
        <v>0.34130842770991099</v>
      </c>
      <c r="AL2289" s="2">
        <v>0.63815037094278604</v>
      </c>
      <c r="AM2289" s="2">
        <v>1902.96685843514</v>
      </c>
      <c r="AN2289" s="2">
        <v>1991.2375877873301</v>
      </c>
      <c r="AO2289" s="2">
        <v>2016.9580607462001</v>
      </c>
      <c r="AP2289" s="2">
        <v>2117.54215909715</v>
      </c>
      <c r="AQ2289" s="2">
        <v>47165.2097480023</v>
      </c>
      <c r="AR2289" s="2">
        <v>12884.9509631073</v>
      </c>
      <c r="AS2289" s="2">
        <v>2534.24163132694</v>
      </c>
      <c r="AT2289" s="2">
        <v>3032.1876084291098</v>
      </c>
      <c r="AU2289" s="2">
        <v>4050.80386314515</v>
      </c>
      <c r="AV2289" s="2">
        <v>4273.2168163344204</v>
      </c>
      <c r="AW2289" s="2">
        <v>6276.6363713722103</v>
      </c>
      <c r="AX2289" s="2">
        <v>3551.84857115866</v>
      </c>
    </row>
    <row r="2290" spans="1:50" x14ac:dyDescent="0.25">
      <c r="A2290" s="2" t="s">
        <v>15458</v>
      </c>
      <c r="B2290" s="2">
        <v>235.07228813545899</v>
      </c>
      <c r="C2290" s="2">
        <v>4.6654666666666698</v>
      </c>
      <c r="D2290" s="2" t="s">
        <v>51</v>
      </c>
      <c r="E2290" s="2" t="s">
        <v>15459</v>
      </c>
      <c r="F2290" s="2">
        <v>55783</v>
      </c>
      <c r="G2290" s="3" t="str">
        <f>HYPERLINK("https://cloud.oebiotech.com/#/lm/network/55783", "https://cloud.oebiotech.com/#/lm/network/55783")</f>
        <v>https://cloud.oebiotech.com/#/lm/network/55783</v>
      </c>
      <c r="H2290" s="2" t="s">
        <v>15460</v>
      </c>
      <c r="I2290" s="2">
        <v>87466</v>
      </c>
      <c r="J2290" s="2"/>
      <c r="K2290" s="2">
        <v>286538</v>
      </c>
      <c r="L2290" s="2"/>
      <c r="M2290" s="2"/>
      <c r="N2290" s="2"/>
      <c r="O2290" s="2">
        <v>563250</v>
      </c>
      <c r="P2290" s="2"/>
      <c r="Q2290" s="2"/>
      <c r="R2290" s="2" t="s">
        <v>15461</v>
      </c>
      <c r="S2290" s="2" t="s">
        <v>15462</v>
      </c>
      <c r="T2290" s="2" t="s">
        <v>15463</v>
      </c>
      <c r="U2290" s="2" t="s">
        <v>266</v>
      </c>
      <c r="V2290" s="2" t="s">
        <v>445</v>
      </c>
      <c r="W2290" s="2" t="s">
        <v>12612</v>
      </c>
      <c r="X2290" s="2" t="s">
        <v>147</v>
      </c>
      <c r="Y2290" s="2">
        <v>47.1</v>
      </c>
      <c r="Z2290" s="2">
        <v>38.4</v>
      </c>
      <c r="AA2290" s="2" t="s">
        <v>218</v>
      </c>
      <c r="AB2290" s="2" t="s">
        <v>15464</v>
      </c>
      <c r="AC2290" s="2">
        <v>-0.74867573174297697</v>
      </c>
      <c r="AD2290" s="2"/>
      <c r="AE2290" s="2">
        <v>0.28547173545261101</v>
      </c>
      <c r="AF2290" s="2">
        <v>352.23052379654098</v>
      </c>
      <c r="AG2290" s="2">
        <v>4125.4571277897603</v>
      </c>
      <c r="AH2290" s="4">
        <v>8.5379756202981397E-2</v>
      </c>
      <c r="AI2290" s="4">
        <v>-3.5499621467166</v>
      </c>
      <c r="AJ2290" s="4" t="s">
        <v>62</v>
      </c>
      <c r="AK2290" s="2">
        <v>0.36909464399005198</v>
      </c>
      <c r="AL2290" s="2">
        <v>0.65275987529607904</v>
      </c>
      <c r="AM2290" s="2">
        <v>0.64674549009528803</v>
      </c>
      <c r="AN2290" s="2">
        <v>8.559877937157E-6</v>
      </c>
      <c r="AO2290" s="2">
        <v>8.559877937157E-6</v>
      </c>
      <c r="AP2290" s="2">
        <v>8.559877937157E-6</v>
      </c>
      <c r="AQ2290" s="2">
        <v>68.290283079649399</v>
      </c>
      <c r="AR2290" s="2">
        <v>2044.4460885298699</v>
      </c>
      <c r="AS2290" s="2">
        <v>644.38361483511005</v>
      </c>
      <c r="AT2290" s="2">
        <v>2.4642906520917802</v>
      </c>
      <c r="AU2290" s="2">
        <v>0.54166202789726203</v>
      </c>
      <c r="AV2290" s="2">
        <v>8.559877937157E-6</v>
      </c>
      <c r="AW2290" s="2">
        <v>24105.3531821037</v>
      </c>
      <c r="AX2290" s="2">
        <v>8.559877937157E-6</v>
      </c>
    </row>
    <row r="2291" spans="1:50" x14ac:dyDescent="0.25">
      <c r="A2291" s="2" t="s">
        <v>15465</v>
      </c>
      <c r="B2291" s="2">
        <v>175.09674710713699</v>
      </c>
      <c r="C2291" s="2">
        <v>4.8599833333333304</v>
      </c>
      <c r="D2291" s="2" t="s">
        <v>51</v>
      </c>
      <c r="E2291" s="2" t="s">
        <v>15466</v>
      </c>
      <c r="F2291" s="2">
        <v>166</v>
      </c>
      <c r="G2291" s="3" t="str">
        <f>HYPERLINK("https://cloud.oebiotech.com/#/lm/network/166", "https://cloud.oebiotech.com/#/lm/network/166")</f>
        <v>https://cloud.oebiotech.com/#/lm/network/166</v>
      </c>
      <c r="H2291" s="2" t="s">
        <v>15467</v>
      </c>
      <c r="I2291" s="2">
        <v>106</v>
      </c>
      <c r="J2291" s="2" t="s">
        <v>15468</v>
      </c>
      <c r="K2291" s="2">
        <v>6590</v>
      </c>
      <c r="L2291" s="2" t="s">
        <v>15469</v>
      </c>
      <c r="M2291" s="2" t="s">
        <v>15470</v>
      </c>
      <c r="N2291" s="2" t="s">
        <v>15471</v>
      </c>
      <c r="O2291" s="2">
        <v>16135</v>
      </c>
      <c r="P2291" s="2"/>
      <c r="Q2291" s="2"/>
      <c r="R2291" s="2" t="s">
        <v>15472</v>
      </c>
      <c r="S2291" s="2" t="s">
        <v>15473</v>
      </c>
      <c r="T2291" s="2" t="s">
        <v>15474</v>
      </c>
      <c r="U2291" s="2" t="s">
        <v>103</v>
      </c>
      <c r="V2291" s="2" t="s">
        <v>104</v>
      </c>
      <c r="W2291" s="2" t="s">
        <v>7932</v>
      </c>
      <c r="X2291" s="2" t="s">
        <v>147</v>
      </c>
      <c r="Y2291" s="2">
        <v>38.4</v>
      </c>
      <c r="Z2291" s="2">
        <v>0</v>
      </c>
      <c r="AA2291" s="2" t="s">
        <v>478</v>
      </c>
      <c r="AB2291" s="2" t="s">
        <v>15475</v>
      </c>
      <c r="AC2291" s="2">
        <v>-4.7440611699727402</v>
      </c>
      <c r="AD2291" s="2"/>
      <c r="AE2291" s="2">
        <v>0.28530242154336699</v>
      </c>
      <c r="AF2291" s="2">
        <v>4647.8604393098403</v>
      </c>
      <c r="AG2291" s="2">
        <v>2495.0351128033899</v>
      </c>
      <c r="AH2291" s="5">
        <v>1.86284369925663</v>
      </c>
      <c r="AI2291" s="5">
        <v>0.89750663092632099</v>
      </c>
      <c r="AJ2291" s="5" t="s">
        <v>139</v>
      </c>
      <c r="AK2291" s="2">
        <v>3.10429109424669E-2</v>
      </c>
      <c r="AL2291" s="2">
        <v>0.26142937464104898</v>
      </c>
      <c r="AM2291" s="2">
        <v>5008.7968626375296</v>
      </c>
      <c r="AN2291" s="2">
        <v>7198.8260439432797</v>
      </c>
      <c r="AO2291" s="2">
        <v>2927.3907605321201</v>
      </c>
      <c r="AP2291" s="2">
        <v>4159.1531281590696</v>
      </c>
      <c r="AQ2291" s="2">
        <v>3008.2623022371099</v>
      </c>
      <c r="AR2291" s="2">
        <v>5584.7335383499403</v>
      </c>
      <c r="AS2291" s="2">
        <v>3978.3433071863101</v>
      </c>
      <c r="AT2291" s="2">
        <v>1464.2673291998899</v>
      </c>
      <c r="AU2291" s="2">
        <v>3563.0312195251799</v>
      </c>
      <c r="AV2291" s="2">
        <v>751.53378450016396</v>
      </c>
      <c r="AW2291" s="2">
        <v>1818.4324866914001</v>
      </c>
      <c r="AX2291" s="2">
        <v>3394.60254971739</v>
      </c>
    </row>
    <row r="2292" spans="1:50" x14ac:dyDescent="0.25">
      <c r="A2292" s="2" t="s">
        <v>15476</v>
      </c>
      <c r="B2292" s="2">
        <v>253.10564367278101</v>
      </c>
      <c r="C2292" s="2">
        <v>7.7167000000000003</v>
      </c>
      <c r="D2292" s="2" t="s">
        <v>51</v>
      </c>
      <c r="E2292" s="2" t="s">
        <v>15477</v>
      </c>
      <c r="F2292" s="2">
        <v>57873</v>
      </c>
      <c r="G2292" s="3" t="str">
        <f>HYPERLINK("https://cloud.oebiotech.com/#/lm/network/57873", "https://cloud.oebiotech.com/#/lm/network/57873")</f>
        <v>https://cloud.oebiotech.com/#/lm/network/57873</v>
      </c>
      <c r="H2292" s="2" t="s">
        <v>15478</v>
      </c>
      <c r="I2292" s="2"/>
      <c r="J2292" s="2"/>
      <c r="K2292" s="2">
        <v>73001424</v>
      </c>
      <c r="L2292" s="2"/>
      <c r="M2292" s="2"/>
      <c r="N2292" s="2"/>
      <c r="O2292" s="2"/>
      <c r="P2292" s="2"/>
      <c r="Q2292" s="2"/>
      <c r="R2292" s="2" t="s">
        <v>15479</v>
      </c>
      <c r="S2292" s="2" t="s">
        <v>15480</v>
      </c>
      <c r="T2292" s="2" t="s">
        <v>15481</v>
      </c>
      <c r="U2292" s="2" t="s">
        <v>540</v>
      </c>
      <c r="V2292" s="2" t="s">
        <v>9490</v>
      </c>
      <c r="W2292" s="2" t="s">
        <v>240</v>
      </c>
      <c r="X2292" s="2" t="s">
        <v>147</v>
      </c>
      <c r="Y2292" s="2">
        <v>39.1</v>
      </c>
      <c r="Z2292" s="2">
        <v>0</v>
      </c>
      <c r="AA2292" s="2" t="s">
        <v>379</v>
      </c>
      <c r="AB2292" s="2" t="s">
        <v>15482</v>
      </c>
      <c r="AC2292" s="2">
        <v>0.66797888599977895</v>
      </c>
      <c r="AD2292" s="2"/>
      <c r="AE2292" s="2">
        <v>0.284996334729129</v>
      </c>
      <c r="AF2292" s="2">
        <v>8056.45381358552</v>
      </c>
      <c r="AG2292" s="2">
        <v>5784.4198866781999</v>
      </c>
      <c r="AH2292" s="5">
        <v>1.39278509710886</v>
      </c>
      <c r="AI2292" s="5">
        <v>0.47797267125345499</v>
      </c>
      <c r="AJ2292" s="5" t="s">
        <v>139</v>
      </c>
      <c r="AK2292" s="2">
        <v>0.128270557344865</v>
      </c>
      <c r="AL2292" s="2">
        <v>0.44691449469275901</v>
      </c>
      <c r="AM2292" s="2">
        <v>9170.8151785757309</v>
      </c>
      <c r="AN2292" s="2">
        <v>9749.0970768661791</v>
      </c>
      <c r="AO2292" s="2">
        <v>7690.5370729901997</v>
      </c>
      <c r="AP2292" s="2">
        <v>5922.2145667265804</v>
      </c>
      <c r="AQ2292" s="2">
        <v>6158.0894951908604</v>
      </c>
      <c r="AR2292" s="2">
        <v>9647.9694911635706</v>
      </c>
      <c r="AS2292" s="2">
        <v>4990.6072370018301</v>
      </c>
      <c r="AT2292" s="2">
        <v>3395.2026126447299</v>
      </c>
      <c r="AU2292" s="2">
        <v>11393.020314617899</v>
      </c>
      <c r="AV2292" s="2">
        <v>4082.1638081996698</v>
      </c>
      <c r="AW2292" s="2">
        <v>5889.5616388946901</v>
      </c>
      <c r="AX2292" s="2">
        <v>4955.9637087103802</v>
      </c>
    </row>
    <row r="2293" spans="1:50" x14ac:dyDescent="0.25">
      <c r="A2293" s="2" t="s">
        <v>15483</v>
      </c>
      <c r="B2293" s="2">
        <v>213.12407360173501</v>
      </c>
      <c r="C2293" s="2">
        <v>1.02813333333333</v>
      </c>
      <c r="D2293" s="2" t="s">
        <v>51</v>
      </c>
      <c r="E2293" s="2" t="s">
        <v>15484</v>
      </c>
      <c r="F2293" s="2">
        <v>54139</v>
      </c>
      <c r="G2293" s="3" t="str">
        <f>HYPERLINK("https://cloud.oebiotech.com/#/lm/network/54139", "https://cloud.oebiotech.com/#/lm/network/54139")</f>
        <v>https://cloud.oebiotech.com/#/lm/network/54139</v>
      </c>
      <c r="H2293" s="2" t="s">
        <v>15485</v>
      </c>
      <c r="I2293" s="2"/>
      <c r="J2293" s="2"/>
      <c r="K2293" s="2">
        <v>10242944</v>
      </c>
      <c r="L2293" s="2"/>
      <c r="M2293" s="2"/>
      <c r="N2293" s="2"/>
      <c r="O2293" s="2"/>
      <c r="P2293" s="2"/>
      <c r="Q2293" s="2"/>
      <c r="R2293" s="2" t="s">
        <v>15486</v>
      </c>
      <c r="S2293" s="2" t="s">
        <v>15487</v>
      </c>
      <c r="T2293" s="2" t="s">
        <v>15488</v>
      </c>
      <c r="U2293" s="2" t="s">
        <v>103</v>
      </c>
      <c r="V2293" s="2" t="s">
        <v>104</v>
      </c>
      <c r="W2293" s="2" t="s">
        <v>105</v>
      </c>
      <c r="X2293" s="2" t="s">
        <v>83</v>
      </c>
      <c r="Y2293" s="2">
        <v>38.799999999999997</v>
      </c>
      <c r="Z2293" s="2">
        <v>9.2799999999999994E-2</v>
      </c>
      <c r="AA2293" s="2" t="s">
        <v>156</v>
      </c>
      <c r="AB2293" s="2" t="s">
        <v>15489</v>
      </c>
      <c r="AC2293" s="2">
        <v>3.06260319456922</v>
      </c>
      <c r="AD2293" s="2"/>
      <c r="AE2293" s="2">
        <v>0.28483880113503302</v>
      </c>
      <c r="AF2293" s="2">
        <v>16747.504288734101</v>
      </c>
      <c r="AG2293" s="2">
        <v>11651.319075364299</v>
      </c>
      <c r="AH2293" s="5">
        <v>1.4373912670665101</v>
      </c>
      <c r="AI2293" s="5">
        <v>0.52345282604169796</v>
      </c>
      <c r="AJ2293" s="5" t="s">
        <v>139</v>
      </c>
      <c r="AK2293" s="2">
        <v>0.34410396972317298</v>
      </c>
      <c r="AL2293" s="2">
        <v>0.63883639734105901</v>
      </c>
      <c r="AM2293" s="2">
        <v>13915.559346821299</v>
      </c>
      <c r="AN2293" s="2">
        <v>22504.523668049598</v>
      </c>
      <c r="AO2293" s="2">
        <v>13114.2214760181</v>
      </c>
      <c r="AP2293" s="2">
        <v>4486.3039735721904</v>
      </c>
      <c r="AQ2293" s="2">
        <v>12913.336027249999</v>
      </c>
      <c r="AR2293" s="2">
        <v>33551.0812406935</v>
      </c>
      <c r="AS2293" s="2">
        <v>7711.0998067914898</v>
      </c>
      <c r="AT2293" s="2">
        <v>4127.2891125308997</v>
      </c>
      <c r="AU2293" s="2">
        <v>13621.793040583399</v>
      </c>
      <c r="AV2293" s="2">
        <v>14026.856887489201</v>
      </c>
      <c r="AW2293" s="2">
        <v>5689.1437290603999</v>
      </c>
      <c r="AX2293" s="2">
        <v>24731.7318757305</v>
      </c>
    </row>
    <row r="2294" spans="1:50" x14ac:dyDescent="0.25">
      <c r="A2294" s="2" t="s">
        <v>15490</v>
      </c>
      <c r="B2294" s="2">
        <v>210.99039999999999</v>
      </c>
      <c r="C2294" s="2">
        <v>15.561999999999999</v>
      </c>
      <c r="D2294" s="2" t="s">
        <v>125</v>
      </c>
      <c r="E2294" s="2" t="s">
        <v>15491</v>
      </c>
      <c r="F2294" s="2">
        <v>540842</v>
      </c>
      <c r="G2294" s="3" t="str">
        <f>HYPERLINK("https://cloud.oebiotech.com/#/lm/network/540842", "https://cloud.oebiotech.com/#/lm/network/540842")</f>
        <v>https://cloud.oebiotech.com/#/lm/network/540842</v>
      </c>
      <c r="H2294" s="2"/>
      <c r="I2294" s="2"/>
      <c r="J2294" s="2"/>
      <c r="K2294" s="2"/>
      <c r="L2294" s="2" t="s">
        <v>15492</v>
      </c>
      <c r="M2294" s="2" t="s">
        <v>8913</v>
      </c>
      <c r="N2294" s="2" t="s">
        <v>8914</v>
      </c>
      <c r="O2294" s="2"/>
      <c r="P2294" s="2"/>
      <c r="Q2294" s="2"/>
      <c r="R2294" s="2" t="s">
        <v>15493</v>
      </c>
      <c r="S2294" s="2" t="s">
        <v>15494</v>
      </c>
      <c r="T2294" s="2" t="s">
        <v>15495</v>
      </c>
      <c r="U2294" s="2" t="s">
        <v>56</v>
      </c>
      <c r="V2294" s="2" t="s">
        <v>57</v>
      </c>
      <c r="W2294" s="2" t="s">
        <v>702</v>
      </c>
      <c r="X2294" s="2" t="s">
        <v>69</v>
      </c>
      <c r="Y2294" s="2">
        <v>88.6</v>
      </c>
      <c r="Z2294" s="2">
        <v>86.1</v>
      </c>
      <c r="AA2294" s="2"/>
      <c r="AB2294" s="2" t="s">
        <v>12070</v>
      </c>
      <c r="AC2294" s="2"/>
      <c r="AD2294" s="2">
        <v>523374.07091221999</v>
      </c>
      <c r="AE2294" s="2">
        <v>0.28482205865219101</v>
      </c>
      <c r="AF2294" s="2">
        <v>111020.100342932</v>
      </c>
      <c r="AG2294" s="2">
        <v>89340.539732206802</v>
      </c>
      <c r="AH2294" s="5">
        <v>1.2426620734070799</v>
      </c>
      <c r="AI2294" s="5">
        <v>0.31343402663819597</v>
      </c>
      <c r="AJ2294" s="5" t="s">
        <v>139</v>
      </c>
      <c r="AK2294" s="2">
        <v>2.8044360274363501E-2</v>
      </c>
      <c r="AL2294" s="2">
        <v>0.25613726906024897</v>
      </c>
      <c r="AM2294" s="2">
        <v>95404.327666886704</v>
      </c>
      <c r="AN2294" s="2">
        <v>123062.621149022</v>
      </c>
      <c r="AO2294" s="2">
        <v>123603.495497968</v>
      </c>
      <c r="AP2294" s="2">
        <v>132782.068165787</v>
      </c>
      <c r="AQ2294" s="2">
        <v>94771.280625854197</v>
      </c>
      <c r="AR2294" s="2">
        <v>96496.808952071093</v>
      </c>
      <c r="AS2294" s="2">
        <v>89960.769286753406</v>
      </c>
      <c r="AT2294" s="2">
        <v>93473.032584695204</v>
      </c>
      <c r="AU2294" s="2">
        <v>97774.740683929005</v>
      </c>
      <c r="AV2294" s="2">
        <v>103114.63718366899</v>
      </c>
      <c r="AW2294" s="2">
        <v>74718.843702557002</v>
      </c>
      <c r="AX2294" s="2">
        <v>77001.214951636895</v>
      </c>
    </row>
    <row r="2295" spans="1:50" x14ac:dyDescent="0.25">
      <c r="A2295" s="2" t="s">
        <v>15496</v>
      </c>
      <c r="B2295" s="2">
        <v>329.00408271359902</v>
      </c>
      <c r="C2295" s="2">
        <v>8.0321833333333306</v>
      </c>
      <c r="D2295" s="2" t="s">
        <v>51</v>
      </c>
      <c r="E2295" s="2" t="s">
        <v>15497</v>
      </c>
      <c r="F2295" s="2">
        <v>52410</v>
      </c>
      <c r="G2295" s="3" t="str">
        <f>HYPERLINK("https://cloud.oebiotech.com/#/lm/network/52410", "https://cloud.oebiotech.com/#/lm/network/52410")</f>
        <v>https://cloud.oebiotech.com/#/lm/network/52410</v>
      </c>
      <c r="H2295" s="2" t="s">
        <v>15498</v>
      </c>
      <c r="I2295" s="2">
        <v>63125</v>
      </c>
      <c r="J2295" s="2"/>
      <c r="K2295" s="2">
        <v>1024</v>
      </c>
      <c r="L2295" s="2" t="s">
        <v>15499</v>
      </c>
      <c r="M2295" s="2"/>
      <c r="N2295" s="2"/>
      <c r="O2295" s="2">
        <v>18315</v>
      </c>
      <c r="P2295" s="2" t="s">
        <v>15500</v>
      </c>
      <c r="Q2295" s="2" t="s">
        <v>15501</v>
      </c>
      <c r="R2295" s="2" t="s">
        <v>15502</v>
      </c>
      <c r="S2295" s="2" t="s">
        <v>15503</v>
      </c>
      <c r="T2295" s="2" t="s">
        <v>15504</v>
      </c>
      <c r="U2295" s="2" t="s">
        <v>266</v>
      </c>
      <c r="V2295" s="2" t="s">
        <v>1393</v>
      </c>
      <c r="W2295" s="2" t="s">
        <v>15505</v>
      </c>
      <c r="X2295" s="2" t="s">
        <v>147</v>
      </c>
      <c r="Y2295" s="2">
        <v>37.6</v>
      </c>
      <c r="Z2295" s="2">
        <v>5.92</v>
      </c>
      <c r="AA2295" s="2" t="s">
        <v>163</v>
      </c>
      <c r="AB2295" s="2" t="s">
        <v>15506</v>
      </c>
      <c r="AC2295" s="2">
        <v>-3.1999187083234402</v>
      </c>
      <c r="AD2295" s="2"/>
      <c r="AE2295" s="2">
        <v>0.28462194884646802</v>
      </c>
      <c r="AF2295" s="2">
        <v>21325.1095261911</v>
      </c>
      <c r="AG2295" s="2">
        <v>24069.1241851421</v>
      </c>
      <c r="AH2295" s="4">
        <v>0.88599441185131</v>
      </c>
      <c r="AI2295" s="4">
        <v>-0.17463049545224599</v>
      </c>
      <c r="AJ2295" s="4" t="s">
        <v>62</v>
      </c>
      <c r="AK2295" s="2">
        <v>0.13850320077612399</v>
      </c>
      <c r="AL2295" s="2">
        <v>0.45923352345858398</v>
      </c>
      <c r="AM2295" s="2">
        <v>19299.889841954799</v>
      </c>
      <c r="AN2295" s="2">
        <v>18355.463028502501</v>
      </c>
      <c r="AO2295" s="2">
        <v>22243.662717422299</v>
      </c>
      <c r="AP2295" s="2">
        <v>22329.063276246001</v>
      </c>
      <c r="AQ2295" s="2">
        <v>24443.169339656499</v>
      </c>
      <c r="AR2295" s="2">
        <v>21279.408953364498</v>
      </c>
      <c r="AS2295" s="2">
        <v>23406.924976433598</v>
      </c>
      <c r="AT2295" s="2">
        <v>29451.3025279131</v>
      </c>
      <c r="AU2295" s="2">
        <v>19140.5026548163</v>
      </c>
      <c r="AV2295" s="2">
        <v>25134.619219982898</v>
      </c>
      <c r="AW2295" s="2">
        <v>21709.097712730501</v>
      </c>
      <c r="AX2295" s="2">
        <v>25572.2980189761</v>
      </c>
    </row>
    <row r="2296" spans="1:50" x14ac:dyDescent="0.25">
      <c r="A2296" s="2" t="s">
        <v>15507</v>
      </c>
      <c r="B2296" s="2">
        <v>299.01349094968498</v>
      </c>
      <c r="C2296" s="2">
        <v>11.0481833333333</v>
      </c>
      <c r="D2296" s="2" t="s">
        <v>51</v>
      </c>
      <c r="E2296" s="2" t="s">
        <v>15508</v>
      </c>
      <c r="F2296" s="2">
        <v>210142</v>
      </c>
      <c r="G2296" s="3" t="str">
        <f>HYPERLINK("https://cloud.oebiotech.com/#/lm/network/210142", "https://cloud.oebiotech.com/#/lm/network/210142")</f>
        <v>https://cloud.oebiotech.com/#/lm/network/210142</v>
      </c>
      <c r="H2296" s="2" t="s">
        <v>15509</v>
      </c>
      <c r="I2296" s="2"/>
      <c r="J2296" s="2"/>
      <c r="K2296" s="2"/>
      <c r="L2296" s="2"/>
      <c r="M2296" s="2"/>
      <c r="N2296" s="2"/>
      <c r="O2296" s="2"/>
      <c r="P2296" s="2"/>
      <c r="Q2296" s="2"/>
      <c r="R2296" s="2"/>
      <c r="S2296" s="2" t="s">
        <v>15510</v>
      </c>
      <c r="T2296" s="2" t="s">
        <v>15511</v>
      </c>
      <c r="U2296" s="2" t="s">
        <v>1357</v>
      </c>
      <c r="V2296" s="2" t="s">
        <v>1358</v>
      </c>
      <c r="W2296" s="2" t="s">
        <v>1359</v>
      </c>
      <c r="X2296" s="2" t="s">
        <v>147</v>
      </c>
      <c r="Y2296" s="2">
        <v>39.299999999999997</v>
      </c>
      <c r="Z2296" s="2">
        <v>0</v>
      </c>
      <c r="AA2296" s="2" t="s">
        <v>478</v>
      </c>
      <c r="AB2296" s="2" t="s">
        <v>15512</v>
      </c>
      <c r="AC2296" s="2">
        <v>-0.14748928320591401</v>
      </c>
      <c r="AD2296" s="2"/>
      <c r="AE2296" s="2">
        <v>0.28452252382568399</v>
      </c>
      <c r="AF2296" s="2">
        <v>5245.5451702461696</v>
      </c>
      <c r="AG2296" s="2">
        <v>6807.6241890371102</v>
      </c>
      <c r="AH2296" s="4">
        <v>0.77053976902742605</v>
      </c>
      <c r="AI2296" s="4">
        <v>-0.37605867598245102</v>
      </c>
      <c r="AJ2296" s="4" t="s">
        <v>62</v>
      </c>
      <c r="AK2296" s="2">
        <v>2.0555122039693399E-3</v>
      </c>
      <c r="AL2296" s="2">
        <v>0.10089723213391601</v>
      </c>
      <c r="AM2296" s="2">
        <v>4141.6117500732098</v>
      </c>
      <c r="AN2296" s="2">
        <v>5588.2147368668502</v>
      </c>
      <c r="AO2296" s="2">
        <v>5958.2073153060401</v>
      </c>
      <c r="AP2296" s="2">
        <v>5320.3277831722298</v>
      </c>
      <c r="AQ2296" s="2">
        <v>5503.8789494000002</v>
      </c>
      <c r="AR2296" s="2">
        <v>4961.0304866587103</v>
      </c>
      <c r="AS2296" s="2">
        <v>6301.1712504304396</v>
      </c>
      <c r="AT2296" s="2">
        <v>6621.4415942201003</v>
      </c>
      <c r="AU2296" s="2">
        <v>5841.3412434011898</v>
      </c>
      <c r="AV2296" s="2">
        <v>7622.0921444349297</v>
      </c>
      <c r="AW2296" s="2">
        <v>7061.2452933291497</v>
      </c>
      <c r="AX2296" s="2">
        <v>7398.4536084068604</v>
      </c>
    </row>
    <row r="2297" spans="1:50" x14ac:dyDescent="0.25">
      <c r="A2297" s="2" t="s">
        <v>15513</v>
      </c>
      <c r="B2297" s="2">
        <v>409.18809801964397</v>
      </c>
      <c r="C2297" s="2">
        <v>3.60421666666667</v>
      </c>
      <c r="D2297" s="2" t="s">
        <v>51</v>
      </c>
      <c r="E2297" s="2" t="s">
        <v>15514</v>
      </c>
      <c r="F2297" s="2">
        <v>264619</v>
      </c>
      <c r="G2297" s="3" t="str">
        <f>HYPERLINK("https://cloud.oebiotech.com/#/lm/network/264619", "https://cloud.oebiotech.com/#/lm/network/264619")</f>
        <v>https://cloud.oebiotech.com/#/lm/network/264619</v>
      </c>
      <c r="H2297" s="2"/>
      <c r="I2297" s="2">
        <v>22083</v>
      </c>
      <c r="J2297" s="2"/>
      <c r="K2297" s="2">
        <v>145458673</v>
      </c>
      <c r="L2297" s="2"/>
      <c r="M2297" s="2"/>
      <c r="N2297" s="2"/>
      <c r="O2297" s="2"/>
      <c r="P2297" s="2"/>
      <c r="Q2297" s="2"/>
      <c r="R2297" s="2"/>
      <c r="S2297" s="2" t="s">
        <v>15515</v>
      </c>
      <c r="T2297" s="2" t="s">
        <v>15516</v>
      </c>
      <c r="U2297" s="2" t="s">
        <v>103</v>
      </c>
      <c r="V2297" s="2" t="s">
        <v>104</v>
      </c>
      <c r="W2297" s="2" t="s">
        <v>105</v>
      </c>
      <c r="X2297" s="2" t="s">
        <v>83</v>
      </c>
      <c r="Y2297" s="2">
        <v>39.5</v>
      </c>
      <c r="Z2297" s="2">
        <v>0.1</v>
      </c>
      <c r="AA2297" s="2" t="s">
        <v>122</v>
      </c>
      <c r="AB2297" s="2" t="s">
        <v>15517</v>
      </c>
      <c r="AC2297" s="2">
        <v>7.8148104481770604</v>
      </c>
      <c r="AD2297" s="2"/>
      <c r="AE2297" s="2">
        <v>0.28440838284226</v>
      </c>
      <c r="AF2297" s="2">
        <v>16660.8729101514</v>
      </c>
      <c r="AG2297" s="2">
        <v>10998.031841403201</v>
      </c>
      <c r="AH2297" s="5">
        <v>1.5148958604965801</v>
      </c>
      <c r="AI2297" s="5">
        <v>0.59921862095294698</v>
      </c>
      <c r="AJ2297" s="5" t="s">
        <v>139</v>
      </c>
      <c r="AK2297" s="2">
        <v>0.23156742425850499</v>
      </c>
      <c r="AL2297" s="2">
        <v>0.55548113043343295</v>
      </c>
      <c r="AM2297" s="2">
        <v>9066.2824224177893</v>
      </c>
      <c r="AN2297" s="2">
        <v>21569.0617871463</v>
      </c>
      <c r="AO2297" s="2">
        <v>9071.9467088048605</v>
      </c>
      <c r="AP2297" s="2">
        <v>30449.320116686398</v>
      </c>
      <c r="AQ2297" s="2">
        <v>16090.2238067095</v>
      </c>
      <c r="AR2297" s="2">
        <v>13718.402619143601</v>
      </c>
      <c r="AS2297" s="2">
        <v>10788.0886008651</v>
      </c>
      <c r="AT2297" s="2">
        <v>17436.793121990198</v>
      </c>
      <c r="AU2297" s="2">
        <v>6006.2401274666199</v>
      </c>
      <c r="AV2297" s="2">
        <v>518.93874302075994</v>
      </c>
      <c r="AW2297" s="2">
        <v>11401.8099335361</v>
      </c>
      <c r="AX2297" s="2">
        <v>19836.3205215407</v>
      </c>
    </row>
    <row r="2298" spans="1:50" x14ac:dyDescent="0.25">
      <c r="A2298" s="2" t="s">
        <v>15518</v>
      </c>
      <c r="B2298" s="2">
        <v>347.18649978771299</v>
      </c>
      <c r="C2298" s="2">
        <v>7.4499333333333304</v>
      </c>
      <c r="D2298" s="2" t="s">
        <v>51</v>
      </c>
      <c r="E2298" s="2" t="s">
        <v>15519</v>
      </c>
      <c r="F2298" s="2">
        <v>4832</v>
      </c>
      <c r="G2298" s="3" t="str">
        <f>HYPERLINK("https://cloud.oebiotech.com/#/lm/network/4832", "https://cloud.oebiotech.com/#/lm/network/4832")</f>
        <v>https://cloud.oebiotech.com/#/lm/network/4832</v>
      </c>
      <c r="H2298" s="2"/>
      <c r="I2298" s="2">
        <v>75044</v>
      </c>
      <c r="J2298" s="2" t="s">
        <v>15520</v>
      </c>
      <c r="K2298" s="2">
        <v>25242251</v>
      </c>
      <c r="L2298" s="2"/>
      <c r="M2298" s="2"/>
      <c r="N2298" s="2"/>
      <c r="O2298" s="2">
        <v>131617</v>
      </c>
      <c r="P2298" s="2" t="s">
        <v>9377</v>
      </c>
      <c r="Q2298" s="2" t="s">
        <v>9378</v>
      </c>
      <c r="R2298" s="2"/>
      <c r="S2298" s="2" t="s">
        <v>15521</v>
      </c>
      <c r="T2298" s="2" t="s">
        <v>15522</v>
      </c>
      <c r="U2298" s="2" t="s">
        <v>56</v>
      </c>
      <c r="V2298" s="2" t="s">
        <v>145</v>
      </c>
      <c r="W2298" s="2" t="s">
        <v>187</v>
      </c>
      <c r="X2298" s="2" t="s">
        <v>83</v>
      </c>
      <c r="Y2298" s="2">
        <v>57.1</v>
      </c>
      <c r="Z2298" s="2">
        <v>0</v>
      </c>
      <c r="AA2298" s="2" t="s">
        <v>163</v>
      </c>
      <c r="AB2298" s="2" t="s">
        <v>15523</v>
      </c>
      <c r="AC2298" s="2">
        <v>0.29358360274040102</v>
      </c>
      <c r="AD2298" s="2"/>
      <c r="AE2298" s="2">
        <v>0.28427042530572599</v>
      </c>
      <c r="AF2298" s="2">
        <v>2494.21421013386</v>
      </c>
      <c r="AG2298" s="2">
        <v>740.427252456058</v>
      </c>
      <c r="AH2298" s="5">
        <v>3.3686148124077602</v>
      </c>
      <c r="AI2298" s="5">
        <v>1.7521554714993199</v>
      </c>
      <c r="AJ2298" s="5" t="s">
        <v>139</v>
      </c>
      <c r="AK2298" s="2">
        <v>1.4883030318719201E-3</v>
      </c>
      <c r="AL2298" s="2">
        <v>9.8160839002130199E-2</v>
      </c>
      <c r="AM2298" s="2">
        <v>2665.1032899917</v>
      </c>
      <c r="AN2298" s="2">
        <v>2212.3832355377699</v>
      </c>
      <c r="AO2298" s="2">
        <v>3736.30412812536</v>
      </c>
      <c r="AP2298" s="2">
        <v>2921.85663379363</v>
      </c>
      <c r="AQ2298" s="2">
        <v>1586.28792878535</v>
      </c>
      <c r="AR2298" s="2">
        <v>1843.3500445693401</v>
      </c>
      <c r="AS2298" s="2">
        <v>1875.85676894634</v>
      </c>
      <c r="AT2298" s="2">
        <v>499.84133777513</v>
      </c>
      <c r="AU2298" s="2">
        <v>901.18503280566301</v>
      </c>
      <c r="AV2298" s="2">
        <v>150.99765461089299</v>
      </c>
      <c r="AW2298" s="2">
        <v>440.10742661127802</v>
      </c>
      <c r="AX2298" s="2">
        <v>574.57529398704605</v>
      </c>
    </row>
    <row r="2299" spans="1:50" x14ac:dyDescent="0.25">
      <c r="A2299" s="2" t="s">
        <v>15524</v>
      </c>
      <c r="B2299" s="2">
        <v>288.15663172639</v>
      </c>
      <c r="C2299" s="2">
        <v>2.5140500000000001</v>
      </c>
      <c r="D2299" s="2" t="s">
        <v>51</v>
      </c>
      <c r="E2299" s="2" t="s">
        <v>15525</v>
      </c>
      <c r="F2299" s="2">
        <v>260610</v>
      </c>
      <c r="G2299" s="3" t="str">
        <f>HYPERLINK("https://cloud.oebiotech.com/#/lm/network/260610", "https://cloud.oebiotech.com/#/lm/network/260610")</f>
        <v>https://cloud.oebiotech.com/#/lm/network/260610</v>
      </c>
      <c r="H2299" s="2"/>
      <c r="I2299" s="2">
        <v>17877</v>
      </c>
      <c r="J2299" s="2"/>
      <c r="K2299" s="2">
        <v>46235801</v>
      </c>
      <c r="L2299" s="2"/>
      <c r="M2299" s="2"/>
      <c r="N2299" s="2"/>
      <c r="O2299" s="2"/>
      <c r="P2299" s="2"/>
      <c r="Q2299" s="2"/>
      <c r="R2299" s="2"/>
      <c r="S2299" s="2" t="s">
        <v>15526</v>
      </c>
      <c r="T2299" s="2" t="s">
        <v>15527</v>
      </c>
      <c r="U2299" s="2" t="s">
        <v>103</v>
      </c>
      <c r="V2299" s="2" t="s">
        <v>104</v>
      </c>
      <c r="W2299" s="2" t="s">
        <v>105</v>
      </c>
      <c r="X2299" s="2" t="s">
        <v>83</v>
      </c>
      <c r="Y2299" s="2">
        <v>41.5</v>
      </c>
      <c r="Z2299" s="2">
        <v>0</v>
      </c>
      <c r="AA2299" s="2" t="s">
        <v>163</v>
      </c>
      <c r="AB2299" s="2" t="s">
        <v>11705</v>
      </c>
      <c r="AC2299" s="2">
        <v>0.47484710591689699</v>
      </c>
      <c r="AD2299" s="2"/>
      <c r="AE2299" s="2">
        <v>0.28427025529517902</v>
      </c>
      <c r="AF2299" s="2">
        <v>7208.6193317874904</v>
      </c>
      <c r="AG2299" s="2">
        <v>13057.74990074</v>
      </c>
      <c r="AH2299" s="4">
        <v>0.55205677751409399</v>
      </c>
      <c r="AI2299" s="4">
        <v>-0.85711144305487996</v>
      </c>
      <c r="AJ2299" s="4" t="s">
        <v>62</v>
      </c>
      <c r="AK2299" s="2">
        <v>0.658757585306879</v>
      </c>
      <c r="AL2299" s="2">
        <v>0.83413307306586504</v>
      </c>
      <c r="AM2299" s="2">
        <v>11177.3631531397</v>
      </c>
      <c r="AN2299" s="2">
        <v>8.559877937157E-6</v>
      </c>
      <c r="AO2299" s="2">
        <v>8.559877937157E-6</v>
      </c>
      <c r="AP2299" s="2">
        <v>8.559877937157E-6</v>
      </c>
      <c r="AQ2299" s="2">
        <v>20474.180892549401</v>
      </c>
      <c r="AR2299" s="2">
        <v>11600.1719193562</v>
      </c>
      <c r="AS2299" s="2">
        <v>8.559877937157E-6</v>
      </c>
      <c r="AT2299" s="2">
        <v>8.559877937157E-6</v>
      </c>
      <c r="AU2299" s="2">
        <v>1646.2707724168699</v>
      </c>
      <c r="AV2299" s="2">
        <v>74870.455878722598</v>
      </c>
      <c r="AW2299" s="2">
        <v>8.559877937157E-6</v>
      </c>
      <c r="AX2299" s="2">
        <v>1829.7727276206999</v>
      </c>
    </row>
    <row r="2300" spans="1:50" x14ac:dyDescent="0.25">
      <c r="A2300" s="2" t="s">
        <v>15528</v>
      </c>
      <c r="B2300" s="2">
        <v>419.24265303527397</v>
      </c>
      <c r="C2300" s="2">
        <v>8.1705333333333297</v>
      </c>
      <c r="D2300" s="2" t="s">
        <v>51</v>
      </c>
      <c r="E2300" s="2" t="s">
        <v>15529</v>
      </c>
      <c r="F2300" s="2">
        <v>44712</v>
      </c>
      <c r="G2300" s="3" t="str">
        <f>HYPERLINK("https://cloud.oebiotech.com/#/lm/network/44712", "https://cloud.oebiotech.com/#/lm/network/44712")</f>
        <v>https://cloud.oebiotech.com/#/lm/network/44712</v>
      </c>
      <c r="H2300" s="2"/>
      <c r="I2300" s="2"/>
      <c r="J2300" s="2" t="s">
        <v>15530</v>
      </c>
      <c r="K2300" s="2">
        <v>10432170</v>
      </c>
      <c r="L2300" s="2"/>
      <c r="M2300" s="2"/>
      <c r="N2300" s="2"/>
      <c r="O2300" s="2"/>
      <c r="P2300" s="2"/>
      <c r="Q2300" s="2"/>
      <c r="R2300" s="2"/>
      <c r="S2300" s="2" t="s">
        <v>15531</v>
      </c>
      <c r="T2300" s="2" t="s">
        <v>15532</v>
      </c>
      <c r="U2300" s="2" t="s">
        <v>56</v>
      </c>
      <c r="V2300" s="2" t="s">
        <v>283</v>
      </c>
      <c r="W2300" s="2" t="s">
        <v>1338</v>
      </c>
      <c r="X2300" s="2" t="s">
        <v>147</v>
      </c>
      <c r="Y2300" s="2">
        <v>36.6</v>
      </c>
      <c r="Z2300" s="2">
        <v>0</v>
      </c>
      <c r="AA2300" s="2" t="s">
        <v>259</v>
      </c>
      <c r="AB2300" s="2" t="s">
        <v>15533</v>
      </c>
      <c r="AC2300" s="2">
        <v>-0.38783042396962297</v>
      </c>
      <c r="AD2300" s="2"/>
      <c r="AE2300" s="2">
        <v>0.283992813615002</v>
      </c>
      <c r="AF2300" s="2">
        <v>5230.1660606457799</v>
      </c>
      <c r="AG2300" s="2">
        <v>2747.8006146483499</v>
      </c>
      <c r="AH2300" s="5">
        <v>1.90340086277152</v>
      </c>
      <c r="AI2300" s="5">
        <v>0.92857943015102695</v>
      </c>
      <c r="AJ2300" s="5" t="s">
        <v>139</v>
      </c>
      <c r="AK2300" s="2">
        <v>5.1399219672629302E-2</v>
      </c>
      <c r="AL2300" s="2">
        <v>0.31427102697878501</v>
      </c>
      <c r="AM2300" s="2">
        <v>6837.96216195531</v>
      </c>
      <c r="AN2300" s="2">
        <v>4358.5130742459196</v>
      </c>
      <c r="AO2300" s="2">
        <v>1982.2109012858</v>
      </c>
      <c r="AP2300" s="2">
        <v>3478.3860349799902</v>
      </c>
      <c r="AQ2300" s="2">
        <v>5565.1406196958696</v>
      </c>
      <c r="AR2300" s="2">
        <v>9158.7835717117905</v>
      </c>
      <c r="AS2300" s="2">
        <v>3045.32697715529</v>
      </c>
      <c r="AT2300" s="2">
        <v>1237.8609193633799</v>
      </c>
      <c r="AU2300" s="2">
        <v>4374.54612383927</v>
      </c>
      <c r="AV2300" s="2">
        <v>2382.5826892158502</v>
      </c>
      <c r="AW2300" s="2">
        <v>2469.7291941641402</v>
      </c>
      <c r="AX2300" s="2">
        <v>2976.7577841521802</v>
      </c>
    </row>
    <row r="2301" spans="1:50" x14ac:dyDescent="0.25">
      <c r="A2301" s="2" t="s">
        <v>15534</v>
      </c>
      <c r="B2301" s="2">
        <v>531.19548048956699</v>
      </c>
      <c r="C2301" s="2">
        <v>12.363666666666701</v>
      </c>
      <c r="D2301" s="2" t="s">
        <v>51</v>
      </c>
      <c r="E2301" s="2" t="s">
        <v>15535</v>
      </c>
      <c r="F2301" s="2">
        <v>201239</v>
      </c>
      <c r="G2301" s="3" t="str">
        <f>HYPERLINK("https://cloud.oebiotech.com/#/lm/network/201239", "https://cloud.oebiotech.com/#/lm/network/201239")</f>
        <v>https://cloud.oebiotech.com/#/lm/network/201239</v>
      </c>
      <c r="H2301" s="2" t="s">
        <v>15536</v>
      </c>
      <c r="I2301" s="2"/>
      <c r="J2301" s="2"/>
      <c r="K2301" s="2">
        <v>1651</v>
      </c>
      <c r="L2301" s="2"/>
      <c r="M2301" s="2"/>
      <c r="N2301" s="2"/>
      <c r="O2301" s="2"/>
      <c r="P2301" s="2"/>
      <c r="Q2301" s="2"/>
      <c r="R2301" s="2"/>
      <c r="S2301" s="2" t="s">
        <v>15537</v>
      </c>
      <c r="T2301" s="2" t="s">
        <v>15538</v>
      </c>
      <c r="U2301" s="2" t="s">
        <v>295</v>
      </c>
      <c r="V2301" s="2" t="s">
        <v>15539</v>
      </c>
      <c r="W2301" s="2" t="s">
        <v>240</v>
      </c>
      <c r="X2301" s="2" t="s">
        <v>147</v>
      </c>
      <c r="Y2301" s="2">
        <v>38.6</v>
      </c>
      <c r="Z2301" s="2">
        <v>0</v>
      </c>
      <c r="AA2301" s="2" t="s">
        <v>478</v>
      </c>
      <c r="AB2301" s="2" t="s">
        <v>15540</v>
      </c>
      <c r="AC2301" s="2">
        <v>-0.47532852697440298</v>
      </c>
      <c r="AD2301" s="2"/>
      <c r="AE2301" s="2">
        <v>0.28388399683126098</v>
      </c>
      <c r="AF2301" s="2">
        <v>3100.8836760242898</v>
      </c>
      <c r="AG2301" s="2">
        <v>5745.6767316120104</v>
      </c>
      <c r="AH2301" s="4">
        <v>0.53968989570255599</v>
      </c>
      <c r="AI2301" s="4">
        <v>-0.88979741805721702</v>
      </c>
      <c r="AJ2301" s="4" t="s">
        <v>62</v>
      </c>
      <c r="AK2301" s="2">
        <v>9.5584026164725694E-2</v>
      </c>
      <c r="AL2301" s="2">
        <v>0.39518270427574997</v>
      </c>
      <c r="AM2301" s="2">
        <v>5202.10425327141</v>
      </c>
      <c r="AN2301" s="2">
        <v>2404.3571029309801</v>
      </c>
      <c r="AO2301" s="2">
        <v>2481.57087503714</v>
      </c>
      <c r="AP2301" s="2">
        <v>2175.94319919391</v>
      </c>
      <c r="AQ2301" s="2">
        <v>2918.6381134766698</v>
      </c>
      <c r="AR2301" s="2">
        <v>3422.6885122356298</v>
      </c>
      <c r="AS2301" s="2">
        <v>2192.12098359315</v>
      </c>
      <c r="AT2301" s="2">
        <v>3459.5366115771599</v>
      </c>
      <c r="AU2301" s="2">
        <v>3174.1515473066702</v>
      </c>
      <c r="AV2301" s="2">
        <v>6758.5332833594603</v>
      </c>
      <c r="AW2301" s="2">
        <v>10636.3670155283</v>
      </c>
      <c r="AX2301" s="2">
        <v>8253.3509483073194</v>
      </c>
    </row>
    <row r="2302" spans="1:50" x14ac:dyDescent="0.25">
      <c r="A2302" s="2" t="s">
        <v>15541</v>
      </c>
      <c r="B2302" s="2">
        <v>173.008118846164</v>
      </c>
      <c r="C2302" s="2">
        <v>0.75693333333333301</v>
      </c>
      <c r="D2302" s="2" t="s">
        <v>51</v>
      </c>
      <c r="E2302" s="2" t="s">
        <v>15542</v>
      </c>
      <c r="F2302" s="2">
        <v>83740</v>
      </c>
      <c r="G2302" s="3" t="str">
        <f>HYPERLINK("https://cloud.oebiotech.com/#/lm/network/83740", "https://cloud.oebiotech.com/#/lm/network/83740")</f>
        <v>https://cloud.oebiotech.com/#/lm/network/83740</v>
      </c>
      <c r="H2302" s="2" t="s">
        <v>15543</v>
      </c>
      <c r="I2302" s="2"/>
      <c r="J2302" s="2"/>
      <c r="K2302" s="2">
        <v>49791982</v>
      </c>
      <c r="L2302" s="2"/>
      <c r="M2302" s="2"/>
      <c r="N2302" s="2"/>
      <c r="O2302" s="2"/>
      <c r="P2302" s="2"/>
      <c r="Q2302" s="2"/>
      <c r="R2302" s="2"/>
      <c r="S2302" s="2" t="s">
        <v>15544</v>
      </c>
      <c r="T2302" s="2" t="s">
        <v>15545</v>
      </c>
      <c r="U2302" s="2" t="s">
        <v>266</v>
      </c>
      <c r="V2302" s="2" t="s">
        <v>10648</v>
      </c>
      <c r="W2302" s="2" t="s">
        <v>10649</v>
      </c>
      <c r="X2302" s="2" t="s">
        <v>83</v>
      </c>
      <c r="Y2302" s="2">
        <v>46.4</v>
      </c>
      <c r="Z2302" s="2">
        <v>39.200000000000003</v>
      </c>
      <c r="AA2302" s="2" t="s">
        <v>163</v>
      </c>
      <c r="AB2302" s="2" t="s">
        <v>11913</v>
      </c>
      <c r="AC2302" s="2">
        <v>-5.9915696969088801</v>
      </c>
      <c r="AD2302" s="2"/>
      <c r="AE2302" s="2">
        <v>0.28355107828867698</v>
      </c>
      <c r="AF2302" s="2">
        <v>13873.9944992317</v>
      </c>
      <c r="AG2302" s="2">
        <v>20142.4808144005</v>
      </c>
      <c r="AH2302" s="4">
        <v>0.68879273745231595</v>
      </c>
      <c r="AI2302" s="4">
        <v>-0.537858163675203</v>
      </c>
      <c r="AJ2302" s="4" t="s">
        <v>62</v>
      </c>
      <c r="AK2302" s="2">
        <v>0.33196059533647998</v>
      </c>
      <c r="AL2302" s="2">
        <v>0.63351014288417895</v>
      </c>
      <c r="AM2302" s="2">
        <v>29784.463497977998</v>
      </c>
      <c r="AN2302" s="2">
        <v>4283.8345469757496</v>
      </c>
      <c r="AO2302" s="2">
        <v>5745.8448690518699</v>
      </c>
      <c r="AP2302" s="2">
        <v>15688.2812861205</v>
      </c>
      <c r="AQ2302" s="2">
        <v>12417.876356398199</v>
      </c>
      <c r="AR2302" s="2">
        <v>15323.666438865699</v>
      </c>
      <c r="AS2302" s="2">
        <v>11794.354089718699</v>
      </c>
      <c r="AT2302" s="2">
        <v>13247.075503399201</v>
      </c>
      <c r="AU2302" s="2">
        <v>32467.487595125898</v>
      </c>
      <c r="AV2302" s="2">
        <v>37699.059394668097</v>
      </c>
      <c r="AW2302" s="2">
        <v>16745.804325198402</v>
      </c>
      <c r="AX2302" s="2">
        <v>8901.1039782926491</v>
      </c>
    </row>
    <row r="2303" spans="1:50" x14ac:dyDescent="0.25">
      <c r="A2303" s="2" t="s">
        <v>15546</v>
      </c>
      <c r="B2303" s="2">
        <v>501.26769949477699</v>
      </c>
      <c r="C2303" s="2">
        <v>13.038600000000001</v>
      </c>
      <c r="D2303" s="2" t="s">
        <v>51</v>
      </c>
      <c r="E2303" s="2" t="s">
        <v>15547</v>
      </c>
      <c r="F2303" s="2">
        <v>212617</v>
      </c>
      <c r="G2303" s="3" t="str">
        <f>HYPERLINK("https://cloud.oebiotech.com/#/lm/network/212617", "https://cloud.oebiotech.com/#/lm/network/212617")</f>
        <v>https://cloud.oebiotech.com/#/lm/network/212617</v>
      </c>
      <c r="H2303" s="2" t="s">
        <v>15548</v>
      </c>
      <c r="I2303" s="2"/>
      <c r="J2303" s="2"/>
      <c r="K2303" s="2">
        <v>129728027</v>
      </c>
      <c r="L2303" s="2"/>
      <c r="M2303" s="2"/>
      <c r="N2303" s="2"/>
      <c r="O2303" s="2"/>
      <c r="P2303" s="2"/>
      <c r="Q2303" s="2"/>
      <c r="R2303" s="2"/>
      <c r="S2303" s="2" t="s">
        <v>15549</v>
      </c>
      <c r="T2303" s="2" t="s">
        <v>15550</v>
      </c>
      <c r="U2303" s="2" t="s">
        <v>103</v>
      </c>
      <c r="V2303" s="2" t="s">
        <v>104</v>
      </c>
      <c r="W2303" s="2" t="s">
        <v>4850</v>
      </c>
      <c r="X2303" s="2" t="s">
        <v>147</v>
      </c>
      <c r="Y2303" s="2">
        <v>36.4</v>
      </c>
      <c r="Z2303" s="2">
        <v>0</v>
      </c>
      <c r="AA2303" s="2" t="s">
        <v>156</v>
      </c>
      <c r="AB2303" s="2" t="s">
        <v>15551</v>
      </c>
      <c r="AC2303" s="2">
        <v>-3.3272392759213201</v>
      </c>
      <c r="AD2303" s="2"/>
      <c r="AE2303" s="2">
        <v>0.28346871502086901</v>
      </c>
      <c r="AF2303" s="2">
        <v>7727.2090087131101</v>
      </c>
      <c r="AG2303" s="2">
        <v>4171.2826411838896</v>
      </c>
      <c r="AH2303" s="5">
        <v>1.85247792427702</v>
      </c>
      <c r="AI2303" s="5">
        <v>0.88945635023646297</v>
      </c>
      <c r="AJ2303" s="5" t="s">
        <v>139</v>
      </c>
      <c r="AK2303" s="2">
        <v>0.15057634899185099</v>
      </c>
      <c r="AL2303" s="2">
        <v>0.47152425089815803</v>
      </c>
      <c r="AM2303" s="2">
        <v>5370.3537299141499</v>
      </c>
      <c r="AN2303" s="2">
        <v>7769.3527854143103</v>
      </c>
      <c r="AO2303" s="2">
        <v>7874.1694995726402</v>
      </c>
      <c r="AP2303" s="2">
        <v>13621.364009647299</v>
      </c>
      <c r="AQ2303" s="2">
        <v>9145.7351160385406</v>
      </c>
      <c r="AR2303" s="2">
        <v>2582.2789116917202</v>
      </c>
      <c r="AS2303" s="2">
        <v>1260.44614022835</v>
      </c>
      <c r="AT2303" s="2">
        <v>8469.5139450722108</v>
      </c>
      <c r="AU2303" s="2">
        <v>1961.87447551236</v>
      </c>
      <c r="AV2303" s="2">
        <v>8.559877937157E-6</v>
      </c>
      <c r="AW2303" s="2">
        <v>3060.8499938079599</v>
      </c>
      <c r="AX2303" s="2">
        <v>10275.0112839226</v>
      </c>
    </row>
    <row r="2304" spans="1:50" x14ac:dyDescent="0.25">
      <c r="A2304" s="2" t="s">
        <v>15552</v>
      </c>
      <c r="B2304" s="2">
        <v>379.18687996806</v>
      </c>
      <c r="C2304" s="2">
        <v>9.0727166666666701</v>
      </c>
      <c r="D2304" s="2" t="s">
        <v>51</v>
      </c>
      <c r="E2304" s="2" t="s">
        <v>15553</v>
      </c>
      <c r="F2304" s="2">
        <v>255860</v>
      </c>
      <c r="G2304" s="3" t="str">
        <f>HYPERLINK("https://cloud.oebiotech.com/#/lm/network/255860", "https://cloud.oebiotech.com/#/lm/network/255860")</f>
        <v>https://cloud.oebiotech.com/#/lm/network/255860</v>
      </c>
      <c r="H2304" s="2" t="s">
        <v>15554</v>
      </c>
      <c r="I2304" s="2"/>
      <c r="J2304" s="2"/>
      <c r="K2304" s="2">
        <v>23252201</v>
      </c>
      <c r="L2304" s="2"/>
      <c r="M2304" s="2"/>
      <c r="N2304" s="2"/>
      <c r="O2304" s="2"/>
      <c r="P2304" s="2"/>
      <c r="Q2304" s="2"/>
      <c r="R2304" s="2"/>
      <c r="S2304" s="2" t="s">
        <v>15555</v>
      </c>
      <c r="T2304" s="2" t="s">
        <v>15556</v>
      </c>
      <c r="U2304" s="2" t="s">
        <v>56</v>
      </c>
      <c r="V2304" s="2" t="s">
        <v>177</v>
      </c>
      <c r="W2304" s="2" t="s">
        <v>1996</v>
      </c>
      <c r="X2304" s="2" t="s">
        <v>147</v>
      </c>
      <c r="Y2304" s="2">
        <v>38.299999999999997</v>
      </c>
      <c r="Z2304" s="2">
        <v>0</v>
      </c>
      <c r="AA2304" s="2" t="s">
        <v>395</v>
      </c>
      <c r="AB2304" s="2" t="s">
        <v>15557</v>
      </c>
      <c r="AC2304" s="2">
        <v>-3.6806115801605399</v>
      </c>
      <c r="AD2304" s="2"/>
      <c r="AE2304" s="2">
        <v>0.28346653966864799</v>
      </c>
      <c r="AF2304" s="2">
        <v>5505.1326008143596</v>
      </c>
      <c r="AG2304" s="2">
        <v>3467.0432142953</v>
      </c>
      <c r="AH2304" s="5">
        <v>1.58784654835441</v>
      </c>
      <c r="AI2304" s="5">
        <v>0.66707149521060105</v>
      </c>
      <c r="AJ2304" s="5" t="s">
        <v>139</v>
      </c>
      <c r="AK2304" s="2">
        <v>0.21237440424840801</v>
      </c>
      <c r="AL2304" s="2">
        <v>0.53706865589344099</v>
      </c>
      <c r="AM2304" s="2">
        <v>11202.9614828678</v>
      </c>
      <c r="AN2304" s="2">
        <v>6617.9075621531201</v>
      </c>
      <c r="AO2304" s="2">
        <v>4346.7422330999598</v>
      </c>
      <c r="AP2304" s="2">
        <v>5104.0393782004003</v>
      </c>
      <c r="AQ2304" s="2">
        <v>2279.8062443885301</v>
      </c>
      <c r="AR2304" s="2">
        <v>3479.3387041763299</v>
      </c>
      <c r="AS2304" s="2">
        <v>3981.0599384770298</v>
      </c>
      <c r="AT2304" s="2">
        <v>2233.46060688438</v>
      </c>
      <c r="AU2304" s="2">
        <v>7148.79359398412</v>
      </c>
      <c r="AV2304" s="2">
        <v>1481.99191837234</v>
      </c>
      <c r="AW2304" s="2">
        <v>2366.61862754095</v>
      </c>
      <c r="AX2304" s="2">
        <v>3590.3346005129501</v>
      </c>
    </row>
    <row r="2305" spans="1:50" x14ac:dyDescent="0.25">
      <c r="A2305" s="2" t="s">
        <v>15558</v>
      </c>
      <c r="B2305" s="2">
        <v>429.19575835254898</v>
      </c>
      <c r="C2305" s="2">
        <v>6.4793000000000003</v>
      </c>
      <c r="D2305" s="2" t="s">
        <v>51</v>
      </c>
      <c r="E2305" s="2" t="s">
        <v>15559</v>
      </c>
      <c r="F2305" s="2">
        <v>45079</v>
      </c>
      <c r="G2305" s="3" t="str">
        <f>HYPERLINK("https://cloud.oebiotech.com/#/lm/network/45079", "https://cloud.oebiotech.com/#/lm/network/45079")</f>
        <v>https://cloud.oebiotech.com/#/lm/network/45079</v>
      </c>
      <c r="H2305" s="2"/>
      <c r="I2305" s="2">
        <v>84303</v>
      </c>
      <c r="J2305" s="2" t="s">
        <v>15560</v>
      </c>
      <c r="K2305" s="2">
        <v>42640655</v>
      </c>
      <c r="L2305" s="2"/>
      <c r="M2305" s="2"/>
      <c r="N2305" s="2"/>
      <c r="O2305" s="2"/>
      <c r="P2305" s="2"/>
      <c r="Q2305" s="2"/>
      <c r="R2305" s="2"/>
      <c r="S2305" s="2" t="s">
        <v>15561</v>
      </c>
      <c r="T2305" s="2" t="s">
        <v>15562</v>
      </c>
      <c r="U2305" s="2" t="s">
        <v>56</v>
      </c>
      <c r="V2305" s="2" t="s">
        <v>283</v>
      </c>
      <c r="W2305" s="2" t="s">
        <v>2305</v>
      </c>
      <c r="X2305" s="2" t="s">
        <v>69</v>
      </c>
      <c r="Y2305" s="2">
        <v>55.1</v>
      </c>
      <c r="Z2305" s="2">
        <v>81.099999999999994</v>
      </c>
      <c r="AA2305" s="2" t="s">
        <v>163</v>
      </c>
      <c r="AB2305" s="2" t="s">
        <v>15563</v>
      </c>
      <c r="AC2305" s="2">
        <v>1.18631858211216</v>
      </c>
      <c r="AD2305" s="2"/>
      <c r="AE2305" s="2">
        <v>0.28324622836076202</v>
      </c>
      <c r="AF2305" s="2">
        <v>8514.5325526376691</v>
      </c>
      <c r="AG2305" s="2">
        <v>2292.4920577369899</v>
      </c>
      <c r="AH2305" s="5">
        <v>3.7140946787151399</v>
      </c>
      <c r="AI2305" s="5">
        <v>1.89301059254092</v>
      </c>
      <c r="AJ2305" s="5" t="s">
        <v>139</v>
      </c>
      <c r="AK2305" s="2">
        <v>0.35055823311218798</v>
      </c>
      <c r="AL2305" s="2">
        <v>0.64273559662805702</v>
      </c>
      <c r="AM2305" s="2">
        <v>3948.9785911569902</v>
      </c>
      <c r="AN2305" s="2">
        <v>1031.5483083478</v>
      </c>
      <c r="AO2305" s="2">
        <v>3022.5878053305501</v>
      </c>
      <c r="AP2305" s="2">
        <v>2284.1821406747199</v>
      </c>
      <c r="AQ2305" s="2">
        <v>962.44961548987203</v>
      </c>
      <c r="AR2305" s="2">
        <v>39837.4488548261</v>
      </c>
      <c r="AS2305" s="2">
        <v>747.69992042848503</v>
      </c>
      <c r="AT2305" s="2">
        <v>6786.5003819599697</v>
      </c>
      <c r="AU2305" s="2">
        <v>1338.50408899124</v>
      </c>
      <c r="AV2305" s="2">
        <v>1586.0474737770101</v>
      </c>
      <c r="AW2305" s="2">
        <v>2740.4001886609099</v>
      </c>
      <c r="AX2305" s="2">
        <v>555.80029260432605</v>
      </c>
    </row>
    <row r="2306" spans="1:50" x14ac:dyDescent="0.25">
      <c r="A2306" s="2" t="s">
        <v>15564</v>
      </c>
      <c r="B2306" s="2">
        <v>317.15826892696901</v>
      </c>
      <c r="C2306" s="2">
        <v>4.7497999999999996</v>
      </c>
      <c r="D2306" s="2" t="s">
        <v>51</v>
      </c>
      <c r="E2306" s="2" t="s">
        <v>15565</v>
      </c>
      <c r="F2306" s="2">
        <v>212486</v>
      </c>
      <c r="G2306" s="3" t="str">
        <f>HYPERLINK("https://cloud.oebiotech.com/#/lm/network/212486", "https://cloud.oebiotech.com/#/lm/network/212486")</f>
        <v>https://cloud.oebiotech.com/#/lm/network/212486</v>
      </c>
      <c r="H2306" s="2" t="s">
        <v>15566</v>
      </c>
      <c r="I2306" s="2"/>
      <c r="J2306" s="2"/>
      <c r="K2306" s="2"/>
      <c r="L2306" s="2"/>
      <c r="M2306" s="2"/>
      <c r="N2306" s="2"/>
      <c r="O2306" s="2"/>
      <c r="P2306" s="2"/>
      <c r="Q2306" s="2"/>
      <c r="R2306" s="2"/>
      <c r="S2306" s="2" t="s">
        <v>15567</v>
      </c>
      <c r="T2306" s="2" t="s">
        <v>15568</v>
      </c>
      <c r="U2306" s="2" t="s">
        <v>1231</v>
      </c>
      <c r="V2306" s="2" t="s">
        <v>15569</v>
      </c>
      <c r="W2306" s="2" t="s">
        <v>15570</v>
      </c>
      <c r="X2306" s="2" t="s">
        <v>147</v>
      </c>
      <c r="Y2306" s="2">
        <v>38.4</v>
      </c>
      <c r="Z2306" s="2">
        <v>16.5</v>
      </c>
      <c r="AA2306" s="2" t="s">
        <v>95</v>
      </c>
      <c r="AB2306" s="2" t="s">
        <v>15571</v>
      </c>
      <c r="AC2306" s="2">
        <v>1.10836307474268</v>
      </c>
      <c r="AD2306" s="2"/>
      <c r="AE2306" s="2">
        <v>0.28307434177110002</v>
      </c>
      <c r="AF2306" s="2">
        <v>5562.4860036509599</v>
      </c>
      <c r="AG2306" s="2">
        <v>3956.8887620724399</v>
      </c>
      <c r="AH2306" s="5">
        <v>1.4057726507170201</v>
      </c>
      <c r="AI2306" s="5">
        <v>0.49136329270041601</v>
      </c>
      <c r="AJ2306" s="5" t="s">
        <v>139</v>
      </c>
      <c r="AK2306" s="2">
        <v>9.7664642590896498E-3</v>
      </c>
      <c r="AL2306" s="2">
        <v>0.16151302423615199</v>
      </c>
      <c r="AM2306" s="2">
        <v>6555.4227429480297</v>
      </c>
      <c r="AN2306" s="2">
        <v>4992.8872879603396</v>
      </c>
      <c r="AO2306" s="2">
        <v>5432.6266467224104</v>
      </c>
      <c r="AP2306" s="2">
        <v>4688.7784858949499</v>
      </c>
      <c r="AQ2306" s="2">
        <v>4926.8458380694201</v>
      </c>
      <c r="AR2306" s="2">
        <v>6778.3550203106297</v>
      </c>
      <c r="AS2306" s="2">
        <v>3831.8148910898999</v>
      </c>
      <c r="AT2306" s="2">
        <v>5041.5548836861099</v>
      </c>
      <c r="AU2306" s="2">
        <v>4658.2006591476302</v>
      </c>
      <c r="AV2306" s="2">
        <v>2886.7588533862199</v>
      </c>
      <c r="AW2306" s="2">
        <v>4234.18124686188</v>
      </c>
      <c r="AX2306" s="2">
        <v>3088.8220382628801</v>
      </c>
    </row>
    <row r="2307" spans="1:50" x14ac:dyDescent="0.25">
      <c r="A2307" s="2" t="s">
        <v>15572</v>
      </c>
      <c r="B2307" s="2">
        <v>285.12618810272397</v>
      </c>
      <c r="C2307" s="2">
        <v>7.6785666666666703</v>
      </c>
      <c r="D2307" s="2" t="s">
        <v>51</v>
      </c>
      <c r="E2307" s="2" t="s">
        <v>15573</v>
      </c>
      <c r="F2307" s="2">
        <v>211748</v>
      </c>
      <c r="G2307" s="3" t="str">
        <f>HYPERLINK("https://cloud.oebiotech.com/#/lm/network/211748", "https://cloud.oebiotech.com/#/lm/network/211748")</f>
        <v>https://cloud.oebiotech.com/#/lm/network/211748</v>
      </c>
      <c r="H2307" s="2" t="s">
        <v>15574</v>
      </c>
      <c r="I2307" s="2">
        <v>72766</v>
      </c>
      <c r="J2307" s="2"/>
      <c r="K2307" s="2">
        <v>9037</v>
      </c>
      <c r="L2307" s="2" t="s">
        <v>15575</v>
      </c>
      <c r="M2307" s="2"/>
      <c r="N2307" s="2"/>
      <c r="O2307" s="2"/>
      <c r="P2307" s="2"/>
      <c r="Q2307" s="2"/>
      <c r="R2307" s="2" t="s">
        <v>15576</v>
      </c>
      <c r="S2307" s="2" t="s">
        <v>15577</v>
      </c>
      <c r="T2307" s="2" t="s">
        <v>15578</v>
      </c>
      <c r="U2307" s="2" t="s">
        <v>103</v>
      </c>
      <c r="V2307" s="2" t="s">
        <v>1567</v>
      </c>
      <c r="W2307" s="2" t="s">
        <v>15579</v>
      </c>
      <c r="X2307" s="2" t="s">
        <v>147</v>
      </c>
      <c r="Y2307" s="2">
        <v>38.5</v>
      </c>
      <c r="Z2307" s="2">
        <v>0</v>
      </c>
      <c r="AA2307" s="2" t="s">
        <v>163</v>
      </c>
      <c r="AB2307" s="2" t="s">
        <v>15580</v>
      </c>
      <c r="AC2307" s="2">
        <v>3.8465664953727901</v>
      </c>
      <c r="AD2307" s="2"/>
      <c r="AE2307" s="2">
        <v>0.28270485149499402</v>
      </c>
      <c r="AF2307" s="2">
        <v>24203.717316620801</v>
      </c>
      <c r="AG2307" s="2">
        <v>27103.219664697699</v>
      </c>
      <c r="AH2307" s="4">
        <v>0.89302000338160703</v>
      </c>
      <c r="AI2307" s="4">
        <v>-0.16323560324049599</v>
      </c>
      <c r="AJ2307" s="4" t="s">
        <v>62</v>
      </c>
      <c r="AK2307" s="2">
        <v>0.203158987134957</v>
      </c>
      <c r="AL2307" s="2">
        <v>0.52785772718610202</v>
      </c>
      <c r="AM2307" s="2">
        <v>20416.733507906702</v>
      </c>
      <c r="AN2307" s="2">
        <v>21967.569198897101</v>
      </c>
      <c r="AO2307" s="2">
        <v>26325.386502095502</v>
      </c>
      <c r="AP2307" s="2">
        <v>23430.837818966898</v>
      </c>
      <c r="AQ2307" s="2">
        <v>31288.3456758965</v>
      </c>
      <c r="AR2307" s="2">
        <v>21793.431195961999</v>
      </c>
      <c r="AS2307" s="2">
        <v>26802.063015045002</v>
      </c>
      <c r="AT2307" s="2">
        <v>30894.755210935498</v>
      </c>
      <c r="AU2307" s="2">
        <v>21931.287921067</v>
      </c>
      <c r="AV2307" s="2">
        <v>27468.377160049698</v>
      </c>
      <c r="AW2307" s="2">
        <v>25177.809677327299</v>
      </c>
      <c r="AX2307" s="2">
        <v>30345.025003761799</v>
      </c>
    </row>
    <row r="2308" spans="1:50" x14ac:dyDescent="0.25">
      <c r="A2308" s="2" t="s">
        <v>15581</v>
      </c>
      <c r="B2308" s="2">
        <v>365.19706779934597</v>
      </c>
      <c r="C2308" s="2">
        <v>7.3238666666666701</v>
      </c>
      <c r="D2308" s="2" t="s">
        <v>51</v>
      </c>
      <c r="E2308" s="2" t="s">
        <v>15582</v>
      </c>
      <c r="F2308" s="2">
        <v>35891</v>
      </c>
      <c r="G2308" s="3" t="str">
        <f>HYPERLINK("https://cloud.oebiotech.com/#/lm/network/35891", "https://cloud.oebiotech.com/#/lm/network/35891")</f>
        <v>https://cloud.oebiotech.com/#/lm/network/35891</v>
      </c>
      <c r="H2308" s="2"/>
      <c r="I2308" s="2"/>
      <c r="J2308" s="2" t="s">
        <v>15583</v>
      </c>
      <c r="K2308" s="2">
        <v>21778843</v>
      </c>
      <c r="L2308" s="2"/>
      <c r="M2308" s="2"/>
      <c r="N2308" s="2"/>
      <c r="O2308" s="2"/>
      <c r="P2308" s="2"/>
      <c r="Q2308" s="2"/>
      <c r="R2308" s="2"/>
      <c r="S2308" s="2" t="s">
        <v>15584</v>
      </c>
      <c r="T2308" s="2" t="s">
        <v>15585</v>
      </c>
      <c r="U2308" s="2" t="s">
        <v>266</v>
      </c>
      <c r="V2308" s="2" t="s">
        <v>10648</v>
      </c>
      <c r="W2308" s="2" t="s">
        <v>10649</v>
      </c>
      <c r="X2308" s="2" t="s">
        <v>59</v>
      </c>
      <c r="Y2308" s="2">
        <v>48</v>
      </c>
      <c r="Z2308" s="2">
        <v>53.9</v>
      </c>
      <c r="AA2308" s="2" t="s">
        <v>259</v>
      </c>
      <c r="AB2308" s="2" t="s">
        <v>15586</v>
      </c>
      <c r="AC2308" s="2">
        <v>3.3025527519569899</v>
      </c>
      <c r="AD2308" s="2"/>
      <c r="AE2308" s="2">
        <v>0.282537181108175</v>
      </c>
      <c r="AF2308" s="2">
        <v>4565.4511652748497</v>
      </c>
      <c r="AG2308" s="2">
        <v>2489.7076755645398</v>
      </c>
      <c r="AH2308" s="5">
        <v>1.8337298029334399</v>
      </c>
      <c r="AI2308" s="5">
        <v>0.87478107585464204</v>
      </c>
      <c r="AJ2308" s="5" t="s">
        <v>139</v>
      </c>
      <c r="AK2308" s="2">
        <v>1.51453860020255E-2</v>
      </c>
      <c r="AL2308" s="2">
        <v>0.19675745447270299</v>
      </c>
      <c r="AM2308" s="2">
        <v>3014.3277013314801</v>
      </c>
      <c r="AN2308" s="2">
        <v>6523.43675578272</v>
      </c>
      <c r="AO2308" s="2">
        <v>5586.4416547015499</v>
      </c>
      <c r="AP2308" s="2">
        <v>3848.3211905876001</v>
      </c>
      <c r="AQ2308" s="2">
        <v>3878.7999495224199</v>
      </c>
      <c r="AR2308" s="2">
        <v>4541.3797397233102</v>
      </c>
      <c r="AS2308" s="2">
        <v>3504.8172958205701</v>
      </c>
      <c r="AT2308" s="2">
        <v>1397.53571308716</v>
      </c>
      <c r="AU2308" s="2">
        <v>4044.3666682789399</v>
      </c>
      <c r="AV2308" s="2">
        <v>1009.93487424776</v>
      </c>
      <c r="AW2308" s="2">
        <v>2497.4711684569402</v>
      </c>
      <c r="AX2308" s="2">
        <v>2484.12033349587</v>
      </c>
    </row>
    <row r="2309" spans="1:50" x14ac:dyDescent="0.25">
      <c r="A2309" s="2" t="s">
        <v>15587</v>
      </c>
      <c r="B2309" s="2">
        <v>384.309581015655</v>
      </c>
      <c r="C2309" s="2">
        <v>7.9849666666666703</v>
      </c>
      <c r="D2309" s="2" t="s">
        <v>51</v>
      </c>
      <c r="E2309" s="2" t="s">
        <v>15588</v>
      </c>
      <c r="F2309" s="2">
        <v>203533</v>
      </c>
      <c r="G2309" s="3" t="str">
        <f>HYPERLINK("https://cloud.oebiotech.com/#/lm/network/203533", "https://cloud.oebiotech.com/#/lm/network/203533")</f>
        <v>https://cloud.oebiotech.com/#/lm/network/203533</v>
      </c>
      <c r="H2309" s="2" t="s">
        <v>15589</v>
      </c>
      <c r="I2309" s="2"/>
      <c r="J2309" s="2"/>
      <c r="K2309" s="2">
        <v>18448140</v>
      </c>
      <c r="L2309" s="2"/>
      <c r="M2309" s="2"/>
      <c r="N2309" s="2"/>
      <c r="O2309" s="2"/>
      <c r="P2309" s="2"/>
      <c r="Q2309" s="2"/>
      <c r="R2309" s="2"/>
      <c r="S2309" s="2" t="s">
        <v>15590</v>
      </c>
      <c r="T2309" s="2" t="s">
        <v>15591</v>
      </c>
      <c r="U2309" s="2" t="s">
        <v>103</v>
      </c>
      <c r="V2309" s="2" t="s">
        <v>104</v>
      </c>
      <c r="W2309" s="2" t="s">
        <v>105</v>
      </c>
      <c r="X2309" s="2" t="s">
        <v>147</v>
      </c>
      <c r="Y2309" s="2">
        <v>40.5</v>
      </c>
      <c r="Z2309" s="2">
        <v>11</v>
      </c>
      <c r="AA2309" s="2" t="s">
        <v>156</v>
      </c>
      <c r="AB2309" s="2" t="s">
        <v>15592</v>
      </c>
      <c r="AC2309" s="2">
        <v>3.5661147640226099</v>
      </c>
      <c r="AD2309" s="2"/>
      <c r="AE2309" s="2">
        <v>0.28246801551071299</v>
      </c>
      <c r="AF2309" s="2">
        <v>734.822278767027</v>
      </c>
      <c r="AG2309" s="2">
        <v>4684.5998677457101</v>
      </c>
      <c r="AH2309" s="4">
        <v>0.15685913408024599</v>
      </c>
      <c r="AI2309" s="4">
        <v>-2.6724585535375902</v>
      </c>
      <c r="AJ2309" s="4" t="s">
        <v>62</v>
      </c>
      <c r="AK2309" s="2">
        <v>0.30298062326590303</v>
      </c>
      <c r="AL2309" s="2">
        <v>0.61266892381800597</v>
      </c>
      <c r="AM2309" s="2">
        <v>319.65286104149402</v>
      </c>
      <c r="AN2309" s="2">
        <v>412.35418220494802</v>
      </c>
      <c r="AO2309" s="2">
        <v>194.53699564292901</v>
      </c>
      <c r="AP2309" s="2">
        <v>2971.77451527216</v>
      </c>
      <c r="AQ2309" s="2">
        <v>269.08805394009102</v>
      </c>
      <c r="AR2309" s="2">
        <v>241.52706450054001</v>
      </c>
      <c r="AS2309" s="2">
        <v>351.85485511861202</v>
      </c>
      <c r="AT2309" s="2">
        <v>4576.2023560162397</v>
      </c>
      <c r="AU2309" s="2">
        <v>303.203928562481</v>
      </c>
      <c r="AV2309" s="2">
        <v>193.25521278758899</v>
      </c>
      <c r="AW2309" s="2">
        <v>295.14062860431102</v>
      </c>
      <c r="AX2309" s="2">
        <v>22387.942225384999</v>
      </c>
    </row>
    <row r="2310" spans="1:50" x14ac:dyDescent="0.25">
      <c r="A2310" s="2" t="s">
        <v>15593</v>
      </c>
      <c r="B2310" s="2">
        <v>353.23222545138799</v>
      </c>
      <c r="C2310" s="2">
        <v>7.9849666666666703</v>
      </c>
      <c r="D2310" s="2" t="s">
        <v>51</v>
      </c>
      <c r="E2310" s="2" t="s">
        <v>15594</v>
      </c>
      <c r="F2310" s="2">
        <v>3651</v>
      </c>
      <c r="G2310" s="3" t="str">
        <f>HYPERLINK("https://cloud.oebiotech.com/#/lm/network/3651", "https://cloud.oebiotech.com/#/lm/network/3651")</f>
        <v>https://cloud.oebiotech.com/#/lm/network/3651</v>
      </c>
      <c r="H2310" s="2" t="s">
        <v>15595</v>
      </c>
      <c r="I2310" s="2">
        <v>3817</v>
      </c>
      <c r="J2310" s="2" t="s">
        <v>15596</v>
      </c>
      <c r="K2310" s="2">
        <v>5283036</v>
      </c>
      <c r="L2310" s="2"/>
      <c r="M2310" s="2"/>
      <c r="N2310" s="2"/>
      <c r="O2310" s="2"/>
      <c r="P2310" s="2"/>
      <c r="Q2310" s="2"/>
      <c r="R2310" s="2" t="s">
        <v>15597</v>
      </c>
      <c r="S2310" s="2" t="s">
        <v>15598</v>
      </c>
      <c r="T2310" s="2" t="s">
        <v>15599</v>
      </c>
      <c r="U2310" s="2" t="s">
        <v>56</v>
      </c>
      <c r="V2310" s="2" t="s">
        <v>145</v>
      </c>
      <c r="W2310" s="2" t="s">
        <v>187</v>
      </c>
      <c r="X2310" s="2" t="s">
        <v>83</v>
      </c>
      <c r="Y2310" s="2">
        <v>45.8</v>
      </c>
      <c r="Z2310" s="2">
        <v>9.1999999999999993</v>
      </c>
      <c r="AA2310" s="2" t="s">
        <v>259</v>
      </c>
      <c r="AB2310" s="2" t="s">
        <v>380</v>
      </c>
      <c r="AC2310" s="2">
        <v>-7.1274481397179804E-2</v>
      </c>
      <c r="AD2310" s="2"/>
      <c r="AE2310" s="2">
        <v>0.28245583580373801</v>
      </c>
      <c r="AF2310" s="2">
        <v>5881.3520226691599</v>
      </c>
      <c r="AG2310" s="2">
        <v>3586.8771312938402</v>
      </c>
      <c r="AH2310" s="5">
        <v>1.6396859461276501</v>
      </c>
      <c r="AI2310" s="5">
        <v>0.71341951767768996</v>
      </c>
      <c r="AJ2310" s="5" t="s">
        <v>139</v>
      </c>
      <c r="AK2310" s="2">
        <v>2.11266004641474E-2</v>
      </c>
      <c r="AL2310" s="2">
        <v>0.226887413522771</v>
      </c>
      <c r="AM2310" s="2">
        <v>4437.5745727183303</v>
      </c>
      <c r="AN2310" s="2">
        <v>7224.6980159225304</v>
      </c>
      <c r="AO2310" s="2">
        <v>5145.2872604718996</v>
      </c>
      <c r="AP2310" s="2">
        <v>5305.2162587094799</v>
      </c>
      <c r="AQ2310" s="2">
        <v>7306.7279829404697</v>
      </c>
      <c r="AR2310" s="2">
        <v>5868.6080452522601</v>
      </c>
      <c r="AS2310" s="2">
        <v>3659.30060217342</v>
      </c>
      <c r="AT2310" s="2">
        <v>2457.3506453592099</v>
      </c>
      <c r="AU2310" s="2">
        <v>5727.1490085505602</v>
      </c>
      <c r="AV2310" s="2">
        <v>2568.2653553138298</v>
      </c>
      <c r="AW2310" s="2">
        <v>5486.8080728384703</v>
      </c>
      <c r="AX2310" s="2">
        <v>1622.3891035275501</v>
      </c>
    </row>
    <row r="2311" spans="1:50" x14ac:dyDescent="0.25">
      <c r="A2311" s="2" t="s">
        <v>15600</v>
      </c>
      <c r="B2311" s="2">
        <v>291.23260103065201</v>
      </c>
      <c r="C2311" s="2">
        <v>11.371549999999999</v>
      </c>
      <c r="D2311" s="2" t="s">
        <v>51</v>
      </c>
      <c r="E2311" s="2" t="s">
        <v>15601</v>
      </c>
      <c r="F2311" s="2">
        <v>35170</v>
      </c>
      <c r="G2311" s="3" t="str">
        <f>HYPERLINK("https://cloud.oebiotech.com/#/lm/network/35170", "https://cloud.oebiotech.com/#/lm/network/35170")</f>
        <v>https://cloud.oebiotech.com/#/lm/network/35170</v>
      </c>
      <c r="H2311" s="2"/>
      <c r="I2311" s="2"/>
      <c r="J2311" s="2" t="s">
        <v>15602</v>
      </c>
      <c r="K2311" s="2">
        <v>6454482</v>
      </c>
      <c r="L2311" s="2"/>
      <c r="M2311" s="2"/>
      <c r="N2311" s="2"/>
      <c r="O2311" s="2"/>
      <c r="P2311" s="2"/>
      <c r="Q2311" s="2"/>
      <c r="R2311" s="2"/>
      <c r="S2311" s="2" t="s">
        <v>15603</v>
      </c>
      <c r="T2311" s="2" t="s">
        <v>15604</v>
      </c>
      <c r="U2311" s="2" t="s">
        <v>610</v>
      </c>
      <c r="V2311" s="2" t="s">
        <v>895</v>
      </c>
      <c r="W2311" s="2" t="s">
        <v>5219</v>
      </c>
      <c r="X2311" s="2" t="s">
        <v>83</v>
      </c>
      <c r="Y2311" s="2">
        <v>42.2</v>
      </c>
      <c r="Z2311" s="2">
        <v>0</v>
      </c>
      <c r="AA2311" s="2" t="s">
        <v>259</v>
      </c>
      <c r="AB2311" s="2" t="s">
        <v>15605</v>
      </c>
      <c r="AC2311" s="2">
        <v>2.5649013986279399</v>
      </c>
      <c r="AD2311" s="2"/>
      <c r="AE2311" s="2">
        <v>0.28240897612317301</v>
      </c>
      <c r="AF2311" s="2">
        <v>3938.3842554061398</v>
      </c>
      <c r="AG2311" s="2">
        <v>6867.4954581772599</v>
      </c>
      <c r="AH2311" s="4">
        <v>0.573481887158241</v>
      </c>
      <c r="AI2311" s="4">
        <v>-0.80218017398129904</v>
      </c>
      <c r="AJ2311" s="4" t="s">
        <v>62</v>
      </c>
      <c r="AK2311" s="2">
        <v>0.14376339323437001</v>
      </c>
      <c r="AL2311" s="2">
        <v>0.46691644728252502</v>
      </c>
      <c r="AM2311" s="2">
        <v>2906.8997966350698</v>
      </c>
      <c r="AN2311" s="2">
        <v>9931.1231213795199</v>
      </c>
      <c r="AO2311" s="2">
        <v>3311.56633321461</v>
      </c>
      <c r="AP2311" s="2">
        <v>2949.5317650274001</v>
      </c>
      <c r="AQ2311" s="2">
        <v>1503.89359156877</v>
      </c>
      <c r="AR2311" s="2">
        <v>3027.29092461149</v>
      </c>
      <c r="AS2311" s="2">
        <v>5770.8718988273404</v>
      </c>
      <c r="AT2311" s="2">
        <v>2551.6873081069298</v>
      </c>
      <c r="AU2311" s="2">
        <v>5603.23406210334</v>
      </c>
      <c r="AV2311" s="2">
        <v>6254.4715818100703</v>
      </c>
      <c r="AW2311" s="2">
        <v>8412.9424799321896</v>
      </c>
      <c r="AX2311" s="2">
        <v>12611.7654182837</v>
      </c>
    </row>
    <row r="2312" spans="1:50" x14ac:dyDescent="0.25">
      <c r="A2312" s="2" t="s">
        <v>15606</v>
      </c>
      <c r="B2312" s="2">
        <v>262.119716674053</v>
      </c>
      <c r="C2312" s="2">
        <v>3.9837333333333298</v>
      </c>
      <c r="D2312" s="2" t="s">
        <v>51</v>
      </c>
      <c r="E2312" s="2" t="s">
        <v>15607</v>
      </c>
      <c r="F2312" s="2">
        <v>266127</v>
      </c>
      <c r="G2312" s="3" t="str">
        <f>HYPERLINK("https://cloud.oebiotech.com/#/lm/network/266127", "https://cloud.oebiotech.com/#/lm/network/266127")</f>
        <v>https://cloud.oebiotech.com/#/lm/network/266127</v>
      </c>
      <c r="H2312" s="2"/>
      <c r="I2312" s="2">
        <v>23680</v>
      </c>
      <c r="J2312" s="2"/>
      <c r="K2312" s="2">
        <v>1551340</v>
      </c>
      <c r="L2312" s="2"/>
      <c r="M2312" s="2"/>
      <c r="N2312" s="2"/>
      <c r="O2312" s="2"/>
      <c r="P2312" s="2"/>
      <c r="Q2312" s="2"/>
      <c r="R2312" s="2"/>
      <c r="S2312" s="2" t="s">
        <v>15608</v>
      </c>
      <c r="T2312" s="2" t="s">
        <v>15609</v>
      </c>
      <c r="U2312" s="2" t="s">
        <v>103</v>
      </c>
      <c r="V2312" s="2" t="s">
        <v>104</v>
      </c>
      <c r="W2312" s="2" t="s">
        <v>105</v>
      </c>
      <c r="X2312" s="2" t="s">
        <v>83</v>
      </c>
      <c r="Y2312" s="2">
        <v>41.7</v>
      </c>
      <c r="Z2312" s="2">
        <v>0</v>
      </c>
      <c r="AA2312" s="2" t="s">
        <v>259</v>
      </c>
      <c r="AB2312" s="2" t="s">
        <v>15610</v>
      </c>
      <c r="AC2312" s="2">
        <v>4.2085032274321303</v>
      </c>
      <c r="AD2312" s="2"/>
      <c r="AE2312" s="2">
        <v>0.28221267114364301</v>
      </c>
      <c r="AF2312" s="2">
        <v>4289.3724173458304</v>
      </c>
      <c r="AG2312" s="2">
        <v>2104.1875217056299</v>
      </c>
      <c r="AH2312" s="5">
        <v>2.0384934199538001</v>
      </c>
      <c r="AI2312" s="5">
        <v>1.0275032999634</v>
      </c>
      <c r="AJ2312" s="5" t="s">
        <v>139</v>
      </c>
      <c r="AK2312" s="2">
        <v>8.3329330209579097E-3</v>
      </c>
      <c r="AL2312" s="2">
        <v>0.14991704044068799</v>
      </c>
      <c r="AM2312" s="2">
        <v>2709.0349763918298</v>
      </c>
      <c r="AN2312" s="2">
        <v>3413.4788671602901</v>
      </c>
      <c r="AO2312" s="2">
        <v>4726.7396224593804</v>
      </c>
      <c r="AP2312" s="2">
        <v>5359.7796482726499</v>
      </c>
      <c r="AQ2312" s="2">
        <v>5037.4693934813404</v>
      </c>
      <c r="AR2312" s="2">
        <v>4489.7319963094797</v>
      </c>
      <c r="AS2312" s="2">
        <v>1127.4086496525799</v>
      </c>
      <c r="AT2312" s="2">
        <v>1590.1005438557099</v>
      </c>
      <c r="AU2312" s="2">
        <v>4599.30775408502</v>
      </c>
      <c r="AV2312" s="2">
        <v>1980.05417775049</v>
      </c>
      <c r="AW2312" s="2">
        <v>1281.70793050876</v>
      </c>
      <c r="AX2312" s="2">
        <v>2046.54607438124</v>
      </c>
    </row>
    <row r="2313" spans="1:50" x14ac:dyDescent="0.25">
      <c r="A2313" s="2" t="s">
        <v>15611</v>
      </c>
      <c r="B2313" s="2">
        <v>458.34832058514598</v>
      </c>
      <c r="C2313" s="2">
        <v>11.493266666666701</v>
      </c>
      <c r="D2313" s="2" t="s">
        <v>51</v>
      </c>
      <c r="E2313" s="2" t="s">
        <v>15612</v>
      </c>
      <c r="F2313" s="2">
        <v>256064</v>
      </c>
      <c r="G2313" s="3" t="str">
        <f>HYPERLINK("https://cloud.oebiotech.com/#/lm/network/256064", "https://cloud.oebiotech.com/#/lm/network/256064")</f>
        <v>https://cloud.oebiotech.com/#/lm/network/256064</v>
      </c>
      <c r="H2313" s="2" t="s">
        <v>15613</v>
      </c>
      <c r="I2313" s="2"/>
      <c r="J2313" s="2"/>
      <c r="K2313" s="2">
        <v>108335</v>
      </c>
      <c r="L2313" s="2"/>
      <c r="M2313" s="2"/>
      <c r="N2313" s="2"/>
      <c r="O2313" s="2"/>
      <c r="P2313" s="2"/>
      <c r="Q2313" s="2"/>
      <c r="R2313" s="2"/>
      <c r="S2313" s="2" t="s">
        <v>15614</v>
      </c>
      <c r="T2313" s="2" t="s">
        <v>15615</v>
      </c>
      <c r="U2313" s="2" t="s">
        <v>56</v>
      </c>
      <c r="V2313" s="2" t="s">
        <v>3215</v>
      </c>
      <c r="W2313" s="2" t="s">
        <v>12389</v>
      </c>
      <c r="X2313" s="2" t="s">
        <v>147</v>
      </c>
      <c r="Y2313" s="2">
        <v>37</v>
      </c>
      <c r="Z2313" s="2">
        <v>0</v>
      </c>
      <c r="AA2313" s="2" t="s">
        <v>526</v>
      </c>
      <c r="AB2313" s="2" t="s">
        <v>15616</v>
      </c>
      <c r="AC2313" s="2">
        <v>1.60323551915119</v>
      </c>
      <c r="AD2313" s="2"/>
      <c r="AE2313" s="2">
        <v>0.28220011999782901</v>
      </c>
      <c r="AF2313" s="2">
        <v>17042.3885356512</v>
      </c>
      <c r="AG2313" s="2">
        <v>24546.790115517299</v>
      </c>
      <c r="AH2313" s="4">
        <v>0.69428175559613603</v>
      </c>
      <c r="AI2313" s="4">
        <v>-0.52640683423204904</v>
      </c>
      <c r="AJ2313" s="4" t="s">
        <v>62</v>
      </c>
      <c r="AK2313" s="2">
        <v>0.50951206699596396</v>
      </c>
      <c r="AL2313" s="2">
        <v>0.74378488855545599</v>
      </c>
      <c r="AM2313" s="2">
        <v>10647.8563986098</v>
      </c>
      <c r="AN2313" s="2">
        <v>4029.3257780796898</v>
      </c>
      <c r="AO2313" s="2">
        <v>29139.475884248601</v>
      </c>
      <c r="AP2313" s="2">
        <v>5545.2997591696903</v>
      </c>
      <c r="AQ2313" s="2">
        <v>42683.802039128299</v>
      </c>
      <c r="AR2313" s="2">
        <v>10208.571354671099</v>
      </c>
      <c r="AS2313" s="2">
        <v>10961.635075640001</v>
      </c>
      <c r="AT2313" s="2">
        <v>4009.1429316745098</v>
      </c>
      <c r="AU2313" s="2">
        <v>62322.674833425997</v>
      </c>
      <c r="AV2313" s="2">
        <v>32765.565099679399</v>
      </c>
      <c r="AW2313" s="2">
        <v>29718.228640363901</v>
      </c>
      <c r="AX2313" s="2">
        <v>7503.4941123197204</v>
      </c>
    </row>
    <row r="2314" spans="1:50" x14ac:dyDescent="0.25">
      <c r="A2314" s="2" t="s">
        <v>15617</v>
      </c>
      <c r="B2314" s="2">
        <v>575.27462147076994</v>
      </c>
      <c r="C2314" s="2">
        <v>3.5649500000000001</v>
      </c>
      <c r="D2314" s="2" t="s">
        <v>51</v>
      </c>
      <c r="E2314" s="2" t="s">
        <v>15618</v>
      </c>
      <c r="F2314" s="2">
        <v>23686</v>
      </c>
      <c r="G2314" s="3" t="str">
        <f>HYPERLINK("https://cloud.oebiotech.com/#/lm/network/23686", "https://cloud.oebiotech.com/#/lm/network/23686")</f>
        <v>https://cloud.oebiotech.com/#/lm/network/23686</v>
      </c>
      <c r="H2314" s="2"/>
      <c r="I2314" s="2">
        <v>80012</v>
      </c>
      <c r="J2314" s="2" t="s">
        <v>15619</v>
      </c>
      <c r="K2314" s="2">
        <v>52927447</v>
      </c>
      <c r="L2314" s="2"/>
      <c r="M2314" s="2"/>
      <c r="N2314" s="2"/>
      <c r="O2314" s="2"/>
      <c r="P2314" s="2"/>
      <c r="Q2314" s="2"/>
      <c r="R2314" s="2"/>
      <c r="S2314" s="2" t="s">
        <v>15620</v>
      </c>
      <c r="T2314" s="2" t="s">
        <v>15621</v>
      </c>
      <c r="U2314" s="2" t="s">
        <v>56</v>
      </c>
      <c r="V2314" s="2" t="s">
        <v>57</v>
      </c>
      <c r="W2314" s="2" t="s">
        <v>570</v>
      </c>
      <c r="X2314" s="2" t="s">
        <v>147</v>
      </c>
      <c r="Y2314" s="2">
        <v>41.3</v>
      </c>
      <c r="Z2314" s="2">
        <v>24.2</v>
      </c>
      <c r="AA2314" s="2" t="s">
        <v>395</v>
      </c>
      <c r="AB2314" s="2" t="s">
        <v>15622</v>
      </c>
      <c r="AC2314" s="2">
        <v>8.1320849493725395E-2</v>
      </c>
      <c r="AD2314" s="2"/>
      <c r="AE2314" s="2">
        <v>0.28197161171137602</v>
      </c>
      <c r="AF2314" s="2">
        <v>3976.4850513593601</v>
      </c>
      <c r="AG2314" s="2">
        <v>9069.4753523569107</v>
      </c>
      <c r="AH2314" s="4">
        <v>0.438447087275669</v>
      </c>
      <c r="AI2314" s="4">
        <v>-1.1895253492094999</v>
      </c>
      <c r="AJ2314" s="4" t="s">
        <v>62</v>
      </c>
      <c r="AK2314" s="2">
        <v>0.43027923304593102</v>
      </c>
      <c r="AL2314" s="2">
        <v>0.68819175824183598</v>
      </c>
      <c r="AM2314" s="2">
        <v>15199.6937059917</v>
      </c>
      <c r="AN2314" s="2">
        <v>8.559877937157E-6</v>
      </c>
      <c r="AO2314" s="2">
        <v>1537.7667401567201</v>
      </c>
      <c r="AP2314" s="2">
        <v>8.559877937157E-6</v>
      </c>
      <c r="AQ2314" s="2">
        <v>2418.4664721079998</v>
      </c>
      <c r="AR2314" s="2">
        <v>4702.9833727799896</v>
      </c>
      <c r="AS2314" s="2">
        <v>8.559877937157E-6</v>
      </c>
      <c r="AT2314" s="2">
        <v>8.559877937157E-6</v>
      </c>
      <c r="AU2314" s="2">
        <v>1669.1510504263099</v>
      </c>
      <c r="AV2314" s="2">
        <v>35882.377796236397</v>
      </c>
      <c r="AW2314" s="2">
        <v>13246.9313856275</v>
      </c>
      <c r="AX2314" s="2">
        <v>3618.3918647315199</v>
      </c>
    </row>
    <row r="2315" spans="1:50" x14ac:dyDescent="0.25">
      <c r="A2315" s="2" t="s">
        <v>15623</v>
      </c>
      <c r="B2315" s="2">
        <v>79.022499999999994</v>
      </c>
      <c r="C2315" s="2">
        <v>19.596</v>
      </c>
      <c r="D2315" s="2" t="s">
        <v>125</v>
      </c>
      <c r="E2315" s="2" t="s">
        <v>15624</v>
      </c>
      <c r="F2315" s="2">
        <v>35674</v>
      </c>
      <c r="G2315" s="3" t="str">
        <f>HYPERLINK("https://cloud.oebiotech.com/#/lm/network/35674", "https://cloud.oebiotech.com/#/lm/network/35674")</f>
        <v>https://cloud.oebiotech.com/#/lm/network/35674</v>
      </c>
      <c r="H2315" s="2"/>
      <c r="I2315" s="2">
        <v>53458</v>
      </c>
      <c r="J2315" s="2" t="s">
        <v>15625</v>
      </c>
      <c r="K2315" s="2">
        <v>6440940</v>
      </c>
      <c r="L2315" s="2" t="s">
        <v>15626</v>
      </c>
      <c r="M2315" s="2"/>
      <c r="N2315" s="2"/>
      <c r="O2315" s="2">
        <v>9921</v>
      </c>
      <c r="P2315" s="2"/>
      <c r="Q2315" s="2"/>
      <c r="R2315" s="2"/>
      <c r="S2315" s="2" t="s">
        <v>15627</v>
      </c>
      <c r="T2315" s="2" t="s">
        <v>15628</v>
      </c>
      <c r="U2315" s="2" t="s">
        <v>56</v>
      </c>
      <c r="V2315" s="2" t="s">
        <v>177</v>
      </c>
      <c r="W2315" s="2" t="s">
        <v>1996</v>
      </c>
      <c r="X2315" s="2" t="s">
        <v>59</v>
      </c>
      <c r="Y2315" s="2">
        <v>70.099999999999994</v>
      </c>
      <c r="Z2315" s="2">
        <v>50.2</v>
      </c>
      <c r="AA2315" s="2"/>
      <c r="AB2315" s="2" t="s">
        <v>4027</v>
      </c>
      <c r="AC2315" s="2"/>
      <c r="AD2315" s="2">
        <v>657363.96451986104</v>
      </c>
      <c r="AE2315" s="2">
        <v>0.28196212929574299</v>
      </c>
      <c r="AF2315" s="2">
        <v>272867.18053282402</v>
      </c>
      <c r="AG2315" s="2">
        <v>312830.48096095398</v>
      </c>
      <c r="AH2315" s="4">
        <v>0.87225253656430601</v>
      </c>
      <c r="AI2315" s="4">
        <v>-0.19718220701523401</v>
      </c>
      <c r="AJ2315" s="4" t="s">
        <v>62</v>
      </c>
      <c r="AK2315" s="2">
        <v>0.432792564891747</v>
      </c>
      <c r="AL2315" s="2">
        <v>0.69053734419841595</v>
      </c>
      <c r="AM2315" s="2">
        <v>333501.87121421902</v>
      </c>
      <c r="AN2315" s="2">
        <v>352173.74430489598</v>
      </c>
      <c r="AO2315" s="2">
        <v>316898.07703886001</v>
      </c>
      <c r="AP2315" s="2">
        <v>231423.94031896701</v>
      </c>
      <c r="AQ2315" s="2">
        <v>181004.043289461</v>
      </c>
      <c r="AR2315" s="2">
        <v>222201.40703054299</v>
      </c>
      <c r="AS2315" s="2">
        <v>425189.393547046</v>
      </c>
      <c r="AT2315" s="2">
        <v>140946.59362450699</v>
      </c>
      <c r="AU2315" s="2">
        <v>375423.26339372102</v>
      </c>
      <c r="AV2315" s="2">
        <v>288489.24908899702</v>
      </c>
      <c r="AW2315" s="2">
        <v>313679.44500603102</v>
      </c>
      <c r="AX2315" s="2">
        <v>333254.94110542402</v>
      </c>
    </row>
    <row r="2316" spans="1:50" x14ac:dyDescent="0.25">
      <c r="A2316" s="2" t="s">
        <v>15629</v>
      </c>
      <c r="B2316" s="2">
        <v>315.19679525854502</v>
      </c>
      <c r="C2316" s="2">
        <v>11.2763333333333</v>
      </c>
      <c r="D2316" s="2" t="s">
        <v>51</v>
      </c>
      <c r="E2316" s="2" t="s">
        <v>15630</v>
      </c>
      <c r="F2316" s="2">
        <v>3650</v>
      </c>
      <c r="G2316" s="3" t="str">
        <f>HYPERLINK("https://cloud.oebiotech.com/#/lm/network/3650", "https://cloud.oebiotech.com/#/lm/network/3650")</f>
        <v>https://cloud.oebiotech.com/#/lm/network/3650</v>
      </c>
      <c r="H2316" s="2" t="s">
        <v>15631</v>
      </c>
      <c r="I2316" s="2"/>
      <c r="J2316" s="2" t="s">
        <v>15632</v>
      </c>
      <c r="K2316" s="2">
        <v>5311211</v>
      </c>
      <c r="L2316" s="2" t="s">
        <v>15633</v>
      </c>
      <c r="M2316" s="2" t="s">
        <v>305</v>
      </c>
      <c r="N2316" s="2" t="s">
        <v>306</v>
      </c>
      <c r="O2316" s="2">
        <v>34159</v>
      </c>
      <c r="P2316" s="2" t="s">
        <v>307</v>
      </c>
      <c r="Q2316" s="2" t="s">
        <v>308</v>
      </c>
      <c r="R2316" s="2" t="s">
        <v>15634</v>
      </c>
      <c r="S2316" s="2" t="s">
        <v>15635</v>
      </c>
      <c r="T2316" s="2" t="s">
        <v>15636</v>
      </c>
      <c r="U2316" s="2" t="s">
        <v>56</v>
      </c>
      <c r="V2316" s="2" t="s">
        <v>145</v>
      </c>
      <c r="W2316" s="2" t="s">
        <v>187</v>
      </c>
      <c r="X2316" s="2" t="s">
        <v>83</v>
      </c>
      <c r="Y2316" s="2">
        <v>43.7</v>
      </c>
      <c r="Z2316" s="2">
        <v>0</v>
      </c>
      <c r="AA2316" s="2" t="s">
        <v>163</v>
      </c>
      <c r="AB2316" s="2" t="s">
        <v>708</v>
      </c>
      <c r="AC2316" s="2">
        <v>0.71768230721527604</v>
      </c>
      <c r="AD2316" s="2"/>
      <c r="AE2316" s="2">
        <v>0.28192841866797103</v>
      </c>
      <c r="AF2316" s="2">
        <v>569.686782729995</v>
      </c>
      <c r="AG2316" s="2">
        <v>3325.2437085673</v>
      </c>
      <c r="AH2316" s="4">
        <v>0.17132181357481499</v>
      </c>
      <c r="AI2316" s="4">
        <v>-2.5452192404144101</v>
      </c>
      <c r="AJ2316" s="4" t="s">
        <v>62</v>
      </c>
      <c r="AK2316" s="2">
        <v>7.4059504771578605E-2</v>
      </c>
      <c r="AL2316" s="2">
        <v>0.35747258522671699</v>
      </c>
      <c r="AM2316" s="2">
        <v>656.69492044552806</v>
      </c>
      <c r="AN2316" s="2">
        <v>560.84921642216602</v>
      </c>
      <c r="AO2316" s="2">
        <v>714.95079453534299</v>
      </c>
      <c r="AP2316" s="2">
        <v>229.70954747904</v>
      </c>
      <c r="AQ2316" s="2">
        <v>597.29751032841898</v>
      </c>
      <c r="AR2316" s="2">
        <v>658.61870716947203</v>
      </c>
      <c r="AS2316" s="2">
        <v>484.374876049531</v>
      </c>
      <c r="AT2316" s="2">
        <v>8.559877937157E-6</v>
      </c>
      <c r="AU2316" s="2">
        <v>7851.9323812523498</v>
      </c>
      <c r="AV2316" s="2">
        <v>5536.4293793117304</v>
      </c>
      <c r="AW2316" s="2">
        <v>5532.9883938402099</v>
      </c>
      <c r="AX2316" s="2">
        <v>545.73721239012104</v>
      </c>
    </row>
    <row r="2317" spans="1:50" x14ac:dyDescent="0.25">
      <c r="A2317" s="2" t="s">
        <v>15637</v>
      </c>
      <c r="B2317" s="2">
        <v>573.253435709526</v>
      </c>
      <c r="C2317" s="2">
        <v>3.46308333333333</v>
      </c>
      <c r="D2317" s="2" t="s">
        <v>51</v>
      </c>
      <c r="E2317" s="2" t="s">
        <v>15638</v>
      </c>
      <c r="F2317" s="2">
        <v>211007</v>
      </c>
      <c r="G2317" s="3" t="str">
        <f>HYPERLINK("https://cloud.oebiotech.com/#/lm/network/211007", "https://cloud.oebiotech.com/#/lm/network/211007")</f>
        <v>https://cloud.oebiotech.com/#/lm/network/211007</v>
      </c>
      <c r="H2317" s="2" t="s">
        <v>15639</v>
      </c>
      <c r="I2317" s="2"/>
      <c r="J2317" s="2"/>
      <c r="K2317" s="2"/>
      <c r="L2317" s="2"/>
      <c r="M2317" s="2"/>
      <c r="N2317" s="2"/>
      <c r="O2317" s="2"/>
      <c r="P2317" s="2"/>
      <c r="Q2317" s="2"/>
      <c r="R2317" s="2"/>
      <c r="S2317" s="2" t="s">
        <v>15640</v>
      </c>
      <c r="T2317" s="2" t="s">
        <v>15641</v>
      </c>
      <c r="U2317" s="2" t="s">
        <v>266</v>
      </c>
      <c r="V2317" s="2" t="s">
        <v>2781</v>
      </c>
      <c r="W2317" s="2" t="s">
        <v>2782</v>
      </c>
      <c r="X2317" s="2" t="s">
        <v>147</v>
      </c>
      <c r="Y2317" s="2">
        <v>37.9</v>
      </c>
      <c r="Z2317" s="2">
        <v>0.378</v>
      </c>
      <c r="AA2317" s="2" t="s">
        <v>512</v>
      </c>
      <c r="AB2317" s="2" t="s">
        <v>15642</v>
      </c>
      <c r="AC2317" s="2">
        <v>-1.73313231048178</v>
      </c>
      <c r="AD2317" s="2"/>
      <c r="AE2317" s="2">
        <v>0.28189358926402502</v>
      </c>
      <c r="AF2317" s="2">
        <v>12164.9611273153</v>
      </c>
      <c r="AG2317" s="2">
        <v>18344.440584378299</v>
      </c>
      <c r="AH2317" s="4">
        <v>0.66314156985929895</v>
      </c>
      <c r="AI2317" s="4">
        <v>-0.59261119991718603</v>
      </c>
      <c r="AJ2317" s="4" t="s">
        <v>62</v>
      </c>
      <c r="AK2317" s="2">
        <v>0.70849112538425096</v>
      </c>
      <c r="AL2317" s="2">
        <v>0.86140941974239904</v>
      </c>
      <c r="AM2317" s="2">
        <v>21367.128220831099</v>
      </c>
      <c r="AN2317" s="2">
        <v>8.559877937157E-6</v>
      </c>
      <c r="AO2317" s="2">
        <v>8.559877937157E-6</v>
      </c>
      <c r="AP2317" s="2">
        <v>694.95417655162203</v>
      </c>
      <c r="AQ2317" s="2">
        <v>27063.846376760299</v>
      </c>
      <c r="AR2317" s="2">
        <v>23863.8379726288</v>
      </c>
      <c r="AS2317" s="2">
        <v>8.559877937157E-6</v>
      </c>
      <c r="AT2317" s="2">
        <v>8.559877937157E-6</v>
      </c>
      <c r="AU2317" s="2">
        <v>1420.93261232142</v>
      </c>
      <c r="AV2317" s="2">
        <v>93347.796932979807</v>
      </c>
      <c r="AW2317" s="2">
        <v>2423.4680364795399</v>
      </c>
      <c r="AX2317" s="2">
        <v>12874.4459073693</v>
      </c>
    </row>
    <row r="2318" spans="1:50" x14ac:dyDescent="0.25">
      <c r="A2318" s="2" t="s">
        <v>15643</v>
      </c>
      <c r="B2318" s="2">
        <v>337.23833233727402</v>
      </c>
      <c r="C2318" s="2">
        <v>6.9113499999999997</v>
      </c>
      <c r="D2318" s="2" t="s">
        <v>51</v>
      </c>
      <c r="E2318" s="2" t="s">
        <v>15644</v>
      </c>
      <c r="F2318" s="2">
        <v>197007</v>
      </c>
      <c r="G2318" s="3" t="str">
        <f>HYPERLINK("https://cloud.oebiotech.com/#/lm/network/197007", "https://cloud.oebiotech.com/#/lm/network/197007")</f>
        <v>https://cloud.oebiotech.com/#/lm/network/197007</v>
      </c>
      <c r="H2318" s="2" t="s">
        <v>15645</v>
      </c>
      <c r="I2318" s="2">
        <v>45332</v>
      </c>
      <c r="J2318" s="2"/>
      <c r="K2318" s="2">
        <v>197033</v>
      </c>
      <c r="L2318" s="2"/>
      <c r="M2318" s="2"/>
      <c r="N2318" s="2"/>
      <c r="O2318" s="2"/>
      <c r="P2318" s="2"/>
      <c r="Q2318" s="2"/>
      <c r="R2318" s="2" t="s">
        <v>15646</v>
      </c>
      <c r="S2318" s="2" t="s">
        <v>15647</v>
      </c>
      <c r="T2318" s="2" t="s">
        <v>15648</v>
      </c>
      <c r="U2318" s="2" t="s">
        <v>266</v>
      </c>
      <c r="V2318" s="2" t="s">
        <v>445</v>
      </c>
      <c r="W2318" s="2" t="s">
        <v>9951</v>
      </c>
      <c r="X2318" s="2" t="s">
        <v>147</v>
      </c>
      <c r="Y2318" s="2">
        <v>36.799999999999997</v>
      </c>
      <c r="Z2318" s="2">
        <v>0</v>
      </c>
      <c r="AA2318" s="2" t="s">
        <v>512</v>
      </c>
      <c r="AB2318" s="2" t="s">
        <v>15649</v>
      </c>
      <c r="AC2318" s="2">
        <v>-1.0683073204239799</v>
      </c>
      <c r="AD2318" s="2"/>
      <c r="AE2318" s="2">
        <v>0.28177641638165801</v>
      </c>
      <c r="AF2318" s="2">
        <v>5401.7311064434898</v>
      </c>
      <c r="AG2318" s="2">
        <v>3203.30041406383</v>
      </c>
      <c r="AH2318" s="5">
        <v>1.6863017538809699</v>
      </c>
      <c r="AI2318" s="5">
        <v>0.75386272125902898</v>
      </c>
      <c r="AJ2318" s="5" t="s">
        <v>139</v>
      </c>
      <c r="AK2318" s="2">
        <v>8.7640848631213603E-2</v>
      </c>
      <c r="AL2318" s="2">
        <v>0.38035924608661198</v>
      </c>
      <c r="AM2318" s="2">
        <v>7112.2101414301997</v>
      </c>
      <c r="AN2318" s="2">
        <v>7780.4035415122298</v>
      </c>
      <c r="AO2318" s="2">
        <v>4512.5927324329496</v>
      </c>
      <c r="AP2318" s="2">
        <v>5088.7649660579</v>
      </c>
      <c r="AQ2318" s="2">
        <v>3360.28214114718</v>
      </c>
      <c r="AR2318" s="2">
        <v>4556.1331160804702</v>
      </c>
      <c r="AS2318" s="2">
        <v>3332.6625565234699</v>
      </c>
      <c r="AT2318" s="2">
        <v>579.095394150885</v>
      </c>
      <c r="AU2318" s="2">
        <v>6754.7977937985797</v>
      </c>
      <c r="AV2318" s="2">
        <v>1565.6731886120399</v>
      </c>
      <c r="AW2318" s="2">
        <v>4861.9800385211902</v>
      </c>
      <c r="AX2318" s="2">
        <v>2125.5935127768298</v>
      </c>
    </row>
    <row r="2319" spans="1:50" x14ac:dyDescent="0.25">
      <c r="A2319" s="2" t="s">
        <v>15650</v>
      </c>
      <c r="B2319" s="2">
        <v>421.09957088972902</v>
      </c>
      <c r="C2319" s="2">
        <v>5.6952833333333297</v>
      </c>
      <c r="D2319" s="2" t="s">
        <v>51</v>
      </c>
      <c r="E2319" s="2" t="s">
        <v>15651</v>
      </c>
      <c r="F2319" s="2">
        <v>208865</v>
      </c>
      <c r="G2319" s="3" t="str">
        <f>HYPERLINK("https://cloud.oebiotech.com/#/lm/network/208865", "https://cloud.oebiotech.com/#/lm/network/208865")</f>
        <v>https://cloud.oebiotech.com/#/lm/network/208865</v>
      </c>
      <c r="H2319" s="2" t="s">
        <v>15652</v>
      </c>
      <c r="I2319" s="2"/>
      <c r="J2319" s="2"/>
      <c r="K2319" s="2">
        <v>56842109</v>
      </c>
      <c r="L2319" s="2"/>
      <c r="M2319" s="2"/>
      <c r="N2319" s="2"/>
      <c r="O2319" s="2"/>
      <c r="P2319" s="2"/>
      <c r="Q2319" s="2"/>
      <c r="R2319" s="2"/>
      <c r="S2319" s="2" t="s">
        <v>15653</v>
      </c>
      <c r="T2319" s="2" t="s">
        <v>15654</v>
      </c>
      <c r="U2319" s="2" t="s">
        <v>610</v>
      </c>
      <c r="V2319" s="2" t="s">
        <v>611</v>
      </c>
      <c r="W2319" s="2" t="s">
        <v>1122</v>
      </c>
      <c r="X2319" s="2" t="s">
        <v>147</v>
      </c>
      <c r="Y2319" s="2">
        <v>42.6</v>
      </c>
      <c r="Z2319" s="2">
        <v>28.4</v>
      </c>
      <c r="AA2319" s="2" t="s">
        <v>241</v>
      </c>
      <c r="AB2319" s="2" t="s">
        <v>15655</v>
      </c>
      <c r="AC2319" s="2">
        <v>-4.9963186737708698</v>
      </c>
      <c r="AD2319" s="2"/>
      <c r="AE2319" s="2">
        <v>0.28151051328876597</v>
      </c>
      <c r="AF2319" s="2">
        <v>4563.30278754766</v>
      </c>
      <c r="AG2319" s="2">
        <v>7529.3018366568103</v>
      </c>
      <c r="AH2319" s="4">
        <v>0.60607250001998503</v>
      </c>
      <c r="AI2319" s="4">
        <v>-0.72243771181115901</v>
      </c>
      <c r="AJ2319" s="4" t="s">
        <v>62</v>
      </c>
      <c r="AK2319" s="2">
        <v>0.38457692459193599</v>
      </c>
      <c r="AL2319" s="2">
        <v>0.66126147545768399</v>
      </c>
      <c r="AM2319" s="2">
        <v>3272.0692459420002</v>
      </c>
      <c r="AN2319" s="2">
        <v>6846.7667131622902</v>
      </c>
      <c r="AO2319" s="2">
        <v>3382.9011820640299</v>
      </c>
      <c r="AP2319" s="2">
        <v>5232.5728991571495</v>
      </c>
      <c r="AQ2319" s="2">
        <v>4649.9600742379998</v>
      </c>
      <c r="AR2319" s="2">
        <v>3995.5466107224702</v>
      </c>
      <c r="AS2319" s="2">
        <v>21339.6813725254</v>
      </c>
      <c r="AT2319" s="2">
        <v>2478.6799496071299</v>
      </c>
      <c r="AU2319" s="2">
        <v>701.920984723787</v>
      </c>
      <c r="AV2319" s="2">
        <v>7750.7191417651102</v>
      </c>
      <c r="AW2319" s="2">
        <v>11191.113284413001</v>
      </c>
      <c r="AX2319" s="2">
        <v>1713.69628690644</v>
      </c>
    </row>
    <row r="2320" spans="1:50" x14ac:dyDescent="0.25">
      <c r="A2320" s="2" t="s">
        <v>15656</v>
      </c>
      <c r="B2320" s="2">
        <v>611.38047317362998</v>
      </c>
      <c r="C2320" s="2">
        <v>8.33036666666667</v>
      </c>
      <c r="D2320" s="2" t="s">
        <v>51</v>
      </c>
      <c r="E2320" s="2" t="s">
        <v>15657</v>
      </c>
      <c r="F2320" s="2">
        <v>50916</v>
      </c>
      <c r="G2320" s="3" t="str">
        <f>HYPERLINK("https://cloud.oebiotech.com/#/lm/network/50916", "https://cloud.oebiotech.com/#/lm/network/50916")</f>
        <v>https://cloud.oebiotech.com/#/lm/network/50916</v>
      </c>
      <c r="H2320" s="2" t="s">
        <v>15658</v>
      </c>
      <c r="I2320" s="2">
        <v>57960</v>
      </c>
      <c r="J2320" s="2"/>
      <c r="K2320" s="2">
        <v>42622727</v>
      </c>
      <c r="L2320" s="2" t="s">
        <v>3258</v>
      </c>
      <c r="M2320" s="2" t="s">
        <v>3259</v>
      </c>
      <c r="N2320" s="2" t="s">
        <v>3260</v>
      </c>
      <c r="O2320" s="2"/>
      <c r="P2320" s="2"/>
      <c r="Q2320" s="2"/>
      <c r="R2320" s="2" t="s">
        <v>15659</v>
      </c>
      <c r="S2320" s="2" t="s">
        <v>15660</v>
      </c>
      <c r="T2320" s="2" t="s">
        <v>15661</v>
      </c>
      <c r="U2320" s="2" t="s">
        <v>56</v>
      </c>
      <c r="V2320" s="2" t="s">
        <v>283</v>
      </c>
      <c r="W2320" s="2" t="s">
        <v>3462</v>
      </c>
      <c r="X2320" s="2" t="s">
        <v>83</v>
      </c>
      <c r="Y2320" s="2">
        <v>40.5</v>
      </c>
      <c r="Z2320" s="2">
        <v>0.182</v>
      </c>
      <c r="AA2320" s="2" t="s">
        <v>163</v>
      </c>
      <c r="AB2320" s="2" t="s">
        <v>15662</v>
      </c>
      <c r="AC2320" s="2">
        <v>0.655817124792484</v>
      </c>
      <c r="AD2320" s="2"/>
      <c r="AE2320" s="2">
        <v>0.281393737807005</v>
      </c>
      <c r="AF2320" s="2">
        <v>4691.8962558468202</v>
      </c>
      <c r="AG2320" s="2">
        <v>7898.9984049060204</v>
      </c>
      <c r="AH2320" s="4">
        <v>0.59398622652369604</v>
      </c>
      <c r="AI2320" s="4">
        <v>-0.75149861698647802</v>
      </c>
      <c r="AJ2320" s="4" t="s">
        <v>62</v>
      </c>
      <c r="AK2320" s="2">
        <v>0.197456333441521</v>
      </c>
      <c r="AL2320" s="2">
        <v>0.52099301167963796</v>
      </c>
      <c r="AM2320" s="2">
        <v>5002.0830144128604</v>
      </c>
      <c r="AN2320" s="2">
        <v>1861.2175149745799</v>
      </c>
      <c r="AO2320" s="2">
        <v>4514.1990613867702</v>
      </c>
      <c r="AP2320" s="2">
        <v>3706.9458748546399</v>
      </c>
      <c r="AQ2320" s="2">
        <v>4370.9779113520399</v>
      </c>
      <c r="AR2320" s="2">
        <v>8695.9541581000503</v>
      </c>
      <c r="AS2320" s="2">
        <v>5262.5760534267301</v>
      </c>
      <c r="AT2320" s="2">
        <v>11507.057269750499</v>
      </c>
      <c r="AU2320" s="2">
        <v>2665.4489144280901</v>
      </c>
      <c r="AV2320" s="2">
        <v>6188.1267270226199</v>
      </c>
      <c r="AW2320" s="2">
        <v>16737.778376277201</v>
      </c>
      <c r="AX2320" s="2">
        <v>5033.0030885310098</v>
      </c>
    </row>
    <row r="2321" spans="1:50" x14ac:dyDescent="0.25">
      <c r="A2321" s="2" t="s">
        <v>15663</v>
      </c>
      <c r="B2321" s="2">
        <v>436.28180986965498</v>
      </c>
      <c r="C2321" s="2">
        <v>9.6834500000000006</v>
      </c>
      <c r="D2321" s="2" t="s">
        <v>51</v>
      </c>
      <c r="E2321" s="2" t="s">
        <v>15664</v>
      </c>
      <c r="F2321" s="2">
        <v>21245</v>
      </c>
      <c r="G2321" s="3" t="str">
        <f>HYPERLINK("https://cloud.oebiotech.com/#/lm/network/21245", "https://cloud.oebiotech.com/#/lm/network/21245")</f>
        <v>https://cloud.oebiotech.com/#/lm/network/21245</v>
      </c>
      <c r="H2321" s="2"/>
      <c r="I2321" s="2"/>
      <c r="J2321" s="2" t="s">
        <v>15665</v>
      </c>
      <c r="K2321" s="2">
        <v>137323915</v>
      </c>
      <c r="L2321" s="2"/>
      <c r="M2321" s="2"/>
      <c r="N2321" s="2"/>
      <c r="O2321" s="2"/>
      <c r="P2321" s="2"/>
      <c r="Q2321" s="2"/>
      <c r="R2321" s="2"/>
      <c r="S2321" s="2" t="s">
        <v>15666</v>
      </c>
      <c r="T2321" s="2" t="s">
        <v>15667</v>
      </c>
      <c r="U2321" s="2" t="s">
        <v>56</v>
      </c>
      <c r="V2321" s="2" t="s">
        <v>57</v>
      </c>
      <c r="W2321" s="2" t="s">
        <v>155</v>
      </c>
      <c r="X2321" s="2" t="s">
        <v>83</v>
      </c>
      <c r="Y2321" s="2">
        <v>40.799999999999997</v>
      </c>
      <c r="Z2321" s="2">
        <v>0</v>
      </c>
      <c r="AA2321" s="2" t="s">
        <v>156</v>
      </c>
      <c r="AB2321" s="2" t="s">
        <v>2669</v>
      </c>
      <c r="AC2321" s="2">
        <v>-0.97347721585230496</v>
      </c>
      <c r="AD2321" s="2"/>
      <c r="AE2321" s="2">
        <v>0.28128678487678799</v>
      </c>
      <c r="AF2321" s="2">
        <v>3162.6355284617498</v>
      </c>
      <c r="AG2321" s="2">
        <v>1080.7826938851199</v>
      </c>
      <c r="AH2321" s="5">
        <v>2.9262455314610301</v>
      </c>
      <c r="AI2321" s="5">
        <v>1.5490508262637499</v>
      </c>
      <c r="AJ2321" s="5" t="s">
        <v>139</v>
      </c>
      <c r="AK2321" s="2">
        <v>1.6429636394736599E-2</v>
      </c>
      <c r="AL2321" s="2">
        <v>0.202822410546773</v>
      </c>
      <c r="AM2321" s="2">
        <v>3277.4254250302001</v>
      </c>
      <c r="AN2321" s="2">
        <v>5724.5125429534901</v>
      </c>
      <c r="AO2321" s="2">
        <v>1927.09812017841</v>
      </c>
      <c r="AP2321" s="2">
        <v>3247.2512409666201</v>
      </c>
      <c r="AQ2321" s="2">
        <v>1868.4725424713999</v>
      </c>
      <c r="AR2321" s="2">
        <v>2931.0532991703599</v>
      </c>
      <c r="AS2321" s="2">
        <v>3143.3330497827001</v>
      </c>
      <c r="AT2321" s="2">
        <v>547.05393316905099</v>
      </c>
      <c r="AU2321" s="2">
        <v>699.28608700650398</v>
      </c>
      <c r="AV2321" s="2">
        <v>0.38397992649351498</v>
      </c>
      <c r="AW2321" s="2">
        <v>1031.18432257823</v>
      </c>
      <c r="AX2321" s="2">
        <v>1063.45479084774</v>
      </c>
    </row>
    <row r="2322" spans="1:50" x14ac:dyDescent="0.25">
      <c r="A2322" s="2" t="s">
        <v>15668</v>
      </c>
      <c r="B2322" s="2">
        <v>406.12101196347498</v>
      </c>
      <c r="C2322" s="2">
        <v>3.5889500000000001</v>
      </c>
      <c r="D2322" s="2" t="s">
        <v>51</v>
      </c>
      <c r="E2322" s="2" t="s">
        <v>15669</v>
      </c>
      <c r="F2322" s="2">
        <v>205051</v>
      </c>
      <c r="G2322" s="3" t="str">
        <f>HYPERLINK("https://cloud.oebiotech.com/#/lm/network/205051", "https://cloud.oebiotech.com/#/lm/network/205051")</f>
        <v>https://cloud.oebiotech.com/#/lm/network/205051</v>
      </c>
      <c r="H2322" s="2" t="s">
        <v>15670</v>
      </c>
      <c r="I2322" s="2"/>
      <c r="J2322" s="2"/>
      <c r="K2322" s="2">
        <v>16020046</v>
      </c>
      <c r="L2322" s="2"/>
      <c r="M2322" s="2"/>
      <c r="N2322" s="2"/>
      <c r="O2322" s="2"/>
      <c r="P2322" s="2"/>
      <c r="Q2322" s="2"/>
      <c r="R2322" s="2"/>
      <c r="S2322" s="2" t="s">
        <v>15671</v>
      </c>
      <c r="T2322" s="2" t="s">
        <v>15672</v>
      </c>
      <c r="U2322" s="2" t="s">
        <v>266</v>
      </c>
      <c r="V2322" s="2" t="s">
        <v>1585</v>
      </c>
      <c r="W2322" s="2" t="s">
        <v>4395</v>
      </c>
      <c r="X2322" s="2" t="s">
        <v>147</v>
      </c>
      <c r="Y2322" s="2">
        <v>37</v>
      </c>
      <c r="Z2322" s="2">
        <v>0</v>
      </c>
      <c r="AA2322" s="2" t="s">
        <v>379</v>
      </c>
      <c r="AB2322" s="2" t="s">
        <v>15673</v>
      </c>
      <c r="AC2322" s="2">
        <v>3.0507337840694899</v>
      </c>
      <c r="AD2322" s="2"/>
      <c r="AE2322" s="2">
        <v>0.28107244148687399</v>
      </c>
      <c r="AF2322" s="2">
        <v>5656.6676170937199</v>
      </c>
      <c r="AG2322" s="2">
        <v>3175.9737183762199</v>
      </c>
      <c r="AH2322" s="5">
        <v>1.78108136864111</v>
      </c>
      <c r="AI2322" s="5">
        <v>0.83275342741847502</v>
      </c>
      <c r="AJ2322" s="5" t="s">
        <v>139</v>
      </c>
      <c r="AK2322" s="2">
        <v>0.19364825035467301</v>
      </c>
      <c r="AL2322" s="2">
        <v>0.51725957274568402</v>
      </c>
      <c r="AM2322" s="2">
        <v>10326.941178467399</v>
      </c>
      <c r="AN2322" s="2">
        <v>4550.8153754596296</v>
      </c>
      <c r="AO2322" s="2">
        <v>5263.5056565242203</v>
      </c>
      <c r="AP2322" s="2">
        <v>1838.17885659634</v>
      </c>
      <c r="AQ2322" s="2">
        <v>2429.4433581752201</v>
      </c>
      <c r="AR2322" s="2">
        <v>9531.1212773395291</v>
      </c>
      <c r="AS2322" s="2">
        <v>8.559877937157E-6</v>
      </c>
      <c r="AT2322" s="2">
        <v>592.52678023444901</v>
      </c>
      <c r="AU2322" s="2">
        <v>5773.39940146154</v>
      </c>
      <c r="AV2322" s="2">
        <v>5048.5093392609897</v>
      </c>
      <c r="AW2322" s="2">
        <v>2402.3172305346902</v>
      </c>
      <c r="AX2322" s="2">
        <v>5239.0895502057601</v>
      </c>
    </row>
    <row r="2323" spans="1:50" x14ac:dyDescent="0.25">
      <c r="A2323" s="2" t="s">
        <v>15674</v>
      </c>
      <c r="B2323" s="2">
        <v>249.149184064868</v>
      </c>
      <c r="C2323" s="2">
        <v>9.5221499999999999</v>
      </c>
      <c r="D2323" s="2" t="s">
        <v>51</v>
      </c>
      <c r="E2323" s="2" t="s">
        <v>15675</v>
      </c>
      <c r="F2323" s="2">
        <v>289887</v>
      </c>
      <c r="G2323" s="3" t="str">
        <f>HYPERLINK("https://cloud.oebiotech.com/#/lm/network/289887", "https://cloud.oebiotech.com/#/lm/network/289887")</f>
        <v>https://cloud.oebiotech.com/#/lm/network/289887</v>
      </c>
      <c r="H2323" s="2"/>
      <c r="I2323" s="2">
        <v>985136</v>
      </c>
      <c r="J2323" s="2"/>
      <c r="K2323" s="2">
        <v>353378</v>
      </c>
      <c r="L2323" s="2"/>
      <c r="M2323" s="2"/>
      <c r="N2323" s="2"/>
      <c r="O2323" s="2"/>
      <c r="P2323" s="2"/>
      <c r="Q2323" s="2"/>
      <c r="R2323" s="2"/>
      <c r="S2323" s="2" t="s">
        <v>15676</v>
      </c>
      <c r="T2323" s="2" t="s">
        <v>15677</v>
      </c>
      <c r="U2323" s="2" t="s">
        <v>56</v>
      </c>
      <c r="V2323" s="2" t="s">
        <v>177</v>
      </c>
      <c r="W2323" s="2" t="s">
        <v>806</v>
      </c>
      <c r="X2323" s="2" t="s">
        <v>147</v>
      </c>
      <c r="Y2323" s="2">
        <v>38</v>
      </c>
      <c r="Z2323" s="2">
        <v>0</v>
      </c>
      <c r="AA2323" s="2" t="s">
        <v>156</v>
      </c>
      <c r="AB2323" s="2" t="s">
        <v>15678</v>
      </c>
      <c r="AC2323" s="2">
        <v>2.4915520564219702</v>
      </c>
      <c r="AD2323" s="2"/>
      <c r="AE2323" s="2">
        <v>0.28085493744884099</v>
      </c>
      <c r="AF2323" s="2">
        <v>4364.5530565130302</v>
      </c>
      <c r="AG2323" s="2">
        <v>2398.96995966442</v>
      </c>
      <c r="AH2323" s="5">
        <v>1.8193446061840499</v>
      </c>
      <c r="AI2323" s="5">
        <v>0.86341883300894795</v>
      </c>
      <c r="AJ2323" s="5" t="s">
        <v>139</v>
      </c>
      <c r="AK2323" s="2">
        <v>5.9422340058578098E-2</v>
      </c>
      <c r="AL2323" s="2">
        <v>0.32848271222325698</v>
      </c>
      <c r="AM2323" s="2">
        <v>5415.19731958188</v>
      </c>
      <c r="AN2323" s="2">
        <v>8134.1125479119601</v>
      </c>
      <c r="AO2323" s="2">
        <v>2864.2997788215698</v>
      </c>
      <c r="AP2323" s="2">
        <v>2835.6222331260001</v>
      </c>
      <c r="AQ2323" s="2">
        <v>2854.3042351685099</v>
      </c>
      <c r="AR2323" s="2">
        <v>4083.7822244682802</v>
      </c>
      <c r="AS2323" s="2">
        <v>3171.1041028191298</v>
      </c>
      <c r="AT2323" s="2">
        <v>1867.3224129441401</v>
      </c>
      <c r="AU2323" s="2">
        <v>2827.9778753013802</v>
      </c>
      <c r="AV2323" s="2">
        <v>1680.22488702133</v>
      </c>
      <c r="AW2323" s="2">
        <v>1474.4336906943599</v>
      </c>
      <c r="AX2323" s="2">
        <v>3372.7567892061902</v>
      </c>
    </row>
    <row r="2324" spans="1:50" x14ac:dyDescent="0.25">
      <c r="A2324" s="2" t="s">
        <v>15679</v>
      </c>
      <c r="B2324" s="2">
        <v>680.44488287738602</v>
      </c>
      <c r="C2324" s="2">
        <v>4.7497999999999996</v>
      </c>
      <c r="D2324" s="2" t="s">
        <v>51</v>
      </c>
      <c r="E2324" s="2" t="s">
        <v>15680</v>
      </c>
      <c r="F2324" s="2">
        <v>18139</v>
      </c>
      <c r="G2324" s="3" t="str">
        <f>HYPERLINK("https://cloud.oebiotech.com/#/lm/network/18139", "https://cloud.oebiotech.com/#/lm/network/18139")</f>
        <v>https://cloud.oebiotech.com/#/lm/network/18139</v>
      </c>
      <c r="H2324" s="2"/>
      <c r="I2324" s="2">
        <v>46671</v>
      </c>
      <c r="J2324" s="2" t="s">
        <v>15681</v>
      </c>
      <c r="K2324" s="2">
        <v>42607418</v>
      </c>
      <c r="L2324" s="2"/>
      <c r="M2324" s="2"/>
      <c r="N2324" s="2"/>
      <c r="O2324" s="2">
        <v>63031</v>
      </c>
      <c r="P2324" s="2"/>
      <c r="Q2324" s="2"/>
      <c r="R2324" s="2"/>
      <c r="S2324" s="2" t="s">
        <v>15682</v>
      </c>
      <c r="T2324" s="2" t="s">
        <v>15683</v>
      </c>
      <c r="U2324" s="2" t="s">
        <v>56</v>
      </c>
      <c r="V2324" s="2" t="s">
        <v>57</v>
      </c>
      <c r="W2324" s="2" t="s">
        <v>15684</v>
      </c>
      <c r="X2324" s="2" t="s">
        <v>147</v>
      </c>
      <c r="Y2324" s="2">
        <v>37.200000000000003</v>
      </c>
      <c r="Z2324" s="2">
        <v>0</v>
      </c>
      <c r="AA2324" s="2" t="s">
        <v>122</v>
      </c>
      <c r="AB2324" s="2" t="s">
        <v>15685</v>
      </c>
      <c r="AC2324" s="2">
        <v>-0.28513972852040198</v>
      </c>
      <c r="AD2324" s="2"/>
      <c r="AE2324" s="2">
        <v>0.28052598880665902</v>
      </c>
      <c r="AF2324" s="2">
        <v>7936.6555962390203</v>
      </c>
      <c r="AG2324" s="2">
        <v>4003.87898010558</v>
      </c>
      <c r="AH2324" s="5">
        <v>1.98224163009786</v>
      </c>
      <c r="AI2324" s="5">
        <v>0.98713283401603402</v>
      </c>
      <c r="AJ2324" s="5" t="s">
        <v>139</v>
      </c>
      <c r="AK2324" s="2">
        <v>0.22470024023103699</v>
      </c>
      <c r="AL2324" s="2">
        <v>0.55090354983928802</v>
      </c>
      <c r="AM2324" s="2">
        <v>1527.5189035357901</v>
      </c>
      <c r="AN2324" s="2">
        <v>1671.0759270820799</v>
      </c>
      <c r="AO2324" s="2">
        <v>18513.821730646901</v>
      </c>
      <c r="AP2324" s="2">
        <v>6421.69078511098</v>
      </c>
      <c r="AQ2324" s="2">
        <v>13584.897450010099</v>
      </c>
      <c r="AR2324" s="2">
        <v>5900.9287810482901</v>
      </c>
      <c r="AS2324" s="2">
        <v>3804.9761592991599</v>
      </c>
      <c r="AT2324" s="2">
        <v>10027.033945545199</v>
      </c>
      <c r="AU2324" s="2">
        <v>2753.5457591383602</v>
      </c>
      <c r="AV2324" s="2">
        <v>1468.29451892918</v>
      </c>
      <c r="AW2324" s="2">
        <v>2758.0163895842102</v>
      </c>
      <c r="AX2324" s="2">
        <v>3211.40710813735</v>
      </c>
    </row>
    <row r="2325" spans="1:50" x14ac:dyDescent="0.25">
      <c r="A2325" s="2" t="s">
        <v>15686</v>
      </c>
      <c r="B2325" s="2">
        <v>373.30490722670498</v>
      </c>
      <c r="C2325" s="2">
        <v>10.132949999999999</v>
      </c>
      <c r="D2325" s="2" t="s">
        <v>51</v>
      </c>
      <c r="E2325" s="2" t="s">
        <v>15687</v>
      </c>
      <c r="F2325" s="2">
        <v>206030</v>
      </c>
      <c r="G2325" s="3" t="str">
        <f>HYPERLINK("https://cloud.oebiotech.com/#/lm/network/206030", "https://cloud.oebiotech.com/#/lm/network/206030")</f>
        <v>https://cloud.oebiotech.com/#/lm/network/206030</v>
      </c>
      <c r="H2325" s="2" t="s">
        <v>15688</v>
      </c>
      <c r="I2325" s="2"/>
      <c r="J2325" s="2"/>
      <c r="K2325" s="2"/>
      <c r="L2325" s="2"/>
      <c r="M2325" s="2"/>
      <c r="N2325" s="2"/>
      <c r="O2325" s="2"/>
      <c r="P2325" s="2"/>
      <c r="Q2325" s="2"/>
      <c r="R2325" s="2"/>
      <c r="S2325" s="2" t="s">
        <v>15689</v>
      </c>
      <c r="T2325" s="2" t="s">
        <v>15690</v>
      </c>
      <c r="U2325" s="2" t="s">
        <v>331</v>
      </c>
      <c r="V2325" s="2" t="s">
        <v>332</v>
      </c>
      <c r="W2325" s="2" t="s">
        <v>519</v>
      </c>
      <c r="X2325" s="2" t="s">
        <v>147</v>
      </c>
      <c r="Y2325" s="2">
        <v>40.200000000000003</v>
      </c>
      <c r="Z2325" s="2">
        <v>13.4</v>
      </c>
      <c r="AA2325" s="2" t="s">
        <v>512</v>
      </c>
      <c r="AB2325" s="2" t="s">
        <v>15691</v>
      </c>
      <c r="AC2325" s="2">
        <v>-3.3128759606612501</v>
      </c>
      <c r="AD2325" s="2"/>
      <c r="AE2325" s="2">
        <v>0.28041877294985701</v>
      </c>
      <c r="AF2325" s="2">
        <v>8190.5389388994899</v>
      </c>
      <c r="AG2325" s="2">
        <v>9906.34861828873</v>
      </c>
      <c r="AH2325" s="4">
        <v>0.82679696167550798</v>
      </c>
      <c r="AI2325" s="4">
        <v>-0.27439500774922199</v>
      </c>
      <c r="AJ2325" s="4" t="s">
        <v>62</v>
      </c>
      <c r="AK2325" s="2">
        <v>2.1297917800225498E-3</v>
      </c>
      <c r="AL2325" s="2">
        <v>0.101912249503871</v>
      </c>
      <c r="AM2325" s="2">
        <v>7060.7078459902796</v>
      </c>
      <c r="AN2325" s="2">
        <v>9048.7657074935996</v>
      </c>
      <c r="AO2325" s="2">
        <v>8580.3909228127595</v>
      </c>
      <c r="AP2325" s="2">
        <v>8326.1507274964297</v>
      </c>
      <c r="AQ2325" s="2">
        <v>7406.2281972434603</v>
      </c>
      <c r="AR2325" s="2">
        <v>8720.9902323604001</v>
      </c>
      <c r="AS2325" s="2">
        <v>10136.48136337</v>
      </c>
      <c r="AT2325" s="2">
        <v>10493.4836948311</v>
      </c>
      <c r="AU2325" s="2">
        <v>9806.1997387587307</v>
      </c>
      <c r="AV2325" s="2">
        <v>10685.778741485299</v>
      </c>
      <c r="AW2325" s="2">
        <v>9276.2386130402192</v>
      </c>
      <c r="AX2325" s="2">
        <v>9039.90955824704</v>
      </c>
    </row>
    <row r="2326" spans="1:50" x14ac:dyDescent="0.25">
      <c r="A2326" s="2" t="s">
        <v>15692</v>
      </c>
      <c r="B2326" s="2">
        <v>261.132049916455</v>
      </c>
      <c r="C2326" s="2">
        <v>3.7954166666666702</v>
      </c>
      <c r="D2326" s="2" t="s">
        <v>51</v>
      </c>
      <c r="E2326" s="2" t="s">
        <v>15693</v>
      </c>
      <c r="F2326" s="2">
        <v>204072</v>
      </c>
      <c r="G2326" s="3" t="str">
        <f>HYPERLINK("https://cloud.oebiotech.com/#/lm/network/204072", "https://cloud.oebiotech.com/#/lm/network/204072")</f>
        <v>https://cloud.oebiotech.com/#/lm/network/204072</v>
      </c>
      <c r="H2326" s="2" t="s">
        <v>15694</v>
      </c>
      <c r="I2326" s="2"/>
      <c r="J2326" s="2"/>
      <c r="K2326" s="2">
        <v>17812554</v>
      </c>
      <c r="L2326" s="2"/>
      <c r="M2326" s="2"/>
      <c r="N2326" s="2"/>
      <c r="O2326" s="2"/>
      <c r="P2326" s="2"/>
      <c r="Q2326" s="2"/>
      <c r="R2326" s="2"/>
      <c r="S2326" s="2" t="s">
        <v>15695</v>
      </c>
      <c r="T2326" s="2" t="s">
        <v>15696</v>
      </c>
      <c r="U2326" s="2" t="s">
        <v>331</v>
      </c>
      <c r="V2326" s="2" t="s">
        <v>332</v>
      </c>
      <c r="W2326" s="2" t="s">
        <v>1207</v>
      </c>
      <c r="X2326" s="2" t="s">
        <v>83</v>
      </c>
      <c r="Y2326" s="2">
        <v>46.2</v>
      </c>
      <c r="Z2326" s="2">
        <v>1.1399999999999999</v>
      </c>
      <c r="AA2326" s="2" t="s">
        <v>156</v>
      </c>
      <c r="AB2326" s="2" t="s">
        <v>15697</v>
      </c>
      <c r="AC2326" s="2">
        <v>-9.1763430045023195</v>
      </c>
      <c r="AD2326" s="2"/>
      <c r="AE2326" s="2">
        <v>0.28038865289210402</v>
      </c>
      <c r="AF2326" s="2">
        <v>4913.7944636133097</v>
      </c>
      <c r="AG2326" s="2">
        <v>6816.5380011163397</v>
      </c>
      <c r="AH2326" s="4">
        <v>0.720863649965508</v>
      </c>
      <c r="AI2326" s="4">
        <v>-0.47220169273225598</v>
      </c>
      <c r="AJ2326" s="4" t="s">
        <v>62</v>
      </c>
      <c r="AK2326" s="2">
        <v>5.4913293057179998E-4</v>
      </c>
      <c r="AL2326" s="2">
        <v>6.2440111341753798E-2</v>
      </c>
      <c r="AM2326" s="2">
        <v>5308.1105969503797</v>
      </c>
      <c r="AN2326" s="2">
        <v>5701.4072557604804</v>
      </c>
      <c r="AO2326" s="2">
        <v>5084.4305994669703</v>
      </c>
      <c r="AP2326" s="2">
        <v>4192.1872924558302</v>
      </c>
      <c r="AQ2326" s="2">
        <v>5186.0416267426499</v>
      </c>
      <c r="AR2326" s="2">
        <v>4010.5894103035498</v>
      </c>
      <c r="AS2326" s="2">
        <v>6359.5539797010297</v>
      </c>
      <c r="AT2326" s="2">
        <v>7310.6913064892296</v>
      </c>
      <c r="AU2326" s="2">
        <v>6433.5687188688898</v>
      </c>
      <c r="AV2326" s="2">
        <v>7817.1015141849903</v>
      </c>
      <c r="AW2326" s="2">
        <v>6901.16451542917</v>
      </c>
      <c r="AX2326" s="2">
        <v>6077.1479720247098</v>
      </c>
    </row>
    <row r="2327" spans="1:50" x14ac:dyDescent="0.25">
      <c r="A2327" s="2" t="s">
        <v>15698</v>
      </c>
      <c r="B2327" s="2">
        <v>327.21780660462201</v>
      </c>
      <c r="C2327" s="2">
        <v>7.3533833333333298</v>
      </c>
      <c r="D2327" s="2" t="s">
        <v>51</v>
      </c>
      <c r="E2327" s="2" t="s">
        <v>15699</v>
      </c>
      <c r="F2327" s="2">
        <v>3391</v>
      </c>
      <c r="G2327" s="3" t="str">
        <f>HYPERLINK("https://cloud.oebiotech.com/#/lm/network/3391", "https://cloud.oebiotech.com/#/lm/network/3391")</f>
        <v>https://cloud.oebiotech.com/#/lm/network/3391</v>
      </c>
      <c r="H2327" s="2"/>
      <c r="I2327" s="2"/>
      <c r="J2327" s="2" t="s">
        <v>15700</v>
      </c>
      <c r="K2327" s="2">
        <v>102026575</v>
      </c>
      <c r="L2327" s="2"/>
      <c r="M2327" s="2"/>
      <c r="N2327" s="2"/>
      <c r="O2327" s="2"/>
      <c r="P2327" s="2"/>
      <c r="Q2327" s="2"/>
      <c r="R2327" s="2"/>
      <c r="S2327" s="2" t="s">
        <v>15701</v>
      </c>
      <c r="T2327" s="2" t="s">
        <v>15702</v>
      </c>
      <c r="U2327" s="2" t="s">
        <v>56</v>
      </c>
      <c r="V2327" s="2" t="s">
        <v>145</v>
      </c>
      <c r="W2327" s="2" t="s">
        <v>187</v>
      </c>
      <c r="X2327" s="2" t="s">
        <v>83</v>
      </c>
      <c r="Y2327" s="2">
        <v>49.3</v>
      </c>
      <c r="Z2327" s="2">
        <v>18</v>
      </c>
      <c r="AA2327" s="2" t="s">
        <v>163</v>
      </c>
      <c r="AB2327" s="2" t="s">
        <v>7255</v>
      </c>
      <c r="AC2327" s="2">
        <v>0.33182295840498299</v>
      </c>
      <c r="AD2327" s="2"/>
      <c r="AE2327" s="2">
        <v>0.28004240898094201</v>
      </c>
      <c r="AF2327" s="2">
        <v>8881.4487178526506</v>
      </c>
      <c r="AG2327" s="2">
        <v>5893.1660921084103</v>
      </c>
      <c r="AH2327" s="5">
        <v>1.50707592133639</v>
      </c>
      <c r="AI2327" s="5">
        <v>0.59175209681400698</v>
      </c>
      <c r="AJ2327" s="5" t="s">
        <v>139</v>
      </c>
      <c r="AK2327" s="2">
        <v>0.131892313779542</v>
      </c>
      <c r="AL2327" s="2">
        <v>0.451843431569037</v>
      </c>
      <c r="AM2327" s="2">
        <v>5719.2646430231098</v>
      </c>
      <c r="AN2327" s="2">
        <v>11941.5455346541</v>
      </c>
      <c r="AO2327" s="2">
        <v>12521.427219208401</v>
      </c>
      <c r="AP2327" s="2">
        <v>6398.12734250828</v>
      </c>
      <c r="AQ2327" s="2">
        <v>8710.4236531997994</v>
      </c>
      <c r="AR2327" s="2">
        <v>7997.9039145222196</v>
      </c>
      <c r="AS2327" s="2">
        <v>5411.37089691036</v>
      </c>
      <c r="AT2327" s="2">
        <v>2276.3634202990002</v>
      </c>
      <c r="AU2327" s="2">
        <v>9507.1673844913803</v>
      </c>
      <c r="AV2327" s="2">
        <v>1708.3927398553999</v>
      </c>
      <c r="AW2327" s="2">
        <v>9830.9536108309494</v>
      </c>
      <c r="AX2327" s="2">
        <v>6624.7485002633703</v>
      </c>
    </row>
    <row r="2328" spans="1:50" x14ac:dyDescent="0.25">
      <c r="A2328" s="2" t="s">
        <v>15703</v>
      </c>
      <c r="B2328" s="2">
        <v>661.46677879990602</v>
      </c>
      <c r="C2328" s="2">
        <v>14.500716666666699</v>
      </c>
      <c r="D2328" s="2" t="s">
        <v>51</v>
      </c>
      <c r="E2328" s="2" t="s">
        <v>15704</v>
      </c>
      <c r="F2328" s="2">
        <v>20205</v>
      </c>
      <c r="G2328" s="3" t="str">
        <f>HYPERLINK("https://cloud.oebiotech.com/#/lm/network/20205", "https://cloud.oebiotech.com/#/lm/network/20205")</f>
        <v>https://cloud.oebiotech.com/#/lm/network/20205</v>
      </c>
      <c r="H2328" s="2" t="s">
        <v>15705</v>
      </c>
      <c r="I2328" s="2">
        <v>60383</v>
      </c>
      <c r="J2328" s="2" t="s">
        <v>15706</v>
      </c>
      <c r="K2328" s="2">
        <v>52924219</v>
      </c>
      <c r="L2328" s="2" t="s">
        <v>254</v>
      </c>
      <c r="M2328" s="2" t="s">
        <v>255</v>
      </c>
      <c r="N2328" s="2" t="s">
        <v>256</v>
      </c>
      <c r="O2328" s="2"/>
      <c r="P2328" s="2"/>
      <c r="Q2328" s="2"/>
      <c r="R2328" s="2"/>
      <c r="S2328" s="2" t="s">
        <v>15707</v>
      </c>
      <c r="T2328" s="2" t="s">
        <v>15708</v>
      </c>
      <c r="U2328" s="2" t="s">
        <v>56</v>
      </c>
      <c r="V2328" s="2" t="s">
        <v>57</v>
      </c>
      <c r="W2328" s="2" t="s">
        <v>155</v>
      </c>
      <c r="X2328" s="2" t="s">
        <v>147</v>
      </c>
      <c r="Y2328" s="2">
        <v>36.200000000000003</v>
      </c>
      <c r="Z2328" s="2">
        <v>0</v>
      </c>
      <c r="AA2328" s="2" t="s">
        <v>122</v>
      </c>
      <c r="AB2328" s="2" t="s">
        <v>15709</v>
      </c>
      <c r="AC2328" s="2">
        <v>-2.2315086524864398</v>
      </c>
      <c r="AD2328" s="2"/>
      <c r="AE2328" s="2">
        <v>0.27979525863750898</v>
      </c>
      <c r="AF2328" s="2">
        <v>5234.9145775786701</v>
      </c>
      <c r="AG2328" s="2">
        <v>10778.771792436901</v>
      </c>
      <c r="AH2328" s="4">
        <v>0.48566893133889699</v>
      </c>
      <c r="AI2328" s="4">
        <v>-1.041954896022</v>
      </c>
      <c r="AJ2328" s="4" t="s">
        <v>62</v>
      </c>
      <c r="AK2328" s="2">
        <v>0.20146723302165001</v>
      </c>
      <c r="AL2328" s="2">
        <v>0.524812102806965</v>
      </c>
      <c r="AM2328" s="2">
        <v>11545.7048558971</v>
      </c>
      <c r="AN2328" s="2">
        <v>6667.0107880415699</v>
      </c>
      <c r="AO2328" s="2">
        <v>2763.0808912873799</v>
      </c>
      <c r="AP2328" s="2">
        <v>3994.04416731949</v>
      </c>
      <c r="AQ2328" s="2">
        <v>3799.1001229365302</v>
      </c>
      <c r="AR2328" s="2">
        <v>2640.5466399899701</v>
      </c>
      <c r="AS2328" s="2">
        <v>5154.1056489192597</v>
      </c>
      <c r="AT2328" s="2">
        <v>2180.2707547144901</v>
      </c>
      <c r="AU2328" s="2">
        <v>27833.822270012701</v>
      </c>
      <c r="AV2328" s="2">
        <v>5001.0888794560096</v>
      </c>
      <c r="AW2328" s="2">
        <v>12837.950446778899</v>
      </c>
      <c r="AX2328" s="2">
        <v>11665.39275474</v>
      </c>
    </row>
    <row r="2329" spans="1:50" x14ac:dyDescent="0.25">
      <c r="A2329" s="2" t="s">
        <v>15710</v>
      </c>
      <c r="B2329" s="2">
        <v>257.17574390667602</v>
      </c>
      <c r="C2329" s="2">
        <v>8.8532333333333302</v>
      </c>
      <c r="D2329" s="2" t="s">
        <v>51</v>
      </c>
      <c r="E2329" s="2" t="s">
        <v>15711</v>
      </c>
      <c r="F2329" s="2">
        <v>63053</v>
      </c>
      <c r="G2329" s="3" t="str">
        <f>HYPERLINK("https://cloud.oebiotech.com/#/lm/network/63053", "https://cloud.oebiotech.com/#/lm/network/63053")</f>
        <v>https://cloud.oebiotech.com/#/lm/network/63053</v>
      </c>
      <c r="H2329" s="2" t="s">
        <v>15712</v>
      </c>
      <c r="I2329" s="2">
        <v>94354</v>
      </c>
      <c r="J2329" s="2"/>
      <c r="K2329" s="2">
        <v>131752728</v>
      </c>
      <c r="L2329" s="2"/>
      <c r="M2329" s="2"/>
      <c r="N2329" s="2"/>
      <c r="O2329" s="2">
        <v>168208</v>
      </c>
      <c r="P2329" s="2"/>
      <c r="Q2329" s="2"/>
      <c r="R2329" s="2" t="s">
        <v>15713</v>
      </c>
      <c r="S2329" s="2" t="s">
        <v>15714</v>
      </c>
      <c r="T2329" s="2" t="s">
        <v>15715</v>
      </c>
      <c r="U2329" s="2" t="s">
        <v>56</v>
      </c>
      <c r="V2329" s="2" t="s">
        <v>177</v>
      </c>
      <c r="W2329" s="2" t="s">
        <v>1996</v>
      </c>
      <c r="X2329" s="2" t="s">
        <v>69</v>
      </c>
      <c r="Y2329" s="2">
        <v>57.2</v>
      </c>
      <c r="Z2329" s="2">
        <v>51.7</v>
      </c>
      <c r="AA2329" s="2" t="s">
        <v>218</v>
      </c>
      <c r="AB2329" s="2" t="s">
        <v>15716</v>
      </c>
      <c r="AC2329" s="2">
        <v>-0.41932848361187902</v>
      </c>
      <c r="AD2329" s="2"/>
      <c r="AE2329" s="2">
        <v>0.27954807040275398</v>
      </c>
      <c r="AF2329" s="2">
        <v>3337.9100468197898</v>
      </c>
      <c r="AG2329" s="2">
        <v>7067.4665706799997</v>
      </c>
      <c r="AH2329" s="4">
        <v>0.47229230070466899</v>
      </c>
      <c r="AI2329" s="4">
        <v>-1.0822480779797199</v>
      </c>
      <c r="AJ2329" s="4" t="s">
        <v>62</v>
      </c>
      <c r="AK2329" s="2">
        <v>0.46929238254488498</v>
      </c>
      <c r="AL2329" s="2">
        <v>0.716243926778659</v>
      </c>
      <c r="AM2329" s="2">
        <v>1121.30738756914</v>
      </c>
      <c r="AN2329" s="2">
        <v>1359.0670590775301</v>
      </c>
      <c r="AO2329" s="2">
        <v>3926.3807780291399</v>
      </c>
      <c r="AP2329" s="2">
        <v>3808.5724841822098</v>
      </c>
      <c r="AQ2329" s="2">
        <v>4090.8564760816898</v>
      </c>
      <c r="AR2329" s="2">
        <v>5721.2760959790403</v>
      </c>
      <c r="AS2329" s="2">
        <v>1472.1956477215999</v>
      </c>
      <c r="AT2329" s="2">
        <v>1465.3165641584999</v>
      </c>
      <c r="AU2329" s="2">
        <v>2499.9880416938199</v>
      </c>
      <c r="AV2329" s="2">
        <v>3848.6413891233801</v>
      </c>
      <c r="AW2329" s="2">
        <v>31523.498500957201</v>
      </c>
      <c r="AX2329" s="2">
        <v>1595.1592804254699</v>
      </c>
    </row>
    <row r="2330" spans="1:50" x14ac:dyDescent="0.25">
      <c r="A2330" s="2" t="s">
        <v>15717</v>
      </c>
      <c r="B2330" s="2">
        <v>171.10178983493901</v>
      </c>
      <c r="C2330" s="2">
        <v>6.68523333333333</v>
      </c>
      <c r="D2330" s="2" t="s">
        <v>51</v>
      </c>
      <c r="E2330" s="2" t="s">
        <v>15718</v>
      </c>
      <c r="F2330" s="2">
        <v>83665</v>
      </c>
      <c r="G2330" s="3" t="str">
        <f>HYPERLINK("https://cloud.oebiotech.com/#/lm/network/83665", "https://cloud.oebiotech.com/#/lm/network/83665")</f>
        <v>https://cloud.oebiotech.com/#/lm/network/83665</v>
      </c>
      <c r="H2330" s="2" t="s">
        <v>15719</v>
      </c>
      <c r="I2330" s="2"/>
      <c r="J2330" s="2"/>
      <c r="K2330" s="2">
        <v>25245502</v>
      </c>
      <c r="L2330" s="2"/>
      <c r="M2330" s="2"/>
      <c r="N2330" s="2"/>
      <c r="O2330" s="2">
        <v>58600</v>
      </c>
      <c r="P2330" s="2"/>
      <c r="Q2330" s="2"/>
      <c r="R2330" s="2"/>
      <c r="S2330" s="2" t="s">
        <v>15720</v>
      </c>
      <c r="T2330" s="2" t="s">
        <v>15721</v>
      </c>
      <c r="U2330" s="2" t="s">
        <v>119</v>
      </c>
      <c r="V2330" s="2" t="s">
        <v>120</v>
      </c>
      <c r="W2330" s="2" t="s">
        <v>1887</v>
      </c>
      <c r="X2330" s="2" t="s">
        <v>147</v>
      </c>
      <c r="Y2330" s="2">
        <v>41</v>
      </c>
      <c r="Z2330" s="2">
        <v>10.4</v>
      </c>
      <c r="AA2330" s="2" t="s">
        <v>218</v>
      </c>
      <c r="AB2330" s="2" t="s">
        <v>15722</v>
      </c>
      <c r="AC2330" s="2">
        <v>3.6840142401780902</v>
      </c>
      <c r="AD2330" s="2"/>
      <c r="AE2330" s="2">
        <v>0.27952645506776602</v>
      </c>
      <c r="AF2330" s="2">
        <v>12234.678845803899</v>
      </c>
      <c r="AG2330" s="2">
        <v>9409.6313731151404</v>
      </c>
      <c r="AH2330" s="5">
        <v>1.3002293459401999</v>
      </c>
      <c r="AI2330" s="5">
        <v>0.37876612099790002</v>
      </c>
      <c r="AJ2330" s="5" t="s">
        <v>139</v>
      </c>
      <c r="AK2330" s="2">
        <v>0.14675367298171599</v>
      </c>
      <c r="AL2330" s="2">
        <v>0.46813495501649</v>
      </c>
      <c r="AM2330" s="2">
        <v>14146.825676144599</v>
      </c>
      <c r="AN2330" s="2">
        <v>14155.3121592848</v>
      </c>
      <c r="AO2330" s="2">
        <v>10279.908574118999</v>
      </c>
      <c r="AP2330" s="2">
        <v>12459.322833321799</v>
      </c>
      <c r="AQ2330" s="2">
        <v>9585.9966650943807</v>
      </c>
      <c r="AR2330" s="2">
        <v>12780.7071668588</v>
      </c>
      <c r="AS2330" s="2">
        <v>10962.4517085681</v>
      </c>
      <c r="AT2330" s="2">
        <v>5721.6906454079699</v>
      </c>
      <c r="AU2330" s="2">
        <v>12367.685328048099</v>
      </c>
      <c r="AV2330" s="2">
        <v>5188.6949711534498</v>
      </c>
      <c r="AW2330" s="2">
        <v>7244.6699978624501</v>
      </c>
      <c r="AX2330" s="2">
        <v>14972.5955876508</v>
      </c>
    </row>
    <row r="2331" spans="1:50" x14ac:dyDescent="0.25">
      <c r="A2331" s="2" t="s">
        <v>15723</v>
      </c>
      <c r="B2331" s="2">
        <v>70.0659666086447</v>
      </c>
      <c r="C2331" s="2">
        <v>0.71519999999999995</v>
      </c>
      <c r="D2331" s="2" t="s">
        <v>51</v>
      </c>
      <c r="E2331" s="2" t="s">
        <v>15724</v>
      </c>
      <c r="F2331" s="2">
        <v>280087</v>
      </c>
      <c r="G2331" s="3" t="str">
        <f>HYPERLINK("https://cloud.oebiotech.com/#/lm/network/280087", "https://cloud.oebiotech.com/#/lm/network/280087")</f>
        <v>https://cloud.oebiotech.com/#/lm/network/280087</v>
      </c>
      <c r="H2331" s="2"/>
      <c r="I2331" s="2">
        <v>73039</v>
      </c>
      <c r="J2331" s="2"/>
      <c r="K2331" s="2">
        <v>14074</v>
      </c>
      <c r="L2331" s="2" t="s">
        <v>15725</v>
      </c>
      <c r="M2331" s="2"/>
      <c r="N2331" s="2"/>
      <c r="O2331" s="2"/>
      <c r="P2331" s="2"/>
      <c r="Q2331" s="2"/>
      <c r="R2331" s="2" t="s">
        <v>15726</v>
      </c>
      <c r="S2331" s="2" t="s">
        <v>15727</v>
      </c>
      <c r="T2331" s="2" t="s">
        <v>15728</v>
      </c>
      <c r="U2331" s="2" t="s">
        <v>119</v>
      </c>
      <c r="V2331" s="2" t="s">
        <v>120</v>
      </c>
      <c r="W2331" s="2" t="s">
        <v>1887</v>
      </c>
      <c r="X2331" s="2" t="s">
        <v>147</v>
      </c>
      <c r="Y2331" s="2">
        <v>38</v>
      </c>
      <c r="Z2331" s="2">
        <v>2.2700000000000001E-2</v>
      </c>
      <c r="AA2331" s="2" t="s">
        <v>156</v>
      </c>
      <c r="AB2331" s="2" t="s">
        <v>15729</v>
      </c>
      <c r="AC2331" s="2">
        <v>9.6584469255790708</v>
      </c>
      <c r="AD2331" s="2"/>
      <c r="AE2331" s="2">
        <v>0.27952037360479198</v>
      </c>
      <c r="AF2331" s="2">
        <v>9794.7176861155804</v>
      </c>
      <c r="AG2331" s="2">
        <v>14294.1858351718</v>
      </c>
      <c r="AH2331" s="4">
        <v>0.68522389446029497</v>
      </c>
      <c r="AI2331" s="4">
        <v>-0.54535263433188297</v>
      </c>
      <c r="AJ2331" s="4" t="s">
        <v>62</v>
      </c>
      <c r="AK2331" s="2">
        <v>0.19658440657340001</v>
      </c>
      <c r="AL2331" s="2">
        <v>0.52014995935017205</v>
      </c>
      <c r="AM2331" s="2">
        <v>13357.9517999734</v>
      </c>
      <c r="AN2331" s="2">
        <v>11523.401733245801</v>
      </c>
      <c r="AO2331" s="2">
        <v>7669.3639586035797</v>
      </c>
      <c r="AP2331" s="2">
        <v>11081.6658627176</v>
      </c>
      <c r="AQ2331" s="2">
        <v>9105.7634498233492</v>
      </c>
      <c r="AR2331" s="2">
        <v>6030.1593123297598</v>
      </c>
      <c r="AS2331" s="2">
        <v>4978.1765345719796</v>
      </c>
      <c r="AT2331" s="2">
        <v>12788.3741526264</v>
      </c>
      <c r="AU2331" s="2">
        <v>19518.0246282015</v>
      </c>
      <c r="AV2331" s="2">
        <v>25668.198163238001</v>
      </c>
      <c r="AW2331" s="2">
        <v>8375.8070463543499</v>
      </c>
      <c r="AX2331" s="2">
        <v>14436.534486038399</v>
      </c>
    </row>
    <row r="2332" spans="1:50" x14ac:dyDescent="0.25">
      <c r="A2332" s="2" t="s">
        <v>15730</v>
      </c>
      <c r="B2332" s="2">
        <v>326.30613928297402</v>
      </c>
      <c r="C2332" s="2">
        <v>12.2333833333333</v>
      </c>
      <c r="D2332" s="2" t="s">
        <v>51</v>
      </c>
      <c r="E2332" s="2" t="s">
        <v>15731</v>
      </c>
      <c r="F2332" s="2">
        <v>9026</v>
      </c>
      <c r="G2332" s="3" t="str">
        <f>HYPERLINK("https://cloud.oebiotech.com/#/lm/network/9026", "https://cloud.oebiotech.com/#/lm/network/9026")</f>
        <v>https://cloud.oebiotech.com/#/lm/network/9026</v>
      </c>
      <c r="H2332" s="2" t="s">
        <v>15732</v>
      </c>
      <c r="I2332" s="2">
        <v>24103</v>
      </c>
      <c r="J2332" s="2" t="s">
        <v>15733</v>
      </c>
      <c r="K2332" s="2">
        <v>5283454</v>
      </c>
      <c r="L2332" s="2"/>
      <c r="M2332" s="2"/>
      <c r="N2332" s="2"/>
      <c r="O2332" s="2">
        <v>71466</v>
      </c>
      <c r="P2332" s="2" t="s">
        <v>15734</v>
      </c>
      <c r="Q2332" s="2" t="s">
        <v>15735</v>
      </c>
      <c r="R2332" s="2" t="s">
        <v>15736</v>
      </c>
      <c r="S2332" s="2" t="s">
        <v>15737</v>
      </c>
      <c r="T2332" s="2" t="s">
        <v>15738</v>
      </c>
      <c r="U2332" s="2" t="s">
        <v>119</v>
      </c>
      <c r="V2332" s="2" t="s">
        <v>120</v>
      </c>
      <c r="W2332" s="2" t="s">
        <v>1887</v>
      </c>
      <c r="X2332" s="2" t="s">
        <v>69</v>
      </c>
      <c r="Y2332" s="2">
        <v>62.2</v>
      </c>
      <c r="Z2332" s="2">
        <v>85.1</v>
      </c>
      <c r="AA2332" s="2" t="s">
        <v>259</v>
      </c>
      <c r="AB2332" s="2" t="s">
        <v>7500</v>
      </c>
      <c r="AC2332" s="2">
        <v>2.4081185030396202</v>
      </c>
      <c r="AD2332" s="2"/>
      <c r="AE2332" s="2">
        <v>0.27926697422045899</v>
      </c>
      <c r="AF2332" s="2">
        <v>26904.568924257401</v>
      </c>
      <c r="AG2332" s="2">
        <v>41214.518808236098</v>
      </c>
      <c r="AH2332" s="4">
        <v>0.65279347429578505</v>
      </c>
      <c r="AI2332" s="4">
        <v>-0.61530145952673698</v>
      </c>
      <c r="AJ2332" s="4" t="s">
        <v>62</v>
      </c>
      <c r="AK2332" s="2">
        <v>0.60814113522708302</v>
      </c>
      <c r="AL2332" s="2">
        <v>0.80448616752299296</v>
      </c>
      <c r="AM2332" s="2">
        <v>12417.0045297878</v>
      </c>
      <c r="AN2332" s="2">
        <v>14057.0613840153</v>
      </c>
      <c r="AO2332" s="2">
        <v>19279.746935347099</v>
      </c>
      <c r="AP2332" s="2">
        <v>13838.6966739656</v>
      </c>
      <c r="AQ2332" s="2">
        <v>82594.605817262505</v>
      </c>
      <c r="AR2332" s="2">
        <v>19240.2982051662</v>
      </c>
      <c r="AS2332" s="2">
        <v>8464.8425959774304</v>
      </c>
      <c r="AT2332" s="2">
        <v>9735.8134072249304</v>
      </c>
      <c r="AU2332" s="2">
        <v>161773.91499329</v>
      </c>
      <c r="AV2332" s="2">
        <v>19658.355462390398</v>
      </c>
      <c r="AW2332" s="2">
        <v>39573.076541847302</v>
      </c>
      <c r="AX2332" s="2">
        <v>8081.1098486864203</v>
      </c>
    </row>
    <row r="2333" spans="1:50" x14ac:dyDescent="0.25">
      <c r="A2333" s="2" t="s">
        <v>15739</v>
      </c>
      <c r="B2333" s="2">
        <v>150.05876965937</v>
      </c>
      <c r="C2333" s="2">
        <v>0.75593333333333301</v>
      </c>
      <c r="D2333" s="2" t="s">
        <v>51</v>
      </c>
      <c r="E2333" s="2" t="s">
        <v>15740</v>
      </c>
      <c r="F2333" s="2">
        <v>81751</v>
      </c>
      <c r="G2333" s="3" t="str">
        <f>HYPERLINK("https://cloud.oebiotech.com/#/lm/network/81751", "https://cloud.oebiotech.com/#/lm/network/81751")</f>
        <v>https://cloud.oebiotech.com/#/lm/network/81751</v>
      </c>
      <c r="H2333" s="2" t="s">
        <v>15741</v>
      </c>
      <c r="I2333" s="2">
        <v>96259</v>
      </c>
      <c r="J2333" s="2"/>
      <c r="K2333" s="2">
        <v>70941</v>
      </c>
      <c r="L2333" s="2"/>
      <c r="M2333" s="2"/>
      <c r="N2333" s="2"/>
      <c r="O2333" s="2"/>
      <c r="P2333" s="2"/>
      <c r="Q2333" s="2"/>
      <c r="R2333" s="2"/>
      <c r="S2333" s="2" t="s">
        <v>15742</v>
      </c>
      <c r="T2333" s="2" t="s">
        <v>15743</v>
      </c>
      <c r="U2333" s="2" t="s">
        <v>266</v>
      </c>
      <c r="V2333" s="2" t="s">
        <v>15744</v>
      </c>
      <c r="W2333" s="2" t="s">
        <v>240</v>
      </c>
      <c r="X2333" s="2" t="s">
        <v>147</v>
      </c>
      <c r="Y2333" s="2">
        <v>38.9</v>
      </c>
      <c r="Z2333" s="2">
        <v>1.07</v>
      </c>
      <c r="AA2333" s="2" t="s">
        <v>2589</v>
      </c>
      <c r="AB2333" s="2" t="s">
        <v>15745</v>
      </c>
      <c r="AC2333" s="2">
        <v>3.3602375971440899</v>
      </c>
      <c r="AD2333" s="2"/>
      <c r="AE2333" s="2">
        <v>0.27903785465832698</v>
      </c>
      <c r="AF2333" s="2">
        <v>13316.5712894567</v>
      </c>
      <c r="AG2333" s="2">
        <v>4922.52230692175</v>
      </c>
      <c r="AH2333" s="5">
        <v>2.70523330503385</v>
      </c>
      <c r="AI2333" s="5">
        <v>1.43575302048495</v>
      </c>
      <c r="AJ2333" s="5" t="s">
        <v>139</v>
      </c>
      <c r="AK2333" s="2">
        <v>0.40618256813894399</v>
      </c>
      <c r="AL2333" s="2">
        <v>0.67229046753301103</v>
      </c>
      <c r="AM2333" s="2">
        <v>1761.79684195545</v>
      </c>
      <c r="AN2333" s="2">
        <v>1998.4040345979499</v>
      </c>
      <c r="AO2333" s="2">
        <v>1106.27451805961</v>
      </c>
      <c r="AP2333" s="2">
        <v>849.72023653523104</v>
      </c>
      <c r="AQ2333" s="2">
        <v>59578.806082880299</v>
      </c>
      <c r="AR2333" s="2">
        <v>14604.426022711899</v>
      </c>
      <c r="AS2333" s="2">
        <v>2698.1490609669199</v>
      </c>
      <c r="AT2333" s="2">
        <v>3417.8162048058698</v>
      </c>
      <c r="AU2333" s="2">
        <v>4957.3072131281197</v>
      </c>
      <c r="AV2333" s="2">
        <v>2996.9223560016699</v>
      </c>
      <c r="AW2333" s="2">
        <v>13911.203523419301</v>
      </c>
      <c r="AX2333" s="2">
        <v>1553.73548320859</v>
      </c>
    </row>
    <row r="2334" spans="1:50" x14ac:dyDescent="0.25">
      <c r="A2334" s="2" t="s">
        <v>15746</v>
      </c>
      <c r="B2334" s="2">
        <v>583.32634953113904</v>
      </c>
      <c r="C2334" s="2">
        <v>10.09835</v>
      </c>
      <c r="D2334" s="2" t="s">
        <v>51</v>
      </c>
      <c r="E2334" s="2" t="s">
        <v>15747</v>
      </c>
      <c r="F2334" s="2">
        <v>58650</v>
      </c>
      <c r="G2334" s="3" t="str">
        <f>HYPERLINK("https://cloud.oebiotech.com/#/lm/network/58650", "https://cloud.oebiotech.com/#/lm/network/58650")</f>
        <v>https://cloud.oebiotech.com/#/lm/network/58650</v>
      </c>
      <c r="H2334" s="2" t="s">
        <v>15748</v>
      </c>
      <c r="I2334" s="2"/>
      <c r="J2334" s="2"/>
      <c r="K2334" s="2">
        <v>78385431</v>
      </c>
      <c r="L2334" s="2"/>
      <c r="M2334" s="2"/>
      <c r="N2334" s="2"/>
      <c r="O2334" s="2"/>
      <c r="P2334" s="2"/>
      <c r="Q2334" s="2"/>
      <c r="R2334" s="2" t="s">
        <v>15749</v>
      </c>
      <c r="S2334" s="2" t="s">
        <v>15750</v>
      </c>
      <c r="T2334" s="2" t="s">
        <v>15751</v>
      </c>
      <c r="U2334" s="2" t="s">
        <v>56</v>
      </c>
      <c r="V2334" s="2" t="s">
        <v>177</v>
      </c>
      <c r="W2334" s="2" t="s">
        <v>806</v>
      </c>
      <c r="X2334" s="2" t="s">
        <v>83</v>
      </c>
      <c r="Y2334" s="2">
        <v>41.6</v>
      </c>
      <c r="Z2334" s="2">
        <v>0</v>
      </c>
      <c r="AA2334" s="2" t="s">
        <v>478</v>
      </c>
      <c r="AB2334" s="2" t="s">
        <v>6322</v>
      </c>
      <c r="AC2334" s="2">
        <v>-2.2119723815936498</v>
      </c>
      <c r="AD2334" s="2"/>
      <c r="AE2334" s="2">
        <v>0.27892720895040801</v>
      </c>
      <c r="AF2334" s="2">
        <v>8553.7855332938107</v>
      </c>
      <c r="AG2334" s="2">
        <v>10555.201347272799</v>
      </c>
      <c r="AH2334" s="4">
        <v>0.81038582324191299</v>
      </c>
      <c r="AI2334" s="4">
        <v>-0.30331915880048999</v>
      </c>
      <c r="AJ2334" s="4" t="s">
        <v>62</v>
      </c>
      <c r="AK2334" s="2">
        <v>7.5616997330083702E-2</v>
      </c>
      <c r="AL2334" s="2">
        <v>0.35959750056178102</v>
      </c>
      <c r="AM2334" s="2">
        <v>6405.4147579967703</v>
      </c>
      <c r="AN2334" s="2">
        <v>8558.9473378738694</v>
      </c>
      <c r="AO2334" s="2">
        <v>8876.48155937091</v>
      </c>
      <c r="AP2334" s="2">
        <v>9355.5574610097592</v>
      </c>
      <c r="AQ2334" s="2">
        <v>9812.9349980422994</v>
      </c>
      <c r="AR2334" s="2">
        <v>8313.3770854692302</v>
      </c>
      <c r="AS2334" s="2">
        <v>11656.7679896482</v>
      </c>
      <c r="AT2334" s="2">
        <v>12195.994895133999</v>
      </c>
      <c r="AU2334" s="2">
        <v>6991.4632816056601</v>
      </c>
      <c r="AV2334" s="2">
        <v>10451.707772940799</v>
      </c>
      <c r="AW2334" s="2">
        <v>9209.3633078908806</v>
      </c>
      <c r="AX2334" s="2">
        <v>12825.910836417201</v>
      </c>
    </row>
    <row r="2335" spans="1:50" x14ac:dyDescent="0.25">
      <c r="A2335" s="2" t="s">
        <v>15752</v>
      </c>
      <c r="B2335" s="2">
        <v>497.21362344267698</v>
      </c>
      <c r="C2335" s="2">
        <v>9.5834499999999991</v>
      </c>
      <c r="D2335" s="2" t="s">
        <v>51</v>
      </c>
      <c r="E2335" s="2" t="s">
        <v>15753</v>
      </c>
      <c r="F2335" s="2">
        <v>302905</v>
      </c>
      <c r="G2335" s="3" t="str">
        <f>HYPERLINK("https://cloud.oebiotech.com/#/lm/network/302905", "https://cloud.oebiotech.com/#/lm/network/302905")</f>
        <v>https://cloud.oebiotech.com/#/lm/network/302905</v>
      </c>
      <c r="H2335" s="2"/>
      <c r="I2335" s="2">
        <v>328743</v>
      </c>
      <c r="J2335" s="2"/>
      <c r="K2335" s="2">
        <v>70397</v>
      </c>
      <c r="L2335" s="2"/>
      <c r="M2335" s="2"/>
      <c r="N2335" s="2"/>
      <c r="O2335" s="2"/>
      <c r="P2335" s="2"/>
      <c r="Q2335" s="2"/>
      <c r="R2335" s="2"/>
      <c r="S2335" s="2" t="s">
        <v>15754</v>
      </c>
      <c r="T2335" s="2" t="s">
        <v>15755</v>
      </c>
      <c r="U2335" s="2" t="s">
        <v>266</v>
      </c>
      <c r="V2335" s="2" t="s">
        <v>8778</v>
      </c>
      <c r="W2335" s="2" t="s">
        <v>8779</v>
      </c>
      <c r="X2335" s="2" t="s">
        <v>147</v>
      </c>
      <c r="Y2335" s="2">
        <v>38.6</v>
      </c>
      <c r="Z2335" s="2">
        <v>0</v>
      </c>
      <c r="AA2335" s="2" t="s">
        <v>478</v>
      </c>
      <c r="AB2335" s="2" t="s">
        <v>15756</v>
      </c>
      <c r="AC2335" s="2">
        <v>-3.5783870237711</v>
      </c>
      <c r="AD2335" s="2"/>
      <c r="AE2335" s="2">
        <v>0.27879658769448201</v>
      </c>
      <c r="AF2335" s="2">
        <v>5292.19899518279</v>
      </c>
      <c r="AG2335" s="2">
        <v>3288.8862055326499</v>
      </c>
      <c r="AH2335" s="5">
        <v>1.6091158722001699</v>
      </c>
      <c r="AI2335" s="5">
        <v>0.68626821806231497</v>
      </c>
      <c r="AJ2335" s="5" t="s">
        <v>139</v>
      </c>
      <c r="AK2335" s="2">
        <v>0.154204408260156</v>
      </c>
      <c r="AL2335" s="2">
        <v>0.47517092828514201</v>
      </c>
      <c r="AM2335" s="2">
        <v>9323.1081696795409</v>
      </c>
      <c r="AN2335" s="2">
        <v>7044.6247922651401</v>
      </c>
      <c r="AO2335" s="2">
        <v>2957.0530503015898</v>
      </c>
      <c r="AP2335" s="2">
        <v>3097.2001919540298</v>
      </c>
      <c r="AQ2335" s="2">
        <v>4270.0941055680296</v>
      </c>
      <c r="AR2335" s="2">
        <v>5061.1136613283797</v>
      </c>
      <c r="AS2335" s="2">
        <v>3812.1363298863898</v>
      </c>
      <c r="AT2335" s="2">
        <v>1235.4889305013901</v>
      </c>
      <c r="AU2335" s="2">
        <v>6808.6928313827702</v>
      </c>
      <c r="AV2335" s="2">
        <v>1565.3459108232701</v>
      </c>
      <c r="AW2335" s="2">
        <v>3367.5388390962598</v>
      </c>
      <c r="AX2335" s="2">
        <v>2944.1143915058501</v>
      </c>
    </row>
    <row r="2336" spans="1:50" x14ac:dyDescent="0.25">
      <c r="A2336" s="2" t="s">
        <v>15757</v>
      </c>
      <c r="B2336" s="2">
        <v>231.05638854431899</v>
      </c>
      <c r="C2336" s="2">
        <v>1.04843333333333</v>
      </c>
      <c r="D2336" s="2" t="s">
        <v>51</v>
      </c>
      <c r="E2336" s="2" t="s">
        <v>15758</v>
      </c>
      <c r="F2336" s="2">
        <v>201432</v>
      </c>
      <c r="G2336" s="3" t="str">
        <f>HYPERLINK("https://cloud.oebiotech.com/#/lm/network/201432", "https://cloud.oebiotech.com/#/lm/network/201432")</f>
        <v>https://cloud.oebiotech.com/#/lm/network/201432</v>
      </c>
      <c r="H2336" s="2" t="s">
        <v>15759</v>
      </c>
      <c r="I2336" s="2"/>
      <c r="J2336" s="2"/>
      <c r="K2336" s="2">
        <v>9837183</v>
      </c>
      <c r="L2336" s="2"/>
      <c r="M2336" s="2"/>
      <c r="N2336" s="2"/>
      <c r="O2336" s="2"/>
      <c r="P2336" s="2"/>
      <c r="Q2336" s="2"/>
      <c r="R2336" s="2"/>
      <c r="S2336" s="2" t="s">
        <v>15760</v>
      </c>
      <c r="T2336" s="2" t="s">
        <v>15761</v>
      </c>
      <c r="U2336" s="2" t="s">
        <v>266</v>
      </c>
      <c r="V2336" s="2" t="s">
        <v>2143</v>
      </c>
      <c r="W2336" s="2" t="s">
        <v>240</v>
      </c>
      <c r="X2336" s="2" t="s">
        <v>147</v>
      </c>
      <c r="Y2336" s="2">
        <v>39.299999999999997</v>
      </c>
      <c r="Z2336" s="2">
        <v>8.08</v>
      </c>
      <c r="AA2336" s="2" t="s">
        <v>95</v>
      </c>
      <c r="AB2336" s="2" t="s">
        <v>15762</v>
      </c>
      <c r="AC2336" s="2">
        <v>0.64330382674965103</v>
      </c>
      <c r="AD2336" s="2"/>
      <c r="AE2336" s="2">
        <v>0.27870262905894</v>
      </c>
      <c r="AF2336" s="2">
        <v>7687.7107922755004</v>
      </c>
      <c r="AG2336" s="2">
        <v>10536.272705662101</v>
      </c>
      <c r="AH2336" s="4">
        <v>0.72964235143080602</v>
      </c>
      <c r="AI2336" s="4">
        <v>-0.45473862302463203</v>
      </c>
      <c r="AJ2336" s="4" t="s">
        <v>62</v>
      </c>
      <c r="AK2336" s="2">
        <v>0.12794412845895101</v>
      </c>
      <c r="AL2336" s="2">
        <v>0.446300993337715</v>
      </c>
      <c r="AM2336" s="2">
        <v>9531.9135348803902</v>
      </c>
      <c r="AN2336" s="2">
        <v>4394.2280388161698</v>
      </c>
      <c r="AO2336" s="2">
        <v>8962.3439031202906</v>
      </c>
      <c r="AP2336" s="2">
        <v>9565.3202478868698</v>
      </c>
      <c r="AQ2336" s="2">
        <v>8149.4477079117396</v>
      </c>
      <c r="AR2336" s="2">
        <v>5523.0113210375403</v>
      </c>
      <c r="AS2336" s="2">
        <v>8386.8922504486</v>
      </c>
      <c r="AT2336" s="2">
        <v>9050.5524218952796</v>
      </c>
      <c r="AU2336" s="2">
        <v>9414.3550568934497</v>
      </c>
      <c r="AV2336" s="2">
        <v>9222.9829191851004</v>
      </c>
      <c r="AW2336" s="2">
        <v>9338.8219291353398</v>
      </c>
      <c r="AX2336" s="2">
        <v>17804.0316564147</v>
      </c>
    </row>
    <row r="2337" spans="1:50" x14ac:dyDescent="0.25">
      <c r="A2337" s="2" t="s">
        <v>15763</v>
      </c>
      <c r="B2337" s="2">
        <v>218.10650000000001</v>
      </c>
      <c r="C2337" s="2">
        <v>15.885999999999999</v>
      </c>
      <c r="D2337" s="2" t="s">
        <v>125</v>
      </c>
      <c r="E2337" s="2" t="s">
        <v>15764</v>
      </c>
      <c r="F2337" s="2">
        <v>273927</v>
      </c>
      <c r="G2337" s="3" t="str">
        <f>HYPERLINK("https://cloud.oebiotech.com/#/lm/network/273927", "https://cloud.oebiotech.com/#/lm/network/273927")</f>
        <v>https://cloud.oebiotech.com/#/lm/network/273927</v>
      </c>
      <c r="H2337" s="2"/>
      <c r="I2337" s="2">
        <v>63528</v>
      </c>
      <c r="J2337" s="2"/>
      <c r="K2337" s="2">
        <v>71567</v>
      </c>
      <c r="L2337" s="2" t="s">
        <v>15765</v>
      </c>
      <c r="M2337" s="2" t="s">
        <v>15766</v>
      </c>
      <c r="N2337" s="2" t="s">
        <v>15767</v>
      </c>
      <c r="O2337" s="2"/>
      <c r="P2337" s="2"/>
      <c r="Q2337" s="2"/>
      <c r="R2337" s="2" t="s">
        <v>15768</v>
      </c>
      <c r="S2337" s="2" t="s">
        <v>15769</v>
      </c>
      <c r="T2337" s="2" t="s">
        <v>15770</v>
      </c>
      <c r="U2337" s="2" t="s">
        <v>103</v>
      </c>
      <c r="V2337" s="2" t="s">
        <v>104</v>
      </c>
      <c r="W2337" s="2" t="s">
        <v>105</v>
      </c>
      <c r="X2337" s="2" t="s">
        <v>69</v>
      </c>
      <c r="Y2337" s="2">
        <v>90.4</v>
      </c>
      <c r="Z2337" s="2">
        <v>93.8</v>
      </c>
      <c r="AA2337" s="2"/>
      <c r="AB2337" s="2" t="s">
        <v>12406</v>
      </c>
      <c r="AC2337" s="2"/>
      <c r="AD2337" s="2">
        <v>534140.01652323594</v>
      </c>
      <c r="AE2337" s="2">
        <v>0.27868392071173598</v>
      </c>
      <c r="AF2337" s="2">
        <v>968717.54394608305</v>
      </c>
      <c r="AG2337" s="2">
        <v>1040783.8394693499</v>
      </c>
      <c r="AH2337" s="4">
        <v>0.93075767244809005</v>
      </c>
      <c r="AI2337" s="4">
        <v>-0.103522491296807</v>
      </c>
      <c r="AJ2337" s="4" t="s">
        <v>62</v>
      </c>
      <c r="AK2337" s="2">
        <v>0.75515256550114496</v>
      </c>
      <c r="AL2337" s="2">
        <v>0.88955174233736001</v>
      </c>
      <c r="AM2337" s="2">
        <v>1221784.8737761499</v>
      </c>
      <c r="AN2337" s="2">
        <v>1013301.79495328</v>
      </c>
      <c r="AO2337" s="2">
        <v>870920.12369628903</v>
      </c>
      <c r="AP2337" s="2">
        <v>1608976.26132794</v>
      </c>
      <c r="AQ2337" s="2">
        <v>385554.08387588698</v>
      </c>
      <c r="AR2337" s="2">
        <v>711768.12604695302</v>
      </c>
      <c r="AS2337" s="2">
        <v>554401.31000854005</v>
      </c>
      <c r="AT2337" s="2">
        <v>780697.48080295802</v>
      </c>
      <c r="AU2337" s="2">
        <v>1225960.9363150699</v>
      </c>
      <c r="AV2337" s="2">
        <v>1077662.42122786</v>
      </c>
      <c r="AW2337" s="2">
        <v>1031536.31201475</v>
      </c>
      <c r="AX2337" s="2">
        <v>1574444.57644695</v>
      </c>
    </row>
    <row r="2338" spans="1:50" x14ac:dyDescent="0.25">
      <c r="A2338" s="2" t="s">
        <v>15771</v>
      </c>
      <c r="B2338" s="2">
        <v>429.30137140097298</v>
      </c>
      <c r="C2338" s="2">
        <v>9.9106500000000004</v>
      </c>
      <c r="D2338" s="2" t="s">
        <v>51</v>
      </c>
      <c r="E2338" s="2" t="s">
        <v>15772</v>
      </c>
      <c r="F2338" s="2">
        <v>43668</v>
      </c>
      <c r="G2338" s="3" t="str">
        <f>HYPERLINK("https://cloud.oebiotech.com/#/lm/network/43668", "https://cloud.oebiotech.com/#/lm/network/43668")</f>
        <v>https://cloud.oebiotech.com/#/lm/network/43668</v>
      </c>
      <c r="H2338" s="2"/>
      <c r="I2338" s="2">
        <v>83943</v>
      </c>
      <c r="J2338" s="2" t="s">
        <v>15773</v>
      </c>
      <c r="K2338" s="2">
        <v>52931346</v>
      </c>
      <c r="L2338" s="2"/>
      <c r="M2338" s="2"/>
      <c r="N2338" s="2"/>
      <c r="O2338" s="2"/>
      <c r="P2338" s="2"/>
      <c r="Q2338" s="2"/>
      <c r="R2338" s="2"/>
      <c r="S2338" s="2" t="s">
        <v>15774</v>
      </c>
      <c r="T2338" s="2" t="s">
        <v>15775</v>
      </c>
      <c r="U2338" s="2" t="s">
        <v>56</v>
      </c>
      <c r="V2338" s="2" t="s">
        <v>283</v>
      </c>
      <c r="W2338" s="2" t="s">
        <v>1108</v>
      </c>
      <c r="X2338" s="2" t="s">
        <v>83</v>
      </c>
      <c r="Y2338" s="2">
        <v>41.8</v>
      </c>
      <c r="Z2338" s="2">
        <v>0</v>
      </c>
      <c r="AA2338" s="2" t="s">
        <v>259</v>
      </c>
      <c r="AB2338" s="2" t="s">
        <v>15776</v>
      </c>
      <c r="AC2338" s="2">
        <v>3.35099820199382</v>
      </c>
      <c r="AD2338" s="2"/>
      <c r="AE2338" s="2">
        <v>0.27863944336724999</v>
      </c>
      <c r="AF2338" s="2">
        <v>3439.2313166747499</v>
      </c>
      <c r="AG2338" s="2">
        <v>6375.0707648138095</v>
      </c>
      <c r="AH2338" s="4">
        <v>0.53948127692276704</v>
      </c>
      <c r="AI2338" s="4">
        <v>-0.890355204051548</v>
      </c>
      <c r="AJ2338" s="4" t="s">
        <v>62</v>
      </c>
      <c r="AK2338" s="2">
        <v>0.18085402366801001</v>
      </c>
      <c r="AL2338" s="2">
        <v>0.50364855079524795</v>
      </c>
      <c r="AM2338" s="2">
        <v>489.09571885256798</v>
      </c>
      <c r="AN2338" s="2">
        <v>2958.4821379150299</v>
      </c>
      <c r="AO2338" s="2">
        <v>2442.0611251605101</v>
      </c>
      <c r="AP2338" s="2">
        <v>5647.3804503478796</v>
      </c>
      <c r="AQ2338" s="2">
        <v>7574.5492275448596</v>
      </c>
      <c r="AR2338" s="2">
        <v>1523.81924022768</v>
      </c>
      <c r="AS2338" s="2">
        <v>1021.78229770768</v>
      </c>
      <c r="AT2338" s="2">
        <v>9262.5418306276406</v>
      </c>
      <c r="AU2338" s="2">
        <v>6013.2954085056199</v>
      </c>
      <c r="AV2338" s="2">
        <v>4372.8421608059098</v>
      </c>
      <c r="AW2338" s="2">
        <v>13067.3416226833</v>
      </c>
      <c r="AX2338" s="2">
        <v>4512.6212685527298</v>
      </c>
    </row>
    <row r="2339" spans="1:50" x14ac:dyDescent="0.25">
      <c r="A2339" s="2" t="s">
        <v>15777</v>
      </c>
      <c r="B2339" s="2">
        <v>168.077209308492</v>
      </c>
      <c r="C2339" s="2">
        <v>0.59993333333333299</v>
      </c>
      <c r="D2339" s="2" t="s">
        <v>51</v>
      </c>
      <c r="E2339" s="2" t="s">
        <v>15778</v>
      </c>
      <c r="F2339" s="2">
        <v>82331</v>
      </c>
      <c r="G2339" s="3" t="str">
        <f>HYPERLINK("https://cloud.oebiotech.com/#/lm/network/82331", "https://cloud.oebiotech.com/#/lm/network/82331")</f>
        <v>https://cloud.oebiotech.com/#/lm/network/82331</v>
      </c>
      <c r="H2339" s="2" t="s">
        <v>15779</v>
      </c>
      <c r="I2339" s="2"/>
      <c r="J2339" s="2"/>
      <c r="K2339" s="2">
        <v>151244</v>
      </c>
      <c r="L2339" s="2" t="s">
        <v>15780</v>
      </c>
      <c r="M2339" s="2" t="s">
        <v>7921</v>
      </c>
      <c r="N2339" s="2" t="s">
        <v>7922</v>
      </c>
      <c r="O2339" s="2">
        <v>80625</v>
      </c>
      <c r="P2339" s="2"/>
      <c r="Q2339" s="2"/>
      <c r="R2339" s="2"/>
      <c r="S2339" s="2" t="s">
        <v>15781</v>
      </c>
      <c r="T2339" s="2" t="s">
        <v>15782</v>
      </c>
      <c r="U2339" s="2" t="s">
        <v>103</v>
      </c>
      <c r="V2339" s="2" t="s">
        <v>104</v>
      </c>
      <c r="W2339" s="2" t="s">
        <v>15783</v>
      </c>
      <c r="X2339" s="2" t="s">
        <v>147</v>
      </c>
      <c r="Y2339" s="2">
        <v>38.5</v>
      </c>
      <c r="Z2339" s="2">
        <v>0</v>
      </c>
      <c r="AA2339" s="2" t="s">
        <v>512</v>
      </c>
      <c r="AB2339" s="2" t="s">
        <v>15784</v>
      </c>
      <c r="AC2339" s="2">
        <v>-4.5755508787829404</v>
      </c>
      <c r="AD2339" s="2"/>
      <c r="AE2339" s="2">
        <v>0.27851716712096902</v>
      </c>
      <c r="AF2339" s="2">
        <v>15026.355628683499</v>
      </c>
      <c r="AG2339" s="2">
        <v>12404.5452502317</v>
      </c>
      <c r="AH2339" s="5">
        <v>1.21135884674231</v>
      </c>
      <c r="AI2339" s="5">
        <v>0.27662630493863899</v>
      </c>
      <c r="AJ2339" s="5" t="s">
        <v>139</v>
      </c>
      <c r="AK2339" s="2">
        <v>0.52351068192004102</v>
      </c>
      <c r="AL2339" s="2">
        <v>0.753042437774049</v>
      </c>
      <c r="AM2339" s="2">
        <v>23543.361464813399</v>
      </c>
      <c r="AN2339" s="2">
        <v>14115.212774242</v>
      </c>
      <c r="AO2339" s="2">
        <v>11411.9349061011</v>
      </c>
      <c r="AP2339" s="2">
        <v>13643.4470275405</v>
      </c>
      <c r="AQ2339" s="2">
        <v>17095.421834804201</v>
      </c>
      <c r="AR2339" s="2">
        <v>10348.7557645996</v>
      </c>
      <c r="AS2339" s="2">
        <v>10378.742071725001</v>
      </c>
      <c r="AT2339" s="2">
        <v>10954.827263745799</v>
      </c>
      <c r="AU2339" s="2">
        <v>28537.905890192898</v>
      </c>
      <c r="AV2339" s="2">
        <v>9930.2130926769496</v>
      </c>
      <c r="AW2339" s="2">
        <v>3255.8251106992798</v>
      </c>
      <c r="AX2339" s="2">
        <v>11369.7580723503</v>
      </c>
    </row>
    <row r="2340" spans="1:50" x14ac:dyDescent="0.25">
      <c r="A2340" s="2" t="s">
        <v>15785</v>
      </c>
      <c r="B2340" s="2">
        <v>417.13761800971599</v>
      </c>
      <c r="C2340" s="2">
        <v>10.905533333333301</v>
      </c>
      <c r="D2340" s="2" t="s">
        <v>51</v>
      </c>
      <c r="E2340" s="2" t="s">
        <v>15786</v>
      </c>
      <c r="F2340" s="2">
        <v>208619</v>
      </c>
      <c r="G2340" s="3" t="str">
        <f>HYPERLINK("https://cloud.oebiotech.com/#/lm/network/208619", "https://cloud.oebiotech.com/#/lm/network/208619")</f>
        <v>https://cloud.oebiotech.com/#/lm/network/208619</v>
      </c>
      <c r="H2340" s="2" t="s">
        <v>15787</v>
      </c>
      <c r="I2340" s="2"/>
      <c r="J2340" s="2"/>
      <c r="K2340" s="2">
        <v>3047716</v>
      </c>
      <c r="L2340" s="2"/>
      <c r="M2340" s="2"/>
      <c r="N2340" s="2"/>
      <c r="O2340" s="2"/>
      <c r="P2340" s="2"/>
      <c r="Q2340" s="2"/>
      <c r="R2340" s="2"/>
      <c r="S2340" s="2" t="s">
        <v>15788</v>
      </c>
      <c r="T2340" s="2" t="s">
        <v>15789</v>
      </c>
      <c r="U2340" s="2" t="s">
        <v>610</v>
      </c>
      <c r="V2340" s="2" t="s">
        <v>813</v>
      </c>
      <c r="W2340" s="2" t="s">
        <v>240</v>
      </c>
      <c r="X2340" s="2" t="s">
        <v>147</v>
      </c>
      <c r="Y2340" s="2">
        <v>37.200000000000003</v>
      </c>
      <c r="Z2340" s="2">
        <v>0</v>
      </c>
      <c r="AA2340" s="2" t="s">
        <v>379</v>
      </c>
      <c r="AB2340" s="2" t="s">
        <v>15790</v>
      </c>
      <c r="AC2340" s="2">
        <v>-3.3302644187664101</v>
      </c>
      <c r="AD2340" s="2"/>
      <c r="AE2340" s="2">
        <v>0.27839452335075299</v>
      </c>
      <c r="AF2340" s="2">
        <v>4055.0575996534099</v>
      </c>
      <c r="AG2340" s="2">
        <v>2046.77877298621</v>
      </c>
      <c r="AH2340" s="5">
        <v>1.98118998163009</v>
      </c>
      <c r="AI2340" s="5">
        <v>0.98636723076438604</v>
      </c>
      <c r="AJ2340" s="5" t="s">
        <v>139</v>
      </c>
      <c r="AK2340" s="2">
        <v>4.0213092635778599E-3</v>
      </c>
      <c r="AL2340" s="2">
        <v>0.11478131297048901</v>
      </c>
      <c r="AM2340" s="2">
        <v>3507.0968122731902</v>
      </c>
      <c r="AN2340" s="2">
        <v>5481.2621273505501</v>
      </c>
      <c r="AO2340" s="2">
        <v>3975.9118602232202</v>
      </c>
      <c r="AP2340" s="2">
        <v>4159.2301335729999</v>
      </c>
      <c r="AQ2340" s="2">
        <v>3010.1694803569499</v>
      </c>
      <c r="AR2340" s="2">
        <v>4196.6751841435498</v>
      </c>
      <c r="AS2340" s="2">
        <v>3796.8996976715498</v>
      </c>
      <c r="AT2340" s="2">
        <v>1044.76435577144</v>
      </c>
      <c r="AU2340" s="2">
        <v>1649.09441002829</v>
      </c>
      <c r="AV2340" s="2">
        <v>1670.6603346735701</v>
      </c>
      <c r="AW2340" s="2">
        <v>1371.7965051394201</v>
      </c>
      <c r="AX2340" s="2">
        <v>2747.4573346329998</v>
      </c>
    </row>
    <row r="2341" spans="1:50" x14ac:dyDescent="0.25">
      <c r="A2341" s="2" t="s">
        <v>15791</v>
      </c>
      <c r="B2341" s="2">
        <v>190.08267228816999</v>
      </c>
      <c r="C2341" s="2">
        <v>0.76721666666666699</v>
      </c>
      <c r="D2341" s="2" t="s">
        <v>51</v>
      </c>
      <c r="E2341" s="2" t="s">
        <v>15792</v>
      </c>
      <c r="F2341" s="2">
        <v>53867</v>
      </c>
      <c r="G2341" s="3" t="str">
        <f>HYPERLINK("https://cloud.oebiotech.com/#/lm/network/53867", "https://cloud.oebiotech.com/#/lm/network/53867")</f>
        <v>https://cloud.oebiotech.com/#/lm/network/53867</v>
      </c>
      <c r="H2341" s="2" t="s">
        <v>15793</v>
      </c>
      <c r="I2341" s="2"/>
      <c r="J2341" s="2"/>
      <c r="K2341" s="2">
        <v>306141</v>
      </c>
      <c r="L2341" s="2"/>
      <c r="M2341" s="2"/>
      <c r="N2341" s="2"/>
      <c r="O2341" s="2"/>
      <c r="P2341" s="2"/>
      <c r="Q2341" s="2"/>
      <c r="R2341" s="2"/>
      <c r="S2341" s="2" t="s">
        <v>15794</v>
      </c>
      <c r="T2341" s="2" t="s">
        <v>15795</v>
      </c>
      <c r="U2341" s="2" t="s">
        <v>103</v>
      </c>
      <c r="V2341" s="2" t="s">
        <v>104</v>
      </c>
      <c r="W2341" s="2" t="s">
        <v>105</v>
      </c>
      <c r="X2341" s="2" t="s">
        <v>83</v>
      </c>
      <c r="Y2341" s="2">
        <v>39.1</v>
      </c>
      <c r="Z2341" s="2">
        <v>0</v>
      </c>
      <c r="AA2341" s="2" t="s">
        <v>259</v>
      </c>
      <c r="AB2341" s="2" t="s">
        <v>15796</v>
      </c>
      <c r="AC2341" s="2">
        <v>2.3271763175772699</v>
      </c>
      <c r="AD2341" s="2"/>
      <c r="AE2341" s="2">
        <v>0.27837822607727603</v>
      </c>
      <c r="AF2341" s="2">
        <v>6366.1435747199703</v>
      </c>
      <c r="AG2341" s="2">
        <v>4421.65568429836</v>
      </c>
      <c r="AH2341" s="5">
        <v>1.4397646558791599</v>
      </c>
      <c r="AI2341" s="5">
        <v>0.52583300781736897</v>
      </c>
      <c r="AJ2341" s="5" t="s">
        <v>139</v>
      </c>
      <c r="AK2341" s="2">
        <v>0.13621496578450501</v>
      </c>
      <c r="AL2341" s="2">
        <v>0.457070459966327</v>
      </c>
      <c r="AM2341" s="2">
        <v>10918.538497494101</v>
      </c>
      <c r="AN2341" s="2">
        <v>3554.3473346562801</v>
      </c>
      <c r="AO2341" s="2">
        <v>6625.5680483907499</v>
      </c>
      <c r="AP2341" s="2">
        <v>6350.1371165855498</v>
      </c>
      <c r="AQ2341" s="2">
        <v>4901.2424930898396</v>
      </c>
      <c r="AR2341" s="2">
        <v>5847.0279581032801</v>
      </c>
      <c r="AS2341" s="2">
        <v>3467.8471182660901</v>
      </c>
      <c r="AT2341" s="2">
        <v>4759.1698601215003</v>
      </c>
      <c r="AU2341" s="2">
        <v>6893.7527489573104</v>
      </c>
      <c r="AV2341" s="2">
        <v>2297.32297322882</v>
      </c>
      <c r="AW2341" s="2">
        <v>5004.9857618942697</v>
      </c>
      <c r="AX2341" s="2">
        <v>4106.8556433221402</v>
      </c>
    </row>
    <row r="2342" spans="1:50" x14ac:dyDescent="0.25">
      <c r="A2342" s="2" t="s">
        <v>15797</v>
      </c>
      <c r="B2342" s="2">
        <v>251.16496037776</v>
      </c>
      <c r="C2342" s="2">
        <v>9.7668833333333307</v>
      </c>
      <c r="D2342" s="2" t="s">
        <v>51</v>
      </c>
      <c r="E2342" s="2" t="s">
        <v>15798</v>
      </c>
      <c r="F2342" s="2">
        <v>209450</v>
      </c>
      <c r="G2342" s="3" t="str">
        <f>HYPERLINK("https://cloud.oebiotech.com/#/lm/network/209450", "https://cloud.oebiotech.com/#/lm/network/209450")</f>
        <v>https://cloud.oebiotech.com/#/lm/network/209450</v>
      </c>
      <c r="H2342" s="2" t="s">
        <v>15799</v>
      </c>
      <c r="I2342" s="2"/>
      <c r="J2342" s="2"/>
      <c r="K2342" s="2">
        <v>281075</v>
      </c>
      <c r="L2342" s="2"/>
      <c r="M2342" s="2"/>
      <c r="N2342" s="2"/>
      <c r="O2342" s="2"/>
      <c r="P2342" s="2"/>
      <c r="Q2342" s="2"/>
      <c r="R2342" s="2"/>
      <c r="S2342" s="2" t="s">
        <v>15800</v>
      </c>
      <c r="T2342" s="2" t="s">
        <v>15801</v>
      </c>
      <c r="U2342" s="2" t="s">
        <v>56</v>
      </c>
      <c r="V2342" s="2" t="s">
        <v>177</v>
      </c>
      <c r="W2342" s="2" t="s">
        <v>1996</v>
      </c>
      <c r="X2342" s="2" t="s">
        <v>83</v>
      </c>
      <c r="Y2342" s="2">
        <v>58.5</v>
      </c>
      <c r="Z2342" s="2">
        <v>41</v>
      </c>
      <c r="AA2342" s="2" t="s">
        <v>259</v>
      </c>
      <c r="AB2342" s="2" t="s">
        <v>8328</v>
      </c>
      <c r="AC2342" s="2">
        <v>3.15554580869679</v>
      </c>
      <c r="AD2342" s="2"/>
      <c r="AE2342" s="2">
        <v>0.27837471930297097</v>
      </c>
      <c r="AF2342" s="2">
        <v>8800.5065232038996</v>
      </c>
      <c r="AG2342" s="2">
        <v>7016.1419829608803</v>
      </c>
      <c r="AH2342" s="5">
        <v>1.2543227523867699</v>
      </c>
      <c r="AI2342" s="5">
        <v>0.32690861875890398</v>
      </c>
      <c r="AJ2342" s="5" t="s">
        <v>139</v>
      </c>
      <c r="AK2342" s="2">
        <v>3.1577751221325001E-3</v>
      </c>
      <c r="AL2342" s="2">
        <v>0.1120315017845</v>
      </c>
      <c r="AM2342" s="2">
        <v>9080.4496258269501</v>
      </c>
      <c r="AN2342" s="2">
        <v>9343.6026548483806</v>
      </c>
      <c r="AO2342" s="2">
        <v>8403.8278983484306</v>
      </c>
      <c r="AP2342" s="2">
        <v>9728.2606721600896</v>
      </c>
      <c r="AQ2342" s="2">
        <v>8578.9927768410907</v>
      </c>
      <c r="AR2342" s="2">
        <v>7667.9055111984499</v>
      </c>
      <c r="AS2342" s="2">
        <v>8173.9316868824098</v>
      </c>
      <c r="AT2342" s="2">
        <v>6318.3560113868898</v>
      </c>
      <c r="AU2342" s="2">
        <v>7785.3546989333099</v>
      </c>
      <c r="AV2342" s="2">
        <v>6149.9182636292799</v>
      </c>
      <c r="AW2342" s="2">
        <v>6359.9489975981396</v>
      </c>
      <c r="AX2342" s="2">
        <v>7309.3422393352703</v>
      </c>
    </row>
    <row r="2343" spans="1:50" x14ac:dyDescent="0.25">
      <c r="A2343" s="2" t="s">
        <v>15802</v>
      </c>
      <c r="B2343" s="2">
        <v>450.30117624942699</v>
      </c>
      <c r="C2343" s="2">
        <v>12.9179333333333</v>
      </c>
      <c r="D2343" s="2" t="s">
        <v>51</v>
      </c>
      <c r="E2343" s="2" t="s">
        <v>15803</v>
      </c>
      <c r="F2343" s="2">
        <v>8971</v>
      </c>
      <c r="G2343" s="3" t="str">
        <f>HYPERLINK("https://cloud.oebiotech.com/#/lm/network/8971", "https://cloud.oebiotech.com/#/lm/network/8971")</f>
        <v>https://cloud.oebiotech.com/#/lm/network/8971</v>
      </c>
      <c r="H2343" s="2"/>
      <c r="I2343" s="2"/>
      <c r="J2343" s="2" t="s">
        <v>15804</v>
      </c>
      <c r="K2343" s="2">
        <v>138454226</v>
      </c>
      <c r="L2343" s="2"/>
      <c r="M2343" s="2"/>
      <c r="N2343" s="2"/>
      <c r="O2343" s="2"/>
      <c r="P2343" s="2"/>
      <c r="Q2343" s="2"/>
      <c r="R2343" s="2"/>
      <c r="S2343" s="2" t="s">
        <v>15805</v>
      </c>
      <c r="T2343" s="2" t="s">
        <v>15806</v>
      </c>
      <c r="U2343" s="2" t="s">
        <v>103</v>
      </c>
      <c r="V2343" s="2" t="s">
        <v>104</v>
      </c>
      <c r="W2343" s="2" t="s">
        <v>105</v>
      </c>
      <c r="X2343" s="2" t="s">
        <v>83</v>
      </c>
      <c r="Y2343" s="2">
        <v>52.1</v>
      </c>
      <c r="Z2343" s="2">
        <v>0</v>
      </c>
      <c r="AA2343" s="2" t="s">
        <v>395</v>
      </c>
      <c r="AB2343" s="2" t="s">
        <v>15807</v>
      </c>
      <c r="AC2343" s="2">
        <v>7.6804656063282799</v>
      </c>
      <c r="AD2343" s="2"/>
      <c r="AE2343" s="2">
        <v>0.27812753324816702</v>
      </c>
      <c r="AF2343" s="2">
        <v>3841.9787399685802</v>
      </c>
      <c r="AG2343" s="2">
        <v>5979.0520855028199</v>
      </c>
      <c r="AH2343" s="4">
        <v>0.64257321813336998</v>
      </c>
      <c r="AI2343" s="4">
        <v>-0.63806724304062901</v>
      </c>
      <c r="AJ2343" s="4" t="s">
        <v>62</v>
      </c>
      <c r="AK2343" s="2">
        <v>0.38528039518649798</v>
      </c>
      <c r="AL2343" s="2">
        <v>0.66148343152754197</v>
      </c>
      <c r="AM2343" s="2">
        <v>8.559877937157E-6</v>
      </c>
      <c r="AN2343" s="2">
        <v>1891.99576633791</v>
      </c>
      <c r="AO2343" s="2">
        <v>6712.0624460730396</v>
      </c>
      <c r="AP2343" s="2">
        <v>8405.7383774641203</v>
      </c>
      <c r="AQ2343" s="2">
        <v>680.40308020315399</v>
      </c>
      <c r="AR2343" s="2">
        <v>5361.6727611734004</v>
      </c>
      <c r="AS2343" s="2">
        <v>8109.5002437323401</v>
      </c>
      <c r="AT2343" s="2">
        <v>2120.392337284</v>
      </c>
      <c r="AU2343" s="2">
        <v>0.275818571565006</v>
      </c>
      <c r="AV2343" s="2">
        <v>4455.8528111635096</v>
      </c>
      <c r="AW2343" s="2">
        <v>12353.278690818701</v>
      </c>
      <c r="AX2343" s="2">
        <v>8835.0126114468003</v>
      </c>
    </row>
    <row r="2344" spans="1:50" x14ac:dyDescent="0.25">
      <c r="A2344" s="2" t="s">
        <v>15808</v>
      </c>
      <c r="B2344" s="2">
        <v>165.091172698268</v>
      </c>
      <c r="C2344" s="2">
        <v>5.8543500000000002</v>
      </c>
      <c r="D2344" s="2" t="s">
        <v>51</v>
      </c>
      <c r="E2344" s="2" t="s">
        <v>15809</v>
      </c>
      <c r="F2344" s="2">
        <v>254897</v>
      </c>
      <c r="G2344" s="3" t="str">
        <f>HYPERLINK("https://cloud.oebiotech.com/#/lm/network/254897", "https://cloud.oebiotech.com/#/lm/network/254897")</f>
        <v>https://cloud.oebiotech.com/#/lm/network/254897</v>
      </c>
      <c r="H2344" s="2" t="s">
        <v>15810</v>
      </c>
      <c r="I2344" s="2"/>
      <c r="J2344" s="2"/>
      <c r="K2344" s="2">
        <v>57455196</v>
      </c>
      <c r="L2344" s="2"/>
      <c r="M2344" s="2"/>
      <c r="N2344" s="2"/>
      <c r="O2344" s="2"/>
      <c r="P2344" s="2"/>
      <c r="Q2344" s="2"/>
      <c r="R2344" s="2"/>
      <c r="S2344" s="2" t="s">
        <v>15811</v>
      </c>
      <c r="T2344" s="2" t="s">
        <v>15812</v>
      </c>
      <c r="U2344" s="2" t="s">
        <v>56</v>
      </c>
      <c r="V2344" s="2" t="s">
        <v>177</v>
      </c>
      <c r="W2344" s="2" t="s">
        <v>584</v>
      </c>
      <c r="X2344" s="2" t="s">
        <v>83</v>
      </c>
      <c r="Y2344" s="2">
        <v>42</v>
      </c>
      <c r="Z2344" s="2">
        <v>0</v>
      </c>
      <c r="AA2344" s="2" t="s">
        <v>379</v>
      </c>
      <c r="AB2344" s="2" t="s">
        <v>8172</v>
      </c>
      <c r="AC2344" s="2">
        <v>-5.0543360651320102</v>
      </c>
      <c r="AD2344" s="2"/>
      <c r="AE2344" s="2">
        <v>0.27800245020790298</v>
      </c>
      <c r="AF2344" s="2">
        <v>4063.5449380759801</v>
      </c>
      <c r="AG2344" s="2">
        <v>1933.0369416851099</v>
      </c>
      <c r="AH2344" s="5">
        <v>2.10215586181898</v>
      </c>
      <c r="AI2344" s="5">
        <v>1.0718696401550301</v>
      </c>
      <c r="AJ2344" s="5" t="s">
        <v>139</v>
      </c>
      <c r="AK2344" s="2">
        <v>6.6959437603907504E-2</v>
      </c>
      <c r="AL2344" s="2">
        <v>0.34192828169447498</v>
      </c>
      <c r="AM2344" s="2">
        <v>4467.0811352962901</v>
      </c>
      <c r="AN2344" s="2">
        <v>8429.5924623724895</v>
      </c>
      <c r="AO2344" s="2">
        <v>2794.8201431429602</v>
      </c>
      <c r="AP2344" s="2">
        <v>1116.74769933369</v>
      </c>
      <c r="AQ2344" s="2">
        <v>3080.4708838329602</v>
      </c>
      <c r="AR2344" s="2">
        <v>4492.5573044775101</v>
      </c>
      <c r="AS2344" s="2">
        <v>2491.7549449220501</v>
      </c>
      <c r="AT2344" s="2">
        <v>1129.4464051228799</v>
      </c>
      <c r="AU2344" s="2">
        <v>1449.3188648196899</v>
      </c>
      <c r="AV2344" s="2">
        <v>2534.8527272384399</v>
      </c>
      <c r="AW2344" s="2">
        <v>2091.0607270488199</v>
      </c>
      <c r="AX2344" s="2">
        <v>1901.78798095876</v>
      </c>
    </row>
    <row r="2345" spans="1:50" x14ac:dyDescent="0.25">
      <c r="A2345" s="2" t="s">
        <v>15813</v>
      </c>
      <c r="B2345" s="2">
        <v>907.58061757144696</v>
      </c>
      <c r="C2345" s="2">
        <v>10.5512333333333</v>
      </c>
      <c r="D2345" s="2" t="s">
        <v>51</v>
      </c>
      <c r="E2345" s="2" t="s">
        <v>15814</v>
      </c>
      <c r="F2345" s="2">
        <v>237940</v>
      </c>
      <c r="G2345" s="3" t="str">
        <f>HYPERLINK("https://cloud.oebiotech.com/#/lm/network/237940", "https://cloud.oebiotech.com/#/lm/network/237940")</f>
        <v>https://cloud.oebiotech.com/#/lm/network/237940</v>
      </c>
      <c r="H2345" s="2" t="s">
        <v>15815</v>
      </c>
      <c r="I2345" s="2"/>
      <c r="J2345" s="2"/>
      <c r="K2345" s="2"/>
      <c r="L2345" s="2"/>
      <c r="M2345" s="2"/>
      <c r="N2345" s="2"/>
      <c r="O2345" s="2"/>
      <c r="P2345" s="2"/>
      <c r="Q2345" s="2"/>
      <c r="R2345" s="2"/>
      <c r="S2345" s="2" t="s">
        <v>15816</v>
      </c>
      <c r="T2345" s="2" t="s">
        <v>15817</v>
      </c>
      <c r="U2345" s="2" t="s">
        <v>56</v>
      </c>
      <c r="V2345" s="2" t="s">
        <v>57</v>
      </c>
      <c r="W2345" s="2" t="s">
        <v>155</v>
      </c>
      <c r="X2345" s="2" t="s">
        <v>147</v>
      </c>
      <c r="Y2345" s="2">
        <v>36.200000000000003</v>
      </c>
      <c r="Z2345" s="2">
        <v>0</v>
      </c>
      <c r="AA2345" s="2" t="s">
        <v>512</v>
      </c>
      <c r="AB2345" s="2" t="s">
        <v>15818</v>
      </c>
      <c r="AC2345" s="2">
        <v>-0.12025685562831299</v>
      </c>
      <c r="AD2345" s="2"/>
      <c r="AE2345" s="2">
        <v>0.27786078392255797</v>
      </c>
      <c r="AF2345" s="2">
        <v>31345.661613246099</v>
      </c>
      <c r="AG2345" s="2">
        <v>48834.492176690503</v>
      </c>
      <c r="AH2345" s="4">
        <v>0.64187544942277197</v>
      </c>
      <c r="AI2345" s="4">
        <v>-0.63963471332250299</v>
      </c>
      <c r="AJ2345" s="4" t="s">
        <v>62</v>
      </c>
      <c r="AK2345" s="2">
        <v>0.363085501401952</v>
      </c>
      <c r="AL2345" s="2">
        <v>0.64753337994093896</v>
      </c>
      <c r="AM2345" s="2">
        <v>109976.949170469</v>
      </c>
      <c r="AN2345" s="2">
        <v>23988.570427963601</v>
      </c>
      <c r="AO2345" s="2">
        <v>18393.367465133299</v>
      </c>
      <c r="AP2345" s="2">
        <v>9495.9912350672203</v>
      </c>
      <c r="AQ2345" s="2">
        <v>11591.480893644801</v>
      </c>
      <c r="AR2345" s="2">
        <v>14627.610487198601</v>
      </c>
      <c r="AS2345" s="2">
        <v>11808.9317551114</v>
      </c>
      <c r="AT2345" s="2">
        <v>35187.626973343402</v>
      </c>
      <c r="AU2345" s="2">
        <v>72797.8748170076</v>
      </c>
      <c r="AV2345" s="2">
        <v>50050.071569044303</v>
      </c>
      <c r="AW2345" s="2">
        <v>54700.511931659297</v>
      </c>
      <c r="AX2345" s="2">
        <v>68461.936013977102</v>
      </c>
    </row>
    <row r="2346" spans="1:50" x14ac:dyDescent="0.25">
      <c r="A2346" s="2" t="s">
        <v>15819</v>
      </c>
      <c r="B2346" s="2">
        <v>422.34889041029498</v>
      </c>
      <c r="C2346" s="2">
        <v>8.0252666666666705</v>
      </c>
      <c r="D2346" s="2" t="s">
        <v>51</v>
      </c>
      <c r="E2346" s="2" t="s">
        <v>15820</v>
      </c>
      <c r="F2346" s="2">
        <v>204721</v>
      </c>
      <c r="G2346" s="3" t="str">
        <f>HYPERLINK("https://cloud.oebiotech.com/#/lm/network/204721", "https://cloud.oebiotech.com/#/lm/network/204721")</f>
        <v>https://cloud.oebiotech.com/#/lm/network/204721</v>
      </c>
      <c r="H2346" s="2" t="s">
        <v>15821</v>
      </c>
      <c r="I2346" s="2"/>
      <c r="J2346" s="2"/>
      <c r="K2346" s="2">
        <v>368379</v>
      </c>
      <c r="L2346" s="2"/>
      <c r="M2346" s="2"/>
      <c r="N2346" s="2"/>
      <c r="O2346" s="2"/>
      <c r="P2346" s="2"/>
      <c r="Q2346" s="2"/>
      <c r="R2346" s="2"/>
      <c r="S2346" s="2" t="s">
        <v>15822</v>
      </c>
      <c r="T2346" s="2" t="s">
        <v>15823</v>
      </c>
      <c r="U2346" s="2" t="s">
        <v>56</v>
      </c>
      <c r="V2346" s="2" t="s">
        <v>145</v>
      </c>
      <c r="W2346" s="2" t="s">
        <v>3263</v>
      </c>
      <c r="X2346" s="2" t="s">
        <v>147</v>
      </c>
      <c r="Y2346" s="2">
        <v>42.4</v>
      </c>
      <c r="Z2346" s="2">
        <v>22.4</v>
      </c>
      <c r="AA2346" s="2" t="s">
        <v>512</v>
      </c>
      <c r="AB2346" s="2" t="s">
        <v>15824</v>
      </c>
      <c r="AC2346" s="2">
        <v>3.1553508427112398</v>
      </c>
      <c r="AD2346" s="2"/>
      <c r="AE2346" s="2">
        <v>0.27767407526848997</v>
      </c>
      <c r="AF2346" s="2">
        <v>934.85605647601994</v>
      </c>
      <c r="AG2346" s="2">
        <v>5055.6796995061004</v>
      </c>
      <c r="AH2346" s="4">
        <v>0.18491204190948801</v>
      </c>
      <c r="AI2346" s="4">
        <v>-2.4350889153728899</v>
      </c>
      <c r="AJ2346" s="4" t="s">
        <v>62</v>
      </c>
      <c r="AK2346" s="2">
        <v>0.37876655867248499</v>
      </c>
      <c r="AL2346" s="2">
        <v>0.65877220737095499</v>
      </c>
      <c r="AM2346" s="2">
        <v>8.559877937157E-6</v>
      </c>
      <c r="AN2346" s="2">
        <v>8.559877937157E-6</v>
      </c>
      <c r="AO2346" s="2">
        <v>1273.9252008982901</v>
      </c>
      <c r="AP2346" s="2">
        <v>756.51936928294504</v>
      </c>
      <c r="AQ2346" s="2">
        <v>3578.69174299525</v>
      </c>
      <c r="AR2346" s="2">
        <v>8.559877937157E-6</v>
      </c>
      <c r="AS2346" s="2">
        <v>1135.7634971922</v>
      </c>
      <c r="AT2346" s="2">
        <v>1591.16295275264</v>
      </c>
      <c r="AU2346" s="2">
        <v>398.95881820647901</v>
      </c>
      <c r="AV2346" s="2">
        <v>8.559877937157E-6</v>
      </c>
      <c r="AW2346" s="2">
        <v>8.559877937157E-6</v>
      </c>
      <c r="AX2346" s="2">
        <v>27208.192911765502</v>
      </c>
    </row>
    <row r="2347" spans="1:50" x14ac:dyDescent="0.25">
      <c r="A2347" s="2" t="s">
        <v>15825</v>
      </c>
      <c r="B2347" s="2">
        <v>627.46265847368602</v>
      </c>
      <c r="C2347" s="2">
        <v>13.283716666666701</v>
      </c>
      <c r="D2347" s="2" t="s">
        <v>51</v>
      </c>
      <c r="E2347" s="2" t="s">
        <v>15826</v>
      </c>
      <c r="F2347" s="2">
        <v>251995</v>
      </c>
      <c r="G2347" s="3" t="str">
        <f>HYPERLINK("https://cloud.oebiotech.com/#/lm/network/251995", "https://cloud.oebiotech.com/#/lm/network/251995")</f>
        <v>https://cloud.oebiotech.com/#/lm/network/251995</v>
      </c>
      <c r="H2347" s="2" t="s">
        <v>15827</v>
      </c>
      <c r="I2347" s="2"/>
      <c r="J2347" s="2"/>
      <c r="K2347" s="2"/>
      <c r="L2347" s="2"/>
      <c r="M2347" s="2"/>
      <c r="N2347" s="2"/>
      <c r="O2347" s="2"/>
      <c r="P2347" s="2"/>
      <c r="Q2347" s="2"/>
      <c r="R2347" s="2"/>
      <c r="S2347" s="2" t="s">
        <v>15828</v>
      </c>
      <c r="T2347" s="2" t="s">
        <v>15829</v>
      </c>
      <c r="U2347" s="2" t="s">
        <v>56</v>
      </c>
      <c r="V2347" s="2" t="s">
        <v>145</v>
      </c>
      <c r="W2347" s="2" t="s">
        <v>146</v>
      </c>
      <c r="X2347" s="2" t="s">
        <v>147</v>
      </c>
      <c r="Y2347" s="2">
        <v>36.200000000000003</v>
      </c>
      <c r="Z2347" s="2">
        <v>0</v>
      </c>
      <c r="AA2347" s="2" t="s">
        <v>156</v>
      </c>
      <c r="AB2347" s="2" t="s">
        <v>3325</v>
      </c>
      <c r="AC2347" s="2">
        <v>1.15186092442465</v>
      </c>
      <c r="AD2347" s="2"/>
      <c r="AE2347" s="2">
        <v>0.27761234654650901</v>
      </c>
      <c r="AF2347" s="2">
        <v>14092.025674450901</v>
      </c>
      <c r="AG2347" s="2">
        <v>10132.7967154698</v>
      </c>
      <c r="AH2347" s="5">
        <v>1.39073407571046</v>
      </c>
      <c r="AI2347" s="5">
        <v>0.47584658642915201</v>
      </c>
      <c r="AJ2347" s="5" t="s">
        <v>139</v>
      </c>
      <c r="AK2347" s="2">
        <v>0.56288297585103997</v>
      </c>
      <c r="AL2347" s="2">
        <v>0.78064040599162898</v>
      </c>
      <c r="AM2347" s="2">
        <v>13251.400322740999</v>
      </c>
      <c r="AN2347" s="2">
        <v>36504.003774910401</v>
      </c>
      <c r="AO2347" s="2">
        <v>23550.1465304962</v>
      </c>
      <c r="AP2347" s="2">
        <v>6416.0494650066103</v>
      </c>
      <c r="AQ2347" s="2">
        <v>2121.0420719092299</v>
      </c>
      <c r="AR2347" s="2">
        <v>2709.5118816419399</v>
      </c>
      <c r="AS2347" s="2">
        <v>8.559877937157E-6</v>
      </c>
      <c r="AT2347" s="2">
        <v>1283.21914957693</v>
      </c>
      <c r="AU2347" s="2">
        <v>17676.7389495729</v>
      </c>
      <c r="AV2347" s="2">
        <v>20696.028009312999</v>
      </c>
      <c r="AW2347" s="2">
        <v>6143.73755508468</v>
      </c>
      <c r="AX2347" s="2">
        <v>14997.056620711301</v>
      </c>
    </row>
    <row r="2348" spans="1:50" x14ac:dyDescent="0.25">
      <c r="A2348" s="2" t="s">
        <v>15830</v>
      </c>
      <c r="B2348" s="2">
        <v>331.189365797162</v>
      </c>
      <c r="C2348" s="2">
        <v>9.7668833333333307</v>
      </c>
      <c r="D2348" s="2" t="s">
        <v>51</v>
      </c>
      <c r="E2348" s="2" t="s">
        <v>15831</v>
      </c>
      <c r="F2348" s="2">
        <v>82924</v>
      </c>
      <c r="G2348" s="3" t="str">
        <f>HYPERLINK("https://cloud.oebiotech.com/#/lm/network/82924", "https://cloud.oebiotech.com/#/lm/network/82924")</f>
        <v>https://cloud.oebiotech.com/#/lm/network/82924</v>
      </c>
      <c r="H2348" s="2" t="s">
        <v>15832</v>
      </c>
      <c r="I2348" s="2"/>
      <c r="J2348" s="2"/>
      <c r="K2348" s="2">
        <v>131770027</v>
      </c>
      <c r="L2348" s="2"/>
      <c r="M2348" s="2"/>
      <c r="N2348" s="2"/>
      <c r="O2348" s="2"/>
      <c r="P2348" s="2"/>
      <c r="Q2348" s="2"/>
      <c r="R2348" s="2"/>
      <c r="S2348" s="2" t="s">
        <v>15833</v>
      </c>
      <c r="T2348" s="2" t="s">
        <v>15834</v>
      </c>
      <c r="U2348" s="2" t="s">
        <v>103</v>
      </c>
      <c r="V2348" s="2" t="s">
        <v>104</v>
      </c>
      <c r="W2348" s="2" t="s">
        <v>105</v>
      </c>
      <c r="X2348" s="2" t="s">
        <v>147</v>
      </c>
      <c r="Y2348" s="2">
        <v>38.5</v>
      </c>
      <c r="Z2348" s="2">
        <v>0</v>
      </c>
      <c r="AA2348" s="2" t="s">
        <v>122</v>
      </c>
      <c r="AB2348" s="2" t="s">
        <v>15835</v>
      </c>
      <c r="AC2348" s="2">
        <v>-0.68232116503053797</v>
      </c>
      <c r="AD2348" s="2"/>
      <c r="AE2348" s="2">
        <v>0.27729562274414898</v>
      </c>
      <c r="AF2348" s="2">
        <v>2654.1882757409699</v>
      </c>
      <c r="AG2348" s="2">
        <v>975.54447890603205</v>
      </c>
      <c r="AH2348" s="5">
        <v>2.7207250239551901</v>
      </c>
      <c r="AI2348" s="5">
        <v>1.44399115481525</v>
      </c>
      <c r="AJ2348" s="5" t="s">
        <v>139</v>
      </c>
      <c r="AK2348" s="2">
        <v>1.19100748079461E-2</v>
      </c>
      <c r="AL2348" s="2">
        <v>0.174592874406855</v>
      </c>
      <c r="AM2348" s="2">
        <v>2872.9190798509899</v>
      </c>
      <c r="AN2348" s="2">
        <v>4901.9938784153701</v>
      </c>
      <c r="AO2348" s="2">
        <v>2294.9201014597602</v>
      </c>
      <c r="AP2348" s="2">
        <v>1823.21462264201</v>
      </c>
      <c r="AQ2348" s="2">
        <v>1367.3373630916101</v>
      </c>
      <c r="AR2348" s="2">
        <v>2664.74460898609</v>
      </c>
      <c r="AS2348" s="2">
        <v>1706.1766107615899</v>
      </c>
      <c r="AT2348" s="2">
        <v>661.67027270662902</v>
      </c>
      <c r="AU2348" s="2">
        <v>1499.47698812778</v>
      </c>
      <c r="AV2348" s="2">
        <v>375.10934006052599</v>
      </c>
      <c r="AW2348" s="2">
        <v>595.69654375420896</v>
      </c>
      <c r="AX2348" s="2">
        <v>1015.13711802546</v>
      </c>
    </row>
    <row r="2349" spans="1:50" x14ac:dyDescent="0.25">
      <c r="A2349" s="2" t="s">
        <v>15836</v>
      </c>
      <c r="B2349" s="2">
        <v>311.05493965724798</v>
      </c>
      <c r="C2349" s="2">
        <v>1.0003833333333301</v>
      </c>
      <c r="D2349" s="2" t="s">
        <v>51</v>
      </c>
      <c r="E2349" s="2" t="s">
        <v>15837</v>
      </c>
      <c r="F2349" s="2">
        <v>34867</v>
      </c>
      <c r="G2349" s="3" t="str">
        <f>HYPERLINK("https://cloud.oebiotech.com/#/lm/network/34867", "https://cloud.oebiotech.com/#/lm/network/34867")</f>
        <v>https://cloud.oebiotech.com/#/lm/network/34867</v>
      </c>
      <c r="H2349" s="2"/>
      <c r="I2349" s="2"/>
      <c r="J2349" s="2" t="s">
        <v>15838</v>
      </c>
      <c r="K2349" s="2">
        <v>42608134</v>
      </c>
      <c r="L2349" s="2"/>
      <c r="M2349" s="2"/>
      <c r="N2349" s="2"/>
      <c r="O2349" s="2"/>
      <c r="P2349" s="2"/>
      <c r="Q2349" s="2"/>
      <c r="R2349" s="2"/>
      <c r="S2349" s="2" t="s">
        <v>15839</v>
      </c>
      <c r="T2349" s="2" t="s">
        <v>15840</v>
      </c>
      <c r="U2349" s="2" t="s">
        <v>266</v>
      </c>
      <c r="V2349" s="2" t="s">
        <v>1785</v>
      </c>
      <c r="W2349" s="2" t="s">
        <v>1786</v>
      </c>
      <c r="X2349" s="2" t="s">
        <v>147</v>
      </c>
      <c r="Y2349" s="2">
        <v>38.1</v>
      </c>
      <c r="Z2349" s="2">
        <v>12.9</v>
      </c>
      <c r="AA2349" s="2" t="s">
        <v>11323</v>
      </c>
      <c r="AB2349" s="2" t="s">
        <v>15841</v>
      </c>
      <c r="AC2349" s="2">
        <v>-3.55074565013313</v>
      </c>
      <c r="AD2349" s="2"/>
      <c r="AE2349" s="2">
        <v>0.27695544681057199</v>
      </c>
      <c r="AF2349" s="2">
        <v>10613.348523110601</v>
      </c>
      <c r="AG2349" s="2">
        <v>13177.46987861</v>
      </c>
      <c r="AH2349" s="4">
        <v>0.80541626130661703</v>
      </c>
      <c r="AI2349" s="4">
        <v>-0.31219349438221</v>
      </c>
      <c r="AJ2349" s="4" t="s">
        <v>62</v>
      </c>
      <c r="AK2349" s="2">
        <v>0.62121352417571696</v>
      </c>
      <c r="AL2349" s="2">
        <v>0.81263051108791895</v>
      </c>
      <c r="AM2349" s="2">
        <v>265.25677881168298</v>
      </c>
      <c r="AN2349" s="2">
        <v>16456.405993373901</v>
      </c>
      <c r="AO2349" s="2">
        <v>13738.0209456834</v>
      </c>
      <c r="AP2349" s="2">
        <v>16145.039426804</v>
      </c>
      <c r="AQ2349" s="2">
        <v>6176.7417247930798</v>
      </c>
      <c r="AR2349" s="2">
        <v>10898.626269197501</v>
      </c>
      <c r="AS2349" s="2">
        <v>6334.4219981225797</v>
      </c>
      <c r="AT2349" s="2">
        <v>2848.2243385239699</v>
      </c>
      <c r="AU2349" s="2">
        <v>3266.7053089357701</v>
      </c>
      <c r="AV2349" s="2">
        <v>23211.090113976701</v>
      </c>
      <c r="AW2349" s="2">
        <v>27162.900393371401</v>
      </c>
      <c r="AX2349" s="2">
        <v>16241.477118729301</v>
      </c>
    </row>
    <row r="2350" spans="1:50" x14ac:dyDescent="0.25">
      <c r="A2350" s="2" t="s">
        <v>15842</v>
      </c>
      <c r="B2350" s="2">
        <v>559.376803846955</v>
      </c>
      <c r="C2350" s="2">
        <v>11.00775</v>
      </c>
      <c r="D2350" s="2" t="s">
        <v>51</v>
      </c>
      <c r="E2350" s="2" t="s">
        <v>15843</v>
      </c>
      <c r="F2350" s="2">
        <v>24967</v>
      </c>
      <c r="G2350" s="3" t="str">
        <f>HYPERLINK("https://cloud.oebiotech.com/#/lm/network/24967", "https://cloud.oebiotech.com/#/lm/network/24967")</f>
        <v>https://cloud.oebiotech.com/#/lm/network/24967</v>
      </c>
      <c r="H2350" s="2"/>
      <c r="I2350" s="2">
        <v>81234</v>
      </c>
      <c r="J2350" s="2" t="s">
        <v>15844</v>
      </c>
      <c r="K2350" s="2">
        <v>52928661</v>
      </c>
      <c r="L2350" s="2"/>
      <c r="M2350" s="2"/>
      <c r="N2350" s="2"/>
      <c r="O2350" s="2"/>
      <c r="P2350" s="2"/>
      <c r="Q2350" s="2"/>
      <c r="R2350" s="2"/>
      <c r="S2350" s="2" t="s">
        <v>15845</v>
      </c>
      <c r="T2350" s="2" t="s">
        <v>15846</v>
      </c>
      <c r="U2350" s="2" t="s">
        <v>56</v>
      </c>
      <c r="V2350" s="2" t="s">
        <v>57</v>
      </c>
      <c r="W2350" s="2" t="s">
        <v>702</v>
      </c>
      <c r="X2350" s="2" t="s">
        <v>147</v>
      </c>
      <c r="Y2350" s="2">
        <v>36.1</v>
      </c>
      <c r="Z2350" s="2">
        <v>0</v>
      </c>
      <c r="AA2350" s="2" t="s">
        <v>156</v>
      </c>
      <c r="AB2350" s="2" t="s">
        <v>15847</v>
      </c>
      <c r="AC2350" s="2">
        <v>1.7118637292141199</v>
      </c>
      <c r="AD2350" s="2"/>
      <c r="AE2350" s="2">
        <v>0.27695276608383701</v>
      </c>
      <c r="AF2350" s="2">
        <v>7857.6341391082697</v>
      </c>
      <c r="AG2350" s="2">
        <v>9894.5777653083605</v>
      </c>
      <c r="AH2350" s="4">
        <v>0.79413536640826898</v>
      </c>
      <c r="AI2350" s="4">
        <v>-0.33254314822388198</v>
      </c>
      <c r="AJ2350" s="4" t="s">
        <v>62</v>
      </c>
      <c r="AK2350" s="2">
        <v>0.178275082336879</v>
      </c>
      <c r="AL2350" s="2">
        <v>0.50018997315367297</v>
      </c>
      <c r="AM2350" s="2">
        <v>6139.8883336845502</v>
      </c>
      <c r="AN2350" s="2">
        <v>4700.6692847614204</v>
      </c>
      <c r="AO2350" s="2">
        <v>8394.9673139094793</v>
      </c>
      <c r="AP2350" s="2">
        <v>8831.4889762431703</v>
      </c>
      <c r="AQ2350" s="2">
        <v>7290.1559835157896</v>
      </c>
      <c r="AR2350" s="2">
        <v>11788.6349425352</v>
      </c>
      <c r="AS2350" s="2">
        <v>10757.232236976901</v>
      </c>
      <c r="AT2350" s="2">
        <v>10399.1810237634</v>
      </c>
      <c r="AU2350" s="2">
        <v>5884.6339344063299</v>
      </c>
      <c r="AV2350" s="2">
        <v>9453.8669326964391</v>
      </c>
      <c r="AW2350" s="2">
        <v>13362.9107527046</v>
      </c>
      <c r="AX2350" s="2">
        <v>9509.6417113024709</v>
      </c>
    </row>
    <row r="2351" spans="1:50" x14ac:dyDescent="0.25">
      <c r="A2351" s="2" t="s">
        <v>15848</v>
      </c>
      <c r="B2351" s="2">
        <v>391.28564718487002</v>
      </c>
      <c r="C2351" s="2">
        <v>9.4598666666666702</v>
      </c>
      <c r="D2351" s="2" t="s">
        <v>51</v>
      </c>
      <c r="E2351" s="2" t="s">
        <v>15849</v>
      </c>
      <c r="F2351" s="2">
        <v>7774</v>
      </c>
      <c r="G2351" s="3" t="str">
        <f>HYPERLINK("https://cloud.oebiotech.com/#/lm/network/7774", "https://cloud.oebiotech.com/#/lm/network/7774")</f>
        <v>https://cloud.oebiotech.com/#/lm/network/7774</v>
      </c>
      <c r="H2351" s="2"/>
      <c r="I2351" s="2">
        <v>97390</v>
      </c>
      <c r="J2351" s="2" t="s">
        <v>15850</v>
      </c>
      <c r="K2351" s="2">
        <v>10867249</v>
      </c>
      <c r="L2351" s="2"/>
      <c r="M2351" s="2"/>
      <c r="N2351" s="2"/>
      <c r="O2351" s="2"/>
      <c r="P2351" s="2"/>
      <c r="Q2351" s="2"/>
      <c r="R2351" s="2"/>
      <c r="S2351" s="2" t="s">
        <v>15851</v>
      </c>
      <c r="T2351" s="2" t="s">
        <v>15852</v>
      </c>
      <c r="U2351" s="2" t="s">
        <v>540</v>
      </c>
      <c r="V2351" s="2" t="s">
        <v>563</v>
      </c>
      <c r="W2351" s="2" t="s">
        <v>240</v>
      </c>
      <c r="X2351" s="2" t="s">
        <v>83</v>
      </c>
      <c r="Y2351" s="2">
        <v>44.1</v>
      </c>
      <c r="Z2351" s="2">
        <v>5.0599999999999996</v>
      </c>
      <c r="AA2351" s="2" t="s">
        <v>667</v>
      </c>
      <c r="AB2351" s="2" t="s">
        <v>7868</v>
      </c>
      <c r="AC2351" s="2">
        <v>0.67259945682400002</v>
      </c>
      <c r="AD2351" s="2"/>
      <c r="AE2351" s="2">
        <v>0.27644668284919499</v>
      </c>
      <c r="AF2351" s="2">
        <v>12810.4413851524</v>
      </c>
      <c r="AG2351" s="2">
        <v>5589.9776094669396</v>
      </c>
      <c r="AH2351" s="5">
        <v>2.2916802678166701</v>
      </c>
      <c r="AI2351" s="5">
        <v>1.1964057752413699</v>
      </c>
      <c r="AJ2351" s="5" t="s">
        <v>139</v>
      </c>
      <c r="AK2351" s="2">
        <v>0.38873521698149799</v>
      </c>
      <c r="AL2351" s="2">
        <v>0.663978071089806</v>
      </c>
      <c r="AM2351" s="2">
        <v>2737.05017080577</v>
      </c>
      <c r="AN2351" s="2">
        <v>2888.2785713395401</v>
      </c>
      <c r="AO2351" s="2">
        <v>2742.3919101210799</v>
      </c>
      <c r="AP2351" s="2">
        <v>2874.0863707078101</v>
      </c>
      <c r="AQ2351" s="2">
        <v>50992.215847179097</v>
      </c>
      <c r="AR2351" s="2">
        <v>14628.6254407611</v>
      </c>
      <c r="AS2351" s="2">
        <v>3033.4873547789298</v>
      </c>
      <c r="AT2351" s="2">
        <v>3245.1007790694398</v>
      </c>
      <c r="AU2351" s="2">
        <v>12153.497919051901</v>
      </c>
      <c r="AV2351" s="2">
        <v>7363.0066798333301</v>
      </c>
      <c r="AW2351" s="2">
        <v>4579.7755638429899</v>
      </c>
      <c r="AX2351" s="2">
        <v>3164.9973602250602</v>
      </c>
    </row>
    <row r="2352" spans="1:50" x14ac:dyDescent="0.25">
      <c r="A2352" s="2" t="s">
        <v>15853</v>
      </c>
      <c r="B2352" s="2">
        <v>347.10895359273599</v>
      </c>
      <c r="C2352" s="2">
        <v>8.74888333333333</v>
      </c>
      <c r="D2352" s="2" t="s">
        <v>51</v>
      </c>
      <c r="E2352" s="2" t="s">
        <v>15854</v>
      </c>
      <c r="F2352" s="2">
        <v>82102</v>
      </c>
      <c r="G2352" s="3" t="str">
        <f>HYPERLINK("https://cloud.oebiotech.com/#/lm/network/82102", "https://cloud.oebiotech.com/#/lm/network/82102")</f>
        <v>https://cloud.oebiotech.com/#/lm/network/82102</v>
      </c>
      <c r="H2352" s="2" t="s">
        <v>15855</v>
      </c>
      <c r="I2352" s="2">
        <v>72907</v>
      </c>
      <c r="J2352" s="2"/>
      <c r="K2352" s="2">
        <v>9119</v>
      </c>
      <c r="L2352" s="2" t="s">
        <v>15856</v>
      </c>
      <c r="M2352" s="2"/>
      <c r="N2352" s="2"/>
      <c r="O2352" s="2">
        <v>35861</v>
      </c>
      <c r="P2352" s="2"/>
      <c r="Q2352" s="2"/>
      <c r="R2352" s="2" t="s">
        <v>15857</v>
      </c>
      <c r="S2352" s="2" t="s">
        <v>15858</v>
      </c>
      <c r="T2352" s="2" t="s">
        <v>15859</v>
      </c>
      <c r="U2352" s="2" t="s">
        <v>610</v>
      </c>
      <c r="V2352" s="2" t="s">
        <v>15860</v>
      </c>
      <c r="W2352" s="2" t="s">
        <v>15861</v>
      </c>
      <c r="X2352" s="2" t="s">
        <v>147</v>
      </c>
      <c r="Y2352" s="2">
        <v>36.299999999999997</v>
      </c>
      <c r="Z2352" s="2">
        <v>0</v>
      </c>
      <c r="AA2352" s="2" t="s">
        <v>218</v>
      </c>
      <c r="AB2352" s="2" t="s">
        <v>15862</v>
      </c>
      <c r="AC2352" s="2">
        <v>3.9729752160544201</v>
      </c>
      <c r="AD2352" s="2"/>
      <c r="AE2352" s="2">
        <v>0.27641169560253198</v>
      </c>
      <c r="AF2352" s="2">
        <v>4160.5082170429196</v>
      </c>
      <c r="AG2352" s="2">
        <v>2258.10770924391</v>
      </c>
      <c r="AH2352" s="5">
        <v>1.8424755382620801</v>
      </c>
      <c r="AI2352" s="5">
        <v>0.88164546541952504</v>
      </c>
      <c r="AJ2352" s="5" t="s">
        <v>139</v>
      </c>
      <c r="AK2352" s="2">
        <v>4.01429018474996E-2</v>
      </c>
      <c r="AL2352" s="2">
        <v>0.29155452793099101</v>
      </c>
      <c r="AM2352" s="2">
        <v>4990.4314325102696</v>
      </c>
      <c r="AN2352" s="2">
        <v>6782.4088276591201</v>
      </c>
      <c r="AO2352" s="2">
        <v>2750.0039243753799</v>
      </c>
      <c r="AP2352" s="2">
        <v>2592.71532591185</v>
      </c>
      <c r="AQ2352" s="2">
        <v>3037.8170126096802</v>
      </c>
      <c r="AR2352" s="2">
        <v>4809.6727791912199</v>
      </c>
      <c r="AS2352" s="2">
        <v>3127.5119112846101</v>
      </c>
      <c r="AT2352" s="2">
        <v>1308.6280455856099</v>
      </c>
      <c r="AU2352" s="2">
        <v>3014.09201133542</v>
      </c>
      <c r="AV2352" s="2">
        <v>999.20162293872102</v>
      </c>
      <c r="AW2352" s="2">
        <v>1584.2598835394299</v>
      </c>
      <c r="AX2352" s="2">
        <v>3514.9527807796599</v>
      </c>
    </row>
    <row r="2353" spans="1:50" x14ac:dyDescent="0.25">
      <c r="A2353" s="2" t="s">
        <v>15863</v>
      </c>
      <c r="B2353" s="2">
        <v>214.180861976188</v>
      </c>
      <c r="C2353" s="2">
        <v>7.0755166666666698</v>
      </c>
      <c r="D2353" s="2" t="s">
        <v>51</v>
      </c>
      <c r="E2353" s="2" t="s">
        <v>15864</v>
      </c>
      <c r="F2353" s="2">
        <v>731</v>
      </c>
      <c r="G2353" s="3" t="str">
        <f>HYPERLINK("https://cloud.oebiotech.com/#/lm/network/731", "https://cloud.oebiotech.com/#/lm/network/731")</f>
        <v>https://cloud.oebiotech.com/#/lm/network/731</v>
      </c>
      <c r="H2353" s="2"/>
      <c r="I2353" s="2">
        <v>34901</v>
      </c>
      <c r="J2353" s="2" t="s">
        <v>15865</v>
      </c>
      <c r="K2353" s="2">
        <v>5312388</v>
      </c>
      <c r="L2353" s="2"/>
      <c r="M2353" s="2"/>
      <c r="N2353" s="2"/>
      <c r="O2353" s="2"/>
      <c r="P2353" s="2"/>
      <c r="Q2353" s="2"/>
      <c r="R2353" s="2"/>
      <c r="S2353" s="2" t="s">
        <v>15866</v>
      </c>
      <c r="T2353" s="2" t="s">
        <v>15867</v>
      </c>
      <c r="U2353" s="2" t="s">
        <v>56</v>
      </c>
      <c r="V2353" s="2" t="s">
        <v>145</v>
      </c>
      <c r="W2353" s="2" t="s">
        <v>231</v>
      </c>
      <c r="X2353" s="2" t="s">
        <v>147</v>
      </c>
      <c r="Y2353" s="2">
        <v>43.1</v>
      </c>
      <c r="Z2353" s="2">
        <v>25.3</v>
      </c>
      <c r="AA2353" s="2" t="s">
        <v>512</v>
      </c>
      <c r="AB2353" s="2" t="s">
        <v>7868</v>
      </c>
      <c r="AC2353" s="2">
        <v>3.6022375176845101</v>
      </c>
      <c r="AD2353" s="2"/>
      <c r="AE2353" s="2">
        <v>0.27548765088788901</v>
      </c>
      <c r="AF2353" s="2">
        <v>7625.8700536751203</v>
      </c>
      <c r="AG2353" s="2">
        <v>11101.6912231059</v>
      </c>
      <c r="AH2353" s="4">
        <v>0.686910660765223</v>
      </c>
      <c r="AI2353" s="4">
        <v>-0.54180561979193698</v>
      </c>
      <c r="AJ2353" s="4" t="s">
        <v>62</v>
      </c>
      <c r="AK2353" s="2">
        <v>0.33180872433918901</v>
      </c>
      <c r="AL2353" s="2">
        <v>0.63342392167259298</v>
      </c>
      <c r="AM2353" s="2">
        <v>6527.7700909780697</v>
      </c>
      <c r="AN2353" s="2">
        <v>8226.3188413503394</v>
      </c>
      <c r="AO2353" s="2">
        <v>8395.2422175094998</v>
      </c>
      <c r="AP2353" s="2">
        <v>7372.41769273715</v>
      </c>
      <c r="AQ2353" s="2">
        <v>8796.6163167223094</v>
      </c>
      <c r="AR2353" s="2">
        <v>6436.8551627533398</v>
      </c>
      <c r="AS2353" s="2">
        <v>27939.162258103199</v>
      </c>
      <c r="AT2353" s="2">
        <v>9284.7377736608796</v>
      </c>
      <c r="AU2353" s="2">
        <v>7190.4424208618702</v>
      </c>
      <c r="AV2353" s="2">
        <v>7653.5997152973396</v>
      </c>
      <c r="AW2353" s="2">
        <v>7070.0462625601504</v>
      </c>
      <c r="AX2353" s="2">
        <v>7472.1589081517304</v>
      </c>
    </row>
    <row r="2354" spans="1:50" x14ac:dyDescent="0.25">
      <c r="A2354" s="2" t="s">
        <v>15868</v>
      </c>
      <c r="B2354" s="2">
        <v>223.169968451047</v>
      </c>
      <c r="C2354" s="2">
        <v>9.1758500000000005</v>
      </c>
      <c r="D2354" s="2" t="s">
        <v>51</v>
      </c>
      <c r="E2354" s="2" t="s">
        <v>15869</v>
      </c>
      <c r="F2354" s="2">
        <v>266658</v>
      </c>
      <c r="G2354" s="3" t="str">
        <f>HYPERLINK("https://cloud.oebiotech.com/#/lm/network/266658", "https://cloud.oebiotech.com/#/lm/network/266658")</f>
        <v>https://cloud.oebiotech.com/#/lm/network/266658</v>
      </c>
      <c r="H2354" s="2"/>
      <c r="I2354" s="2">
        <v>43735</v>
      </c>
      <c r="J2354" s="2"/>
      <c r="K2354" s="2">
        <v>6710676</v>
      </c>
      <c r="L2354" s="2" t="s">
        <v>15870</v>
      </c>
      <c r="M2354" s="2"/>
      <c r="N2354" s="2"/>
      <c r="O2354" s="2"/>
      <c r="P2354" s="2"/>
      <c r="Q2354" s="2"/>
      <c r="R2354" s="2" t="s">
        <v>15871</v>
      </c>
      <c r="S2354" s="2" t="s">
        <v>15872</v>
      </c>
      <c r="T2354" s="2" t="s">
        <v>15873</v>
      </c>
      <c r="U2354" s="2" t="s">
        <v>331</v>
      </c>
      <c r="V2354" s="2" t="s">
        <v>332</v>
      </c>
      <c r="W2354" s="2" t="s">
        <v>1207</v>
      </c>
      <c r="X2354" s="2" t="s">
        <v>69</v>
      </c>
      <c r="Y2354" s="2">
        <v>53.6</v>
      </c>
      <c r="Z2354" s="2">
        <v>62.7</v>
      </c>
      <c r="AA2354" s="2" t="s">
        <v>259</v>
      </c>
      <c r="AB2354" s="2" t="s">
        <v>15874</v>
      </c>
      <c r="AC2354" s="2">
        <v>3.2052036411918201</v>
      </c>
      <c r="AD2354" s="2"/>
      <c r="AE2354" s="2">
        <v>0.27547431833611302</v>
      </c>
      <c r="AF2354" s="2">
        <v>17635.982557847801</v>
      </c>
      <c r="AG2354" s="2">
        <v>14761.945519463599</v>
      </c>
      <c r="AH2354" s="5">
        <v>1.1946922940878499</v>
      </c>
      <c r="AI2354" s="5">
        <v>0.256639084350331</v>
      </c>
      <c r="AJ2354" s="5" t="s">
        <v>139</v>
      </c>
      <c r="AK2354" s="2">
        <v>0.18708574129028999</v>
      </c>
      <c r="AL2354" s="2">
        <v>0.51138491990812796</v>
      </c>
      <c r="AM2354" s="2">
        <v>16750.709224819399</v>
      </c>
      <c r="AN2354" s="2">
        <v>21765.038077927202</v>
      </c>
      <c r="AO2354" s="2">
        <v>14893.238920706501</v>
      </c>
      <c r="AP2354" s="2">
        <v>17127.429873494199</v>
      </c>
      <c r="AQ2354" s="2">
        <v>16185.718262885999</v>
      </c>
      <c r="AR2354" s="2">
        <v>19093.760987253401</v>
      </c>
      <c r="AS2354" s="2">
        <v>13012.1657639565</v>
      </c>
      <c r="AT2354" s="2">
        <v>11005.825667401799</v>
      </c>
      <c r="AU2354" s="2">
        <v>22200.129428910201</v>
      </c>
      <c r="AV2354" s="2">
        <v>10470.335694470001</v>
      </c>
      <c r="AW2354" s="2">
        <v>15979.021463401899</v>
      </c>
      <c r="AX2354" s="2">
        <v>15904.195098641299</v>
      </c>
    </row>
    <row r="2355" spans="1:50" x14ac:dyDescent="0.25">
      <c r="A2355" s="2" t="s">
        <v>15875</v>
      </c>
      <c r="B2355" s="2">
        <v>253.10774224414601</v>
      </c>
      <c r="C2355" s="2">
        <v>5.0147000000000004</v>
      </c>
      <c r="D2355" s="2" t="s">
        <v>51</v>
      </c>
      <c r="E2355" s="2" t="s">
        <v>15876</v>
      </c>
      <c r="F2355" s="2">
        <v>55022</v>
      </c>
      <c r="G2355" s="3" t="str">
        <f>HYPERLINK("https://cloud.oebiotech.com/#/lm/network/55022", "https://cloud.oebiotech.com/#/lm/network/55022")</f>
        <v>https://cloud.oebiotech.com/#/lm/network/55022</v>
      </c>
      <c r="H2355" s="2" t="s">
        <v>15877</v>
      </c>
      <c r="I2355" s="2">
        <v>86789</v>
      </c>
      <c r="J2355" s="2"/>
      <c r="K2355" s="2">
        <v>14262444</v>
      </c>
      <c r="L2355" s="2"/>
      <c r="M2355" s="2"/>
      <c r="N2355" s="2"/>
      <c r="O2355" s="2">
        <v>168229</v>
      </c>
      <c r="P2355" s="2"/>
      <c r="Q2355" s="2"/>
      <c r="R2355" s="2" t="s">
        <v>15878</v>
      </c>
      <c r="S2355" s="2" t="s">
        <v>15879</v>
      </c>
      <c r="T2355" s="2" t="s">
        <v>15880</v>
      </c>
      <c r="U2355" s="2" t="s">
        <v>331</v>
      </c>
      <c r="V2355" s="2" t="s">
        <v>332</v>
      </c>
      <c r="W2355" s="2" t="s">
        <v>1207</v>
      </c>
      <c r="X2355" s="2" t="s">
        <v>147</v>
      </c>
      <c r="Y2355" s="2">
        <v>45.6</v>
      </c>
      <c r="Z2355" s="2">
        <v>35.4</v>
      </c>
      <c r="AA2355" s="2" t="s">
        <v>218</v>
      </c>
      <c r="AB2355" s="2" t="s">
        <v>2604</v>
      </c>
      <c r="AC2355" s="2">
        <v>-1.9460754507001901</v>
      </c>
      <c r="AD2355" s="2"/>
      <c r="AE2355" s="2">
        <v>0.27531758498793701</v>
      </c>
      <c r="AF2355" s="2">
        <v>3537.4502699190398</v>
      </c>
      <c r="AG2355" s="2">
        <v>1758.0038443400099</v>
      </c>
      <c r="AH2355" s="5">
        <v>2.0121971185148699</v>
      </c>
      <c r="AI2355" s="5">
        <v>1.0087716411146801</v>
      </c>
      <c r="AJ2355" s="5" t="s">
        <v>139</v>
      </c>
      <c r="AK2355" s="2">
        <v>5.9106530435694901E-2</v>
      </c>
      <c r="AL2355" s="2">
        <v>0.32837652512840398</v>
      </c>
      <c r="AM2355" s="2">
        <v>4812.0967184103301</v>
      </c>
      <c r="AN2355" s="2">
        <v>6473.0703803284996</v>
      </c>
      <c r="AO2355" s="2">
        <v>3064.3773248676298</v>
      </c>
      <c r="AP2355" s="2">
        <v>2059.9562447562898</v>
      </c>
      <c r="AQ2355" s="2">
        <v>1924.44173023999</v>
      </c>
      <c r="AR2355" s="2">
        <v>2890.7592209115001</v>
      </c>
      <c r="AS2355" s="2">
        <v>2295.7857639153699</v>
      </c>
      <c r="AT2355" s="2">
        <v>560.10368675683901</v>
      </c>
      <c r="AU2355" s="2">
        <v>3273.32288158765</v>
      </c>
      <c r="AV2355" s="2">
        <v>1011.80753941174</v>
      </c>
      <c r="AW2355" s="2">
        <v>1110.9644534071499</v>
      </c>
      <c r="AX2355" s="2">
        <v>2296.0387409613299</v>
      </c>
    </row>
    <row r="2356" spans="1:50" x14ac:dyDescent="0.25">
      <c r="A2356" s="2" t="s">
        <v>15881</v>
      </c>
      <c r="B2356" s="2">
        <v>243.087217414912</v>
      </c>
      <c r="C2356" s="2">
        <v>4.16346666666667</v>
      </c>
      <c r="D2356" s="2" t="s">
        <v>51</v>
      </c>
      <c r="E2356" s="2" t="s">
        <v>15882</v>
      </c>
      <c r="F2356" s="2">
        <v>57355</v>
      </c>
      <c r="G2356" s="3" t="str">
        <f>HYPERLINK("https://cloud.oebiotech.com/#/lm/network/57355", "https://cloud.oebiotech.com/#/lm/network/57355")</f>
        <v>https://cloud.oebiotech.com/#/lm/network/57355</v>
      </c>
      <c r="H2356" s="2" t="s">
        <v>15883</v>
      </c>
      <c r="I2356" s="2">
        <v>88985</v>
      </c>
      <c r="J2356" s="2"/>
      <c r="K2356" s="2">
        <v>161566</v>
      </c>
      <c r="L2356" s="2"/>
      <c r="M2356" s="2"/>
      <c r="N2356" s="2"/>
      <c r="O2356" s="2">
        <v>125366</v>
      </c>
      <c r="P2356" s="2"/>
      <c r="Q2356" s="2"/>
      <c r="R2356" s="2" t="s">
        <v>15884</v>
      </c>
      <c r="S2356" s="2" t="s">
        <v>15885</v>
      </c>
      <c r="T2356" s="2" t="s">
        <v>15886</v>
      </c>
      <c r="U2356" s="2" t="s">
        <v>610</v>
      </c>
      <c r="V2356" s="2" t="s">
        <v>895</v>
      </c>
      <c r="W2356" s="2" t="s">
        <v>896</v>
      </c>
      <c r="X2356" s="2" t="s">
        <v>83</v>
      </c>
      <c r="Y2356" s="2">
        <v>49</v>
      </c>
      <c r="Z2356" s="2">
        <v>42.7</v>
      </c>
      <c r="AA2356" s="2" t="s">
        <v>218</v>
      </c>
      <c r="AB2356" s="2" t="s">
        <v>15887</v>
      </c>
      <c r="AC2356" s="2">
        <v>-0.98128670724614397</v>
      </c>
      <c r="AD2356" s="2"/>
      <c r="AE2356" s="2">
        <v>0.275219734187164</v>
      </c>
      <c r="AF2356" s="2">
        <v>3259.8232123611901</v>
      </c>
      <c r="AG2356" s="2">
        <v>1559.2701723815001</v>
      </c>
      <c r="AH2356" s="5">
        <v>2.0906083308080001</v>
      </c>
      <c r="AI2356" s="5">
        <v>1.06392280265981</v>
      </c>
      <c r="AJ2356" s="5" t="s">
        <v>139</v>
      </c>
      <c r="AK2356" s="2">
        <v>4.8719060582720998E-2</v>
      </c>
      <c r="AL2356" s="2">
        <v>0.30691247078395001</v>
      </c>
      <c r="AM2356" s="2">
        <v>6021.9740794060099</v>
      </c>
      <c r="AN2356" s="2">
        <v>4592.3022580961797</v>
      </c>
      <c r="AO2356" s="2">
        <v>1899.33854940016</v>
      </c>
      <c r="AP2356" s="2">
        <v>2137.3278192885</v>
      </c>
      <c r="AQ2356" s="2">
        <v>1771.4476496042901</v>
      </c>
      <c r="AR2356" s="2">
        <v>3136.5489183719701</v>
      </c>
      <c r="AS2356" s="2">
        <v>2719.48045327624</v>
      </c>
      <c r="AT2356" s="2">
        <v>1541.4601135735199</v>
      </c>
      <c r="AU2356" s="2">
        <v>1317.93148675456</v>
      </c>
      <c r="AV2356" s="2">
        <v>854.78615870512499</v>
      </c>
      <c r="AW2356" s="2">
        <v>926.74375786533199</v>
      </c>
      <c r="AX2356" s="2">
        <v>1995.2190641141999</v>
      </c>
    </row>
    <row r="2357" spans="1:50" x14ac:dyDescent="0.25">
      <c r="A2357" s="2" t="s">
        <v>15888</v>
      </c>
      <c r="B2357" s="2">
        <v>227.12857324740401</v>
      </c>
      <c r="C2357" s="2">
        <v>5.7101499999999996</v>
      </c>
      <c r="D2357" s="2" t="s">
        <v>51</v>
      </c>
      <c r="E2357" s="2" t="s">
        <v>15889</v>
      </c>
      <c r="F2357" s="2">
        <v>2002</v>
      </c>
      <c r="G2357" s="3" t="str">
        <f>HYPERLINK("https://cloud.oebiotech.com/#/lm/network/2002", "https://cloud.oebiotech.com/#/lm/network/2002")</f>
        <v>https://cloud.oebiotech.com/#/lm/network/2002</v>
      </c>
      <c r="H2357" s="2"/>
      <c r="I2357" s="2"/>
      <c r="J2357" s="2" t="s">
        <v>15890</v>
      </c>
      <c r="K2357" s="2"/>
      <c r="L2357" s="2"/>
      <c r="M2357" s="2"/>
      <c r="N2357" s="2"/>
      <c r="O2357" s="2"/>
      <c r="P2357" s="2"/>
      <c r="Q2357" s="2"/>
      <c r="R2357" s="2"/>
      <c r="S2357" s="2" t="s">
        <v>15891</v>
      </c>
      <c r="T2357" s="2" t="s">
        <v>15892</v>
      </c>
      <c r="U2357" s="2" t="s">
        <v>103</v>
      </c>
      <c r="V2357" s="2" t="s">
        <v>377</v>
      </c>
      <c r="W2357" s="2" t="s">
        <v>378</v>
      </c>
      <c r="X2357" s="2" t="s">
        <v>83</v>
      </c>
      <c r="Y2357" s="2">
        <v>47.3</v>
      </c>
      <c r="Z2357" s="2">
        <v>4.16</v>
      </c>
      <c r="AA2357" s="2" t="s">
        <v>163</v>
      </c>
      <c r="AB2357" s="2" t="s">
        <v>7377</v>
      </c>
      <c r="AC2357" s="2">
        <v>-1.35638400081151</v>
      </c>
      <c r="AD2357" s="2"/>
      <c r="AE2357" s="2">
        <v>0.27515877620854201</v>
      </c>
      <c r="AF2357" s="2">
        <v>2830.2888855635701</v>
      </c>
      <c r="AG2357" s="2">
        <v>1317.4253908712201</v>
      </c>
      <c r="AH2357" s="5">
        <v>2.1483485176279302</v>
      </c>
      <c r="AI2357" s="5">
        <v>1.10322805471407</v>
      </c>
      <c r="AJ2357" s="5" t="s">
        <v>139</v>
      </c>
      <c r="AK2357" s="2">
        <v>5.2784270940207305E-4</v>
      </c>
      <c r="AL2357" s="2">
        <v>6.2396646922794598E-2</v>
      </c>
      <c r="AM2357" s="2">
        <v>3434.1739753726501</v>
      </c>
      <c r="AN2357" s="2">
        <v>3134.3495663327699</v>
      </c>
      <c r="AO2357" s="2">
        <v>2165.0894396845001</v>
      </c>
      <c r="AP2357" s="2">
        <v>2470.3662223221099</v>
      </c>
      <c r="AQ2357" s="2">
        <v>2270.1068326238601</v>
      </c>
      <c r="AR2357" s="2">
        <v>3507.6472770455498</v>
      </c>
      <c r="AS2357" s="2">
        <v>1955.9671846782201</v>
      </c>
      <c r="AT2357" s="2">
        <v>984.96149561305799</v>
      </c>
      <c r="AU2357" s="2">
        <v>1598.7903024792099</v>
      </c>
      <c r="AV2357" s="2">
        <v>1020.7401817087</v>
      </c>
      <c r="AW2357" s="2">
        <v>852.86366116931299</v>
      </c>
      <c r="AX2357" s="2">
        <v>1491.2295195787899</v>
      </c>
    </row>
    <row r="2358" spans="1:50" x14ac:dyDescent="0.25">
      <c r="A2358" s="2" t="s">
        <v>15893</v>
      </c>
      <c r="B2358" s="2">
        <v>419.082723932617</v>
      </c>
      <c r="C2358" s="2">
        <v>4.57921666666667</v>
      </c>
      <c r="D2358" s="2" t="s">
        <v>51</v>
      </c>
      <c r="E2358" s="2" t="s">
        <v>15894</v>
      </c>
      <c r="F2358" s="2">
        <v>144435</v>
      </c>
      <c r="G2358" s="3" t="str">
        <f>HYPERLINK("https://cloud.oebiotech.com/#/lm/network/144435", "https://cloud.oebiotech.com/#/lm/network/144435")</f>
        <v>https://cloud.oebiotech.com/#/lm/network/144435</v>
      </c>
      <c r="H2358" s="2" t="s">
        <v>15895</v>
      </c>
      <c r="I2358" s="2"/>
      <c r="J2358" s="2"/>
      <c r="K2358" s="2"/>
      <c r="L2358" s="2"/>
      <c r="M2358" s="2"/>
      <c r="N2358" s="2"/>
      <c r="O2358" s="2"/>
      <c r="P2358" s="2"/>
      <c r="Q2358" s="2"/>
      <c r="R2358" s="2" t="s">
        <v>15896</v>
      </c>
      <c r="S2358" s="2" t="s">
        <v>15897</v>
      </c>
      <c r="T2358" s="2" t="s">
        <v>15898</v>
      </c>
      <c r="U2358" s="2" t="s">
        <v>540</v>
      </c>
      <c r="V2358" s="2" t="s">
        <v>935</v>
      </c>
      <c r="W2358" s="2" t="s">
        <v>936</v>
      </c>
      <c r="X2358" s="2" t="s">
        <v>147</v>
      </c>
      <c r="Y2358" s="2">
        <v>38.200000000000003</v>
      </c>
      <c r="Z2358" s="2">
        <v>0</v>
      </c>
      <c r="AA2358" s="2" t="s">
        <v>218</v>
      </c>
      <c r="AB2358" s="2" t="s">
        <v>15899</v>
      </c>
      <c r="AC2358" s="2">
        <v>-1.0434256800167601</v>
      </c>
      <c r="AD2358" s="2"/>
      <c r="AE2358" s="2">
        <v>0.27501025097847498</v>
      </c>
      <c r="AF2358" s="2">
        <v>119.201170766909</v>
      </c>
      <c r="AG2358" s="2">
        <v>3632.2456467172601</v>
      </c>
      <c r="AH2358" s="4">
        <v>3.2817486029514703E-2</v>
      </c>
      <c r="AI2358" s="4">
        <v>-4.9293914637709602</v>
      </c>
      <c r="AJ2358" s="4" t="s">
        <v>62</v>
      </c>
      <c r="AK2358" s="2">
        <v>0.34700469233166897</v>
      </c>
      <c r="AL2358" s="2">
        <v>0.64017301858619302</v>
      </c>
      <c r="AM2358" s="2">
        <v>8.559877937157E-6</v>
      </c>
      <c r="AN2358" s="2">
        <v>162.961583613447</v>
      </c>
      <c r="AO2358" s="2">
        <v>210.69165975174701</v>
      </c>
      <c r="AP2358" s="2">
        <v>8.559877937157E-6</v>
      </c>
      <c r="AQ2358" s="2">
        <v>8.559877937157E-6</v>
      </c>
      <c r="AR2358" s="2">
        <v>341.553755556628</v>
      </c>
      <c r="AS2358" s="2">
        <v>8.559877937157E-6</v>
      </c>
      <c r="AT2358" s="2">
        <v>8.559877937157E-6</v>
      </c>
      <c r="AU2358" s="2">
        <v>170.703418677298</v>
      </c>
      <c r="AV2358" s="2">
        <v>8.559877937157E-6</v>
      </c>
      <c r="AW2358" s="2">
        <v>21428.7006019775</v>
      </c>
      <c r="AX2358" s="2">
        <v>194.069833969142</v>
      </c>
    </row>
    <row r="2359" spans="1:50" x14ac:dyDescent="0.25">
      <c r="A2359" s="2" t="s">
        <v>15900</v>
      </c>
      <c r="B2359" s="2">
        <v>629.32103332408496</v>
      </c>
      <c r="C2359" s="2">
        <v>10.3696</v>
      </c>
      <c r="D2359" s="2" t="s">
        <v>51</v>
      </c>
      <c r="E2359" s="2" t="s">
        <v>15901</v>
      </c>
      <c r="F2359" s="2">
        <v>18026</v>
      </c>
      <c r="G2359" s="3" t="str">
        <f>HYPERLINK("https://cloud.oebiotech.com/#/lm/network/18026", "https://cloud.oebiotech.com/#/lm/network/18026")</f>
        <v>https://cloud.oebiotech.com/#/lm/network/18026</v>
      </c>
      <c r="H2359" s="2"/>
      <c r="I2359" s="2"/>
      <c r="J2359" s="2" t="s">
        <v>15902</v>
      </c>
      <c r="K2359" s="2"/>
      <c r="L2359" s="2"/>
      <c r="M2359" s="2"/>
      <c r="N2359" s="2"/>
      <c r="O2359" s="2"/>
      <c r="P2359" s="2"/>
      <c r="Q2359" s="2"/>
      <c r="R2359" s="2"/>
      <c r="S2359" s="2" t="s">
        <v>15903</v>
      </c>
      <c r="T2359" s="2" t="s">
        <v>15904</v>
      </c>
      <c r="U2359" s="2" t="s">
        <v>56</v>
      </c>
      <c r="V2359" s="2" t="s">
        <v>3215</v>
      </c>
      <c r="W2359" s="2" t="s">
        <v>5428</v>
      </c>
      <c r="X2359" s="2" t="s">
        <v>147</v>
      </c>
      <c r="Y2359" s="2">
        <v>41.4</v>
      </c>
      <c r="Z2359" s="2">
        <v>16.7</v>
      </c>
      <c r="AA2359" s="2" t="s">
        <v>218</v>
      </c>
      <c r="AB2359" s="2" t="s">
        <v>15905</v>
      </c>
      <c r="AC2359" s="2">
        <v>-0.34745971509318602</v>
      </c>
      <c r="AD2359" s="2"/>
      <c r="AE2359" s="2">
        <v>0.274593778103354</v>
      </c>
      <c r="AF2359" s="2">
        <v>12534.224772298699</v>
      </c>
      <c r="AG2359" s="2">
        <v>17136.534957861899</v>
      </c>
      <c r="AH2359" s="4">
        <v>0.73143285985876605</v>
      </c>
      <c r="AI2359" s="4">
        <v>-0.451202653208917</v>
      </c>
      <c r="AJ2359" s="4" t="s">
        <v>62</v>
      </c>
      <c r="AK2359" s="2">
        <v>0.35725967714701401</v>
      </c>
      <c r="AL2359" s="2">
        <v>0.64449606579735297</v>
      </c>
      <c r="AM2359" s="2">
        <v>27614.0363936752</v>
      </c>
      <c r="AN2359" s="2">
        <v>6890.50154838448</v>
      </c>
      <c r="AO2359" s="2">
        <v>7619.3897432472804</v>
      </c>
      <c r="AP2359" s="2">
        <v>14194.2213228196</v>
      </c>
      <c r="AQ2359" s="2">
        <v>7944.5159639653402</v>
      </c>
      <c r="AR2359" s="2">
        <v>10942.683661700001</v>
      </c>
      <c r="AS2359" s="2">
        <v>8964.3034915817007</v>
      </c>
      <c r="AT2359" s="2">
        <v>9591.7377126165593</v>
      </c>
      <c r="AU2359" s="2">
        <v>9587.6604433456996</v>
      </c>
      <c r="AV2359" s="2">
        <v>26382.919185052699</v>
      </c>
      <c r="AW2359" s="2">
        <v>26148.616615651499</v>
      </c>
      <c r="AX2359" s="2">
        <v>22143.9722989232</v>
      </c>
    </row>
    <row r="2360" spans="1:50" x14ac:dyDescent="0.25">
      <c r="A2360" s="2" t="s">
        <v>15906</v>
      </c>
      <c r="B2360" s="2">
        <v>419.26844267096999</v>
      </c>
      <c r="C2360" s="2">
        <v>8.5599833333333297</v>
      </c>
      <c r="D2360" s="2" t="s">
        <v>51</v>
      </c>
      <c r="E2360" s="2" t="s">
        <v>15907</v>
      </c>
      <c r="F2360" s="2">
        <v>206986</v>
      </c>
      <c r="G2360" s="3" t="str">
        <f>HYPERLINK("https://cloud.oebiotech.com/#/lm/network/206986", "https://cloud.oebiotech.com/#/lm/network/206986")</f>
        <v>https://cloud.oebiotech.com/#/lm/network/206986</v>
      </c>
      <c r="H2360" s="2" t="s">
        <v>15908</v>
      </c>
      <c r="I2360" s="2"/>
      <c r="J2360" s="2"/>
      <c r="K2360" s="2">
        <v>45268446</v>
      </c>
      <c r="L2360" s="2"/>
      <c r="M2360" s="2"/>
      <c r="N2360" s="2"/>
      <c r="O2360" s="2"/>
      <c r="P2360" s="2"/>
      <c r="Q2360" s="2"/>
      <c r="R2360" s="2"/>
      <c r="S2360" s="2" t="s">
        <v>15909</v>
      </c>
      <c r="T2360" s="2" t="s">
        <v>15910</v>
      </c>
      <c r="U2360" s="2" t="s">
        <v>610</v>
      </c>
      <c r="V2360" s="2" t="s">
        <v>611</v>
      </c>
      <c r="W2360" s="2" t="s">
        <v>3953</v>
      </c>
      <c r="X2360" s="2" t="s">
        <v>147</v>
      </c>
      <c r="Y2360" s="2">
        <v>36.1</v>
      </c>
      <c r="Z2360" s="2">
        <v>0</v>
      </c>
      <c r="AA2360" s="2" t="s">
        <v>512</v>
      </c>
      <c r="AB2360" s="2" t="s">
        <v>15911</v>
      </c>
      <c r="AC2360" s="2">
        <v>3.7565540140710199</v>
      </c>
      <c r="AD2360" s="2"/>
      <c r="AE2360" s="2">
        <v>0.27421947350412001</v>
      </c>
      <c r="AF2360" s="2">
        <v>11681.920167787899</v>
      </c>
      <c r="AG2360" s="2">
        <v>13456.457900974199</v>
      </c>
      <c r="AH2360" s="4">
        <v>0.86812742653043196</v>
      </c>
      <c r="AI2360" s="4">
        <v>-0.20402127326514999</v>
      </c>
      <c r="AJ2360" s="4" t="s">
        <v>62</v>
      </c>
      <c r="AK2360" s="2">
        <v>4.1133254236560703E-2</v>
      </c>
      <c r="AL2360" s="2">
        <v>0.29211498851968998</v>
      </c>
      <c r="AM2360" s="2">
        <v>9529.75435403148</v>
      </c>
      <c r="AN2360" s="2">
        <v>11872.119232655899</v>
      </c>
      <c r="AO2360" s="2">
        <v>11688.003791490901</v>
      </c>
      <c r="AP2360" s="2">
        <v>12538.925090922799</v>
      </c>
      <c r="AQ2360" s="2">
        <v>13182.6468135018</v>
      </c>
      <c r="AR2360" s="2">
        <v>11280.0717241243</v>
      </c>
      <c r="AS2360" s="2">
        <v>13412.6446491278</v>
      </c>
      <c r="AT2360" s="2">
        <v>15234.6933997054</v>
      </c>
      <c r="AU2360" s="2">
        <v>11081.9346085374</v>
      </c>
      <c r="AV2360" s="2">
        <v>13986.100070062999</v>
      </c>
      <c r="AW2360" s="2">
        <v>13121.5257240953</v>
      </c>
      <c r="AX2360" s="2">
        <v>13901.8489543165</v>
      </c>
    </row>
    <row r="2361" spans="1:50" x14ac:dyDescent="0.25">
      <c r="A2361" s="2" t="s">
        <v>15912</v>
      </c>
      <c r="B2361" s="2">
        <v>436.21505899754101</v>
      </c>
      <c r="C2361" s="2">
        <v>4.2797999999999998</v>
      </c>
      <c r="D2361" s="2" t="s">
        <v>51</v>
      </c>
      <c r="E2361" s="2" t="s">
        <v>15913</v>
      </c>
      <c r="F2361" s="2">
        <v>265594</v>
      </c>
      <c r="G2361" s="3" t="str">
        <f>HYPERLINK("https://cloud.oebiotech.com/#/lm/network/265594", "https://cloud.oebiotech.com/#/lm/network/265594")</f>
        <v>https://cloud.oebiotech.com/#/lm/network/265594</v>
      </c>
      <c r="H2361" s="2"/>
      <c r="I2361" s="2">
        <v>23096</v>
      </c>
      <c r="J2361" s="2"/>
      <c r="K2361" s="2">
        <v>145458874</v>
      </c>
      <c r="L2361" s="2"/>
      <c r="M2361" s="2"/>
      <c r="N2361" s="2"/>
      <c r="O2361" s="2"/>
      <c r="P2361" s="2"/>
      <c r="Q2361" s="2"/>
      <c r="R2361" s="2"/>
      <c r="S2361" s="2" t="s">
        <v>15914</v>
      </c>
      <c r="T2361" s="2" t="s">
        <v>15915</v>
      </c>
      <c r="U2361" s="2" t="s">
        <v>103</v>
      </c>
      <c r="V2361" s="2" t="s">
        <v>104</v>
      </c>
      <c r="W2361" s="2" t="s">
        <v>105</v>
      </c>
      <c r="X2361" s="2" t="s">
        <v>83</v>
      </c>
      <c r="Y2361" s="2">
        <v>37.5</v>
      </c>
      <c r="Z2361" s="2">
        <v>0.53300000000000003</v>
      </c>
      <c r="AA2361" s="2" t="s">
        <v>512</v>
      </c>
      <c r="AB2361" s="2" t="s">
        <v>15916</v>
      </c>
      <c r="AC2361" s="2">
        <v>-9.5677764501919</v>
      </c>
      <c r="AD2361" s="2"/>
      <c r="AE2361" s="2">
        <v>0.27372574825395102</v>
      </c>
      <c r="AF2361" s="2">
        <v>1262.7810719178899</v>
      </c>
      <c r="AG2361" s="2">
        <v>4513.9045135591005</v>
      </c>
      <c r="AH2361" s="4">
        <v>0.279753607575145</v>
      </c>
      <c r="AI2361" s="4">
        <v>-1.8377713592273801</v>
      </c>
      <c r="AJ2361" s="4" t="s">
        <v>62</v>
      </c>
      <c r="AK2361" s="2">
        <v>0.33857454202477499</v>
      </c>
      <c r="AL2361" s="2">
        <v>0.63815037094278604</v>
      </c>
      <c r="AM2361" s="2">
        <v>2033.5883292574499</v>
      </c>
      <c r="AN2361" s="2">
        <v>411.95482243771602</v>
      </c>
      <c r="AO2361" s="2">
        <v>1387.3653922492099</v>
      </c>
      <c r="AP2361" s="2">
        <v>8.559877937157E-6</v>
      </c>
      <c r="AQ2361" s="2">
        <v>452.48124961815898</v>
      </c>
      <c r="AR2361" s="2">
        <v>3291.2966293849199</v>
      </c>
      <c r="AS2361" s="2">
        <v>8.559877937157E-6</v>
      </c>
      <c r="AT2361" s="2">
        <v>114.192448664409</v>
      </c>
      <c r="AU2361" s="2">
        <v>808.33179468896196</v>
      </c>
      <c r="AV2361" s="2">
        <v>19622.92962078</v>
      </c>
      <c r="AW2361" s="2">
        <v>6537.97320010146</v>
      </c>
      <c r="AX2361" s="2">
        <v>8.559877937157E-6</v>
      </c>
    </row>
    <row r="2362" spans="1:50" x14ac:dyDescent="0.25">
      <c r="A2362" s="2" t="s">
        <v>15917</v>
      </c>
      <c r="B2362" s="2">
        <v>347.18646959843397</v>
      </c>
      <c r="C2362" s="2">
        <v>7.3126499999999997</v>
      </c>
      <c r="D2362" s="2" t="s">
        <v>51</v>
      </c>
      <c r="E2362" s="2" t="s">
        <v>15918</v>
      </c>
      <c r="F2362" s="2">
        <v>36116</v>
      </c>
      <c r="G2362" s="3" t="str">
        <f>HYPERLINK("https://cloud.oebiotech.com/#/lm/network/36116", "https://cloud.oebiotech.com/#/lm/network/36116")</f>
        <v>https://cloud.oebiotech.com/#/lm/network/36116</v>
      </c>
      <c r="H2362" s="2"/>
      <c r="I2362" s="2">
        <v>53704</v>
      </c>
      <c r="J2362" s="2" t="s">
        <v>15919</v>
      </c>
      <c r="K2362" s="2">
        <v>42608256</v>
      </c>
      <c r="L2362" s="2"/>
      <c r="M2362" s="2"/>
      <c r="N2362" s="2"/>
      <c r="O2362" s="2"/>
      <c r="P2362" s="2"/>
      <c r="Q2362" s="2"/>
      <c r="R2362" s="2"/>
      <c r="S2362" s="2" t="s">
        <v>15920</v>
      </c>
      <c r="T2362" s="2" t="s">
        <v>15921</v>
      </c>
      <c r="U2362" s="2" t="s">
        <v>266</v>
      </c>
      <c r="V2362" s="2" t="s">
        <v>15922</v>
      </c>
      <c r="W2362" s="2" t="s">
        <v>240</v>
      </c>
      <c r="X2362" s="2" t="s">
        <v>83</v>
      </c>
      <c r="Y2362" s="2">
        <v>48.9</v>
      </c>
      <c r="Z2362" s="2">
        <v>0</v>
      </c>
      <c r="AA2362" s="2" t="s">
        <v>163</v>
      </c>
      <c r="AB2362" s="2" t="s">
        <v>15523</v>
      </c>
      <c r="AC2362" s="2">
        <v>0.20688105262075801</v>
      </c>
      <c r="AD2362" s="2"/>
      <c r="AE2362" s="2">
        <v>0.27372244487220798</v>
      </c>
      <c r="AF2362" s="2">
        <v>2821.0824999541101</v>
      </c>
      <c r="AG2362" s="2">
        <v>1114.0825085998099</v>
      </c>
      <c r="AH2362" s="5">
        <v>2.53220248785673</v>
      </c>
      <c r="AI2362" s="5">
        <v>1.3403927746502999</v>
      </c>
      <c r="AJ2362" s="5" t="s">
        <v>139</v>
      </c>
      <c r="AK2362" s="2">
        <v>1.9925318833733602E-3</v>
      </c>
      <c r="AL2362" s="2">
        <v>0.10025137111515001</v>
      </c>
      <c r="AM2362" s="2">
        <v>2295.0783993895702</v>
      </c>
      <c r="AN2362" s="2">
        <v>3530.4812875021198</v>
      </c>
      <c r="AO2362" s="2">
        <v>3367.7561284079902</v>
      </c>
      <c r="AP2362" s="2">
        <v>2421.7137550996999</v>
      </c>
      <c r="AQ2362" s="2">
        <v>2127.31537211771</v>
      </c>
      <c r="AR2362" s="2">
        <v>3184.1500572075402</v>
      </c>
      <c r="AS2362" s="2">
        <v>2637.6155660415202</v>
      </c>
      <c r="AT2362" s="2">
        <v>779.12891779294205</v>
      </c>
      <c r="AU2362" s="2">
        <v>1312.7925708158</v>
      </c>
      <c r="AV2362" s="2">
        <v>376.40093256226697</v>
      </c>
      <c r="AW2362" s="2">
        <v>843.73183033095404</v>
      </c>
      <c r="AX2362" s="2">
        <v>734.82523405536301</v>
      </c>
    </row>
    <row r="2363" spans="1:50" x14ac:dyDescent="0.25">
      <c r="A2363" s="2" t="s">
        <v>15923</v>
      </c>
      <c r="B2363" s="2">
        <v>283.24297088696898</v>
      </c>
      <c r="C2363" s="2">
        <v>7.5713999999999997</v>
      </c>
      <c r="D2363" s="2" t="s">
        <v>51</v>
      </c>
      <c r="E2363" s="2" t="s">
        <v>15924</v>
      </c>
      <c r="F2363" s="2">
        <v>54703</v>
      </c>
      <c r="G2363" s="3" t="str">
        <f>HYPERLINK("https://cloud.oebiotech.com/#/lm/network/54703", "https://cloud.oebiotech.com/#/lm/network/54703")</f>
        <v>https://cloud.oebiotech.com/#/lm/network/54703</v>
      </c>
      <c r="H2363" s="2" t="s">
        <v>15925</v>
      </c>
      <c r="I2363" s="2">
        <v>86521</v>
      </c>
      <c r="J2363" s="2"/>
      <c r="K2363" s="2">
        <v>5356113</v>
      </c>
      <c r="L2363" s="2"/>
      <c r="M2363" s="2"/>
      <c r="N2363" s="2"/>
      <c r="O2363" s="2"/>
      <c r="P2363" s="2"/>
      <c r="Q2363" s="2"/>
      <c r="R2363" s="2" t="s">
        <v>15926</v>
      </c>
      <c r="S2363" s="2" t="s">
        <v>15927</v>
      </c>
      <c r="T2363" s="2" t="s">
        <v>15928</v>
      </c>
      <c r="U2363" s="2" t="s">
        <v>610</v>
      </c>
      <c r="V2363" s="2" t="s">
        <v>895</v>
      </c>
      <c r="W2363" s="2" t="s">
        <v>6882</v>
      </c>
      <c r="X2363" s="2" t="s">
        <v>147</v>
      </c>
      <c r="Y2363" s="2">
        <v>45.1</v>
      </c>
      <c r="Z2363" s="2">
        <v>36.799999999999997</v>
      </c>
      <c r="AA2363" s="2" t="s">
        <v>156</v>
      </c>
      <c r="AB2363" s="2" t="s">
        <v>15929</v>
      </c>
      <c r="AC2363" s="2">
        <v>3.14240096267975</v>
      </c>
      <c r="AD2363" s="2"/>
      <c r="AE2363" s="2">
        <v>0.27330703159157899</v>
      </c>
      <c r="AF2363" s="2">
        <v>918.26883912512903</v>
      </c>
      <c r="AG2363" s="2">
        <v>3154.06685399654</v>
      </c>
      <c r="AH2363" s="4">
        <v>0.29113803911974301</v>
      </c>
      <c r="AI2363" s="4">
        <v>-1.7802247454159901</v>
      </c>
      <c r="AJ2363" s="4" t="s">
        <v>62</v>
      </c>
      <c r="AK2363" s="2">
        <v>5.1577719124422598E-2</v>
      </c>
      <c r="AL2363" s="2">
        <v>0.314574997446259</v>
      </c>
      <c r="AM2363" s="2">
        <v>725.98310548289203</v>
      </c>
      <c r="AN2363" s="2">
        <v>2012.38140329264</v>
      </c>
      <c r="AO2363" s="2">
        <v>770.14081813924201</v>
      </c>
      <c r="AP2363" s="2">
        <v>1451.8475827166901</v>
      </c>
      <c r="AQ2363" s="2">
        <v>363.47989285963399</v>
      </c>
      <c r="AR2363" s="2">
        <v>185.780232259678</v>
      </c>
      <c r="AS2363" s="2">
        <v>3889.7627190012799</v>
      </c>
      <c r="AT2363" s="2">
        <v>4084.03521448223</v>
      </c>
      <c r="AU2363" s="2">
        <v>1586.94104782247</v>
      </c>
      <c r="AV2363" s="2">
        <v>6984.0471295219504</v>
      </c>
      <c r="AW2363" s="2">
        <v>2209.0041433092001</v>
      </c>
      <c r="AX2363" s="2">
        <v>170.61086984211201</v>
      </c>
    </row>
    <row r="2364" spans="1:50" x14ac:dyDescent="0.25">
      <c r="A2364" s="2" t="s">
        <v>15930</v>
      </c>
      <c r="B2364" s="2">
        <v>400.17279112620702</v>
      </c>
      <c r="C2364" s="2">
        <v>4.1298500000000002</v>
      </c>
      <c r="D2364" s="2" t="s">
        <v>51</v>
      </c>
      <c r="E2364" s="2" t="s">
        <v>15931</v>
      </c>
      <c r="F2364" s="2">
        <v>19869</v>
      </c>
      <c r="G2364" s="3" t="str">
        <f>HYPERLINK("https://cloud.oebiotech.com/#/lm/network/19869", "https://cloud.oebiotech.com/#/lm/network/19869")</f>
        <v>https://cloud.oebiotech.com/#/lm/network/19869</v>
      </c>
      <c r="H2364" s="2"/>
      <c r="I2364" s="2">
        <v>40359</v>
      </c>
      <c r="J2364" s="2" t="s">
        <v>15932</v>
      </c>
      <c r="K2364" s="2">
        <v>24779500</v>
      </c>
      <c r="L2364" s="2"/>
      <c r="M2364" s="2"/>
      <c r="N2364" s="2"/>
      <c r="O2364" s="2"/>
      <c r="P2364" s="2"/>
      <c r="Q2364" s="2"/>
      <c r="R2364" s="2"/>
      <c r="S2364" s="2" t="s">
        <v>15933</v>
      </c>
      <c r="T2364" s="2" t="s">
        <v>15934</v>
      </c>
      <c r="U2364" s="2" t="s">
        <v>56</v>
      </c>
      <c r="V2364" s="2" t="s">
        <v>57</v>
      </c>
      <c r="W2364" s="2" t="s">
        <v>58</v>
      </c>
      <c r="X2364" s="2" t="s">
        <v>147</v>
      </c>
      <c r="Y2364" s="2">
        <v>44.8</v>
      </c>
      <c r="Z2364" s="2">
        <v>32.5</v>
      </c>
      <c r="AA2364" s="2" t="s">
        <v>218</v>
      </c>
      <c r="AB2364" s="2" t="s">
        <v>15935</v>
      </c>
      <c r="AC2364" s="2">
        <v>-3.9436157193792201</v>
      </c>
      <c r="AD2364" s="2"/>
      <c r="AE2364" s="2">
        <v>0.27306778354953798</v>
      </c>
      <c r="AF2364" s="2">
        <v>957.36024572846304</v>
      </c>
      <c r="AG2364" s="2">
        <v>4762.1204262985802</v>
      </c>
      <c r="AH2364" s="4">
        <v>0.20103654675372901</v>
      </c>
      <c r="AI2364" s="4">
        <v>-2.3144702998139102</v>
      </c>
      <c r="AJ2364" s="4" t="s">
        <v>62</v>
      </c>
      <c r="AK2364" s="2">
        <v>0.42387438729274102</v>
      </c>
      <c r="AL2364" s="2">
        <v>0.68361831708419296</v>
      </c>
      <c r="AM2364" s="2">
        <v>1750.96274363877</v>
      </c>
      <c r="AN2364" s="2">
        <v>8.559877937157E-6</v>
      </c>
      <c r="AO2364" s="2">
        <v>366.09908664285001</v>
      </c>
      <c r="AP2364" s="2">
        <v>8.559877937157E-6</v>
      </c>
      <c r="AQ2364" s="2">
        <v>2383.3251571557898</v>
      </c>
      <c r="AR2364" s="2">
        <v>1243.77446981361</v>
      </c>
      <c r="AS2364" s="2">
        <v>8.559877937157E-6</v>
      </c>
      <c r="AT2364" s="2">
        <v>8.559877937157E-6</v>
      </c>
      <c r="AU2364" s="2">
        <v>238.004051236138</v>
      </c>
      <c r="AV2364" s="2">
        <v>27478.233210793001</v>
      </c>
      <c r="AW2364" s="2">
        <v>8.559877937157E-6</v>
      </c>
      <c r="AX2364" s="2">
        <v>856.48527008270696</v>
      </c>
    </row>
    <row r="2365" spans="1:50" x14ac:dyDescent="0.25">
      <c r="A2365" s="2" t="s">
        <v>15936</v>
      </c>
      <c r="B2365" s="2">
        <v>231.045291914709</v>
      </c>
      <c r="C2365" s="2">
        <v>3.9471833333333302</v>
      </c>
      <c r="D2365" s="2" t="s">
        <v>51</v>
      </c>
      <c r="E2365" s="2" t="s">
        <v>15937</v>
      </c>
      <c r="F2365" s="2">
        <v>52754</v>
      </c>
      <c r="G2365" s="3" t="str">
        <f>HYPERLINK("https://cloud.oebiotech.com/#/lm/network/52754", "https://cloud.oebiotech.com/#/lm/network/52754")</f>
        <v>https://cloud.oebiotech.com/#/lm/network/52754</v>
      </c>
      <c r="H2365" s="2" t="s">
        <v>15938</v>
      </c>
      <c r="I2365" s="2"/>
      <c r="J2365" s="2"/>
      <c r="K2365" s="2">
        <v>31072</v>
      </c>
      <c r="L2365" s="2" t="s">
        <v>15939</v>
      </c>
      <c r="M2365" s="2"/>
      <c r="N2365" s="2"/>
      <c r="O2365" s="2">
        <v>617099</v>
      </c>
      <c r="P2365" s="2"/>
      <c r="Q2365" s="2"/>
      <c r="R2365" s="2" t="s">
        <v>15940</v>
      </c>
      <c r="S2365" s="2" t="s">
        <v>15941</v>
      </c>
      <c r="T2365" s="2" t="s">
        <v>15942</v>
      </c>
      <c r="U2365" s="2" t="s">
        <v>266</v>
      </c>
      <c r="V2365" s="2" t="s">
        <v>1585</v>
      </c>
      <c r="W2365" s="2" t="s">
        <v>1586</v>
      </c>
      <c r="X2365" s="2" t="s">
        <v>147</v>
      </c>
      <c r="Y2365" s="2">
        <v>46</v>
      </c>
      <c r="Z2365" s="2">
        <v>41.5</v>
      </c>
      <c r="AA2365" s="2" t="s">
        <v>218</v>
      </c>
      <c r="AB2365" s="2" t="s">
        <v>15943</v>
      </c>
      <c r="AC2365" s="2">
        <v>4.2488095434244304</v>
      </c>
      <c r="AD2365" s="2"/>
      <c r="AE2365" s="2">
        <v>0.27270852645604199</v>
      </c>
      <c r="AF2365" s="2">
        <v>652.95803042478497</v>
      </c>
      <c r="AG2365" s="2">
        <v>4758.11897214697</v>
      </c>
      <c r="AH2365" s="4">
        <v>0.13723028664206699</v>
      </c>
      <c r="AI2365" s="4">
        <v>-2.8653291763044999</v>
      </c>
      <c r="AJ2365" s="4" t="s">
        <v>62</v>
      </c>
      <c r="AK2365" s="2">
        <v>0.39136107161775902</v>
      </c>
      <c r="AL2365" s="2">
        <v>0.66528673878009803</v>
      </c>
      <c r="AM2365" s="2">
        <v>508.84038218463002</v>
      </c>
      <c r="AN2365" s="2">
        <v>674.28332009736505</v>
      </c>
      <c r="AO2365" s="2">
        <v>392.527087765533</v>
      </c>
      <c r="AP2365" s="2">
        <v>451.86628477035998</v>
      </c>
      <c r="AQ2365" s="2">
        <v>469.74198573167098</v>
      </c>
      <c r="AR2365" s="2">
        <v>1420.48912199915</v>
      </c>
      <c r="AS2365" s="2">
        <v>63.150152538463097</v>
      </c>
      <c r="AT2365" s="2">
        <v>8.559877937157E-6</v>
      </c>
      <c r="AU2365" s="2">
        <v>383.92070892709802</v>
      </c>
      <c r="AV2365" s="2">
        <v>8.559877937157E-6</v>
      </c>
      <c r="AW2365" s="2">
        <v>449.94889929090903</v>
      </c>
      <c r="AX2365" s="2">
        <v>27651.694055005599</v>
      </c>
    </row>
    <row r="2366" spans="1:50" x14ac:dyDescent="0.25">
      <c r="A2366" s="2" t="s">
        <v>15944</v>
      </c>
      <c r="B2366" s="2">
        <v>130.06909999999999</v>
      </c>
      <c r="C2366" s="2">
        <v>8.6020000000000003</v>
      </c>
      <c r="D2366" s="2" t="s">
        <v>125</v>
      </c>
      <c r="E2366" s="2" t="s">
        <v>15945</v>
      </c>
      <c r="F2366" s="2">
        <v>2486</v>
      </c>
      <c r="G2366" s="3" t="str">
        <f>HYPERLINK("https://cloud.oebiotech.com/#/lm/network/2486", "https://cloud.oebiotech.com/#/lm/network/2486")</f>
        <v>https://cloud.oebiotech.com/#/lm/network/2486</v>
      </c>
      <c r="H2366" s="2" t="s">
        <v>15946</v>
      </c>
      <c r="I2366" s="2">
        <v>12</v>
      </c>
      <c r="J2366" s="2" t="s">
        <v>15947</v>
      </c>
      <c r="K2366" s="2">
        <v>439691</v>
      </c>
      <c r="L2366" s="2" t="s">
        <v>15948</v>
      </c>
      <c r="M2366" s="2"/>
      <c r="N2366" s="2"/>
      <c r="O2366" s="2">
        <v>28797</v>
      </c>
      <c r="P2366" s="2"/>
      <c r="Q2366" s="2"/>
      <c r="R2366" s="2" t="s">
        <v>15949</v>
      </c>
      <c r="S2366" s="2" t="s">
        <v>15950</v>
      </c>
      <c r="T2366" s="2" t="s">
        <v>15951</v>
      </c>
      <c r="U2366" s="2" t="s">
        <v>103</v>
      </c>
      <c r="V2366" s="2" t="s">
        <v>104</v>
      </c>
      <c r="W2366" s="2" t="s">
        <v>105</v>
      </c>
      <c r="X2366" s="2" t="s">
        <v>69</v>
      </c>
      <c r="Y2366" s="2">
        <v>95.4</v>
      </c>
      <c r="Z2366" s="2">
        <v>94.3</v>
      </c>
      <c r="AA2366" s="2"/>
      <c r="AB2366" s="2" t="s">
        <v>12676</v>
      </c>
      <c r="AC2366" s="2"/>
      <c r="AD2366" s="2">
        <v>288305.06224066397</v>
      </c>
      <c r="AE2366" s="2">
        <v>0.27270681444671502</v>
      </c>
      <c r="AF2366" s="2">
        <v>364964.22569204698</v>
      </c>
      <c r="AG2366" s="2">
        <v>289018.10720997403</v>
      </c>
      <c r="AH2366" s="5">
        <v>1.2627728733511401</v>
      </c>
      <c r="AI2366" s="5">
        <v>0.33659517439346098</v>
      </c>
      <c r="AJ2366" s="5" t="s">
        <v>139</v>
      </c>
      <c r="AK2366" s="2">
        <v>0.48390525833243803</v>
      </c>
      <c r="AL2366" s="2">
        <v>0.72793974261451599</v>
      </c>
      <c r="AM2366" s="2">
        <v>312990.47460235597</v>
      </c>
      <c r="AN2366" s="2">
        <v>314890.81011421699</v>
      </c>
      <c r="AO2366" s="2">
        <v>595122.28696836601</v>
      </c>
      <c r="AP2366" s="2">
        <v>660451.66614035598</v>
      </c>
      <c r="AQ2366" s="2">
        <v>98675.396638264006</v>
      </c>
      <c r="AR2366" s="2">
        <v>207654.719688724</v>
      </c>
      <c r="AS2366" s="2">
        <v>169755.40576257199</v>
      </c>
      <c r="AT2366" s="2">
        <v>407364.65609765501</v>
      </c>
      <c r="AU2366" s="2">
        <v>171648.14384982301</v>
      </c>
      <c r="AV2366" s="2">
        <v>188348.42445182201</v>
      </c>
      <c r="AW2366" s="2">
        <v>327291.77731153602</v>
      </c>
      <c r="AX2366" s="2">
        <v>469700.23578643502</v>
      </c>
    </row>
    <row r="2367" spans="1:50" x14ac:dyDescent="0.25">
      <c r="A2367" s="2" t="s">
        <v>15952</v>
      </c>
      <c r="B2367" s="2">
        <v>175.04832370116401</v>
      </c>
      <c r="C2367" s="2">
        <v>1.3642000000000001</v>
      </c>
      <c r="D2367" s="2" t="s">
        <v>51</v>
      </c>
      <c r="E2367" s="2" t="s">
        <v>15953</v>
      </c>
      <c r="F2367" s="2">
        <v>47236</v>
      </c>
      <c r="G2367" s="3" t="str">
        <f>HYPERLINK("https://cloud.oebiotech.com/#/lm/network/47236", "https://cloud.oebiotech.com/#/lm/network/47236")</f>
        <v>https://cloud.oebiotech.com/#/lm/network/47236</v>
      </c>
      <c r="H2367" s="2" t="s">
        <v>15954</v>
      </c>
      <c r="I2367" s="2">
        <v>3769</v>
      </c>
      <c r="J2367" s="2"/>
      <c r="K2367" s="2">
        <v>65065</v>
      </c>
      <c r="L2367" s="2" t="s">
        <v>15955</v>
      </c>
      <c r="M2367" s="2" t="s">
        <v>15956</v>
      </c>
      <c r="N2367" s="2" t="s">
        <v>15957</v>
      </c>
      <c r="O2367" s="2">
        <v>21547</v>
      </c>
      <c r="P2367" s="2" t="s">
        <v>15958</v>
      </c>
      <c r="Q2367" s="2" t="s">
        <v>15959</v>
      </c>
      <c r="R2367" s="2" t="s">
        <v>15960</v>
      </c>
      <c r="S2367" s="2" t="s">
        <v>15961</v>
      </c>
      <c r="T2367" s="2" t="s">
        <v>15962</v>
      </c>
      <c r="U2367" s="2" t="s">
        <v>103</v>
      </c>
      <c r="V2367" s="2" t="s">
        <v>104</v>
      </c>
      <c r="W2367" s="2" t="s">
        <v>105</v>
      </c>
      <c r="X2367" s="2" t="s">
        <v>83</v>
      </c>
      <c r="Y2367" s="2">
        <v>46.1</v>
      </c>
      <c r="Z2367" s="2">
        <v>32.6</v>
      </c>
      <c r="AA2367" s="2" t="s">
        <v>122</v>
      </c>
      <c r="AB2367" s="2" t="s">
        <v>15963</v>
      </c>
      <c r="AC2367" s="2">
        <v>1.43509111570103</v>
      </c>
      <c r="AD2367" s="2"/>
      <c r="AE2367" s="2">
        <v>0.27268075548680099</v>
      </c>
      <c r="AF2367" s="2">
        <v>10546.213803156101</v>
      </c>
      <c r="AG2367" s="2">
        <v>16589.028618051299</v>
      </c>
      <c r="AH2367" s="4">
        <v>0.63573425822415397</v>
      </c>
      <c r="AI2367" s="4">
        <v>-0.65350426091829705</v>
      </c>
      <c r="AJ2367" s="4" t="s">
        <v>62</v>
      </c>
      <c r="AK2367" s="2">
        <v>0.24164176301745</v>
      </c>
      <c r="AL2367" s="2">
        <v>0.56525892318148097</v>
      </c>
      <c r="AM2367" s="2">
        <v>15982.8135393024</v>
      </c>
      <c r="AN2367" s="2">
        <v>8753.3803477252804</v>
      </c>
      <c r="AO2367" s="2">
        <v>13066.096777823799</v>
      </c>
      <c r="AP2367" s="2">
        <v>7870.7530759378196</v>
      </c>
      <c r="AQ2367" s="2">
        <v>4604.6488380375804</v>
      </c>
      <c r="AR2367" s="2">
        <v>12999.590240109599</v>
      </c>
      <c r="AS2367" s="2">
        <v>13034.2464733174</v>
      </c>
      <c r="AT2367" s="2">
        <v>12551.986073968899</v>
      </c>
      <c r="AU2367" s="2">
        <v>34544.042879595501</v>
      </c>
      <c r="AV2367" s="2">
        <v>24979.769893290399</v>
      </c>
      <c r="AW2367" s="2">
        <v>3897.7863889824898</v>
      </c>
      <c r="AX2367" s="2">
        <v>10526.3399991529</v>
      </c>
    </row>
    <row r="2368" spans="1:50" x14ac:dyDescent="0.25">
      <c r="A2368" s="2" t="s">
        <v>15964</v>
      </c>
      <c r="B2368" s="2">
        <v>404.003853200251</v>
      </c>
      <c r="C2368" s="2">
        <v>0.63544999999999996</v>
      </c>
      <c r="D2368" s="2" t="s">
        <v>51</v>
      </c>
      <c r="E2368" s="2" t="s">
        <v>15965</v>
      </c>
      <c r="F2368" s="2">
        <v>46981</v>
      </c>
      <c r="G2368" s="3" t="str">
        <f>HYPERLINK("https://cloud.oebiotech.com/#/lm/network/46981", "https://cloud.oebiotech.com/#/lm/network/46981")</f>
        <v>https://cloud.oebiotech.com/#/lm/network/46981</v>
      </c>
      <c r="H2368" s="2" t="s">
        <v>15966</v>
      </c>
      <c r="I2368" s="2"/>
      <c r="J2368" s="2"/>
      <c r="K2368" s="2">
        <v>6031</v>
      </c>
      <c r="L2368" s="2" t="s">
        <v>15967</v>
      </c>
      <c r="M2368" s="2" t="s">
        <v>3456</v>
      </c>
      <c r="N2368" s="2" t="s">
        <v>3457</v>
      </c>
      <c r="O2368" s="2">
        <v>17659</v>
      </c>
      <c r="P2368" s="2" t="s">
        <v>15968</v>
      </c>
      <c r="Q2368" s="2" t="s">
        <v>15969</v>
      </c>
      <c r="R2368" s="2" t="s">
        <v>15970</v>
      </c>
      <c r="S2368" s="2" t="s">
        <v>15971</v>
      </c>
      <c r="T2368" s="2" t="s">
        <v>15972</v>
      </c>
      <c r="U2368" s="2" t="s">
        <v>295</v>
      </c>
      <c r="V2368" s="2" t="s">
        <v>296</v>
      </c>
      <c r="W2368" s="2" t="s">
        <v>3973</v>
      </c>
      <c r="X2368" s="2" t="s">
        <v>83</v>
      </c>
      <c r="Y2368" s="2">
        <v>37.799999999999997</v>
      </c>
      <c r="Z2368" s="2">
        <v>0</v>
      </c>
      <c r="AA2368" s="2" t="s">
        <v>122</v>
      </c>
      <c r="AB2368" s="2" t="s">
        <v>15973</v>
      </c>
      <c r="AC2368" s="2">
        <v>4.0988563004290404</v>
      </c>
      <c r="AD2368" s="2"/>
      <c r="AE2368" s="2">
        <v>0.27244112538562099</v>
      </c>
      <c r="AF2368" s="2">
        <v>9857.4076787654794</v>
      </c>
      <c r="AG2368" s="2">
        <v>12707.5527108603</v>
      </c>
      <c r="AH2368" s="4">
        <v>0.77571251546656705</v>
      </c>
      <c r="AI2368" s="4">
        <v>-0.366406016387752</v>
      </c>
      <c r="AJ2368" s="4" t="s">
        <v>62</v>
      </c>
      <c r="AK2368" s="2">
        <v>0.12755390781756901</v>
      </c>
      <c r="AL2368" s="2">
        <v>0.44626309510015799</v>
      </c>
      <c r="AM2368" s="2">
        <v>10035.5995464765</v>
      </c>
      <c r="AN2368" s="2">
        <v>12552.262761182699</v>
      </c>
      <c r="AO2368" s="2">
        <v>11067.0505990494</v>
      </c>
      <c r="AP2368" s="2">
        <v>10263.341214218801</v>
      </c>
      <c r="AQ2368" s="2">
        <v>7064.8945969507104</v>
      </c>
      <c r="AR2368" s="2">
        <v>8161.2973547147603</v>
      </c>
      <c r="AS2368" s="2">
        <v>7331.3390847063602</v>
      </c>
      <c r="AT2368" s="2">
        <v>9836.46158831713</v>
      </c>
      <c r="AU2368" s="2">
        <v>12861.930380977399</v>
      </c>
      <c r="AV2368" s="2">
        <v>15467.5378399726</v>
      </c>
      <c r="AW2368" s="2">
        <v>17570.778597399101</v>
      </c>
      <c r="AX2368" s="2">
        <v>13177.268773789499</v>
      </c>
    </row>
    <row r="2369" spans="1:50" x14ac:dyDescent="0.25">
      <c r="A2369" s="2" t="s">
        <v>15974</v>
      </c>
      <c r="B2369" s="2">
        <v>440.27841787597401</v>
      </c>
      <c r="C2369" s="2">
        <v>10.112916666666701</v>
      </c>
      <c r="D2369" s="2" t="s">
        <v>51</v>
      </c>
      <c r="E2369" s="2" t="s">
        <v>15975</v>
      </c>
      <c r="F2369" s="2">
        <v>21192</v>
      </c>
      <c r="G2369" s="3" t="str">
        <f>HYPERLINK("https://cloud.oebiotech.com/#/lm/network/21192", "https://cloud.oebiotech.com/#/lm/network/21192")</f>
        <v>https://cloud.oebiotech.com/#/lm/network/21192</v>
      </c>
      <c r="H2369" s="2" t="s">
        <v>15976</v>
      </c>
      <c r="I2369" s="2">
        <v>62289</v>
      </c>
      <c r="J2369" s="2" t="s">
        <v>15977</v>
      </c>
      <c r="K2369" s="2">
        <v>52925150</v>
      </c>
      <c r="L2369" s="2"/>
      <c r="M2369" s="2"/>
      <c r="N2369" s="2"/>
      <c r="O2369" s="2"/>
      <c r="P2369" s="2"/>
      <c r="Q2369" s="2"/>
      <c r="R2369" s="2"/>
      <c r="S2369" s="2" t="s">
        <v>15978</v>
      </c>
      <c r="T2369" s="2" t="s">
        <v>15979</v>
      </c>
      <c r="U2369" s="2" t="s">
        <v>56</v>
      </c>
      <c r="V2369" s="2" t="s">
        <v>57</v>
      </c>
      <c r="W2369" s="2" t="s">
        <v>155</v>
      </c>
      <c r="X2369" s="2" t="s">
        <v>69</v>
      </c>
      <c r="Y2369" s="2">
        <v>56.2</v>
      </c>
      <c r="Z2369" s="2">
        <v>72.599999999999994</v>
      </c>
      <c r="AA2369" s="2" t="s">
        <v>259</v>
      </c>
      <c r="AB2369" s="2" t="s">
        <v>15980</v>
      </c>
      <c r="AC2369" s="2">
        <v>2.8504692537769598</v>
      </c>
      <c r="AD2369" s="2"/>
      <c r="AE2369" s="2">
        <v>0.27230093046779802</v>
      </c>
      <c r="AF2369" s="2">
        <v>8170.0996417871102</v>
      </c>
      <c r="AG2369" s="2">
        <v>3349.0333606686299</v>
      </c>
      <c r="AH2369" s="5">
        <v>2.4395396408222001</v>
      </c>
      <c r="AI2369" s="5">
        <v>1.28660892624527</v>
      </c>
      <c r="AJ2369" s="5" t="s">
        <v>139</v>
      </c>
      <c r="AK2369" s="2">
        <v>0.29622334165787301</v>
      </c>
      <c r="AL2369" s="2">
        <v>0.60778876168892604</v>
      </c>
      <c r="AM2369" s="2">
        <v>6575.3787285768703</v>
      </c>
      <c r="AN2369" s="2">
        <v>1754.9463646920201</v>
      </c>
      <c r="AO2369" s="2">
        <v>2341.5787586677602</v>
      </c>
      <c r="AP2369" s="2">
        <v>1365.1870642144099</v>
      </c>
      <c r="AQ2369" s="2">
        <v>29056.0053273021</v>
      </c>
      <c r="AR2369" s="2">
        <v>7927.5016072695198</v>
      </c>
      <c r="AS2369" s="2">
        <v>996.59521584544802</v>
      </c>
      <c r="AT2369" s="2">
        <v>2115.4514138873401</v>
      </c>
      <c r="AU2369" s="2">
        <v>4850.1379994569497</v>
      </c>
      <c r="AV2369" s="2">
        <v>5463.8260197729196</v>
      </c>
      <c r="AW2369" s="2">
        <v>3304.2812511971601</v>
      </c>
      <c r="AX2369" s="2">
        <v>3363.9082638519699</v>
      </c>
    </row>
    <row r="2370" spans="1:50" x14ac:dyDescent="0.25">
      <c r="A2370" s="2" t="s">
        <v>15981</v>
      </c>
      <c r="B2370" s="2">
        <v>310.095473929908</v>
      </c>
      <c r="C2370" s="2">
        <v>10.691333333333301</v>
      </c>
      <c r="D2370" s="2" t="s">
        <v>51</v>
      </c>
      <c r="E2370" s="2" t="s">
        <v>15982</v>
      </c>
      <c r="F2370" s="2">
        <v>64996</v>
      </c>
      <c r="G2370" s="3" t="str">
        <f>HYPERLINK("https://cloud.oebiotech.com/#/lm/network/64996", "https://cloud.oebiotech.com/#/lm/network/64996")</f>
        <v>https://cloud.oebiotech.com/#/lm/network/64996</v>
      </c>
      <c r="H2370" s="2" t="s">
        <v>15983</v>
      </c>
      <c r="I2370" s="2">
        <v>67545</v>
      </c>
      <c r="J2370" s="2"/>
      <c r="K2370" s="2">
        <v>65752</v>
      </c>
      <c r="L2370" s="2" t="s">
        <v>15984</v>
      </c>
      <c r="M2370" s="2"/>
      <c r="N2370" s="2"/>
      <c r="O2370" s="2"/>
      <c r="P2370" s="2"/>
      <c r="Q2370" s="2"/>
      <c r="R2370" s="2" t="s">
        <v>15985</v>
      </c>
      <c r="S2370" s="2" t="s">
        <v>15986</v>
      </c>
      <c r="T2370" s="2" t="s">
        <v>15987</v>
      </c>
      <c r="U2370" s="2" t="s">
        <v>266</v>
      </c>
      <c r="V2370" s="2" t="s">
        <v>445</v>
      </c>
      <c r="W2370" s="2" t="s">
        <v>12779</v>
      </c>
      <c r="X2370" s="2" t="s">
        <v>147</v>
      </c>
      <c r="Y2370" s="2">
        <v>39.200000000000003</v>
      </c>
      <c r="Z2370" s="2">
        <v>0</v>
      </c>
      <c r="AA2370" s="2" t="s">
        <v>95</v>
      </c>
      <c r="AB2370" s="2" t="s">
        <v>15988</v>
      </c>
      <c r="AC2370" s="2">
        <v>1.3625602604635201</v>
      </c>
      <c r="AD2370" s="2"/>
      <c r="AE2370" s="2">
        <v>0.27223067167741899</v>
      </c>
      <c r="AF2370" s="2">
        <v>2844.15514371672</v>
      </c>
      <c r="AG2370" s="2">
        <v>1082.0246151838401</v>
      </c>
      <c r="AH2370" s="5">
        <v>2.62854939139577</v>
      </c>
      <c r="AI2370" s="5">
        <v>1.3942668439271999</v>
      </c>
      <c r="AJ2370" s="5" t="s">
        <v>139</v>
      </c>
      <c r="AK2370" s="2">
        <v>2.16485754188438E-2</v>
      </c>
      <c r="AL2370" s="2">
        <v>0.22894871932414601</v>
      </c>
      <c r="AM2370" s="2">
        <v>2824.1616470662002</v>
      </c>
      <c r="AN2370" s="2">
        <v>4410.74811100855</v>
      </c>
      <c r="AO2370" s="2">
        <v>4349.9950526842304</v>
      </c>
      <c r="AP2370" s="2">
        <v>1491.4432041406999</v>
      </c>
      <c r="AQ2370" s="2">
        <v>1385.7215716195501</v>
      </c>
      <c r="AR2370" s="2">
        <v>2602.8612757811102</v>
      </c>
      <c r="AS2370" s="2">
        <v>1918.65052751498</v>
      </c>
      <c r="AT2370" s="2">
        <v>254.114179184541</v>
      </c>
      <c r="AU2370" s="2">
        <v>1370.2976253654199</v>
      </c>
      <c r="AV2370" s="2">
        <v>793.22193645004802</v>
      </c>
      <c r="AW2370" s="2">
        <v>8.559877937157E-6</v>
      </c>
      <c r="AX2370" s="2">
        <v>2155.8634140281702</v>
      </c>
    </row>
    <row r="2371" spans="1:50" x14ac:dyDescent="0.25">
      <c r="A2371" s="2" t="s">
        <v>15989</v>
      </c>
      <c r="B2371" s="2">
        <v>471.22156041011198</v>
      </c>
      <c r="C2371" s="2">
        <v>4.9626666666666699</v>
      </c>
      <c r="D2371" s="2" t="s">
        <v>51</v>
      </c>
      <c r="E2371" s="2" t="s">
        <v>15990</v>
      </c>
      <c r="F2371" s="2">
        <v>83619</v>
      </c>
      <c r="G2371" s="3" t="str">
        <f>HYPERLINK("https://cloud.oebiotech.com/#/lm/network/83619", "https://cloud.oebiotech.com/#/lm/network/83619")</f>
        <v>https://cloud.oebiotech.com/#/lm/network/83619</v>
      </c>
      <c r="H2371" s="2" t="s">
        <v>15991</v>
      </c>
      <c r="I2371" s="2"/>
      <c r="J2371" s="2"/>
      <c r="K2371" s="2">
        <v>390658</v>
      </c>
      <c r="L2371" s="2"/>
      <c r="M2371" s="2"/>
      <c r="N2371" s="2"/>
      <c r="O2371" s="2"/>
      <c r="P2371" s="2"/>
      <c r="Q2371" s="2"/>
      <c r="R2371" s="2" t="s">
        <v>15992</v>
      </c>
      <c r="S2371" s="2" t="s">
        <v>15993</v>
      </c>
      <c r="T2371" s="2" t="s">
        <v>15994</v>
      </c>
      <c r="U2371" s="2" t="s">
        <v>331</v>
      </c>
      <c r="V2371" s="2" t="s">
        <v>332</v>
      </c>
      <c r="W2371" s="2" t="s">
        <v>1207</v>
      </c>
      <c r="X2371" s="2" t="s">
        <v>83</v>
      </c>
      <c r="Y2371" s="2">
        <v>44.7</v>
      </c>
      <c r="Z2371" s="2">
        <v>0</v>
      </c>
      <c r="AA2371" s="2" t="s">
        <v>478</v>
      </c>
      <c r="AB2371" s="2" t="s">
        <v>13064</v>
      </c>
      <c r="AC2371" s="2">
        <v>-7.0895648286330797</v>
      </c>
      <c r="AD2371" s="2"/>
      <c r="AE2371" s="2">
        <v>0.27207665875161802</v>
      </c>
      <c r="AF2371" s="2">
        <v>2948.9552577150198</v>
      </c>
      <c r="AG2371" s="2">
        <v>1136.7827599294999</v>
      </c>
      <c r="AH2371" s="5">
        <v>2.59412383936743</v>
      </c>
      <c r="AI2371" s="5">
        <v>1.3752473532120699</v>
      </c>
      <c r="AJ2371" s="5" t="s">
        <v>139</v>
      </c>
      <c r="AK2371" s="2">
        <v>2.8898971167355202E-2</v>
      </c>
      <c r="AL2371" s="2">
        <v>0.25815218356915498</v>
      </c>
      <c r="AM2371" s="2">
        <v>1990.85584306128</v>
      </c>
      <c r="AN2371" s="2">
        <v>4792.65909729738</v>
      </c>
      <c r="AO2371" s="2">
        <v>4871.4967052624297</v>
      </c>
      <c r="AP2371" s="2">
        <v>2092.5292869346599</v>
      </c>
      <c r="AQ2371" s="2">
        <v>1935.4428470430701</v>
      </c>
      <c r="AR2371" s="2">
        <v>2010.7477666912901</v>
      </c>
      <c r="AS2371" s="2">
        <v>1942.06425070566</v>
      </c>
      <c r="AT2371" s="2">
        <v>712.61820385355202</v>
      </c>
      <c r="AU2371" s="2">
        <v>2574.54837611123</v>
      </c>
      <c r="AV2371" s="2">
        <v>8.559877937157E-6</v>
      </c>
      <c r="AW2371" s="2">
        <v>1001.42594963073</v>
      </c>
      <c r="AX2371" s="2">
        <v>590.03977071594397</v>
      </c>
    </row>
    <row r="2372" spans="1:50" x14ac:dyDescent="0.25">
      <c r="A2372" s="2" t="s">
        <v>15995</v>
      </c>
      <c r="B2372" s="2">
        <v>800.57957981927802</v>
      </c>
      <c r="C2372" s="2">
        <v>12.051083333333301</v>
      </c>
      <c r="D2372" s="2" t="s">
        <v>51</v>
      </c>
      <c r="E2372" s="2" t="s">
        <v>15996</v>
      </c>
      <c r="F2372" s="2">
        <v>242787</v>
      </c>
      <c r="G2372" s="3" t="str">
        <f>HYPERLINK("https://cloud.oebiotech.com/#/lm/network/242787", "https://cloud.oebiotech.com/#/lm/network/242787")</f>
        <v>https://cloud.oebiotech.com/#/lm/network/242787</v>
      </c>
      <c r="H2372" s="2" t="s">
        <v>15997</v>
      </c>
      <c r="I2372" s="2"/>
      <c r="J2372" s="2"/>
      <c r="K2372" s="2"/>
      <c r="L2372" s="2"/>
      <c r="M2372" s="2"/>
      <c r="N2372" s="2"/>
      <c r="O2372" s="2"/>
      <c r="P2372" s="2"/>
      <c r="Q2372" s="2"/>
      <c r="R2372" s="2"/>
      <c r="S2372" s="2" t="s">
        <v>15998</v>
      </c>
      <c r="T2372" s="2" t="s">
        <v>15999</v>
      </c>
      <c r="U2372" s="2" t="s">
        <v>56</v>
      </c>
      <c r="V2372" s="2" t="s">
        <v>57</v>
      </c>
      <c r="W2372" s="2" t="s">
        <v>58</v>
      </c>
      <c r="X2372" s="2" t="s">
        <v>83</v>
      </c>
      <c r="Y2372" s="2">
        <v>39.6</v>
      </c>
      <c r="Z2372" s="2">
        <v>0</v>
      </c>
      <c r="AA2372" s="2" t="s">
        <v>163</v>
      </c>
      <c r="AB2372" s="2" t="s">
        <v>16000</v>
      </c>
      <c r="AC2372" s="2">
        <v>-1.8883176185899999</v>
      </c>
      <c r="AD2372" s="2"/>
      <c r="AE2372" s="2">
        <v>0.27190515211384497</v>
      </c>
      <c r="AF2372" s="2">
        <v>898.680069639978</v>
      </c>
      <c r="AG2372" s="2">
        <v>3644.6529760856902</v>
      </c>
      <c r="AH2372" s="4">
        <v>0.24657493471577299</v>
      </c>
      <c r="AI2372" s="4">
        <v>-2.0199019431562202</v>
      </c>
      <c r="AJ2372" s="4" t="s">
        <v>62</v>
      </c>
      <c r="AK2372" s="2">
        <v>7.5771681523124093E-2</v>
      </c>
      <c r="AL2372" s="2">
        <v>0.35959750056178102</v>
      </c>
      <c r="AM2372" s="2">
        <v>1631.5719687374101</v>
      </c>
      <c r="AN2372" s="2">
        <v>1171.7039887905501</v>
      </c>
      <c r="AO2372" s="2">
        <v>960.15532588943802</v>
      </c>
      <c r="AP2372" s="2">
        <v>396.16957124059502</v>
      </c>
      <c r="AQ2372" s="2">
        <v>721.24681328226097</v>
      </c>
      <c r="AR2372" s="2">
        <v>511.23274989961499</v>
      </c>
      <c r="AS2372" s="2">
        <v>730.25511386000505</v>
      </c>
      <c r="AT2372" s="2">
        <v>673.87272825652803</v>
      </c>
      <c r="AU2372" s="2">
        <v>7830.0391984051603</v>
      </c>
      <c r="AV2372" s="2">
        <v>5048.1139550751504</v>
      </c>
      <c r="AW2372" s="2">
        <v>6935.6264507083397</v>
      </c>
      <c r="AX2372" s="2">
        <v>650.01041020895605</v>
      </c>
    </row>
    <row r="2373" spans="1:50" x14ac:dyDescent="0.25">
      <c r="A2373" s="2" t="s">
        <v>16001</v>
      </c>
      <c r="B2373" s="2">
        <v>473.36384525674202</v>
      </c>
      <c r="C2373" s="2">
        <v>11.251533333333301</v>
      </c>
      <c r="D2373" s="2" t="s">
        <v>51</v>
      </c>
      <c r="E2373" s="2" t="s">
        <v>16002</v>
      </c>
      <c r="F2373" s="2">
        <v>58528</v>
      </c>
      <c r="G2373" s="3" t="str">
        <f>HYPERLINK("https://cloud.oebiotech.com/#/lm/network/58528", "https://cloud.oebiotech.com/#/lm/network/58528")</f>
        <v>https://cloud.oebiotech.com/#/lm/network/58528</v>
      </c>
      <c r="H2373" s="2" t="s">
        <v>16003</v>
      </c>
      <c r="I2373" s="2">
        <v>89999</v>
      </c>
      <c r="J2373" s="2"/>
      <c r="K2373" s="2">
        <v>12314516</v>
      </c>
      <c r="L2373" s="2"/>
      <c r="M2373" s="2"/>
      <c r="N2373" s="2"/>
      <c r="O2373" s="2">
        <v>169185</v>
      </c>
      <c r="P2373" s="2"/>
      <c r="Q2373" s="2"/>
      <c r="R2373" s="2" t="s">
        <v>16004</v>
      </c>
      <c r="S2373" s="2" t="s">
        <v>16005</v>
      </c>
      <c r="T2373" s="2" t="s">
        <v>16006</v>
      </c>
      <c r="U2373" s="2" t="s">
        <v>56</v>
      </c>
      <c r="V2373" s="2" t="s">
        <v>177</v>
      </c>
      <c r="W2373" s="2" t="s">
        <v>3270</v>
      </c>
      <c r="X2373" s="2" t="s">
        <v>69</v>
      </c>
      <c r="Y2373" s="2">
        <v>68.8</v>
      </c>
      <c r="Z2373" s="2">
        <v>88.2</v>
      </c>
      <c r="AA2373" s="2" t="s">
        <v>259</v>
      </c>
      <c r="AB2373" s="2" t="s">
        <v>6245</v>
      </c>
      <c r="AC2373" s="2">
        <v>2.7708109818916</v>
      </c>
      <c r="AD2373" s="2"/>
      <c r="AE2373" s="2">
        <v>0.27149365111026802</v>
      </c>
      <c r="AF2373" s="2">
        <v>18004.323829647899</v>
      </c>
      <c r="AG2373" s="2">
        <v>13214.134514048899</v>
      </c>
      <c r="AH2373" s="5">
        <v>1.36250496091941</v>
      </c>
      <c r="AI2373" s="5">
        <v>0.44626148279290201</v>
      </c>
      <c r="AJ2373" s="5" t="s">
        <v>139</v>
      </c>
      <c r="AK2373" s="2">
        <v>0.34446613792073499</v>
      </c>
      <c r="AL2373" s="2">
        <v>0.63883639734105901</v>
      </c>
      <c r="AM2373" s="2">
        <v>15499.9971689501</v>
      </c>
      <c r="AN2373" s="2">
        <v>29407.618160625501</v>
      </c>
      <c r="AO2373" s="2">
        <v>18023.264465756401</v>
      </c>
      <c r="AP2373" s="2">
        <v>14610.8279799966</v>
      </c>
      <c r="AQ2373" s="2">
        <v>21814.832748573801</v>
      </c>
      <c r="AR2373" s="2">
        <v>8669.4024539852398</v>
      </c>
      <c r="AS2373" s="2">
        <v>15561.301268720101</v>
      </c>
      <c r="AT2373" s="2">
        <v>9216.9805360239407</v>
      </c>
      <c r="AU2373" s="2">
        <v>4583.0616435781803</v>
      </c>
      <c r="AV2373" s="2">
        <v>3653.7772415261702</v>
      </c>
      <c r="AW2373" s="2">
        <v>17415.0984291553</v>
      </c>
      <c r="AX2373" s="2">
        <v>28854.587965289498</v>
      </c>
    </row>
    <row r="2374" spans="1:50" x14ac:dyDescent="0.25">
      <c r="A2374" s="2" t="s">
        <v>16007</v>
      </c>
      <c r="B2374" s="2">
        <v>554.35656448875102</v>
      </c>
      <c r="C2374" s="2">
        <v>4.9338333333333297</v>
      </c>
      <c r="D2374" s="2" t="s">
        <v>51</v>
      </c>
      <c r="E2374" s="2" t="s">
        <v>16008</v>
      </c>
      <c r="F2374" s="2">
        <v>23691</v>
      </c>
      <c r="G2374" s="3" t="str">
        <f>HYPERLINK("https://cloud.oebiotech.com/#/lm/network/23691", "https://cloud.oebiotech.com/#/lm/network/23691")</f>
        <v>https://cloud.oebiotech.com/#/lm/network/23691</v>
      </c>
      <c r="H2374" s="2"/>
      <c r="I2374" s="2">
        <v>80017</v>
      </c>
      <c r="J2374" s="2" t="s">
        <v>16009</v>
      </c>
      <c r="K2374" s="2">
        <v>52927452</v>
      </c>
      <c r="L2374" s="2"/>
      <c r="M2374" s="2"/>
      <c r="N2374" s="2"/>
      <c r="O2374" s="2"/>
      <c r="P2374" s="2"/>
      <c r="Q2374" s="2"/>
      <c r="R2374" s="2"/>
      <c r="S2374" s="2" t="s">
        <v>16010</v>
      </c>
      <c r="T2374" s="2" t="s">
        <v>16011</v>
      </c>
      <c r="U2374" s="2" t="s">
        <v>56</v>
      </c>
      <c r="V2374" s="2" t="s">
        <v>57</v>
      </c>
      <c r="W2374" s="2" t="s">
        <v>570</v>
      </c>
      <c r="X2374" s="2" t="s">
        <v>147</v>
      </c>
      <c r="Y2374" s="2">
        <v>38.4</v>
      </c>
      <c r="Z2374" s="2">
        <v>0</v>
      </c>
      <c r="AA2374" s="2" t="s">
        <v>122</v>
      </c>
      <c r="AB2374" s="2" t="s">
        <v>16012</v>
      </c>
      <c r="AC2374" s="2">
        <v>-3.2570648092990702</v>
      </c>
      <c r="AD2374" s="2"/>
      <c r="AE2374" s="2">
        <v>0.27140938972627099</v>
      </c>
      <c r="AF2374" s="2">
        <v>6944.0204469176797</v>
      </c>
      <c r="AG2374" s="2">
        <v>4356.7320908543898</v>
      </c>
      <c r="AH2374" s="5">
        <v>1.59385987068025</v>
      </c>
      <c r="AI2374" s="5">
        <v>0.67252479572652302</v>
      </c>
      <c r="AJ2374" s="5" t="s">
        <v>139</v>
      </c>
      <c r="AK2374" s="2">
        <v>0.11530186289581899</v>
      </c>
      <c r="AL2374" s="2">
        <v>0.43107503779123302</v>
      </c>
      <c r="AM2374" s="2">
        <v>4574.2092937408097</v>
      </c>
      <c r="AN2374" s="2">
        <v>8817.4533631742797</v>
      </c>
      <c r="AO2374" s="2">
        <v>7651.33201833165</v>
      </c>
      <c r="AP2374" s="2">
        <v>6677.5618293418001</v>
      </c>
      <c r="AQ2374" s="2">
        <v>6899.8281392379904</v>
      </c>
      <c r="AR2374" s="2">
        <v>7043.7380376795199</v>
      </c>
      <c r="AS2374" s="2">
        <v>8.559877937157E-6</v>
      </c>
      <c r="AT2374" s="2">
        <v>2577.9191387044498</v>
      </c>
      <c r="AU2374" s="2">
        <v>9033.0446143765203</v>
      </c>
      <c r="AV2374" s="2">
        <v>4468.9415926656502</v>
      </c>
      <c r="AW2374" s="2">
        <v>2493.2224531556099</v>
      </c>
      <c r="AX2374" s="2">
        <v>7567.2647376642199</v>
      </c>
    </row>
    <row r="2375" spans="1:50" x14ac:dyDescent="0.25">
      <c r="A2375" s="2" t="s">
        <v>16013</v>
      </c>
      <c r="B2375" s="2">
        <v>601.28337674918203</v>
      </c>
      <c r="C2375" s="2">
        <v>4.42221666666667</v>
      </c>
      <c r="D2375" s="2" t="s">
        <v>51</v>
      </c>
      <c r="E2375" s="2" t="s">
        <v>16014</v>
      </c>
      <c r="F2375" s="2">
        <v>203605</v>
      </c>
      <c r="G2375" s="3" t="str">
        <f>HYPERLINK("https://cloud.oebiotech.com/#/lm/network/203605", "https://cloud.oebiotech.com/#/lm/network/203605")</f>
        <v>https://cloud.oebiotech.com/#/lm/network/203605</v>
      </c>
      <c r="H2375" s="2" t="s">
        <v>16015</v>
      </c>
      <c r="I2375" s="2"/>
      <c r="J2375" s="2"/>
      <c r="K2375" s="2">
        <v>176405</v>
      </c>
      <c r="L2375" s="2"/>
      <c r="M2375" s="2"/>
      <c r="N2375" s="2"/>
      <c r="O2375" s="2"/>
      <c r="P2375" s="2"/>
      <c r="Q2375" s="2"/>
      <c r="R2375" s="2"/>
      <c r="S2375" s="2" t="s">
        <v>16016</v>
      </c>
      <c r="T2375" s="2" t="s">
        <v>16017</v>
      </c>
      <c r="U2375" s="2" t="s">
        <v>103</v>
      </c>
      <c r="V2375" s="2" t="s">
        <v>9072</v>
      </c>
      <c r="W2375" s="2" t="s">
        <v>9073</v>
      </c>
      <c r="X2375" s="2" t="s">
        <v>147</v>
      </c>
      <c r="Y2375" s="2">
        <v>38.1</v>
      </c>
      <c r="Z2375" s="2">
        <v>0</v>
      </c>
      <c r="AA2375" s="2" t="s">
        <v>395</v>
      </c>
      <c r="AB2375" s="2" t="s">
        <v>16018</v>
      </c>
      <c r="AC2375" s="2">
        <v>2.4744051860229002</v>
      </c>
      <c r="AD2375" s="2"/>
      <c r="AE2375" s="2">
        <v>0.27109825041311397</v>
      </c>
      <c r="AF2375" s="2">
        <v>996.40363318275195</v>
      </c>
      <c r="AG2375" s="2">
        <v>4395.5720368504599</v>
      </c>
      <c r="AH2375" s="4">
        <v>0.22668349530604001</v>
      </c>
      <c r="AI2375" s="4">
        <v>-2.14124874177491</v>
      </c>
      <c r="AJ2375" s="4" t="s">
        <v>62</v>
      </c>
      <c r="AK2375" s="2">
        <v>0.38169173067127898</v>
      </c>
      <c r="AL2375" s="2">
        <v>0.65970998689821903</v>
      </c>
      <c r="AM2375" s="2">
        <v>881.34306634905795</v>
      </c>
      <c r="AN2375" s="2">
        <v>224.627902013057</v>
      </c>
      <c r="AO2375" s="2">
        <v>1144.9632103767001</v>
      </c>
      <c r="AP2375" s="2">
        <v>8.559877937157E-6</v>
      </c>
      <c r="AQ2375" s="2">
        <v>1778.0018882204599</v>
      </c>
      <c r="AR2375" s="2">
        <v>1949.48572357736</v>
      </c>
      <c r="AS2375" s="2">
        <v>8.559877937157E-6</v>
      </c>
      <c r="AT2375" s="2">
        <v>414.58072634564201</v>
      </c>
      <c r="AU2375" s="2">
        <v>8.559877937157E-6</v>
      </c>
      <c r="AV2375" s="2">
        <v>22717.035529862598</v>
      </c>
      <c r="AW2375" s="2">
        <v>8.559877937157E-6</v>
      </c>
      <c r="AX2375" s="2">
        <v>3241.81593921489</v>
      </c>
    </row>
    <row r="2376" spans="1:50" x14ac:dyDescent="0.25">
      <c r="A2376" s="2" t="s">
        <v>16019</v>
      </c>
      <c r="B2376" s="2">
        <v>615.46165646579095</v>
      </c>
      <c r="C2376" s="2">
        <v>14.459250000000001</v>
      </c>
      <c r="D2376" s="2" t="s">
        <v>51</v>
      </c>
      <c r="E2376" s="2" t="s">
        <v>16020</v>
      </c>
      <c r="F2376" s="2">
        <v>251791</v>
      </c>
      <c r="G2376" s="3" t="str">
        <f>HYPERLINK("https://cloud.oebiotech.com/#/lm/network/251791", "https://cloud.oebiotech.com/#/lm/network/251791")</f>
        <v>https://cloud.oebiotech.com/#/lm/network/251791</v>
      </c>
      <c r="H2376" s="2" t="s">
        <v>16021</v>
      </c>
      <c r="I2376" s="2"/>
      <c r="J2376" s="2"/>
      <c r="K2376" s="2"/>
      <c r="L2376" s="2"/>
      <c r="M2376" s="2"/>
      <c r="N2376" s="2"/>
      <c r="O2376" s="2"/>
      <c r="P2376" s="2"/>
      <c r="Q2376" s="2"/>
      <c r="R2376" s="2"/>
      <c r="S2376" s="2" t="s">
        <v>16022</v>
      </c>
      <c r="T2376" s="2" t="s">
        <v>16023</v>
      </c>
      <c r="U2376" s="2" t="s">
        <v>56</v>
      </c>
      <c r="V2376" s="2" t="s">
        <v>3215</v>
      </c>
      <c r="W2376" s="2" t="s">
        <v>3216</v>
      </c>
      <c r="X2376" s="2" t="s">
        <v>147</v>
      </c>
      <c r="Y2376" s="2">
        <v>37.700000000000003</v>
      </c>
      <c r="Z2376" s="2">
        <v>0</v>
      </c>
      <c r="AA2376" s="2" t="s">
        <v>259</v>
      </c>
      <c r="AB2376" s="2" t="s">
        <v>16024</v>
      </c>
      <c r="AC2376" s="2">
        <v>-0.42260549783030299</v>
      </c>
      <c r="AD2376" s="2"/>
      <c r="AE2376" s="2">
        <v>0.27092434275306099</v>
      </c>
      <c r="AF2376" s="2">
        <v>47420.1241720533</v>
      </c>
      <c r="AG2376" s="2">
        <v>37959.460479660098</v>
      </c>
      <c r="AH2376" s="5">
        <v>1.2492307206911599</v>
      </c>
      <c r="AI2376" s="5">
        <v>0.321039953212577</v>
      </c>
      <c r="AJ2376" s="5" t="s">
        <v>139</v>
      </c>
      <c r="AK2376" s="2">
        <v>0.44013722105460901</v>
      </c>
      <c r="AL2376" s="2">
        <v>0.696825248373656</v>
      </c>
      <c r="AM2376" s="2">
        <v>15102.6038143766</v>
      </c>
      <c r="AN2376" s="2">
        <v>59463.866578803303</v>
      </c>
      <c r="AO2376" s="2">
        <v>63884.466407804102</v>
      </c>
      <c r="AP2376" s="2">
        <v>74390.489071047603</v>
      </c>
      <c r="AQ2376" s="2">
        <v>35735.339915611199</v>
      </c>
      <c r="AR2376" s="2">
        <v>35943.979244677001</v>
      </c>
      <c r="AS2376" s="2">
        <v>10926.9943491055</v>
      </c>
      <c r="AT2376" s="2">
        <v>47700.254622504901</v>
      </c>
      <c r="AU2376" s="2">
        <v>30282.329390746199</v>
      </c>
      <c r="AV2376" s="2">
        <v>26192.930331927801</v>
      </c>
      <c r="AW2376" s="2">
        <v>55704.505057569302</v>
      </c>
      <c r="AX2376" s="2">
        <v>56949.749126106799</v>
      </c>
    </row>
    <row r="2377" spans="1:50" x14ac:dyDescent="0.25">
      <c r="A2377" s="2" t="s">
        <v>16025</v>
      </c>
      <c r="B2377" s="2">
        <v>125.096567390929</v>
      </c>
      <c r="C2377" s="2">
        <v>4.7497999999999996</v>
      </c>
      <c r="D2377" s="2" t="s">
        <v>51</v>
      </c>
      <c r="E2377" s="2" t="s">
        <v>16026</v>
      </c>
      <c r="F2377" s="2">
        <v>1061</v>
      </c>
      <c r="G2377" s="3" t="str">
        <f>HYPERLINK("https://cloud.oebiotech.com/#/lm/network/1061", "https://cloud.oebiotech.com/#/lm/network/1061")</f>
        <v>https://cloud.oebiotech.com/#/lm/network/1061</v>
      </c>
      <c r="H2377" s="2"/>
      <c r="I2377" s="2">
        <v>35230</v>
      </c>
      <c r="J2377" s="2" t="s">
        <v>16027</v>
      </c>
      <c r="K2377" s="2">
        <v>543977</v>
      </c>
      <c r="L2377" s="2"/>
      <c r="M2377" s="2"/>
      <c r="N2377" s="2"/>
      <c r="O2377" s="2"/>
      <c r="P2377" s="2"/>
      <c r="Q2377" s="2"/>
      <c r="R2377" s="2"/>
      <c r="S2377" s="2" t="s">
        <v>16028</v>
      </c>
      <c r="T2377" s="2" t="s">
        <v>16029</v>
      </c>
      <c r="U2377" s="2" t="s">
        <v>56</v>
      </c>
      <c r="V2377" s="2" t="s">
        <v>145</v>
      </c>
      <c r="W2377" s="2" t="s">
        <v>231</v>
      </c>
      <c r="X2377" s="2" t="s">
        <v>147</v>
      </c>
      <c r="Y2377" s="2">
        <v>41</v>
      </c>
      <c r="Z2377" s="2">
        <v>13.5</v>
      </c>
      <c r="AA2377" s="2" t="s">
        <v>156</v>
      </c>
      <c r="AB2377" s="2" t="s">
        <v>16030</v>
      </c>
      <c r="AC2377" s="2">
        <v>3.34943635851864</v>
      </c>
      <c r="AD2377" s="2"/>
      <c r="AE2377" s="2">
        <v>0.27090523210137801</v>
      </c>
      <c r="AF2377" s="2">
        <v>2169.3094429387902</v>
      </c>
      <c r="AG2377" s="2">
        <v>5834.6628928541804</v>
      </c>
      <c r="AH2377" s="4">
        <v>0.371796877176158</v>
      </c>
      <c r="AI2377" s="4">
        <v>-1.42741344217002</v>
      </c>
      <c r="AJ2377" s="4" t="s">
        <v>62</v>
      </c>
      <c r="AK2377" s="2">
        <v>0.31947193117605899</v>
      </c>
      <c r="AL2377" s="2">
        <v>0.62763231482205895</v>
      </c>
      <c r="AM2377" s="2">
        <v>1821.56253669123</v>
      </c>
      <c r="AN2377" s="2">
        <v>2646.4715453908798</v>
      </c>
      <c r="AO2377" s="2">
        <v>2210.5512548597499</v>
      </c>
      <c r="AP2377" s="2">
        <v>2239.2726226759901</v>
      </c>
      <c r="AQ2377" s="2">
        <v>2303.9334840544202</v>
      </c>
      <c r="AR2377" s="2">
        <v>1794.0652139604599</v>
      </c>
      <c r="AS2377" s="2">
        <v>2155.7169953838302</v>
      </c>
      <c r="AT2377" s="2">
        <v>2714.6963332616201</v>
      </c>
      <c r="AU2377" s="2">
        <v>2351.3157826225101</v>
      </c>
      <c r="AV2377" s="2">
        <v>2029.9650241862</v>
      </c>
      <c r="AW2377" s="2">
        <v>2446.9621114472998</v>
      </c>
      <c r="AX2377" s="2">
        <v>23309.321110223598</v>
      </c>
    </row>
    <row r="2378" spans="1:50" x14ac:dyDescent="0.25">
      <c r="A2378" s="2" t="s">
        <v>16031</v>
      </c>
      <c r="B2378" s="2">
        <v>535.03712283723905</v>
      </c>
      <c r="C2378" s="2">
        <v>6.1681499999999998</v>
      </c>
      <c r="D2378" s="2" t="s">
        <v>51</v>
      </c>
      <c r="E2378" s="2" t="s">
        <v>16032</v>
      </c>
      <c r="F2378" s="2">
        <v>257338</v>
      </c>
      <c r="G2378" s="3" t="str">
        <f>HYPERLINK("https://cloud.oebiotech.com/#/lm/network/257338", "https://cloud.oebiotech.com/#/lm/network/257338")</f>
        <v>https://cloud.oebiotech.com/#/lm/network/257338</v>
      </c>
      <c r="H2378" s="2" t="s">
        <v>16033</v>
      </c>
      <c r="I2378" s="2"/>
      <c r="J2378" s="2"/>
      <c r="K2378" s="2"/>
      <c r="L2378" s="2"/>
      <c r="M2378" s="2"/>
      <c r="N2378" s="2"/>
      <c r="O2378" s="2"/>
      <c r="P2378" s="2"/>
      <c r="Q2378" s="2"/>
      <c r="R2378" s="2"/>
      <c r="S2378" s="2" t="s">
        <v>16034</v>
      </c>
      <c r="T2378" s="2" t="s">
        <v>16035</v>
      </c>
      <c r="U2378" s="2" t="s">
        <v>295</v>
      </c>
      <c r="V2378" s="2" t="s">
        <v>296</v>
      </c>
      <c r="W2378" s="2" t="s">
        <v>3973</v>
      </c>
      <c r="X2378" s="2" t="s">
        <v>147</v>
      </c>
      <c r="Y2378" s="2">
        <v>39.700000000000003</v>
      </c>
      <c r="Z2378" s="2">
        <v>8.93</v>
      </c>
      <c r="AA2378" s="2" t="s">
        <v>60</v>
      </c>
      <c r="AB2378" s="2" t="s">
        <v>16036</v>
      </c>
      <c r="AC2378" s="2">
        <v>1.94854896893774</v>
      </c>
      <c r="AD2378" s="2"/>
      <c r="AE2378" s="2">
        <v>0.270769438138239</v>
      </c>
      <c r="AF2378" s="2">
        <v>3548.0037874739901</v>
      </c>
      <c r="AG2378" s="2">
        <v>8157.1709272853795</v>
      </c>
      <c r="AH2378" s="4">
        <v>0.434955184720486</v>
      </c>
      <c r="AI2378" s="4">
        <v>-1.20106133326444</v>
      </c>
      <c r="AJ2378" s="4" t="s">
        <v>62</v>
      </c>
      <c r="AK2378" s="2">
        <v>0.193989024481273</v>
      </c>
      <c r="AL2378" s="2">
        <v>0.51762374757092999</v>
      </c>
      <c r="AM2378" s="2">
        <v>1240.5786233854101</v>
      </c>
      <c r="AN2378" s="2">
        <v>1849.5813010504201</v>
      </c>
      <c r="AO2378" s="2">
        <v>7410.3162607940803</v>
      </c>
      <c r="AP2378" s="2">
        <v>3380.9971214920802</v>
      </c>
      <c r="AQ2378" s="2">
        <v>7406.5494095620797</v>
      </c>
      <c r="AR2378" s="2">
        <v>8.559877937157E-6</v>
      </c>
      <c r="AS2378" s="2">
        <v>2750.2380977082898</v>
      </c>
      <c r="AT2378" s="2">
        <v>19148.862814200402</v>
      </c>
      <c r="AU2378" s="2">
        <v>9710.11615307393</v>
      </c>
      <c r="AV2378" s="2">
        <v>2528.09831485317</v>
      </c>
      <c r="AW2378" s="2">
        <v>14215.1399666576</v>
      </c>
      <c r="AX2378" s="2">
        <v>590.57021721889203</v>
      </c>
    </row>
    <row r="2379" spans="1:50" x14ac:dyDescent="0.25">
      <c r="A2379" s="2" t="s">
        <v>16037</v>
      </c>
      <c r="B2379" s="2">
        <v>573.37661841443298</v>
      </c>
      <c r="C2379" s="2">
        <v>11.00775</v>
      </c>
      <c r="D2379" s="2" t="s">
        <v>51</v>
      </c>
      <c r="E2379" s="2" t="s">
        <v>16038</v>
      </c>
      <c r="F2379" s="2">
        <v>44417</v>
      </c>
      <c r="G2379" s="3" t="str">
        <f>HYPERLINK("https://cloud.oebiotech.com/#/lm/network/44417", "https://cloud.oebiotech.com/#/lm/network/44417")</f>
        <v>https://cloud.oebiotech.com/#/lm/network/44417</v>
      </c>
      <c r="H2379" s="2"/>
      <c r="I2379" s="2"/>
      <c r="J2379" s="2" t="s">
        <v>16039</v>
      </c>
      <c r="K2379" s="2">
        <v>11828073</v>
      </c>
      <c r="L2379" s="2"/>
      <c r="M2379" s="2"/>
      <c r="N2379" s="2"/>
      <c r="O2379" s="2"/>
      <c r="P2379" s="2"/>
      <c r="Q2379" s="2"/>
      <c r="R2379" s="2"/>
      <c r="S2379" s="2" t="s">
        <v>16040</v>
      </c>
      <c r="T2379" s="2" t="s">
        <v>16041</v>
      </c>
      <c r="U2379" s="2" t="s">
        <v>56</v>
      </c>
      <c r="V2379" s="2" t="s">
        <v>283</v>
      </c>
      <c r="W2379" s="2" t="s">
        <v>5968</v>
      </c>
      <c r="X2379" s="2" t="s">
        <v>83</v>
      </c>
      <c r="Y2379" s="2">
        <v>38.1</v>
      </c>
      <c r="Z2379" s="2">
        <v>0</v>
      </c>
      <c r="AA2379" s="2" t="s">
        <v>156</v>
      </c>
      <c r="AB2379" s="2" t="s">
        <v>16042</v>
      </c>
      <c r="AC2379" s="2">
        <v>-3.32331314932016</v>
      </c>
      <c r="AD2379" s="2"/>
      <c r="AE2379" s="2">
        <v>0.27072568923683499</v>
      </c>
      <c r="AF2379" s="2">
        <v>11474.928476536899</v>
      </c>
      <c r="AG2379" s="2">
        <v>14315.0427352771</v>
      </c>
      <c r="AH2379" s="4">
        <v>0.80159931679832297</v>
      </c>
      <c r="AI2379" s="4">
        <v>-0.319046815960143</v>
      </c>
      <c r="AJ2379" s="4" t="s">
        <v>62</v>
      </c>
      <c r="AK2379" s="2">
        <v>0.43864000314177498</v>
      </c>
      <c r="AL2379" s="2">
        <v>0.69519639579624104</v>
      </c>
      <c r="AM2379" s="2">
        <v>9381.3626142945704</v>
      </c>
      <c r="AN2379" s="2">
        <v>12911.296023569899</v>
      </c>
      <c r="AO2379" s="2">
        <v>8336.7643600594092</v>
      </c>
      <c r="AP2379" s="2">
        <v>15330.9224016392</v>
      </c>
      <c r="AQ2379" s="2">
        <v>14054.669558151199</v>
      </c>
      <c r="AR2379" s="2">
        <v>8834.5559015072395</v>
      </c>
      <c r="AS2379" s="2">
        <v>4072.6940833431399</v>
      </c>
      <c r="AT2379" s="2">
        <v>6314.6290580875402</v>
      </c>
      <c r="AU2379" s="2">
        <v>11589.1356398632</v>
      </c>
      <c r="AV2379" s="2">
        <v>21035.003158349002</v>
      </c>
      <c r="AW2379" s="2">
        <v>22872.597807771999</v>
      </c>
      <c r="AX2379" s="2">
        <v>20006.196664247698</v>
      </c>
    </row>
    <row r="2380" spans="1:50" x14ac:dyDescent="0.25">
      <c r="A2380" s="2" t="s">
        <v>16043</v>
      </c>
      <c r="B2380" s="2">
        <v>385.22363602672402</v>
      </c>
      <c r="C2380" s="2">
        <v>6.3424666666666702</v>
      </c>
      <c r="D2380" s="2" t="s">
        <v>51</v>
      </c>
      <c r="E2380" s="2" t="s">
        <v>16044</v>
      </c>
      <c r="F2380" s="2">
        <v>7914</v>
      </c>
      <c r="G2380" s="3" t="str">
        <f>HYPERLINK("https://cloud.oebiotech.com/#/lm/network/7914", "https://cloud.oebiotech.com/#/lm/network/7914")</f>
        <v>https://cloud.oebiotech.com/#/lm/network/7914</v>
      </c>
      <c r="H2380" s="2"/>
      <c r="I2380" s="2"/>
      <c r="J2380" s="2" t="s">
        <v>16045</v>
      </c>
      <c r="K2380" s="2"/>
      <c r="L2380" s="2"/>
      <c r="M2380" s="2"/>
      <c r="N2380" s="2"/>
      <c r="O2380" s="2"/>
      <c r="P2380" s="2"/>
      <c r="Q2380" s="2"/>
      <c r="R2380" s="2"/>
      <c r="S2380" s="2" t="s">
        <v>16046</v>
      </c>
      <c r="T2380" s="2" t="s">
        <v>16047</v>
      </c>
      <c r="U2380" s="2" t="s">
        <v>540</v>
      </c>
      <c r="V2380" s="2" t="s">
        <v>563</v>
      </c>
      <c r="W2380" s="2" t="s">
        <v>240</v>
      </c>
      <c r="X2380" s="2" t="s">
        <v>147</v>
      </c>
      <c r="Y2380" s="2">
        <v>42.8</v>
      </c>
      <c r="Z2380" s="2">
        <v>21.4</v>
      </c>
      <c r="AA2380" s="2" t="s">
        <v>163</v>
      </c>
      <c r="AB2380" s="2" t="s">
        <v>402</v>
      </c>
      <c r="AC2380" s="2">
        <v>1.18849101713167</v>
      </c>
      <c r="AD2380" s="2"/>
      <c r="AE2380" s="2">
        <v>0.27067423008180602</v>
      </c>
      <c r="AF2380" s="2">
        <v>23682.944893222</v>
      </c>
      <c r="AG2380" s="2">
        <v>18834.3631166995</v>
      </c>
      <c r="AH2380" s="5">
        <v>1.2574327438884101</v>
      </c>
      <c r="AI2380" s="5">
        <v>0.330481236886837</v>
      </c>
      <c r="AJ2380" s="5" t="s">
        <v>139</v>
      </c>
      <c r="AK2380" s="2">
        <v>0.40863318510942498</v>
      </c>
      <c r="AL2380" s="2">
        <v>0.67432528234638101</v>
      </c>
      <c r="AM2380" s="2">
        <v>16508.0758334315</v>
      </c>
      <c r="AN2380" s="2">
        <v>37490.803069059097</v>
      </c>
      <c r="AO2380" s="2">
        <v>18293.234189403702</v>
      </c>
      <c r="AP2380" s="2">
        <v>28807.304360387501</v>
      </c>
      <c r="AQ2380" s="2">
        <v>14119.754839618399</v>
      </c>
      <c r="AR2380" s="2">
        <v>26878.497067431901</v>
      </c>
      <c r="AS2380" s="2">
        <v>27710.300997542101</v>
      </c>
      <c r="AT2380" s="2">
        <v>13848.070555177799</v>
      </c>
      <c r="AU2380" s="2">
        <v>33997.984719002998</v>
      </c>
      <c r="AV2380" s="2">
        <v>5563.2417472575698</v>
      </c>
      <c r="AW2380" s="2">
        <v>19303.10531354</v>
      </c>
      <c r="AX2380" s="2">
        <v>12583.475367676499</v>
      </c>
    </row>
    <row r="2381" spans="1:50" x14ac:dyDescent="0.25">
      <c r="A2381" s="2" t="s">
        <v>16048</v>
      </c>
      <c r="B2381" s="2">
        <v>276.13569999999999</v>
      </c>
      <c r="C2381" s="2">
        <v>9.8510000000000009</v>
      </c>
      <c r="D2381" s="2" t="s">
        <v>125</v>
      </c>
      <c r="E2381" s="2" t="s">
        <v>16049</v>
      </c>
      <c r="F2381" s="2">
        <v>47666</v>
      </c>
      <c r="G2381" s="3" t="str">
        <f>HYPERLINK("https://cloud.oebiotech.com/#/lm/network/47666", "https://cloud.oebiotech.com/#/lm/network/47666")</f>
        <v>https://cloud.oebiotech.com/#/lm/network/47666</v>
      </c>
      <c r="H2381" s="2" t="s">
        <v>16050</v>
      </c>
      <c r="I2381" s="2">
        <v>6342</v>
      </c>
      <c r="J2381" s="2"/>
      <c r="K2381" s="2">
        <v>3520</v>
      </c>
      <c r="L2381" s="2" t="s">
        <v>16051</v>
      </c>
      <c r="M2381" s="2"/>
      <c r="N2381" s="2"/>
      <c r="O2381" s="2">
        <v>42820</v>
      </c>
      <c r="P2381" s="2" t="s">
        <v>16052</v>
      </c>
      <c r="Q2381" s="2" t="s">
        <v>16053</v>
      </c>
      <c r="R2381" s="2" t="s">
        <v>16054</v>
      </c>
      <c r="S2381" s="2" t="s">
        <v>16055</v>
      </c>
      <c r="T2381" s="2" t="s">
        <v>16056</v>
      </c>
      <c r="U2381" s="2" t="s">
        <v>119</v>
      </c>
      <c r="V2381" s="2" t="s">
        <v>120</v>
      </c>
      <c r="W2381" s="2" t="s">
        <v>3243</v>
      </c>
      <c r="X2381" s="2" t="s">
        <v>59</v>
      </c>
      <c r="Y2381" s="2">
        <v>75.099999999999994</v>
      </c>
      <c r="Z2381" s="2">
        <v>58.7</v>
      </c>
      <c r="AA2381" s="2"/>
      <c r="AB2381" s="2" t="s">
        <v>16057</v>
      </c>
      <c r="AC2381" s="2"/>
      <c r="AD2381" s="2">
        <v>332844.45103857602</v>
      </c>
      <c r="AE2381" s="2">
        <v>0.270163824765632</v>
      </c>
      <c r="AF2381" s="2">
        <v>51973.683147698903</v>
      </c>
      <c r="AG2381" s="2">
        <v>27630.044237806</v>
      </c>
      <c r="AH2381" s="5">
        <v>1.88105681990128</v>
      </c>
      <c r="AI2381" s="5">
        <v>0.91154342810178801</v>
      </c>
      <c r="AJ2381" s="5" t="s">
        <v>139</v>
      </c>
      <c r="AK2381" s="2">
        <v>0.219539986533451</v>
      </c>
      <c r="AL2381" s="2">
        <v>0.54520642864221103</v>
      </c>
      <c r="AM2381" s="2">
        <v>24205.001469504801</v>
      </c>
      <c r="AN2381" s="2">
        <v>135370.61846029299</v>
      </c>
      <c r="AO2381" s="2">
        <v>34375.936363970497</v>
      </c>
      <c r="AP2381" s="2">
        <v>60533.332970691801</v>
      </c>
      <c r="AQ2381" s="2">
        <v>36120.4133660964</v>
      </c>
      <c r="AR2381" s="2">
        <v>21236.7962556372</v>
      </c>
      <c r="AS2381" s="2">
        <v>12327.2905435797</v>
      </c>
      <c r="AT2381" s="2">
        <v>27731.8453521829</v>
      </c>
      <c r="AU2381" s="2">
        <v>15362.744276683999</v>
      </c>
      <c r="AV2381" s="2">
        <v>51293.064688988597</v>
      </c>
      <c r="AW2381" s="2">
        <v>36785.600615229101</v>
      </c>
      <c r="AX2381" s="2">
        <v>22279.719950171599</v>
      </c>
    </row>
    <row r="2382" spans="1:50" x14ac:dyDescent="0.25">
      <c r="A2382" s="2" t="s">
        <v>16058</v>
      </c>
      <c r="B2382" s="2">
        <v>431.135871814697</v>
      </c>
      <c r="C2382" s="2">
        <v>6.3538666666666703</v>
      </c>
      <c r="D2382" s="2" t="s">
        <v>51</v>
      </c>
      <c r="E2382" s="2" t="s">
        <v>16059</v>
      </c>
      <c r="F2382" s="2">
        <v>256470</v>
      </c>
      <c r="G2382" s="3" t="str">
        <f>HYPERLINK("https://cloud.oebiotech.com/#/lm/network/256470", "https://cloud.oebiotech.com/#/lm/network/256470")</f>
        <v>https://cloud.oebiotech.com/#/lm/network/256470</v>
      </c>
      <c r="H2382" s="2" t="s">
        <v>16060</v>
      </c>
      <c r="I2382" s="2"/>
      <c r="J2382" s="2"/>
      <c r="K2382" s="2">
        <v>23757169</v>
      </c>
      <c r="L2382" s="2"/>
      <c r="M2382" s="2"/>
      <c r="N2382" s="2"/>
      <c r="O2382" s="2"/>
      <c r="P2382" s="2"/>
      <c r="Q2382" s="2"/>
      <c r="R2382" s="2"/>
      <c r="S2382" s="2" t="s">
        <v>16061</v>
      </c>
      <c r="T2382" s="2" t="s">
        <v>16062</v>
      </c>
      <c r="U2382" s="2" t="s">
        <v>540</v>
      </c>
      <c r="V2382" s="2" t="s">
        <v>541</v>
      </c>
      <c r="W2382" s="2" t="s">
        <v>542</v>
      </c>
      <c r="X2382" s="2" t="s">
        <v>83</v>
      </c>
      <c r="Y2382" s="2">
        <v>36.299999999999997</v>
      </c>
      <c r="Z2382" s="2">
        <v>0</v>
      </c>
      <c r="AA2382" s="2" t="s">
        <v>156</v>
      </c>
      <c r="AB2382" s="2" t="s">
        <v>16063</v>
      </c>
      <c r="AC2382" s="2">
        <v>4.9384444455022001</v>
      </c>
      <c r="AD2382" s="2"/>
      <c r="AE2382" s="2">
        <v>0.26996168350935901</v>
      </c>
      <c r="AF2382" s="2">
        <v>11630.161350002199</v>
      </c>
      <c r="AG2382" s="2">
        <v>3263.3230876284701</v>
      </c>
      <c r="AH2382" s="5">
        <v>3.5639012864196902</v>
      </c>
      <c r="AI2382" s="5">
        <v>1.83345737738591</v>
      </c>
      <c r="AJ2382" s="5" t="s">
        <v>139</v>
      </c>
      <c r="AK2382" s="2">
        <v>0.336643367373337</v>
      </c>
      <c r="AL2382" s="2">
        <v>0.63793542039435003</v>
      </c>
      <c r="AM2382" s="2">
        <v>1709.64808292055</v>
      </c>
      <c r="AN2382" s="2">
        <v>8.559877937157E-6</v>
      </c>
      <c r="AO2382" s="2">
        <v>8.559877937157E-6</v>
      </c>
      <c r="AP2382" s="2">
        <v>11568.507892632701</v>
      </c>
      <c r="AQ2382" s="2">
        <v>48509.4745414719</v>
      </c>
      <c r="AR2382" s="2">
        <v>7993.3375658680097</v>
      </c>
      <c r="AS2382" s="2">
        <v>8.559877937157E-6</v>
      </c>
      <c r="AT2382" s="2">
        <v>8.559877937157E-6</v>
      </c>
      <c r="AU2382" s="2">
        <v>8.559877937157E-6</v>
      </c>
      <c r="AV2382" s="2">
        <v>19579.9384829714</v>
      </c>
      <c r="AW2382" s="2">
        <v>8.559877937157E-6</v>
      </c>
      <c r="AX2382" s="2">
        <v>8.559877937157E-6</v>
      </c>
    </row>
    <row r="2383" spans="1:50" x14ac:dyDescent="0.25">
      <c r="A2383" s="2" t="s">
        <v>16064</v>
      </c>
      <c r="B2383" s="2">
        <v>408.23690963493902</v>
      </c>
      <c r="C2383" s="2">
        <v>3.9009</v>
      </c>
      <c r="D2383" s="2" t="s">
        <v>51</v>
      </c>
      <c r="E2383" s="2" t="s">
        <v>16065</v>
      </c>
      <c r="F2383" s="2">
        <v>211069</v>
      </c>
      <c r="G2383" s="3" t="str">
        <f>HYPERLINK("https://cloud.oebiotech.com/#/lm/network/211069", "https://cloud.oebiotech.com/#/lm/network/211069")</f>
        <v>https://cloud.oebiotech.com/#/lm/network/211069</v>
      </c>
      <c r="H2383" s="2" t="s">
        <v>16066</v>
      </c>
      <c r="I2383" s="2"/>
      <c r="J2383" s="2"/>
      <c r="K2383" s="2">
        <v>9821778</v>
      </c>
      <c r="L2383" s="2"/>
      <c r="M2383" s="2"/>
      <c r="N2383" s="2"/>
      <c r="O2383" s="2"/>
      <c r="P2383" s="2"/>
      <c r="Q2383" s="2"/>
      <c r="R2383" s="2"/>
      <c r="S2383" s="2" t="s">
        <v>16067</v>
      </c>
      <c r="T2383" s="2" t="s">
        <v>16068</v>
      </c>
      <c r="U2383" s="2" t="s">
        <v>103</v>
      </c>
      <c r="V2383" s="2" t="s">
        <v>104</v>
      </c>
      <c r="W2383" s="2" t="s">
        <v>105</v>
      </c>
      <c r="X2383" s="2" t="s">
        <v>83</v>
      </c>
      <c r="Y2383" s="2">
        <v>38.5</v>
      </c>
      <c r="Z2383" s="2">
        <v>0</v>
      </c>
      <c r="AA2383" s="2" t="s">
        <v>512</v>
      </c>
      <c r="AB2383" s="2" t="s">
        <v>16069</v>
      </c>
      <c r="AC2383" s="2">
        <v>3.92300867608366</v>
      </c>
      <c r="AD2383" s="2"/>
      <c r="AE2383" s="2">
        <v>0.26962958758824301</v>
      </c>
      <c r="AF2383" s="2">
        <v>1656.67357488018</v>
      </c>
      <c r="AG2383" s="2">
        <v>3837.9537409949899</v>
      </c>
      <c r="AH2383" s="4">
        <v>0.43165543064901302</v>
      </c>
      <c r="AI2383" s="4">
        <v>-1.2120479557620401</v>
      </c>
      <c r="AJ2383" s="4" t="s">
        <v>62</v>
      </c>
      <c r="AK2383" s="2">
        <v>0.20440818069255301</v>
      </c>
      <c r="AL2383" s="2">
        <v>0.52937915708753103</v>
      </c>
      <c r="AM2383" s="2">
        <v>725.56841635265005</v>
      </c>
      <c r="AN2383" s="2">
        <v>8.559877937157E-6</v>
      </c>
      <c r="AO2383" s="2">
        <v>8.559877937157E-6</v>
      </c>
      <c r="AP2383" s="2">
        <v>2597.6951085765199</v>
      </c>
      <c r="AQ2383" s="2">
        <v>5071.14492148103</v>
      </c>
      <c r="AR2383" s="2">
        <v>1545.63298575113</v>
      </c>
      <c r="AS2383" s="2">
        <v>8.559877937157E-6</v>
      </c>
      <c r="AT2383" s="2">
        <v>3398.2410705872198</v>
      </c>
      <c r="AU2383" s="2">
        <v>240.012102276619</v>
      </c>
      <c r="AV2383" s="2">
        <v>7839.9239404889704</v>
      </c>
      <c r="AW2383" s="2">
        <v>7663.8123811208097</v>
      </c>
      <c r="AX2383" s="2">
        <v>3885.7329429364399</v>
      </c>
    </row>
    <row r="2384" spans="1:50" x14ac:dyDescent="0.25">
      <c r="A2384" s="2" t="s">
        <v>16070</v>
      </c>
      <c r="B2384" s="2">
        <v>311.20172357446398</v>
      </c>
      <c r="C2384" s="2">
        <v>11.3173666666667</v>
      </c>
      <c r="D2384" s="2" t="s">
        <v>51</v>
      </c>
      <c r="E2384" s="2" t="s">
        <v>16071</v>
      </c>
      <c r="F2384" s="2">
        <v>35275</v>
      </c>
      <c r="G2384" s="3" t="str">
        <f>HYPERLINK("https://cloud.oebiotech.com/#/lm/network/35275", "https://cloud.oebiotech.com/#/lm/network/35275")</f>
        <v>https://cloud.oebiotech.com/#/lm/network/35275</v>
      </c>
      <c r="H2384" s="2"/>
      <c r="I2384" s="2">
        <v>53286</v>
      </c>
      <c r="J2384" s="2" t="s">
        <v>16072</v>
      </c>
      <c r="K2384" s="2">
        <v>12304687</v>
      </c>
      <c r="L2384" s="2" t="s">
        <v>16073</v>
      </c>
      <c r="M2384" s="2"/>
      <c r="N2384" s="2"/>
      <c r="O2384" s="2">
        <v>39113</v>
      </c>
      <c r="P2384" s="2"/>
      <c r="Q2384" s="2"/>
      <c r="R2384" s="2"/>
      <c r="S2384" s="2" t="s">
        <v>16074</v>
      </c>
      <c r="T2384" s="2" t="s">
        <v>16075</v>
      </c>
      <c r="U2384" s="2" t="s">
        <v>56</v>
      </c>
      <c r="V2384" s="2" t="s">
        <v>145</v>
      </c>
      <c r="W2384" s="2" t="s">
        <v>1188</v>
      </c>
      <c r="X2384" s="2" t="s">
        <v>147</v>
      </c>
      <c r="Y2384" s="2">
        <v>39.200000000000003</v>
      </c>
      <c r="Z2384" s="2">
        <v>3.08</v>
      </c>
      <c r="AA2384" s="2" t="s">
        <v>379</v>
      </c>
      <c r="AB2384" s="2" t="s">
        <v>16076</v>
      </c>
      <c r="AC2384" s="2">
        <v>0.21159769437609699</v>
      </c>
      <c r="AD2384" s="2"/>
      <c r="AE2384" s="2">
        <v>0.26950117950575297</v>
      </c>
      <c r="AF2384" s="2">
        <v>2242.7485951685098</v>
      </c>
      <c r="AG2384" s="2">
        <v>3633.3390432994602</v>
      </c>
      <c r="AH2384" s="4">
        <v>0.61726928548123094</v>
      </c>
      <c r="AI2384" s="4">
        <v>-0.69602808837392305</v>
      </c>
      <c r="AJ2384" s="4" t="s">
        <v>62</v>
      </c>
      <c r="AK2384" s="2">
        <v>1.9972127786638501E-5</v>
      </c>
      <c r="AL2384" s="2">
        <v>1.5488881376670999E-2</v>
      </c>
      <c r="AM2384" s="2">
        <v>2566.4760936617699</v>
      </c>
      <c r="AN2384" s="2">
        <v>1700.2596856566199</v>
      </c>
      <c r="AO2384" s="2">
        <v>2385.2579478759098</v>
      </c>
      <c r="AP2384" s="2">
        <v>2031.3443732411599</v>
      </c>
      <c r="AQ2384" s="2">
        <v>2209.7604194170999</v>
      </c>
      <c r="AR2384" s="2">
        <v>2563.3930511585299</v>
      </c>
      <c r="AS2384" s="2">
        <v>4066.9000942417101</v>
      </c>
      <c r="AT2384" s="2">
        <v>3501.08115785669</v>
      </c>
      <c r="AU2384" s="2">
        <v>3299.2567132772101</v>
      </c>
      <c r="AV2384" s="2">
        <v>3907.9403019830002</v>
      </c>
      <c r="AW2384" s="2">
        <v>3382.2242812371601</v>
      </c>
      <c r="AX2384" s="2">
        <v>3642.6317112009801</v>
      </c>
    </row>
    <row r="2385" spans="1:50" x14ac:dyDescent="0.25">
      <c r="A2385" s="2" t="s">
        <v>16077</v>
      </c>
      <c r="B2385" s="2">
        <v>311.12717248624699</v>
      </c>
      <c r="C2385" s="2">
        <v>10.1716</v>
      </c>
      <c r="D2385" s="2" t="s">
        <v>51</v>
      </c>
      <c r="E2385" s="2" t="s">
        <v>16078</v>
      </c>
      <c r="F2385" s="2">
        <v>33905</v>
      </c>
      <c r="G2385" s="3" t="str">
        <f>HYPERLINK("https://cloud.oebiotech.com/#/lm/network/33905", "https://cloud.oebiotech.com/#/lm/network/33905")</f>
        <v>https://cloud.oebiotech.com/#/lm/network/33905</v>
      </c>
      <c r="H2385" s="2"/>
      <c r="I2385" s="2"/>
      <c r="J2385" s="2" t="s">
        <v>16079</v>
      </c>
      <c r="K2385" s="2">
        <v>21638390</v>
      </c>
      <c r="L2385" s="2"/>
      <c r="M2385" s="2"/>
      <c r="N2385" s="2"/>
      <c r="O2385" s="2"/>
      <c r="P2385" s="2"/>
      <c r="Q2385" s="2"/>
      <c r="R2385" s="2"/>
      <c r="S2385" s="2" t="s">
        <v>16080</v>
      </c>
      <c r="T2385" s="2" t="s">
        <v>16081</v>
      </c>
      <c r="U2385" s="2" t="s">
        <v>540</v>
      </c>
      <c r="V2385" s="2" t="s">
        <v>3291</v>
      </c>
      <c r="W2385" s="2" t="s">
        <v>3292</v>
      </c>
      <c r="X2385" s="2" t="s">
        <v>83</v>
      </c>
      <c r="Y2385" s="2">
        <v>42.9</v>
      </c>
      <c r="Z2385" s="2">
        <v>0</v>
      </c>
      <c r="AA2385" s="2" t="s">
        <v>156</v>
      </c>
      <c r="AB2385" s="2" t="s">
        <v>16082</v>
      </c>
      <c r="AC2385" s="2">
        <v>-1.8681648964700801</v>
      </c>
      <c r="AD2385" s="2"/>
      <c r="AE2385" s="2">
        <v>0.26945284132779501</v>
      </c>
      <c r="AF2385" s="2">
        <v>823.80992600057402</v>
      </c>
      <c r="AG2385" s="2">
        <v>6914.2227845173602</v>
      </c>
      <c r="AH2385" s="4">
        <v>0.119147148085145</v>
      </c>
      <c r="AI2385" s="4">
        <v>-3.0691836753999699</v>
      </c>
      <c r="AJ2385" s="4" t="s">
        <v>62</v>
      </c>
      <c r="AK2385" s="2">
        <v>0.27826455816656798</v>
      </c>
      <c r="AL2385" s="2">
        <v>0.59813782832545803</v>
      </c>
      <c r="AM2385" s="2">
        <v>1623.1014967579099</v>
      </c>
      <c r="AN2385" s="2">
        <v>610.21420003006801</v>
      </c>
      <c r="AO2385" s="2">
        <v>845.86014939593895</v>
      </c>
      <c r="AP2385" s="2">
        <v>763.55675006905597</v>
      </c>
      <c r="AQ2385" s="2">
        <v>536.96136294925998</v>
      </c>
      <c r="AR2385" s="2">
        <v>563.165596801211</v>
      </c>
      <c r="AS2385" s="2">
        <v>664.328843947731</v>
      </c>
      <c r="AT2385" s="2">
        <v>1190.6932799430799</v>
      </c>
      <c r="AU2385" s="2">
        <v>33370.336876114197</v>
      </c>
      <c r="AV2385" s="2">
        <v>3712.0302752452799</v>
      </c>
      <c r="AW2385" s="2">
        <v>1434.71203908896</v>
      </c>
      <c r="AX2385" s="2">
        <v>1113.2353927649399</v>
      </c>
    </row>
    <row r="2386" spans="1:50" x14ac:dyDescent="0.25">
      <c r="A2386" s="2" t="s">
        <v>16083</v>
      </c>
      <c r="B2386" s="2">
        <v>305.100667791246</v>
      </c>
      <c r="C2386" s="2">
        <v>5.1480166666666696</v>
      </c>
      <c r="D2386" s="2" t="s">
        <v>51</v>
      </c>
      <c r="E2386" s="2" t="s">
        <v>16084</v>
      </c>
      <c r="F2386" s="2">
        <v>200701</v>
      </c>
      <c r="G2386" s="3" t="str">
        <f>HYPERLINK("https://cloud.oebiotech.com/#/lm/network/200701", "https://cloud.oebiotech.com/#/lm/network/200701")</f>
        <v>https://cloud.oebiotech.com/#/lm/network/200701</v>
      </c>
      <c r="H2386" s="2" t="s">
        <v>16085</v>
      </c>
      <c r="I2386" s="2"/>
      <c r="J2386" s="2"/>
      <c r="K2386" s="2">
        <v>3314739</v>
      </c>
      <c r="L2386" s="2"/>
      <c r="M2386" s="2"/>
      <c r="N2386" s="2"/>
      <c r="O2386" s="2"/>
      <c r="P2386" s="2"/>
      <c r="Q2386" s="2"/>
      <c r="R2386" s="2"/>
      <c r="S2386" s="2" t="s">
        <v>16086</v>
      </c>
      <c r="T2386" s="2" t="s">
        <v>16087</v>
      </c>
      <c r="U2386" s="2" t="s">
        <v>610</v>
      </c>
      <c r="V2386" s="2" t="s">
        <v>611</v>
      </c>
      <c r="W2386" s="2" t="s">
        <v>8369</v>
      </c>
      <c r="X2386" s="2" t="s">
        <v>147</v>
      </c>
      <c r="Y2386" s="2">
        <v>39.1</v>
      </c>
      <c r="Z2386" s="2">
        <v>0</v>
      </c>
      <c r="AA2386" s="2" t="s">
        <v>478</v>
      </c>
      <c r="AB2386" s="2" t="s">
        <v>14796</v>
      </c>
      <c r="AC2386" s="2">
        <v>0.95151892989470799</v>
      </c>
      <c r="AD2386" s="2"/>
      <c r="AE2386" s="2">
        <v>0.26940289473415602</v>
      </c>
      <c r="AF2386" s="2">
        <v>4662.9347680363999</v>
      </c>
      <c r="AG2386" s="2">
        <v>2469.8404822959801</v>
      </c>
      <c r="AH2386" s="5">
        <v>1.8879497690076299</v>
      </c>
      <c r="AI2386" s="5">
        <v>0.91682038071266403</v>
      </c>
      <c r="AJ2386" s="5" t="s">
        <v>139</v>
      </c>
      <c r="AK2386" s="2">
        <v>4.8886800275998003E-2</v>
      </c>
      <c r="AL2386" s="2">
        <v>0.30691247078395001</v>
      </c>
      <c r="AM2386" s="2">
        <v>4608.20735546574</v>
      </c>
      <c r="AN2386" s="2">
        <v>5657.5603565982301</v>
      </c>
      <c r="AO2386" s="2">
        <v>4750.3476309131502</v>
      </c>
      <c r="AP2386" s="2">
        <v>6533.0115320524701</v>
      </c>
      <c r="AQ2386" s="2">
        <v>2291.10280432633</v>
      </c>
      <c r="AR2386" s="2">
        <v>4137.3789288624503</v>
      </c>
      <c r="AS2386" s="2">
        <v>5683.9569846595195</v>
      </c>
      <c r="AT2386" s="2">
        <v>3824.2341848236101</v>
      </c>
      <c r="AU2386" s="2">
        <v>1941.1850982149199</v>
      </c>
      <c r="AV2386" s="2">
        <v>884.37057202920198</v>
      </c>
      <c r="AW2386" s="2">
        <v>823.44986254692606</v>
      </c>
      <c r="AX2386" s="2">
        <v>1661.8461915017101</v>
      </c>
    </row>
    <row r="2387" spans="1:50" x14ac:dyDescent="0.25">
      <c r="A2387" s="2" t="s">
        <v>16088</v>
      </c>
      <c r="B2387" s="2">
        <v>119.03383382212</v>
      </c>
      <c r="C2387" s="2">
        <v>0.74113333333333298</v>
      </c>
      <c r="D2387" s="2" t="s">
        <v>51</v>
      </c>
      <c r="E2387" s="2" t="s">
        <v>16089</v>
      </c>
      <c r="F2387" s="2">
        <v>47971</v>
      </c>
      <c r="G2387" s="3" t="str">
        <f>HYPERLINK("https://cloud.oebiotech.com/#/lm/network/47971", "https://cloud.oebiotech.com/#/lm/network/47971")</f>
        <v>https://cloud.oebiotech.com/#/lm/network/47971</v>
      </c>
      <c r="H2387" s="2" t="s">
        <v>16090</v>
      </c>
      <c r="I2387" s="2">
        <v>289</v>
      </c>
      <c r="J2387" s="2"/>
      <c r="K2387" s="2">
        <v>439574</v>
      </c>
      <c r="L2387" s="2" t="s">
        <v>16091</v>
      </c>
      <c r="M2387" s="2"/>
      <c r="N2387" s="2"/>
      <c r="O2387" s="2">
        <v>23956</v>
      </c>
      <c r="P2387" s="2"/>
      <c r="Q2387" s="2"/>
      <c r="R2387" s="2" t="s">
        <v>16092</v>
      </c>
      <c r="S2387" s="2" t="s">
        <v>16093</v>
      </c>
      <c r="T2387" s="2" t="s">
        <v>16094</v>
      </c>
      <c r="U2387" s="2" t="s">
        <v>331</v>
      </c>
      <c r="V2387" s="2" t="s">
        <v>332</v>
      </c>
      <c r="W2387" s="2" t="s">
        <v>333</v>
      </c>
      <c r="X2387" s="2" t="s">
        <v>83</v>
      </c>
      <c r="Y2387" s="2">
        <v>46.3</v>
      </c>
      <c r="Z2387" s="2">
        <v>25.3</v>
      </c>
      <c r="AA2387" s="2" t="s">
        <v>163</v>
      </c>
      <c r="AB2387" s="2" t="s">
        <v>16095</v>
      </c>
      <c r="AC2387" s="2">
        <v>-9.5673031528629604</v>
      </c>
      <c r="AD2387" s="2"/>
      <c r="AE2387" s="2">
        <v>0.26915560780497</v>
      </c>
      <c r="AF2387" s="2">
        <v>36823.130752238503</v>
      </c>
      <c r="AG2387" s="2">
        <v>30233.452762878798</v>
      </c>
      <c r="AH2387" s="5">
        <v>1.2179598222221799</v>
      </c>
      <c r="AI2387" s="5">
        <v>0.28446654273779098</v>
      </c>
      <c r="AJ2387" s="5" t="s">
        <v>139</v>
      </c>
      <c r="AK2387" s="2">
        <v>0.326889115783282</v>
      </c>
      <c r="AL2387" s="2">
        <v>0.62992073899545697</v>
      </c>
      <c r="AM2387" s="2">
        <v>30129.930485043798</v>
      </c>
      <c r="AN2387" s="2">
        <v>32928.309801654599</v>
      </c>
      <c r="AO2387" s="2">
        <v>44741.698867543397</v>
      </c>
      <c r="AP2387" s="2">
        <v>54554.284150472202</v>
      </c>
      <c r="AQ2387" s="2">
        <v>30071.375385642201</v>
      </c>
      <c r="AR2387" s="2">
        <v>28513.185823075099</v>
      </c>
      <c r="AS2387" s="2">
        <v>41331.625518725399</v>
      </c>
      <c r="AT2387" s="2">
        <v>35615.716846806703</v>
      </c>
      <c r="AU2387" s="2">
        <v>21746.710059976402</v>
      </c>
      <c r="AV2387" s="2">
        <v>16808.4138485111</v>
      </c>
      <c r="AW2387" s="2">
        <v>44240.889939971297</v>
      </c>
      <c r="AX2387" s="2">
        <v>21657.360363282001</v>
      </c>
    </row>
    <row r="2388" spans="1:50" x14ac:dyDescent="0.25">
      <c r="A2388" s="2" t="s">
        <v>16096</v>
      </c>
      <c r="B2388" s="2">
        <v>329.24831953972199</v>
      </c>
      <c r="C2388" s="2">
        <v>12.332233333333299</v>
      </c>
      <c r="D2388" s="2" t="s">
        <v>51</v>
      </c>
      <c r="E2388" s="2" t="s">
        <v>16097</v>
      </c>
      <c r="F2388" s="2">
        <v>685</v>
      </c>
      <c r="G2388" s="3" t="str">
        <f>HYPERLINK("https://cloud.oebiotech.com/#/lm/network/685", "https://cloud.oebiotech.com/#/lm/network/685")</f>
        <v>https://cloud.oebiotech.com/#/lm/network/685</v>
      </c>
      <c r="H2388" s="2" t="s">
        <v>16098</v>
      </c>
      <c r="I2388" s="2">
        <v>3457</v>
      </c>
      <c r="J2388" s="2" t="s">
        <v>16099</v>
      </c>
      <c r="K2388" s="2">
        <v>445580</v>
      </c>
      <c r="L2388" s="2" t="s">
        <v>16100</v>
      </c>
      <c r="M2388" s="2" t="s">
        <v>3305</v>
      </c>
      <c r="N2388" s="2" t="s">
        <v>3306</v>
      </c>
      <c r="O2388" s="2">
        <v>28125</v>
      </c>
      <c r="P2388" s="2"/>
      <c r="Q2388" s="2"/>
      <c r="R2388" s="2" t="s">
        <v>16101</v>
      </c>
      <c r="S2388" s="2" t="s">
        <v>16102</v>
      </c>
      <c r="T2388" s="2" t="s">
        <v>16103</v>
      </c>
      <c r="U2388" s="2" t="s">
        <v>56</v>
      </c>
      <c r="V2388" s="2" t="s">
        <v>145</v>
      </c>
      <c r="W2388" s="2" t="s">
        <v>231</v>
      </c>
      <c r="X2388" s="2" t="s">
        <v>69</v>
      </c>
      <c r="Y2388" s="2">
        <v>55.9</v>
      </c>
      <c r="Z2388" s="2">
        <v>61.5</v>
      </c>
      <c r="AA2388" s="2" t="s">
        <v>259</v>
      </c>
      <c r="AB2388" s="2" t="s">
        <v>1968</v>
      </c>
      <c r="AC2388" s="2">
        <v>2.47636422130623</v>
      </c>
      <c r="AD2388" s="2"/>
      <c r="AE2388" s="2">
        <v>0.26914373551985199</v>
      </c>
      <c r="AF2388" s="2">
        <v>32870.932340728199</v>
      </c>
      <c r="AG2388" s="2">
        <v>41189.030781667301</v>
      </c>
      <c r="AH2388" s="4">
        <v>0.79805063913663798</v>
      </c>
      <c r="AI2388" s="4">
        <v>-0.32544780143047303</v>
      </c>
      <c r="AJ2388" s="4" t="s">
        <v>62</v>
      </c>
      <c r="AK2388" s="2">
        <v>0.455553983910367</v>
      </c>
      <c r="AL2388" s="2">
        <v>0.70746115680770305</v>
      </c>
      <c r="AM2388" s="2">
        <v>68928.747437498299</v>
      </c>
      <c r="AN2388" s="2">
        <v>23089.725794001799</v>
      </c>
      <c r="AO2388" s="2">
        <v>26277.7194499377</v>
      </c>
      <c r="AP2388" s="2">
        <v>27698.604296705002</v>
      </c>
      <c r="AQ2388" s="2">
        <v>26983.953244161199</v>
      </c>
      <c r="AR2388" s="2">
        <v>24246.843822065501</v>
      </c>
      <c r="AS2388" s="2">
        <v>16173.682181069</v>
      </c>
      <c r="AT2388" s="2">
        <v>25589.242083389901</v>
      </c>
      <c r="AU2388" s="2">
        <v>33616.294318869601</v>
      </c>
      <c r="AV2388" s="2">
        <v>47903.496012768701</v>
      </c>
      <c r="AW2388" s="2">
        <v>66279.8431681113</v>
      </c>
      <c r="AX2388" s="2">
        <v>57571.626925795397</v>
      </c>
    </row>
    <row r="2389" spans="1:50" x14ac:dyDescent="0.25">
      <c r="A2389" s="2" t="s">
        <v>16104</v>
      </c>
      <c r="B2389" s="2">
        <v>405.02486882349302</v>
      </c>
      <c r="C2389" s="2">
        <v>0.68110000000000004</v>
      </c>
      <c r="D2389" s="2" t="s">
        <v>51</v>
      </c>
      <c r="E2389" s="2" t="s">
        <v>16105</v>
      </c>
      <c r="F2389" s="2">
        <v>54192</v>
      </c>
      <c r="G2389" s="3" t="str">
        <f>HYPERLINK("https://cloud.oebiotech.com/#/lm/network/54192", "https://cloud.oebiotech.com/#/lm/network/54192")</f>
        <v>https://cloud.oebiotech.com/#/lm/network/54192</v>
      </c>
      <c r="H2389" s="2" t="s">
        <v>16106</v>
      </c>
      <c r="I2389" s="2">
        <v>86085</v>
      </c>
      <c r="J2389" s="2"/>
      <c r="K2389" s="2">
        <v>131750808</v>
      </c>
      <c r="L2389" s="2"/>
      <c r="M2389" s="2"/>
      <c r="N2389" s="2"/>
      <c r="O2389" s="2">
        <v>172612</v>
      </c>
      <c r="P2389" s="2"/>
      <c r="Q2389" s="2"/>
      <c r="R2389" s="2"/>
      <c r="S2389" s="2" t="s">
        <v>16107</v>
      </c>
      <c r="T2389" s="2" t="s">
        <v>16108</v>
      </c>
      <c r="U2389" s="2" t="s">
        <v>540</v>
      </c>
      <c r="V2389" s="2" t="s">
        <v>541</v>
      </c>
      <c r="W2389" s="2" t="s">
        <v>6898</v>
      </c>
      <c r="X2389" s="2" t="s">
        <v>147</v>
      </c>
      <c r="Y2389" s="2">
        <v>36.1</v>
      </c>
      <c r="Z2389" s="2">
        <v>0</v>
      </c>
      <c r="AA2389" s="2" t="s">
        <v>1888</v>
      </c>
      <c r="AB2389" s="2" t="s">
        <v>16109</v>
      </c>
      <c r="AC2389" s="2">
        <v>-0.536288742392933</v>
      </c>
      <c r="AD2389" s="2"/>
      <c r="AE2389" s="2">
        <v>0.26894723736637799</v>
      </c>
      <c r="AF2389" s="2">
        <v>40734.010930692297</v>
      </c>
      <c r="AG2389" s="2">
        <v>48082.758261974697</v>
      </c>
      <c r="AH2389" s="4">
        <v>0.84716460542377003</v>
      </c>
      <c r="AI2389" s="4">
        <v>-0.23928578016323401</v>
      </c>
      <c r="AJ2389" s="4" t="s">
        <v>62</v>
      </c>
      <c r="AK2389" s="2">
        <v>0.60486599445748901</v>
      </c>
      <c r="AL2389" s="2">
        <v>0.80366240140314105</v>
      </c>
      <c r="AM2389" s="2">
        <v>15029.310381765399</v>
      </c>
      <c r="AN2389" s="2">
        <v>92382.587809047996</v>
      </c>
      <c r="AO2389" s="2">
        <v>46239.171901679299</v>
      </c>
      <c r="AP2389" s="2">
        <v>50922.711880477698</v>
      </c>
      <c r="AQ2389" s="2">
        <v>13844.0736739778</v>
      </c>
      <c r="AR2389" s="2">
        <v>25986.209937205898</v>
      </c>
      <c r="AS2389" s="2">
        <v>29428.120504105402</v>
      </c>
      <c r="AT2389" s="2">
        <v>47785.232768913098</v>
      </c>
      <c r="AU2389" s="2">
        <v>43857.217856589901</v>
      </c>
      <c r="AV2389" s="2">
        <v>34637.936188186199</v>
      </c>
      <c r="AW2389" s="2">
        <v>71718.318384085607</v>
      </c>
      <c r="AX2389" s="2">
        <v>61069.723869968198</v>
      </c>
    </row>
    <row r="2390" spans="1:50" x14ac:dyDescent="0.25">
      <c r="A2390" s="2" t="s">
        <v>16110</v>
      </c>
      <c r="B2390" s="2">
        <v>415.11928845365702</v>
      </c>
      <c r="C2390" s="2">
        <v>3.1142666666666701</v>
      </c>
      <c r="D2390" s="2" t="s">
        <v>51</v>
      </c>
      <c r="E2390" s="2" t="s">
        <v>16111</v>
      </c>
      <c r="F2390" s="2">
        <v>203010</v>
      </c>
      <c r="G2390" s="3" t="str">
        <f>HYPERLINK("https://cloud.oebiotech.com/#/lm/network/203010", "https://cloud.oebiotech.com/#/lm/network/203010")</f>
        <v>https://cloud.oebiotech.com/#/lm/network/203010</v>
      </c>
      <c r="H2390" s="2" t="s">
        <v>16112</v>
      </c>
      <c r="I2390" s="2"/>
      <c r="J2390" s="2"/>
      <c r="K2390" s="2">
        <v>10455588</v>
      </c>
      <c r="L2390" s="2"/>
      <c r="M2390" s="2"/>
      <c r="N2390" s="2"/>
      <c r="O2390" s="2"/>
      <c r="P2390" s="2"/>
      <c r="Q2390" s="2"/>
      <c r="R2390" s="2"/>
      <c r="S2390" s="2" t="s">
        <v>16113</v>
      </c>
      <c r="T2390" s="2" t="s">
        <v>16114</v>
      </c>
      <c r="U2390" s="2" t="s">
        <v>103</v>
      </c>
      <c r="V2390" s="2" t="s">
        <v>104</v>
      </c>
      <c r="W2390" s="2" t="s">
        <v>105</v>
      </c>
      <c r="X2390" s="2" t="s">
        <v>147</v>
      </c>
      <c r="Y2390" s="2">
        <v>41.3</v>
      </c>
      <c r="Z2390" s="2">
        <v>25.2</v>
      </c>
      <c r="AA2390" s="2" t="s">
        <v>379</v>
      </c>
      <c r="AB2390" s="2" t="s">
        <v>16115</v>
      </c>
      <c r="AC2390" s="2">
        <v>-0.25166807433475502</v>
      </c>
      <c r="AD2390" s="2"/>
      <c r="AE2390" s="2">
        <v>0.26862677859831602</v>
      </c>
      <c r="AF2390" s="2">
        <v>8.559877937157E-6</v>
      </c>
      <c r="AG2390" s="2">
        <v>2338.6222942743002</v>
      </c>
      <c r="AH2390" s="4">
        <v>3.6602224985686499E-9</v>
      </c>
      <c r="AI2390" s="4">
        <v>-28.025421503885401</v>
      </c>
      <c r="AJ2390" s="4" t="s">
        <v>62</v>
      </c>
      <c r="AK2390" s="2">
        <v>5.8000848555127098E-2</v>
      </c>
      <c r="AL2390" s="2">
        <v>0.32764133003976198</v>
      </c>
      <c r="AM2390" s="2">
        <v>8.559877937157E-6</v>
      </c>
      <c r="AN2390" s="2">
        <v>8.559877937157E-6</v>
      </c>
      <c r="AO2390" s="2">
        <v>8.559877937157E-6</v>
      </c>
      <c r="AP2390" s="2">
        <v>8.559877937157E-6</v>
      </c>
      <c r="AQ2390" s="2">
        <v>8.559877937157E-6</v>
      </c>
      <c r="AR2390" s="2">
        <v>8.559877937157E-6</v>
      </c>
      <c r="AS2390" s="2">
        <v>3357.1774959252498</v>
      </c>
      <c r="AT2390" s="2">
        <v>4897.4972813060403</v>
      </c>
      <c r="AU2390" s="2">
        <v>8.559877937157E-6</v>
      </c>
      <c r="AV2390" s="2">
        <v>5777.05896273485</v>
      </c>
      <c r="AW2390" s="2">
        <v>8.559877937157E-6</v>
      </c>
      <c r="AX2390" s="2">
        <v>8.559877937157E-6</v>
      </c>
    </row>
    <row r="2391" spans="1:50" x14ac:dyDescent="0.25">
      <c r="A2391" s="2" t="s">
        <v>16116</v>
      </c>
      <c r="B2391" s="2">
        <v>201.16434017420801</v>
      </c>
      <c r="C2391" s="2">
        <v>7.5096166666666697</v>
      </c>
      <c r="D2391" s="2" t="s">
        <v>51</v>
      </c>
      <c r="E2391" s="2" t="s">
        <v>16117</v>
      </c>
      <c r="F2391" s="2">
        <v>267015</v>
      </c>
      <c r="G2391" s="3" t="str">
        <f>HYPERLINK("https://cloud.oebiotech.com/#/lm/network/267015", "https://cloud.oebiotech.com/#/lm/network/267015")</f>
        <v>https://cloud.oebiotech.com/#/lm/network/267015</v>
      </c>
      <c r="H2391" s="2"/>
      <c r="I2391" s="2">
        <v>44502</v>
      </c>
      <c r="J2391" s="2"/>
      <c r="K2391" s="2">
        <v>3989419</v>
      </c>
      <c r="L2391" s="2"/>
      <c r="M2391" s="2"/>
      <c r="N2391" s="2"/>
      <c r="O2391" s="2"/>
      <c r="P2391" s="2"/>
      <c r="Q2391" s="2"/>
      <c r="R2391" s="2"/>
      <c r="S2391" s="2" t="s">
        <v>16118</v>
      </c>
      <c r="T2391" s="2" t="s">
        <v>16119</v>
      </c>
      <c r="U2391" s="2" t="s">
        <v>56</v>
      </c>
      <c r="V2391" s="2" t="s">
        <v>177</v>
      </c>
      <c r="W2391" s="2" t="s">
        <v>1996</v>
      </c>
      <c r="X2391" s="2" t="s">
        <v>147</v>
      </c>
      <c r="Y2391" s="2">
        <v>38.6</v>
      </c>
      <c r="Z2391" s="2">
        <v>0</v>
      </c>
      <c r="AA2391" s="2" t="s">
        <v>156</v>
      </c>
      <c r="AB2391" s="2" t="s">
        <v>16120</v>
      </c>
      <c r="AC2391" s="2">
        <v>2.5810454340059601</v>
      </c>
      <c r="AD2391" s="2"/>
      <c r="AE2391" s="2">
        <v>0.26859999369459397</v>
      </c>
      <c r="AF2391" s="2">
        <v>3588.9697225100399</v>
      </c>
      <c r="AG2391" s="2">
        <v>2068.83658957938</v>
      </c>
      <c r="AH2391" s="5">
        <v>1.73477680189315</v>
      </c>
      <c r="AI2391" s="5">
        <v>0.79475005616615302</v>
      </c>
      <c r="AJ2391" s="5" t="s">
        <v>139</v>
      </c>
      <c r="AK2391" s="2">
        <v>1.54290322573684E-2</v>
      </c>
      <c r="AL2391" s="2">
        <v>0.196993902176336</v>
      </c>
      <c r="AM2391" s="2">
        <v>4382.0401819259896</v>
      </c>
      <c r="AN2391" s="2">
        <v>4612.0464985917597</v>
      </c>
      <c r="AO2391" s="2">
        <v>3051.0967693369598</v>
      </c>
      <c r="AP2391" s="2">
        <v>3414.9219569366501</v>
      </c>
      <c r="AQ2391" s="2">
        <v>2610.9108331595498</v>
      </c>
      <c r="AR2391" s="2">
        <v>3462.8020951093599</v>
      </c>
      <c r="AS2391" s="2">
        <v>3214.56946016538</v>
      </c>
      <c r="AT2391" s="2">
        <v>2325.34588650876</v>
      </c>
      <c r="AU2391" s="2">
        <v>3001.8095520867701</v>
      </c>
      <c r="AV2391" s="2">
        <v>720.449409487087</v>
      </c>
      <c r="AW2391" s="2">
        <v>1011.48814514462</v>
      </c>
      <c r="AX2391" s="2">
        <v>2139.3570840836601</v>
      </c>
    </row>
    <row r="2392" spans="1:50" x14ac:dyDescent="0.25">
      <c r="A2392" s="2" t="s">
        <v>16121</v>
      </c>
      <c r="B2392" s="2">
        <v>469.26392259790998</v>
      </c>
      <c r="C2392" s="2">
        <v>7.4851333333333301</v>
      </c>
      <c r="D2392" s="2" t="s">
        <v>51</v>
      </c>
      <c r="E2392" s="2" t="s">
        <v>16122</v>
      </c>
      <c r="F2392" s="2">
        <v>204102</v>
      </c>
      <c r="G2392" s="3" t="str">
        <f>HYPERLINK("https://cloud.oebiotech.com/#/lm/network/204102", "https://cloud.oebiotech.com/#/lm/network/204102")</f>
        <v>https://cloud.oebiotech.com/#/lm/network/204102</v>
      </c>
      <c r="H2392" s="2" t="s">
        <v>16123</v>
      </c>
      <c r="I2392" s="2"/>
      <c r="J2392" s="2"/>
      <c r="K2392" s="2"/>
      <c r="L2392" s="2"/>
      <c r="M2392" s="2"/>
      <c r="N2392" s="2"/>
      <c r="O2392" s="2">
        <v>35611</v>
      </c>
      <c r="P2392" s="2"/>
      <c r="Q2392" s="2"/>
      <c r="R2392" s="2"/>
      <c r="S2392" s="2" t="s">
        <v>16124</v>
      </c>
      <c r="T2392" s="2" t="s">
        <v>16125</v>
      </c>
      <c r="U2392" s="2" t="s">
        <v>238</v>
      </c>
      <c r="V2392" s="2" t="s">
        <v>9461</v>
      </c>
      <c r="W2392" s="2" t="s">
        <v>240</v>
      </c>
      <c r="X2392" s="2" t="s">
        <v>147</v>
      </c>
      <c r="Y2392" s="2">
        <v>38.200000000000003</v>
      </c>
      <c r="Z2392" s="2">
        <v>0</v>
      </c>
      <c r="AA2392" s="2" t="s">
        <v>478</v>
      </c>
      <c r="AB2392" s="2" t="s">
        <v>16126</v>
      </c>
      <c r="AC2392" s="2">
        <v>-2.1265770577306098</v>
      </c>
      <c r="AD2392" s="2"/>
      <c r="AE2392" s="2">
        <v>0.26854599402901902</v>
      </c>
      <c r="AF2392" s="2">
        <v>2448.1634833027802</v>
      </c>
      <c r="AG2392" s="2">
        <v>3893.23948676596</v>
      </c>
      <c r="AH2392" s="4">
        <v>0.62882427131047702</v>
      </c>
      <c r="AI2392" s="4">
        <v>-0.66927119118480305</v>
      </c>
      <c r="AJ2392" s="4" t="s">
        <v>62</v>
      </c>
      <c r="AK2392" s="2">
        <v>5.4103933248886796E-3</v>
      </c>
      <c r="AL2392" s="2">
        <v>0.12639565523577301</v>
      </c>
      <c r="AM2392" s="2">
        <v>2040.5073759562799</v>
      </c>
      <c r="AN2392" s="2">
        <v>2119.3681995766201</v>
      </c>
      <c r="AO2392" s="2">
        <v>1514.4526376921201</v>
      </c>
      <c r="AP2392" s="2">
        <v>3633.76296414528</v>
      </c>
      <c r="AQ2392" s="2">
        <v>2535.6770188041401</v>
      </c>
      <c r="AR2392" s="2">
        <v>2845.2127036422498</v>
      </c>
      <c r="AS2392" s="2">
        <v>3525.8194080621902</v>
      </c>
      <c r="AT2392" s="2">
        <v>4228.0996230035898</v>
      </c>
      <c r="AU2392" s="2">
        <v>3168.4516227685099</v>
      </c>
      <c r="AV2392" s="2">
        <v>4376.9109431015004</v>
      </c>
      <c r="AW2392" s="2">
        <v>3237.8715063993</v>
      </c>
      <c r="AX2392" s="2">
        <v>4822.2838172606798</v>
      </c>
    </row>
    <row r="2393" spans="1:50" x14ac:dyDescent="0.25">
      <c r="A2393" s="2" t="s">
        <v>16127</v>
      </c>
      <c r="B2393" s="2">
        <v>269.17586717548602</v>
      </c>
      <c r="C2393" s="2">
        <v>7.4702833333333301</v>
      </c>
      <c r="D2393" s="2" t="s">
        <v>51</v>
      </c>
      <c r="E2393" s="2" t="s">
        <v>16128</v>
      </c>
      <c r="F2393" s="2">
        <v>56350</v>
      </c>
      <c r="G2393" s="3" t="str">
        <f>HYPERLINK("https://cloud.oebiotech.com/#/lm/network/56350", "https://cloud.oebiotech.com/#/lm/network/56350")</f>
        <v>https://cloud.oebiotech.com/#/lm/network/56350</v>
      </c>
      <c r="H2393" s="2" t="s">
        <v>16129</v>
      </c>
      <c r="I2393" s="2">
        <v>88002</v>
      </c>
      <c r="J2393" s="2"/>
      <c r="K2393" s="2">
        <v>131751198</v>
      </c>
      <c r="L2393" s="2"/>
      <c r="M2393" s="2"/>
      <c r="N2393" s="2"/>
      <c r="O2393" s="2">
        <v>168491</v>
      </c>
      <c r="P2393" s="2"/>
      <c r="Q2393" s="2"/>
      <c r="R2393" s="2" t="s">
        <v>16130</v>
      </c>
      <c r="S2393" s="2" t="s">
        <v>16131</v>
      </c>
      <c r="T2393" s="2" t="s">
        <v>16132</v>
      </c>
      <c r="U2393" s="2" t="s">
        <v>56</v>
      </c>
      <c r="V2393" s="2" t="s">
        <v>145</v>
      </c>
      <c r="W2393" s="2" t="s">
        <v>231</v>
      </c>
      <c r="X2393" s="2" t="s">
        <v>83</v>
      </c>
      <c r="Y2393" s="2">
        <v>41.5</v>
      </c>
      <c r="Z2393" s="2">
        <v>0</v>
      </c>
      <c r="AA2393" s="2" t="s">
        <v>379</v>
      </c>
      <c r="AB2393" s="2" t="s">
        <v>16133</v>
      </c>
      <c r="AC2393" s="2">
        <v>0.119016235672863</v>
      </c>
      <c r="AD2393" s="2"/>
      <c r="AE2393" s="2">
        <v>0.26849083546029201</v>
      </c>
      <c r="AF2393" s="2">
        <v>3041.57154866371</v>
      </c>
      <c r="AG2393" s="2">
        <v>1303.6081657782599</v>
      </c>
      <c r="AH2393" s="5">
        <v>2.3331946120848901</v>
      </c>
      <c r="AI2393" s="5">
        <v>1.22230664773364</v>
      </c>
      <c r="AJ2393" s="5" t="s">
        <v>139</v>
      </c>
      <c r="AK2393" s="2">
        <v>1.8453191314541598E-2</v>
      </c>
      <c r="AL2393" s="2">
        <v>0.2138667084026</v>
      </c>
      <c r="AM2393" s="2">
        <v>3537.4015293643201</v>
      </c>
      <c r="AN2393" s="2">
        <v>4936.7832308520401</v>
      </c>
      <c r="AO2393" s="2">
        <v>1840.2896384907101</v>
      </c>
      <c r="AP2393" s="2">
        <v>1563.6103328991301</v>
      </c>
      <c r="AQ2393" s="2">
        <v>2627.5364692033399</v>
      </c>
      <c r="AR2393" s="2">
        <v>3743.8080911727002</v>
      </c>
      <c r="AS2393" s="2">
        <v>2379.08180616767</v>
      </c>
      <c r="AT2393" s="2">
        <v>758.66235148946396</v>
      </c>
      <c r="AU2393" s="2">
        <v>1273.96834049831</v>
      </c>
      <c r="AV2393" s="2">
        <v>756.08525794011598</v>
      </c>
      <c r="AW2393" s="2">
        <v>436.60331028138302</v>
      </c>
      <c r="AX2393" s="2">
        <v>2217.2479282926201</v>
      </c>
    </row>
    <row r="2394" spans="1:50" x14ac:dyDescent="0.25">
      <c r="A2394" s="2" t="s">
        <v>16134</v>
      </c>
      <c r="B2394" s="2">
        <v>278.12450943955702</v>
      </c>
      <c r="C2394" s="2">
        <v>0.71519999999999995</v>
      </c>
      <c r="D2394" s="2" t="s">
        <v>51</v>
      </c>
      <c r="E2394" s="2" t="s">
        <v>16135</v>
      </c>
      <c r="F2394" s="2">
        <v>61870</v>
      </c>
      <c r="G2394" s="3" t="str">
        <f>HYPERLINK("https://cloud.oebiotech.com/#/lm/network/61870", "https://cloud.oebiotech.com/#/lm/network/61870")</f>
        <v>https://cloud.oebiotech.com/#/lm/network/61870</v>
      </c>
      <c r="H2394" s="2" t="s">
        <v>16136</v>
      </c>
      <c r="I2394" s="2"/>
      <c r="J2394" s="2"/>
      <c r="K2394" s="2">
        <v>131752381</v>
      </c>
      <c r="L2394" s="2"/>
      <c r="M2394" s="2"/>
      <c r="N2394" s="2"/>
      <c r="O2394" s="2">
        <v>156202</v>
      </c>
      <c r="P2394" s="2"/>
      <c r="Q2394" s="2"/>
      <c r="R2394" s="2" t="s">
        <v>16137</v>
      </c>
      <c r="S2394" s="2" t="s">
        <v>16138</v>
      </c>
      <c r="T2394" s="2" t="s">
        <v>16139</v>
      </c>
      <c r="U2394" s="2" t="s">
        <v>103</v>
      </c>
      <c r="V2394" s="2" t="s">
        <v>104</v>
      </c>
      <c r="W2394" s="2" t="s">
        <v>105</v>
      </c>
      <c r="X2394" s="2" t="s">
        <v>83</v>
      </c>
      <c r="Y2394" s="2">
        <v>37.1</v>
      </c>
      <c r="Z2394" s="2">
        <v>0</v>
      </c>
      <c r="AA2394" s="2" t="s">
        <v>259</v>
      </c>
      <c r="AB2394" s="2" t="s">
        <v>16140</v>
      </c>
      <c r="AC2394" s="2">
        <v>3.90109526103471</v>
      </c>
      <c r="AD2394" s="2"/>
      <c r="AE2394" s="2">
        <v>0.26846055218457998</v>
      </c>
      <c r="AF2394" s="2">
        <v>990.53328783500604</v>
      </c>
      <c r="AG2394" s="2">
        <v>2936.3078710751201</v>
      </c>
      <c r="AH2394" s="4">
        <v>0.33733972434992798</v>
      </c>
      <c r="AI2394" s="4">
        <v>-1.56772587807844</v>
      </c>
      <c r="AJ2394" s="4" t="s">
        <v>62</v>
      </c>
      <c r="AK2394" s="2">
        <v>0.11872142185416899</v>
      </c>
      <c r="AL2394" s="2">
        <v>0.43690844816567598</v>
      </c>
      <c r="AM2394" s="2">
        <v>8.559877937157E-6</v>
      </c>
      <c r="AN2394" s="2">
        <v>1343.3953977277999</v>
      </c>
      <c r="AO2394" s="2">
        <v>8.559877937157E-6</v>
      </c>
      <c r="AP2394" s="2">
        <v>8.559877937157E-6</v>
      </c>
      <c r="AQ2394" s="2">
        <v>1642.8686064732899</v>
      </c>
      <c r="AR2394" s="2">
        <v>2956.93569712931</v>
      </c>
      <c r="AS2394" s="2">
        <v>4874.7073162522001</v>
      </c>
      <c r="AT2394" s="2">
        <v>2119.57723832286</v>
      </c>
      <c r="AU2394" s="2">
        <v>8.559877937157E-6</v>
      </c>
      <c r="AV2394" s="2">
        <v>6857.7629849878904</v>
      </c>
      <c r="AW2394" s="2">
        <v>2589.4551270861598</v>
      </c>
      <c r="AX2394" s="2">
        <v>1176.34455124172</v>
      </c>
    </row>
    <row r="2395" spans="1:50" x14ac:dyDescent="0.25">
      <c r="A2395" s="2" t="s">
        <v>16141</v>
      </c>
      <c r="B2395" s="2">
        <v>130.08624706377799</v>
      </c>
      <c r="C2395" s="2">
        <v>1.2974333333333301</v>
      </c>
      <c r="D2395" s="2" t="s">
        <v>51</v>
      </c>
      <c r="E2395" s="2" t="s">
        <v>16142</v>
      </c>
      <c r="F2395" s="2">
        <v>48150</v>
      </c>
      <c r="G2395" s="3" t="str">
        <f>HYPERLINK("https://cloud.oebiotech.com/#/lm/network/48150", "https://cloud.oebiotech.com/#/lm/network/48150")</f>
        <v>https://cloud.oebiotech.com/#/lm/network/48150</v>
      </c>
      <c r="H2395" s="2" t="s">
        <v>16143</v>
      </c>
      <c r="I2395" s="2"/>
      <c r="J2395" s="2"/>
      <c r="K2395" s="2">
        <v>439734</v>
      </c>
      <c r="L2395" s="2" t="s">
        <v>16144</v>
      </c>
      <c r="M2395" s="2"/>
      <c r="N2395" s="2"/>
      <c r="O2395" s="2">
        <v>86261</v>
      </c>
      <c r="P2395" s="2"/>
      <c r="Q2395" s="2"/>
      <c r="R2395" s="2" t="s">
        <v>16145</v>
      </c>
      <c r="S2395" s="2" t="s">
        <v>16146</v>
      </c>
      <c r="T2395" s="2" t="s">
        <v>16147</v>
      </c>
      <c r="U2395" s="2" t="s">
        <v>103</v>
      </c>
      <c r="V2395" s="2" t="s">
        <v>104</v>
      </c>
      <c r="W2395" s="2" t="s">
        <v>105</v>
      </c>
      <c r="X2395" s="2" t="s">
        <v>83</v>
      </c>
      <c r="Y2395" s="2">
        <v>41.9</v>
      </c>
      <c r="Z2395" s="2">
        <v>0</v>
      </c>
      <c r="AA2395" s="2" t="s">
        <v>163</v>
      </c>
      <c r="AB2395" s="2" t="s">
        <v>5212</v>
      </c>
      <c r="AC2395" s="2">
        <v>-8.4302847762823099</v>
      </c>
      <c r="AD2395" s="2"/>
      <c r="AE2395" s="2">
        <v>0.268382865590441</v>
      </c>
      <c r="AF2395" s="2">
        <v>12808.4352256034</v>
      </c>
      <c r="AG2395" s="2">
        <v>15070.2575012652</v>
      </c>
      <c r="AH2395" s="4">
        <v>0.84991482226020998</v>
      </c>
      <c r="AI2395" s="4">
        <v>-0.234609832060933</v>
      </c>
      <c r="AJ2395" s="4" t="s">
        <v>62</v>
      </c>
      <c r="AK2395" s="2">
        <v>0.32702882742640699</v>
      </c>
      <c r="AL2395" s="2">
        <v>0.62992073899545697</v>
      </c>
      <c r="AM2395" s="2">
        <v>10187.0632717517</v>
      </c>
      <c r="AN2395" s="2">
        <v>13706.4945653226</v>
      </c>
      <c r="AO2395" s="2">
        <v>13690.934116934401</v>
      </c>
      <c r="AP2395" s="2">
        <v>12970.107848489801</v>
      </c>
      <c r="AQ2395" s="2">
        <v>12992.190160599201</v>
      </c>
      <c r="AR2395" s="2">
        <v>13303.8213905229</v>
      </c>
      <c r="AS2395" s="2">
        <v>12876.0481112656</v>
      </c>
      <c r="AT2395" s="2">
        <v>8652.4049922089598</v>
      </c>
      <c r="AU2395" s="2">
        <v>12419.7858449946</v>
      </c>
      <c r="AV2395" s="2">
        <v>23931.525359974199</v>
      </c>
      <c r="AW2395" s="2">
        <v>15460.7495951888</v>
      </c>
      <c r="AX2395" s="2">
        <v>17081.031103959202</v>
      </c>
    </row>
    <row r="2396" spans="1:50" x14ac:dyDescent="0.25">
      <c r="A2396" s="2" t="s">
        <v>16148</v>
      </c>
      <c r="B2396" s="2">
        <v>372.239172188547</v>
      </c>
      <c r="C2396" s="2">
        <v>11.130599999999999</v>
      </c>
      <c r="D2396" s="2" t="s">
        <v>51</v>
      </c>
      <c r="E2396" s="2" t="s">
        <v>16149</v>
      </c>
      <c r="F2396" s="2">
        <v>8365</v>
      </c>
      <c r="G2396" s="3" t="str">
        <f>HYPERLINK("https://cloud.oebiotech.com/#/lm/network/8365", "https://cloud.oebiotech.com/#/lm/network/8365")</f>
        <v>https://cloud.oebiotech.com/#/lm/network/8365</v>
      </c>
      <c r="H2396" s="2" t="s">
        <v>16150</v>
      </c>
      <c r="I2396" s="2"/>
      <c r="J2396" s="2" t="s">
        <v>16151</v>
      </c>
      <c r="K2396" s="2">
        <v>71464543</v>
      </c>
      <c r="L2396" s="2"/>
      <c r="M2396" s="2"/>
      <c r="N2396" s="2"/>
      <c r="O2396" s="2">
        <v>73064</v>
      </c>
      <c r="P2396" s="2"/>
      <c r="Q2396" s="2"/>
      <c r="R2396" s="2"/>
      <c r="S2396" s="2" t="s">
        <v>16152</v>
      </c>
      <c r="T2396" s="2" t="s">
        <v>16153</v>
      </c>
      <c r="U2396" s="2" t="s">
        <v>56</v>
      </c>
      <c r="V2396" s="2" t="s">
        <v>145</v>
      </c>
      <c r="W2396" s="2" t="s">
        <v>1188</v>
      </c>
      <c r="X2396" s="2" t="s">
        <v>147</v>
      </c>
      <c r="Y2396" s="2">
        <v>38.5</v>
      </c>
      <c r="Z2396" s="2">
        <v>0</v>
      </c>
      <c r="AA2396" s="2" t="s">
        <v>163</v>
      </c>
      <c r="AB2396" s="2" t="s">
        <v>16154</v>
      </c>
      <c r="AC2396" s="2">
        <v>2.8870835979565E-2</v>
      </c>
      <c r="AD2396" s="2"/>
      <c r="AE2396" s="2">
        <v>0.26834467366686499</v>
      </c>
      <c r="AF2396" s="2">
        <v>2147.8874469123598</v>
      </c>
      <c r="AG2396" s="2">
        <v>657.61381615649304</v>
      </c>
      <c r="AH2396" s="5">
        <v>3.26618357787244</v>
      </c>
      <c r="AI2396" s="5">
        <v>1.7076058807474701</v>
      </c>
      <c r="AJ2396" s="5" t="s">
        <v>139</v>
      </c>
      <c r="AK2396" s="2">
        <v>6.5807341047782299E-3</v>
      </c>
      <c r="AL2396" s="2">
        <v>0.13578099011431899</v>
      </c>
      <c r="AM2396" s="2">
        <v>3357.19751663847</v>
      </c>
      <c r="AN2396" s="2">
        <v>3424.2558289734998</v>
      </c>
      <c r="AO2396" s="2">
        <v>1369.1817672653999</v>
      </c>
      <c r="AP2396" s="2">
        <v>1960.1191857041899</v>
      </c>
      <c r="AQ2396" s="2">
        <v>1223.7709113744199</v>
      </c>
      <c r="AR2396" s="2">
        <v>1552.7994715182101</v>
      </c>
      <c r="AS2396" s="2">
        <v>1228.9602710187401</v>
      </c>
      <c r="AT2396" s="2">
        <v>671.71502720669798</v>
      </c>
      <c r="AU2396" s="2">
        <v>242.32043423828199</v>
      </c>
      <c r="AV2396" s="2">
        <v>199.700498801968</v>
      </c>
      <c r="AW2396" s="2">
        <v>714.91685593882301</v>
      </c>
      <c r="AX2396" s="2">
        <v>888.06980973444797</v>
      </c>
    </row>
    <row r="2397" spans="1:50" x14ac:dyDescent="0.25">
      <c r="A2397" s="2" t="s">
        <v>16155</v>
      </c>
      <c r="B2397" s="2">
        <v>170.01985087627</v>
      </c>
      <c r="C2397" s="2">
        <v>1.4109499999999999</v>
      </c>
      <c r="D2397" s="2" t="s">
        <v>51</v>
      </c>
      <c r="E2397" s="2" t="s">
        <v>16156</v>
      </c>
      <c r="F2397" s="2">
        <v>212969</v>
      </c>
      <c r="G2397" s="3" t="str">
        <f>HYPERLINK("https://cloud.oebiotech.com/#/lm/network/212969", "https://cloud.oebiotech.com/#/lm/network/212969")</f>
        <v>https://cloud.oebiotech.com/#/lm/network/212969</v>
      </c>
      <c r="H2397" s="2" t="s">
        <v>16157</v>
      </c>
      <c r="I2397" s="2"/>
      <c r="J2397" s="2"/>
      <c r="K2397" s="2">
        <v>129681234</v>
      </c>
      <c r="L2397" s="2"/>
      <c r="M2397" s="2"/>
      <c r="N2397" s="2"/>
      <c r="O2397" s="2"/>
      <c r="P2397" s="2"/>
      <c r="Q2397" s="2"/>
      <c r="R2397" s="2"/>
      <c r="S2397" s="2" t="s">
        <v>16158</v>
      </c>
      <c r="T2397" s="2" t="s">
        <v>16159</v>
      </c>
      <c r="U2397" s="2" t="s">
        <v>103</v>
      </c>
      <c r="V2397" s="2" t="s">
        <v>104</v>
      </c>
      <c r="W2397" s="2" t="s">
        <v>105</v>
      </c>
      <c r="X2397" s="2" t="s">
        <v>147</v>
      </c>
      <c r="Y2397" s="2">
        <v>39</v>
      </c>
      <c r="Z2397" s="2">
        <v>8.01</v>
      </c>
      <c r="AA2397" s="2" t="s">
        <v>379</v>
      </c>
      <c r="AB2397" s="2" t="s">
        <v>16160</v>
      </c>
      <c r="AC2397" s="2">
        <v>-4.6463556000874897</v>
      </c>
      <c r="AD2397" s="2"/>
      <c r="AE2397" s="2">
        <v>0.26828102695088302</v>
      </c>
      <c r="AF2397" s="2">
        <v>15769.9877364405</v>
      </c>
      <c r="AG2397" s="2">
        <v>12274.879693401799</v>
      </c>
      <c r="AH2397" s="5">
        <v>1.2847366434815199</v>
      </c>
      <c r="AI2397" s="5">
        <v>0.36147265351832297</v>
      </c>
      <c r="AJ2397" s="5" t="s">
        <v>139</v>
      </c>
      <c r="AK2397" s="2">
        <v>0.569710540976061</v>
      </c>
      <c r="AL2397" s="2">
        <v>0.78311574344879098</v>
      </c>
      <c r="AM2397" s="2">
        <v>22940.161030440999</v>
      </c>
      <c r="AN2397" s="2">
        <v>11057.136145390899</v>
      </c>
      <c r="AO2397" s="2">
        <v>13264.9898900674</v>
      </c>
      <c r="AP2397" s="2">
        <v>23632.815117907201</v>
      </c>
      <c r="AQ2397" s="2">
        <v>14570.6907028806</v>
      </c>
      <c r="AR2397" s="2">
        <v>9154.1335319558093</v>
      </c>
      <c r="AS2397" s="2">
        <v>1466.62672109045</v>
      </c>
      <c r="AT2397" s="2">
        <v>11099.9907793645</v>
      </c>
      <c r="AU2397" s="2">
        <v>36959.806767956201</v>
      </c>
      <c r="AV2397" s="2">
        <v>15460.2502782017</v>
      </c>
      <c r="AW2397" s="2">
        <v>6557.0024487129904</v>
      </c>
      <c r="AX2397" s="2">
        <v>2105.601165085</v>
      </c>
    </row>
    <row r="2398" spans="1:50" x14ac:dyDescent="0.25">
      <c r="A2398" s="2" t="s">
        <v>16161</v>
      </c>
      <c r="B2398" s="2">
        <v>205.1</v>
      </c>
      <c r="C2398" s="2">
        <v>22.699000000000002</v>
      </c>
      <c r="D2398" s="2" t="s">
        <v>125</v>
      </c>
      <c r="E2398" s="2" t="s">
        <v>16162</v>
      </c>
      <c r="F2398" s="2">
        <v>546263</v>
      </c>
      <c r="G2398" s="3" t="str">
        <f>HYPERLINK("https://cloud.oebiotech.com/#/lm/network/546263", "https://cloud.oebiotech.com/#/lm/network/546263")</f>
        <v>https://cloud.oebiotech.com/#/lm/network/546263</v>
      </c>
      <c r="H2398" s="2"/>
      <c r="I2398" s="2"/>
      <c r="J2398" s="2"/>
      <c r="K2398" s="2">
        <v>5460194</v>
      </c>
      <c r="L2398" s="2"/>
      <c r="M2398" s="2"/>
      <c r="N2398" s="2"/>
      <c r="O2398" s="2"/>
      <c r="P2398" s="2"/>
      <c r="Q2398" s="2"/>
      <c r="R2398" s="2"/>
      <c r="S2398" s="2" t="s">
        <v>16163</v>
      </c>
      <c r="T2398" s="2" t="s">
        <v>16164</v>
      </c>
      <c r="U2398" s="2" t="s">
        <v>56</v>
      </c>
      <c r="V2398" s="2" t="s">
        <v>145</v>
      </c>
      <c r="W2398" s="2" t="s">
        <v>3263</v>
      </c>
      <c r="X2398" s="2" t="s">
        <v>69</v>
      </c>
      <c r="Y2398" s="2">
        <v>86.7</v>
      </c>
      <c r="Z2398" s="2">
        <v>79.400000000000006</v>
      </c>
      <c r="AA2398" s="2"/>
      <c r="AB2398" s="2" t="s">
        <v>16165</v>
      </c>
      <c r="AC2398" s="2"/>
      <c r="AD2398" s="2">
        <v>788866.33152173902</v>
      </c>
      <c r="AE2398" s="2">
        <v>0.26821544688312798</v>
      </c>
      <c r="AF2398" s="2">
        <v>55609.667666775698</v>
      </c>
      <c r="AG2398" s="2">
        <v>16392.505929725699</v>
      </c>
      <c r="AH2398" s="5">
        <v>3.3923835626580199</v>
      </c>
      <c r="AI2398" s="5">
        <v>1.76229929863347</v>
      </c>
      <c r="AJ2398" s="5" t="s">
        <v>139</v>
      </c>
      <c r="AK2398" s="2">
        <v>0.39260650176974798</v>
      </c>
      <c r="AL2398" s="2">
        <v>0.66541006670828395</v>
      </c>
      <c r="AM2398" s="2">
        <v>12916.929745867301</v>
      </c>
      <c r="AN2398" s="2">
        <v>13212.2020079223</v>
      </c>
      <c r="AO2398" s="2">
        <v>10182.008969957</v>
      </c>
      <c r="AP2398" s="2">
        <v>6349.1799778893101</v>
      </c>
      <c r="AQ2398" s="2">
        <v>274814.978866652</v>
      </c>
      <c r="AR2398" s="2">
        <v>16182.7064323662</v>
      </c>
      <c r="AS2398" s="2">
        <v>15169.9219009927</v>
      </c>
      <c r="AT2398" s="2">
        <v>14138.101022724901</v>
      </c>
      <c r="AU2398" s="2">
        <v>21442.5898313658</v>
      </c>
      <c r="AV2398" s="2">
        <v>20369.8091228667</v>
      </c>
      <c r="AW2398" s="2">
        <v>10419.5529357328</v>
      </c>
      <c r="AX2398" s="2">
        <v>16815.060764671402</v>
      </c>
    </row>
    <row r="2399" spans="1:50" x14ac:dyDescent="0.25">
      <c r="A2399" s="2" t="s">
        <v>16166</v>
      </c>
      <c r="B2399" s="2">
        <v>397.168855852712</v>
      </c>
      <c r="C2399" s="2">
        <v>13.510733333333301</v>
      </c>
      <c r="D2399" s="2" t="s">
        <v>51</v>
      </c>
      <c r="E2399" s="2" t="s">
        <v>16167</v>
      </c>
      <c r="F2399" s="2">
        <v>199934</v>
      </c>
      <c r="G2399" s="3" t="str">
        <f>HYPERLINK("https://cloud.oebiotech.com/#/lm/network/199934", "https://cloud.oebiotech.com/#/lm/network/199934")</f>
        <v>https://cloud.oebiotech.com/#/lm/network/199934</v>
      </c>
      <c r="H2399" s="2" t="s">
        <v>16168</v>
      </c>
      <c r="I2399" s="2"/>
      <c r="J2399" s="2"/>
      <c r="K2399" s="2">
        <v>104929</v>
      </c>
      <c r="L2399" s="2"/>
      <c r="M2399" s="2"/>
      <c r="N2399" s="2"/>
      <c r="O2399" s="2"/>
      <c r="P2399" s="2"/>
      <c r="Q2399" s="2"/>
      <c r="R2399" s="2"/>
      <c r="S2399" s="2" t="s">
        <v>16169</v>
      </c>
      <c r="T2399" s="2" t="s">
        <v>16170</v>
      </c>
      <c r="U2399" s="2" t="s">
        <v>266</v>
      </c>
      <c r="V2399" s="2" t="s">
        <v>4415</v>
      </c>
      <c r="W2399" s="2" t="s">
        <v>4416</v>
      </c>
      <c r="X2399" s="2" t="s">
        <v>147</v>
      </c>
      <c r="Y2399" s="2">
        <v>37.200000000000003</v>
      </c>
      <c r="Z2399" s="2">
        <v>2.66</v>
      </c>
      <c r="AA2399" s="2" t="s">
        <v>163</v>
      </c>
      <c r="AB2399" s="2" t="s">
        <v>16171</v>
      </c>
      <c r="AC2399" s="2">
        <v>4.6620813144283799</v>
      </c>
      <c r="AD2399" s="2"/>
      <c r="AE2399" s="2">
        <v>0.26819679959284998</v>
      </c>
      <c r="AF2399" s="2">
        <v>11937.275630513201</v>
      </c>
      <c r="AG2399" s="2">
        <v>14362.3827026157</v>
      </c>
      <c r="AH2399" s="4">
        <v>0.83114869431372995</v>
      </c>
      <c r="AI2399" s="4">
        <v>-0.26682149351293899</v>
      </c>
      <c r="AJ2399" s="4" t="s">
        <v>62</v>
      </c>
      <c r="AK2399" s="2">
        <v>0.115146958359227</v>
      </c>
      <c r="AL2399" s="2">
        <v>0.43076716558206202</v>
      </c>
      <c r="AM2399" s="2">
        <v>12353.902099213899</v>
      </c>
      <c r="AN2399" s="2">
        <v>9506.0563807945691</v>
      </c>
      <c r="AO2399" s="2">
        <v>13591.805134243001</v>
      </c>
      <c r="AP2399" s="2">
        <v>9649.8095375664907</v>
      </c>
      <c r="AQ2399" s="2">
        <v>15065.274000441899</v>
      </c>
      <c r="AR2399" s="2">
        <v>11456.806630819099</v>
      </c>
      <c r="AS2399" s="2">
        <v>11323.217677619001</v>
      </c>
      <c r="AT2399" s="2">
        <v>11036.2013785982</v>
      </c>
      <c r="AU2399" s="2">
        <v>14814.8995017958</v>
      </c>
      <c r="AV2399" s="2">
        <v>17073.782256057901</v>
      </c>
      <c r="AW2399" s="2">
        <v>17013.818281153799</v>
      </c>
      <c r="AX2399" s="2">
        <v>14912.3771204696</v>
      </c>
    </row>
    <row r="2400" spans="1:50" x14ac:dyDescent="0.25">
      <c r="A2400" s="2" t="s">
        <v>16172</v>
      </c>
      <c r="B2400" s="2">
        <v>249.22181143027601</v>
      </c>
      <c r="C2400" s="2">
        <v>10.906883333333299</v>
      </c>
      <c r="D2400" s="2" t="s">
        <v>51</v>
      </c>
      <c r="E2400" s="2" t="s">
        <v>16173</v>
      </c>
      <c r="F2400" s="2">
        <v>82405</v>
      </c>
      <c r="G2400" s="3" t="str">
        <f>HYPERLINK("https://cloud.oebiotech.com/#/lm/network/82405", "https://cloud.oebiotech.com/#/lm/network/82405")</f>
        <v>https://cloud.oebiotech.com/#/lm/network/82405</v>
      </c>
      <c r="H2400" s="2" t="s">
        <v>16174</v>
      </c>
      <c r="I2400" s="2">
        <v>63345</v>
      </c>
      <c r="J2400" s="2"/>
      <c r="K2400" s="2">
        <v>1107</v>
      </c>
      <c r="L2400" s="2" t="s">
        <v>16175</v>
      </c>
      <c r="M2400" s="2"/>
      <c r="N2400" s="2"/>
      <c r="O2400" s="2"/>
      <c r="P2400" s="2"/>
      <c r="Q2400" s="2"/>
      <c r="R2400" s="2"/>
      <c r="S2400" s="2" t="s">
        <v>16176</v>
      </c>
      <c r="T2400" s="2" t="s">
        <v>16177</v>
      </c>
      <c r="U2400" s="2" t="s">
        <v>56</v>
      </c>
      <c r="V2400" s="2" t="s">
        <v>283</v>
      </c>
      <c r="W2400" s="2" t="s">
        <v>492</v>
      </c>
      <c r="X2400" s="2" t="s">
        <v>69</v>
      </c>
      <c r="Y2400" s="2">
        <v>56.7</v>
      </c>
      <c r="Z2400" s="2">
        <v>61.6</v>
      </c>
      <c r="AA2400" s="2" t="s">
        <v>259</v>
      </c>
      <c r="AB2400" s="2" t="s">
        <v>16178</v>
      </c>
      <c r="AC2400" s="2">
        <v>2.0928743873436302</v>
      </c>
      <c r="AD2400" s="2"/>
      <c r="AE2400" s="2">
        <v>0.26817937592723301</v>
      </c>
      <c r="AF2400" s="2">
        <v>5056.2255800132998</v>
      </c>
      <c r="AG2400" s="2">
        <v>2800.1354738395498</v>
      </c>
      <c r="AH2400" s="5">
        <v>1.8057074835312099</v>
      </c>
      <c r="AI2400" s="5">
        <v>0.85256420165649305</v>
      </c>
      <c r="AJ2400" s="5" t="s">
        <v>139</v>
      </c>
      <c r="AK2400" s="2">
        <v>8.8118617537705196E-2</v>
      </c>
      <c r="AL2400" s="2">
        <v>0.38072356452622402</v>
      </c>
      <c r="AM2400" s="2">
        <v>3335.8504483884399</v>
      </c>
      <c r="AN2400" s="2">
        <v>9926.4827758244192</v>
      </c>
      <c r="AO2400" s="2">
        <v>5272.1027223314304</v>
      </c>
      <c r="AP2400" s="2">
        <v>2552.59628439684</v>
      </c>
      <c r="AQ2400" s="2">
        <v>3924.15726757933</v>
      </c>
      <c r="AR2400" s="2">
        <v>5326.1639815593298</v>
      </c>
      <c r="AS2400" s="2">
        <v>4124.5627659767597</v>
      </c>
      <c r="AT2400" s="2">
        <v>2202.8833748441698</v>
      </c>
      <c r="AU2400" s="2">
        <v>2849.7045375907001</v>
      </c>
      <c r="AV2400" s="2">
        <v>972.84009335941505</v>
      </c>
      <c r="AW2400" s="2">
        <v>2227.0647775379002</v>
      </c>
      <c r="AX2400" s="2">
        <v>4423.7572937283503</v>
      </c>
    </row>
    <row r="2401" spans="1:50" x14ac:dyDescent="0.25">
      <c r="A2401" s="2" t="s">
        <v>16179</v>
      </c>
      <c r="B2401" s="2">
        <v>402.150322166009</v>
      </c>
      <c r="C2401" s="2">
        <v>10.74095</v>
      </c>
      <c r="D2401" s="2" t="s">
        <v>51</v>
      </c>
      <c r="E2401" s="2" t="s">
        <v>16180</v>
      </c>
      <c r="F2401" s="2">
        <v>64983</v>
      </c>
      <c r="G2401" s="3" t="str">
        <f>HYPERLINK("https://cloud.oebiotech.com/#/lm/network/64983", "https://cloud.oebiotech.com/#/lm/network/64983")</f>
        <v>https://cloud.oebiotech.com/#/lm/network/64983</v>
      </c>
      <c r="H2401" s="2" t="s">
        <v>16181</v>
      </c>
      <c r="I2401" s="2">
        <v>96199</v>
      </c>
      <c r="J2401" s="2"/>
      <c r="K2401" s="2">
        <v>5282452</v>
      </c>
      <c r="L2401" s="2" t="s">
        <v>16182</v>
      </c>
      <c r="M2401" s="2"/>
      <c r="N2401" s="2"/>
      <c r="O2401" s="2">
        <v>32020</v>
      </c>
      <c r="P2401" s="2"/>
      <c r="Q2401" s="2"/>
      <c r="R2401" s="2" t="s">
        <v>16183</v>
      </c>
      <c r="S2401" s="2" t="s">
        <v>16184</v>
      </c>
      <c r="T2401" s="2" t="s">
        <v>16185</v>
      </c>
      <c r="U2401" s="2" t="s">
        <v>266</v>
      </c>
      <c r="V2401" s="2" t="s">
        <v>1393</v>
      </c>
      <c r="W2401" s="2" t="s">
        <v>16186</v>
      </c>
      <c r="X2401" s="2" t="s">
        <v>147</v>
      </c>
      <c r="Y2401" s="2">
        <v>37.700000000000003</v>
      </c>
      <c r="Z2401" s="2">
        <v>0</v>
      </c>
      <c r="AA2401" s="2" t="s">
        <v>379</v>
      </c>
      <c r="AB2401" s="2" t="s">
        <v>16187</v>
      </c>
      <c r="AC2401" s="2">
        <v>-1.83581134216994</v>
      </c>
      <c r="AD2401" s="2"/>
      <c r="AE2401" s="2">
        <v>0.26783146819341003</v>
      </c>
      <c r="AF2401" s="2">
        <v>3739.58130209827</v>
      </c>
      <c r="AG2401" s="2">
        <v>1944.56580830497</v>
      </c>
      <c r="AH2401" s="5">
        <v>1.92309320987083</v>
      </c>
      <c r="AI2401" s="5">
        <v>0.94342868995783302</v>
      </c>
      <c r="AJ2401" s="5" t="s">
        <v>139</v>
      </c>
      <c r="AK2401" s="2">
        <v>1.9857196210853402E-3</v>
      </c>
      <c r="AL2401" s="2">
        <v>0.10025137111515001</v>
      </c>
      <c r="AM2401" s="2">
        <v>2701.1650307728701</v>
      </c>
      <c r="AN2401" s="2">
        <v>3485.6347591292101</v>
      </c>
      <c r="AO2401" s="2">
        <v>4180.6810423175002</v>
      </c>
      <c r="AP2401" s="2">
        <v>3615.2532806064401</v>
      </c>
      <c r="AQ2401" s="2">
        <v>5021.5562860075697</v>
      </c>
      <c r="AR2401" s="2">
        <v>3433.1974137560301</v>
      </c>
      <c r="AS2401" s="2">
        <v>3079.7849714193298</v>
      </c>
      <c r="AT2401" s="2">
        <v>2005.2822294977</v>
      </c>
      <c r="AU2401" s="2">
        <v>2090.7816972598498</v>
      </c>
      <c r="AV2401" s="2">
        <v>1618.28926502329</v>
      </c>
      <c r="AW2401" s="2">
        <v>1980.2497235030801</v>
      </c>
      <c r="AX2401" s="2">
        <v>893.006963126551</v>
      </c>
    </row>
    <row r="2402" spans="1:50" x14ac:dyDescent="0.25">
      <c r="A2402" s="2" t="s">
        <v>16188</v>
      </c>
      <c r="B2402" s="2">
        <v>231.121087082575</v>
      </c>
      <c r="C2402" s="2">
        <v>3.7123833333333298</v>
      </c>
      <c r="D2402" s="2" t="s">
        <v>51</v>
      </c>
      <c r="E2402" s="2" t="s">
        <v>16189</v>
      </c>
      <c r="F2402" s="2">
        <v>83488</v>
      </c>
      <c r="G2402" s="3" t="str">
        <f>HYPERLINK("https://cloud.oebiotech.com/#/lm/network/83488", "https://cloud.oebiotech.com/#/lm/network/83488")</f>
        <v>https://cloud.oebiotech.com/#/lm/network/83488</v>
      </c>
      <c r="H2402" s="2" t="s">
        <v>16190</v>
      </c>
      <c r="I2402" s="2"/>
      <c r="J2402" s="2"/>
      <c r="K2402" s="2">
        <v>90263</v>
      </c>
      <c r="L2402" s="2"/>
      <c r="M2402" s="2"/>
      <c r="N2402" s="2"/>
      <c r="O2402" s="2"/>
      <c r="P2402" s="2"/>
      <c r="Q2402" s="2"/>
      <c r="R2402" s="2"/>
      <c r="S2402" s="2" t="s">
        <v>16191</v>
      </c>
      <c r="T2402" s="2" t="s">
        <v>16192</v>
      </c>
      <c r="U2402" s="2" t="s">
        <v>331</v>
      </c>
      <c r="V2402" s="2" t="s">
        <v>332</v>
      </c>
      <c r="W2402" s="2" t="s">
        <v>511</v>
      </c>
      <c r="X2402" s="2" t="s">
        <v>83</v>
      </c>
      <c r="Y2402" s="2">
        <v>47.9</v>
      </c>
      <c r="Z2402" s="2">
        <v>0</v>
      </c>
      <c r="AA2402" s="2" t="s">
        <v>95</v>
      </c>
      <c r="AB2402" s="2" t="s">
        <v>16193</v>
      </c>
      <c r="AC2402" s="2">
        <v>3.8084816497566099</v>
      </c>
      <c r="AD2402" s="2"/>
      <c r="AE2402" s="2">
        <v>0.26771945434458</v>
      </c>
      <c r="AF2402" s="2">
        <v>2773.6850440686098</v>
      </c>
      <c r="AG2402" s="2">
        <v>1342.89688763193</v>
      </c>
      <c r="AH2402" s="5">
        <v>2.06544900774901</v>
      </c>
      <c r="AI2402" s="5">
        <v>1.04645544306708</v>
      </c>
      <c r="AJ2402" s="5" t="s">
        <v>139</v>
      </c>
      <c r="AK2402" s="2">
        <v>3.52495651290135E-3</v>
      </c>
      <c r="AL2402" s="2">
        <v>0.1120315017845</v>
      </c>
      <c r="AM2402" s="2">
        <v>4209.9856746320802</v>
      </c>
      <c r="AN2402" s="2">
        <v>2117.26003276353</v>
      </c>
      <c r="AO2402" s="2">
        <v>2445.1775972365599</v>
      </c>
      <c r="AP2402" s="2">
        <v>3418.6653242382699</v>
      </c>
      <c r="AQ2402" s="2">
        <v>1925.2660129092101</v>
      </c>
      <c r="AR2402" s="2">
        <v>2525.7556226319998</v>
      </c>
      <c r="AS2402" s="2">
        <v>1304.3299306029501</v>
      </c>
      <c r="AT2402" s="2">
        <v>1732.65824637316</v>
      </c>
      <c r="AU2402" s="2">
        <v>1709.11566656532</v>
      </c>
      <c r="AV2402" s="2">
        <v>1183.8816087008199</v>
      </c>
      <c r="AW2402" s="2">
        <v>1081.49052436343</v>
      </c>
      <c r="AX2402" s="2">
        <v>1045.9053491858999</v>
      </c>
    </row>
    <row r="2403" spans="1:50" x14ac:dyDescent="0.25">
      <c r="A2403" s="2" t="s">
        <v>16194</v>
      </c>
      <c r="B2403" s="2">
        <v>722.50703124920506</v>
      </c>
      <c r="C2403" s="2">
        <v>11.349600000000001</v>
      </c>
      <c r="D2403" s="2" t="s">
        <v>51</v>
      </c>
      <c r="E2403" s="2" t="s">
        <v>16195</v>
      </c>
      <c r="F2403" s="2">
        <v>238288</v>
      </c>
      <c r="G2403" s="3" t="str">
        <f>HYPERLINK("https://cloud.oebiotech.com/#/lm/network/238288", "https://cloud.oebiotech.com/#/lm/network/238288")</f>
        <v>https://cloud.oebiotech.com/#/lm/network/238288</v>
      </c>
      <c r="H2403" s="2" t="s">
        <v>16196</v>
      </c>
      <c r="I2403" s="2"/>
      <c r="J2403" s="2"/>
      <c r="K2403" s="2"/>
      <c r="L2403" s="2"/>
      <c r="M2403" s="2"/>
      <c r="N2403" s="2"/>
      <c r="O2403" s="2"/>
      <c r="P2403" s="2"/>
      <c r="Q2403" s="2"/>
      <c r="R2403" s="2"/>
      <c r="S2403" s="2" t="s">
        <v>16197</v>
      </c>
      <c r="T2403" s="2" t="s">
        <v>16198</v>
      </c>
      <c r="U2403" s="2" t="s">
        <v>56</v>
      </c>
      <c r="V2403" s="2" t="s">
        <v>57</v>
      </c>
      <c r="W2403" s="2" t="s">
        <v>155</v>
      </c>
      <c r="X2403" s="2" t="s">
        <v>83</v>
      </c>
      <c r="Y2403" s="2">
        <v>39.5</v>
      </c>
      <c r="Z2403" s="2">
        <v>0</v>
      </c>
      <c r="AA2403" s="2" t="s">
        <v>156</v>
      </c>
      <c r="AB2403" s="2" t="s">
        <v>16199</v>
      </c>
      <c r="AC2403" s="2">
        <v>-6.6063080537949599</v>
      </c>
      <c r="AD2403" s="2"/>
      <c r="AE2403" s="2">
        <v>0.26763528618746202</v>
      </c>
      <c r="AF2403" s="2">
        <v>15534.950710290999</v>
      </c>
      <c r="AG2403" s="2">
        <v>9406.1701807573008</v>
      </c>
      <c r="AH2403" s="5">
        <v>1.65157023653172</v>
      </c>
      <c r="AI2403" s="5">
        <v>0.72383832459851405</v>
      </c>
      <c r="AJ2403" s="5" t="s">
        <v>139</v>
      </c>
      <c r="AK2403" s="2">
        <v>0.40799570577236799</v>
      </c>
      <c r="AL2403" s="2">
        <v>0.67378873579152998</v>
      </c>
      <c r="AM2403" s="2">
        <v>8032.2082053208796</v>
      </c>
      <c r="AN2403" s="2">
        <v>8871.1558311988301</v>
      </c>
      <c r="AO2403" s="2">
        <v>14664.6732575278</v>
      </c>
      <c r="AP2403" s="2">
        <v>2341.8260153403698</v>
      </c>
      <c r="AQ2403" s="2">
        <v>49294.821576471601</v>
      </c>
      <c r="AR2403" s="2">
        <v>10005.019375886301</v>
      </c>
      <c r="AS2403" s="2">
        <v>10133.7200967108</v>
      </c>
      <c r="AT2403" s="2">
        <v>5779.4854282353099</v>
      </c>
      <c r="AU2403" s="2">
        <v>12685.5223856715</v>
      </c>
      <c r="AV2403" s="2">
        <v>12035.076942846101</v>
      </c>
      <c r="AW2403" s="2">
        <v>11703.6890195223</v>
      </c>
      <c r="AX2403" s="2">
        <v>4099.52721155781</v>
      </c>
    </row>
    <row r="2404" spans="1:50" x14ac:dyDescent="0.25">
      <c r="A2404" s="2" t="s">
        <v>16200</v>
      </c>
      <c r="B2404" s="2">
        <v>233.139134291</v>
      </c>
      <c r="C2404" s="2">
        <v>4.8599833333333304</v>
      </c>
      <c r="D2404" s="2" t="s">
        <v>51</v>
      </c>
      <c r="E2404" s="2" t="s">
        <v>16201</v>
      </c>
      <c r="F2404" s="2">
        <v>62746</v>
      </c>
      <c r="G2404" s="3" t="str">
        <f>HYPERLINK("https://cloud.oebiotech.com/#/lm/network/62746", "https://cloud.oebiotech.com/#/lm/network/62746")</f>
        <v>https://cloud.oebiotech.com/#/lm/network/62746</v>
      </c>
      <c r="H2404" s="2" t="s">
        <v>16202</v>
      </c>
      <c r="I2404" s="2"/>
      <c r="J2404" s="2"/>
      <c r="K2404" s="2">
        <v>73809748</v>
      </c>
      <c r="L2404" s="2"/>
      <c r="M2404" s="2"/>
      <c r="N2404" s="2"/>
      <c r="O2404" s="2"/>
      <c r="P2404" s="2"/>
      <c r="Q2404" s="2"/>
      <c r="R2404" s="2" t="s">
        <v>16203</v>
      </c>
      <c r="S2404" s="2" t="s">
        <v>16204</v>
      </c>
      <c r="T2404" s="2" t="s">
        <v>16205</v>
      </c>
      <c r="U2404" s="2" t="s">
        <v>56</v>
      </c>
      <c r="V2404" s="2" t="s">
        <v>177</v>
      </c>
      <c r="W2404" s="2" t="s">
        <v>584</v>
      </c>
      <c r="X2404" s="2" t="s">
        <v>147</v>
      </c>
      <c r="Y2404" s="2">
        <v>40.1</v>
      </c>
      <c r="Z2404" s="2">
        <v>6.52</v>
      </c>
      <c r="AA2404" s="2" t="s">
        <v>218</v>
      </c>
      <c r="AB2404" s="2" t="s">
        <v>16206</v>
      </c>
      <c r="AC2404" s="2">
        <v>-1.6640640429743101</v>
      </c>
      <c r="AD2404" s="2"/>
      <c r="AE2404" s="2">
        <v>0.26751961982225603</v>
      </c>
      <c r="AF2404" s="2">
        <v>3307.6808189050098</v>
      </c>
      <c r="AG2404" s="2">
        <v>1231.68043750632</v>
      </c>
      <c r="AH2404" s="5">
        <v>2.6855024389295301</v>
      </c>
      <c r="AI2404" s="5">
        <v>1.4251920317261499</v>
      </c>
      <c r="AJ2404" s="5" t="s">
        <v>139</v>
      </c>
      <c r="AK2404" s="2">
        <v>6.2342840634142901E-2</v>
      </c>
      <c r="AL2404" s="2">
        <v>0.33587063960517799</v>
      </c>
      <c r="AM2404" s="2">
        <v>2787.0836564997999</v>
      </c>
      <c r="AN2404" s="2">
        <v>7666.73946002311</v>
      </c>
      <c r="AO2404" s="2">
        <v>1866.83693211731</v>
      </c>
      <c r="AP2404" s="2">
        <v>1731.3652135329901</v>
      </c>
      <c r="AQ2404" s="2">
        <v>2053.18690260332</v>
      </c>
      <c r="AR2404" s="2">
        <v>3740.8727486535199</v>
      </c>
      <c r="AS2404" s="2">
        <v>2100.49985843985</v>
      </c>
      <c r="AT2404" s="2">
        <v>137.06105501762201</v>
      </c>
      <c r="AU2404" s="2">
        <v>1973.65767797276</v>
      </c>
      <c r="AV2404" s="2">
        <v>404.10307879090101</v>
      </c>
      <c r="AW2404" s="2">
        <v>859.312864606679</v>
      </c>
      <c r="AX2404" s="2">
        <v>1915.44809021011</v>
      </c>
    </row>
    <row r="2405" spans="1:50" x14ac:dyDescent="0.25">
      <c r="A2405" s="2" t="s">
        <v>16207</v>
      </c>
      <c r="B2405" s="2">
        <v>535.10145922330196</v>
      </c>
      <c r="C2405" s="2">
        <v>6.9221166666666702</v>
      </c>
      <c r="D2405" s="2" t="s">
        <v>51</v>
      </c>
      <c r="E2405" s="2" t="s">
        <v>16208</v>
      </c>
      <c r="F2405" s="2">
        <v>205321</v>
      </c>
      <c r="G2405" s="3" t="str">
        <f>HYPERLINK("https://cloud.oebiotech.com/#/lm/network/205321", "https://cloud.oebiotech.com/#/lm/network/205321")</f>
        <v>https://cloud.oebiotech.com/#/lm/network/205321</v>
      </c>
      <c r="H2405" s="2" t="s">
        <v>16209</v>
      </c>
      <c r="I2405" s="2">
        <v>984237</v>
      </c>
      <c r="J2405" s="2"/>
      <c r="K2405" s="2">
        <v>124964</v>
      </c>
      <c r="L2405" s="2"/>
      <c r="M2405" s="2"/>
      <c r="N2405" s="2"/>
      <c r="O2405" s="2"/>
      <c r="P2405" s="2"/>
      <c r="Q2405" s="2"/>
      <c r="R2405" s="2"/>
      <c r="S2405" s="2" t="s">
        <v>16210</v>
      </c>
      <c r="T2405" s="2" t="s">
        <v>16211</v>
      </c>
      <c r="U2405" s="2" t="s">
        <v>103</v>
      </c>
      <c r="V2405" s="2" t="s">
        <v>11073</v>
      </c>
      <c r="W2405" s="2" t="s">
        <v>11074</v>
      </c>
      <c r="X2405" s="2" t="s">
        <v>147</v>
      </c>
      <c r="Y2405" s="2">
        <v>37.799999999999997</v>
      </c>
      <c r="Z2405" s="2">
        <v>0</v>
      </c>
      <c r="AA2405" s="2" t="s">
        <v>478</v>
      </c>
      <c r="AB2405" s="2" t="s">
        <v>16212</v>
      </c>
      <c r="AC2405" s="2">
        <v>3.4939103622678598</v>
      </c>
      <c r="AD2405" s="2"/>
      <c r="AE2405" s="2">
        <v>0.267408174707016</v>
      </c>
      <c r="AF2405" s="2">
        <v>5447.5980533352204</v>
      </c>
      <c r="AG2405" s="2">
        <v>8412.8199535956301</v>
      </c>
      <c r="AH2405" s="4">
        <v>0.64753531911816598</v>
      </c>
      <c r="AI2405" s="4">
        <v>-0.62696920969131298</v>
      </c>
      <c r="AJ2405" s="4" t="s">
        <v>62</v>
      </c>
      <c r="AK2405" s="2">
        <v>0.13966170529788499</v>
      </c>
      <c r="AL2405" s="2">
        <v>0.45949604540634398</v>
      </c>
      <c r="AM2405" s="2">
        <v>5556.3847865621101</v>
      </c>
      <c r="AN2405" s="2">
        <v>3815.5859678577999</v>
      </c>
      <c r="AO2405" s="2">
        <v>8798.0596317552008</v>
      </c>
      <c r="AP2405" s="2">
        <v>8.559877937157E-6</v>
      </c>
      <c r="AQ2405" s="2">
        <v>4948.9321509092497</v>
      </c>
      <c r="AR2405" s="2">
        <v>9566.6257743670594</v>
      </c>
      <c r="AS2405" s="2">
        <v>9344.4745799011598</v>
      </c>
      <c r="AT2405" s="2">
        <v>6993.3018393838302</v>
      </c>
      <c r="AU2405" s="2">
        <v>8339.3379416390198</v>
      </c>
      <c r="AV2405" s="2">
        <v>10524.617266012399</v>
      </c>
      <c r="AW2405" s="2">
        <v>11706.0410525756</v>
      </c>
      <c r="AX2405" s="2">
        <v>3569.1470420617702</v>
      </c>
    </row>
    <row r="2406" spans="1:50" x14ac:dyDescent="0.25">
      <c r="A2406" s="2" t="s">
        <v>16213</v>
      </c>
      <c r="B2406" s="2">
        <v>268.03965065308</v>
      </c>
      <c r="C2406" s="2">
        <v>5.1612</v>
      </c>
      <c r="D2406" s="2" t="s">
        <v>51</v>
      </c>
      <c r="E2406" s="2" t="s">
        <v>16214</v>
      </c>
      <c r="F2406" s="2">
        <v>8814</v>
      </c>
      <c r="G2406" s="3" t="str">
        <f>HYPERLINK("https://cloud.oebiotech.com/#/lm/network/8814", "https://cloud.oebiotech.com/#/lm/network/8814")</f>
        <v>https://cloud.oebiotech.com/#/lm/network/8814</v>
      </c>
      <c r="H2406" s="2"/>
      <c r="I2406" s="2"/>
      <c r="J2406" s="2" t="s">
        <v>16215</v>
      </c>
      <c r="K2406" s="2">
        <v>10059709</v>
      </c>
      <c r="L2406" s="2"/>
      <c r="M2406" s="2"/>
      <c r="N2406" s="2"/>
      <c r="O2406" s="2"/>
      <c r="P2406" s="2"/>
      <c r="Q2406" s="2"/>
      <c r="R2406" s="2"/>
      <c r="S2406" s="2" t="s">
        <v>16216</v>
      </c>
      <c r="T2406" s="2" t="s">
        <v>16217</v>
      </c>
      <c r="U2406" s="2" t="s">
        <v>103</v>
      </c>
      <c r="V2406" s="2" t="s">
        <v>104</v>
      </c>
      <c r="W2406" s="2" t="s">
        <v>105</v>
      </c>
      <c r="X2406" s="2" t="s">
        <v>83</v>
      </c>
      <c r="Y2406" s="2">
        <v>47.5</v>
      </c>
      <c r="Z2406" s="2">
        <v>0</v>
      </c>
      <c r="AA2406" s="2" t="s">
        <v>395</v>
      </c>
      <c r="AB2406" s="2" t="s">
        <v>16218</v>
      </c>
      <c r="AC2406" s="2">
        <v>-3.3690442919187502</v>
      </c>
      <c r="AD2406" s="2"/>
      <c r="AE2406" s="2">
        <v>0.267110494870687</v>
      </c>
      <c r="AF2406" s="2">
        <v>35.071634529812798</v>
      </c>
      <c r="AG2406" s="2">
        <v>7284.0381727615504</v>
      </c>
      <c r="AH2406" s="4">
        <v>4.8148614405896699E-3</v>
      </c>
      <c r="AI2406" s="4">
        <v>-7.6982900030731898</v>
      </c>
      <c r="AJ2406" s="4" t="s">
        <v>62</v>
      </c>
      <c r="AK2406" s="2">
        <v>0.341915217403361</v>
      </c>
      <c r="AL2406" s="2">
        <v>0.63815037094278604</v>
      </c>
      <c r="AM2406" s="2">
        <v>8.559877937157E-6</v>
      </c>
      <c r="AN2406" s="2">
        <v>85.338657693209299</v>
      </c>
      <c r="AO2406" s="2">
        <v>125.09111524615599</v>
      </c>
      <c r="AP2406" s="2">
        <v>8.559877937157E-6</v>
      </c>
      <c r="AQ2406" s="2">
        <v>8.559877937157E-6</v>
      </c>
      <c r="AR2406" s="2">
        <v>8.559877937157E-6</v>
      </c>
      <c r="AS2406" s="2">
        <v>8.559877937157E-6</v>
      </c>
      <c r="AT2406" s="2">
        <v>8.559877937157E-6</v>
      </c>
      <c r="AU2406" s="2">
        <v>43609.105555693903</v>
      </c>
      <c r="AV2406" s="2">
        <v>95.123446635882104</v>
      </c>
      <c r="AW2406" s="2">
        <v>8.559877937157E-6</v>
      </c>
      <c r="AX2406" s="2">
        <v>8.559877937157E-6</v>
      </c>
    </row>
    <row r="2407" spans="1:50" x14ac:dyDescent="0.25">
      <c r="A2407" s="2" t="s">
        <v>16219</v>
      </c>
      <c r="B2407" s="2">
        <v>299.25916114996198</v>
      </c>
      <c r="C2407" s="2">
        <v>12.8097833333333</v>
      </c>
      <c r="D2407" s="2" t="s">
        <v>51</v>
      </c>
      <c r="E2407" s="2" t="s">
        <v>16220</v>
      </c>
      <c r="F2407" s="2">
        <v>2291</v>
      </c>
      <c r="G2407" s="3" t="str">
        <f>HYPERLINK("https://cloud.oebiotech.com/#/lm/network/2291", "https://cloud.oebiotech.com/#/lm/network/2291")</f>
        <v>https://cloud.oebiotech.com/#/lm/network/2291</v>
      </c>
      <c r="H2407" s="2"/>
      <c r="I2407" s="2"/>
      <c r="J2407" s="2" t="s">
        <v>16221</v>
      </c>
      <c r="K2407" s="2">
        <v>85699046</v>
      </c>
      <c r="L2407" s="2"/>
      <c r="M2407" s="2"/>
      <c r="N2407" s="2"/>
      <c r="O2407" s="2"/>
      <c r="P2407" s="2"/>
      <c r="Q2407" s="2"/>
      <c r="R2407" s="2"/>
      <c r="S2407" s="2" t="s">
        <v>16222</v>
      </c>
      <c r="T2407" s="2" t="s">
        <v>16223</v>
      </c>
      <c r="U2407" s="2" t="s">
        <v>56</v>
      </c>
      <c r="V2407" s="2" t="s">
        <v>145</v>
      </c>
      <c r="W2407" s="2" t="s">
        <v>231</v>
      </c>
      <c r="X2407" s="2" t="s">
        <v>83</v>
      </c>
      <c r="Y2407" s="2">
        <v>42.1</v>
      </c>
      <c r="Z2407" s="2">
        <v>0</v>
      </c>
      <c r="AA2407" s="2" t="s">
        <v>163</v>
      </c>
      <c r="AB2407" s="2" t="s">
        <v>2843</v>
      </c>
      <c r="AC2407" s="2">
        <v>-2.4748812402355502E-2</v>
      </c>
      <c r="AD2407" s="2"/>
      <c r="AE2407" s="2">
        <v>0.26707312227513502</v>
      </c>
      <c r="AF2407" s="2">
        <v>9003.9785863382895</v>
      </c>
      <c r="AG2407" s="2">
        <v>7062.46311713453</v>
      </c>
      <c r="AH2407" s="5">
        <v>1.2749062808545299</v>
      </c>
      <c r="AI2407" s="5">
        <v>0.35039119758146903</v>
      </c>
      <c r="AJ2407" s="5" t="s">
        <v>139</v>
      </c>
      <c r="AK2407" s="2">
        <v>4.75626295238454E-2</v>
      </c>
      <c r="AL2407" s="2">
        <v>0.30560533710289001</v>
      </c>
      <c r="AM2407" s="2">
        <v>11192.935264223999</v>
      </c>
      <c r="AN2407" s="2">
        <v>9464.3928994451398</v>
      </c>
      <c r="AO2407" s="2">
        <v>7454.0990547522297</v>
      </c>
      <c r="AP2407" s="2">
        <v>8225.5144005267503</v>
      </c>
      <c r="AQ2407" s="2">
        <v>7196.3977080868099</v>
      </c>
      <c r="AR2407" s="2">
        <v>10490.5321909948</v>
      </c>
      <c r="AS2407" s="2">
        <v>7868.2109965685804</v>
      </c>
      <c r="AT2407" s="2">
        <v>6820.0933108470799</v>
      </c>
      <c r="AU2407" s="2">
        <v>6221.1877026973198</v>
      </c>
      <c r="AV2407" s="2">
        <v>5035.4382725696596</v>
      </c>
      <c r="AW2407" s="2">
        <v>8723.8336555668302</v>
      </c>
      <c r="AX2407" s="2">
        <v>7706.0147645576899</v>
      </c>
    </row>
    <row r="2408" spans="1:50" x14ac:dyDescent="0.25">
      <c r="A2408" s="2" t="s">
        <v>16224</v>
      </c>
      <c r="B2408" s="2">
        <v>261.07429920430599</v>
      </c>
      <c r="C2408" s="2">
        <v>4.8599833333333304</v>
      </c>
      <c r="D2408" s="2" t="s">
        <v>51</v>
      </c>
      <c r="E2408" s="2" t="s">
        <v>16225</v>
      </c>
      <c r="F2408" s="2">
        <v>54000</v>
      </c>
      <c r="G2408" s="3" t="str">
        <f>HYPERLINK("https://cloud.oebiotech.com/#/lm/network/54000", "https://cloud.oebiotech.com/#/lm/network/54000")</f>
        <v>https://cloud.oebiotech.com/#/lm/network/54000</v>
      </c>
      <c r="H2408" s="2" t="s">
        <v>16226</v>
      </c>
      <c r="I2408" s="2"/>
      <c r="J2408" s="2"/>
      <c r="K2408" s="2">
        <v>104294</v>
      </c>
      <c r="L2408" s="2"/>
      <c r="M2408" s="2"/>
      <c r="N2408" s="2"/>
      <c r="O2408" s="2"/>
      <c r="P2408" s="2"/>
      <c r="Q2408" s="2"/>
      <c r="R2408" s="2"/>
      <c r="S2408" s="2" t="s">
        <v>16227</v>
      </c>
      <c r="T2408" s="2" t="s">
        <v>16228</v>
      </c>
      <c r="U2408" s="2" t="s">
        <v>103</v>
      </c>
      <c r="V2408" s="2" t="s">
        <v>104</v>
      </c>
      <c r="W2408" s="2" t="s">
        <v>105</v>
      </c>
      <c r="X2408" s="2" t="s">
        <v>147</v>
      </c>
      <c r="Y2408" s="2">
        <v>41.5</v>
      </c>
      <c r="Z2408" s="2">
        <v>15.3</v>
      </c>
      <c r="AA2408" s="2" t="s">
        <v>379</v>
      </c>
      <c r="AB2408" s="2" t="s">
        <v>16229</v>
      </c>
      <c r="AC2408" s="2">
        <v>2.16291658807146</v>
      </c>
      <c r="AD2408" s="2"/>
      <c r="AE2408" s="2">
        <v>0.26689051256920499</v>
      </c>
      <c r="AF2408" s="2">
        <v>2971.8943692234002</v>
      </c>
      <c r="AG2408" s="2">
        <v>993.534500250326</v>
      </c>
      <c r="AH2408" s="5">
        <v>2.9912341931504298</v>
      </c>
      <c r="AI2408" s="5">
        <v>1.58074086801994</v>
      </c>
      <c r="AJ2408" s="5" t="s">
        <v>139</v>
      </c>
      <c r="AK2408" s="2">
        <v>7.31773041124298E-2</v>
      </c>
      <c r="AL2408" s="2">
        <v>0.35436676551019203</v>
      </c>
      <c r="AM2408" s="2">
        <v>3854.5048675338699</v>
      </c>
      <c r="AN2408" s="2">
        <v>6988.7147098823198</v>
      </c>
      <c r="AO2408" s="2">
        <v>803.041773233139</v>
      </c>
      <c r="AP2408" s="2">
        <v>1848.4625540002401</v>
      </c>
      <c r="AQ2408" s="2">
        <v>1812.97195404187</v>
      </c>
      <c r="AR2408" s="2">
        <v>2523.67035664894</v>
      </c>
      <c r="AS2408" s="2">
        <v>2744.58021847502</v>
      </c>
      <c r="AT2408" s="2">
        <v>1069.97393826044</v>
      </c>
      <c r="AU2408" s="2">
        <v>329.21634545888702</v>
      </c>
      <c r="AV2408" s="2">
        <v>138.688243088679</v>
      </c>
      <c r="AW2408" s="2">
        <v>297.04897839787202</v>
      </c>
      <c r="AX2408" s="2">
        <v>1381.6992778210599</v>
      </c>
    </row>
    <row r="2409" spans="1:50" x14ac:dyDescent="0.25">
      <c r="A2409" s="2" t="s">
        <v>16230</v>
      </c>
      <c r="B2409" s="2">
        <v>240.23284135311499</v>
      </c>
      <c r="C2409" s="2">
        <v>11.371549999999999</v>
      </c>
      <c r="D2409" s="2" t="s">
        <v>51</v>
      </c>
      <c r="E2409" s="2" t="s">
        <v>16231</v>
      </c>
      <c r="F2409" s="2">
        <v>61641</v>
      </c>
      <c r="G2409" s="3" t="str">
        <f>HYPERLINK("https://cloud.oebiotech.com/#/lm/network/61641", "https://cloud.oebiotech.com/#/lm/network/61641")</f>
        <v>https://cloud.oebiotech.com/#/lm/network/61641</v>
      </c>
      <c r="H2409" s="2" t="s">
        <v>16232</v>
      </c>
      <c r="I2409" s="2">
        <v>92944</v>
      </c>
      <c r="J2409" s="2"/>
      <c r="K2409" s="2">
        <v>14093951</v>
      </c>
      <c r="L2409" s="2"/>
      <c r="M2409" s="2"/>
      <c r="N2409" s="2"/>
      <c r="O2409" s="2"/>
      <c r="P2409" s="2"/>
      <c r="Q2409" s="2"/>
      <c r="R2409" s="2" t="s">
        <v>16233</v>
      </c>
      <c r="S2409" s="2" t="s">
        <v>16234</v>
      </c>
      <c r="T2409" s="2" t="s">
        <v>16235</v>
      </c>
      <c r="U2409" s="2" t="s">
        <v>56</v>
      </c>
      <c r="V2409" s="2" t="s">
        <v>177</v>
      </c>
      <c r="W2409" s="2" t="s">
        <v>1996</v>
      </c>
      <c r="X2409" s="2" t="s">
        <v>69</v>
      </c>
      <c r="Y2409" s="2">
        <v>65.900000000000006</v>
      </c>
      <c r="Z2409" s="2">
        <v>88.7</v>
      </c>
      <c r="AA2409" s="2" t="s">
        <v>512</v>
      </c>
      <c r="AB2409" s="2" t="s">
        <v>16236</v>
      </c>
      <c r="AC2409" s="2">
        <v>2.9269780329667601</v>
      </c>
      <c r="AD2409" s="2"/>
      <c r="AE2409" s="2">
        <v>0.266818384815035</v>
      </c>
      <c r="AF2409" s="2">
        <v>998.358696761749</v>
      </c>
      <c r="AG2409" s="2">
        <v>4898.4842899965797</v>
      </c>
      <c r="AH2409" s="4">
        <v>0.203809716977258</v>
      </c>
      <c r="AI2409" s="4">
        <v>-2.29470525878738</v>
      </c>
      <c r="AJ2409" s="4" t="s">
        <v>62</v>
      </c>
      <c r="AK2409" s="2">
        <v>0.44743623295107099</v>
      </c>
      <c r="AL2409" s="2">
        <v>0.70214849250196898</v>
      </c>
      <c r="AM2409" s="2">
        <v>127.29755718325301</v>
      </c>
      <c r="AN2409" s="2">
        <v>8.559877937157E-6</v>
      </c>
      <c r="AO2409" s="2">
        <v>5628.2979894976997</v>
      </c>
      <c r="AP2409" s="2">
        <v>8.559877937157E-6</v>
      </c>
      <c r="AQ2409" s="2">
        <v>234.55660820990701</v>
      </c>
      <c r="AR2409" s="2">
        <v>8.559877937157E-6</v>
      </c>
      <c r="AS2409" s="2">
        <v>29119.024264681299</v>
      </c>
      <c r="AT2409" s="2">
        <v>8.559877937157E-6</v>
      </c>
      <c r="AU2409" s="2">
        <v>271.88144105869702</v>
      </c>
      <c r="AV2409" s="2">
        <v>8.559877937157E-6</v>
      </c>
      <c r="AW2409" s="2">
        <v>8.559877937157E-6</v>
      </c>
      <c r="AX2409" s="2">
        <v>8.559877937157E-6</v>
      </c>
    </row>
    <row r="2410" spans="1:50" x14ac:dyDescent="0.25">
      <c r="A2410" s="2" t="s">
        <v>16237</v>
      </c>
      <c r="B2410" s="2">
        <v>185.05601745496801</v>
      </c>
      <c r="C2410" s="2">
        <v>0.74113333333333298</v>
      </c>
      <c r="D2410" s="2" t="s">
        <v>51</v>
      </c>
      <c r="E2410" s="2" t="s">
        <v>16238</v>
      </c>
      <c r="F2410" s="2">
        <v>53854</v>
      </c>
      <c r="G2410" s="3" t="str">
        <f>HYPERLINK("https://cloud.oebiotech.com/#/lm/network/53854", "https://cloud.oebiotech.com/#/lm/network/53854")</f>
        <v>https://cloud.oebiotech.com/#/lm/network/53854</v>
      </c>
      <c r="H2410" s="2" t="s">
        <v>16239</v>
      </c>
      <c r="I2410" s="2">
        <v>23889</v>
      </c>
      <c r="J2410" s="2"/>
      <c r="K2410" s="2">
        <v>6427052</v>
      </c>
      <c r="L2410" s="2"/>
      <c r="M2410" s="2"/>
      <c r="N2410" s="2"/>
      <c r="O2410" s="2">
        <v>73505</v>
      </c>
      <c r="P2410" s="2"/>
      <c r="Q2410" s="2"/>
      <c r="R2410" s="2" t="s">
        <v>16240</v>
      </c>
      <c r="S2410" s="2" t="s">
        <v>16241</v>
      </c>
      <c r="T2410" s="2" t="s">
        <v>16242</v>
      </c>
      <c r="U2410" s="2" t="s">
        <v>103</v>
      </c>
      <c r="V2410" s="2" t="s">
        <v>104</v>
      </c>
      <c r="W2410" s="2" t="s">
        <v>105</v>
      </c>
      <c r="X2410" s="2" t="s">
        <v>69</v>
      </c>
      <c r="Y2410" s="2">
        <v>66.5</v>
      </c>
      <c r="Z2410" s="2">
        <v>80.400000000000006</v>
      </c>
      <c r="AA2410" s="2" t="s">
        <v>379</v>
      </c>
      <c r="AB2410" s="2" t="s">
        <v>16243</v>
      </c>
      <c r="AC2410" s="2">
        <v>-3.7384230632020898</v>
      </c>
      <c r="AD2410" s="2"/>
      <c r="AE2410" s="2">
        <v>0.26677992113653198</v>
      </c>
      <c r="AF2410" s="2">
        <v>111859.682958309</v>
      </c>
      <c r="AG2410" s="2">
        <v>131347.329986103</v>
      </c>
      <c r="AH2410" s="4">
        <v>0.85163271282442399</v>
      </c>
      <c r="AI2410" s="4">
        <v>-0.231696727385624</v>
      </c>
      <c r="AJ2410" s="4" t="s">
        <v>62</v>
      </c>
      <c r="AK2410" s="2">
        <v>0.64367570768888305</v>
      </c>
      <c r="AL2410" s="2">
        <v>0.82609223444636803</v>
      </c>
      <c r="AM2410" s="2">
        <v>145400.006158025</v>
      </c>
      <c r="AN2410" s="2">
        <v>235465.97465001699</v>
      </c>
      <c r="AO2410" s="2">
        <v>57629.613987672899</v>
      </c>
      <c r="AP2410" s="2">
        <v>112794.342072224</v>
      </c>
      <c r="AQ2410" s="2">
        <v>90649.399092705702</v>
      </c>
      <c r="AR2410" s="2">
        <v>29218.761789211301</v>
      </c>
      <c r="AS2410" s="2">
        <v>39118.218890890697</v>
      </c>
      <c r="AT2410" s="2">
        <v>101030.613500472</v>
      </c>
      <c r="AU2410" s="2">
        <v>130634.008546716</v>
      </c>
      <c r="AV2410" s="2">
        <v>132576.237945898</v>
      </c>
      <c r="AW2410" s="2">
        <v>134943.60128941599</v>
      </c>
      <c r="AX2410" s="2">
        <v>249781.299743223</v>
      </c>
    </row>
    <row r="2411" spans="1:50" x14ac:dyDescent="0.25">
      <c r="A2411" s="2" t="s">
        <v>16244</v>
      </c>
      <c r="B2411" s="2">
        <v>584.294882783925</v>
      </c>
      <c r="C2411" s="2">
        <v>10.073</v>
      </c>
      <c r="D2411" s="2" t="s">
        <v>51</v>
      </c>
      <c r="E2411" s="2" t="s">
        <v>16245</v>
      </c>
      <c r="F2411" s="2">
        <v>28025</v>
      </c>
      <c r="G2411" s="3" t="str">
        <f>HYPERLINK("https://cloud.oebiotech.com/#/lm/network/28025", "https://cloud.oebiotech.com/#/lm/network/28025")</f>
        <v>https://cloud.oebiotech.com/#/lm/network/28025</v>
      </c>
      <c r="H2411" s="2"/>
      <c r="I2411" s="2"/>
      <c r="J2411" s="2" t="s">
        <v>16246</v>
      </c>
      <c r="K2411" s="2">
        <v>134812471</v>
      </c>
      <c r="L2411" s="2"/>
      <c r="M2411" s="2"/>
      <c r="N2411" s="2"/>
      <c r="O2411" s="2"/>
      <c r="P2411" s="2"/>
      <c r="Q2411" s="2"/>
      <c r="R2411" s="2"/>
      <c r="S2411" s="2" t="s">
        <v>16247</v>
      </c>
      <c r="T2411" s="2" t="s">
        <v>16248</v>
      </c>
      <c r="U2411" s="2" t="s">
        <v>56</v>
      </c>
      <c r="V2411" s="2" t="s">
        <v>57</v>
      </c>
      <c r="W2411" s="2" t="s">
        <v>570</v>
      </c>
      <c r="X2411" s="2" t="s">
        <v>147</v>
      </c>
      <c r="Y2411" s="2">
        <v>37.5</v>
      </c>
      <c r="Z2411" s="2">
        <v>0</v>
      </c>
      <c r="AA2411" s="2" t="s">
        <v>122</v>
      </c>
      <c r="AB2411" s="2" t="s">
        <v>16249</v>
      </c>
      <c r="AC2411" s="2">
        <v>-2.1922995643452601</v>
      </c>
      <c r="AD2411" s="2"/>
      <c r="AE2411" s="2">
        <v>0.26655393650593701</v>
      </c>
      <c r="AF2411" s="2">
        <v>23822.614424784999</v>
      </c>
      <c r="AG2411" s="2">
        <v>28665.284599930601</v>
      </c>
      <c r="AH2411" s="4">
        <v>0.83106150025256098</v>
      </c>
      <c r="AI2411" s="4">
        <v>-0.26697285155438399</v>
      </c>
      <c r="AJ2411" s="4" t="s">
        <v>62</v>
      </c>
      <c r="AK2411" s="2">
        <v>0.53593241439418005</v>
      </c>
      <c r="AL2411" s="2">
        <v>0.76266316976467996</v>
      </c>
      <c r="AM2411" s="2">
        <v>26442.526402371001</v>
      </c>
      <c r="AN2411" s="2">
        <v>25658.015909735001</v>
      </c>
      <c r="AO2411" s="2">
        <v>19320.394972946899</v>
      </c>
      <c r="AP2411" s="2">
        <v>31598.912681589201</v>
      </c>
      <c r="AQ2411" s="2">
        <v>13315.3197738731</v>
      </c>
      <c r="AR2411" s="2">
        <v>26600.516808194599</v>
      </c>
      <c r="AS2411" s="2">
        <v>9131.3575897111205</v>
      </c>
      <c r="AT2411" s="2">
        <v>6877.7962039867398</v>
      </c>
      <c r="AU2411" s="2">
        <v>44785.5617307594</v>
      </c>
      <c r="AV2411" s="2">
        <v>45465.509750626101</v>
      </c>
      <c r="AW2411" s="2">
        <v>38760.323326472499</v>
      </c>
      <c r="AX2411" s="2">
        <v>26971.158998027899</v>
      </c>
    </row>
    <row r="2412" spans="1:50" x14ac:dyDescent="0.25">
      <c r="A2412" s="2" t="s">
        <v>16250</v>
      </c>
      <c r="B2412" s="2">
        <v>376.22601636394501</v>
      </c>
      <c r="C2412" s="2">
        <v>8.9855999999999998</v>
      </c>
      <c r="D2412" s="2" t="s">
        <v>51</v>
      </c>
      <c r="E2412" s="2" t="s">
        <v>16251</v>
      </c>
      <c r="F2412" s="2">
        <v>19904</v>
      </c>
      <c r="G2412" s="3" t="str">
        <f>HYPERLINK("https://cloud.oebiotech.com/#/lm/network/19904", "https://cloud.oebiotech.com/#/lm/network/19904")</f>
        <v>https://cloud.oebiotech.com/#/lm/network/19904</v>
      </c>
      <c r="H2412" s="2"/>
      <c r="I2412" s="2">
        <v>76578</v>
      </c>
      <c r="J2412" s="2" t="s">
        <v>16252</v>
      </c>
      <c r="K2412" s="2">
        <v>24779502</v>
      </c>
      <c r="L2412" s="2"/>
      <c r="M2412" s="2"/>
      <c r="N2412" s="2"/>
      <c r="O2412" s="2"/>
      <c r="P2412" s="2"/>
      <c r="Q2412" s="2"/>
      <c r="R2412" s="2"/>
      <c r="S2412" s="2" t="s">
        <v>16253</v>
      </c>
      <c r="T2412" s="2" t="s">
        <v>16254</v>
      </c>
      <c r="U2412" s="2" t="s">
        <v>56</v>
      </c>
      <c r="V2412" s="2" t="s">
        <v>57</v>
      </c>
      <c r="W2412" s="2" t="s">
        <v>58</v>
      </c>
      <c r="X2412" s="2" t="s">
        <v>147</v>
      </c>
      <c r="Y2412" s="2">
        <v>38.299999999999997</v>
      </c>
      <c r="Z2412" s="2">
        <v>0</v>
      </c>
      <c r="AA2412" s="2" t="s">
        <v>379</v>
      </c>
      <c r="AB2412" s="2" t="s">
        <v>16255</v>
      </c>
      <c r="AC2412" s="2">
        <v>0.46278571112005401</v>
      </c>
      <c r="AD2412" s="2"/>
      <c r="AE2412" s="2">
        <v>0.26634029908583501</v>
      </c>
      <c r="AF2412" s="2">
        <v>33576.2049143861</v>
      </c>
      <c r="AG2412" s="2">
        <v>28453.078588926401</v>
      </c>
      <c r="AH2412" s="5">
        <v>1.18005525516151</v>
      </c>
      <c r="AI2412" s="5">
        <v>0.23885441423215001</v>
      </c>
      <c r="AJ2412" s="5" t="s">
        <v>139</v>
      </c>
      <c r="AK2412" s="2">
        <v>0.140241807559258</v>
      </c>
      <c r="AL2412" s="2">
        <v>0.459629804117481</v>
      </c>
      <c r="AM2412" s="2">
        <v>24619.2320838509</v>
      </c>
      <c r="AN2412" s="2">
        <v>30537.737880868801</v>
      </c>
      <c r="AO2412" s="2">
        <v>34923.7600334745</v>
      </c>
      <c r="AP2412" s="2">
        <v>43124.689544078501</v>
      </c>
      <c r="AQ2412" s="2">
        <v>32197.511251552802</v>
      </c>
      <c r="AR2412" s="2">
        <v>36054.298692491102</v>
      </c>
      <c r="AS2412" s="2">
        <v>35814.166635597903</v>
      </c>
      <c r="AT2412" s="2">
        <v>30776.801657853699</v>
      </c>
      <c r="AU2412" s="2">
        <v>26888.439509356402</v>
      </c>
      <c r="AV2412" s="2">
        <v>28191.957428291498</v>
      </c>
      <c r="AW2412" s="2">
        <v>27939.651929583801</v>
      </c>
      <c r="AX2412" s="2">
        <v>21107.454372875101</v>
      </c>
    </row>
    <row r="2413" spans="1:50" x14ac:dyDescent="0.25">
      <c r="A2413" s="2" t="s">
        <v>16256</v>
      </c>
      <c r="B2413" s="2">
        <v>653.31532062383803</v>
      </c>
      <c r="C2413" s="2">
        <v>4.42221666666667</v>
      </c>
      <c r="D2413" s="2" t="s">
        <v>51</v>
      </c>
      <c r="E2413" s="2" t="s">
        <v>16257</v>
      </c>
      <c r="F2413" s="2">
        <v>27945</v>
      </c>
      <c r="G2413" s="3" t="str">
        <f>HYPERLINK("https://cloud.oebiotech.com/#/lm/network/27945", "https://cloud.oebiotech.com/#/lm/network/27945")</f>
        <v>https://cloud.oebiotech.com/#/lm/network/27945</v>
      </c>
      <c r="H2413" s="2"/>
      <c r="I2413" s="2"/>
      <c r="J2413" s="2" t="s">
        <v>16258</v>
      </c>
      <c r="K2413" s="2">
        <v>134812392</v>
      </c>
      <c r="L2413" s="2"/>
      <c r="M2413" s="2"/>
      <c r="N2413" s="2"/>
      <c r="O2413" s="2"/>
      <c r="P2413" s="2"/>
      <c r="Q2413" s="2"/>
      <c r="R2413" s="2"/>
      <c r="S2413" s="2" t="s">
        <v>16259</v>
      </c>
      <c r="T2413" s="2" t="s">
        <v>16260</v>
      </c>
      <c r="U2413" s="2" t="s">
        <v>56</v>
      </c>
      <c r="V2413" s="2" t="s">
        <v>57</v>
      </c>
      <c r="W2413" s="2" t="s">
        <v>82</v>
      </c>
      <c r="X2413" s="2" t="s">
        <v>147</v>
      </c>
      <c r="Y2413" s="2">
        <v>38.5</v>
      </c>
      <c r="Z2413" s="2">
        <v>0</v>
      </c>
      <c r="AA2413" s="2" t="s">
        <v>122</v>
      </c>
      <c r="AB2413" s="2" t="s">
        <v>16261</v>
      </c>
      <c r="AC2413" s="2">
        <v>-3.5309515388701498</v>
      </c>
      <c r="AD2413" s="2"/>
      <c r="AE2413" s="2">
        <v>0.26604537448205601</v>
      </c>
      <c r="AF2413" s="2">
        <v>4720.8662401563397</v>
      </c>
      <c r="AG2413" s="2">
        <v>2138.2554930533302</v>
      </c>
      <c r="AH2413" s="5">
        <v>2.2078120484167001</v>
      </c>
      <c r="AI2413" s="5">
        <v>1.1426173603594501</v>
      </c>
      <c r="AJ2413" s="5" t="s">
        <v>139</v>
      </c>
      <c r="AK2413" s="2">
        <v>0.110560842885721</v>
      </c>
      <c r="AL2413" s="2">
        <v>0.42261842103963698</v>
      </c>
      <c r="AM2413" s="2">
        <v>5881.8825384872498</v>
      </c>
      <c r="AN2413" s="2">
        <v>11.3728068210009</v>
      </c>
      <c r="AO2413" s="2">
        <v>7466.9142129027096</v>
      </c>
      <c r="AP2413" s="2">
        <v>3653.4837529780998</v>
      </c>
      <c r="AQ2413" s="2">
        <v>5840.1581718429197</v>
      </c>
      <c r="AR2413" s="2">
        <v>5471.3859579060299</v>
      </c>
      <c r="AS2413" s="2">
        <v>5977.0888934161003</v>
      </c>
      <c r="AT2413" s="2">
        <v>4306.29929808207</v>
      </c>
      <c r="AU2413" s="2">
        <v>8.559877937157E-6</v>
      </c>
      <c r="AV2413" s="2">
        <v>2047.3665479761801</v>
      </c>
      <c r="AW2413" s="2">
        <v>13.862463721566099</v>
      </c>
      <c r="AX2413" s="2">
        <v>484.91574656417299</v>
      </c>
    </row>
    <row r="2414" spans="1:50" x14ac:dyDescent="0.25">
      <c r="A2414" s="2" t="s">
        <v>16262</v>
      </c>
      <c r="B2414" s="2">
        <v>233.15437243089099</v>
      </c>
      <c r="C2414" s="2">
        <v>8.6778666666666702</v>
      </c>
      <c r="D2414" s="2" t="s">
        <v>51</v>
      </c>
      <c r="E2414" s="2" t="s">
        <v>16263</v>
      </c>
      <c r="F2414" s="2">
        <v>61069</v>
      </c>
      <c r="G2414" s="3" t="str">
        <f>HYPERLINK("https://cloud.oebiotech.com/#/lm/network/61069", "https://cloud.oebiotech.com/#/lm/network/61069")</f>
        <v>https://cloud.oebiotech.com/#/lm/network/61069</v>
      </c>
      <c r="H2414" s="2" t="s">
        <v>16264</v>
      </c>
      <c r="I2414" s="2">
        <v>92395</v>
      </c>
      <c r="J2414" s="2"/>
      <c r="K2414" s="2">
        <v>10015003</v>
      </c>
      <c r="L2414" s="2"/>
      <c r="M2414" s="2"/>
      <c r="N2414" s="2"/>
      <c r="O2414" s="2">
        <v>174306</v>
      </c>
      <c r="P2414" s="2"/>
      <c r="Q2414" s="2"/>
      <c r="R2414" s="2" t="s">
        <v>16265</v>
      </c>
      <c r="S2414" s="2" t="s">
        <v>16266</v>
      </c>
      <c r="T2414" s="2" t="s">
        <v>16267</v>
      </c>
      <c r="U2414" s="2" t="s">
        <v>56</v>
      </c>
      <c r="V2414" s="2" t="s">
        <v>177</v>
      </c>
      <c r="W2414" s="2" t="s">
        <v>806</v>
      </c>
      <c r="X2414" s="2" t="s">
        <v>83</v>
      </c>
      <c r="Y2414" s="2">
        <v>54.1</v>
      </c>
      <c r="Z2414" s="2">
        <v>33.299999999999997</v>
      </c>
      <c r="AA2414" s="2" t="s">
        <v>156</v>
      </c>
      <c r="AB2414" s="2" t="s">
        <v>8328</v>
      </c>
      <c r="AC2414" s="2">
        <v>3.0625446991366601</v>
      </c>
      <c r="AD2414" s="2"/>
      <c r="AE2414" s="2">
        <v>0.26569538608974103</v>
      </c>
      <c r="AF2414" s="2">
        <v>4437.2265446289402</v>
      </c>
      <c r="AG2414" s="2">
        <v>2881.1755791506898</v>
      </c>
      <c r="AH2414" s="5">
        <v>1.54007502241045</v>
      </c>
      <c r="AI2414" s="5">
        <v>0.62300063132487404</v>
      </c>
      <c r="AJ2414" s="5" t="s">
        <v>139</v>
      </c>
      <c r="AK2414" s="2">
        <v>1.6543288194269399E-2</v>
      </c>
      <c r="AL2414" s="2">
        <v>0.20292872315987101</v>
      </c>
      <c r="AM2414" s="2">
        <v>5208.4729382251599</v>
      </c>
      <c r="AN2414" s="2">
        <v>6011.3739535875602</v>
      </c>
      <c r="AO2414" s="2">
        <v>3741.40605657992</v>
      </c>
      <c r="AP2414" s="2">
        <v>3569.88347892098</v>
      </c>
      <c r="AQ2414" s="2">
        <v>3504.05583295314</v>
      </c>
      <c r="AR2414" s="2">
        <v>4588.1670075069096</v>
      </c>
      <c r="AS2414" s="2">
        <v>4074.2885541810001</v>
      </c>
      <c r="AT2414" s="2">
        <v>2880.9744672544998</v>
      </c>
      <c r="AU2414" s="2">
        <v>2933.4438978691501</v>
      </c>
      <c r="AV2414" s="2">
        <v>1843.24048976677</v>
      </c>
      <c r="AW2414" s="2">
        <v>2048.22258992359</v>
      </c>
      <c r="AX2414" s="2">
        <v>3506.8834759091201</v>
      </c>
    </row>
    <row r="2415" spans="1:50" x14ac:dyDescent="0.25">
      <c r="A2415" s="2" t="s">
        <v>16268</v>
      </c>
      <c r="B2415" s="2">
        <v>284.10823343132103</v>
      </c>
      <c r="C2415" s="2">
        <v>6.1052666666666697</v>
      </c>
      <c r="D2415" s="2" t="s">
        <v>51</v>
      </c>
      <c r="E2415" s="2" t="s">
        <v>16269</v>
      </c>
      <c r="F2415" s="2">
        <v>81817</v>
      </c>
      <c r="G2415" s="3" t="str">
        <f>HYPERLINK("https://cloud.oebiotech.com/#/lm/network/81817", "https://cloud.oebiotech.com/#/lm/network/81817")</f>
        <v>https://cloud.oebiotech.com/#/lm/network/81817</v>
      </c>
      <c r="H2415" s="2" t="s">
        <v>16270</v>
      </c>
      <c r="I2415" s="2"/>
      <c r="J2415" s="2"/>
      <c r="K2415" s="2">
        <v>124202115</v>
      </c>
      <c r="L2415" s="2"/>
      <c r="M2415" s="2"/>
      <c r="N2415" s="2"/>
      <c r="O2415" s="2">
        <v>89859</v>
      </c>
      <c r="P2415" s="2"/>
      <c r="Q2415" s="2"/>
      <c r="R2415" s="2"/>
      <c r="S2415" s="2" t="s">
        <v>16271</v>
      </c>
      <c r="T2415" s="2" t="s">
        <v>16272</v>
      </c>
      <c r="U2415" s="2" t="s">
        <v>56</v>
      </c>
      <c r="V2415" s="2" t="s">
        <v>145</v>
      </c>
      <c r="W2415" s="2" t="s">
        <v>16273</v>
      </c>
      <c r="X2415" s="2" t="s">
        <v>147</v>
      </c>
      <c r="Y2415" s="2">
        <v>38.299999999999997</v>
      </c>
      <c r="Z2415" s="2">
        <v>0.31</v>
      </c>
      <c r="AA2415" s="2" t="s">
        <v>395</v>
      </c>
      <c r="AB2415" s="2" t="s">
        <v>16274</v>
      </c>
      <c r="AC2415" s="2">
        <v>0.51141086390511403</v>
      </c>
      <c r="AD2415" s="2"/>
      <c r="AE2415" s="2">
        <v>0.26553791698203599</v>
      </c>
      <c r="AF2415" s="2">
        <v>5697.2065670579896</v>
      </c>
      <c r="AG2415" s="2">
        <v>3657.3413516270698</v>
      </c>
      <c r="AH2415" s="5">
        <v>1.55774537274828</v>
      </c>
      <c r="AI2415" s="5">
        <v>0.63945943141308503</v>
      </c>
      <c r="AJ2415" s="5" t="s">
        <v>139</v>
      </c>
      <c r="AK2415" s="2">
        <v>0.125959835629288</v>
      </c>
      <c r="AL2415" s="2">
        <v>0.44433959841419002</v>
      </c>
      <c r="AM2415" s="2">
        <v>7163.9080105080602</v>
      </c>
      <c r="AN2415" s="2">
        <v>9384.9295336748892</v>
      </c>
      <c r="AO2415" s="2">
        <v>3996.1412050377098</v>
      </c>
      <c r="AP2415" s="2">
        <v>4740.56164052845</v>
      </c>
      <c r="AQ2415" s="2">
        <v>4298.7905727736497</v>
      </c>
      <c r="AR2415" s="2">
        <v>4598.9084398251598</v>
      </c>
      <c r="AS2415" s="2">
        <v>4289.7799926570397</v>
      </c>
      <c r="AT2415" s="2">
        <v>1967.92629221175</v>
      </c>
      <c r="AU2415" s="2">
        <v>5575.6571548337197</v>
      </c>
      <c r="AV2415" s="2">
        <v>1277.40485287209</v>
      </c>
      <c r="AW2415" s="2">
        <v>2378.2171158807701</v>
      </c>
      <c r="AX2415" s="2">
        <v>6455.0627013070298</v>
      </c>
    </row>
    <row r="2416" spans="1:50" x14ac:dyDescent="0.25">
      <c r="A2416" s="2" t="s">
        <v>16275</v>
      </c>
      <c r="B2416" s="2">
        <v>155.070721781381</v>
      </c>
      <c r="C2416" s="2">
        <v>2.7461166666666701</v>
      </c>
      <c r="D2416" s="2" t="s">
        <v>51</v>
      </c>
      <c r="E2416" s="2" t="s">
        <v>16276</v>
      </c>
      <c r="F2416" s="2">
        <v>257002</v>
      </c>
      <c r="G2416" s="3" t="str">
        <f>HYPERLINK("https://cloud.oebiotech.com/#/lm/network/257002", "https://cloud.oebiotech.com/#/lm/network/257002")</f>
        <v>https://cloud.oebiotech.com/#/lm/network/257002</v>
      </c>
      <c r="H2416" s="2" t="s">
        <v>16277</v>
      </c>
      <c r="I2416" s="2"/>
      <c r="J2416" s="2"/>
      <c r="K2416" s="2">
        <v>25201144</v>
      </c>
      <c r="L2416" s="2"/>
      <c r="M2416" s="2"/>
      <c r="N2416" s="2"/>
      <c r="O2416" s="2"/>
      <c r="P2416" s="2"/>
      <c r="Q2416" s="2"/>
      <c r="R2416" s="2"/>
      <c r="S2416" s="2" t="s">
        <v>16278</v>
      </c>
      <c r="T2416" s="2" t="s">
        <v>16279</v>
      </c>
      <c r="U2416" s="2" t="s">
        <v>266</v>
      </c>
      <c r="V2416" s="2" t="s">
        <v>10648</v>
      </c>
      <c r="W2416" s="2" t="s">
        <v>10649</v>
      </c>
      <c r="X2416" s="2" t="s">
        <v>147</v>
      </c>
      <c r="Y2416" s="2">
        <v>38.299999999999997</v>
      </c>
      <c r="Z2416" s="2">
        <v>0</v>
      </c>
      <c r="AA2416" s="2" t="s">
        <v>122</v>
      </c>
      <c r="AB2416" s="2" t="s">
        <v>16280</v>
      </c>
      <c r="AC2416" s="2">
        <v>-0.62893889380373202</v>
      </c>
      <c r="AD2416" s="2"/>
      <c r="AE2416" s="2">
        <v>0.26541430796732601</v>
      </c>
      <c r="AF2416" s="2">
        <v>21505.396246460299</v>
      </c>
      <c r="AG2416" s="2">
        <v>25020.1672138053</v>
      </c>
      <c r="AH2416" s="4">
        <v>0.85952248291107702</v>
      </c>
      <c r="AI2416" s="4">
        <v>-0.21839271747594999</v>
      </c>
      <c r="AJ2416" s="4" t="s">
        <v>62</v>
      </c>
      <c r="AK2416" s="2">
        <v>0.16321584358907801</v>
      </c>
      <c r="AL2416" s="2">
        <v>0.48434324587146799</v>
      </c>
      <c r="AM2416" s="2">
        <v>19528.3430115052</v>
      </c>
      <c r="AN2416" s="2">
        <v>24291.185905399499</v>
      </c>
      <c r="AO2416" s="2">
        <v>22247.198119807599</v>
      </c>
      <c r="AP2416" s="2">
        <v>23479.2193532813</v>
      </c>
      <c r="AQ2416" s="2">
        <v>22564.601172734001</v>
      </c>
      <c r="AR2416" s="2">
        <v>16921.829916033999</v>
      </c>
      <c r="AS2416" s="2">
        <v>24388.6833095447</v>
      </c>
      <c r="AT2416" s="2">
        <v>32565.732051541199</v>
      </c>
      <c r="AU2416" s="2">
        <v>21122.514910898699</v>
      </c>
      <c r="AV2416" s="2">
        <v>18720.090440290402</v>
      </c>
      <c r="AW2416" s="2">
        <v>24693.595651406398</v>
      </c>
      <c r="AX2416" s="2">
        <v>28630.386919150402</v>
      </c>
    </row>
    <row r="2417" spans="1:50" x14ac:dyDescent="0.25">
      <c r="A2417" s="2" t="s">
        <v>16281</v>
      </c>
      <c r="B2417" s="2">
        <v>403.35832642240399</v>
      </c>
      <c r="C2417" s="2">
        <v>11.9600333333333</v>
      </c>
      <c r="D2417" s="2" t="s">
        <v>51</v>
      </c>
      <c r="E2417" s="2" t="s">
        <v>16282</v>
      </c>
      <c r="F2417" s="2">
        <v>43661</v>
      </c>
      <c r="G2417" s="3" t="str">
        <f>HYPERLINK("https://cloud.oebiotech.com/#/lm/network/43661", "https://cloud.oebiotech.com/#/lm/network/43661")</f>
        <v>https://cloud.oebiotech.com/#/lm/network/43661</v>
      </c>
      <c r="H2417" s="2"/>
      <c r="I2417" s="2">
        <v>83936</v>
      </c>
      <c r="J2417" s="2" t="s">
        <v>16283</v>
      </c>
      <c r="K2417" s="2">
        <v>25195167</v>
      </c>
      <c r="L2417" s="2"/>
      <c r="M2417" s="2"/>
      <c r="N2417" s="2"/>
      <c r="O2417" s="2"/>
      <c r="P2417" s="2"/>
      <c r="Q2417" s="2"/>
      <c r="R2417" s="2"/>
      <c r="S2417" s="2" t="s">
        <v>16284</v>
      </c>
      <c r="T2417" s="2" t="s">
        <v>16285</v>
      </c>
      <c r="U2417" s="2" t="s">
        <v>56</v>
      </c>
      <c r="V2417" s="2" t="s">
        <v>283</v>
      </c>
      <c r="W2417" s="2" t="s">
        <v>1108</v>
      </c>
      <c r="X2417" s="2" t="s">
        <v>83</v>
      </c>
      <c r="Y2417" s="2">
        <v>56.1</v>
      </c>
      <c r="Z2417" s="2">
        <v>0</v>
      </c>
      <c r="AA2417" s="2" t="s">
        <v>156</v>
      </c>
      <c r="AB2417" s="2" t="s">
        <v>7874</v>
      </c>
      <c r="AC2417" s="2">
        <v>3.0194912005889698</v>
      </c>
      <c r="AD2417" s="2"/>
      <c r="AE2417" s="2">
        <v>0.26535347228461598</v>
      </c>
      <c r="AF2417" s="2">
        <v>3644.56412679511</v>
      </c>
      <c r="AG2417" s="2">
        <v>1053.4663839192599</v>
      </c>
      <c r="AH2417" s="5">
        <v>3.4595922398929102</v>
      </c>
      <c r="AI2417" s="5">
        <v>1.7906020066044801</v>
      </c>
      <c r="AJ2417" s="5" t="s">
        <v>139</v>
      </c>
      <c r="AK2417" s="2">
        <v>5.6900759089941001E-2</v>
      </c>
      <c r="AL2417" s="2">
        <v>0.325203556477003</v>
      </c>
      <c r="AM2417" s="2">
        <v>2123.8428955774998</v>
      </c>
      <c r="AN2417" s="2">
        <v>6424.2783021826699</v>
      </c>
      <c r="AO2417" s="2">
        <v>1814.68038332934</v>
      </c>
      <c r="AP2417" s="2">
        <v>7898.8247614819702</v>
      </c>
      <c r="AQ2417" s="2">
        <v>980.49918002772904</v>
      </c>
      <c r="AR2417" s="2">
        <v>2625.2592381714699</v>
      </c>
      <c r="AS2417" s="2">
        <v>8.559877937157E-6</v>
      </c>
      <c r="AT2417" s="2">
        <v>1559.07904387334</v>
      </c>
      <c r="AU2417" s="2">
        <v>1242.2360685241299</v>
      </c>
      <c r="AV2417" s="2">
        <v>8.559877937157E-6</v>
      </c>
      <c r="AW2417" s="2">
        <v>2191.1099145942198</v>
      </c>
      <c r="AX2417" s="2">
        <v>1328.3732594041001</v>
      </c>
    </row>
    <row r="2418" spans="1:50" x14ac:dyDescent="0.25">
      <c r="A2418" s="2" t="s">
        <v>16286</v>
      </c>
      <c r="B2418" s="2">
        <v>215.13967198445701</v>
      </c>
      <c r="C2418" s="2">
        <v>1.74931666666667</v>
      </c>
      <c r="D2418" s="2" t="s">
        <v>51</v>
      </c>
      <c r="E2418" s="2" t="s">
        <v>16287</v>
      </c>
      <c r="F2418" s="2">
        <v>54151</v>
      </c>
      <c r="G2418" s="3" t="str">
        <f>HYPERLINK("https://cloud.oebiotech.com/#/lm/network/54151", "https://cloud.oebiotech.com/#/lm/network/54151")</f>
        <v>https://cloud.oebiotech.com/#/lm/network/54151</v>
      </c>
      <c r="H2418" s="2" t="s">
        <v>16288</v>
      </c>
      <c r="I2418" s="2">
        <v>23988</v>
      </c>
      <c r="J2418" s="2"/>
      <c r="K2418" s="2">
        <v>107475</v>
      </c>
      <c r="L2418" s="2"/>
      <c r="M2418" s="2"/>
      <c r="N2418" s="2"/>
      <c r="O2418" s="2">
        <v>73704</v>
      </c>
      <c r="P2418" s="2"/>
      <c r="Q2418" s="2"/>
      <c r="R2418" s="2" t="s">
        <v>16289</v>
      </c>
      <c r="S2418" s="2" t="s">
        <v>16290</v>
      </c>
      <c r="T2418" s="2" t="s">
        <v>16291</v>
      </c>
      <c r="U2418" s="2" t="s">
        <v>103</v>
      </c>
      <c r="V2418" s="2" t="s">
        <v>104</v>
      </c>
      <c r="W2418" s="2" t="s">
        <v>105</v>
      </c>
      <c r="X2418" s="2" t="s">
        <v>83</v>
      </c>
      <c r="Y2418" s="2">
        <v>45.6</v>
      </c>
      <c r="Z2418" s="2">
        <v>33.6</v>
      </c>
      <c r="AA2418" s="2" t="s">
        <v>163</v>
      </c>
      <c r="AB2418" s="2" t="s">
        <v>16292</v>
      </c>
      <c r="AC2418" s="2">
        <v>-2.0545851521970402</v>
      </c>
      <c r="AD2418" s="2"/>
      <c r="AE2418" s="2">
        <v>0.26524885870488901</v>
      </c>
      <c r="AF2418" s="2">
        <v>4727.9650996952096</v>
      </c>
      <c r="AG2418" s="2">
        <v>1296.5238224509101</v>
      </c>
      <c r="AH2418" s="5">
        <v>3.6466473024441699</v>
      </c>
      <c r="AI2418" s="5">
        <v>1.86657067139852</v>
      </c>
      <c r="AJ2418" s="5" t="s">
        <v>139</v>
      </c>
      <c r="AK2418" s="2">
        <v>0.20143895403894899</v>
      </c>
      <c r="AL2418" s="2">
        <v>0.524812102806965</v>
      </c>
      <c r="AM2418" s="2">
        <v>4567.6340206811201</v>
      </c>
      <c r="AN2418" s="2">
        <v>767.47494106649503</v>
      </c>
      <c r="AO2418" s="2">
        <v>415.40141207122502</v>
      </c>
      <c r="AP2418" s="2">
        <v>909.52254095121702</v>
      </c>
      <c r="AQ2418" s="2">
        <v>16070.221038539999</v>
      </c>
      <c r="AR2418" s="2">
        <v>5637.5366448612003</v>
      </c>
      <c r="AS2418" s="2">
        <v>64.748252403622701</v>
      </c>
      <c r="AT2418" s="2">
        <v>506.72488987406302</v>
      </c>
      <c r="AU2418" s="2">
        <v>3826.8707352213701</v>
      </c>
      <c r="AV2418" s="2">
        <v>2217.6971473952199</v>
      </c>
      <c r="AW2418" s="2">
        <v>319.40292384062701</v>
      </c>
      <c r="AX2418" s="2">
        <v>843.69898597055101</v>
      </c>
    </row>
    <row r="2419" spans="1:50" x14ac:dyDescent="0.25">
      <c r="A2419" s="2" t="s">
        <v>16293</v>
      </c>
      <c r="B2419" s="2">
        <v>372.31190831731902</v>
      </c>
      <c r="C2419" s="2">
        <v>9.5437499999999993</v>
      </c>
      <c r="D2419" s="2" t="s">
        <v>51</v>
      </c>
      <c r="E2419" s="2" t="s">
        <v>16294</v>
      </c>
      <c r="F2419" s="2">
        <v>197379</v>
      </c>
      <c r="G2419" s="3" t="str">
        <f>HYPERLINK("https://cloud.oebiotech.com/#/lm/network/197379", "https://cloud.oebiotech.com/#/lm/network/197379")</f>
        <v>https://cloud.oebiotech.com/#/lm/network/197379</v>
      </c>
      <c r="H2419" s="2" t="s">
        <v>16295</v>
      </c>
      <c r="I2419" s="2"/>
      <c r="J2419" s="2"/>
      <c r="K2419" s="2"/>
      <c r="L2419" s="2"/>
      <c r="M2419" s="2"/>
      <c r="N2419" s="2"/>
      <c r="O2419" s="2"/>
      <c r="P2419" s="2"/>
      <c r="Q2419" s="2"/>
      <c r="R2419" s="2"/>
      <c r="S2419" s="2" t="s">
        <v>16296</v>
      </c>
      <c r="T2419" s="2" t="s">
        <v>16297</v>
      </c>
      <c r="U2419" s="2" t="s">
        <v>56</v>
      </c>
      <c r="V2419" s="2" t="s">
        <v>145</v>
      </c>
      <c r="W2419" s="2" t="s">
        <v>1188</v>
      </c>
      <c r="X2419" s="2" t="s">
        <v>69</v>
      </c>
      <c r="Y2419" s="2">
        <v>53.8</v>
      </c>
      <c r="Z2419" s="2">
        <v>59.1</v>
      </c>
      <c r="AA2419" s="2" t="s">
        <v>259</v>
      </c>
      <c r="AB2419" s="2" t="s">
        <v>16298</v>
      </c>
      <c r="AC2419" s="2">
        <v>2.89005419935219</v>
      </c>
      <c r="AD2419" s="2"/>
      <c r="AE2419" s="2">
        <v>0.26486302484484298</v>
      </c>
      <c r="AF2419" s="2">
        <v>44688.5677065079</v>
      </c>
      <c r="AG2419" s="2">
        <v>37185.764591527397</v>
      </c>
      <c r="AH2419" s="5">
        <v>1.2017654658280199</v>
      </c>
      <c r="AI2419" s="5">
        <v>0.26515537000779199</v>
      </c>
      <c r="AJ2419" s="5" t="s">
        <v>139</v>
      </c>
      <c r="AK2419" s="2">
        <v>0.39292463747782702</v>
      </c>
      <c r="AL2419" s="2">
        <v>0.66558536006801206</v>
      </c>
      <c r="AM2419" s="2">
        <v>49983.085310126502</v>
      </c>
      <c r="AN2419" s="2">
        <v>29707.254952518499</v>
      </c>
      <c r="AO2419" s="2">
        <v>37783.890780850001</v>
      </c>
      <c r="AP2419" s="2">
        <v>73055.219451371493</v>
      </c>
      <c r="AQ2419" s="2">
        <v>41801.975883022198</v>
      </c>
      <c r="AR2419" s="2">
        <v>35799.979861158703</v>
      </c>
      <c r="AS2419" s="2">
        <v>29583.500895806701</v>
      </c>
      <c r="AT2419" s="2">
        <v>27031.205873954499</v>
      </c>
      <c r="AU2419" s="2">
        <v>46706.395684899697</v>
      </c>
      <c r="AV2419" s="2">
        <v>30576.697012157601</v>
      </c>
      <c r="AW2419" s="2">
        <v>60747.106254798702</v>
      </c>
      <c r="AX2419" s="2">
        <v>28469.681827547101</v>
      </c>
    </row>
    <row r="2420" spans="1:50" x14ac:dyDescent="0.25">
      <c r="A2420" s="2" t="s">
        <v>16299</v>
      </c>
      <c r="B2420" s="2">
        <v>387.15954246703598</v>
      </c>
      <c r="C2420" s="2">
        <v>4.6687166666666702</v>
      </c>
      <c r="D2420" s="2" t="s">
        <v>51</v>
      </c>
      <c r="E2420" s="2" t="s">
        <v>16300</v>
      </c>
      <c r="F2420" s="2">
        <v>206249</v>
      </c>
      <c r="G2420" s="3" t="str">
        <f>HYPERLINK("https://cloud.oebiotech.com/#/lm/network/206249", "https://cloud.oebiotech.com/#/lm/network/206249")</f>
        <v>https://cloud.oebiotech.com/#/lm/network/206249</v>
      </c>
      <c r="H2420" s="2" t="s">
        <v>16301</v>
      </c>
      <c r="I2420" s="2"/>
      <c r="J2420" s="2"/>
      <c r="K2420" s="2">
        <v>22417138</v>
      </c>
      <c r="L2420" s="2"/>
      <c r="M2420" s="2"/>
      <c r="N2420" s="2"/>
      <c r="O2420" s="2"/>
      <c r="P2420" s="2"/>
      <c r="Q2420" s="2"/>
      <c r="R2420" s="2"/>
      <c r="S2420" s="2" t="s">
        <v>16302</v>
      </c>
      <c r="T2420" s="2" t="s">
        <v>16303</v>
      </c>
      <c r="U2420" s="2" t="s">
        <v>266</v>
      </c>
      <c r="V2420" s="2" t="s">
        <v>1393</v>
      </c>
      <c r="W2420" s="2" t="s">
        <v>1643</v>
      </c>
      <c r="X2420" s="2" t="s">
        <v>147</v>
      </c>
      <c r="Y2420" s="2">
        <v>38.700000000000003</v>
      </c>
      <c r="Z2420" s="2">
        <v>0.30099999999999999</v>
      </c>
      <c r="AA2420" s="2" t="s">
        <v>122</v>
      </c>
      <c r="AB2420" s="2" t="s">
        <v>16304</v>
      </c>
      <c r="AC2420" s="2">
        <v>0.27882274403725299</v>
      </c>
      <c r="AD2420" s="2"/>
      <c r="AE2420" s="2">
        <v>0.26481617578721001</v>
      </c>
      <c r="AF2420" s="2">
        <v>11226.9684175535</v>
      </c>
      <c r="AG2420" s="2">
        <v>6569.0744822423903</v>
      </c>
      <c r="AH2420" s="5">
        <v>1.7090639553414</v>
      </c>
      <c r="AI2420" s="5">
        <v>0.77320638550291299</v>
      </c>
      <c r="AJ2420" s="5" t="s">
        <v>139</v>
      </c>
      <c r="AK2420" s="2">
        <v>0.57713760350564902</v>
      </c>
      <c r="AL2420" s="2">
        <v>0.78657023126793102</v>
      </c>
      <c r="AM2420" s="2">
        <v>42253.5610318865</v>
      </c>
      <c r="AN2420" s="2">
        <v>217.22667646297899</v>
      </c>
      <c r="AO2420" s="2">
        <v>284.80133767499399</v>
      </c>
      <c r="AP2420" s="2">
        <v>24606.0442813626</v>
      </c>
      <c r="AQ2420" s="2">
        <v>8.559877937157E-6</v>
      </c>
      <c r="AR2420" s="2">
        <v>0.17716937380285799</v>
      </c>
      <c r="AS2420" s="2">
        <v>14565.7818969666</v>
      </c>
      <c r="AT2420" s="2">
        <v>8.559877937157E-6</v>
      </c>
      <c r="AU2420" s="2">
        <v>3086.2226702879302</v>
      </c>
      <c r="AV2420" s="2">
        <v>240.11034880398</v>
      </c>
      <c r="AW2420" s="2">
        <v>2683.6345528912798</v>
      </c>
      <c r="AX2420" s="2">
        <v>18838.697415944702</v>
      </c>
    </row>
    <row r="2421" spans="1:50" x14ac:dyDescent="0.25">
      <c r="A2421" s="2" t="s">
        <v>16305</v>
      </c>
      <c r="B2421" s="2">
        <v>197.16536977794499</v>
      </c>
      <c r="C2421" s="2">
        <v>7.9849666666666703</v>
      </c>
      <c r="D2421" s="2" t="s">
        <v>51</v>
      </c>
      <c r="E2421" s="2" t="s">
        <v>16306</v>
      </c>
      <c r="F2421" s="2">
        <v>52748</v>
      </c>
      <c r="G2421" s="3" t="str">
        <f>HYPERLINK("https://cloud.oebiotech.com/#/lm/network/52748", "https://cloud.oebiotech.com/#/lm/network/52748")</f>
        <v>https://cloud.oebiotech.com/#/lm/network/52748</v>
      </c>
      <c r="H2421" s="2" t="s">
        <v>16307</v>
      </c>
      <c r="I2421" s="2">
        <v>1262</v>
      </c>
      <c r="J2421" s="2"/>
      <c r="K2421" s="2">
        <v>4178</v>
      </c>
      <c r="L2421" s="2" t="s">
        <v>16308</v>
      </c>
      <c r="M2421" s="2"/>
      <c r="N2421" s="2"/>
      <c r="O2421" s="2">
        <v>6916</v>
      </c>
      <c r="P2421" s="2"/>
      <c r="Q2421" s="2"/>
      <c r="R2421" s="2" t="s">
        <v>16309</v>
      </c>
      <c r="S2421" s="2" t="s">
        <v>16310</v>
      </c>
      <c r="T2421" s="2" t="s">
        <v>16311</v>
      </c>
      <c r="U2421" s="2" t="s">
        <v>610</v>
      </c>
      <c r="V2421" s="2" t="s">
        <v>4556</v>
      </c>
      <c r="W2421" s="2" t="s">
        <v>240</v>
      </c>
      <c r="X2421" s="2" t="s">
        <v>147</v>
      </c>
      <c r="Y2421" s="2">
        <v>38.5</v>
      </c>
      <c r="Z2421" s="2">
        <v>0</v>
      </c>
      <c r="AA2421" s="2" t="s">
        <v>512</v>
      </c>
      <c r="AB2421" s="2" t="s">
        <v>16312</v>
      </c>
      <c r="AC2421" s="2">
        <v>2.9591659364159901</v>
      </c>
      <c r="AD2421" s="2"/>
      <c r="AE2421" s="2">
        <v>0.26475271271971701</v>
      </c>
      <c r="AF2421" s="2">
        <v>3513.5162182812201</v>
      </c>
      <c r="AG2421" s="2">
        <v>1745.20395462741</v>
      </c>
      <c r="AH2421" s="5">
        <v>2.01324103636433</v>
      </c>
      <c r="AI2421" s="5">
        <v>1.0095199100386201</v>
      </c>
      <c r="AJ2421" s="5" t="s">
        <v>139</v>
      </c>
      <c r="AK2421" s="2">
        <v>0.17792795694567001</v>
      </c>
      <c r="AL2421" s="2">
        <v>0.50016964033448896</v>
      </c>
      <c r="AM2421" s="2">
        <v>6954.1465079060499</v>
      </c>
      <c r="AN2421" s="2">
        <v>1668.5078421747</v>
      </c>
      <c r="AO2421" s="2">
        <v>6674.0656860106001</v>
      </c>
      <c r="AP2421" s="2">
        <v>1553.8380468381999</v>
      </c>
      <c r="AQ2421" s="2">
        <v>1561.79415439285</v>
      </c>
      <c r="AR2421" s="2">
        <v>2668.7450723648999</v>
      </c>
      <c r="AS2421" s="2">
        <v>705.32564562940297</v>
      </c>
      <c r="AT2421" s="2">
        <v>1277.3358018189101</v>
      </c>
      <c r="AU2421" s="2">
        <v>4472.1033645267898</v>
      </c>
      <c r="AV2421" s="2">
        <v>1829.654345378</v>
      </c>
      <c r="AW2421" s="2">
        <v>1954.88283951482</v>
      </c>
      <c r="AX2421" s="2">
        <v>231.92173089652999</v>
      </c>
    </row>
    <row r="2422" spans="1:50" x14ac:dyDescent="0.25">
      <c r="A2422" s="2" t="s">
        <v>16313</v>
      </c>
      <c r="B2422" s="2">
        <v>238.108135504952</v>
      </c>
      <c r="C2422" s="2">
        <v>4.8935333333333304</v>
      </c>
      <c r="D2422" s="2" t="s">
        <v>51</v>
      </c>
      <c r="E2422" s="2" t="s">
        <v>16314</v>
      </c>
      <c r="F2422" s="2">
        <v>83445</v>
      </c>
      <c r="G2422" s="3" t="str">
        <f>HYPERLINK("https://cloud.oebiotech.com/#/lm/network/83445", "https://cloud.oebiotech.com/#/lm/network/83445")</f>
        <v>https://cloud.oebiotech.com/#/lm/network/83445</v>
      </c>
      <c r="H2422" s="2" t="s">
        <v>16315</v>
      </c>
      <c r="I2422" s="2"/>
      <c r="J2422" s="2"/>
      <c r="K2422" s="2">
        <v>11075454</v>
      </c>
      <c r="L2422" s="2"/>
      <c r="M2422" s="2"/>
      <c r="N2422" s="2"/>
      <c r="O2422" s="2"/>
      <c r="P2422" s="2"/>
      <c r="Q2422" s="2"/>
      <c r="R2422" s="2" t="s">
        <v>16316</v>
      </c>
      <c r="S2422" s="2" t="s">
        <v>16317</v>
      </c>
      <c r="T2422" s="2" t="s">
        <v>16318</v>
      </c>
      <c r="U2422" s="2" t="s">
        <v>103</v>
      </c>
      <c r="V2422" s="2" t="s">
        <v>104</v>
      </c>
      <c r="W2422" s="2" t="s">
        <v>105</v>
      </c>
      <c r="X2422" s="2" t="s">
        <v>69</v>
      </c>
      <c r="Y2422" s="2">
        <v>57.1</v>
      </c>
      <c r="Z2422" s="2">
        <v>84.3</v>
      </c>
      <c r="AA2422" s="2" t="s">
        <v>259</v>
      </c>
      <c r="AB2422" s="2" t="s">
        <v>16319</v>
      </c>
      <c r="AC2422" s="2">
        <v>3.1678975951716599</v>
      </c>
      <c r="AD2422" s="2"/>
      <c r="AE2422" s="2">
        <v>0.26455273329622397</v>
      </c>
      <c r="AF2422" s="2">
        <v>5839.9822297050296</v>
      </c>
      <c r="AG2422" s="2">
        <v>3454.3300712053601</v>
      </c>
      <c r="AH2422" s="5">
        <v>1.6906265786196899</v>
      </c>
      <c r="AI2422" s="5">
        <v>0.75755803605411998</v>
      </c>
      <c r="AJ2422" s="5" t="s">
        <v>139</v>
      </c>
      <c r="AK2422" s="2">
        <v>0.414361904010561</v>
      </c>
      <c r="AL2422" s="2">
        <v>0.67733111897321097</v>
      </c>
      <c r="AM2422" s="2">
        <v>18829.505927181399</v>
      </c>
      <c r="AN2422" s="2">
        <v>1649.5985502062399</v>
      </c>
      <c r="AO2422" s="2">
        <v>1616.47846218374</v>
      </c>
      <c r="AP2422" s="2">
        <v>6909.2906054218702</v>
      </c>
      <c r="AQ2422" s="2">
        <v>3989.85265206545</v>
      </c>
      <c r="AR2422" s="2">
        <v>2045.1671811715</v>
      </c>
      <c r="AS2422" s="2">
        <v>2300.5316996547699</v>
      </c>
      <c r="AT2422" s="2">
        <v>3789.8640852625099</v>
      </c>
      <c r="AU2422" s="2">
        <v>5580.0897465160097</v>
      </c>
      <c r="AV2422" s="2">
        <v>2828.7808782321999</v>
      </c>
      <c r="AW2422" s="2">
        <v>4808.9600410862904</v>
      </c>
      <c r="AX2422" s="2">
        <v>1417.7539764804001</v>
      </c>
    </row>
    <row r="2423" spans="1:50" x14ac:dyDescent="0.25">
      <c r="A2423" s="2" t="s">
        <v>16320</v>
      </c>
      <c r="B2423" s="2">
        <v>600.28518934304304</v>
      </c>
      <c r="C2423" s="2">
        <v>5.2853833333333302</v>
      </c>
      <c r="D2423" s="2" t="s">
        <v>51</v>
      </c>
      <c r="E2423" s="2" t="s">
        <v>16321</v>
      </c>
      <c r="F2423" s="2">
        <v>250024</v>
      </c>
      <c r="G2423" s="3" t="str">
        <f>HYPERLINK("https://cloud.oebiotech.com/#/lm/network/250024", "https://cloud.oebiotech.com/#/lm/network/250024")</f>
        <v>https://cloud.oebiotech.com/#/lm/network/250024</v>
      </c>
      <c r="H2423" s="2" t="s">
        <v>16322</v>
      </c>
      <c r="I2423" s="2"/>
      <c r="J2423" s="2"/>
      <c r="K2423" s="2"/>
      <c r="L2423" s="2"/>
      <c r="M2423" s="2"/>
      <c r="N2423" s="2"/>
      <c r="O2423" s="2"/>
      <c r="P2423" s="2"/>
      <c r="Q2423" s="2"/>
      <c r="R2423" s="2"/>
      <c r="S2423" s="2" t="s">
        <v>16323</v>
      </c>
      <c r="T2423" s="2" t="s">
        <v>16324</v>
      </c>
      <c r="U2423" s="2" t="s">
        <v>56</v>
      </c>
      <c r="V2423" s="2" t="s">
        <v>145</v>
      </c>
      <c r="W2423" s="2" t="s">
        <v>187</v>
      </c>
      <c r="X2423" s="2" t="s">
        <v>147</v>
      </c>
      <c r="Y2423" s="2">
        <v>37.6</v>
      </c>
      <c r="Z2423" s="2">
        <v>0.499</v>
      </c>
      <c r="AA2423" s="2" t="s">
        <v>218</v>
      </c>
      <c r="AB2423" s="2" t="s">
        <v>10224</v>
      </c>
      <c r="AC2423" s="2">
        <v>0.71687057032230606</v>
      </c>
      <c r="AD2423" s="2"/>
      <c r="AE2423" s="2">
        <v>0.26454232456946702</v>
      </c>
      <c r="AF2423" s="2">
        <v>2950.0185214267699</v>
      </c>
      <c r="AG2423" s="2">
        <v>9640.8787813850195</v>
      </c>
      <c r="AH2423" s="4">
        <v>0.30599062474707001</v>
      </c>
      <c r="AI2423" s="4">
        <v>-1.7084406440547699</v>
      </c>
      <c r="AJ2423" s="4" t="s">
        <v>62</v>
      </c>
      <c r="AK2423" s="2">
        <v>0.30122154156947301</v>
      </c>
      <c r="AL2423" s="2">
        <v>0.61055505990699699</v>
      </c>
      <c r="AM2423" s="2">
        <v>226.69893356698799</v>
      </c>
      <c r="AN2423" s="2">
        <v>1905.1614579754601</v>
      </c>
      <c r="AO2423" s="2">
        <v>4438.0634033726801</v>
      </c>
      <c r="AP2423" s="2">
        <v>8.559877937157E-6</v>
      </c>
      <c r="AQ2423" s="2">
        <v>3045.6322251225702</v>
      </c>
      <c r="AR2423" s="2">
        <v>8084.5550999630696</v>
      </c>
      <c r="AS2423" s="2">
        <v>13247.3887008199</v>
      </c>
      <c r="AT2423" s="2">
        <v>37746.369999718103</v>
      </c>
      <c r="AU2423" s="2">
        <v>6445.0787690526404</v>
      </c>
      <c r="AV2423" s="2">
        <v>8.559877937157E-6</v>
      </c>
      <c r="AW2423" s="2">
        <v>8.559877937157E-6</v>
      </c>
      <c r="AX2423" s="2">
        <v>406.43520159974503</v>
      </c>
    </row>
    <row r="2424" spans="1:50" x14ac:dyDescent="0.25">
      <c r="A2424" s="2" t="s">
        <v>16325</v>
      </c>
      <c r="B2424" s="2">
        <v>223.09722120331401</v>
      </c>
      <c r="C2424" s="2">
        <v>4.75423333333333</v>
      </c>
      <c r="D2424" s="2" t="s">
        <v>51</v>
      </c>
      <c r="E2424" s="2" t="s">
        <v>16326</v>
      </c>
      <c r="F2424" s="2">
        <v>254883</v>
      </c>
      <c r="G2424" s="3" t="str">
        <f>HYPERLINK("https://cloud.oebiotech.com/#/lm/network/254883", "https://cloud.oebiotech.com/#/lm/network/254883")</f>
        <v>https://cloud.oebiotech.com/#/lm/network/254883</v>
      </c>
      <c r="H2424" s="2" t="s">
        <v>16327</v>
      </c>
      <c r="I2424" s="2"/>
      <c r="J2424" s="2"/>
      <c r="K2424" s="2">
        <v>24869</v>
      </c>
      <c r="L2424" s="2"/>
      <c r="M2424" s="2"/>
      <c r="N2424" s="2"/>
      <c r="O2424" s="2"/>
      <c r="P2424" s="2"/>
      <c r="Q2424" s="2"/>
      <c r="R2424" s="2" t="s">
        <v>16328</v>
      </c>
      <c r="S2424" s="2" t="s">
        <v>16329</v>
      </c>
      <c r="T2424" s="2" t="s">
        <v>16330</v>
      </c>
      <c r="U2424" s="2" t="s">
        <v>266</v>
      </c>
      <c r="V2424" s="2" t="s">
        <v>11698</v>
      </c>
      <c r="W2424" s="2" t="s">
        <v>11699</v>
      </c>
      <c r="X2424" s="2" t="s">
        <v>83</v>
      </c>
      <c r="Y2424" s="2">
        <v>40.9</v>
      </c>
      <c r="Z2424" s="2">
        <v>1.74</v>
      </c>
      <c r="AA2424" s="2" t="s">
        <v>478</v>
      </c>
      <c r="AB2424" s="2" t="s">
        <v>16331</v>
      </c>
      <c r="AC2424" s="2">
        <v>-1.61244181762293</v>
      </c>
      <c r="AD2424" s="2"/>
      <c r="AE2424" s="2">
        <v>0.26421302459524798</v>
      </c>
      <c r="AF2424" s="2">
        <v>3738.15058534115</v>
      </c>
      <c r="AG2424" s="2">
        <v>1729.8930771448299</v>
      </c>
      <c r="AH2424" s="5">
        <v>2.1609142407292201</v>
      </c>
      <c r="AI2424" s="5">
        <v>1.11164181771813</v>
      </c>
      <c r="AJ2424" s="5" t="s">
        <v>139</v>
      </c>
      <c r="AK2424" s="2">
        <v>1.604993560601E-2</v>
      </c>
      <c r="AL2424" s="2">
        <v>0.19976617964964699</v>
      </c>
      <c r="AM2424" s="2">
        <v>4684.5722363463401</v>
      </c>
      <c r="AN2424" s="2">
        <v>2890.5362538557501</v>
      </c>
      <c r="AO2424" s="2">
        <v>2503.55591980591</v>
      </c>
      <c r="AP2424" s="2">
        <v>6715.7050428963703</v>
      </c>
      <c r="AQ2424" s="2">
        <v>2893.8388348656599</v>
      </c>
      <c r="AR2424" s="2">
        <v>2740.6952242768698</v>
      </c>
      <c r="AS2424" s="2">
        <v>2274.12432382927</v>
      </c>
      <c r="AT2424" s="2">
        <v>2116.3112255904198</v>
      </c>
      <c r="AU2424" s="2">
        <v>1650.55717795231</v>
      </c>
      <c r="AV2424" s="2">
        <v>1274.87357229847</v>
      </c>
      <c r="AW2424" s="2">
        <v>1622.17509613673</v>
      </c>
      <c r="AX2424" s="2">
        <v>1441.3170670617801</v>
      </c>
    </row>
    <row r="2425" spans="1:50" x14ac:dyDescent="0.25">
      <c r="A2425" s="2" t="s">
        <v>16332</v>
      </c>
      <c r="B2425" s="2">
        <v>291.15001072695702</v>
      </c>
      <c r="C2425" s="2">
        <v>8.9080499999999994</v>
      </c>
      <c r="D2425" s="2" t="s">
        <v>51</v>
      </c>
      <c r="E2425" s="2" t="s">
        <v>16333</v>
      </c>
      <c r="F2425" s="2">
        <v>64899</v>
      </c>
      <c r="G2425" s="3" t="str">
        <f>HYPERLINK("https://cloud.oebiotech.com/#/lm/network/64899", "https://cloud.oebiotech.com/#/lm/network/64899")</f>
        <v>https://cloud.oebiotech.com/#/lm/network/64899</v>
      </c>
      <c r="H2425" s="2" t="s">
        <v>16334</v>
      </c>
      <c r="I2425" s="2">
        <v>1727</v>
      </c>
      <c r="J2425" s="2"/>
      <c r="K2425" s="2">
        <v>95478</v>
      </c>
      <c r="L2425" s="2"/>
      <c r="M2425" s="2"/>
      <c r="N2425" s="2"/>
      <c r="O2425" s="2"/>
      <c r="P2425" s="2"/>
      <c r="Q2425" s="2"/>
      <c r="R2425" s="2" t="s">
        <v>16335</v>
      </c>
      <c r="S2425" s="2" t="s">
        <v>16336</v>
      </c>
      <c r="T2425" s="2" t="s">
        <v>16337</v>
      </c>
      <c r="U2425" s="2" t="s">
        <v>266</v>
      </c>
      <c r="V2425" s="2" t="s">
        <v>1393</v>
      </c>
      <c r="W2425" s="2" t="s">
        <v>4835</v>
      </c>
      <c r="X2425" s="2" t="s">
        <v>147</v>
      </c>
      <c r="Y2425" s="2">
        <v>38.9</v>
      </c>
      <c r="Z2425" s="2">
        <v>0</v>
      </c>
      <c r="AA2425" s="2" t="s">
        <v>122</v>
      </c>
      <c r="AB2425" s="2" t="s">
        <v>16338</v>
      </c>
      <c r="AC2425" s="2">
        <v>-0.73773936836126897</v>
      </c>
      <c r="AD2425" s="2"/>
      <c r="AE2425" s="2">
        <v>0.26395944066267601</v>
      </c>
      <c r="AF2425" s="2">
        <v>4690.6776814127797</v>
      </c>
      <c r="AG2425" s="2">
        <v>796.50016124313902</v>
      </c>
      <c r="AH2425" s="5">
        <v>5.8891107744307201</v>
      </c>
      <c r="AI2425" s="5">
        <v>2.5580498109371601</v>
      </c>
      <c r="AJ2425" s="5" t="s">
        <v>139</v>
      </c>
      <c r="AK2425" s="2">
        <v>0.166070417553075</v>
      </c>
      <c r="AL2425" s="2">
        <v>0.48810754884306401</v>
      </c>
      <c r="AM2425" s="2">
        <v>768.03303754094497</v>
      </c>
      <c r="AN2425" s="2">
        <v>932.47725270684498</v>
      </c>
      <c r="AO2425" s="2">
        <v>235.68942596010999</v>
      </c>
      <c r="AP2425" s="2">
        <v>638.19260642495999</v>
      </c>
      <c r="AQ2425" s="2">
        <v>13775.1373569185</v>
      </c>
      <c r="AR2425" s="2">
        <v>11794.5364089253</v>
      </c>
      <c r="AS2425" s="2">
        <v>706.57922940685398</v>
      </c>
      <c r="AT2425" s="2">
        <v>359.39637298485502</v>
      </c>
      <c r="AU2425" s="2">
        <v>2826.83556605493</v>
      </c>
      <c r="AV2425" s="2">
        <v>268.29379150725498</v>
      </c>
      <c r="AW2425" s="2">
        <v>272.256056505103</v>
      </c>
      <c r="AX2425" s="2">
        <v>345.63995099983902</v>
      </c>
    </row>
    <row r="2426" spans="1:50" x14ac:dyDescent="0.25">
      <c r="A2426" s="2" t="s">
        <v>16339</v>
      </c>
      <c r="B2426" s="2">
        <v>332.22088809080998</v>
      </c>
      <c r="C2426" s="2">
        <v>9.6046833333333304</v>
      </c>
      <c r="D2426" s="2" t="s">
        <v>51</v>
      </c>
      <c r="E2426" s="2" t="s">
        <v>16340</v>
      </c>
      <c r="F2426" s="2">
        <v>35958</v>
      </c>
      <c r="G2426" s="3" t="str">
        <f>HYPERLINK("https://cloud.oebiotech.com/#/lm/network/35958", "https://cloud.oebiotech.com/#/lm/network/35958")</f>
        <v>https://cloud.oebiotech.com/#/lm/network/35958</v>
      </c>
      <c r="H2426" s="2"/>
      <c r="I2426" s="2"/>
      <c r="J2426" s="2" t="s">
        <v>16341</v>
      </c>
      <c r="K2426" s="2"/>
      <c r="L2426" s="2"/>
      <c r="M2426" s="2"/>
      <c r="N2426" s="2"/>
      <c r="O2426" s="2"/>
      <c r="P2426" s="2"/>
      <c r="Q2426" s="2"/>
      <c r="R2426" s="2"/>
      <c r="S2426" s="2" t="s">
        <v>16342</v>
      </c>
      <c r="T2426" s="2" t="s">
        <v>16343</v>
      </c>
      <c r="U2426" s="2" t="s">
        <v>56</v>
      </c>
      <c r="V2426" s="2" t="s">
        <v>177</v>
      </c>
      <c r="W2426" s="2" t="s">
        <v>178</v>
      </c>
      <c r="X2426" s="2" t="s">
        <v>147</v>
      </c>
      <c r="Y2426" s="2">
        <v>38.299999999999997</v>
      </c>
      <c r="Z2426" s="2">
        <v>3.59</v>
      </c>
      <c r="AA2426" s="2" t="s">
        <v>512</v>
      </c>
      <c r="AB2426" s="2" t="s">
        <v>3988</v>
      </c>
      <c r="AC2426" s="2">
        <v>-3.60335527822452</v>
      </c>
      <c r="AD2426" s="2"/>
      <c r="AE2426" s="2">
        <v>0.263681884863881</v>
      </c>
      <c r="AF2426" s="2">
        <v>4958.1480753250698</v>
      </c>
      <c r="AG2426" s="2">
        <v>777.18390882521101</v>
      </c>
      <c r="AH2426" s="5">
        <v>6.3796329530545703</v>
      </c>
      <c r="AI2426" s="5">
        <v>2.6734734221028602</v>
      </c>
      <c r="AJ2426" s="5" t="s">
        <v>139</v>
      </c>
      <c r="AK2426" s="2">
        <v>0.28383280417573498</v>
      </c>
      <c r="AL2426" s="2">
        <v>0.60000138164408201</v>
      </c>
      <c r="AM2426" s="2">
        <v>8.559877937157E-6</v>
      </c>
      <c r="AN2426" s="2">
        <v>8.559877937157E-6</v>
      </c>
      <c r="AO2426" s="2">
        <v>7622.6405142293997</v>
      </c>
      <c r="AP2426" s="2">
        <v>8.559877937157E-6</v>
      </c>
      <c r="AQ2426" s="2">
        <v>22001.971918168201</v>
      </c>
      <c r="AR2426" s="2">
        <v>124.275993873177</v>
      </c>
      <c r="AS2426" s="2">
        <v>365.16798832042701</v>
      </c>
      <c r="AT2426" s="2">
        <v>8.559877937157E-6</v>
      </c>
      <c r="AU2426" s="2">
        <v>4198.6243388712201</v>
      </c>
      <c r="AV2426" s="2">
        <v>8.559877937157E-6</v>
      </c>
      <c r="AW2426" s="2">
        <v>94.254118469178493</v>
      </c>
      <c r="AX2426" s="2">
        <v>5.0569901706819298</v>
      </c>
    </row>
    <row r="2427" spans="1:50" x14ac:dyDescent="0.25">
      <c r="A2427" s="2" t="s">
        <v>16344</v>
      </c>
      <c r="B2427" s="2">
        <v>72.081621494373195</v>
      </c>
      <c r="C2427" s="2">
        <v>0.74455000000000005</v>
      </c>
      <c r="D2427" s="2" t="s">
        <v>51</v>
      </c>
      <c r="E2427" s="2" t="s">
        <v>16345</v>
      </c>
      <c r="F2427" s="2">
        <v>201299</v>
      </c>
      <c r="G2427" s="3" t="str">
        <f>HYPERLINK("https://cloud.oebiotech.com/#/lm/network/201299", "https://cloud.oebiotech.com/#/lm/network/201299")</f>
        <v>https://cloud.oebiotech.com/#/lm/network/201299</v>
      </c>
      <c r="H2427" s="2" t="s">
        <v>16346</v>
      </c>
      <c r="I2427" s="2"/>
      <c r="J2427" s="2"/>
      <c r="K2427" s="2">
        <v>1672</v>
      </c>
      <c r="L2427" s="2"/>
      <c r="M2427" s="2"/>
      <c r="N2427" s="2"/>
      <c r="O2427" s="2"/>
      <c r="P2427" s="2"/>
      <c r="Q2427" s="2"/>
      <c r="R2427" s="2"/>
      <c r="S2427" s="2" t="s">
        <v>16347</v>
      </c>
      <c r="T2427" s="2" t="s">
        <v>16348</v>
      </c>
      <c r="U2427" s="2" t="s">
        <v>331</v>
      </c>
      <c r="V2427" s="2" t="s">
        <v>332</v>
      </c>
      <c r="W2427" s="2" t="s">
        <v>511</v>
      </c>
      <c r="X2427" s="2" t="s">
        <v>69</v>
      </c>
      <c r="Y2427" s="2">
        <v>68</v>
      </c>
      <c r="Z2427" s="2">
        <v>97.9</v>
      </c>
      <c r="AA2427" s="2" t="s">
        <v>156</v>
      </c>
      <c r="AB2427" s="2" t="s">
        <v>12831</v>
      </c>
      <c r="AC2427" s="2">
        <v>9.4940352455988197</v>
      </c>
      <c r="AD2427" s="2"/>
      <c r="AE2427" s="2">
        <v>0.26353081516578403</v>
      </c>
      <c r="AF2427" s="2">
        <v>155696.606002577</v>
      </c>
      <c r="AG2427" s="2">
        <v>167717.19601838299</v>
      </c>
      <c r="AH2427" s="4">
        <v>0.92832821975816704</v>
      </c>
      <c r="AI2427" s="4">
        <v>-0.107293120031811</v>
      </c>
      <c r="AJ2427" s="4" t="s">
        <v>62</v>
      </c>
      <c r="AK2427" s="2">
        <v>0.67390268645383</v>
      </c>
      <c r="AL2427" s="2">
        <v>0.84213013038863205</v>
      </c>
      <c r="AM2427" s="2">
        <v>147528.87395957901</v>
      </c>
      <c r="AN2427" s="2">
        <v>238999.412785419</v>
      </c>
      <c r="AO2427" s="2">
        <v>129155.97907623601</v>
      </c>
      <c r="AP2427" s="2">
        <v>158852.96869442301</v>
      </c>
      <c r="AQ2427" s="2">
        <v>114253.895485288</v>
      </c>
      <c r="AR2427" s="2">
        <v>145388.506014518</v>
      </c>
      <c r="AS2427" s="2">
        <v>87487.307563164504</v>
      </c>
      <c r="AT2427" s="2">
        <v>129837.875981401</v>
      </c>
      <c r="AU2427" s="2">
        <v>190447.80870708701</v>
      </c>
      <c r="AV2427" s="2">
        <v>178531.85815097799</v>
      </c>
      <c r="AW2427" s="2">
        <v>183077.36839617699</v>
      </c>
      <c r="AX2427" s="2">
        <v>236920.95731149099</v>
      </c>
    </row>
    <row r="2428" spans="1:50" x14ac:dyDescent="0.25">
      <c r="A2428" s="2" t="s">
        <v>16349</v>
      </c>
      <c r="B2428" s="2">
        <v>317.11586318590503</v>
      </c>
      <c r="C2428" s="2">
        <v>0.63544999999999996</v>
      </c>
      <c r="D2428" s="2" t="s">
        <v>51</v>
      </c>
      <c r="E2428" s="2" t="s">
        <v>16350</v>
      </c>
      <c r="F2428" s="2">
        <v>37455</v>
      </c>
      <c r="G2428" s="3" t="str">
        <f>HYPERLINK("https://cloud.oebiotech.com/#/lm/network/37455", "https://cloud.oebiotech.com/#/lm/network/37455")</f>
        <v>https://cloud.oebiotech.com/#/lm/network/37455</v>
      </c>
      <c r="H2428" s="2"/>
      <c r="I2428" s="2">
        <v>53844</v>
      </c>
      <c r="J2428" s="2" t="s">
        <v>16351</v>
      </c>
      <c r="K2428" s="2">
        <v>52929836</v>
      </c>
      <c r="L2428" s="2"/>
      <c r="M2428" s="2"/>
      <c r="N2428" s="2"/>
      <c r="O2428" s="2">
        <v>137827</v>
      </c>
      <c r="P2428" s="2"/>
      <c r="Q2428" s="2"/>
      <c r="R2428" s="2"/>
      <c r="S2428" s="2" t="s">
        <v>16352</v>
      </c>
      <c r="T2428" s="2" t="s">
        <v>16353</v>
      </c>
      <c r="U2428" s="2" t="s">
        <v>56</v>
      </c>
      <c r="V2428" s="2" t="s">
        <v>177</v>
      </c>
      <c r="W2428" s="2" t="s">
        <v>806</v>
      </c>
      <c r="X2428" s="2" t="s">
        <v>147</v>
      </c>
      <c r="Y2428" s="2">
        <v>37.700000000000003</v>
      </c>
      <c r="Z2428" s="2">
        <v>5.84</v>
      </c>
      <c r="AA2428" s="2" t="s">
        <v>395</v>
      </c>
      <c r="AB2428" s="2" t="s">
        <v>16354</v>
      </c>
      <c r="AC2428" s="2">
        <v>3.2209825544468198</v>
      </c>
      <c r="AD2428" s="2"/>
      <c r="AE2428" s="2">
        <v>0.26348697511064101</v>
      </c>
      <c r="AF2428" s="2">
        <v>7107.5891351443797</v>
      </c>
      <c r="AG2428" s="2">
        <v>4337.7856901158602</v>
      </c>
      <c r="AH2428" s="5">
        <v>1.6385293425951899</v>
      </c>
      <c r="AI2428" s="5">
        <v>0.71240150872902697</v>
      </c>
      <c r="AJ2428" s="5" t="s">
        <v>139</v>
      </c>
      <c r="AK2428" s="2">
        <v>0.180899491795354</v>
      </c>
      <c r="AL2428" s="2">
        <v>0.50364855079524795</v>
      </c>
      <c r="AM2428" s="2">
        <v>8214.6425862156393</v>
      </c>
      <c r="AN2428" s="2">
        <v>7758.2000481927298</v>
      </c>
      <c r="AO2428" s="2">
        <v>4258.7945282713199</v>
      </c>
      <c r="AP2428" s="2">
        <v>11117.766307690899</v>
      </c>
      <c r="AQ2428" s="2">
        <v>10449.994172840199</v>
      </c>
      <c r="AR2428" s="2">
        <v>846.13716765547497</v>
      </c>
      <c r="AS2428" s="2">
        <v>1329.3362235422401</v>
      </c>
      <c r="AT2428" s="2">
        <v>8378.4666198556297</v>
      </c>
      <c r="AU2428" s="2">
        <v>2972.2767767176001</v>
      </c>
      <c r="AV2428" s="2">
        <v>5753.3310398245503</v>
      </c>
      <c r="AW2428" s="2">
        <v>5409.0383901303103</v>
      </c>
      <c r="AX2428" s="2">
        <v>2184.26509062482</v>
      </c>
    </row>
    <row r="2429" spans="1:50" x14ac:dyDescent="0.25">
      <c r="A2429" s="2" t="s">
        <v>16355</v>
      </c>
      <c r="B2429" s="2">
        <v>135.00321842547001</v>
      </c>
      <c r="C2429" s="2">
        <v>0.63544999999999996</v>
      </c>
      <c r="D2429" s="2" t="s">
        <v>51</v>
      </c>
      <c r="E2429" s="2" t="s">
        <v>16356</v>
      </c>
      <c r="F2429" s="2">
        <v>199566</v>
      </c>
      <c r="G2429" s="3" t="str">
        <f>HYPERLINK("https://cloud.oebiotech.com/#/lm/network/199566", "https://cloud.oebiotech.com/#/lm/network/199566")</f>
        <v>https://cloud.oebiotech.com/#/lm/network/199566</v>
      </c>
      <c r="H2429" s="2" t="s">
        <v>16357</v>
      </c>
      <c r="I2429" s="2">
        <v>328030</v>
      </c>
      <c r="J2429" s="2"/>
      <c r="K2429" s="2">
        <v>12722</v>
      </c>
      <c r="L2429" s="2"/>
      <c r="M2429" s="2"/>
      <c r="N2429" s="2"/>
      <c r="O2429" s="2"/>
      <c r="P2429" s="2"/>
      <c r="Q2429" s="2"/>
      <c r="R2429" s="2"/>
      <c r="S2429" s="2" t="s">
        <v>16358</v>
      </c>
      <c r="T2429" s="2" t="s">
        <v>16359</v>
      </c>
      <c r="U2429" s="2" t="s">
        <v>1357</v>
      </c>
      <c r="V2429" s="2" t="s">
        <v>11149</v>
      </c>
      <c r="W2429" s="2" t="s">
        <v>240</v>
      </c>
      <c r="X2429" s="2" t="s">
        <v>147</v>
      </c>
      <c r="Y2429" s="2">
        <v>39.200000000000003</v>
      </c>
      <c r="Z2429" s="2">
        <v>0</v>
      </c>
      <c r="AA2429" s="2" t="s">
        <v>156</v>
      </c>
      <c r="AB2429" s="2" t="s">
        <v>16360</v>
      </c>
      <c r="AC2429" s="2">
        <v>2.87680177397027</v>
      </c>
      <c r="AD2429" s="2"/>
      <c r="AE2429" s="2">
        <v>0.26345398280989302</v>
      </c>
      <c r="AF2429" s="2">
        <v>39242.422608396701</v>
      </c>
      <c r="AG2429" s="2">
        <v>42821.178524228999</v>
      </c>
      <c r="AH2429" s="4">
        <v>0.91642556232291805</v>
      </c>
      <c r="AI2429" s="4">
        <v>-0.12591039385917299</v>
      </c>
      <c r="AJ2429" s="4" t="s">
        <v>62</v>
      </c>
      <c r="AK2429" s="2">
        <v>0.42228268628257198</v>
      </c>
      <c r="AL2429" s="2">
        <v>0.683406571622166</v>
      </c>
      <c r="AM2429" s="2">
        <v>31372.867604828301</v>
      </c>
      <c r="AN2429" s="2">
        <v>55415.859077169502</v>
      </c>
      <c r="AO2429" s="2">
        <v>38288.1086474111</v>
      </c>
      <c r="AP2429" s="2">
        <v>38838.724936322396</v>
      </c>
      <c r="AQ2429" s="2">
        <v>39434.622422700697</v>
      </c>
      <c r="AR2429" s="2">
        <v>32104.352961948</v>
      </c>
      <c r="AS2429" s="2">
        <v>47137.411027466602</v>
      </c>
      <c r="AT2429" s="2">
        <v>44173.221199822197</v>
      </c>
      <c r="AU2429" s="2">
        <v>31195.908350019901</v>
      </c>
      <c r="AV2429" s="2">
        <v>44963.780478460903</v>
      </c>
      <c r="AW2429" s="2">
        <v>46422.790400787198</v>
      </c>
      <c r="AX2429" s="2">
        <v>43033.9596888175</v>
      </c>
    </row>
    <row r="2430" spans="1:50" x14ac:dyDescent="0.25">
      <c r="A2430" s="2" t="s">
        <v>16361</v>
      </c>
      <c r="B2430" s="2">
        <v>437.16204657123302</v>
      </c>
      <c r="C2430" s="2">
        <v>6.2990333333333304</v>
      </c>
      <c r="D2430" s="2" t="s">
        <v>51</v>
      </c>
      <c r="E2430" s="2" t="s">
        <v>16362</v>
      </c>
      <c r="F2430" s="2">
        <v>201281</v>
      </c>
      <c r="G2430" s="3" t="str">
        <f>HYPERLINK("https://cloud.oebiotech.com/#/lm/network/201281", "https://cloud.oebiotech.com/#/lm/network/201281")</f>
        <v>https://cloud.oebiotech.com/#/lm/network/201281</v>
      </c>
      <c r="H2430" s="2" t="s">
        <v>16363</v>
      </c>
      <c r="I2430" s="2"/>
      <c r="J2430" s="2"/>
      <c r="K2430" s="2">
        <v>128095</v>
      </c>
      <c r="L2430" s="2"/>
      <c r="M2430" s="2"/>
      <c r="N2430" s="2"/>
      <c r="O2430" s="2"/>
      <c r="P2430" s="2"/>
      <c r="Q2430" s="2"/>
      <c r="R2430" s="2"/>
      <c r="S2430" s="2" t="s">
        <v>16364</v>
      </c>
      <c r="T2430" s="2" t="s">
        <v>16365</v>
      </c>
      <c r="U2430" s="2" t="s">
        <v>540</v>
      </c>
      <c r="V2430" s="2" t="s">
        <v>1826</v>
      </c>
      <c r="W2430" s="2" t="s">
        <v>240</v>
      </c>
      <c r="X2430" s="2" t="s">
        <v>69</v>
      </c>
      <c r="Y2430" s="2">
        <v>51.9</v>
      </c>
      <c r="Z2430" s="2">
        <v>85</v>
      </c>
      <c r="AA2430" s="2" t="s">
        <v>379</v>
      </c>
      <c r="AB2430" s="2" t="s">
        <v>16366</v>
      </c>
      <c r="AC2430" s="2">
        <v>-3.7209451064152099</v>
      </c>
      <c r="AD2430" s="2"/>
      <c r="AE2430" s="2">
        <v>0.263422020035249</v>
      </c>
      <c r="AF2430" s="2">
        <v>5627.0124696118801</v>
      </c>
      <c r="AG2430" s="2">
        <v>8587.5962473100299</v>
      </c>
      <c r="AH2430" s="4">
        <v>0.65524883885574803</v>
      </c>
      <c r="AI2430" s="4">
        <v>-0.60988520288237402</v>
      </c>
      <c r="AJ2430" s="4" t="s">
        <v>62</v>
      </c>
      <c r="AK2430" s="2">
        <v>0.44984075830730502</v>
      </c>
      <c r="AL2430" s="2">
        <v>0.70407682969872998</v>
      </c>
      <c r="AM2430" s="2">
        <v>654.78462623111898</v>
      </c>
      <c r="AN2430" s="2">
        <v>2486.7997740948099</v>
      </c>
      <c r="AO2430" s="2">
        <v>16218.918110667501</v>
      </c>
      <c r="AP2430" s="2">
        <v>10664.861293197</v>
      </c>
      <c r="AQ2430" s="2">
        <v>2781.54040698066</v>
      </c>
      <c r="AR2430" s="2">
        <v>955.17060650016197</v>
      </c>
      <c r="AS2430" s="2">
        <v>5626.7916087800704</v>
      </c>
      <c r="AT2430" s="2">
        <v>5515.3280274672798</v>
      </c>
      <c r="AU2430" s="2">
        <v>4180.2128120423804</v>
      </c>
      <c r="AV2430" s="2">
        <v>21652.4579223695</v>
      </c>
      <c r="AW2430" s="2">
        <v>9652.9465306327602</v>
      </c>
      <c r="AX2430" s="2">
        <v>4897.8405825681903</v>
      </c>
    </row>
    <row r="2431" spans="1:50" x14ac:dyDescent="0.25">
      <c r="A2431" s="2" t="s">
        <v>16367</v>
      </c>
      <c r="B2431" s="2">
        <v>371.30869999999999</v>
      </c>
      <c r="C2431" s="2">
        <v>24.742999999999999</v>
      </c>
      <c r="D2431" s="2" t="s">
        <v>125</v>
      </c>
      <c r="E2431" s="2" t="s">
        <v>16368</v>
      </c>
      <c r="F2431" s="2">
        <v>10439</v>
      </c>
      <c r="G2431" s="3" t="str">
        <f>HYPERLINK("https://cloud.oebiotech.com/#/lm/network/10439", "https://cloud.oebiotech.com/#/lm/network/10439")</f>
        <v>https://cloud.oebiotech.com/#/lm/network/10439</v>
      </c>
      <c r="H2431" s="2" t="s">
        <v>16369</v>
      </c>
      <c r="I2431" s="2">
        <v>3855</v>
      </c>
      <c r="J2431" s="2" t="s">
        <v>16370</v>
      </c>
      <c r="K2431" s="2">
        <v>3084463</v>
      </c>
      <c r="L2431" s="2"/>
      <c r="M2431" s="2"/>
      <c r="N2431" s="2"/>
      <c r="O2431" s="2">
        <v>75542</v>
      </c>
      <c r="P2431" s="2"/>
      <c r="Q2431" s="2"/>
      <c r="R2431" s="2" t="s">
        <v>16371</v>
      </c>
      <c r="S2431" s="2" t="s">
        <v>16372</v>
      </c>
      <c r="T2431" s="2" t="s">
        <v>16373</v>
      </c>
      <c r="U2431" s="2" t="s">
        <v>56</v>
      </c>
      <c r="V2431" s="2" t="s">
        <v>3215</v>
      </c>
      <c r="W2431" s="2" t="s">
        <v>4174</v>
      </c>
      <c r="X2431" s="2" t="s">
        <v>69</v>
      </c>
      <c r="Y2431" s="2">
        <v>95.2</v>
      </c>
      <c r="Z2431" s="2">
        <v>99.5</v>
      </c>
      <c r="AA2431" s="2"/>
      <c r="AB2431" s="2" t="s">
        <v>16374</v>
      </c>
      <c r="AC2431" s="2"/>
      <c r="AD2431" s="2">
        <v>902472.40532241599</v>
      </c>
      <c r="AE2431" s="2">
        <v>0.26320250067808398</v>
      </c>
      <c r="AF2431" s="2">
        <v>130592.411599114</v>
      </c>
      <c r="AG2431" s="2">
        <v>156946.740329172</v>
      </c>
      <c r="AH2431" s="4">
        <v>0.83208106982799501</v>
      </c>
      <c r="AI2431" s="4">
        <v>-0.26520399760157498</v>
      </c>
      <c r="AJ2431" s="4" t="s">
        <v>62</v>
      </c>
      <c r="AK2431" s="2">
        <v>0.14914509494601899</v>
      </c>
      <c r="AL2431" s="2">
        <v>0.47024664296044399</v>
      </c>
      <c r="AM2431" s="2">
        <v>135453.571394144</v>
      </c>
      <c r="AN2431" s="2">
        <v>127817.321888526</v>
      </c>
      <c r="AO2431" s="2">
        <v>120698.107923982</v>
      </c>
      <c r="AP2431" s="2">
        <v>101271.90058256099</v>
      </c>
      <c r="AQ2431" s="2">
        <v>189497.177342143</v>
      </c>
      <c r="AR2431" s="2">
        <v>108816.39046332501</v>
      </c>
      <c r="AS2431" s="2">
        <v>161839.200926174</v>
      </c>
      <c r="AT2431" s="2">
        <v>130096.066475207</v>
      </c>
      <c r="AU2431" s="2">
        <v>196809.63103112701</v>
      </c>
      <c r="AV2431" s="2">
        <v>164318.497690972</v>
      </c>
      <c r="AW2431" s="2">
        <v>165401.768996534</v>
      </c>
      <c r="AX2431" s="2">
        <v>123215.27685501501</v>
      </c>
    </row>
    <row r="2432" spans="1:50" x14ac:dyDescent="0.25">
      <c r="A2432" s="2" t="s">
        <v>16375</v>
      </c>
      <c r="B2432" s="2">
        <v>445.054173651756</v>
      </c>
      <c r="C2432" s="2">
        <v>0.61688333333333301</v>
      </c>
      <c r="D2432" s="2" t="s">
        <v>51</v>
      </c>
      <c r="E2432" s="2" t="s">
        <v>16376</v>
      </c>
      <c r="F2432" s="2">
        <v>47655</v>
      </c>
      <c r="G2432" s="3" t="str">
        <f>HYPERLINK("https://cloud.oebiotech.com/#/lm/network/47655", "https://cloud.oebiotech.com/#/lm/network/47655")</f>
        <v>https://cloud.oebiotech.com/#/lm/network/47655</v>
      </c>
      <c r="H2432" s="2" t="s">
        <v>16377</v>
      </c>
      <c r="I2432" s="2">
        <v>3538</v>
      </c>
      <c r="J2432" s="2"/>
      <c r="K2432" s="2">
        <v>123727</v>
      </c>
      <c r="L2432" s="2" t="s">
        <v>16378</v>
      </c>
      <c r="M2432" s="2" t="s">
        <v>8913</v>
      </c>
      <c r="N2432" s="2" t="s">
        <v>8914</v>
      </c>
      <c r="O2432" s="2">
        <v>16732</v>
      </c>
      <c r="P2432" s="2"/>
      <c r="Q2432" s="2"/>
      <c r="R2432" s="2" t="s">
        <v>16379</v>
      </c>
      <c r="S2432" s="2" t="s">
        <v>16380</v>
      </c>
      <c r="T2432" s="2" t="s">
        <v>16381</v>
      </c>
      <c r="U2432" s="2" t="s">
        <v>295</v>
      </c>
      <c r="V2432" s="2" t="s">
        <v>296</v>
      </c>
      <c r="W2432" s="2" t="s">
        <v>3973</v>
      </c>
      <c r="X2432" s="2" t="s">
        <v>83</v>
      </c>
      <c r="Y2432" s="2">
        <v>37.299999999999997</v>
      </c>
      <c r="Z2432" s="2">
        <v>0</v>
      </c>
      <c r="AA2432" s="2" t="s">
        <v>163</v>
      </c>
      <c r="AB2432" s="2" t="s">
        <v>16382</v>
      </c>
      <c r="AC2432" s="2">
        <v>2.3973166909167798</v>
      </c>
      <c r="AD2432" s="2"/>
      <c r="AE2432" s="2">
        <v>0.26291119860965301</v>
      </c>
      <c r="AF2432" s="2">
        <v>4670.0226606923798</v>
      </c>
      <c r="AG2432" s="2">
        <v>7589.9481647871298</v>
      </c>
      <c r="AH2432" s="4">
        <v>0.61529045512570502</v>
      </c>
      <c r="AI2432" s="4">
        <v>-0.70066048240633005</v>
      </c>
      <c r="AJ2432" s="4" t="s">
        <v>62</v>
      </c>
      <c r="AK2432" s="2">
        <v>0.36742205005472101</v>
      </c>
      <c r="AL2432" s="2">
        <v>0.65211896511952605</v>
      </c>
      <c r="AM2432" s="2">
        <v>4504.5268288802599</v>
      </c>
      <c r="AN2432" s="2">
        <v>6613.6814919787803</v>
      </c>
      <c r="AO2432" s="2">
        <v>2466.17549818619</v>
      </c>
      <c r="AP2432" s="2">
        <v>5353.0288519101096</v>
      </c>
      <c r="AQ2432" s="2">
        <v>4916.7449012577799</v>
      </c>
      <c r="AR2432" s="2">
        <v>4165.9783919411602</v>
      </c>
      <c r="AS2432" s="2">
        <v>1989.7004514329201</v>
      </c>
      <c r="AT2432" s="2">
        <v>1056.9295593235199</v>
      </c>
      <c r="AU2432" s="2">
        <v>4358.9384343935399</v>
      </c>
      <c r="AV2432" s="2">
        <v>18792.384615654501</v>
      </c>
      <c r="AW2432" s="2">
        <v>4241.8060119620704</v>
      </c>
      <c r="AX2432" s="2">
        <v>15099.9299159562</v>
      </c>
    </row>
    <row r="2433" spans="1:50" x14ac:dyDescent="0.25">
      <c r="A2433" s="2" t="s">
        <v>16383</v>
      </c>
      <c r="B2433" s="2">
        <v>590.42804081681095</v>
      </c>
      <c r="C2433" s="2">
        <v>11.431950000000001</v>
      </c>
      <c r="D2433" s="2" t="s">
        <v>51</v>
      </c>
      <c r="E2433" s="2" t="s">
        <v>16384</v>
      </c>
      <c r="F2433" s="2">
        <v>206150</v>
      </c>
      <c r="G2433" s="3" t="str">
        <f>HYPERLINK("https://cloud.oebiotech.com/#/lm/network/206150", "https://cloud.oebiotech.com/#/lm/network/206150")</f>
        <v>https://cloud.oebiotech.com/#/lm/network/206150</v>
      </c>
      <c r="H2433" s="2" t="s">
        <v>16385</v>
      </c>
      <c r="I2433" s="2"/>
      <c r="J2433" s="2"/>
      <c r="K2433" s="2">
        <v>138397764</v>
      </c>
      <c r="L2433" s="2"/>
      <c r="M2433" s="2"/>
      <c r="N2433" s="2"/>
      <c r="O2433" s="2"/>
      <c r="P2433" s="2"/>
      <c r="Q2433" s="2"/>
      <c r="R2433" s="2"/>
      <c r="S2433" s="2" t="s">
        <v>16386</v>
      </c>
      <c r="T2433" s="2" t="s">
        <v>16387</v>
      </c>
      <c r="U2433" s="2" t="s">
        <v>266</v>
      </c>
      <c r="V2433" s="2" t="s">
        <v>2143</v>
      </c>
      <c r="W2433" s="2" t="s">
        <v>16388</v>
      </c>
      <c r="X2433" s="2" t="s">
        <v>59</v>
      </c>
      <c r="Y2433" s="2">
        <v>45.8</v>
      </c>
      <c r="Z2433" s="2">
        <v>60.2</v>
      </c>
      <c r="AA2433" s="2" t="s">
        <v>512</v>
      </c>
      <c r="AB2433" s="2" t="s">
        <v>16389</v>
      </c>
      <c r="AC2433" s="2">
        <v>-2.1119982582069698</v>
      </c>
      <c r="AD2433" s="2"/>
      <c r="AE2433" s="2">
        <v>0.26276810050927102</v>
      </c>
      <c r="AF2433" s="2">
        <v>50367.354376800497</v>
      </c>
      <c r="AG2433" s="2">
        <v>55554.121878329097</v>
      </c>
      <c r="AH2433" s="4">
        <v>0.90663577559756503</v>
      </c>
      <c r="AI2433" s="4">
        <v>-0.14140500419197199</v>
      </c>
      <c r="AJ2433" s="4" t="s">
        <v>62</v>
      </c>
      <c r="AK2433" s="2">
        <v>0.70016132095491301</v>
      </c>
      <c r="AL2433" s="2">
        <v>0.85589375248858601</v>
      </c>
      <c r="AM2433" s="2">
        <v>33209.125942433602</v>
      </c>
      <c r="AN2433" s="2">
        <v>28814.706561005602</v>
      </c>
      <c r="AO2433" s="2">
        <v>63551.397678375099</v>
      </c>
      <c r="AP2433" s="2">
        <v>30876.488875221199</v>
      </c>
      <c r="AQ2433" s="2">
        <v>102644.100540124</v>
      </c>
      <c r="AR2433" s="2">
        <v>43108.306663643503</v>
      </c>
      <c r="AS2433" s="2">
        <v>49965.462590277202</v>
      </c>
      <c r="AT2433" s="2">
        <v>36994.742691720799</v>
      </c>
      <c r="AU2433" s="2">
        <v>69693.285773545605</v>
      </c>
      <c r="AV2433" s="2">
        <v>68921.190049106706</v>
      </c>
      <c r="AW2433" s="2">
        <v>65687.177919942202</v>
      </c>
      <c r="AX2433" s="2">
        <v>42062.872245381899</v>
      </c>
    </row>
    <row r="2434" spans="1:50" x14ac:dyDescent="0.25">
      <c r="A2434" s="2" t="s">
        <v>16390</v>
      </c>
      <c r="B2434" s="2">
        <v>167.03421254818201</v>
      </c>
      <c r="C2434" s="2">
        <v>5.9422833333333296</v>
      </c>
      <c r="D2434" s="2" t="s">
        <v>51</v>
      </c>
      <c r="E2434" s="2" t="s">
        <v>16391</v>
      </c>
      <c r="F2434" s="2">
        <v>57181</v>
      </c>
      <c r="G2434" s="3" t="str">
        <f>HYPERLINK("https://cloud.oebiotech.com/#/lm/network/57181", "https://cloud.oebiotech.com/#/lm/network/57181")</f>
        <v>https://cloud.oebiotech.com/#/lm/network/57181</v>
      </c>
      <c r="H2434" s="2" t="s">
        <v>16392</v>
      </c>
      <c r="I2434" s="2">
        <v>88823</v>
      </c>
      <c r="J2434" s="2"/>
      <c r="K2434" s="2">
        <v>1715056</v>
      </c>
      <c r="L2434" s="2"/>
      <c r="M2434" s="2"/>
      <c r="N2434" s="2"/>
      <c r="O2434" s="2"/>
      <c r="P2434" s="2"/>
      <c r="Q2434" s="2"/>
      <c r="R2434" s="2" t="s">
        <v>16393</v>
      </c>
      <c r="S2434" s="2" t="s">
        <v>16394</v>
      </c>
      <c r="T2434" s="2" t="s">
        <v>16395</v>
      </c>
      <c r="U2434" s="2" t="s">
        <v>266</v>
      </c>
      <c r="V2434" s="2" t="s">
        <v>7754</v>
      </c>
      <c r="W2434" s="2" t="s">
        <v>240</v>
      </c>
      <c r="X2434" s="2" t="s">
        <v>69</v>
      </c>
      <c r="Y2434" s="2">
        <v>57.5</v>
      </c>
      <c r="Z2434" s="2">
        <v>45.3</v>
      </c>
      <c r="AA2434" s="2" t="s">
        <v>218</v>
      </c>
      <c r="AB2434" s="2" t="s">
        <v>16396</v>
      </c>
      <c r="AC2434" s="2">
        <v>-6.3075522142787097</v>
      </c>
      <c r="AD2434" s="2"/>
      <c r="AE2434" s="2">
        <v>0.262556476411545</v>
      </c>
      <c r="AF2434" s="2">
        <v>2110.9612973655198</v>
      </c>
      <c r="AG2434" s="2">
        <v>3849.76217519994</v>
      </c>
      <c r="AH2434" s="4">
        <v>0.54833550783065899</v>
      </c>
      <c r="AI2434" s="4">
        <v>-0.86686919555038899</v>
      </c>
      <c r="AJ2434" s="4" t="s">
        <v>62</v>
      </c>
      <c r="AK2434" s="2">
        <v>0.25688976885131698</v>
      </c>
      <c r="AL2434" s="2">
        <v>0.57898146204444401</v>
      </c>
      <c r="AM2434" s="2">
        <v>71.669050444026297</v>
      </c>
      <c r="AN2434" s="2">
        <v>1714.4347783728099</v>
      </c>
      <c r="AO2434" s="2">
        <v>287.29568535585798</v>
      </c>
      <c r="AP2434" s="2">
        <v>5233.0161720777396</v>
      </c>
      <c r="AQ2434" s="2">
        <v>1161.93276038465</v>
      </c>
      <c r="AR2434" s="2">
        <v>4197.4193375580298</v>
      </c>
      <c r="AS2434" s="2">
        <v>8431.39556696201</v>
      </c>
      <c r="AT2434" s="2">
        <v>213.63916600728601</v>
      </c>
      <c r="AU2434" s="2">
        <v>3169.82037703585</v>
      </c>
      <c r="AV2434" s="2">
        <v>5601.0316351029896</v>
      </c>
      <c r="AW2434" s="2">
        <v>2445.4306652227801</v>
      </c>
      <c r="AX2434" s="2">
        <v>3237.2556408687101</v>
      </c>
    </row>
    <row r="2435" spans="1:50" x14ac:dyDescent="0.25">
      <c r="A2435" s="2" t="s">
        <v>16397</v>
      </c>
      <c r="B2435" s="2">
        <v>429.19449093969399</v>
      </c>
      <c r="C2435" s="2">
        <v>12.708216666666701</v>
      </c>
      <c r="D2435" s="2" t="s">
        <v>51</v>
      </c>
      <c r="E2435" s="2" t="s">
        <v>16398</v>
      </c>
      <c r="F2435" s="2">
        <v>45080</v>
      </c>
      <c r="G2435" s="3" t="str">
        <f>HYPERLINK("https://cloud.oebiotech.com/#/lm/network/45080", "https://cloud.oebiotech.com/#/lm/network/45080")</f>
        <v>https://cloud.oebiotech.com/#/lm/network/45080</v>
      </c>
      <c r="H2435" s="2"/>
      <c r="I2435" s="2">
        <v>84304</v>
      </c>
      <c r="J2435" s="2" t="s">
        <v>16399</v>
      </c>
      <c r="K2435" s="2">
        <v>42640649</v>
      </c>
      <c r="L2435" s="2"/>
      <c r="M2435" s="2"/>
      <c r="N2435" s="2"/>
      <c r="O2435" s="2"/>
      <c r="P2435" s="2"/>
      <c r="Q2435" s="2"/>
      <c r="R2435" s="2"/>
      <c r="S2435" s="2" t="s">
        <v>16400</v>
      </c>
      <c r="T2435" s="2" t="s">
        <v>16401</v>
      </c>
      <c r="U2435" s="2" t="s">
        <v>56</v>
      </c>
      <c r="V2435" s="2" t="s">
        <v>283</v>
      </c>
      <c r="W2435" s="2" t="s">
        <v>2305</v>
      </c>
      <c r="X2435" s="2" t="s">
        <v>147</v>
      </c>
      <c r="Y2435" s="2">
        <v>38.799999999999997</v>
      </c>
      <c r="Z2435" s="2">
        <v>4.9800000000000004</v>
      </c>
      <c r="AA2435" s="2" t="s">
        <v>163</v>
      </c>
      <c r="AB2435" s="2" t="s">
        <v>15563</v>
      </c>
      <c r="AC2435" s="2">
        <v>-1.75976560500817</v>
      </c>
      <c r="AD2435" s="2"/>
      <c r="AE2435" s="2">
        <v>0.26219337556727901</v>
      </c>
      <c r="AF2435" s="2">
        <v>5032.1501861829202</v>
      </c>
      <c r="AG2435" s="2">
        <v>8654.8388139772196</v>
      </c>
      <c r="AH2435" s="4">
        <v>0.58142621651788595</v>
      </c>
      <c r="AI2435" s="4">
        <v>-0.78233197080292105</v>
      </c>
      <c r="AJ2435" s="4" t="s">
        <v>62</v>
      </c>
      <c r="AK2435" s="2">
        <v>0.18447943018418</v>
      </c>
      <c r="AL2435" s="2">
        <v>0.50894720120979398</v>
      </c>
      <c r="AM2435" s="2">
        <v>4380.7908480651804</v>
      </c>
      <c r="AN2435" s="2">
        <v>4071.44266480538</v>
      </c>
      <c r="AO2435" s="2">
        <v>4996.8935254589796</v>
      </c>
      <c r="AP2435" s="2">
        <v>3206.3163358030602</v>
      </c>
      <c r="AQ2435" s="2">
        <v>11317.9596171107</v>
      </c>
      <c r="AR2435" s="2">
        <v>2219.4981258542498</v>
      </c>
      <c r="AS2435" s="2">
        <v>6732.9652795656903</v>
      </c>
      <c r="AT2435" s="2">
        <v>5640.60819695793</v>
      </c>
      <c r="AU2435" s="2">
        <v>18490.285672591999</v>
      </c>
      <c r="AV2435" s="2">
        <v>10350.073810702001</v>
      </c>
      <c r="AW2435" s="2">
        <v>7297.0619280248602</v>
      </c>
      <c r="AX2435" s="2">
        <v>3418.0379960208602</v>
      </c>
    </row>
    <row r="2436" spans="1:50" x14ac:dyDescent="0.25">
      <c r="A2436" s="2" t="s">
        <v>16402</v>
      </c>
      <c r="B2436" s="2">
        <v>174.09739999999999</v>
      </c>
      <c r="C2436" s="2">
        <v>12.907</v>
      </c>
      <c r="D2436" s="2" t="s">
        <v>125</v>
      </c>
      <c r="E2436" s="2" t="s">
        <v>16403</v>
      </c>
      <c r="F2436" s="2">
        <v>545816</v>
      </c>
      <c r="G2436" s="3" t="str">
        <f>HYPERLINK("https://cloud.oebiotech.com/#/lm/network/545816", "https://cloud.oebiotech.com/#/lm/network/545816")</f>
        <v>https://cloud.oebiotech.com/#/lm/network/545816</v>
      </c>
      <c r="H2436" s="2"/>
      <c r="I2436" s="2"/>
      <c r="J2436" s="2"/>
      <c r="K2436" s="2">
        <v>81272</v>
      </c>
      <c r="L2436" s="2"/>
      <c r="M2436" s="2"/>
      <c r="N2436" s="2"/>
      <c r="O2436" s="2"/>
      <c r="P2436" s="2"/>
      <c r="Q2436" s="2"/>
      <c r="R2436" s="2"/>
      <c r="S2436" s="2" t="s">
        <v>16404</v>
      </c>
      <c r="T2436" s="2" t="s">
        <v>16405</v>
      </c>
      <c r="U2436" s="2" t="s">
        <v>103</v>
      </c>
      <c r="V2436" s="2" t="s">
        <v>104</v>
      </c>
      <c r="W2436" s="2" t="s">
        <v>105</v>
      </c>
      <c r="X2436" s="2" t="s">
        <v>69</v>
      </c>
      <c r="Y2436" s="2">
        <v>87.8</v>
      </c>
      <c r="Z2436" s="2">
        <v>82.5</v>
      </c>
      <c r="AA2436" s="2"/>
      <c r="AB2436" s="2" t="s">
        <v>16406</v>
      </c>
      <c r="AC2436" s="2"/>
      <c r="AD2436" s="2">
        <v>435550.62064637599</v>
      </c>
      <c r="AE2436" s="2">
        <v>0.26212737403226399</v>
      </c>
      <c r="AF2436" s="2">
        <v>916758.467455643</v>
      </c>
      <c r="AG2436" s="2">
        <v>951135.75147091702</v>
      </c>
      <c r="AH2436" s="4">
        <v>0.96385659569403204</v>
      </c>
      <c r="AI2436" s="4">
        <v>-5.3109579211101002E-2</v>
      </c>
      <c r="AJ2436" s="4" t="s">
        <v>62</v>
      </c>
      <c r="AK2436" s="2">
        <v>0.182791558789066</v>
      </c>
      <c r="AL2436" s="2">
        <v>0.50559844948186605</v>
      </c>
      <c r="AM2436" s="2">
        <v>937505.64336296997</v>
      </c>
      <c r="AN2436" s="2">
        <v>921597.02761897398</v>
      </c>
      <c r="AO2436" s="2">
        <v>909253.85889676004</v>
      </c>
      <c r="AP2436" s="2">
        <v>960363.35446122603</v>
      </c>
      <c r="AQ2436" s="2">
        <v>836697.974805095</v>
      </c>
      <c r="AR2436" s="2">
        <v>935132.94558883202</v>
      </c>
      <c r="AS2436" s="2">
        <v>898225.14655175305</v>
      </c>
      <c r="AT2436" s="2">
        <v>1012887.33753373</v>
      </c>
      <c r="AU2436" s="2">
        <v>955429.95761799696</v>
      </c>
      <c r="AV2436" s="2">
        <v>962838.33838085097</v>
      </c>
      <c r="AW2436" s="2">
        <v>961804.49027843005</v>
      </c>
      <c r="AX2436" s="2">
        <v>915629.23846273997</v>
      </c>
    </row>
    <row r="2437" spans="1:50" x14ac:dyDescent="0.25">
      <c r="A2437" s="2" t="s">
        <v>16407</v>
      </c>
      <c r="B2437" s="2">
        <v>207.17501784427</v>
      </c>
      <c r="C2437" s="2">
        <v>7.3032833333333302</v>
      </c>
      <c r="D2437" s="2" t="s">
        <v>51</v>
      </c>
      <c r="E2437" s="2" t="s">
        <v>16408</v>
      </c>
      <c r="F2437" s="2">
        <v>59489</v>
      </c>
      <c r="G2437" s="3" t="str">
        <f>HYPERLINK("https://cloud.oebiotech.com/#/lm/network/59489", "https://cloud.oebiotech.com/#/lm/network/59489")</f>
        <v>https://cloud.oebiotech.com/#/lm/network/59489</v>
      </c>
      <c r="H2437" s="2" t="s">
        <v>16409</v>
      </c>
      <c r="I2437" s="2">
        <v>67886</v>
      </c>
      <c r="J2437" s="2"/>
      <c r="K2437" s="2">
        <v>5371002</v>
      </c>
      <c r="L2437" s="2" t="s">
        <v>16410</v>
      </c>
      <c r="M2437" s="2"/>
      <c r="N2437" s="2"/>
      <c r="O2437" s="2">
        <v>10284</v>
      </c>
      <c r="P2437" s="2"/>
      <c r="Q2437" s="2"/>
      <c r="R2437" s="2" t="s">
        <v>16411</v>
      </c>
      <c r="S2437" s="2" t="s">
        <v>16412</v>
      </c>
      <c r="T2437" s="2" t="s">
        <v>16413</v>
      </c>
      <c r="U2437" s="2" t="s">
        <v>56</v>
      </c>
      <c r="V2437" s="2" t="s">
        <v>177</v>
      </c>
      <c r="W2437" s="2" t="s">
        <v>1996</v>
      </c>
      <c r="X2437" s="2" t="s">
        <v>147</v>
      </c>
      <c r="Y2437" s="2">
        <v>39.299999999999997</v>
      </c>
      <c r="Z2437" s="2">
        <v>7.75</v>
      </c>
      <c r="AA2437" s="2" t="s">
        <v>179</v>
      </c>
      <c r="AB2437" s="2" t="s">
        <v>10841</v>
      </c>
      <c r="AC2437" s="2">
        <v>3.2793170376427301</v>
      </c>
      <c r="AD2437" s="2"/>
      <c r="AE2437" s="2">
        <v>0.26209119101908601</v>
      </c>
      <c r="AF2437" s="2">
        <v>6510.3979505737498</v>
      </c>
      <c r="AG2437" s="2">
        <v>4788.1009607767</v>
      </c>
      <c r="AH2437" s="5">
        <v>1.3597035659660901</v>
      </c>
      <c r="AI2437" s="5">
        <v>0.44329215844209702</v>
      </c>
      <c r="AJ2437" s="5" t="s">
        <v>139</v>
      </c>
      <c r="AK2437" s="2">
        <v>2.8867185721619799E-2</v>
      </c>
      <c r="AL2437" s="2">
        <v>0.25815218356915498</v>
      </c>
      <c r="AM2437" s="2">
        <v>5747.0790701259102</v>
      </c>
      <c r="AN2437" s="2">
        <v>8971.4635425027009</v>
      </c>
      <c r="AO2437" s="2">
        <v>6810.0168542247702</v>
      </c>
      <c r="AP2437" s="2">
        <v>5087.65594890376</v>
      </c>
      <c r="AQ2437" s="2">
        <v>6100.2316379269496</v>
      </c>
      <c r="AR2437" s="2">
        <v>6345.9406497584096</v>
      </c>
      <c r="AS2437" s="2">
        <v>6102.0466479400702</v>
      </c>
      <c r="AT2437" s="2">
        <v>4648.8083784382097</v>
      </c>
      <c r="AU2437" s="2">
        <v>5140.0887984640503</v>
      </c>
      <c r="AV2437" s="2">
        <v>3546.5490811590698</v>
      </c>
      <c r="AW2437" s="2">
        <v>3843.8409054714398</v>
      </c>
      <c r="AX2437" s="2">
        <v>5447.27195318739</v>
      </c>
    </row>
    <row r="2438" spans="1:50" x14ac:dyDescent="0.25">
      <c r="A2438" s="2" t="s">
        <v>16414</v>
      </c>
      <c r="B2438" s="2">
        <v>445.29609641770401</v>
      </c>
      <c r="C2438" s="2">
        <v>11.210366666666699</v>
      </c>
      <c r="D2438" s="2" t="s">
        <v>51</v>
      </c>
      <c r="E2438" s="2" t="s">
        <v>16415</v>
      </c>
      <c r="F2438" s="2">
        <v>45293</v>
      </c>
      <c r="G2438" s="3" t="str">
        <f>HYPERLINK("https://cloud.oebiotech.com/#/lm/network/45293", "https://cloud.oebiotech.com/#/lm/network/45293")</f>
        <v>https://cloud.oebiotech.com/#/lm/network/45293</v>
      </c>
      <c r="H2438" s="2"/>
      <c r="I2438" s="2">
        <v>42060</v>
      </c>
      <c r="J2438" s="2" t="s">
        <v>16416</v>
      </c>
      <c r="K2438" s="2">
        <v>9547367</v>
      </c>
      <c r="L2438" s="2"/>
      <c r="M2438" s="2"/>
      <c r="N2438" s="2"/>
      <c r="O2438" s="2"/>
      <c r="P2438" s="2"/>
      <c r="Q2438" s="2"/>
      <c r="R2438" s="2"/>
      <c r="S2438" s="2" t="s">
        <v>16417</v>
      </c>
      <c r="T2438" s="2" t="s">
        <v>16418</v>
      </c>
      <c r="U2438" s="2" t="s">
        <v>56</v>
      </c>
      <c r="V2438" s="2" t="s">
        <v>283</v>
      </c>
      <c r="W2438" s="2" t="s">
        <v>420</v>
      </c>
      <c r="X2438" s="2" t="s">
        <v>69</v>
      </c>
      <c r="Y2438" s="2">
        <v>71.2</v>
      </c>
      <c r="Z2438" s="2">
        <v>69.599999999999994</v>
      </c>
      <c r="AA2438" s="2" t="s">
        <v>259</v>
      </c>
      <c r="AB2438" s="2" t="s">
        <v>16419</v>
      </c>
      <c r="AC2438" s="2">
        <v>2.8036010369986899</v>
      </c>
      <c r="AD2438" s="2"/>
      <c r="AE2438" s="2">
        <v>0.26184915576046702</v>
      </c>
      <c r="AF2438" s="2">
        <v>8255.3786809453595</v>
      </c>
      <c r="AG2438" s="2">
        <v>5293.42064095762</v>
      </c>
      <c r="AH2438" s="5">
        <v>1.5595546322296201</v>
      </c>
      <c r="AI2438" s="5">
        <v>0.64113409215818196</v>
      </c>
      <c r="AJ2438" s="5" t="s">
        <v>139</v>
      </c>
      <c r="AK2438" s="2">
        <v>0.46527529430581799</v>
      </c>
      <c r="AL2438" s="2">
        <v>0.71329029553543499</v>
      </c>
      <c r="AM2438" s="2">
        <v>16286.346805417401</v>
      </c>
      <c r="AN2438" s="2">
        <v>14297.5960099064</v>
      </c>
      <c r="AO2438" s="2">
        <v>8.559877937157E-6</v>
      </c>
      <c r="AP2438" s="2">
        <v>6019.2644175688602</v>
      </c>
      <c r="AQ2438" s="2">
        <v>11413.816368616101</v>
      </c>
      <c r="AR2438" s="2">
        <v>1515.2484756035501</v>
      </c>
      <c r="AS2438" s="2">
        <v>15200.4691907794</v>
      </c>
      <c r="AT2438" s="2">
        <v>1314.8971327050299</v>
      </c>
      <c r="AU2438" s="2">
        <v>12431.446542551401</v>
      </c>
      <c r="AV2438" s="2">
        <v>8.559877937157E-6</v>
      </c>
      <c r="AW2438" s="2">
        <v>8.559877937157E-6</v>
      </c>
      <c r="AX2438" s="2">
        <v>2813.7109625901298</v>
      </c>
    </row>
    <row r="2439" spans="1:50" x14ac:dyDescent="0.25">
      <c r="A2439" s="2" t="s">
        <v>16420</v>
      </c>
      <c r="B2439" s="2">
        <v>405.19095834281399</v>
      </c>
      <c r="C2439" s="2">
        <v>8.0803833333333301</v>
      </c>
      <c r="D2439" s="2" t="s">
        <v>51</v>
      </c>
      <c r="E2439" s="2" t="s">
        <v>16421</v>
      </c>
      <c r="F2439" s="2">
        <v>45048</v>
      </c>
      <c r="G2439" s="3" t="str">
        <f>HYPERLINK("https://cloud.oebiotech.com/#/lm/network/45048", "https://cloud.oebiotech.com/#/lm/network/45048")</f>
        <v>https://cloud.oebiotech.com/#/lm/network/45048</v>
      </c>
      <c r="H2439" s="2" t="s">
        <v>16422</v>
      </c>
      <c r="I2439" s="2">
        <v>2065</v>
      </c>
      <c r="J2439" s="2" t="s">
        <v>16423</v>
      </c>
      <c r="K2439" s="2">
        <v>5755</v>
      </c>
      <c r="L2439" s="2" t="s">
        <v>16424</v>
      </c>
      <c r="M2439" s="2"/>
      <c r="N2439" s="2"/>
      <c r="O2439" s="2">
        <v>8378</v>
      </c>
      <c r="P2439" s="2"/>
      <c r="Q2439" s="2"/>
      <c r="R2439" s="2" t="s">
        <v>16425</v>
      </c>
      <c r="S2439" s="2" t="s">
        <v>16426</v>
      </c>
      <c r="T2439" s="2" t="s">
        <v>16427</v>
      </c>
      <c r="U2439" s="2" t="s">
        <v>56</v>
      </c>
      <c r="V2439" s="2" t="s">
        <v>283</v>
      </c>
      <c r="W2439" s="2" t="s">
        <v>492</v>
      </c>
      <c r="X2439" s="2" t="s">
        <v>147</v>
      </c>
      <c r="Y2439" s="2">
        <v>37.700000000000003</v>
      </c>
      <c r="Z2439" s="2">
        <v>0</v>
      </c>
      <c r="AA2439" s="2" t="s">
        <v>218</v>
      </c>
      <c r="AB2439" s="2" t="s">
        <v>16428</v>
      </c>
      <c r="AC2439" s="2">
        <v>-2.5500807282831</v>
      </c>
      <c r="AD2439" s="2"/>
      <c r="AE2439" s="2">
        <v>0.26173608286163202</v>
      </c>
      <c r="AF2439" s="2">
        <v>2753.6074049834901</v>
      </c>
      <c r="AG2439" s="2">
        <v>1371.7091121711801</v>
      </c>
      <c r="AH2439" s="5">
        <v>2.0074280913866702</v>
      </c>
      <c r="AI2439" s="5">
        <v>1.0053483095070099</v>
      </c>
      <c r="AJ2439" s="5" t="s">
        <v>139</v>
      </c>
      <c r="AK2439" s="2">
        <v>2.7568048780405399E-3</v>
      </c>
      <c r="AL2439" s="2">
        <v>0.107999348234493</v>
      </c>
      <c r="AM2439" s="2">
        <v>3714.37926159158</v>
      </c>
      <c r="AN2439" s="2">
        <v>2997.9874600438102</v>
      </c>
      <c r="AO2439" s="2">
        <v>2622.9128607900998</v>
      </c>
      <c r="AP2439" s="2">
        <v>2342.96545543501</v>
      </c>
      <c r="AQ2439" s="2">
        <v>1672.0291900756799</v>
      </c>
      <c r="AR2439" s="2">
        <v>3171.3702019647699</v>
      </c>
      <c r="AS2439" s="2">
        <v>1778.5835107970199</v>
      </c>
      <c r="AT2439" s="2">
        <v>791.52354869220403</v>
      </c>
      <c r="AU2439" s="2">
        <v>1894.01878544591</v>
      </c>
      <c r="AV2439" s="2">
        <v>879.36708874716305</v>
      </c>
      <c r="AW2439" s="2">
        <v>1710.24134165277</v>
      </c>
      <c r="AX2439" s="2">
        <v>1176.52039769201</v>
      </c>
    </row>
    <row r="2440" spans="1:50" x14ac:dyDescent="0.25">
      <c r="A2440" s="2" t="s">
        <v>16429</v>
      </c>
      <c r="B2440" s="2">
        <v>640.51385985843604</v>
      </c>
      <c r="C2440" s="2">
        <v>0.67141666666666699</v>
      </c>
      <c r="D2440" s="2" t="s">
        <v>51</v>
      </c>
      <c r="E2440" s="2" t="s">
        <v>16430</v>
      </c>
      <c r="F2440" s="2">
        <v>243120</v>
      </c>
      <c r="G2440" s="3" t="str">
        <f>HYPERLINK("https://cloud.oebiotech.com/#/lm/network/243120", "https://cloud.oebiotech.com/#/lm/network/243120")</f>
        <v>https://cloud.oebiotech.com/#/lm/network/243120</v>
      </c>
      <c r="H2440" s="2" t="s">
        <v>16431</v>
      </c>
      <c r="I2440" s="2"/>
      <c r="J2440" s="2"/>
      <c r="K2440" s="2"/>
      <c r="L2440" s="2"/>
      <c r="M2440" s="2"/>
      <c r="N2440" s="2"/>
      <c r="O2440" s="2"/>
      <c r="P2440" s="2"/>
      <c r="Q2440" s="2"/>
      <c r="R2440" s="2"/>
      <c r="S2440" s="2" t="s">
        <v>16432</v>
      </c>
      <c r="T2440" s="2" t="s">
        <v>16433</v>
      </c>
      <c r="U2440" s="2" t="s">
        <v>56</v>
      </c>
      <c r="V2440" s="2" t="s">
        <v>344</v>
      </c>
      <c r="W2440" s="2" t="s">
        <v>3012</v>
      </c>
      <c r="X2440" s="2" t="s">
        <v>147</v>
      </c>
      <c r="Y2440" s="2">
        <v>36.6</v>
      </c>
      <c r="Z2440" s="2">
        <v>0</v>
      </c>
      <c r="AA2440" s="2" t="s">
        <v>218</v>
      </c>
      <c r="AB2440" s="2" t="s">
        <v>16434</v>
      </c>
      <c r="AC2440" s="2">
        <v>-3.2195976693395201</v>
      </c>
      <c r="AD2440" s="2"/>
      <c r="AE2440" s="2">
        <v>0.26151253319774198</v>
      </c>
      <c r="AF2440" s="2">
        <v>7852.5260767483796</v>
      </c>
      <c r="AG2440" s="2">
        <v>14292.6396580007</v>
      </c>
      <c r="AH2440" s="4">
        <v>0.54941048432244799</v>
      </c>
      <c r="AI2440" s="4">
        <v>-0.86404365346580203</v>
      </c>
      <c r="AJ2440" s="4" t="s">
        <v>62</v>
      </c>
      <c r="AK2440" s="2">
        <v>0.26347621496486001</v>
      </c>
      <c r="AL2440" s="2">
        <v>0.58564518466730597</v>
      </c>
      <c r="AM2440" s="2">
        <v>12790.643882811901</v>
      </c>
      <c r="AN2440" s="2">
        <v>13576.0537657236</v>
      </c>
      <c r="AO2440" s="2">
        <v>2742.9330150774399</v>
      </c>
      <c r="AP2440" s="2">
        <v>2449.87719499995</v>
      </c>
      <c r="AQ2440" s="2">
        <v>12859.691789795799</v>
      </c>
      <c r="AR2440" s="2">
        <v>2695.9568120816102</v>
      </c>
      <c r="AS2440" s="2">
        <v>4162.3924402382399</v>
      </c>
      <c r="AT2440" s="2">
        <v>32590.913131650501</v>
      </c>
      <c r="AU2440" s="2">
        <v>7641.9562030173402</v>
      </c>
      <c r="AV2440" s="2">
        <v>7134.9359037321101</v>
      </c>
      <c r="AW2440" s="2">
        <v>26424.085634630999</v>
      </c>
      <c r="AX2440" s="2">
        <v>7801.55463473499</v>
      </c>
    </row>
    <row r="2441" spans="1:50" x14ac:dyDescent="0.25">
      <c r="A2441" s="2" t="s">
        <v>16435</v>
      </c>
      <c r="B2441" s="2">
        <v>301.011845022893</v>
      </c>
      <c r="C2441" s="2">
        <v>5.4322166666666698</v>
      </c>
      <c r="D2441" s="2" t="s">
        <v>51</v>
      </c>
      <c r="E2441" s="2" t="s">
        <v>16436</v>
      </c>
      <c r="F2441" s="2">
        <v>212410</v>
      </c>
      <c r="G2441" s="3" t="str">
        <f>HYPERLINK("https://cloud.oebiotech.com/#/lm/network/212410", "https://cloud.oebiotech.com/#/lm/network/212410")</f>
        <v>https://cloud.oebiotech.com/#/lm/network/212410</v>
      </c>
      <c r="H2441" s="2" t="s">
        <v>16437</v>
      </c>
      <c r="I2441" s="2"/>
      <c r="J2441" s="2"/>
      <c r="K2441" s="2">
        <v>12395107</v>
      </c>
      <c r="L2441" s="2"/>
      <c r="M2441" s="2"/>
      <c r="N2441" s="2"/>
      <c r="O2441" s="2"/>
      <c r="P2441" s="2"/>
      <c r="Q2441" s="2"/>
      <c r="R2441" s="2"/>
      <c r="S2441" s="2" t="s">
        <v>16438</v>
      </c>
      <c r="T2441" s="2" t="s">
        <v>16439</v>
      </c>
      <c r="U2441" s="2" t="s">
        <v>266</v>
      </c>
      <c r="V2441" s="2" t="s">
        <v>16440</v>
      </c>
      <c r="W2441" s="2" t="s">
        <v>240</v>
      </c>
      <c r="X2441" s="2" t="s">
        <v>147</v>
      </c>
      <c r="Y2441" s="2">
        <v>39.1</v>
      </c>
      <c r="Z2441" s="2">
        <v>10.3</v>
      </c>
      <c r="AA2441" s="2" t="s">
        <v>478</v>
      </c>
      <c r="AB2441" s="2" t="s">
        <v>16441</v>
      </c>
      <c r="AC2441" s="2">
        <v>2.48953556815079</v>
      </c>
      <c r="AD2441" s="2"/>
      <c r="AE2441" s="2">
        <v>0.26131938516988901</v>
      </c>
      <c r="AF2441" s="2">
        <v>10266.757542631</v>
      </c>
      <c r="AG2441" s="2">
        <v>12695.5517590132</v>
      </c>
      <c r="AH2441" s="4">
        <v>0.80868935336679104</v>
      </c>
      <c r="AI2441" s="4">
        <v>-0.306342476811791</v>
      </c>
      <c r="AJ2441" s="4" t="s">
        <v>62</v>
      </c>
      <c r="AK2441" s="2">
        <v>8.2408190009507498E-2</v>
      </c>
      <c r="AL2441" s="2">
        <v>0.371271417145418</v>
      </c>
      <c r="AM2441" s="2">
        <v>10280.616753735099</v>
      </c>
      <c r="AN2441" s="2">
        <v>9163.9707471919901</v>
      </c>
      <c r="AO2441" s="2">
        <v>11230.4544054866</v>
      </c>
      <c r="AP2441" s="2">
        <v>9976.2856395056897</v>
      </c>
      <c r="AQ2441" s="2">
        <v>12254.5384086222</v>
      </c>
      <c r="AR2441" s="2">
        <v>8694.6793012444505</v>
      </c>
      <c r="AS2441" s="2">
        <v>13894.8493361539</v>
      </c>
      <c r="AT2441" s="2">
        <v>15633.667076408599</v>
      </c>
      <c r="AU2441" s="2">
        <v>10096.9876250706</v>
      </c>
      <c r="AV2441" s="2">
        <v>15877.324106162199</v>
      </c>
      <c r="AW2441" s="2">
        <v>9718.9725446588509</v>
      </c>
      <c r="AX2441" s="2">
        <v>10951.509865624999</v>
      </c>
    </row>
    <row r="2442" spans="1:50" x14ac:dyDescent="0.25">
      <c r="A2442" s="2" t="s">
        <v>16442</v>
      </c>
      <c r="B2442" s="2">
        <v>369.120043251445</v>
      </c>
      <c r="C2442" s="2">
        <v>0.68473333333333297</v>
      </c>
      <c r="D2442" s="2" t="s">
        <v>51</v>
      </c>
      <c r="E2442" s="2" t="s">
        <v>16443</v>
      </c>
      <c r="F2442" s="2">
        <v>35309</v>
      </c>
      <c r="G2442" s="3" t="str">
        <f>HYPERLINK("https://cloud.oebiotech.com/#/lm/network/35309", "https://cloud.oebiotech.com/#/lm/network/35309")</f>
        <v>https://cloud.oebiotech.com/#/lm/network/35309</v>
      </c>
      <c r="H2442" s="2" t="s">
        <v>16444</v>
      </c>
      <c r="I2442" s="2">
        <v>41161</v>
      </c>
      <c r="J2442" s="2" t="s">
        <v>16445</v>
      </c>
      <c r="K2442" s="2">
        <v>73467</v>
      </c>
      <c r="L2442" s="2" t="s">
        <v>16446</v>
      </c>
      <c r="M2442" s="2"/>
      <c r="N2442" s="2"/>
      <c r="O2442" s="2"/>
      <c r="P2442" s="2"/>
      <c r="Q2442" s="2"/>
      <c r="R2442" s="2"/>
      <c r="S2442" s="2" t="s">
        <v>16447</v>
      </c>
      <c r="T2442" s="2" t="s">
        <v>16448</v>
      </c>
      <c r="U2442" s="2" t="s">
        <v>56</v>
      </c>
      <c r="V2442" s="2" t="s">
        <v>177</v>
      </c>
      <c r="W2442" s="2" t="s">
        <v>394</v>
      </c>
      <c r="X2442" s="2" t="s">
        <v>147</v>
      </c>
      <c r="Y2442" s="2">
        <v>36.200000000000003</v>
      </c>
      <c r="Z2442" s="2">
        <v>0</v>
      </c>
      <c r="AA2442" s="2" t="s">
        <v>379</v>
      </c>
      <c r="AB2442" s="2" t="s">
        <v>16449</v>
      </c>
      <c r="AC2442" s="2">
        <v>2.4151428319857602</v>
      </c>
      <c r="AD2442" s="2"/>
      <c r="AE2442" s="2">
        <v>0.26101968968454903</v>
      </c>
      <c r="AF2442" s="2">
        <v>4566.5953678215601</v>
      </c>
      <c r="AG2442" s="2">
        <v>9145.8578136786291</v>
      </c>
      <c r="AH2442" s="4">
        <v>0.499307496448471</v>
      </c>
      <c r="AI2442" s="4">
        <v>-1.00199952787919</v>
      </c>
      <c r="AJ2442" s="4" t="s">
        <v>62</v>
      </c>
      <c r="AK2442" s="2">
        <v>0.276697004167901</v>
      </c>
      <c r="AL2442" s="2">
        <v>0.59606317624993799</v>
      </c>
      <c r="AM2442" s="2">
        <v>8004.5998379866596</v>
      </c>
      <c r="AN2442" s="2">
        <v>2359.0774280263099</v>
      </c>
      <c r="AO2442" s="2">
        <v>7922.3113589430304</v>
      </c>
      <c r="AP2442" s="2">
        <v>3428.48230500199</v>
      </c>
      <c r="AQ2442" s="2">
        <v>8.559877937157E-6</v>
      </c>
      <c r="AR2442" s="2">
        <v>5685.1012684115003</v>
      </c>
      <c r="AS2442" s="2">
        <v>22332.171697417401</v>
      </c>
      <c r="AT2442" s="2">
        <v>18851.062069717998</v>
      </c>
      <c r="AU2442" s="2">
        <v>510.094205448823</v>
      </c>
      <c r="AV2442" s="2">
        <v>3676.4475300664299</v>
      </c>
      <c r="AW2442" s="2">
        <v>2229.3772667348198</v>
      </c>
      <c r="AX2442" s="2">
        <v>7275.9941126862996</v>
      </c>
    </row>
    <row r="2443" spans="1:50" x14ac:dyDescent="0.25">
      <c r="A2443" s="2" t="s">
        <v>16450</v>
      </c>
      <c r="B2443" s="2">
        <v>189.005380200068</v>
      </c>
      <c r="C2443" s="2">
        <v>0.91036666666666699</v>
      </c>
      <c r="D2443" s="2" t="s">
        <v>51</v>
      </c>
      <c r="E2443" s="2" t="s">
        <v>16451</v>
      </c>
      <c r="F2443" s="2">
        <v>202158</v>
      </c>
      <c r="G2443" s="3" t="str">
        <f>HYPERLINK("https://cloud.oebiotech.com/#/lm/network/202158", "https://cloud.oebiotech.com/#/lm/network/202158")</f>
        <v>https://cloud.oebiotech.com/#/lm/network/202158</v>
      </c>
      <c r="H2443" s="2" t="s">
        <v>16452</v>
      </c>
      <c r="I2443" s="2">
        <v>421221</v>
      </c>
      <c r="J2443" s="2"/>
      <c r="K2443" s="2">
        <v>131813</v>
      </c>
      <c r="L2443" s="2"/>
      <c r="M2443" s="2"/>
      <c r="N2443" s="2"/>
      <c r="O2443" s="2"/>
      <c r="P2443" s="2"/>
      <c r="Q2443" s="2"/>
      <c r="R2443" s="2"/>
      <c r="S2443" s="2" t="s">
        <v>16453</v>
      </c>
      <c r="T2443" s="2" t="s">
        <v>16454</v>
      </c>
      <c r="U2443" s="2" t="s">
        <v>266</v>
      </c>
      <c r="V2443" s="2" t="s">
        <v>3926</v>
      </c>
      <c r="W2443" s="2" t="s">
        <v>4115</v>
      </c>
      <c r="X2443" s="2" t="s">
        <v>147</v>
      </c>
      <c r="Y2443" s="2">
        <v>38.700000000000003</v>
      </c>
      <c r="Z2443" s="2">
        <v>2.56</v>
      </c>
      <c r="AA2443" s="2" t="s">
        <v>395</v>
      </c>
      <c r="AB2443" s="2" t="s">
        <v>16455</v>
      </c>
      <c r="AC2443" s="2">
        <v>-4.7007951917846</v>
      </c>
      <c r="AD2443" s="2"/>
      <c r="AE2443" s="2">
        <v>0.26092171235797301</v>
      </c>
      <c r="AF2443" s="2">
        <v>4477.2168981881196</v>
      </c>
      <c r="AG2443" s="2">
        <v>6308.0335373668204</v>
      </c>
      <c r="AH2443" s="4">
        <v>0.70976428258766999</v>
      </c>
      <c r="AI2443" s="4">
        <v>-0.49458811929122898</v>
      </c>
      <c r="AJ2443" s="4" t="s">
        <v>62</v>
      </c>
      <c r="AK2443" s="2">
        <v>3.5323778171825103E-2</v>
      </c>
      <c r="AL2443" s="2">
        <v>0.27355205673594801</v>
      </c>
      <c r="AM2443" s="2">
        <v>4067.30894050088</v>
      </c>
      <c r="AN2443" s="2">
        <v>5196.9838914961201</v>
      </c>
      <c r="AO2443" s="2">
        <v>4192.2337975199598</v>
      </c>
      <c r="AP2443" s="2">
        <v>4698.4253835571099</v>
      </c>
      <c r="AQ2443" s="2">
        <v>4438.4305894425297</v>
      </c>
      <c r="AR2443" s="2">
        <v>4269.9187866121401</v>
      </c>
      <c r="AS2443" s="2">
        <v>7898.09990214341</v>
      </c>
      <c r="AT2443" s="2">
        <v>6318.6009767373598</v>
      </c>
      <c r="AU2443" s="2">
        <v>4827.1654431322804</v>
      </c>
      <c r="AV2443" s="2">
        <v>3588.6900390548199</v>
      </c>
      <c r="AW2443" s="2">
        <v>7040.24586484682</v>
      </c>
      <c r="AX2443" s="2">
        <v>8175.3989982862304</v>
      </c>
    </row>
    <row r="2444" spans="1:50" x14ac:dyDescent="0.25">
      <c r="A2444" s="2" t="s">
        <v>16456</v>
      </c>
      <c r="B2444" s="2">
        <v>217.13549906597001</v>
      </c>
      <c r="C2444" s="2">
        <v>12.411716666666701</v>
      </c>
      <c r="D2444" s="2" t="s">
        <v>51</v>
      </c>
      <c r="E2444" s="2" t="s">
        <v>16457</v>
      </c>
      <c r="F2444" s="2">
        <v>9167</v>
      </c>
      <c r="G2444" s="3" t="str">
        <f>HYPERLINK("https://cloud.oebiotech.com/#/lm/network/9167", "https://cloud.oebiotech.com/#/lm/network/9167")</f>
        <v>https://cloud.oebiotech.com/#/lm/network/9167</v>
      </c>
      <c r="H2444" s="2"/>
      <c r="I2444" s="2">
        <v>97468</v>
      </c>
      <c r="J2444" s="2" t="s">
        <v>16458</v>
      </c>
      <c r="K2444" s="2">
        <v>56936065</v>
      </c>
      <c r="L2444" s="2"/>
      <c r="M2444" s="2"/>
      <c r="N2444" s="2"/>
      <c r="O2444" s="2"/>
      <c r="P2444" s="2"/>
      <c r="Q2444" s="2"/>
      <c r="R2444" s="2"/>
      <c r="S2444" s="2" t="s">
        <v>16459</v>
      </c>
      <c r="T2444" s="2" t="s">
        <v>16460</v>
      </c>
      <c r="U2444" s="2" t="s">
        <v>1491</v>
      </c>
      <c r="V2444" s="2" t="s">
        <v>1492</v>
      </c>
      <c r="W2444" s="2" t="s">
        <v>16461</v>
      </c>
      <c r="X2444" s="2" t="s">
        <v>147</v>
      </c>
      <c r="Y2444" s="2">
        <v>37.1</v>
      </c>
      <c r="Z2444" s="2">
        <v>0</v>
      </c>
      <c r="AA2444" s="2" t="s">
        <v>395</v>
      </c>
      <c r="AB2444" s="2" t="s">
        <v>16462</v>
      </c>
      <c r="AC2444" s="2">
        <v>1.0679583178754199</v>
      </c>
      <c r="AD2444" s="2"/>
      <c r="AE2444" s="2">
        <v>0.260914744319304</v>
      </c>
      <c r="AF2444" s="2">
        <v>11521.871348340101</v>
      </c>
      <c r="AG2444" s="2">
        <v>5283.8975227316296</v>
      </c>
      <c r="AH2444" s="5">
        <v>2.1805629838149501</v>
      </c>
      <c r="AI2444" s="5">
        <v>1.12470066211187</v>
      </c>
      <c r="AJ2444" s="5" t="s">
        <v>139</v>
      </c>
      <c r="AK2444" s="2">
        <v>0.45674338279745702</v>
      </c>
      <c r="AL2444" s="2">
        <v>0.70838178256753004</v>
      </c>
      <c r="AM2444" s="2">
        <v>8.559877937157E-6</v>
      </c>
      <c r="AN2444" s="2">
        <v>8.559877937157E-6</v>
      </c>
      <c r="AO2444" s="2">
        <v>33270.762614024497</v>
      </c>
      <c r="AP2444" s="2">
        <v>814.79103232866896</v>
      </c>
      <c r="AQ2444" s="2">
        <v>35045.674418007897</v>
      </c>
      <c r="AR2444" s="2">
        <v>8.559877937157E-6</v>
      </c>
      <c r="AS2444" s="2">
        <v>21911.504371273601</v>
      </c>
      <c r="AT2444" s="2">
        <v>8.559877937157E-6</v>
      </c>
      <c r="AU2444" s="2">
        <v>9791.8807308766409</v>
      </c>
      <c r="AV2444" s="2">
        <v>8.559877937157E-6</v>
      </c>
      <c r="AW2444" s="2">
        <v>8.559877937157E-6</v>
      </c>
      <c r="AX2444" s="2">
        <v>8.559877937157E-6</v>
      </c>
    </row>
    <row r="2445" spans="1:50" x14ac:dyDescent="0.25">
      <c r="A2445" s="2" t="s">
        <v>16463</v>
      </c>
      <c r="B2445" s="2">
        <v>895.40533608337205</v>
      </c>
      <c r="C2445" s="2">
        <v>4.6654666666666698</v>
      </c>
      <c r="D2445" s="2" t="s">
        <v>51</v>
      </c>
      <c r="E2445" s="2" t="s">
        <v>16464</v>
      </c>
      <c r="F2445" s="2">
        <v>227956</v>
      </c>
      <c r="G2445" s="3" t="str">
        <f>HYPERLINK("https://cloud.oebiotech.com/#/lm/network/227956", "https://cloud.oebiotech.com/#/lm/network/227956")</f>
        <v>https://cloud.oebiotech.com/#/lm/network/227956</v>
      </c>
      <c r="H2445" s="2" t="s">
        <v>16465</v>
      </c>
      <c r="I2445" s="2"/>
      <c r="J2445" s="2"/>
      <c r="K2445" s="2"/>
      <c r="L2445" s="2"/>
      <c r="M2445" s="2"/>
      <c r="N2445" s="2"/>
      <c r="O2445" s="2"/>
      <c r="P2445" s="2"/>
      <c r="Q2445" s="2"/>
      <c r="R2445" s="2"/>
      <c r="S2445" s="2" t="s">
        <v>16466</v>
      </c>
      <c r="T2445" s="2" t="s">
        <v>16467</v>
      </c>
      <c r="U2445" s="2" t="s">
        <v>56</v>
      </c>
      <c r="V2445" s="2" t="s">
        <v>57</v>
      </c>
      <c r="W2445" s="2" t="s">
        <v>6588</v>
      </c>
      <c r="X2445" s="2" t="s">
        <v>147</v>
      </c>
      <c r="Y2445" s="2">
        <v>37</v>
      </c>
      <c r="Z2445" s="2">
        <v>8.9300000000000004E-2</v>
      </c>
      <c r="AA2445" s="2" t="s">
        <v>218</v>
      </c>
      <c r="AB2445" s="2" t="s">
        <v>16468</v>
      </c>
      <c r="AC2445" s="2">
        <v>4.4549204039718999</v>
      </c>
      <c r="AD2445" s="2"/>
      <c r="AE2445" s="2">
        <v>0.26066707340288497</v>
      </c>
      <c r="AF2445" s="2">
        <v>29738.188997558798</v>
      </c>
      <c r="AG2445" s="2">
        <v>37515.150082522203</v>
      </c>
      <c r="AH2445" s="4">
        <v>0.79269812148274998</v>
      </c>
      <c r="AI2445" s="4">
        <v>-0.335156537353129</v>
      </c>
      <c r="AJ2445" s="4" t="s">
        <v>62</v>
      </c>
      <c r="AK2445" s="2">
        <v>0.56422092204797403</v>
      </c>
      <c r="AL2445" s="2">
        <v>0.78088127829314202</v>
      </c>
      <c r="AM2445" s="2">
        <v>39718.613876233503</v>
      </c>
      <c r="AN2445" s="2">
        <v>27333.3449180842</v>
      </c>
      <c r="AO2445" s="2">
        <v>37208.286133124602</v>
      </c>
      <c r="AP2445" s="2">
        <v>30548.126267354401</v>
      </c>
      <c r="AQ2445" s="2">
        <v>15014.058836738801</v>
      </c>
      <c r="AR2445" s="2">
        <v>28606.703953817301</v>
      </c>
      <c r="AS2445" s="2">
        <v>416.77404011206102</v>
      </c>
      <c r="AT2445" s="2">
        <v>28590.4886128531</v>
      </c>
      <c r="AU2445" s="2">
        <v>45045.544423674597</v>
      </c>
      <c r="AV2445" s="2">
        <v>89871.096502840199</v>
      </c>
      <c r="AW2445" s="2">
        <v>44236.671692336902</v>
      </c>
      <c r="AX2445" s="2">
        <v>16930.3252233165</v>
      </c>
    </row>
    <row r="2446" spans="1:50" x14ac:dyDescent="0.25">
      <c r="A2446" s="2" t="s">
        <v>16469</v>
      </c>
      <c r="B2446" s="2">
        <v>488.35965097713699</v>
      </c>
      <c r="C2446" s="2">
        <v>13.862733333333299</v>
      </c>
      <c r="D2446" s="2" t="s">
        <v>51</v>
      </c>
      <c r="E2446" s="2" t="s">
        <v>16470</v>
      </c>
      <c r="F2446" s="2">
        <v>198066</v>
      </c>
      <c r="G2446" s="3" t="str">
        <f>HYPERLINK("https://cloud.oebiotech.com/#/lm/network/198066", "https://cloud.oebiotech.com/#/lm/network/198066")</f>
        <v>https://cloud.oebiotech.com/#/lm/network/198066</v>
      </c>
      <c r="H2446" s="2" t="s">
        <v>16471</v>
      </c>
      <c r="I2446" s="2"/>
      <c r="J2446" s="2"/>
      <c r="K2446" s="2"/>
      <c r="L2446" s="2"/>
      <c r="M2446" s="2"/>
      <c r="N2446" s="2"/>
      <c r="O2446" s="2"/>
      <c r="P2446" s="2"/>
      <c r="Q2446" s="2"/>
      <c r="R2446" s="2"/>
      <c r="S2446" s="2" t="s">
        <v>16472</v>
      </c>
      <c r="T2446" s="2" t="s">
        <v>16473</v>
      </c>
      <c r="U2446" s="2" t="s">
        <v>56</v>
      </c>
      <c r="V2446" s="2" t="s">
        <v>145</v>
      </c>
      <c r="W2446" s="2" t="s">
        <v>1188</v>
      </c>
      <c r="X2446" s="2" t="s">
        <v>147</v>
      </c>
      <c r="Y2446" s="2">
        <v>38.1</v>
      </c>
      <c r="Z2446" s="2">
        <v>0</v>
      </c>
      <c r="AA2446" s="2" t="s">
        <v>218</v>
      </c>
      <c r="AB2446" s="2" t="s">
        <v>16474</v>
      </c>
      <c r="AC2446" s="2">
        <v>0.84453311102210904</v>
      </c>
      <c r="AD2446" s="2"/>
      <c r="AE2446" s="2">
        <v>0.26054292405136698</v>
      </c>
      <c r="AF2446" s="2">
        <v>6901.0203205444504</v>
      </c>
      <c r="AG2446" s="2">
        <v>3832.7816041454798</v>
      </c>
      <c r="AH2446" s="5">
        <v>1.8005253190216799</v>
      </c>
      <c r="AI2446" s="5">
        <v>0.84841788687625497</v>
      </c>
      <c r="AJ2446" s="5" t="s">
        <v>139</v>
      </c>
      <c r="AK2446" s="2">
        <v>0.12174129961336599</v>
      </c>
      <c r="AL2446" s="2">
        <v>0.439111844352708</v>
      </c>
      <c r="AM2446" s="2">
        <v>3555.2619988941801</v>
      </c>
      <c r="AN2446" s="2">
        <v>6308.5647852186403</v>
      </c>
      <c r="AO2446" s="2">
        <v>11635.750618226501</v>
      </c>
      <c r="AP2446" s="2">
        <v>10087.170726365899</v>
      </c>
      <c r="AQ2446" s="2">
        <v>7957.4253708789902</v>
      </c>
      <c r="AR2446" s="2">
        <v>1861.9484236824701</v>
      </c>
      <c r="AS2446" s="2">
        <v>6756.43108278419</v>
      </c>
      <c r="AT2446" s="2">
        <v>5011.5854899778096</v>
      </c>
      <c r="AU2446" s="2">
        <v>2867.13850627396</v>
      </c>
      <c r="AV2446" s="2">
        <v>522.50063674099499</v>
      </c>
      <c r="AW2446" s="2">
        <v>5696.86293183417</v>
      </c>
      <c r="AX2446" s="2">
        <v>2142.1709772617401</v>
      </c>
    </row>
    <row r="2447" spans="1:50" x14ac:dyDescent="0.25">
      <c r="A2447" s="2" t="s">
        <v>16475</v>
      </c>
      <c r="B2447" s="2">
        <v>784.49195579438003</v>
      </c>
      <c r="C2447" s="2">
        <v>4.9131833333333299</v>
      </c>
      <c r="D2447" s="2" t="s">
        <v>51</v>
      </c>
      <c r="E2447" s="2" t="s">
        <v>16476</v>
      </c>
      <c r="F2447" s="2">
        <v>221718</v>
      </c>
      <c r="G2447" s="3" t="str">
        <f>HYPERLINK("https://cloud.oebiotech.com/#/lm/network/221718", "https://cloud.oebiotech.com/#/lm/network/221718")</f>
        <v>https://cloud.oebiotech.com/#/lm/network/221718</v>
      </c>
      <c r="H2447" s="2" t="s">
        <v>16477</v>
      </c>
      <c r="I2447" s="2"/>
      <c r="J2447" s="2"/>
      <c r="K2447" s="2"/>
      <c r="L2447" s="2"/>
      <c r="M2447" s="2"/>
      <c r="N2447" s="2"/>
      <c r="O2447" s="2"/>
      <c r="P2447" s="2"/>
      <c r="Q2447" s="2"/>
      <c r="R2447" s="2"/>
      <c r="S2447" s="2" t="s">
        <v>16478</v>
      </c>
      <c r="T2447" s="2" t="s">
        <v>16479</v>
      </c>
      <c r="U2447" s="2" t="s">
        <v>56</v>
      </c>
      <c r="V2447" s="2" t="s">
        <v>57</v>
      </c>
      <c r="W2447" s="2" t="s">
        <v>570</v>
      </c>
      <c r="X2447" s="2" t="s">
        <v>147</v>
      </c>
      <c r="Y2447" s="2">
        <v>41.1</v>
      </c>
      <c r="Z2447" s="2">
        <v>21.6</v>
      </c>
      <c r="AA2447" s="2" t="s">
        <v>122</v>
      </c>
      <c r="AB2447" s="2" t="s">
        <v>16480</v>
      </c>
      <c r="AC2447" s="2">
        <v>3.7042048088818298</v>
      </c>
      <c r="AD2447" s="2"/>
      <c r="AE2447" s="2">
        <v>0.26045187785128099</v>
      </c>
      <c r="AF2447" s="2">
        <v>6567.6136441229301</v>
      </c>
      <c r="AG2447" s="2">
        <v>2742.2104012047098</v>
      </c>
      <c r="AH2447" s="5">
        <v>2.3950071961063402</v>
      </c>
      <c r="AI2447" s="5">
        <v>1.2600299907302801</v>
      </c>
      <c r="AJ2447" s="5" t="s">
        <v>139</v>
      </c>
      <c r="AK2447" s="2">
        <v>0.35092309161575302</v>
      </c>
      <c r="AL2447" s="2">
        <v>0.64273559662805702</v>
      </c>
      <c r="AM2447" s="2">
        <v>667.60120703463804</v>
      </c>
      <c r="AN2447" s="2">
        <v>818.56474746259005</v>
      </c>
      <c r="AO2447" s="2">
        <v>24216.2355401348</v>
      </c>
      <c r="AP2447" s="2">
        <v>7752.38702308345</v>
      </c>
      <c r="AQ2447" s="2">
        <v>3540.7961148274899</v>
      </c>
      <c r="AR2447" s="2">
        <v>2410.0972321946201</v>
      </c>
      <c r="AS2447" s="2">
        <v>1280.8489782991801</v>
      </c>
      <c r="AT2447" s="2">
        <v>9249.8392759932303</v>
      </c>
      <c r="AU2447" s="2">
        <v>1162.45983141136</v>
      </c>
      <c r="AV2447" s="2">
        <v>1573.2807392735599</v>
      </c>
      <c r="AW2447" s="2">
        <v>1158.19995114725</v>
      </c>
      <c r="AX2447" s="2">
        <v>2028.63363110368</v>
      </c>
    </row>
    <row r="2448" spans="1:50" x14ac:dyDescent="0.25">
      <c r="A2448" s="2" t="s">
        <v>16481</v>
      </c>
      <c r="B2448" s="2">
        <v>433.33243627081998</v>
      </c>
      <c r="C2448" s="2">
        <v>12.9738333333333</v>
      </c>
      <c r="D2448" s="2" t="s">
        <v>51</v>
      </c>
      <c r="E2448" s="2" t="s">
        <v>16482</v>
      </c>
      <c r="F2448" s="2">
        <v>35225</v>
      </c>
      <c r="G2448" s="3" t="str">
        <f>HYPERLINK("https://cloud.oebiotech.com/#/lm/network/35225", "https://cloud.oebiotech.com/#/lm/network/35225")</f>
        <v>https://cloud.oebiotech.com/#/lm/network/35225</v>
      </c>
      <c r="H2448" s="2"/>
      <c r="I2448" s="2"/>
      <c r="J2448" s="2" t="s">
        <v>16483</v>
      </c>
      <c r="K2448" s="2"/>
      <c r="L2448" s="2"/>
      <c r="M2448" s="2"/>
      <c r="N2448" s="2"/>
      <c r="O2448" s="2"/>
      <c r="P2448" s="2"/>
      <c r="Q2448" s="2"/>
      <c r="R2448" s="2"/>
      <c r="S2448" s="2" t="s">
        <v>16484</v>
      </c>
      <c r="T2448" s="2" t="s">
        <v>16485</v>
      </c>
      <c r="U2448" s="2" t="s">
        <v>610</v>
      </c>
      <c r="V2448" s="2" t="s">
        <v>611</v>
      </c>
      <c r="W2448" s="2" t="s">
        <v>1122</v>
      </c>
      <c r="X2448" s="2" t="s">
        <v>83</v>
      </c>
      <c r="Y2448" s="2">
        <v>56.1</v>
      </c>
      <c r="Z2448" s="2">
        <v>0</v>
      </c>
      <c r="AA2448" s="2" t="s">
        <v>163</v>
      </c>
      <c r="AB2448" s="2" t="s">
        <v>16486</v>
      </c>
      <c r="AC2448" s="2">
        <v>0.23656456241686</v>
      </c>
      <c r="AD2448" s="2"/>
      <c r="AE2448" s="2">
        <v>0.26044725645418199</v>
      </c>
      <c r="AF2448" s="2">
        <v>16507.386344526702</v>
      </c>
      <c r="AG2448" s="2">
        <v>12824.478741322901</v>
      </c>
      <c r="AH2448" s="5">
        <v>1.28717795689713</v>
      </c>
      <c r="AI2448" s="5">
        <v>0.36421152503082099</v>
      </c>
      <c r="AJ2448" s="5" t="s">
        <v>139</v>
      </c>
      <c r="AK2448" s="2">
        <v>0.27001431366212603</v>
      </c>
      <c r="AL2448" s="2">
        <v>0.59023387803609295</v>
      </c>
      <c r="AM2448" s="2">
        <v>9814.6934794471908</v>
      </c>
      <c r="AN2448" s="2">
        <v>21041.113685058099</v>
      </c>
      <c r="AO2448" s="2">
        <v>18303.928005301899</v>
      </c>
      <c r="AP2448" s="2">
        <v>22935.922829686398</v>
      </c>
      <c r="AQ2448" s="2">
        <v>17994.161915115401</v>
      </c>
      <c r="AR2448" s="2">
        <v>8954.4981525514504</v>
      </c>
      <c r="AS2448" s="2">
        <v>10446.8035770714</v>
      </c>
      <c r="AT2448" s="2">
        <v>19661.1608127449</v>
      </c>
      <c r="AU2448" s="2">
        <v>11448.0200728614</v>
      </c>
      <c r="AV2448" s="2">
        <v>4896.5921340032901</v>
      </c>
      <c r="AW2448" s="2">
        <v>14804.2171643694</v>
      </c>
      <c r="AX2448" s="2">
        <v>15690.0786868872</v>
      </c>
    </row>
    <row r="2449" spans="1:50" x14ac:dyDescent="0.25">
      <c r="A2449" s="2" t="s">
        <v>16487</v>
      </c>
      <c r="B2449" s="2">
        <v>235.079168865415</v>
      </c>
      <c r="C2449" s="2">
        <v>0.71519999999999995</v>
      </c>
      <c r="D2449" s="2" t="s">
        <v>51</v>
      </c>
      <c r="E2449" s="2" t="s">
        <v>16488</v>
      </c>
      <c r="F2449" s="2">
        <v>53872</v>
      </c>
      <c r="G2449" s="3" t="str">
        <f>HYPERLINK("https://cloud.oebiotech.com/#/lm/network/53872", "https://cloud.oebiotech.com/#/lm/network/53872")</f>
        <v>https://cloud.oebiotech.com/#/lm/network/53872</v>
      </c>
      <c r="H2449" s="2" t="s">
        <v>16489</v>
      </c>
      <c r="I2449" s="2">
        <v>23939</v>
      </c>
      <c r="J2449" s="2"/>
      <c r="K2449" s="2">
        <v>417360</v>
      </c>
      <c r="L2449" s="2"/>
      <c r="M2449" s="2"/>
      <c r="N2449" s="2"/>
      <c r="O2449" s="2">
        <v>172454</v>
      </c>
      <c r="P2449" s="2"/>
      <c r="Q2449" s="2"/>
      <c r="R2449" s="2"/>
      <c r="S2449" s="2" t="s">
        <v>16490</v>
      </c>
      <c r="T2449" s="2" t="s">
        <v>16491</v>
      </c>
      <c r="U2449" s="2" t="s">
        <v>103</v>
      </c>
      <c r="V2449" s="2" t="s">
        <v>104</v>
      </c>
      <c r="W2449" s="2" t="s">
        <v>105</v>
      </c>
      <c r="X2449" s="2" t="s">
        <v>83</v>
      </c>
      <c r="Y2449" s="2">
        <v>39</v>
      </c>
      <c r="Z2449" s="2">
        <v>3.88</v>
      </c>
      <c r="AA2449" s="2" t="s">
        <v>95</v>
      </c>
      <c r="AB2449" s="2" t="s">
        <v>16492</v>
      </c>
      <c r="AC2449" s="2">
        <v>-4.6776034064910004</v>
      </c>
      <c r="AD2449" s="2"/>
      <c r="AE2449" s="2">
        <v>0.26031053541099403</v>
      </c>
      <c r="AF2449" s="2">
        <v>1828.57497691304</v>
      </c>
      <c r="AG2449" s="2">
        <v>4047.5475862414901</v>
      </c>
      <c r="AH2449" s="4">
        <v>0.451773558667667</v>
      </c>
      <c r="AI2449" s="4">
        <v>-1.1463282595156701</v>
      </c>
      <c r="AJ2449" s="4" t="s">
        <v>62</v>
      </c>
      <c r="AK2449" s="2">
        <v>0.15162620144328501</v>
      </c>
      <c r="AL2449" s="2">
        <v>0.473202259567432</v>
      </c>
      <c r="AM2449" s="2">
        <v>8.559877937157E-6</v>
      </c>
      <c r="AN2449" s="2">
        <v>3208.9195834768202</v>
      </c>
      <c r="AO2449" s="2">
        <v>2903.8292553479901</v>
      </c>
      <c r="AP2449" s="2">
        <v>8.559877937157E-6</v>
      </c>
      <c r="AQ2449" s="2">
        <v>1177.0229487721699</v>
      </c>
      <c r="AR2449" s="2">
        <v>3681.6780567615301</v>
      </c>
      <c r="AS2449" s="2">
        <v>8722.5402449112607</v>
      </c>
      <c r="AT2449" s="2">
        <v>3956.92922686459</v>
      </c>
      <c r="AU2449" s="2">
        <v>8.559877937157E-6</v>
      </c>
      <c r="AV2449" s="2">
        <v>1437.32666194272</v>
      </c>
      <c r="AW2449" s="2">
        <v>4593.7216398466899</v>
      </c>
      <c r="AX2449" s="2">
        <v>5574.7677353238296</v>
      </c>
    </row>
    <row r="2450" spans="1:50" x14ac:dyDescent="0.25">
      <c r="A2450" s="2" t="s">
        <v>16493</v>
      </c>
      <c r="B2450" s="2">
        <v>383.13497518276802</v>
      </c>
      <c r="C2450" s="2">
        <v>5.5300333333333302</v>
      </c>
      <c r="D2450" s="2" t="s">
        <v>51</v>
      </c>
      <c r="E2450" s="2" t="s">
        <v>16494</v>
      </c>
      <c r="F2450" s="2">
        <v>59928</v>
      </c>
      <c r="G2450" s="3" t="str">
        <f>HYPERLINK("https://cloud.oebiotech.com/#/lm/network/59928", "https://cloud.oebiotech.com/#/lm/network/59928")</f>
        <v>https://cloud.oebiotech.com/#/lm/network/59928</v>
      </c>
      <c r="H2450" s="2" t="s">
        <v>16495</v>
      </c>
      <c r="I2450" s="2">
        <v>91293</v>
      </c>
      <c r="J2450" s="2"/>
      <c r="K2450" s="2">
        <v>104759</v>
      </c>
      <c r="L2450" s="2"/>
      <c r="M2450" s="2"/>
      <c r="N2450" s="2"/>
      <c r="O2450" s="2"/>
      <c r="P2450" s="2"/>
      <c r="Q2450" s="2"/>
      <c r="R2450" s="2" t="s">
        <v>16496</v>
      </c>
      <c r="S2450" s="2" t="s">
        <v>16497</v>
      </c>
      <c r="T2450" s="2" t="s">
        <v>16498</v>
      </c>
      <c r="U2450" s="2" t="s">
        <v>56</v>
      </c>
      <c r="V2450" s="2" t="s">
        <v>177</v>
      </c>
      <c r="W2450" s="2" t="s">
        <v>1996</v>
      </c>
      <c r="X2450" s="2" t="s">
        <v>147</v>
      </c>
      <c r="Y2450" s="2">
        <v>38.700000000000003</v>
      </c>
      <c r="Z2450" s="2">
        <v>0</v>
      </c>
      <c r="AA2450" s="2" t="s">
        <v>218</v>
      </c>
      <c r="AB2450" s="2" t="s">
        <v>16499</v>
      </c>
      <c r="AC2450" s="2">
        <v>0.64846673910345098</v>
      </c>
      <c r="AD2450" s="2"/>
      <c r="AE2450" s="2">
        <v>0.26010946212064001</v>
      </c>
      <c r="AF2450" s="2">
        <v>690.35373246540598</v>
      </c>
      <c r="AG2450" s="2">
        <v>3143.0521450390402</v>
      </c>
      <c r="AH2450" s="4">
        <v>0.219644377696709</v>
      </c>
      <c r="AI2450" s="4">
        <v>-2.1867585240835399</v>
      </c>
      <c r="AJ2450" s="4" t="s">
        <v>62</v>
      </c>
      <c r="AK2450" s="2">
        <v>0.10781745539790499</v>
      </c>
      <c r="AL2450" s="2">
        <v>0.41864763420363699</v>
      </c>
      <c r="AM2450" s="2">
        <v>765.32382714752896</v>
      </c>
      <c r="AN2450" s="2">
        <v>373.49547008884502</v>
      </c>
      <c r="AO2450" s="2">
        <v>944.60794241010501</v>
      </c>
      <c r="AP2450" s="2">
        <v>8.559877937157E-6</v>
      </c>
      <c r="AQ2450" s="2">
        <v>8.559877937157E-6</v>
      </c>
      <c r="AR2450" s="2">
        <v>2058.6951380261999</v>
      </c>
      <c r="AS2450" s="2">
        <v>589.46734334711903</v>
      </c>
      <c r="AT2450" s="2">
        <v>1718.03199104081</v>
      </c>
      <c r="AU2450" s="2">
        <v>4468.77481453365</v>
      </c>
      <c r="AV2450" s="2">
        <v>2478.15230994993</v>
      </c>
      <c r="AW2450" s="2">
        <v>9195.3100243810004</v>
      </c>
      <c r="AX2450" s="2">
        <v>408.57638698173997</v>
      </c>
    </row>
    <row r="2451" spans="1:50" x14ac:dyDescent="0.25">
      <c r="A2451" s="2" t="s">
        <v>16500</v>
      </c>
      <c r="B2451" s="2">
        <v>567.26673386333096</v>
      </c>
      <c r="C2451" s="2">
        <v>8.5727833333333301</v>
      </c>
      <c r="D2451" s="2" t="s">
        <v>51</v>
      </c>
      <c r="E2451" s="2" t="s">
        <v>16501</v>
      </c>
      <c r="F2451" s="2">
        <v>64658</v>
      </c>
      <c r="G2451" s="3" t="str">
        <f>HYPERLINK("https://cloud.oebiotech.com/#/lm/network/64658", "https://cloud.oebiotech.com/#/lm/network/64658")</f>
        <v>https://cloud.oebiotech.com/#/lm/network/64658</v>
      </c>
      <c r="H2451" s="2" t="s">
        <v>16502</v>
      </c>
      <c r="I2451" s="2">
        <v>95959</v>
      </c>
      <c r="J2451" s="2"/>
      <c r="K2451" s="2">
        <v>85253057</v>
      </c>
      <c r="L2451" s="2"/>
      <c r="M2451" s="2"/>
      <c r="N2451" s="2"/>
      <c r="O2451" s="2">
        <v>168550</v>
      </c>
      <c r="P2451" s="2"/>
      <c r="Q2451" s="2"/>
      <c r="R2451" s="2" t="s">
        <v>16503</v>
      </c>
      <c r="S2451" s="2" t="s">
        <v>16504</v>
      </c>
      <c r="T2451" s="2" t="s">
        <v>16505</v>
      </c>
      <c r="U2451" s="2" t="s">
        <v>56</v>
      </c>
      <c r="V2451" s="2" t="s">
        <v>145</v>
      </c>
      <c r="W2451" s="2" t="s">
        <v>3263</v>
      </c>
      <c r="X2451" s="2" t="s">
        <v>147</v>
      </c>
      <c r="Y2451" s="2">
        <v>36.1</v>
      </c>
      <c r="Z2451" s="2">
        <v>0</v>
      </c>
      <c r="AA2451" s="2" t="s">
        <v>218</v>
      </c>
      <c r="AB2451" s="2" t="s">
        <v>16506</v>
      </c>
      <c r="AC2451" s="2">
        <v>1.7313186277152299</v>
      </c>
      <c r="AD2451" s="2"/>
      <c r="AE2451" s="2">
        <v>0.25984722510409503</v>
      </c>
      <c r="AF2451" s="2">
        <v>5183.6221063088597</v>
      </c>
      <c r="AG2451" s="2">
        <v>6922.7941917616999</v>
      </c>
      <c r="AH2451" s="4">
        <v>0.74877599459442201</v>
      </c>
      <c r="AI2451" s="4">
        <v>-0.417393911347891</v>
      </c>
      <c r="AJ2451" s="4" t="s">
        <v>62</v>
      </c>
      <c r="AK2451" s="2">
        <v>2.38723496495718E-2</v>
      </c>
      <c r="AL2451" s="2">
        <v>0.23981411145432799</v>
      </c>
      <c r="AM2451" s="2">
        <v>5472.6736799386899</v>
      </c>
      <c r="AN2451" s="2">
        <v>3771.4699815208201</v>
      </c>
      <c r="AO2451" s="2">
        <v>5665.7720217629903</v>
      </c>
      <c r="AP2451" s="2">
        <v>6535.0323973514996</v>
      </c>
      <c r="AQ2451" s="2">
        <v>2922.89375318559</v>
      </c>
      <c r="AR2451" s="2">
        <v>6733.8908040935403</v>
      </c>
      <c r="AS2451" s="2">
        <v>7357.2927557151297</v>
      </c>
      <c r="AT2451" s="2">
        <v>7316.9718798939002</v>
      </c>
      <c r="AU2451" s="2">
        <v>6694.7960962734296</v>
      </c>
      <c r="AV2451" s="2">
        <v>7271.7762284774599</v>
      </c>
      <c r="AW2451" s="2">
        <v>6763.1253066469999</v>
      </c>
      <c r="AX2451" s="2">
        <v>6132.8028835632804</v>
      </c>
    </row>
    <row r="2452" spans="1:50" x14ac:dyDescent="0.25">
      <c r="A2452" s="2" t="s">
        <v>16507</v>
      </c>
      <c r="B2452" s="2">
        <v>489.358444931446</v>
      </c>
      <c r="C2452" s="2">
        <v>13.668850000000001</v>
      </c>
      <c r="D2452" s="2" t="s">
        <v>51</v>
      </c>
      <c r="E2452" s="2" t="s">
        <v>16508</v>
      </c>
      <c r="F2452" s="2">
        <v>255372</v>
      </c>
      <c r="G2452" s="3" t="str">
        <f>HYPERLINK("https://cloud.oebiotech.com/#/lm/network/255372", "https://cloud.oebiotech.com/#/lm/network/255372")</f>
        <v>https://cloud.oebiotech.com/#/lm/network/255372</v>
      </c>
      <c r="H2452" s="2" t="s">
        <v>16509</v>
      </c>
      <c r="I2452" s="2"/>
      <c r="J2452" s="2"/>
      <c r="K2452" s="2">
        <v>619407</v>
      </c>
      <c r="L2452" s="2"/>
      <c r="M2452" s="2"/>
      <c r="N2452" s="2"/>
      <c r="O2452" s="2"/>
      <c r="P2452" s="2"/>
      <c r="Q2452" s="2"/>
      <c r="R2452" s="2"/>
      <c r="S2452" s="2" t="s">
        <v>16510</v>
      </c>
      <c r="T2452" s="2" t="s">
        <v>16511</v>
      </c>
      <c r="U2452" s="2" t="s">
        <v>56</v>
      </c>
      <c r="V2452" s="2" t="s">
        <v>177</v>
      </c>
      <c r="W2452" s="2" t="s">
        <v>3270</v>
      </c>
      <c r="X2452" s="2" t="s">
        <v>59</v>
      </c>
      <c r="Y2452" s="2">
        <v>46.4</v>
      </c>
      <c r="Z2452" s="2">
        <v>45.9</v>
      </c>
      <c r="AA2452" s="2" t="s">
        <v>156</v>
      </c>
      <c r="AB2452" s="2" t="s">
        <v>16512</v>
      </c>
      <c r="AC2452" s="2">
        <v>1.9627520626326</v>
      </c>
      <c r="AD2452" s="2"/>
      <c r="AE2452" s="2">
        <v>0.25982230643112703</v>
      </c>
      <c r="AF2452" s="2">
        <v>13325.856820385399</v>
      </c>
      <c r="AG2452" s="2">
        <v>9208.5174665403592</v>
      </c>
      <c r="AH2452" s="5">
        <v>1.4471229346966701</v>
      </c>
      <c r="AI2452" s="5">
        <v>0.533187485617861</v>
      </c>
      <c r="AJ2452" s="5" t="s">
        <v>139</v>
      </c>
      <c r="AK2452" s="2">
        <v>0.42590916378328603</v>
      </c>
      <c r="AL2452" s="2">
        <v>0.68470693349075695</v>
      </c>
      <c r="AM2452" s="2">
        <v>12691.4007500061</v>
      </c>
      <c r="AN2452" s="2">
        <v>22997.325006777199</v>
      </c>
      <c r="AO2452" s="2">
        <v>19016.7323263779</v>
      </c>
      <c r="AP2452" s="2">
        <v>14405.9175248342</v>
      </c>
      <c r="AQ2452" s="2">
        <v>5016.9377716348599</v>
      </c>
      <c r="AR2452" s="2">
        <v>5826.8275426824002</v>
      </c>
      <c r="AS2452" s="2">
        <v>3202.6705946242901</v>
      </c>
      <c r="AT2452" s="2">
        <v>3884.8233606184399</v>
      </c>
      <c r="AU2452" s="2">
        <v>7729.0362199381998</v>
      </c>
      <c r="AV2452" s="2">
        <v>5164.1103565018102</v>
      </c>
      <c r="AW2452" s="2">
        <v>6222.56897258341</v>
      </c>
      <c r="AX2452" s="2">
        <v>29047.895294975999</v>
      </c>
    </row>
    <row r="2453" spans="1:50" x14ac:dyDescent="0.25">
      <c r="A2453" s="2" t="s">
        <v>16513</v>
      </c>
      <c r="B2453" s="2">
        <v>168.948044062257</v>
      </c>
      <c r="C2453" s="2">
        <v>0.72640000000000005</v>
      </c>
      <c r="D2453" s="2" t="s">
        <v>51</v>
      </c>
      <c r="E2453" s="2" t="s">
        <v>16514</v>
      </c>
      <c r="F2453" s="2">
        <v>256393</v>
      </c>
      <c r="G2453" s="3" t="str">
        <f>HYPERLINK("https://cloud.oebiotech.com/#/lm/network/256393", "https://cloud.oebiotech.com/#/lm/network/256393")</f>
        <v>https://cloud.oebiotech.com/#/lm/network/256393</v>
      </c>
      <c r="H2453" s="2" t="s">
        <v>16515</v>
      </c>
      <c r="I2453" s="2"/>
      <c r="J2453" s="2"/>
      <c r="K2453" s="2">
        <v>24268</v>
      </c>
      <c r="L2453" s="2"/>
      <c r="M2453" s="2"/>
      <c r="N2453" s="2"/>
      <c r="O2453" s="2">
        <v>63005</v>
      </c>
      <c r="P2453" s="2"/>
      <c r="Q2453" s="2"/>
      <c r="R2453" s="2"/>
      <c r="S2453" s="2" t="s">
        <v>16516</v>
      </c>
      <c r="T2453" s="2" t="s">
        <v>16517</v>
      </c>
      <c r="U2453" s="2" t="s">
        <v>13215</v>
      </c>
      <c r="V2453" s="2" t="s">
        <v>13216</v>
      </c>
      <c r="W2453" s="2" t="s">
        <v>16518</v>
      </c>
      <c r="X2453" s="2" t="s">
        <v>147</v>
      </c>
      <c r="Y2453" s="2">
        <v>39.6</v>
      </c>
      <c r="Z2453" s="2">
        <v>0</v>
      </c>
      <c r="AA2453" s="2" t="s">
        <v>478</v>
      </c>
      <c r="AB2453" s="2" t="s">
        <v>16519</v>
      </c>
      <c r="AC2453" s="2">
        <v>0.86025916784406298</v>
      </c>
      <c r="AD2453" s="2"/>
      <c r="AE2453" s="2">
        <v>0.25976018142261997</v>
      </c>
      <c r="AF2453" s="2">
        <v>5432.5405335052101</v>
      </c>
      <c r="AG2453" s="2">
        <v>7581.8816621639198</v>
      </c>
      <c r="AH2453" s="4">
        <v>0.71651613353652999</v>
      </c>
      <c r="AI2453" s="4">
        <v>-0.48092890538794503</v>
      </c>
      <c r="AJ2453" s="4" t="s">
        <v>62</v>
      </c>
      <c r="AK2453" s="2">
        <v>5.1355887234494899E-2</v>
      </c>
      <c r="AL2453" s="2">
        <v>0.31427102697878501</v>
      </c>
      <c r="AM2453" s="2">
        <v>3201.0167364919898</v>
      </c>
      <c r="AN2453" s="2">
        <v>7149.9312448052597</v>
      </c>
      <c r="AO2453" s="2">
        <v>6342.5791545524198</v>
      </c>
      <c r="AP2453" s="2">
        <v>4581.3036579243299</v>
      </c>
      <c r="AQ2453" s="2">
        <v>6893.51037654833</v>
      </c>
      <c r="AR2453" s="2">
        <v>4426.9020307089104</v>
      </c>
      <c r="AS2453" s="2">
        <v>7433.1237965310602</v>
      </c>
      <c r="AT2453" s="2">
        <v>9408.8967018814292</v>
      </c>
      <c r="AU2453" s="2">
        <v>6177.9186123154004</v>
      </c>
      <c r="AV2453" s="2">
        <v>5410.2375621581696</v>
      </c>
      <c r="AW2453" s="2">
        <v>7144.8017204323596</v>
      </c>
      <c r="AX2453" s="2">
        <v>9916.31157966508</v>
      </c>
    </row>
    <row r="2454" spans="1:50" x14ac:dyDescent="0.25">
      <c r="A2454" s="2" t="s">
        <v>16520</v>
      </c>
      <c r="B2454" s="2">
        <v>549.156994663202</v>
      </c>
      <c r="C2454" s="2">
        <v>4.9007166666666704</v>
      </c>
      <c r="D2454" s="2" t="s">
        <v>51</v>
      </c>
      <c r="E2454" s="2" t="s">
        <v>16521</v>
      </c>
      <c r="F2454" s="2">
        <v>54230</v>
      </c>
      <c r="G2454" s="3" t="str">
        <f>HYPERLINK("https://cloud.oebiotech.com/#/lm/network/54230", "https://cloud.oebiotech.com/#/lm/network/54230")</f>
        <v>https://cloud.oebiotech.com/#/lm/network/54230</v>
      </c>
      <c r="H2454" s="2" t="s">
        <v>16522</v>
      </c>
      <c r="I2454" s="2">
        <v>86129</v>
      </c>
      <c r="J2454" s="2"/>
      <c r="K2454" s="2">
        <v>131750827</v>
      </c>
      <c r="L2454" s="2"/>
      <c r="M2454" s="2"/>
      <c r="N2454" s="2"/>
      <c r="O2454" s="2">
        <v>168204</v>
      </c>
      <c r="P2454" s="2"/>
      <c r="Q2454" s="2"/>
      <c r="R2454" s="2"/>
      <c r="S2454" s="2" t="s">
        <v>16523</v>
      </c>
      <c r="T2454" s="2" t="s">
        <v>16524</v>
      </c>
      <c r="U2454" s="2" t="s">
        <v>540</v>
      </c>
      <c r="V2454" s="2" t="s">
        <v>541</v>
      </c>
      <c r="W2454" s="2" t="s">
        <v>542</v>
      </c>
      <c r="X2454" s="2" t="s">
        <v>83</v>
      </c>
      <c r="Y2454" s="2">
        <v>49.8</v>
      </c>
      <c r="Z2454" s="2">
        <v>0</v>
      </c>
      <c r="AA2454" s="2" t="s">
        <v>379</v>
      </c>
      <c r="AB2454" s="2" t="s">
        <v>16525</v>
      </c>
      <c r="AC2454" s="2">
        <v>-7.6910890684192799</v>
      </c>
      <c r="AD2454" s="2"/>
      <c r="AE2454" s="2">
        <v>0.25972017822083099</v>
      </c>
      <c r="AF2454" s="2">
        <v>808.53953860061097</v>
      </c>
      <c r="AG2454" s="2">
        <v>2823.5921421818698</v>
      </c>
      <c r="AH2454" s="4">
        <v>0.286351391379007</v>
      </c>
      <c r="AI2454" s="4">
        <v>-1.80414148136423</v>
      </c>
      <c r="AJ2454" s="4" t="s">
        <v>62</v>
      </c>
      <c r="AK2454" s="2">
        <v>2.0144233927722299E-2</v>
      </c>
      <c r="AL2454" s="2">
        <v>0.221474660794236</v>
      </c>
      <c r="AM2454" s="2">
        <v>1354.4574588661701</v>
      </c>
      <c r="AN2454" s="2">
        <v>240.11820026776101</v>
      </c>
      <c r="AO2454" s="2">
        <v>972.42456130756796</v>
      </c>
      <c r="AP2454" s="2">
        <v>8.559877937157E-6</v>
      </c>
      <c r="AQ2454" s="2">
        <v>248.35456479083999</v>
      </c>
      <c r="AR2454" s="2">
        <v>2035.88243781145</v>
      </c>
      <c r="AS2454" s="2">
        <v>1125.83624762304</v>
      </c>
      <c r="AT2454" s="2">
        <v>3058.4807572619602</v>
      </c>
      <c r="AU2454" s="2">
        <v>3333.59273827064</v>
      </c>
      <c r="AV2454" s="2">
        <v>3298.5672970053802</v>
      </c>
      <c r="AW2454" s="2">
        <v>5223.15237452363</v>
      </c>
      <c r="AX2454" s="2">
        <v>901.923438406586</v>
      </c>
    </row>
    <row r="2455" spans="1:50" x14ac:dyDescent="0.25">
      <c r="A2455" s="2" t="s">
        <v>16526</v>
      </c>
      <c r="B2455" s="2">
        <v>613.48377875958397</v>
      </c>
      <c r="C2455" s="2">
        <v>13.5873333333333</v>
      </c>
      <c r="D2455" s="2" t="s">
        <v>51</v>
      </c>
      <c r="E2455" s="2" t="s">
        <v>16527</v>
      </c>
      <c r="F2455" s="2">
        <v>49098</v>
      </c>
      <c r="G2455" s="3" t="str">
        <f>HYPERLINK("https://cloud.oebiotech.com/#/lm/network/49098", "https://cloud.oebiotech.com/#/lm/network/49098")</f>
        <v>https://cloud.oebiotech.com/#/lm/network/49098</v>
      </c>
      <c r="H2455" s="2" t="s">
        <v>16528</v>
      </c>
      <c r="I2455" s="2">
        <v>58815</v>
      </c>
      <c r="J2455" s="2"/>
      <c r="K2455" s="2">
        <v>53478106</v>
      </c>
      <c r="L2455" s="2"/>
      <c r="M2455" s="2"/>
      <c r="N2455" s="2"/>
      <c r="O2455" s="2"/>
      <c r="P2455" s="2"/>
      <c r="Q2455" s="2"/>
      <c r="R2455" s="2"/>
      <c r="S2455" s="2" t="s">
        <v>16529</v>
      </c>
      <c r="T2455" s="2" t="s">
        <v>16530</v>
      </c>
      <c r="U2455" s="2" t="s">
        <v>56</v>
      </c>
      <c r="V2455" s="2" t="s">
        <v>145</v>
      </c>
      <c r="W2455" s="2" t="s">
        <v>203</v>
      </c>
      <c r="X2455" s="2" t="s">
        <v>147</v>
      </c>
      <c r="Y2455" s="2">
        <v>43.1</v>
      </c>
      <c r="Z2455" s="2">
        <v>25.2</v>
      </c>
      <c r="AA2455" s="2" t="s">
        <v>179</v>
      </c>
      <c r="AB2455" s="2" t="s">
        <v>14321</v>
      </c>
      <c r="AC2455" s="2">
        <v>1.8403634656815899</v>
      </c>
      <c r="AD2455" s="2"/>
      <c r="AE2455" s="2">
        <v>0.25967012215215701</v>
      </c>
      <c r="AF2455" s="2">
        <v>398022.74020863301</v>
      </c>
      <c r="AG2455" s="2">
        <v>400105.34729803301</v>
      </c>
      <c r="AH2455" s="4">
        <v>0.99479485314689398</v>
      </c>
      <c r="AI2455" s="4">
        <v>-7.52905150489999E-3</v>
      </c>
      <c r="AJ2455" s="4" t="s">
        <v>62</v>
      </c>
      <c r="AK2455" s="2">
        <v>0.98703614019021402</v>
      </c>
      <c r="AL2455" s="2">
        <v>0.99500436708409101</v>
      </c>
      <c r="AM2455" s="2">
        <v>534716.03978167905</v>
      </c>
      <c r="AN2455" s="2">
        <v>704697.85898903699</v>
      </c>
      <c r="AO2455" s="2">
        <v>458986.81779246702</v>
      </c>
      <c r="AP2455" s="2">
        <v>273858.82630963897</v>
      </c>
      <c r="AQ2455" s="2">
        <v>223524.28721500401</v>
      </c>
      <c r="AR2455" s="2">
        <v>192352.611163975</v>
      </c>
      <c r="AS2455" s="2">
        <v>95568.581309972695</v>
      </c>
      <c r="AT2455" s="2">
        <v>275840.752302885</v>
      </c>
      <c r="AU2455" s="2">
        <v>314546.04785006301</v>
      </c>
      <c r="AV2455" s="2">
        <v>573522.690516526</v>
      </c>
      <c r="AW2455" s="2">
        <v>396619.81813174498</v>
      </c>
      <c r="AX2455" s="2">
        <v>744534.19367700501</v>
      </c>
    </row>
    <row r="2456" spans="1:50" x14ac:dyDescent="0.25">
      <c r="A2456" s="2" t="s">
        <v>16531</v>
      </c>
      <c r="B2456" s="2">
        <v>506.36231801398299</v>
      </c>
      <c r="C2456" s="2">
        <v>11.472666666666701</v>
      </c>
      <c r="D2456" s="2" t="s">
        <v>51</v>
      </c>
      <c r="E2456" s="2" t="s">
        <v>16532</v>
      </c>
      <c r="F2456" s="2">
        <v>19924</v>
      </c>
      <c r="G2456" s="3" t="str">
        <f>HYPERLINK("https://cloud.oebiotech.com/#/lm/network/19924", "https://cloud.oebiotech.com/#/lm/network/19924")</f>
        <v>https://cloud.oebiotech.com/#/lm/network/19924</v>
      </c>
      <c r="H2456" s="2" t="s">
        <v>16533</v>
      </c>
      <c r="I2456" s="2">
        <v>46693</v>
      </c>
      <c r="J2456" s="2" t="s">
        <v>16534</v>
      </c>
      <c r="K2456" s="2">
        <v>24779513</v>
      </c>
      <c r="L2456" s="2" t="s">
        <v>691</v>
      </c>
      <c r="M2456" s="2" t="s">
        <v>692</v>
      </c>
      <c r="N2456" s="2" t="s">
        <v>693</v>
      </c>
      <c r="O2456" s="2">
        <v>84753</v>
      </c>
      <c r="P2456" s="2"/>
      <c r="Q2456" s="2"/>
      <c r="R2456" s="2"/>
      <c r="S2456" s="2" t="s">
        <v>16535</v>
      </c>
      <c r="T2456" s="2" t="s">
        <v>16536</v>
      </c>
      <c r="U2456" s="2" t="s">
        <v>56</v>
      </c>
      <c r="V2456" s="2" t="s">
        <v>57</v>
      </c>
      <c r="W2456" s="2" t="s">
        <v>58</v>
      </c>
      <c r="X2456" s="2" t="s">
        <v>59</v>
      </c>
      <c r="Y2456" s="2">
        <v>49.4</v>
      </c>
      <c r="Z2456" s="2">
        <v>53.3</v>
      </c>
      <c r="AA2456" s="2" t="s">
        <v>60</v>
      </c>
      <c r="AB2456" s="2" t="s">
        <v>12177</v>
      </c>
      <c r="AC2456" s="2">
        <v>3.5946385476847502</v>
      </c>
      <c r="AD2456" s="2"/>
      <c r="AE2456" s="2">
        <v>0.259659257135606</v>
      </c>
      <c r="AF2456" s="2">
        <v>1037491.8398001801</v>
      </c>
      <c r="AG2456" s="2">
        <v>1022569.35766807</v>
      </c>
      <c r="AH2456" s="5">
        <v>1.01459312468167</v>
      </c>
      <c r="AI2456" s="5">
        <v>2.09012892942145E-2</v>
      </c>
      <c r="AJ2456" s="5" t="s">
        <v>139</v>
      </c>
      <c r="AK2456" s="2">
        <v>0.90972208500088203</v>
      </c>
      <c r="AL2456" s="2">
        <v>0.96252844734401399</v>
      </c>
      <c r="AM2456" s="2">
        <v>1198302.99300558</v>
      </c>
      <c r="AN2456" s="2">
        <v>1150297.32897046</v>
      </c>
      <c r="AO2456" s="2">
        <v>959002.73697498499</v>
      </c>
      <c r="AP2456" s="2">
        <v>875894.87762667995</v>
      </c>
      <c r="AQ2456" s="2">
        <v>964036.82210621599</v>
      </c>
      <c r="AR2456" s="2">
        <v>1077416.2801171299</v>
      </c>
      <c r="AS2456" s="2">
        <v>1062564.7661093301</v>
      </c>
      <c r="AT2456" s="2">
        <v>578697.91892874998</v>
      </c>
      <c r="AU2456" s="2">
        <v>1334704.9078564199</v>
      </c>
      <c r="AV2456" s="2">
        <v>1142282.36123981</v>
      </c>
      <c r="AW2456" s="2">
        <v>1238079.78329301</v>
      </c>
      <c r="AX2456" s="2">
        <v>779086.40858112299</v>
      </c>
    </row>
    <row r="2457" spans="1:50" x14ac:dyDescent="0.25">
      <c r="A2457" s="2" t="s">
        <v>16537</v>
      </c>
      <c r="B2457" s="2">
        <v>355.19155335332999</v>
      </c>
      <c r="C2457" s="2">
        <v>5.8986166666666699</v>
      </c>
      <c r="D2457" s="2" t="s">
        <v>51</v>
      </c>
      <c r="E2457" s="2" t="s">
        <v>16538</v>
      </c>
      <c r="F2457" s="2">
        <v>209806</v>
      </c>
      <c r="G2457" s="3" t="str">
        <f>HYPERLINK("https://cloud.oebiotech.com/#/lm/network/209806", "https://cloud.oebiotech.com/#/lm/network/209806")</f>
        <v>https://cloud.oebiotech.com/#/lm/network/209806</v>
      </c>
      <c r="H2457" s="2" t="s">
        <v>16539</v>
      </c>
      <c r="I2457" s="2"/>
      <c r="J2457" s="2"/>
      <c r="K2457" s="2">
        <v>44631938</v>
      </c>
      <c r="L2457" s="2"/>
      <c r="M2457" s="2"/>
      <c r="N2457" s="2"/>
      <c r="O2457" s="2"/>
      <c r="P2457" s="2"/>
      <c r="Q2457" s="2"/>
      <c r="R2457" s="2"/>
      <c r="S2457" s="2" t="s">
        <v>16540</v>
      </c>
      <c r="T2457" s="2" t="s">
        <v>16541</v>
      </c>
      <c r="U2457" s="2" t="s">
        <v>266</v>
      </c>
      <c r="V2457" s="2" t="s">
        <v>8153</v>
      </c>
      <c r="W2457" s="2" t="s">
        <v>16542</v>
      </c>
      <c r="X2457" s="2" t="s">
        <v>147</v>
      </c>
      <c r="Y2457" s="2">
        <v>38.4</v>
      </c>
      <c r="Z2457" s="2">
        <v>0</v>
      </c>
      <c r="AA2457" s="2" t="s">
        <v>512</v>
      </c>
      <c r="AB2457" s="2" t="s">
        <v>16543</v>
      </c>
      <c r="AC2457" s="2">
        <v>1.42907383973335</v>
      </c>
      <c r="AD2457" s="2"/>
      <c r="AE2457" s="2">
        <v>0.25909765765545001</v>
      </c>
      <c r="AF2457" s="2">
        <v>2736.2336272084899</v>
      </c>
      <c r="AG2457" s="2">
        <v>1140.3790522796101</v>
      </c>
      <c r="AH2457" s="5">
        <v>2.3994071284795702</v>
      </c>
      <c r="AI2457" s="5">
        <v>1.2626779731395601</v>
      </c>
      <c r="AJ2457" s="5" t="s">
        <v>139</v>
      </c>
      <c r="AK2457" s="2">
        <v>4.3986796370340801E-2</v>
      </c>
      <c r="AL2457" s="2">
        <v>0.297793096711781</v>
      </c>
      <c r="AM2457" s="2">
        <v>5578.4700444798</v>
      </c>
      <c r="AN2457" s="2">
        <v>2032.7712750678199</v>
      </c>
      <c r="AO2457" s="2">
        <v>2611.9944879528298</v>
      </c>
      <c r="AP2457" s="2">
        <v>3102.6803836305899</v>
      </c>
      <c r="AQ2457" s="2">
        <v>1016.5578366585499</v>
      </c>
      <c r="AR2457" s="2">
        <v>2074.92773546134</v>
      </c>
      <c r="AS2457" s="2">
        <v>2234.1555866612498</v>
      </c>
      <c r="AT2457" s="2">
        <v>1079.9328988259199</v>
      </c>
      <c r="AU2457" s="2">
        <v>1058.45422215094</v>
      </c>
      <c r="AV2457" s="2">
        <v>112.054277184756</v>
      </c>
      <c r="AW2457" s="2">
        <v>1096.4706804144901</v>
      </c>
      <c r="AX2457" s="2">
        <v>1261.2066484403299</v>
      </c>
    </row>
    <row r="2458" spans="1:50" x14ac:dyDescent="0.25">
      <c r="A2458" s="2" t="s">
        <v>16544</v>
      </c>
      <c r="B2458" s="2">
        <v>378.24173316006801</v>
      </c>
      <c r="C2458" s="2">
        <v>10.840299999999999</v>
      </c>
      <c r="D2458" s="2" t="s">
        <v>51</v>
      </c>
      <c r="E2458" s="2" t="s">
        <v>16545</v>
      </c>
      <c r="F2458" s="2">
        <v>38935</v>
      </c>
      <c r="G2458" s="3" t="str">
        <f>HYPERLINK("https://cloud.oebiotech.com/#/lm/network/38935", "https://cloud.oebiotech.com/#/lm/network/38935")</f>
        <v>https://cloud.oebiotech.com/#/lm/network/38935</v>
      </c>
      <c r="H2458" s="2"/>
      <c r="I2458" s="2">
        <v>53901</v>
      </c>
      <c r="J2458" s="2" t="s">
        <v>16546</v>
      </c>
      <c r="K2458" s="2">
        <v>10883829</v>
      </c>
      <c r="L2458" s="2"/>
      <c r="M2458" s="2"/>
      <c r="N2458" s="2"/>
      <c r="O2458" s="2">
        <v>46970</v>
      </c>
      <c r="P2458" s="2"/>
      <c r="Q2458" s="2"/>
      <c r="R2458" s="2"/>
      <c r="S2458" s="2" t="s">
        <v>16547</v>
      </c>
      <c r="T2458" s="2" t="s">
        <v>16548</v>
      </c>
      <c r="U2458" s="2" t="s">
        <v>56</v>
      </c>
      <c r="V2458" s="2" t="s">
        <v>344</v>
      </c>
      <c r="W2458" s="2" t="s">
        <v>1239</v>
      </c>
      <c r="X2458" s="2" t="s">
        <v>147</v>
      </c>
      <c r="Y2458" s="2">
        <v>37.700000000000003</v>
      </c>
      <c r="Z2458" s="2">
        <v>0.309</v>
      </c>
      <c r="AA2458" s="2" t="s">
        <v>379</v>
      </c>
      <c r="AB2458" s="2" t="s">
        <v>16549</v>
      </c>
      <c r="AC2458" s="2">
        <v>0.62841849788026205</v>
      </c>
      <c r="AD2458" s="2"/>
      <c r="AE2458" s="2">
        <v>0.25880703624559098</v>
      </c>
      <c r="AF2458" s="2">
        <v>3120.5816122420001</v>
      </c>
      <c r="AG2458" s="2">
        <v>261.07367440498501</v>
      </c>
      <c r="AH2458" s="5">
        <v>11.952877360592399</v>
      </c>
      <c r="AI2458" s="5">
        <v>3.5792860481706499</v>
      </c>
      <c r="AJ2458" s="5" t="s">
        <v>139</v>
      </c>
      <c r="AK2458" s="2">
        <v>0.148860650039596</v>
      </c>
      <c r="AL2458" s="2">
        <v>0.47024664296044399</v>
      </c>
      <c r="AM2458" s="2">
        <v>8.559877937157E-6</v>
      </c>
      <c r="AN2458" s="2">
        <v>277.04221611012002</v>
      </c>
      <c r="AO2458" s="2">
        <v>8982.0286335501296</v>
      </c>
      <c r="AP2458" s="2">
        <v>207.05923786883699</v>
      </c>
      <c r="AQ2458" s="2">
        <v>8767.5372122399604</v>
      </c>
      <c r="AR2458" s="2">
        <v>489.82236512308401</v>
      </c>
      <c r="AS2458" s="2">
        <v>272.63448404590599</v>
      </c>
      <c r="AT2458" s="2">
        <v>8.559877937157E-6</v>
      </c>
      <c r="AU2458" s="2">
        <v>1028.2502435188101</v>
      </c>
      <c r="AV2458" s="2">
        <v>8.559877937157E-6</v>
      </c>
      <c r="AW2458" s="2">
        <v>8.559877937157E-6</v>
      </c>
      <c r="AX2458" s="2">
        <v>265.55729318555899</v>
      </c>
    </row>
    <row r="2459" spans="1:50" x14ac:dyDescent="0.25">
      <c r="A2459" s="2" t="s">
        <v>16550</v>
      </c>
      <c r="B2459" s="2">
        <v>353.26985850781301</v>
      </c>
      <c r="C2459" s="2">
        <v>11.6520833333333</v>
      </c>
      <c r="D2459" s="2" t="s">
        <v>51</v>
      </c>
      <c r="E2459" s="2" t="s">
        <v>16551</v>
      </c>
      <c r="F2459" s="2">
        <v>60500</v>
      </c>
      <c r="G2459" s="3" t="str">
        <f>HYPERLINK("https://cloud.oebiotech.com/#/lm/network/60500", "https://cloud.oebiotech.com/#/lm/network/60500")</f>
        <v>https://cloud.oebiotech.com/#/lm/network/60500</v>
      </c>
      <c r="H2459" s="2" t="s">
        <v>16552</v>
      </c>
      <c r="I2459" s="2"/>
      <c r="J2459" s="2"/>
      <c r="K2459" s="2">
        <v>521332</v>
      </c>
      <c r="L2459" s="2" t="s">
        <v>16553</v>
      </c>
      <c r="M2459" s="2"/>
      <c r="N2459" s="2"/>
      <c r="O2459" s="2">
        <v>9053</v>
      </c>
      <c r="P2459" s="2"/>
      <c r="Q2459" s="2"/>
      <c r="R2459" s="2" t="s">
        <v>16554</v>
      </c>
      <c r="S2459" s="2" t="s">
        <v>16555</v>
      </c>
      <c r="T2459" s="2" t="s">
        <v>16556</v>
      </c>
      <c r="U2459" s="2" t="s">
        <v>56</v>
      </c>
      <c r="V2459" s="2" t="s">
        <v>177</v>
      </c>
      <c r="W2459" s="2" t="s">
        <v>178</v>
      </c>
      <c r="X2459" s="2" t="s">
        <v>69</v>
      </c>
      <c r="Y2459" s="2">
        <v>57.3</v>
      </c>
      <c r="Z2459" s="2">
        <v>59</v>
      </c>
      <c r="AA2459" s="2" t="s">
        <v>218</v>
      </c>
      <c r="AB2459" s="2" t="s">
        <v>11936</v>
      </c>
      <c r="AC2459" s="2">
        <v>0.40627875141771003</v>
      </c>
      <c r="AD2459" s="2"/>
      <c r="AE2459" s="2">
        <v>0.25880156102845397</v>
      </c>
      <c r="AF2459" s="2">
        <v>8068.7871022099298</v>
      </c>
      <c r="AG2459" s="2">
        <v>4951.3862396740597</v>
      </c>
      <c r="AH2459" s="5">
        <v>1.6296016330855001</v>
      </c>
      <c r="AI2459" s="5">
        <v>0.70451933119649301</v>
      </c>
      <c r="AJ2459" s="5" t="s">
        <v>139</v>
      </c>
      <c r="AK2459" s="2">
        <v>0.118435740948851</v>
      </c>
      <c r="AL2459" s="2">
        <v>0.43690844816567598</v>
      </c>
      <c r="AM2459" s="2">
        <v>3377.3118153003802</v>
      </c>
      <c r="AN2459" s="2">
        <v>9164.9951633913897</v>
      </c>
      <c r="AO2459" s="2">
        <v>13100.3922539094</v>
      </c>
      <c r="AP2459" s="2">
        <v>13291.8328943796</v>
      </c>
      <c r="AQ2459" s="2">
        <v>4554.6241121245002</v>
      </c>
      <c r="AR2459" s="2">
        <v>4923.5663741543303</v>
      </c>
      <c r="AS2459" s="2">
        <v>4618.6095466553497</v>
      </c>
      <c r="AT2459" s="2">
        <v>5295.38685746588</v>
      </c>
      <c r="AU2459" s="2">
        <v>5876.9561723607603</v>
      </c>
      <c r="AV2459" s="2">
        <v>4744.7462911927296</v>
      </c>
      <c r="AW2459" s="2">
        <v>4090.6007421916502</v>
      </c>
      <c r="AX2459" s="2">
        <v>5082.0178281779599</v>
      </c>
    </row>
    <row r="2460" spans="1:50" x14ac:dyDescent="0.25">
      <c r="A2460" s="2" t="s">
        <v>16557</v>
      </c>
      <c r="B2460" s="2">
        <v>153.9913</v>
      </c>
      <c r="C2460" s="2">
        <v>7.4119999999999999</v>
      </c>
      <c r="D2460" s="2" t="s">
        <v>125</v>
      </c>
      <c r="E2460" s="2" t="s">
        <v>16558</v>
      </c>
      <c r="F2460" s="2">
        <v>545925</v>
      </c>
      <c r="G2460" s="3" t="str">
        <f>HYPERLINK("https://cloud.oebiotech.com/#/lm/network/545925", "https://cloud.oebiotech.com/#/lm/network/545925")</f>
        <v>https://cloud.oebiotech.com/#/lm/network/545925</v>
      </c>
      <c r="H2460" s="2"/>
      <c r="I2460" s="2"/>
      <c r="J2460" s="2"/>
      <c r="K2460" s="2">
        <v>15287</v>
      </c>
      <c r="L2460" s="2"/>
      <c r="M2460" s="2"/>
      <c r="N2460" s="2"/>
      <c r="O2460" s="2"/>
      <c r="P2460" s="2"/>
      <c r="Q2460" s="2"/>
      <c r="R2460" s="2"/>
      <c r="S2460" s="2" t="s">
        <v>16559</v>
      </c>
      <c r="T2460" s="2" t="s">
        <v>16560</v>
      </c>
      <c r="U2460" s="2" t="s">
        <v>331</v>
      </c>
      <c r="V2460" s="2" t="s">
        <v>332</v>
      </c>
      <c r="W2460" s="2" t="s">
        <v>519</v>
      </c>
      <c r="X2460" s="2" t="s">
        <v>59</v>
      </c>
      <c r="Y2460" s="2">
        <v>78.8</v>
      </c>
      <c r="Z2460" s="2">
        <v>67.5</v>
      </c>
      <c r="AA2460" s="2"/>
      <c r="AB2460" s="2" t="s">
        <v>16561</v>
      </c>
      <c r="AC2460" s="2"/>
      <c r="AD2460" s="2">
        <v>245417.09543568501</v>
      </c>
      <c r="AE2460" s="2">
        <v>0.25847097539375002</v>
      </c>
      <c r="AF2460" s="2">
        <v>23757.7039947212</v>
      </c>
      <c r="AG2460" s="2">
        <v>39513.248254742197</v>
      </c>
      <c r="AH2460" s="4">
        <v>0.60125919897941904</v>
      </c>
      <c r="AI2460" s="4">
        <v>-0.73394103328872995</v>
      </c>
      <c r="AJ2460" s="4" t="s">
        <v>62</v>
      </c>
      <c r="AK2460" s="2">
        <v>8.6232256036349306E-2</v>
      </c>
      <c r="AL2460" s="2">
        <v>0.37866930775725299</v>
      </c>
      <c r="AM2460" s="2">
        <v>12383.8260607841</v>
      </c>
      <c r="AN2460" s="2">
        <v>16555.612902286201</v>
      </c>
      <c r="AO2460" s="2">
        <v>20897.3289233389</v>
      </c>
      <c r="AP2460" s="2">
        <v>27039.613869521101</v>
      </c>
      <c r="AQ2460" s="2">
        <v>35698.7056637114</v>
      </c>
      <c r="AR2460" s="2">
        <v>29971.136548685699</v>
      </c>
      <c r="AS2460" s="2">
        <v>23017.3821075993</v>
      </c>
      <c r="AT2460" s="2">
        <v>27690.993248528801</v>
      </c>
      <c r="AU2460" s="2">
        <v>53300.910057311899</v>
      </c>
      <c r="AV2460" s="2">
        <v>69278.768217563993</v>
      </c>
      <c r="AW2460" s="2">
        <v>25913.208484850598</v>
      </c>
      <c r="AX2460" s="2">
        <v>37878.2274125986</v>
      </c>
    </row>
    <row r="2461" spans="1:50" x14ac:dyDescent="0.25">
      <c r="A2461" s="2" t="s">
        <v>16562</v>
      </c>
      <c r="B2461" s="2">
        <v>683.14778991706896</v>
      </c>
      <c r="C2461" s="2">
        <v>12.7891666666667</v>
      </c>
      <c r="D2461" s="2" t="s">
        <v>51</v>
      </c>
      <c r="E2461" s="2" t="s">
        <v>16563</v>
      </c>
      <c r="F2461" s="2">
        <v>30648</v>
      </c>
      <c r="G2461" s="3" t="str">
        <f>HYPERLINK("https://cloud.oebiotech.com/#/lm/network/30648", "https://cloud.oebiotech.com/#/lm/network/30648")</f>
        <v>https://cloud.oebiotech.com/#/lm/network/30648</v>
      </c>
      <c r="H2461" s="2"/>
      <c r="I2461" s="2"/>
      <c r="J2461" s="2" t="s">
        <v>16564</v>
      </c>
      <c r="K2461" s="2">
        <v>102158563</v>
      </c>
      <c r="L2461" s="2"/>
      <c r="M2461" s="2"/>
      <c r="N2461" s="2"/>
      <c r="O2461" s="2"/>
      <c r="P2461" s="2"/>
      <c r="Q2461" s="2"/>
      <c r="R2461" s="2"/>
      <c r="S2461" s="2" t="s">
        <v>16565</v>
      </c>
      <c r="T2461" s="2" t="s">
        <v>16566</v>
      </c>
      <c r="U2461" s="2" t="s">
        <v>540</v>
      </c>
      <c r="V2461" s="2" t="s">
        <v>541</v>
      </c>
      <c r="W2461" s="2" t="s">
        <v>542</v>
      </c>
      <c r="X2461" s="2" t="s">
        <v>59</v>
      </c>
      <c r="Y2461" s="2">
        <v>45.1</v>
      </c>
      <c r="Z2461" s="2">
        <v>46.9</v>
      </c>
      <c r="AA2461" s="2" t="s">
        <v>218</v>
      </c>
      <c r="AB2461" s="2" t="s">
        <v>16567</v>
      </c>
      <c r="AC2461" s="2">
        <v>2.0176382977900098</v>
      </c>
      <c r="AD2461" s="2"/>
      <c r="AE2461" s="2">
        <v>0.25837524624184499</v>
      </c>
      <c r="AF2461" s="2">
        <v>11599.7793650894</v>
      </c>
      <c r="AG2461" s="2">
        <v>13725.6883445397</v>
      </c>
      <c r="AH2461" s="4">
        <v>0.84511458179100996</v>
      </c>
      <c r="AI2461" s="4">
        <v>-0.24278113766424</v>
      </c>
      <c r="AJ2461" s="4" t="s">
        <v>62</v>
      </c>
      <c r="AK2461" s="2">
        <v>0.12407747416154501</v>
      </c>
      <c r="AL2461" s="2">
        <v>0.44128813217080598</v>
      </c>
      <c r="AM2461" s="2">
        <v>9345.55867545205</v>
      </c>
      <c r="AN2461" s="2">
        <v>10970.8810422141</v>
      </c>
      <c r="AO2461" s="2">
        <v>12135.640135577099</v>
      </c>
      <c r="AP2461" s="2">
        <v>12454.9543214405</v>
      </c>
      <c r="AQ2461" s="2">
        <v>12888.6807661448</v>
      </c>
      <c r="AR2461" s="2">
        <v>11802.961249708</v>
      </c>
      <c r="AS2461" s="2">
        <v>10356.7909779323</v>
      </c>
      <c r="AT2461" s="2">
        <v>16183.8637189199</v>
      </c>
      <c r="AU2461" s="2">
        <v>10985.200048618</v>
      </c>
      <c r="AV2461" s="2">
        <v>15270.5869540603</v>
      </c>
      <c r="AW2461" s="2">
        <v>12499.492164154701</v>
      </c>
      <c r="AX2461" s="2">
        <v>17058.1962035531</v>
      </c>
    </row>
    <row r="2462" spans="1:50" x14ac:dyDescent="0.25">
      <c r="A2462" s="2" t="s">
        <v>16568</v>
      </c>
      <c r="B2462" s="2">
        <v>296.12344922745598</v>
      </c>
      <c r="C2462" s="2">
        <v>0.74455000000000005</v>
      </c>
      <c r="D2462" s="2" t="s">
        <v>51</v>
      </c>
      <c r="E2462" s="2" t="s">
        <v>16569</v>
      </c>
      <c r="F2462" s="2">
        <v>266145</v>
      </c>
      <c r="G2462" s="3" t="str">
        <f>HYPERLINK("https://cloud.oebiotech.com/#/lm/network/266145", "https://cloud.oebiotech.com/#/lm/network/266145")</f>
        <v>https://cloud.oebiotech.com/#/lm/network/266145</v>
      </c>
      <c r="H2462" s="2"/>
      <c r="I2462" s="2">
        <v>23743</v>
      </c>
      <c r="J2462" s="2"/>
      <c r="K2462" s="2">
        <v>44230566</v>
      </c>
      <c r="L2462" s="2"/>
      <c r="M2462" s="2"/>
      <c r="N2462" s="2"/>
      <c r="O2462" s="2"/>
      <c r="P2462" s="2"/>
      <c r="Q2462" s="2"/>
      <c r="R2462" s="2"/>
      <c r="S2462" s="2" t="s">
        <v>16570</v>
      </c>
      <c r="T2462" s="2" t="s">
        <v>16571</v>
      </c>
      <c r="U2462" s="2" t="s">
        <v>103</v>
      </c>
      <c r="V2462" s="2" t="s">
        <v>104</v>
      </c>
      <c r="W2462" s="2" t="s">
        <v>105</v>
      </c>
      <c r="X2462" s="2" t="s">
        <v>83</v>
      </c>
      <c r="Y2462" s="2">
        <v>37.9</v>
      </c>
      <c r="Z2462" s="2">
        <v>0</v>
      </c>
      <c r="AA2462" s="2" t="s">
        <v>259</v>
      </c>
      <c r="AB2462" s="2" t="s">
        <v>16572</v>
      </c>
      <c r="AC2462" s="2">
        <v>-2.1952728179543399</v>
      </c>
      <c r="AD2462" s="2"/>
      <c r="AE2462" s="2">
        <v>0.25832839841573002</v>
      </c>
      <c r="AF2462" s="2">
        <v>12896.085689285799</v>
      </c>
      <c r="AG2462" s="2">
        <v>18030.103309943501</v>
      </c>
      <c r="AH2462" s="4">
        <v>0.71525301145521702</v>
      </c>
      <c r="AI2462" s="4">
        <v>-0.48347442809582603</v>
      </c>
      <c r="AJ2462" s="4" t="s">
        <v>62</v>
      </c>
      <c r="AK2462" s="2">
        <v>0.69657020685331095</v>
      </c>
      <c r="AL2462" s="2">
        <v>0.85378616196188595</v>
      </c>
      <c r="AM2462" s="2">
        <v>18888.186345027199</v>
      </c>
      <c r="AN2462" s="2">
        <v>6342.0301409211297</v>
      </c>
      <c r="AO2462" s="2">
        <v>3475.1775962081601</v>
      </c>
      <c r="AP2462" s="2">
        <v>1703.1165104558199</v>
      </c>
      <c r="AQ2462" s="2">
        <v>17754.480155411198</v>
      </c>
      <c r="AR2462" s="2">
        <v>29213.523387691101</v>
      </c>
      <c r="AS2462" s="2">
        <v>2452.9843070439701</v>
      </c>
      <c r="AT2462" s="2">
        <v>5184.2506908977402</v>
      </c>
      <c r="AU2462" s="2">
        <v>8.559877937157E-6</v>
      </c>
      <c r="AV2462" s="2">
        <v>74645.203224504803</v>
      </c>
      <c r="AW2462" s="2">
        <v>8.559877937157E-6</v>
      </c>
      <c r="AX2462" s="2">
        <v>25898.1816200947</v>
      </c>
    </row>
    <row r="2463" spans="1:50" x14ac:dyDescent="0.25">
      <c r="A2463" s="2" t="s">
        <v>16573</v>
      </c>
      <c r="B2463" s="2">
        <v>595.30049418829299</v>
      </c>
      <c r="C2463" s="2">
        <v>8.94478333333333</v>
      </c>
      <c r="D2463" s="2" t="s">
        <v>51</v>
      </c>
      <c r="E2463" s="2" t="s">
        <v>16574</v>
      </c>
      <c r="F2463" s="2">
        <v>209751</v>
      </c>
      <c r="G2463" s="3" t="str">
        <f>HYPERLINK("https://cloud.oebiotech.com/#/lm/network/209751", "https://cloud.oebiotech.com/#/lm/network/209751")</f>
        <v>https://cloud.oebiotech.com/#/lm/network/209751</v>
      </c>
      <c r="H2463" s="2" t="s">
        <v>16575</v>
      </c>
      <c r="I2463" s="2"/>
      <c r="J2463" s="2"/>
      <c r="K2463" s="2">
        <v>21884049</v>
      </c>
      <c r="L2463" s="2"/>
      <c r="M2463" s="2"/>
      <c r="N2463" s="2"/>
      <c r="O2463" s="2"/>
      <c r="P2463" s="2"/>
      <c r="Q2463" s="2"/>
      <c r="R2463" s="2"/>
      <c r="S2463" s="2" t="s">
        <v>16576</v>
      </c>
      <c r="T2463" s="2" t="s">
        <v>16577</v>
      </c>
      <c r="U2463" s="2" t="s">
        <v>103</v>
      </c>
      <c r="V2463" s="2" t="s">
        <v>104</v>
      </c>
      <c r="W2463" s="2" t="s">
        <v>105</v>
      </c>
      <c r="X2463" s="2" t="s">
        <v>147</v>
      </c>
      <c r="Y2463" s="2">
        <v>38.1</v>
      </c>
      <c r="Z2463" s="2">
        <v>9.18</v>
      </c>
      <c r="AA2463" s="2" t="s">
        <v>478</v>
      </c>
      <c r="AB2463" s="2" t="s">
        <v>16578</v>
      </c>
      <c r="AC2463" s="2">
        <v>-1.0864024834681401</v>
      </c>
      <c r="AD2463" s="2"/>
      <c r="AE2463" s="2">
        <v>0.25791357950875099</v>
      </c>
      <c r="AF2463" s="2">
        <v>3388.51031096418</v>
      </c>
      <c r="AG2463" s="2">
        <v>1541.68610255673</v>
      </c>
      <c r="AH2463" s="5">
        <v>2.1979249247591199</v>
      </c>
      <c r="AI2463" s="5">
        <v>1.1361421085221399</v>
      </c>
      <c r="AJ2463" s="5" t="s">
        <v>139</v>
      </c>
      <c r="AK2463" s="2">
        <v>5.4432053180151901E-2</v>
      </c>
      <c r="AL2463" s="2">
        <v>0.31944806275085003</v>
      </c>
      <c r="AM2463" s="2">
        <v>3487.8569660916501</v>
      </c>
      <c r="AN2463" s="2">
        <v>5804.6218052715903</v>
      </c>
      <c r="AO2463" s="2">
        <v>2770.5648618527698</v>
      </c>
      <c r="AP2463" s="2">
        <v>1825.9260385344301</v>
      </c>
      <c r="AQ2463" s="2">
        <v>2260.9883196871701</v>
      </c>
      <c r="AR2463" s="2">
        <v>4181.1038743474801</v>
      </c>
      <c r="AS2463" s="2">
        <v>4087.3460108264699</v>
      </c>
      <c r="AT2463" s="2">
        <v>913.95150266067105</v>
      </c>
      <c r="AU2463" s="2">
        <v>1936.61939614115</v>
      </c>
      <c r="AV2463" s="2">
        <v>351.15211575283797</v>
      </c>
      <c r="AW2463" s="2">
        <v>8.559877937157E-6</v>
      </c>
      <c r="AX2463" s="2">
        <v>1961.0475813993601</v>
      </c>
    </row>
    <row r="2464" spans="1:50" x14ac:dyDescent="0.25">
      <c r="A2464" s="2" t="s">
        <v>16579</v>
      </c>
      <c r="B2464" s="2">
        <v>331.19162945349098</v>
      </c>
      <c r="C2464" s="2">
        <v>6.1134166666666703</v>
      </c>
      <c r="D2464" s="2" t="s">
        <v>51</v>
      </c>
      <c r="E2464" s="2" t="s">
        <v>16580</v>
      </c>
      <c r="F2464" s="2">
        <v>200920</v>
      </c>
      <c r="G2464" s="3" t="str">
        <f>HYPERLINK("https://cloud.oebiotech.com/#/lm/network/200920", "https://cloud.oebiotech.com/#/lm/network/200920")</f>
        <v>https://cloud.oebiotech.com/#/lm/network/200920</v>
      </c>
      <c r="H2464" s="2" t="s">
        <v>16581</v>
      </c>
      <c r="I2464" s="2"/>
      <c r="J2464" s="2"/>
      <c r="K2464" s="2">
        <v>123772</v>
      </c>
      <c r="L2464" s="2"/>
      <c r="M2464" s="2"/>
      <c r="N2464" s="2"/>
      <c r="O2464" s="2"/>
      <c r="P2464" s="2"/>
      <c r="Q2464" s="2"/>
      <c r="R2464" s="2"/>
      <c r="S2464" s="2" t="s">
        <v>16582</v>
      </c>
      <c r="T2464" s="2" t="s">
        <v>16583</v>
      </c>
      <c r="U2464" s="2" t="s">
        <v>331</v>
      </c>
      <c r="V2464" s="2" t="s">
        <v>332</v>
      </c>
      <c r="W2464" s="2" t="s">
        <v>519</v>
      </c>
      <c r="X2464" s="2" t="s">
        <v>69</v>
      </c>
      <c r="Y2464" s="2">
        <v>60.1</v>
      </c>
      <c r="Z2464" s="2">
        <v>87.2</v>
      </c>
      <c r="AA2464" s="2" t="s">
        <v>478</v>
      </c>
      <c r="AB2464" s="2" t="s">
        <v>16584</v>
      </c>
      <c r="AC2464" s="2">
        <v>0.44102901215540302</v>
      </c>
      <c r="AD2464" s="2"/>
      <c r="AE2464" s="2">
        <v>0.25784956359118999</v>
      </c>
      <c r="AF2464" s="2">
        <v>768.34617864878396</v>
      </c>
      <c r="AG2464" s="2">
        <v>3012.7862535825702</v>
      </c>
      <c r="AH2464" s="4">
        <v>0.25502844011423897</v>
      </c>
      <c r="AI2464" s="4">
        <v>-1.97126995319975</v>
      </c>
      <c r="AJ2464" s="4" t="s">
        <v>62</v>
      </c>
      <c r="AK2464" s="2">
        <v>4.7872310511809402E-2</v>
      </c>
      <c r="AL2464" s="2">
        <v>0.30656842184279098</v>
      </c>
      <c r="AM2464" s="2">
        <v>287.53960477114703</v>
      </c>
      <c r="AN2464" s="2">
        <v>1707.5232701546799</v>
      </c>
      <c r="AO2464" s="2">
        <v>8.559877937157E-6</v>
      </c>
      <c r="AP2464" s="2">
        <v>8.559877937157E-6</v>
      </c>
      <c r="AQ2464" s="2">
        <v>2486.3625130237901</v>
      </c>
      <c r="AR2464" s="2">
        <v>128.65166682333299</v>
      </c>
      <c r="AS2464" s="2">
        <v>3505.2440546012699</v>
      </c>
      <c r="AT2464" s="2">
        <v>6053.2029470934503</v>
      </c>
      <c r="AU2464" s="2">
        <v>596.39372139197701</v>
      </c>
      <c r="AV2464" s="2">
        <v>2852.02008187313</v>
      </c>
      <c r="AW2464" s="2">
        <v>499.090717817528</v>
      </c>
      <c r="AX2464" s="2">
        <v>4570.7659987180396</v>
      </c>
    </row>
    <row r="2465" spans="1:50" x14ac:dyDescent="0.25">
      <c r="A2465" s="2" t="s">
        <v>16585</v>
      </c>
      <c r="B2465" s="2">
        <v>264.10172876708998</v>
      </c>
      <c r="C2465" s="2">
        <v>5.8581000000000003</v>
      </c>
      <c r="D2465" s="2" t="s">
        <v>51</v>
      </c>
      <c r="E2465" s="2" t="s">
        <v>16586</v>
      </c>
      <c r="F2465" s="2">
        <v>201393</v>
      </c>
      <c r="G2465" s="3" t="str">
        <f>HYPERLINK("https://cloud.oebiotech.com/#/lm/network/201393", "https://cloud.oebiotech.com/#/lm/network/201393")</f>
        <v>https://cloud.oebiotech.com/#/lm/network/201393</v>
      </c>
      <c r="H2465" s="2" t="s">
        <v>16587</v>
      </c>
      <c r="I2465" s="2"/>
      <c r="J2465" s="2"/>
      <c r="K2465" s="2">
        <v>130755</v>
      </c>
      <c r="L2465" s="2"/>
      <c r="M2465" s="2"/>
      <c r="N2465" s="2"/>
      <c r="O2465" s="2"/>
      <c r="P2465" s="2"/>
      <c r="Q2465" s="2"/>
      <c r="R2465" s="2"/>
      <c r="S2465" s="2" t="s">
        <v>16588</v>
      </c>
      <c r="T2465" s="2" t="s">
        <v>16589</v>
      </c>
      <c r="U2465" s="2" t="s">
        <v>610</v>
      </c>
      <c r="V2465" s="2" t="s">
        <v>813</v>
      </c>
      <c r="W2465" s="2" t="s">
        <v>5823</v>
      </c>
      <c r="X2465" s="2" t="s">
        <v>83</v>
      </c>
      <c r="Y2465" s="2">
        <v>40.299999999999997</v>
      </c>
      <c r="Z2465" s="2">
        <v>0</v>
      </c>
      <c r="AA2465" s="2" t="s">
        <v>122</v>
      </c>
      <c r="AB2465" s="2" t="s">
        <v>16590</v>
      </c>
      <c r="AC2465" s="2">
        <v>7.4027180838914601</v>
      </c>
      <c r="AD2465" s="2"/>
      <c r="AE2465" s="2">
        <v>0.257745254979107</v>
      </c>
      <c r="AF2465" s="2">
        <v>5820.9324255209604</v>
      </c>
      <c r="AG2465" s="2">
        <v>7359.7633643546797</v>
      </c>
      <c r="AH2465" s="4">
        <v>0.79091298691929501</v>
      </c>
      <c r="AI2465" s="4">
        <v>-0.33840911099221499</v>
      </c>
      <c r="AJ2465" s="4" t="s">
        <v>62</v>
      </c>
      <c r="AK2465" s="2">
        <v>1.0004389375538001E-2</v>
      </c>
      <c r="AL2465" s="2">
        <v>0.16184212458465799</v>
      </c>
      <c r="AM2465" s="2">
        <v>4286.4283959001496</v>
      </c>
      <c r="AN2465" s="2">
        <v>6544.0829421244398</v>
      </c>
      <c r="AO2465" s="2">
        <v>6544.3024382002404</v>
      </c>
      <c r="AP2465" s="2">
        <v>6260.8286130931901</v>
      </c>
      <c r="AQ2465" s="2">
        <v>6130.7170065041801</v>
      </c>
      <c r="AR2465" s="2">
        <v>5159.2351573035503</v>
      </c>
      <c r="AS2465" s="2">
        <v>7091.3610000272902</v>
      </c>
      <c r="AT2465" s="2">
        <v>8402.5907325667904</v>
      </c>
      <c r="AU2465" s="2">
        <v>6371.30252668103</v>
      </c>
      <c r="AV2465" s="2">
        <v>7354.0380847010701</v>
      </c>
      <c r="AW2465" s="2">
        <v>6843.2115724817304</v>
      </c>
      <c r="AX2465" s="2">
        <v>8096.0762696701504</v>
      </c>
    </row>
    <row r="2466" spans="1:50" x14ac:dyDescent="0.25">
      <c r="A2466" s="2" t="s">
        <v>16591</v>
      </c>
      <c r="B2466" s="2">
        <v>247.19265757208299</v>
      </c>
      <c r="C2466" s="2">
        <v>4.23708333333333</v>
      </c>
      <c r="D2466" s="2" t="s">
        <v>51</v>
      </c>
      <c r="E2466" s="2" t="s">
        <v>16592</v>
      </c>
      <c r="F2466" s="2">
        <v>213519</v>
      </c>
      <c r="G2466" s="3" t="str">
        <f>HYPERLINK("https://cloud.oebiotech.com/#/lm/network/213519", "https://cloud.oebiotech.com/#/lm/network/213519")</f>
        <v>https://cloud.oebiotech.com/#/lm/network/213519</v>
      </c>
      <c r="H2466" s="2" t="s">
        <v>16593</v>
      </c>
      <c r="I2466" s="2"/>
      <c r="J2466" s="2"/>
      <c r="K2466" s="2">
        <v>57027503</v>
      </c>
      <c r="L2466" s="2"/>
      <c r="M2466" s="2"/>
      <c r="N2466" s="2"/>
      <c r="O2466" s="2"/>
      <c r="P2466" s="2"/>
      <c r="Q2466" s="2"/>
      <c r="R2466" s="2"/>
      <c r="S2466" s="2" t="s">
        <v>16594</v>
      </c>
      <c r="T2466" s="2" t="s">
        <v>16595</v>
      </c>
      <c r="U2466" s="2" t="s">
        <v>266</v>
      </c>
      <c r="V2466" s="2" t="s">
        <v>2772</v>
      </c>
      <c r="W2466" s="2" t="s">
        <v>2773</v>
      </c>
      <c r="X2466" s="2" t="s">
        <v>147</v>
      </c>
      <c r="Y2466" s="2">
        <v>36.700000000000003</v>
      </c>
      <c r="Z2466" s="2">
        <v>0</v>
      </c>
      <c r="AA2466" s="2" t="s">
        <v>259</v>
      </c>
      <c r="AB2466" s="2" t="s">
        <v>16596</v>
      </c>
      <c r="AC2466" s="2">
        <v>3.7955904822586399</v>
      </c>
      <c r="AD2466" s="2"/>
      <c r="AE2466" s="2">
        <v>0.25767280201089998</v>
      </c>
      <c r="AF2466" s="2">
        <v>2002.1410151657701</v>
      </c>
      <c r="AG2466" s="2">
        <v>624.62972828496095</v>
      </c>
      <c r="AH2466" s="5">
        <v>3.2053245699064399</v>
      </c>
      <c r="AI2466" s="5">
        <v>1.6804704509738</v>
      </c>
      <c r="AJ2466" s="5" t="s">
        <v>139</v>
      </c>
      <c r="AK2466" s="2">
        <v>4.5135933234557698E-3</v>
      </c>
      <c r="AL2466" s="2">
        <v>0.12174388396289799</v>
      </c>
      <c r="AM2466" s="2">
        <v>2513.4184162105598</v>
      </c>
      <c r="AN2466" s="2">
        <v>1180.81264429712</v>
      </c>
      <c r="AO2466" s="2">
        <v>2565.9277421040601</v>
      </c>
      <c r="AP2466" s="2">
        <v>1256.3855092738299</v>
      </c>
      <c r="AQ2466" s="2">
        <v>1507.81353025253</v>
      </c>
      <c r="AR2466" s="2">
        <v>2988.4882488565299</v>
      </c>
      <c r="AS2466" s="2">
        <v>1141.7813037598</v>
      </c>
      <c r="AT2466" s="2">
        <v>909.90904992978699</v>
      </c>
      <c r="AU2466" s="2">
        <v>1134.55435480966</v>
      </c>
      <c r="AV2466" s="2">
        <v>165.85046268346599</v>
      </c>
      <c r="AW2466" s="2">
        <v>8.559877937157E-6</v>
      </c>
      <c r="AX2466" s="2">
        <v>395.68318996717699</v>
      </c>
    </row>
    <row r="2467" spans="1:50" x14ac:dyDescent="0.25">
      <c r="A2467" s="2" t="s">
        <v>16597</v>
      </c>
      <c r="B2467" s="2">
        <v>447.19769863296102</v>
      </c>
      <c r="C2467" s="2">
        <v>8.3508166666666703</v>
      </c>
      <c r="D2467" s="2" t="s">
        <v>51</v>
      </c>
      <c r="E2467" s="2" t="s">
        <v>16598</v>
      </c>
      <c r="F2467" s="2">
        <v>202284</v>
      </c>
      <c r="G2467" s="3" t="str">
        <f>HYPERLINK("https://cloud.oebiotech.com/#/lm/network/202284", "https://cloud.oebiotech.com/#/lm/network/202284")</f>
        <v>https://cloud.oebiotech.com/#/lm/network/202284</v>
      </c>
      <c r="H2467" s="2" t="s">
        <v>16599</v>
      </c>
      <c r="I2467" s="2">
        <v>316920</v>
      </c>
      <c r="J2467" s="2"/>
      <c r="K2467" s="2">
        <v>94588</v>
      </c>
      <c r="L2467" s="2"/>
      <c r="M2467" s="2"/>
      <c r="N2467" s="2"/>
      <c r="O2467" s="2"/>
      <c r="P2467" s="2"/>
      <c r="Q2467" s="2"/>
      <c r="R2467" s="2"/>
      <c r="S2467" s="2" t="s">
        <v>16600</v>
      </c>
      <c r="T2467" s="2" t="s">
        <v>16601</v>
      </c>
      <c r="U2467" s="2" t="s">
        <v>266</v>
      </c>
      <c r="V2467" s="2" t="s">
        <v>2772</v>
      </c>
      <c r="W2467" s="2" t="s">
        <v>2773</v>
      </c>
      <c r="X2467" s="2" t="s">
        <v>147</v>
      </c>
      <c r="Y2467" s="2">
        <v>39.200000000000003</v>
      </c>
      <c r="Z2467" s="2">
        <v>0</v>
      </c>
      <c r="AA2467" s="2" t="s">
        <v>478</v>
      </c>
      <c r="AB2467" s="2" t="s">
        <v>16602</v>
      </c>
      <c r="AC2467" s="2">
        <v>1.4006098897002901</v>
      </c>
      <c r="AD2467" s="2"/>
      <c r="AE2467" s="2">
        <v>0.25754446460559899</v>
      </c>
      <c r="AF2467" s="2">
        <v>3376.7753019624802</v>
      </c>
      <c r="AG2467" s="2">
        <v>1502.28418050401</v>
      </c>
      <c r="AH2467" s="5">
        <v>2.2477606739023099</v>
      </c>
      <c r="AI2467" s="5">
        <v>1.1684884354899401</v>
      </c>
      <c r="AJ2467" s="5" t="s">
        <v>139</v>
      </c>
      <c r="AK2467" s="2">
        <v>6.2455071107194497E-2</v>
      </c>
      <c r="AL2467" s="2">
        <v>0.33601027492909402</v>
      </c>
      <c r="AM2467" s="2">
        <v>3264.2495266145502</v>
      </c>
      <c r="AN2467" s="2">
        <v>6536.33045054582</v>
      </c>
      <c r="AO2467" s="2">
        <v>3896.6429863274702</v>
      </c>
      <c r="AP2467" s="2">
        <v>1883.7857702122201</v>
      </c>
      <c r="AQ2467" s="2">
        <v>2007.03304991445</v>
      </c>
      <c r="AR2467" s="2">
        <v>2672.6100281603499</v>
      </c>
      <c r="AS2467" s="2">
        <v>2147.8967208435802</v>
      </c>
      <c r="AT2467" s="2">
        <v>239.262576248974</v>
      </c>
      <c r="AU2467" s="2">
        <v>1471.4362650779501</v>
      </c>
      <c r="AV2467" s="2">
        <v>8.559877937157E-6</v>
      </c>
      <c r="AW2467" s="2">
        <v>1451.4533591852501</v>
      </c>
      <c r="AX2467" s="2">
        <v>3703.6561531084499</v>
      </c>
    </row>
    <row r="2468" spans="1:50" x14ac:dyDescent="0.25">
      <c r="A2468" s="2" t="s">
        <v>16603</v>
      </c>
      <c r="B2468" s="2">
        <v>687.32098748607496</v>
      </c>
      <c r="C2468" s="2">
        <v>4.4470999999999998</v>
      </c>
      <c r="D2468" s="2" t="s">
        <v>51</v>
      </c>
      <c r="E2468" s="2" t="s">
        <v>16604</v>
      </c>
      <c r="F2468" s="2">
        <v>35870</v>
      </c>
      <c r="G2468" s="3" t="str">
        <f>HYPERLINK("https://cloud.oebiotech.com/#/lm/network/35870", "https://cloud.oebiotech.com/#/lm/network/35870")</f>
        <v>https://cloud.oebiotech.com/#/lm/network/35870</v>
      </c>
      <c r="H2468" s="2" t="s">
        <v>16605</v>
      </c>
      <c r="I2468" s="2"/>
      <c r="J2468" s="2" t="s">
        <v>16606</v>
      </c>
      <c r="K2468" s="2">
        <v>16401639</v>
      </c>
      <c r="L2468" s="2"/>
      <c r="M2468" s="2"/>
      <c r="N2468" s="2"/>
      <c r="O2468" s="2">
        <v>145030</v>
      </c>
      <c r="P2468" s="2"/>
      <c r="Q2468" s="2"/>
      <c r="R2468" s="2" t="s">
        <v>16607</v>
      </c>
      <c r="S2468" s="2" t="s">
        <v>16608</v>
      </c>
      <c r="T2468" s="2" t="s">
        <v>16609</v>
      </c>
      <c r="U2468" s="2" t="s">
        <v>56</v>
      </c>
      <c r="V2468" s="2" t="s">
        <v>177</v>
      </c>
      <c r="W2468" s="2" t="s">
        <v>394</v>
      </c>
      <c r="X2468" s="2" t="s">
        <v>59</v>
      </c>
      <c r="Y2468" s="2">
        <v>48.4</v>
      </c>
      <c r="Z2468" s="2">
        <v>54.2</v>
      </c>
      <c r="AA2468" s="2" t="s">
        <v>218</v>
      </c>
      <c r="AB2468" s="2" t="s">
        <v>16610</v>
      </c>
      <c r="AC2468" s="2">
        <v>-3.6695460785536498</v>
      </c>
      <c r="AD2468" s="2"/>
      <c r="AE2468" s="2">
        <v>0.25746067893324998</v>
      </c>
      <c r="AF2468" s="2">
        <v>19797.2177370264</v>
      </c>
      <c r="AG2468" s="2">
        <v>14935.9472524352</v>
      </c>
      <c r="AH2468" s="5">
        <v>1.32547453485406</v>
      </c>
      <c r="AI2468" s="5">
        <v>0.40650895327369901</v>
      </c>
      <c r="AJ2468" s="5" t="s">
        <v>139</v>
      </c>
      <c r="AK2468" s="2">
        <v>0.58366085165227299</v>
      </c>
      <c r="AL2468" s="2">
        <v>0.79094895237117502</v>
      </c>
      <c r="AM2468" s="2">
        <v>39126.547910036497</v>
      </c>
      <c r="AN2468" s="2">
        <v>5641.4926694546102</v>
      </c>
      <c r="AO2468" s="2">
        <v>28355.460729582399</v>
      </c>
      <c r="AP2468" s="2">
        <v>33902.1801872664</v>
      </c>
      <c r="AQ2468" s="2">
        <v>6445.2162150468603</v>
      </c>
      <c r="AR2468" s="2">
        <v>5312.4087107714004</v>
      </c>
      <c r="AS2468" s="2">
        <v>685.24129012968797</v>
      </c>
      <c r="AT2468" s="2">
        <v>4413.4698713965199</v>
      </c>
      <c r="AU2468" s="2">
        <v>24050.8934848114</v>
      </c>
      <c r="AV2468" s="2">
        <v>36034.324220969997</v>
      </c>
      <c r="AW2468" s="2">
        <v>4488.8532923626499</v>
      </c>
      <c r="AX2468" s="2">
        <v>19942.901354940899</v>
      </c>
    </row>
    <row r="2469" spans="1:50" x14ac:dyDescent="0.25">
      <c r="A2469" s="2" t="s">
        <v>16611</v>
      </c>
      <c r="B2469" s="2">
        <v>267.16022473581</v>
      </c>
      <c r="C2469" s="2">
        <v>7.7465999999999999</v>
      </c>
      <c r="D2469" s="2" t="s">
        <v>51</v>
      </c>
      <c r="E2469" s="2" t="s">
        <v>16612</v>
      </c>
      <c r="F2469" s="2">
        <v>61587</v>
      </c>
      <c r="G2469" s="3" t="str">
        <f>HYPERLINK("https://cloud.oebiotech.com/#/lm/network/61587", "https://cloud.oebiotech.com/#/lm/network/61587")</f>
        <v>https://cloud.oebiotech.com/#/lm/network/61587</v>
      </c>
      <c r="H2469" s="2" t="s">
        <v>16613</v>
      </c>
      <c r="I2469" s="2">
        <v>92894</v>
      </c>
      <c r="J2469" s="2"/>
      <c r="K2469" s="2">
        <v>47945</v>
      </c>
      <c r="L2469" s="2"/>
      <c r="M2469" s="2"/>
      <c r="N2469" s="2"/>
      <c r="O2469" s="2">
        <v>143032</v>
      </c>
      <c r="P2469" s="2"/>
      <c r="Q2469" s="2"/>
      <c r="R2469" s="2" t="s">
        <v>16614</v>
      </c>
      <c r="S2469" s="2" t="s">
        <v>16615</v>
      </c>
      <c r="T2469" s="2" t="s">
        <v>16616</v>
      </c>
      <c r="U2469" s="2" t="s">
        <v>56</v>
      </c>
      <c r="V2469" s="2" t="s">
        <v>145</v>
      </c>
      <c r="W2469" s="2" t="s">
        <v>146</v>
      </c>
      <c r="X2469" s="2" t="s">
        <v>83</v>
      </c>
      <c r="Y2469" s="2">
        <v>48</v>
      </c>
      <c r="Z2469" s="2">
        <v>0</v>
      </c>
      <c r="AA2469" s="2" t="s">
        <v>163</v>
      </c>
      <c r="AB2469" s="2" t="s">
        <v>16617</v>
      </c>
      <c r="AC2469" s="2">
        <v>0.156319825397463</v>
      </c>
      <c r="AD2469" s="2"/>
      <c r="AE2469" s="2">
        <v>0.25733379339342</v>
      </c>
      <c r="AF2469" s="2">
        <v>3112.3518241387501</v>
      </c>
      <c r="AG2469" s="2">
        <v>1675.6878836199</v>
      </c>
      <c r="AH2469" s="5">
        <v>1.85735771832121</v>
      </c>
      <c r="AI2469" s="5">
        <v>0.89325169828233597</v>
      </c>
      <c r="AJ2469" s="5" t="s">
        <v>139</v>
      </c>
      <c r="AK2469" s="2">
        <v>6.1866171996652397E-2</v>
      </c>
      <c r="AL2469" s="2">
        <v>0.33482175309400602</v>
      </c>
      <c r="AM2469" s="2">
        <v>4695.5516681477202</v>
      </c>
      <c r="AN2469" s="2">
        <v>4545.77579816864</v>
      </c>
      <c r="AO2469" s="2">
        <v>2564.0069572576199</v>
      </c>
      <c r="AP2469" s="2">
        <v>1846.1473854603</v>
      </c>
      <c r="AQ2469" s="2">
        <v>1655.25734654847</v>
      </c>
      <c r="AR2469" s="2">
        <v>3367.3717892497398</v>
      </c>
      <c r="AS2469" s="2">
        <v>1845.1922343615299</v>
      </c>
      <c r="AT2469" s="2">
        <v>1211.8805372319</v>
      </c>
      <c r="AU2469" s="2">
        <v>3509.6575280141201</v>
      </c>
      <c r="AV2469" s="2">
        <v>714.52893671667198</v>
      </c>
      <c r="AW2469" s="2">
        <v>811.11429178659</v>
      </c>
      <c r="AX2469" s="2">
        <v>1961.7537736085701</v>
      </c>
    </row>
    <row r="2470" spans="1:50" x14ac:dyDescent="0.25">
      <c r="A2470" s="2" t="s">
        <v>16618</v>
      </c>
      <c r="B2470" s="2">
        <v>352.09835074066802</v>
      </c>
      <c r="C2470" s="2">
        <v>7.2403166666666703</v>
      </c>
      <c r="D2470" s="2" t="s">
        <v>51</v>
      </c>
      <c r="E2470" s="2" t="s">
        <v>16619</v>
      </c>
      <c r="F2470" s="2">
        <v>267331</v>
      </c>
      <c r="G2470" s="3" t="str">
        <f>HYPERLINK("https://cloud.oebiotech.com/#/lm/network/267331", "https://cloud.oebiotech.com/#/lm/network/267331")</f>
        <v>https://cloud.oebiotech.com/#/lm/network/267331</v>
      </c>
      <c r="H2470" s="2"/>
      <c r="I2470" s="2">
        <v>45267</v>
      </c>
      <c r="J2470" s="2"/>
      <c r="K2470" s="2">
        <v>44423602</v>
      </c>
      <c r="L2470" s="2"/>
      <c r="M2470" s="2"/>
      <c r="N2470" s="2"/>
      <c r="O2470" s="2"/>
      <c r="P2470" s="2"/>
      <c r="Q2470" s="2"/>
      <c r="R2470" s="2" t="s">
        <v>16620</v>
      </c>
      <c r="S2470" s="2" t="s">
        <v>16621</v>
      </c>
      <c r="T2470" s="2" t="s">
        <v>16622</v>
      </c>
      <c r="U2470" s="2" t="s">
        <v>266</v>
      </c>
      <c r="V2470" s="2" t="s">
        <v>2781</v>
      </c>
      <c r="W2470" s="2" t="s">
        <v>2782</v>
      </c>
      <c r="X2470" s="2" t="s">
        <v>147</v>
      </c>
      <c r="Y2470" s="2">
        <v>37.4</v>
      </c>
      <c r="Z2470" s="2">
        <v>0</v>
      </c>
      <c r="AA2470" s="2" t="s">
        <v>395</v>
      </c>
      <c r="AB2470" s="2" t="s">
        <v>16623</v>
      </c>
      <c r="AC2470" s="2">
        <v>-2.9507061394628602</v>
      </c>
      <c r="AD2470" s="2"/>
      <c r="AE2470" s="2">
        <v>0.25722254762642</v>
      </c>
      <c r="AF2470" s="2">
        <v>8744.3890084208506</v>
      </c>
      <c r="AG2470" s="2">
        <v>13192.9702490576</v>
      </c>
      <c r="AH2470" s="4">
        <v>0.66280669503105105</v>
      </c>
      <c r="AI2470" s="4">
        <v>-0.59333991954689702</v>
      </c>
      <c r="AJ2470" s="4" t="s">
        <v>62</v>
      </c>
      <c r="AK2470" s="2">
        <v>0.38791446045704597</v>
      </c>
      <c r="AL2470" s="2">
        <v>0.66381813062748596</v>
      </c>
      <c r="AM2470" s="2">
        <v>16986.3645153707</v>
      </c>
      <c r="AN2470" s="2">
        <v>7880.6172146658701</v>
      </c>
      <c r="AO2470" s="2">
        <v>5197.2528624528904</v>
      </c>
      <c r="AP2470" s="2">
        <v>14914.0326030179</v>
      </c>
      <c r="AQ2470" s="2">
        <v>543.77459487813303</v>
      </c>
      <c r="AR2470" s="2">
        <v>6944.2922601396003</v>
      </c>
      <c r="AS2470" s="2">
        <v>30258.388014184799</v>
      </c>
      <c r="AT2470" s="2">
        <v>7226.4734469525401</v>
      </c>
      <c r="AU2470" s="2">
        <v>16457.945428831299</v>
      </c>
      <c r="AV2470" s="2">
        <v>5996.3741265375602</v>
      </c>
      <c r="AW2470" s="2">
        <v>17477.337945986401</v>
      </c>
      <c r="AX2470" s="2">
        <v>1741.3025318529999</v>
      </c>
    </row>
    <row r="2471" spans="1:50" x14ac:dyDescent="0.25">
      <c r="A2471" s="2" t="s">
        <v>16624</v>
      </c>
      <c r="B2471" s="2">
        <v>361.12294431645898</v>
      </c>
      <c r="C2471" s="2">
        <v>0.59791666666666698</v>
      </c>
      <c r="D2471" s="2" t="s">
        <v>51</v>
      </c>
      <c r="E2471" s="2" t="s">
        <v>16625</v>
      </c>
      <c r="F2471" s="2">
        <v>204533</v>
      </c>
      <c r="G2471" s="3" t="str">
        <f>HYPERLINK("https://cloud.oebiotech.com/#/lm/network/204533", "https://cloud.oebiotech.com/#/lm/network/204533")</f>
        <v>https://cloud.oebiotech.com/#/lm/network/204533</v>
      </c>
      <c r="H2471" s="2" t="s">
        <v>16626</v>
      </c>
      <c r="I2471" s="2"/>
      <c r="J2471" s="2"/>
      <c r="K2471" s="2">
        <v>2169</v>
      </c>
      <c r="L2471" s="2"/>
      <c r="M2471" s="2"/>
      <c r="N2471" s="2"/>
      <c r="O2471" s="2"/>
      <c r="P2471" s="2"/>
      <c r="Q2471" s="2"/>
      <c r="R2471" s="2"/>
      <c r="S2471" s="2" t="s">
        <v>16627</v>
      </c>
      <c r="T2471" s="2" t="s">
        <v>16628</v>
      </c>
      <c r="U2471" s="2" t="s">
        <v>610</v>
      </c>
      <c r="V2471" s="2" t="s">
        <v>611</v>
      </c>
      <c r="W2471" s="2" t="s">
        <v>5656</v>
      </c>
      <c r="X2471" s="2" t="s">
        <v>147</v>
      </c>
      <c r="Y2471" s="2">
        <v>36.299999999999997</v>
      </c>
      <c r="Z2471" s="2">
        <v>0</v>
      </c>
      <c r="AA2471" s="2" t="s">
        <v>379</v>
      </c>
      <c r="AB2471" s="2" t="s">
        <v>16629</v>
      </c>
      <c r="AC2471" s="2">
        <v>0.50654779575762399</v>
      </c>
      <c r="AD2471" s="2"/>
      <c r="AE2471" s="2">
        <v>0.25720771632057998</v>
      </c>
      <c r="AF2471" s="2">
        <v>1329.75816846053</v>
      </c>
      <c r="AG2471" s="2">
        <v>3774.7836186250001</v>
      </c>
      <c r="AH2471" s="4">
        <v>0.35227401165444899</v>
      </c>
      <c r="AI2471" s="4">
        <v>-1.5052300482129</v>
      </c>
      <c r="AJ2471" s="4" t="s">
        <v>62</v>
      </c>
      <c r="AK2471" s="2">
        <v>0.29282345599367299</v>
      </c>
      <c r="AL2471" s="2">
        <v>0.60574664049980298</v>
      </c>
      <c r="AM2471" s="2">
        <v>8.559877937157E-6</v>
      </c>
      <c r="AN2471" s="2">
        <v>2986.2773368918402</v>
      </c>
      <c r="AO2471" s="2">
        <v>721.82969546050094</v>
      </c>
      <c r="AP2471" s="2">
        <v>1527.2655609648</v>
      </c>
      <c r="AQ2471" s="2">
        <v>587.83680822249005</v>
      </c>
      <c r="AR2471" s="2">
        <v>2155.3396006636499</v>
      </c>
      <c r="AS2471" s="2">
        <v>2340.7944849088499</v>
      </c>
      <c r="AT2471" s="2">
        <v>992.50185339518498</v>
      </c>
      <c r="AU2471" s="2">
        <v>862.00897403440501</v>
      </c>
      <c r="AV2471" s="2">
        <v>14362.9808723724</v>
      </c>
      <c r="AW2471" s="2">
        <v>3256.5187520925701</v>
      </c>
      <c r="AX2471" s="2">
        <v>833.89677494656803</v>
      </c>
    </row>
    <row r="2472" spans="1:50" x14ac:dyDescent="0.25">
      <c r="A2472" s="2" t="s">
        <v>16630</v>
      </c>
      <c r="B2472" s="2">
        <v>187.05572122152</v>
      </c>
      <c r="C2472" s="2">
        <v>9.4395166666666697</v>
      </c>
      <c r="D2472" s="2" t="s">
        <v>51</v>
      </c>
      <c r="E2472" s="2" t="s">
        <v>16631</v>
      </c>
      <c r="F2472" s="2">
        <v>206079</v>
      </c>
      <c r="G2472" s="3" t="str">
        <f>HYPERLINK("https://cloud.oebiotech.com/#/lm/network/206079", "https://cloud.oebiotech.com/#/lm/network/206079")</f>
        <v>https://cloud.oebiotech.com/#/lm/network/206079</v>
      </c>
      <c r="H2472" s="2" t="s">
        <v>16632</v>
      </c>
      <c r="I2472" s="2">
        <v>315346</v>
      </c>
      <c r="J2472" s="2"/>
      <c r="K2472" s="2">
        <v>65057</v>
      </c>
      <c r="L2472" s="2"/>
      <c r="M2472" s="2"/>
      <c r="N2472" s="2"/>
      <c r="O2472" s="2">
        <v>53074</v>
      </c>
      <c r="P2472" s="2"/>
      <c r="Q2472" s="2"/>
      <c r="R2472" s="2"/>
      <c r="S2472" s="2" t="s">
        <v>16633</v>
      </c>
      <c r="T2472" s="2" t="s">
        <v>16634</v>
      </c>
      <c r="U2472" s="2" t="s">
        <v>610</v>
      </c>
      <c r="V2472" s="2" t="s">
        <v>611</v>
      </c>
      <c r="W2472" s="2" t="s">
        <v>240</v>
      </c>
      <c r="X2472" s="2" t="s">
        <v>147</v>
      </c>
      <c r="Y2472" s="2">
        <v>38.299999999999997</v>
      </c>
      <c r="Z2472" s="2">
        <v>0.91900000000000004</v>
      </c>
      <c r="AA2472" s="2" t="s">
        <v>379</v>
      </c>
      <c r="AB2472" s="2" t="s">
        <v>16635</v>
      </c>
      <c r="AC2472" s="2">
        <v>1.9284474027431799</v>
      </c>
      <c r="AD2472" s="2"/>
      <c r="AE2472" s="2">
        <v>0.25707248810439998</v>
      </c>
      <c r="AF2472" s="2">
        <v>1563.97408592392</v>
      </c>
      <c r="AG2472" s="2">
        <v>8.559877937157E-6</v>
      </c>
      <c r="AH2472" s="5">
        <v>182709858.41223001</v>
      </c>
      <c r="AI2472" s="5">
        <v>27.444979238158599</v>
      </c>
      <c r="AJ2472" s="5" t="s">
        <v>139</v>
      </c>
      <c r="AK2472" s="2">
        <v>0.118332170416473</v>
      </c>
      <c r="AL2472" s="2">
        <v>0.436901800847388</v>
      </c>
      <c r="AM2472" s="2">
        <v>5641.80235455406</v>
      </c>
      <c r="AN2472" s="2">
        <v>8.559877937157E-6</v>
      </c>
      <c r="AO2472" s="2">
        <v>2572.2963574708701</v>
      </c>
      <c r="AP2472" s="2">
        <v>0.53735666919686198</v>
      </c>
      <c r="AQ2472" s="2">
        <v>1169.2084297296601</v>
      </c>
      <c r="AR2472" s="2">
        <v>8.559877937157E-6</v>
      </c>
      <c r="AS2472" s="2">
        <v>8.559877937157E-6</v>
      </c>
      <c r="AT2472" s="2">
        <v>8.559877937157E-6</v>
      </c>
      <c r="AU2472" s="2">
        <v>8.559877937157E-6</v>
      </c>
      <c r="AV2472" s="2">
        <v>8.559877937157E-6</v>
      </c>
      <c r="AW2472" s="2">
        <v>8.559877937157E-6</v>
      </c>
      <c r="AX2472" s="2">
        <v>8.559877937157E-6</v>
      </c>
    </row>
    <row r="2473" spans="1:50" x14ac:dyDescent="0.25">
      <c r="A2473" s="2" t="s">
        <v>16636</v>
      </c>
      <c r="B2473" s="2">
        <v>195.138516001883</v>
      </c>
      <c r="C2473" s="2">
        <v>9.7668833333333307</v>
      </c>
      <c r="D2473" s="2" t="s">
        <v>51</v>
      </c>
      <c r="E2473" s="2" t="s">
        <v>16637</v>
      </c>
      <c r="F2473" s="2">
        <v>1746</v>
      </c>
      <c r="G2473" s="3" t="str">
        <f>HYPERLINK("https://cloud.oebiotech.com/#/lm/network/1746", "https://cloud.oebiotech.com/#/lm/network/1746")</f>
        <v>https://cloud.oebiotech.com/#/lm/network/1746</v>
      </c>
      <c r="H2473" s="2"/>
      <c r="I2473" s="2">
        <v>74549</v>
      </c>
      <c r="J2473" s="2" t="s">
        <v>16638</v>
      </c>
      <c r="K2473" s="2">
        <v>5312748</v>
      </c>
      <c r="L2473" s="2"/>
      <c r="M2473" s="2"/>
      <c r="N2473" s="2"/>
      <c r="O2473" s="2"/>
      <c r="P2473" s="2"/>
      <c r="Q2473" s="2"/>
      <c r="R2473" s="2"/>
      <c r="S2473" s="2" t="s">
        <v>16639</v>
      </c>
      <c r="T2473" s="2" t="s">
        <v>16640</v>
      </c>
      <c r="U2473" s="2" t="s">
        <v>103</v>
      </c>
      <c r="V2473" s="2" t="s">
        <v>377</v>
      </c>
      <c r="W2473" s="2" t="s">
        <v>378</v>
      </c>
      <c r="X2473" s="2" t="s">
        <v>147</v>
      </c>
      <c r="Y2473" s="2">
        <v>43.7</v>
      </c>
      <c r="Z2473" s="2">
        <v>26.4</v>
      </c>
      <c r="AA2473" s="2" t="s">
        <v>179</v>
      </c>
      <c r="AB2473" s="2" t="s">
        <v>16641</v>
      </c>
      <c r="AC2473" s="2">
        <v>2.6385807462489699</v>
      </c>
      <c r="AD2473" s="2"/>
      <c r="AE2473" s="2">
        <v>0.25695652875807901</v>
      </c>
      <c r="AF2473" s="2">
        <v>11566.211994727701</v>
      </c>
      <c r="AG2473" s="2">
        <v>9357.9902620633602</v>
      </c>
      <c r="AH2473" s="5">
        <v>1.2359717921075699</v>
      </c>
      <c r="AI2473" s="5">
        <v>0.30564581779657701</v>
      </c>
      <c r="AJ2473" s="5" t="s">
        <v>139</v>
      </c>
      <c r="AK2473" s="2">
        <v>0.26982705261300599</v>
      </c>
      <c r="AL2473" s="2">
        <v>0.59023387803609295</v>
      </c>
      <c r="AM2473" s="2">
        <v>11970.4150549759</v>
      </c>
      <c r="AN2473" s="2">
        <v>17280.850775296702</v>
      </c>
      <c r="AO2473" s="2">
        <v>12503.179582443199</v>
      </c>
      <c r="AP2473" s="2">
        <v>7943.9907470076796</v>
      </c>
      <c r="AQ2473" s="2">
        <v>10357.7623039194</v>
      </c>
      <c r="AR2473" s="2">
        <v>9341.0735047231392</v>
      </c>
      <c r="AS2473" s="2">
        <v>6198.2510443410702</v>
      </c>
      <c r="AT2473" s="2">
        <v>6623.5054225583799</v>
      </c>
      <c r="AU2473" s="2">
        <v>13654.928912666801</v>
      </c>
      <c r="AV2473" s="2">
        <v>7745.1348395923796</v>
      </c>
      <c r="AW2473" s="2">
        <v>13231.0287043849</v>
      </c>
      <c r="AX2473" s="2">
        <v>8695.0926488366404</v>
      </c>
    </row>
    <row r="2474" spans="1:50" x14ac:dyDescent="0.25">
      <c r="A2474" s="2" t="s">
        <v>16642</v>
      </c>
      <c r="B2474" s="2">
        <v>263.00364407256501</v>
      </c>
      <c r="C2474" s="2">
        <v>1.1907333333333301</v>
      </c>
      <c r="D2474" s="2" t="s">
        <v>51</v>
      </c>
      <c r="E2474" s="2" t="s">
        <v>16643</v>
      </c>
      <c r="F2474" s="2">
        <v>213080</v>
      </c>
      <c r="G2474" s="3" t="str">
        <f>HYPERLINK("https://cloud.oebiotech.com/#/lm/network/213080", "https://cloud.oebiotech.com/#/lm/network/213080")</f>
        <v>https://cloud.oebiotech.com/#/lm/network/213080</v>
      </c>
      <c r="H2474" s="2" t="s">
        <v>16644</v>
      </c>
      <c r="I2474" s="2"/>
      <c r="J2474" s="2"/>
      <c r="K2474" s="2"/>
      <c r="L2474" s="2"/>
      <c r="M2474" s="2"/>
      <c r="N2474" s="2"/>
      <c r="O2474" s="2"/>
      <c r="P2474" s="2"/>
      <c r="Q2474" s="2"/>
      <c r="R2474" s="2"/>
      <c r="S2474" s="2" t="s">
        <v>16645</v>
      </c>
      <c r="T2474" s="2" t="s">
        <v>16646</v>
      </c>
      <c r="U2474" s="2" t="s">
        <v>103</v>
      </c>
      <c r="V2474" s="2" t="s">
        <v>104</v>
      </c>
      <c r="W2474" s="2" t="s">
        <v>1139</v>
      </c>
      <c r="X2474" s="2" t="s">
        <v>147</v>
      </c>
      <c r="Y2474" s="2">
        <v>39.200000000000003</v>
      </c>
      <c r="Z2474" s="2">
        <v>6.65</v>
      </c>
      <c r="AA2474" s="2" t="s">
        <v>259</v>
      </c>
      <c r="AB2474" s="2" t="s">
        <v>16647</v>
      </c>
      <c r="AC2474" s="2">
        <v>1.0353304812708899</v>
      </c>
      <c r="AD2474" s="2"/>
      <c r="AE2474" s="2">
        <v>0.25694884745267399</v>
      </c>
      <c r="AF2474" s="2">
        <v>7181.3035762249101</v>
      </c>
      <c r="AG2474" s="2">
        <v>8884.1863433952003</v>
      </c>
      <c r="AH2474" s="4">
        <v>0.80832428526938005</v>
      </c>
      <c r="AI2474" s="4">
        <v>-0.30699390229155998</v>
      </c>
      <c r="AJ2474" s="4" t="s">
        <v>62</v>
      </c>
      <c r="AK2474" s="2">
        <v>0.11971232797795001</v>
      </c>
      <c r="AL2474" s="2">
        <v>0.43766036031086097</v>
      </c>
      <c r="AM2474" s="2">
        <v>4348.2015081003201</v>
      </c>
      <c r="AN2474" s="2">
        <v>7306.9570330540801</v>
      </c>
      <c r="AO2474" s="2">
        <v>5807.7177008032404</v>
      </c>
      <c r="AP2474" s="2">
        <v>8072.3310242426396</v>
      </c>
      <c r="AQ2474" s="2">
        <v>10039.0949168761</v>
      </c>
      <c r="AR2474" s="2">
        <v>7513.5192742730796</v>
      </c>
      <c r="AS2474" s="2">
        <v>10282.220270051401</v>
      </c>
      <c r="AT2474" s="2">
        <v>10300.6233488456</v>
      </c>
      <c r="AU2474" s="2">
        <v>6694.5815452972302</v>
      </c>
      <c r="AV2474" s="2">
        <v>7719.0993776873302</v>
      </c>
      <c r="AW2474" s="2">
        <v>8523.4970697707304</v>
      </c>
      <c r="AX2474" s="2">
        <v>9785.0964487188903</v>
      </c>
    </row>
    <row r="2475" spans="1:50" x14ac:dyDescent="0.25">
      <c r="A2475" s="2" t="s">
        <v>16648</v>
      </c>
      <c r="B2475" s="2">
        <v>270.11374015476599</v>
      </c>
      <c r="C2475" s="2">
        <v>6.2990333333333304</v>
      </c>
      <c r="D2475" s="2" t="s">
        <v>51</v>
      </c>
      <c r="E2475" s="2" t="s">
        <v>16649</v>
      </c>
      <c r="F2475" s="2">
        <v>203143</v>
      </c>
      <c r="G2475" s="3" t="str">
        <f>HYPERLINK("https://cloud.oebiotech.com/#/lm/network/203143", "https://cloud.oebiotech.com/#/lm/network/203143")</f>
        <v>https://cloud.oebiotech.com/#/lm/network/203143</v>
      </c>
      <c r="H2475" s="2" t="s">
        <v>16650</v>
      </c>
      <c r="I2475" s="2"/>
      <c r="J2475" s="2"/>
      <c r="K2475" s="2">
        <v>104901</v>
      </c>
      <c r="L2475" s="2"/>
      <c r="M2475" s="2"/>
      <c r="N2475" s="2"/>
      <c r="O2475" s="2"/>
      <c r="P2475" s="2"/>
      <c r="Q2475" s="2"/>
      <c r="R2475" s="2"/>
      <c r="S2475" s="2" t="s">
        <v>16651</v>
      </c>
      <c r="T2475" s="2" t="s">
        <v>16652</v>
      </c>
      <c r="U2475" s="2" t="s">
        <v>610</v>
      </c>
      <c r="V2475" s="2" t="s">
        <v>813</v>
      </c>
      <c r="W2475" s="2" t="s">
        <v>240</v>
      </c>
      <c r="X2475" s="2" t="s">
        <v>147</v>
      </c>
      <c r="Y2475" s="2">
        <v>41.5</v>
      </c>
      <c r="Z2475" s="2">
        <v>11.1</v>
      </c>
      <c r="AA2475" s="2" t="s">
        <v>218</v>
      </c>
      <c r="AB2475" s="2" t="s">
        <v>16653</v>
      </c>
      <c r="AC2475" s="2">
        <v>0.76929158782940699</v>
      </c>
      <c r="AD2475" s="2"/>
      <c r="AE2475" s="2">
        <v>0.256919771791149</v>
      </c>
      <c r="AF2475" s="2">
        <v>332.17480858284699</v>
      </c>
      <c r="AG2475" s="2">
        <v>2253.79562076313</v>
      </c>
      <c r="AH2475" s="4">
        <v>0.14738461887257201</v>
      </c>
      <c r="AI2475" s="4">
        <v>-2.7623421229246401</v>
      </c>
      <c r="AJ2475" s="4" t="s">
        <v>62</v>
      </c>
      <c r="AK2475" s="2">
        <v>5.9067762105852399E-2</v>
      </c>
      <c r="AL2475" s="2">
        <v>0.32837652512840398</v>
      </c>
      <c r="AM2475" s="2">
        <v>8.559877937157E-6</v>
      </c>
      <c r="AN2475" s="2">
        <v>172.78509801129701</v>
      </c>
      <c r="AO2475" s="2">
        <v>8.559877937157E-6</v>
      </c>
      <c r="AP2475" s="2">
        <v>911.92634642404505</v>
      </c>
      <c r="AQ2475" s="2">
        <v>188.09477006066899</v>
      </c>
      <c r="AR2475" s="2">
        <v>720.24261988131298</v>
      </c>
      <c r="AS2475" s="2">
        <v>1146.5332219627601</v>
      </c>
      <c r="AT2475" s="2">
        <v>8.559877937157E-6</v>
      </c>
      <c r="AU2475" s="2">
        <v>4646.7603816823203</v>
      </c>
      <c r="AV2475" s="2">
        <v>5280.6231859139598</v>
      </c>
      <c r="AW2475" s="2">
        <v>799.17988075317896</v>
      </c>
      <c r="AX2475" s="2">
        <v>1649.67704570669</v>
      </c>
    </row>
    <row r="2476" spans="1:50" x14ac:dyDescent="0.25">
      <c r="A2476" s="2" t="s">
        <v>16654</v>
      </c>
      <c r="B2476" s="2">
        <v>365.196283496815</v>
      </c>
      <c r="C2476" s="2">
        <v>9.5426500000000001</v>
      </c>
      <c r="D2476" s="2" t="s">
        <v>51</v>
      </c>
      <c r="E2476" s="2" t="s">
        <v>16655</v>
      </c>
      <c r="F2476" s="2">
        <v>63068</v>
      </c>
      <c r="G2476" s="3" t="str">
        <f>HYPERLINK("https://cloud.oebiotech.com/#/lm/network/63068", "https://cloud.oebiotech.com/#/lm/network/63068")</f>
        <v>https://cloud.oebiotech.com/#/lm/network/63068</v>
      </c>
      <c r="H2476" s="2" t="s">
        <v>16656</v>
      </c>
      <c r="I2476" s="2">
        <v>94369</v>
      </c>
      <c r="J2476" s="2"/>
      <c r="K2476" s="2">
        <v>131752729</v>
      </c>
      <c r="L2476" s="2"/>
      <c r="M2476" s="2"/>
      <c r="N2476" s="2"/>
      <c r="O2476" s="2">
        <v>175096</v>
      </c>
      <c r="P2476" s="2"/>
      <c r="Q2476" s="2"/>
      <c r="R2476" s="2" t="s">
        <v>16657</v>
      </c>
      <c r="S2476" s="2" t="s">
        <v>16658</v>
      </c>
      <c r="T2476" s="2" t="s">
        <v>16659</v>
      </c>
      <c r="U2476" s="2" t="s">
        <v>56</v>
      </c>
      <c r="V2476" s="2" t="s">
        <v>145</v>
      </c>
      <c r="W2476" s="2" t="s">
        <v>146</v>
      </c>
      <c r="X2476" s="2" t="s">
        <v>83</v>
      </c>
      <c r="Y2476" s="2">
        <v>44.5</v>
      </c>
      <c r="Z2476" s="2">
        <v>0</v>
      </c>
      <c r="AA2476" s="2" t="s">
        <v>218</v>
      </c>
      <c r="AB2476" s="2" t="s">
        <v>8570</v>
      </c>
      <c r="AC2476" s="2">
        <v>-2.1197751880565501</v>
      </c>
      <c r="AD2476" s="2"/>
      <c r="AE2476" s="2">
        <v>0.256899473881253</v>
      </c>
      <c r="AF2476" s="2">
        <v>2192.5364716558802</v>
      </c>
      <c r="AG2476" s="2">
        <v>739.51093213069805</v>
      </c>
      <c r="AH2476" s="5">
        <v>2.9648465984656802</v>
      </c>
      <c r="AI2476" s="5">
        <v>1.5679574614801901</v>
      </c>
      <c r="AJ2476" s="5" t="s">
        <v>139</v>
      </c>
      <c r="AK2476" s="2">
        <v>2.2459464328114902E-3</v>
      </c>
      <c r="AL2476" s="2">
        <v>0.101912249503871</v>
      </c>
      <c r="AM2476" s="2">
        <v>1800.9088521599299</v>
      </c>
      <c r="AN2476" s="2">
        <v>3440.88552088405</v>
      </c>
      <c r="AO2476" s="2">
        <v>2022.0390980306599</v>
      </c>
      <c r="AP2476" s="2">
        <v>1651.37120005523</v>
      </c>
      <c r="AQ2476" s="2">
        <v>1741.1539703415599</v>
      </c>
      <c r="AR2476" s="2">
        <v>2498.8601884638701</v>
      </c>
      <c r="AS2476" s="2">
        <v>1718.81863341996</v>
      </c>
      <c r="AT2476" s="2">
        <v>514.22162858592503</v>
      </c>
      <c r="AU2476" s="2">
        <v>1034.7525351654399</v>
      </c>
      <c r="AV2476" s="2">
        <v>478.716879345736</v>
      </c>
      <c r="AW2476" s="2">
        <v>430.08436464703402</v>
      </c>
      <c r="AX2476" s="2">
        <v>260.471551620095</v>
      </c>
    </row>
    <row r="2477" spans="1:50" x14ac:dyDescent="0.25">
      <c r="A2477" s="2" t="s">
        <v>16660</v>
      </c>
      <c r="B2477" s="2">
        <v>280.06868179437998</v>
      </c>
      <c r="C2477" s="2">
        <v>4.8803666666666699</v>
      </c>
      <c r="D2477" s="2" t="s">
        <v>51</v>
      </c>
      <c r="E2477" s="2" t="s">
        <v>16661</v>
      </c>
      <c r="F2477" s="2">
        <v>52207</v>
      </c>
      <c r="G2477" s="3" t="str">
        <f>HYPERLINK("https://cloud.oebiotech.com/#/lm/network/52207", "https://cloud.oebiotech.com/#/lm/network/52207")</f>
        <v>https://cloud.oebiotech.com/#/lm/network/52207</v>
      </c>
      <c r="H2477" s="2" t="s">
        <v>16662</v>
      </c>
      <c r="I2477" s="2"/>
      <c r="J2477" s="2"/>
      <c r="K2477" s="2">
        <v>18877593</v>
      </c>
      <c r="L2477" s="2"/>
      <c r="M2477" s="2"/>
      <c r="N2477" s="2"/>
      <c r="O2477" s="2">
        <v>172476</v>
      </c>
      <c r="P2477" s="2"/>
      <c r="Q2477" s="2"/>
      <c r="R2477" s="2"/>
      <c r="S2477" s="2" t="s">
        <v>16663</v>
      </c>
      <c r="T2477" s="2" t="s">
        <v>16664</v>
      </c>
      <c r="U2477" s="2" t="s">
        <v>266</v>
      </c>
      <c r="V2477" s="2" t="s">
        <v>2772</v>
      </c>
      <c r="W2477" s="2" t="s">
        <v>2773</v>
      </c>
      <c r="X2477" s="2" t="s">
        <v>147</v>
      </c>
      <c r="Y2477" s="2">
        <v>37.799999999999997</v>
      </c>
      <c r="Z2477" s="2">
        <v>0</v>
      </c>
      <c r="AA2477" s="2" t="s">
        <v>218</v>
      </c>
      <c r="AB2477" s="2" t="s">
        <v>16665</v>
      </c>
      <c r="AC2477" s="2">
        <v>-0.25629298411698798</v>
      </c>
      <c r="AD2477" s="2"/>
      <c r="AE2477" s="2">
        <v>0.256835661710415</v>
      </c>
      <c r="AF2477" s="2">
        <v>2447.3075633047501</v>
      </c>
      <c r="AG2477" s="2">
        <v>4932.4860235176302</v>
      </c>
      <c r="AH2477" s="4">
        <v>0.49616107407830801</v>
      </c>
      <c r="AI2477" s="4">
        <v>-1.0111195407071101</v>
      </c>
      <c r="AJ2477" s="4" t="s">
        <v>62</v>
      </c>
      <c r="AK2477" s="2">
        <v>0.111771177885182</v>
      </c>
      <c r="AL2477" s="2">
        <v>0.42455885035465601</v>
      </c>
      <c r="AM2477" s="2">
        <v>868.167221563932</v>
      </c>
      <c r="AN2477" s="2">
        <v>2992.7195482536399</v>
      </c>
      <c r="AO2477" s="2">
        <v>3898.6220269104901</v>
      </c>
      <c r="AP2477" s="2">
        <v>2264.9331407247901</v>
      </c>
      <c r="AQ2477" s="2">
        <v>1651.5777213915401</v>
      </c>
      <c r="AR2477" s="2">
        <v>3007.8257209841099</v>
      </c>
      <c r="AS2477" s="2">
        <v>5467.3725771281197</v>
      </c>
      <c r="AT2477" s="2">
        <v>9329.3654067188909</v>
      </c>
      <c r="AU2477" s="2">
        <v>1563.2826724927399</v>
      </c>
      <c r="AV2477" s="2">
        <v>8321.7430515033793</v>
      </c>
      <c r="AW2477" s="2">
        <v>2052.57827312871</v>
      </c>
      <c r="AX2477" s="2">
        <v>2860.57416013396</v>
      </c>
    </row>
    <row r="2478" spans="1:50" x14ac:dyDescent="0.25">
      <c r="A2478" s="2" t="s">
        <v>16666</v>
      </c>
      <c r="B2478" s="2">
        <v>447.23653307020601</v>
      </c>
      <c r="C2478" s="2">
        <v>6.8908500000000004</v>
      </c>
      <c r="D2478" s="2" t="s">
        <v>51</v>
      </c>
      <c r="E2478" s="2" t="s">
        <v>16667</v>
      </c>
      <c r="F2478" s="2">
        <v>205240</v>
      </c>
      <c r="G2478" s="3" t="str">
        <f>HYPERLINK("https://cloud.oebiotech.com/#/lm/network/205240", "https://cloud.oebiotech.com/#/lm/network/205240")</f>
        <v>https://cloud.oebiotech.com/#/lm/network/205240</v>
      </c>
      <c r="H2478" s="2" t="s">
        <v>16668</v>
      </c>
      <c r="I2478" s="2"/>
      <c r="J2478" s="2"/>
      <c r="K2478" s="2">
        <v>53447382</v>
      </c>
      <c r="L2478" s="2"/>
      <c r="M2478" s="2"/>
      <c r="N2478" s="2"/>
      <c r="O2478" s="2"/>
      <c r="P2478" s="2"/>
      <c r="Q2478" s="2"/>
      <c r="R2478" s="2"/>
      <c r="S2478" s="2" t="s">
        <v>16669</v>
      </c>
      <c r="T2478" s="2" t="s">
        <v>16670</v>
      </c>
      <c r="U2478" s="2" t="s">
        <v>56</v>
      </c>
      <c r="V2478" s="2" t="s">
        <v>283</v>
      </c>
      <c r="W2478" s="2" t="s">
        <v>3686</v>
      </c>
      <c r="X2478" s="2" t="s">
        <v>83</v>
      </c>
      <c r="Y2478" s="2">
        <v>39.4</v>
      </c>
      <c r="Z2478" s="2">
        <v>0</v>
      </c>
      <c r="AA2478" s="2" t="s">
        <v>259</v>
      </c>
      <c r="AB2478" s="2" t="s">
        <v>16671</v>
      </c>
      <c r="AC2478" s="2">
        <v>-2.6819978003376401</v>
      </c>
      <c r="AD2478" s="2"/>
      <c r="AE2478" s="2">
        <v>0.25633282921772199</v>
      </c>
      <c r="AF2478" s="2">
        <v>2908.5336332790798</v>
      </c>
      <c r="AG2478" s="2">
        <v>1279.5416420962799</v>
      </c>
      <c r="AH2478" s="5">
        <v>2.2731058822861101</v>
      </c>
      <c r="AI2478" s="5">
        <v>1.1846648870995899</v>
      </c>
      <c r="AJ2478" s="5" t="s">
        <v>139</v>
      </c>
      <c r="AK2478" s="2">
        <v>0.20750205104834099</v>
      </c>
      <c r="AL2478" s="2">
        <v>0.53238534013569705</v>
      </c>
      <c r="AM2478" s="2">
        <v>8664.8526939132207</v>
      </c>
      <c r="AN2478" s="2">
        <v>1749.39488164464</v>
      </c>
      <c r="AO2478" s="2">
        <v>2086.9985577562402</v>
      </c>
      <c r="AP2478" s="2">
        <v>1354.8012161535801</v>
      </c>
      <c r="AQ2478" s="2">
        <v>832.34637204285696</v>
      </c>
      <c r="AR2478" s="2">
        <v>2762.8080781639701</v>
      </c>
      <c r="AS2478" s="2">
        <v>1727.4026430024401</v>
      </c>
      <c r="AT2478" s="2">
        <v>1868.65842860768</v>
      </c>
      <c r="AU2478" s="2">
        <v>1848.8829116183699</v>
      </c>
      <c r="AV2478" s="2">
        <v>715.02008273490105</v>
      </c>
      <c r="AW2478" s="2">
        <v>1074.3130264205199</v>
      </c>
      <c r="AX2478" s="2">
        <v>442.97276019375801</v>
      </c>
    </row>
    <row r="2479" spans="1:50" x14ac:dyDescent="0.25">
      <c r="A2479" s="2" t="s">
        <v>16672</v>
      </c>
      <c r="B2479" s="2">
        <v>246.09133029821101</v>
      </c>
      <c r="C2479" s="2">
        <v>0.73424999999999996</v>
      </c>
      <c r="D2479" s="2" t="s">
        <v>51</v>
      </c>
      <c r="E2479" s="2" t="s">
        <v>16673</v>
      </c>
      <c r="F2479" s="2">
        <v>53989</v>
      </c>
      <c r="G2479" s="3" t="str">
        <f>HYPERLINK("https://cloud.oebiotech.com/#/lm/network/53989", "https://cloud.oebiotech.com/#/lm/network/53989")</f>
        <v>https://cloud.oebiotech.com/#/lm/network/53989</v>
      </c>
      <c r="H2479" s="2" t="s">
        <v>16674</v>
      </c>
      <c r="I2479" s="2">
        <v>23857</v>
      </c>
      <c r="J2479" s="2"/>
      <c r="K2479" s="2">
        <v>333467</v>
      </c>
      <c r="L2479" s="2"/>
      <c r="M2479" s="2"/>
      <c r="N2479" s="2"/>
      <c r="O2479" s="2"/>
      <c r="P2479" s="2"/>
      <c r="Q2479" s="2"/>
      <c r="R2479" s="2"/>
      <c r="S2479" s="2" t="s">
        <v>16675</v>
      </c>
      <c r="T2479" s="2" t="s">
        <v>16676</v>
      </c>
      <c r="U2479" s="2" t="s">
        <v>103</v>
      </c>
      <c r="V2479" s="2" t="s">
        <v>104</v>
      </c>
      <c r="W2479" s="2" t="s">
        <v>105</v>
      </c>
      <c r="X2479" s="2" t="s">
        <v>69</v>
      </c>
      <c r="Y2479" s="2">
        <v>48.2</v>
      </c>
      <c r="Z2479" s="2">
        <v>46.4</v>
      </c>
      <c r="AA2479" s="2" t="s">
        <v>156</v>
      </c>
      <c r="AB2479" s="2" t="s">
        <v>16677</v>
      </c>
      <c r="AC2479" s="2">
        <v>2.4383316883627701</v>
      </c>
      <c r="AD2479" s="2"/>
      <c r="AE2479" s="2">
        <v>0.25630149546879599</v>
      </c>
      <c r="AF2479" s="2">
        <v>14134.665775190901</v>
      </c>
      <c r="AG2479" s="2">
        <v>16612.575829327401</v>
      </c>
      <c r="AH2479" s="4">
        <v>0.85084130964434601</v>
      </c>
      <c r="AI2479" s="4">
        <v>-0.23303801484189399</v>
      </c>
      <c r="AJ2479" s="4" t="s">
        <v>62</v>
      </c>
      <c r="AK2479" s="2">
        <v>0.655497571688057</v>
      </c>
      <c r="AL2479" s="2">
        <v>0.83240942988891198</v>
      </c>
      <c r="AM2479" s="2">
        <v>14959.350507757799</v>
      </c>
      <c r="AN2479" s="2">
        <v>9323.9904499980403</v>
      </c>
      <c r="AO2479" s="2">
        <v>4626.29255639454</v>
      </c>
      <c r="AP2479" s="2">
        <v>28097.382435701598</v>
      </c>
      <c r="AQ2479" s="2">
        <v>7921.0960836111999</v>
      </c>
      <c r="AR2479" s="2">
        <v>19879.882617682499</v>
      </c>
      <c r="AS2479" s="2">
        <v>13352.2750469086</v>
      </c>
      <c r="AT2479" s="2">
        <v>6016.1815416817599</v>
      </c>
      <c r="AU2479" s="2">
        <v>9995.6609813554805</v>
      </c>
      <c r="AV2479" s="2">
        <v>21902.770908153299</v>
      </c>
      <c r="AW2479" s="2">
        <v>14703.339443455299</v>
      </c>
      <c r="AX2479" s="2">
        <v>33705.227054410003</v>
      </c>
    </row>
    <row r="2480" spans="1:50" x14ac:dyDescent="0.25">
      <c r="A2480" s="2" t="s">
        <v>16678</v>
      </c>
      <c r="B2480" s="2">
        <v>297.072747676566</v>
      </c>
      <c r="C2480" s="2">
        <v>7.01406666666667</v>
      </c>
      <c r="D2480" s="2" t="s">
        <v>51</v>
      </c>
      <c r="E2480" s="2" t="s">
        <v>16679</v>
      </c>
      <c r="F2480" s="2">
        <v>266844</v>
      </c>
      <c r="G2480" s="3" t="str">
        <f>HYPERLINK("https://cloud.oebiotech.com/#/lm/network/266844", "https://cloud.oebiotech.com/#/lm/network/266844")</f>
        <v>https://cloud.oebiotech.com/#/lm/network/266844</v>
      </c>
      <c r="H2480" s="2"/>
      <c r="I2480" s="2">
        <v>44085</v>
      </c>
      <c r="J2480" s="2"/>
      <c r="K2480" s="2">
        <v>6710647</v>
      </c>
      <c r="L2480" s="2"/>
      <c r="M2480" s="2"/>
      <c r="N2480" s="2"/>
      <c r="O2480" s="2"/>
      <c r="P2480" s="2"/>
      <c r="Q2480" s="2"/>
      <c r="R2480" s="2"/>
      <c r="S2480" s="2" t="s">
        <v>16680</v>
      </c>
      <c r="T2480" s="2" t="s">
        <v>16681</v>
      </c>
      <c r="U2480" s="2" t="s">
        <v>540</v>
      </c>
      <c r="V2480" s="2" t="s">
        <v>784</v>
      </c>
      <c r="W2480" s="2" t="s">
        <v>16682</v>
      </c>
      <c r="X2480" s="2" t="s">
        <v>83</v>
      </c>
      <c r="Y2480" s="2">
        <v>39.6</v>
      </c>
      <c r="Z2480" s="2">
        <v>0</v>
      </c>
      <c r="AA2480" s="2" t="s">
        <v>156</v>
      </c>
      <c r="AB2480" s="2" t="s">
        <v>16683</v>
      </c>
      <c r="AC2480" s="2">
        <v>-9.5588670650916896</v>
      </c>
      <c r="AD2480" s="2"/>
      <c r="AE2480" s="2">
        <v>0.255999863348777</v>
      </c>
      <c r="AF2480" s="2">
        <v>297.73896289567898</v>
      </c>
      <c r="AG2480" s="2">
        <v>3718.7176353364398</v>
      </c>
      <c r="AH2480" s="4">
        <v>8.0064955743471694E-2</v>
      </c>
      <c r="AI2480" s="4">
        <v>-3.6426852734590001</v>
      </c>
      <c r="AJ2480" s="4" t="s">
        <v>62</v>
      </c>
      <c r="AK2480" s="2">
        <v>0.380640280754593</v>
      </c>
      <c r="AL2480" s="2">
        <v>0.65913977412323299</v>
      </c>
      <c r="AM2480" s="2">
        <v>1786.4277669635701</v>
      </c>
      <c r="AN2480" s="2">
        <v>8.559877937157E-6</v>
      </c>
      <c r="AO2480" s="2">
        <v>8.559877937157E-6</v>
      </c>
      <c r="AP2480" s="2">
        <v>8.559877937157E-6</v>
      </c>
      <c r="AQ2480" s="2">
        <v>8.559877937157E-6</v>
      </c>
      <c r="AR2480" s="2">
        <v>5.9761709938859504E-3</v>
      </c>
      <c r="AS2480" s="2">
        <v>8.559877937157E-6</v>
      </c>
      <c r="AT2480" s="2">
        <v>8.559877937157E-6</v>
      </c>
      <c r="AU2480" s="2">
        <v>3.5064434837022298</v>
      </c>
      <c r="AV2480" s="2">
        <v>8.559877937157E-6</v>
      </c>
      <c r="AW2480" s="2">
        <v>22308.7993342954</v>
      </c>
      <c r="AX2480" s="2">
        <v>8.559877937157E-6</v>
      </c>
    </row>
    <row r="2481" spans="1:50" x14ac:dyDescent="0.25">
      <c r="A2481" s="2" t="s">
        <v>16684</v>
      </c>
      <c r="B2481" s="2">
        <v>183.10210856693899</v>
      </c>
      <c r="C2481" s="2">
        <v>5.3466166666666703</v>
      </c>
      <c r="D2481" s="2" t="s">
        <v>51</v>
      </c>
      <c r="E2481" s="2" t="s">
        <v>16685</v>
      </c>
      <c r="F2481" s="2">
        <v>60392</v>
      </c>
      <c r="G2481" s="3" t="str">
        <f>HYPERLINK("https://cloud.oebiotech.com/#/lm/network/60392", "https://cloud.oebiotech.com/#/lm/network/60392")</f>
        <v>https://cloud.oebiotech.com/#/lm/network/60392</v>
      </c>
      <c r="H2481" s="2" t="s">
        <v>16686</v>
      </c>
      <c r="I2481" s="2">
        <v>91746</v>
      </c>
      <c r="J2481" s="2"/>
      <c r="K2481" s="2">
        <v>10584182</v>
      </c>
      <c r="L2481" s="2"/>
      <c r="M2481" s="2"/>
      <c r="N2481" s="2"/>
      <c r="O2481" s="2">
        <v>172079</v>
      </c>
      <c r="P2481" s="2"/>
      <c r="Q2481" s="2"/>
      <c r="R2481" s="2"/>
      <c r="S2481" s="2" t="s">
        <v>16687</v>
      </c>
      <c r="T2481" s="2" t="s">
        <v>16688</v>
      </c>
      <c r="U2481" s="2" t="s">
        <v>103</v>
      </c>
      <c r="V2481" s="2" t="s">
        <v>377</v>
      </c>
      <c r="W2481" s="2" t="s">
        <v>378</v>
      </c>
      <c r="X2481" s="2" t="s">
        <v>83</v>
      </c>
      <c r="Y2481" s="2">
        <v>46.9</v>
      </c>
      <c r="Z2481" s="2">
        <v>0</v>
      </c>
      <c r="AA2481" s="2" t="s">
        <v>156</v>
      </c>
      <c r="AB2481" s="2" t="s">
        <v>6355</v>
      </c>
      <c r="AC2481" s="2">
        <v>2.6877187365656101</v>
      </c>
      <c r="AD2481" s="2"/>
      <c r="AE2481" s="2">
        <v>0.255817763438975</v>
      </c>
      <c r="AF2481" s="2">
        <v>7330.95392987786</v>
      </c>
      <c r="AG2481" s="2">
        <v>5314.9019964259896</v>
      </c>
      <c r="AH2481" s="5">
        <v>1.3793206224324699</v>
      </c>
      <c r="AI2481" s="5">
        <v>0.46395784962069597</v>
      </c>
      <c r="AJ2481" s="5" t="s">
        <v>139</v>
      </c>
      <c r="AK2481" s="2">
        <v>4.5156767263240499E-2</v>
      </c>
      <c r="AL2481" s="2">
        <v>0.30146105023562703</v>
      </c>
      <c r="AM2481" s="2">
        <v>5670.72412291407</v>
      </c>
      <c r="AN2481" s="2">
        <v>10561.23499449</v>
      </c>
      <c r="AO2481" s="2">
        <v>7170.5852565000696</v>
      </c>
      <c r="AP2481" s="2">
        <v>6076.5971967636897</v>
      </c>
      <c r="AQ2481" s="2">
        <v>6989.5354011453601</v>
      </c>
      <c r="AR2481" s="2">
        <v>7517.04660745397</v>
      </c>
      <c r="AS2481" s="2">
        <v>7594.4813345759203</v>
      </c>
      <c r="AT2481" s="2">
        <v>5603.3685474414897</v>
      </c>
      <c r="AU2481" s="2">
        <v>4484.3117048657195</v>
      </c>
      <c r="AV2481" s="2">
        <v>3815.0912659842302</v>
      </c>
      <c r="AW2481" s="2">
        <v>4971.4321698755102</v>
      </c>
      <c r="AX2481" s="2">
        <v>5420.7269558130802</v>
      </c>
    </row>
    <row r="2482" spans="1:50" x14ac:dyDescent="0.25">
      <c r="A2482" s="2" t="s">
        <v>16689</v>
      </c>
      <c r="B2482" s="2">
        <v>387.18620083229899</v>
      </c>
      <c r="C2482" s="2">
        <v>7.7876333333333303</v>
      </c>
      <c r="D2482" s="2" t="s">
        <v>51</v>
      </c>
      <c r="E2482" s="2" t="s">
        <v>16690</v>
      </c>
      <c r="F2482" s="2">
        <v>199511</v>
      </c>
      <c r="G2482" s="3" t="str">
        <f>HYPERLINK("https://cloud.oebiotech.com/#/lm/network/199511", "https://cloud.oebiotech.com/#/lm/network/199511")</f>
        <v>https://cloud.oebiotech.com/#/lm/network/199511</v>
      </c>
      <c r="H2482" s="2" t="s">
        <v>16691</v>
      </c>
      <c r="I2482" s="2"/>
      <c r="J2482" s="2"/>
      <c r="K2482" s="2">
        <v>49939</v>
      </c>
      <c r="L2482" s="2"/>
      <c r="M2482" s="2"/>
      <c r="N2482" s="2"/>
      <c r="O2482" s="2">
        <v>39422</v>
      </c>
      <c r="P2482" s="2"/>
      <c r="Q2482" s="2"/>
      <c r="R2482" s="2"/>
      <c r="S2482" s="2" t="s">
        <v>16692</v>
      </c>
      <c r="T2482" s="2" t="s">
        <v>16693</v>
      </c>
      <c r="U2482" s="2" t="s">
        <v>103</v>
      </c>
      <c r="V2482" s="2" t="s">
        <v>12842</v>
      </c>
      <c r="W2482" s="2" t="s">
        <v>12843</v>
      </c>
      <c r="X2482" s="2" t="s">
        <v>147</v>
      </c>
      <c r="Y2482" s="2">
        <v>37.1</v>
      </c>
      <c r="Z2482" s="2">
        <v>0</v>
      </c>
      <c r="AA2482" s="2" t="s">
        <v>478</v>
      </c>
      <c r="AB2482" s="2" t="s">
        <v>16694</v>
      </c>
      <c r="AC2482" s="2">
        <v>-4.7749352803318903</v>
      </c>
      <c r="AD2482" s="2"/>
      <c r="AE2482" s="2">
        <v>0.25536791744559501</v>
      </c>
      <c r="AF2482" s="2">
        <v>2934.23923110236</v>
      </c>
      <c r="AG2482" s="2">
        <v>6956.7011607492796</v>
      </c>
      <c r="AH2482" s="4">
        <v>0.42178601082618999</v>
      </c>
      <c r="AI2482" s="4">
        <v>-1.2454168481350001</v>
      </c>
      <c r="AJ2482" s="4" t="s">
        <v>62</v>
      </c>
      <c r="AK2482" s="2">
        <v>0.53313311377217298</v>
      </c>
      <c r="AL2482" s="2">
        <v>0.75995469302890495</v>
      </c>
      <c r="AM2482" s="2">
        <v>3104.8878436190198</v>
      </c>
      <c r="AN2482" s="2">
        <v>3367.8317177685299</v>
      </c>
      <c r="AO2482" s="2">
        <v>3524.5582496976599</v>
      </c>
      <c r="AP2482" s="2">
        <v>3170.31835034188</v>
      </c>
      <c r="AQ2482" s="2">
        <v>1250.11364842282</v>
      </c>
      <c r="AR2482" s="2">
        <v>3187.72557676425</v>
      </c>
      <c r="AS2482" s="2">
        <v>2085.1252684628698</v>
      </c>
      <c r="AT2482" s="2">
        <v>319.01849496105399</v>
      </c>
      <c r="AU2482" s="2">
        <v>1004.80054508286</v>
      </c>
      <c r="AV2482" s="2">
        <v>8.559877937157E-6</v>
      </c>
      <c r="AW2482" s="2">
        <v>38029.7724849605</v>
      </c>
      <c r="AX2482" s="2">
        <v>301.49016246849999</v>
      </c>
    </row>
    <row r="2483" spans="1:50" x14ac:dyDescent="0.25">
      <c r="A2483" s="2" t="s">
        <v>16695</v>
      </c>
      <c r="B2483" s="2">
        <v>345.228440062966</v>
      </c>
      <c r="C2483" s="2">
        <v>5.8082500000000001</v>
      </c>
      <c r="D2483" s="2" t="s">
        <v>51</v>
      </c>
      <c r="E2483" s="2" t="s">
        <v>16696</v>
      </c>
      <c r="F2483" s="2">
        <v>266762</v>
      </c>
      <c r="G2483" s="3" t="str">
        <f>HYPERLINK("https://cloud.oebiotech.com/#/lm/network/266762", "https://cloud.oebiotech.com/#/lm/network/266762")</f>
        <v>https://cloud.oebiotech.com/#/lm/network/266762</v>
      </c>
      <c r="H2483" s="2"/>
      <c r="I2483" s="2">
        <v>43927</v>
      </c>
      <c r="J2483" s="2"/>
      <c r="K2483" s="2">
        <v>11449446</v>
      </c>
      <c r="L2483" s="2"/>
      <c r="M2483" s="2"/>
      <c r="N2483" s="2"/>
      <c r="O2483" s="2"/>
      <c r="P2483" s="2"/>
      <c r="Q2483" s="2"/>
      <c r="R2483" s="2" t="s">
        <v>16697</v>
      </c>
      <c r="S2483" s="2" t="s">
        <v>16698</v>
      </c>
      <c r="T2483" s="2" t="s">
        <v>16699</v>
      </c>
      <c r="U2483" s="2" t="s">
        <v>56</v>
      </c>
      <c r="V2483" s="2" t="s">
        <v>145</v>
      </c>
      <c r="W2483" s="2" t="s">
        <v>231</v>
      </c>
      <c r="X2483" s="2" t="s">
        <v>147</v>
      </c>
      <c r="Y2483" s="2">
        <v>36.299999999999997</v>
      </c>
      <c r="Z2483" s="2">
        <v>0</v>
      </c>
      <c r="AA2483" s="2" t="s">
        <v>218</v>
      </c>
      <c r="AB2483" s="2" t="s">
        <v>16700</v>
      </c>
      <c r="AC2483" s="2">
        <v>0.591841091738042</v>
      </c>
      <c r="AD2483" s="2"/>
      <c r="AE2483" s="2">
        <v>0.25527800087779601</v>
      </c>
      <c r="AF2483" s="2">
        <v>2268.88075474071</v>
      </c>
      <c r="AG2483" s="2">
        <v>373.96785002618401</v>
      </c>
      <c r="AH2483" s="5">
        <v>6.0670476207563198</v>
      </c>
      <c r="AI2483" s="5">
        <v>2.6009946352474298</v>
      </c>
      <c r="AJ2483" s="5" t="s">
        <v>139</v>
      </c>
      <c r="AK2483" s="2">
        <v>2.87038715419984E-2</v>
      </c>
      <c r="AL2483" s="2">
        <v>0.25797836742952002</v>
      </c>
      <c r="AM2483" s="2">
        <v>846.25549656907901</v>
      </c>
      <c r="AN2483" s="2">
        <v>4294.44720442375</v>
      </c>
      <c r="AO2483" s="2">
        <v>1628.0469321701901</v>
      </c>
      <c r="AP2483" s="2">
        <v>408.34793517997201</v>
      </c>
      <c r="AQ2483" s="2">
        <v>4504.4396123104798</v>
      </c>
      <c r="AR2483" s="2">
        <v>1931.74734779081</v>
      </c>
      <c r="AS2483" s="2">
        <v>8.559877937157E-6</v>
      </c>
      <c r="AT2483" s="2">
        <v>8.559877937157E-6</v>
      </c>
      <c r="AU2483" s="2">
        <v>516.70607526668095</v>
      </c>
      <c r="AV2483" s="2">
        <v>8.559877937157E-6</v>
      </c>
      <c r="AW2483" s="2">
        <v>1360.6828997899099</v>
      </c>
      <c r="AX2483" s="2">
        <v>366.41809942087798</v>
      </c>
    </row>
    <row r="2484" spans="1:50" x14ac:dyDescent="0.25">
      <c r="A2484" s="2" t="s">
        <v>16701</v>
      </c>
      <c r="B2484" s="2">
        <v>213.11270795816901</v>
      </c>
      <c r="C2484" s="2">
        <v>6.23515</v>
      </c>
      <c r="D2484" s="2" t="s">
        <v>51</v>
      </c>
      <c r="E2484" s="2" t="s">
        <v>16702</v>
      </c>
      <c r="F2484" s="2">
        <v>513468</v>
      </c>
      <c r="G2484" s="3" t="str">
        <f>HYPERLINK("https://cloud.oebiotech.com/#/lm/network/513468", "https://cloud.oebiotech.com/#/lm/network/513468")</f>
        <v>https://cloud.oebiotech.com/#/lm/network/513468</v>
      </c>
      <c r="H2484" s="2"/>
      <c r="I2484" s="2">
        <v>96295</v>
      </c>
      <c r="J2484" s="2"/>
      <c r="K2484" s="2">
        <v>220370</v>
      </c>
      <c r="L2484" s="2"/>
      <c r="M2484" s="2"/>
      <c r="N2484" s="2"/>
      <c r="O2484" s="2"/>
      <c r="P2484" s="2"/>
      <c r="Q2484" s="2"/>
      <c r="R2484" s="2"/>
      <c r="S2484" s="2" t="s">
        <v>16703</v>
      </c>
      <c r="T2484" s="2" t="s">
        <v>16704</v>
      </c>
      <c r="U2484" s="2" t="s">
        <v>103</v>
      </c>
      <c r="V2484" s="2" t="s">
        <v>104</v>
      </c>
      <c r="W2484" s="2" t="s">
        <v>3415</v>
      </c>
      <c r="X2484" s="2" t="s">
        <v>69</v>
      </c>
      <c r="Y2484" s="2">
        <v>56.7</v>
      </c>
      <c r="Z2484" s="2">
        <v>61.4</v>
      </c>
      <c r="AA2484" s="2" t="s">
        <v>163</v>
      </c>
      <c r="AB2484" s="2" t="s">
        <v>8309</v>
      </c>
      <c r="AC2484" s="2">
        <v>-2.4503273084136001</v>
      </c>
      <c r="AD2484" s="2"/>
      <c r="AE2484" s="2">
        <v>0.25513694637426398</v>
      </c>
      <c r="AF2484" s="2">
        <v>4448.5117483098002</v>
      </c>
      <c r="AG2484" s="2">
        <v>2860.1565940654</v>
      </c>
      <c r="AH2484" s="5">
        <v>1.5553385285057899</v>
      </c>
      <c r="AI2484" s="5">
        <v>0.63722862552745896</v>
      </c>
      <c r="AJ2484" s="5" t="s">
        <v>139</v>
      </c>
      <c r="AK2484" s="2">
        <v>0.163752967706397</v>
      </c>
      <c r="AL2484" s="2">
        <v>0.484889968085291</v>
      </c>
      <c r="AM2484" s="2">
        <v>7731.4331036047597</v>
      </c>
      <c r="AN2484" s="2">
        <v>6426.6376057254101</v>
      </c>
      <c r="AO2484" s="2">
        <v>2888.8764030949101</v>
      </c>
      <c r="AP2484" s="2">
        <v>2676.3889386491101</v>
      </c>
      <c r="AQ2484" s="2">
        <v>3419.8861992812899</v>
      </c>
      <c r="AR2484" s="2">
        <v>3547.8482395033402</v>
      </c>
      <c r="AS2484" s="2">
        <v>3231.6367876129402</v>
      </c>
      <c r="AT2484" s="2">
        <v>1557.85205053759</v>
      </c>
      <c r="AU2484" s="2">
        <v>5660.3468652291303</v>
      </c>
      <c r="AV2484" s="2">
        <v>1855.68458524025</v>
      </c>
      <c r="AW2484" s="2">
        <v>2030.88652213975</v>
      </c>
      <c r="AX2484" s="2">
        <v>2824.53275363272</v>
      </c>
    </row>
    <row r="2485" spans="1:50" x14ac:dyDescent="0.25">
      <c r="A2485" s="2" t="s">
        <v>16705</v>
      </c>
      <c r="B2485" s="2">
        <v>176.06628287697001</v>
      </c>
      <c r="C2485" s="2">
        <v>0.82335000000000003</v>
      </c>
      <c r="D2485" s="2" t="s">
        <v>51</v>
      </c>
      <c r="E2485" s="2" t="s">
        <v>16706</v>
      </c>
      <c r="F2485" s="2">
        <v>48072</v>
      </c>
      <c r="G2485" s="3" t="str">
        <f>HYPERLINK("https://cloud.oebiotech.com/#/lm/network/48072", "https://cloud.oebiotech.com/#/lm/network/48072")</f>
        <v>https://cloud.oebiotech.com/#/lm/network/48072</v>
      </c>
      <c r="H2485" s="2" t="s">
        <v>16707</v>
      </c>
      <c r="I2485" s="2">
        <v>64749</v>
      </c>
      <c r="J2485" s="2"/>
      <c r="K2485" s="2">
        <v>439216</v>
      </c>
      <c r="L2485" s="2" t="s">
        <v>16708</v>
      </c>
      <c r="M2485" s="2" t="s">
        <v>3456</v>
      </c>
      <c r="N2485" s="2" t="s">
        <v>3457</v>
      </c>
      <c r="O2485" s="2">
        <v>17025</v>
      </c>
      <c r="P2485" s="2"/>
      <c r="Q2485" s="2"/>
      <c r="R2485" s="2" t="s">
        <v>16709</v>
      </c>
      <c r="S2485" s="2" t="s">
        <v>16710</v>
      </c>
      <c r="T2485" s="2" t="s">
        <v>16711</v>
      </c>
      <c r="U2485" s="2" t="s">
        <v>103</v>
      </c>
      <c r="V2485" s="2" t="s">
        <v>104</v>
      </c>
      <c r="W2485" s="2" t="s">
        <v>105</v>
      </c>
      <c r="X2485" s="2" t="s">
        <v>83</v>
      </c>
      <c r="Y2485" s="2">
        <v>41.2</v>
      </c>
      <c r="Z2485" s="2">
        <v>0</v>
      </c>
      <c r="AA2485" s="2" t="s">
        <v>512</v>
      </c>
      <c r="AB2485" s="2" t="s">
        <v>16712</v>
      </c>
      <c r="AC2485" s="2">
        <v>-1.89412180164991</v>
      </c>
      <c r="AD2485" s="2"/>
      <c r="AE2485" s="2">
        <v>0.25492991745697502</v>
      </c>
      <c r="AF2485" s="2">
        <v>18377.008377109301</v>
      </c>
      <c r="AG2485" s="2">
        <v>21709.124571897501</v>
      </c>
      <c r="AH2485" s="4">
        <v>0.84651079854681799</v>
      </c>
      <c r="AI2485" s="4">
        <v>-0.240399622855546</v>
      </c>
      <c r="AJ2485" s="4" t="s">
        <v>62</v>
      </c>
      <c r="AK2485" s="2">
        <v>0.39435702709056297</v>
      </c>
      <c r="AL2485" s="2">
        <v>0.666522226182239</v>
      </c>
      <c r="AM2485" s="2">
        <v>15934.2497875238</v>
      </c>
      <c r="AN2485" s="2">
        <v>21594.5497768645</v>
      </c>
      <c r="AO2485" s="2">
        <v>21585.428801335798</v>
      </c>
      <c r="AP2485" s="2">
        <v>21201.944268131101</v>
      </c>
      <c r="AQ2485" s="2">
        <v>16935.257229762301</v>
      </c>
      <c r="AR2485" s="2">
        <v>13010.6203990382</v>
      </c>
      <c r="AS2485" s="2">
        <v>16210.316193823701</v>
      </c>
      <c r="AT2485" s="2">
        <v>14820.1151280661</v>
      </c>
      <c r="AU2485" s="2">
        <v>20055.554851523899</v>
      </c>
      <c r="AV2485" s="2">
        <v>17108.583304403801</v>
      </c>
      <c r="AW2485" s="2">
        <v>24719.012234506201</v>
      </c>
      <c r="AX2485" s="2">
        <v>37341.1657190611</v>
      </c>
    </row>
    <row r="2486" spans="1:50" x14ac:dyDescent="0.25">
      <c r="A2486" s="2" t="s">
        <v>16713</v>
      </c>
      <c r="B2486" s="2">
        <v>672.313665386102</v>
      </c>
      <c r="C2486" s="2">
        <v>8.6649499999999993</v>
      </c>
      <c r="D2486" s="2" t="s">
        <v>51</v>
      </c>
      <c r="E2486" s="2" t="s">
        <v>16714</v>
      </c>
      <c r="F2486" s="2">
        <v>27964</v>
      </c>
      <c r="G2486" s="3" t="str">
        <f>HYPERLINK("https://cloud.oebiotech.com/#/lm/network/27964", "https://cloud.oebiotech.com/#/lm/network/27964")</f>
        <v>https://cloud.oebiotech.com/#/lm/network/27964</v>
      </c>
      <c r="H2486" s="2"/>
      <c r="I2486" s="2"/>
      <c r="J2486" s="2" t="s">
        <v>16715</v>
      </c>
      <c r="K2486" s="2">
        <v>134812411</v>
      </c>
      <c r="L2486" s="2"/>
      <c r="M2486" s="2"/>
      <c r="N2486" s="2"/>
      <c r="O2486" s="2"/>
      <c r="P2486" s="2"/>
      <c r="Q2486" s="2"/>
      <c r="R2486" s="2"/>
      <c r="S2486" s="2" t="s">
        <v>16716</v>
      </c>
      <c r="T2486" s="2" t="s">
        <v>16717</v>
      </c>
      <c r="U2486" s="2" t="s">
        <v>56</v>
      </c>
      <c r="V2486" s="2" t="s">
        <v>57</v>
      </c>
      <c r="W2486" s="2" t="s">
        <v>82</v>
      </c>
      <c r="X2486" s="2" t="s">
        <v>147</v>
      </c>
      <c r="Y2486" s="2">
        <v>37.700000000000003</v>
      </c>
      <c r="Z2486" s="2">
        <v>1.45</v>
      </c>
      <c r="AA2486" s="2" t="s">
        <v>379</v>
      </c>
      <c r="AB2486" s="2" t="s">
        <v>16718</v>
      </c>
      <c r="AC2486" s="2">
        <v>-2.5615933965458</v>
      </c>
      <c r="AD2486" s="2"/>
      <c r="AE2486" s="2">
        <v>0.25490160179004101</v>
      </c>
      <c r="AF2486" s="2">
        <v>13182.580966899101</v>
      </c>
      <c r="AG2486" s="2">
        <v>10552.9176610705</v>
      </c>
      <c r="AH2486" s="5">
        <v>1.2491882709868301</v>
      </c>
      <c r="AI2486" s="5">
        <v>0.32099092862692302</v>
      </c>
      <c r="AJ2486" s="5" t="s">
        <v>139</v>
      </c>
      <c r="AK2486" s="2">
        <v>0.19930420771017901</v>
      </c>
      <c r="AL2486" s="2">
        <v>0.52310746294223298</v>
      </c>
      <c r="AM2486" s="2">
        <v>14096.855543613099</v>
      </c>
      <c r="AN2486" s="2">
        <v>15968.7448553268</v>
      </c>
      <c r="AO2486" s="2">
        <v>9426.0182221881496</v>
      </c>
      <c r="AP2486" s="2">
        <v>9886.5679005726706</v>
      </c>
      <c r="AQ2486" s="2">
        <v>12534.4617055615</v>
      </c>
      <c r="AR2486" s="2">
        <v>17182.8375741321</v>
      </c>
      <c r="AS2486" s="2">
        <v>13815.0101325285</v>
      </c>
      <c r="AT2486" s="2">
        <v>6369.7593104832004</v>
      </c>
      <c r="AU2486" s="2">
        <v>14941.460884075001</v>
      </c>
      <c r="AV2486" s="2">
        <v>8481.5148911149408</v>
      </c>
      <c r="AW2486" s="2">
        <v>7964.4642299413699</v>
      </c>
      <c r="AX2486" s="2">
        <v>11745.2965182801</v>
      </c>
    </row>
    <row r="2487" spans="1:50" x14ac:dyDescent="0.25">
      <c r="A2487" s="2" t="s">
        <v>16719</v>
      </c>
      <c r="B2487" s="2">
        <v>492.29487064283802</v>
      </c>
      <c r="C2487" s="2">
        <v>8.5796666666666699</v>
      </c>
      <c r="D2487" s="2" t="s">
        <v>51</v>
      </c>
      <c r="E2487" s="2" t="s">
        <v>16720</v>
      </c>
      <c r="F2487" s="2">
        <v>59784</v>
      </c>
      <c r="G2487" s="3" t="str">
        <f>HYPERLINK("https://cloud.oebiotech.com/#/lm/network/59784", "https://cloud.oebiotech.com/#/lm/network/59784")</f>
        <v>https://cloud.oebiotech.com/#/lm/network/59784</v>
      </c>
      <c r="H2487" s="2" t="s">
        <v>16721</v>
      </c>
      <c r="I2487" s="2">
        <v>91161</v>
      </c>
      <c r="J2487" s="2"/>
      <c r="K2487" s="2">
        <v>131751894</v>
      </c>
      <c r="L2487" s="2"/>
      <c r="M2487" s="2"/>
      <c r="N2487" s="2"/>
      <c r="O2487" s="2"/>
      <c r="P2487" s="2"/>
      <c r="Q2487" s="2"/>
      <c r="R2487" s="2" t="s">
        <v>16722</v>
      </c>
      <c r="S2487" s="2" t="s">
        <v>16723</v>
      </c>
      <c r="T2487" s="2" t="s">
        <v>16724</v>
      </c>
      <c r="U2487" s="2" t="s">
        <v>56</v>
      </c>
      <c r="V2487" s="2" t="s">
        <v>177</v>
      </c>
      <c r="W2487" s="2" t="s">
        <v>3270</v>
      </c>
      <c r="X2487" s="2" t="s">
        <v>147</v>
      </c>
      <c r="Y2487" s="2">
        <v>38.700000000000003</v>
      </c>
      <c r="Z2487" s="2">
        <v>0</v>
      </c>
      <c r="AA2487" s="2" t="s">
        <v>512</v>
      </c>
      <c r="AB2487" s="2" t="s">
        <v>16725</v>
      </c>
      <c r="AC2487" s="2">
        <v>-1.4937800424032699</v>
      </c>
      <c r="AD2487" s="2"/>
      <c r="AE2487" s="2">
        <v>0.25483551820108502</v>
      </c>
      <c r="AF2487" s="2">
        <v>5882.8159555020902</v>
      </c>
      <c r="AG2487" s="2">
        <v>8390.8571543739999</v>
      </c>
      <c r="AH2487" s="4">
        <v>0.70109833206199801</v>
      </c>
      <c r="AI2487" s="4">
        <v>-0.51231129226447603</v>
      </c>
      <c r="AJ2487" s="4" t="s">
        <v>62</v>
      </c>
      <c r="AK2487" s="2">
        <v>2.9892537158562701E-2</v>
      </c>
      <c r="AL2487" s="2">
        <v>0.25908320162100301</v>
      </c>
      <c r="AM2487" s="2">
        <v>6391.6910799802999</v>
      </c>
      <c r="AN2487" s="2">
        <v>7448.8624753043396</v>
      </c>
      <c r="AO2487" s="2">
        <v>5542.7350766885202</v>
      </c>
      <c r="AP2487" s="2">
        <v>5985.1135653464098</v>
      </c>
      <c r="AQ2487" s="2">
        <v>5459.9784631676102</v>
      </c>
      <c r="AR2487" s="2">
        <v>4468.5150725253898</v>
      </c>
      <c r="AS2487" s="2">
        <v>5658.6470144079503</v>
      </c>
      <c r="AT2487" s="2">
        <v>10052.467157696699</v>
      </c>
      <c r="AU2487" s="2">
        <v>9490.5680612594297</v>
      </c>
      <c r="AV2487" s="2">
        <v>5688.3834030730504</v>
      </c>
      <c r="AW2487" s="2">
        <v>8687.6716184494908</v>
      </c>
      <c r="AX2487" s="2">
        <v>10767.405671357399</v>
      </c>
    </row>
    <row r="2488" spans="1:50" x14ac:dyDescent="0.25">
      <c r="A2488" s="2" t="s">
        <v>16726</v>
      </c>
      <c r="B2488" s="2">
        <v>130.08668055885701</v>
      </c>
      <c r="C2488" s="2">
        <v>0.59993333333333299</v>
      </c>
      <c r="D2488" s="2" t="s">
        <v>51</v>
      </c>
      <c r="E2488" s="2" t="s">
        <v>16727</v>
      </c>
      <c r="F2488" s="2">
        <v>83477</v>
      </c>
      <c r="G2488" s="3" t="str">
        <f>HYPERLINK("https://cloud.oebiotech.com/#/lm/network/83477", "https://cloud.oebiotech.com/#/lm/network/83477")</f>
        <v>https://cloud.oebiotech.com/#/lm/network/83477</v>
      </c>
      <c r="H2488" s="2" t="s">
        <v>16728</v>
      </c>
      <c r="I2488" s="2">
        <v>44142</v>
      </c>
      <c r="J2488" s="2"/>
      <c r="K2488" s="2">
        <v>2901</v>
      </c>
      <c r="L2488" s="2" t="s">
        <v>16729</v>
      </c>
      <c r="M2488" s="2"/>
      <c r="N2488" s="2"/>
      <c r="O2488" s="2">
        <v>40547</v>
      </c>
      <c r="P2488" s="2"/>
      <c r="Q2488" s="2"/>
      <c r="R2488" s="2" t="s">
        <v>16730</v>
      </c>
      <c r="S2488" s="2" t="s">
        <v>16731</v>
      </c>
      <c r="T2488" s="2" t="s">
        <v>16732</v>
      </c>
      <c r="U2488" s="2" t="s">
        <v>103</v>
      </c>
      <c r="V2488" s="2" t="s">
        <v>104</v>
      </c>
      <c r="W2488" s="2" t="s">
        <v>105</v>
      </c>
      <c r="X2488" s="2" t="s">
        <v>69</v>
      </c>
      <c r="Y2488" s="2">
        <v>56.2</v>
      </c>
      <c r="Z2488" s="2">
        <v>79.900000000000006</v>
      </c>
      <c r="AA2488" s="2" t="s">
        <v>259</v>
      </c>
      <c r="AB2488" s="2" t="s">
        <v>16733</v>
      </c>
      <c r="AC2488" s="2">
        <v>3.2966651228789901</v>
      </c>
      <c r="AD2488" s="2"/>
      <c r="AE2488" s="2">
        <v>0.25481131437738103</v>
      </c>
      <c r="AF2488" s="2">
        <v>120041.88214766901</v>
      </c>
      <c r="AG2488" s="2">
        <v>112734.355999497</v>
      </c>
      <c r="AH2488" s="5">
        <v>1.06482075569053</v>
      </c>
      <c r="AI2488" s="5">
        <v>9.0610597925131306E-2</v>
      </c>
      <c r="AJ2488" s="5" t="s">
        <v>139</v>
      </c>
      <c r="AK2488" s="2">
        <v>0.74496399919530698</v>
      </c>
      <c r="AL2488" s="2">
        <v>0.88315720112271101</v>
      </c>
      <c r="AM2488" s="2">
        <v>175460.47928527201</v>
      </c>
      <c r="AN2488" s="2">
        <v>108507.74764556999</v>
      </c>
      <c r="AO2488" s="2">
        <v>88891.566004316803</v>
      </c>
      <c r="AP2488" s="2">
        <v>114120.66919081401</v>
      </c>
      <c r="AQ2488" s="2">
        <v>120647.061441728</v>
      </c>
      <c r="AR2488" s="2">
        <v>112623.76931831401</v>
      </c>
      <c r="AS2488" s="2">
        <v>48141.130502739099</v>
      </c>
      <c r="AT2488" s="2">
        <v>77226.791087127902</v>
      </c>
      <c r="AU2488" s="2">
        <v>116333.39432338699</v>
      </c>
      <c r="AV2488" s="2">
        <v>175341.71724313899</v>
      </c>
      <c r="AW2488" s="2">
        <v>121984.938815503</v>
      </c>
      <c r="AX2488" s="2">
        <v>137378.16402508601</v>
      </c>
    </row>
    <row r="2489" spans="1:50" x14ac:dyDescent="0.25">
      <c r="A2489" s="2" t="s">
        <v>16734</v>
      </c>
      <c r="B2489" s="2">
        <v>291.19598832135398</v>
      </c>
      <c r="C2489" s="2">
        <v>9.1141833333333295</v>
      </c>
      <c r="D2489" s="2" t="s">
        <v>51</v>
      </c>
      <c r="E2489" s="2" t="s">
        <v>16735</v>
      </c>
      <c r="F2489" s="2">
        <v>57494</v>
      </c>
      <c r="G2489" s="3" t="str">
        <f>HYPERLINK("https://cloud.oebiotech.com/#/lm/network/57494", "https://cloud.oebiotech.com/#/lm/network/57494")</f>
        <v>https://cloud.oebiotech.com/#/lm/network/57494</v>
      </c>
      <c r="H2489" s="2" t="s">
        <v>16736</v>
      </c>
      <c r="I2489" s="2">
        <v>89110</v>
      </c>
      <c r="J2489" s="2"/>
      <c r="K2489" s="2">
        <v>9861431</v>
      </c>
      <c r="L2489" s="2"/>
      <c r="M2489" s="2"/>
      <c r="N2489" s="2"/>
      <c r="O2489" s="2">
        <v>168782</v>
      </c>
      <c r="P2489" s="2"/>
      <c r="Q2489" s="2"/>
      <c r="R2489" s="2"/>
      <c r="S2489" s="2" t="s">
        <v>16737</v>
      </c>
      <c r="T2489" s="2" t="s">
        <v>16738</v>
      </c>
      <c r="U2489" s="2" t="s">
        <v>56</v>
      </c>
      <c r="V2489" s="2" t="s">
        <v>145</v>
      </c>
      <c r="W2489" s="2" t="s">
        <v>203</v>
      </c>
      <c r="X2489" s="2" t="s">
        <v>83</v>
      </c>
      <c r="Y2489" s="2">
        <v>63.1</v>
      </c>
      <c r="Z2489" s="2">
        <v>26.4</v>
      </c>
      <c r="AA2489" s="2" t="s">
        <v>786</v>
      </c>
      <c r="AB2489" s="2" t="s">
        <v>12571</v>
      </c>
      <c r="AC2489" s="2">
        <v>1.6781221144255101</v>
      </c>
      <c r="AD2489" s="2"/>
      <c r="AE2489" s="2">
        <v>0.25432640788163202</v>
      </c>
      <c r="AF2489" s="2">
        <v>5424.8980441826998</v>
      </c>
      <c r="AG2489" s="2">
        <v>3503.8617373370698</v>
      </c>
      <c r="AH2489" s="5">
        <v>1.5482625887817201</v>
      </c>
      <c r="AI2489" s="5">
        <v>0.63065017652475597</v>
      </c>
      <c r="AJ2489" s="5" t="s">
        <v>139</v>
      </c>
      <c r="AK2489" s="2">
        <v>0.21734066280265599</v>
      </c>
      <c r="AL2489" s="2">
        <v>0.54262048572723698</v>
      </c>
      <c r="AM2489" s="2">
        <v>5171.3612917678302</v>
      </c>
      <c r="AN2489" s="2">
        <v>10458.1842273495</v>
      </c>
      <c r="AO2489" s="2">
        <v>4867.1298349907402</v>
      </c>
      <c r="AP2489" s="2">
        <v>2876.8263815567302</v>
      </c>
      <c r="AQ2489" s="2">
        <v>4323.1374326139803</v>
      </c>
      <c r="AR2489" s="2">
        <v>4852.7490968174197</v>
      </c>
      <c r="AS2489" s="2">
        <v>2403.0267909887498</v>
      </c>
      <c r="AT2489" s="2">
        <v>2181.3002624076898</v>
      </c>
      <c r="AU2489" s="2">
        <v>8434.5324618647301</v>
      </c>
      <c r="AV2489" s="2">
        <v>2139.2009960703099</v>
      </c>
      <c r="AW2489" s="2">
        <v>2523.2253283576802</v>
      </c>
      <c r="AX2489" s="2">
        <v>3341.8845843332701</v>
      </c>
    </row>
    <row r="2490" spans="1:50" x14ac:dyDescent="0.25">
      <c r="A2490" s="2" t="s">
        <v>16739</v>
      </c>
      <c r="B2490" s="2">
        <v>664.29536461057603</v>
      </c>
      <c r="C2490" s="2">
        <v>4.4255333333333304</v>
      </c>
      <c r="D2490" s="2" t="s">
        <v>51</v>
      </c>
      <c r="E2490" s="2" t="s">
        <v>16740</v>
      </c>
      <c r="F2490" s="2">
        <v>53106</v>
      </c>
      <c r="G2490" s="3" t="str">
        <f>HYPERLINK("https://cloud.oebiotech.com/#/lm/network/53106", "https://cloud.oebiotech.com/#/lm/network/53106")</f>
        <v>https://cloud.oebiotech.com/#/lm/network/53106</v>
      </c>
      <c r="H2490" s="2" t="s">
        <v>16741</v>
      </c>
      <c r="I2490" s="2"/>
      <c r="J2490" s="2"/>
      <c r="K2490" s="2">
        <v>5281099</v>
      </c>
      <c r="L2490" s="2" t="s">
        <v>16742</v>
      </c>
      <c r="M2490" s="2"/>
      <c r="N2490" s="2"/>
      <c r="O2490" s="2">
        <v>7488</v>
      </c>
      <c r="P2490" s="2"/>
      <c r="Q2490" s="2"/>
      <c r="R2490" s="2" t="s">
        <v>16743</v>
      </c>
      <c r="S2490" s="2" t="s">
        <v>16744</v>
      </c>
      <c r="T2490" s="2" t="s">
        <v>16745</v>
      </c>
      <c r="U2490" s="2" t="s">
        <v>331</v>
      </c>
      <c r="V2490" s="2" t="s">
        <v>332</v>
      </c>
      <c r="W2490" s="2" t="s">
        <v>333</v>
      </c>
      <c r="X2490" s="2" t="s">
        <v>147</v>
      </c>
      <c r="Y2490" s="2">
        <v>37.5</v>
      </c>
      <c r="Z2490" s="2">
        <v>0</v>
      </c>
      <c r="AA2490" s="2" t="s">
        <v>163</v>
      </c>
      <c r="AB2490" s="2" t="s">
        <v>16746</v>
      </c>
      <c r="AC2490" s="2">
        <v>-3.15573250297117</v>
      </c>
      <c r="AD2490" s="2"/>
      <c r="AE2490" s="2">
        <v>0.25422366264239199</v>
      </c>
      <c r="AF2490" s="2">
        <v>730.10697371005199</v>
      </c>
      <c r="AG2490" s="2">
        <v>3014.9281669807301</v>
      </c>
      <c r="AH2490" s="4">
        <v>0.24216396984383501</v>
      </c>
      <c r="AI2490" s="4">
        <v>-2.0459438640184899</v>
      </c>
      <c r="AJ2490" s="4" t="s">
        <v>62</v>
      </c>
      <c r="AK2490" s="2">
        <v>0.175703227279945</v>
      </c>
      <c r="AL2490" s="2">
        <v>0.49660090720040001</v>
      </c>
      <c r="AM2490" s="2">
        <v>1436.4242804044</v>
      </c>
      <c r="AN2490" s="2">
        <v>8.559877937157E-6</v>
      </c>
      <c r="AO2490" s="2">
        <v>8.559877937157E-6</v>
      </c>
      <c r="AP2490" s="2">
        <v>2944.2175276163998</v>
      </c>
      <c r="AQ2490" s="2">
        <v>8.559877937157E-6</v>
      </c>
      <c r="AR2490" s="2">
        <v>8.559877937157E-6</v>
      </c>
      <c r="AS2490" s="2">
        <v>8.559877937157E-6</v>
      </c>
      <c r="AT2490" s="2">
        <v>8.559877937157E-6</v>
      </c>
      <c r="AU2490" s="2">
        <v>3246.1465366081002</v>
      </c>
      <c r="AV2490" s="2">
        <v>540.726777294307</v>
      </c>
      <c r="AW2490" s="2">
        <v>9105.0963723561308</v>
      </c>
      <c r="AX2490" s="2">
        <v>5197.5992985061102</v>
      </c>
    </row>
    <row r="2491" spans="1:50" x14ac:dyDescent="0.25">
      <c r="A2491" s="2" t="s">
        <v>16747</v>
      </c>
      <c r="B2491" s="2">
        <v>309.165003767239</v>
      </c>
      <c r="C2491" s="2">
        <v>12.490833333333301</v>
      </c>
      <c r="D2491" s="2" t="s">
        <v>51</v>
      </c>
      <c r="E2491" s="2" t="s">
        <v>16748</v>
      </c>
      <c r="F2491" s="2">
        <v>197586</v>
      </c>
      <c r="G2491" s="3" t="str">
        <f>HYPERLINK("https://cloud.oebiotech.com/#/lm/network/197586", "https://cloud.oebiotech.com/#/lm/network/197586")</f>
        <v>https://cloud.oebiotech.com/#/lm/network/197586</v>
      </c>
      <c r="H2491" s="2" t="s">
        <v>16749</v>
      </c>
      <c r="I2491" s="2"/>
      <c r="J2491" s="2"/>
      <c r="K2491" s="2"/>
      <c r="L2491" s="2"/>
      <c r="M2491" s="2"/>
      <c r="N2491" s="2"/>
      <c r="O2491" s="2"/>
      <c r="P2491" s="2"/>
      <c r="Q2491" s="2"/>
      <c r="R2491" s="2"/>
      <c r="S2491" s="2" t="s">
        <v>16750</v>
      </c>
      <c r="T2491" s="2" t="s">
        <v>16751</v>
      </c>
      <c r="U2491" s="2" t="s">
        <v>56</v>
      </c>
      <c r="V2491" s="2" t="s">
        <v>145</v>
      </c>
      <c r="W2491" s="2" t="s">
        <v>1188</v>
      </c>
      <c r="X2491" s="2" t="s">
        <v>147</v>
      </c>
      <c r="Y2491" s="2">
        <v>36.700000000000003</v>
      </c>
      <c r="Z2491" s="2">
        <v>0</v>
      </c>
      <c r="AA2491" s="2" t="s">
        <v>512</v>
      </c>
      <c r="AB2491" s="2" t="s">
        <v>16752</v>
      </c>
      <c r="AC2491" s="2">
        <v>-2.1425963994051598</v>
      </c>
      <c r="AD2491" s="2"/>
      <c r="AE2491" s="2">
        <v>0.25406690115213998</v>
      </c>
      <c r="AF2491" s="2">
        <v>30926.259349656801</v>
      </c>
      <c r="AG2491" s="2">
        <v>27828.399200525801</v>
      </c>
      <c r="AH2491" s="5">
        <v>1.11132009882453</v>
      </c>
      <c r="AI2491" s="5">
        <v>0.152274422912795</v>
      </c>
      <c r="AJ2491" s="5" t="s">
        <v>139</v>
      </c>
      <c r="AK2491" s="2">
        <v>0.65020132698145106</v>
      </c>
      <c r="AL2491" s="2">
        <v>0.83021999206264596</v>
      </c>
      <c r="AM2491" s="2">
        <v>50232.890143263299</v>
      </c>
      <c r="AN2491" s="2">
        <v>40360.068654730501</v>
      </c>
      <c r="AO2491" s="2">
        <v>23916.396269745099</v>
      </c>
      <c r="AP2491" s="2">
        <v>25822.546242759799</v>
      </c>
      <c r="AQ2491" s="2">
        <v>19196.671327477201</v>
      </c>
      <c r="AR2491" s="2">
        <v>26028.983459964998</v>
      </c>
      <c r="AS2491" s="2">
        <v>18182.290030895801</v>
      </c>
      <c r="AT2491" s="2">
        <v>12799.824256448701</v>
      </c>
      <c r="AU2491" s="2">
        <v>39655.672641947902</v>
      </c>
      <c r="AV2491" s="2">
        <v>29001.6181442407</v>
      </c>
      <c r="AW2491" s="2">
        <v>40403.259885154301</v>
      </c>
      <c r="AX2491" s="2">
        <v>26927.730244467399</v>
      </c>
    </row>
    <row r="2492" spans="1:50" x14ac:dyDescent="0.25">
      <c r="A2492" s="2" t="s">
        <v>16753</v>
      </c>
      <c r="B2492" s="2">
        <v>180.99949200336101</v>
      </c>
      <c r="C2492" s="2">
        <v>0.90529999999999999</v>
      </c>
      <c r="D2492" s="2" t="s">
        <v>51</v>
      </c>
      <c r="E2492" s="2" t="s">
        <v>16754</v>
      </c>
      <c r="F2492" s="2">
        <v>57017</v>
      </c>
      <c r="G2492" s="3" t="str">
        <f>HYPERLINK("https://cloud.oebiotech.com/#/lm/network/57017", "https://cloud.oebiotech.com/#/lm/network/57017")</f>
        <v>https://cloud.oebiotech.com/#/lm/network/57017</v>
      </c>
      <c r="H2492" s="2" t="s">
        <v>16755</v>
      </c>
      <c r="I2492" s="2">
        <v>88672</v>
      </c>
      <c r="J2492" s="2"/>
      <c r="K2492" s="2">
        <v>20216915</v>
      </c>
      <c r="L2492" s="2"/>
      <c r="M2492" s="2"/>
      <c r="N2492" s="2"/>
      <c r="O2492" s="2"/>
      <c r="P2492" s="2"/>
      <c r="Q2492" s="2"/>
      <c r="R2492" s="2" t="s">
        <v>16756</v>
      </c>
      <c r="S2492" s="2" t="s">
        <v>16757</v>
      </c>
      <c r="T2492" s="2" t="s">
        <v>16758</v>
      </c>
      <c r="U2492" s="2" t="s">
        <v>103</v>
      </c>
      <c r="V2492" s="2" t="s">
        <v>16759</v>
      </c>
      <c r="W2492" s="2" t="s">
        <v>240</v>
      </c>
      <c r="X2492" s="2" t="s">
        <v>147</v>
      </c>
      <c r="Y2492" s="2">
        <v>37.5</v>
      </c>
      <c r="Z2492" s="2">
        <v>3.27</v>
      </c>
      <c r="AA2492" s="2" t="s">
        <v>218</v>
      </c>
      <c r="AB2492" s="2" t="s">
        <v>16760</v>
      </c>
      <c r="AC2492" s="2">
        <v>-2.7039579338300199</v>
      </c>
      <c r="AD2492" s="2"/>
      <c r="AE2492" s="2">
        <v>0.25394773584941099</v>
      </c>
      <c r="AF2492" s="2">
        <v>20239.4688603586</v>
      </c>
      <c r="AG2492" s="2">
        <v>17629.385962612901</v>
      </c>
      <c r="AH2492" s="5">
        <v>1.1480529669769</v>
      </c>
      <c r="AI2492" s="5">
        <v>0.19918920423669401</v>
      </c>
      <c r="AJ2492" s="5" t="s">
        <v>139</v>
      </c>
      <c r="AK2492" s="2">
        <v>0.62600702299435895</v>
      </c>
      <c r="AL2492" s="2">
        <v>0.81628190663938605</v>
      </c>
      <c r="AM2492" s="2">
        <v>30685.2570369391</v>
      </c>
      <c r="AN2492" s="2">
        <v>19042.914696737502</v>
      </c>
      <c r="AO2492" s="2">
        <v>15188.0541314368</v>
      </c>
      <c r="AP2492" s="2">
        <v>24555.265889381899</v>
      </c>
      <c r="AQ2492" s="2">
        <v>17338.740313881401</v>
      </c>
      <c r="AR2492" s="2">
        <v>14626.581093774899</v>
      </c>
      <c r="AS2492" s="2">
        <v>9796.6998476865792</v>
      </c>
      <c r="AT2492" s="2">
        <v>17016.6995721149</v>
      </c>
      <c r="AU2492" s="2">
        <v>38235.012455548698</v>
      </c>
      <c r="AV2492" s="2">
        <v>20645.651308270299</v>
      </c>
      <c r="AW2492" s="2">
        <v>11326.549991829301</v>
      </c>
      <c r="AX2492" s="2">
        <v>8755.7026002278108</v>
      </c>
    </row>
    <row r="2493" spans="1:50" x14ac:dyDescent="0.25">
      <c r="A2493" s="2" t="s">
        <v>16761</v>
      </c>
      <c r="B2493" s="2">
        <v>581.09483483290501</v>
      </c>
      <c r="C2493" s="2">
        <v>2.0702500000000001</v>
      </c>
      <c r="D2493" s="2" t="s">
        <v>51</v>
      </c>
      <c r="E2493" s="2" t="s">
        <v>16762</v>
      </c>
      <c r="F2493" s="2">
        <v>58148</v>
      </c>
      <c r="G2493" s="3" t="str">
        <f>HYPERLINK("https://cloud.oebiotech.com/#/lm/network/58148", "https://cloud.oebiotech.com/#/lm/network/58148")</f>
        <v>https://cloud.oebiotech.com/#/lm/network/58148</v>
      </c>
      <c r="H2493" s="2" t="s">
        <v>16763</v>
      </c>
      <c r="I2493" s="2">
        <v>89672</v>
      </c>
      <c r="J2493" s="2"/>
      <c r="K2493" s="2">
        <v>15491283</v>
      </c>
      <c r="L2493" s="2"/>
      <c r="M2493" s="2"/>
      <c r="N2493" s="2"/>
      <c r="O2493" s="2"/>
      <c r="P2493" s="2"/>
      <c r="Q2493" s="2"/>
      <c r="R2493" s="2"/>
      <c r="S2493" s="2" t="s">
        <v>16764</v>
      </c>
      <c r="T2493" s="2" t="s">
        <v>16765</v>
      </c>
      <c r="U2493" s="2" t="s">
        <v>540</v>
      </c>
      <c r="V2493" s="2" t="s">
        <v>1826</v>
      </c>
      <c r="W2493" s="2" t="s">
        <v>16766</v>
      </c>
      <c r="X2493" s="2" t="s">
        <v>147</v>
      </c>
      <c r="Y2493" s="2">
        <v>42.2</v>
      </c>
      <c r="Z2493" s="2">
        <v>31.5</v>
      </c>
      <c r="AA2493" s="2" t="s">
        <v>218</v>
      </c>
      <c r="AB2493" s="2" t="s">
        <v>16767</v>
      </c>
      <c r="AC2493" s="2">
        <v>2.1561211322777201</v>
      </c>
      <c r="AD2493" s="2"/>
      <c r="AE2493" s="2">
        <v>0.25381800630372497</v>
      </c>
      <c r="AF2493" s="2">
        <v>8606.3990805519297</v>
      </c>
      <c r="AG2493" s="2">
        <v>6191.80067529402</v>
      </c>
      <c r="AH2493" s="5">
        <v>1.3899670761192999</v>
      </c>
      <c r="AI2493" s="5">
        <v>0.47505071051571801</v>
      </c>
      <c r="AJ2493" s="5" t="s">
        <v>139</v>
      </c>
      <c r="AK2493" s="2">
        <v>7.9571935589134002E-2</v>
      </c>
      <c r="AL2493" s="2">
        <v>0.36520736260394099</v>
      </c>
      <c r="AM2493" s="2">
        <v>9246.7819877011698</v>
      </c>
      <c r="AN2493" s="2">
        <v>9449.7015629176203</v>
      </c>
      <c r="AO2493" s="2">
        <v>6591.4774384271996</v>
      </c>
      <c r="AP2493" s="2">
        <v>9265.3042612325007</v>
      </c>
      <c r="AQ2493" s="2">
        <v>10531.1712002695</v>
      </c>
      <c r="AR2493" s="2">
        <v>6553.9580327636104</v>
      </c>
      <c r="AS2493" s="2">
        <v>3602.7077297114001</v>
      </c>
      <c r="AT2493" s="2">
        <v>3823.24494241397</v>
      </c>
      <c r="AU2493" s="2">
        <v>6228.0863992090099</v>
      </c>
      <c r="AV2493" s="2">
        <v>5611.1714454473804</v>
      </c>
      <c r="AW2493" s="2">
        <v>7423.7617499323596</v>
      </c>
      <c r="AX2493" s="2">
        <v>10461.831785050001</v>
      </c>
    </row>
    <row r="2494" spans="1:50" x14ac:dyDescent="0.25">
      <c r="A2494" s="2" t="s">
        <v>16768</v>
      </c>
      <c r="B2494" s="2">
        <v>365.13514356343399</v>
      </c>
      <c r="C2494" s="2">
        <v>3.5028666666666699</v>
      </c>
      <c r="D2494" s="2" t="s">
        <v>51</v>
      </c>
      <c r="E2494" s="2" t="s">
        <v>16769</v>
      </c>
      <c r="F2494" s="2">
        <v>57370</v>
      </c>
      <c r="G2494" s="3" t="str">
        <f>HYPERLINK("https://cloud.oebiotech.com/#/lm/network/57370", "https://cloud.oebiotech.com/#/lm/network/57370")</f>
        <v>https://cloud.oebiotech.com/#/lm/network/57370</v>
      </c>
      <c r="H2494" s="2" t="s">
        <v>16770</v>
      </c>
      <c r="I2494" s="2"/>
      <c r="J2494" s="2"/>
      <c r="K2494" s="2">
        <v>131751376</v>
      </c>
      <c r="L2494" s="2"/>
      <c r="M2494" s="2"/>
      <c r="N2494" s="2"/>
      <c r="O2494" s="2"/>
      <c r="P2494" s="2"/>
      <c r="Q2494" s="2"/>
      <c r="R2494" s="2"/>
      <c r="S2494" s="2" t="s">
        <v>16771</v>
      </c>
      <c r="T2494" s="2" t="s">
        <v>16772</v>
      </c>
      <c r="U2494" s="2" t="s">
        <v>331</v>
      </c>
      <c r="V2494" s="2" t="s">
        <v>332</v>
      </c>
      <c r="W2494" s="2" t="s">
        <v>333</v>
      </c>
      <c r="X2494" s="2" t="s">
        <v>147</v>
      </c>
      <c r="Y2494" s="2">
        <v>40.5</v>
      </c>
      <c r="Z2494" s="2">
        <v>15</v>
      </c>
      <c r="AA2494" s="2" t="s">
        <v>163</v>
      </c>
      <c r="AB2494" s="2" t="s">
        <v>6410</v>
      </c>
      <c r="AC2494" s="2">
        <v>-0.76761498950220897</v>
      </c>
      <c r="AD2494" s="2"/>
      <c r="AE2494" s="2">
        <v>0.25375302907451303</v>
      </c>
      <c r="AF2494" s="2">
        <v>3054.6795048969202</v>
      </c>
      <c r="AG2494" s="2">
        <v>4912.5599323119905</v>
      </c>
      <c r="AH2494" s="4">
        <v>0.62181012486076803</v>
      </c>
      <c r="AI2494" s="4">
        <v>-0.68545398678430003</v>
      </c>
      <c r="AJ2494" s="4" t="s">
        <v>62</v>
      </c>
      <c r="AK2494" s="2">
        <v>0.171738965129586</v>
      </c>
      <c r="AL2494" s="2">
        <v>0.49215166418631001</v>
      </c>
      <c r="AM2494" s="2">
        <v>1519.0998745842001</v>
      </c>
      <c r="AN2494" s="2">
        <v>2606.7353420453201</v>
      </c>
      <c r="AO2494" s="2">
        <v>1548.78659972843</v>
      </c>
      <c r="AP2494" s="2">
        <v>581.40462004999597</v>
      </c>
      <c r="AQ2494" s="2">
        <v>6018.2441901872498</v>
      </c>
      <c r="AR2494" s="2">
        <v>6053.8064027863502</v>
      </c>
      <c r="AS2494" s="2">
        <v>4723.3907386827404</v>
      </c>
      <c r="AT2494" s="2">
        <v>2553.3371316964899</v>
      </c>
      <c r="AU2494" s="2">
        <v>3212.4992228194901</v>
      </c>
      <c r="AV2494" s="2">
        <v>6640.4812895947298</v>
      </c>
      <c r="AW2494" s="2">
        <v>4688.69664547305</v>
      </c>
      <c r="AX2494" s="2">
        <v>7656.9545656054397</v>
      </c>
    </row>
    <row r="2495" spans="1:50" x14ac:dyDescent="0.25">
      <c r="A2495" s="2" t="s">
        <v>16773</v>
      </c>
      <c r="B2495" s="2">
        <v>235.000193820943</v>
      </c>
      <c r="C2495" s="2">
        <v>6.7462666666666697</v>
      </c>
      <c r="D2495" s="2" t="s">
        <v>51</v>
      </c>
      <c r="E2495" s="2" t="s">
        <v>16774</v>
      </c>
      <c r="F2495" s="2">
        <v>267049</v>
      </c>
      <c r="G2495" s="3" t="str">
        <f>HYPERLINK("https://cloud.oebiotech.com/#/lm/network/267049", "https://cloud.oebiotech.com/#/lm/network/267049")</f>
        <v>https://cloud.oebiotech.com/#/lm/network/267049</v>
      </c>
      <c r="H2495" s="2"/>
      <c r="I2495" s="2">
        <v>44619</v>
      </c>
      <c r="J2495" s="2"/>
      <c r="K2495" s="2">
        <v>6710680</v>
      </c>
      <c r="L2495" s="2"/>
      <c r="M2495" s="2"/>
      <c r="N2495" s="2"/>
      <c r="O2495" s="2"/>
      <c r="P2495" s="2"/>
      <c r="Q2495" s="2"/>
      <c r="R2495" s="2" t="s">
        <v>16775</v>
      </c>
      <c r="S2495" s="2" t="s">
        <v>16776</v>
      </c>
      <c r="T2495" s="2" t="s">
        <v>16777</v>
      </c>
      <c r="U2495" s="2" t="s">
        <v>610</v>
      </c>
      <c r="V2495" s="2" t="s">
        <v>611</v>
      </c>
      <c r="W2495" s="2" t="s">
        <v>1122</v>
      </c>
      <c r="X2495" s="2" t="s">
        <v>147</v>
      </c>
      <c r="Y2495" s="2">
        <v>38.4</v>
      </c>
      <c r="Z2495" s="2">
        <v>0</v>
      </c>
      <c r="AA2495" s="2" t="s">
        <v>395</v>
      </c>
      <c r="AB2495" s="2" t="s">
        <v>7683</v>
      </c>
      <c r="AC2495" s="2">
        <v>-0.70197613564377603</v>
      </c>
      <c r="AD2495" s="2"/>
      <c r="AE2495" s="2">
        <v>0.25372555366059901</v>
      </c>
      <c r="AF2495" s="2">
        <v>7024.5741345646902</v>
      </c>
      <c r="AG2495" s="2">
        <v>8451.7085025037395</v>
      </c>
      <c r="AH2495" s="4">
        <v>0.831142500061819</v>
      </c>
      <c r="AI2495" s="4">
        <v>-0.26683224543961098</v>
      </c>
      <c r="AJ2495" s="4" t="s">
        <v>62</v>
      </c>
      <c r="AK2495" s="2">
        <v>3.9205427999811603E-2</v>
      </c>
      <c r="AL2495" s="2">
        <v>0.29095328254360198</v>
      </c>
      <c r="AM2495" s="2">
        <v>5117.5007446919799</v>
      </c>
      <c r="AN2495" s="2">
        <v>7569.7079220272699</v>
      </c>
      <c r="AO2495" s="2">
        <v>6979.2947553695503</v>
      </c>
      <c r="AP2495" s="2">
        <v>8125.1157803735096</v>
      </c>
      <c r="AQ2495" s="2">
        <v>7939.9819795785097</v>
      </c>
      <c r="AR2495" s="2">
        <v>6415.8436253473201</v>
      </c>
      <c r="AS2495" s="2">
        <v>8862.1739215409598</v>
      </c>
      <c r="AT2495" s="2">
        <v>8745.8787996338797</v>
      </c>
      <c r="AU2495" s="2">
        <v>7173.9664861270003</v>
      </c>
      <c r="AV2495" s="2">
        <v>8135.2384720631098</v>
      </c>
      <c r="AW2495" s="2">
        <v>7864.7600419943101</v>
      </c>
      <c r="AX2495" s="2">
        <v>9928.2332936631701</v>
      </c>
    </row>
    <row r="2496" spans="1:50" x14ac:dyDescent="0.25">
      <c r="A2496" s="2" t="s">
        <v>16778</v>
      </c>
      <c r="B2496" s="2">
        <v>429.22595363251298</v>
      </c>
      <c r="C2496" s="2">
        <v>10.3496666666667</v>
      </c>
      <c r="D2496" s="2" t="s">
        <v>51</v>
      </c>
      <c r="E2496" s="2" t="s">
        <v>16779</v>
      </c>
      <c r="F2496" s="2">
        <v>44995</v>
      </c>
      <c r="G2496" s="3" t="str">
        <f>HYPERLINK("https://cloud.oebiotech.com/#/lm/network/44995", "https://cloud.oebiotech.com/#/lm/network/44995")</f>
        <v>https://cloud.oebiotech.com/#/lm/network/44995</v>
      </c>
      <c r="H2496" s="2"/>
      <c r="I2496" s="2">
        <v>1120</v>
      </c>
      <c r="J2496" s="2" t="s">
        <v>16780</v>
      </c>
      <c r="K2496" s="2">
        <v>11683</v>
      </c>
      <c r="L2496" s="2" t="s">
        <v>16781</v>
      </c>
      <c r="M2496" s="2"/>
      <c r="N2496" s="2"/>
      <c r="O2496" s="2"/>
      <c r="P2496" s="2"/>
      <c r="Q2496" s="2"/>
      <c r="R2496" s="2" t="s">
        <v>16782</v>
      </c>
      <c r="S2496" s="2" t="s">
        <v>16783</v>
      </c>
      <c r="T2496" s="2" t="s">
        <v>16784</v>
      </c>
      <c r="U2496" s="2" t="s">
        <v>56</v>
      </c>
      <c r="V2496" s="2" t="s">
        <v>283</v>
      </c>
      <c r="W2496" s="2" t="s">
        <v>3686</v>
      </c>
      <c r="X2496" s="2" t="s">
        <v>83</v>
      </c>
      <c r="Y2496" s="2">
        <v>49.1</v>
      </c>
      <c r="Z2496" s="2">
        <v>0</v>
      </c>
      <c r="AA2496" s="2" t="s">
        <v>218</v>
      </c>
      <c r="AB2496" s="2" t="s">
        <v>16785</v>
      </c>
      <c r="AC2496" s="2">
        <v>-6.0087489508753196</v>
      </c>
      <c r="AD2496" s="2"/>
      <c r="AE2496" s="2">
        <v>0.25370318437313899</v>
      </c>
      <c r="AF2496" s="2">
        <v>7279.6212500089596</v>
      </c>
      <c r="AG2496" s="2">
        <v>4905.33525500205</v>
      </c>
      <c r="AH2496" s="5">
        <v>1.48402114668632</v>
      </c>
      <c r="AI2496" s="5">
        <v>0.56951164991162495</v>
      </c>
      <c r="AJ2496" s="5" t="s">
        <v>139</v>
      </c>
      <c r="AK2496" s="2">
        <v>0.38062798024266398</v>
      </c>
      <c r="AL2496" s="2">
        <v>0.65913977412323299</v>
      </c>
      <c r="AM2496" s="2">
        <v>16415.158266386999</v>
      </c>
      <c r="AN2496" s="2">
        <v>4519.6053495651504</v>
      </c>
      <c r="AO2496" s="2">
        <v>1736.85018973109</v>
      </c>
      <c r="AP2496" s="2">
        <v>6039.6258630738103</v>
      </c>
      <c r="AQ2496" s="2">
        <v>5159.3846702239398</v>
      </c>
      <c r="AR2496" s="2">
        <v>9807.1031610727696</v>
      </c>
      <c r="AS2496" s="2">
        <v>3486.2390424590699</v>
      </c>
      <c r="AT2496" s="2">
        <v>1576.5337821743999</v>
      </c>
      <c r="AU2496" s="2">
        <v>12004.9033602377</v>
      </c>
      <c r="AV2496" s="2">
        <v>3137.9367805457</v>
      </c>
      <c r="AW2496" s="2">
        <v>4708.8925630678596</v>
      </c>
      <c r="AX2496" s="2">
        <v>4517.5060015275503</v>
      </c>
    </row>
    <row r="2497" spans="1:50" x14ac:dyDescent="0.25">
      <c r="A2497" s="2" t="s">
        <v>16786</v>
      </c>
      <c r="B2497" s="2">
        <v>457.00988462412101</v>
      </c>
      <c r="C2497" s="2">
        <v>10.7014833333333</v>
      </c>
      <c r="D2497" s="2" t="s">
        <v>51</v>
      </c>
      <c r="E2497" s="2" t="s">
        <v>16787</v>
      </c>
      <c r="F2497" s="2">
        <v>33113</v>
      </c>
      <c r="G2497" s="3" t="str">
        <f>HYPERLINK("https://cloud.oebiotech.com/#/lm/network/33113", "https://cloud.oebiotech.com/#/lm/network/33113")</f>
        <v>https://cloud.oebiotech.com/#/lm/network/33113</v>
      </c>
      <c r="H2497" s="2"/>
      <c r="I2497" s="2">
        <v>51440</v>
      </c>
      <c r="J2497" s="2" t="s">
        <v>16788</v>
      </c>
      <c r="K2497" s="2">
        <v>21676166</v>
      </c>
      <c r="L2497" s="2"/>
      <c r="M2497" s="2"/>
      <c r="N2497" s="2"/>
      <c r="O2497" s="2"/>
      <c r="P2497" s="2"/>
      <c r="Q2497" s="2"/>
      <c r="R2497" s="2"/>
      <c r="S2497" s="2" t="s">
        <v>16789</v>
      </c>
      <c r="T2497" s="2" t="s">
        <v>16790</v>
      </c>
      <c r="U2497" s="2" t="s">
        <v>540</v>
      </c>
      <c r="V2497" s="2" t="s">
        <v>541</v>
      </c>
      <c r="W2497" s="2" t="s">
        <v>6898</v>
      </c>
      <c r="X2497" s="2" t="s">
        <v>147</v>
      </c>
      <c r="Y2497" s="2">
        <v>37.5</v>
      </c>
      <c r="Z2497" s="2">
        <v>12.3</v>
      </c>
      <c r="AA2497" s="2" t="s">
        <v>218</v>
      </c>
      <c r="AB2497" s="2" t="s">
        <v>16791</v>
      </c>
      <c r="AC2497" s="2">
        <v>4.0036746495664604</v>
      </c>
      <c r="AD2497" s="2"/>
      <c r="AE2497" s="2">
        <v>0.25366159247623798</v>
      </c>
      <c r="AF2497" s="2">
        <v>11789.114413990201</v>
      </c>
      <c r="AG2497" s="2">
        <v>13386.4389083267</v>
      </c>
      <c r="AH2497" s="4">
        <v>0.88067592096185698</v>
      </c>
      <c r="AI2497" s="4">
        <v>-0.18331687396726801</v>
      </c>
      <c r="AJ2497" s="4" t="s">
        <v>62</v>
      </c>
      <c r="AK2497" s="2">
        <v>8.3403347065977795E-2</v>
      </c>
      <c r="AL2497" s="2">
        <v>0.37324391665689399</v>
      </c>
      <c r="AM2497" s="2">
        <v>10412.0354597596</v>
      </c>
      <c r="AN2497" s="2">
        <v>10593.9174977044</v>
      </c>
      <c r="AO2497" s="2">
        <v>11947.3395441756</v>
      </c>
      <c r="AP2497" s="2">
        <v>12542.366152792099</v>
      </c>
      <c r="AQ2497" s="2">
        <v>12534.0548896378</v>
      </c>
      <c r="AR2497" s="2">
        <v>12704.972939871999</v>
      </c>
      <c r="AS2497" s="2">
        <v>11192.5718230854</v>
      </c>
      <c r="AT2497" s="2">
        <v>12939.3249828358</v>
      </c>
      <c r="AU2497" s="2">
        <v>12200.8439261328</v>
      </c>
      <c r="AV2497" s="2">
        <v>14713.107021489899</v>
      </c>
      <c r="AW2497" s="2">
        <v>13207.0624995458</v>
      </c>
      <c r="AX2497" s="2">
        <v>16065.7231968705</v>
      </c>
    </row>
    <row r="2498" spans="1:50" x14ac:dyDescent="0.25">
      <c r="A2498" s="2" t="s">
        <v>16792</v>
      </c>
      <c r="B2498" s="2">
        <v>359.13381324262201</v>
      </c>
      <c r="C2498" s="2">
        <v>3.6894833333333299</v>
      </c>
      <c r="D2498" s="2" t="s">
        <v>51</v>
      </c>
      <c r="E2498" s="2" t="s">
        <v>16793</v>
      </c>
      <c r="F2498" s="2">
        <v>212122</v>
      </c>
      <c r="G2498" s="3" t="str">
        <f>HYPERLINK("https://cloud.oebiotech.com/#/lm/network/212122", "https://cloud.oebiotech.com/#/lm/network/212122")</f>
        <v>https://cloud.oebiotech.com/#/lm/network/212122</v>
      </c>
      <c r="H2498" s="2" t="s">
        <v>16794</v>
      </c>
      <c r="I2498" s="2"/>
      <c r="J2498" s="2"/>
      <c r="K2498" s="2">
        <v>581257</v>
      </c>
      <c r="L2498" s="2"/>
      <c r="M2498" s="2"/>
      <c r="N2498" s="2"/>
      <c r="O2498" s="2"/>
      <c r="P2498" s="2"/>
      <c r="Q2498" s="2"/>
      <c r="R2498" s="2"/>
      <c r="S2498" s="2" t="s">
        <v>16795</v>
      </c>
      <c r="T2498" s="2" t="s">
        <v>16796</v>
      </c>
      <c r="U2498" s="2" t="s">
        <v>331</v>
      </c>
      <c r="V2498" s="2" t="s">
        <v>332</v>
      </c>
      <c r="W2498" s="2" t="s">
        <v>333</v>
      </c>
      <c r="X2498" s="2" t="s">
        <v>147</v>
      </c>
      <c r="Y2498" s="2">
        <v>39</v>
      </c>
      <c r="Z2498" s="2">
        <v>13.1</v>
      </c>
      <c r="AA2498" s="2" t="s">
        <v>259</v>
      </c>
      <c r="AB2498" s="2" t="s">
        <v>16797</v>
      </c>
      <c r="AC2498" s="2">
        <v>0.431493040716798</v>
      </c>
      <c r="AD2498" s="2"/>
      <c r="AE2498" s="2">
        <v>0.25354224473422399</v>
      </c>
      <c r="AF2498" s="2">
        <v>2899.09046997736</v>
      </c>
      <c r="AG2498" s="2">
        <v>807.62578358282701</v>
      </c>
      <c r="AH2498" s="5">
        <v>3.58964576033752</v>
      </c>
      <c r="AI2498" s="5">
        <v>1.8438414805329599</v>
      </c>
      <c r="AJ2498" s="5" t="s">
        <v>139</v>
      </c>
      <c r="AK2498" s="2">
        <v>5.5235259848236601E-2</v>
      </c>
      <c r="AL2498" s="2">
        <v>0.32245008625268501</v>
      </c>
      <c r="AM2498" s="2">
        <v>1886.97455778274</v>
      </c>
      <c r="AN2498" s="2">
        <v>1886.9689418493399</v>
      </c>
      <c r="AO2498" s="2">
        <v>7078.3181168288002</v>
      </c>
      <c r="AP2498" s="2">
        <v>1347.2128833347599</v>
      </c>
      <c r="AQ2498" s="2">
        <v>1445.96670715849</v>
      </c>
      <c r="AR2498" s="2">
        <v>3749.1016129100299</v>
      </c>
      <c r="AS2498" s="2">
        <v>185.078316760696</v>
      </c>
      <c r="AT2498" s="2">
        <v>374.53292455607499</v>
      </c>
      <c r="AU2498" s="2">
        <v>201.596007987848</v>
      </c>
      <c r="AV2498" s="2">
        <v>1651.75374284958</v>
      </c>
      <c r="AW2498" s="2">
        <v>1971.22725011939</v>
      </c>
      <c r="AX2498" s="2">
        <v>461.56645922337299</v>
      </c>
    </row>
    <row r="2499" spans="1:50" x14ac:dyDescent="0.25">
      <c r="A2499" s="2" t="s">
        <v>16798</v>
      </c>
      <c r="B2499" s="2">
        <v>703.332358662601</v>
      </c>
      <c r="C2499" s="2">
        <v>3.9009</v>
      </c>
      <c r="D2499" s="2" t="s">
        <v>51</v>
      </c>
      <c r="E2499" s="2" t="s">
        <v>16799</v>
      </c>
      <c r="F2499" s="2">
        <v>59303</v>
      </c>
      <c r="G2499" s="3" t="str">
        <f>HYPERLINK("https://cloud.oebiotech.com/#/lm/network/59303", "https://cloud.oebiotech.com/#/lm/network/59303")</f>
        <v>https://cloud.oebiotech.com/#/lm/network/59303</v>
      </c>
      <c r="H2499" s="2" t="s">
        <v>16800</v>
      </c>
      <c r="I2499" s="2">
        <v>90721</v>
      </c>
      <c r="J2499" s="2"/>
      <c r="K2499" s="2">
        <v>131751751</v>
      </c>
      <c r="L2499" s="2"/>
      <c r="M2499" s="2"/>
      <c r="N2499" s="2"/>
      <c r="O2499" s="2"/>
      <c r="P2499" s="2"/>
      <c r="Q2499" s="2"/>
      <c r="R2499" s="2" t="s">
        <v>16801</v>
      </c>
      <c r="S2499" s="2" t="s">
        <v>16802</v>
      </c>
      <c r="T2499" s="2" t="s">
        <v>16803</v>
      </c>
      <c r="U2499" s="2" t="s">
        <v>56</v>
      </c>
      <c r="V2499" s="2" t="s">
        <v>283</v>
      </c>
      <c r="W2499" s="2" t="s">
        <v>3462</v>
      </c>
      <c r="X2499" s="2" t="s">
        <v>147</v>
      </c>
      <c r="Y2499" s="2">
        <v>37</v>
      </c>
      <c r="Z2499" s="2">
        <v>0</v>
      </c>
      <c r="AA2499" s="2" t="s">
        <v>95</v>
      </c>
      <c r="AB2499" s="2" t="s">
        <v>16804</v>
      </c>
      <c r="AC2499" s="2">
        <v>3.4486550120777402</v>
      </c>
      <c r="AD2499" s="2"/>
      <c r="AE2499" s="2">
        <v>0.25350334700043298</v>
      </c>
      <c r="AF2499" s="2">
        <v>1192.7193660711901</v>
      </c>
      <c r="AG2499" s="2">
        <v>4961.2235831163598</v>
      </c>
      <c r="AH2499" s="4">
        <v>0.24040830776709099</v>
      </c>
      <c r="AI2499" s="4">
        <v>-2.0564413429011199</v>
      </c>
      <c r="AJ2499" s="4" t="s">
        <v>62</v>
      </c>
      <c r="AK2499" s="2">
        <v>0.457551680933313</v>
      </c>
      <c r="AL2499" s="2">
        <v>0.70873397123624904</v>
      </c>
      <c r="AM2499" s="2">
        <v>3679.0002498751301</v>
      </c>
      <c r="AN2499" s="2">
        <v>329.74754059657897</v>
      </c>
      <c r="AO2499" s="2">
        <v>682.95120309260699</v>
      </c>
      <c r="AP2499" s="2">
        <v>8.559877937157E-6</v>
      </c>
      <c r="AQ2499" s="2">
        <v>773.46144421614599</v>
      </c>
      <c r="AR2499" s="2">
        <v>1691.1557500868</v>
      </c>
      <c r="AS2499" s="2">
        <v>8.559877937157E-6</v>
      </c>
      <c r="AT2499" s="2">
        <v>8.559877937157E-6</v>
      </c>
      <c r="AU2499" s="2">
        <v>581.572986467943</v>
      </c>
      <c r="AV2499" s="2">
        <v>29185.768477990699</v>
      </c>
      <c r="AW2499" s="2">
        <v>8.559877937157E-6</v>
      </c>
      <c r="AX2499" s="2">
        <v>8.559877937157E-6</v>
      </c>
    </row>
    <row r="2500" spans="1:50" x14ac:dyDescent="0.25">
      <c r="A2500" s="2" t="s">
        <v>16805</v>
      </c>
      <c r="B2500" s="2">
        <v>159.11319651564301</v>
      </c>
      <c r="C2500" s="2">
        <v>0.76721666666666699</v>
      </c>
      <c r="D2500" s="2" t="s">
        <v>51</v>
      </c>
      <c r="E2500" s="2" t="s">
        <v>16806</v>
      </c>
      <c r="F2500" s="2">
        <v>52919</v>
      </c>
      <c r="G2500" s="3" t="str">
        <f>HYPERLINK("https://cloud.oebiotech.com/#/lm/network/52919", "https://cloud.oebiotech.com/#/lm/network/52919")</f>
        <v>https://cloud.oebiotech.com/#/lm/network/52919</v>
      </c>
      <c r="H2500" s="2" t="s">
        <v>16807</v>
      </c>
      <c r="I2500" s="2">
        <v>2595</v>
      </c>
      <c r="J2500" s="2"/>
      <c r="K2500" s="2">
        <v>3291</v>
      </c>
      <c r="L2500" s="2" t="s">
        <v>16808</v>
      </c>
      <c r="M2500" s="2"/>
      <c r="N2500" s="2"/>
      <c r="O2500" s="2">
        <v>4887</v>
      </c>
      <c r="P2500" s="2"/>
      <c r="Q2500" s="2"/>
      <c r="R2500" s="2" t="s">
        <v>16809</v>
      </c>
      <c r="S2500" s="2" t="s">
        <v>16810</v>
      </c>
      <c r="T2500" s="2" t="s">
        <v>16811</v>
      </c>
      <c r="U2500" s="2" t="s">
        <v>266</v>
      </c>
      <c r="V2500" s="2" t="s">
        <v>2432</v>
      </c>
      <c r="W2500" s="2" t="s">
        <v>10026</v>
      </c>
      <c r="X2500" s="2" t="s">
        <v>147</v>
      </c>
      <c r="Y2500" s="2">
        <v>38</v>
      </c>
      <c r="Z2500" s="2">
        <v>0</v>
      </c>
      <c r="AA2500" s="2" t="s">
        <v>512</v>
      </c>
      <c r="AB2500" s="2" t="s">
        <v>16812</v>
      </c>
      <c r="AC2500" s="2">
        <v>2.7813424572955499</v>
      </c>
      <c r="AD2500" s="2"/>
      <c r="AE2500" s="2">
        <v>0.25346804619729302</v>
      </c>
      <c r="AF2500" s="2">
        <v>5695.2392058054002</v>
      </c>
      <c r="AG2500" s="2">
        <v>8267.7013406506394</v>
      </c>
      <c r="AH2500" s="4">
        <v>0.68885400804248298</v>
      </c>
      <c r="AI2500" s="4">
        <v>-0.53772983647240802</v>
      </c>
      <c r="AJ2500" s="4" t="s">
        <v>62</v>
      </c>
      <c r="AK2500" s="2">
        <v>0.17782221003545301</v>
      </c>
      <c r="AL2500" s="2">
        <v>0.50016964033448896</v>
      </c>
      <c r="AM2500" s="2">
        <v>3478.2015674297299</v>
      </c>
      <c r="AN2500" s="2">
        <v>8993.5059259785194</v>
      </c>
      <c r="AO2500" s="2">
        <v>6111.6634334214205</v>
      </c>
      <c r="AP2500" s="2">
        <v>6240.8186072628596</v>
      </c>
      <c r="AQ2500" s="2">
        <v>6213.7634850488803</v>
      </c>
      <c r="AR2500" s="2">
        <v>3133.48221569101</v>
      </c>
      <c r="AS2500" s="2">
        <v>5539.9518221382305</v>
      </c>
      <c r="AT2500" s="2">
        <v>8466.82231114772</v>
      </c>
      <c r="AU2500" s="2">
        <v>5872.1944165859904</v>
      </c>
      <c r="AV2500" s="2">
        <v>4635.3097782405102</v>
      </c>
      <c r="AW2500" s="2">
        <v>10499.9749146467</v>
      </c>
      <c r="AX2500" s="2">
        <v>14591.9548011447</v>
      </c>
    </row>
    <row r="2501" spans="1:50" x14ac:dyDescent="0.25">
      <c r="A2501" s="2" t="s">
        <v>16813</v>
      </c>
      <c r="B2501" s="2">
        <v>576.33118592428696</v>
      </c>
      <c r="C2501" s="2">
        <v>8.9491666666666703</v>
      </c>
      <c r="D2501" s="2" t="s">
        <v>51</v>
      </c>
      <c r="E2501" s="2" t="s">
        <v>16814</v>
      </c>
      <c r="F2501" s="2">
        <v>241990</v>
      </c>
      <c r="G2501" s="3" t="str">
        <f>HYPERLINK("https://cloud.oebiotech.com/#/lm/network/241990", "https://cloud.oebiotech.com/#/lm/network/241990")</f>
        <v>https://cloud.oebiotech.com/#/lm/network/241990</v>
      </c>
      <c r="H2501" s="2" t="s">
        <v>16815</v>
      </c>
      <c r="I2501" s="2"/>
      <c r="J2501" s="2"/>
      <c r="K2501" s="2"/>
      <c r="L2501" s="2"/>
      <c r="M2501" s="2"/>
      <c r="N2501" s="2"/>
      <c r="O2501" s="2"/>
      <c r="P2501" s="2"/>
      <c r="Q2501" s="2"/>
      <c r="R2501" s="2"/>
      <c r="S2501" s="2" t="s">
        <v>16816</v>
      </c>
      <c r="T2501" s="2" t="s">
        <v>16817</v>
      </c>
      <c r="U2501" s="2" t="s">
        <v>56</v>
      </c>
      <c r="V2501" s="2" t="s">
        <v>57</v>
      </c>
      <c r="W2501" s="2" t="s">
        <v>58</v>
      </c>
      <c r="X2501" s="2" t="s">
        <v>69</v>
      </c>
      <c r="Y2501" s="2">
        <v>63.2</v>
      </c>
      <c r="Z2501" s="2">
        <v>95.1</v>
      </c>
      <c r="AA2501" s="2" t="s">
        <v>259</v>
      </c>
      <c r="AB2501" s="2" t="s">
        <v>2334</v>
      </c>
      <c r="AC2501" s="2">
        <v>2.76484658303885</v>
      </c>
      <c r="AD2501" s="2"/>
      <c r="AE2501" s="2">
        <v>0.253352004637377</v>
      </c>
      <c r="AF2501" s="2">
        <v>9070.75428502451</v>
      </c>
      <c r="AG2501" s="2">
        <v>5483.0753505700204</v>
      </c>
      <c r="AH2501" s="5">
        <v>1.6543187363058101</v>
      </c>
      <c r="AI2501" s="5">
        <v>0.72623722422288495</v>
      </c>
      <c r="AJ2501" s="5" t="s">
        <v>139</v>
      </c>
      <c r="AK2501" s="2">
        <v>0.17081378729990501</v>
      </c>
      <c r="AL2501" s="2">
        <v>0.49169783309187098</v>
      </c>
      <c r="AM2501" s="2">
        <v>7077.2394403554899</v>
      </c>
      <c r="AN2501" s="2">
        <v>10855.371669112799</v>
      </c>
      <c r="AO2501" s="2">
        <v>12830.096865351399</v>
      </c>
      <c r="AP2501" s="2">
        <v>8624.1355282574696</v>
      </c>
      <c r="AQ2501" s="2">
        <v>5801.8047381491097</v>
      </c>
      <c r="AR2501" s="2">
        <v>9235.8774689208003</v>
      </c>
      <c r="AS2501" s="2">
        <v>13126.1297768653</v>
      </c>
      <c r="AT2501" s="2">
        <v>834.91031227608596</v>
      </c>
      <c r="AU2501" s="2">
        <v>2237.0580964031401</v>
      </c>
      <c r="AV2501" s="2">
        <v>3887.50929789562</v>
      </c>
      <c r="AW2501" s="2">
        <v>1390.7635867440599</v>
      </c>
      <c r="AX2501" s="2">
        <v>11422.0810332359</v>
      </c>
    </row>
    <row r="2502" spans="1:50" x14ac:dyDescent="0.25">
      <c r="A2502" s="2" t="s">
        <v>16818</v>
      </c>
      <c r="B2502" s="2">
        <v>474.33414436012498</v>
      </c>
      <c r="C2502" s="2">
        <v>10.233700000000001</v>
      </c>
      <c r="D2502" s="2" t="s">
        <v>51</v>
      </c>
      <c r="E2502" s="2" t="s">
        <v>16819</v>
      </c>
      <c r="F2502" s="2">
        <v>59046</v>
      </c>
      <c r="G2502" s="3" t="str">
        <f>HYPERLINK("https://cloud.oebiotech.com/#/lm/network/59046", "https://cloud.oebiotech.com/#/lm/network/59046")</f>
        <v>https://cloud.oebiotech.com/#/lm/network/59046</v>
      </c>
      <c r="H2502" s="2" t="s">
        <v>16820</v>
      </c>
      <c r="I2502" s="2">
        <v>90480</v>
      </c>
      <c r="J2502" s="2"/>
      <c r="K2502" s="2">
        <v>131751674</v>
      </c>
      <c r="L2502" s="2"/>
      <c r="M2502" s="2"/>
      <c r="N2502" s="2"/>
      <c r="O2502" s="2"/>
      <c r="P2502" s="2"/>
      <c r="Q2502" s="2"/>
      <c r="R2502" s="2"/>
      <c r="S2502" s="2" t="s">
        <v>16821</v>
      </c>
      <c r="T2502" s="2" t="s">
        <v>16822</v>
      </c>
      <c r="U2502" s="2" t="s">
        <v>56</v>
      </c>
      <c r="V2502" s="2" t="s">
        <v>177</v>
      </c>
      <c r="W2502" s="2" t="s">
        <v>3270</v>
      </c>
      <c r="X2502" s="2" t="s">
        <v>83</v>
      </c>
      <c r="Y2502" s="2">
        <v>49.4</v>
      </c>
      <c r="Z2502" s="2">
        <v>0</v>
      </c>
      <c r="AA2502" s="2" t="s">
        <v>122</v>
      </c>
      <c r="AB2502" s="2" t="s">
        <v>12884</v>
      </c>
      <c r="AC2502" s="2">
        <v>-0.80178202485836902</v>
      </c>
      <c r="AD2502" s="2"/>
      <c r="AE2502" s="2">
        <v>0.25327299998394298</v>
      </c>
      <c r="AF2502" s="2">
        <v>11165.3045927024</v>
      </c>
      <c r="AG2502" s="2">
        <v>7051.1765953398899</v>
      </c>
      <c r="AH2502" s="5">
        <v>1.58346687843296</v>
      </c>
      <c r="AI2502" s="5">
        <v>0.66308669065611603</v>
      </c>
      <c r="AJ2502" s="5" t="s">
        <v>139</v>
      </c>
      <c r="AK2502" s="2">
        <v>0.42755178438425501</v>
      </c>
      <c r="AL2502" s="2">
        <v>0.68606977764313104</v>
      </c>
      <c r="AM2502" s="2">
        <v>16919.7608439615</v>
      </c>
      <c r="AN2502" s="2">
        <v>8763.8959279958908</v>
      </c>
      <c r="AO2502" s="2">
        <v>12825.7120185451</v>
      </c>
      <c r="AP2502" s="2">
        <v>4347.48485586264</v>
      </c>
      <c r="AQ2502" s="2">
        <v>10546.8426164826</v>
      </c>
      <c r="AR2502" s="2">
        <v>13588.1312933668</v>
      </c>
      <c r="AS2502" s="2">
        <v>8.559877937157E-6</v>
      </c>
      <c r="AT2502" s="2">
        <v>1876.09793904873</v>
      </c>
      <c r="AU2502" s="2">
        <v>1100.15669912156</v>
      </c>
      <c r="AV2502" s="2">
        <v>899.36187570498998</v>
      </c>
      <c r="AW2502" s="2">
        <v>9155.0183893136109</v>
      </c>
      <c r="AX2502" s="2">
        <v>29276.424660290599</v>
      </c>
    </row>
    <row r="2503" spans="1:50" x14ac:dyDescent="0.25">
      <c r="A2503" s="2" t="s">
        <v>16823</v>
      </c>
      <c r="B2503" s="2">
        <v>172.94037515752601</v>
      </c>
      <c r="C2503" s="2">
        <v>0.65100000000000002</v>
      </c>
      <c r="D2503" s="2" t="s">
        <v>51</v>
      </c>
      <c r="E2503" s="2" t="s">
        <v>16824</v>
      </c>
      <c r="F2503" s="2">
        <v>255162</v>
      </c>
      <c r="G2503" s="3" t="str">
        <f>HYPERLINK("https://cloud.oebiotech.com/#/lm/network/255162", "https://cloud.oebiotech.com/#/lm/network/255162")</f>
        <v>https://cloud.oebiotech.com/#/lm/network/255162</v>
      </c>
      <c r="H2503" s="2" t="s">
        <v>16825</v>
      </c>
      <c r="I2503" s="2">
        <v>71722</v>
      </c>
      <c r="J2503" s="2"/>
      <c r="K2503" s="2">
        <v>33005</v>
      </c>
      <c r="L2503" s="2" t="s">
        <v>16826</v>
      </c>
      <c r="M2503" s="2"/>
      <c r="N2503" s="2"/>
      <c r="O2503" s="2">
        <v>60579</v>
      </c>
      <c r="P2503" s="2"/>
      <c r="Q2503" s="2"/>
      <c r="R2503" s="2" t="s">
        <v>16827</v>
      </c>
      <c r="S2503" s="2" t="s">
        <v>16828</v>
      </c>
      <c r="T2503" s="2" t="s">
        <v>16829</v>
      </c>
      <c r="U2503" s="2" t="s">
        <v>103</v>
      </c>
      <c r="V2503" s="2" t="s">
        <v>104</v>
      </c>
      <c r="W2503" s="2" t="s">
        <v>3415</v>
      </c>
      <c r="X2503" s="2" t="s">
        <v>147</v>
      </c>
      <c r="Y2503" s="2">
        <v>38.700000000000003</v>
      </c>
      <c r="Z2503" s="2">
        <v>0</v>
      </c>
      <c r="AA2503" s="2" t="s">
        <v>218</v>
      </c>
      <c r="AB2503" s="2" t="s">
        <v>16830</v>
      </c>
      <c r="AC2503" s="2">
        <v>-0.60316833732683595</v>
      </c>
      <c r="AD2503" s="2"/>
      <c r="AE2503" s="2">
        <v>0.25325285151819599</v>
      </c>
      <c r="AF2503" s="2">
        <v>7376.9679390393803</v>
      </c>
      <c r="AG2503" s="2">
        <v>5564.3405329312</v>
      </c>
      <c r="AH2503" s="5">
        <v>1.32575781359544</v>
      </c>
      <c r="AI2503" s="5">
        <v>0.40681725129003399</v>
      </c>
      <c r="AJ2503" s="5" t="s">
        <v>139</v>
      </c>
      <c r="AK2503" s="2">
        <v>0.26886453545533701</v>
      </c>
      <c r="AL2503" s="2">
        <v>0.58981147365990405</v>
      </c>
      <c r="AM2503" s="2">
        <v>9444.4209235229591</v>
      </c>
      <c r="AN2503" s="2">
        <v>13432.524220781799</v>
      </c>
      <c r="AO2503" s="2">
        <v>5112.0454810015199</v>
      </c>
      <c r="AP2503" s="2">
        <v>4961.1889172720803</v>
      </c>
      <c r="AQ2503" s="2">
        <v>4999.2587491341701</v>
      </c>
      <c r="AR2503" s="2">
        <v>6312.3693425237298</v>
      </c>
      <c r="AS2503" s="2">
        <v>4639.8704112095902</v>
      </c>
      <c r="AT2503" s="2">
        <v>7137.0543651398602</v>
      </c>
      <c r="AU2503" s="2">
        <v>6328.2599732169601</v>
      </c>
      <c r="AV2503" s="2">
        <v>3418.70976987529</v>
      </c>
      <c r="AW2503" s="2">
        <v>7420.9510729858202</v>
      </c>
      <c r="AX2503" s="2">
        <v>4441.1976051596703</v>
      </c>
    </row>
    <row r="2504" spans="1:50" x14ac:dyDescent="0.25">
      <c r="A2504" s="2" t="s">
        <v>16831</v>
      </c>
      <c r="B2504" s="2">
        <v>438.21334682403102</v>
      </c>
      <c r="C2504" s="2">
        <v>9.1936333333333309</v>
      </c>
      <c r="D2504" s="2" t="s">
        <v>51</v>
      </c>
      <c r="E2504" s="2" t="s">
        <v>16832</v>
      </c>
      <c r="F2504" s="2">
        <v>82986</v>
      </c>
      <c r="G2504" s="3" t="str">
        <f>HYPERLINK("https://cloud.oebiotech.com/#/lm/network/82986", "https://cloud.oebiotech.com/#/lm/network/82986")</f>
        <v>https://cloud.oebiotech.com/#/lm/network/82986</v>
      </c>
      <c r="H2504" s="2" t="s">
        <v>16833</v>
      </c>
      <c r="I2504" s="2"/>
      <c r="J2504" s="2"/>
      <c r="K2504" s="2">
        <v>71315801</v>
      </c>
      <c r="L2504" s="2"/>
      <c r="M2504" s="2"/>
      <c r="N2504" s="2"/>
      <c r="O2504" s="2"/>
      <c r="P2504" s="2"/>
      <c r="Q2504" s="2"/>
      <c r="R2504" s="2" t="s">
        <v>16834</v>
      </c>
      <c r="S2504" s="2" t="s">
        <v>16835</v>
      </c>
      <c r="T2504" s="2" t="s">
        <v>16836</v>
      </c>
      <c r="U2504" s="2" t="s">
        <v>331</v>
      </c>
      <c r="V2504" s="2" t="s">
        <v>332</v>
      </c>
      <c r="W2504" s="2" t="s">
        <v>333</v>
      </c>
      <c r="X2504" s="2" t="s">
        <v>147</v>
      </c>
      <c r="Y2504" s="2">
        <v>38</v>
      </c>
      <c r="Z2504" s="2">
        <v>0</v>
      </c>
      <c r="AA2504" s="2" t="s">
        <v>163</v>
      </c>
      <c r="AB2504" s="2" t="s">
        <v>16837</v>
      </c>
      <c r="AC2504" s="2">
        <v>1.41988805931201E-2</v>
      </c>
      <c r="AD2504" s="2"/>
      <c r="AE2504" s="2">
        <v>0.25315531620221898</v>
      </c>
      <c r="AF2504" s="2">
        <v>2409.6990081582999</v>
      </c>
      <c r="AG2504" s="2">
        <v>838.01210216763104</v>
      </c>
      <c r="AH2504" s="5">
        <v>2.8754942821533098</v>
      </c>
      <c r="AI2504" s="5">
        <v>1.5238099689679601</v>
      </c>
      <c r="AJ2504" s="5" t="s">
        <v>139</v>
      </c>
      <c r="AK2504" s="2">
        <v>9.5656108827931005E-2</v>
      </c>
      <c r="AL2504" s="2">
        <v>0.39520551016800698</v>
      </c>
      <c r="AM2504" s="2">
        <v>5965.5103944777802</v>
      </c>
      <c r="AN2504" s="2">
        <v>634.02555471211497</v>
      </c>
      <c r="AO2504" s="2">
        <v>1887.012917666</v>
      </c>
      <c r="AP2504" s="2">
        <v>2874.6232007149902</v>
      </c>
      <c r="AQ2504" s="2">
        <v>1281.1331774202999</v>
      </c>
      <c r="AR2504" s="2">
        <v>1815.88880395861</v>
      </c>
      <c r="AS2504" s="2">
        <v>556.986903464595</v>
      </c>
      <c r="AT2504" s="2">
        <v>840.70474887741602</v>
      </c>
      <c r="AU2504" s="2">
        <v>2602.3411073607699</v>
      </c>
      <c r="AV2504" s="2">
        <v>281.81678630225099</v>
      </c>
      <c r="AW2504" s="2">
        <v>533.46885472788995</v>
      </c>
      <c r="AX2504" s="2">
        <v>212.75421227286299</v>
      </c>
    </row>
    <row r="2505" spans="1:50" x14ac:dyDescent="0.25">
      <c r="A2505" s="2" t="s">
        <v>16838</v>
      </c>
      <c r="B2505" s="2">
        <v>311.05773016358199</v>
      </c>
      <c r="C2505" s="2">
        <v>1.1907333333333301</v>
      </c>
      <c r="D2505" s="2" t="s">
        <v>51</v>
      </c>
      <c r="E2505" s="2" t="s">
        <v>16839</v>
      </c>
      <c r="F2505" s="2">
        <v>202382</v>
      </c>
      <c r="G2505" s="3" t="str">
        <f>HYPERLINK("https://cloud.oebiotech.com/#/lm/network/202382", "https://cloud.oebiotech.com/#/lm/network/202382")</f>
        <v>https://cloud.oebiotech.com/#/lm/network/202382</v>
      </c>
      <c r="H2505" s="2" t="s">
        <v>16840</v>
      </c>
      <c r="I2505" s="2">
        <v>423645</v>
      </c>
      <c r="J2505" s="2"/>
      <c r="K2505" s="2">
        <v>83696</v>
      </c>
      <c r="L2505" s="2"/>
      <c r="M2505" s="2"/>
      <c r="N2505" s="2"/>
      <c r="O2505" s="2"/>
      <c r="P2505" s="2"/>
      <c r="Q2505" s="2"/>
      <c r="R2505" s="2"/>
      <c r="S2505" s="2" t="s">
        <v>16841</v>
      </c>
      <c r="T2505" s="2" t="s">
        <v>16842</v>
      </c>
      <c r="U2505" s="2" t="s">
        <v>610</v>
      </c>
      <c r="V2505" s="2" t="s">
        <v>611</v>
      </c>
      <c r="W2505" s="2" t="s">
        <v>5656</v>
      </c>
      <c r="X2505" s="2" t="s">
        <v>147</v>
      </c>
      <c r="Y2505" s="2">
        <v>36.799999999999997</v>
      </c>
      <c r="Z2505" s="2">
        <v>1.8</v>
      </c>
      <c r="AA2505" s="2" t="s">
        <v>95</v>
      </c>
      <c r="AB2505" s="2" t="s">
        <v>16843</v>
      </c>
      <c r="AC2505" s="2">
        <v>1.4331348258582499</v>
      </c>
      <c r="AD2505" s="2"/>
      <c r="AE2505" s="2">
        <v>0.25315334481364898</v>
      </c>
      <c r="AF2505" s="2">
        <v>5314.1091653234798</v>
      </c>
      <c r="AG2505" s="2">
        <v>6826.5611317352104</v>
      </c>
      <c r="AH2505" s="4">
        <v>0.77844599393087299</v>
      </c>
      <c r="AI2505" s="4">
        <v>-0.36133114163412999</v>
      </c>
      <c r="AJ2505" s="4" t="s">
        <v>62</v>
      </c>
      <c r="AK2505" s="2">
        <v>9.7967336517114201E-2</v>
      </c>
      <c r="AL2505" s="2">
        <v>0.39919840556081498</v>
      </c>
      <c r="AM2505" s="2">
        <v>2550.4005203813799</v>
      </c>
      <c r="AN2505" s="2">
        <v>5320.6739853490699</v>
      </c>
      <c r="AO2505" s="2">
        <v>5326.2301470925004</v>
      </c>
      <c r="AP2505" s="2">
        <v>5583.8276790915697</v>
      </c>
      <c r="AQ2505" s="2">
        <v>6363.5401076054304</v>
      </c>
      <c r="AR2505" s="2">
        <v>6739.98255242093</v>
      </c>
      <c r="AS2505" s="2">
        <v>7528.2061966224001</v>
      </c>
      <c r="AT2505" s="2">
        <v>7960.5807871453699</v>
      </c>
      <c r="AU2505" s="2">
        <v>4158.5441477450904</v>
      </c>
      <c r="AV2505" s="2">
        <v>6473.9418207858198</v>
      </c>
      <c r="AW2505" s="2">
        <v>7551.35457775347</v>
      </c>
      <c r="AX2505" s="2">
        <v>7286.7392603590997</v>
      </c>
    </row>
    <row r="2506" spans="1:50" x14ac:dyDescent="0.25">
      <c r="A2506" s="2" t="s">
        <v>16844</v>
      </c>
      <c r="B2506" s="2">
        <v>260.06526346776201</v>
      </c>
      <c r="C2506" s="2">
        <v>5.3260166666666704</v>
      </c>
      <c r="D2506" s="2" t="s">
        <v>51</v>
      </c>
      <c r="E2506" s="2" t="s">
        <v>16845</v>
      </c>
      <c r="F2506" s="2">
        <v>199250</v>
      </c>
      <c r="G2506" s="3" t="str">
        <f>HYPERLINK("https://cloud.oebiotech.com/#/lm/network/199250", "https://cloud.oebiotech.com/#/lm/network/199250")</f>
        <v>https://cloud.oebiotech.com/#/lm/network/199250</v>
      </c>
      <c r="H2506" s="2" t="s">
        <v>16846</v>
      </c>
      <c r="I2506" s="2"/>
      <c r="J2506" s="2"/>
      <c r="K2506" s="2">
        <v>114756</v>
      </c>
      <c r="L2506" s="2"/>
      <c r="M2506" s="2"/>
      <c r="N2506" s="2"/>
      <c r="O2506" s="2"/>
      <c r="P2506" s="2"/>
      <c r="Q2506" s="2"/>
      <c r="R2506" s="2"/>
      <c r="S2506" s="2" t="s">
        <v>16847</v>
      </c>
      <c r="T2506" s="2" t="s">
        <v>16848</v>
      </c>
      <c r="U2506" s="2" t="s">
        <v>103</v>
      </c>
      <c r="V2506" s="2" t="s">
        <v>104</v>
      </c>
      <c r="W2506" s="2" t="s">
        <v>105</v>
      </c>
      <c r="X2506" s="2" t="s">
        <v>147</v>
      </c>
      <c r="Y2506" s="2">
        <v>39.4</v>
      </c>
      <c r="Z2506" s="2">
        <v>2.36</v>
      </c>
      <c r="AA2506" s="2" t="s">
        <v>1888</v>
      </c>
      <c r="AB2506" s="2" t="s">
        <v>16849</v>
      </c>
      <c r="AC2506" s="2">
        <v>-2.38934561992393</v>
      </c>
      <c r="AD2506" s="2"/>
      <c r="AE2506" s="2">
        <v>0.25307298280309998</v>
      </c>
      <c r="AF2506" s="2">
        <v>48.881899741744498</v>
      </c>
      <c r="AG2506" s="2">
        <v>6533.8105137498196</v>
      </c>
      <c r="AH2506" s="4">
        <v>7.48137700640031E-3</v>
      </c>
      <c r="AI2506" s="4">
        <v>-7.0624804507164098</v>
      </c>
      <c r="AJ2506" s="4" t="s">
        <v>62</v>
      </c>
      <c r="AK2506" s="2">
        <v>0.34067598911350799</v>
      </c>
      <c r="AL2506" s="2">
        <v>0.63815037094278604</v>
      </c>
      <c r="AM2506" s="2">
        <v>86.680268168457104</v>
      </c>
      <c r="AN2506" s="2">
        <v>76.289436764266696</v>
      </c>
      <c r="AO2506" s="2">
        <v>90.142576569183902</v>
      </c>
      <c r="AP2506" s="2">
        <v>8.559877937157E-6</v>
      </c>
      <c r="AQ2506" s="2">
        <v>8.559877937157E-6</v>
      </c>
      <c r="AR2506" s="2">
        <v>40.179099828803302</v>
      </c>
      <c r="AS2506" s="2">
        <v>28.820067962417099</v>
      </c>
      <c r="AT2506" s="2">
        <v>8.559877937157E-6</v>
      </c>
      <c r="AU2506" s="2">
        <v>38942.537377932</v>
      </c>
      <c r="AV2506" s="2">
        <v>231.50561092486501</v>
      </c>
      <c r="AW2506" s="2">
        <v>8.559877937157E-6</v>
      </c>
      <c r="AX2506" s="2">
        <v>8.559877937157E-6</v>
      </c>
    </row>
    <row r="2507" spans="1:50" x14ac:dyDescent="0.25">
      <c r="A2507" s="2" t="s">
        <v>16850</v>
      </c>
      <c r="B2507" s="2">
        <v>259.129913856874</v>
      </c>
      <c r="C2507" s="2">
        <v>3.7296666666666698</v>
      </c>
      <c r="D2507" s="2" t="s">
        <v>51</v>
      </c>
      <c r="E2507" s="2" t="s">
        <v>16851</v>
      </c>
      <c r="F2507" s="2">
        <v>51189</v>
      </c>
      <c r="G2507" s="3" t="str">
        <f>HYPERLINK("https://cloud.oebiotech.com/#/lm/network/51189", "https://cloud.oebiotech.com/#/lm/network/51189")</f>
        <v>https://cloud.oebiotech.com/#/lm/network/51189</v>
      </c>
      <c r="H2507" s="2" t="s">
        <v>16852</v>
      </c>
      <c r="I2507" s="2">
        <v>23750</v>
      </c>
      <c r="J2507" s="2"/>
      <c r="K2507" s="2">
        <v>151023</v>
      </c>
      <c r="L2507" s="2"/>
      <c r="M2507" s="2"/>
      <c r="N2507" s="2"/>
      <c r="O2507" s="2">
        <v>68433</v>
      </c>
      <c r="P2507" s="2"/>
      <c r="Q2507" s="2"/>
      <c r="R2507" s="2" t="s">
        <v>16853</v>
      </c>
      <c r="S2507" s="2" t="s">
        <v>16854</v>
      </c>
      <c r="T2507" s="2" t="s">
        <v>16855</v>
      </c>
      <c r="U2507" s="2" t="s">
        <v>103</v>
      </c>
      <c r="V2507" s="2" t="s">
        <v>104</v>
      </c>
      <c r="W2507" s="2" t="s">
        <v>105</v>
      </c>
      <c r="X2507" s="2" t="s">
        <v>69</v>
      </c>
      <c r="Y2507" s="2">
        <v>60.1</v>
      </c>
      <c r="Z2507" s="2">
        <v>95.8</v>
      </c>
      <c r="AA2507" s="2" t="s">
        <v>163</v>
      </c>
      <c r="AB2507" s="2" t="s">
        <v>16856</v>
      </c>
      <c r="AC2507" s="2">
        <v>-0.120935888300804</v>
      </c>
      <c r="AD2507" s="2"/>
      <c r="AE2507" s="2">
        <v>0.25292385297056702</v>
      </c>
      <c r="AF2507" s="2">
        <v>98784.609310671702</v>
      </c>
      <c r="AG2507" s="2">
        <v>77629.178847468094</v>
      </c>
      <c r="AH2507" s="5">
        <v>1.27251905504207</v>
      </c>
      <c r="AI2507" s="5">
        <v>0.34768725976569897</v>
      </c>
      <c r="AJ2507" s="5" t="s">
        <v>139</v>
      </c>
      <c r="AK2507" s="2">
        <v>0.47883157189866399</v>
      </c>
      <c r="AL2507" s="2">
        <v>0.72414606708131002</v>
      </c>
      <c r="AM2507" s="2">
        <v>45999.773792062697</v>
      </c>
      <c r="AN2507" s="2">
        <v>18455.316010786701</v>
      </c>
      <c r="AO2507" s="2">
        <v>138116.15692814</v>
      </c>
      <c r="AP2507" s="2">
        <v>163878.356133672</v>
      </c>
      <c r="AQ2507" s="2">
        <v>99747.422446113793</v>
      </c>
      <c r="AR2507" s="2">
        <v>126510.630553255</v>
      </c>
      <c r="AS2507" s="2">
        <v>83232.823292011104</v>
      </c>
      <c r="AT2507" s="2">
        <v>78186.604053445699</v>
      </c>
      <c r="AU2507" s="2">
        <v>47781.273506237303</v>
      </c>
      <c r="AV2507" s="2">
        <v>47206.893761530002</v>
      </c>
      <c r="AW2507" s="2">
        <v>51281.767237606502</v>
      </c>
      <c r="AX2507" s="2">
        <v>158085.71123397801</v>
      </c>
    </row>
    <row r="2508" spans="1:50" x14ac:dyDescent="0.25">
      <c r="A2508" s="2" t="s">
        <v>16857</v>
      </c>
      <c r="B2508" s="2">
        <v>522.27360446327498</v>
      </c>
      <c r="C2508" s="2">
        <v>4.1970666666666698</v>
      </c>
      <c r="D2508" s="2" t="s">
        <v>51</v>
      </c>
      <c r="E2508" s="2" t="s">
        <v>16858</v>
      </c>
      <c r="F2508" s="2">
        <v>48609</v>
      </c>
      <c r="G2508" s="3" t="str">
        <f>HYPERLINK("https://cloud.oebiotech.com/#/lm/network/48609", "https://cloud.oebiotech.com/#/lm/network/48609")</f>
        <v>https://cloud.oebiotech.com/#/lm/network/48609</v>
      </c>
      <c r="H2508" s="2" t="s">
        <v>16859</v>
      </c>
      <c r="I2508" s="2">
        <v>58312</v>
      </c>
      <c r="J2508" s="2"/>
      <c r="K2508" s="2">
        <v>119303</v>
      </c>
      <c r="L2508" s="2"/>
      <c r="M2508" s="2"/>
      <c r="N2508" s="2"/>
      <c r="O2508" s="2">
        <v>422134</v>
      </c>
      <c r="P2508" s="2"/>
      <c r="Q2508" s="2"/>
      <c r="R2508" s="2" t="s">
        <v>16860</v>
      </c>
      <c r="S2508" s="2" t="s">
        <v>16861</v>
      </c>
      <c r="T2508" s="2" t="s">
        <v>16862</v>
      </c>
      <c r="U2508" s="2" t="s">
        <v>103</v>
      </c>
      <c r="V2508" s="2" t="s">
        <v>104</v>
      </c>
      <c r="W2508" s="2" t="s">
        <v>105</v>
      </c>
      <c r="X2508" s="2" t="s">
        <v>147</v>
      </c>
      <c r="Y2508" s="2">
        <v>41.3</v>
      </c>
      <c r="Z2508" s="2">
        <v>31.5</v>
      </c>
      <c r="AA2508" s="2" t="s">
        <v>259</v>
      </c>
      <c r="AB2508" s="2" t="s">
        <v>16863</v>
      </c>
      <c r="AC2508" s="2">
        <v>4.81289307355497</v>
      </c>
      <c r="AD2508" s="2"/>
      <c r="AE2508" s="2">
        <v>0.25291966999007998</v>
      </c>
      <c r="AF2508" s="2">
        <v>1625.95717658026</v>
      </c>
      <c r="AG2508" s="2">
        <v>4750.8634089707202</v>
      </c>
      <c r="AH2508" s="4">
        <v>0.34224456411651</v>
      </c>
      <c r="AI2508" s="4">
        <v>-1.5469004676026801</v>
      </c>
      <c r="AJ2508" s="4" t="s">
        <v>62</v>
      </c>
      <c r="AK2508" s="2">
        <v>0.394389856927439</v>
      </c>
      <c r="AL2508" s="2">
        <v>0.666522226182239</v>
      </c>
      <c r="AM2508" s="2">
        <v>2055.28947875938</v>
      </c>
      <c r="AN2508" s="2">
        <v>8.559877937157E-6</v>
      </c>
      <c r="AO2508" s="2">
        <v>2734.74818757291</v>
      </c>
      <c r="AP2508" s="2">
        <v>8.559877937157E-6</v>
      </c>
      <c r="AQ2508" s="2">
        <v>1269.0248093881401</v>
      </c>
      <c r="AR2508" s="2">
        <v>3696.6805666414002</v>
      </c>
      <c r="AS2508" s="2">
        <v>646.33231692993695</v>
      </c>
      <c r="AT2508" s="2">
        <v>966.25621156355703</v>
      </c>
      <c r="AU2508" s="2">
        <v>1013.73207859942</v>
      </c>
      <c r="AV2508" s="2">
        <v>22004.675937784901</v>
      </c>
      <c r="AW2508" s="2">
        <v>1728.95764153253</v>
      </c>
      <c r="AX2508" s="2">
        <v>2145.2262674139902</v>
      </c>
    </row>
    <row r="2509" spans="1:50" x14ac:dyDescent="0.25">
      <c r="A2509" s="2" t="s">
        <v>16864</v>
      </c>
      <c r="B2509" s="2">
        <v>253.108128760857</v>
      </c>
      <c r="C2509" s="2">
        <v>6.69281666666667</v>
      </c>
      <c r="D2509" s="2" t="s">
        <v>51</v>
      </c>
      <c r="E2509" s="2" t="s">
        <v>16865</v>
      </c>
      <c r="F2509" s="2">
        <v>2664</v>
      </c>
      <c r="G2509" s="3" t="str">
        <f>HYPERLINK("https://cloud.oebiotech.com/#/lm/network/2664", "https://cloud.oebiotech.com/#/lm/network/2664")</f>
        <v>https://cloud.oebiotech.com/#/lm/network/2664</v>
      </c>
      <c r="H2509" s="2"/>
      <c r="I2509" s="2"/>
      <c r="J2509" s="2" t="s">
        <v>16866</v>
      </c>
      <c r="K2509" s="2">
        <v>134812137</v>
      </c>
      <c r="L2509" s="2"/>
      <c r="M2509" s="2"/>
      <c r="N2509" s="2"/>
      <c r="O2509" s="2"/>
      <c r="P2509" s="2"/>
      <c r="Q2509" s="2"/>
      <c r="R2509" s="2"/>
      <c r="S2509" s="2" t="s">
        <v>16867</v>
      </c>
      <c r="T2509" s="2" t="s">
        <v>16868</v>
      </c>
      <c r="U2509" s="2" t="s">
        <v>56</v>
      </c>
      <c r="V2509" s="2" t="s">
        <v>145</v>
      </c>
      <c r="W2509" s="2" t="s">
        <v>231</v>
      </c>
      <c r="X2509" s="2" t="s">
        <v>83</v>
      </c>
      <c r="Y2509" s="2">
        <v>42.8</v>
      </c>
      <c r="Z2509" s="2">
        <v>0</v>
      </c>
      <c r="AA2509" s="2" t="s">
        <v>163</v>
      </c>
      <c r="AB2509" s="2" t="s">
        <v>16869</v>
      </c>
      <c r="AC2509" s="2">
        <v>-7.2731528647377405E-2</v>
      </c>
      <c r="AD2509" s="2"/>
      <c r="AE2509" s="2">
        <v>0.252802577770675</v>
      </c>
      <c r="AF2509" s="2">
        <v>1045.7465387580401</v>
      </c>
      <c r="AG2509" s="2">
        <v>2156.4789706845399</v>
      </c>
      <c r="AH2509" s="4">
        <v>0.484932407398381</v>
      </c>
      <c r="AI2509" s="4">
        <v>-1.04414442450919</v>
      </c>
      <c r="AJ2509" s="4" t="s">
        <v>62</v>
      </c>
      <c r="AK2509" s="2">
        <v>3.4050830604952399E-4</v>
      </c>
      <c r="AL2509" s="2">
        <v>5.3199942447790097E-2</v>
      </c>
      <c r="AM2509" s="2">
        <v>632.17402380054</v>
      </c>
      <c r="AN2509" s="2">
        <v>638.92328335841</v>
      </c>
      <c r="AO2509" s="2">
        <v>997.58406221440305</v>
      </c>
      <c r="AP2509" s="2">
        <v>1378.3184640786999</v>
      </c>
      <c r="AQ2509" s="2">
        <v>1598.6473947735799</v>
      </c>
      <c r="AR2509" s="2">
        <v>1028.8320043225899</v>
      </c>
      <c r="AS2509" s="2">
        <v>2042.68386603155</v>
      </c>
      <c r="AT2509" s="2">
        <v>1939.6604586132601</v>
      </c>
      <c r="AU2509" s="2">
        <v>1727.22953966612</v>
      </c>
      <c r="AV2509" s="2">
        <v>2144.5558711052099</v>
      </c>
      <c r="AW2509" s="2">
        <v>2622.6598647580099</v>
      </c>
      <c r="AX2509" s="2">
        <v>2462.0842239331</v>
      </c>
    </row>
    <row r="2510" spans="1:50" x14ac:dyDescent="0.25">
      <c r="A2510" s="2" t="s">
        <v>16870</v>
      </c>
      <c r="B2510" s="2">
        <v>411.35938687413</v>
      </c>
      <c r="C2510" s="2">
        <v>15.024316666666699</v>
      </c>
      <c r="D2510" s="2" t="s">
        <v>51</v>
      </c>
      <c r="E2510" s="2" t="s">
        <v>16871</v>
      </c>
      <c r="F2510" s="2">
        <v>44353</v>
      </c>
      <c r="G2510" s="3" t="str">
        <f>HYPERLINK("https://cloud.oebiotech.com/#/lm/network/44353", "https://cloud.oebiotech.com/#/lm/network/44353")</f>
        <v>https://cloud.oebiotech.com/#/lm/network/44353</v>
      </c>
      <c r="H2510" s="2"/>
      <c r="I2510" s="2"/>
      <c r="J2510" s="2" t="s">
        <v>16872</v>
      </c>
      <c r="K2510" s="2">
        <v>11560992</v>
      </c>
      <c r="L2510" s="2"/>
      <c r="M2510" s="2"/>
      <c r="N2510" s="2"/>
      <c r="O2510" s="2">
        <v>65998</v>
      </c>
      <c r="P2510" s="2"/>
      <c r="Q2510" s="2"/>
      <c r="R2510" s="2"/>
      <c r="S2510" s="2" t="s">
        <v>16873</v>
      </c>
      <c r="T2510" s="2" t="s">
        <v>16874</v>
      </c>
      <c r="U2510" s="2" t="s">
        <v>56</v>
      </c>
      <c r="V2510" s="2" t="s">
        <v>283</v>
      </c>
      <c r="W2510" s="2" t="s">
        <v>10738</v>
      </c>
      <c r="X2510" s="2" t="s">
        <v>83</v>
      </c>
      <c r="Y2510" s="2">
        <v>55.3</v>
      </c>
      <c r="Z2510" s="2">
        <v>0</v>
      </c>
      <c r="AA2510" s="2" t="s">
        <v>156</v>
      </c>
      <c r="AB2510" s="2" t="s">
        <v>8760</v>
      </c>
      <c r="AC2510" s="2">
        <v>-6.4329522217367501</v>
      </c>
      <c r="AD2510" s="2"/>
      <c r="AE2510" s="2">
        <v>0.25269743737110101</v>
      </c>
      <c r="AF2510" s="2">
        <v>1973.79538008178</v>
      </c>
      <c r="AG2510" s="2">
        <v>4316.4739013629996</v>
      </c>
      <c r="AH2510" s="4">
        <v>0.45727031488792802</v>
      </c>
      <c r="AI2510" s="4">
        <v>-1.1288808296984301</v>
      </c>
      <c r="AJ2510" s="4" t="s">
        <v>62</v>
      </c>
      <c r="AK2510" s="2">
        <v>0.132395213938339</v>
      </c>
      <c r="AL2510" s="2">
        <v>0.45304344965528298</v>
      </c>
      <c r="AM2510" s="2">
        <v>4521.41193632462</v>
      </c>
      <c r="AN2510" s="2">
        <v>2275.4015885686699</v>
      </c>
      <c r="AO2510" s="2">
        <v>1709.6153958156201</v>
      </c>
      <c r="AP2510" s="2">
        <v>438.564542098765</v>
      </c>
      <c r="AQ2510" s="2">
        <v>2135.7724813251298</v>
      </c>
      <c r="AR2510" s="2">
        <v>762.00633635787005</v>
      </c>
      <c r="AS2510" s="2">
        <v>9068.50893729989</v>
      </c>
      <c r="AT2510" s="2">
        <v>1950.3504945121001</v>
      </c>
      <c r="AU2510" s="2">
        <v>1504.0396339352701</v>
      </c>
      <c r="AV2510" s="2">
        <v>6815.9748161140797</v>
      </c>
      <c r="AW2510" s="2">
        <v>5062.1309804683397</v>
      </c>
      <c r="AX2510" s="2">
        <v>1497.8385458482901</v>
      </c>
    </row>
    <row r="2511" spans="1:50" x14ac:dyDescent="0.25">
      <c r="A2511" s="2" t="s">
        <v>16875</v>
      </c>
      <c r="B2511" s="2">
        <v>535.40059486587802</v>
      </c>
      <c r="C2511" s="2">
        <v>11.381349999999999</v>
      </c>
      <c r="D2511" s="2" t="s">
        <v>51</v>
      </c>
      <c r="E2511" s="2" t="s">
        <v>16876</v>
      </c>
      <c r="F2511" s="2">
        <v>2215</v>
      </c>
      <c r="G2511" s="3" t="str">
        <f>HYPERLINK("https://cloud.oebiotech.com/#/lm/network/2215", "https://cloud.oebiotech.com/#/lm/network/2215")</f>
        <v>https://cloud.oebiotech.com/#/lm/network/2215</v>
      </c>
      <c r="H2511" s="2"/>
      <c r="I2511" s="2"/>
      <c r="J2511" s="2" t="s">
        <v>16877</v>
      </c>
      <c r="K2511" s="2">
        <v>11196453</v>
      </c>
      <c r="L2511" s="2"/>
      <c r="M2511" s="2"/>
      <c r="N2511" s="2"/>
      <c r="O2511" s="2"/>
      <c r="P2511" s="2"/>
      <c r="Q2511" s="2"/>
      <c r="R2511" s="2"/>
      <c r="S2511" s="2" t="s">
        <v>16878</v>
      </c>
      <c r="T2511" s="2" t="s">
        <v>16879</v>
      </c>
      <c r="U2511" s="2" t="s">
        <v>56</v>
      </c>
      <c r="V2511" s="2" t="s">
        <v>145</v>
      </c>
      <c r="W2511" s="2" t="s">
        <v>231</v>
      </c>
      <c r="X2511" s="2" t="s">
        <v>83</v>
      </c>
      <c r="Y2511" s="2">
        <v>44.5</v>
      </c>
      <c r="Z2511" s="2">
        <v>0</v>
      </c>
      <c r="AA2511" s="2" t="s">
        <v>478</v>
      </c>
      <c r="AB2511" s="2" t="s">
        <v>16880</v>
      </c>
      <c r="AC2511" s="2">
        <v>0.33889260183566</v>
      </c>
      <c r="AD2511" s="2"/>
      <c r="AE2511" s="2">
        <v>0.25262445270289102</v>
      </c>
      <c r="AF2511" s="2">
        <v>10304.100902586801</v>
      </c>
      <c r="AG2511" s="2">
        <v>7525.0148419581901</v>
      </c>
      <c r="AH2511" s="5">
        <v>1.36931303379402</v>
      </c>
      <c r="AI2511" s="5">
        <v>0.45345229369412499</v>
      </c>
      <c r="AJ2511" s="5" t="s">
        <v>139</v>
      </c>
      <c r="AK2511" s="2">
        <v>5.7546302631382697E-2</v>
      </c>
      <c r="AL2511" s="2">
        <v>0.32662753223950203</v>
      </c>
      <c r="AM2511" s="2">
        <v>6865.85470994959</v>
      </c>
      <c r="AN2511" s="2">
        <v>13242.2490534916</v>
      </c>
      <c r="AO2511" s="2">
        <v>9453.3842771293494</v>
      </c>
      <c r="AP2511" s="2">
        <v>11708.8430198844</v>
      </c>
      <c r="AQ2511" s="2">
        <v>11773.5602295925</v>
      </c>
      <c r="AR2511" s="2">
        <v>8780.7141254734306</v>
      </c>
      <c r="AS2511" s="2">
        <v>10369.518519671199</v>
      </c>
      <c r="AT2511" s="2">
        <v>7899.8614970997196</v>
      </c>
      <c r="AU2511" s="2">
        <v>4725.2335381766097</v>
      </c>
      <c r="AV2511" s="2">
        <v>5423.1649450751202</v>
      </c>
      <c r="AW2511" s="2">
        <v>7724.6858571707598</v>
      </c>
      <c r="AX2511" s="2">
        <v>9007.6246945557104</v>
      </c>
    </row>
    <row r="2512" spans="1:50" x14ac:dyDescent="0.25">
      <c r="A2512" s="2" t="s">
        <v>16881</v>
      </c>
      <c r="B2512" s="2">
        <v>209.045009997303</v>
      </c>
      <c r="C2512" s="2">
        <v>4.6470166666666701</v>
      </c>
      <c r="D2512" s="2" t="s">
        <v>51</v>
      </c>
      <c r="E2512" s="2" t="s">
        <v>16882</v>
      </c>
      <c r="F2512" s="2">
        <v>51488</v>
      </c>
      <c r="G2512" s="3" t="str">
        <f>HYPERLINK("https://cloud.oebiotech.com/#/lm/network/51488", "https://cloud.oebiotech.com/#/lm/network/51488")</f>
        <v>https://cloud.oebiotech.com/#/lm/network/51488</v>
      </c>
      <c r="H2512" s="2" t="s">
        <v>16883</v>
      </c>
      <c r="I2512" s="2">
        <v>62448</v>
      </c>
      <c r="J2512" s="2"/>
      <c r="K2512" s="2">
        <v>14124</v>
      </c>
      <c r="L2512" s="2"/>
      <c r="M2512" s="2"/>
      <c r="N2512" s="2"/>
      <c r="O2512" s="2"/>
      <c r="P2512" s="2"/>
      <c r="Q2512" s="2"/>
      <c r="R2512" s="2" t="s">
        <v>16884</v>
      </c>
      <c r="S2512" s="2" t="s">
        <v>16885</v>
      </c>
      <c r="T2512" s="2" t="s">
        <v>16886</v>
      </c>
      <c r="U2512" s="2" t="s">
        <v>610</v>
      </c>
      <c r="V2512" s="2" t="s">
        <v>611</v>
      </c>
      <c r="W2512" s="2" t="s">
        <v>16887</v>
      </c>
      <c r="X2512" s="2" t="s">
        <v>69</v>
      </c>
      <c r="Y2512" s="2">
        <v>53.4</v>
      </c>
      <c r="Z2512" s="2">
        <v>50.3</v>
      </c>
      <c r="AA2512" s="2" t="s">
        <v>163</v>
      </c>
      <c r="AB2512" s="2" t="s">
        <v>16888</v>
      </c>
      <c r="AC2512" s="2">
        <v>-2.55644836734831</v>
      </c>
      <c r="AD2512" s="2"/>
      <c r="AE2512" s="2">
        <v>0.25235483319662999</v>
      </c>
      <c r="AF2512" s="2">
        <v>30236.069423121</v>
      </c>
      <c r="AG2512" s="2">
        <v>34120.366554410997</v>
      </c>
      <c r="AH2512" s="4">
        <v>0.88615898586271702</v>
      </c>
      <c r="AI2512" s="4">
        <v>-0.17436253883956701</v>
      </c>
      <c r="AJ2512" s="4" t="s">
        <v>62</v>
      </c>
      <c r="AK2512" s="2">
        <v>0.195707996351244</v>
      </c>
      <c r="AL2512" s="2">
        <v>0.51964149120632097</v>
      </c>
      <c r="AM2512" s="2">
        <v>26083.100107639799</v>
      </c>
      <c r="AN2512" s="2">
        <v>32089.869100756499</v>
      </c>
      <c r="AO2512" s="2">
        <v>31873.9425882244</v>
      </c>
      <c r="AP2512" s="2">
        <v>32110.4604177213</v>
      </c>
      <c r="AQ2512" s="2">
        <v>31174.4681739558</v>
      </c>
      <c r="AR2512" s="2">
        <v>28084.5761504283</v>
      </c>
      <c r="AS2512" s="2">
        <v>35662.066542458298</v>
      </c>
      <c r="AT2512" s="2">
        <v>45794.4970774385</v>
      </c>
      <c r="AU2512" s="2">
        <v>34675.905645261701</v>
      </c>
      <c r="AV2512" s="2">
        <v>28816.1186148669</v>
      </c>
      <c r="AW2512" s="2">
        <v>30102.723718848501</v>
      </c>
      <c r="AX2512" s="2">
        <v>29670.887727591999</v>
      </c>
    </row>
    <row r="2513" spans="1:50" x14ac:dyDescent="0.25">
      <c r="A2513" s="2" t="s">
        <v>16889</v>
      </c>
      <c r="B2513" s="2">
        <v>351.21783789824298</v>
      </c>
      <c r="C2513" s="2">
        <v>4.7497999999999996</v>
      </c>
      <c r="D2513" s="2" t="s">
        <v>51</v>
      </c>
      <c r="E2513" s="2" t="s">
        <v>16890</v>
      </c>
      <c r="F2513" s="2">
        <v>3652</v>
      </c>
      <c r="G2513" s="3" t="str">
        <f>HYPERLINK("https://cloud.oebiotech.com/#/lm/network/3652", "https://cloud.oebiotech.com/#/lm/network/3652")</f>
        <v>https://cloud.oebiotech.com/#/lm/network/3652</v>
      </c>
      <c r="H2513" s="2"/>
      <c r="I2513" s="2">
        <v>3818</v>
      </c>
      <c r="J2513" s="2" t="s">
        <v>16891</v>
      </c>
      <c r="K2513" s="2">
        <v>5283037</v>
      </c>
      <c r="L2513" s="2"/>
      <c r="M2513" s="2"/>
      <c r="N2513" s="2"/>
      <c r="O2513" s="2"/>
      <c r="P2513" s="2"/>
      <c r="Q2513" s="2"/>
      <c r="R2513" s="2" t="s">
        <v>16892</v>
      </c>
      <c r="S2513" s="2" t="s">
        <v>16893</v>
      </c>
      <c r="T2513" s="2" t="s">
        <v>16894</v>
      </c>
      <c r="U2513" s="2" t="s">
        <v>56</v>
      </c>
      <c r="V2513" s="2" t="s">
        <v>145</v>
      </c>
      <c r="W2513" s="2" t="s">
        <v>187</v>
      </c>
      <c r="X2513" s="2" t="s">
        <v>59</v>
      </c>
      <c r="Y2513" s="2">
        <v>53.6</v>
      </c>
      <c r="Z2513" s="2">
        <v>77.400000000000006</v>
      </c>
      <c r="AA2513" s="2" t="s">
        <v>259</v>
      </c>
      <c r="AB2513" s="2" t="s">
        <v>950</v>
      </c>
      <c r="AC2513" s="2">
        <v>3.5333335173678</v>
      </c>
      <c r="AD2513" s="2"/>
      <c r="AE2513" s="2">
        <v>0.25229808696142902</v>
      </c>
      <c r="AF2513" s="2">
        <v>6021.54166594866</v>
      </c>
      <c r="AG2513" s="2">
        <v>3903.47685258714</v>
      </c>
      <c r="AH2513" s="5">
        <v>1.54260980488656</v>
      </c>
      <c r="AI2513" s="5">
        <v>0.62537318585902801</v>
      </c>
      <c r="AJ2513" s="5" t="s">
        <v>139</v>
      </c>
      <c r="AK2513" s="2">
        <v>0.12620355606429801</v>
      </c>
      <c r="AL2513" s="2">
        <v>0.44453105456562703</v>
      </c>
      <c r="AM2513" s="2">
        <v>4412.4542038438904</v>
      </c>
      <c r="AN2513" s="2">
        <v>8898.0300606984893</v>
      </c>
      <c r="AO2513" s="2">
        <v>7063.5606927670797</v>
      </c>
      <c r="AP2513" s="2">
        <v>5643.3794959858296</v>
      </c>
      <c r="AQ2513" s="2">
        <v>4344.7537625524901</v>
      </c>
      <c r="AR2513" s="2">
        <v>5767.0717798441601</v>
      </c>
      <c r="AS2513" s="2">
        <v>4925.8553569426704</v>
      </c>
      <c r="AT2513" s="2">
        <v>2104.4924179056102</v>
      </c>
      <c r="AU2513" s="2">
        <v>8408.8250604139903</v>
      </c>
      <c r="AV2513" s="2">
        <v>1518.6541689262799</v>
      </c>
      <c r="AW2513" s="2">
        <v>4283.5028699557797</v>
      </c>
      <c r="AX2513" s="2">
        <v>2179.53124137851</v>
      </c>
    </row>
    <row r="2514" spans="1:50" x14ac:dyDescent="0.25">
      <c r="A2514" s="2" t="s">
        <v>16895</v>
      </c>
      <c r="B2514" s="2">
        <v>263.14013724562699</v>
      </c>
      <c r="C2514" s="2">
        <v>3.8912833333333299</v>
      </c>
      <c r="D2514" s="2" t="s">
        <v>51</v>
      </c>
      <c r="E2514" s="2" t="s">
        <v>16896</v>
      </c>
      <c r="F2514" s="2">
        <v>57693</v>
      </c>
      <c r="G2514" s="3" t="str">
        <f>HYPERLINK("https://cloud.oebiotech.com/#/lm/network/57693", "https://cloud.oebiotech.com/#/lm/network/57693")</f>
        <v>https://cloud.oebiotech.com/#/lm/network/57693</v>
      </c>
      <c r="H2514" s="2" t="s">
        <v>16897</v>
      </c>
      <c r="I2514" s="2"/>
      <c r="J2514" s="2"/>
      <c r="K2514" s="2">
        <v>92339985</v>
      </c>
      <c r="L2514" s="2" t="s">
        <v>16898</v>
      </c>
      <c r="M2514" s="2" t="s">
        <v>1194</v>
      </c>
      <c r="N2514" s="2" t="s">
        <v>1195</v>
      </c>
      <c r="O2514" s="2"/>
      <c r="P2514" s="2"/>
      <c r="Q2514" s="2"/>
      <c r="R2514" s="2" t="s">
        <v>16899</v>
      </c>
      <c r="S2514" s="2" t="s">
        <v>16900</v>
      </c>
      <c r="T2514" s="2" t="s">
        <v>16901</v>
      </c>
      <c r="U2514" s="2" t="s">
        <v>540</v>
      </c>
      <c r="V2514" s="2" t="s">
        <v>3291</v>
      </c>
      <c r="W2514" s="2" t="s">
        <v>3292</v>
      </c>
      <c r="X2514" s="2" t="s">
        <v>83</v>
      </c>
      <c r="Y2514" s="2">
        <v>52.5</v>
      </c>
      <c r="Z2514" s="2">
        <v>0</v>
      </c>
      <c r="AA2514" s="2" t="s">
        <v>163</v>
      </c>
      <c r="AB2514" s="2" t="s">
        <v>11718</v>
      </c>
      <c r="AC2514" s="2">
        <v>8.01368764358205E-2</v>
      </c>
      <c r="AD2514" s="2"/>
      <c r="AE2514" s="2">
        <v>0.25226931665803598</v>
      </c>
      <c r="AF2514" s="2">
        <v>6076.8657390134704</v>
      </c>
      <c r="AG2514" s="2">
        <v>3574.7281413423502</v>
      </c>
      <c r="AH2514" s="5">
        <v>1.6999518561239599</v>
      </c>
      <c r="AI2514" s="5">
        <v>0.76549388876606805</v>
      </c>
      <c r="AJ2514" s="5" t="s">
        <v>139</v>
      </c>
      <c r="AK2514" s="2">
        <v>6.1663470016219399E-2</v>
      </c>
      <c r="AL2514" s="2">
        <v>0.33469870837719101</v>
      </c>
      <c r="AM2514" s="2">
        <v>3063.8212847059699</v>
      </c>
      <c r="AN2514" s="2">
        <v>4615.4316249392195</v>
      </c>
      <c r="AO2514" s="2">
        <v>5719.76225825042</v>
      </c>
      <c r="AP2514" s="2">
        <v>8596.5830873254999</v>
      </c>
      <c r="AQ2514" s="2">
        <v>8017.6664977424498</v>
      </c>
      <c r="AR2514" s="2">
        <v>6447.9296811172599</v>
      </c>
      <c r="AS2514" s="2">
        <v>3641.61707686299</v>
      </c>
      <c r="AT2514" s="2">
        <v>3914.9200275564899</v>
      </c>
      <c r="AU2514" s="2">
        <v>7076.2905439904698</v>
      </c>
      <c r="AV2514" s="2">
        <v>1106.1570491770101</v>
      </c>
      <c r="AW2514" s="2">
        <v>3667.65689704954</v>
      </c>
      <c r="AX2514" s="2">
        <v>2041.72725341762</v>
      </c>
    </row>
    <row r="2515" spans="1:50" x14ac:dyDescent="0.25">
      <c r="A2515" s="2" t="s">
        <v>16902</v>
      </c>
      <c r="B2515" s="2">
        <v>166.053639977074</v>
      </c>
      <c r="C2515" s="2">
        <v>0.68110000000000004</v>
      </c>
      <c r="D2515" s="2" t="s">
        <v>51</v>
      </c>
      <c r="E2515" s="2" t="s">
        <v>16903</v>
      </c>
      <c r="F2515" s="2">
        <v>47759</v>
      </c>
      <c r="G2515" s="3" t="str">
        <f>HYPERLINK("https://cloud.oebiotech.com/#/lm/network/47759", "https://cloud.oebiotech.com/#/lm/network/47759")</f>
        <v>https://cloud.oebiotech.com/#/lm/network/47759</v>
      </c>
      <c r="H2515" s="2" t="s">
        <v>16904</v>
      </c>
      <c r="I2515" s="2">
        <v>63430</v>
      </c>
      <c r="J2515" s="2"/>
      <c r="K2515" s="2">
        <v>158980</v>
      </c>
      <c r="L2515" s="2" t="s">
        <v>16905</v>
      </c>
      <c r="M2515" s="2" t="s">
        <v>8993</v>
      </c>
      <c r="N2515" s="2" t="s">
        <v>8994</v>
      </c>
      <c r="O2515" s="2">
        <v>17016</v>
      </c>
      <c r="P2515" s="2"/>
      <c r="Q2515" s="2"/>
      <c r="R2515" s="2" t="s">
        <v>16906</v>
      </c>
      <c r="S2515" s="2" t="s">
        <v>16907</v>
      </c>
      <c r="T2515" s="2" t="s">
        <v>16908</v>
      </c>
      <c r="U2515" s="2" t="s">
        <v>103</v>
      </c>
      <c r="V2515" s="2" t="s">
        <v>104</v>
      </c>
      <c r="W2515" s="2" t="s">
        <v>105</v>
      </c>
      <c r="X2515" s="2" t="s">
        <v>69</v>
      </c>
      <c r="Y2515" s="2">
        <v>52</v>
      </c>
      <c r="Z2515" s="2">
        <v>65.5</v>
      </c>
      <c r="AA2515" s="2" t="s">
        <v>60</v>
      </c>
      <c r="AB2515" s="2" t="s">
        <v>16909</v>
      </c>
      <c r="AC2515" s="2">
        <v>2.41950068516618</v>
      </c>
      <c r="AD2515" s="2"/>
      <c r="AE2515" s="2">
        <v>0.25204448073629698</v>
      </c>
      <c r="AF2515" s="2">
        <v>72327.085889540496</v>
      </c>
      <c r="AG2515" s="2">
        <v>80679.677164471796</v>
      </c>
      <c r="AH2515" s="4">
        <v>0.89647217777156096</v>
      </c>
      <c r="AI2515" s="4">
        <v>-0.15766928548456599</v>
      </c>
      <c r="AJ2515" s="4" t="s">
        <v>62</v>
      </c>
      <c r="AK2515" s="2">
        <v>0.58937530480856204</v>
      </c>
      <c r="AL2515" s="2">
        <v>0.79327163560381597</v>
      </c>
      <c r="AM2515" s="2">
        <v>90823.150324433605</v>
      </c>
      <c r="AN2515" s="2">
        <v>88206.426466897799</v>
      </c>
      <c r="AO2515" s="2">
        <v>39548.986328316598</v>
      </c>
      <c r="AP2515" s="2">
        <v>107024.636128315</v>
      </c>
      <c r="AQ2515" s="2">
        <v>63003.9877598526</v>
      </c>
      <c r="AR2515" s="2">
        <v>45355.328329427197</v>
      </c>
      <c r="AS2515" s="2">
        <v>54362.509029269597</v>
      </c>
      <c r="AT2515" s="2">
        <v>73494.925632242201</v>
      </c>
      <c r="AU2515" s="2">
        <v>92444.112582100002</v>
      </c>
      <c r="AV2515" s="2">
        <v>81086.161489941005</v>
      </c>
      <c r="AW2515" s="2">
        <v>60247.483302441702</v>
      </c>
      <c r="AX2515" s="2">
        <v>122442.870950836</v>
      </c>
    </row>
    <row r="2516" spans="1:50" x14ac:dyDescent="0.25">
      <c r="A2516" s="2" t="s">
        <v>16910</v>
      </c>
      <c r="B2516" s="2">
        <v>449.36415067496398</v>
      </c>
      <c r="C2516" s="2">
        <v>13.510733333333301</v>
      </c>
      <c r="D2516" s="2" t="s">
        <v>51</v>
      </c>
      <c r="E2516" s="2" t="s">
        <v>16911</v>
      </c>
      <c r="F2516" s="2">
        <v>43485</v>
      </c>
      <c r="G2516" s="3" t="str">
        <f>HYPERLINK("https://cloud.oebiotech.com/#/lm/network/43485", "https://cloud.oebiotech.com/#/lm/network/43485")</f>
        <v>https://cloud.oebiotech.com/#/lm/network/43485</v>
      </c>
      <c r="H2516" s="2"/>
      <c r="I2516" s="2">
        <v>57591</v>
      </c>
      <c r="J2516" s="2" t="s">
        <v>16912</v>
      </c>
      <c r="K2516" s="2">
        <v>6367315</v>
      </c>
      <c r="L2516" s="2"/>
      <c r="M2516" s="2"/>
      <c r="N2516" s="2"/>
      <c r="O2516" s="2">
        <v>132620</v>
      </c>
      <c r="P2516" s="2"/>
      <c r="Q2516" s="2"/>
      <c r="R2516" s="2"/>
      <c r="S2516" s="2" t="s">
        <v>16913</v>
      </c>
      <c r="T2516" s="2" t="s">
        <v>16914</v>
      </c>
      <c r="U2516" s="2" t="s">
        <v>56</v>
      </c>
      <c r="V2516" s="2" t="s">
        <v>283</v>
      </c>
      <c r="W2516" s="2" t="s">
        <v>1108</v>
      </c>
      <c r="X2516" s="2" t="s">
        <v>69</v>
      </c>
      <c r="Y2516" s="2">
        <v>67.5</v>
      </c>
      <c r="Z2516" s="2">
        <v>59.3</v>
      </c>
      <c r="AA2516" s="2" t="s">
        <v>218</v>
      </c>
      <c r="AB2516" s="2" t="s">
        <v>16915</v>
      </c>
      <c r="AC2516" s="2">
        <v>1.2786119785910099</v>
      </c>
      <c r="AD2516" s="2"/>
      <c r="AE2516" s="2">
        <v>0.251727353696517</v>
      </c>
      <c r="AF2516" s="2">
        <v>165474.23794240001</v>
      </c>
      <c r="AG2516" s="2">
        <v>152748.67185739701</v>
      </c>
      <c r="AH2516" s="5">
        <v>1.0833104859784599</v>
      </c>
      <c r="AI2516" s="5">
        <v>0.11544679085394199</v>
      </c>
      <c r="AJ2516" s="5" t="s">
        <v>139</v>
      </c>
      <c r="AK2516" s="2">
        <v>0.69363980259882796</v>
      </c>
      <c r="AL2516" s="2">
        <v>0.85292768716358003</v>
      </c>
      <c r="AM2516" s="2">
        <v>95971.562721846101</v>
      </c>
      <c r="AN2516" s="2">
        <v>196352.309544444</v>
      </c>
      <c r="AO2516" s="2">
        <v>166016.400213405</v>
      </c>
      <c r="AP2516" s="2">
        <v>221052.04185434099</v>
      </c>
      <c r="AQ2516" s="2">
        <v>170018.78348984799</v>
      </c>
      <c r="AR2516" s="2">
        <v>143434.32983051799</v>
      </c>
      <c r="AS2516" s="2">
        <v>76699.485784176606</v>
      </c>
      <c r="AT2516" s="2">
        <v>206851.85144968599</v>
      </c>
      <c r="AU2516" s="2">
        <v>167079.349529103</v>
      </c>
      <c r="AV2516" s="2">
        <v>91909.866033735103</v>
      </c>
      <c r="AW2516" s="2">
        <v>237983.633985441</v>
      </c>
      <c r="AX2516" s="2">
        <v>135967.84436223799</v>
      </c>
    </row>
    <row r="2517" spans="1:50" x14ac:dyDescent="0.25">
      <c r="A2517" s="2" t="s">
        <v>16916</v>
      </c>
      <c r="B2517" s="2">
        <v>297.07547984594402</v>
      </c>
      <c r="C2517" s="2">
        <v>4.3619500000000002</v>
      </c>
      <c r="D2517" s="2" t="s">
        <v>51</v>
      </c>
      <c r="E2517" s="2" t="s">
        <v>16917</v>
      </c>
      <c r="F2517" s="2">
        <v>202375</v>
      </c>
      <c r="G2517" s="3" t="str">
        <f>HYPERLINK("https://cloud.oebiotech.com/#/lm/network/202375", "https://cloud.oebiotech.com/#/lm/network/202375")</f>
        <v>https://cloud.oebiotech.com/#/lm/network/202375</v>
      </c>
      <c r="H2517" s="2" t="s">
        <v>16918</v>
      </c>
      <c r="I2517" s="2"/>
      <c r="J2517" s="2"/>
      <c r="K2517" s="2">
        <v>5012</v>
      </c>
      <c r="L2517" s="2"/>
      <c r="M2517" s="2"/>
      <c r="N2517" s="2"/>
      <c r="O2517" s="2"/>
      <c r="P2517" s="2"/>
      <c r="Q2517" s="2"/>
      <c r="R2517" s="2"/>
      <c r="S2517" s="2" t="s">
        <v>16919</v>
      </c>
      <c r="T2517" s="2" t="s">
        <v>16920</v>
      </c>
      <c r="U2517" s="2" t="s">
        <v>266</v>
      </c>
      <c r="V2517" s="2" t="s">
        <v>1393</v>
      </c>
      <c r="W2517" s="2" t="s">
        <v>16921</v>
      </c>
      <c r="X2517" s="2" t="s">
        <v>147</v>
      </c>
      <c r="Y2517" s="2">
        <v>36.4</v>
      </c>
      <c r="Z2517" s="2">
        <v>0</v>
      </c>
      <c r="AA2517" s="2" t="s">
        <v>395</v>
      </c>
      <c r="AB2517" s="2" t="s">
        <v>16922</v>
      </c>
      <c r="AC2517" s="2">
        <v>2.50301983504324</v>
      </c>
      <c r="AD2517" s="2"/>
      <c r="AE2517" s="2">
        <v>0.25171702246400401</v>
      </c>
      <c r="AF2517" s="2">
        <v>161.484990426427</v>
      </c>
      <c r="AG2517" s="2">
        <v>3011.27016568716</v>
      </c>
      <c r="AH2517" s="4">
        <v>5.36268689095111E-2</v>
      </c>
      <c r="AI2517" s="4">
        <v>-4.2209001680110196</v>
      </c>
      <c r="AJ2517" s="4" t="s">
        <v>62</v>
      </c>
      <c r="AK2517" s="2">
        <v>0.315235441298582</v>
      </c>
      <c r="AL2517" s="2">
        <v>0.62413706859245499</v>
      </c>
      <c r="AM2517" s="2">
        <v>72.700508603721602</v>
      </c>
      <c r="AN2517" s="2">
        <v>269.396920660116</v>
      </c>
      <c r="AO2517" s="2">
        <v>133.25807487897401</v>
      </c>
      <c r="AP2517" s="2">
        <v>273.75882131371202</v>
      </c>
      <c r="AQ2517" s="2">
        <v>102.8620379613</v>
      </c>
      <c r="AR2517" s="2">
        <v>116.933579140739</v>
      </c>
      <c r="AS2517" s="2">
        <v>282.64649283728102</v>
      </c>
      <c r="AT2517" s="2">
        <v>182.01047052304901</v>
      </c>
      <c r="AU2517" s="2">
        <v>975.67013030157602</v>
      </c>
      <c r="AV2517" s="2">
        <v>87.636063291084</v>
      </c>
      <c r="AW2517" s="2">
        <v>16468.929168864001</v>
      </c>
      <c r="AX2517" s="2">
        <v>70.728668305959403</v>
      </c>
    </row>
    <row r="2518" spans="1:50" x14ac:dyDescent="0.25">
      <c r="A2518" s="2" t="s">
        <v>16923</v>
      </c>
      <c r="B2518" s="2">
        <v>671.46527519348797</v>
      </c>
      <c r="C2518" s="2">
        <v>15.30585</v>
      </c>
      <c r="D2518" s="2" t="s">
        <v>51</v>
      </c>
      <c r="E2518" s="2" t="s">
        <v>16924</v>
      </c>
      <c r="F2518" s="2">
        <v>216424</v>
      </c>
      <c r="G2518" s="3" t="str">
        <f>HYPERLINK("https://cloud.oebiotech.com/#/lm/network/216424", "https://cloud.oebiotech.com/#/lm/network/216424")</f>
        <v>https://cloud.oebiotech.com/#/lm/network/216424</v>
      </c>
      <c r="H2518" s="2" t="s">
        <v>16925</v>
      </c>
      <c r="I2518" s="2"/>
      <c r="J2518" s="2"/>
      <c r="K2518" s="2"/>
      <c r="L2518" s="2"/>
      <c r="M2518" s="2"/>
      <c r="N2518" s="2"/>
      <c r="O2518" s="2"/>
      <c r="P2518" s="2"/>
      <c r="Q2518" s="2"/>
      <c r="R2518" s="2"/>
      <c r="S2518" s="2" t="s">
        <v>16926</v>
      </c>
      <c r="T2518" s="2" t="s">
        <v>16927</v>
      </c>
      <c r="U2518" s="2" t="s">
        <v>56</v>
      </c>
      <c r="V2518" s="2" t="s">
        <v>57</v>
      </c>
      <c r="W2518" s="2" t="s">
        <v>702</v>
      </c>
      <c r="X2518" s="2" t="s">
        <v>147</v>
      </c>
      <c r="Y2518" s="2">
        <v>38.4</v>
      </c>
      <c r="Z2518" s="2">
        <v>0</v>
      </c>
      <c r="AA2518" s="2" t="s">
        <v>156</v>
      </c>
      <c r="AB2518" s="2" t="s">
        <v>16928</v>
      </c>
      <c r="AC2518" s="2">
        <v>0.933993580673392</v>
      </c>
      <c r="AD2518" s="2"/>
      <c r="AE2518" s="2">
        <v>0.25156674993887601</v>
      </c>
      <c r="AF2518" s="2">
        <v>24357.921134385499</v>
      </c>
      <c r="AG2518" s="2">
        <v>30080.8401977508</v>
      </c>
      <c r="AH2518" s="4">
        <v>0.809748696321546</v>
      </c>
      <c r="AI2518" s="4">
        <v>-0.30445385457385299</v>
      </c>
      <c r="AJ2518" s="4" t="s">
        <v>62</v>
      </c>
      <c r="AK2518" s="2">
        <v>0.60775512892516503</v>
      </c>
      <c r="AL2518" s="2">
        <v>0.80448616752299296</v>
      </c>
      <c r="AM2518" s="2">
        <v>14953.897480039701</v>
      </c>
      <c r="AN2518" s="2">
        <v>36386.614828741003</v>
      </c>
      <c r="AO2518" s="2">
        <v>35460.4199271529</v>
      </c>
      <c r="AP2518" s="2">
        <v>19771.8183732162</v>
      </c>
      <c r="AQ2518" s="2">
        <v>24289.5246434568</v>
      </c>
      <c r="AR2518" s="2">
        <v>15285.251553706399</v>
      </c>
      <c r="AS2518" s="2">
        <v>1184.06026823919</v>
      </c>
      <c r="AT2518" s="2">
        <v>25641.4093554346</v>
      </c>
      <c r="AU2518" s="2">
        <v>23752.219925609599</v>
      </c>
      <c r="AV2518" s="2">
        <v>76112.620642129303</v>
      </c>
      <c r="AW2518" s="2">
        <v>28582.737979232399</v>
      </c>
      <c r="AX2518" s="2">
        <v>25211.99301586</v>
      </c>
    </row>
    <row r="2519" spans="1:50" x14ac:dyDescent="0.25">
      <c r="A2519" s="2" t="s">
        <v>16929</v>
      </c>
      <c r="B2519" s="2">
        <v>675.22304050748505</v>
      </c>
      <c r="C2519" s="2">
        <v>0.73733333333333295</v>
      </c>
      <c r="D2519" s="2" t="s">
        <v>51</v>
      </c>
      <c r="E2519" s="2" t="s">
        <v>16930</v>
      </c>
      <c r="F2519" s="2">
        <v>57979</v>
      </c>
      <c r="G2519" s="3" t="str">
        <f>HYPERLINK("https://cloud.oebiotech.com/#/lm/network/57979", "https://cloud.oebiotech.com/#/lm/network/57979")</f>
        <v>https://cloud.oebiotech.com/#/lm/network/57979</v>
      </c>
      <c r="H2519" s="2" t="s">
        <v>16931</v>
      </c>
      <c r="I2519" s="2">
        <v>64196</v>
      </c>
      <c r="J2519" s="2"/>
      <c r="K2519" s="2">
        <v>5469424</v>
      </c>
      <c r="L2519" s="2" t="s">
        <v>16932</v>
      </c>
      <c r="M2519" s="2"/>
      <c r="N2519" s="2"/>
      <c r="O2519" s="2">
        <v>65737</v>
      </c>
      <c r="P2519" s="2"/>
      <c r="Q2519" s="2"/>
      <c r="R2519" s="2" t="s">
        <v>16933</v>
      </c>
      <c r="S2519" s="2" t="s">
        <v>16934</v>
      </c>
      <c r="T2519" s="2" t="s">
        <v>16935</v>
      </c>
      <c r="U2519" s="2" t="s">
        <v>540</v>
      </c>
      <c r="V2519" s="2" t="s">
        <v>2365</v>
      </c>
      <c r="W2519" s="2" t="s">
        <v>7571</v>
      </c>
      <c r="X2519" s="2" t="s">
        <v>147</v>
      </c>
      <c r="Y2519" s="2">
        <v>36.5</v>
      </c>
      <c r="Z2519" s="2">
        <v>0</v>
      </c>
      <c r="AA2519" s="2" t="s">
        <v>478</v>
      </c>
      <c r="AB2519" s="2" t="s">
        <v>16936</v>
      </c>
      <c r="AC2519" s="2">
        <v>-0.78436326529349798</v>
      </c>
      <c r="AD2519" s="2"/>
      <c r="AE2519" s="2">
        <v>0.25154556248860599</v>
      </c>
      <c r="AF2519" s="2">
        <v>18044.617314784999</v>
      </c>
      <c r="AG2519" s="2">
        <v>14331.5528751683</v>
      </c>
      <c r="AH2519" s="5">
        <v>1.25908319021382</v>
      </c>
      <c r="AI2519" s="5">
        <v>0.33237360803224397</v>
      </c>
      <c r="AJ2519" s="5" t="s">
        <v>139</v>
      </c>
      <c r="AK2519" s="2">
        <v>0.67721513030364999</v>
      </c>
      <c r="AL2519" s="2">
        <v>0.843625758293435</v>
      </c>
      <c r="AM2519" s="2">
        <v>11435.4674418751</v>
      </c>
      <c r="AN2519" s="2">
        <v>41763.416496120197</v>
      </c>
      <c r="AO2519" s="2">
        <v>13748.4458233895</v>
      </c>
      <c r="AP2519" s="2">
        <v>23882.1591740658</v>
      </c>
      <c r="AQ2519" s="2">
        <v>9638.0430793336309</v>
      </c>
      <c r="AR2519" s="2">
        <v>7800.1718739255302</v>
      </c>
      <c r="AS2519" s="2">
        <v>13286.989105979899</v>
      </c>
      <c r="AT2519" s="2">
        <v>46762.690422502397</v>
      </c>
      <c r="AU2519" s="2">
        <v>3411.1789482771401</v>
      </c>
      <c r="AV2519" s="2">
        <v>2174.4067225816898</v>
      </c>
      <c r="AW2519" s="2">
        <v>4634.8027409603801</v>
      </c>
      <c r="AX2519" s="2">
        <v>15719.249310708299</v>
      </c>
    </row>
    <row r="2520" spans="1:50" x14ac:dyDescent="0.25">
      <c r="A2520" s="2" t="s">
        <v>16937</v>
      </c>
      <c r="B2520" s="2">
        <v>596.32269119102102</v>
      </c>
      <c r="C2520" s="2">
        <v>4.5462333333333298</v>
      </c>
      <c r="D2520" s="2" t="s">
        <v>51</v>
      </c>
      <c r="E2520" s="2" t="s">
        <v>16938</v>
      </c>
      <c r="F2520" s="2">
        <v>514855</v>
      </c>
      <c r="G2520" s="3" t="str">
        <f>HYPERLINK("https://cloud.oebiotech.com/#/lm/network/514855", "https://cloud.oebiotech.com/#/lm/network/514855")</f>
        <v>https://cloud.oebiotech.com/#/lm/network/514855</v>
      </c>
      <c r="H2520" s="2"/>
      <c r="I2520" s="2">
        <v>96432</v>
      </c>
      <c r="J2520" s="2"/>
      <c r="K2520" s="2">
        <v>10438479</v>
      </c>
      <c r="L2520" s="2"/>
      <c r="M2520" s="2"/>
      <c r="N2520" s="2"/>
      <c r="O2520" s="2"/>
      <c r="P2520" s="2"/>
      <c r="Q2520" s="2"/>
      <c r="R2520" s="2" t="s">
        <v>16939</v>
      </c>
      <c r="S2520" s="2" t="s">
        <v>16940</v>
      </c>
      <c r="T2520" s="2" t="s">
        <v>16941</v>
      </c>
      <c r="U2520" s="2" t="s">
        <v>103</v>
      </c>
      <c r="V2520" s="2" t="s">
        <v>104</v>
      </c>
      <c r="W2520" s="2" t="s">
        <v>105</v>
      </c>
      <c r="X2520" s="2" t="s">
        <v>147</v>
      </c>
      <c r="Y2520" s="2">
        <v>37.5</v>
      </c>
      <c r="Z2520" s="2">
        <v>0</v>
      </c>
      <c r="AA2520" s="2" t="s">
        <v>259</v>
      </c>
      <c r="AB2520" s="2" t="s">
        <v>16942</v>
      </c>
      <c r="AC2520" s="2">
        <v>1.50736218334852</v>
      </c>
      <c r="AD2520" s="2"/>
      <c r="AE2520" s="2">
        <v>0.25148017549014801</v>
      </c>
      <c r="AF2520" s="2">
        <v>7406.5635324286704</v>
      </c>
      <c r="AG2520" s="2">
        <v>4986.9770486204898</v>
      </c>
      <c r="AH2520" s="5">
        <v>1.4851809944618599</v>
      </c>
      <c r="AI2520" s="5">
        <v>0.57063875856878599</v>
      </c>
      <c r="AJ2520" s="5" t="s">
        <v>139</v>
      </c>
      <c r="AK2520" s="2">
        <v>0.44335404012135898</v>
      </c>
      <c r="AL2520" s="2">
        <v>0.69908803275019105</v>
      </c>
      <c r="AM2520" s="2">
        <v>18786.567619436901</v>
      </c>
      <c r="AN2520" s="2">
        <v>6346.9265208633396</v>
      </c>
      <c r="AO2520" s="2">
        <v>6052.5888618629997</v>
      </c>
      <c r="AP2520" s="2">
        <v>3147.3210257471601</v>
      </c>
      <c r="AQ2520" s="2">
        <v>3398.8203387148201</v>
      </c>
      <c r="AR2520" s="2">
        <v>6707.1568279468102</v>
      </c>
      <c r="AS2520" s="2">
        <v>8.559877937157E-6</v>
      </c>
      <c r="AT2520" s="2">
        <v>898.58780498650901</v>
      </c>
      <c r="AU2520" s="2">
        <v>7078.5124363639397</v>
      </c>
      <c r="AV2520" s="2">
        <v>12564.238255870499</v>
      </c>
      <c r="AW2520" s="2">
        <v>6276.4351515773496</v>
      </c>
      <c r="AX2520" s="2">
        <v>3104.0886343647699</v>
      </c>
    </row>
    <row r="2521" spans="1:50" x14ac:dyDescent="0.25">
      <c r="A2521" s="2" t="s">
        <v>16943</v>
      </c>
      <c r="B2521" s="2">
        <v>349.23841415696802</v>
      </c>
      <c r="C2521" s="2">
        <v>8.4987499999999994</v>
      </c>
      <c r="D2521" s="2" t="s">
        <v>51</v>
      </c>
      <c r="E2521" s="2" t="s">
        <v>16944</v>
      </c>
      <c r="F2521" s="2">
        <v>3673</v>
      </c>
      <c r="G2521" s="3" t="str">
        <f>HYPERLINK("https://cloud.oebiotech.com/#/lm/network/3673", "https://cloud.oebiotech.com/#/lm/network/3673")</f>
        <v>https://cloud.oebiotech.com/#/lm/network/3673</v>
      </c>
      <c r="H2521" s="2"/>
      <c r="I2521" s="2">
        <v>36121</v>
      </c>
      <c r="J2521" s="2" t="s">
        <v>16945</v>
      </c>
      <c r="K2521" s="2">
        <v>5283051</v>
      </c>
      <c r="L2521" s="2"/>
      <c r="M2521" s="2"/>
      <c r="N2521" s="2"/>
      <c r="O2521" s="2"/>
      <c r="P2521" s="2"/>
      <c r="Q2521" s="2"/>
      <c r="R2521" s="2" t="s">
        <v>16946</v>
      </c>
      <c r="S2521" s="2" t="s">
        <v>16947</v>
      </c>
      <c r="T2521" s="2" t="s">
        <v>16948</v>
      </c>
      <c r="U2521" s="2" t="s">
        <v>56</v>
      </c>
      <c r="V2521" s="2" t="s">
        <v>145</v>
      </c>
      <c r="W2521" s="2" t="s">
        <v>187</v>
      </c>
      <c r="X2521" s="2" t="s">
        <v>83</v>
      </c>
      <c r="Y2521" s="2">
        <v>44.9</v>
      </c>
      <c r="Z2521" s="2">
        <v>0</v>
      </c>
      <c r="AA2521" s="2" t="s">
        <v>156</v>
      </c>
      <c r="AB2521" s="2" t="s">
        <v>9482</v>
      </c>
      <c r="AC2521" s="2">
        <v>2.9440174481323398</v>
      </c>
      <c r="AD2521" s="2"/>
      <c r="AE2521" s="2">
        <v>0.25146385067582799</v>
      </c>
      <c r="AF2521" s="2">
        <v>2449.9577492338899</v>
      </c>
      <c r="AG2521" s="2">
        <v>899.57757718681205</v>
      </c>
      <c r="AH2521" s="5">
        <v>2.7234535534950499</v>
      </c>
      <c r="AI2521" s="5">
        <v>1.44543726328126</v>
      </c>
      <c r="AJ2521" s="5" t="s">
        <v>139</v>
      </c>
      <c r="AK2521" s="2">
        <v>1.68670148253694E-3</v>
      </c>
      <c r="AL2521" s="2">
        <v>9.9661006488224596E-2</v>
      </c>
      <c r="AM2521" s="2">
        <v>1782.45961913832</v>
      </c>
      <c r="AN2521" s="2">
        <v>3262.3339310135998</v>
      </c>
      <c r="AO2521" s="2">
        <v>2451.31451498145</v>
      </c>
      <c r="AP2521" s="2">
        <v>3347.3215139495601</v>
      </c>
      <c r="AQ2521" s="2">
        <v>1848.4229818200199</v>
      </c>
      <c r="AR2521" s="2">
        <v>2007.8939345003701</v>
      </c>
      <c r="AS2521" s="2">
        <v>1895.85499719226</v>
      </c>
      <c r="AT2521" s="2">
        <v>758.22323111229696</v>
      </c>
      <c r="AU2521" s="2">
        <v>891.80228074546199</v>
      </c>
      <c r="AV2521" s="2">
        <v>254.427085008555</v>
      </c>
      <c r="AW2521" s="2">
        <v>607.494500397465</v>
      </c>
      <c r="AX2521" s="2">
        <v>989.66336866483198</v>
      </c>
    </row>
    <row r="2522" spans="1:50" x14ac:dyDescent="0.25">
      <c r="A2522" s="2" t="s">
        <v>16949</v>
      </c>
      <c r="B2522" s="2">
        <v>116.0575</v>
      </c>
      <c r="C2522" s="2">
        <v>6.7359999999999998</v>
      </c>
      <c r="D2522" s="2" t="s">
        <v>125</v>
      </c>
      <c r="E2522" s="2" t="s">
        <v>16950</v>
      </c>
      <c r="F2522" s="2">
        <v>64939</v>
      </c>
      <c r="G2522" s="3" t="str">
        <f>HYPERLINK("https://cloud.oebiotech.com/#/lm/network/64939", "https://cloud.oebiotech.com/#/lm/network/64939")</f>
        <v>https://cloud.oebiotech.com/#/lm/network/64939</v>
      </c>
      <c r="H2522" s="2" t="s">
        <v>16951</v>
      </c>
      <c r="I2522" s="2">
        <v>96183</v>
      </c>
      <c r="J2522" s="2"/>
      <c r="K2522" s="2">
        <v>12251</v>
      </c>
      <c r="L2522" s="2"/>
      <c r="M2522" s="2"/>
      <c r="N2522" s="2"/>
      <c r="O2522" s="2">
        <v>132098</v>
      </c>
      <c r="P2522" s="2"/>
      <c r="Q2522" s="2"/>
      <c r="R2522" s="2" t="s">
        <v>16952</v>
      </c>
      <c r="S2522" s="2" t="s">
        <v>16953</v>
      </c>
      <c r="T2522" s="2" t="s">
        <v>16954</v>
      </c>
      <c r="U2522" s="2" t="s">
        <v>103</v>
      </c>
      <c r="V2522" s="2" t="s">
        <v>104</v>
      </c>
      <c r="W2522" s="2" t="s">
        <v>7932</v>
      </c>
      <c r="X2522" s="2" t="s">
        <v>59</v>
      </c>
      <c r="Y2522" s="2">
        <v>76</v>
      </c>
      <c r="Z2522" s="2">
        <v>60.2</v>
      </c>
      <c r="AA2522" s="2"/>
      <c r="AB2522" s="2" t="s">
        <v>2286</v>
      </c>
      <c r="AC2522" s="2"/>
      <c r="AD2522" s="2">
        <v>221053.84706579699</v>
      </c>
      <c r="AE2522" s="2">
        <v>0.25136986737100098</v>
      </c>
      <c r="AF2522" s="2">
        <v>262756.58275044698</v>
      </c>
      <c r="AG2522" s="2">
        <v>224233.211884416</v>
      </c>
      <c r="AH2522" s="5">
        <v>1.1718004685491801</v>
      </c>
      <c r="AI2522" s="5">
        <v>0.228726931926091</v>
      </c>
      <c r="AJ2522" s="5" t="s">
        <v>139</v>
      </c>
      <c r="AK2522" s="2">
        <v>0.29391448569516998</v>
      </c>
      <c r="AL2522" s="2">
        <v>0.60634549190129605</v>
      </c>
      <c r="AM2522" s="2">
        <v>181662.920967129</v>
      </c>
      <c r="AN2522" s="2">
        <v>332911.32897782599</v>
      </c>
      <c r="AO2522" s="2">
        <v>254727.60363909599</v>
      </c>
      <c r="AP2522" s="2">
        <v>249620.63566762701</v>
      </c>
      <c r="AQ2522" s="2">
        <v>222384.74140853799</v>
      </c>
      <c r="AR2522" s="2">
        <v>335232.26584246301</v>
      </c>
      <c r="AS2522" s="2">
        <v>330763.961364483</v>
      </c>
      <c r="AT2522" s="2">
        <v>196559.717958928</v>
      </c>
      <c r="AU2522" s="2">
        <v>159200.31755876099</v>
      </c>
      <c r="AV2522" s="2">
        <v>190792.29806725099</v>
      </c>
      <c r="AW2522" s="2">
        <v>236430.826103928</v>
      </c>
      <c r="AX2522" s="2">
        <v>231652.150253145</v>
      </c>
    </row>
    <row r="2523" spans="1:50" x14ac:dyDescent="0.25">
      <c r="A2523" s="2" t="s">
        <v>16955</v>
      </c>
      <c r="B2523" s="2">
        <v>393.34823565040102</v>
      </c>
      <c r="C2523" s="2">
        <v>15.024316666666699</v>
      </c>
      <c r="D2523" s="2" t="s">
        <v>51</v>
      </c>
      <c r="E2523" s="2" t="s">
        <v>16956</v>
      </c>
      <c r="F2523" s="2">
        <v>45859</v>
      </c>
      <c r="G2523" s="3" t="str">
        <f>HYPERLINK("https://cloud.oebiotech.com/#/lm/network/45859", "https://cloud.oebiotech.com/#/lm/network/45859")</f>
        <v>https://cloud.oebiotech.com/#/lm/network/45859</v>
      </c>
      <c r="H2523" s="2"/>
      <c r="I2523" s="2">
        <v>42619</v>
      </c>
      <c r="J2523" s="2" t="s">
        <v>16957</v>
      </c>
      <c r="K2523" s="2">
        <v>9547703</v>
      </c>
      <c r="L2523" s="2"/>
      <c r="M2523" s="2"/>
      <c r="N2523" s="2"/>
      <c r="O2523" s="2"/>
      <c r="P2523" s="2"/>
      <c r="Q2523" s="2"/>
      <c r="R2523" s="2"/>
      <c r="S2523" s="2" t="s">
        <v>16958</v>
      </c>
      <c r="T2523" s="2" t="s">
        <v>16959</v>
      </c>
      <c r="U2523" s="2" t="s">
        <v>56</v>
      </c>
      <c r="V2523" s="2" t="s">
        <v>283</v>
      </c>
      <c r="W2523" s="2" t="s">
        <v>10738</v>
      </c>
      <c r="X2523" s="2" t="s">
        <v>83</v>
      </c>
      <c r="Y2523" s="2">
        <v>39.4</v>
      </c>
      <c r="Z2523" s="2">
        <v>0</v>
      </c>
      <c r="AA2523" s="2" t="s">
        <v>156</v>
      </c>
      <c r="AB2523" s="2" t="s">
        <v>16960</v>
      </c>
      <c r="AC2523" s="2">
        <v>-8.1446441968167491</v>
      </c>
      <c r="AD2523" s="2"/>
      <c r="AE2523" s="2">
        <v>0.25135508516100502</v>
      </c>
      <c r="AF2523" s="2">
        <v>1235.04803986105</v>
      </c>
      <c r="AG2523" s="2">
        <v>3006.25382597214</v>
      </c>
      <c r="AH2523" s="4">
        <v>0.41082626795881599</v>
      </c>
      <c r="AI2523" s="4">
        <v>-1.2833996653190101</v>
      </c>
      <c r="AJ2523" s="4" t="s">
        <v>62</v>
      </c>
      <c r="AK2523" s="2">
        <v>6.1310944446973201E-2</v>
      </c>
      <c r="AL2523" s="2">
        <v>0.33413410700895102</v>
      </c>
      <c r="AM2523" s="2">
        <v>1586.5004526426001</v>
      </c>
      <c r="AN2523" s="2">
        <v>1489.00193342324</v>
      </c>
      <c r="AO2523" s="2">
        <v>1863.3129465153099</v>
      </c>
      <c r="AP2523" s="2">
        <v>479.84880417977502</v>
      </c>
      <c r="AQ2523" s="2">
        <v>1236.1522461070799</v>
      </c>
      <c r="AR2523" s="2">
        <v>755.47185629827698</v>
      </c>
      <c r="AS2523" s="2">
        <v>6324.4745605947501</v>
      </c>
      <c r="AT2523" s="2">
        <v>1521.46686653034</v>
      </c>
      <c r="AU2523" s="2">
        <v>1355.05464756993</v>
      </c>
      <c r="AV2523" s="2">
        <v>4289.8348804837296</v>
      </c>
      <c r="AW2523" s="2">
        <v>3030.0973106092702</v>
      </c>
      <c r="AX2523" s="2">
        <v>1516.59469004484</v>
      </c>
    </row>
    <row r="2524" spans="1:50" x14ac:dyDescent="0.25">
      <c r="A2524" s="2" t="s">
        <v>16961</v>
      </c>
      <c r="B2524" s="2">
        <v>274.92612104794199</v>
      </c>
      <c r="C2524" s="2">
        <v>0.82923333333333304</v>
      </c>
      <c r="D2524" s="2" t="s">
        <v>51</v>
      </c>
      <c r="E2524" s="2" t="s">
        <v>16962</v>
      </c>
      <c r="F2524" s="2">
        <v>51422</v>
      </c>
      <c r="G2524" s="3" t="str">
        <f>HYPERLINK("https://cloud.oebiotech.com/#/lm/network/51422", "https://cloud.oebiotech.com/#/lm/network/51422")</f>
        <v>https://cloud.oebiotech.com/#/lm/network/51422</v>
      </c>
      <c r="H2524" s="2" t="s">
        <v>16963</v>
      </c>
      <c r="I2524" s="2">
        <v>44215</v>
      </c>
      <c r="J2524" s="2"/>
      <c r="K2524" s="2">
        <v>2513</v>
      </c>
      <c r="L2524" s="2" t="s">
        <v>16964</v>
      </c>
      <c r="M2524" s="2" t="s">
        <v>16965</v>
      </c>
      <c r="N2524" s="2" t="s">
        <v>16966</v>
      </c>
      <c r="O2524" s="2">
        <v>48765</v>
      </c>
      <c r="P2524" s="2" t="s">
        <v>16967</v>
      </c>
      <c r="Q2524" s="2" t="s">
        <v>16968</v>
      </c>
      <c r="R2524" s="2" t="s">
        <v>16969</v>
      </c>
      <c r="S2524" s="2" t="s">
        <v>16970</v>
      </c>
      <c r="T2524" s="2" t="s">
        <v>16971</v>
      </c>
      <c r="U2524" s="2" t="s">
        <v>16972</v>
      </c>
      <c r="V2524" s="2" t="s">
        <v>16973</v>
      </c>
      <c r="W2524" s="2" t="s">
        <v>16974</v>
      </c>
      <c r="X2524" s="2" t="s">
        <v>147</v>
      </c>
      <c r="Y2524" s="2">
        <v>38.6</v>
      </c>
      <c r="Z2524" s="2">
        <v>0</v>
      </c>
      <c r="AA2524" s="2" t="s">
        <v>478</v>
      </c>
      <c r="AB2524" s="2" t="s">
        <v>16975</v>
      </c>
      <c r="AC2524" s="2">
        <v>3.6079587430762201</v>
      </c>
      <c r="AD2524" s="2"/>
      <c r="AE2524" s="2">
        <v>0.25131358250272501</v>
      </c>
      <c r="AF2524" s="2">
        <v>11744.094468626399</v>
      </c>
      <c r="AG2524" s="2">
        <v>13914.357587860501</v>
      </c>
      <c r="AH2524" s="4">
        <v>0.84402707020210799</v>
      </c>
      <c r="AI2524" s="4">
        <v>-0.24463882413020199</v>
      </c>
      <c r="AJ2524" s="4" t="s">
        <v>62</v>
      </c>
      <c r="AK2524" s="2">
        <v>0.16738189337663401</v>
      </c>
      <c r="AL2524" s="2">
        <v>0.49049669347338498</v>
      </c>
      <c r="AM2524" s="2">
        <v>7187.3456952564002</v>
      </c>
      <c r="AN2524" s="2">
        <v>15089.563347650301</v>
      </c>
      <c r="AO2524" s="2">
        <v>13188.221492291599</v>
      </c>
      <c r="AP2524" s="2">
        <v>10853.184327692799</v>
      </c>
      <c r="AQ2524" s="2">
        <v>12698.2189858079</v>
      </c>
      <c r="AR2524" s="2">
        <v>11448.0329630592</v>
      </c>
      <c r="AS2524" s="2">
        <v>16152.485139434</v>
      </c>
      <c r="AT2524" s="2">
        <v>16046.2201472446</v>
      </c>
      <c r="AU2524" s="2">
        <v>10860.979950749001</v>
      </c>
      <c r="AV2524" s="2">
        <v>12059.708759437</v>
      </c>
      <c r="AW2524" s="2">
        <v>15834.649674279401</v>
      </c>
      <c r="AX2524" s="2">
        <v>12532.101856019</v>
      </c>
    </row>
    <row r="2525" spans="1:50" x14ac:dyDescent="0.25">
      <c r="A2525" s="2" t="s">
        <v>16976</v>
      </c>
      <c r="B2525" s="2">
        <v>391.15963804256199</v>
      </c>
      <c r="C2525" s="2">
        <v>2.9021666666666701</v>
      </c>
      <c r="D2525" s="2" t="s">
        <v>51</v>
      </c>
      <c r="E2525" s="2" t="s">
        <v>16977</v>
      </c>
      <c r="F2525" s="2">
        <v>259102</v>
      </c>
      <c r="G2525" s="3" t="str">
        <f>HYPERLINK("https://cloud.oebiotech.com/#/lm/network/259102", "https://cloud.oebiotech.com/#/lm/network/259102")</f>
        <v>https://cloud.oebiotech.com/#/lm/network/259102</v>
      </c>
      <c r="H2525" s="2"/>
      <c r="I2525" s="2">
        <v>16301</v>
      </c>
      <c r="J2525" s="2"/>
      <c r="K2525" s="2">
        <v>145455460</v>
      </c>
      <c r="L2525" s="2"/>
      <c r="M2525" s="2"/>
      <c r="N2525" s="2"/>
      <c r="O2525" s="2"/>
      <c r="P2525" s="2"/>
      <c r="Q2525" s="2"/>
      <c r="R2525" s="2"/>
      <c r="S2525" s="2" t="s">
        <v>16978</v>
      </c>
      <c r="T2525" s="2" t="s">
        <v>16979</v>
      </c>
      <c r="U2525" s="2" t="s">
        <v>103</v>
      </c>
      <c r="V2525" s="2" t="s">
        <v>104</v>
      </c>
      <c r="W2525" s="2" t="s">
        <v>105</v>
      </c>
      <c r="X2525" s="2" t="s">
        <v>83</v>
      </c>
      <c r="Y2525" s="2">
        <v>36.200000000000003</v>
      </c>
      <c r="Z2525" s="2">
        <v>0</v>
      </c>
      <c r="AA2525" s="2" t="s">
        <v>156</v>
      </c>
      <c r="AB2525" s="2" t="s">
        <v>16980</v>
      </c>
      <c r="AC2525" s="2">
        <v>-3.85342978546106</v>
      </c>
      <c r="AD2525" s="2"/>
      <c r="AE2525" s="2">
        <v>0.25127275940709498</v>
      </c>
      <c r="AF2525" s="2">
        <v>2559.8702928503599</v>
      </c>
      <c r="AG2525" s="2">
        <v>4883.1032577515698</v>
      </c>
      <c r="AH2525" s="4">
        <v>0.52423021954056703</v>
      </c>
      <c r="AI2525" s="4">
        <v>-0.93172757387138305</v>
      </c>
      <c r="AJ2525" s="4" t="s">
        <v>62</v>
      </c>
      <c r="AK2525" s="2">
        <v>0.125528571409604</v>
      </c>
      <c r="AL2525" s="2">
        <v>0.44360900503501</v>
      </c>
      <c r="AM2525" s="2">
        <v>3265.2715711105002</v>
      </c>
      <c r="AN2525" s="2">
        <v>8.559877937157E-6</v>
      </c>
      <c r="AO2525" s="2">
        <v>3949.02234320055</v>
      </c>
      <c r="AP2525" s="2">
        <v>704.85549690562902</v>
      </c>
      <c r="AQ2525" s="2">
        <v>3704.74992906836</v>
      </c>
      <c r="AR2525" s="2">
        <v>3735.3224082572601</v>
      </c>
      <c r="AS2525" s="2">
        <v>3722.2931305490902</v>
      </c>
      <c r="AT2525" s="2">
        <v>7461.0485472689797</v>
      </c>
      <c r="AU2525" s="2">
        <v>157.713193354786</v>
      </c>
      <c r="AV2525" s="2">
        <v>5887.4311468793103</v>
      </c>
      <c r="AW2525" s="2">
        <v>8137.5278336444999</v>
      </c>
      <c r="AX2525" s="2">
        <v>3932.6056948127698</v>
      </c>
    </row>
    <row r="2526" spans="1:50" x14ac:dyDescent="0.25">
      <c r="A2526" s="2" t="s">
        <v>16981</v>
      </c>
      <c r="B2526" s="2">
        <v>258.14588631009201</v>
      </c>
      <c r="C2526" s="2">
        <v>1.08968333333333</v>
      </c>
      <c r="D2526" s="2" t="s">
        <v>51</v>
      </c>
      <c r="E2526" s="2" t="s">
        <v>16982</v>
      </c>
      <c r="F2526" s="2">
        <v>53973</v>
      </c>
      <c r="G2526" s="3" t="str">
        <f>HYPERLINK("https://cloud.oebiotech.com/#/lm/network/53973", "https://cloud.oebiotech.com/#/lm/network/53973")</f>
        <v>https://cloud.oebiotech.com/#/lm/network/53973</v>
      </c>
      <c r="H2526" s="2" t="s">
        <v>16983</v>
      </c>
      <c r="I2526" s="2"/>
      <c r="J2526" s="2"/>
      <c r="K2526" s="2">
        <v>68578696</v>
      </c>
      <c r="L2526" s="2"/>
      <c r="M2526" s="2"/>
      <c r="N2526" s="2"/>
      <c r="O2526" s="2"/>
      <c r="P2526" s="2"/>
      <c r="Q2526" s="2"/>
      <c r="R2526" s="2" t="s">
        <v>16984</v>
      </c>
      <c r="S2526" s="2" t="s">
        <v>16985</v>
      </c>
      <c r="T2526" s="2" t="s">
        <v>16986</v>
      </c>
      <c r="U2526" s="2" t="s">
        <v>103</v>
      </c>
      <c r="V2526" s="2" t="s">
        <v>104</v>
      </c>
      <c r="W2526" s="2" t="s">
        <v>105</v>
      </c>
      <c r="X2526" s="2" t="s">
        <v>69</v>
      </c>
      <c r="Y2526" s="2">
        <v>54.2</v>
      </c>
      <c r="Z2526" s="2">
        <v>71.3</v>
      </c>
      <c r="AA2526" s="2" t="s">
        <v>163</v>
      </c>
      <c r="AB2526" s="2" t="s">
        <v>10828</v>
      </c>
      <c r="AC2526" s="2">
        <v>-0.167561182781955</v>
      </c>
      <c r="AD2526" s="2"/>
      <c r="AE2526" s="2">
        <v>0.25120252880352001</v>
      </c>
      <c r="AF2526" s="2">
        <v>3054.90224366956</v>
      </c>
      <c r="AG2526" s="2">
        <v>1604.35298598907</v>
      </c>
      <c r="AH2526" s="5">
        <v>1.90413348580284</v>
      </c>
      <c r="AI2526" s="5">
        <v>0.92913461969386901</v>
      </c>
      <c r="AJ2526" s="5" t="s">
        <v>139</v>
      </c>
      <c r="AK2526" s="2">
        <v>6.3188784034536899E-2</v>
      </c>
      <c r="AL2526" s="2">
        <v>0.33601027492909402</v>
      </c>
      <c r="AM2526" s="2">
        <v>4158.5945173580403</v>
      </c>
      <c r="AN2526" s="2">
        <v>2789.1356629442098</v>
      </c>
      <c r="AO2526" s="2">
        <v>3992.1714370904801</v>
      </c>
      <c r="AP2526" s="2">
        <v>1488.2741322433101</v>
      </c>
      <c r="AQ2526" s="2">
        <v>1908.6770064529701</v>
      </c>
      <c r="AR2526" s="2">
        <v>3992.5607059283402</v>
      </c>
      <c r="AS2526" s="2">
        <v>8.559877937157E-6</v>
      </c>
      <c r="AT2526" s="2">
        <v>1184.64049821243</v>
      </c>
      <c r="AU2526" s="2">
        <v>3783.6878250057098</v>
      </c>
      <c r="AV2526" s="2">
        <v>1816.8542087498199</v>
      </c>
      <c r="AW2526" s="2">
        <v>1294.65636753985</v>
      </c>
      <c r="AX2526" s="2">
        <v>1546.2790078667299</v>
      </c>
    </row>
    <row r="2527" spans="1:50" x14ac:dyDescent="0.25">
      <c r="A2527" s="2" t="s">
        <v>16987</v>
      </c>
      <c r="B2527" s="2">
        <v>589.51825487878602</v>
      </c>
      <c r="C2527" s="2">
        <v>14.465633333333299</v>
      </c>
      <c r="D2527" s="2" t="s">
        <v>51</v>
      </c>
      <c r="E2527" s="2" t="s">
        <v>16988</v>
      </c>
      <c r="F2527" s="2">
        <v>10543</v>
      </c>
      <c r="G2527" s="3" t="str">
        <f>HYPERLINK("https://cloud.oebiotech.com/#/lm/network/10543", "https://cloud.oebiotech.com/#/lm/network/10543")</f>
        <v>https://cloud.oebiotech.com/#/lm/network/10543</v>
      </c>
      <c r="H2527" s="2"/>
      <c r="I2527" s="2">
        <v>4318</v>
      </c>
      <c r="J2527" s="2" t="s">
        <v>16989</v>
      </c>
      <c r="K2527" s="2">
        <v>9543698</v>
      </c>
      <c r="L2527" s="2"/>
      <c r="M2527" s="2"/>
      <c r="N2527" s="2"/>
      <c r="O2527" s="2"/>
      <c r="P2527" s="2"/>
      <c r="Q2527" s="2"/>
      <c r="R2527" s="2"/>
      <c r="S2527" s="2" t="s">
        <v>16990</v>
      </c>
      <c r="T2527" s="2" t="s">
        <v>16991</v>
      </c>
      <c r="U2527" s="2" t="s">
        <v>56</v>
      </c>
      <c r="V2527" s="2" t="s">
        <v>3215</v>
      </c>
      <c r="W2527" s="2" t="s">
        <v>3216</v>
      </c>
      <c r="X2527" s="2" t="s">
        <v>83</v>
      </c>
      <c r="Y2527" s="2">
        <v>39.1</v>
      </c>
      <c r="Z2527" s="2">
        <v>0</v>
      </c>
      <c r="AA2527" s="2" t="s">
        <v>379</v>
      </c>
      <c r="AB2527" s="2" t="s">
        <v>16992</v>
      </c>
      <c r="AC2527" s="2">
        <v>-3.0883989660315398</v>
      </c>
      <c r="AD2527" s="2"/>
      <c r="AE2527" s="2">
        <v>0.25109967769229502</v>
      </c>
      <c r="AF2527" s="2">
        <v>2974.6599083679398</v>
      </c>
      <c r="AG2527" s="2">
        <v>4511.7744473428702</v>
      </c>
      <c r="AH2527" s="4">
        <v>0.65931042056408895</v>
      </c>
      <c r="AI2527" s="4">
        <v>-0.60097021119584404</v>
      </c>
      <c r="AJ2527" s="4" t="s">
        <v>62</v>
      </c>
      <c r="AK2527" s="2">
        <v>5.7662557631964198E-3</v>
      </c>
      <c r="AL2527" s="2">
        <v>0.12769622484368501</v>
      </c>
      <c r="AM2527" s="2">
        <v>3510.7695201779702</v>
      </c>
      <c r="AN2527" s="2">
        <v>1802.46170573823</v>
      </c>
      <c r="AO2527" s="2">
        <v>2796.3918547876501</v>
      </c>
      <c r="AP2527" s="2">
        <v>2167.41844201</v>
      </c>
      <c r="AQ2527" s="2">
        <v>4050.4386552199398</v>
      </c>
      <c r="AR2527" s="2">
        <v>3520.4792722738498</v>
      </c>
      <c r="AS2527" s="2">
        <v>4422.0915733203001</v>
      </c>
      <c r="AT2527" s="2">
        <v>4319.4313259194196</v>
      </c>
      <c r="AU2527" s="2">
        <v>4644.9039276105104</v>
      </c>
      <c r="AV2527" s="2">
        <v>5684.9347552510499</v>
      </c>
      <c r="AW2527" s="2">
        <v>4134.2604120270298</v>
      </c>
      <c r="AX2527" s="2">
        <v>3865.02468992891</v>
      </c>
    </row>
    <row r="2528" spans="1:50" x14ac:dyDescent="0.25">
      <c r="A2528" s="2" t="s">
        <v>16993</v>
      </c>
      <c r="B2528" s="2">
        <v>318.24118933598203</v>
      </c>
      <c r="C2528" s="2">
        <v>10.946433333333299</v>
      </c>
      <c r="D2528" s="2" t="s">
        <v>51</v>
      </c>
      <c r="E2528" s="2" t="s">
        <v>16994</v>
      </c>
      <c r="F2528" s="2">
        <v>52002</v>
      </c>
      <c r="G2528" s="3" t="str">
        <f>HYPERLINK("https://cloud.oebiotech.com/#/lm/network/52002", "https://cloud.oebiotech.com/#/lm/network/52002")</f>
        <v>https://cloud.oebiotech.com/#/lm/network/52002</v>
      </c>
      <c r="H2528" s="2" t="s">
        <v>16995</v>
      </c>
      <c r="I2528" s="2">
        <v>71285</v>
      </c>
      <c r="J2528" s="2"/>
      <c r="K2528" s="2">
        <v>5289090</v>
      </c>
      <c r="L2528" s="2" t="s">
        <v>16996</v>
      </c>
      <c r="M2528" s="2" t="s">
        <v>16997</v>
      </c>
      <c r="N2528" s="2" t="s">
        <v>16998</v>
      </c>
      <c r="O2528" s="2">
        <v>44597</v>
      </c>
      <c r="P2528" s="2"/>
      <c r="Q2528" s="2"/>
      <c r="R2528" s="2" t="s">
        <v>16999</v>
      </c>
      <c r="S2528" s="2" t="s">
        <v>17000</v>
      </c>
      <c r="T2528" s="2" t="s">
        <v>17001</v>
      </c>
      <c r="U2528" s="2" t="s">
        <v>56</v>
      </c>
      <c r="V2528" s="2" t="s">
        <v>177</v>
      </c>
      <c r="W2528" s="2" t="s">
        <v>3987</v>
      </c>
      <c r="X2528" s="2" t="s">
        <v>83</v>
      </c>
      <c r="Y2528" s="2">
        <v>51.1</v>
      </c>
      <c r="Z2528" s="2">
        <v>0</v>
      </c>
      <c r="AA2528" s="2" t="s">
        <v>512</v>
      </c>
      <c r="AB2528" s="2" t="s">
        <v>1261</v>
      </c>
      <c r="AC2528" s="2">
        <v>-5.2174700381019097</v>
      </c>
      <c r="AD2528" s="2"/>
      <c r="AE2528" s="2">
        <v>0.25108369437198302</v>
      </c>
      <c r="AF2528" s="2">
        <v>3773.71301364702</v>
      </c>
      <c r="AG2528" s="2">
        <v>178.45325008627299</v>
      </c>
      <c r="AH2528" s="5">
        <v>21.1467878103796</v>
      </c>
      <c r="AI2528" s="5">
        <v>4.4023666300063304</v>
      </c>
      <c r="AJ2528" s="5" t="s">
        <v>139</v>
      </c>
      <c r="AK2528" s="2">
        <v>0.22922172226367199</v>
      </c>
      <c r="AL2528" s="2">
        <v>0.55433375359650505</v>
      </c>
      <c r="AM2528" s="2">
        <v>8.559877937157E-6</v>
      </c>
      <c r="AN2528" s="2">
        <v>8.559877937157E-6</v>
      </c>
      <c r="AO2528" s="2">
        <v>5612.9636660441101</v>
      </c>
      <c r="AP2528" s="2">
        <v>8.559877937157E-6</v>
      </c>
      <c r="AQ2528" s="2">
        <v>17029.314381598499</v>
      </c>
      <c r="AR2528" s="2">
        <v>8.559877937157E-6</v>
      </c>
      <c r="AS2528" s="2">
        <v>554.82355336639603</v>
      </c>
      <c r="AT2528" s="2">
        <v>8.559877937157E-6</v>
      </c>
      <c r="AU2528" s="2">
        <v>515.89591291173201</v>
      </c>
      <c r="AV2528" s="2">
        <v>8.559877937157E-6</v>
      </c>
      <c r="AW2528" s="2">
        <v>8.559877937157E-6</v>
      </c>
      <c r="AX2528" s="2">
        <v>8.559877937157E-6</v>
      </c>
    </row>
    <row r="2529" spans="1:50" x14ac:dyDescent="0.25">
      <c r="A2529" s="2" t="s">
        <v>17002</v>
      </c>
      <c r="B2529" s="2">
        <v>523.19040945112602</v>
      </c>
      <c r="C2529" s="2">
        <v>10.9866666666667</v>
      </c>
      <c r="D2529" s="2" t="s">
        <v>51</v>
      </c>
      <c r="E2529" s="2" t="s">
        <v>17003</v>
      </c>
      <c r="F2529" s="2">
        <v>82249</v>
      </c>
      <c r="G2529" s="3" t="str">
        <f>HYPERLINK("https://cloud.oebiotech.com/#/lm/network/82249", "https://cloud.oebiotech.com/#/lm/network/82249")</f>
        <v>https://cloud.oebiotech.com/#/lm/network/82249</v>
      </c>
      <c r="H2529" s="2" t="s">
        <v>17004</v>
      </c>
      <c r="I2529" s="2">
        <v>72104</v>
      </c>
      <c r="J2529" s="2"/>
      <c r="K2529" s="2">
        <v>9543291</v>
      </c>
      <c r="L2529" s="2" t="s">
        <v>17005</v>
      </c>
      <c r="M2529" s="2"/>
      <c r="N2529" s="2"/>
      <c r="O2529" s="2">
        <v>81611</v>
      </c>
      <c r="P2529" s="2"/>
      <c r="Q2529" s="2"/>
      <c r="R2529" s="2"/>
      <c r="S2529" s="2" t="s">
        <v>17006</v>
      </c>
      <c r="T2529" s="2" t="s">
        <v>17007</v>
      </c>
      <c r="U2529" s="2" t="s">
        <v>610</v>
      </c>
      <c r="V2529" s="2" t="s">
        <v>15860</v>
      </c>
      <c r="W2529" s="2" t="s">
        <v>240</v>
      </c>
      <c r="X2529" s="2" t="s">
        <v>147</v>
      </c>
      <c r="Y2529" s="2">
        <v>39.1</v>
      </c>
      <c r="Z2529" s="2">
        <v>0</v>
      </c>
      <c r="AA2529" s="2" t="s">
        <v>478</v>
      </c>
      <c r="AB2529" s="2" t="s">
        <v>17008</v>
      </c>
      <c r="AC2529" s="2">
        <v>-2.0478741227424599</v>
      </c>
      <c r="AD2529" s="2"/>
      <c r="AE2529" s="2">
        <v>0.25100586351086901</v>
      </c>
      <c r="AF2529" s="2">
        <v>14296.623865740599</v>
      </c>
      <c r="AG2529" s="2">
        <v>16251.879788079201</v>
      </c>
      <c r="AH2529" s="4">
        <v>0.87969047594280003</v>
      </c>
      <c r="AI2529" s="4">
        <v>-0.184932102243686</v>
      </c>
      <c r="AJ2529" s="4" t="s">
        <v>62</v>
      </c>
      <c r="AK2529" s="2">
        <v>0.35895821888798801</v>
      </c>
      <c r="AL2529" s="2">
        <v>0.64449606579735297</v>
      </c>
      <c r="AM2529" s="2">
        <v>8216.7969157640291</v>
      </c>
      <c r="AN2529" s="2">
        <v>13077.537579853401</v>
      </c>
      <c r="AO2529" s="2">
        <v>14177.067236713199</v>
      </c>
      <c r="AP2529" s="2">
        <v>15495.372984321801</v>
      </c>
      <c r="AQ2529" s="2">
        <v>18393.489199997701</v>
      </c>
      <c r="AR2529" s="2">
        <v>16419.4792777935</v>
      </c>
      <c r="AS2529" s="2">
        <v>21810.519686461499</v>
      </c>
      <c r="AT2529" s="2">
        <v>18250.013723669399</v>
      </c>
      <c r="AU2529" s="2">
        <v>12198.0342816718</v>
      </c>
      <c r="AV2529" s="2">
        <v>13120.8898245205</v>
      </c>
      <c r="AW2529" s="2">
        <v>16977.467058381299</v>
      </c>
      <c r="AX2529" s="2">
        <v>15154.354153771001</v>
      </c>
    </row>
    <row r="2530" spans="1:50" x14ac:dyDescent="0.25">
      <c r="A2530" s="2" t="s">
        <v>17009</v>
      </c>
      <c r="B2530" s="2">
        <v>495.29670916114497</v>
      </c>
      <c r="C2530" s="2">
        <v>8.0803833333333301</v>
      </c>
      <c r="D2530" s="2" t="s">
        <v>51</v>
      </c>
      <c r="E2530" s="2" t="s">
        <v>17010</v>
      </c>
      <c r="F2530" s="2">
        <v>50886</v>
      </c>
      <c r="G2530" s="3" t="str">
        <f>HYPERLINK("https://cloud.oebiotech.com/#/lm/network/50886", "https://cloud.oebiotech.com/#/lm/network/50886")</f>
        <v>https://cloud.oebiotech.com/#/lm/network/50886</v>
      </c>
      <c r="H2530" s="2" t="s">
        <v>17011</v>
      </c>
      <c r="I2530" s="2">
        <v>57967</v>
      </c>
      <c r="J2530" s="2"/>
      <c r="K2530" s="2">
        <v>123796</v>
      </c>
      <c r="L2530" s="2" t="s">
        <v>3258</v>
      </c>
      <c r="M2530" s="2" t="s">
        <v>3259</v>
      </c>
      <c r="N2530" s="2" t="s">
        <v>3260</v>
      </c>
      <c r="O2530" s="2"/>
      <c r="P2530" s="2"/>
      <c r="Q2530" s="2"/>
      <c r="R2530" s="2" t="s">
        <v>17012</v>
      </c>
      <c r="S2530" s="2" t="s">
        <v>17013</v>
      </c>
      <c r="T2530" s="2" t="s">
        <v>17014</v>
      </c>
      <c r="U2530" s="2" t="s">
        <v>56</v>
      </c>
      <c r="V2530" s="2" t="s">
        <v>283</v>
      </c>
      <c r="W2530" s="2" t="s">
        <v>3462</v>
      </c>
      <c r="X2530" s="2" t="s">
        <v>83</v>
      </c>
      <c r="Y2530" s="2">
        <v>46.1</v>
      </c>
      <c r="Z2530" s="2">
        <v>1.56</v>
      </c>
      <c r="AA2530" s="2" t="s">
        <v>163</v>
      </c>
      <c r="AB2530" s="2" t="s">
        <v>17015</v>
      </c>
      <c r="AC2530" s="2">
        <v>0.73992123255359499</v>
      </c>
      <c r="AD2530" s="2"/>
      <c r="AE2530" s="2">
        <v>0.25095994896427498</v>
      </c>
      <c r="AF2530" s="2">
        <v>4616.8081868384998</v>
      </c>
      <c r="AG2530" s="2">
        <v>8104.8505836536096</v>
      </c>
      <c r="AH2530" s="4">
        <v>0.56963520045020599</v>
      </c>
      <c r="AI2530" s="4">
        <v>-0.81188979488599999</v>
      </c>
      <c r="AJ2530" s="4" t="s">
        <v>62</v>
      </c>
      <c r="AK2530" s="2">
        <v>0.32448089065457603</v>
      </c>
      <c r="AL2530" s="2">
        <v>0.62992073899545697</v>
      </c>
      <c r="AM2530" s="2">
        <v>5463.2181487944399</v>
      </c>
      <c r="AN2530" s="2">
        <v>6209.2617143119096</v>
      </c>
      <c r="AO2530" s="2">
        <v>3187.5991435826299</v>
      </c>
      <c r="AP2530" s="2">
        <v>2808.6070187784699</v>
      </c>
      <c r="AQ2530" s="2">
        <v>1203.9660057108799</v>
      </c>
      <c r="AR2530" s="2">
        <v>8828.1970898526397</v>
      </c>
      <c r="AS2530" s="2">
        <v>3751.18679277705</v>
      </c>
      <c r="AT2530" s="2">
        <v>8646.6384780979406</v>
      </c>
      <c r="AU2530" s="2">
        <v>5641.2959158769199</v>
      </c>
      <c r="AV2530" s="2">
        <v>22993.968700490299</v>
      </c>
      <c r="AW2530" s="2">
        <v>6784.2966376919103</v>
      </c>
      <c r="AX2530" s="2">
        <v>811.71697698755702</v>
      </c>
    </row>
    <row r="2531" spans="1:50" x14ac:dyDescent="0.25">
      <c r="A2531" s="2" t="s">
        <v>17016</v>
      </c>
      <c r="B2531" s="2">
        <v>299.01241641400401</v>
      </c>
      <c r="C2531" s="2">
        <v>8.7692833333333304</v>
      </c>
      <c r="D2531" s="2" t="s">
        <v>51</v>
      </c>
      <c r="E2531" s="2" t="s">
        <v>17017</v>
      </c>
      <c r="F2531" s="2">
        <v>199125</v>
      </c>
      <c r="G2531" s="3" t="str">
        <f>HYPERLINK("https://cloud.oebiotech.com/#/lm/network/199125", "https://cloud.oebiotech.com/#/lm/network/199125")</f>
        <v>https://cloud.oebiotech.com/#/lm/network/199125</v>
      </c>
      <c r="H2531" s="2" t="s">
        <v>17018</v>
      </c>
      <c r="I2531" s="2"/>
      <c r="J2531" s="2"/>
      <c r="K2531" s="2">
        <v>76081153</v>
      </c>
      <c r="L2531" s="2"/>
      <c r="M2531" s="2"/>
      <c r="N2531" s="2"/>
      <c r="O2531" s="2"/>
      <c r="P2531" s="2"/>
      <c r="Q2531" s="2"/>
      <c r="R2531" s="2"/>
      <c r="S2531" s="2" t="s">
        <v>17019</v>
      </c>
      <c r="T2531" s="2" t="s">
        <v>17020</v>
      </c>
      <c r="U2531" s="2" t="s">
        <v>103</v>
      </c>
      <c r="V2531" s="2" t="s">
        <v>104</v>
      </c>
      <c r="W2531" s="2" t="s">
        <v>105</v>
      </c>
      <c r="X2531" s="2" t="s">
        <v>147</v>
      </c>
      <c r="Y2531" s="2">
        <v>36.1</v>
      </c>
      <c r="Z2531" s="2">
        <v>0</v>
      </c>
      <c r="AA2531" s="2" t="s">
        <v>478</v>
      </c>
      <c r="AB2531" s="2" t="s">
        <v>17021</v>
      </c>
      <c r="AC2531" s="2">
        <v>-0.44422196388874002</v>
      </c>
      <c r="AD2531" s="2"/>
      <c r="AE2531" s="2">
        <v>0.25090818169285301</v>
      </c>
      <c r="AF2531" s="2">
        <v>14446.667555760299</v>
      </c>
      <c r="AG2531" s="2">
        <v>16652.275662473301</v>
      </c>
      <c r="AH2531" s="4">
        <v>0.86754914755083801</v>
      </c>
      <c r="AI2531" s="4">
        <v>-0.20498260472452201</v>
      </c>
      <c r="AJ2531" s="4" t="s">
        <v>62</v>
      </c>
      <c r="AK2531" s="2">
        <v>5.9146319247564402E-2</v>
      </c>
      <c r="AL2531" s="2">
        <v>0.32837652512840398</v>
      </c>
      <c r="AM2531" s="2">
        <v>14307.8179559981</v>
      </c>
      <c r="AN2531" s="2">
        <v>13586.7279470058</v>
      </c>
      <c r="AO2531" s="2">
        <v>15592.6380766067</v>
      </c>
      <c r="AP2531" s="2">
        <v>16046.477743309601</v>
      </c>
      <c r="AQ2531" s="2">
        <v>12770.2797563613</v>
      </c>
      <c r="AR2531" s="2">
        <v>14376.063855280099</v>
      </c>
      <c r="AS2531" s="2">
        <v>18809.145660233102</v>
      </c>
      <c r="AT2531" s="2">
        <v>18894.430878764098</v>
      </c>
      <c r="AU2531" s="2">
        <v>16607.260336118201</v>
      </c>
      <c r="AV2531" s="2">
        <v>16229.5809702647</v>
      </c>
      <c r="AW2531" s="2">
        <v>12793.0437050646</v>
      </c>
      <c r="AX2531" s="2">
        <v>16580.192424395002</v>
      </c>
    </row>
    <row r="2532" spans="1:50" x14ac:dyDescent="0.25">
      <c r="A2532" s="2" t="s">
        <v>17022</v>
      </c>
      <c r="B2532" s="2">
        <v>310.123803041207</v>
      </c>
      <c r="C2532" s="2">
        <v>7.0347166666666698</v>
      </c>
      <c r="D2532" s="2" t="s">
        <v>51</v>
      </c>
      <c r="E2532" s="2" t="s">
        <v>17023</v>
      </c>
      <c r="F2532" s="2">
        <v>211448</v>
      </c>
      <c r="G2532" s="3" t="str">
        <f>HYPERLINK("https://cloud.oebiotech.com/#/lm/network/211448", "https://cloud.oebiotech.com/#/lm/network/211448")</f>
        <v>https://cloud.oebiotech.com/#/lm/network/211448</v>
      </c>
      <c r="H2532" s="2" t="s">
        <v>17024</v>
      </c>
      <c r="I2532" s="2"/>
      <c r="J2532" s="2"/>
      <c r="K2532" s="2">
        <v>18185437</v>
      </c>
      <c r="L2532" s="2"/>
      <c r="M2532" s="2"/>
      <c r="N2532" s="2"/>
      <c r="O2532" s="2"/>
      <c r="P2532" s="2"/>
      <c r="Q2532" s="2"/>
      <c r="R2532" s="2"/>
      <c r="S2532" s="2" t="s">
        <v>17025</v>
      </c>
      <c r="T2532" s="2" t="s">
        <v>17026</v>
      </c>
      <c r="U2532" s="2" t="s">
        <v>103</v>
      </c>
      <c r="V2532" s="2" t="s">
        <v>104</v>
      </c>
      <c r="W2532" s="2" t="s">
        <v>4850</v>
      </c>
      <c r="X2532" s="2" t="s">
        <v>147</v>
      </c>
      <c r="Y2532" s="2">
        <v>38.799999999999997</v>
      </c>
      <c r="Z2532" s="2">
        <v>0</v>
      </c>
      <c r="AA2532" s="2" t="s">
        <v>512</v>
      </c>
      <c r="AB2532" s="2" t="s">
        <v>17027</v>
      </c>
      <c r="AC2532" s="2">
        <v>-2.3553234457561101</v>
      </c>
      <c r="AD2532" s="2"/>
      <c r="AE2532" s="2">
        <v>0.25089665074981099</v>
      </c>
      <c r="AF2532" s="2">
        <v>3104.25239922643</v>
      </c>
      <c r="AG2532" s="2">
        <v>1492.18116151203</v>
      </c>
      <c r="AH2532" s="5">
        <v>2.08034552324792</v>
      </c>
      <c r="AI2532" s="5">
        <v>1.0568231645574699</v>
      </c>
      <c r="AJ2532" s="5" t="s">
        <v>139</v>
      </c>
      <c r="AK2532" s="2">
        <v>4.3678341879556597E-2</v>
      </c>
      <c r="AL2532" s="2">
        <v>0.29773082208542401</v>
      </c>
      <c r="AM2532" s="2">
        <v>3221.05540327988</v>
      </c>
      <c r="AN2532" s="2">
        <v>5612.99506336578</v>
      </c>
      <c r="AO2532" s="2">
        <v>1988.5546891783199</v>
      </c>
      <c r="AP2532" s="2">
        <v>2145.3382721682501</v>
      </c>
      <c r="AQ2532" s="2">
        <v>1984.9691418093</v>
      </c>
      <c r="AR2532" s="2">
        <v>3672.6018255570302</v>
      </c>
      <c r="AS2532" s="2">
        <v>2035.19746813038</v>
      </c>
      <c r="AT2532" s="2">
        <v>775.582145634276</v>
      </c>
      <c r="AU2532" s="2">
        <v>2728.59476350267</v>
      </c>
      <c r="AV2532" s="2">
        <v>454.73474855538399</v>
      </c>
      <c r="AW2532" s="2">
        <v>711.88245287295297</v>
      </c>
      <c r="AX2532" s="2">
        <v>2247.0953903765198</v>
      </c>
    </row>
    <row r="2533" spans="1:50" x14ac:dyDescent="0.25">
      <c r="A2533" s="2" t="s">
        <v>17028</v>
      </c>
      <c r="B2533" s="2">
        <v>432.19818547021998</v>
      </c>
      <c r="C2533" s="2">
        <v>12.7282333333333</v>
      </c>
      <c r="D2533" s="2" t="s">
        <v>51</v>
      </c>
      <c r="E2533" s="2" t="s">
        <v>17029</v>
      </c>
      <c r="F2533" s="2">
        <v>212918</v>
      </c>
      <c r="G2533" s="3" t="str">
        <f>HYPERLINK("https://cloud.oebiotech.com/#/lm/network/212918", "https://cloud.oebiotech.com/#/lm/network/212918")</f>
        <v>https://cloud.oebiotech.com/#/lm/network/212918</v>
      </c>
      <c r="H2533" s="2" t="s">
        <v>17030</v>
      </c>
      <c r="I2533" s="2">
        <v>85079</v>
      </c>
      <c r="J2533" s="2"/>
      <c r="K2533" s="2">
        <v>71308187</v>
      </c>
      <c r="L2533" s="2"/>
      <c r="M2533" s="2"/>
      <c r="N2533" s="2"/>
      <c r="O2533" s="2"/>
      <c r="P2533" s="2"/>
      <c r="Q2533" s="2"/>
      <c r="R2533" s="2" t="s">
        <v>17031</v>
      </c>
      <c r="S2533" s="2" t="s">
        <v>17032</v>
      </c>
      <c r="T2533" s="2" t="s">
        <v>17033</v>
      </c>
      <c r="U2533" s="2" t="s">
        <v>266</v>
      </c>
      <c r="V2533" s="2" t="s">
        <v>445</v>
      </c>
      <c r="W2533" s="2" t="s">
        <v>5296</v>
      </c>
      <c r="X2533" s="2" t="s">
        <v>147</v>
      </c>
      <c r="Y2533" s="2">
        <v>36.4</v>
      </c>
      <c r="Z2533" s="2">
        <v>0</v>
      </c>
      <c r="AA2533" s="2" t="s">
        <v>218</v>
      </c>
      <c r="AB2533" s="2" t="s">
        <v>17034</v>
      </c>
      <c r="AC2533" s="2">
        <v>0.36136905055289398</v>
      </c>
      <c r="AD2533" s="2"/>
      <c r="AE2533" s="2">
        <v>0.25086934188514598</v>
      </c>
      <c r="AF2533" s="2">
        <v>2957.7470509438999</v>
      </c>
      <c r="AG2533" s="2">
        <v>4405.2410406253703</v>
      </c>
      <c r="AH2533" s="4">
        <v>0.67141548525209005</v>
      </c>
      <c r="AI2533" s="4">
        <v>-0.57472228373994105</v>
      </c>
      <c r="AJ2533" s="4" t="s">
        <v>62</v>
      </c>
      <c r="AK2533" s="2">
        <v>2.21561947075102E-2</v>
      </c>
      <c r="AL2533" s="2">
        <v>0.231586845032549</v>
      </c>
      <c r="AM2533" s="2">
        <v>1891.17076800729</v>
      </c>
      <c r="AN2533" s="2">
        <v>3400.9433704708299</v>
      </c>
      <c r="AO2533" s="2">
        <v>2414.0595694409699</v>
      </c>
      <c r="AP2533" s="2">
        <v>2852.1067829204899</v>
      </c>
      <c r="AQ2533" s="2">
        <v>3352.1276518099498</v>
      </c>
      <c r="AR2533" s="2">
        <v>3836.0741630139</v>
      </c>
      <c r="AS2533" s="2">
        <v>3480.3559559353698</v>
      </c>
      <c r="AT2533" s="2">
        <v>5026.3541257420502</v>
      </c>
      <c r="AU2533" s="2">
        <v>2960.6683685920002</v>
      </c>
      <c r="AV2533" s="2">
        <v>5918.6273824713999</v>
      </c>
      <c r="AW2533" s="2">
        <v>4085.42298845083</v>
      </c>
      <c r="AX2533" s="2">
        <v>4960.0174225605897</v>
      </c>
    </row>
    <row r="2534" spans="1:50" x14ac:dyDescent="0.25">
      <c r="A2534" s="2" t="s">
        <v>17035</v>
      </c>
      <c r="B2534" s="2">
        <v>356.35358201016402</v>
      </c>
      <c r="C2534" s="2">
        <v>9.9705999999999992</v>
      </c>
      <c r="D2534" s="2" t="s">
        <v>51</v>
      </c>
      <c r="E2534" s="2" t="s">
        <v>17036</v>
      </c>
      <c r="F2534" s="2">
        <v>9047</v>
      </c>
      <c r="G2534" s="3" t="str">
        <f>HYPERLINK("https://cloud.oebiotech.com/#/lm/network/9047", "https://cloud.oebiotech.com/#/lm/network/9047")</f>
        <v>https://cloud.oebiotech.com/#/lm/network/9047</v>
      </c>
      <c r="H2534" s="2" t="s">
        <v>17037</v>
      </c>
      <c r="I2534" s="2">
        <v>3723</v>
      </c>
      <c r="J2534" s="2" t="s">
        <v>17038</v>
      </c>
      <c r="K2534" s="2">
        <v>3787294</v>
      </c>
      <c r="L2534" s="2"/>
      <c r="M2534" s="2"/>
      <c r="N2534" s="2"/>
      <c r="O2534" s="2">
        <v>85253</v>
      </c>
      <c r="P2534" s="2"/>
      <c r="Q2534" s="2"/>
      <c r="R2534" s="2" t="s">
        <v>17039</v>
      </c>
      <c r="S2534" s="2" t="s">
        <v>17040</v>
      </c>
      <c r="T2534" s="2" t="s">
        <v>17041</v>
      </c>
      <c r="U2534" s="2" t="s">
        <v>119</v>
      </c>
      <c r="V2534" s="2" t="s">
        <v>120</v>
      </c>
      <c r="W2534" s="2" t="s">
        <v>1887</v>
      </c>
      <c r="X2534" s="2" t="s">
        <v>59</v>
      </c>
      <c r="Y2534" s="2">
        <v>47.9</v>
      </c>
      <c r="Z2534" s="2">
        <v>50.1</v>
      </c>
      <c r="AA2534" s="2" t="s">
        <v>259</v>
      </c>
      <c r="AB2534" s="2" t="s">
        <v>17042</v>
      </c>
      <c r="AC2534" s="2">
        <v>3.5905696912810501</v>
      </c>
      <c r="AD2534" s="2"/>
      <c r="AE2534" s="2">
        <v>0.25085809573624901</v>
      </c>
      <c r="AF2534" s="2">
        <v>1864.1192037374001</v>
      </c>
      <c r="AG2534" s="2">
        <v>5330.53263576892</v>
      </c>
      <c r="AH2534" s="4">
        <v>0.34970599208581798</v>
      </c>
      <c r="AI2534" s="4">
        <v>-1.5157855785817</v>
      </c>
      <c r="AJ2534" s="4" t="s">
        <v>62</v>
      </c>
      <c r="AK2534" s="2">
        <v>0.33001885459994501</v>
      </c>
      <c r="AL2534" s="2">
        <v>0.63244736596509699</v>
      </c>
      <c r="AM2534" s="2">
        <v>8.559877937157E-6</v>
      </c>
      <c r="AN2534" s="2">
        <v>181.88495285440001</v>
      </c>
      <c r="AO2534" s="2">
        <v>8.559877937157E-6</v>
      </c>
      <c r="AP2534" s="2">
        <v>9208.2240471964305</v>
      </c>
      <c r="AQ2534" s="2">
        <v>1556.44732939701</v>
      </c>
      <c r="AR2534" s="2">
        <v>238.15887585680599</v>
      </c>
      <c r="AS2534" s="2">
        <v>1840.94056265483</v>
      </c>
      <c r="AT2534" s="2">
        <v>14589.198446706599</v>
      </c>
      <c r="AU2534" s="2">
        <v>8.559877937157E-6</v>
      </c>
      <c r="AV2534" s="2">
        <v>191.42155396670501</v>
      </c>
      <c r="AW2534" s="2">
        <v>143.252092124922</v>
      </c>
      <c r="AX2534" s="2">
        <v>15218.383150600601</v>
      </c>
    </row>
    <row r="2535" spans="1:50" x14ac:dyDescent="0.25">
      <c r="A2535" s="2" t="s">
        <v>17043</v>
      </c>
      <c r="B2535" s="2">
        <v>512.336510556961</v>
      </c>
      <c r="C2535" s="2">
        <v>8.6999999999999993</v>
      </c>
      <c r="D2535" s="2" t="s">
        <v>51</v>
      </c>
      <c r="E2535" s="2" t="s">
        <v>17044</v>
      </c>
      <c r="F2535" s="2">
        <v>135357</v>
      </c>
      <c r="G2535" s="3" t="str">
        <f>HYPERLINK("https://cloud.oebiotech.com/#/lm/network/135357", "https://cloud.oebiotech.com/#/lm/network/135357")</f>
        <v>https://cloud.oebiotech.com/#/lm/network/135357</v>
      </c>
      <c r="H2535" s="2" t="s">
        <v>17045</v>
      </c>
      <c r="I2535" s="2"/>
      <c r="J2535" s="2"/>
      <c r="K2535" s="2">
        <v>131822336</v>
      </c>
      <c r="L2535" s="2"/>
      <c r="M2535" s="2"/>
      <c r="N2535" s="2"/>
      <c r="O2535" s="2"/>
      <c r="P2535" s="2"/>
      <c r="Q2535" s="2"/>
      <c r="R2535" s="2"/>
      <c r="S2535" s="2" t="s">
        <v>17046</v>
      </c>
      <c r="T2535" s="2" t="s">
        <v>17047</v>
      </c>
      <c r="U2535" s="2" t="s">
        <v>56</v>
      </c>
      <c r="V2535" s="2" t="s">
        <v>57</v>
      </c>
      <c r="W2535" s="2" t="s">
        <v>702</v>
      </c>
      <c r="X2535" s="2" t="s">
        <v>147</v>
      </c>
      <c r="Y2535" s="2">
        <v>37.4</v>
      </c>
      <c r="Z2535" s="2">
        <v>0</v>
      </c>
      <c r="AA2535" s="2" t="s">
        <v>512</v>
      </c>
      <c r="AB2535" s="2" t="s">
        <v>17048</v>
      </c>
      <c r="AC2535" s="2">
        <v>3.7020635743969201</v>
      </c>
      <c r="AD2535" s="2"/>
      <c r="AE2535" s="2">
        <v>0.25058988344993699</v>
      </c>
      <c r="AF2535" s="2">
        <v>5370.4705727848896</v>
      </c>
      <c r="AG2535" s="2">
        <v>3656.2948016916198</v>
      </c>
      <c r="AH2535" s="5">
        <v>1.46882865416109</v>
      </c>
      <c r="AI2535" s="5">
        <v>0.55466610848096998</v>
      </c>
      <c r="AJ2535" s="5" t="s">
        <v>139</v>
      </c>
      <c r="AK2535" s="2">
        <v>5.3752301517001499E-2</v>
      </c>
      <c r="AL2535" s="2">
        <v>0.31880860550093698</v>
      </c>
      <c r="AM2535" s="2">
        <v>6496.4973759883096</v>
      </c>
      <c r="AN2535" s="2">
        <v>7060.9430616975096</v>
      </c>
      <c r="AO2535" s="2">
        <v>4668.1508801670298</v>
      </c>
      <c r="AP2535" s="2">
        <v>6052.50656375586</v>
      </c>
      <c r="AQ2535" s="2">
        <v>2950.0005788276299</v>
      </c>
      <c r="AR2535" s="2">
        <v>4994.7249762730098</v>
      </c>
      <c r="AS2535" s="2">
        <v>3812.07019763981</v>
      </c>
      <c r="AT2535" s="2">
        <v>1944.7894956611301</v>
      </c>
      <c r="AU2535" s="2">
        <v>5602.2495318286301</v>
      </c>
      <c r="AV2535" s="2">
        <v>2923.0232953219302</v>
      </c>
      <c r="AW2535" s="2">
        <v>3963.1741199870698</v>
      </c>
      <c r="AX2535" s="2">
        <v>3692.4621697111302</v>
      </c>
    </row>
    <row r="2536" spans="1:50" x14ac:dyDescent="0.25">
      <c r="A2536" s="2" t="s">
        <v>17049</v>
      </c>
      <c r="B2536" s="2">
        <v>539.372689564854</v>
      </c>
      <c r="C2536" s="2">
        <v>11.948033333333299</v>
      </c>
      <c r="D2536" s="2" t="s">
        <v>51</v>
      </c>
      <c r="E2536" s="2" t="s">
        <v>17050</v>
      </c>
      <c r="F2536" s="2">
        <v>1607</v>
      </c>
      <c r="G2536" s="3" t="str">
        <f>HYPERLINK("https://cloud.oebiotech.com/#/lm/network/1607", "https://cloud.oebiotech.com/#/lm/network/1607")</f>
        <v>https://cloud.oebiotech.com/#/lm/network/1607</v>
      </c>
      <c r="H2536" s="2"/>
      <c r="I2536" s="2"/>
      <c r="J2536" s="2" t="s">
        <v>17051</v>
      </c>
      <c r="K2536" s="2">
        <v>71658903</v>
      </c>
      <c r="L2536" s="2"/>
      <c r="M2536" s="2"/>
      <c r="N2536" s="2"/>
      <c r="O2536" s="2"/>
      <c r="P2536" s="2"/>
      <c r="Q2536" s="2"/>
      <c r="R2536" s="2"/>
      <c r="S2536" s="2" t="s">
        <v>17052</v>
      </c>
      <c r="T2536" s="2" t="s">
        <v>17053</v>
      </c>
      <c r="U2536" s="2" t="s">
        <v>56</v>
      </c>
      <c r="V2536" s="2" t="s">
        <v>145</v>
      </c>
      <c r="W2536" s="2" t="s">
        <v>231</v>
      </c>
      <c r="X2536" s="2" t="s">
        <v>147</v>
      </c>
      <c r="Y2536" s="2">
        <v>38.700000000000003</v>
      </c>
      <c r="Z2536" s="2">
        <v>8.9499999999999993</v>
      </c>
      <c r="AA2536" s="2" t="s">
        <v>218</v>
      </c>
      <c r="AB2536" s="2" t="s">
        <v>17054</v>
      </c>
      <c r="AC2536" s="2">
        <v>-3.0518620241168501</v>
      </c>
      <c r="AD2536" s="2"/>
      <c r="AE2536" s="2">
        <v>0.25053058390497701</v>
      </c>
      <c r="AF2536" s="2">
        <v>6053.2073013480403</v>
      </c>
      <c r="AG2536" s="2">
        <v>3407.65400917835</v>
      </c>
      <c r="AH2536" s="5">
        <v>1.7763561925723801</v>
      </c>
      <c r="AI2536" s="5">
        <v>0.82892089797931101</v>
      </c>
      <c r="AJ2536" s="5" t="s">
        <v>139</v>
      </c>
      <c r="AK2536" s="2">
        <v>0.14980283376551401</v>
      </c>
      <c r="AL2536" s="2">
        <v>0.470571123844368</v>
      </c>
      <c r="AM2536" s="2">
        <v>4870.2341597464701</v>
      </c>
      <c r="AN2536" s="2">
        <v>8487.8336884717592</v>
      </c>
      <c r="AO2536" s="2">
        <v>4359.83474522294</v>
      </c>
      <c r="AP2536" s="2">
        <v>3859.1248781550698</v>
      </c>
      <c r="AQ2536" s="2">
        <v>11119.880572485201</v>
      </c>
      <c r="AR2536" s="2">
        <v>3622.3357640068202</v>
      </c>
      <c r="AS2536" s="2">
        <v>3719.4438587372001</v>
      </c>
      <c r="AT2536" s="2">
        <v>3974.3806699269999</v>
      </c>
      <c r="AU2536" s="2">
        <v>596.86844618119096</v>
      </c>
      <c r="AV2536" s="2">
        <v>71.134744839483801</v>
      </c>
      <c r="AW2536" s="2">
        <v>4260.0953763766001</v>
      </c>
      <c r="AX2536" s="2">
        <v>7824.0009590086102</v>
      </c>
    </row>
    <row r="2537" spans="1:50" x14ac:dyDescent="0.25">
      <c r="A2537" s="2" t="s">
        <v>17055</v>
      </c>
      <c r="B2537" s="2">
        <v>343.22800001848401</v>
      </c>
      <c r="C2537" s="2">
        <v>11.884166666666699</v>
      </c>
      <c r="D2537" s="2" t="s">
        <v>51</v>
      </c>
      <c r="E2537" s="2" t="s">
        <v>17056</v>
      </c>
      <c r="F2537" s="2">
        <v>4853</v>
      </c>
      <c r="G2537" s="3" t="str">
        <f>HYPERLINK("https://cloud.oebiotech.com/#/lm/network/4853", "https://cloud.oebiotech.com/#/lm/network/4853")</f>
        <v>https://cloud.oebiotech.com/#/lm/network/4853</v>
      </c>
      <c r="H2537" s="2" t="s">
        <v>17057</v>
      </c>
      <c r="I2537" s="2">
        <v>45396</v>
      </c>
      <c r="J2537" s="2" t="s">
        <v>17058</v>
      </c>
      <c r="K2537" s="2">
        <v>11631565</v>
      </c>
      <c r="L2537" s="2"/>
      <c r="M2537" s="2"/>
      <c r="N2537" s="2"/>
      <c r="O2537" s="2">
        <v>72653</v>
      </c>
      <c r="P2537" s="2"/>
      <c r="Q2537" s="2"/>
      <c r="R2537" s="2"/>
      <c r="S2537" s="2" t="s">
        <v>17059</v>
      </c>
      <c r="T2537" s="2" t="s">
        <v>17060</v>
      </c>
      <c r="U2537" s="2" t="s">
        <v>56</v>
      </c>
      <c r="V2537" s="2" t="s">
        <v>145</v>
      </c>
      <c r="W2537" s="2" t="s">
        <v>203</v>
      </c>
      <c r="X2537" s="2" t="s">
        <v>69</v>
      </c>
      <c r="Y2537" s="2">
        <v>54</v>
      </c>
      <c r="Z2537" s="2">
        <v>60.8</v>
      </c>
      <c r="AA2537" s="2" t="s">
        <v>298</v>
      </c>
      <c r="AB2537" s="2" t="s">
        <v>2918</v>
      </c>
      <c r="AC2537" s="2">
        <v>0.38219677953216102</v>
      </c>
      <c r="AD2537" s="2"/>
      <c r="AE2537" s="2">
        <v>0.25045270171364498</v>
      </c>
      <c r="AF2537" s="2">
        <v>3424.8101397589498</v>
      </c>
      <c r="AG2537" s="2">
        <v>6120.6343188008505</v>
      </c>
      <c r="AH2537" s="4">
        <v>0.55955150420258104</v>
      </c>
      <c r="AI2537" s="4">
        <v>-0.83765716397554302</v>
      </c>
      <c r="AJ2537" s="4" t="s">
        <v>62</v>
      </c>
      <c r="AK2537" s="2">
        <v>7.6592825189491995E-2</v>
      </c>
      <c r="AL2537" s="2">
        <v>0.36102259885854299</v>
      </c>
      <c r="AM2537" s="2">
        <v>6190.7046066056701</v>
      </c>
      <c r="AN2537" s="2">
        <v>1068.2118223581499</v>
      </c>
      <c r="AO2537" s="2">
        <v>2605.2284539311599</v>
      </c>
      <c r="AP2537" s="2">
        <v>5244.5094073088303</v>
      </c>
      <c r="AQ2537" s="2">
        <v>2317.6645415885901</v>
      </c>
      <c r="AR2537" s="2">
        <v>3122.54200676133</v>
      </c>
      <c r="AS2537" s="2">
        <v>1176.4304797269499</v>
      </c>
      <c r="AT2537" s="2">
        <v>8283.0129890893695</v>
      </c>
      <c r="AU2537" s="2">
        <v>7114.5007867127397</v>
      </c>
      <c r="AV2537" s="2">
        <v>8157.9707733101204</v>
      </c>
      <c r="AW2537" s="2">
        <v>4743.2014390395198</v>
      </c>
      <c r="AX2537" s="2">
        <v>7248.68944492641</v>
      </c>
    </row>
    <row r="2538" spans="1:50" x14ac:dyDescent="0.25">
      <c r="A2538" s="2" t="s">
        <v>17061</v>
      </c>
      <c r="B2538" s="2">
        <v>245.154372214962</v>
      </c>
      <c r="C2538" s="2">
        <v>9.4819833333333303</v>
      </c>
      <c r="D2538" s="2" t="s">
        <v>51</v>
      </c>
      <c r="E2538" s="2" t="s">
        <v>17062</v>
      </c>
      <c r="F2538" s="2">
        <v>35711</v>
      </c>
      <c r="G2538" s="3" t="str">
        <f>HYPERLINK("https://cloud.oebiotech.com/#/lm/network/35711", "https://cloud.oebiotech.com/#/lm/network/35711")</f>
        <v>https://cloud.oebiotech.com/#/lm/network/35711</v>
      </c>
      <c r="H2538" s="2"/>
      <c r="I2538" s="2">
        <v>53496</v>
      </c>
      <c r="J2538" s="2" t="s">
        <v>17063</v>
      </c>
      <c r="K2538" s="2">
        <v>42608171</v>
      </c>
      <c r="L2538" s="2"/>
      <c r="M2538" s="2"/>
      <c r="N2538" s="2"/>
      <c r="O2538" s="2"/>
      <c r="P2538" s="2"/>
      <c r="Q2538" s="2"/>
      <c r="R2538" s="2"/>
      <c r="S2538" s="2" t="s">
        <v>17064</v>
      </c>
      <c r="T2538" s="2" t="s">
        <v>17065</v>
      </c>
      <c r="U2538" s="2" t="s">
        <v>56</v>
      </c>
      <c r="V2538" s="2" t="s">
        <v>177</v>
      </c>
      <c r="W2538" s="2" t="s">
        <v>1996</v>
      </c>
      <c r="X2538" s="2" t="s">
        <v>83</v>
      </c>
      <c r="Y2538" s="2">
        <v>47.1</v>
      </c>
      <c r="Z2538" s="2">
        <v>0</v>
      </c>
      <c r="AA2538" s="2" t="s">
        <v>156</v>
      </c>
      <c r="AB2538" s="2" t="s">
        <v>17066</v>
      </c>
      <c r="AC2538" s="2">
        <v>2.9215357597100402</v>
      </c>
      <c r="AD2538" s="2"/>
      <c r="AE2538" s="2">
        <v>0.250429446481582</v>
      </c>
      <c r="AF2538" s="2">
        <v>3716.36951462459</v>
      </c>
      <c r="AG2538" s="2">
        <v>2241.82979413978</v>
      </c>
      <c r="AH2538" s="5">
        <v>1.65773937180214</v>
      </c>
      <c r="AI2538" s="5">
        <v>0.72921720552802205</v>
      </c>
      <c r="AJ2538" s="5" t="s">
        <v>139</v>
      </c>
      <c r="AK2538" s="2">
        <v>9.8684533396563107E-2</v>
      </c>
      <c r="AL2538" s="2">
        <v>0.40061906568557099</v>
      </c>
      <c r="AM2538" s="2">
        <v>7597.0584674714601</v>
      </c>
      <c r="AN2538" s="2">
        <v>2738.5689417492699</v>
      </c>
      <c r="AO2538" s="2">
        <v>3139.5052824070799</v>
      </c>
      <c r="AP2538" s="2">
        <v>3034.99335316523</v>
      </c>
      <c r="AQ2538" s="2">
        <v>2955.5672347293698</v>
      </c>
      <c r="AR2538" s="2">
        <v>2832.5238082251299</v>
      </c>
      <c r="AS2538" s="2">
        <v>2916.6430918364499</v>
      </c>
      <c r="AT2538" s="2">
        <v>2189.2092023063601</v>
      </c>
      <c r="AU2538" s="2">
        <v>2725.4238472631</v>
      </c>
      <c r="AV2538" s="2">
        <v>1557.04834829109</v>
      </c>
      <c r="AW2538" s="2">
        <v>2389.9627092875398</v>
      </c>
      <c r="AX2538" s="2">
        <v>1672.69156585412</v>
      </c>
    </row>
    <row r="2539" spans="1:50" x14ac:dyDescent="0.25">
      <c r="A2539" s="2" t="s">
        <v>17067</v>
      </c>
      <c r="B2539" s="2">
        <v>444.198063283419</v>
      </c>
      <c r="C2539" s="2">
        <v>9.6451499999999992</v>
      </c>
      <c r="D2539" s="2" t="s">
        <v>51</v>
      </c>
      <c r="E2539" s="2" t="s">
        <v>17068</v>
      </c>
      <c r="F2539" s="2">
        <v>63686</v>
      </c>
      <c r="G2539" s="3" t="str">
        <f>HYPERLINK("https://cloud.oebiotech.com/#/lm/network/63686", "https://cloud.oebiotech.com/#/lm/network/63686")</f>
        <v>https://cloud.oebiotech.com/#/lm/network/63686</v>
      </c>
      <c r="H2539" s="2" t="s">
        <v>17069</v>
      </c>
      <c r="I2539" s="2">
        <v>95023</v>
      </c>
      <c r="J2539" s="2"/>
      <c r="K2539" s="2">
        <v>14138147</v>
      </c>
      <c r="L2539" s="2"/>
      <c r="M2539" s="2"/>
      <c r="N2539" s="2"/>
      <c r="O2539" s="2">
        <v>169162</v>
      </c>
      <c r="P2539" s="2"/>
      <c r="Q2539" s="2"/>
      <c r="R2539" s="2" t="s">
        <v>17070</v>
      </c>
      <c r="S2539" s="2" t="s">
        <v>17071</v>
      </c>
      <c r="T2539" s="2" t="s">
        <v>17072</v>
      </c>
      <c r="U2539" s="2" t="s">
        <v>56</v>
      </c>
      <c r="V2539" s="2" t="s">
        <v>177</v>
      </c>
      <c r="W2539" s="2" t="s">
        <v>806</v>
      </c>
      <c r="X2539" s="2" t="s">
        <v>147</v>
      </c>
      <c r="Y2539" s="2">
        <v>37.700000000000003</v>
      </c>
      <c r="Z2539" s="2">
        <v>0</v>
      </c>
      <c r="AA2539" s="2" t="s">
        <v>122</v>
      </c>
      <c r="AB2539" s="2" t="s">
        <v>17073</v>
      </c>
      <c r="AC2539" s="2">
        <v>-3.3409273604496601</v>
      </c>
      <c r="AD2539" s="2"/>
      <c r="AE2539" s="2">
        <v>0.25036253973289901</v>
      </c>
      <c r="AF2539" s="2">
        <v>13003.5154479138</v>
      </c>
      <c r="AG2539" s="2">
        <v>10808.600849626901</v>
      </c>
      <c r="AH2539" s="5">
        <v>1.2030711124245701</v>
      </c>
      <c r="AI2539" s="5">
        <v>0.26672192140851197</v>
      </c>
      <c r="AJ2539" s="5" t="s">
        <v>139</v>
      </c>
      <c r="AK2539" s="2">
        <v>0.30511824033446699</v>
      </c>
      <c r="AL2539" s="2">
        <v>0.61489714625449199</v>
      </c>
      <c r="AM2539" s="2">
        <v>15703.564944031001</v>
      </c>
      <c r="AN2539" s="2">
        <v>14398.5202915468</v>
      </c>
      <c r="AO2539" s="2">
        <v>11072.743423220099</v>
      </c>
      <c r="AP2539" s="2">
        <v>15390.0450272536</v>
      </c>
      <c r="AQ2539" s="2">
        <v>7808.7025398207797</v>
      </c>
      <c r="AR2539" s="2">
        <v>13647.516461610399</v>
      </c>
      <c r="AS2539" s="2">
        <v>13327.6861970349</v>
      </c>
      <c r="AT2539" s="2">
        <v>12059.364455188201</v>
      </c>
      <c r="AU2539" s="2">
        <v>15796.9653794034</v>
      </c>
      <c r="AV2539" s="2">
        <v>5288.1470936482701</v>
      </c>
      <c r="AW2539" s="2">
        <v>7052.8476376406898</v>
      </c>
      <c r="AX2539" s="2">
        <v>11326.5943348458</v>
      </c>
    </row>
    <row r="2540" spans="1:50" x14ac:dyDescent="0.25">
      <c r="A2540" s="2" t="s">
        <v>17074</v>
      </c>
      <c r="B2540" s="2">
        <v>174.09649999999999</v>
      </c>
      <c r="C2540" s="2">
        <v>12.593</v>
      </c>
      <c r="D2540" s="2" t="s">
        <v>125</v>
      </c>
      <c r="E2540" s="2" t="s">
        <v>17075</v>
      </c>
      <c r="F2540" s="2">
        <v>48013</v>
      </c>
      <c r="G2540" s="3" t="str">
        <f>HYPERLINK("https://cloud.oebiotech.com/#/lm/network/48013", "https://cloud.oebiotech.com/#/lm/network/48013")</f>
        <v>https://cloud.oebiotech.com/#/lm/network/48013</v>
      </c>
      <c r="H2540" s="2" t="s">
        <v>17076</v>
      </c>
      <c r="I2540" s="2">
        <v>3270</v>
      </c>
      <c r="J2540" s="2"/>
      <c r="K2540" s="2">
        <v>99478</v>
      </c>
      <c r="L2540" s="2" t="s">
        <v>17077</v>
      </c>
      <c r="M2540" s="2" t="s">
        <v>17078</v>
      </c>
      <c r="N2540" s="2" t="s">
        <v>17079</v>
      </c>
      <c r="O2540" s="2">
        <v>17981</v>
      </c>
      <c r="P2540" s="2"/>
      <c r="Q2540" s="2"/>
      <c r="R2540" s="2" t="s">
        <v>17080</v>
      </c>
      <c r="S2540" s="2" t="s">
        <v>17081</v>
      </c>
      <c r="T2540" s="2" t="s">
        <v>17082</v>
      </c>
      <c r="U2540" s="2" t="s">
        <v>103</v>
      </c>
      <c r="V2540" s="2" t="s">
        <v>104</v>
      </c>
      <c r="W2540" s="2" t="s">
        <v>105</v>
      </c>
      <c r="X2540" s="2" t="s">
        <v>83</v>
      </c>
      <c r="Y2540" s="2">
        <v>82.8</v>
      </c>
      <c r="Z2540" s="2">
        <v>72.599999999999994</v>
      </c>
      <c r="AA2540" s="2"/>
      <c r="AB2540" s="2" t="s">
        <v>1899</v>
      </c>
      <c r="AC2540" s="2"/>
      <c r="AD2540" s="2">
        <v>425198.37464700302</v>
      </c>
      <c r="AE2540" s="2">
        <v>0.25026580604411103</v>
      </c>
      <c r="AF2540" s="2">
        <v>866197.60427926795</v>
      </c>
      <c r="AG2540" s="2">
        <v>898823.58453246404</v>
      </c>
      <c r="AH2540" s="4">
        <v>0.96370146398621004</v>
      </c>
      <c r="AI2540" s="4">
        <v>-5.3341798152491002E-2</v>
      </c>
      <c r="AJ2540" s="4" t="s">
        <v>62</v>
      </c>
      <c r="AK2540" s="2">
        <v>0.151198741996384</v>
      </c>
      <c r="AL2540" s="2">
        <v>0.47270507173909099</v>
      </c>
      <c r="AM2540" s="2">
        <v>880340.04423942603</v>
      </c>
      <c r="AN2540" s="2">
        <v>880818.69946047</v>
      </c>
      <c r="AO2540" s="2">
        <v>846618.694472273</v>
      </c>
      <c r="AP2540" s="2">
        <v>904725.93450372503</v>
      </c>
      <c r="AQ2540" s="2">
        <v>801923.17687004199</v>
      </c>
      <c r="AR2540" s="2">
        <v>882759.076129672</v>
      </c>
      <c r="AS2540" s="2">
        <v>856928.22738499497</v>
      </c>
      <c r="AT2540" s="2">
        <v>962969.11133257695</v>
      </c>
      <c r="AU2540" s="2">
        <v>894046.62210551801</v>
      </c>
      <c r="AV2540" s="2">
        <v>901500.83421623101</v>
      </c>
      <c r="AW2540" s="2">
        <v>903427.34344302595</v>
      </c>
      <c r="AX2540" s="2">
        <v>874069.36871243594</v>
      </c>
    </row>
    <row r="2541" spans="1:50" x14ac:dyDescent="0.25">
      <c r="A2541" s="2" t="s">
        <v>17083</v>
      </c>
      <c r="B2541" s="2">
        <v>431.31659244665298</v>
      </c>
      <c r="C2541" s="2">
        <v>11.96875</v>
      </c>
      <c r="D2541" s="2" t="s">
        <v>51</v>
      </c>
      <c r="E2541" s="2" t="s">
        <v>17084</v>
      </c>
      <c r="F2541" s="2">
        <v>44458</v>
      </c>
      <c r="G2541" s="3" t="str">
        <f>HYPERLINK("https://cloud.oebiotech.com/#/lm/network/44458", "https://cloud.oebiotech.com/#/lm/network/44458")</f>
        <v>https://cloud.oebiotech.com/#/lm/network/44458</v>
      </c>
      <c r="H2541" s="2"/>
      <c r="I2541" s="2">
        <v>57753</v>
      </c>
      <c r="J2541" s="2" t="s">
        <v>17085</v>
      </c>
      <c r="K2541" s="2">
        <v>6857543</v>
      </c>
      <c r="L2541" s="2"/>
      <c r="M2541" s="2"/>
      <c r="N2541" s="2"/>
      <c r="O2541" s="2">
        <v>35370</v>
      </c>
      <c r="P2541" s="2"/>
      <c r="Q2541" s="2"/>
      <c r="R2541" s="2"/>
      <c r="S2541" s="2" t="s">
        <v>17086</v>
      </c>
      <c r="T2541" s="2" t="s">
        <v>17087</v>
      </c>
      <c r="U2541" s="2" t="s">
        <v>56</v>
      </c>
      <c r="V2541" s="2" t="s">
        <v>177</v>
      </c>
      <c r="W2541" s="2" t="s">
        <v>3270</v>
      </c>
      <c r="X2541" s="2" t="s">
        <v>83</v>
      </c>
      <c r="Y2541" s="2">
        <v>50.6</v>
      </c>
      <c r="Z2541" s="2">
        <v>0</v>
      </c>
      <c r="AA2541" s="2" t="s">
        <v>163</v>
      </c>
      <c r="AB2541" s="2" t="s">
        <v>12999</v>
      </c>
      <c r="AC2541" s="2">
        <v>-0.210514973476573</v>
      </c>
      <c r="AD2541" s="2"/>
      <c r="AE2541" s="2">
        <v>0.25010643885678202</v>
      </c>
      <c r="AF2541" s="2">
        <v>2350.9627988706702</v>
      </c>
      <c r="AG2541" s="2">
        <v>1007.61635238467</v>
      </c>
      <c r="AH2541" s="5">
        <v>2.3331923834967201</v>
      </c>
      <c r="AI2541" s="5">
        <v>1.2223052697197201</v>
      </c>
      <c r="AJ2541" s="5" t="s">
        <v>139</v>
      </c>
      <c r="AK2541" s="2">
        <v>1.5638455135224599E-3</v>
      </c>
      <c r="AL2541" s="2">
        <v>9.8160839002130199E-2</v>
      </c>
      <c r="AM2541" s="2">
        <v>2328.6609498755502</v>
      </c>
      <c r="AN2541" s="2">
        <v>3313.2227171022701</v>
      </c>
      <c r="AO2541" s="2">
        <v>2161.43797038099</v>
      </c>
      <c r="AP2541" s="2">
        <v>2044.8655622532301</v>
      </c>
      <c r="AQ2541" s="2">
        <v>1615.7104650038</v>
      </c>
      <c r="AR2541" s="2">
        <v>2641.87912860816</v>
      </c>
      <c r="AS2541" s="2">
        <v>1637.6421221119899</v>
      </c>
      <c r="AT2541" s="2">
        <v>967.57903861827106</v>
      </c>
      <c r="AU2541" s="2">
        <v>711.96367665164303</v>
      </c>
      <c r="AV2541" s="2">
        <v>597.83360717125595</v>
      </c>
      <c r="AW2541" s="2">
        <v>523.37850177333098</v>
      </c>
      <c r="AX2541" s="2">
        <v>1607.30116798155</v>
      </c>
    </row>
    <row r="2542" spans="1:50" x14ac:dyDescent="0.25">
      <c r="A2542" s="2" t="s">
        <v>17088</v>
      </c>
      <c r="B2542" s="2">
        <v>218.13390000000001</v>
      </c>
      <c r="C2542" s="2">
        <v>12.169</v>
      </c>
      <c r="D2542" s="2" t="s">
        <v>125</v>
      </c>
      <c r="E2542" s="2" t="s">
        <v>17089</v>
      </c>
      <c r="F2542" s="2">
        <v>46907</v>
      </c>
      <c r="G2542" s="3" t="str">
        <f>HYPERLINK("https://cloud.oebiotech.com/#/lm/network/46907", "https://cloud.oebiotech.com/#/lm/network/46907")</f>
        <v>https://cloud.oebiotech.com/#/lm/network/46907</v>
      </c>
      <c r="H2542" s="2" t="s">
        <v>17090</v>
      </c>
      <c r="I2542" s="2">
        <v>32</v>
      </c>
      <c r="J2542" s="2"/>
      <c r="K2542" s="2">
        <v>6288</v>
      </c>
      <c r="L2542" s="2" t="s">
        <v>17091</v>
      </c>
      <c r="M2542" s="2" t="s">
        <v>17092</v>
      </c>
      <c r="N2542" s="2" t="s">
        <v>17093</v>
      </c>
      <c r="O2542" s="2">
        <v>16857</v>
      </c>
      <c r="P2542" s="2"/>
      <c r="Q2542" s="2"/>
      <c r="R2542" s="2" t="s">
        <v>17094</v>
      </c>
      <c r="S2542" s="2" t="s">
        <v>17095</v>
      </c>
      <c r="T2542" s="2" t="s">
        <v>17096</v>
      </c>
      <c r="U2542" s="2" t="s">
        <v>103</v>
      </c>
      <c r="V2542" s="2" t="s">
        <v>104</v>
      </c>
      <c r="W2542" s="2" t="s">
        <v>105</v>
      </c>
      <c r="X2542" s="2" t="s">
        <v>69</v>
      </c>
      <c r="Y2542" s="2">
        <v>94.7</v>
      </c>
      <c r="Z2542" s="2">
        <v>92.7</v>
      </c>
      <c r="AA2542" s="2"/>
      <c r="AB2542" s="2" t="s">
        <v>17097</v>
      </c>
      <c r="AC2542" s="2"/>
      <c r="AD2542" s="2">
        <v>411219.54565421998</v>
      </c>
      <c r="AE2542" s="2">
        <v>0.25008268430471498</v>
      </c>
      <c r="AF2542" s="2">
        <v>1062488.4519464199</v>
      </c>
      <c r="AG2542" s="2">
        <v>1006247.44405335</v>
      </c>
      <c r="AH2542" s="5">
        <v>1.0558918268319</v>
      </c>
      <c r="AI2542" s="5">
        <v>7.84620421898308E-2</v>
      </c>
      <c r="AJ2542" s="5" t="s">
        <v>139</v>
      </c>
      <c r="AK2542" s="2">
        <v>0.74827184252117995</v>
      </c>
      <c r="AL2542" s="2">
        <v>0.88463645213384701</v>
      </c>
      <c r="AM2542" s="2">
        <v>1310211.56090684</v>
      </c>
      <c r="AN2542" s="2">
        <v>1290164.3694714401</v>
      </c>
      <c r="AO2542" s="2">
        <v>1081498.2607245001</v>
      </c>
      <c r="AP2542" s="2">
        <v>1448184.0213359799</v>
      </c>
      <c r="AQ2542" s="2">
        <v>442827.720463923</v>
      </c>
      <c r="AR2542" s="2">
        <v>802044.778775846</v>
      </c>
      <c r="AS2542" s="2">
        <v>666878.61963226099</v>
      </c>
      <c r="AT2542" s="2">
        <v>1083118.0466627099</v>
      </c>
      <c r="AU2542" s="2">
        <v>1020062.47291975</v>
      </c>
      <c r="AV2542" s="2">
        <v>1001844.45401644</v>
      </c>
      <c r="AW2542" s="2">
        <v>1179506.0581082101</v>
      </c>
      <c r="AX2542" s="2">
        <v>1086075.01298072</v>
      </c>
    </row>
    <row r="2543" spans="1:50" x14ac:dyDescent="0.25">
      <c r="A2543" s="2" t="s">
        <v>17098</v>
      </c>
      <c r="B2543" s="2">
        <v>685.44633816781504</v>
      </c>
      <c r="C2543" s="2">
        <v>10.74095</v>
      </c>
      <c r="D2543" s="2" t="s">
        <v>51</v>
      </c>
      <c r="E2543" s="2" t="s">
        <v>17099</v>
      </c>
      <c r="F2543" s="2">
        <v>58744</v>
      </c>
      <c r="G2543" s="3" t="str">
        <f>HYPERLINK("https://cloud.oebiotech.com/#/lm/network/58744", "https://cloud.oebiotech.com/#/lm/network/58744")</f>
        <v>https://cloud.oebiotech.com/#/lm/network/58744</v>
      </c>
      <c r="H2543" s="2" t="s">
        <v>17100</v>
      </c>
      <c r="I2543" s="2">
        <v>90194</v>
      </c>
      <c r="J2543" s="2"/>
      <c r="K2543" s="2">
        <v>15491080</v>
      </c>
      <c r="L2543" s="2"/>
      <c r="M2543" s="2"/>
      <c r="N2543" s="2"/>
      <c r="O2543" s="2">
        <v>172782</v>
      </c>
      <c r="P2543" s="2"/>
      <c r="Q2543" s="2"/>
      <c r="R2543" s="2" t="s">
        <v>17101</v>
      </c>
      <c r="S2543" s="2" t="s">
        <v>17102</v>
      </c>
      <c r="T2543" s="2" t="s">
        <v>17103</v>
      </c>
      <c r="U2543" s="2" t="s">
        <v>56</v>
      </c>
      <c r="V2543" s="2" t="s">
        <v>177</v>
      </c>
      <c r="W2543" s="2" t="s">
        <v>178</v>
      </c>
      <c r="X2543" s="2" t="s">
        <v>147</v>
      </c>
      <c r="Y2543" s="2">
        <v>36.4</v>
      </c>
      <c r="Z2543" s="2">
        <v>0</v>
      </c>
      <c r="AA2543" s="2" t="s">
        <v>241</v>
      </c>
      <c r="AB2543" s="2" t="s">
        <v>17104</v>
      </c>
      <c r="AC2543" s="2">
        <v>-1.60060265207513</v>
      </c>
      <c r="AD2543" s="2"/>
      <c r="AE2543" s="2">
        <v>0.24993331690639101</v>
      </c>
      <c r="AF2543" s="2">
        <v>7145.7727862096799</v>
      </c>
      <c r="AG2543" s="2">
        <v>4131.5457932300496</v>
      </c>
      <c r="AH2543" s="5">
        <v>1.7295639801254901</v>
      </c>
      <c r="AI2543" s="5">
        <v>0.79040838295193905</v>
      </c>
      <c r="AJ2543" s="5" t="s">
        <v>139</v>
      </c>
      <c r="AK2543" s="2">
        <v>0.16565264296172599</v>
      </c>
      <c r="AL2543" s="2">
        <v>0.487595310492695</v>
      </c>
      <c r="AM2543" s="2">
        <v>6749.3607385575096</v>
      </c>
      <c r="AN2543" s="2">
        <v>6580.3946163308901</v>
      </c>
      <c r="AO2543" s="2">
        <v>5276.62579280717</v>
      </c>
      <c r="AP2543" s="2">
        <v>2278.13841708052</v>
      </c>
      <c r="AQ2543" s="2">
        <v>9883.88748801158</v>
      </c>
      <c r="AR2543" s="2">
        <v>12106.2296644704</v>
      </c>
      <c r="AS2543" s="2">
        <v>2587.7189497289901</v>
      </c>
      <c r="AT2543" s="2">
        <v>929.24639689017204</v>
      </c>
      <c r="AU2543" s="2">
        <v>4987.2454686806304</v>
      </c>
      <c r="AV2543" s="2">
        <v>4665.6438558724103</v>
      </c>
      <c r="AW2543" s="2">
        <v>10436.363945899901</v>
      </c>
      <c r="AX2543" s="2">
        <v>1183.0561423082199</v>
      </c>
    </row>
    <row r="2544" spans="1:50" x14ac:dyDescent="0.25">
      <c r="A2544" s="2" t="s">
        <v>17105</v>
      </c>
      <c r="B2544" s="2">
        <v>237.087686720129</v>
      </c>
      <c r="C2544" s="2">
        <v>1.98553333333333</v>
      </c>
      <c r="D2544" s="2" t="s">
        <v>51</v>
      </c>
      <c r="E2544" s="2" t="s">
        <v>17106</v>
      </c>
      <c r="F2544" s="2">
        <v>54402</v>
      </c>
      <c r="G2544" s="3" t="str">
        <f>HYPERLINK("https://cloud.oebiotech.com/#/lm/network/54402", "https://cloud.oebiotech.com/#/lm/network/54402")</f>
        <v>https://cloud.oebiotech.com/#/lm/network/54402</v>
      </c>
      <c r="H2544" s="2" t="s">
        <v>17107</v>
      </c>
      <c r="I2544" s="2">
        <v>86273</v>
      </c>
      <c r="J2544" s="2"/>
      <c r="K2544" s="2">
        <v>131750870</v>
      </c>
      <c r="L2544" s="2"/>
      <c r="M2544" s="2"/>
      <c r="N2544" s="2"/>
      <c r="O2544" s="2">
        <v>168667</v>
      </c>
      <c r="P2544" s="2"/>
      <c r="Q2544" s="2"/>
      <c r="R2544" s="2"/>
      <c r="S2544" s="2" t="s">
        <v>17108</v>
      </c>
      <c r="T2544" s="2" t="s">
        <v>17109</v>
      </c>
      <c r="U2544" s="2" t="s">
        <v>103</v>
      </c>
      <c r="V2544" s="2" t="s">
        <v>104</v>
      </c>
      <c r="W2544" s="2" t="s">
        <v>105</v>
      </c>
      <c r="X2544" s="2" t="s">
        <v>147</v>
      </c>
      <c r="Y2544" s="2">
        <v>43.8</v>
      </c>
      <c r="Z2544" s="2">
        <v>32</v>
      </c>
      <c r="AA2544" s="2" t="s">
        <v>156</v>
      </c>
      <c r="AB2544" s="2" t="s">
        <v>17110</v>
      </c>
      <c r="AC2544" s="2">
        <v>2.7683615948109099</v>
      </c>
      <c r="AD2544" s="2"/>
      <c r="AE2544" s="2">
        <v>0.249910265628385</v>
      </c>
      <c r="AF2544" s="2">
        <v>6905.9851295771796</v>
      </c>
      <c r="AG2544" s="2">
        <v>5161.9122562340099</v>
      </c>
      <c r="AH2544" s="5">
        <v>1.3378734055846999</v>
      </c>
      <c r="AI2544" s="5">
        <v>0.41994160942049302</v>
      </c>
      <c r="AJ2544" s="5" t="s">
        <v>139</v>
      </c>
      <c r="AK2544" s="2">
        <v>0.30068067896030498</v>
      </c>
      <c r="AL2544" s="2">
        <v>0.61037838979491599</v>
      </c>
      <c r="AM2544" s="2">
        <v>10221.5407517362</v>
      </c>
      <c r="AN2544" s="2">
        <v>8449.1852616975102</v>
      </c>
      <c r="AO2544" s="2">
        <v>4003.4724422470099</v>
      </c>
      <c r="AP2544" s="2">
        <v>8376.8353408321109</v>
      </c>
      <c r="AQ2544" s="2">
        <v>7158.5791355053298</v>
      </c>
      <c r="AR2544" s="2">
        <v>3226.2978454449199</v>
      </c>
      <c r="AS2544" s="2">
        <v>4047.8817391871598</v>
      </c>
      <c r="AT2544" s="2">
        <v>7756.9923533552701</v>
      </c>
      <c r="AU2544" s="2">
        <v>9514.8209874560907</v>
      </c>
      <c r="AV2544" s="2">
        <v>2721.8348733561202</v>
      </c>
      <c r="AW2544" s="2">
        <v>3016.5372399070998</v>
      </c>
      <c r="AX2544" s="2">
        <v>3913.40634414232</v>
      </c>
    </row>
    <row r="2545" spans="1:50" x14ac:dyDescent="0.25">
      <c r="A2545" s="2" t="s">
        <v>17111</v>
      </c>
      <c r="B2545" s="2">
        <v>307.01860452586902</v>
      </c>
      <c r="C2545" s="2">
        <v>8.74888333333333</v>
      </c>
      <c r="D2545" s="2" t="s">
        <v>51</v>
      </c>
      <c r="E2545" s="2" t="s">
        <v>17112</v>
      </c>
      <c r="F2545" s="2">
        <v>258343</v>
      </c>
      <c r="G2545" s="3" t="str">
        <f>HYPERLINK("https://cloud.oebiotech.com/#/lm/network/258343", "https://cloud.oebiotech.com/#/lm/network/258343")</f>
        <v>https://cloud.oebiotech.com/#/lm/network/258343</v>
      </c>
      <c r="H2545" s="2"/>
      <c r="I2545" s="2">
        <v>4118</v>
      </c>
      <c r="J2545" s="2"/>
      <c r="K2545" s="2">
        <v>446094</v>
      </c>
      <c r="L2545" s="2" t="s">
        <v>17113</v>
      </c>
      <c r="M2545" s="2"/>
      <c r="N2545" s="2"/>
      <c r="O2545" s="2"/>
      <c r="P2545" s="2"/>
      <c r="Q2545" s="2"/>
      <c r="R2545" s="2" t="s">
        <v>17114</v>
      </c>
      <c r="S2545" s="2" t="s">
        <v>17115</v>
      </c>
      <c r="T2545" s="2" t="s">
        <v>17116</v>
      </c>
      <c r="U2545" s="2" t="s">
        <v>331</v>
      </c>
      <c r="V2545" s="2" t="s">
        <v>332</v>
      </c>
      <c r="W2545" s="2" t="s">
        <v>519</v>
      </c>
      <c r="X2545" s="2" t="s">
        <v>147</v>
      </c>
      <c r="Y2545" s="2">
        <v>36.5</v>
      </c>
      <c r="Z2545" s="2">
        <v>0</v>
      </c>
      <c r="AA2545" s="2" t="s">
        <v>478</v>
      </c>
      <c r="AB2545" s="2" t="s">
        <v>17117</v>
      </c>
      <c r="AC2545" s="2">
        <v>4.6679354868873899</v>
      </c>
      <c r="AD2545" s="2"/>
      <c r="AE2545" s="2">
        <v>0.24988501088835</v>
      </c>
      <c r="AF2545" s="2">
        <v>9744.7834727286609</v>
      </c>
      <c r="AG2545" s="2">
        <v>11218.441067797001</v>
      </c>
      <c r="AH2545" s="4">
        <v>0.86863971685882901</v>
      </c>
      <c r="AI2545" s="4">
        <v>-0.203170176167278</v>
      </c>
      <c r="AJ2545" s="4" t="s">
        <v>62</v>
      </c>
      <c r="AK2545" s="2">
        <v>1.17413875865421E-2</v>
      </c>
      <c r="AL2545" s="2">
        <v>0.17342171897304801</v>
      </c>
      <c r="AM2545" s="2">
        <v>8654.9228653514492</v>
      </c>
      <c r="AN2545" s="2">
        <v>9913.6706358595293</v>
      </c>
      <c r="AO2545" s="2">
        <v>11214.308879959701</v>
      </c>
      <c r="AP2545" s="2">
        <v>10314.5192020988</v>
      </c>
      <c r="AQ2545" s="2">
        <v>9741.5770763104301</v>
      </c>
      <c r="AR2545" s="2">
        <v>8629.7021767920705</v>
      </c>
      <c r="AS2545" s="2">
        <v>12125.958433863299</v>
      </c>
      <c r="AT2545" s="2">
        <v>11422.6994907022</v>
      </c>
      <c r="AU2545" s="2">
        <v>10812.819626402699</v>
      </c>
      <c r="AV2545" s="2">
        <v>11459.948066975699</v>
      </c>
      <c r="AW2545" s="2">
        <v>10292.235404687801</v>
      </c>
      <c r="AX2545" s="2">
        <v>11196.985384150399</v>
      </c>
    </row>
    <row r="2546" spans="1:50" x14ac:dyDescent="0.25">
      <c r="A2546" s="2" t="s">
        <v>17118</v>
      </c>
      <c r="B2546" s="2">
        <v>532.30236575215599</v>
      </c>
      <c r="C2546" s="2">
        <v>11.948033333333299</v>
      </c>
      <c r="D2546" s="2" t="s">
        <v>51</v>
      </c>
      <c r="E2546" s="2" t="s">
        <v>17119</v>
      </c>
      <c r="F2546" s="2">
        <v>21236</v>
      </c>
      <c r="G2546" s="3" t="str">
        <f>HYPERLINK("https://cloud.oebiotech.com/#/lm/network/21236", "https://cloud.oebiotech.com/#/lm/network/21236")</f>
        <v>https://cloud.oebiotech.com/#/lm/network/21236</v>
      </c>
      <c r="H2546" s="2"/>
      <c r="I2546" s="2">
        <v>77699</v>
      </c>
      <c r="J2546" s="2" t="s">
        <v>17120</v>
      </c>
      <c r="K2546" s="2">
        <v>24779537</v>
      </c>
      <c r="L2546" s="2"/>
      <c r="M2546" s="2"/>
      <c r="N2546" s="2"/>
      <c r="O2546" s="2"/>
      <c r="P2546" s="2"/>
      <c r="Q2546" s="2"/>
      <c r="R2546" s="2"/>
      <c r="S2546" s="2" t="s">
        <v>17121</v>
      </c>
      <c r="T2546" s="2" t="s">
        <v>17122</v>
      </c>
      <c r="U2546" s="2" t="s">
        <v>56</v>
      </c>
      <c r="V2546" s="2" t="s">
        <v>57</v>
      </c>
      <c r="W2546" s="2" t="s">
        <v>155</v>
      </c>
      <c r="X2546" s="2" t="s">
        <v>147</v>
      </c>
      <c r="Y2546" s="2">
        <v>38.299999999999997</v>
      </c>
      <c r="Z2546" s="2">
        <v>2.56</v>
      </c>
      <c r="AA2546" s="2" t="s">
        <v>218</v>
      </c>
      <c r="AB2546" s="2" t="s">
        <v>17123</v>
      </c>
      <c r="AC2546" s="2">
        <v>-4.3339175651885098</v>
      </c>
      <c r="AD2546" s="2"/>
      <c r="AE2546" s="2">
        <v>0.249779928353113</v>
      </c>
      <c r="AF2546" s="2">
        <v>22394.163010171502</v>
      </c>
      <c r="AG2546" s="2">
        <v>27859.0223004154</v>
      </c>
      <c r="AH2546" s="4">
        <v>0.80383879838588801</v>
      </c>
      <c r="AI2546" s="4">
        <v>-0.31502188214851001</v>
      </c>
      <c r="AJ2546" s="4" t="s">
        <v>62</v>
      </c>
      <c r="AK2546" s="2">
        <v>0.358937402365827</v>
      </c>
      <c r="AL2546" s="2">
        <v>0.64449606579735297</v>
      </c>
      <c r="AM2546" s="2">
        <v>41659.7542908631</v>
      </c>
      <c r="AN2546" s="2">
        <v>15375.843099366801</v>
      </c>
      <c r="AO2546" s="2">
        <v>19686.9489061655</v>
      </c>
      <c r="AP2546" s="2">
        <v>19581.0603032406</v>
      </c>
      <c r="AQ2546" s="2">
        <v>18624.755354910201</v>
      </c>
      <c r="AR2546" s="2">
        <v>19436.616106483099</v>
      </c>
      <c r="AS2546" s="2">
        <v>23896.168462273101</v>
      </c>
      <c r="AT2546" s="2">
        <v>14174.514742986599</v>
      </c>
      <c r="AU2546" s="2">
        <v>34602.7708005327</v>
      </c>
      <c r="AV2546" s="2">
        <v>43297.853662716603</v>
      </c>
      <c r="AW2546" s="2">
        <v>28167.1264151631</v>
      </c>
      <c r="AX2546" s="2">
        <v>23015.6997188202</v>
      </c>
    </row>
    <row r="2547" spans="1:50" x14ac:dyDescent="0.25">
      <c r="A2547" s="2" t="s">
        <v>17124</v>
      </c>
      <c r="B2547" s="2">
        <v>369.18141826771102</v>
      </c>
      <c r="C2547" s="2">
        <v>10.72105</v>
      </c>
      <c r="D2547" s="2" t="s">
        <v>51</v>
      </c>
      <c r="E2547" s="2" t="s">
        <v>17125</v>
      </c>
      <c r="F2547" s="2">
        <v>52973</v>
      </c>
      <c r="G2547" s="3" t="str">
        <f>HYPERLINK("https://cloud.oebiotech.com/#/lm/network/52973", "https://cloud.oebiotech.com/#/lm/network/52973")</f>
        <v>https://cloud.oebiotech.com/#/lm/network/52973</v>
      </c>
      <c r="H2547" s="2" t="s">
        <v>17126</v>
      </c>
      <c r="I2547" s="2">
        <v>43363</v>
      </c>
      <c r="J2547" s="2"/>
      <c r="K2547" s="2">
        <v>5577</v>
      </c>
      <c r="L2547" s="2" t="s">
        <v>17127</v>
      </c>
      <c r="M2547" s="2"/>
      <c r="N2547" s="2"/>
      <c r="O2547" s="2">
        <v>27796</v>
      </c>
      <c r="P2547" s="2"/>
      <c r="Q2547" s="2"/>
      <c r="R2547" s="2" t="s">
        <v>17128</v>
      </c>
      <c r="S2547" s="2" t="s">
        <v>17129</v>
      </c>
      <c r="T2547" s="2" t="s">
        <v>17130</v>
      </c>
      <c r="U2547" s="2" t="s">
        <v>610</v>
      </c>
      <c r="V2547" s="2" t="s">
        <v>611</v>
      </c>
      <c r="W2547" s="2" t="s">
        <v>1122</v>
      </c>
      <c r="X2547" s="2" t="s">
        <v>147</v>
      </c>
      <c r="Y2547" s="2">
        <v>36.1</v>
      </c>
      <c r="Z2547" s="2">
        <v>0</v>
      </c>
      <c r="AA2547" s="2" t="s">
        <v>379</v>
      </c>
      <c r="AB2547" s="2" t="s">
        <v>17131</v>
      </c>
      <c r="AC2547" s="2">
        <v>-1.4492990908722601</v>
      </c>
      <c r="AD2547" s="2"/>
      <c r="AE2547" s="2">
        <v>0.24949292388664701</v>
      </c>
      <c r="AF2547" s="2">
        <v>2741.2535259528499</v>
      </c>
      <c r="AG2547" s="2">
        <v>1014.07292801371</v>
      </c>
      <c r="AH2547" s="5">
        <v>2.7032114261468601</v>
      </c>
      <c r="AI2547" s="5">
        <v>1.4346743537242099</v>
      </c>
      <c r="AJ2547" s="5" t="s">
        <v>139</v>
      </c>
      <c r="AK2547" s="2">
        <v>3.2979975729270701E-2</v>
      </c>
      <c r="AL2547" s="2">
        <v>0.26859000809969802</v>
      </c>
      <c r="AM2547" s="2">
        <v>2266.4638051792499</v>
      </c>
      <c r="AN2547" s="2">
        <v>4217.4394677045702</v>
      </c>
      <c r="AO2547" s="2">
        <v>4164.2178277132398</v>
      </c>
      <c r="AP2547" s="2">
        <v>992.59616971839796</v>
      </c>
      <c r="AQ2547" s="2">
        <v>1327.4997231101199</v>
      </c>
      <c r="AR2547" s="2">
        <v>3479.3041622915498</v>
      </c>
      <c r="AS2547" s="2">
        <v>2703.7802240823899</v>
      </c>
      <c r="AT2547" s="2">
        <v>150.482545416124</v>
      </c>
      <c r="AU2547" s="2">
        <v>664.34340196836001</v>
      </c>
      <c r="AV2547" s="2">
        <v>768.30406601356106</v>
      </c>
      <c r="AW2547" s="2">
        <v>265.48215585565299</v>
      </c>
      <c r="AX2547" s="2">
        <v>1532.04517474616</v>
      </c>
    </row>
    <row r="2548" spans="1:50" x14ac:dyDescent="0.25">
      <c r="A2548" s="2" t="s">
        <v>17132</v>
      </c>
      <c r="B2548" s="2">
        <v>439.37942077781003</v>
      </c>
      <c r="C2548" s="2">
        <v>13.510733333333301</v>
      </c>
      <c r="D2548" s="2" t="s">
        <v>51</v>
      </c>
      <c r="E2548" s="2" t="s">
        <v>17133</v>
      </c>
      <c r="F2548" s="2">
        <v>2953</v>
      </c>
      <c r="G2548" s="3" t="str">
        <f>HYPERLINK("https://cloud.oebiotech.com/#/lm/network/2953", "https://cloud.oebiotech.com/#/lm/network/2953")</f>
        <v>https://cloud.oebiotech.com/#/lm/network/2953</v>
      </c>
      <c r="H2548" s="2"/>
      <c r="I2548" s="2"/>
      <c r="J2548" s="2" t="s">
        <v>17134</v>
      </c>
      <c r="K2548" s="2">
        <v>151269</v>
      </c>
      <c r="L2548" s="2"/>
      <c r="M2548" s="2"/>
      <c r="N2548" s="2"/>
      <c r="O2548" s="2"/>
      <c r="P2548" s="2"/>
      <c r="Q2548" s="2"/>
      <c r="R2548" s="2"/>
      <c r="S2548" s="2" t="s">
        <v>17135</v>
      </c>
      <c r="T2548" s="2" t="s">
        <v>17136</v>
      </c>
      <c r="U2548" s="2" t="s">
        <v>56</v>
      </c>
      <c r="V2548" s="2" t="s">
        <v>145</v>
      </c>
      <c r="W2548" s="2" t="s">
        <v>231</v>
      </c>
      <c r="X2548" s="2" t="s">
        <v>83</v>
      </c>
      <c r="Y2548" s="2">
        <v>53.2</v>
      </c>
      <c r="Z2548" s="2">
        <v>0</v>
      </c>
      <c r="AA2548" s="2" t="s">
        <v>163</v>
      </c>
      <c r="AB2548" s="2" t="s">
        <v>17137</v>
      </c>
      <c r="AC2548" s="2">
        <v>0.31123549814671098</v>
      </c>
      <c r="AD2548" s="2"/>
      <c r="AE2548" s="2">
        <v>0.24946073108743999</v>
      </c>
      <c r="AF2548" s="2">
        <v>13678.019736179</v>
      </c>
      <c r="AG2548" s="2">
        <v>17234.022324249501</v>
      </c>
      <c r="AH2548" s="4">
        <v>0.79366380516596402</v>
      </c>
      <c r="AI2548" s="4">
        <v>-0.33340008164207602</v>
      </c>
      <c r="AJ2548" s="4" t="s">
        <v>62</v>
      </c>
      <c r="AK2548" s="2">
        <v>0.50046640832453804</v>
      </c>
      <c r="AL2548" s="2">
        <v>0.73783686769872803</v>
      </c>
      <c r="AM2548" s="2">
        <v>3382.0901060274</v>
      </c>
      <c r="AN2548" s="2">
        <v>8372.5688488672404</v>
      </c>
      <c r="AO2548" s="2">
        <v>18998.140643755502</v>
      </c>
      <c r="AP2548" s="2">
        <v>19692.0938386493</v>
      </c>
      <c r="AQ2548" s="2">
        <v>19687.522132173901</v>
      </c>
      <c r="AR2548" s="2">
        <v>11935.7028476006</v>
      </c>
      <c r="AS2548" s="2">
        <v>1490.13334934061</v>
      </c>
      <c r="AT2548" s="2">
        <v>15182.253271693</v>
      </c>
      <c r="AU2548" s="2">
        <v>26764.767370539201</v>
      </c>
      <c r="AV2548" s="2">
        <v>11903.2003368563</v>
      </c>
      <c r="AW2548" s="2">
        <v>30147.695085401599</v>
      </c>
      <c r="AX2548" s="2">
        <v>17916.084531666002</v>
      </c>
    </row>
    <row r="2549" spans="1:50" x14ac:dyDescent="0.25">
      <c r="A2549" s="2" t="s">
        <v>17138</v>
      </c>
      <c r="B2549" s="2">
        <v>149.02367092844699</v>
      </c>
      <c r="C2549" s="2">
        <v>14.7086166666667</v>
      </c>
      <c r="D2549" s="2" t="s">
        <v>51</v>
      </c>
      <c r="E2549" s="2" t="s">
        <v>17139</v>
      </c>
      <c r="F2549" s="2">
        <v>47911</v>
      </c>
      <c r="G2549" s="3" t="str">
        <f>HYPERLINK("https://cloud.oebiotech.com/#/lm/network/47911", "https://cloud.oebiotech.com/#/lm/network/47911")</f>
        <v>https://cloud.oebiotech.com/#/lm/network/47911</v>
      </c>
      <c r="H2549" s="2" t="s">
        <v>17140</v>
      </c>
      <c r="I2549" s="2">
        <v>6628</v>
      </c>
      <c r="J2549" s="2"/>
      <c r="K2549" s="2">
        <v>21252288</v>
      </c>
      <c r="L2549" s="2"/>
      <c r="M2549" s="2"/>
      <c r="N2549" s="2"/>
      <c r="O2549" s="2"/>
      <c r="P2549" s="2"/>
      <c r="Q2549" s="2"/>
      <c r="R2549" s="2" t="s">
        <v>17141</v>
      </c>
      <c r="S2549" s="2" t="s">
        <v>17142</v>
      </c>
      <c r="T2549" s="2" t="s">
        <v>17143</v>
      </c>
      <c r="U2549" s="2" t="s">
        <v>331</v>
      </c>
      <c r="V2549" s="2" t="s">
        <v>332</v>
      </c>
      <c r="W2549" s="2" t="s">
        <v>1207</v>
      </c>
      <c r="X2549" s="2" t="s">
        <v>147</v>
      </c>
      <c r="Y2549" s="2">
        <v>42.4</v>
      </c>
      <c r="Z2549" s="2">
        <v>20.9</v>
      </c>
      <c r="AA2549" s="2" t="s">
        <v>179</v>
      </c>
      <c r="AB2549" s="2" t="s">
        <v>8529</v>
      </c>
      <c r="AC2549" s="2">
        <v>2.1111542886149</v>
      </c>
      <c r="AD2549" s="2"/>
      <c r="AE2549" s="2">
        <v>0.24919297407392199</v>
      </c>
      <c r="AF2549" s="2">
        <v>114635.38146649</v>
      </c>
      <c r="AG2549" s="2">
        <v>120130.98813468</v>
      </c>
      <c r="AH2549" s="4">
        <v>0.95425321348369496</v>
      </c>
      <c r="AI2549" s="4">
        <v>-6.7555955108373297E-2</v>
      </c>
      <c r="AJ2549" s="4" t="s">
        <v>62</v>
      </c>
      <c r="AK2549" s="2">
        <v>0.56980591728552998</v>
      </c>
      <c r="AL2549" s="2">
        <v>0.78311574344879098</v>
      </c>
      <c r="AM2549" s="2">
        <v>110762.548810804</v>
      </c>
      <c r="AN2549" s="2">
        <v>121066.472201639</v>
      </c>
      <c r="AO2549" s="2">
        <v>116395.430316332</v>
      </c>
      <c r="AP2549" s="2">
        <v>117293.167118014</v>
      </c>
      <c r="AQ2549" s="2">
        <v>130856.80165842301</v>
      </c>
      <c r="AR2549" s="2">
        <v>91437.868693726399</v>
      </c>
      <c r="AS2549" s="2">
        <v>144819.897875175</v>
      </c>
      <c r="AT2549" s="2">
        <v>133141.562672414</v>
      </c>
      <c r="AU2549" s="2">
        <v>97173.102570672097</v>
      </c>
      <c r="AV2549" s="2">
        <v>103505.863873774</v>
      </c>
      <c r="AW2549" s="2">
        <v>111799.598373915</v>
      </c>
      <c r="AX2549" s="2">
        <v>130345.90344212799</v>
      </c>
    </row>
    <row r="2550" spans="1:50" x14ac:dyDescent="0.25">
      <c r="A2550" s="2" t="s">
        <v>17144</v>
      </c>
      <c r="B2550" s="2">
        <v>290.13576295604003</v>
      </c>
      <c r="C2550" s="2">
        <v>1.6121333333333301</v>
      </c>
      <c r="D2550" s="2" t="s">
        <v>51</v>
      </c>
      <c r="E2550" s="2" t="s">
        <v>17145</v>
      </c>
      <c r="F2550" s="2">
        <v>260437</v>
      </c>
      <c r="G2550" s="3" t="str">
        <f>HYPERLINK("https://cloud.oebiotech.com/#/lm/network/260437", "https://cloud.oebiotech.com/#/lm/network/260437")</f>
        <v>https://cloud.oebiotech.com/#/lm/network/260437</v>
      </c>
      <c r="H2550" s="2"/>
      <c r="I2550" s="2">
        <v>17693</v>
      </c>
      <c r="J2550" s="2"/>
      <c r="K2550" s="2">
        <v>101198875</v>
      </c>
      <c r="L2550" s="2"/>
      <c r="M2550" s="2"/>
      <c r="N2550" s="2"/>
      <c r="O2550" s="2"/>
      <c r="P2550" s="2"/>
      <c r="Q2550" s="2"/>
      <c r="R2550" s="2"/>
      <c r="S2550" s="2" t="s">
        <v>17146</v>
      </c>
      <c r="T2550" s="2" t="s">
        <v>17147</v>
      </c>
      <c r="U2550" s="2" t="s">
        <v>103</v>
      </c>
      <c r="V2550" s="2" t="s">
        <v>104</v>
      </c>
      <c r="W2550" s="2" t="s">
        <v>105</v>
      </c>
      <c r="X2550" s="2" t="s">
        <v>69</v>
      </c>
      <c r="Y2550" s="2">
        <v>62.2</v>
      </c>
      <c r="Z2550" s="2">
        <v>81.7</v>
      </c>
      <c r="AA2550" s="2" t="s">
        <v>259</v>
      </c>
      <c r="AB2550" s="2" t="s">
        <v>17148</v>
      </c>
      <c r="AC2550" s="2">
        <v>3.80864285505004</v>
      </c>
      <c r="AD2550" s="2"/>
      <c r="AE2550" s="2">
        <v>0.24904972625846999</v>
      </c>
      <c r="AF2550" s="2">
        <v>2446.77227027245</v>
      </c>
      <c r="AG2550" s="2">
        <v>6649.5713557526597</v>
      </c>
      <c r="AH2550" s="4">
        <v>0.367959397586689</v>
      </c>
      <c r="AI2550" s="4">
        <v>-1.4423815137464899</v>
      </c>
      <c r="AJ2550" s="4" t="s">
        <v>62</v>
      </c>
      <c r="AK2550" s="2">
        <v>0.51732917792674205</v>
      </c>
      <c r="AL2550" s="2">
        <v>0.74984944564235101</v>
      </c>
      <c r="AM2550" s="2">
        <v>7632.2525918639203</v>
      </c>
      <c r="AN2550" s="2">
        <v>8.559877937157E-6</v>
      </c>
      <c r="AO2550" s="2">
        <v>94.835303124452807</v>
      </c>
      <c r="AP2550" s="2">
        <v>157.56156663119299</v>
      </c>
      <c r="AQ2550" s="2">
        <v>3239.3035079250799</v>
      </c>
      <c r="AR2550" s="2">
        <v>3556.6806435302001</v>
      </c>
      <c r="AS2550" s="2">
        <v>8.559877937157E-6</v>
      </c>
      <c r="AT2550" s="2">
        <v>8.559877937157E-6</v>
      </c>
      <c r="AU2550" s="2">
        <v>1538.51297668298</v>
      </c>
      <c r="AV2550" s="2">
        <v>37319.844419747998</v>
      </c>
      <c r="AW2550" s="2">
        <v>8.559877937157E-6</v>
      </c>
      <c r="AX2550" s="2">
        <v>1039.0707124053499</v>
      </c>
    </row>
    <row r="2551" spans="1:50" x14ac:dyDescent="0.25">
      <c r="A2551" s="2" t="s">
        <v>17149</v>
      </c>
      <c r="B2551" s="2">
        <v>153.99430000000001</v>
      </c>
      <c r="C2551" s="2">
        <v>7.4059999999999997</v>
      </c>
      <c r="D2551" s="2" t="s">
        <v>125</v>
      </c>
      <c r="E2551" s="2" t="s">
        <v>17150</v>
      </c>
      <c r="F2551" s="2">
        <v>208454</v>
      </c>
      <c r="G2551" s="3" t="str">
        <f>HYPERLINK("https://cloud.oebiotech.com/#/lm/network/208454", "https://cloud.oebiotech.com/#/lm/network/208454")</f>
        <v>https://cloud.oebiotech.com/#/lm/network/208454</v>
      </c>
      <c r="H2551" s="2" t="s">
        <v>17151</v>
      </c>
      <c r="I2551" s="2">
        <v>66614</v>
      </c>
      <c r="J2551" s="2"/>
      <c r="K2551" s="2">
        <v>10935</v>
      </c>
      <c r="L2551" s="2" t="s">
        <v>17152</v>
      </c>
      <c r="M2551" s="2"/>
      <c r="N2551" s="2"/>
      <c r="O2551" s="2">
        <v>16072</v>
      </c>
      <c r="P2551" s="2"/>
      <c r="Q2551" s="2"/>
      <c r="R2551" s="2" t="s">
        <v>17153</v>
      </c>
      <c r="S2551" s="2" t="s">
        <v>17154</v>
      </c>
      <c r="T2551" s="2" t="s">
        <v>17155</v>
      </c>
      <c r="U2551" s="2" t="s">
        <v>266</v>
      </c>
      <c r="V2551" s="2" t="s">
        <v>2432</v>
      </c>
      <c r="W2551" s="2" t="s">
        <v>10026</v>
      </c>
      <c r="X2551" s="2" t="s">
        <v>83</v>
      </c>
      <c r="Y2551" s="2">
        <v>80.099999999999994</v>
      </c>
      <c r="Z2551" s="2">
        <v>69.099999999999994</v>
      </c>
      <c r="AA2551" s="2"/>
      <c r="AB2551" s="2" t="s">
        <v>17156</v>
      </c>
      <c r="AC2551" s="2"/>
      <c r="AD2551" s="2">
        <v>245200.85358624801</v>
      </c>
      <c r="AE2551" s="2">
        <v>0.24898876411159601</v>
      </c>
      <c r="AF2551" s="2">
        <v>25095.3060272933</v>
      </c>
      <c r="AG2551" s="2">
        <v>39881.619905570798</v>
      </c>
      <c r="AH2551" s="4">
        <v>0.62924490245663001</v>
      </c>
      <c r="AI2551" s="4">
        <v>-0.66830647079602901</v>
      </c>
      <c r="AJ2551" s="4" t="s">
        <v>62</v>
      </c>
      <c r="AK2551" s="2">
        <v>9.6046931530242602E-2</v>
      </c>
      <c r="AL2551" s="2">
        <v>0.39524362296311799</v>
      </c>
      <c r="AM2551" s="2">
        <v>13441.5186205341</v>
      </c>
      <c r="AN2551" s="2">
        <v>18742.7646393248</v>
      </c>
      <c r="AO2551" s="2">
        <v>20097.387782719401</v>
      </c>
      <c r="AP2551" s="2">
        <v>30306.9030981588</v>
      </c>
      <c r="AQ2551" s="2">
        <v>35692.138050827001</v>
      </c>
      <c r="AR2551" s="2">
        <v>32291.123972195601</v>
      </c>
      <c r="AS2551" s="2">
        <v>24380.044304694002</v>
      </c>
      <c r="AT2551" s="2">
        <v>27537.238129514</v>
      </c>
      <c r="AU2551" s="2">
        <v>52505.894455678797</v>
      </c>
      <c r="AV2551" s="2">
        <v>69201.734945571603</v>
      </c>
      <c r="AW2551" s="2">
        <v>28366.672829077299</v>
      </c>
      <c r="AX2551" s="2">
        <v>37298.134768889096</v>
      </c>
    </row>
    <row r="2552" spans="1:50" x14ac:dyDescent="0.25">
      <c r="A2552" s="2" t="s">
        <v>17157</v>
      </c>
      <c r="B2552" s="2">
        <v>429.26222044373702</v>
      </c>
      <c r="C2552" s="2">
        <v>12.3922333333333</v>
      </c>
      <c r="D2552" s="2" t="s">
        <v>51</v>
      </c>
      <c r="E2552" s="2" t="s">
        <v>17158</v>
      </c>
      <c r="F2552" s="2">
        <v>203278</v>
      </c>
      <c r="G2552" s="3" t="str">
        <f>HYPERLINK("https://cloud.oebiotech.com/#/lm/network/203278", "https://cloud.oebiotech.com/#/lm/network/203278")</f>
        <v>https://cloud.oebiotech.com/#/lm/network/203278</v>
      </c>
      <c r="H2552" s="2" t="s">
        <v>17159</v>
      </c>
      <c r="I2552" s="2"/>
      <c r="J2552" s="2"/>
      <c r="K2552" s="2">
        <v>73152410</v>
      </c>
      <c r="L2552" s="2"/>
      <c r="M2552" s="2"/>
      <c r="N2552" s="2"/>
      <c r="O2552" s="2"/>
      <c r="P2552" s="2"/>
      <c r="Q2552" s="2"/>
      <c r="R2552" s="2"/>
      <c r="S2552" s="2" t="s">
        <v>17160</v>
      </c>
      <c r="T2552" s="2" t="s">
        <v>17161</v>
      </c>
      <c r="U2552" s="2" t="s">
        <v>56</v>
      </c>
      <c r="V2552" s="2" t="s">
        <v>145</v>
      </c>
      <c r="W2552" s="2" t="s">
        <v>1188</v>
      </c>
      <c r="X2552" s="2" t="s">
        <v>147</v>
      </c>
      <c r="Y2552" s="2">
        <v>40.799999999999997</v>
      </c>
      <c r="Z2552" s="2">
        <v>15.3</v>
      </c>
      <c r="AA2552" s="2" t="s">
        <v>60</v>
      </c>
      <c r="AB2552" s="2" t="s">
        <v>4227</v>
      </c>
      <c r="AC2552" s="2">
        <v>2.6471119774168801</v>
      </c>
      <c r="AD2552" s="2"/>
      <c r="AE2552" s="2">
        <v>0.248860001554465</v>
      </c>
      <c r="AF2552" s="2">
        <v>30623.924355102099</v>
      </c>
      <c r="AG2552" s="2">
        <v>24708.467786936999</v>
      </c>
      <c r="AH2552" s="5">
        <v>1.23941009289506</v>
      </c>
      <c r="AI2552" s="5">
        <v>0.30965362177649203</v>
      </c>
      <c r="AJ2552" s="5" t="s">
        <v>139</v>
      </c>
      <c r="AK2552" s="2">
        <v>0.45641528663358899</v>
      </c>
      <c r="AL2552" s="2">
        <v>0.70805789306078304</v>
      </c>
      <c r="AM2552" s="2">
        <v>22323.928679925899</v>
      </c>
      <c r="AN2552" s="2">
        <v>24319.100267932299</v>
      </c>
      <c r="AO2552" s="2">
        <v>49753.813355377402</v>
      </c>
      <c r="AP2552" s="2">
        <v>29952.259101252199</v>
      </c>
      <c r="AQ2552" s="2">
        <v>42312.259377224596</v>
      </c>
      <c r="AR2552" s="2">
        <v>15082.185348900301</v>
      </c>
      <c r="AS2552" s="2">
        <v>48864.295246390298</v>
      </c>
      <c r="AT2552" s="2">
        <v>29201.201619666499</v>
      </c>
      <c r="AU2552" s="2">
        <v>13614.2185582531</v>
      </c>
      <c r="AV2552" s="2">
        <v>16625.768806530701</v>
      </c>
      <c r="AW2552" s="2">
        <v>14551.7286769687</v>
      </c>
      <c r="AX2552" s="2">
        <v>25393.5938138128</v>
      </c>
    </row>
    <row r="2553" spans="1:50" x14ac:dyDescent="0.25">
      <c r="A2553" s="2" t="s">
        <v>17162</v>
      </c>
      <c r="B2553" s="2">
        <v>301.03063544622</v>
      </c>
      <c r="C2553" s="2">
        <v>4.8192833333333303</v>
      </c>
      <c r="D2553" s="2" t="s">
        <v>51</v>
      </c>
      <c r="E2553" s="2" t="s">
        <v>17163</v>
      </c>
      <c r="F2553" s="2">
        <v>213491</v>
      </c>
      <c r="G2553" s="3" t="str">
        <f>HYPERLINK("https://cloud.oebiotech.com/#/lm/network/213491", "https://cloud.oebiotech.com/#/lm/network/213491")</f>
        <v>https://cloud.oebiotech.com/#/lm/network/213491</v>
      </c>
      <c r="H2553" s="2" t="s">
        <v>17164</v>
      </c>
      <c r="I2553" s="2"/>
      <c r="J2553" s="2"/>
      <c r="K2553" s="2">
        <v>53830932</v>
      </c>
      <c r="L2553" s="2"/>
      <c r="M2553" s="2"/>
      <c r="N2553" s="2"/>
      <c r="O2553" s="2"/>
      <c r="P2553" s="2"/>
      <c r="Q2553" s="2"/>
      <c r="R2553" s="2"/>
      <c r="S2553" s="2" t="s">
        <v>17165</v>
      </c>
      <c r="T2553" s="2" t="s">
        <v>17166</v>
      </c>
      <c r="U2553" s="2" t="s">
        <v>266</v>
      </c>
      <c r="V2553" s="2" t="s">
        <v>8513</v>
      </c>
      <c r="W2553" s="2" t="s">
        <v>8514</v>
      </c>
      <c r="X2553" s="2" t="s">
        <v>147</v>
      </c>
      <c r="Y2553" s="2">
        <v>39.700000000000003</v>
      </c>
      <c r="Z2553" s="2">
        <v>8.7899999999999991</v>
      </c>
      <c r="AA2553" s="2" t="s">
        <v>218</v>
      </c>
      <c r="AB2553" s="2" t="s">
        <v>17167</v>
      </c>
      <c r="AC2553" s="2">
        <v>-2.8044292631425698</v>
      </c>
      <c r="AD2553" s="2"/>
      <c r="AE2553" s="2">
        <v>0.24860329033887801</v>
      </c>
      <c r="AF2553" s="2">
        <v>5618.22198284345</v>
      </c>
      <c r="AG2553" s="2">
        <v>2947.5065098535501</v>
      </c>
      <c r="AH2553" s="5">
        <v>1.9060931550317799</v>
      </c>
      <c r="AI2553" s="5">
        <v>0.93061862870129197</v>
      </c>
      <c r="AJ2553" s="5" t="s">
        <v>139</v>
      </c>
      <c r="AK2553" s="2">
        <v>0.18707306455544601</v>
      </c>
      <c r="AL2553" s="2">
        <v>0.51138491990812796</v>
      </c>
      <c r="AM2553" s="2">
        <v>6457.8825041195596</v>
      </c>
      <c r="AN2553" s="2">
        <v>2622.8180737972698</v>
      </c>
      <c r="AO2553" s="2">
        <v>1696.6016463002099</v>
      </c>
      <c r="AP2553" s="2">
        <v>3977.5204737347599</v>
      </c>
      <c r="AQ2553" s="2">
        <v>13696.330563938</v>
      </c>
      <c r="AR2553" s="2">
        <v>5258.1786351709297</v>
      </c>
      <c r="AS2553" s="2">
        <v>3415.9799915951298</v>
      </c>
      <c r="AT2553" s="2">
        <v>6107.7007360850403</v>
      </c>
      <c r="AU2553" s="2">
        <v>1925.8587877566799</v>
      </c>
      <c r="AV2553" s="2">
        <v>2090.80346329961</v>
      </c>
      <c r="AW2553" s="2">
        <v>2184.2409993557399</v>
      </c>
      <c r="AX2553" s="2">
        <v>1960.45508102909</v>
      </c>
    </row>
    <row r="2554" spans="1:50" x14ac:dyDescent="0.25">
      <c r="A2554" s="2" t="s">
        <v>17168</v>
      </c>
      <c r="B2554" s="2">
        <v>359.16744303553401</v>
      </c>
      <c r="C2554" s="2">
        <v>12.530250000000001</v>
      </c>
      <c r="D2554" s="2" t="s">
        <v>51</v>
      </c>
      <c r="E2554" s="2" t="s">
        <v>17169</v>
      </c>
      <c r="F2554" s="2">
        <v>203679</v>
      </c>
      <c r="G2554" s="3" t="str">
        <f>HYPERLINK("https://cloud.oebiotech.com/#/lm/network/203679", "https://cloud.oebiotech.com/#/lm/network/203679")</f>
        <v>https://cloud.oebiotech.com/#/lm/network/203679</v>
      </c>
      <c r="H2554" s="2" t="s">
        <v>17170</v>
      </c>
      <c r="I2554" s="2"/>
      <c r="J2554" s="2"/>
      <c r="K2554" s="2">
        <v>353295</v>
      </c>
      <c r="L2554" s="2"/>
      <c r="M2554" s="2"/>
      <c r="N2554" s="2"/>
      <c r="O2554" s="2"/>
      <c r="P2554" s="2"/>
      <c r="Q2554" s="2"/>
      <c r="R2554" s="2"/>
      <c r="S2554" s="2" t="s">
        <v>17171</v>
      </c>
      <c r="T2554" s="2" t="s">
        <v>17172</v>
      </c>
      <c r="U2554" s="2" t="s">
        <v>103</v>
      </c>
      <c r="V2554" s="2" t="s">
        <v>104</v>
      </c>
      <c r="W2554" s="2" t="s">
        <v>105</v>
      </c>
      <c r="X2554" s="2" t="s">
        <v>147</v>
      </c>
      <c r="Y2554" s="2">
        <v>40.4</v>
      </c>
      <c r="Z2554" s="2">
        <v>11.1</v>
      </c>
      <c r="AA2554" s="2" t="s">
        <v>95</v>
      </c>
      <c r="AB2554" s="2" t="s">
        <v>17173</v>
      </c>
      <c r="AC2554" s="2">
        <v>-4.5597974349264101</v>
      </c>
      <c r="AD2554" s="2"/>
      <c r="AE2554" s="2">
        <v>0.248572994468339</v>
      </c>
      <c r="AF2554" s="2">
        <v>28841.139929257999</v>
      </c>
      <c r="AG2554" s="2">
        <v>32224.801797448599</v>
      </c>
      <c r="AH2554" s="4">
        <v>0.89499821009113201</v>
      </c>
      <c r="AI2554" s="4">
        <v>-0.160043297756535</v>
      </c>
      <c r="AJ2554" s="4" t="s">
        <v>62</v>
      </c>
      <c r="AK2554" s="2">
        <v>0.41587877681164598</v>
      </c>
      <c r="AL2554" s="2">
        <v>0.67850535309682802</v>
      </c>
      <c r="AM2554" s="2">
        <v>28281.975378219398</v>
      </c>
      <c r="AN2554" s="2">
        <v>23864.872027466801</v>
      </c>
      <c r="AO2554" s="2">
        <v>31947.258707918601</v>
      </c>
      <c r="AP2554" s="2">
        <v>25423.9463851172</v>
      </c>
      <c r="AQ2554" s="2">
        <v>39654.480515478201</v>
      </c>
      <c r="AR2554" s="2">
        <v>23874.306561347599</v>
      </c>
      <c r="AS2554" s="2">
        <v>26239.016332168801</v>
      </c>
      <c r="AT2554" s="2">
        <v>29241.163611267999</v>
      </c>
      <c r="AU2554" s="2">
        <v>28048.723566426299</v>
      </c>
      <c r="AV2554" s="2">
        <v>27972.663276260599</v>
      </c>
      <c r="AW2554" s="2">
        <v>46272.300954660503</v>
      </c>
      <c r="AX2554" s="2">
        <v>35574.943043907297</v>
      </c>
    </row>
    <row r="2555" spans="1:50" x14ac:dyDescent="0.25">
      <c r="A2555" s="2" t="s">
        <v>17174</v>
      </c>
      <c r="B2555" s="2">
        <v>412.28600668309701</v>
      </c>
      <c r="C2555" s="2">
        <v>12.383366666666699</v>
      </c>
      <c r="D2555" s="2" t="s">
        <v>51</v>
      </c>
      <c r="E2555" s="2" t="s">
        <v>17175</v>
      </c>
      <c r="F2555" s="2">
        <v>8682</v>
      </c>
      <c r="G2555" s="3" t="str">
        <f>HYPERLINK("https://cloud.oebiotech.com/#/lm/network/8682", "https://cloud.oebiotech.com/#/lm/network/8682")</f>
        <v>https://cloud.oebiotech.com/#/lm/network/8682</v>
      </c>
      <c r="H2555" s="2"/>
      <c r="I2555" s="2">
        <v>75487</v>
      </c>
      <c r="J2555" s="2" t="s">
        <v>17176</v>
      </c>
      <c r="K2555" s="2">
        <v>16759346</v>
      </c>
      <c r="L2555" s="2"/>
      <c r="M2555" s="2"/>
      <c r="N2555" s="2"/>
      <c r="O2555" s="2">
        <v>141494</v>
      </c>
      <c r="P2555" s="2"/>
      <c r="Q2555" s="2"/>
      <c r="R2555" s="2"/>
      <c r="S2555" s="2" t="s">
        <v>17177</v>
      </c>
      <c r="T2555" s="2" t="s">
        <v>17178</v>
      </c>
      <c r="U2555" s="2" t="s">
        <v>103</v>
      </c>
      <c r="V2555" s="2" t="s">
        <v>104</v>
      </c>
      <c r="W2555" s="2" t="s">
        <v>105</v>
      </c>
      <c r="X2555" s="2" t="s">
        <v>83</v>
      </c>
      <c r="Y2555" s="2">
        <v>48.6</v>
      </c>
      <c r="Z2555" s="2">
        <v>31.8</v>
      </c>
      <c r="AA2555" s="2" t="s">
        <v>163</v>
      </c>
      <c r="AB2555" s="2" t="s">
        <v>17179</v>
      </c>
      <c r="AC2555" s="2">
        <v>0.69926393892405203</v>
      </c>
      <c r="AD2555" s="2"/>
      <c r="AE2555" s="2">
        <v>0.24854637805341001</v>
      </c>
      <c r="AF2555" s="2">
        <v>844.15965023319097</v>
      </c>
      <c r="AG2555" s="2">
        <v>2945.9691347422399</v>
      </c>
      <c r="AH2555" s="4">
        <v>0.28654735050611801</v>
      </c>
      <c r="AI2555" s="4">
        <v>-1.8031545381184</v>
      </c>
      <c r="AJ2555" s="4" t="s">
        <v>62</v>
      </c>
      <c r="AK2555" s="2">
        <v>6.6027184013541296E-2</v>
      </c>
      <c r="AL2555" s="2">
        <v>0.34192828169447498</v>
      </c>
      <c r="AM2555" s="2">
        <v>734.216653162988</v>
      </c>
      <c r="AN2555" s="2">
        <v>1295.3383221576</v>
      </c>
      <c r="AO2555" s="2">
        <v>473.79802281017197</v>
      </c>
      <c r="AP2555" s="2">
        <v>826.88111346391702</v>
      </c>
      <c r="AQ2555" s="2">
        <v>1734.7237812445901</v>
      </c>
      <c r="AR2555" s="2">
        <v>8.559877937157E-6</v>
      </c>
      <c r="AS2555" s="2">
        <v>2871.3390813424298</v>
      </c>
      <c r="AT2555" s="2">
        <v>5963.3432822247896</v>
      </c>
      <c r="AU2555" s="2">
        <v>373.915393791366</v>
      </c>
      <c r="AV2555" s="2">
        <v>5332.7577178067604</v>
      </c>
      <c r="AW2555" s="2">
        <v>2990.0681936394199</v>
      </c>
      <c r="AX2555" s="2">
        <v>144.391139648679</v>
      </c>
    </row>
    <row r="2556" spans="1:50" x14ac:dyDescent="0.25">
      <c r="A2556" s="2" t="s">
        <v>17180</v>
      </c>
      <c r="B2556" s="2">
        <v>189.160243368468</v>
      </c>
      <c r="C2556" s="2">
        <v>0.65129999999999999</v>
      </c>
      <c r="D2556" s="2" t="s">
        <v>51</v>
      </c>
      <c r="E2556" s="2" t="s">
        <v>17181</v>
      </c>
      <c r="F2556" s="2">
        <v>47518</v>
      </c>
      <c r="G2556" s="3" t="str">
        <f>HYPERLINK("https://cloud.oebiotech.com/#/lm/network/47518", "https://cloud.oebiotech.com/#/lm/network/47518")</f>
        <v>https://cloud.oebiotech.com/#/lm/network/47518</v>
      </c>
      <c r="H2556" s="2" t="s">
        <v>17182</v>
      </c>
      <c r="I2556" s="2">
        <v>6161</v>
      </c>
      <c r="J2556" s="2"/>
      <c r="K2556" s="2">
        <v>440120</v>
      </c>
      <c r="L2556" s="2" t="s">
        <v>17183</v>
      </c>
      <c r="M2556" s="2" t="s">
        <v>6725</v>
      </c>
      <c r="N2556" s="2" t="s">
        <v>6726</v>
      </c>
      <c r="O2556" s="2">
        <v>17311</v>
      </c>
      <c r="P2556" s="2"/>
      <c r="Q2556" s="2"/>
      <c r="R2556" s="2" t="s">
        <v>17184</v>
      </c>
      <c r="S2556" s="2" t="s">
        <v>17185</v>
      </c>
      <c r="T2556" s="2" t="s">
        <v>17186</v>
      </c>
      <c r="U2556" s="2" t="s">
        <v>103</v>
      </c>
      <c r="V2556" s="2" t="s">
        <v>104</v>
      </c>
      <c r="W2556" s="2" t="s">
        <v>105</v>
      </c>
      <c r="X2556" s="2" t="s">
        <v>83</v>
      </c>
      <c r="Y2556" s="2">
        <v>48.7</v>
      </c>
      <c r="Z2556" s="2">
        <v>38.9</v>
      </c>
      <c r="AA2556" s="2" t="s">
        <v>259</v>
      </c>
      <c r="AB2556" s="2" t="s">
        <v>17187</v>
      </c>
      <c r="AC2556" s="2">
        <v>2.5992022693981802</v>
      </c>
      <c r="AD2556" s="2"/>
      <c r="AE2556" s="2">
        <v>0.248493381524101</v>
      </c>
      <c r="AF2556" s="2">
        <v>14906.937485913701</v>
      </c>
      <c r="AG2556" s="2">
        <v>11991.054192187499</v>
      </c>
      <c r="AH2556" s="5">
        <v>1.24317155497688</v>
      </c>
      <c r="AI2556" s="5">
        <v>0.31402539891353698</v>
      </c>
      <c r="AJ2556" s="5" t="s">
        <v>139</v>
      </c>
      <c r="AK2556" s="2">
        <v>0.28438828817376999</v>
      </c>
      <c r="AL2556" s="2">
        <v>0.60000138164408201</v>
      </c>
      <c r="AM2556" s="2">
        <v>13533.368622575401</v>
      </c>
      <c r="AN2556" s="2">
        <v>12168.646048193699</v>
      </c>
      <c r="AO2556" s="2">
        <v>9727.2544838849208</v>
      </c>
      <c r="AP2556" s="2">
        <v>15672.5633509411</v>
      </c>
      <c r="AQ2556" s="2">
        <v>21457.569566590999</v>
      </c>
      <c r="AR2556" s="2">
        <v>16882.222843296098</v>
      </c>
      <c r="AS2556" s="2">
        <v>10476.853677770499</v>
      </c>
      <c r="AT2556" s="2">
        <v>21349.520607658698</v>
      </c>
      <c r="AU2556" s="2">
        <v>11945.9788567257</v>
      </c>
      <c r="AV2556" s="2">
        <v>7880.3921059966897</v>
      </c>
      <c r="AW2556" s="2">
        <v>11186.615666183599</v>
      </c>
      <c r="AX2556" s="2">
        <v>9106.9642387895292</v>
      </c>
    </row>
    <row r="2557" spans="1:50" x14ac:dyDescent="0.25">
      <c r="A2557" s="2" t="s">
        <v>17188</v>
      </c>
      <c r="B2557" s="2">
        <v>455.37391977217698</v>
      </c>
      <c r="C2557" s="2">
        <v>12.77835</v>
      </c>
      <c r="D2557" s="2" t="s">
        <v>51</v>
      </c>
      <c r="E2557" s="2" t="s">
        <v>17189</v>
      </c>
      <c r="F2557" s="2">
        <v>10281</v>
      </c>
      <c r="G2557" s="3" t="str">
        <f>HYPERLINK("https://cloud.oebiotech.com/#/lm/network/10281", "https://cloud.oebiotech.com/#/lm/network/10281")</f>
        <v>https://cloud.oebiotech.com/#/lm/network/10281</v>
      </c>
      <c r="H2557" s="2"/>
      <c r="I2557" s="2"/>
      <c r="J2557" s="2" t="s">
        <v>17190</v>
      </c>
      <c r="K2557" s="2">
        <v>86289709</v>
      </c>
      <c r="L2557" s="2"/>
      <c r="M2557" s="2"/>
      <c r="N2557" s="2"/>
      <c r="O2557" s="2">
        <v>78976</v>
      </c>
      <c r="P2557" s="2"/>
      <c r="Q2557" s="2"/>
      <c r="R2557" s="2"/>
      <c r="S2557" s="2" t="s">
        <v>17191</v>
      </c>
      <c r="T2557" s="2" t="s">
        <v>17192</v>
      </c>
      <c r="U2557" s="2" t="s">
        <v>56</v>
      </c>
      <c r="V2557" s="2" t="s">
        <v>145</v>
      </c>
      <c r="W2557" s="2" t="s">
        <v>231</v>
      </c>
      <c r="X2557" s="2" t="s">
        <v>69</v>
      </c>
      <c r="Y2557" s="2">
        <v>60.9</v>
      </c>
      <c r="Z2557" s="2">
        <v>79.3</v>
      </c>
      <c r="AA2557" s="2" t="s">
        <v>156</v>
      </c>
      <c r="AB2557" s="2" t="s">
        <v>17193</v>
      </c>
      <c r="AC2557" s="2">
        <v>1.7330188283005199</v>
      </c>
      <c r="AD2557" s="2"/>
      <c r="AE2557" s="2">
        <v>0.24827994650243401</v>
      </c>
      <c r="AF2557" s="2">
        <v>8145.2876975351201</v>
      </c>
      <c r="AG2557" s="2">
        <v>4623.4987964091797</v>
      </c>
      <c r="AH2557" s="5">
        <v>1.76171511147816</v>
      </c>
      <c r="AI2557" s="5">
        <v>0.81698064361811495</v>
      </c>
      <c r="AJ2557" s="5" t="s">
        <v>139</v>
      </c>
      <c r="AK2557" s="2">
        <v>0.18582883909461201</v>
      </c>
      <c r="AL2557" s="2">
        <v>0.51040020334889302</v>
      </c>
      <c r="AM2557" s="2">
        <v>7536.9647391459803</v>
      </c>
      <c r="AN2557" s="2">
        <v>4967.84437546557</v>
      </c>
      <c r="AO2557" s="2">
        <v>6033.3944974992201</v>
      </c>
      <c r="AP2557" s="2">
        <v>12199.4053884851</v>
      </c>
      <c r="AQ2557" s="2">
        <v>12701.5885798001</v>
      </c>
      <c r="AR2557" s="2">
        <v>5432.52860481475</v>
      </c>
      <c r="AS2557" s="2">
        <v>1017.13093197195</v>
      </c>
      <c r="AT2557" s="2">
        <v>7553.5831590197004</v>
      </c>
      <c r="AU2557" s="2">
        <v>8.559877937157E-6</v>
      </c>
      <c r="AV2557" s="2">
        <v>8.559877937157E-6</v>
      </c>
      <c r="AW2557" s="2">
        <v>11961.1844404927</v>
      </c>
      <c r="AX2557" s="2">
        <v>7209.0942298509599</v>
      </c>
    </row>
    <row r="2558" spans="1:50" x14ac:dyDescent="0.25">
      <c r="A2558" s="2" t="s">
        <v>17194</v>
      </c>
      <c r="B2558" s="2">
        <v>356.18830177429999</v>
      </c>
      <c r="C2558" s="2">
        <v>4.9131833333333299</v>
      </c>
      <c r="D2558" s="2" t="s">
        <v>51</v>
      </c>
      <c r="E2558" s="2" t="s">
        <v>17195</v>
      </c>
      <c r="F2558" s="2">
        <v>208959</v>
      </c>
      <c r="G2558" s="3" t="str">
        <f>HYPERLINK("https://cloud.oebiotech.com/#/lm/network/208959", "https://cloud.oebiotech.com/#/lm/network/208959")</f>
        <v>https://cloud.oebiotech.com/#/lm/network/208959</v>
      </c>
      <c r="H2558" s="2" t="s">
        <v>17196</v>
      </c>
      <c r="I2558" s="2"/>
      <c r="J2558" s="2"/>
      <c r="K2558" s="2">
        <v>11667893</v>
      </c>
      <c r="L2558" s="2"/>
      <c r="M2558" s="2"/>
      <c r="N2558" s="2"/>
      <c r="O2558" s="2">
        <v>51098</v>
      </c>
      <c r="P2558" s="2"/>
      <c r="Q2558" s="2"/>
      <c r="R2558" s="2"/>
      <c r="S2558" s="2" t="s">
        <v>17197</v>
      </c>
      <c r="T2558" s="2" t="s">
        <v>17198</v>
      </c>
      <c r="U2558" s="2" t="s">
        <v>266</v>
      </c>
      <c r="V2558" s="2" t="s">
        <v>445</v>
      </c>
      <c r="W2558" s="2" t="s">
        <v>8002</v>
      </c>
      <c r="X2558" s="2" t="s">
        <v>147</v>
      </c>
      <c r="Y2558" s="2">
        <v>40.200000000000003</v>
      </c>
      <c r="Z2558" s="2">
        <v>8.91</v>
      </c>
      <c r="AA2558" s="2" t="s">
        <v>156</v>
      </c>
      <c r="AB2558" s="2" t="s">
        <v>17199</v>
      </c>
      <c r="AC2558" s="2">
        <v>3.5629095166893801</v>
      </c>
      <c r="AD2558" s="2"/>
      <c r="AE2558" s="2">
        <v>0.24827497768718401</v>
      </c>
      <c r="AF2558" s="2">
        <v>547.390104735367</v>
      </c>
      <c r="AG2558" s="2">
        <v>2652.4421077196098</v>
      </c>
      <c r="AH2558" s="4">
        <v>0.206372121428118</v>
      </c>
      <c r="AI2558" s="4">
        <v>-2.2766800029727698</v>
      </c>
      <c r="AJ2558" s="4" t="s">
        <v>62</v>
      </c>
      <c r="AK2558" s="2">
        <v>0.15197763669037601</v>
      </c>
      <c r="AL2558" s="2">
        <v>0.47358936336851498</v>
      </c>
      <c r="AM2558" s="2">
        <v>1227.25177244939</v>
      </c>
      <c r="AN2558" s="2">
        <v>675.42540443094299</v>
      </c>
      <c r="AO2558" s="2">
        <v>302.29401276253799</v>
      </c>
      <c r="AP2558" s="2">
        <v>135.56865184970599</v>
      </c>
      <c r="AQ2558" s="2">
        <v>615.36341866610496</v>
      </c>
      <c r="AR2558" s="2">
        <v>328.43736825351698</v>
      </c>
      <c r="AS2558" s="2">
        <v>458.71330457149099</v>
      </c>
      <c r="AT2558" s="2">
        <v>1031.8630760895601</v>
      </c>
      <c r="AU2558" s="2">
        <v>513.26177863803696</v>
      </c>
      <c r="AV2558" s="2">
        <v>8837.5176139825799</v>
      </c>
      <c r="AW2558" s="2">
        <v>3988.0302375660599</v>
      </c>
      <c r="AX2558" s="2">
        <v>1085.26663546996</v>
      </c>
    </row>
    <row r="2559" spans="1:50" x14ac:dyDescent="0.25">
      <c r="A2559" s="2" t="s">
        <v>17200</v>
      </c>
      <c r="B2559" s="2">
        <v>476.33870827316503</v>
      </c>
      <c r="C2559" s="2">
        <v>5.2849000000000004</v>
      </c>
      <c r="D2559" s="2" t="s">
        <v>51</v>
      </c>
      <c r="E2559" s="2" t="s">
        <v>17201</v>
      </c>
      <c r="F2559" s="2">
        <v>57922</v>
      </c>
      <c r="G2559" s="3" t="str">
        <f>HYPERLINK("https://cloud.oebiotech.com/#/lm/network/57922", "https://cloud.oebiotech.com/#/lm/network/57922")</f>
        <v>https://cloud.oebiotech.com/#/lm/network/57922</v>
      </c>
      <c r="H2559" s="2" t="s">
        <v>17202</v>
      </c>
      <c r="I2559" s="2">
        <v>89500</v>
      </c>
      <c r="J2559" s="2"/>
      <c r="K2559" s="2">
        <v>5317761</v>
      </c>
      <c r="L2559" s="2"/>
      <c r="M2559" s="2"/>
      <c r="N2559" s="2"/>
      <c r="O2559" s="2"/>
      <c r="P2559" s="2"/>
      <c r="Q2559" s="2"/>
      <c r="R2559" s="2" t="s">
        <v>17203</v>
      </c>
      <c r="S2559" s="2" t="s">
        <v>17204</v>
      </c>
      <c r="T2559" s="2" t="s">
        <v>17205</v>
      </c>
      <c r="U2559" s="2" t="s">
        <v>56</v>
      </c>
      <c r="V2559" s="2" t="s">
        <v>283</v>
      </c>
      <c r="W2559" s="2" t="s">
        <v>1338</v>
      </c>
      <c r="X2559" s="2" t="s">
        <v>59</v>
      </c>
      <c r="Y2559" s="2">
        <v>52.2</v>
      </c>
      <c r="Z2559" s="2">
        <v>68.8</v>
      </c>
      <c r="AA2559" s="2" t="s">
        <v>512</v>
      </c>
      <c r="AB2559" s="2" t="s">
        <v>17206</v>
      </c>
      <c r="AC2559" s="2">
        <v>3.6183433512226499</v>
      </c>
      <c r="AD2559" s="2"/>
      <c r="AE2559" s="2">
        <v>0.24818913293817799</v>
      </c>
      <c r="AF2559" s="2">
        <v>20743.030016957899</v>
      </c>
      <c r="AG2559" s="2">
        <v>25875.944020097199</v>
      </c>
      <c r="AH2559" s="4">
        <v>0.80163374912418095</v>
      </c>
      <c r="AI2559" s="4">
        <v>-0.31898484699652202</v>
      </c>
      <c r="AJ2559" s="4" t="s">
        <v>62</v>
      </c>
      <c r="AK2559" s="2">
        <v>0.45550203966436498</v>
      </c>
      <c r="AL2559" s="2">
        <v>0.70746115680770305</v>
      </c>
      <c r="AM2559" s="2">
        <v>20276.3049238198</v>
      </c>
      <c r="AN2559" s="2">
        <v>10213.793634157801</v>
      </c>
      <c r="AO2559" s="2">
        <v>27259.857857735999</v>
      </c>
      <c r="AP2559" s="2">
        <v>12074.4471748053</v>
      </c>
      <c r="AQ2559" s="2">
        <v>26307.313501577901</v>
      </c>
      <c r="AR2559" s="2">
        <v>28326.463009650801</v>
      </c>
      <c r="AS2559" s="2">
        <v>12684.4905902961</v>
      </c>
      <c r="AT2559" s="2">
        <v>42801.8476673931</v>
      </c>
      <c r="AU2559" s="2">
        <v>12245.3127109579</v>
      </c>
      <c r="AV2559" s="2">
        <v>35998.090156243503</v>
      </c>
      <c r="AW2559" s="2">
        <v>36839.749932185601</v>
      </c>
      <c r="AX2559" s="2">
        <v>14686.1730635069</v>
      </c>
    </row>
    <row r="2560" spans="1:50" x14ac:dyDescent="0.25">
      <c r="A2560" s="2" t="s">
        <v>17207</v>
      </c>
      <c r="B2560" s="2">
        <v>265.06122635669101</v>
      </c>
      <c r="C2560" s="2">
        <v>7.8818000000000001</v>
      </c>
      <c r="D2560" s="2" t="s">
        <v>51</v>
      </c>
      <c r="E2560" s="2" t="s">
        <v>17208</v>
      </c>
      <c r="F2560" s="2">
        <v>82452</v>
      </c>
      <c r="G2560" s="3" t="str">
        <f>HYPERLINK("https://cloud.oebiotech.com/#/lm/network/82452", "https://cloud.oebiotech.com/#/lm/network/82452")</f>
        <v>https://cloud.oebiotech.com/#/lm/network/82452</v>
      </c>
      <c r="H2560" s="2" t="s">
        <v>17209</v>
      </c>
      <c r="I2560" s="2">
        <v>71260</v>
      </c>
      <c r="J2560" s="2"/>
      <c r="K2560" s="2">
        <v>24892807</v>
      </c>
      <c r="L2560" s="2" t="s">
        <v>17210</v>
      </c>
      <c r="M2560" s="2" t="s">
        <v>7436</v>
      </c>
      <c r="N2560" s="2" t="s">
        <v>7437</v>
      </c>
      <c r="O2560" s="2">
        <v>80601</v>
      </c>
      <c r="P2560" s="2"/>
      <c r="Q2560" s="2"/>
      <c r="R2560" s="2"/>
      <c r="S2560" s="2" t="s">
        <v>17211</v>
      </c>
      <c r="T2560" s="2" t="s">
        <v>17212</v>
      </c>
      <c r="U2560" s="2" t="s">
        <v>266</v>
      </c>
      <c r="V2560" s="2" t="s">
        <v>5066</v>
      </c>
      <c r="W2560" s="2" t="s">
        <v>5067</v>
      </c>
      <c r="X2560" s="2" t="s">
        <v>147</v>
      </c>
      <c r="Y2560" s="2">
        <v>38.6</v>
      </c>
      <c r="Z2560" s="2">
        <v>3.55</v>
      </c>
      <c r="AA2560" s="2" t="s">
        <v>163</v>
      </c>
      <c r="AB2560" s="2" t="s">
        <v>17213</v>
      </c>
      <c r="AC2560" s="2">
        <v>-2.4031358307835302</v>
      </c>
      <c r="AD2560" s="2"/>
      <c r="AE2560" s="2">
        <v>0.24797257148847501</v>
      </c>
      <c r="AF2560" s="2">
        <v>5553.1093519307997</v>
      </c>
      <c r="AG2560" s="2">
        <v>9253.4141781388098</v>
      </c>
      <c r="AH2560" s="4">
        <v>0.60011464363607703</v>
      </c>
      <c r="AI2560" s="4">
        <v>-0.736689960822979</v>
      </c>
      <c r="AJ2560" s="4" t="s">
        <v>62</v>
      </c>
      <c r="AK2560" s="2">
        <v>0.13101432073557701</v>
      </c>
      <c r="AL2560" s="2">
        <v>0.45089232239589</v>
      </c>
      <c r="AM2560" s="2">
        <v>11383.527597305399</v>
      </c>
      <c r="AN2560" s="2">
        <v>1572.6076516430401</v>
      </c>
      <c r="AO2560" s="2">
        <v>8782.0248504602205</v>
      </c>
      <c r="AP2560" s="2">
        <v>8.559877937157E-6</v>
      </c>
      <c r="AQ2560" s="2">
        <v>4103.1020687595001</v>
      </c>
      <c r="AR2560" s="2">
        <v>7477.3939348567301</v>
      </c>
      <c r="AS2560" s="2">
        <v>11635.3160199548</v>
      </c>
      <c r="AT2560" s="2">
        <v>6558.3984953747204</v>
      </c>
      <c r="AU2560" s="2">
        <v>13635.5308293821</v>
      </c>
      <c r="AV2560" s="2">
        <v>6271.2494277371197</v>
      </c>
      <c r="AW2560" s="2">
        <v>11287.2587761951</v>
      </c>
      <c r="AX2560" s="2">
        <v>6132.7315201890297</v>
      </c>
    </row>
    <row r="2561" spans="1:50" x14ac:dyDescent="0.25">
      <c r="A2561" s="2" t="s">
        <v>17214</v>
      </c>
      <c r="B2561" s="2">
        <v>537.11717840080803</v>
      </c>
      <c r="C2561" s="2">
        <v>6.9037166666666696</v>
      </c>
      <c r="D2561" s="2" t="s">
        <v>51</v>
      </c>
      <c r="E2561" s="2" t="s">
        <v>17215</v>
      </c>
      <c r="F2561" s="2">
        <v>204656</v>
      </c>
      <c r="G2561" s="3" t="str">
        <f>HYPERLINK("https://cloud.oebiotech.com/#/lm/network/204656", "https://cloud.oebiotech.com/#/lm/network/204656")</f>
        <v>https://cloud.oebiotech.com/#/lm/network/204656</v>
      </c>
      <c r="H2561" s="2" t="s">
        <v>17216</v>
      </c>
      <c r="I2561" s="2"/>
      <c r="J2561" s="2"/>
      <c r="K2561" s="2">
        <v>4487903</v>
      </c>
      <c r="L2561" s="2"/>
      <c r="M2561" s="2"/>
      <c r="N2561" s="2"/>
      <c r="O2561" s="2"/>
      <c r="P2561" s="2"/>
      <c r="Q2561" s="2"/>
      <c r="R2561" s="2"/>
      <c r="S2561" s="2" t="s">
        <v>17217</v>
      </c>
      <c r="T2561" s="2" t="s">
        <v>17218</v>
      </c>
      <c r="U2561" s="2" t="s">
        <v>266</v>
      </c>
      <c r="V2561" s="2" t="s">
        <v>267</v>
      </c>
      <c r="W2561" s="2" t="s">
        <v>268</v>
      </c>
      <c r="X2561" s="2" t="s">
        <v>59</v>
      </c>
      <c r="Y2561" s="2">
        <v>45.5</v>
      </c>
      <c r="Z2561" s="2">
        <v>54.3</v>
      </c>
      <c r="AA2561" s="2" t="s">
        <v>379</v>
      </c>
      <c r="AB2561" s="2" t="s">
        <v>17219</v>
      </c>
      <c r="AC2561" s="2">
        <v>4.9785699247536002</v>
      </c>
      <c r="AD2561" s="2"/>
      <c r="AE2561" s="2">
        <v>0.24781100350042301</v>
      </c>
      <c r="AF2561" s="2">
        <v>10367.9659125341</v>
      </c>
      <c r="AG2561" s="2">
        <v>14088.5658132191</v>
      </c>
      <c r="AH2561" s="4">
        <v>0.73591350957853097</v>
      </c>
      <c r="AI2561" s="4">
        <v>-0.44239187566265598</v>
      </c>
      <c r="AJ2561" s="4" t="s">
        <v>62</v>
      </c>
      <c r="AK2561" s="2">
        <v>0.25654058614421799</v>
      </c>
      <c r="AL2561" s="2">
        <v>0.57898146204444401</v>
      </c>
      <c r="AM2561" s="2">
        <v>12315.709931326101</v>
      </c>
      <c r="AN2561" s="2">
        <v>6838.2875795477503</v>
      </c>
      <c r="AO2561" s="2">
        <v>17058.219150817298</v>
      </c>
      <c r="AP2561" s="2">
        <v>335.23437660951998</v>
      </c>
      <c r="AQ2561" s="2">
        <v>10619.626694991201</v>
      </c>
      <c r="AR2561" s="2">
        <v>15040.717741913</v>
      </c>
      <c r="AS2561" s="2">
        <v>16662.961700355601</v>
      </c>
      <c r="AT2561" s="2">
        <v>14050.156470522001</v>
      </c>
      <c r="AU2561" s="2">
        <v>11143.224886217</v>
      </c>
      <c r="AV2561" s="2">
        <v>16953.674164104399</v>
      </c>
      <c r="AW2561" s="2">
        <v>19052.520377960602</v>
      </c>
      <c r="AX2561" s="2">
        <v>6668.8572801547498</v>
      </c>
    </row>
    <row r="2562" spans="1:50" x14ac:dyDescent="0.25">
      <c r="A2562" s="2" t="s">
        <v>17220</v>
      </c>
      <c r="B2562" s="2">
        <v>315.19672758274498</v>
      </c>
      <c r="C2562" s="2">
        <v>9.7262333333333295</v>
      </c>
      <c r="D2562" s="2" t="s">
        <v>51</v>
      </c>
      <c r="E2562" s="2" t="s">
        <v>17221</v>
      </c>
      <c r="F2562" s="2">
        <v>60438</v>
      </c>
      <c r="G2562" s="3" t="str">
        <f>HYPERLINK("https://cloud.oebiotech.com/#/lm/network/60438", "https://cloud.oebiotech.com/#/lm/network/60438")</f>
        <v>https://cloud.oebiotech.com/#/lm/network/60438</v>
      </c>
      <c r="H2562" s="2" t="s">
        <v>17222</v>
      </c>
      <c r="I2562" s="2"/>
      <c r="J2562" s="2"/>
      <c r="K2562" s="2">
        <v>14635434</v>
      </c>
      <c r="L2562" s="2" t="s">
        <v>17223</v>
      </c>
      <c r="M2562" s="2"/>
      <c r="N2562" s="2"/>
      <c r="O2562" s="2"/>
      <c r="P2562" s="2"/>
      <c r="Q2562" s="2"/>
      <c r="R2562" s="2" t="s">
        <v>17224</v>
      </c>
      <c r="S2562" s="2" t="s">
        <v>17225</v>
      </c>
      <c r="T2562" s="2" t="s">
        <v>17226</v>
      </c>
      <c r="U2562" s="2" t="s">
        <v>56</v>
      </c>
      <c r="V2562" s="2" t="s">
        <v>177</v>
      </c>
      <c r="W2562" s="2" t="s">
        <v>178</v>
      </c>
      <c r="X2562" s="2" t="s">
        <v>83</v>
      </c>
      <c r="Y2562" s="2">
        <v>52</v>
      </c>
      <c r="Z2562" s="2">
        <v>0</v>
      </c>
      <c r="AA2562" s="2" t="s">
        <v>379</v>
      </c>
      <c r="AB2562" s="2" t="s">
        <v>212</v>
      </c>
      <c r="AC2562" s="2">
        <v>0.47652764284722399</v>
      </c>
      <c r="AD2562" s="2"/>
      <c r="AE2562" s="2">
        <v>0.24774326746418099</v>
      </c>
      <c r="AF2562" s="2">
        <v>2246.1055127060199</v>
      </c>
      <c r="AG2562" s="2">
        <v>796.31767464525797</v>
      </c>
      <c r="AH2562" s="5">
        <v>2.8206149181689502</v>
      </c>
      <c r="AI2562" s="5">
        <v>1.4960097167672901</v>
      </c>
      <c r="AJ2562" s="5" t="s">
        <v>139</v>
      </c>
      <c r="AK2562" s="2">
        <v>7.45735956124805E-3</v>
      </c>
      <c r="AL2562" s="2">
        <v>0.14489874833036501</v>
      </c>
      <c r="AM2562" s="2">
        <v>2627.83171625757</v>
      </c>
      <c r="AN2562" s="2">
        <v>2763.2354340104998</v>
      </c>
      <c r="AO2562" s="2">
        <v>2542.6537655592401</v>
      </c>
      <c r="AP2562" s="2">
        <v>1612.39611394043</v>
      </c>
      <c r="AQ2562" s="2">
        <v>1194.03179249665</v>
      </c>
      <c r="AR2562" s="2">
        <v>2736.4842539717401</v>
      </c>
      <c r="AS2562" s="2">
        <v>2321.15105948976</v>
      </c>
      <c r="AT2562" s="2">
        <v>182.09681267405901</v>
      </c>
      <c r="AU2562" s="2">
        <v>644.90796400297995</v>
      </c>
      <c r="AV2562" s="2">
        <v>201.12369444815201</v>
      </c>
      <c r="AW2562" s="2">
        <v>326.66027588308401</v>
      </c>
      <c r="AX2562" s="2">
        <v>1101.96624137351</v>
      </c>
    </row>
    <row r="2563" spans="1:50" x14ac:dyDescent="0.25">
      <c r="A2563" s="2" t="s">
        <v>17227</v>
      </c>
      <c r="B2563" s="2">
        <v>579.18045360655196</v>
      </c>
      <c r="C2563" s="2">
        <v>7.7000333333333302</v>
      </c>
      <c r="D2563" s="2" t="s">
        <v>51</v>
      </c>
      <c r="E2563" s="2" t="s">
        <v>17228</v>
      </c>
      <c r="F2563" s="2">
        <v>203774</v>
      </c>
      <c r="G2563" s="3" t="str">
        <f>HYPERLINK("https://cloud.oebiotech.com/#/lm/network/203774", "https://cloud.oebiotech.com/#/lm/network/203774")</f>
        <v>https://cloud.oebiotech.com/#/lm/network/203774</v>
      </c>
      <c r="H2563" s="2" t="s">
        <v>17229</v>
      </c>
      <c r="I2563" s="2">
        <v>44052</v>
      </c>
      <c r="J2563" s="2"/>
      <c r="K2563" s="2">
        <v>5100</v>
      </c>
      <c r="L2563" s="2" t="s">
        <v>17230</v>
      </c>
      <c r="M2563" s="2"/>
      <c r="N2563" s="2"/>
      <c r="O2563" s="2"/>
      <c r="P2563" s="2"/>
      <c r="Q2563" s="2"/>
      <c r="R2563" s="2" t="s">
        <v>17231</v>
      </c>
      <c r="S2563" s="2" t="s">
        <v>17232</v>
      </c>
      <c r="T2563" s="2" t="s">
        <v>17233</v>
      </c>
      <c r="U2563" s="2" t="s">
        <v>610</v>
      </c>
      <c r="V2563" s="2" t="s">
        <v>611</v>
      </c>
      <c r="W2563" s="2" t="s">
        <v>2327</v>
      </c>
      <c r="X2563" s="2" t="s">
        <v>147</v>
      </c>
      <c r="Y2563" s="2">
        <v>38.9</v>
      </c>
      <c r="Z2563" s="2">
        <v>0</v>
      </c>
      <c r="AA2563" s="2" t="s">
        <v>478</v>
      </c>
      <c r="AB2563" s="2" t="s">
        <v>17234</v>
      </c>
      <c r="AC2563" s="2">
        <v>-1.47982360305306</v>
      </c>
      <c r="AD2563" s="2"/>
      <c r="AE2563" s="2">
        <v>0.24774271978732401</v>
      </c>
      <c r="AF2563" s="2">
        <v>2949.1182192666802</v>
      </c>
      <c r="AG2563" s="2">
        <v>1235.6760236003299</v>
      </c>
      <c r="AH2563" s="5">
        <v>2.3866435561919999</v>
      </c>
      <c r="AI2563" s="5">
        <v>1.2549831168541501</v>
      </c>
      <c r="AJ2563" s="5" t="s">
        <v>139</v>
      </c>
      <c r="AK2563" s="2">
        <v>0.24737533226883601</v>
      </c>
      <c r="AL2563" s="2">
        <v>0.57119796911972998</v>
      </c>
      <c r="AM2563" s="2">
        <v>9199.67828395383</v>
      </c>
      <c r="AN2563" s="2">
        <v>1570.8822731912401</v>
      </c>
      <c r="AO2563" s="2">
        <v>734.726442673316</v>
      </c>
      <c r="AP2563" s="2">
        <v>3468.4413671951702</v>
      </c>
      <c r="AQ2563" s="2">
        <v>564.461797929677</v>
      </c>
      <c r="AR2563" s="2">
        <v>2156.5191506568599</v>
      </c>
      <c r="AS2563" s="2">
        <v>1991.7009758285999</v>
      </c>
      <c r="AT2563" s="2">
        <v>2521.1249174110699</v>
      </c>
      <c r="AU2563" s="2">
        <v>1964.95611823127</v>
      </c>
      <c r="AV2563" s="2">
        <v>8.559877937157E-6</v>
      </c>
      <c r="AW2563" s="2">
        <v>8.559877937157E-6</v>
      </c>
      <c r="AX2563" s="2">
        <v>936.27411301128802</v>
      </c>
    </row>
    <row r="2564" spans="1:50" x14ac:dyDescent="0.25">
      <c r="A2564" s="2" t="s">
        <v>17235</v>
      </c>
      <c r="B2564" s="2">
        <v>431.31685615235199</v>
      </c>
      <c r="C2564" s="2">
        <v>9.6033833333333298</v>
      </c>
      <c r="D2564" s="2" t="s">
        <v>51</v>
      </c>
      <c r="E2564" s="2" t="s">
        <v>17236</v>
      </c>
      <c r="F2564" s="2">
        <v>46540</v>
      </c>
      <c r="G2564" s="3" t="str">
        <f>HYPERLINK("https://cloud.oebiotech.com/#/lm/network/46540", "https://cloud.oebiotech.com/#/lm/network/46540")</f>
        <v>https://cloud.oebiotech.com/#/lm/network/46540</v>
      </c>
      <c r="H2564" s="2"/>
      <c r="I2564" s="2"/>
      <c r="J2564" s="2" t="s">
        <v>17237</v>
      </c>
      <c r="K2564" s="2"/>
      <c r="L2564" s="2"/>
      <c r="M2564" s="2"/>
      <c r="N2564" s="2"/>
      <c r="O2564" s="2"/>
      <c r="P2564" s="2"/>
      <c r="Q2564" s="2"/>
      <c r="R2564" s="2"/>
      <c r="S2564" s="2" t="s">
        <v>17238</v>
      </c>
      <c r="T2564" s="2" t="s">
        <v>17239</v>
      </c>
      <c r="U2564" s="2" t="s">
        <v>56</v>
      </c>
      <c r="V2564" s="2" t="s">
        <v>283</v>
      </c>
      <c r="W2564" s="2" t="s">
        <v>2042</v>
      </c>
      <c r="X2564" s="2" t="s">
        <v>83</v>
      </c>
      <c r="Y2564" s="2">
        <v>52.7</v>
      </c>
      <c r="Z2564" s="2">
        <v>0</v>
      </c>
      <c r="AA2564" s="2" t="s">
        <v>379</v>
      </c>
      <c r="AB2564" s="2" t="s">
        <v>17240</v>
      </c>
      <c r="AC2564" s="2">
        <v>0.38349121030316502</v>
      </c>
      <c r="AD2564" s="2"/>
      <c r="AE2564" s="2">
        <v>0.247637032709972</v>
      </c>
      <c r="AF2564" s="2">
        <v>3215.38720826799</v>
      </c>
      <c r="AG2564" s="2">
        <v>5221.4729468698597</v>
      </c>
      <c r="AH2564" s="4">
        <v>0.61580079816281297</v>
      </c>
      <c r="AI2564" s="4">
        <v>-0.699464357571561</v>
      </c>
      <c r="AJ2564" s="4" t="s">
        <v>62</v>
      </c>
      <c r="AK2564" s="2">
        <v>6.1647817539127799E-2</v>
      </c>
      <c r="AL2564" s="2">
        <v>0.33469870837719101</v>
      </c>
      <c r="AM2564" s="2">
        <v>2377.7171995035901</v>
      </c>
      <c r="AN2564" s="2">
        <v>2295.6384373554401</v>
      </c>
      <c r="AO2564" s="2">
        <v>4160.2990762617801</v>
      </c>
      <c r="AP2564" s="2">
        <v>1597.5344079444401</v>
      </c>
      <c r="AQ2564" s="2">
        <v>3953.7805075044298</v>
      </c>
      <c r="AR2564" s="2">
        <v>4907.3536210382599</v>
      </c>
      <c r="AS2564" s="2">
        <v>4469.5978049334799</v>
      </c>
      <c r="AT2564" s="2">
        <v>4697.3824655041899</v>
      </c>
      <c r="AU2564" s="2">
        <v>6719.1240272298801</v>
      </c>
      <c r="AV2564" s="2">
        <v>8018.8952151984904</v>
      </c>
      <c r="AW2564" s="2">
        <v>2420.1267826783801</v>
      </c>
      <c r="AX2564" s="2">
        <v>5003.7113856747101</v>
      </c>
    </row>
    <row r="2565" spans="1:50" x14ac:dyDescent="0.25">
      <c r="A2565" s="2" t="s">
        <v>17241</v>
      </c>
      <c r="B2565" s="2">
        <v>311.22256632971198</v>
      </c>
      <c r="C2565" s="2">
        <v>9.9910499999999995</v>
      </c>
      <c r="D2565" s="2" t="s">
        <v>51</v>
      </c>
      <c r="E2565" s="2" t="s">
        <v>17242</v>
      </c>
      <c r="F2565" s="2">
        <v>3233</v>
      </c>
      <c r="G2565" s="3" t="str">
        <f>HYPERLINK("https://cloud.oebiotech.com/#/lm/network/3233", "https://cloud.oebiotech.com/#/lm/network/3233")</f>
        <v>https://cloud.oebiotech.com/#/lm/network/3233</v>
      </c>
      <c r="H2565" s="2"/>
      <c r="I2565" s="2">
        <v>74807</v>
      </c>
      <c r="J2565" s="2" t="s">
        <v>17243</v>
      </c>
      <c r="K2565" s="2">
        <v>5283017</v>
      </c>
      <c r="L2565" s="2"/>
      <c r="M2565" s="2"/>
      <c r="N2565" s="2"/>
      <c r="O2565" s="2"/>
      <c r="P2565" s="2"/>
      <c r="Q2565" s="2"/>
      <c r="R2565" s="2"/>
      <c r="S2565" s="2" t="s">
        <v>17244</v>
      </c>
      <c r="T2565" s="2" t="s">
        <v>17245</v>
      </c>
      <c r="U2565" s="2" t="s">
        <v>56</v>
      </c>
      <c r="V2565" s="2" t="s">
        <v>145</v>
      </c>
      <c r="W2565" s="2" t="s">
        <v>231</v>
      </c>
      <c r="X2565" s="2" t="s">
        <v>83</v>
      </c>
      <c r="Y2565" s="2">
        <v>52.7</v>
      </c>
      <c r="Z2565" s="2">
        <v>0</v>
      </c>
      <c r="AA2565" s="2" t="s">
        <v>259</v>
      </c>
      <c r="AB2565" s="2" t="s">
        <v>5579</v>
      </c>
      <c r="AC2565" s="2">
        <v>2.8382220338484601</v>
      </c>
      <c r="AD2565" s="2"/>
      <c r="AE2565" s="2">
        <v>0.24760136327886301</v>
      </c>
      <c r="AF2565" s="2">
        <v>10622.9138316567</v>
      </c>
      <c r="AG2565" s="2">
        <v>8866.6897702295792</v>
      </c>
      <c r="AH2565" s="5">
        <v>1.198069866764</v>
      </c>
      <c r="AI2565" s="5">
        <v>0.26071204293042699</v>
      </c>
      <c r="AJ2565" s="5" t="s">
        <v>139</v>
      </c>
      <c r="AK2565" s="2">
        <v>0.22604817117364001</v>
      </c>
      <c r="AL2565" s="2">
        <v>0.55268103475036801</v>
      </c>
      <c r="AM2565" s="2">
        <v>9413.9713492291594</v>
      </c>
      <c r="AN2565" s="2">
        <v>15153.005416260599</v>
      </c>
      <c r="AO2565" s="2">
        <v>12592.389021942399</v>
      </c>
      <c r="AP2565" s="2">
        <v>7747.5959627175498</v>
      </c>
      <c r="AQ2565" s="2">
        <v>10414.7009500162</v>
      </c>
      <c r="AR2565" s="2">
        <v>8415.8202897743395</v>
      </c>
      <c r="AS2565" s="2">
        <v>7542.4922935885897</v>
      </c>
      <c r="AT2565" s="2">
        <v>9089.3768163496406</v>
      </c>
      <c r="AU2565" s="2">
        <v>12250.685038854001</v>
      </c>
      <c r="AV2565" s="2">
        <v>7982.4000420672</v>
      </c>
      <c r="AW2565" s="2">
        <v>7291.1480513624701</v>
      </c>
      <c r="AX2565" s="2">
        <v>9044.0363791555792</v>
      </c>
    </row>
    <row r="2566" spans="1:50" x14ac:dyDescent="0.25">
      <c r="A2566" s="2" t="s">
        <v>17246</v>
      </c>
      <c r="B2566" s="2">
        <v>435.34815532197803</v>
      </c>
      <c r="C2566" s="2">
        <v>13.1795666666667</v>
      </c>
      <c r="D2566" s="2" t="s">
        <v>51</v>
      </c>
      <c r="E2566" s="2" t="s">
        <v>17247</v>
      </c>
      <c r="F2566" s="2">
        <v>7304</v>
      </c>
      <c r="G2566" s="3" t="str">
        <f>HYPERLINK("https://cloud.oebiotech.com/#/lm/network/7304", "https://cloud.oebiotech.com/#/lm/network/7304")</f>
        <v>https://cloud.oebiotech.com/#/lm/network/7304</v>
      </c>
      <c r="H2566" s="2"/>
      <c r="I2566" s="2">
        <v>97271</v>
      </c>
      <c r="J2566" s="2" t="s">
        <v>17248</v>
      </c>
      <c r="K2566" s="2">
        <v>56935998</v>
      </c>
      <c r="L2566" s="2"/>
      <c r="M2566" s="2"/>
      <c r="N2566" s="2"/>
      <c r="O2566" s="2"/>
      <c r="P2566" s="2"/>
      <c r="Q2566" s="2"/>
      <c r="R2566" s="2"/>
      <c r="S2566" s="2" t="s">
        <v>17249</v>
      </c>
      <c r="T2566" s="2" t="s">
        <v>17250</v>
      </c>
      <c r="U2566" s="2" t="s">
        <v>56</v>
      </c>
      <c r="V2566" s="2" t="s">
        <v>145</v>
      </c>
      <c r="W2566" s="2" t="s">
        <v>17251</v>
      </c>
      <c r="X2566" s="2" t="s">
        <v>147</v>
      </c>
      <c r="Y2566" s="2">
        <v>37.5</v>
      </c>
      <c r="Z2566" s="2">
        <v>0</v>
      </c>
      <c r="AA2566" s="2" t="s">
        <v>218</v>
      </c>
      <c r="AB2566" s="2" t="s">
        <v>17252</v>
      </c>
      <c r="AC2566" s="2">
        <v>0.43995833172228899</v>
      </c>
      <c r="AD2566" s="2"/>
      <c r="AE2566" s="2">
        <v>0.247338819266022</v>
      </c>
      <c r="AF2566" s="2">
        <v>10409.904797646401</v>
      </c>
      <c r="AG2566" s="2">
        <v>7580.59872264979</v>
      </c>
      <c r="AH2566" s="5">
        <v>1.3732298962802301</v>
      </c>
      <c r="AI2566" s="5">
        <v>0.45757317134003</v>
      </c>
      <c r="AJ2566" s="5" t="s">
        <v>139</v>
      </c>
      <c r="AK2566" s="2">
        <v>0.215404354223353</v>
      </c>
      <c r="AL2566" s="2">
        <v>0.54051380009469496</v>
      </c>
      <c r="AM2566" s="2">
        <v>5682.7571191291399</v>
      </c>
      <c r="AN2566" s="2">
        <v>14816.3552501624</v>
      </c>
      <c r="AO2566" s="2">
        <v>9797.5908837307106</v>
      </c>
      <c r="AP2566" s="2">
        <v>14745.720760903499</v>
      </c>
      <c r="AQ2566" s="2">
        <v>11226.8759173045</v>
      </c>
      <c r="AR2566" s="2">
        <v>6190.1288546483202</v>
      </c>
      <c r="AS2566" s="2">
        <v>5157.0340409207001</v>
      </c>
      <c r="AT2566" s="2">
        <v>12138.1635944051</v>
      </c>
      <c r="AU2566" s="2">
        <v>8225.1086144283308</v>
      </c>
      <c r="AV2566" s="2">
        <v>2418.7737407500399</v>
      </c>
      <c r="AW2566" s="2">
        <v>7959.4812508495997</v>
      </c>
      <c r="AX2566" s="2">
        <v>9585.0310945449492</v>
      </c>
    </row>
    <row r="2567" spans="1:50" x14ac:dyDescent="0.25">
      <c r="A2567" s="2" t="s">
        <v>17253</v>
      </c>
      <c r="B2567" s="2">
        <v>403.188232460682</v>
      </c>
      <c r="C2567" s="2">
        <v>7.3748833333333303</v>
      </c>
      <c r="D2567" s="2" t="s">
        <v>51</v>
      </c>
      <c r="E2567" s="2" t="s">
        <v>17254</v>
      </c>
      <c r="F2567" s="2">
        <v>208026</v>
      </c>
      <c r="G2567" s="3" t="str">
        <f>HYPERLINK("https://cloud.oebiotech.com/#/lm/network/208026", "https://cloud.oebiotech.com/#/lm/network/208026")</f>
        <v>https://cloud.oebiotech.com/#/lm/network/208026</v>
      </c>
      <c r="H2567" s="2" t="s">
        <v>17255</v>
      </c>
      <c r="I2567" s="2">
        <v>320603</v>
      </c>
      <c r="J2567" s="2"/>
      <c r="K2567" s="2">
        <v>3792</v>
      </c>
      <c r="L2567" s="2"/>
      <c r="M2567" s="2"/>
      <c r="N2567" s="2"/>
      <c r="O2567" s="2"/>
      <c r="P2567" s="2"/>
      <c r="Q2567" s="2"/>
      <c r="R2567" s="2"/>
      <c r="S2567" s="2" t="s">
        <v>17256</v>
      </c>
      <c r="T2567" s="2" t="s">
        <v>17257</v>
      </c>
      <c r="U2567" s="2" t="s">
        <v>610</v>
      </c>
      <c r="V2567" s="2" t="s">
        <v>611</v>
      </c>
      <c r="W2567" s="2" t="s">
        <v>1122</v>
      </c>
      <c r="X2567" s="2" t="s">
        <v>147</v>
      </c>
      <c r="Y2567" s="2">
        <v>37.200000000000003</v>
      </c>
      <c r="Z2567" s="2">
        <v>0</v>
      </c>
      <c r="AA2567" s="2" t="s">
        <v>218</v>
      </c>
      <c r="AB2567" s="2" t="s">
        <v>17258</v>
      </c>
      <c r="AC2567" s="2">
        <v>2.1560362457905402</v>
      </c>
      <c r="AD2567" s="2"/>
      <c r="AE2567" s="2">
        <v>0.247290797089985</v>
      </c>
      <c r="AF2567" s="2">
        <v>2813.2216882616299</v>
      </c>
      <c r="AG2567" s="2">
        <v>1054.4597160752101</v>
      </c>
      <c r="AH2567" s="5">
        <v>2.6679271340328401</v>
      </c>
      <c r="AI2567" s="5">
        <v>1.4157192644216701</v>
      </c>
      <c r="AJ2567" s="5" t="s">
        <v>139</v>
      </c>
      <c r="AK2567" s="2">
        <v>1.0485031981258001E-2</v>
      </c>
      <c r="AL2567" s="2">
        <v>0.165526976781455</v>
      </c>
      <c r="AM2567" s="2">
        <v>1818.1846369852201</v>
      </c>
      <c r="AN2567" s="2">
        <v>3436.6631783922899</v>
      </c>
      <c r="AO2567" s="2">
        <v>3139.9975077162098</v>
      </c>
      <c r="AP2567" s="2">
        <v>4581.0876722202902</v>
      </c>
      <c r="AQ2567" s="2">
        <v>1327.15779677818</v>
      </c>
      <c r="AR2567" s="2">
        <v>2576.2393374775702</v>
      </c>
      <c r="AS2567" s="2">
        <v>2148.1009805515</v>
      </c>
      <c r="AT2567" s="2">
        <v>990.03921608156202</v>
      </c>
      <c r="AU2567" s="2">
        <v>1389.37630701086</v>
      </c>
      <c r="AV2567" s="2">
        <v>357.02173954727499</v>
      </c>
      <c r="AW2567" s="2">
        <v>217.648601269403</v>
      </c>
      <c r="AX2567" s="2">
        <v>1224.5714519906801</v>
      </c>
    </row>
    <row r="2568" spans="1:50" x14ac:dyDescent="0.25">
      <c r="A2568" s="2" t="s">
        <v>17259</v>
      </c>
      <c r="B2568" s="2">
        <v>267.12381405098</v>
      </c>
      <c r="C2568" s="2">
        <v>9.0696833333333302</v>
      </c>
      <c r="D2568" s="2" t="s">
        <v>51</v>
      </c>
      <c r="E2568" s="2" t="s">
        <v>17260</v>
      </c>
      <c r="F2568" s="2">
        <v>201431</v>
      </c>
      <c r="G2568" s="3" t="str">
        <f>HYPERLINK("https://cloud.oebiotech.com/#/lm/network/201431", "https://cloud.oebiotech.com/#/lm/network/201431")</f>
        <v>https://cloud.oebiotech.com/#/lm/network/201431</v>
      </c>
      <c r="H2568" s="2" t="s">
        <v>17261</v>
      </c>
      <c r="I2568" s="2">
        <v>345342</v>
      </c>
      <c r="J2568" s="2"/>
      <c r="K2568" s="2">
        <v>30543</v>
      </c>
      <c r="L2568" s="2"/>
      <c r="M2568" s="2"/>
      <c r="N2568" s="2"/>
      <c r="O2568" s="2"/>
      <c r="P2568" s="2"/>
      <c r="Q2568" s="2"/>
      <c r="R2568" s="2"/>
      <c r="S2568" s="2" t="s">
        <v>17262</v>
      </c>
      <c r="T2568" s="2" t="s">
        <v>17263</v>
      </c>
      <c r="U2568" s="2" t="s">
        <v>610</v>
      </c>
      <c r="V2568" s="2" t="s">
        <v>611</v>
      </c>
      <c r="W2568" s="2" t="s">
        <v>1122</v>
      </c>
      <c r="X2568" s="2" t="s">
        <v>69</v>
      </c>
      <c r="Y2568" s="2">
        <v>66.5</v>
      </c>
      <c r="Z2568" s="2">
        <v>95.7</v>
      </c>
      <c r="AA2568" s="2" t="s">
        <v>218</v>
      </c>
      <c r="AB2568" s="2" t="s">
        <v>10412</v>
      </c>
      <c r="AC2568" s="2">
        <v>7.5385458333421806E-2</v>
      </c>
      <c r="AD2568" s="2"/>
      <c r="AE2568" s="2">
        <v>0.24724416509153099</v>
      </c>
      <c r="AF2568" s="2">
        <v>149758.93868340901</v>
      </c>
      <c r="AG2568" s="2">
        <v>131815.75509399601</v>
      </c>
      <c r="AH2568" s="5">
        <v>1.13612320907025</v>
      </c>
      <c r="AI2568" s="5">
        <v>0.18411929916997399</v>
      </c>
      <c r="AJ2568" s="5" t="s">
        <v>139</v>
      </c>
      <c r="AK2568" s="2">
        <v>0.67131123365829504</v>
      </c>
      <c r="AL2568" s="2">
        <v>0.84135965593549</v>
      </c>
      <c r="AM2568" s="2">
        <v>123429.895029281</v>
      </c>
      <c r="AN2568" s="2">
        <v>175833.87725247201</v>
      </c>
      <c r="AO2568" s="2">
        <v>88051.450914955494</v>
      </c>
      <c r="AP2568" s="2">
        <v>118663.100945256</v>
      </c>
      <c r="AQ2568" s="2">
        <v>78644.104522142094</v>
      </c>
      <c r="AR2568" s="2">
        <v>313931.20343634498</v>
      </c>
      <c r="AS2568" s="2">
        <v>118753.1302593</v>
      </c>
      <c r="AT2568" s="2">
        <v>107652.777197266</v>
      </c>
      <c r="AU2568" s="2">
        <v>128426.560608435</v>
      </c>
      <c r="AV2568" s="2">
        <v>127770.384741242</v>
      </c>
      <c r="AW2568" s="2">
        <v>226987.569287797</v>
      </c>
      <c r="AX2568" s="2">
        <v>81304.108469935207</v>
      </c>
    </row>
    <row r="2569" spans="1:50" x14ac:dyDescent="0.25">
      <c r="A2569" s="2" t="s">
        <v>17264</v>
      </c>
      <c r="B2569" s="2">
        <v>654.56806799808896</v>
      </c>
      <c r="C2569" s="2">
        <v>14.479983333333299</v>
      </c>
      <c r="D2569" s="2" t="s">
        <v>51</v>
      </c>
      <c r="E2569" s="2" t="s">
        <v>17265</v>
      </c>
      <c r="F2569" s="2">
        <v>249032</v>
      </c>
      <c r="G2569" s="3" t="str">
        <f>HYPERLINK("https://cloud.oebiotech.com/#/lm/network/249032", "https://cloud.oebiotech.com/#/lm/network/249032")</f>
        <v>https://cloud.oebiotech.com/#/lm/network/249032</v>
      </c>
      <c r="H2569" s="2" t="s">
        <v>17266</v>
      </c>
      <c r="I2569" s="2"/>
      <c r="J2569" s="2"/>
      <c r="K2569" s="2"/>
      <c r="L2569" s="2"/>
      <c r="M2569" s="2"/>
      <c r="N2569" s="2"/>
      <c r="O2569" s="2"/>
      <c r="P2569" s="2"/>
      <c r="Q2569" s="2"/>
      <c r="R2569" s="2"/>
      <c r="S2569" s="2" t="s">
        <v>17267</v>
      </c>
      <c r="T2569" s="2" t="s">
        <v>17268</v>
      </c>
      <c r="U2569" s="2" t="s">
        <v>56</v>
      </c>
      <c r="V2569" s="2" t="s">
        <v>3215</v>
      </c>
      <c r="W2569" s="2" t="s">
        <v>3216</v>
      </c>
      <c r="X2569" s="2" t="s">
        <v>147</v>
      </c>
      <c r="Y2569" s="2">
        <v>38.4</v>
      </c>
      <c r="Z2569" s="2">
        <v>4.83</v>
      </c>
      <c r="AA2569" s="2" t="s">
        <v>512</v>
      </c>
      <c r="AB2569" s="2" t="s">
        <v>17269</v>
      </c>
      <c r="AC2569" s="2">
        <v>2.12470040471023</v>
      </c>
      <c r="AD2569" s="2"/>
      <c r="AE2569" s="2">
        <v>0.247095652343954</v>
      </c>
      <c r="AF2569" s="2">
        <v>84695.407837049206</v>
      </c>
      <c r="AG2569" s="2">
        <v>88478.3224769238</v>
      </c>
      <c r="AH2569" s="4">
        <v>0.95724472917237802</v>
      </c>
      <c r="AI2569" s="4">
        <v>-6.3040283627864901E-2</v>
      </c>
      <c r="AJ2569" s="4" t="s">
        <v>62</v>
      </c>
      <c r="AK2569" s="2">
        <v>0.90972494240172597</v>
      </c>
      <c r="AL2569" s="2">
        <v>0.96252844734401399</v>
      </c>
      <c r="AM2569" s="2">
        <v>66178.523831906306</v>
      </c>
      <c r="AN2569" s="2">
        <v>149016.10689642001</v>
      </c>
      <c r="AO2569" s="2">
        <v>102500.422226892</v>
      </c>
      <c r="AP2569" s="2">
        <v>49656.5930090685</v>
      </c>
      <c r="AQ2569" s="2">
        <v>101646.604554077</v>
      </c>
      <c r="AR2569" s="2">
        <v>39174.1965039313</v>
      </c>
      <c r="AS2569" s="2">
        <v>42869.452966129</v>
      </c>
      <c r="AT2569" s="2">
        <v>152395.58133344201</v>
      </c>
      <c r="AU2569" s="2">
        <v>196195.79578407301</v>
      </c>
      <c r="AV2569" s="2">
        <v>59640.119260983098</v>
      </c>
      <c r="AW2569" s="2">
        <v>35483.081618495104</v>
      </c>
      <c r="AX2569" s="2">
        <v>44285.9038984203</v>
      </c>
    </row>
    <row r="2570" spans="1:50" x14ac:dyDescent="0.25">
      <c r="A2570" s="2" t="s">
        <v>17270</v>
      </c>
      <c r="B2570" s="2">
        <v>251.127557014865</v>
      </c>
      <c r="C2570" s="2">
        <v>7.9598333333333304</v>
      </c>
      <c r="D2570" s="2" t="s">
        <v>51</v>
      </c>
      <c r="E2570" s="2" t="s">
        <v>17271</v>
      </c>
      <c r="F2570" s="2">
        <v>62408</v>
      </c>
      <c r="G2570" s="3" t="str">
        <f>HYPERLINK("https://cloud.oebiotech.com/#/lm/network/62408", "https://cloud.oebiotech.com/#/lm/network/62408")</f>
        <v>https://cloud.oebiotech.com/#/lm/network/62408</v>
      </c>
      <c r="H2570" s="2" t="s">
        <v>17272</v>
      </c>
      <c r="I2570" s="2">
        <v>93702</v>
      </c>
      <c r="J2570" s="2"/>
      <c r="K2570" s="2">
        <v>10398072</v>
      </c>
      <c r="L2570" s="2"/>
      <c r="M2570" s="2"/>
      <c r="N2570" s="2"/>
      <c r="O2570" s="2">
        <v>70079</v>
      </c>
      <c r="P2570" s="2"/>
      <c r="Q2570" s="2"/>
      <c r="R2570" s="2" t="s">
        <v>17273</v>
      </c>
      <c r="S2570" s="2" t="s">
        <v>17274</v>
      </c>
      <c r="T2570" s="2" t="s">
        <v>17275</v>
      </c>
      <c r="U2570" s="2" t="s">
        <v>610</v>
      </c>
      <c r="V2570" s="2" t="s">
        <v>895</v>
      </c>
      <c r="W2570" s="2" t="s">
        <v>12249</v>
      </c>
      <c r="X2570" s="2" t="s">
        <v>83</v>
      </c>
      <c r="Y2570" s="2">
        <v>40.700000000000003</v>
      </c>
      <c r="Z2570" s="2">
        <v>0</v>
      </c>
      <c r="AA2570" s="2" t="s">
        <v>218</v>
      </c>
      <c r="AB2570" s="2" t="s">
        <v>9137</v>
      </c>
      <c r="AC2570" s="2">
        <v>-6.4312188579955203</v>
      </c>
      <c r="AD2570" s="2"/>
      <c r="AE2570" s="2">
        <v>0.24700054811265501</v>
      </c>
      <c r="AF2570" s="2">
        <v>2433.0653057726499</v>
      </c>
      <c r="AG2570" s="2">
        <v>1074.4895744778601</v>
      </c>
      <c r="AH2570" s="5">
        <v>2.2643917293985698</v>
      </c>
      <c r="AI2570" s="5">
        <v>1.17912355939507</v>
      </c>
      <c r="AJ2570" s="5" t="s">
        <v>139</v>
      </c>
      <c r="AK2570" s="2">
        <v>3.0324220530650699E-2</v>
      </c>
      <c r="AL2570" s="2">
        <v>0.260087446182861</v>
      </c>
      <c r="AM2570" s="2">
        <v>4238.6050210581298</v>
      </c>
      <c r="AN2570" s="2">
        <v>2234.3900827581101</v>
      </c>
      <c r="AO2570" s="2">
        <v>1669.7832870152599</v>
      </c>
      <c r="AP2570" s="2">
        <v>954.11226740076495</v>
      </c>
      <c r="AQ2570" s="2">
        <v>1986.6233071616</v>
      </c>
      <c r="AR2570" s="2">
        <v>3514.8778692420101</v>
      </c>
      <c r="AS2570" s="2">
        <v>1444.4493534594201</v>
      </c>
      <c r="AT2570" s="2">
        <v>536.75596027388303</v>
      </c>
      <c r="AU2570" s="2">
        <v>1838.3200530059</v>
      </c>
      <c r="AV2570" s="2">
        <v>643.76890660086599</v>
      </c>
      <c r="AW2570" s="2">
        <v>813.76552887799505</v>
      </c>
      <c r="AX2570" s="2">
        <v>1169.8776446490699</v>
      </c>
    </row>
    <row r="2571" spans="1:50" x14ac:dyDescent="0.25">
      <c r="A2571" s="2" t="s">
        <v>17276</v>
      </c>
      <c r="B2571" s="2">
        <v>530.458306315291</v>
      </c>
      <c r="C2571" s="2">
        <v>14.626300000000001</v>
      </c>
      <c r="D2571" s="2" t="s">
        <v>51</v>
      </c>
      <c r="E2571" s="2" t="s">
        <v>17277</v>
      </c>
      <c r="F2571" s="2">
        <v>242981</v>
      </c>
      <c r="G2571" s="3" t="str">
        <f>HYPERLINK("https://cloud.oebiotech.com/#/lm/network/242981", "https://cloud.oebiotech.com/#/lm/network/242981")</f>
        <v>https://cloud.oebiotech.com/#/lm/network/242981</v>
      </c>
      <c r="H2571" s="2" t="s">
        <v>17278</v>
      </c>
      <c r="I2571" s="2"/>
      <c r="J2571" s="2"/>
      <c r="K2571" s="2"/>
      <c r="L2571" s="2"/>
      <c r="M2571" s="2"/>
      <c r="N2571" s="2"/>
      <c r="O2571" s="2"/>
      <c r="P2571" s="2"/>
      <c r="Q2571" s="2"/>
      <c r="R2571" s="2"/>
      <c r="S2571" s="2" t="s">
        <v>17279</v>
      </c>
      <c r="T2571" s="2" t="s">
        <v>17280</v>
      </c>
      <c r="U2571" s="2" t="s">
        <v>56</v>
      </c>
      <c r="V2571" s="2" t="s">
        <v>344</v>
      </c>
      <c r="W2571" s="2" t="s">
        <v>3012</v>
      </c>
      <c r="X2571" s="2" t="s">
        <v>147</v>
      </c>
      <c r="Y2571" s="2">
        <v>37.200000000000003</v>
      </c>
      <c r="Z2571" s="2">
        <v>0</v>
      </c>
      <c r="AA2571" s="2" t="s">
        <v>156</v>
      </c>
      <c r="AB2571" s="2" t="s">
        <v>17281</v>
      </c>
      <c r="AC2571" s="2">
        <v>2.8040876303939699</v>
      </c>
      <c r="AD2571" s="2"/>
      <c r="AE2571" s="2">
        <v>0.24682020080707301</v>
      </c>
      <c r="AF2571" s="2">
        <v>10302.1507014543</v>
      </c>
      <c r="AG2571" s="2">
        <v>7572.33174040821</v>
      </c>
      <c r="AH2571" s="5">
        <v>1.360499124263</v>
      </c>
      <c r="AI2571" s="5">
        <v>0.44413602794236201</v>
      </c>
      <c r="AJ2571" s="5" t="s">
        <v>139</v>
      </c>
      <c r="AK2571" s="2">
        <v>0.33301824750862502</v>
      </c>
      <c r="AL2571" s="2">
        <v>0.63450213499924102</v>
      </c>
      <c r="AM2571" s="2">
        <v>12961.1806229306</v>
      </c>
      <c r="AN2571" s="2">
        <v>18746.7212098407</v>
      </c>
      <c r="AO2571" s="2">
        <v>8090.3219629733803</v>
      </c>
      <c r="AP2571" s="2">
        <v>10003.417844871799</v>
      </c>
      <c r="AQ2571" s="2">
        <v>10278.487844191101</v>
      </c>
      <c r="AR2571" s="2">
        <v>1732.7747239180901</v>
      </c>
      <c r="AS2571" s="2">
        <v>4564.2506682296898</v>
      </c>
      <c r="AT2571" s="2">
        <v>6872.0325892311603</v>
      </c>
      <c r="AU2571" s="2">
        <v>5151.2065717773203</v>
      </c>
      <c r="AV2571" s="2">
        <v>13737.557897639999</v>
      </c>
      <c r="AW2571" s="2">
        <v>9262.4958379561904</v>
      </c>
      <c r="AX2571" s="2">
        <v>5846.4468776148797</v>
      </c>
    </row>
    <row r="2572" spans="1:50" x14ac:dyDescent="0.25">
      <c r="A2572" s="2" t="s">
        <v>17282</v>
      </c>
      <c r="B2572" s="2">
        <v>383.15372897281702</v>
      </c>
      <c r="C2572" s="2">
        <v>5.2300666666666702</v>
      </c>
      <c r="D2572" s="2" t="s">
        <v>51</v>
      </c>
      <c r="E2572" s="2" t="s">
        <v>17283</v>
      </c>
      <c r="F2572" s="2">
        <v>46685</v>
      </c>
      <c r="G2572" s="3" t="str">
        <f>HYPERLINK("https://cloud.oebiotech.com/#/lm/network/46685", "https://cloud.oebiotech.com/#/lm/network/46685")</f>
        <v>https://cloud.oebiotech.com/#/lm/network/46685</v>
      </c>
      <c r="H2572" s="2" t="s">
        <v>17284</v>
      </c>
      <c r="I2572" s="2"/>
      <c r="J2572" s="2" t="s">
        <v>17285</v>
      </c>
      <c r="K2572" s="2">
        <v>20848951</v>
      </c>
      <c r="L2572" s="2"/>
      <c r="M2572" s="2"/>
      <c r="N2572" s="2"/>
      <c r="O2572" s="2"/>
      <c r="P2572" s="2"/>
      <c r="Q2572" s="2"/>
      <c r="R2572" s="2" t="s">
        <v>17286</v>
      </c>
      <c r="S2572" s="2" t="s">
        <v>17287</v>
      </c>
      <c r="T2572" s="2" t="s">
        <v>17288</v>
      </c>
      <c r="U2572" s="2" t="s">
        <v>56</v>
      </c>
      <c r="V2572" s="2" t="s">
        <v>283</v>
      </c>
      <c r="W2572" s="2" t="s">
        <v>2305</v>
      </c>
      <c r="X2572" s="2" t="s">
        <v>147</v>
      </c>
      <c r="Y2572" s="2">
        <v>37.299999999999997</v>
      </c>
      <c r="Z2572" s="2">
        <v>0</v>
      </c>
      <c r="AA2572" s="2" t="s">
        <v>163</v>
      </c>
      <c r="AB2572" s="2" t="s">
        <v>17289</v>
      </c>
      <c r="AC2572" s="2">
        <v>0.90011688579451499</v>
      </c>
      <c r="AD2572" s="2"/>
      <c r="AE2572" s="2">
        <v>0.246777209542486</v>
      </c>
      <c r="AF2572" s="2">
        <v>238.862412071812</v>
      </c>
      <c r="AG2572" s="2">
        <v>3020.0157260758801</v>
      </c>
      <c r="AH2572" s="4">
        <v>7.9093102068770502E-2</v>
      </c>
      <c r="AI2572" s="4">
        <v>-3.6603043110705702</v>
      </c>
      <c r="AJ2572" s="4" t="s">
        <v>62</v>
      </c>
      <c r="AK2572" s="2">
        <v>0.105171624875319</v>
      </c>
      <c r="AL2572" s="2">
        <v>0.412147813125261</v>
      </c>
      <c r="AM2572" s="2">
        <v>8.559877937157E-6</v>
      </c>
      <c r="AN2572" s="2">
        <v>8.559877937157E-6</v>
      </c>
      <c r="AO2572" s="2">
        <v>1088.60822191527</v>
      </c>
      <c r="AP2572" s="2">
        <v>341.85639118282899</v>
      </c>
      <c r="AQ2572" s="2">
        <v>8.559877937157E-6</v>
      </c>
      <c r="AR2572" s="2">
        <v>2.7098336531400999</v>
      </c>
      <c r="AS2572" s="2">
        <v>8.559877937157E-6</v>
      </c>
      <c r="AT2572" s="2">
        <v>9556.9098152178503</v>
      </c>
      <c r="AU2572" s="2">
        <v>329.68655829592399</v>
      </c>
      <c r="AV2572" s="2">
        <v>2418.8257362154</v>
      </c>
      <c r="AW2572" s="2">
        <v>5425.1346787511902</v>
      </c>
      <c r="AX2572" s="2">
        <v>389.53755941506699</v>
      </c>
    </row>
    <row r="2573" spans="1:50" x14ac:dyDescent="0.25">
      <c r="A2573" s="2" t="s">
        <v>17290</v>
      </c>
      <c r="B2573" s="2">
        <v>697.26768074174504</v>
      </c>
      <c r="C2573" s="2">
        <v>4.9422166666666696</v>
      </c>
      <c r="D2573" s="2" t="s">
        <v>51</v>
      </c>
      <c r="E2573" s="2" t="s">
        <v>17291</v>
      </c>
      <c r="F2573" s="2">
        <v>198425</v>
      </c>
      <c r="G2573" s="3" t="str">
        <f>HYPERLINK("https://cloud.oebiotech.com/#/lm/network/198425", "https://cloud.oebiotech.com/#/lm/network/198425")</f>
        <v>https://cloud.oebiotech.com/#/lm/network/198425</v>
      </c>
      <c r="H2573" s="2" t="s">
        <v>17292</v>
      </c>
      <c r="I2573" s="2"/>
      <c r="J2573" s="2"/>
      <c r="K2573" s="2"/>
      <c r="L2573" s="2"/>
      <c r="M2573" s="2"/>
      <c r="N2573" s="2"/>
      <c r="O2573" s="2"/>
      <c r="P2573" s="2"/>
      <c r="Q2573" s="2"/>
      <c r="R2573" s="2"/>
      <c r="S2573" s="2" t="s">
        <v>17293</v>
      </c>
      <c r="T2573" s="2" t="s">
        <v>17294</v>
      </c>
      <c r="U2573" s="2" t="s">
        <v>56</v>
      </c>
      <c r="V2573" s="2" t="s">
        <v>145</v>
      </c>
      <c r="W2573" s="2" t="s">
        <v>1188</v>
      </c>
      <c r="X2573" s="2" t="s">
        <v>147</v>
      </c>
      <c r="Y2573" s="2">
        <v>37.6</v>
      </c>
      <c r="Z2573" s="2">
        <v>4.4800000000000004</v>
      </c>
      <c r="AA2573" s="2" t="s">
        <v>478</v>
      </c>
      <c r="AB2573" s="2" t="s">
        <v>17295</v>
      </c>
      <c r="AC2573" s="2">
        <v>-1.92405801745856</v>
      </c>
      <c r="AD2573" s="2"/>
      <c r="AE2573" s="2">
        <v>0.24675368652760599</v>
      </c>
      <c r="AF2573" s="2">
        <v>54364.187292596602</v>
      </c>
      <c r="AG2573" s="2">
        <v>30812.523257797398</v>
      </c>
      <c r="AH2573" s="5">
        <v>1.7643536310788599</v>
      </c>
      <c r="AI2573" s="5">
        <v>0.81913975061892796</v>
      </c>
      <c r="AJ2573" s="5" t="s">
        <v>139</v>
      </c>
      <c r="AK2573" s="2">
        <v>0.63325000958202704</v>
      </c>
      <c r="AL2573" s="2">
        <v>0.820119264563689</v>
      </c>
      <c r="AM2573" s="2">
        <v>8.559877937157E-6</v>
      </c>
      <c r="AN2573" s="2">
        <v>8.559877937157E-6</v>
      </c>
      <c r="AO2573" s="2">
        <v>55092.849842593198</v>
      </c>
      <c r="AP2573" s="2">
        <v>1808.04190351994</v>
      </c>
      <c r="AQ2573" s="2">
        <v>11209.8251274376</v>
      </c>
      <c r="AR2573" s="2">
        <v>258074.40686490899</v>
      </c>
      <c r="AS2573" s="2">
        <v>147311.831758385</v>
      </c>
      <c r="AT2573" s="2">
        <v>12569.7320192242</v>
      </c>
      <c r="AU2573" s="2">
        <v>8.559877937157E-6</v>
      </c>
      <c r="AV2573" s="2">
        <v>2533.8766616657999</v>
      </c>
      <c r="AW2573" s="2">
        <v>8.559877937157E-6</v>
      </c>
      <c r="AX2573" s="2">
        <v>22459.6990903896</v>
      </c>
    </row>
    <row r="2574" spans="1:50" x14ac:dyDescent="0.25">
      <c r="A2574" s="2" t="s">
        <v>17296</v>
      </c>
      <c r="B2574" s="2">
        <v>939.58659105015204</v>
      </c>
      <c r="C2574" s="2">
        <v>8.5796666666666699</v>
      </c>
      <c r="D2574" s="2" t="s">
        <v>51</v>
      </c>
      <c r="E2574" s="2" t="s">
        <v>17297</v>
      </c>
      <c r="F2574" s="2">
        <v>236955</v>
      </c>
      <c r="G2574" s="3" t="str">
        <f>HYPERLINK("https://cloud.oebiotech.com/#/lm/network/236955", "https://cloud.oebiotech.com/#/lm/network/236955")</f>
        <v>https://cloud.oebiotech.com/#/lm/network/236955</v>
      </c>
      <c r="H2574" s="2" t="s">
        <v>17298</v>
      </c>
      <c r="I2574" s="2"/>
      <c r="J2574" s="2"/>
      <c r="K2574" s="2"/>
      <c r="L2574" s="2"/>
      <c r="M2574" s="2"/>
      <c r="N2574" s="2"/>
      <c r="O2574" s="2"/>
      <c r="P2574" s="2"/>
      <c r="Q2574" s="2"/>
      <c r="R2574" s="2"/>
      <c r="S2574" s="2" t="s">
        <v>17299</v>
      </c>
      <c r="T2574" s="2" t="s">
        <v>17300</v>
      </c>
      <c r="U2574" s="2" t="s">
        <v>56</v>
      </c>
      <c r="V2574" s="2" t="s">
        <v>145</v>
      </c>
      <c r="W2574" s="2" t="s">
        <v>187</v>
      </c>
      <c r="X2574" s="2" t="s">
        <v>147</v>
      </c>
      <c r="Y2574" s="2">
        <v>37.1</v>
      </c>
      <c r="Z2574" s="2">
        <v>0</v>
      </c>
      <c r="AA2574" s="2" t="s">
        <v>156</v>
      </c>
      <c r="AB2574" s="2" t="s">
        <v>17301</v>
      </c>
      <c r="AC2574" s="2">
        <v>-2.70753630313098</v>
      </c>
      <c r="AD2574" s="2"/>
      <c r="AE2574" s="2">
        <v>0.246710949913136</v>
      </c>
      <c r="AF2574" s="2">
        <v>15230.019068043501</v>
      </c>
      <c r="AG2574" s="2">
        <v>17403.562163080602</v>
      </c>
      <c r="AH2574" s="4">
        <v>0.875109298046577</v>
      </c>
      <c r="AI2574" s="4">
        <v>-0.19246487919691499</v>
      </c>
      <c r="AJ2574" s="4" t="s">
        <v>62</v>
      </c>
      <c r="AK2574" s="2">
        <v>0.40686328862738602</v>
      </c>
      <c r="AL2574" s="2">
        <v>0.67322947173377601</v>
      </c>
      <c r="AM2574" s="2">
        <v>5117.3512263152597</v>
      </c>
      <c r="AN2574" s="2">
        <v>14194.3896849179</v>
      </c>
      <c r="AO2574" s="2">
        <v>17734.433636767601</v>
      </c>
      <c r="AP2574" s="2">
        <v>18328.116154096799</v>
      </c>
      <c r="AQ2574" s="2">
        <v>17205.087671384601</v>
      </c>
      <c r="AR2574" s="2">
        <v>18800.7360347787</v>
      </c>
      <c r="AS2574" s="2">
        <v>21955.844270488</v>
      </c>
      <c r="AT2574" s="2">
        <v>19885.2454765845</v>
      </c>
      <c r="AU2574" s="2">
        <v>18444.457549896299</v>
      </c>
      <c r="AV2574" s="2">
        <v>15716.736868853401</v>
      </c>
      <c r="AW2574" s="2">
        <v>13216.634739720001</v>
      </c>
      <c r="AX2574" s="2">
        <v>15202.4540729417</v>
      </c>
    </row>
    <row r="2575" spans="1:50" x14ac:dyDescent="0.25">
      <c r="A2575" s="2" t="s">
        <v>17302</v>
      </c>
      <c r="B2575" s="2">
        <v>959.68392225072296</v>
      </c>
      <c r="C2575" s="2">
        <v>11.1675166666667</v>
      </c>
      <c r="D2575" s="2" t="s">
        <v>51</v>
      </c>
      <c r="E2575" s="2" t="s">
        <v>17303</v>
      </c>
      <c r="F2575" s="2">
        <v>241723</v>
      </c>
      <c r="G2575" s="3" t="str">
        <f>HYPERLINK("https://cloud.oebiotech.com/#/lm/network/241723", "https://cloud.oebiotech.com/#/lm/network/241723")</f>
        <v>https://cloud.oebiotech.com/#/lm/network/241723</v>
      </c>
      <c r="H2575" s="2" t="s">
        <v>17304</v>
      </c>
      <c r="I2575" s="2"/>
      <c r="J2575" s="2"/>
      <c r="K2575" s="2"/>
      <c r="L2575" s="2"/>
      <c r="M2575" s="2"/>
      <c r="N2575" s="2"/>
      <c r="O2575" s="2"/>
      <c r="P2575" s="2"/>
      <c r="Q2575" s="2"/>
      <c r="R2575" s="2"/>
      <c r="S2575" s="2" t="s">
        <v>17305</v>
      </c>
      <c r="T2575" s="2" t="s">
        <v>17306</v>
      </c>
      <c r="U2575" s="2" t="s">
        <v>56</v>
      </c>
      <c r="V2575" s="2" t="s">
        <v>145</v>
      </c>
      <c r="W2575" s="2" t="s">
        <v>187</v>
      </c>
      <c r="X2575" s="2" t="s">
        <v>147</v>
      </c>
      <c r="Y2575" s="2">
        <v>36.200000000000003</v>
      </c>
      <c r="Z2575" s="2">
        <v>0</v>
      </c>
      <c r="AA2575" s="2" t="s">
        <v>122</v>
      </c>
      <c r="AB2575" s="2" t="s">
        <v>17307</v>
      </c>
      <c r="AC2575" s="2">
        <v>1.31078573252067</v>
      </c>
      <c r="AD2575" s="2"/>
      <c r="AE2575" s="2">
        <v>0.24651860707425199</v>
      </c>
      <c r="AF2575" s="2">
        <v>27435.821555539002</v>
      </c>
      <c r="AG2575" s="2">
        <v>33747.013510557197</v>
      </c>
      <c r="AH2575" s="4">
        <v>0.81298517117540303</v>
      </c>
      <c r="AI2575" s="4">
        <v>-0.29869905706038702</v>
      </c>
      <c r="AJ2575" s="4" t="s">
        <v>62</v>
      </c>
      <c r="AK2575" s="2">
        <v>0.53396507671934301</v>
      </c>
      <c r="AL2575" s="2">
        <v>0.76072395309761698</v>
      </c>
      <c r="AM2575" s="2">
        <v>50101.854840530403</v>
      </c>
      <c r="AN2575" s="2">
        <v>33140.6210794242</v>
      </c>
      <c r="AO2575" s="2">
        <v>12383.807752779199</v>
      </c>
      <c r="AP2575" s="2">
        <v>16594.743566130401</v>
      </c>
      <c r="AQ2575" s="2">
        <v>16272.7169484285</v>
      </c>
      <c r="AR2575" s="2">
        <v>36121.185145941097</v>
      </c>
      <c r="AS2575" s="2">
        <v>28631.311774479</v>
      </c>
      <c r="AT2575" s="2">
        <v>1854.2575380471901</v>
      </c>
      <c r="AU2575" s="2">
        <v>44251.275116992103</v>
      </c>
      <c r="AV2575" s="2">
        <v>50489.539699103603</v>
      </c>
      <c r="AW2575" s="2">
        <v>51031.091136871</v>
      </c>
      <c r="AX2575" s="2">
        <v>26224.605797850199</v>
      </c>
    </row>
    <row r="2576" spans="1:50" x14ac:dyDescent="0.25">
      <c r="A2576" s="2" t="s">
        <v>17308</v>
      </c>
      <c r="B2576" s="2">
        <v>217.06152921823801</v>
      </c>
      <c r="C2576" s="2">
        <v>4.7484500000000001</v>
      </c>
      <c r="D2576" s="2" t="s">
        <v>51</v>
      </c>
      <c r="E2576" s="2" t="s">
        <v>17309</v>
      </c>
      <c r="F2576" s="2">
        <v>61846</v>
      </c>
      <c r="G2576" s="3" t="str">
        <f>HYPERLINK("https://cloud.oebiotech.com/#/lm/network/61846", "https://cloud.oebiotech.com/#/lm/network/61846")</f>
        <v>https://cloud.oebiotech.com/#/lm/network/61846</v>
      </c>
      <c r="H2576" s="2" t="s">
        <v>17310</v>
      </c>
      <c r="I2576" s="2">
        <v>93150</v>
      </c>
      <c r="J2576" s="2"/>
      <c r="K2576" s="2">
        <v>11263766</v>
      </c>
      <c r="L2576" s="2"/>
      <c r="M2576" s="2"/>
      <c r="N2576" s="2"/>
      <c r="O2576" s="2"/>
      <c r="P2576" s="2"/>
      <c r="Q2576" s="2"/>
      <c r="R2576" s="2" t="s">
        <v>17311</v>
      </c>
      <c r="S2576" s="2" t="s">
        <v>17312</v>
      </c>
      <c r="T2576" s="2" t="s">
        <v>17313</v>
      </c>
      <c r="U2576" s="2" t="s">
        <v>266</v>
      </c>
      <c r="V2576" s="2" t="s">
        <v>445</v>
      </c>
      <c r="W2576" s="2" t="s">
        <v>12612</v>
      </c>
      <c r="X2576" s="2" t="s">
        <v>147</v>
      </c>
      <c r="Y2576" s="2">
        <v>41.4</v>
      </c>
      <c r="Z2576" s="2">
        <v>12.6</v>
      </c>
      <c r="AA2576" s="2" t="s">
        <v>218</v>
      </c>
      <c r="AB2576" s="2" t="s">
        <v>17314</v>
      </c>
      <c r="AC2576" s="2">
        <v>-1.9558893280596501</v>
      </c>
      <c r="AD2576" s="2"/>
      <c r="AE2576" s="2">
        <v>0.24609063522581001</v>
      </c>
      <c r="AF2576" s="2">
        <v>289.50273223701703</v>
      </c>
      <c r="AG2576" s="2">
        <v>3102.0523590347202</v>
      </c>
      <c r="AH2576" s="4">
        <v>9.3326191414480994E-2</v>
      </c>
      <c r="AI2576" s="4">
        <v>-3.42157416849345</v>
      </c>
      <c r="AJ2576" s="4" t="s">
        <v>62</v>
      </c>
      <c r="AK2576" s="2">
        <v>0.37320876437005501</v>
      </c>
      <c r="AL2576" s="2">
        <v>0.65472164164869395</v>
      </c>
      <c r="AM2576" s="2">
        <v>8.559877937157E-6</v>
      </c>
      <c r="AN2576" s="2">
        <v>17.5286715945407</v>
      </c>
      <c r="AO2576" s="2">
        <v>8.559877937157E-6</v>
      </c>
      <c r="AP2576" s="2">
        <v>14.086301427416601</v>
      </c>
      <c r="AQ2576" s="2">
        <v>8.559877937157E-6</v>
      </c>
      <c r="AR2576" s="2">
        <v>1705.4013947205101</v>
      </c>
      <c r="AS2576" s="2">
        <v>496.25151174911298</v>
      </c>
      <c r="AT2576" s="2">
        <v>8.559877937157E-6</v>
      </c>
      <c r="AU2576" s="2">
        <v>8.559877937157E-6</v>
      </c>
      <c r="AV2576" s="2">
        <v>8.559877937157E-6</v>
      </c>
      <c r="AW2576" s="2">
        <v>18116.062608219701</v>
      </c>
      <c r="AX2576" s="2">
        <v>8.559877937157E-6</v>
      </c>
    </row>
    <row r="2577" spans="1:50" x14ac:dyDescent="0.25">
      <c r="A2577" s="2" t="s">
        <v>17315</v>
      </c>
      <c r="B2577" s="2">
        <v>345.24352894421401</v>
      </c>
      <c r="C2577" s="2">
        <v>11.210366666666699</v>
      </c>
      <c r="D2577" s="2" t="s">
        <v>51</v>
      </c>
      <c r="E2577" s="2" t="s">
        <v>17316</v>
      </c>
      <c r="F2577" s="2">
        <v>82059</v>
      </c>
      <c r="G2577" s="3" t="str">
        <f>HYPERLINK("https://cloud.oebiotech.com/#/lm/network/82059", "https://cloud.oebiotech.com/#/lm/network/82059")</f>
        <v>https://cloud.oebiotech.com/#/lm/network/82059</v>
      </c>
      <c r="H2577" s="2" t="s">
        <v>17317</v>
      </c>
      <c r="I2577" s="2"/>
      <c r="J2577" s="2"/>
      <c r="K2577" s="2">
        <v>131769809</v>
      </c>
      <c r="L2577" s="2"/>
      <c r="M2577" s="2"/>
      <c r="N2577" s="2"/>
      <c r="O2577" s="2"/>
      <c r="P2577" s="2"/>
      <c r="Q2577" s="2"/>
      <c r="R2577" s="2"/>
      <c r="S2577" s="2" t="s">
        <v>17318</v>
      </c>
      <c r="T2577" s="2" t="s">
        <v>17319</v>
      </c>
      <c r="U2577" s="2" t="s">
        <v>56</v>
      </c>
      <c r="V2577" s="2" t="s">
        <v>145</v>
      </c>
      <c r="W2577" s="2" t="s">
        <v>231</v>
      </c>
      <c r="X2577" s="2" t="s">
        <v>83</v>
      </c>
      <c r="Y2577" s="2">
        <v>50.3</v>
      </c>
      <c r="Z2577" s="2">
        <v>0</v>
      </c>
      <c r="AA2577" s="2" t="s">
        <v>259</v>
      </c>
      <c r="AB2577" s="2" t="s">
        <v>2918</v>
      </c>
      <c r="AC2577" s="2">
        <v>3.2176473264427101</v>
      </c>
      <c r="AD2577" s="2"/>
      <c r="AE2577" s="2">
        <v>0.245985928708158</v>
      </c>
      <c r="AF2577" s="2">
        <v>5195.4120744875299</v>
      </c>
      <c r="AG2577" s="2">
        <v>3444.2564194944898</v>
      </c>
      <c r="AH2577" s="5">
        <v>1.50842778286817</v>
      </c>
      <c r="AI2577" s="5">
        <v>0.59304562801133398</v>
      </c>
      <c r="AJ2577" s="5" t="s">
        <v>139</v>
      </c>
      <c r="AK2577" s="2">
        <v>3.10879465212365E-2</v>
      </c>
      <c r="AL2577" s="2">
        <v>0.26142937464104898</v>
      </c>
      <c r="AM2577" s="2">
        <v>6093.1898180287399</v>
      </c>
      <c r="AN2577" s="2">
        <v>4937.21784362369</v>
      </c>
      <c r="AO2577" s="2">
        <v>3746.5128627997801</v>
      </c>
      <c r="AP2577" s="2">
        <v>3279.17237438966</v>
      </c>
      <c r="AQ2577" s="2">
        <v>7181.5544407014704</v>
      </c>
      <c r="AR2577" s="2">
        <v>5934.8251073818101</v>
      </c>
      <c r="AS2577" s="2">
        <v>4188.9840971562899</v>
      </c>
      <c r="AT2577" s="2">
        <v>1915.0979617302801</v>
      </c>
      <c r="AU2577" s="2">
        <v>3872.1432944459202</v>
      </c>
      <c r="AV2577" s="2">
        <v>3816.5434908134198</v>
      </c>
      <c r="AW2577" s="2">
        <v>3055.1689396680799</v>
      </c>
      <c r="AX2577" s="2">
        <v>3817.6007331529399</v>
      </c>
    </row>
    <row r="2578" spans="1:50" x14ac:dyDescent="0.25">
      <c r="A2578" s="2" t="s">
        <v>17320</v>
      </c>
      <c r="B2578" s="2">
        <v>297.24318924807</v>
      </c>
      <c r="C2578" s="2">
        <v>11.251533333333301</v>
      </c>
      <c r="D2578" s="2" t="s">
        <v>51</v>
      </c>
      <c r="E2578" s="2" t="s">
        <v>17321</v>
      </c>
      <c r="F2578" s="2">
        <v>200271</v>
      </c>
      <c r="G2578" s="3" t="str">
        <f>HYPERLINK("https://cloud.oebiotech.com/#/lm/network/200271", "https://cloud.oebiotech.com/#/lm/network/200271")</f>
        <v>https://cloud.oebiotech.com/#/lm/network/200271</v>
      </c>
      <c r="H2578" s="2" t="s">
        <v>17322</v>
      </c>
      <c r="I2578" s="2">
        <v>834289</v>
      </c>
      <c r="J2578" s="2"/>
      <c r="K2578" s="2">
        <v>54050040</v>
      </c>
      <c r="L2578" s="2"/>
      <c r="M2578" s="2"/>
      <c r="N2578" s="2"/>
      <c r="O2578" s="2"/>
      <c r="P2578" s="2"/>
      <c r="Q2578" s="2"/>
      <c r="R2578" s="2"/>
      <c r="S2578" s="2" t="s">
        <v>17323</v>
      </c>
      <c r="T2578" s="2" t="s">
        <v>17324</v>
      </c>
      <c r="U2578" s="2" t="s">
        <v>56</v>
      </c>
      <c r="V2578" s="2" t="s">
        <v>145</v>
      </c>
      <c r="W2578" s="2" t="s">
        <v>203</v>
      </c>
      <c r="X2578" s="2" t="s">
        <v>83</v>
      </c>
      <c r="Y2578" s="2">
        <v>47.5</v>
      </c>
      <c r="Z2578" s="2">
        <v>0</v>
      </c>
      <c r="AA2578" s="2" t="s">
        <v>3769</v>
      </c>
      <c r="AB2578" s="2" t="s">
        <v>1772</v>
      </c>
      <c r="AC2578" s="2">
        <v>2.5923026445120598</v>
      </c>
      <c r="AD2578" s="2"/>
      <c r="AE2578" s="2">
        <v>0.245716656762136</v>
      </c>
      <c r="AF2578" s="2">
        <v>16354.117061569699</v>
      </c>
      <c r="AG2578" s="2">
        <v>20070.181739830099</v>
      </c>
      <c r="AH2578" s="4">
        <v>0.814846485874828</v>
      </c>
      <c r="AI2578" s="4">
        <v>-0.29539980846173097</v>
      </c>
      <c r="AJ2578" s="4" t="s">
        <v>62</v>
      </c>
      <c r="AK2578" s="2">
        <v>0.29614042242817801</v>
      </c>
      <c r="AL2578" s="2">
        <v>0.60778876168892604</v>
      </c>
      <c r="AM2578" s="2">
        <v>13611.495156425</v>
      </c>
      <c r="AN2578" s="2">
        <v>18274.9272568327</v>
      </c>
      <c r="AO2578" s="2">
        <v>15942.2429250353</v>
      </c>
      <c r="AP2578" s="2">
        <v>13493.798652960801</v>
      </c>
      <c r="AQ2578" s="2">
        <v>23493.5153151513</v>
      </c>
      <c r="AR2578" s="2">
        <v>13308.7230630129</v>
      </c>
      <c r="AS2578" s="2">
        <v>14623.366833832801</v>
      </c>
      <c r="AT2578" s="2">
        <v>15677.332770781501</v>
      </c>
      <c r="AU2578" s="2">
        <v>30232.255405710399</v>
      </c>
      <c r="AV2578" s="2">
        <v>17261.000961571601</v>
      </c>
      <c r="AW2578" s="2">
        <v>28310.1754774162</v>
      </c>
      <c r="AX2578" s="2">
        <v>14316.958989667901</v>
      </c>
    </row>
    <row r="2579" spans="1:50" x14ac:dyDescent="0.25">
      <c r="A2579" s="2" t="s">
        <v>17325</v>
      </c>
      <c r="B2579" s="2">
        <v>528.30949564398202</v>
      </c>
      <c r="C2579" s="2">
        <v>10.40935</v>
      </c>
      <c r="D2579" s="2" t="s">
        <v>51</v>
      </c>
      <c r="E2579" s="2" t="s">
        <v>17326</v>
      </c>
      <c r="F2579" s="2">
        <v>21175</v>
      </c>
      <c r="G2579" s="3" t="str">
        <f>HYPERLINK("https://cloud.oebiotech.com/#/lm/network/21175", "https://cloud.oebiotech.com/#/lm/network/21175")</f>
        <v>https://cloud.oebiotech.com/#/lm/network/21175</v>
      </c>
      <c r="H2579" s="2" t="s">
        <v>17327</v>
      </c>
      <c r="I2579" s="2">
        <v>62307</v>
      </c>
      <c r="J2579" s="2" t="s">
        <v>17328</v>
      </c>
      <c r="K2579" s="2">
        <v>52925133</v>
      </c>
      <c r="L2579" s="2"/>
      <c r="M2579" s="2"/>
      <c r="N2579" s="2"/>
      <c r="O2579" s="2"/>
      <c r="P2579" s="2"/>
      <c r="Q2579" s="2"/>
      <c r="R2579" s="2"/>
      <c r="S2579" s="2" t="s">
        <v>17329</v>
      </c>
      <c r="T2579" s="2" t="s">
        <v>17330</v>
      </c>
      <c r="U2579" s="2" t="s">
        <v>56</v>
      </c>
      <c r="V2579" s="2" t="s">
        <v>57</v>
      </c>
      <c r="W2579" s="2" t="s">
        <v>155</v>
      </c>
      <c r="X2579" s="2" t="s">
        <v>147</v>
      </c>
      <c r="Y2579" s="2">
        <v>39.6</v>
      </c>
      <c r="Z2579" s="2">
        <v>4.4400000000000004</v>
      </c>
      <c r="AA2579" s="2" t="s">
        <v>163</v>
      </c>
      <c r="AB2579" s="2" t="s">
        <v>17331</v>
      </c>
      <c r="AC2579" s="2">
        <v>-0.127400250820319</v>
      </c>
      <c r="AD2579" s="2"/>
      <c r="AE2579" s="2">
        <v>0.245503462519126</v>
      </c>
      <c r="AF2579" s="2">
        <v>32576.612032647401</v>
      </c>
      <c r="AG2579" s="2">
        <v>35619.100749090299</v>
      </c>
      <c r="AH2579" s="4">
        <v>0.91458266344580097</v>
      </c>
      <c r="AI2579" s="4">
        <v>-0.12881452277705999</v>
      </c>
      <c r="AJ2579" s="4" t="s">
        <v>62</v>
      </c>
      <c r="AK2579" s="2">
        <v>0.60506693518680399</v>
      </c>
      <c r="AL2579" s="2">
        <v>0.80366240140314105</v>
      </c>
      <c r="AM2579" s="2">
        <v>37899.478395460799</v>
      </c>
      <c r="AN2579" s="2">
        <v>31434.631564200699</v>
      </c>
      <c r="AO2579" s="2">
        <v>25531.789488143899</v>
      </c>
      <c r="AP2579" s="2">
        <v>38525.738194342397</v>
      </c>
      <c r="AQ2579" s="2">
        <v>27232.1420997149</v>
      </c>
      <c r="AR2579" s="2">
        <v>34835.892454021501</v>
      </c>
      <c r="AS2579" s="2">
        <v>23574.648214006502</v>
      </c>
      <c r="AT2579" s="2">
        <v>18597.410896890899</v>
      </c>
      <c r="AU2579" s="2">
        <v>32552.7405511941</v>
      </c>
      <c r="AV2579" s="2">
        <v>49325.296654137201</v>
      </c>
      <c r="AW2579" s="2">
        <v>48297.918692389401</v>
      </c>
      <c r="AX2579" s="2">
        <v>41366.589485923898</v>
      </c>
    </row>
    <row r="2580" spans="1:50" x14ac:dyDescent="0.25">
      <c r="A2580" s="2" t="s">
        <v>17332</v>
      </c>
      <c r="B2580" s="2">
        <v>635.30506555535499</v>
      </c>
      <c r="C2580" s="2">
        <v>4.1558999999999999</v>
      </c>
      <c r="D2580" s="2" t="s">
        <v>51</v>
      </c>
      <c r="E2580" s="2" t="s">
        <v>17333</v>
      </c>
      <c r="F2580" s="2">
        <v>258198</v>
      </c>
      <c r="G2580" s="3" t="str">
        <f>HYPERLINK("https://cloud.oebiotech.com/#/lm/network/258198", "https://cloud.oebiotech.com/#/lm/network/258198")</f>
        <v>https://cloud.oebiotech.com/#/lm/network/258198</v>
      </c>
      <c r="H2580" s="2"/>
      <c r="I2580" s="2">
        <v>2949</v>
      </c>
      <c r="J2580" s="2"/>
      <c r="K2580" s="2">
        <v>5324346</v>
      </c>
      <c r="L2580" s="2" t="s">
        <v>17334</v>
      </c>
      <c r="M2580" s="2"/>
      <c r="N2580" s="2"/>
      <c r="O2580" s="2"/>
      <c r="P2580" s="2"/>
      <c r="Q2580" s="2"/>
      <c r="R2580" s="2" t="s">
        <v>17335</v>
      </c>
      <c r="S2580" s="2" t="s">
        <v>17336</v>
      </c>
      <c r="T2580" s="2" t="s">
        <v>17337</v>
      </c>
      <c r="U2580" s="2" t="s">
        <v>610</v>
      </c>
      <c r="V2580" s="2" t="s">
        <v>611</v>
      </c>
      <c r="W2580" s="2" t="s">
        <v>3746</v>
      </c>
      <c r="X2580" s="2" t="s">
        <v>147</v>
      </c>
      <c r="Y2580" s="2">
        <v>37.200000000000003</v>
      </c>
      <c r="Z2580" s="2">
        <v>0</v>
      </c>
      <c r="AA2580" s="2" t="s">
        <v>478</v>
      </c>
      <c r="AB2580" s="2" t="s">
        <v>17338</v>
      </c>
      <c r="AC2580" s="2">
        <v>2.0694643392368701</v>
      </c>
      <c r="AD2580" s="2"/>
      <c r="AE2580" s="2">
        <v>0.245278212553875</v>
      </c>
      <c r="AF2580" s="2">
        <v>5403.4398783022398</v>
      </c>
      <c r="AG2580" s="2">
        <v>2762.5537701142798</v>
      </c>
      <c r="AH2580" s="5">
        <v>1.9559582646888001</v>
      </c>
      <c r="AI2580" s="5">
        <v>0.96787558707497601</v>
      </c>
      <c r="AJ2580" s="5" t="s">
        <v>139</v>
      </c>
      <c r="AK2580" s="2">
        <v>0.28508715538412499</v>
      </c>
      <c r="AL2580" s="2">
        <v>0.60031658841593905</v>
      </c>
      <c r="AM2580" s="2">
        <v>6812.3344498221004</v>
      </c>
      <c r="AN2580" s="2">
        <v>11910.5512459657</v>
      </c>
      <c r="AO2580" s="2">
        <v>3166.2483426560698</v>
      </c>
      <c r="AP2580" s="2">
        <v>1794.41714411209</v>
      </c>
      <c r="AQ2580" s="2">
        <v>1074.4915647947601</v>
      </c>
      <c r="AR2580" s="2">
        <v>7662.5965224626898</v>
      </c>
      <c r="AS2580" s="2">
        <v>8.559877937157E-6</v>
      </c>
      <c r="AT2580" s="2">
        <v>8.559877937157E-6</v>
      </c>
      <c r="AU2580" s="2">
        <v>3527.3935344067399</v>
      </c>
      <c r="AV2580" s="2">
        <v>10365.795593061701</v>
      </c>
      <c r="AW2580" s="2">
        <v>1592.7508700982401</v>
      </c>
      <c r="AX2580" s="2">
        <v>1089.38260599926</v>
      </c>
    </row>
    <row r="2581" spans="1:50" x14ac:dyDescent="0.25">
      <c r="A2581" s="2" t="s">
        <v>17339</v>
      </c>
      <c r="B2581" s="2">
        <v>417.22393833894</v>
      </c>
      <c r="C2581" s="2">
        <v>13.510733333333301</v>
      </c>
      <c r="D2581" s="2" t="s">
        <v>51</v>
      </c>
      <c r="E2581" s="2" t="s">
        <v>17340</v>
      </c>
      <c r="F2581" s="2">
        <v>64861</v>
      </c>
      <c r="G2581" s="3" t="str">
        <f>HYPERLINK("https://cloud.oebiotech.com/#/lm/network/64861", "https://cloud.oebiotech.com/#/lm/network/64861")</f>
        <v>https://cloud.oebiotech.com/#/lm/network/64861</v>
      </c>
      <c r="H2581" s="2" t="s">
        <v>17341</v>
      </c>
      <c r="I2581" s="2">
        <v>73239</v>
      </c>
      <c r="J2581" s="2"/>
      <c r="K2581" s="2">
        <v>104856</v>
      </c>
      <c r="L2581" s="2" t="s">
        <v>17342</v>
      </c>
      <c r="M2581" s="2" t="s">
        <v>17343</v>
      </c>
      <c r="N2581" s="2" t="s">
        <v>17344</v>
      </c>
      <c r="O2581" s="2">
        <v>82569</v>
      </c>
      <c r="P2581" s="2"/>
      <c r="Q2581" s="2"/>
      <c r="R2581" s="2" t="s">
        <v>17345</v>
      </c>
      <c r="S2581" s="2" t="s">
        <v>17346</v>
      </c>
      <c r="T2581" s="2" t="s">
        <v>17347</v>
      </c>
      <c r="U2581" s="2" t="s">
        <v>266</v>
      </c>
      <c r="V2581" s="2" t="s">
        <v>2143</v>
      </c>
      <c r="W2581" s="2" t="s">
        <v>240</v>
      </c>
      <c r="X2581" s="2" t="s">
        <v>147</v>
      </c>
      <c r="Y2581" s="2">
        <v>38.700000000000003</v>
      </c>
      <c r="Z2581" s="2">
        <v>0</v>
      </c>
      <c r="AA2581" s="2" t="s">
        <v>478</v>
      </c>
      <c r="AB2581" s="2" t="s">
        <v>17348</v>
      </c>
      <c r="AC2581" s="2">
        <v>-3.9181479552921701</v>
      </c>
      <c r="AD2581" s="2"/>
      <c r="AE2581" s="2">
        <v>0.245150573431164</v>
      </c>
      <c r="AF2581" s="2">
        <v>5551.8340899657096</v>
      </c>
      <c r="AG2581" s="2">
        <v>7922.9644548998904</v>
      </c>
      <c r="AH2581" s="4">
        <v>0.70072687080303997</v>
      </c>
      <c r="AI2581" s="4">
        <v>-0.51307587450715397</v>
      </c>
      <c r="AJ2581" s="4" t="s">
        <v>62</v>
      </c>
      <c r="AK2581" s="2">
        <v>8.7122836242547505E-2</v>
      </c>
      <c r="AL2581" s="2">
        <v>0.38018166893268901</v>
      </c>
      <c r="AM2581" s="2">
        <v>6479.1265658167204</v>
      </c>
      <c r="AN2581" s="2">
        <v>6578.8922742197801</v>
      </c>
      <c r="AO2581" s="2">
        <v>6563.87684817016</v>
      </c>
      <c r="AP2581" s="2">
        <v>4117.1495038326702</v>
      </c>
      <c r="AQ2581" s="2">
        <v>6181.1565257439897</v>
      </c>
      <c r="AR2581" s="2">
        <v>3390.80282201096</v>
      </c>
      <c r="AS2581" s="2">
        <v>4501.3759572333101</v>
      </c>
      <c r="AT2581" s="2">
        <v>5520.6761869086504</v>
      </c>
      <c r="AU2581" s="2">
        <v>9303.8891170626994</v>
      </c>
      <c r="AV2581" s="2">
        <v>11834.817715650601</v>
      </c>
      <c r="AW2581" s="2">
        <v>9189.1264943186998</v>
      </c>
      <c r="AX2581" s="2">
        <v>7187.9012582254099</v>
      </c>
    </row>
    <row r="2582" spans="1:50" x14ac:dyDescent="0.25">
      <c r="A2582" s="2" t="s">
        <v>17349</v>
      </c>
      <c r="B2582" s="2">
        <v>336.15671532335301</v>
      </c>
      <c r="C2582" s="2">
        <v>5.1832166666666701</v>
      </c>
      <c r="D2582" s="2" t="s">
        <v>51</v>
      </c>
      <c r="E2582" s="2" t="s">
        <v>17350</v>
      </c>
      <c r="F2582" s="2">
        <v>202612</v>
      </c>
      <c r="G2582" s="3" t="str">
        <f>HYPERLINK("https://cloud.oebiotech.com/#/lm/network/202612", "https://cloud.oebiotech.com/#/lm/network/202612")</f>
        <v>https://cloud.oebiotech.com/#/lm/network/202612</v>
      </c>
      <c r="H2582" s="2" t="s">
        <v>17351</v>
      </c>
      <c r="I2582" s="2"/>
      <c r="J2582" s="2"/>
      <c r="K2582" s="2">
        <v>4001756</v>
      </c>
      <c r="L2582" s="2"/>
      <c r="M2582" s="2"/>
      <c r="N2582" s="2"/>
      <c r="O2582" s="2"/>
      <c r="P2582" s="2"/>
      <c r="Q2582" s="2"/>
      <c r="R2582" s="2"/>
      <c r="S2582" s="2" t="s">
        <v>17352</v>
      </c>
      <c r="T2582" s="2" t="s">
        <v>17353</v>
      </c>
      <c r="U2582" s="2" t="s">
        <v>103</v>
      </c>
      <c r="V2582" s="2" t="s">
        <v>104</v>
      </c>
      <c r="W2582" s="2" t="s">
        <v>105</v>
      </c>
      <c r="X2582" s="2" t="s">
        <v>147</v>
      </c>
      <c r="Y2582" s="2">
        <v>39.9</v>
      </c>
      <c r="Z2582" s="2">
        <v>10.199999999999999</v>
      </c>
      <c r="AA2582" s="2" t="s">
        <v>163</v>
      </c>
      <c r="AB2582" s="2" t="s">
        <v>17354</v>
      </c>
      <c r="AC2582" s="2">
        <v>0.65518766317634503</v>
      </c>
      <c r="AD2582" s="2"/>
      <c r="AE2582" s="2">
        <v>0.245093331917978</v>
      </c>
      <c r="AF2582" s="2">
        <v>1791.3116928593299</v>
      </c>
      <c r="AG2582" s="2">
        <v>439.24408169913801</v>
      </c>
      <c r="AH2582" s="5">
        <v>4.0781692172833699</v>
      </c>
      <c r="AI2582" s="5">
        <v>2.0279216389814398</v>
      </c>
      <c r="AJ2582" s="5" t="s">
        <v>139</v>
      </c>
      <c r="AK2582" s="2">
        <v>4.63674348696008E-2</v>
      </c>
      <c r="AL2582" s="2">
        <v>0.303077969035141</v>
      </c>
      <c r="AM2582" s="2">
        <v>3075.1312490496698</v>
      </c>
      <c r="AN2582" s="2">
        <v>3982.3878332419099</v>
      </c>
      <c r="AO2582" s="2">
        <v>1012.7247649327099</v>
      </c>
      <c r="AP2582" s="2">
        <v>812.93803172904904</v>
      </c>
      <c r="AQ2582" s="2">
        <v>551.853683230039</v>
      </c>
      <c r="AR2582" s="2">
        <v>1312.8345949725799</v>
      </c>
      <c r="AS2582" s="2">
        <v>1006.02578471357</v>
      </c>
      <c r="AT2582" s="2">
        <v>365.741090555504</v>
      </c>
      <c r="AU2582" s="2">
        <v>466.54684307602099</v>
      </c>
      <c r="AV2582" s="2">
        <v>8.559877937157E-6</v>
      </c>
      <c r="AW2582" s="2">
        <v>8.559877937157E-6</v>
      </c>
      <c r="AX2582" s="2">
        <v>797.15075472997501</v>
      </c>
    </row>
    <row r="2583" spans="1:50" x14ac:dyDescent="0.25">
      <c r="A2583" s="2" t="s">
        <v>17355</v>
      </c>
      <c r="B2583" s="2">
        <v>455.19176758686399</v>
      </c>
      <c r="C2583" s="2">
        <v>12.708216666666701</v>
      </c>
      <c r="D2583" s="2" t="s">
        <v>51</v>
      </c>
      <c r="E2583" s="2" t="s">
        <v>17356</v>
      </c>
      <c r="F2583" s="2">
        <v>63853</v>
      </c>
      <c r="G2583" s="3" t="str">
        <f>HYPERLINK("https://cloud.oebiotech.com/#/lm/network/63853", "https://cloud.oebiotech.com/#/lm/network/63853")</f>
        <v>https://cloud.oebiotech.com/#/lm/network/63853</v>
      </c>
      <c r="H2583" s="2" t="s">
        <v>17357</v>
      </c>
      <c r="I2583" s="2"/>
      <c r="J2583" s="2"/>
      <c r="K2583" s="2">
        <v>73816202</v>
      </c>
      <c r="L2583" s="2"/>
      <c r="M2583" s="2"/>
      <c r="N2583" s="2"/>
      <c r="O2583" s="2"/>
      <c r="P2583" s="2"/>
      <c r="Q2583" s="2"/>
      <c r="R2583" s="2" t="s">
        <v>17358</v>
      </c>
      <c r="S2583" s="2" t="s">
        <v>17359</v>
      </c>
      <c r="T2583" s="2" t="s">
        <v>17360</v>
      </c>
      <c r="U2583" s="2" t="s">
        <v>56</v>
      </c>
      <c r="V2583" s="2" t="s">
        <v>177</v>
      </c>
      <c r="W2583" s="2" t="s">
        <v>806</v>
      </c>
      <c r="X2583" s="2" t="s">
        <v>147</v>
      </c>
      <c r="Y2583" s="2">
        <v>38.700000000000003</v>
      </c>
      <c r="Z2583" s="2">
        <v>0.129</v>
      </c>
      <c r="AA2583" s="2" t="s">
        <v>218</v>
      </c>
      <c r="AB2583" s="2" t="s">
        <v>17361</v>
      </c>
      <c r="AC2583" s="2">
        <v>-1.22674059844191</v>
      </c>
      <c r="AD2583" s="2"/>
      <c r="AE2583" s="2">
        <v>0.245047726443092</v>
      </c>
      <c r="AF2583" s="2">
        <v>7150.3417398383599</v>
      </c>
      <c r="AG2583" s="2">
        <v>10669.2939875432</v>
      </c>
      <c r="AH2583" s="4">
        <v>0.67017946531294803</v>
      </c>
      <c r="AI2583" s="4">
        <v>-0.57738061267956498</v>
      </c>
      <c r="AJ2583" s="4" t="s">
        <v>62</v>
      </c>
      <c r="AK2583" s="2">
        <v>0.27149083626707798</v>
      </c>
      <c r="AL2583" s="2">
        <v>0.59187658046137204</v>
      </c>
      <c r="AM2583" s="2">
        <v>4179.7158756241397</v>
      </c>
      <c r="AN2583" s="2">
        <v>4223.3220092265801</v>
      </c>
      <c r="AO2583" s="2">
        <v>12016.489543407301</v>
      </c>
      <c r="AP2583" s="2">
        <v>3695.3891946336498</v>
      </c>
      <c r="AQ2583" s="2">
        <v>15322.9490406854</v>
      </c>
      <c r="AR2583" s="2">
        <v>3464.18477545307</v>
      </c>
      <c r="AS2583" s="2">
        <v>8567.2648931019594</v>
      </c>
      <c r="AT2583" s="2">
        <v>6238.2801180998604</v>
      </c>
      <c r="AU2583" s="2">
        <v>21004.539654706201</v>
      </c>
      <c r="AV2583" s="2">
        <v>10687.0794720785</v>
      </c>
      <c r="AW2583" s="2">
        <v>9918.6185579932808</v>
      </c>
      <c r="AX2583" s="2">
        <v>7599.9812292794604</v>
      </c>
    </row>
    <row r="2584" spans="1:50" x14ac:dyDescent="0.25">
      <c r="A2584" s="2" t="s">
        <v>17362</v>
      </c>
      <c r="B2584" s="2">
        <v>123.04454505189101</v>
      </c>
      <c r="C2584" s="2">
        <v>0.74455000000000005</v>
      </c>
      <c r="D2584" s="2" t="s">
        <v>51</v>
      </c>
      <c r="E2584" s="2" t="s">
        <v>17363</v>
      </c>
      <c r="F2584" s="2">
        <v>82200</v>
      </c>
      <c r="G2584" s="3" t="str">
        <f>HYPERLINK("https://cloud.oebiotech.com/#/lm/network/82200", "https://cloud.oebiotech.com/#/lm/network/82200")</f>
        <v>https://cloud.oebiotech.com/#/lm/network/82200</v>
      </c>
      <c r="H2584" s="2" t="s">
        <v>17364</v>
      </c>
      <c r="I2584" s="2">
        <v>436042</v>
      </c>
      <c r="J2584" s="2"/>
      <c r="K2584" s="2">
        <v>440932</v>
      </c>
      <c r="L2584" s="2" t="s">
        <v>17365</v>
      </c>
      <c r="M2584" s="2" t="s">
        <v>7772</v>
      </c>
      <c r="N2584" s="2" t="s">
        <v>7773</v>
      </c>
      <c r="O2584" s="2">
        <v>27435</v>
      </c>
      <c r="P2584" s="2"/>
      <c r="Q2584" s="2"/>
      <c r="R2584" s="2"/>
      <c r="S2584" s="2" t="s">
        <v>17366</v>
      </c>
      <c r="T2584" s="2" t="s">
        <v>17367</v>
      </c>
      <c r="U2584" s="2" t="s">
        <v>266</v>
      </c>
      <c r="V2584" s="2" t="s">
        <v>17368</v>
      </c>
      <c r="W2584" s="2" t="s">
        <v>240</v>
      </c>
      <c r="X2584" s="2" t="s">
        <v>147</v>
      </c>
      <c r="Y2584" s="2">
        <v>41.8</v>
      </c>
      <c r="Z2584" s="2">
        <v>11.2</v>
      </c>
      <c r="AA2584" s="2" t="s">
        <v>4122</v>
      </c>
      <c r="AB2584" s="2" t="s">
        <v>17369</v>
      </c>
      <c r="AC2584" s="2">
        <v>0.74506902733210001</v>
      </c>
      <c r="AD2584" s="2"/>
      <c r="AE2584" s="2">
        <v>0.24493313445519399</v>
      </c>
      <c r="AF2584" s="2">
        <v>45833.023453601098</v>
      </c>
      <c r="AG2584" s="2">
        <v>50231.260775728697</v>
      </c>
      <c r="AH2584" s="4">
        <v>0.91244023633480398</v>
      </c>
      <c r="AI2584" s="4">
        <v>-0.13219802758763599</v>
      </c>
      <c r="AJ2584" s="4" t="s">
        <v>62</v>
      </c>
      <c r="AK2584" s="2">
        <v>0.50172617397438601</v>
      </c>
      <c r="AL2584" s="2">
        <v>0.738960132693111</v>
      </c>
      <c r="AM2584" s="2">
        <v>41651.938290546197</v>
      </c>
      <c r="AN2584" s="2">
        <v>63334.488932443302</v>
      </c>
      <c r="AO2584" s="2">
        <v>37387.180171664302</v>
      </c>
      <c r="AP2584" s="2">
        <v>47135.999439247396</v>
      </c>
      <c r="AQ2584" s="2">
        <v>37843.646339325198</v>
      </c>
      <c r="AR2584" s="2">
        <v>47644.887548380102</v>
      </c>
      <c r="AS2584" s="2">
        <v>46377.438840784598</v>
      </c>
      <c r="AT2584" s="2">
        <v>42476.9973445656</v>
      </c>
      <c r="AU2584" s="2">
        <v>49709.4680199547</v>
      </c>
      <c r="AV2584" s="2">
        <v>35771.7145168106</v>
      </c>
      <c r="AW2584" s="2">
        <v>56704.731426782499</v>
      </c>
      <c r="AX2584" s="2">
        <v>70347.2145054742</v>
      </c>
    </row>
    <row r="2585" spans="1:50" x14ac:dyDescent="0.25">
      <c r="A2585" s="2" t="s">
        <v>17370</v>
      </c>
      <c r="B2585" s="2">
        <v>310.15518643646101</v>
      </c>
      <c r="C2585" s="2">
        <v>11.087300000000001</v>
      </c>
      <c r="D2585" s="2" t="s">
        <v>51</v>
      </c>
      <c r="E2585" s="2" t="s">
        <v>17371</v>
      </c>
      <c r="F2585" s="2">
        <v>59108</v>
      </c>
      <c r="G2585" s="3" t="str">
        <f>HYPERLINK("https://cloud.oebiotech.com/#/lm/network/59108", "https://cloud.oebiotech.com/#/lm/network/59108")</f>
        <v>https://cloud.oebiotech.com/#/lm/network/59108</v>
      </c>
      <c r="H2585" s="2" t="s">
        <v>17372</v>
      </c>
      <c r="I2585" s="2">
        <v>90533</v>
      </c>
      <c r="J2585" s="2"/>
      <c r="K2585" s="2">
        <v>51340308</v>
      </c>
      <c r="L2585" s="2"/>
      <c r="M2585" s="2"/>
      <c r="N2585" s="2"/>
      <c r="O2585" s="2"/>
      <c r="P2585" s="2"/>
      <c r="Q2585" s="2"/>
      <c r="R2585" s="2" t="s">
        <v>17373</v>
      </c>
      <c r="S2585" s="2" t="s">
        <v>17374</v>
      </c>
      <c r="T2585" s="2" t="s">
        <v>17375</v>
      </c>
      <c r="U2585" s="2" t="s">
        <v>266</v>
      </c>
      <c r="V2585" s="2" t="s">
        <v>3926</v>
      </c>
      <c r="W2585" s="2" t="s">
        <v>4115</v>
      </c>
      <c r="X2585" s="2" t="s">
        <v>147</v>
      </c>
      <c r="Y2585" s="2">
        <v>41</v>
      </c>
      <c r="Z2585" s="2">
        <v>15.9</v>
      </c>
      <c r="AA2585" s="2" t="s">
        <v>156</v>
      </c>
      <c r="AB2585" s="2" t="s">
        <v>17376</v>
      </c>
      <c r="AC2585" s="2">
        <v>0.55978991085283403</v>
      </c>
      <c r="AD2585" s="2"/>
      <c r="AE2585" s="2">
        <v>0.244786160725941</v>
      </c>
      <c r="AF2585" s="2">
        <v>95507.109936335197</v>
      </c>
      <c r="AG2585" s="2">
        <v>90682.615433077794</v>
      </c>
      <c r="AH2585" s="5">
        <v>1.05320197791183</v>
      </c>
      <c r="AI2585" s="5">
        <v>7.4782135878408706E-2</v>
      </c>
      <c r="AJ2585" s="5" t="s">
        <v>139</v>
      </c>
      <c r="AK2585" s="2">
        <v>0.68596901573373203</v>
      </c>
      <c r="AL2585" s="2">
        <v>0.84845792633565997</v>
      </c>
      <c r="AM2585" s="2">
        <v>117217.040932637</v>
      </c>
      <c r="AN2585" s="2">
        <v>109920.17109774701</v>
      </c>
      <c r="AO2585" s="2">
        <v>94281.418017280303</v>
      </c>
      <c r="AP2585" s="2">
        <v>88619.416612234403</v>
      </c>
      <c r="AQ2585" s="2">
        <v>87250.372478152698</v>
      </c>
      <c r="AR2585" s="2">
        <v>75754.240479959903</v>
      </c>
      <c r="AS2585" s="2">
        <v>75348.427994643804</v>
      </c>
      <c r="AT2585" s="2">
        <v>52648.580161075603</v>
      </c>
      <c r="AU2585" s="2">
        <v>111518.29162653</v>
      </c>
      <c r="AV2585" s="2">
        <v>108635.97276082799</v>
      </c>
      <c r="AW2585" s="2">
        <v>110177.057848408</v>
      </c>
      <c r="AX2585" s="2">
        <v>85767.362206981197</v>
      </c>
    </row>
    <row r="2586" spans="1:50" x14ac:dyDescent="0.25">
      <c r="A2586" s="2" t="s">
        <v>17377</v>
      </c>
      <c r="B2586" s="2">
        <v>189.12394396676299</v>
      </c>
      <c r="C2586" s="2">
        <v>1.57118333333333</v>
      </c>
      <c r="D2586" s="2" t="s">
        <v>51</v>
      </c>
      <c r="E2586" s="2" t="s">
        <v>17378</v>
      </c>
      <c r="F2586" s="2">
        <v>266163</v>
      </c>
      <c r="G2586" s="3" t="str">
        <f>HYPERLINK("https://cloud.oebiotech.com/#/lm/network/266163", "https://cloud.oebiotech.com/#/lm/network/266163")</f>
        <v>https://cloud.oebiotech.com/#/lm/network/266163</v>
      </c>
      <c r="H2586" s="2"/>
      <c r="I2586" s="2">
        <v>23807</v>
      </c>
      <c r="J2586" s="2"/>
      <c r="K2586" s="2">
        <v>6992868</v>
      </c>
      <c r="L2586" s="2"/>
      <c r="M2586" s="2"/>
      <c r="N2586" s="2"/>
      <c r="O2586" s="2"/>
      <c r="P2586" s="2"/>
      <c r="Q2586" s="2"/>
      <c r="R2586" s="2"/>
      <c r="S2586" s="2" t="s">
        <v>17379</v>
      </c>
      <c r="T2586" s="2" t="s">
        <v>17380</v>
      </c>
      <c r="U2586" s="2" t="s">
        <v>103</v>
      </c>
      <c r="V2586" s="2" t="s">
        <v>104</v>
      </c>
      <c r="W2586" s="2" t="s">
        <v>105</v>
      </c>
      <c r="X2586" s="2" t="s">
        <v>69</v>
      </c>
      <c r="Y2586" s="2">
        <v>54.8</v>
      </c>
      <c r="Z2586" s="2">
        <v>53.1</v>
      </c>
      <c r="AA2586" s="2" t="s">
        <v>259</v>
      </c>
      <c r="AB2586" s="2" t="s">
        <v>14061</v>
      </c>
      <c r="AC2586" s="2">
        <v>3.0574383938233201</v>
      </c>
      <c r="AD2586" s="2"/>
      <c r="AE2586" s="2">
        <v>0.244498272780177</v>
      </c>
      <c r="AF2586" s="2">
        <v>26016.947673660099</v>
      </c>
      <c r="AG2586" s="2">
        <v>31513.907179725698</v>
      </c>
      <c r="AH2586" s="4">
        <v>0.82557035931101297</v>
      </c>
      <c r="AI2586" s="4">
        <v>-0.27653692068949198</v>
      </c>
      <c r="AJ2586" s="4" t="s">
        <v>62</v>
      </c>
      <c r="AK2586" s="2">
        <v>0.69584535258466995</v>
      </c>
      <c r="AL2586" s="2">
        <v>0.85378616196188595</v>
      </c>
      <c r="AM2586" s="2">
        <v>26533.997864430599</v>
      </c>
      <c r="AN2586" s="2">
        <v>15244.3526198366</v>
      </c>
      <c r="AO2586" s="2">
        <v>31098.9990176602</v>
      </c>
      <c r="AP2586" s="2">
        <v>27503.927219229001</v>
      </c>
      <c r="AQ2586" s="2">
        <v>27321.387720660699</v>
      </c>
      <c r="AR2586" s="2">
        <v>28399.021600143202</v>
      </c>
      <c r="AS2586" s="2">
        <v>2736.97578291941</v>
      </c>
      <c r="AT2586" s="2">
        <v>18364.968607261701</v>
      </c>
      <c r="AU2586" s="2">
        <v>19785.5843258768</v>
      </c>
      <c r="AV2586" s="2">
        <v>36564.749257813703</v>
      </c>
      <c r="AW2586" s="2">
        <v>16440.226873723601</v>
      </c>
      <c r="AX2586" s="2">
        <v>95190.938230758999</v>
      </c>
    </row>
    <row r="2587" spans="1:50" x14ac:dyDescent="0.25">
      <c r="A2587" s="2" t="s">
        <v>17381</v>
      </c>
      <c r="B2587" s="2">
        <v>271.27519187461598</v>
      </c>
      <c r="C2587" s="2">
        <v>13.4256833333333</v>
      </c>
      <c r="D2587" s="2" t="s">
        <v>51</v>
      </c>
      <c r="E2587" s="2" t="s">
        <v>17382</v>
      </c>
      <c r="F2587" s="2">
        <v>8573</v>
      </c>
      <c r="G2587" s="3" t="str">
        <f>HYPERLINK("https://cloud.oebiotech.com/#/lm/network/8573", "https://cloud.oebiotech.com/#/lm/network/8573")</f>
        <v>https://cloud.oebiotech.com/#/lm/network/8573</v>
      </c>
      <c r="H2587" s="2"/>
      <c r="I2587" s="2">
        <v>97431</v>
      </c>
      <c r="J2587" s="2" t="s">
        <v>17383</v>
      </c>
      <c r="K2587" s="2">
        <v>56936054</v>
      </c>
      <c r="L2587" s="2"/>
      <c r="M2587" s="2"/>
      <c r="N2587" s="2"/>
      <c r="O2587" s="2">
        <v>146162</v>
      </c>
      <c r="P2587" s="2"/>
      <c r="Q2587" s="2"/>
      <c r="R2587" s="2"/>
      <c r="S2587" s="2" t="s">
        <v>17384</v>
      </c>
      <c r="T2587" s="2" t="s">
        <v>17385</v>
      </c>
      <c r="U2587" s="2" t="s">
        <v>56</v>
      </c>
      <c r="V2587" s="2" t="s">
        <v>145</v>
      </c>
      <c r="W2587" s="2" t="s">
        <v>1617</v>
      </c>
      <c r="X2587" s="2" t="s">
        <v>147</v>
      </c>
      <c r="Y2587" s="2">
        <v>39.200000000000003</v>
      </c>
      <c r="Z2587" s="2">
        <v>5.41</v>
      </c>
      <c r="AA2587" s="2" t="s">
        <v>512</v>
      </c>
      <c r="AB2587" s="2" t="s">
        <v>9878</v>
      </c>
      <c r="AC2587" s="2">
        <v>3.16586755117229</v>
      </c>
      <c r="AD2587" s="2"/>
      <c r="AE2587" s="2">
        <v>0.244412617337945</v>
      </c>
      <c r="AF2587" s="2">
        <v>12837.9817998953</v>
      </c>
      <c r="AG2587" s="2">
        <v>14851.8774137193</v>
      </c>
      <c r="AH2587" s="4">
        <v>0.86440127684034596</v>
      </c>
      <c r="AI2587" s="4">
        <v>-0.210226891628079</v>
      </c>
      <c r="AJ2587" s="4" t="s">
        <v>62</v>
      </c>
      <c r="AK2587" s="2">
        <v>0.13263226459063601</v>
      </c>
      <c r="AL2587" s="2">
        <v>0.45326287063707099</v>
      </c>
      <c r="AM2587" s="2">
        <v>11348.040019914301</v>
      </c>
      <c r="AN2587" s="2">
        <v>15172.3719232977</v>
      </c>
      <c r="AO2587" s="2">
        <v>13845.3820246621</v>
      </c>
      <c r="AP2587" s="2">
        <v>11890.581335696699</v>
      </c>
      <c r="AQ2587" s="2">
        <v>14369.763716039701</v>
      </c>
      <c r="AR2587" s="2">
        <v>10401.7517797611</v>
      </c>
      <c r="AS2587" s="2">
        <v>13203.516434627199</v>
      </c>
      <c r="AT2587" s="2">
        <v>14490.593196489601</v>
      </c>
      <c r="AU2587" s="2">
        <v>11388.6518135386</v>
      </c>
      <c r="AV2587" s="2">
        <v>16382.3408416905</v>
      </c>
      <c r="AW2587" s="2">
        <v>15688.3173001503</v>
      </c>
      <c r="AX2587" s="2">
        <v>17957.8448958197</v>
      </c>
    </row>
    <row r="2588" spans="1:50" x14ac:dyDescent="0.25">
      <c r="A2588" s="2" t="s">
        <v>17386</v>
      </c>
      <c r="B2588" s="2">
        <v>279.19654527337201</v>
      </c>
      <c r="C2588" s="2">
        <v>9.97441666666667</v>
      </c>
      <c r="D2588" s="2" t="s">
        <v>51</v>
      </c>
      <c r="E2588" s="2" t="s">
        <v>17387</v>
      </c>
      <c r="F2588" s="2">
        <v>3935</v>
      </c>
      <c r="G2588" s="3" t="str">
        <f>HYPERLINK("https://cloud.oebiotech.com/#/lm/network/3935", "https://cloud.oebiotech.com/#/lm/network/3935")</f>
        <v>https://cloud.oebiotech.com/#/lm/network/3935</v>
      </c>
      <c r="H2588" s="2" t="s">
        <v>17388</v>
      </c>
      <c r="I2588" s="2">
        <v>3831</v>
      </c>
      <c r="J2588" s="2" t="s">
        <v>17389</v>
      </c>
      <c r="K2588" s="2">
        <v>5283141</v>
      </c>
      <c r="L2588" s="2" t="s">
        <v>17390</v>
      </c>
      <c r="M2588" s="2"/>
      <c r="N2588" s="2"/>
      <c r="O2588" s="2">
        <v>63977</v>
      </c>
      <c r="P2588" s="2" t="s">
        <v>307</v>
      </c>
      <c r="Q2588" s="2" t="s">
        <v>308</v>
      </c>
      <c r="R2588" s="2" t="s">
        <v>17391</v>
      </c>
      <c r="S2588" s="2" t="s">
        <v>17392</v>
      </c>
      <c r="T2588" s="2" t="s">
        <v>17393</v>
      </c>
      <c r="U2588" s="2" t="s">
        <v>56</v>
      </c>
      <c r="V2588" s="2" t="s">
        <v>145</v>
      </c>
      <c r="W2588" s="2" t="s">
        <v>231</v>
      </c>
      <c r="X2588" s="2" t="s">
        <v>83</v>
      </c>
      <c r="Y2588" s="2">
        <v>52.2</v>
      </c>
      <c r="Z2588" s="2">
        <v>39.9</v>
      </c>
      <c r="AA2588" s="2" t="s">
        <v>163</v>
      </c>
      <c r="AB2588" s="2" t="s">
        <v>10077</v>
      </c>
      <c r="AC2588" s="2">
        <v>-8.2266066816939001E-2</v>
      </c>
      <c r="AD2588" s="2"/>
      <c r="AE2588" s="2">
        <v>0.24413007192587299</v>
      </c>
      <c r="AF2588" s="2">
        <v>2110.4740300170101</v>
      </c>
      <c r="AG2588" s="2">
        <v>4547.90384931066</v>
      </c>
      <c r="AH2588" s="4">
        <v>0.46405423244312899</v>
      </c>
      <c r="AI2588" s="4">
        <v>-1.1076346768088501</v>
      </c>
      <c r="AJ2588" s="4" t="s">
        <v>62</v>
      </c>
      <c r="AK2588" s="2">
        <v>0.250374962886032</v>
      </c>
      <c r="AL2588" s="2">
        <v>0.57332209668232303</v>
      </c>
      <c r="AM2588" s="2">
        <v>5.0611650577813903</v>
      </c>
      <c r="AN2588" s="2">
        <v>5411.4995868606502</v>
      </c>
      <c r="AO2588" s="2">
        <v>8.559877937157E-6</v>
      </c>
      <c r="AP2588" s="2">
        <v>1710.8935504236299</v>
      </c>
      <c r="AQ2588" s="2">
        <v>8.559877937157E-6</v>
      </c>
      <c r="AR2588" s="2">
        <v>5535.3898606402399</v>
      </c>
      <c r="AS2588" s="2">
        <v>11671.793879395</v>
      </c>
      <c r="AT2588" s="2">
        <v>1929.57317619285</v>
      </c>
      <c r="AU2588" s="2">
        <v>6437.25369362725</v>
      </c>
      <c r="AV2588" s="2">
        <v>3702.6937852922301</v>
      </c>
      <c r="AW2588" s="2">
        <v>3546.1085527967498</v>
      </c>
      <c r="AX2588" s="2">
        <v>8.559877937157E-6</v>
      </c>
    </row>
    <row r="2589" spans="1:50" x14ac:dyDescent="0.25">
      <c r="A2589" s="2" t="s">
        <v>17394</v>
      </c>
      <c r="B2589" s="2">
        <v>377.07100130193197</v>
      </c>
      <c r="C2589" s="2">
        <v>0.76721666666666699</v>
      </c>
      <c r="D2589" s="2" t="s">
        <v>51</v>
      </c>
      <c r="E2589" s="2" t="s">
        <v>17395</v>
      </c>
      <c r="F2589" s="2">
        <v>60591</v>
      </c>
      <c r="G2589" s="3" t="str">
        <f>HYPERLINK("https://cloud.oebiotech.com/#/lm/network/60591", "https://cloud.oebiotech.com/#/lm/network/60591")</f>
        <v>https://cloud.oebiotech.com/#/lm/network/60591</v>
      </c>
      <c r="H2589" s="2" t="s">
        <v>17396</v>
      </c>
      <c r="I2589" s="2">
        <v>91923</v>
      </c>
      <c r="J2589" s="2"/>
      <c r="K2589" s="2">
        <v>75060827</v>
      </c>
      <c r="L2589" s="2"/>
      <c r="M2589" s="2"/>
      <c r="N2589" s="2"/>
      <c r="O2589" s="2"/>
      <c r="P2589" s="2"/>
      <c r="Q2589" s="2"/>
      <c r="R2589" s="2"/>
      <c r="S2589" s="2" t="s">
        <v>17397</v>
      </c>
      <c r="T2589" s="2" t="s">
        <v>17398</v>
      </c>
      <c r="U2589" s="2" t="s">
        <v>331</v>
      </c>
      <c r="V2589" s="2" t="s">
        <v>332</v>
      </c>
      <c r="W2589" s="2" t="s">
        <v>333</v>
      </c>
      <c r="X2589" s="2" t="s">
        <v>147</v>
      </c>
      <c r="Y2589" s="2">
        <v>38.4</v>
      </c>
      <c r="Z2589" s="2">
        <v>0</v>
      </c>
      <c r="AA2589" s="2" t="s">
        <v>259</v>
      </c>
      <c r="AB2589" s="2" t="s">
        <v>17399</v>
      </c>
      <c r="AC2589" s="2">
        <v>-1.19947055982802</v>
      </c>
      <c r="AD2589" s="2"/>
      <c r="AE2589" s="2">
        <v>0.24390000303682599</v>
      </c>
      <c r="AF2589" s="2">
        <v>3179.4083539873</v>
      </c>
      <c r="AG2589" s="2">
        <v>5261.1400992811195</v>
      </c>
      <c r="AH2589" s="4">
        <v>0.60431927186689705</v>
      </c>
      <c r="AI2589" s="4">
        <v>-0.72661714427213797</v>
      </c>
      <c r="AJ2589" s="4" t="s">
        <v>62</v>
      </c>
      <c r="AK2589" s="2">
        <v>0.18014865027619401</v>
      </c>
      <c r="AL2589" s="2">
        <v>0.50334362212059203</v>
      </c>
      <c r="AM2589" s="2">
        <v>757.04257633546695</v>
      </c>
      <c r="AN2589" s="2">
        <v>3949.3522793307602</v>
      </c>
      <c r="AO2589" s="2">
        <v>3975.0193149074398</v>
      </c>
      <c r="AP2589" s="2">
        <v>2263.6890257178202</v>
      </c>
      <c r="AQ2589" s="2">
        <v>3076.2692452216702</v>
      </c>
      <c r="AR2589" s="2">
        <v>5055.0776824106697</v>
      </c>
      <c r="AS2589" s="2">
        <v>9426.7348226042996</v>
      </c>
      <c r="AT2589" s="2">
        <v>4794.6553205310702</v>
      </c>
      <c r="AU2589" s="2">
        <v>3731.1753137887699</v>
      </c>
      <c r="AV2589" s="2">
        <v>581.89654018720205</v>
      </c>
      <c r="AW2589" s="2">
        <v>4756.7929342792904</v>
      </c>
      <c r="AX2589" s="2">
        <v>8275.5856642961098</v>
      </c>
    </row>
    <row r="2590" spans="1:50" x14ac:dyDescent="0.25">
      <c r="A2590" s="2" t="s">
        <v>17400</v>
      </c>
      <c r="B2590" s="2">
        <v>271.206759053513</v>
      </c>
      <c r="C2590" s="2">
        <v>9.5630833333333296</v>
      </c>
      <c r="D2590" s="2" t="s">
        <v>51</v>
      </c>
      <c r="E2590" s="2" t="s">
        <v>17401</v>
      </c>
      <c r="F2590" s="2">
        <v>44910</v>
      </c>
      <c r="G2590" s="3" t="str">
        <f>HYPERLINK("https://cloud.oebiotech.com/#/lm/network/44910", "https://cloud.oebiotech.com/#/lm/network/44910")</f>
        <v>https://cloud.oebiotech.com/#/lm/network/44910</v>
      </c>
      <c r="H2590" s="2" t="s">
        <v>17402</v>
      </c>
      <c r="I2590" s="2">
        <v>2789</v>
      </c>
      <c r="J2590" s="2" t="s">
        <v>17403</v>
      </c>
      <c r="K2590" s="2">
        <v>10635</v>
      </c>
      <c r="L2590" s="2" t="s">
        <v>17404</v>
      </c>
      <c r="M2590" s="2" t="s">
        <v>17405</v>
      </c>
      <c r="N2590" s="2" t="s">
        <v>17406</v>
      </c>
      <c r="O2590" s="2">
        <v>16330</v>
      </c>
      <c r="P2590" s="2" t="s">
        <v>17407</v>
      </c>
      <c r="Q2590" s="2" t="s">
        <v>17408</v>
      </c>
      <c r="R2590" s="2" t="s">
        <v>17409</v>
      </c>
      <c r="S2590" s="2" t="s">
        <v>17410</v>
      </c>
      <c r="T2590" s="2" t="s">
        <v>17411</v>
      </c>
      <c r="U2590" s="2" t="s">
        <v>56</v>
      </c>
      <c r="V2590" s="2" t="s">
        <v>283</v>
      </c>
      <c r="W2590" s="2" t="s">
        <v>284</v>
      </c>
      <c r="X2590" s="2" t="s">
        <v>83</v>
      </c>
      <c r="Y2590" s="2">
        <v>47.3</v>
      </c>
      <c r="Z2590" s="2">
        <v>0</v>
      </c>
      <c r="AA2590" s="2" t="s">
        <v>379</v>
      </c>
      <c r="AB2590" s="2" t="s">
        <v>15605</v>
      </c>
      <c r="AC2590" s="2">
        <v>6.8816683971942003E-2</v>
      </c>
      <c r="AD2590" s="2"/>
      <c r="AE2590" s="2">
        <v>0.24367328017366699</v>
      </c>
      <c r="AF2590" s="2">
        <v>1807.9389334134801</v>
      </c>
      <c r="AG2590" s="2">
        <v>383.55418379234999</v>
      </c>
      <c r="AH2590" s="5">
        <v>4.7136467539936104</v>
      </c>
      <c r="AI2590" s="5">
        <v>2.2368436454448601</v>
      </c>
      <c r="AJ2590" s="5" t="s">
        <v>139</v>
      </c>
      <c r="AK2590" s="2">
        <v>1.76106786289724E-2</v>
      </c>
      <c r="AL2590" s="2">
        <v>0.20969085735451701</v>
      </c>
      <c r="AM2590" s="2">
        <v>1694.1239225107099</v>
      </c>
      <c r="AN2590" s="2">
        <v>3746.23487565502</v>
      </c>
      <c r="AO2590" s="2">
        <v>1772.7652173235299</v>
      </c>
      <c r="AP2590" s="2">
        <v>755.41334244530503</v>
      </c>
      <c r="AQ2590" s="2">
        <v>1014.06411439076</v>
      </c>
      <c r="AR2590" s="2">
        <v>1865.03212815553</v>
      </c>
      <c r="AS2590" s="2">
        <v>1636.15905165508</v>
      </c>
      <c r="AT2590" s="2">
        <v>8.559877937157E-6</v>
      </c>
      <c r="AU2590" s="2">
        <v>453.69512229781202</v>
      </c>
      <c r="AV2590" s="2">
        <v>8.559877937157E-6</v>
      </c>
      <c r="AW2590" s="2">
        <v>8.559877937157E-6</v>
      </c>
      <c r="AX2590" s="2">
        <v>211.47090312157201</v>
      </c>
    </row>
    <row r="2591" spans="1:50" x14ac:dyDescent="0.25">
      <c r="A2591" s="2" t="s">
        <v>17412</v>
      </c>
      <c r="B2591" s="2">
        <v>326.09894171556198</v>
      </c>
      <c r="C2591" s="2">
        <v>7.2403166666666703</v>
      </c>
      <c r="D2591" s="2" t="s">
        <v>51</v>
      </c>
      <c r="E2591" s="2" t="s">
        <v>17413</v>
      </c>
      <c r="F2591" s="2">
        <v>255077</v>
      </c>
      <c r="G2591" s="3" t="str">
        <f>HYPERLINK("https://cloud.oebiotech.com/#/lm/network/255077", "https://cloud.oebiotech.com/#/lm/network/255077")</f>
        <v>https://cloud.oebiotech.com/#/lm/network/255077</v>
      </c>
      <c r="H2591" s="2" t="s">
        <v>17414</v>
      </c>
      <c r="I2591" s="2"/>
      <c r="J2591" s="2"/>
      <c r="K2591" s="2"/>
      <c r="L2591" s="2" t="s">
        <v>17415</v>
      </c>
      <c r="M2591" s="2"/>
      <c r="N2591" s="2"/>
      <c r="O2591" s="2">
        <v>71498</v>
      </c>
      <c r="P2591" s="2"/>
      <c r="Q2591" s="2"/>
      <c r="R2591" s="2"/>
      <c r="S2591" s="2" t="s">
        <v>17416</v>
      </c>
      <c r="T2591" s="2" t="s">
        <v>17417</v>
      </c>
      <c r="U2591" s="2" t="s">
        <v>540</v>
      </c>
      <c r="V2591" s="2" t="s">
        <v>3291</v>
      </c>
      <c r="W2591" s="2" t="s">
        <v>3292</v>
      </c>
      <c r="X2591" s="2" t="s">
        <v>147</v>
      </c>
      <c r="Y2591" s="2">
        <v>43.4</v>
      </c>
      <c r="Z2591" s="2">
        <v>26.2</v>
      </c>
      <c r="AA2591" s="2" t="s">
        <v>122</v>
      </c>
      <c r="AB2591" s="2" t="s">
        <v>17418</v>
      </c>
      <c r="AC2591" s="2">
        <v>-3.75933010814021</v>
      </c>
      <c r="AD2591" s="2"/>
      <c r="AE2591" s="2">
        <v>0.24354886038118401</v>
      </c>
      <c r="AF2591" s="2">
        <v>5328.1245720555098</v>
      </c>
      <c r="AG2591" s="2">
        <v>8638.3069709571791</v>
      </c>
      <c r="AH2591" s="4">
        <v>0.61680194857269799</v>
      </c>
      <c r="AI2591" s="4">
        <v>-0.69712077193057598</v>
      </c>
      <c r="AJ2591" s="4" t="s">
        <v>62</v>
      </c>
      <c r="AK2591" s="2">
        <v>0.30984139149360201</v>
      </c>
      <c r="AL2591" s="2">
        <v>0.61936981188468598</v>
      </c>
      <c r="AM2591" s="2">
        <v>9856.8647783743399</v>
      </c>
      <c r="AN2591" s="2">
        <v>4984.4166705112702</v>
      </c>
      <c r="AO2591" s="2">
        <v>3017.8075464751601</v>
      </c>
      <c r="AP2591" s="2">
        <v>9497.8726092643701</v>
      </c>
      <c r="AQ2591" s="2">
        <v>392.105615885124</v>
      </c>
      <c r="AR2591" s="2">
        <v>4219.6802118227997</v>
      </c>
      <c r="AS2591" s="2">
        <v>19472.161455843499</v>
      </c>
      <c r="AT2591" s="2">
        <v>5553.0355992553596</v>
      </c>
      <c r="AU2591" s="2">
        <v>10252.978957867799</v>
      </c>
      <c r="AV2591" s="2">
        <v>3722.6357865333898</v>
      </c>
      <c r="AW2591" s="2">
        <v>11644.8742226169</v>
      </c>
      <c r="AX2591" s="2">
        <v>1184.1558036261399</v>
      </c>
    </row>
    <row r="2592" spans="1:50" x14ac:dyDescent="0.25">
      <c r="A2592" s="2" t="s">
        <v>17419</v>
      </c>
      <c r="B2592" s="2">
        <v>433.27866369915398</v>
      </c>
      <c r="C2592" s="2">
        <v>6.2703499999999996</v>
      </c>
      <c r="D2592" s="2" t="s">
        <v>51</v>
      </c>
      <c r="E2592" s="2" t="s">
        <v>17420</v>
      </c>
      <c r="F2592" s="2">
        <v>205522</v>
      </c>
      <c r="G2592" s="3" t="str">
        <f>HYPERLINK("https://cloud.oebiotech.com/#/lm/network/205522", "https://cloud.oebiotech.com/#/lm/network/205522")</f>
        <v>https://cloud.oebiotech.com/#/lm/network/205522</v>
      </c>
      <c r="H2592" s="2" t="s">
        <v>17421</v>
      </c>
      <c r="I2592" s="2"/>
      <c r="J2592" s="2"/>
      <c r="K2592" s="2">
        <v>107800</v>
      </c>
      <c r="L2592" s="2"/>
      <c r="M2592" s="2"/>
      <c r="N2592" s="2"/>
      <c r="O2592" s="2"/>
      <c r="P2592" s="2"/>
      <c r="Q2592" s="2"/>
      <c r="R2592" s="2"/>
      <c r="S2592" s="2" t="s">
        <v>17422</v>
      </c>
      <c r="T2592" s="2" t="s">
        <v>17423</v>
      </c>
      <c r="U2592" s="2" t="s">
        <v>331</v>
      </c>
      <c r="V2592" s="2" t="s">
        <v>332</v>
      </c>
      <c r="W2592" s="2" t="s">
        <v>333</v>
      </c>
      <c r="X2592" s="2" t="s">
        <v>147</v>
      </c>
      <c r="Y2592" s="2">
        <v>38</v>
      </c>
      <c r="Z2592" s="2">
        <v>0</v>
      </c>
      <c r="AA2592" s="2" t="s">
        <v>259</v>
      </c>
      <c r="AB2592" s="2" t="s">
        <v>17424</v>
      </c>
      <c r="AC2592" s="2">
        <v>4.0585003897846699</v>
      </c>
      <c r="AD2592" s="2"/>
      <c r="AE2592" s="2">
        <v>0.24353730314087399</v>
      </c>
      <c r="AF2592" s="2">
        <v>5730.6759247628397</v>
      </c>
      <c r="AG2592" s="2">
        <v>4097.3417501721897</v>
      </c>
      <c r="AH2592" s="5">
        <v>1.3986326438408601</v>
      </c>
      <c r="AI2592" s="5">
        <v>0.48401708294301399</v>
      </c>
      <c r="AJ2592" s="5" t="s">
        <v>139</v>
      </c>
      <c r="AK2592" s="2">
        <v>2.03914301241374E-2</v>
      </c>
      <c r="AL2592" s="2">
        <v>0.222944773880246</v>
      </c>
      <c r="AM2592" s="2">
        <v>5347.4783185057304</v>
      </c>
      <c r="AN2592" s="2">
        <v>5267.26107728029</v>
      </c>
      <c r="AO2592" s="2">
        <v>4498.1011920844503</v>
      </c>
      <c r="AP2592" s="2">
        <v>5849.29547119565</v>
      </c>
      <c r="AQ2592" s="2">
        <v>6044.6066525405304</v>
      </c>
      <c r="AR2592" s="2">
        <v>7377.3128369704</v>
      </c>
      <c r="AS2592" s="2">
        <v>4951.1423316200398</v>
      </c>
      <c r="AT2592" s="2">
        <v>5546.6478722738902</v>
      </c>
      <c r="AU2592" s="2">
        <v>4373.71935919323</v>
      </c>
      <c r="AV2592" s="2">
        <v>2759.8390555716601</v>
      </c>
      <c r="AW2592" s="2">
        <v>3919.6413928470902</v>
      </c>
      <c r="AX2592" s="2">
        <v>3033.0604895271999</v>
      </c>
    </row>
    <row r="2593" spans="1:50" x14ac:dyDescent="0.25">
      <c r="A2593" s="2" t="s">
        <v>17425</v>
      </c>
      <c r="B2593" s="2">
        <v>537.38130273671902</v>
      </c>
      <c r="C2593" s="2">
        <v>9.6638500000000001</v>
      </c>
      <c r="D2593" s="2" t="s">
        <v>51</v>
      </c>
      <c r="E2593" s="2" t="s">
        <v>17426</v>
      </c>
      <c r="F2593" s="2">
        <v>8925</v>
      </c>
      <c r="G2593" s="3" t="str">
        <f>HYPERLINK("https://cloud.oebiotech.com/#/lm/network/8925", "https://cloud.oebiotech.com/#/lm/network/8925")</f>
        <v>https://cloud.oebiotech.com/#/lm/network/8925</v>
      </c>
      <c r="H2593" s="2"/>
      <c r="I2593" s="2">
        <v>452457</v>
      </c>
      <c r="J2593" s="2" t="s">
        <v>17427</v>
      </c>
      <c r="K2593" s="2">
        <v>179356</v>
      </c>
      <c r="L2593" s="2"/>
      <c r="M2593" s="2"/>
      <c r="N2593" s="2"/>
      <c r="O2593" s="2"/>
      <c r="P2593" s="2"/>
      <c r="Q2593" s="2"/>
      <c r="R2593" s="2"/>
      <c r="S2593" s="2" t="s">
        <v>17428</v>
      </c>
      <c r="T2593" s="2" t="s">
        <v>17429</v>
      </c>
      <c r="U2593" s="2" t="s">
        <v>266</v>
      </c>
      <c r="V2593" s="2" t="s">
        <v>445</v>
      </c>
      <c r="W2593" s="2" t="s">
        <v>3500</v>
      </c>
      <c r="X2593" s="2" t="s">
        <v>147</v>
      </c>
      <c r="Y2593" s="2">
        <v>38.5</v>
      </c>
      <c r="Z2593" s="2">
        <v>0</v>
      </c>
      <c r="AA2593" s="2" t="s">
        <v>395</v>
      </c>
      <c r="AB2593" s="2" t="s">
        <v>17430</v>
      </c>
      <c r="AC2593" s="2">
        <v>-0.77108646314818796</v>
      </c>
      <c r="AD2593" s="2"/>
      <c r="AE2593" s="2">
        <v>0.24340850462593</v>
      </c>
      <c r="AF2593" s="2">
        <v>29464.565481556001</v>
      </c>
      <c r="AG2593" s="2">
        <v>31636.010179269098</v>
      </c>
      <c r="AH2593" s="4">
        <v>0.93136161338271395</v>
      </c>
      <c r="AI2593" s="4">
        <v>-0.102586673029361</v>
      </c>
      <c r="AJ2593" s="4" t="s">
        <v>62</v>
      </c>
      <c r="AK2593" s="2">
        <v>0.46615674816472902</v>
      </c>
      <c r="AL2593" s="2">
        <v>0.71329029553543499</v>
      </c>
      <c r="AM2593" s="2">
        <v>22398.342035496</v>
      </c>
      <c r="AN2593" s="2">
        <v>34186.0090657041</v>
      </c>
      <c r="AO2593" s="2">
        <v>27307.711473869898</v>
      </c>
      <c r="AP2593" s="2">
        <v>30248.690791549601</v>
      </c>
      <c r="AQ2593" s="2">
        <v>31605.5312748664</v>
      </c>
      <c r="AR2593" s="2">
        <v>31041.108247850301</v>
      </c>
      <c r="AS2593" s="2">
        <v>27954.5124662655</v>
      </c>
      <c r="AT2593" s="2">
        <v>30564.462612123301</v>
      </c>
      <c r="AU2593" s="2">
        <v>25357.203447408599</v>
      </c>
      <c r="AV2593" s="2">
        <v>39233.431480948602</v>
      </c>
      <c r="AW2593" s="2">
        <v>28655.354034522799</v>
      </c>
      <c r="AX2593" s="2">
        <v>38051.097034345999</v>
      </c>
    </row>
    <row r="2594" spans="1:50" x14ac:dyDescent="0.25">
      <c r="A2594" s="2" t="s">
        <v>17431</v>
      </c>
      <c r="B2594" s="2">
        <v>463.03992719778302</v>
      </c>
      <c r="C2594" s="2">
        <v>9.7876499999999993</v>
      </c>
      <c r="D2594" s="2" t="s">
        <v>51</v>
      </c>
      <c r="E2594" s="2" t="s">
        <v>17432</v>
      </c>
      <c r="F2594" s="2">
        <v>205175</v>
      </c>
      <c r="G2594" s="3" t="str">
        <f>HYPERLINK("https://cloud.oebiotech.com/#/lm/network/205175", "https://cloud.oebiotech.com/#/lm/network/205175")</f>
        <v>https://cloud.oebiotech.com/#/lm/network/205175</v>
      </c>
      <c r="H2594" s="2" t="s">
        <v>17433</v>
      </c>
      <c r="I2594" s="2">
        <v>69622</v>
      </c>
      <c r="J2594" s="2"/>
      <c r="K2594" s="2">
        <v>3721046</v>
      </c>
      <c r="L2594" s="2" t="s">
        <v>17434</v>
      </c>
      <c r="M2594" s="2"/>
      <c r="N2594" s="2"/>
      <c r="O2594" s="2"/>
      <c r="P2594" s="2"/>
      <c r="Q2594" s="2"/>
      <c r="R2594" s="2" t="s">
        <v>17435</v>
      </c>
      <c r="S2594" s="2" t="s">
        <v>17436</v>
      </c>
      <c r="T2594" s="2" t="s">
        <v>17437</v>
      </c>
      <c r="U2594" s="2" t="s">
        <v>266</v>
      </c>
      <c r="V2594" s="2" t="s">
        <v>6667</v>
      </c>
      <c r="W2594" s="2" t="s">
        <v>6668</v>
      </c>
      <c r="X2594" s="2" t="s">
        <v>147</v>
      </c>
      <c r="Y2594" s="2">
        <v>38.299999999999997</v>
      </c>
      <c r="Z2594" s="2">
        <v>0</v>
      </c>
      <c r="AA2594" s="2" t="s">
        <v>478</v>
      </c>
      <c r="AB2594" s="2" t="s">
        <v>17438</v>
      </c>
      <c r="AC2594" s="2">
        <v>1.496355061337</v>
      </c>
      <c r="AD2594" s="2"/>
      <c r="AE2594" s="2">
        <v>0.24334467750788599</v>
      </c>
      <c r="AF2594" s="2">
        <v>4629.1611844396502</v>
      </c>
      <c r="AG2594" s="2">
        <v>5825.6788804288299</v>
      </c>
      <c r="AH2594" s="4">
        <v>0.79461317375235996</v>
      </c>
      <c r="AI2594" s="4">
        <v>-0.33167538307517802</v>
      </c>
      <c r="AJ2594" s="4" t="s">
        <v>62</v>
      </c>
      <c r="AK2594" s="2">
        <v>2.2485093277788901E-2</v>
      </c>
      <c r="AL2594" s="2">
        <v>0.233126521303229</v>
      </c>
      <c r="AM2594" s="2">
        <v>2851.5909165428998</v>
      </c>
      <c r="AN2594" s="2">
        <v>4877.4401403554702</v>
      </c>
      <c r="AO2594" s="2">
        <v>5134.0111547824099</v>
      </c>
      <c r="AP2594" s="2">
        <v>4538.50822296965</v>
      </c>
      <c r="AQ2594" s="2">
        <v>5000.5846759720298</v>
      </c>
      <c r="AR2594" s="2">
        <v>5372.8319960154404</v>
      </c>
      <c r="AS2594" s="2">
        <v>6462.2969380594204</v>
      </c>
      <c r="AT2594" s="2">
        <v>5426.9891303157801</v>
      </c>
      <c r="AU2594" s="2">
        <v>5112.57729604832</v>
      </c>
      <c r="AV2594" s="2">
        <v>5713.6676764310296</v>
      </c>
      <c r="AW2594" s="2">
        <v>5630.42464477874</v>
      </c>
      <c r="AX2594" s="2">
        <v>6608.1175969397</v>
      </c>
    </row>
    <row r="2595" spans="1:50" x14ac:dyDescent="0.25">
      <c r="A2595" s="2" t="s">
        <v>17439</v>
      </c>
      <c r="B2595" s="2">
        <v>379.20403865176002</v>
      </c>
      <c r="C2595" s="2">
        <v>11.068</v>
      </c>
      <c r="D2595" s="2" t="s">
        <v>51</v>
      </c>
      <c r="E2595" s="2" t="s">
        <v>17440</v>
      </c>
      <c r="F2595" s="2">
        <v>517001</v>
      </c>
      <c r="G2595" s="3" t="str">
        <f>HYPERLINK("https://cloud.oebiotech.com/#/lm/network/517001", "https://cloud.oebiotech.com/#/lm/network/517001")</f>
        <v>https://cloud.oebiotech.com/#/lm/network/517001</v>
      </c>
      <c r="H2595" s="2"/>
      <c r="I2595" s="2">
        <v>96640</v>
      </c>
      <c r="J2595" s="2"/>
      <c r="K2595" s="2">
        <v>53394756</v>
      </c>
      <c r="L2595" s="2"/>
      <c r="M2595" s="2"/>
      <c r="N2595" s="2"/>
      <c r="O2595" s="2"/>
      <c r="P2595" s="2"/>
      <c r="Q2595" s="2"/>
      <c r="R2595" s="2" t="s">
        <v>17441</v>
      </c>
      <c r="S2595" s="2" t="s">
        <v>17442</v>
      </c>
      <c r="T2595" s="2" t="s">
        <v>17443</v>
      </c>
      <c r="U2595" s="2" t="s">
        <v>266</v>
      </c>
      <c r="V2595" s="2" t="s">
        <v>445</v>
      </c>
      <c r="W2595" s="2" t="s">
        <v>5296</v>
      </c>
      <c r="X2595" s="2" t="s">
        <v>147</v>
      </c>
      <c r="Y2595" s="2">
        <v>36.5</v>
      </c>
      <c r="Z2595" s="2">
        <v>0</v>
      </c>
      <c r="AA2595" s="2" t="s">
        <v>218</v>
      </c>
      <c r="AB2595" s="2" t="s">
        <v>17444</v>
      </c>
      <c r="AC2595" s="2">
        <v>-1.24395093629378</v>
      </c>
      <c r="AD2595" s="2"/>
      <c r="AE2595" s="2">
        <v>0.24330391428024001</v>
      </c>
      <c r="AF2595" s="2">
        <v>4016.9224949321101</v>
      </c>
      <c r="AG2595" s="2">
        <v>2144.3553088886001</v>
      </c>
      <c r="AH2595" s="5">
        <v>1.87325415628721</v>
      </c>
      <c r="AI2595" s="5">
        <v>0.905546652458598</v>
      </c>
      <c r="AJ2595" s="5" t="s">
        <v>139</v>
      </c>
      <c r="AK2595" s="2">
        <v>0.23342905933112201</v>
      </c>
      <c r="AL2595" s="2">
        <v>0.558806538655512</v>
      </c>
      <c r="AM2595" s="2">
        <v>11012.6256257037</v>
      </c>
      <c r="AN2595" s="2">
        <v>2184.3314761769502</v>
      </c>
      <c r="AO2595" s="2">
        <v>1335.15860554818</v>
      </c>
      <c r="AP2595" s="2">
        <v>3306.3989289625501</v>
      </c>
      <c r="AQ2595" s="2">
        <v>2938.1877990770699</v>
      </c>
      <c r="AR2595" s="2">
        <v>3324.8325341242198</v>
      </c>
      <c r="AS2595" s="2">
        <v>1793.3676884142201</v>
      </c>
      <c r="AT2595" s="2">
        <v>994.40711119247101</v>
      </c>
      <c r="AU2595" s="2">
        <v>2499.0513896622301</v>
      </c>
      <c r="AV2595" s="2">
        <v>2825.8224504016898</v>
      </c>
      <c r="AW2595" s="2">
        <v>3275.9179387685399</v>
      </c>
      <c r="AX2595" s="2">
        <v>1477.5652748924399</v>
      </c>
    </row>
    <row r="2596" spans="1:50" x14ac:dyDescent="0.25">
      <c r="A2596" s="2" t="s">
        <v>17445</v>
      </c>
      <c r="B2596" s="2">
        <v>212.20141793651899</v>
      </c>
      <c r="C2596" s="2">
        <v>12.6645</v>
      </c>
      <c r="D2596" s="2" t="s">
        <v>51</v>
      </c>
      <c r="E2596" s="2" t="s">
        <v>17446</v>
      </c>
      <c r="F2596" s="2">
        <v>2457</v>
      </c>
      <c r="G2596" s="3" t="str">
        <f>HYPERLINK("https://cloud.oebiotech.com/#/lm/network/2457", "https://cloud.oebiotech.com/#/lm/network/2457")</f>
        <v>https://cloud.oebiotech.com/#/lm/network/2457</v>
      </c>
      <c r="H2596" s="2"/>
      <c r="I2596" s="2">
        <v>74859</v>
      </c>
      <c r="J2596" s="2" t="s">
        <v>17447</v>
      </c>
      <c r="K2596" s="2">
        <v>5182019</v>
      </c>
      <c r="L2596" s="2"/>
      <c r="M2596" s="2"/>
      <c r="N2596" s="2"/>
      <c r="O2596" s="2"/>
      <c r="P2596" s="2"/>
      <c r="Q2596" s="2"/>
      <c r="R2596" s="2"/>
      <c r="S2596" s="2" t="s">
        <v>17448</v>
      </c>
      <c r="T2596" s="2" t="s">
        <v>17449</v>
      </c>
      <c r="U2596" s="2" t="s">
        <v>56</v>
      </c>
      <c r="V2596" s="2" t="s">
        <v>145</v>
      </c>
      <c r="W2596" s="2" t="s">
        <v>231</v>
      </c>
      <c r="X2596" s="2" t="s">
        <v>59</v>
      </c>
      <c r="Y2596" s="2">
        <v>53.4</v>
      </c>
      <c r="Z2596" s="2">
        <v>80.2</v>
      </c>
      <c r="AA2596" s="2" t="s">
        <v>156</v>
      </c>
      <c r="AB2596" s="2" t="s">
        <v>17450</v>
      </c>
      <c r="AC2596" s="2">
        <v>2.2995946720415601</v>
      </c>
      <c r="AD2596" s="2"/>
      <c r="AE2596" s="2">
        <v>0.24327650098697101</v>
      </c>
      <c r="AF2596" s="2">
        <v>31092.036025327601</v>
      </c>
      <c r="AG2596" s="2">
        <v>40506.786270558499</v>
      </c>
      <c r="AH2596" s="4">
        <v>0.76757597647104003</v>
      </c>
      <c r="AI2596" s="4">
        <v>-0.38161853599667001</v>
      </c>
      <c r="AJ2596" s="4" t="s">
        <v>62</v>
      </c>
      <c r="AK2596" s="2">
        <v>0.77590000300916495</v>
      </c>
      <c r="AL2596" s="2">
        <v>0.90059009146928903</v>
      </c>
      <c r="AM2596" s="2">
        <v>8.559877937157E-6</v>
      </c>
      <c r="AN2596" s="2">
        <v>8.559877937157E-6</v>
      </c>
      <c r="AO2596" s="2">
        <v>85669.937476631094</v>
      </c>
      <c r="AP2596" s="2">
        <v>772.40631291790999</v>
      </c>
      <c r="AQ2596" s="2">
        <v>97932.542742814607</v>
      </c>
      <c r="AR2596" s="2">
        <v>2177.3296024825299</v>
      </c>
      <c r="AS2596" s="2">
        <v>142178.619161685</v>
      </c>
      <c r="AT2596" s="2">
        <v>8.559877937157E-6</v>
      </c>
      <c r="AU2596" s="2">
        <v>97841.605365320007</v>
      </c>
      <c r="AV2596" s="2">
        <v>2635.2009068756902</v>
      </c>
      <c r="AW2596" s="2">
        <v>385.29217235036901</v>
      </c>
      <c r="AX2596" s="2">
        <v>8.559877937157E-6</v>
      </c>
    </row>
    <row r="2597" spans="1:50" x14ac:dyDescent="0.25">
      <c r="A2597" s="2" t="s">
        <v>17451</v>
      </c>
      <c r="B2597" s="2">
        <v>364.343115593189</v>
      </c>
      <c r="C2597" s="2">
        <v>11.920066666666701</v>
      </c>
      <c r="D2597" s="2" t="s">
        <v>51</v>
      </c>
      <c r="E2597" s="2" t="s">
        <v>17452</v>
      </c>
      <c r="F2597" s="2">
        <v>10465</v>
      </c>
      <c r="G2597" s="3" t="str">
        <f>HYPERLINK("https://cloud.oebiotech.com/#/lm/network/10465", "https://cloud.oebiotech.com/#/lm/network/10465")</f>
        <v>https://cloud.oebiotech.com/#/lm/network/10465</v>
      </c>
      <c r="H2597" s="2"/>
      <c r="I2597" s="2"/>
      <c r="J2597" s="2" t="s">
        <v>17453</v>
      </c>
      <c r="K2597" s="2">
        <v>137323840</v>
      </c>
      <c r="L2597" s="2"/>
      <c r="M2597" s="2"/>
      <c r="N2597" s="2"/>
      <c r="O2597" s="2"/>
      <c r="P2597" s="2"/>
      <c r="Q2597" s="2"/>
      <c r="R2597" s="2"/>
      <c r="S2597" s="2" t="s">
        <v>17454</v>
      </c>
      <c r="T2597" s="2" t="s">
        <v>17455</v>
      </c>
      <c r="U2597" s="2" t="s">
        <v>56</v>
      </c>
      <c r="V2597" s="2" t="s">
        <v>3215</v>
      </c>
      <c r="W2597" s="2" t="s">
        <v>4174</v>
      </c>
      <c r="X2597" s="2" t="s">
        <v>83</v>
      </c>
      <c r="Y2597" s="2">
        <v>43.7</v>
      </c>
      <c r="Z2597" s="2">
        <v>0</v>
      </c>
      <c r="AA2597" s="2" t="s">
        <v>512</v>
      </c>
      <c r="AB2597" s="2" t="s">
        <v>17456</v>
      </c>
      <c r="AC2597" s="2">
        <v>2.8305356268135098</v>
      </c>
      <c r="AD2597" s="2"/>
      <c r="AE2597" s="2">
        <v>0.24325386833927601</v>
      </c>
      <c r="AF2597" s="2">
        <v>1357.5982706064499</v>
      </c>
      <c r="AG2597" s="2">
        <v>3249.9041918070898</v>
      </c>
      <c r="AH2597" s="4">
        <v>0.41773485939336702</v>
      </c>
      <c r="AI2597" s="4">
        <v>-1.25934055546733</v>
      </c>
      <c r="AJ2597" s="4" t="s">
        <v>62</v>
      </c>
      <c r="AK2597" s="2">
        <v>1.8967358827105499E-2</v>
      </c>
      <c r="AL2597" s="2">
        <v>0.21655617183947201</v>
      </c>
      <c r="AM2597" s="2">
        <v>1194.28608417851</v>
      </c>
      <c r="AN2597" s="2">
        <v>1724.1328903846399</v>
      </c>
      <c r="AO2597" s="2">
        <v>1097.2240966899501</v>
      </c>
      <c r="AP2597" s="2">
        <v>1137.3704243316799</v>
      </c>
      <c r="AQ2597" s="2">
        <v>677.91350163176105</v>
      </c>
      <c r="AR2597" s="2">
        <v>2314.66262642214</v>
      </c>
      <c r="AS2597" s="2">
        <v>4271.01849414957</v>
      </c>
      <c r="AT2597" s="2">
        <v>3569.9734448686199</v>
      </c>
      <c r="AU2597" s="2">
        <v>5204.1477614048999</v>
      </c>
      <c r="AV2597" s="2">
        <v>1021.68516517633</v>
      </c>
      <c r="AW2597" s="2">
        <v>1821.70005805489</v>
      </c>
      <c r="AX2597" s="2">
        <v>3610.90022718821</v>
      </c>
    </row>
    <row r="2598" spans="1:50" x14ac:dyDescent="0.25">
      <c r="A2598" s="2" t="s">
        <v>17457</v>
      </c>
      <c r="B2598" s="2">
        <v>231.045145667893</v>
      </c>
      <c r="C2598" s="2">
        <v>3.3347333333333302</v>
      </c>
      <c r="D2598" s="2" t="s">
        <v>51</v>
      </c>
      <c r="E2598" s="2" t="s">
        <v>17458</v>
      </c>
      <c r="F2598" s="2">
        <v>208443</v>
      </c>
      <c r="G2598" s="3" t="str">
        <f>HYPERLINK("https://cloud.oebiotech.com/#/lm/network/208443", "https://cloud.oebiotech.com/#/lm/network/208443")</f>
        <v>https://cloud.oebiotech.com/#/lm/network/208443</v>
      </c>
      <c r="H2598" s="2" t="s">
        <v>17459</v>
      </c>
      <c r="I2598" s="2">
        <v>43232</v>
      </c>
      <c r="J2598" s="2"/>
      <c r="K2598" s="2">
        <v>3998</v>
      </c>
      <c r="L2598" s="2" t="s">
        <v>17460</v>
      </c>
      <c r="M2598" s="2"/>
      <c r="N2598" s="2"/>
      <c r="O2598" s="2"/>
      <c r="P2598" s="2"/>
      <c r="Q2598" s="2"/>
      <c r="R2598" s="2" t="s">
        <v>17461</v>
      </c>
      <c r="S2598" s="2" t="s">
        <v>17462</v>
      </c>
      <c r="T2598" s="2" t="s">
        <v>17463</v>
      </c>
      <c r="U2598" s="2" t="s">
        <v>610</v>
      </c>
      <c r="V2598" s="2" t="s">
        <v>611</v>
      </c>
      <c r="W2598" s="2" t="s">
        <v>5656</v>
      </c>
      <c r="X2598" s="2" t="s">
        <v>147</v>
      </c>
      <c r="Y2598" s="2">
        <v>37.6</v>
      </c>
      <c r="Z2598" s="2">
        <v>0</v>
      </c>
      <c r="AA2598" s="2" t="s">
        <v>218</v>
      </c>
      <c r="AB2598" s="2" t="s">
        <v>15943</v>
      </c>
      <c r="AC2598" s="2">
        <v>3.46273200888974</v>
      </c>
      <c r="AD2598" s="2"/>
      <c r="AE2598" s="2">
        <v>0.243211996358246</v>
      </c>
      <c r="AF2598" s="2">
        <v>4534.3539214692901</v>
      </c>
      <c r="AG2598" s="2">
        <v>2767.6307979006101</v>
      </c>
      <c r="AH2598" s="5">
        <v>1.6383521692665199</v>
      </c>
      <c r="AI2598" s="5">
        <v>0.71224550242731799</v>
      </c>
      <c r="AJ2598" s="5" t="s">
        <v>139</v>
      </c>
      <c r="AK2598" s="2">
        <v>5.8723283444046898E-2</v>
      </c>
      <c r="AL2598" s="2">
        <v>0.32837652512840398</v>
      </c>
      <c r="AM2598" s="2">
        <v>5204.9283723041399</v>
      </c>
      <c r="AN2598" s="2">
        <v>2568.5911353484498</v>
      </c>
      <c r="AO2598" s="2">
        <v>4786.1799859194598</v>
      </c>
      <c r="AP2598" s="2">
        <v>5010.4020063483804</v>
      </c>
      <c r="AQ2598" s="2">
        <v>6967.4885703407799</v>
      </c>
      <c r="AR2598" s="2">
        <v>2668.5334585545602</v>
      </c>
      <c r="AS2598" s="2">
        <v>3704.9467786730702</v>
      </c>
      <c r="AT2598" s="2">
        <v>2830.9704136835999</v>
      </c>
      <c r="AU2598" s="2">
        <v>4375.5615230962903</v>
      </c>
      <c r="AV2598" s="2">
        <v>2644.6124238488601</v>
      </c>
      <c r="AW2598" s="2">
        <v>1480.91225898164</v>
      </c>
      <c r="AX2598" s="2">
        <v>1568.7813891201899</v>
      </c>
    </row>
    <row r="2599" spans="1:50" x14ac:dyDescent="0.25">
      <c r="A2599" s="2" t="s">
        <v>17464</v>
      </c>
      <c r="B2599" s="2">
        <v>239.05013963090201</v>
      </c>
      <c r="C2599" s="2">
        <v>9.2380666666666702</v>
      </c>
      <c r="D2599" s="2" t="s">
        <v>51</v>
      </c>
      <c r="E2599" s="2" t="s">
        <v>17465</v>
      </c>
      <c r="F2599" s="2">
        <v>210567</v>
      </c>
      <c r="G2599" s="3" t="str">
        <f>HYPERLINK("https://cloud.oebiotech.com/#/lm/network/210567", "https://cloud.oebiotech.com/#/lm/network/210567")</f>
        <v>https://cloud.oebiotech.com/#/lm/network/210567</v>
      </c>
      <c r="H2599" s="2" t="s">
        <v>17466</v>
      </c>
      <c r="I2599" s="2"/>
      <c r="J2599" s="2"/>
      <c r="K2599" s="2"/>
      <c r="L2599" s="2"/>
      <c r="M2599" s="2"/>
      <c r="N2599" s="2"/>
      <c r="O2599" s="2"/>
      <c r="P2599" s="2"/>
      <c r="Q2599" s="2"/>
      <c r="R2599" s="2"/>
      <c r="S2599" s="2" t="s">
        <v>17467</v>
      </c>
      <c r="T2599" s="2" t="s">
        <v>17468</v>
      </c>
      <c r="U2599" s="2" t="s">
        <v>103</v>
      </c>
      <c r="V2599" s="2" t="s">
        <v>11073</v>
      </c>
      <c r="W2599" s="2" t="s">
        <v>11074</v>
      </c>
      <c r="X2599" s="2" t="s">
        <v>147</v>
      </c>
      <c r="Y2599" s="2">
        <v>38.200000000000003</v>
      </c>
      <c r="Z2599" s="2">
        <v>0</v>
      </c>
      <c r="AA2599" s="2" t="s">
        <v>156</v>
      </c>
      <c r="AB2599" s="2" t="s">
        <v>17469</v>
      </c>
      <c r="AC2599" s="2">
        <v>-1.32475776206923E-2</v>
      </c>
      <c r="AD2599" s="2"/>
      <c r="AE2599" s="2">
        <v>0.243081787876956</v>
      </c>
      <c r="AF2599" s="2">
        <v>2645.1081030495702</v>
      </c>
      <c r="AG2599" s="2">
        <v>1246.80395027191</v>
      </c>
      <c r="AH2599" s="5">
        <v>2.1215108457690599</v>
      </c>
      <c r="AI2599" s="5">
        <v>1.08509205411639</v>
      </c>
      <c r="AJ2599" s="5" t="s">
        <v>139</v>
      </c>
      <c r="AK2599" s="2">
        <v>5.1363526875522801E-3</v>
      </c>
      <c r="AL2599" s="2">
        <v>0.123740271492219</v>
      </c>
      <c r="AM2599" s="2">
        <v>2322.5261546218298</v>
      </c>
      <c r="AN2599" s="2">
        <v>3611.9947963131699</v>
      </c>
      <c r="AO2599" s="2">
        <v>2688.98941075314</v>
      </c>
      <c r="AP2599" s="2">
        <v>2490.4511009784701</v>
      </c>
      <c r="AQ2599" s="2">
        <v>2265.7365569800199</v>
      </c>
      <c r="AR2599" s="2">
        <v>2490.9505986507802</v>
      </c>
      <c r="AS2599" s="2">
        <v>2636.3561333173302</v>
      </c>
      <c r="AT2599" s="2">
        <v>802.107360091283</v>
      </c>
      <c r="AU2599" s="2">
        <v>1625.0427243665699</v>
      </c>
      <c r="AV2599" s="2">
        <v>291.50305987892199</v>
      </c>
      <c r="AW2599" s="2">
        <v>807.56997793350297</v>
      </c>
      <c r="AX2599" s="2">
        <v>1318.2444460438701</v>
      </c>
    </row>
    <row r="2600" spans="1:50" x14ac:dyDescent="0.25">
      <c r="A2600" s="2" t="s">
        <v>17470</v>
      </c>
      <c r="B2600" s="2">
        <v>235.13363893122801</v>
      </c>
      <c r="C2600" s="2">
        <v>5.9389500000000002</v>
      </c>
      <c r="D2600" s="2" t="s">
        <v>51</v>
      </c>
      <c r="E2600" s="2" t="s">
        <v>17471</v>
      </c>
      <c r="F2600" s="2">
        <v>59851</v>
      </c>
      <c r="G2600" s="3" t="str">
        <f>HYPERLINK("https://cloud.oebiotech.com/#/lm/network/59851", "https://cloud.oebiotech.com/#/lm/network/59851")</f>
        <v>https://cloud.oebiotech.com/#/lm/network/59851</v>
      </c>
      <c r="H2600" s="2" t="s">
        <v>17472</v>
      </c>
      <c r="I2600" s="2">
        <v>91225</v>
      </c>
      <c r="J2600" s="2"/>
      <c r="K2600" s="2">
        <v>131751906</v>
      </c>
      <c r="L2600" s="2"/>
      <c r="M2600" s="2"/>
      <c r="N2600" s="2"/>
      <c r="O2600" s="2">
        <v>166554</v>
      </c>
      <c r="P2600" s="2"/>
      <c r="Q2600" s="2"/>
      <c r="R2600" s="2" t="s">
        <v>17473</v>
      </c>
      <c r="S2600" s="2" t="s">
        <v>17474</v>
      </c>
      <c r="T2600" s="2" t="s">
        <v>17475</v>
      </c>
      <c r="U2600" s="2" t="s">
        <v>266</v>
      </c>
      <c r="V2600" s="2" t="s">
        <v>17476</v>
      </c>
      <c r="W2600" s="2" t="s">
        <v>240</v>
      </c>
      <c r="X2600" s="2" t="s">
        <v>83</v>
      </c>
      <c r="Y2600" s="2">
        <v>46.8</v>
      </c>
      <c r="Z2600" s="2">
        <v>39.700000000000003</v>
      </c>
      <c r="AA2600" s="2" t="s">
        <v>156</v>
      </c>
      <c r="AB2600" s="2" t="s">
        <v>17477</v>
      </c>
      <c r="AC2600" s="2">
        <v>3.0462175299657401</v>
      </c>
      <c r="AD2600" s="2"/>
      <c r="AE2600" s="2">
        <v>0.24302961073858301</v>
      </c>
      <c r="AF2600" s="2">
        <v>3190.7056440146798</v>
      </c>
      <c r="AG2600" s="2">
        <v>1919.9495728281599</v>
      </c>
      <c r="AH2600" s="5">
        <v>1.6618695038508999</v>
      </c>
      <c r="AI2600" s="5">
        <v>0.73280710079740197</v>
      </c>
      <c r="AJ2600" s="5" t="s">
        <v>139</v>
      </c>
      <c r="AK2600" s="2">
        <v>5.2873982012022697E-3</v>
      </c>
      <c r="AL2600" s="2">
        <v>0.12407621786773899</v>
      </c>
      <c r="AM2600" s="2">
        <v>3298.2330393717002</v>
      </c>
      <c r="AN2600" s="2">
        <v>4492.9258733759398</v>
      </c>
      <c r="AO2600" s="2">
        <v>2986.84317695759</v>
      </c>
      <c r="AP2600" s="2">
        <v>2838.5516079639901</v>
      </c>
      <c r="AQ2600" s="2">
        <v>2384.5687134957502</v>
      </c>
      <c r="AR2600" s="2">
        <v>3143.1114529231199</v>
      </c>
      <c r="AS2600" s="2">
        <v>2592.9808491653498</v>
      </c>
      <c r="AT2600" s="2">
        <v>1464.0507376673199</v>
      </c>
      <c r="AU2600" s="2">
        <v>2501.7933840969899</v>
      </c>
      <c r="AV2600" s="2">
        <v>1393.7674144029199</v>
      </c>
      <c r="AW2600" s="2">
        <v>1855.3330250286599</v>
      </c>
      <c r="AX2600" s="2">
        <v>1711.7720266076999</v>
      </c>
    </row>
    <row r="2601" spans="1:50" x14ac:dyDescent="0.25">
      <c r="A2601" s="2" t="s">
        <v>17478</v>
      </c>
      <c r="B2601" s="2">
        <v>235.05850992472801</v>
      </c>
      <c r="C2601" s="2">
        <v>4.01643333333333</v>
      </c>
      <c r="D2601" s="2" t="s">
        <v>51</v>
      </c>
      <c r="E2601" s="2" t="s">
        <v>17479</v>
      </c>
      <c r="F2601" s="2">
        <v>206781</v>
      </c>
      <c r="G2601" s="3" t="str">
        <f>HYPERLINK("https://cloud.oebiotech.com/#/lm/network/206781", "https://cloud.oebiotech.com/#/lm/network/206781")</f>
        <v>https://cloud.oebiotech.com/#/lm/network/206781</v>
      </c>
      <c r="H2601" s="2" t="s">
        <v>17480</v>
      </c>
      <c r="I2601" s="2"/>
      <c r="J2601" s="2"/>
      <c r="K2601" s="2">
        <v>161543</v>
      </c>
      <c r="L2601" s="2"/>
      <c r="M2601" s="2"/>
      <c r="N2601" s="2"/>
      <c r="O2601" s="2"/>
      <c r="P2601" s="2"/>
      <c r="Q2601" s="2"/>
      <c r="R2601" s="2"/>
      <c r="S2601" s="2" t="s">
        <v>17481</v>
      </c>
      <c r="T2601" s="2" t="s">
        <v>17482</v>
      </c>
      <c r="U2601" s="2" t="s">
        <v>266</v>
      </c>
      <c r="V2601" s="2" t="s">
        <v>17483</v>
      </c>
      <c r="W2601" s="2" t="s">
        <v>17484</v>
      </c>
      <c r="X2601" s="2" t="s">
        <v>147</v>
      </c>
      <c r="Y2601" s="2">
        <v>37</v>
      </c>
      <c r="Z2601" s="2">
        <v>0</v>
      </c>
      <c r="AA2601" s="2" t="s">
        <v>218</v>
      </c>
      <c r="AB2601" s="2" t="s">
        <v>17485</v>
      </c>
      <c r="AC2601" s="2">
        <v>2.45499600216991</v>
      </c>
      <c r="AD2601" s="2"/>
      <c r="AE2601" s="2">
        <v>0.24288392426519001</v>
      </c>
      <c r="AF2601" s="2">
        <v>2859.2272135016401</v>
      </c>
      <c r="AG2601" s="2">
        <v>1056.2986231529201</v>
      </c>
      <c r="AH2601" s="5">
        <v>2.7068360696781002</v>
      </c>
      <c r="AI2601" s="5">
        <v>1.4366075182792299</v>
      </c>
      <c r="AJ2601" s="5" t="s">
        <v>139</v>
      </c>
      <c r="AK2601" s="2">
        <v>0.104047227141718</v>
      </c>
      <c r="AL2601" s="2">
        <v>0.41017821217820799</v>
      </c>
      <c r="AM2601" s="2">
        <v>2235.8664382062202</v>
      </c>
      <c r="AN2601" s="2">
        <v>7547.8716693479601</v>
      </c>
      <c r="AO2601" s="2">
        <v>2157.2909423699498</v>
      </c>
      <c r="AP2601" s="2">
        <v>2033.63748100157</v>
      </c>
      <c r="AQ2601" s="2">
        <v>1145.3226293600601</v>
      </c>
      <c r="AR2601" s="2">
        <v>2035.3741207240701</v>
      </c>
      <c r="AS2601" s="2">
        <v>1812.8210452189601</v>
      </c>
      <c r="AT2601" s="2">
        <v>887.64102208564304</v>
      </c>
      <c r="AU2601" s="2">
        <v>1164.04685617052</v>
      </c>
      <c r="AV2601" s="2">
        <v>64.326913372873307</v>
      </c>
      <c r="AW2601" s="2">
        <v>283.424608976451</v>
      </c>
      <c r="AX2601" s="2">
        <v>2125.53129309307</v>
      </c>
    </row>
    <row r="2602" spans="1:50" x14ac:dyDescent="0.25">
      <c r="A2602" s="2" t="s">
        <v>17486</v>
      </c>
      <c r="B2602" s="2">
        <v>594.30283868285505</v>
      </c>
      <c r="C2602" s="2">
        <v>10.308716666666699</v>
      </c>
      <c r="D2602" s="2" t="s">
        <v>51</v>
      </c>
      <c r="E2602" s="2" t="s">
        <v>17487</v>
      </c>
      <c r="F2602" s="2">
        <v>22451</v>
      </c>
      <c r="G2602" s="3" t="str">
        <f>HYPERLINK("https://cloud.oebiotech.com/#/lm/network/22451", "https://cloud.oebiotech.com/#/lm/network/22451")</f>
        <v>https://cloud.oebiotech.com/#/lm/network/22451</v>
      </c>
      <c r="H2602" s="2"/>
      <c r="I2602" s="2">
        <v>78848</v>
      </c>
      <c r="J2602" s="2" t="s">
        <v>17488</v>
      </c>
      <c r="K2602" s="2">
        <v>52926289</v>
      </c>
      <c r="L2602" s="2"/>
      <c r="M2602" s="2"/>
      <c r="N2602" s="2"/>
      <c r="O2602" s="2"/>
      <c r="P2602" s="2"/>
      <c r="Q2602" s="2"/>
      <c r="R2602" s="2"/>
      <c r="S2602" s="2" t="s">
        <v>17489</v>
      </c>
      <c r="T2602" s="2" t="s">
        <v>17490</v>
      </c>
      <c r="U2602" s="2" t="s">
        <v>56</v>
      </c>
      <c r="V2602" s="2" t="s">
        <v>57</v>
      </c>
      <c r="W2602" s="2" t="s">
        <v>82</v>
      </c>
      <c r="X2602" s="2" t="s">
        <v>147</v>
      </c>
      <c r="Y2602" s="2">
        <v>40.6</v>
      </c>
      <c r="Z2602" s="2">
        <v>13.1</v>
      </c>
      <c r="AA2602" s="2" t="s">
        <v>218</v>
      </c>
      <c r="AB2602" s="2" t="s">
        <v>17491</v>
      </c>
      <c r="AC2602" s="2">
        <v>-3.70091510100707</v>
      </c>
      <c r="AD2602" s="2"/>
      <c r="AE2602" s="2">
        <v>0.24281969523435501</v>
      </c>
      <c r="AF2602" s="2">
        <v>33947.569481684099</v>
      </c>
      <c r="AG2602" s="2">
        <v>41248.500873328201</v>
      </c>
      <c r="AH2602" s="4">
        <v>0.82300129126959498</v>
      </c>
      <c r="AI2602" s="4">
        <v>-0.281033400684228</v>
      </c>
      <c r="AJ2602" s="4" t="s">
        <v>62</v>
      </c>
      <c r="AK2602" s="2">
        <v>0.53440346943612704</v>
      </c>
      <c r="AL2602" s="2">
        <v>0.76085213382309003</v>
      </c>
      <c r="AM2602" s="2">
        <v>60802.595773752299</v>
      </c>
      <c r="AN2602" s="2">
        <v>30363.892318171602</v>
      </c>
      <c r="AO2602" s="2">
        <v>27387.552711996501</v>
      </c>
      <c r="AP2602" s="2">
        <v>25650.652945592599</v>
      </c>
      <c r="AQ2602" s="2">
        <v>25501.655866400899</v>
      </c>
      <c r="AR2602" s="2">
        <v>33979.067274191002</v>
      </c>
      <c r="AS2602" s="2">
        <v>13632.1976708478</v>
      </c>
      <c r="AT2602" s="2">
        <v>13666.9489651574</v>
      </c>
      <c r="AU2602" s="2">
        <v>52497.635762627098</v>
      </c>
      <c r="AV2602" s="2">
        <v>74285.319881390198</v>
      </c>
      <c r="AW2602" s="2">
        <v>55191.447234305597</v>
      </c>
      <c r="AX2602" s="2">
        <v>38217.455725641201</v>
      </c>
    </row>
    <row r="2603" spans="1:50" x14ac:dyDescent="0.25">
      <c r="A2603" s="2" t="s">
        <v>17492</v>
      </c>
      <c r="B2603" s="2">
        <v>502.28096468153899</v>
      </c>
      <c r="C2603" s="2">
        <v>9.6451499999999992</v>
      </c>
      <c r="D2603" s="2" t="s">
        <v>51</v>
      </c>
      <c r="E2603" s="2" t="s">
        <v>17493</v>
      </c>
      <c r="F2603" s="2">
        <v>266605</v>
      </c>
      <c r="G2603" s="3" t="str">
        <f>HYPERLINK("https://cloud.oebiotech.com/#/lm/network/266605", "https://cloud.oebiotech.com/#/lm/network/266605")</f>
        <v>https://cloud.oebiotech.com/#/lm/network/266605</v>
      </c>
      <c r="H2603" s="2"/>
      <c r="I2603" s="2">
        <v>43658</v>
      </c>
      <c r="J2603" s="2"/>
      <c r="K2603" s="2">
        <v>542117</v>
      </c>
      <c r="L2603" s="2"/>
      <c r="M2603" s="2"/>
      <c r="N2603" s="2"/>
      <c r="O2603" s="2"/>
      <c r="P2603" s="2"/>
      <c r="Q2603" s="2"/>
      <c r="R2603" s="2"/>
      <c r="S2603" s="2" t="s">
        <v>17494</v>
      </c>
      <c r="T2603" s="2" t="s">
        <v>17495</v>
      </c>
      <c r="U2603" s="2" t="s">
        <v>56</v>
      </c>
      <c r="V2603" s="2" t="s">
        <v>177</v>
      </c>
      <c r="W2603" s="2" t="s">
        <v>3270</v>
      </c>
      <c r="X2603" s="2" t="s">
        <v>147</v>
      </c>
      <c r="Y2603" s="2">
        <v>37.4</v>
      </c>
      <c r="Z2603" s="2">
        <v>0</v>
      </c>
      <c r="AA2603" s="2" t="s">
        <v>512</v>
      </c>
      <c r="AB2603" s="2" t="s">
        <v>17496</v>
      </c>
      <c r="AC2603" s="2">
        <v>2.13870610777919</v>
      </c>
      <c r="AD2603" s="2"/>
      <c r="AE2603" s="2">
        <v>0.24270782047635001</v>
      </c>
      <c r="AF2603" s="2">
        <v>2293.78301550997</v>
      </c>
      <c r="AG2603" s="2">
        <v>4840.5031716214498</v>
      </c>
      <c r="AH2603" s="4">
        <v>0.47387284631023302</v>
      </c>
      <c r="AI2603" s="4">
        <v>-1.07742810033577</v>
      </c>
      <c r="AJ2603" s="4" t="s">
        <v>62</v>
      </c>
      <c r="AK2603" s="2">
        <v>0.131791418372942</v>
      </c>
      <c r="AL2603" s="2">
        <v>0.45175845893773298</v>
      </c>
      <c r="AM2603" s="2">
        <v>1605.75990038648</v>
      </c>
      <c r="AN2603" s="2">
        <v>1568.46782116088</v>
      </c>
      <c r="AO2603" s="2">
        <v>4546.0935214532101</v>
      </c>
      <c r="AP2603" s="2">
        <v>1790.28257692394</v>
      </c>
      <c r="AQ2603" s="2">
        <v>4140.1774314300701</v>
      </c>
      <c r="AR2603" s="2">
        <v>111.916841705241</v>
      </c>
      <c r="AS2603" s="2">
        <v>6451.72375992243</v>
      </c>
      <c r="AT2603" s="2">
        <v>4354.03639922808</v>
      </c>
      <c r="AU2603" s="2">
        <v>6268.6741865424901</v>
      </c>
      <c r="AV2603" s="2">
        <v>1324.3136651888301</v>
      </c>
      <c r="AW2603" s="2">
        <v>847.62212004821697</v>
      </c>
      <c r="AX2603" s="2">
        <v>9796.6488987986704</v>
      </c>
    </row>
    <row r="2604" spans="1:50" x14ac:dyDescent="0.25">
      <c r="A2604" s="2" t="s">
        <v>17497</v>
      </c>
      <c r="B2604" s="2">
        <v>339.05754012063801</v>
      </c>
      <c r="C2604" s="2">
        <v>3.6124666666666698</v>
      </c>
      <c r="D2604" s="2" t="s">
        <v>51</v>
      </c>
      <c r="E2604" s="2" t="s">
        <v>17498</v>
      </c>
      <c r="F2604" s="2">
        <v>211618</v>
      </c>
      <c r="G2604" s="3" t="str">
        <f>HYPERLINK("https://cloud.oebiotech.com/#/lm/network/211618", "https://cloud.oebiotech.com/#/lm/network/211618")</f>
        <v>https://cloud.oebiotech.com/#/lm/network/211618</v>
      </c>
      <c r="H2604" s="2" t="s">
        <v>17499</v>
      </c>
      <c r="I2604" s="2"/>
      <c r="J2604" s="2"/>
      <c r="K2604" s="2">
        <v>11580187</v>
      </c>
      <c r="L2604" s="2"/>
      <c r="M2604" s="2"/>
      <c r="N2604" s="2"/>
      <c r="O2604" s="2"/>
      <c r="P2604" s="2"/>
      <c r="Q2604" s="2"/>
      <c r="R2604" s="2"/>
      <c r="S2604" s="2" t="s">
        <v>17500</v>
      </c>
      <c r="T2604" s="2" t="s">
        <v>17501</v>
      </c>
      <c r="U2604" s="2" t="s">
        <v>103</v>
      </c>
      <c r="V2604" s="2" t="s">
        <v>104</v>
      </c>
      <c r="W2604" s="2" t="s">
        <v>4850</v>
      </c>
      <c r="X2604" s="2" t="s">
        <v>147</v>
      </c>
      <c r="Y2604" s="2">
        <v>38.9</v>
      </c>
      <c r="Z2604" s="2">
        <v>0</v>
      </c>
      <c r="AA2604" s="2" t="s">
        <v>241</v>
      </c>
      <c r="AB2604" s="2" t="s">
        <v>17502</v>
      </c>
      <c r="AC2604" s="2">
        <v>2.1784972348231699</v>
      </c>
      <c r="AD2604" s="2"/>
      <c r="AE2604" s="2">
        <v>0.24247710780581799</v>
      </c>
      <c r="AF2604" s="2">
        <v>116984.85221538501</v>
      </c>
      <c r="AG2604" s="2">
        <v>125957.443298763</v>
      </c>
      <c r="AH2604" s="4">
        <v>0.92876489988689603</v>
      </c>
      <c r="AI2604" s="4">
        <v>-0.106614644341908</v>
      </c>
      <c r="AJ2604" s="4" t="s">
        <v>62</v>
      </c>
      <c r="AK2604" s="2">
        <v>0.70862786020243895</v>
      </c>
      <c r="AL2604" s="2">
        <v>0.86140941974239904</v>
      </c>
      <c r="AM2604" s="2">
        <v>93186.192492539907</v>
      </c>
      <c r="AN2604" s="2">
        <v>134889.72379885399</v>
      </c>
      <c r="AO2604" s="2">
        <v>98647.326527274403</v>
      </c>
      <c r="AP2604" s="2">
        <v>159922.004219986</v>
      </c>
      <c r="AQ2604" s="2">
        <v>124468.071081616</v>
      </c>
      <c r="AR2604" s="2">
        <v>90795.795172040394</v>
      </c>
      <c r="AS2604" s="2">
        <v>136726.54607816701</v>
      </c>
      <c r="AT2604" s="2">
        <v>181392.87482381699</v>
      </c>
      <c r="AU2604" s="2">
        <v>106315.886140491</v>
      </c>
      <c r="AV2604" s="2">
        <v>50449.9631567287</v>
      </c>
      <c r="AW2604" s="2">
        <v>102817.78081462299</v>
      </c>
      <c r="AX2604" s="2">
        <v>178041.60877875201</v>
      </c>
    </row>
    <row r="2605" spans="1:50" x14ac:dyDescent="0.25">
      <c r="A2605" s="2" t="s">
        <v>17503</v>
      </c>
      <c r="B2605" s="2">
        <v>348.33922248855799</v>
      </c>
      <c r="C2605" s="2">
        <v>9.8490833333333292</v>
      </c>
      <c r="D2605" s="2" t="s">
        <v>51</v>
      </c>
      <c r="E2605" s="2" t="s">
        <v>17504</v>
      </c>
      <c r="F2605" s="2">
        <v>256783</v>
      </c>
      <c r="G2605" s="3" t="str">
        <f>HYPERLINK("https://cloud.oebiotech.com/#/lm/network/256783", "https://cloud.oebiotech.com/#/lm/network/256783")</f>
        <v>https://cloud.oebiotech.com/#/lm/network/256783</v>
      </c>
      <c r="H2605" s="2" t="s">
        <v>17505</v>
      </c>
      <c r="I2605" s="2"/>
      <c r="J2605" s="2"/>
      <c r="K2605" s="2"/>
      <c r="L2605" s="2"/>
      <c r="M2605" s="2"/>
      <c r="N2605" s="2"/>
      <c r="O2605" s="2">
        <v>32392</v>
      </c>
      <c r="P2605" s="2"/>
      <c r="Q2605" s="2"/>
      <c r="R2605" s="2"/>
      <c r="S2605" s="2" t="s">
        <v>17506</v>
      </c>
      <c r="T2605" s="2" t="s">
        <v>17507</v>
      </c>
      <c r="U2605" s="2" t="s">
        <v>56</v>
      </c>
      <c r="V2605" s="2" t="s">
        <v>145</v>
      </c>
      <c r="W2605" s="2" t="s">
        <v>231</v>
      </c>
      <c r="X2605" s="2" t="s">
        <v>147</v>
      </c>
      <c r="Y2605" s="2">
        <v>36</v>
      </c>
      <c r="Z2605" s="2">
        <v>0</v>
      </c>
      <c r="AA2605" s="2" t="s">
        <v>156</v>
      </c>
      <c r="AB2605" s="2" t="s">
        <v>17508</v>
      </c>
      <c r="AC2605" s="2">
        <v>1.5192788004751101</v>
      </c>
      <c r="AD2605" s="2"/>
      <c r="AE2605" s="2">
        <v>0.24238204487956799</v>
      </c>
      <c r="AF2605" s="2">
        <v>425.35914106875703</v>
      </c>
      <c r="AG2605" s="2">
        <v>3059.3477607663999</v>
      </c>
      <c r="AH2605" s="4">
        <v>0.13903589076195799</v>
      </c>
      <c r="AI2605" s="4">
        <v>-2.8464707461793202</v>
      </c>
      <c r="AJ2605" s="4" t="s">
        <v>62</v>
      </c>
      <c r="AK2605" s="2">
        <v>0.28749259808391903</v>
      </c>
      <c r="AL2605" s="2">
        <v>0.602556997361406</v>
      </c>
      <c r="AM2605" s="2">
        <v>8.559877937157E-6</v>
      </c>
      <c r="AN2605" s="2">
        <v>8.559877937157E-6</v>
      </c>
      <c r="AO2605" s="2">
        <v>450.35626145236103</v>
      </c>
      <c r="AP2605" s="2">
        <v>965.40274345909495</v>
      </c>
      <c r="AQ2605" s="2">
        <v>1136.39581582145</v>
      </c>
      <c r="AR2605" s="2">
        <v>8.559877937157E-6</v>
      </c>
      <c r="AS2605" s="2">
        <v>2184.8516354650601</v>
      </c>
      <c r="AT2605" s="2">
        <v>1171.3315190423</v>
      </c>
      <c r="AU2605" s="2">
        <v>390.78389240476798</v>
      </c>
      <c r="AV2605" s="2">
        <v>8.559877937157E-6</v>
      </c>
      <c r="AW2605" s="2">
        <v>8.559877937157E-6</v>
      </c>
      <c r="AX2605" s="2">
        <v>14609.119500566499</v>
      </c>
    </row>
    <row r="2606" spans="1:50" x14ac:dyDescent="0.25">
      <c r="A2606" s="2" t="s">
        <v>17509</v>
      </c>
      <c r="B2606" s="2">
        <v>229.088559909201</v>
      </c>
      <c r="C2606" s="2">
        <v>4.5012333333333299</v>
      </c>
      <c r="D2606" s="2" t="s">
        <v>51</v>
      </c>
      <c r="E2606" s="2" t="s">
        <v>17510</v>
      </c>
      <c r="F2606" s="2">
        <v>48019</v>
      </c>
      <c r="G2606" s="3" t="str">
        <f>HYPERLINK("https://cloud.oebiotech.com/#/lm/network/48019", "https://cloud.oebiotech.com/#/lm/network/48019")</f>
        <v>https://cloud.oebiotech.com/#/lm/network/48019</v>
      </c>
      <c r="H2606" s="2" t="s">
        <v>17511</v>
      </c>
      <c r="I2606" s="2">
        <v>53</v>
      </c>
      <c r="J2606" s="2"/>
      <c r="K2606" s="2">
        <v>5351619</v>
      </c>
      <c r="L2606" s="2" t="s">
        <v>17512</v>
      </c>
      <c r="M2606" s="2" t="s">
        <v>2506</v>
      </c>
      <c r="N2606" s="2" t="s">
        <v>2507</v>
      </c>
      <c r="O2606" s="2">
        <v>4828</v>
      </c>
      <c r="P2606" s="2" t="s">
        <v>16052</v>
      </c>
      <c r="Q2606" s="2" t="s">
        <v>16053</v>
      </c>
      <c r="R2606" s="2" t="s">
        <v>17513</v>
      </c>
      <c r="S2606" s="2" t="s">
        <v>17514</v>
      </c>
      <c r="T2606" s="2" t="s">
        <v>17515</v>
      </c>
      <c r="U2606" s="2" t="s">
        <v>103</v>
      </c>
      <c r="V2606" s="2" t="s">
        <v>104</v>
      </c>
      <c r="W2606" s="2" t="s">
        <v>105</v>
      </c>
      <c r="X2606" s="2" t="s">
        <v>147</v>
      </c>
      <c r="Y2606" s="2">
        <v>37.6</v>
      </c>
      <c r="Z2606" s="2">
        <v>0</v>
      </c>
      <c r="AA2606" s="2" t="s">
        <v>163</v>
      </c>
      <c r="AB2606" s="2" t="s">
        <v>17516</v>
      </c>
      <c r="AC2606" s="2">
        <v>-2.1140078768614701</v>
      </c>
      <c r="AD2606" s="2"/>
      <c r="AE2606" s="2">
        <v>0.24234304529406001</v>
      </c>
      <c r="AF2606" s="2">
        <v>2871.41066882514</v>
      </c>
      <c r="AG2606" s="2">
        <v>1185.7826001716601</v>
      </c>
      <c r="AH2606" s="5">
        <v>2.4215321327952299</v>
      </c>
      <c r="AI2606" s="5">
        <v>1.2759201470719901</v>
      </c>
      <c r="AJ2606" s="5" t="s">
        <v>139</v>
      </c>
      <c r="AK2606" s="2">
        <v>5.29475915533974E-2</v>
      </c>
      <c r="AL2606" s="2">
        <v>0.31731303224527402</v>
      </c>
      <c r="AM2606" s="2">
        <v>5400.2934204189396</v>
      </c>
      <c r="AN2606" s="2">
        <v>1049.15208767541</v>
      </c>
      <c r="AO2606" s="2">
        <v>841.40308760270102</v>
      </c>
      <c r="AP2606" s="2">
        <v>3413.90432846666</v>
      </c>
      <c r="AQ2606" s="2">
        <v>4088.2539953658202</v>
      </c>
      <c r="AR2606" s="2">
        <v>2435.4570934213002</v>
      </c>
      <c r="AS2606" s="2">
        <v>539.63398314616302</v>
      </c>
      <c r="AT2606" s="2">
        <v>868.51428284148403</v>
      </c>
      <c r="AU2606" s="2">
        <v>1918.2676941877701</v>
      </c>
      <c r="AV2606" s="2">
        <v>1686.7620306752899</v>
      </c>
      <c r="AW2606" s="2">
        <v>1579.3938014139701</v>
      </c>
      <c r="AX2606" s="2">
        <v>522.12380876526004</v>
      </c>
    </row>
    <row r="2607" spans="1:50" x14ac:dyDescent="0.25">
      <c r="A2607" s="2" t="s">
        <v>17517</v>
      </c>
      <c r="B2607" s="2">
        <v>162.03460365030699</v>
      </c>
      <c r="C2607" s="2">
        <v>0.82335000000000003</v>
      </c>
      <c r="D2607" s="2" t="s">
        <v>51</v>
      </c>
      <c r="E2607" s="2" t="s">
        <v>17518</v>
      </c>
      <c r="F2607" s="2">
        <v>256908</v>
      </c>
      <c r="G2607" s="3" t="str">
        <f>HYPERLINK("https://cloud.oebiotech.com/#/lm/network/256908", "https://cloud.oebiotech.com/#/lm/network/256908")</f>
        <v>https://cloud.oebiotech.com/#/lm/network/256908</v>
      </c>
      <c r="H2607" s="2" t="s">
        <v>17519</v>
      </c>
      <c r="I2607" s="2"/>
      <c r="J2607" s="2"/>
      <c r="K2607" s="2"/>
      <c r="L2607" s="2"/>
      <c r="M2607" s="2"/>
      <c r="N2607" s="2"/>
      <c r="O2607" s="2">
        <v>58815</v>
      </c>
      <c r="P2607" s="2"/>
      <c r="Q2607" s="2"/>
      <c r="R2607" s="2"/>
      <c r="S2607" s="2" t="s">
        <v>17520</v>
      </c>
      <c r="T2607" s="2" t="s">
        <v>17521</v>
      </c>
      <c r="U2607" s="2" t="s">
        <v>56</v>
      </c>
      <c r="V2607" s="2" t="s">
        <v>145</v>
      </c>
      <c r="W2607" s="2" t="s">
        <v>231</v>
      </c>
      <c r="X2607" s="2" t="s">
        <v>147</v>
      </c>
      <c r="Y2607" s="2">
        <v>37.6</v>
      </c>
      <c r="Z2607" s="2">
        <v>0</v>
      </c>
      <c r="AA2607" s="2" t="s">
        <v>60</v>
      </c>
      <c r="AB2607" s="2" t="s">
        <v>17522</v>
      </c>
      <c r="AC2607" s="2">
        <v>0.54072215973360105</v>
      </c>
      <c r="AD2607" s="2"/>
      <c r="AE2607" s="2">
        <v>0.24233880813587999</v>
      </c>
      <c r="AF2607" s="2">
        <v>12554.6015946561</v>
      </c>
      <c r="AG2607" s="2">
        <v>14658.255093432899</v>
      </c>
      <c r="AH2607" s="4">
        <v>0.85648677244543203</v>
      </c>
      <c r="AI2607" s="4">
        <v>-0.223497129342524</v>
      </c>
      <c r="AJ2607" s="4" t="s">
        <v>62</v>
      </c>
      <c r="AK2607" s="2">
        <v>0.14035857080427699</v>
      </c>
      <c r="AL2607" s="2">
        <v>0.459629804117481</v>
      </c>
      <c r="AM2607" s="2">
        <v>12431.070403396399</v>
      </c>
      <c r="AN2607" s="2">
        <v>12769.7971761563</v>
      </c>
      <c r="AO2607" s="2">
        <v>12237.515272578699</v>
      </c>
      <c r="AP2607" s="2">
        <v>15097.1379625873</v>
      </c>
      <c r="AQ2607" s="2">
        <v>13646.5443889865</v>
      </c>
      <c r="AR2607" s="2">
        <v>9145.5443642315495</v>
      </c>
      <c r="AS2607" s="2">
        <v>16354.000478629399</v>
      </c>
      <c r="AT2607" s="2">
        <v>16039.919982944701</v>
      </c>
      <c r="AU2607" s="2">
        <v>11874.340290497899</v>
      </c>
      <c r="AV2607" s="2">
        <v>11222.8762835814</v>
      </c>
      <c r="AW2607" s="2">
        <v>14993.7813088446</v>
      </c>
      <c r="AX2607" s="2">
        <v>17464.612216099202</v>
      </c>
    </row>
    <row r="2608" spans="1:50" x14ac:dyDescent="0.25">
      <c r="A2608" s="2" t="s">
        <v>17523</v>
      </c>
      <c r="B2608" s="2">
        <v>262.090763025981</v>
      </c>
      <c r="C2608" s="2">
        <v>10.329216666666699</v>
      </c>
      <c r="D2608" s="2" t="s">
        <v>51</v>
      </c>
      <c r="E2608" s="2" t="s">
        <v>17524</v>
      </c>
      <c r="F2608" s="2">
        <v>210865</v>
      </c>
      <c r="G2608" s="3" t="str">
        <f>HYPERLINK("https://cloud.oebiotech.com/#/lm/network/210865", "https://cloud.oebiotech.com/#/lm/network/210865")</f>
        <v>https://cloud.oebiotech.com/#/lm/network/210865</v>
      </c>
      <c r="H2608" s="2" t="s">
        <v>17525</v>
      </c>
      <c r="I2608" s="2"/>
      <c r="J2608" s="2"/>
      <c r="K2608" s="2">
        <v>19604194</v>
      </c>
      <c r="L2608" s="2"/>
      <c r="M2608" s="2"/>
      <c r="N2608" s="2"/>
      <c r="O2608" s="2"/>
      <c r="P2608" s="2"/>
      <c r="Q2608" s="2"/>
      <c r="R2608" s="2"/>
      <c r="S2608" s="2" t="s">
        <v>17526</v>
      </c>
      <c r="T2608" s="2" t="s">
        <v>17527</v>
      </c>
      <c r="U2608" s="2" t="s">
        <v>103</v>
      </c>
      <c r="V2608" s="2" t="s">
        <v>104</v>
      </c>
      <c r="W2608" s="2" t="s">
        <v>105</v>
      </c>
      <c r="X2608" s="2" t="s">
        <v>147</v>
      </c>
      <c r="Y2608" s="2">
        <v>39.799999999999997</v>
      </c>
      <c r="Z2608" s="2">
        <v>9.77</v>
      </c>
      <c r="AA2608" s="2" t="s">
        <v>379</v>
      </c>
      <c r="AB2608" s="2" t="s">
        <v>17528</v>
      </c>
      <c r="AC2608" s="2">
        <v>0.14113113580445599</v>
      </c>
      <c r="AD2608" s="2"/>
      <c r="AE2608" s="2">
        <v>0.242095412820648</v>
      </c>
      <c r="AF2608" s="2">
        <v>700.353020677936</v>
      </c>
      <c r="AG2608" s="2">
        <v>2086.1750871097602</v>
      </c>
      <c r="AH2608" s="4">
        <v>0.33571152536780802</v>
      </c>
      <c r="AI2608" s="4">
        <v>-1.57470602760002</v>
      </c>
      <c r="AJ2608" s="4" t="s">
        <v>62</v>
      </c>
      <c r="AK2608" s="2">
        <v>2.8722199910883001E-2</v>
      </c>
      <c r="AL2608" s="2">
        <v>0.25797836742952002</v>
      </c>
      <c r="AM2608" s="2">
        <v>816.10380646666499</v>
      </c>
      <c r="AN2608" s="2">
        <v>120.39102053466399</v>
      </c>
      <c r="AO2608" s="2">
        <v>911.17605920556196</v>
      </c>
      <c r="AP2608" s="2">
        <v>8.559877937157E-6</v>
      </c>
      <c r="AQ2608" s="2">
        <v>586.07072194095895</v>
      </c>
      <c r="AR2608" s="2">
        <v>1768.37650735989</v>
      </c>
      <c r="AS2608" s="2">
        <v>2459.282193044</v>
      </c>
      <c r="AT2608" s="2">
        <v>423.497731590895</v>
      </c>
      <c r="AU2608" s="2">
        <v>1360.52585333506</v>
      </c>
      <c r="AV2608" s="2">
        <v>1616.9908243307</v>
      </c>
      <c r="AW2608" s="2">
        <v>3147.3139983095898</v>
      </c>
      <c r="AX2608" s="2">
        <v>3509.4399220483001</v>
      </c>
    </row>
    <row r="2609" spans="1:50" x14ac:dyDescent="0.25">
      <c r="A2609" s="2" t="s">
        <v>17529</v>
      </c>
      <c r="B2609" s="2">
        <v>176.03034851325799</v>
      </c>
      <c r="C2609" s="2">
        <v>0.82335000000000003</v>
      </c>
      <c r="D2609" s="2" t="s">
        <v>51</v>
      </c>
      <c r="E2609" s="2" t="s">
        <v>17530</v>
      </c>
      <c r="F2609" s="2">
        <v>46840</v>
      </c>
      <c r="G2609" s="3" t="str">
        <f>HYPERLINK("https://cloud.oebiotech.com/#/lm/network/46840", "https://cloud.oebiotech.com/#/lm/network/46840")</f>
        <v>https://cloud.oebiotech.com/#/lm/network/46840</v>
      </c>
      <c r="H2609" s="2" t="s">
        <v>17531</v>
      </c>
      <c r="I2609" s="2">
        <v>320050</v>
      </c>
      <c r="J2609" s="2"/>
      <c r="K2609" s="2">
        <v>54670067</v>
      </c>
      <c r="L2609" s="2" t="s">
        <v>17532</v>
      </c>
      <c r="M2609" s="2" t="s">
        <v>11578</v>
      </c>
      <c r="N2609" s="2" t="s">
        <v>11579</v>
      </c>
      <c r="O2609" s="2">
        <v>29073</v>
      </c>
      <c r="P2609" s="2" t="s">
        <v>17533</v>
      </c>
      <c r="Q2609" s="2" t="s">
        <v>17534</v>
      </c>
      <c r="R2609" s="2" t="s">
        <v>17535</v>
      </c>
      <c r="S2609" s="2" t="s">
        <v>17536</v>
      </c>
      <c r="T2609" s="2" t="s">
        <v>17537</v>
      </c>
      <c r="U2609" s="2" t="s">
        <v>266</v>
      </c>
      <c r="V2609" s="2" t="s">
        <v>10648</v>
      </c>
      <c r="W2609" s="2" t="s">
        <v>10649</v>
      </c>
      <c r="X2609" s="2" t="s">
        <v>83</v>
      </c>
      <c r="Y2609" s="2">
        <v>51.1</v>
      </c>
      <c r="Z2609" s="2">
        <v>34.6</v>
      </c>
      <c r="AA2609" s="2" t="s">
        <v>122</v>
      </c>
      <c r="AB2609" s="2" t="s">
        <v>7755</v>
      </c>
      <c r="AC2609" s="2">
        <v>-9.8820657184684304</v>
      </c>
      <c r="AD2609" s="2"/>
      <c r="AE2609" s="2">
        <v>0.24191379761104001</v>
      </c>
      <c r="AF2609" s="2">
        <v>99293.535332050102</v>
      </c>
      <c r="AG2609" s="2">
        <v>107729.105392254</v>
      </c>
      <c r="AH2609" s="4">
        <v>0.92169646234887803</v>
      </c>
      <c r="AI2609" s="4">
        <v>-0.117636381503683</v>
      </c>
      <c r="AJ2609" s="4" t="s">
        <v>62</v>
      </c>
      <c r="AK2609" s="2">
        <v>0.45436217407469898</v>
      </c>
      <c r="AL2609" s="2">
        <v>0.706883882658636</v>
      </c>
      <c r="AM2609" s="2">
        <v>112803.40689884601</v>
      </c>
      <c r="AN2609" s="2">
        <v>102736.933713707</v>
      </c>
      <c r="AO2609" s="2">
        <v>97335.046351640704</v>
      </c>
      <c r="AP2609" s="2">
        <v>122521.90446691299</v>
      </c>
      <c r="AQ2609" s="2">
        <v>97342.221381805299</v>
      </c>
      <c r="AR2609" s="2">
        <v>63021.699179388503</v>
      </c>
      <c r="AS2609" s="2">
        <v>96828.980726220907</v>
      </c>
      <c r="AT2609" s="2">
        <v>130425.776691192</v>
      </c>
      <c r="AU2609" s="2">
        <v>105023.54204477101</v>
      </c>
      <c r="AV2609" s="2">
        <v>84459.089444038604</v>
      </c>
      <c r="AW2609" s="2">
        <v>124379.76859503701</v>
      </c>
      <c r="AX2609" s="2">
        <v>105257.474852265</v>
      </c>
    </row>
    <row r="2610" spans="1:50" x14ac:dyDescent="0.25">
      <c r="A2610" s="2" t="s">
        <v>17538</v>
      </c>
      <c r="B2610" s="2">
        <v>631.45688158515304</v>
      </c>
      <c r="C2610" s="2">
        <v>8.5796666666666699</v>
      </c>
      <c r="D2610" s="2" t="s">
        <v>51</v>
      </c>
      <c r="E2610" s="2" t="s">
        <v>17539</v>
      </c>
      <c r="F2610" s="2">
        <v>251752</v>
      </c>
      <c r="G2610" s="3" t="str">
        <f>HYPERLINK("https://cloud.oebiotech.com/#/lm/network/251752", "https://cloud.oebiotech.com/#/lm/network/251752")</f>
        <v>https://cloud.oebiotech.com/#/lm/network/251752</v>
      </c>
      <c r="H2610" s="2" t="s">
        <v>17540</v>
      </c>
      <c r="I2610" s="2"/>
      <c r="J2610" s="2"/>
      <c r="K2610" s="2"/>
      <c r="L2610" s="2"/>
      <c r="M2610" s="2"/>
      <c r="N2610" s="2"/>
      <c r="O2610" s="2"/>
      <c r="P2610" s="2"/>
      <c r="Q2610" s="2"/>
      <c r="R2610" s="2"/>
      <c r="S2610" s="2" t="s">
        <v>17541</v>
      </c>
      <c r="T2610" s="2" t="s">
        <v>17542</v>
      </c>
      <c r="U2610" s="2" t="s">
        <v>56</v>
      </c>
      <c r="V2610" s="2" t="s">
        <v>145</v>
      </c>
      <c r="W2610" s="2" t="s">
        <v>146</v>
      </c>
      <c r="X2610" s="2" t="s">
        <v>147</v>
      </c>
      <c r="Y2610" s="2">
        <v>37.200000000000003</v>
      </c>
      <c r="Z2610" s="2">
        <v>0</v>
      </c>
      <c r="AA2610" s="2" t="s">
        <v>259</v>
      </c>
      <c r="AB2610" s="2" t="s">
        <v>17543</v>
      </c>
      <c r="AC2610" s="2">
        <v>8.0621665196196804E-2</v>
      </c>
      <c r="AD2610" s="2"/>
      <c r="AE2610" s="2">
        <v>0.241842481921412</v>
      </c>
      <c r="AF2610" s="2">
        <v>19710.228044563501</v>
      </c>
      <c r="AG2610" s="2">
        <v>21860.5144831527</v>
      </c>
      <c r="AH2610" s="4">
        <v>0.90163605526089696</v>
      </c>
      <c r="AI2610" s="4">
        <v>-0.14938288671303299</v>
      </c>
      <c r="AJ2610" s="4" t="s">
        <v>62</v>
      </c>
      <c r="AK2610" s="2">
        <v>0.29108783907068198</v>
      </c>
      <c r="AL2610" s="2">
        <v>0.60497303631660804</v>
      </c>
      <c r="AM2610" s="2">
        <v>16518.824844593899</v>
      </c>
      <c r="AN2610" s="2">
        <v>16511.733144143</v>
      </c>
      <c r="AO2610" s="2">
        <v>22456.459743071799</v>
      </c>
      <c r="AP2610" s="2">
        <v>25344.484212814099</v>
      </c>
      <c r="AQ2610" s="2">
        <v>18567.518285591999</v>
      </c>
      <c r="AR2610" s="2">
        <v>18862.348037166201</v>
      </c>
      <c r="AS2610" s="2">
        <v>23886.7236204447</v>
      </c>
      <c r="AT2610" s="2">
        <v>24630.735420700199</v>
      </c>
      <c r="AU2610" s="2">
        <v>21008.533337937701</v>
      </c>
      <c r="AV2610" s="2">
        <v>24732.5986566459</v>
      </c>
      <c r="AW2610" s="2">
        <v>20175.3934699167</v>
      </c>
      <c r="AX2610" s="2">
        <v>16729.102393271001</v>
      </c>
    </row>
    <row r="2611" spans="1:50" x14ac:dyDescent="0.25">
      <c r="A2611" s="2" t="s">
        <v>17544</v>
      </c>
      <c r="B2611" s="2">
        <v>263.00842773645098</v>
      </c>
      <c r="C2611" s="2">
        <v>0.87151666666666705</v>
      </c>
      <c r="D2611" s="2" t="s">
        <v>51</v>
      </c>
      <c r="E2611" s="2" t="s">
        <v>17545</v>
      </c>
      <c r="F2611" s="2">
        <v>199728</v>
      </c>
      <c r="G2611" s="3" t="str">
        <f>HYPERLINK("https://cloud.oebiotech.com/#/lm/network/199728", "https://cloud.oebiotech.com/#/lm/network/199728")</f>
        <v>https://cloud.oebiotech.com/#/lm/network/199728</v>
      </c>
      <c r="H2611" s="2" t="s">
        <v>17546</v>
      </c>
      <c r="I2611" s="2">
        <v>326927</v>
      </c>
      <c r="J2611" s="2"/>
      <c r="K2611" s="2">
        <v>437082</v>
      </c>
      <c r="L2611" s="2"/>
      <c r="M2611" s="2"/>
      <c r="N2611" s="2"/>
      <c r="O2611" s="2"/>
      <c r="P2611" s="2"/>
      <c r="Q2611" s="2"/>
      <c r="R2611" s="2"/>
      <c r="S2611" s="2" t="s">
        <v>17547</v>
      </c>
      <c r="T2611" s="2" t="s">
        <v>17548</v>
      </c>
      <c r="U2611" s="2" t="s">
        <v>103</v>
      </c>
      <c r="V2611" s="2" t="s">
        <v>9072</v>
      </c>
      <c r="W2611" s="2" t="s">
        <v>13533</v>
      </c>
      <c r="X2611" s="2" t="s">
        <v>147</v>
      </c>
      <c r="Y2611" s="2">
        <v>36.1</v>
      </c>
      <c r="Z2611" s="2">
        <v>0</v>
      </c>
      <c r="AA2611" s="2" t="s">
        <v>218</v>
      </c>
      <c r="AB2611" s="2" t="s">
        <v>17549</v>
      </c>
      <c r="AC2611" s="2">
        <v>-3.1489054572985999</v>
      </c>
      <c r="AD2611" s="2"/>
      <c r="AE2611" s="2">
        <v>0.24179391023015401</v>
      </c>
      <c r="AF2611" s="2">
        <v>7453.8178502559804</v>
      </c>
      <c r="AG2611" s="2">
        <v>5675.7275972420903</v>
      </c>
      <c r="AH2611" s="5">
        <v>1.31327970247865</v>
      </c>
      <c r="AI2611" s="5">
        <v>0.39317421433010202</v>
      </c>
      <c r="AJ2611" s="5" t="s">
        <v>139</v>
      </c>
      <c r="AK2611" s="2">
        <v>0.302004702482985</v>
      </c>
      <c r="AL2611" s="2">
        <v>0.61152862163761201</v>
      </c>
      <c r="AM2611" s="2">
        <v>13842.798547570799</v>
      </c>
      <c r="AN2611" s="2">
        <v>5673.0884080462602</v>
      </c>
      <c r="AO2611" s="2">
        <v>7945.7850037395101</v>
      </c>
      <c r="AP2611" s="2">
        <v>9211.2464784084805</v>
      </c>
      <c r="AQ2611" s="2">
        <v>4990.65128478116</v>
      </c>
      <c r="AR2611" s="2">
        <v>3059.33737898966</v>
      </c>
      <c r="AS2611" s="2">
        <v>4644.5220922469798</v>
      </c>
      <c r="AT2611" s="2">
        <v>6966.5134275886203</v>
      </c>
      <c r="AU2611" s="2">
        <v>6285.3783322754698</v>
      </c>
      <c r="AV2611" s="2">
        <v>5669.8683995748797</v>
      </c>
      <c r="AW2611" s="2">
        <v>6642.49974914417</v>
      </c>
      <c r="AX2611" s="2">
        <v>3845.5835826224402</v>
      </c>
    </row>
    <row r="2612" spans="1:50" x14ac:dyDescent="0.25">
      <c r="A2612" s="2" t="s">
        <v>17550</v>
      </c>
      <c r="B2612" s="2">
        <v>340.285602215175</v>
      </c>
      <c r="C2612" s="2">
        <v>13.5068</v>
      </c>
      <c r="D2612" s="2" t="s">
        <v>51</v>
      </c>
      <c r="E2612" s="2" t="s">
        <v>17551</v>
      </c>
      <c r="F2612" s="2">
        <v>35866</v>
      </c>
      <c r="G2612" s="3" t="str">
        <f>HYPERLINK("https://cloud.oebiotech.com/#/lm/network/35866", "https://cloud.oebiotech.com/#/lm/network/35866")</f>
        <v>https://cloud.oebiotech.com/#/lm/network/35866</v>
      </c>
      <c r="H2612" s="2"/>
      <c r="I2612" s="2"/>
      <c r="J2612" s="2" t="s">
        <v>17552</v>
      </c>
      <c r="K2612" s="2"/>
      <c r="L2612" s="2"/>
      <c r="M2612" s="2"/>
      <c r="N2612" s="2"/>
      <c r="O2612" s="2"/>
      <c r="P2612" s="2"/>
      <c r="Q2612" s="2"/>
      <c r="R2612" s="2"/>
      <c r="S2612" s="2" t="s">
        <v>17553</v>
      </c>
      <c r="T2612" s="2" t="s">
        <v>17554</v>
      </c>
      <c r="U2612" s="2" t="s">
        <v>56</v>
      </c>
      <c r="V2612" s="2" t="s">
        <v>177</v>
      </c>
      <c r="W2612" s="2" t="s">
        <v>178</v>
      </c>
      <c r="X2612" s="2" t="s">
        <v>59</v>
      </c>
      <c r="Y2612" s="2">
        <v>53.5</v>
      </c>
      <c r="Z2612" s="2">
        <v>75.400000000000006</v>
      </c>
      <c r="AA2612" s="2" t="s">
        <v>512</v>
      </c>
      <c r="AB2612" s="2" t="s">
        <v>2176</v>
      </c>
      <c r="AC2612" s="2">
        <v>3.0464971092008502</v>
      </c>
      <c r="AD2612" s="2"/>
      <c r="AE2612" s="2">
        <v>0.24174776386326999</v>
      </c>
      <c r="AF2612" s="2">
        <v>76731.626777847705</v>
      </c>
      <c r="AG2612" s="2">
        <v>72970.865389753206</v>
      </c>
      <c r="AH2612" s="5">
        <v>1.05153784826324</v>
      </c>
      <c r="AI2612" s="5">
        <v>7.2500778285569098E-2</v>
      </c>
      <c r="AJ2612" s="5" t="s">
        <v>139</v>
      </c>
      <c r="AK2612" s="2">
        <v>0.85696839046626805</v>
      </c>
      <c r="AL2612" s="2">
        <v>0.93698367112306402</v>
      </c>
      <c r="AM2612" s="2">
        <v>102897.779584587</v>
      </c>
      <c r="AN2612" s="2">
        <v>62508.661409218199</v>
      </c>
      <c r="AO2612" s="2">
        <v>120763.990570863</v>
      </c>
      <c r="AP2612" s="2">
        <v>49529.864082544198</v>
      </c>
      <c r="AQ2612" s="2">
        <v>80752.943125242498</v>
      </c>
      <c r="AR2612" s="2">
        <v>43936.521894631303</v>
      </c>
      <c r="AS2612" s="2">
        <v>33883.881925434398</v>
      </c>
      <c r="AT2612" s="2">
        <v>33929.9300813995</v>
      </c>
      <c r="AU2612" s="2">
        <v>121099.094451464</v>
      </c>
      <c r="AV2612" s="2">
        <v>89009.337343072999</v>
      </c>
      <c r="AW2612" s="2">
        <v>111764.573799871</v>
      </c>
      <c r="AX2612" s="2">
        <v>48138.374737277198</v>
      </c>
    </row>
    <row r="2613" spans="1:50" x14ac:dyDescent="0.25">
      <c r="A2613" s="2" t="s">
        <v>17555</v>
      </c>
      <c r="B2613" s="2">
        <v>225.11285837944601</v>
      </c>
      <c r="C2613" s="2">
        <v>6.3293499999999998</v>
      </c>
      <c r="D2613" s="2" t="s">
        <v>51</v>
      </c>
      <c r="E2613" s="2" t="s">
        <v>17556</v>
      </c>
      <c r="F2613" s="2">
        <v>255244</v>
      </c>
      <c r="G2613" s="3" t="str">
        <f>HYPERLINK("https://cloud.oebiotech.com/#/lm/network/255244", "https://cloud.oebiotech.com/#/lm/network/255244")</f>
        <v>https://cloud.oebiotech.com/#/lm/network/255244</v>
      </c>
      <c r="H2613" s="2" t="s">
        <v>17557</v>
      </c>
      <c r="I2613" s="2"/>
      <c r="J2613" s="2"/>
      <c r="K2613" s="2">
        <v>24121290</v>
      </c>
      <c r="L2613" s="2"/>
      <c r="M2613" s="2"/>
      <c r="N2613" s="2"/>
      <c r="O2613" s="2"/>
      <c r="P2613" s="2"/>
      <c r="Q2613" s="2"/>
      <c r="R2613" s="2"/>
      <c r="S2613" s="2" t="s">
        <v>17558</v>
      </c>
      <c r="T2613" s="2" t="s">
        <v>17559</v>
      </c>
      <c r="U2613" s="2" t="s">
        <v>266</v>
      </c>
      <c r="V2613" s="2" t="s">
        <v>11997</v>
      </c>
      <c r="W2613" s="2" t="s">
        <v>240</v>
      </c>
      <c r="X2613" s="2" t="s">
        <v>83</v>
      </c>
      <c r="Y2613" s="2">
        <v>48.7</v>
      </c>
      <c r="Z2613" s="2">
        <v>5.08</v>
      </c>
      <c r="AA2613" s="2" t="s">
        <v>163</v>
      </c>
      <c r="AB2613" s="2" t="s">
        <v>15408</v>
      </c>
      <c r="AC2613" s="2">
        <v>-1.65506461763235</v>
      </c>
      <c r="AD2613" s="2"/>
      <c r="AE2613" s="2">
        <v>0.24174000813888499</v>
      </c>
      <c r="AF2613" s="2">
        <v>8140.7093432024603</v>
      </c>
      <c r="AG2613" s="2">
        <v>5922.9339494814203</v>
      </c>
      <c r="AH2613" s="5">
        <v>1.37443865027656</v>
      </c>
      <c r="AI2613" s="5">
        <v>0.45884251185844299</v>
      </c>
      <c r="AJ2613" s="5" t="s">
        <v>139</v>
      </c>
      <c r="AK2613" s="2">
        <v>7.0080345760177701E-2</v>
      </c>
      <c r="AL2613" s="2">
        <v>0.34954547296639299</v>
      </c>
      <c r="AM2613" s="2">
        <v>4656.7784385157502</v>
      </c>
      <c r="AN2613" s="2">
        <v>9428.8245333590203</v>
      </c>
      <c r="AO2613" s="2">
        <v>7605.2707666555398</v>
      </c>
      <c r="AP2613" s="2">
        <v>6316.4416110412403</v>
      </c>
      <c r="AQ2613" s="2">
        <v>9401.17642251504</v>
      </c>
      <c r="AR2613" s="2">
        <v>11435.764287128201</v>
      </c>
      <c r="AS2613" s="2">
        <v>5762.9371399883803</v>
      </c>
      <c r="AT2613" s="2">
        <v>7624.2163479532501</v>
      </c>
      <c r="AU2613" s="2">
        <v>5533.1322683398002</v>
      </c>
      <c r="AV2613" s="2">
        <v>4305.0725371592598</v>
      </c>
      <c r="AW2613" s="2">
        <v>5813.9792689317801</v>
      </c>
      <c r="AX2613" s="2">
        <v>6498.2661345160304</v>
      </c>
    </row>
    <row r="2614" spans="1:50" x14ac:dyDescent="0.25">
      <c r="A2614" s="2" t="s">
        <v>17560</v>
      </c>
      <c r="B2614" s="2">
        <v>365.23349344936997</v>
      </c>
      <c r="C2614" s="2">
        <v>5.5877166666666698</v>
      </c>
      <c r="D2614" s="2" t="s">
        <v>51</v>
      </c>
      <c r="E2614" s="2" t="s">
        <v>17561</v>
      </c>
      <c r="F2614" s="2">
        <v>48862</v>
      </c>
      <c r="G2614" s="3" t="str">
        <f>HYPERLINK("https://cloud.oebiotech.com/#/lm/network/48862", "https://cloud.oebiotech.com/#/lm/network/48862")</f>
        <v>https://cloud.oebiotech.com/#/lm/network/48862</v>
      </c>
      <c r="H2614" s="2" t="s">
        <v>17562</v>
      </c>
      <c r="I2614" s="2"/>
      <c r="J2614" s="2"/>
      <c r="K2614" s="2">
        <v>440695</v>
      </c>
      <c r="L2614" s="2" t="s">
        <v>17563</v>
      </c>
      <c r="M2614" s="2" t="s">
        <v>2681</v>
      </c>
      <c r="N2614" s="2" t="s">
        <v>2682</v>
      </c>
      <c r="O2614" s="2"/>
      <c r="P2614" s="2"/>
      <c r="Q2614" s="2"/>
      <c r="R2614" s="2"/>
      <c r="S2614" s="2" t="s">
        <v>17564</v>
      </c>
      <c r="T2614" s="2" t="s">
        <v>17565</v>
      </c>
      <c r="U2614" s="2" t="s">
        <v>56</v>
      </c>
      <c r="V2614" s="2" t="s">
        <v>283</v>
      </c>
      <c r="W2614" s="2" t="s">
        <v>492</v>
      </c>
      <c r="X2614" s="2" t="s">
        <v>83</v>
      </c>
      <c r="Y2614" s="2">
        <v>44.5</v>
      </c>
      <c r="Z2614" s="2">
        <v>0</v>
      </c>
      <c r="AA2614" s="2" t="s">
        <v>259</v>
      </c>
      <c r="AB2614" s="2" t="s">
        <v>4492</v>
      </c>
      <c r="AC2614" s="2">
        <v>3.41243302456594</v>
      </c>
      <c r="AD2614" s="2"/>
      <c r="AE2614" s="2">
        <v>0.241653406241159</v>
      </c>
      <c r="AF2614" s="2">
        <v>2592.3284194231801</v>
      </c>
      <c r="AG2614" s="2">
        <v>8133.8891709232603</v>
      </c>
      <c r="AH2614" s="4">
        <v>0.31870712336358697</v>
      </c>
      <c r="AI2614" s="4">
        <v>-1.64969683000293</v>
      </c>
      <c r="AJ2614" s="4" t="s">
        <v>62</v>
      </c>
      <c r="AK2614" s="2">
        <v>0.28338349598478002</v>
      </c>
      <c r="AL2614" s="2">
        <v>0.60000138164408201</v>
      </c>
      <c r="AM2614" s="2">
        <v>2185.1296149437098</v>
      </c>
      <c r="AN2614" s="2">
        <v>3622.7143972650802</v>
      </c>
      <c r="AO2614" s="2">
        <v>2254.8084842084099</v>
      </c>
      <c r="AP2614" s="2">
        <v>2206.8046051525798</v>
      </c>
      <c r="AQ2614" s="2">
        <v>3403.0838525481399</v>
      </c>
      <c r="AR2614" s="2">
        <v>1881.42956242117</v>
      </c>
      <c r="AS2614" s="2">
        <v>6262.8916853884202</v>
      </c>
      <c r="AT2614" s="2">
        <v>32306.597939276799</v>
      </c>
      <c r="AU2614" s="2">
        <v>2454.59128175563</v>
      </c>
      <c r="AV2614" s="2">
        <v>3736.1375218305202</v>
      </c>
      <c r="AW2614" s="2">
        <v>2174.21055063119</v>
      </c>
      <c r="AX2614" s="2">
        <v>1868.9060466569799</v>
      </c>
    </row>
    <row r="2615" spans="1:50" x14ac:dyDescent="0.25">
      <c r="A2615" s="2" t="s">
        <v>17566</v>
      </c>
      <c r="B2615" s="2">
        <v>621.31688746543</v>
      </c>
      <c r="C2615" s="2">
        <v>9.2139500000000005</v>
      </c>
      <c r="D2615" s="2" t="s">
        <v>51</v>
      </c>
      <c r="E2615" s="2" t="s">
        <v>17567</v>
      </c>
      <c r="F2615" s="2">
        <v>200055</v>
      </c>
      <c r="G2615" s="3" t="str">
        <f>HYPERLINK("https://cloud.oebiotech.com/#/lm/network/200055", "https://cloud.oebiotech.com/#/lm/network/200055")</f>
        <v>https://cloud.oebiotech.com/#/lm/network/200055</v>
      </c>
      <c r="H2615" s="2" t="s">
        <v>17568</v>
      </c>
      <c r="I2615" s="2">
        <v>422298</v>
      </c>
      <c r="J2615" s="2"/>
      <c r="K2615" s="2">
        <v>60832</v>
      </c>
      <c r="L2615" s="2"/>
      <c r="M2615" s="2"/>
      <c r="N2615" s="2"/>
      <c r="O2615" s="2"/>
      <c r="P2615" s="2"/>
      <c r="Q2615" s="2"/>
      <c r="R2615" s="2"/>
      <c r="S2615" s="2" t="s">
        <v>17569</v>
      </c>
      <c r="T2615" s="2" t="s">
        <v>17570</v>
      </c>
      <c r="U2615" s="2" t="s">
        <v>266</v>
      </c>
      <c r="V2615" s="2" t="s">
        <v>7995</v>
      </c>
      <c r="W2615" s="2" t="s">
        <v>240</v>
      </c>
      <c r="X2615" s="2" t="s">
        <v>147</v>
      </c>
      <c r="Y2615" s="2">
        <v>37.200000000000003</v>
      </c>
      <c r="Z2615" s="2">
        <v>0</v>
      </c>
      <c r="AA2615" s="2" t="s">
        <v>478</v>
      </c>
      <c r="AB2615" s="2" t="s">
        <v>17571</v>
      </c>
      <c r="AC2615" s="2">
        <v>-4.1617310105289</v>
      </c>
      <c r="AD2615" s="2"/>
      <c r="AE2615" s="2">
        <v>0.24150177952459101</v>
      </c>
      <c r="AF2615" s="2">
        <v>4785.0914999137403</v>
      </c>
      <c r="AG2615" s="2">
        <v>3113.82082746891</v>
      </c>
      <c r="AH2615" s="5">
        <v>1.5367266663841199</v>
      </c>
      <c r="AI2615" s="5">
        <v>0.61986057939438399</v>
      </c>
      <c r="AJ2615" s="5" t="s">
        <v>139</v>
      </c>
      <c r="AK2615" s="2">
        <v>3.1009163688759001E-2</v>
      </c>
      <c r="AL2615" s="2">
        <v>0.26142937464104898</v>
      </c>
      <c r="AM2615" s="2">
        <v>4642.36001877524</v>
      </c>
      <c r="AN2615" s="2">
        <v>5778.4954435121599</v>
      </c>
      <c r="AO2615" s="2">
        <v>3520.9369452978899</v>
      </c>
      <c r="AP2615" s="2">
        <v>4207.4931845211304</v>
      </c>
      <c r="AQ2615" s="2">
        <v>4397.8477082993704</v>
      </c>
      <c r="AR2615" s="2">
        <v>6163.4156990766296</v>
      </c>
      <c r="AS2615" s="2">
        <v>3593.2325973519401</v>
      </c>
      <c r="AT2615" s="2">
        <v>2004.75872696338</v>
      </c>
      <c r="AU2615" s="2">
        <v>4400.9710440369699</v>
      </c>
      <c r="AV2615" s="2">
        <v>2841.00798994665</v>
      </c>
      <c r="AW2615" s="2">
        <v>1329.9218888486701</v>
      </c>
      <c r="AX2615" s="2">
        <v>4513.0327176658502</v>
      </c>
    </row>
    <row r="2616" spans="1:50" x14ac:dyDescent="0.25">
      <c r="A2616" s="2" t="s">
        <v>17572</v>
      </c>
      <c r="B2616" s="2">
        <v>117.04</v>
      </c>
      <c r="C2616" s="2">
        <v>16.082999999999998</v>
      </c>
      <c r="D2616" s="2" t="s">
        <v>125</v>
      </c>
      <c r="E2616" s="2" t="s">
        <v>17573</v>
      </c>
      <c r="F2616" s="2">
        <v>56835</v>
      </c>
      <c r="G2616" s="3" t="str">
        <f>HYPERLINK("https://cloud.oebiotech.com/#/lm/network/56835", "https://cloud.oebiotech.com/#/lm/network/56835")</f>
        <v>https://cloud.oebiotech.com/#/lm/network/56835</v>
      </c>
      <c r="H2616" s="2" t="s">
        <v>17574</v>
      </c>
      <c r="I2616" s="2">
        <v>43365</v>
      </c>
      <c r="J2616" s="2"/>
      <c r="K2616" s="2">
        <v>7618</v>
      </c>
      <c r="L2616" s="2" t="s">
        <v>17575</v>
      </c>
      <c r="M2616" s="2" t="s">
        <v>8913</v>
      </c>
      <c r="N2616" s="2" t="s">
        <v>8914</v>
      </c>
      <c r="O2616" s="2">
        <v>28621</v>
      </c>
      <c r="P2616" s="2"/>
      <c r="Q2616" s="2"/>
      <c r="R2616" s="2" t="s">
        <v>17576</v>
      </c>
      <c r="S2616" s="2" t="s">
        <v>17577</v>
      </c>
      <c r="T2616" s="2" t="s">
        <v>17578</v>
      </c>
      <c r="U2616" s="2" t="s">
        <v>119</v>
      </c>
      <c r="V2616" s="2" t="s">
        <v>120</v>
      </c>
      <c r="W2616" s="2" t="s">
        <v>1887</v>
      </c>
      <c r="X2616" s="2" t="s">
        <v>59</v>
      </c>
      <c r="Y2616" s="2">
        <v>72.5</v>
      </c>
      <c r="Z2616" s="2">
        <v>54.5</v>
      </c>
      <c r="AA2616" s="2"/>
      <c r="AB2616" s="2" t="s">
        <v>17579</v>
      </c>
      <c r="AC2616" s="2"/>
      <c r="AD2616" s="2">
        <v>540685.97728055099</v>
      </c>
      <c r="AE2616" s="2">
        <v>0.24146105039556501</v>
      </c>
      <c r="AF2616" s="2">
        <v>45915.656293257802</v>
      </c>
      <c r="AG2616" s="2">
        <v>15075.952072182101</v>
      </c>
      <c r="AH2616" s="5">
        <v>3.0456223310752399</v>
      </c>
      <c r="AI2616" s="5">
        <v>1.6067370531627301</v>
      </c>
      <c r="AJ2616" s="5" t="s">
        <v>139</v>
      </c>
      <c r="AK2616" s="2">
        <v>0.38286812012814198</v>
      </c>
      <c r="AL2616" s="2">
        <v>0.66023025420912795</v>
      </c>
      <c r="AM2616" s="2">
        <v>13803.1243585886</v>
      </c>
      <c r="AN2616" s="2">
        <v>10101.1314611289</v>
      </c>
      <c r="AO2616" s="2">
        <v>8754.2483014200006</v>
      </c>
      <c r="AP2616" s="2">
        <v>20290.8312243972</v>
      </c>
      <c r="AQ2616" s="2">
        <v>214177.90373814499</v>
      </c>
      <c r="AR2616" s="2">
        <v>8366.6986758669409</v>
      </c>
      <c r="AS2616" s="2">
        <v>8905.2254322341396</v>
      </c>
      <c r="AT2616" s="2">
        <v>15924.2823650522</v>
      </c>
      <c r="AU2616" s="2">
        <v>23184.761471126101</v>
      </c>
      <c r="AV2616" s="2">
        <v>19782.966062937401</v>
      </c>
      <c r="AW2616" s="2">
        <v>7994.1517160468502</v>
      </c>
      <c r="AX2616" s="2">
        <v>14664.3253856957</v>
      </c>
    </row>
    <row r="2617" spans="1:50" x14ac:dyDescent="0.25">
      <c r="A2617" s="2" t="s">
        <v>17580</v>
      </c>
      <c r="B2617" s="2">
        <v>257.19080733143801</v>
      </c>
      <c r="C2617" s="2">
        <v>7.4063833333333298</v>
      </c>
      <c r="D2617" s="2" t="s">
        <v>51</v>
      </c>
      <c r="E2617" s="2" t="s">
        <v>17581</v>
      </c>
      <c r="F2617" s="2">
        <v>203883</v>
      </c>
      <c r="G2617" s="3" t="str">
        <f>HYPERLINK("https://cloud.oebiotech.com/#/lm/network/203883", "https://cloud.oebiotech.com/#/lm/network/203883")</f>
        <v>https://cloud.oebiotech.com/#/lm/network/203883</v>
      </c>
      <c r="H2617" s="2" t="s">
        <v>17582</v>
      </c>
      <c r="I2617" s="2"/>
      <c r="J2617" s="2"/>
      <c r="K2617" s="2">
        <v>500216</v>
      </c>
      <c r="L2617" s="2"/>
      <c r="M2617" s="2"/>
      <c r="N2617" s="2"/>
      <c r="O2617" s="2"/>
      <c r="P2617" s="2"/>
      <c r="Q2617" s="2"/>
      <c r="R2617" s="2"/>
      <c r="S2617" s="2" t="s">
        <v>17583</v>
      </c>
      <c r="T2617" s="2" t="s">
        <v>17584</v>
      </c>
      <c r="U2617" s="2" t="s">
        <v>56</v>
      </c>
      <c r="V2617" s="2" t="s">
        <v>177</v>
      </c>
      <c r="W2617" s="2" t="s">
        <v>584</v>
      </c>
      <c r="X2617" s="2" t="s">
        <v>147</v>
      </c>
      <c r="Y2617" s="2">
        <v>38.4</v>
      </c>
      <c r="Z2617" s="2">
        <v>7.35</v>
      </c>
      <c r="AA2617" s="2" t="s">
        <v>179</v>
      </c>
      <c r="AB2617" s="2" t="s">
        <v>17585</v>
      </c>
      <c r="AC2617" s="2">
        <v>3.1833146762368201</v>
      </c>
      <c r="AD2617" s="2"/>
      <c r="AE2617" s="2">
        <v>0.241152023287133</v>
      </c>
      <c r="AF2617" s="2">
        <v>4412.1182161495399</v>
      </c>
      <c r="AG2617" s="2">
        <v>2918.9426234590101</v>
      </c>
      <c r="AH2617" s="5">
        <v>1.51154674322481</v>
      </c>
      <c r="AI2617" s="5">
        <v>0.59602559370324004</v>
      </c>
      <c r="AJ2617" s="5" t="s">
        <v>139</v>
      </c>
      <c r="AK2617" s="2">
        <v>0.12432374108527799</v>
      </c>
      <c r="AL2617" s="2">
        <v>0.44128813217080598</v>
      </c>
      <c r="AM2617" s="2">
        <v>8099.0241267934298</v>
      </c>
      <c r="AN2617" s="2">
        <v>4594.2733965245698</v>
      </c>
      <c r="AO2617" s="2">
        <v>2826.1654919882499</v>
      </c>
      <c r="AP2617" s="2">
        <v>3475.1684352297302</v>
      </c>
      <c r="AQ2617" s="2">
        <v>2546.4669366029402</v>
      </c>
      <c r="AR2617" s="2">
        <v>4931.6109097583203</v>
      </c>
      <c r="AS2617" s="2">
        <v>4261.9093130424599</v>
      </c>
      <c r="AT2617" s="2">
        <v>2899.8033910285499</v>
      </c>
      <c r="AU2617" s="2">
        <v>2979.9819879913598</v>
      </c>
      <c r="AV2617" s="2">
        <v>1986.69165823399</v>
      </c>
      <c r="AW2617" s="2">
        <v>2366.4067059824501</v>
      </c>
      <c r="AX2617" s="2">
        <v>3018.8626844752398</v>
      </c>
    </row>
    <row r="2618" spans="1:50" x14ac:dyDescent="0.25">
      <c r="A2618" s="2" t="s">
        <v>17586</v>
      </c>
      <c r="B2618" s="2">
        <v>423.23698905530699</v>
      </c>
      <c r="C2618" s="2">
        <v>8.1572999999999993</v>
      </c>
      <c r="D2618" s="2" t="s">
        <v>51</v>
      </c>
      <c r="E2618" s="2" t="s">
        <v>17587</v>
      </c>
      <c r="F2618" s="2">
        <v>4911</v>
      </c>
      <c r="G2618" s="3" t="str">
        <f>HYPERLINK("https://cloud.oebiotech.com/#/lm/network/4911", "https://cloud.oebiotech.com/#/lm/network/4911")</f>
        <v>https://cloud.oebiotech.com/#/lm/network/4911</v>
      </c>
      <c r="H2618" s="2"/>
      <c r="I2618" s="2">
        <v>69717</v>
      </c>
      <c r="J2618" s="2" t="s">
        <v>17588</v>
      </c>
      <c r="K2618" s="2">
        <v>5282271</v>
      </c>
      <c r="L2618" s="2" t="s">
        <v>17589</v>
      </c>
      <c r="M2618" s="2"/>
      <c r="N2618" s="2"/>
      <c r="O2618" s="2">
        <v>34752</v>
      </c>
      <c r="P2618" s="2"/>
      <c r="Q2618" s="2"/>
      <c r="R2618" s="2"/>
      <c r="S2618" s="2" t="s">
        <v>17590</v>
      </c>
      <c r="T2618" s="2" t="s">
        <v>17591</v>
      </c>
      <c r="U2618" s="2" t="s">
        <v>56</v>
      </c>
      <c r="V2618" s="2" t="s">
        <v>145</v>
      </c>
      <c r="W2618" s="2" t="s">
        <v>231</v>
      </c>
      <c r="X2618" s="2" t="s">
        <v>83</v>
      </c>
      <c r="Y2618" s="2">
        <v>46.7</v>
      </c>
      <c r="Z2618" s="2">
        <v>0</v>
      </c>
      <c r="AA2618" s="2" t="s">
        <v>218</v>
      </c>
      <c r="AB2618" s="2" t="s">
        <v>3507</v>
      </c>
      <c r="AC2618" s="2">
        <v>-4.8593481386599704</v>
      </c>
      <c r="AD2618" s="2"/>
      <c r="AE2618" s="2">
        <v>0.24109446439766999</v>
      </c>
      <c r="AF2618" s="2">
        <v>3314.6179520354399</v>
      </c>
      <c r="AG2618" s="2">
        <v>1679.34205371281</v>
      </c>
      <c r="AH2618" s="5">
        <v>1.9737598690554099</v>
      </c>
      <c r="AI2618" s="5">
        <v>0.98094647976591898</v>
      </c>
      <c r="AJ2618" s="5" t="s">
        <v>139</v>
      </c>
      <c r="AK2618" s="2">
        <v>0.271012936920419</v>
      </c>
      <c r="AL2618" s="2">
        <v>0.59132811705127897</v>
      </c>
      <c r="AM2618" s="2">
        <v>8316.9972319872704</v>
      </c>
      <c r="AN2618" s="2">
        <v>4196.7638068358501</v>
      </c>
      <c r="AO2618" s="2">
        <v>764.84095307684299</v>
      </c>
      <c r="AP2618" s="2">
        <v>1773.3117466485501</v>
      </c>
      <c r="AQ2618" s="2">
        <v>2388.6379574276498</v>
      </c>
      <c r="AR2618" s="2">
        <v>2447.1560162364899</v>
      </c>
      <c r="AS2618" s="2">
        <v>613.28662480465005</v>
      </c>
      <c r="AT2618" s="2">
        <v>8.559877937157E-6</v>
      </c>
      <c r="AU2618" s="2">
        <v>5416.4011061090596</v>
      </c>
      <c r="AV2618" s="2">
        <v>200.17546415466401</v>
      </c>
      <c r="AW2618" s="2">
        <v>3058.7133600417801</v>
      </c>
      <c r="AX2618" s="2">
        <v>787.47575860683298</v>
      </c>
    </row>
    <row r="2619" spans="1:50" x14ac:dyDescent="0.25">
      <c r="A2619" s="2" t="s">
        <v>17592</v>
      </c>
      <c r="B2619" s="2">
        <v>350.09866783111698</v>
      </c>
      <c r="C2619" s="2">
        <v>0.782216666666667</v>
      </c>
      <c r="D2619" s="2" t="s">
        <v>51</v>
      </c>
      <c r="E2619" s="2" t="s">
        <v>17593</v>
      </c>
      <c r="F2619" s="2">
        <v>51924</v>
      </c>
      <c r="G2619" s="3" t="str">
        <f>HYPERLINK("https://cloud.oebiotech.com/#/lm/network/51924", "https://cloud.oebiotech.com/#/lm/network/51924")</f>
        <v>https://cloud.oebiotech.com/#/lm/network/51924</v>
      </c>
      <c r="H2619" s="2" t="s">
        <v>17594</v>
      </c>
      <c r="I2619" s="2">
        <v>315007</v>
      </c>
      <c r="J2619" s="2"/>
      <c r="K2619" s="2">
        <v>5281081</v>
      </c>
      <c r="L2619" s="2" t="s">
        <v>17595</v>
      </c>
      <c r="M2619" s="2"/>
      <c r="N2619" s="2"/>
      <c r="O2619" s="2">
        <v>4798</v>
      </c>
      <c r="P2619" s="2"/>
      <c r="Q2619" s="2"/>
      <c r="R2619" s="2" t="s">
        <v>17596</v>
      </c>
      <c r="S2619" s="2" t="s">
        <v>17597</v>
      </c>
      <c r="T2619" s="2" t="s">
        <v>17598</v>
      </c>
      <c r="U2619" s="2" t="s">
        <v>540</v>
      </c>
      <c r="V2619" s="2" t="s">
        <v>3291</v>
      </c>
      <c r="W2619" s="2" t="s">
        <v>3292</v>
      </c>
      <c r="X2619" s="2" t="s">
        <v>147</v>
      </c>
      <c r="Y2619" s="2">
        <v>37.1</v>
      </c>
      <c r="Z2619" s="2">
        <v>0</v>
      </c>
      <c r="AA2619" s="2" t="s">
        <v>218</v>
      </c>
      <c r="AB2619" s="2" t="s">
        <v>17599</v>
      </c>
      <c r="AC2619" s="2">
        <v>-2.3127808135222701</v>
      </c>
      <c r="AD2619" s="2"/>
      <c r="AE2619" s="2">
        <v>0.240944695715748</v>
      </c>
      <c r="AF2619" s="2">
        <v>8607.0944466844103</v>
      </c>
      <c r="AG2619" s="2">
        <v>11746.232386048699</v>
      </c>
      <c r="AH2619" s="4">
        <v>0.73275363229721702</v>
      </c>
      <c r="AI2619" s="4">
        <v>-0.44859988044174498</v>
      </c>
      <c r="AJ2619" s="4" t="s">
        <v>62</v>
      </c>
      <c r="AK2619" s="2">
        <v>0.47215815836837299</v>
      </c>
      <c r="AL2619" s="2">
        <v>0.71858574371521</v>
      </c>
      <c r="AM2619" s="2">
        <v>1880.24036034653</v>
      </c>
      <c r="AN2619" s="2">
        <v>18336.825963544001</v>
      </c>
      <c r="AO2619" s="2">
        <v>9063.5665642470103</v>
      </c>
      <c r="AP2619" s="2">
        <v>958.24403291008196</v>
      </c>
      <c r="AQ2619" s="2">
        <v>5615.1564615646603</v>
      </c>
      <c r="AR2619" s="2">
        <v>15788.533297494199</v>
      </c>
      <c r="AS2619" s="2">
        <v>20735.0817449895</v>
      </c>
      <c r="AT2619" s="2">
        <v>7282.0057719778397</v>
      </c>
      <c r="AU2619" s="2">
        <v>4543.2010913649801</v>
      </c>
      <c r="AV2619" s="2">
        <v>10379.1432086886</v>
      </c>
      <c r="AW2619" s="2">
        <v>6430.3474399958204</v>
      </c>
      <c r="AX2619" s="2">
        <v>21107.615059275598</v>
      </c>
    </row>
    <row r="2620" spans="1:50" x14ac:dyDescent="0.25">
      <c r="A2620" s="2" t="s">
        <v>17600</v>
      </c>
      <c r="B2620" s="2">
        <v>548.30077995205795</v>
      </c>
      <c r="C2620" s="2">
        <v>10.4101833333333</v>
      </c>
      <c r="D2620" s="2" t="s">
        <v>51</v>
      </c>
      <c r="E2620" s="2" t="s">
        <v>17601</v>
      </c>
      <c r="F2620" s="2">
        <v>267520</v>
      </c>
      <c r="G2620" s="3" t="str">
        <f>HYPERLINK("https://cloud.oebiotech.com/#/lm/network/267520", "https://cloud.oebiotech.com/#/lm/network/267520")</f>
        <v>https://cloud.oebiotech.com/#/lm/network/267520</v>
      </c>
      <c r="H2620" s="2"/>
      <c r="I2620" s="2">
        <v>45605</v>
      </c>
      <c r="J2620" s="2"/>
      <c r="K2620" s="2">
        <v>90473691</v>
      </c>
      <c r="L2620" s="2"/>
      <c r="M2620" s="2"/>
      <c r="N2620" s="2"/>
      <c r="O2620" s="2"/>
      <c r="P2620" s="2"/>
      <c r="Q2620" s="2"/>
      <c r="R2620" s="2" t="s">
        <v>17602</v>
      </c>
      <c r="S2620" s="2" t="s">
        <v>17603</v>
      </c>
      <c r="T2620" s="2" t="s">
        <v>17604</v>
      </c>
      <c r="U2620" s="2" t="s">
        <v>56</v>
      </c>
      <c r="V2620" s="2" t="s">
        <v>145</v>
      </c>
      <c r="W2620" s="2" t="s">
        <v>187</v>
      </c>
      <c r="X2620" s="2" t="s">
        <v>147</v>
      </c>
      <c r="Y2620" s="2">
        <v>39.299999999999997</v>
      </c>
      <c r="Z2620" s="2">
        <v>0</v>
      </c>
      <c r="AA2620" s="2" t="s">
        <v>3769</v>
      </c>
      <c r="AB2620" s="2" t="s">
        <v>17605</v>
      </c>
      <c r="AC2620" s="2">
        <v>0.211007534541233</v>
      </c>
      <c r="AD2620" s="2"/>
      <c r="AE2620" s="2">
        <v>0.240934011133694</v>
      </c>
      <c r="AF2620" s="2">
        <v>187748.55363145901</v>
      </c>
      <c r="AG2620" s="2">
        <v>183950.466694401</v>
      </c>
      <c r="AH2620" s="5">
        <v>1.0206473351512</v>
      </c>
      <c r="AI2620" s="5">
        <v>2.9484457088178099E-2</v>
      </c>
      <c r="AJ2620" s="5" t="s">
        <v>139</v>
      </c>
      <c r="AK2620" s="2">
        <v>0.83455618098263595</v>
      </c>
      <c r="AL2620" s="2">
        <v>0.92739717256062304</v>
      </c>
      <c r="AM2620" s="2">
        <v>205326.07955776001</v>
      </c>
      <c r="AN2620" s="2">
        <v>218830.67632108901</v>
      </c>
      <c r="AO2620" s="2">
        <v>226489.10992585399</v>
      </c>
      <c r="AP2620" s="2">
        <v>147068.12414592301</v>
      </c>
      <c r="AQ2620" s="2">
        <v>157588.338124865</v>
      </c>
      <c r="AR2620" s="2">
        <v>171188.993713262</v>
      </c>
      <c r="AS2620" s="2">
        <v>188623.72543235001</v>
      </c>
      <c r="AT2620" s="2">
        <v>136963.982251173</v>
      </c>
      <c r="AU2620" s="2">
        <v>202634.708722982</v>
      </c>
      <c r="AV2620" s="2">
        <v>168029.675083907</v>
      </c>
      <c r="AW2620" s="2">
        <v>213398.07659305501</v>
      </c>
      <c r="AX2620" s="2">
        <v>194052.632082936</v>
      </c>
    </row>
    <row r="2621" spans="1:50" x14ac:dyDescent="0.25">
      <c r="A2621" s="2" t="s">
        <v>17606</v>
      </c>
      <c r="B2621" s="2">
        <v>282.15378074110799</v>
      </c>
      <c r="C2621" s="2">
        <v>11.6971333333333</v>
      </c>
      <c r="D2621" s="2" t="s">
        <v>51</v>
      </c>
      <c r="E2621" s="2" t="s">
        <v>17607</v>
      </c>
      <c r="F2621" s="2">
        <v>197002</v>
      </c>
      <c r="G2621" s="3" t="str">
        <f>HYPERLINK("https://cloud.oebiotech.com/#/lm/network/197002", "https://cloud.oebiotech.com/#/lm/network/197002")</f>
        <v>https://cloud.oebiotech.com/#/lm/network/197002</v>
      </c>
      <c r="H2621" s="2" t="s">
        <v>17608</v>
      </c>
      <c r="I2621" s="2"/>
      <c r="J2621" s="2"/>
      <c r="K2621" s="2"/>
      <c r="L2621" s="2"/>
      <c r="M2621" s="2"/>
      <c r="N2621" s="2"/>
      <c r="O2621" s="2"/>
      <c r="P2621" s="2"/>
      <c r="Q2621" s="2"/>
      <c r="R2621" s="2" t="s">
        <v>17609</v>
      </c>
      <c r="S2621" s="2" t="s">
        <v>17610</v>
      </c>
      <c r="T2621" s="2" t="s">
        <v>17611</v>
      </c>
      <c r="U2621" s="2" t="s">
        <v>266</v>
      </c>
      <c r="V2621" s="2" t="s">
        <v>5547</v>
      </c>
      <c r="W2621" s="2" t="s">
        <v>5548</v>
      </c>
      <c r="X2621" s="2" t="s">
        <v>147</v>
      </c>
      <c r="Y2621" s="2">
        <v>37.4</v>
      </c>
      <c r="Z2621" s="2">
        <v>0</v>
      </c>
      <c r="AA2621" s="2" t="s">
        <v>156</v>
      </c>
      <c r="AB2621" s="2" t="s">
        <v>17612</v>
      </c>
      <c r="AC2621" s="2">
        <v>-3.7630796066929402</v>
      </c>
      <c r="AD2621" s="2"/>
      <c r="AE2621" s="2">
        <v>0.24081450385672901</v>
      </c>
      <c r="AF2621" s="2">
        <v>15933.671786676599</v>
      </c>
      <c r="AG2621" s="2">
        <v>13865.2144259699</v>
      </c>
      <c r="AH2621" s="5">
        <v>1.1491832219220799</v>
      </c>
      <c r="AI2621" s="5">
        <v>0.200608834785621</v>
      </c>
      <c r="AJ2621" s="5" t="s">
        <v>139</v>
      </c>
      <c r="AK2621" s="2">
        <v>0.62729653759877602</v>
      </c>
      <c r="AL2621" s="2">
        <v>0.81682523325343204</v>
      </c>
      <c r="AM2621" s="2">
        <v>28653.2619981645</v>
      </c>
      <c r="AN2621" s="2">
        <v>16763.9721201717</v>
      </c>
      <c r="AO2621" s="2">
        <v>14536.452582830199</v>
      </c>
      <c r="AP2621" s="2">
        <v>12553.714278400201</v>
      </c>
      <c r="AQ2621" s="2">
        <v>10333.6291569683</v>
      </c>
      <c r="AR2621" s="2">
        <v>12761.000583524799</v>
      </c>
      <c r="AS2621" s="2">
        <v>12029.9890568591</v>
      </c>
      <c r="AT2621" s="2">
        <v>6706.8940397838296</v>
      </c>
      <c r="AU2621" s="2">
        <v>27959.746541538101</v>
      </c>
      <c r="AV2621" s="2">
        <v>10604.8610848809</v>
      </c>
      <c r="AW2621" s="2">
        <v>16736.470779559098</v>
      </c>
      <c r="AX2621" s="2">
        <v>9153.3250531985905</v>
      </c>
    </row>
    <row r="2622" spans="1:50" x14ac:dyDescent="0.25">
      <c r="A2622" s="2" t="s">
        <v>17613</v>
      </c>
      <c r="B2622" s="2">
        <v>398.07997559392697</v>
      </c>
      <c r="C2622" s="2">
        <v>5.7116499999999997</v>
      </c>
      <c r="D2622" s="2" t="s">
        <v>51</v>
      </c>
      <c r="E2622" s="2" t="s">
        <v>17614</v>
      </c>
      <c r="F2622" s="2">
        <v>207974</v>
      </c>
      <c r="G2622" s="3" t="str">
        <f>HYPERLINK("https://cloud.oebiotech.com/#/lm/network/207974", "https://cloud.oebiotech.com/#/lm/network/207974")</f>
        <v>https://cloud.oebiotech.com/#/lm/network/207974</v>
      </c>
      <c r="H2622" s="2" t="s">
        <v>17615</v>
      </c>
      <c r="I2622" s="2"/>
      <c r="J2622" s="2"/>
      <c r="K2622" s="2">
        <v>270631</v>
      </c>
      <c r="L2622" s="2"/>
      <c r="M2622" s="2"/>
      <c r="N2622" s="2"/>
      <c r="O2622" s="2"/>
      <c r="P2622" s="2"/>
      <c r="Q2622" s="2"/>
      <c r="R2622" s="2"/>
      <c r="S2622" s="2" t="s">
        <v>17616</v>
      </c>
      <c r="T2622" s="2" t="s">
        <v>17617</v>
      </c>
      <c r="U2622" s="2" t="s">
        <v>103</v>
      </c>
      <c r="V2622" s="2" t="s">
        <v>104</v>
      </c>
      <c r="W2622" s="2" t="s">
        <v>105</v>
      </c>
      <c r="X2622" s="2" t="s">
        <v>147</v>
      </c>
      <c r="Y2622" s="2">
        <v>40</v>
      </c>
      <c r="Z2622" s="2">
        <v>13.6</v>
      </c>
      <c r="AA2622" s="2" t="s">
        <v>395</v>
      </c>
      <c r="AB2622" s="2" t="s">
        <v>17618</v>
      </c>
      <c r="AC2622" s="2">
        <v>4.7647917530821804</v>
      </c>
      <c r="AD2622" s="2"/>
      <c r="AE2622" s="2">
        <v>0.24080015102154201</v>
      </c>
      <c r="AF2622" s="2">
        <v>102.14755871429701</v>
      </c>
      <c r="AG2622" s="2">
        <v>2643.0063408882202</v>
      </c>
      <c r="AH2622" s="4">
        <v>3.8648245800261202E-2</v>
      </c>
      <c r="AI2622" s="4">
        <v>-4.6934532564188496</v>
      </c>
      <c r="AJ2622" s="4" t="s">
        <v>62</v>
      </c>
      <c r="AK2622" s="2">
        <v>0.31292267210089603</v>
      </c>
      <c r="AL2622" s="2">
        <v>0.62238589757555196</v>
      </c>
      <c r="AM2622" s="2">
        <v>8.559877937157E-6</v>
      </c>
      <c r="AN2622" s="2">
        <v>8.559877937157E-6</v>
      </c>
      <c r="AO2622" s="2">
        <v>8.559877937157E-6</v>
      </c>
      <c r="AP2622" s="2">
        <v>8.559877937157E-6</v>
      </c>
      <c r="AQ2622" s="2">
        <v>8.559877937157E-6</v>
      </c>
      <c r="AR2622" s="2">
        <v>612.88530948639095</v>
      </c>
      <c r="AS2622" s="2">
        <v>8.559877937157E-6</v>
      </c>
      <c r="AT2622" s="2">
        <v>8.559877937157E-6</v>
      </c>
      <c r="AU2622" s="2">
        <v>634.15337285655801</v>
      </c>
      <c r="AV2622" s="2">
        <v>504.23537454636102</v>
      </c>
      <c r="AW2622" s="2">
        <v>14575.073015235401</v>
      </c>
      <c r="AX2622" s="2">
        <v>144.57626557122501</v>
      </c>
    </row>
    <row r="2623" spans="1:50" x14ac:dyDescent="0.25">
      <c r="A2623" s="2" t="s">
        <v>17619</v>
      </c>
      <c r="B2623" s="2">
        <v>349.12304293229101</v>
      </c>
      <c r="C2623" s="2">
        <v>8.8124500000000001</v>
      </c>
      <c r="D2623" s="2" t="s">
        <v>51</v>
      </c>
      <c r="E2623" s="2" t="s">
        <v>17620</v>
      </c>
      <c r="F2623" s="2">
        <v>514042</v>
      </c>
      <c r="G2623" s="3" t="str">
        <f>HYPERLINK("https://cloud.oebiotech.com/#/lm/network/514042", "https://cloud.oebiotech.com/#/lm/network/514042")</f>
        <v>https://cloud.oebiotech.com/#/lm/network/514042</v>
      </c>
      <c r="H2623" s="2"/>
      <c r="I2623" s="2">
        <v>96351</v>
      </c>
      <c r="J2623" s="2"/>
      <c r="K2623" s="2">
        <v>222114</v>
      </c>
      <c r="L2623" s="2"/>
      <c r="M2623" s="2"/>
      <c r="N2623" s="2"/>
      <c r="O2623" s="2"/>
      <c r="P2623" s="2"/>
      <c r="Q2623" s="2"/>
      <c r="R2623" s="2"/>
      <c r="S2623" s="2" t="s">
        <v>17621</v>
      </c>
      <c r="T2623" s="2" t="s">
        <v>17622</v>
      </c>
      <c r="U2623" s="2" t="s">
        <v>610</v>
      </c>
      <c r="V2623" s="2" t="s">
        <v>611</v>
      </c>
      <c r="W2623" s="2" t="s">
        <v>5656</v>
      </c>
      <c r="X2623" s="2" t="s">
        <v>147</v>
      </c>
      <c r="Y2623" s="2">
        <v>37.799999999999997</v>
      </c>
      <c r="Z2623" s="2">
        <v>0</v>
      </c>
      <c r="AA2623" s="2" t="s">
        <v>218</v>
      </c>
      <c r="AB2623" s="2" t="s">
        <v>17623</v>
      </c>
      <c r="AC2623" s="2">
        <v>0.95741094380509495</v>
      </c>
      <c r="AD2623" s="2"/>
      <c r="AE2623" s="2">
        <v>0.240753259158314</v>
      </c>
      <c r="AF2623" s="2">
        <v>137.36182594269701</v>
      </c>
      <c r="AG2623" s="2">
        <v>2058.8449332125001</v>
      </c>
      <c r="AH2623" s="4">
        <v>6.6717907564007597E-2</v>
      </c>
      <c r="AI2623" s="4">
        <v>-3.9057821467110698</v>
      </c>
      <c r="AJ2623" s="4" t="s">
        <v>62</v>
      </c>
      <c r="AK2623" s="2">
        <v>7.6767252359345006E-2</v>
      </c>
      <c r="AL2623" s="2">
        <v>0.36102259885854299</v>
      </c>
      <c r="AM2623" s="2">
        <v>8.559877937157E-6</v>
      </c>
      <c r="AN2623" s="2">
        <v>8.559877937157E-6</v>
      </c>
      <c r="AO2623" s="2">
        <v>338.860726857153</v>
      </c>
      <c r="AP2623" s="2">
        <v>8.559877937157E-6</v>
      </c>
      <c r="AQ2623" s="2">
        <v>191.49545646596201</v>
      </c>
      <c r="AR2623" s="2">
        <v>293.81474665343399</v>
      </c>
      <c r="AS2623" s="2">
        <v>414.19591725978898</v>
      </c>
      <c r="AT2623" s="2">
        <v>159.80908480260399</v>
      </c>
      <c r="AU2623" s="2">
        <v>4033.3525396945101</v>
      </c>
      <c r="AV2623" s="2">
        <v>664.29797000301096</v>
      </c>
      <c r="AW2623" s="2">
        <v>5968.0675684460602</v>
      </c>
      <c r="AX2623" s="2">
        <v>1113.3465190690399</v>
      </c>
    </row>
    <row r="2624" spans="1:50" x14ac:dyDescent="0.25">
      <c r="A2624" s="2" t="s">
        <v>17624</v>
      </c>
      <c r="B2624" s="2">
        <v>401.14567986969399</v>
      </c>
      <c r="C2624" s="2">
        <v>5.0792999999999999</v>
      </c>
      <c r="D2624" s="2" t="s">
        <v>51</v>
      </c>
      <c r="E2624" s="2" t="s">
        <v>17625</v>
      </c>
      <c r="F2624" s="2">
        <v>56176</v>
      </c>
      <c r="G2624" s="3" t="str">
        <f>HYPERLINK("https://cloud.oebiotech.com/#/lm/network/56176", "https://cloud.oebiotech.com/#/lm/network/56176")</f>
        <v>https://cloud.oebiotech.com/#/lm/network/56176</v>
      </c>
      <c r="H2624" s="2" t="s">
        <v>17626</v>
      </c>
      <c r="I2624" s="2">
        <v>87871</v>
      </c>
      <c r="J2624" s="2"/>
      <c r="K2624" s="2">
        <v>16681750</v>
      </c>
      <c r="L2624" s="2"/>
      <c r="M2624" s="2"/>
      <c r="N2624" s="2"/>
      <c r="O2624" s="2">
        <v>167942</v>
      </c>
      <c r="P2624" s="2"/>
      <c r="Q2624" s="2"/>
      <c r="R2624" s="2"/>
      <c r="S2624" s="2" t="s">
        <v>17627</v>
      </c>
      <c r="T2624" s="2" t="s">
        <v>17628</v>
      </c>
      <c r="U2624" s="2" t="s">
        <v>56</v>
      </c>
      <c r="V2624" s="2" t="s">
        <v>145</v>
      </c>
      <c r="W2624" s="2" t="s">
        <v>3263</v>
      </c>
      <c r="X2624" s="2" t="s">
        <v>147</v>
      </c>
      <c r="Y2624" s="2">
        <v>45.9</v>
      </c>
      <c r="Z2624" s="2">
        <v>37.6</v>
      </c>
      <c r="AA2624" s="2" t="s">
        <v>218</v>
      </c>
      <c r="AB2624" s="2" t="s">
        <v>17629</v>
      </c>
      <c r="AC2624" s="2">
        <v>1.00877844112087</v>
      </c>
      <c r="AD2624" s="2"/>
      <c r="AE2624" s="2">
        <v>0.24061291950475899</v>
      </c>
      <c r="AF2624" s="2">
        <v>693.58504200227003</v>
      </c>
      <c r="AG2624" s="2">
        <v>3374.1393523133602</v>
      </c>
      <c r="AH2624" s="4">
        <v>0.20555909806355099</v>
      </c>
      <c r="AI2624" s="4">
        <v>-2.28237486776445</v>
      </c>
      <c r="AJ2624" s="4" t="s">
        <v>62</v>
      </c>
      <c r="AK2624" s="2">
        <v>0.11243917025972899</v>
      </c>
      <c r="AL2624" s="2">
        <v>0.42655038583515098</v>
      </c>
      <c r="AM2624" s="2">
        <v>2314.94657088645</v>
      </c>
      <c r="AN2624" s="2">
        <v>131.61670639998101</v>
      </c>
      <c r="AO2624" s="2">
        <v>446.33276175496201</v>
      </c>
      <c r="AP2624" s="2">
        <v>8.559877937157E-6</v>
      </c>
      <c r="AQ2624" s="2">
        <v>8.559877937157E-6</v>
      </c>
      <c r="AR2624" s="2">
        <v>1268.6141958524699</v>
      </c>
      <c r="AS2624" s="2">
        <v>145.121728301583</v>
      </c>
      <c r="AT2624" s="2">
        <v>1359.1322947035001</v>
      </c>
      <c r="AU2624" s="2">
        <v>8206.2171670873304</v>
      </c>
      <c r="AV2624" s="2">
        <v>2474.5880258450802</v>
      </c>
      <c r="AW2624" s="2">
        <v>7729.52994818568</v>
      </c>
      <c r="AX2624" s="2">
        <v>330.24694975699902</v>
      </c>
    </row>
    <row r="2625" spans="1:50" x14ac:dyDescent="0.25">
      <c r="A2625" s="2" t="s">
        <v>17630</v>
      </c>
      <c r="B2625" s="2">
        <v>191.01314811286599</v>
      </c>
      <c r="C2625" s="2">
        <v>4.3472166666666698</v>
      </c>
      <c r="D2625" s="2" t="s">
        <v>51</v>
      </c>
      <c r="E2625" s="2" t="s">
        <v>17631</v>
      </c>
      <c r="F2625" s="2">
        <v>201031</v>
      </c>
      <c r="G2625" s="3" t="str">
        <f>HYPERLINK("https://cloud.oebiotech.com/#/lm/network/201031", "https://cloud.oebiotech.com/#/lm/network/201031")</f>
        <v>https://cloud.oebiotech.com/#/lm/network/201031</v>
      </c>
      <c r="H2625" s="2" t="s">
        <v>17632</v>
      </c>
      <c r="I2625" s="2"/>
      <c r="J2625" s="2"/>
      <c r="K2625" s="2"/>
      <c r="L2625" s="2"/>
      <c r="M2625" s="2"/>
      <c r="N2625" s="2"/>
      <c r="O2625" s="2">
        <v>64777</v>
      </c>
      <c r="P2625" s="2"/>
      <c r="Q2625" s="2"/>
      <c r="R2625" s="2"/>
      <c r="S2625" s="2" t="s">
        <v>17633</v>
      </c>
      <c r="T2625" s="2" t="s">
        <v>17634</v>
      </c>
      <c r="U2625" s="2" t="s">
        <v>103</v>
      </c>
      <c r="V2625" s="2" t="s">
        <v>104</v>
      </c>
      <c r="W2625" s="2" t="s">
        <v>105</v>
      </c>
      <c r="X2625" s="2" t="s">
        <v>147</v>
      </c>
      <c r="Y2625" s="2">
        <v>37.9</v>
      </c>
      <c r="Z2625" s="2">
        <v>0</v>
      </c>
      <c r="AA2625" s="2" t="s">
        <v>218</v>
      </c>
      <c r="AB2625" s="2" t="s">
        <v>17635</v>
      </c>
      <c r="AC2625" s="2">
        <v>-0.36433431300145303</v>
      </c>
      <c r="AD2625" s="2"/>
      <c r="AE2625" s="2">
        <v>0.24056168160952901</v>
      </c>
      <c r="AF2625" s="2">
        <v>8280.2450967798104</v>
      </c>
      <c r="AG2625" s="2">
        <v>10083.840046049299</v>
      </c>
      <c r="AH2625" s="4">
        <v>0.82114006757018398</v>
      </c>
      <c r="AI2625" s="4">
        <v>-0.284299761369955</v>
      </c>
      <c r="AJ2625" s="4" t="s">
        <v>62</v>
      </c>
      <c r="AK2625" s="2">
        <v>8.57853393408404E-2</v>
      </c>
      <c r="AL2625" s="2">
        <v>0.378105092551277</v>
      </c>
      <c r="AM2625" s="2">
        <v>6712.3410995759104</v>
      </c>
      <c r="AN2625" s="2">
        <v>8498.6288121675097</v>
      </c>
      <c r="AO2625" s="2">
        <v>8695.2644049731407</v>
      </c>
      <c r="AP2625" s="2">
        <v>9595.77771076916</v>
      </c>
      <c r="AQ2625" s="2">
        <v>8830.6699716430394</v>
      </c>
      <c r="AR2625" s="2">
        <v>7348.7885815500804</v>
      </c>
      <c r="AS2625" s="2">
        <v>11005.9324912386</v>
      </c>
      <c r="AT2625" s="2">
        <v>12921.0931955797</v>
      </c>
      <c r="AU2625" s="2">
        <v>7430.34847978158</v>
      </c>
      <c r="AV2625" s="2">
        <v>9034.9222702638508</v>
      </c>
      <c r="AW2625" s="2">
        <v>8598.7414500131908</v>
      </c>
      <c r="AX2625" s="2">
        <v>11512.0023894186</v>
      </c>
    </row>
    <row r="2626" spans="1:50" x14ac:dyDescent="0.25">
      <c r="A2626" s="2" t="s">
        <v>17636</v>
      </c>
      <c r="B2626" s="2">
        <v>165.12782601962101</v>
      </c>
      <c r="C2626" s="2">
        <v>9.8284666666666691</v>
      </c>
      <c r="D2626" s="2" t="s">
        <v>51</v>
      </c>
      <c r="E2626" s="2" t="s">
        <v>17637</v>
      </c>
      <c r="F2626" s="2">
        <v>1100</v>
      </c>
      <c r="G2626" s="3" t="str">
        <f>HYPERLINK("https://cloud.oebiotech.com/#/lm/network/1100", "https://cloud.oebiotech.com/#/lm/network/1100")</f>
        <v>https://cloud.oebiotech.com/#/lm/network/1100</v>
      </c>
      <c r="H2626" s="2"/>
      <c r="I2626" s="2">
        <v>74272</v>
      </c>
      <c r="J2626" s="2" t="s">
        <v>17638</v>
      </c>
      <c r="K2626" s="2">
        <v>5312735</v>
      </c>
      <c r="L2626" s="2"/>
      <c r="M2626" s="2"/>
      <c r="N2626" s="2"/>
      <c r="O2626" s="2"/>
      <c r="P2626" s="2"/>
      <c r="Q2626" s="2"/>
      <c r="R2626" s="2"/>
      <c r="S2626" s="2" t="s">
        <v>17639</v>
      </c>
      <c r="T2626" s="2" t="s">
        <v>17640</v>
      </c>
      <c r="U2626" s="2" t="s">
        <v>56</v>
      </c>
      <c r="V2626" s="2" t="s">
        <v>145</v>
      </c>
      <c r="W2626" s="2" t="s">
        <v>231</v>
      </c>
      <c r="X2626" s="2" t="s">
        <v>83</v>
      </c>
      <c r="Y2626" s="2">
        <v>51.6</v>
      </c>
      <c r="Z2626" s="2">
        <v>0</v>
      </c>
      <c r="AA2626" s="2" t="s">
        <v>156</v>
      </c>
      <c r="AB2626" s="2" t="s">
        <v>17641</v>
      </c>
      <c r="AC2626" s="2">
        <v>2.3853929564399601</v>
      </c>
      <c r="AD2626" s="2"/>
      <c r="AE2626" s="2">
        <v>0.2405506730252</v>
      </c>
      <c r="AF2626" s="2">
        <v>5132.6297996390304</v>
      </c>
      <c r="AG2626" s="2">
        <v>3562.8649063073999</v>
      </c>
      <c r="AH2626" s="5">
        <v>1.4405906299036599</v>
      </c>
      <c r="AI2626" s="5">
        <v>0.52666042564849203</v>
      </c>
      <c r="AJ2626" s="5" t="s">
        <v>139</v>
      </c>
      <c r="AK2626" s="2">
        <v>3.53939902317165E-2</v>
      </c>
      <c r="AL2626" s="2">
        <v>0.27355205673594801</v>
      </c>
      <c r="AM2626" s="2">
        <v>6697.0892071397202</v>
      </c>
      <c r="AN2626" s="2">
        <v>5591.0567740400602</v>
      </c>
      <c r="AO2626" s="2">
        <v>4434.8046853548603</v>
      </c>
      <c r="AP2626" s="2">
        <v>5957.2841214298596</v>
      </c>
      <c r="AQ2626" s="2">
        <v>3539.0689121924001</v>
      </c>
      <c r="AR2626" s="2">
        <v>4576.4750976772702</v>
      </c>
      <c r="AS2626" s="2">
        <v>4961.6015599526399</v>
      </c>
      <c r="AT2626" s="2">
        <v>4037.9897289630599</v>
      </c>
      <c r="AU2626" s="2">
        <v>2126.8870308594801</v>
      </c>
      <c r="AV2626" s="2">
        <v>2431.8718956104999</v>
      </c>
      <c r="AW2626" s="2">
        <v>3718.8260436760102</v>
      </c>
      <c r="AX2626" s="2">
        <v>4100.0131787826904</v>
      </c>
    </row>
    <row r="2627" spans="1:50" x14ac:dyDescent="0.25">
      <c r="A2627" s="2" t="s">
        <v>17642</v>
      </c>
      <c r="B2627" s="2">
        <v>401.20442353467803</v>
      </c>
      <c r="C2627" s="2">
        <v>3.3592499999999998</v>
      </c>
      <c r="D2627" s="2" t="s">
        <v>51</v>
      </c>
      <c r="E2627" s="2" t="s">
        <v>17643</v>
      </c>
      <c r="F2627" s="2">
        <v>58562</v>
      </c>
      <c r="G2627" s="3" t="str">
        <f>HYPERLINK("https://cloud.oebiotech.com/#/lm/network/58562", "https://cloud.oebiotech.com/#/lm/network/58562")</f>
        <v>https://cloud.oebiotech.com/#/lm/network/58562</v>
      </c>
      <c r="H2627" s="2" t="s">
        <v>17644</v>
      </c>
      <c r="I2627" s="2">
        <v>90030</v>
      </c>
      <c r="J2627" s="2"/>
      <c r="K2627" s="2">
        <v>3804937</v>
      </c>
      <c r="L2627" s="2"/>
      <c r="M2627" s="2"/>
      <c r="N2627" s="2"/>
      <c r="O2627" s="2"/>
      <c r="P2627" s="2"/>
      <c r="Q2627" s="2"/>
      <c r="R2627" s="2" t="s">
        <v>17645</v>
      </c>
      <c r="S2627" s="2" t="s">
        <v>17646</v>
      </c>
      <c r="T2627" s="2" t="s">
        <v>17647</v>
      </c>
      <c r="U2627" s="2" t="s">
        <v>103</v>
      </c>
      <c r="V2627" s="2" t="s">
        <v>104</v>
      </c>
      <c r="W2627" s="2" t="s">
        <v>105</v>
      </c>
      <c r="X2627" s="2" t="s">
        <v>147</v>
      </c>
      <c r="Y2627" s="2">
        <v>45.3</v>
      </c>
      <c r="Z2627" s="2">
        <v>35</v>
      </c>
      <c r="AA2627" s="2" t="s">
        <v>95</v>
      </c>
      <c r="AB2627" s="2" t="s">
        <v>17648</v>
      </c>
      <c r="AC2627" s="2">
        <v>-0.71180277387081303</v>
      </c>
      <c r="AD2627" s="2"/>
      <c r="AE2627" s="2">
        <v>0.240460837645492</v>
      </c>
      <c r="AF2627" s="2">
        <v>5792.6089811350503</v>
      </c>
      <c r="AG2627" s="2">
        <v>2565.0348707093899</v>
      </c>
      <c r="AH2627" s="5">
        <v>2.2582963870323698</v>
      </c>
      <c r="AI2627" s="5">
        <v>1.17523484308209</v>
      </c>
      <c r="AJ2627" s="5" t="s">
        <v>139</v>
      </c>
      <c r="AK2627" s="2">
        <v>0.42588263334420301</v>
      </c>
      <c r="AL2627" s="2">
        <v>0.68470693349075695</v>
      </c>
      <c r="AM2627" s="2">
        <v>17099.642894925699</v>
      </c>
      <c r="AN2627" s="2">
        <v>8.559877937157E-6</v>
      </c>
      <c r="AO2627" s="2">
        <v>28.091596155432601</v>
      </c>
      <c r="AP2627" s="2">
        <v>263.132513761876</v>
      </c>
      <c r="AQ2627" s="2">
        <v>11938.3254413088</v>
      </c>
      <c r="AR2627" s="2">
        <v>5426.4614320986202</v>
      </c>
      <c r="AS2627" s="2">
        <v>35.681328260095398</v>
      </c>
      <c r="AT2627" s="2">
        <v>37.496462478164602</v>
      </c>
      <c r="AU2627" s="2">
        <v>77.668130389971296</v>
      </c>
      <c r="AV2627" s="2">
        <v>15163.8498882491</v>
      </c>
      <c r="AW2627" s="2">
        <v>75.513406319144096</v>
      </c>
      <c r="AX2627" s="2">
        <v>8.559877937157E-6</v>
      </c>
    </row>
    <row r="2628" spans="1:50" x14ac:dyDescent="0.25">
      <c r="A2628" s="2" t="s">
        <v>17649</v>
      </c>
      <c r="B2628" s="2">
        <v>186.03471713972999</v>
      </c>
      <c r="C2628" s="2">
        <v>6.9113499999999997</v>
      </c>
      <c r="D2628" s="2" t="s">
        <v>51</v>
      </c>
      <c r="E2628" s="2" t="s">
        <v>17650</v>
      </c>
      <c r="F2628" s="2">
        <v>205895</v>
      </c>
      <c r="G2628" s="3" t="str">
        <f>HYPERLINK("https://cloud.oebiotech.com/#/lm/network/205895", "https://cloud.oebiotech.com/#/lm/network/205895")</f>
        <v>https://cloud.oebiotech.com/#/lm/network/205895</v>
      </c>
      <c r="H2628" s="2" t="s">
        <v>17651</v>
      </c>
      <c r="I2628" s="2"/>
      <c r="J2628" s="2"/>
      <c r="K2628" s="2"/>
      <c r="L2628" s="2"/>
      <c r="M2628" s="2"/>
      <c r="N2628" s="2"/>
      <c r="O2628" s="2"/>
      <c r="P2628" s="2"/>
      <c r="Q2628" s="2"/>
      <c r="R2628" s="2"/>
      <c r="S2628" s="2" t="s">
        <v>17652</v>
      </c>
      <c r="T2628" s="2" t="s">
        <v>17653</v>
      </c>
      <c r="U2628" s="2" t="s">
        <v>1231</v>
      </c>
      <c r="V2628" s="2" t="s">
        <v>17654</v>
      </c>
      <c r="W2628" s="2" t="s">
        <v>17655</v>
      </c>
      <c r="X2628" s="2" t="s">
        <v>147</v>
      </c>
      <c r="Y2628" s="2">
        <v>39.1</v>
      </c>
      <c r="Z2628" s="2">
        <v>1.88</v>
      </c>
      <c r="AA2628" s="2" t="s">
        <v>395</v>
      </c>
      <c r="AB2628" s="2" t="s">
        <v>17656</v>
      </c>
      <c r="AC2628" s="2">
        <v>-1.53653904629991</v>
      </c>
      <c r="AD2628" s="2"/>
      <c r="AE2628" s="2">
        <v>0.240380551488906</v>
      </c>
      <c r="AF2628" s="2">
        <v>2465.2191692326101</v>
      </c>
      <c r="AG2628" s="2">
        <v>4518.5277636241099</v>
      </c>
      <c r="AH2628" s="4">
        <v>0.54558017526827496</v>
      </c>
      <c r="AI2628" s="4">
        <v>-0.87413687274261298</v>
      </c>
      <c r="AJ2628" s="4" t="s">
        <v>62</v>
      </c>
      <c r="AK2628" s="2">
        <v>0.113255761132827</v>
      </c>
      <c r="AL2628" s="2">
        <v>0.42719152086759299</v>
      </c>
      <c r="AM2628" s="2">
        <v>2230.0624287517699</v>
      </c>
      <c r="AN2628" s="2">
        <v>1839.6297214092499</v>
      </c>
      <c r="AO2628" s="2">
        <v>3868.0818696886599</v>
      </c>
      <c r="AP2628" s="2">
        <v>184.19588063808001</v>
      </c>
      <c r="AQ2628" s="2">
        <v>1889.9066868433799</v>
      </c>
      <c r="AR2628" s="2">
        <v>4779.4384280645099</v>
      </c>
      <c r="AS2628" s="2">
        <v>3492.1971048861401</v>
      </c>
      <c r="AT2628" s="2">
        <v>2906.7305103794101</v>
      </c>
      <c r="AU2628" s="2">
        <v>5092.71515927781</v>
      </c>
      <c r="AV2628" s="2">
        <v>8132.3544561589097</v>
      </c>
      <c r="AW2628" s="2">
        <v>6027.6850832943201</v>
      </c>
      <c r="AX2628" s="2">
        <v>1459.4842677480899</v>
      </c>
    </row>
    <row r="2629" spans="1:50" x14ac:dyDescent="0.25">
      <c r="A2629" s="2" t="s">
        <v>17657</v>
      </c>
      <c r="B2629" s="2">
        <v>147.0385</v>
      </c>
      <c r="C2629" s="2">
        <v>14.874000000000001</v>
      </c>
      <c r="D2629" s="2" t="s">
        <v>125</v>
      </c>
      <c r="E2629" s="2" t="s">
        <v>17658</v>
      </c>
      <c r="F2629" s="2">
        <v>47124</v>
      </c>
      <c r="G2629" s="3" t="str">
        <f>HYPERLINK("https://cloud.oebiotech.com/#/lm/network/47124", "https://cloud.oebiotech.com/#/lm/network/47124")</f>
        <v>https://cloud.oebiotech.com/#/lm/network/47124</v>
      </c>
      <c r="H2629" s="2" t="s">
        <v>17659</v>
      </c>
      <c r="I2629" s="2">
        <v>45855</v>
      </c>
      <c r="J2629" s="2"/>
      <c r="K2629" s="2">
        <v>2781043</v>
      </c>
      <c r="L2629" s="2"/>
      <c r="M2629" s="2"/>
      <c r="N2629" s="2"/>
      <c r="O2629" s="2">
        <v>37655</v>
      </c>
      <c r="P2629" s="2"/>
      <c r="Q2629" s="2"/>
      <c r="R2629" s="2" t="s">
        <v>17660</v>
      </c>
      <c r="S2629" s="2" t="s">
        <v>17661</v>
      </c>
      <c r="T2629" s="2" t="s">
        <v>17662</v>
      </c>
      <c r="U2629" s="2" t="s">
        <v>331</v>
      </c>
      <c r="V2629" s="2" t="s">
        <v>332</v>
      </c>
      <c r="W2629" s="2" t="s">
        <v>333</v>
      </c>
      <c r="X2629" s="2" t="s">
        <v>69</v>
      </c>
      <c r="Y2629" s="2">
        <v>97.5</v>
      </c>
      <c r="Z2629" s="2">
        <v>96</v>
      </c>
      <c r="AA2629" s="2"/>
      <c r="AB2629" s="2" t="s">
        <v>17663</v>
      </c>
      <c r="AC2629" s="2"/>
      <c r="AD2629" s="2">
        <v>500513.05060240999</v>
      </c>
      <c r="AE2629" s="2">
        <v>0.23988333098240899</v>
      </c>
      <c r="AF2629" s="2">
        <v>200059.91686104599</v>
      </c>
      <c r="AG2629" s="2">
        <v>160332.241789641</v>
      </c>
      <c r="AH2629" s="5">
        <v>1.24778344410308</v>
      </c>
      <c r="AI2629" s="5">
        <v>0.31936757263928001</v>
      </c>
      <c r="AJ2629" s="5" t="s">
        <v>139</v>
      </c>
      <c r="AK2629" s="2">
        <v>0.53819638372858503</v>
      </c>
      <c r="AL2629" s="2">
        <v>0.76438476096000296</v>
      </c>
      <c r="AM2629" s="2">
        <v>160109.87379398901</v>
      </c>
      <c r="AN2629" s="2">
        <v>169424.35907040801</v>
      </c>
      <c r="AO2629" s="2">
        <v>186171.821085706</v>
      </c>
      <c r="AP2629" s="2">
        <v>438735.74433080899</v>
      </c>
      <c r="AQ2629" s="2">
        <v>141196.24991182599</v>
      </c>
      <c r="AR2629" s="2">
        <v>104721.45297354</v>
      </c>
      <c r="AS2629" s="2">
        <v>304242.59880720498</v>
      </c>
      <c r="AT2629" s="2">
        <v>199208.114164709</v>
      </c>
      <c r="AU2629" s="2">
        <v>74228.836818106705</v>
      </c>
      <c r="AV2629" s="2">
        <v>75984.560241095198</v>
      </c>
      <c r="AW2629" s="2">
        <v>215303.84378485</v>
      </c>
      <c r="AX2629" s="2">
        <v>93025.496921880898</v>
      </c>
    </row>
    <row r="2630" spans="1:50" x14ac:dyDescent="0.25">
      <c r="A2630" s="2" t="s">
        <v>17664</v>
      </c>
      <c r="B2630" s="2">
        <v>271.11879128929598</v>
      </c>
      <c r="C2630" s="2">
        <v>8.2502666666666702</v>
      </c>
      <c r="D2630" s="2" t="s">
        <v>51</v>
      </c>
      <c r="E2630" s="2" t="s">
        <v>17665</v>
      </c>
      <c r="F2630" s="2">
        <v>63845</v>
      </c>
      <c r="G2630" s="3" t="str">
        <f>HYPERLINK("https://cloud.oebiotech.com/#/lm/network/63845", "https://cloud.oebiotech.com/#/lm/network/63845")</f>
        <v>https://cloud.oebiotech.com/#/lm/network/63845</v>
      </c>
      <c r="H2630" s="2" t="s">
        <v>17666</v>
      </c>
      <c r="I2630" s="2">
        <v>95179</v>
      </c>
      <c r="J2630" s="2"/>
      <c r="K2630" s="2">
        <v>86374</v>
      </c>
      <c r="L2630" s="2"/>
      <c r="M2630" s="2"/>
      <c r="N2630" s="2"/>
      <c r="O2630" s="2"/>
      <c r="P2630" s="2"/>
      <c r="Q2630" s="2"/>
      <c r="R2630" s="2" t="s">
        <v>17667</v>
      </c>
      <c r="S2630" s="2" t="s">
        <v>17668</v>
      </c>
      <c r="T2630" s="2" t="s">
        <v>17669</v>
      </c>
      <c r="U2630" s="2" t="s">
        <v>266</v>
      </c>
      <c r="V2630" s="2" t="s">
        <v>11698</v>
      </c>
      <c r="W2630" s="2" t="s">
        <v>11699</v>
      </c>
      <c r="X2630" s="2" t="s">
        <v>83</v>
      </c>
      <c r="Y2630" s="2">
        <v>41.7</v>
      </c>
      <c r="Z2630" s="2">
        <v>0.25600000000000001</v>
      </c>
      <c r="AA2630" s="2" t="s">
        <v>218</v>
      </c>
      <c r="AB2630" s="2" t="s">
        <v>15408</v>
      </c>
      <c r="AC2630" s="2">
        <v>0.35098008753260201</v>
      </c>
      <c r="AD2630" s="2"/>
      <c r="AE2630" s="2">
        <v>0.23969870969357401</v>
      </c>
      <c r="AF2630" s="2">
        <v>2701.0804487625401</v>
      </c>
      <c r="AG2630" s="2">
        <v>1016.24922564682</v>
      </c>
      <c r="AH2630" s="5">
        <v>2.6578917657165801</v>
      </c>
      <c r="AI2630" s="5">
        <v>1.4102823565917999</v>
      </c>
      <c r="AJ2630" s="5" t="s">
        <v>139</v>
      </c>
      <c r="AK2630" s="2">
        <v>0.122996919410764</v>
      </c>
      <c r="AL2630" s="2">
        <v>0.44047290513653697</v>
      </c>
      <c r="AM2630" s="2">
        <v>3999.3092921417601</v>
      </c>
      <c r="AN2630" s="2">
        <v>6283.1597903434704</v>
      </c>
      <c r="AO2630" s="2">
        <v>967.00702040687395</v>
      </c>
      <c r="AP2630" s="2">
        <v>710.38947632874101</v>
      </c>
      <c r="AQ2630" s="2">
        <v>1217.0096728620299</v>
      </c>
      <c r="AR2630" s="2">
        <v>3029.6074404923502</v>
      </c>
      <c r="AS2630" s="2">
        <v>2882.7801864879002</v>
      </c>
      <c r="AT2630" s="2">
        <v>384.58479422437699</v>
      </c>
      <c r="AU2630" s="2">
        <v>798.47078865442995</v>
      </c>
      <c r="AV2630" s="2">
        <v>8.559877937157E-6</v>
      </c>
      <c r="AW2630" s="2">
        <v>224.25031567342401</v>
      </c>
      <c r="AX2630" s="2">
        <v>1807.4092602809201</v>
      </c>
    </row>
    <row r="2631" spans="1:50" x14ac:dyDescent="0.25">
      <c r="A2631" s="2" t="s">
        <v>17670</v>
      </c>
      <c r="B2631" s="2">
        <v>263.05132966187603</v>
      </c>
      <c r="C2631" s="2">
        <v>4.7222</v>
      </c>
      <c r="D2631" s="2" t="s">
        <v>51</v>
      </c>
      <c r="E2631" s="2" t="s">
        <v>17671</v>
      </c>
      <c r="F2631" s="2">
        <v>197327</v>
      </c>
      <c r="G2631" s="3" t="str">
        <f>HYPERLINK("https://cloud.oebiotech.com/#/lm/network/197327", "https://cloud.oebiotech.com/#/lm/network/197327")</f>
        <v>https://cloud.oebiotech.com/#/lm/network/197327</v>
      </c>
      <c r="H2631" s="2" t="s">
        <v>17672</v>
      </c>
      <c r="I2631" s="2"/>
      <c r="J2631" s="2"/>
      <c r="K2631" s="2">
        <v>15909779</v>
      </c>
      <c r="L2631" s="2"/>
      <c r="M2631" s="2"/>
      <c r="N2631" s="2"/>
      <c r="O2631" s="2"/>
      <c r="P2631" s="2"/>
      <c r="Q2631" s="2"/>
      <c r="R2631" s="2"/>
      <c r="S2631" s="2" t="s">
        <v>17673</v>
      </c>
      <c r="T2631" s="2" t="s">
        <v>17674</v>
      </c>
      <c r="U2631" s="2" t="s">
        <v>103</v>
      </c>
      <c r="V2631" s="2" t="s">
        <v>1372</v>
      </c>
      <c r="W2631" s="2" t="s">
        <v>1373</v>
      </c>
      <c r="X2631" s="2" t="s">
        <v>147</v>
      </c>
      <c r="Y2631" s="2">
        <v>39.1</v>
      </c>
      <c r="Z2631" s="2">
        <v>2.87</v>
      </c>
      <c r="AA2631" s="2" t="s">
        <v>218</v>
      </c>
      <c r="AB2631" s="2" t="s">
        <v>17675</v>
      </c>
      <c r="AC2631" s="2">
        <v>-3.4819640148481201</v>
      </c>
      <c r="AD2631" s="2"/>
      <c r="AE2631" s="2">
        <v>0.23958889741891401</v>
      </c>
      <c r="AF2631" s="2">
        <v>5278.5298618405996</v>
      </c>
      <c r="AG2631" s="2">
        <v>3791.6975857276502</v>
      </c>
      <c r="AH2631" s="5">
        <v>1.3921283917023199</v>
      </c>
      <c r="AI2631" s="5">
        <v>0.47729227263086899</v>
      </c>
      <c r="AJ2631" s="5" t="s">
        <v>139</v>
      </c>
      <c r="AK2631" s="2">
        <v>0.29558895912807998</v>
      </c>
      <c r="AL2631" s="2">
        <v>0.60778876168892604</v>
      </c>
      <c r="AM2631" s="2">
        <v>9258.3009635548005</v>
      </c>
      <c r="AN2631" s="2">
        <v>6997.0568914340301</v>
      </c>
      <c r="AO2631" s="2">
        <v>4190.7118826613896</v>
      </c>
      <c r="AP2631" s="2">
        <v>3227.5964549891501</v>
      </c>
      <c r="AQ2631" s="2">
        <v>4327.1878091035496</v>
      </c>
      <c r="AR2631" s="2">
        <v>3670.32516930066</v>
      </c>
      <c r="AS2631" s="2">
        <v>3196.9807032509102</v>
      </c>
      <c r="AT2631" s="2">
        <v>2227.1169846794901</v>
      </c>
      <c r="AU2631" s="2">
        <v>8320.5584138433205</v>
      </c>
      <c r="AV2631" s="2">
        <v>2189.3911401782102</v>
      </c>
      <c r="AW2631" s="2">
        <v>2860.3798825045301</v>
      </c>
      <c r="AX2631" s="2">
        <v>3955.7583899094302</v>
      </c>
    </row>
    <row r="2632" spans="1:50" x14ac:dyDescent="0.25">
      <c r="A2632" s="2" t="s">
        <v>17676</v>
      </c>
      <c r="B2632" s="2">
        <v>187.06040480829199</v>
      </c>
      <c r="C2632" s="2">
        <v>2.6372499999999999</v>
      </c>
      <c r="D2632" s="2" t="s">
        <v>51</v>
      </c>
      <c r="E2632" s="2" t="s">
        <v>17677</v>
      </c>
      <c r="F2632" s="2">
        <v>81812</v>
      </c>
      <c r="G2632" s="3" t="str">
        <f>HYPERLINK("https://cloud.oebiotech.com/#/lm/network/81812", "https://cloud.oebiotech.com/#/lm/network/81812")</f>
        <v>https://cloud.oebiotech.com/#/lm/network/81812</v>
      </c>
      <c r="H2632" s="2" t="s">
        <v>17678</v>
      </c>
      <c r="I2632" s="2"/>
      <c r="J2632" s="2"/>
      <c r="K2632" s="2">
        <v>13220191</v>
      </c>
      <c r="L2632" s="2"/>
      <c r="M2632" s="2"/>
      <c r="N2632" s="2"/>
      <c r="O2632" s="2">
        <v>89885</v>
      </c>
      <c r="P2632" s="2"/>
      <c r="Q2632" s="2"/>
      <c r="R2632" s="2"/>
      <c r="S2632" s="2" t="s">
        <v>17679</v>
      </c>
      <c r="T2632" s="2" t="s">
        <v>17680</v>
      </c>
      <c r="U2632" s="2" t="s">
        <v>103</v>
      </c>
      <c r="V2632" s="2" t="s">
        <v>104</v>
      </c>
      <c r="W2632" s="2" t="s">
        <v>3415</v>
      </c>
      <c r="X2632" s="2" t="s">
        <v>147</v>
      </c>
      <c r="Y2632" s="2">
        <v>40.1</v>
      </c>
      <c r="Z2632" s="2">
        <v>12.9</v>
      </c>
      <c r="AA2632" s="2" t="s">
        <v>163</v>
      </c>
      <c r="AB2632" s="2" t="s">
        <v>17681</v>
      </c>
      <c r="AC2632" s="2">
        <v>-4.21252075631745</v>
      </c>
      <c r="AD2632" s="2"/>
      <c r="AE2632" s="2">
        <v>0.23938102754806001</v>
      </c>
      <c r="AF2632" s="2">
        <v>2907.3084432463402</v>
      </c>
      <c r="AG2632" s="2">
        <v>1493.8847244584699</v>
      </c>
      <c r="AH2632" s="5">
        <v>1.94613974937071</v>
      </c>
      <c r="AI2632" s="5">
        <v>0.96061531160157998</v>
      </c>
      <c r="AJ2632" s="5" t="s">
        <v>139</v>
      </c>
      <c r="AK2632" s="2">
        <v>2.07268442265096E-2</v>
      </c>
      <c r="AL2632" s="2">
        <v>0.224553420023335</v>
      </c>
      <c r="AM2632" s="2">
        <v>3330.8276754215699</v>
      </c>
      <c r="AN2632" s="2">
        <v>4286.7810466240498</v>
      </c>
      <c r="AO2632" s="2">
        <v>1919.64314347198</v>
      </c>
      <c r="AP2632" s="2">
        <v>2487.1368060458199</v>
      </c>
      <c r="AQ2632" s="2">
        <v>1770.24884198103</v>
      </c>
      <c r="AR2632" s="2">
        <v>3649.2131459335901</v>
      </c>
      <c r="AS2632" s="2">
        <v>2396.4470352218</v>
      </c>
      <c r="AT2632" s="2">
        <v>1045.6852974215101</v>
      </c>
      <c r="AU2632" s="2">
        <v>1932.08555213816</v>
      </c>
      <c r="AV2632" s="2">
        <v>610.05991180139995</v>
      </c>
      <c r="AW2632" s="2">
        <v>818.94498128592602</v>
      </c>
      <c r="AX2632" s="2">
        <v>2160.0855688820402</v>
      </c>
    </row>
    <row r="2633" spans="1:50" x14ac:dyDescent="0.25">
      <c r="A2633" s="2" t="s">
        <v>17682</v>
      </c>
      <c r="B2633" s="2">
        <v>298.08397608238198</v>
      </c>
      <c r="C2633" s="2">
        <v>0.76721666666666699</v>
      </c>
      <c r="D2633" s="2" t="s">
        <v>51</v>
      </c>
      <c r="E2633" s="2" t="s">
        <v>17683</v>
      </c>
      <c r="F2633" s="2">
        <v>203569</v>
      </c>
      <c r="G2633" s="3" t="str">
        <f>HYPERLINK("https://cloud.oebiotech.com/#/lm/network/203569", "https://cloud.oebiotech.com/#/lm/network/203569")</f>
        <v>https://cloud.oebiotech.com/#/lm/network/203569</v>
      </c>
      <c r="H2633" s="2" t="s">
        <v>17684</v>
      </c>
      <c r="I2633" s="2"/>
      <c r="J2633" s="2"/>
      <c r="K2633" s="2">
        <v>54930</v>
      </c>
      <c r="L2633" s="2"/>
      <c r="M2633" s="2"/>
      <c r="N2633" s="2"/>
      <c r="O2633" s="2"/>
      <c r="P2633" s="2"/>
      <c r="Q2633" s="2"/>
      <c r="R2633" s="2"/>
      <c r="S2633" s="2" t="s">
        <v>17685</v>
      </c>
      <c r="T2633" s="2" t="s">
        <v>17686</v>
      </c>
      <c r="U2633" s="2" t="s">
        <v>266</v>
      </c>
      <c r="V2633" s="2" t="s">
        <v>4740</v>
      </c>
      <c r="W2633" s="2" t="s">
        <v>240</v>
      </c>
      <c r="X2633" s="2" t="s">
        <v>147</v>
      </c>
      <c r="Y2633" s="2">
        <v>36.799999999999997</v>
      </c>
      <c r="Z2633" s="2">
        <v>0</v>
      </c>
      <c r="AA2633" s="2" t="s">
        <v>395</v>
      </c>
      <c r="AB2633" s="2" t="s">
        <v>17687</v>
      </c>
      <c r="AC2633" s="2">
        <v>-9.80480308318913E-2</v>
      </c>
      <c r="AD2633" s="2"/>
      <c r="AE2633" s="2">
        <v>0.23922977187272501</v>
      </c>
      <c r="AF2633" s="2">
        <v>3816.2367771245499</v>
      </c>
      <c r="AG2633" s="2">
        <v>6601.5230005761096</v>
      </c>
      <c r="AH2633" s="4">
        <v>0.57808429612250301</v>
      </c>
      <c r="AI2633" s="4">
        <v>-0.79064821335407898</v>
      </c>
      <c r="AJ2633" s="4" t="s">
        <v>62</v>
      </c>
      <c r="AK2633" s="2">
        <v>0.166073311211553</v>
      </c>
      <c r="AL2633" s="2">
        <v>0.48810754884306401</v>
      </c>
      <c r="AM2633" s="2">
        <v>3521.1000394458101</v>
      </c>
      <c r="AN2633" s="2">
        <v>1903.0445761645201</v>
      </c>
      <c r="AO2633" s="2">
        <v>1282.3705753460699</v>
      </c>
      <c r="AP2633" s="2">
        <v>8544.6376929157504</v>
      </c>
      <c r="AQ2633" s="2">
        <v>3360.3723588738198</v>
      </c>
      <c r="AR2633" s="2">
        <v>4285.8954200013504</v>
      </c>
      <c r="AS2633" s="2">
        <v>3044.6130151511002</v>
      </c>
      <c r="AT2633" s="2">
        <v>11552.840542776799</v>
      </c>
      <c r="AU2633" s="2">
        <v>9532.3024233268607</v>
      </c>
      <c r="AV2633" s="2">
        <v>5337.9840854337899</v>
      </c>
      <c r="AW2633" s="2">
        <v>1964.85150830166</v>
      </c>
      <c r="AX2633" s="2">
        <v>8176.5464284664504</v>
      </c>
    </row>
    <row r="2634" spans="1:50" x14ac:dyDescent="0.25">
      <c r="A2634" s="2" t="s">
        <v>17688</v>
      </c>
      <c r="B2634" s="2">
        <v>227.13978110654401</v>
      </c>
      <c r="C2634" s="2">
        <v>3.64218333333333</v>
      </c>
      <c r="D2634" s="2" t="s">
        <v>51</v>
      </c>
      <c r="E2634" s="2" t="s">
        <v>17689</v>
      </c>
      <c r="F2634" s="2">
        <v>51193</v>
      </c>
      <c r="G2634" s="3" t="str">
        <f>HYPERLINK("https://cloud.oebiotech.com/#/lm/network/51193", "https://cloud.oebiotech.com/#/lm/network/51193")</f>
        <v>https://cloud.oebiotech.com/#/lm/network/51193</v>
      </c>
      <c r="H2634" s="2" t="s">
        <v>17690</v>
      </c>
      <c r="I2634" s="2">
        <v>346110</v>
      </c>
      <c r="J2634" s="2"/>
      <c r="K2634" s="2">
        <v>80817</v>
      </c>
      <c r="L2634" s="2"/>
      <c r="M2634" s="2"/>
      <c r="N2634" s="2"/>
      <c r="O2634" s="2">
        <v>73580</v>
      </c>
      <c r="P2634" s="2"/>
      <c r="Q2634" s="2"/>
      <c r="R2634" s="2" t="s">
        <v>17691</v>
      </c>
      <c r="S2634" s="2" t="s">
        <v>17692</v>
      </c>
      <c r="T2634" s="2" t="s">
        <v>17693</v>
      </c>
      <c r="U2634" s="2" t="s">
        <v>103</v>
      </c>
      <c r="V2634" s="2" t="s">
        <v>104</v>
      </c>
      <c r="W2634" s="2" t="s">
        <v>105</v>
      </c>
      <c r="X2634" s="2" t="s">
        <v>83</v>
      </c>
      <c r="Y2634" s="2">
        <v>47.3</v>
      </c>
      <c r="Z2634" s="2">
        <v>36</v>
      </c>
      <c r="AA2634" s="2" t="s">
        <v>163</v>
      </c>
      <c r="AB2634" s="2" t="s">
        <v>1715</v>
      </c>
      <c r="AC2634" s="2">
        <v>-1.4682225037591199</v>
      </c>
      <c r="AD2634" s="2"/>
      <c r="AE2634" s="2">
        <v>0.23910032552347801</v>
      </c>
      <c r="AF2634" s="2">
        <v>6858.12895688974</v>
      </c>
      <c r="AG2634" s="2">
        <v>3598.42214514021</v>
      </c>
      <c r="AH2634" s="5">
        <v>1.9058711513744599</v>
      </c>
      <c r="AI2634" s="5">
        <v>0.93045058747630505</v>
      </c>
      <c r="AJ2634" s="5" t="s">
        <v>139</v>
      </c>
      <c r="AK2634" s="2">
        <v>0.24723846368234401</v>
      </c>
      <c r="AL2634" s="2">
        <v>0.57119796911972998</v>
      </c>
      <c r="AM2634" s="2">
        <v>2086.8855325279901</v>
      </c>
      <c r="AN2634" s="2">
        <v>6124.6285632362997</v>
      </c>
      <c r="AO2634" s="2">
        <v>3228.52935849713</v>
      </c>
      <c r="AP2634" s="2">
        <v>2556.97821603894</v>
      </c>
      <c r="AQ2634" s="2">
        <v>18118.661658598401</v>
      </c>
      <c r="AR2634" s="2">
        <v>9033.0904124396802</v>
      </c>
      <c r="AS2634" s="2">
        <v>1655.72657311839</v>
      </c>
      <c r="AT2634" s="2">
        <v>3721.3308131345898</v>
      </c>
      <c r="AU2634" s="2">
        <v>7580.4352452030098</v>
      </c>
      <c r="AV2634" s="2">
        <v>3799.5311050167102</v>
      </c>
      <c r="AW2634" s="2">
        <v>1394.6524638726601</v>
      </c>
      <c r="AX2634" s="2">
        <v>3438.8566704958898</v>
      </c>
    </row>
    <row r="2635" spans="1:50" x14ac:dyDescent="0.25">
      <c r="A2635" s="2" t="s">
        <v>17694</v>
      </c>
      <c r="B2635" s="2">
        <v>324.14534714600097</v>
      </c>
      <c r="C2635" s="2">
        <v>8.1107833333333303</v>
      </c>
      <c r="D2635" s="2" t="s">
        <v>51</v>
      </c>
      <c r="E2635" s="2" t="s">
        <v>17695</v>
      </c>
      <c r="F2635" s="2">
        <v>56272</v>
      </c>
      <c r="G2635" s="3" t="str">
        <f>HYPERLINK("https://cloud.oebiotech.com/#/lm/network/56272", "https://cloud.oebiotech.com/#/lm/network/56272")</f>
        <v>https://cloud.oebiotech.com/#/lm/network/56272</v>
      </c>
      <c r="H2635" s="2" t="s">
        <v>17696</v>
      </c>
      <c r="I2635" s="2">
        <v>68712</v>
      </c>
      <c r="J2635" s="2"/>
      <c r="K2635" s="2">
        <v>42586</v>
      </c>
      <c r="L2635" s="2" t="s">
        <v>17697</v>
      </c>
      <c r="M2635" s="2"/>
      <c r="N2635" s="2"/>
      <c r="O2635" s="2">
        <v>82790</v>
      </c>
      <c r="P2635" s="2"/>
      <c r="Q2635" s="2"/>
      <c r="R2635" s="2" t="s">
        <v>17698</v>
      </c>
      <c r="S2635" s="2" t="s">
        <v>17699</v>
      </c>
      <c r="T2635" s="2" t="s">
        <v>17700</v>
      </c>
      <c r="U2635" s="2" t="s">
        <v>103</v>
      </c>
      <c r="V2635" s="2" t="s">
        <v>104</v>
      </c>
      <c r="W2635" s="2" t="s">
        <v>105</v>
      </c>
      <c r="X2635" s="2" t="s">
        <v>147</v>
      </c>
      <c r="Y2635" s="2">
        <v>39.200000000000003</v>
      </c>
      <c r="Z2635" s="2">
        <v>0</v>
      </c>
      <c r="AA2635" s="2" t="s">
        <v>218</v>
      </c>
      <c r="AB2635" s="2" t="s">
        <v>17701</v>
      </c>
      <c r="AC2635" s="2">
        <v>0.30850939833530699</v>
      </c>
      <c r="AD2635" s="2"/>
      <c r="AE2635" s="2">
        <v>0.238932935971991</v>
      </c>
      <c r="AF2635" s="2">
        <v>1970.4386333693001</v>
      </c>
      <c r="AG2635" s="2">
        <v>648.66163272269205</v>
      </c>
      <c r="AH2635" s="5">
        <v>3.03769875381496</v>
      </c>
      <c r="AI2635" s="5">
        <v>1.60297880600645</v>
      </c>
      <c r="AJ2635" s="5" t="s">
        <v>139</v>
      </c>
      <c r="AK2635" s="2">
        <v>5.0169977289856497E-2</v>
      </c>
      <c r="AL2635" s="2">
        <v>0.31056432836569098</v>
      </c>
      <c r="AM2635" s="2">
        <v>3363.12482684317</v>
      </c>
      <c r="AN2635" s="2">
        <v>3361.4291206411099</v>
      </c>
      <c r="AO2635" s="2">
        <v>909.62040927062299</v>
      </c>
      <c r="AP2635" s="2">
        <v>864.90962378756797</v>
      </c>
      <c r="AQ2635" s="2">
        <v>951.23519865799096</v>
      </c>
      <c r="AR2635" s="2">
        <v>2372.31262101535</v>
      </c>
      <c r="AS2635" s="2">
        <v>490.30465721232099</v>
      </c>
      <c r="AT2635" s="2">
        <v>8.559877937157E-6</v>
      </c>
      <c r="AU2635" s="2">
        <v>1554.49824116538</v>
      </c>
      <c r="AV2635" s="2">
        <v>112.48526053020601</v>
      </c>
      <c r="AW2635" s="2">
        <v>8.559877937157E-6</v>
      </c>
      <c r="AX2635" s="2">
        <v>1734.68162030849</v>
      </c>
    </row>
    <row r="2636" spans="1:50" x14ac:dyDescent="0.25">
      <c r="A2636" s="2" t="s">
        <v>17702</v>
      </c>
      <c r="B2636" s="2">
        <v>429.33713769925998</v>
      </c>
      <c r="C2636" s="2">
        <v>13.5068</v>
      </c>
      <c r="D2636" s="2" t="s">
        <v>51</v>
      </c>
      <c r="E2636" s="2" t="s">
        <v>17703</v>
      </c>
      <c r="F2636" s="2">
        <v>43500</v>
      </c>
      <c r="G2636" s="3" t="str">
        <f>HYPERLINK("https://cloud.oebiotech.com/#/lm/network/43500", "https://cloud.oebiotech.com/#/lm/network/43500")</f>
        <v>https://cloud.oebiotech.com/#/lm/network/43500</v>
      </c>
      <c r="H2636" s="2" t="s">
        <v>17704</v>
      </c>
      <c r="I2636" s="2">
        <v>57606</v>
      </c>
      <c r="J2636" s="2" t="s">
        <v>17705</v>
      </c>
      <c r="K2636" s="2">
        <v>42608397</v>
      </c>
      <c r="L2636" s="2"/>
      <c r="M2636" s="2"/>
      <c r="N2636" s="2"/>
      <c r="O2636" s="2"/>
      <c r="P2636" s="2"/>
      <c r="Q2636" s="2"/>
      <c r="R2636" s="2"/>
      <c r="S2636" s="2" t="s">
        <v>17706</v>
      </c>
      <c r="T2636" s="2" t="s">
        <v>17707</v>
      </c>
      <c r="U2636" s="2" t="s">
        <v>56</v>
      </c>
      <c r="V2636" s="2" t="s">
        <v>283</v>
      </c>
      <c r="W2636" s="2" t="s">
        <v>1108</v>
      </c>
      <c r="X2636" s="2" t="s">
        <v>83</v>
      </c>
      <c r="Y2636" s="2">
        <v>42.4</v>
      </c>
      <c r="Z2636" s="2">
        <v>0</v>
      </c>
      <c r="AA2636" s="2" t="s">
        <v>259</v>
      </c>
      <c r="AB2636" s="2" t="s">
        <v>12971</v>
      </c>
      <c r="AC2636" s="2">
        <v>1.9050716017629601</v>
      </c>
      <c r="AD2636" s="2"/>
      <c r="AE2636" s="2">
        <v>0.238864746537223</v>
      </c>
      <c r="AF2636" s="2">
        <v>4824.9899703519995</v>
      </c>
      <c r="AG2636" s="2">
        <v>2857.6038523551301</v>
      </c>
      <c r="AH2636" s="5">
        <v>1.68847405716346</v>
      </c>
      <c r="AI2636" s="5">
        <v>0.75572001299114</v>
      </c>
      <c r="AJ2636" s="5" t="s">
        <v>139</v>
      </c>
      <c r="AK2636" s="2">
        <v>0.13546570868425101</v>
      </c>
      <c r="AL2636" s="2">
        <v>0.45618826571661902</v>
      </c>
      <c r="AM2636" s="2">
        <v>8347.7750110076995</v>
      </c>
      <c r="AN2636" s="2">
        <v>4035.84861410245</v>
      </c>
      <c r="AO2636" s="2">
        <v>3082.2831327669701</v>
      </c>
      <c r="AP2636" s="2">
        <v>4421.7161949654701</v>
      </c>
      <c r="AQ2636" s="2">
        <v>6785.0761623934704</v>
      </c>
      <c r="AR2636" s="2">
        <v>2277.2407068759298</v>
      </c>
      <c r="AS2636" s="2">
        <v>981.63221307025299</v>
      </c>
      <c r="AT2636" s="2">
        <v>2246.8954573610799</v>
      </c>
      <c r="AU2636" s="2">
        <v>1025.03868583596</v>
      </c>
      <c r="AV2636" s="2">
        <v>4360.0791517942198</v>
      </c>
      <c r="AW2636" s="2">
        <v>2852.7891431563298</v>
      </c>
      <c r="AX2636" s="2">
        <v>5679.1884629129199</v>
      </c>
    </row>
    <row r="2637" spans="1:50" x14ac:dyDescent="0.25">
      <c r="A2637" s="2" t="s">
        <v>17708</v>
      </c>
      <c r="B2637" s="2">
        <v>246.08952117233801</v>
      </c>
      <c r="C2637" s="2">
        <v>5.2849000000000004</v>
      </c>
      <c r="D2637" s="2" t="s">
        <v>51</v>
      </c>
      <c r="E2637" s="2" t="s">
        <v>17709</v>
      </c>
      <c r="F2637" s="2">
        <v>199823</v>
      </c>
      <c r="G2637" s="3" t="str">
        <f>HYPERLINK("https://cloud.oebiotech.com/#/lm/network/199823", "https://cloud.oebiotech.com/#/lm/network/199823")</f>
        <v>https://cloud.oebiotech.com/#/lm/network/199823</v>
      </c>
      <c r="H2637" s="2" t="s">
        <v>17710</v>
      </c>
      <c r="I2637" s="2"/>
      <c r="J2637" s="2"/>
      <c r="K2637" s="2">
        <v>240980</v>
      </c>
      <c r="L2637" s="2"/>
      <c r="M2637" s="2"/>
      <c r="N2637" s="2"/>
      <c r="O2637" s="2"/>
      <c r="P2637" s="2"/>
      <c r="Q2637" s="2"/>
      <c r="R2637" s="2"/>
      <c r="S2637" s="2" t="s">
        <v>17711</v>
      </c>
      <c r="T2637" s="2" t="s">
        <v>17712</v>
      </c>
      <c r="U2637" s="2" t="s">
        <v>295</v>
      </c>
      <c r="V2637" s="2" t="s">
        <v>1818</v>
      </c>
      <c r="W2637" s="2" t="s">
        <v>1819</v>
      </c>
      <c r="X2637" s="2" t="s">
        <v>147</v>
      </c>
      <c r="Y2637" s="2">
        <v>39.200000000000003</v>
      </c>
      <c r="Z2637" s="2">
        <v>9.0500000000000007</v>
      </c>
      <c r="AA2637" s="2" t="s">
        <v>259</v>
      </c>
      <c r="AB2637" s="2" t="s">
        <v>17713</v>
      </c>
      <c r="AC2637" s="2">
        <v>4.3277204716050104</v>
      </c>
      <c r="AD2637" s="2"/>
      <c r="AE2637" s="2">
        <v>0.23869110698135201</v>
      </c>
      <c r="AF2637" s="2">
        <v>324.73684758711698</v>
      </c>
      <c r="AG2637" s="2">
        <v>2308.3481893111898</v>
      </c>
      <c r="AH2637" s="4">
        <v>0.14067931739709399</v>
      </c>
      <c r="AI2637" s="4">
        <v>-2.8295178550262898</v>
      </c>
      <c r="AJ2637" s="4" t="s">
        <v>62</v>
      </c>
      <c r="AK2637" s="2">
        <v>0.15799254301343199</v>
      </c>
      <c r="AL2637" s="2">
        <v>0.48065391842521199</v>
      </c>
      <c r="AM2637" s="2">
        <v>433.53746094462002</v>
      </c>
      <c r="AN2637" s="2">
        <v>260.333019080675</v>
      </c>
      <c r="AO2637" s="2">
        <v>310.07950094619298</v>
      </c>
      <c r="AP2637" s="2">
        <v>8.559877937157E-6</v>
      </c>
      <c r="AQ2637" s="2">
        <v>8.559877937157E-6</v>
      </c>
      <c r="AR2637" s="2">
        <v>944.47108743145998</v>
      </c>
      <c r="AS2637" s="2">
        <v>567.20741480635297</v>
      </c>
      <c r="AT2637" s="2">
        <v>350.024909762184</v>
      </c>
      <c r="AU2637" s="2">
        <v>1627.27566145172</v>
      </c>
      <c r="AV2637" s="2">
        <v>2002.27908398864</v>
      </c>
      <c r="AW2637" s="2">
        <v>8631.1080561992403</v>
      </c>
      <c r="AX2637" s="2">
        <v>672.194009659009</v>
      </c>
    </row>
    <row r="2638" spans="1:50" x14ac:dyDescent="0.25">
      <c r="A2638" s="2" t="s">
        <v>17714</v>
      </c>
      <c r="B2638" s="2">
        <v>377.09445095744502</v>
      </c>
      <c r="C2638" s="2">
        <v>4.26596666666667</v>
      </c>
      <c r="D2638" s="2" t="s">
        <v>51</v>
      </c>
      <c r="E2638" s="2" t="s">
        <v>17715</v>
      </c>
      <c r="F2638" s="2">
        <v>208370</v>
      </c>
      <c r="G2638" s="3" t="str">
        <f>HYPERLINK("https://cloud.oebiotech.com/#/lm/network/208370", "https://cloud.oebiotech.com/#/lm/network/208370")</f>
        <v>https://cloud.oebiotech.com/#/lm/network/208370</v>
      </c>
      <c r="H2638" s="2" t="s">
        <v>17716</v>
      </c>
      <c r="I2638" s="2"/>
      <c r="J2638" s="2"/>
      <c r="K2638" s="2">
        <v>16051725</v>
      </c>
      <c r="L2638" s="2"/>
      <c r="M2638" s="2"/>
      <c r="N2638" s="2"/>
      <c r="O2638" s="2"/>
      <c r="P2638" s="2"/>
      <c r="Q2638" s="2"/>
      <c r="R2638" s="2"/>
      <c r="S2638" s="2" t="s">
        <v>17717</v>
      </c>
      <c r="T2638" s="2" t="s">
        <v>17718</v>
      </c>
      <c r="U2638" s="2" t="s">
        <v>610</v>
      </c>
      <c r="V2638" s="2" t="s">
        <v>611</v>
      </c>
      <c r="W2638" s="2" t="s">
        <v>1122</v>
      </c>
      <c r="X2638" s="2" t="s">
        <v>147</v>
      </c>
      <c r="Y2638" s="2">
        <v>37.200000000000003</v>
      </c>
      <c r="Z2638" s="2">
        <v>0</v>
      </c>
      <c r="AA2638" s="2" t="s">
        <v>379</v>
      </c>
      <c r="AB2638" s="2" t="s">
        <v>17719</v>
      </c>
      <c r="AC2638" s="2">
        <v>-0.92984613229673196</v>
      </c>
      <c r="AD2638" s="2"/>
      <c r="AE2638" s="2">
        <v>0.238682440114109</v>
      </c>
      <c r="AF2638" s="2">
        <v>4314.4515622128501</v>
      </c>
      <c r="AG2638" s="2">
        <v>2313.5931821263698</v>
      </c>
      <c r="AH2638" s="5">
        <v>1.86482722872114</v>
      </c>
      <c r="AI2638" s="5">
        <v>0.89904197481652903</v>
      </c>
      <c r="AJ2638" s="5" t="s">
        <v>139</v>
      </c>
      <c r="AK2638" s="2">
        <v>0.27031776641279498</v>
      </c>
      <c r="AL2638" s="2">
        <v>0.59046231758379797</v>
      </c>
      <c r="AM2638" s="2">
        <v>5769.2035613932903</v>
      </c>
      <c r="AN2638" s="2">
        <v>1857.1236850294599</v>
      </c>
      <c r="AO2638" s="2">
        <v>11346.053802382199</v>
      </c>
      <c r="AP2638" s="2">
        <v>2629.8331487415799</v>
      </c>
      <c r="AQ2638" s="2">
        <v>1875.2891383322301</v>
      </c>
      <c r="AR2638" s="2">
        <v>2409.20603739833</v>
      </c>
      <c r="AS2638" s="2">
        <v>8.559877937157E-6</v>
      </c>
      <c r="AT2638" s="2">
        <v>1118.0999869811801</v>
      </c>
      <c r="AU2638" s="2">
        <v>5244.2513992085796</v>
      </c>
      <c r="AV2638" s="2">
        <v>3790.6190739014501</v>
      </c>
      <c r="AW2638" s="2">
        <v>1525.26896427218</v>
      </c>
      <c r="AX2638" s="2">
        <v>2203.31965983498</v>
      </c>
    </row>
    <row r="2639" spans="1:50" x14ac:dyDescent="0.25">
      <c r="A2639" s="2" t="s">
        <v>17720</v>
      </c>
      <c r="B2639" s="2">
        <v>581.02962210732403</v>
      </c>
      <c r="C2639" s="2">
        <v>3.6478999999999999</v>
      </c>
      <c r="D2639" s="2" t="s">
        <v>51</v>
      </c>
      <c r="E2639" s="2" t="s">
        <v>17721</v>
      </c>
      <c r="F2639" s="2">
        <v>212395</v>
      </c>
      <c r="G2639" s="3" t="str">
        <f>HYPERLINK("https://cloud.oebiotech.com/#/lm/network/212395", "https://cloud.oebiotech.com/#/lm/network/212395")</f>
        <v>https://cloud.oebiotech.com/#/lm/network/212395</v>
      </c>
      <c r="H2639" s="2" t="s">
        <v>17722</v>
      </c>
      <c r="I2639" s="2"/>
      <c r="J2639" s="2"/>
      <c r="K2639" s="2"/>
      <c r="L2639" s="2"/>
      <c r="M2639" s="2"/>
      <c r="N2639" s="2"/>
      <c r="O2639" s="2">
        <v>39185</v>
      </c>
      <c r="P2639" s="2"/>
      <c r="Q2639" s="2"/>
      <c r="R2639" s="2"/>
      <c r="S2639" s="2" t="s">
        <v>17723</v>
      </c>
      <c r="T2639" s="2" t="s">
        <v>17724</v>
      </c>
      <c r="U2639" s="2" t="s">
        <v>266</v>
      </c>
      <c r="V2639" s="2" t="s">
        <v>1585</v>
      </c>
      <c r="W2639" s="2" t="s">
        <v>12356</v>
      </c>
      <c r="X2639" s="2" t="s">
        <v>59</v>
      </c>
      <c r="Y2639" s="2">
        <v>44.2</v>
      </c>
      <c r="Z2639" s="2">
        <v>54.6</v>
      </c>
      <c r="AA2639" s="2" t="s">
        <v>478</v>
      </c>
      <c r="AB2639" s="2" t="s">
        <v>17725</v>
      </c>
      <c r="AC2639" s="2">
        <v>-2.88171180691092</v>
      </c>
      <c r="AD2639" s="2"/>
      <c r="AE2639" s="2">
        <v>0.238648355727589</v>
      </c>
      <c r="AF2639" s="2">
        <v>4120.5074295763197</v>
      </c>
      <c r="AG2639" s="2">
        <v>5641.1301624074003</v>
      </c>
      <c r="AH2639" s="4">
        <v>0.73044005561783698</v>
      </c>
      <c r="AI2639" s="4">
        <v>-0.453162213386826</v>
      </c>
      <c r="AJ2639" s="4" t="s">
        <v>62</v>
      </c>
      <c r="AK2639" s="2">
        <v>5.2889363923410503E-2</v>
      </c>
      <c r="AL2639" s="2">
        <v>0.31731303224527402</v>
      </c>
      <c r="AM2639" s="2">
        <v>2694.6563439501001</v>
      </c>
      <c r="AN2639" s="2">
        <v>2869.8296026850198</v>
      </c>
      <c r="AO2639" s="2">
        <v>4523.73209314823</v>
      </c>
      <c r="AP2639" s="2">
        <v>3221.8751763007299</v>
      </c>
      <c r="AQ2639" s="2">
        <v>5308.4575040569398</v>
      </c>
      <c r="AR2639" s="2">
        <v>6104.4938573168902</v>
      </c>
      <c r="AS2639" s="2">
        <v>6523.4898796559601</v>
      </c>
      <c r="AT2639" s="2">
        <v>6708.3058052638198</v>
      </c>
      <c r="AU2639" s="2">
        <v>4730.2445221015996</v>
      </c>
      <c r="AV2639" s="2">
        <v>4340.9849268267499</v>
      </c>
      <c r="AW2639" s="2">
        <v>5848.2148856015201</v>
      </c>
      <c r="AX2639" s="2">
        <v>5695.5409549947299</v>
      </c>
    </row>
    <row r="2640" spans="1:50" x14ac:dyDescent="0.25">
      <c r="A2640" s="2" t="s">
        <v>17726</v>
      </c>
      <c r="B2640" s="2">
        <v>365.23133438273499</v>
      </c>
      <c r="C2640" s="2">
        <v>10.885066666666701</v>
      </c>
      <c r="D2640" s="2" t="s">
        <v>51</v>
      </c>
      <c r="E2640" s="2" t="s">
        <v>17727</v>
      </c>
      <c r="F2640" s="2">
        <v>3965</v>
      </c>
      <c r="G2640" s="3" t="str">
        <f>HYPERLINK("https://cloud.oebiotech.com/#/lm/network/3965", "https://cloud.oebiotech.com/#/lm/network/3965")</f>
        <v>https://cloud.oebiotech.com/#/lm/network/3965</v>
      </c>
      <c r="H2640" s="2" t="s">
        <v>17728</v>
      </c>
      <c r="I2640" s="2">
        <v>45730</v>
      </c>
      <c r="J2640" s="2" t="s">
        <v>17729</v>
      </c>
      <c r="K2640" s="2">
        <v>5283154</v>
      </c>
      <c r="L2640" s="2" t="s">
        <v>17730</v>
      </c>
      <c r="M2640" s="2" t="s">
        <v>305</v>
      </c>
      <c r="N2640" s="2" t="s">
        <v>306</v>
      </c>
      <c r="O2640" s="2">
        <v>34486</v>
      </c>
      <c r="P2640" s="2"/>
      <c r="Q2640" s="2"/>
      <c r="R2640" s="2" t="s">
        <v>17731</v>
      </c>
      <c r="S2640" s="2" t="s">
        <v>17732</v>
      </c>
      <c r="T2640" s="2" t="s">
        <v>17733</v>
      </c>
      <c r="U2640" s="2" t="s">
        <v>56</v>
      </c>
      <c r="V2640" s="2" t="s">
        <v>145</v>
      </c>
      <c r="W2640" s="2" t="s">
        <v>187</v>
      </c>
      <c r="X2640" s="2" t="s">
        <v>83</v>
      </c>
      <c r="Y2640" s="2">
        <v>52.7</v>
      </c>
      <c r="Z2640" s="2">
        <v>16.5</v>
      </c>
      <c r="AA2640" s="2" t="s">
        <v>218</v>
      </c>
      <c r="AB2640" s="2" t="s">
        <v>205</v>
      </c>
      <c r="AC2640" s="2">
        <v>-6.28716809312452</v>
      </c>
      <c r="AD2640" s="2"/>
      <c r="AE2640" s="2">
        <v>0.238173159011144</v>
      </c>
      <c r="AF2640" s="2">
        <v>20659.0322456309</v>
      </c>
      <c r="AG2640" s="2">
        <v>16012.6600305886</v>
      </c>
      <c r="AH2640" s="5">
        <v>1.2901686669276999</v>
      </c>
      <c r="AI2640" s="5">
        <v>0.36755968505439701</v>
      </c>
      <c r="AJ2640" s="5" t="s">
        <v>139</v>
      </c>
      <c r="AK2640" s="2">
        <v>0.55628366288569397</v>
      </c>
      <c r="AL2640" s="2">
        <v>0.77600002503580001</v>
      </c>
      <c r="AM2640" s="2">
        <v>24645.591916984999</v>
      </c>
      <c r="AN2640" s="2">
        <v>9952.4026741626603</v>
      </c>
      <c r="AO2640" s="2">
        <v>12171.256429167899</v>
      </c>
      <c r="AP2640" s="2">
        <v>8012.4796617362099</v>
      </c>
      <c r="AQ2640" s="2">
        <v>49215.327844437801</v>
      </c>
      <c r="AR2640" s="2">
        <v>19957.134947295599</v>
      </c>
      <c r="AS2640" s="2">
        <v>9952.7846220031206</v>
      </c>
      <c r="AT2640" s="2">
        <v>6277.1790584230303</v>
      </c>
      <c r="AU2640" s="2">
        <v>33748.085494302301</v>
      </c>
      <c r="AV2640" s="2">
        <v>16287.3477305252</v>
      </c>
      <c r="AW2640" s="2">
        <v>22678.722667044101</v>
      </c>
      <c r="AX2640" s="2">
        <v>7131.8406112336397</v>
      </c>
    </row>
    <row r="2641" spans="1:50" x14ac:dyDescent="0.25">
      <c r="A2641" s="2" t="s">
        <v>17734</v>
      </c>
      <c r="B2641" s="2">
        <v>378.16723807739902</v>
      </c>
      <c r="C2641" s="2">
        <v>4.3824333333333296</v>
      </c>
      <c r="D2641" s="2" t="s">
        <v>51</v>
      </c>
      <c r="E2641" s="2" t="s">
        <v>17735</v>
      </c>
      <c r="F2641" s="2">
        <v>64923</v>
      </c>
      <c r="G2641" s="3" t="str">
        <f>HYPERLINK("https://cloud.oebiotech.com/#/lm/network/64923", "https://cloud.oebiotech.com/#/lm/network/64923")</f>
        <v>https://cloud.oebiotech.com/#/lm/network/64923</v>
      </c>
      <c r="H2641" s="2" t="s">
        <v>17736</v>
      </c>
      <c r="I2641" s="2">
        <v>96173</v>
      </c>
      <c r="J2641" s="2"/>
      <c r="K2641" s="2">
        <v>5464344</v>
      </c>
      <c r="L2641" s="2"/>
      <c r="M2641" s="2"/>
      <c r="N2641" s="2"/>
      <c r="O2641" s="2">
        <v>141520</v>
      </c>
      <c r="P2641" s="2" t="s">
        <v>13166</v>
      </c>
      <c r="Q2641" s="2" t="s">
        <v>13167</v>
      </c>
      <c r="R2641" s="2" t="s">
        <v>17737</v>
      </c>
      <c r="S2641" s="2" t="s">
        <v>17738</v>
      </c>
      <c r="T2641" s="2" t="s">
        <v>17739</v>
      </c>
      <c r="U2641" s="2" t="s">
        <v>103</v>
      </c>
      <c r="V2641" s="2" t="s">
        <v>104</v>
      </c>
      <c r="W2641" s="2" t="s">
        <v>105</v>
      </c>
      <c r="X2641" s="2" t="s">
        <v>83</v>
      </c>
      <c r="Y2641" s="2">
        <v>45.3</v>
      </c>
      <c r="Z2641" s="2">
        <v>12.9</v>
      </c>
      <c r="AA2641" s="2" t="s">
        <v>196</v>
      </c>
      <c r="AB2641" s="2" t="s">
        <v>17740</v>
      </c>
      <c r="AC2641" s="2">
        <v>3.3836580686518598</v>
      </c>
      <c r="AD2641" s="2"/>
      <c r="AE2641" s="2">
        <v>0.23815790686375099</v>
      </c>
      <c r="AF2641" s="2">
        <v>12054.612106996099</v>
      </c>
      <c r="AG2641" s="2">
        <v>15148.446176801601</v>
      </c>
      <c r="AH2641" s="4">
        <v>0.79576558323563196</v>
      </c>
      <c r="AI2641" s="4">
        <v>-0.32958459089089898</v>
      </c>
      <c r="AJ2641" s="4" t="s">
        <v>62</v>
      </c>
      <c r="AK2641" s="2">
        <v>0.58249381012559398</v>
      </c>
      <c r="AL2641" s="2">
        <v>0.78986312790026303</v>
      </c>
      <c r="AM2641" s="2">
        <v>5725.4960943700798</v>
      </c>
      <c r="AN2641" s="2">
        <v>8712.6967984741095</v>
      </c>
      <c r="AO2641" s="2">
        <v>15130.8343812609</v>
      </c>
      <c r="AP2641" s="2">
        <v>17860.841726689399</v>
      </c>
      <c r="AQ2641" s="2">
        <v>7452.5886148306799</v>
      </c>
      <c r="AR2641" s="2">
        <v>17445.215026351299</v>
      </c>
      <c r="AS2641" s="2">
        <v>4913.8608811454196</v>
      </c>
      <c r="AT2641" s="2">
        <v>14950.3397651216</v>
      </c>
      <c r="AU2641" s="2">
        <v>7245.4715351874202</v>
      </c>
      <c r="AV2641" s="2">
        <v>12980.544192306001</v>
      </c>
      <c r="AW2641" s="2">
        <v>11929.0085896129</v>
      </c>
      <c r="AX2641" s="2">
        <v>38871.452097435998</v>
      </c>
    </row>
    <row r="2642" spans="1:50" x14ac:dyDescent="0.25">
      <c r="A2642" s="2" t="s">
        <v>17741</v>
      </c>
      <c r="B2642" s="2">
        <v>391.246756341381</v>
      </c>
      <c r="C2642" s="2">
        <v>10.470333333333301</v>
      </c>
      <c r="D2642" s="2" t="s">
        <v>51</v>
      </c>
      <c r="E2642" s="2" t="s">
        <v>17742</v>
      </c>
      <c r="F2642" s="2">
        <v>213602</v>
      </c>
      <c r="G2642" s="3" t="str">
        <f>HYPERLINK("https://cloud.oebiotech.com/#/lm/network/213602", "https://cloud.oebiotech.com/#/lm/network/213602")</f>
        <v>https://cloud.oebiotech.com/#/lm/network/213602</v>
      </c>
      <c r="H2642" s="2" t="s">
        <v>17743</v>
      </c>
      <c r="I2642" s="2"/>
      <c r="J2642" s="2"/>
      <c r="K2642" s="2"/>
      <c r="L2642" s="2"/>
      <c r="M2642" s="2"/>
      <c r="N2642" s="2"/>
      <c r="O2642" s="2"/>
      <c r="P2642" s="2"/>
      <c r="Q2642" s="2"/>
      <c r="R2642" s="2"/>
      <c r="S2642" s="2" t="s">
        <v>17744</v>
      </c>
      <c r="T2642" s="2" t="s">
        <v>17745</v>
      </c>
      <c r="U2642" s="2" t="s">
        <v>56</v>
      </c>
      <c r="V2642" s="2" t="s">
        <v>145</v>
      </c>
      <c r="W2642" s="2" t="s">
        <v>203</v>
      </c>
      <c r="X2642" s="2" t="s">
        <v>83</v>
      </c>
      <c r="Y2642" s="2">
        <v>45.8</v>
      </c>
      <c r="Z2642" s="2">
        <v>3.2599999999999997E-2</v>
      </c>
      <c r="AA2642" s="2" t="s">
        <v>95</v>
      </c>
      <c r="AB2642" s="2" t="s">
        <v>14900</v>
      </c>
      <c r="AC2642" s="2">
        <v>3.4253566043430501</v>
      </c>
      <c r="AD2642" s="2"/>
      <c r="AE2642" s="2">
        <v>0.23768777115838799</v>
      </c>
      <c r="AF2642" s="2">
        <v>19620.7849163631</v>
      </c>
      <c r="AG2642" s="2">
        <v>15798.6920797529</v>
      </c>
      <c r="AH2642" s="5">
        <v>1.2419246363759799</v>
      </c>
      <c r="AI2642" s="5">
        <v>0.31257762925444699</v>
      </c>
      <c r="AJ2642" s="5" t="s">
        <v>139</v>
      </c>
      <c r="AK2642" s="2">
        <v>0.64081658023584298</v>
      </c>
      <c r="AL2642" s="2">
        <v>0.824370604399012</v>
      </c>
      <c r="AM2642" s="2">
        <v>25086.4237282955</v>
      </c>
      <c r="AN2642" s="2">
        <v>40263.900680897401</v>
      </c>
      <c r="AO2642" s="2">
        <v>17397.711250255499</v>
      </c>
      <c r="AP2642" s="2">
        <v>12712.010197561</v>
      </c>
      <c r="AQ2642" s="2">
        <v>10115.731319373701</v>
      </c>
      <c r="AR2642" s="2">
        <v>12148.932321795701</v>
      </c>
      <c r="AS2642" s="2">
        <v>11145.330622825501</v>
      </c>
      <c r="AT2642" s="2">
        <v>8885.4682635273002</v>
      </c>
      <c r="AU2642" s="2">
        <v>11669.8259645571</v>
      </c>
      <c r="AV2642" s="2">
        <v>6859.28292352468</v>
      </c>
      <c r="AW2642" s="2">
        <v>8508.1156757111203</v>
      </c>
      <c r="AX2642" s="2">
        <v>47724.129028371601</v>
      </c>
    </row>
    <row r="2643" spans="1:50" x14ac:dyDescent="0.25">
      <c r="A2643" s="2" t="s">
        <v>17746</v>
      </c>
      <c r="B2643" s="2">
        <v>361.167963812675</v>
      </c>
      <c r="C2643" s="2">
        <v>12.530250000000001</v>
      </c>
      <c r="D2643" s="2" t="s">
        <v>51</v>
      </c>
      <c r="E2643" s="2" t="s">
        <v>17747</v>
      </c>
      <c r="F2643" s="2">
        <v>199932</v>
      </c>
      <c r="G2643" s="3" t="str">
        <f>HYPERLINK("https://cloud.oebiotech.com/#/lm/network/199932", "https://cloud.oebiotech.com/#/lm/network/199932")</f>
        <v>https://cloud.oebiotech.com/#/lm/network/199932</v>
      </c>
      <c r="H2643" s="2" t="s">
        <v>17748</v>
      </c>
      <c r="I2643" s="2"/>
      <c r="J2643" s="2"/>
      <c r="K2643" s="2">
        <v>9949996</v>
      </c>
      <c r="L2643" s="2"/>
      <c r="M2643" s="2"/>
      <c r="N2643" s="2"/>
      <c r="O2643" s="2"/>
      <c r="P2643" s="2"/>
      <c r="Q2643" s="2"/>
      <c r="R2643" s="2"/>
      <c r="S2643" s="2" t="s">
        <v>17749</v>
      </c>
      <c r="T2643" s="2" t="s">
        <v>17750</v>
      </c>
      <c r="U2643" s="2" t="s">
        <v>266</v>
      </c>
      <c r="V2643" s="2" t="s">
        <v>2963</v>
      </c>
      <c r="W2643" s="2" t="s">
        <v>240</v>
      </c>
      <c r="X2643" s="2" t="s">
        <v>147</v>
      </c>
      <c r="Y2643" s="2">
        <v>36.700000000000003</v>
      </c>
      <c r="Z2643" s="2">
        <v>0</v>
      </c>
      <c r="AA2643" s="2" t="s">
        <v>512</v>
      </c>
      <c r="AB2643" s="2" t="s">
        <v>17751</v>
      </c>
      <c r="AC2643" s="2">
        <v>-3.8166978161444001</v>
      </c>
      <c r="AD2643" s="2"/>
      <c r="AE2643" s="2">
        <v>0.237687050057352</v>
      </c>
      <c r="AF2643" s="2">
        <v>20284.4424596809</v>
      </c>
      <c r="AG2643" s="2">
        <v>22855.575739390999</v>
      </c>
      <c r="AH2643" s="4">
        <v>0.88750520621194595</v>
      </c>
      <c r="AI2643" s="4">
        <v>-0.17217251233577799</v>
      </c>
      <c r="AJ2643" s="4" t="s">
        <v>62</v>
      </c>
      <c r="AK2643" s="2">
        <v>0.46278267241488702</v>
      </c>
      <c r="AL2643" s="2">
        <v>0.71230743534755303</v>
      </c>
      <c r="AM2643" s="2">
        <v>19687.987904294601</v>
      </c>
      <c r="AN2643" s="2">
        <v>17671.7421498517</v>
      </c>
      <c r="AO2643" s="2">
        <v>22171.525668456899</v>
      </c>
      <c r="AP2643" s="2">
        <v>18074.534190254399</v>
      </c>
      <c r="AQ2643" s="2">
        <v>24484.966770361199</v>
      </c>
      <c r="AR2643" s="2">
        <v>19615.898074866898</v>
      </c>
      <c r="AS2643" s="2">
        <v>19701.639624323201</v>
      </c>
      <c r="AT2643" s="2">
        <v>15887.272529038701</v>
      </c>
      <c r="AU2643" s="2">
        <v>18420.708035527299</v>
      </c>
      <c r="AV2643" s="2">
        <v>20347.9522416365</v>
      </c>
      <c r="AW2643" s="2">
        <v>37568.925693906698</v>
      </c>
      <c r="AX2643" s="2">
        <v>25206.956311913498</v>
      </c>
    </row>
    <row r="2644" spans="1:50" x14ac:dyDescent="0.25">
      <c r="A2644" s="2" t="s">
        <v>17752</v>
      </c>
      <c r="B2644" s="2">
        <v>545.42149639208003</v>
      </c>
      <c r="C2644" s="2">
        <v>14.780566666666701</v>
      </c>
      <c r="D2644" s="2" t="s">
        <v>51</v>
      </c>
      <c r="E2644" s="2" t="s">
        <v>17753</v>
      </c>
      <c r="F2644" s="2">
        <v>45694</v>
      </c>
      <c r="G2644" s="3" t="str">
        <f>HYPERLINK("https://cloud.oebiotech.com/#/lm/network/45694", "https://cloud.oebiotech.com/#/lm/network/45694")</f>
        <v>https://cloud.oebiotech.com/#/lm/network/45694</v>
      </c>
      <c r="H2644" s="2"/>
      <c r="I2644" s="2"/>
      <c r="J2644" s="2" t="s">
        <v>17754</v>
      </c>
      <c r="K2644" s="2">
        <v>9547635</v>
      </c>
      <c r="L2644" s="2"/>
      <c r="M2644" s="2"/>
      <c r="N2644" s="2"/>
      <c r="O2644" s="2"/>
      <c r="P2644" s="2"/>
      <c r="Q2644" s="2"/>
      <c r="R2644" s="2"/>
      <c r="S2644" s="2" t="s">
        <v>17755</v>
      </c>
      <c r="T2644" s="2" t="s">
        <v>17756</v>
      </c>
      <c r="U2644" s="2" t="s">
        <v>56</v>
      </c>
      <c r="V2644" s="2" t="s">
        <v>283</v>
      </c>
      <c r="W2644" s="2" t="s">
        <v>420</v>
      </c>
      <c r="X2644" s="2" t="s">
        <v>147</v>
      </c>
      <c r="Y2644" s="2">
        <v>38</v>
      </c>
      <c r="Z2644" s="2">
        <v>0</v>
      </c>
      <c r="AA2644" s="2" t="s">
        <v>218</v>
      </c>
      <c r="AB2644" s="2" t="s">
        <v>17757</v>
      </c>
      <c r="AC2644" s="2">
        <v>0.695146941929627</v>
      </c>
      <c r="AD2644" s="2"/>
      <c r="AE2644" s="2">
        <v>0.237440839181424</v>
      </c>
      <c r="AF2644" s="2">
        <v>7271.3841048335998</v>
      </c>
      <c r="AG2644" s="2">
        <v>4433.5031216192201</v>
      </c>
      <c r="AH2644" s="5">
        <v>1.6400990154661099</v>
      </c>
      <c r="AI2644" s="5">
        <v>0.71378291533715099</v>
      </c>
      <c r="AJ2644" s="5" t="s">
        <v>139</v>
      </c>
      <c r="AK2644" s="2">
        <v>0.16093246139978901</v>
      </c>
      <c r="AL2644" s="2">
        <v>0.48399353100485398</v>
      </c>
      <c r="AM2644" s="2">
        <v>1352.6497058119201</v>
      </c>
      <c r="AN2644" s="2">
        <v>10043.0629315434</v>
      </c>
      <c r="AO2644" s="2">
        <v>8503.0436002696206</v>
      </c>
      <c r="AP2644" s="2">
        <v>11652.870442958199</v>
      </c>
      <c r="AQ2644" s="2">
        <v>5460.2210291376996</v>
      </c>
      <c r="AR2644" s="2">
        <v>6616.4569192807503</v>
      </c>
      <c r="AS2644" s="2">
        <v>1418.56817103766</v>
      </c>
      <c r="AT2644" s="2">
        <v>7975.5084211571702</v>
      </c>
      <c r="AU2644" s="2">
        <v>4423.9228997885202</v>
      </c>
      <c r="AV2644" s="2">
        <v>1014.62178010119</v>
      </c>
      <c r="AW2644" s="2">
        <v>5287.8815330384496</v>
      </c>
      <c r="AX2644" s="2">
        <v>6480.5159245923396</v>
      </c>
    </row>
    <row r="2645" spans="1:50" x14ac:dyDescent="0.25">
      <c r="A2645" s="2" t="s">
        <v>17758</v>
      </c>
      <c r="B2645" s="2">
        <v>136.03531682555499</v>
      </c>
      <c r="C2645" s="2">
        <v>0.84268333333333301</v>
      </c>
      <c r="D2645" s="2" t="s">
        <v>51</v>
      </c>
      <c r="E2645" s="2" t="s">
        <v>17759</v>
      </c>
      <c r="F2645" s="2">
        <v>205797</v>
      </c>
      <c r="G2645" s="3" t="str">
        <f>HYPERLINK("https://cloud.oebiotech.com/#/lm/network/205797", "https://cloud.oebiotech.com/#/lm/network/205797")</f>
        <v>https://cloud.oebiotech.com/#/lm/network/205797</v>
      </c>
      <c r="H2645" s="2" t="s">
        <v>17760</v>
      </c>
      <c r="I2645" s="2"/>
      <c r="J2645" s="2"/>
      <c r="K2645" s="2">
        <v>415805</v>
      </c>
      <c r="L2645" s="2"/>
      <c r="M2645" s="2"/>
      <c r="N2645" s="2"/>
      <c r="O2645" s="2"/>
      <c r="P2645" s="2"/>
      <c r="Q2645" s="2"/>
      <c r="R2645" s="2"/>
      <c r="S2645" s="2" t="s">
        <v>17761</v>
      </c>
      <c r="T2645" s="2" t="s">
        <v>17762</v>
      </c>
      <c r="U2645" s="2" t="s">
        <v>119</v>
      </c>
      <c r="V2645" s="2" t="s">
        <v>120</v>
      </c>
      <c r="W2645" s="2" t="s">
        <v>17763</v>
      </c>
      <c r="X2645" s="2" t="s">
        <v>147</v>
      </c>
      <c r="Y2645" s="2">
        <v>39.200000000000003</v>
      </c>
      <c r="Z2645" s="2">
        <v>0</v>
      </c>
      <c r="AA2645" s="2" t="s">
        <v>512</v>
      </c>
      <c r="AB2645" s="2" t="s">
        <v>17764</v>
      </c>
      <c r="AC2645" s="2">
        <v>0.29443344429413298</v>
      </c>
      <c r="AD2645" s="2"/>
      <c r="AE2645" s="2">
        <v>0.237349407669639</v>
      </c>
      <c r="AF2645" s="2">
        <v>4564.9168289065501</v>
      </c>
      <c r="AG2645" s="2">
        <v>5994.57512318316</v>
      </c>
      <c r="AH2645" s="4">
        <v>0.76150798598759595</v>
      </c>
      <c r="AI2645" s="4">
        <v>-0.39306892845150099</v>
      </c>
      <c r="AJ2645" s="4" t="s">
        <v>62</v>
      </c>
      <c r="AK2645" s="2">
        <v>2.8529855200890301E-2</v>
      </c>
      <c r="AL2645" s="2">
        <v>0.25769393072317198</v>
      </c>
      <c r="AM2645" s="2">
        <v>3957.0400806776101</v>
      </c>
      <c r="AN2645" s="2">
        <v>5134.1756979657503</v>
      </c>
      <c r="AO2645" s="2">
        <v>4146.4858466453898</v>
      </c>
      <c r="AP2645" s="2">
        <v>4985.3696962641397</v>
      </c>
      <c r="AQ2645" s="2">
        <v>5431.9425539923204</v>
      </c>
      <c r="AR2645" s="2">
        <v>3734.4870978940899</v>
      </c>
      <c r="AS2645" s="2">
        <v>6174.0298226537598</v>
      </c>
      <c r="AT2645" s="2">
        <v>6538.9416110993498</v>
      </c>
      <c r="AU2645" s="2">
        <v>4462.8820703561796</v>
      </c>
      <c r="AV2645" s="2">
        <v>4861.1328157817798</v>
      </c>
      <c r="AW2645" s="2">
        <v>6240.8685036827201</v>
      </c>
      <c r="AX2645" s="2">
        <v>7689.5959155251603</v>
      </c>
    </row>
    <row r="2646" spans="1:50" x14ac:dyDescent="0.25">
      <c r="A2646" s="2" t="s">
        <v>17765</v>
      </c>
      <c r="B2646" s="2">
        <v>260.97333587268997</v>
      </c>
      <c r="C2646" s="2">
        <v>0.78368333333333295</v>
      </c>
      <c r="D2646" s="2" t="s">
        <v>51</v>
      </c>
      <c r="E2646" s="2" t="s">
        <v>17766</v>
      </c>
      <c r="F2646" s="2">
        <v>205598</v>
      </c>
      <c r="G2646" s="3" t="str">
        <f>HYPERLINK("https://cloud.oebiotech.com/#/lm/network/205598", "https://cloud.oebiotech.com/#/lm/network/205598")</f>
        <v>https://cloud.oebiotech.com/#/lm/network/205598</v>
      </c>
      <c r="H2646" s="2" t="s">
        <v>17767</v>
      </c>
      <c r="I2646" s="2">
        <v>336810</v>
      </c>
      <c r="J2646" s="2"/>
      <c r="K2646" s="2">
        <v>9638</v>
      </c>
      <c r="L2646" s="2"/>
      <c r="M2646" s="2"/>
      <c r="N2646" s="2"/>
      <c r="O2646" s="2">
        <v>134964</v>
      </c>
      <c r="P2646" s="2"/>
      <c r="Q2646" s="2"/>
      <c r="R2646" s="2"/>
      <c r="S2646" s="2" t="s">
        <v>17768</v>
      </c>
      <c r="T2646" s="2" t="s">
        <v>17769</v>
      </c>
      <c r="U2646" s="2" t="s">
        <v>1357</v>
      </c>
      <c r="V2646" s="2" t="s">
        <v>11149</v>
      </c>
      <c r="W2646" s="2" t="s">
        <v>240</v>
      </c>
      <c r="X2646" s="2" t="s">
        <v>147</v>
      </c>
      <c r="Y2646" s="2">
        <v>39.700000000000003</v>
      </c>
      <c r="Z2646" s="2">
        <v>0</v>
      </c>
      <c r="AA2646" s="2" t="s">
        <v>95</v>
      </c>
      <c r="AB2646" s="2" t="s">
        <v>17770</v>
      </c>
      <c r="AC2646" s="2">
        <v>0.34873217772148002</v>
      </c>
      <c r="AD2646" s="2"/>
      <c r="AE2646" s="2">
        <v>0.23715198621664399</v>
      </c>
      <c r="AF2646" s="2">
        <v>10648.5594762438</v>
      </c>
      <c r="AG2646" s="2">
        <v>8453.7390583613906</v>
      </c>
      <c r="AH2646" s="5">
        <v>1.2596271783089401</v>
      </c>
      <c r="AI2646" s="5">
        <v>0.33299679118909897</v>
      </c>
      <c r="AJ2646" s="5" t="s">
        <v>139</v>
      </c>
      <c r="AK2646" s="2">
        <v>0.27840142653449701</v>
      </c>
      <c r="AL2646" s="2">
        <v>0.59821544311809904</v>
      </c>
      <c r="AM2646" s="2">
        <v>17080.057787183399</v>
      </c>
      <c r="AN2646" s="2">
        <v>4692.55545943164</v>
      </c>
      <c r="AO2646" s="2">
        <v>11444.0638906723</v>
      </c>
      <c r="AP2646" s="2">
        <v>12462.395795865899</v>
      </c>
      <c r="AQ2646" s="2">
        <v>10634.9134400328</v>
      </c>
      <c r="AR2646" s="2">
        <v>7577.3704842768102</v>
      </c>
      <c r="AS2646" s="2">
        <v>7169.52081390885</v>
      </c>
      <c r="AT2646" s="2">
        <v>7346.2450263041901</v>
      </c>
      <c r="AU2646" s="2">
        <v>10168.975196334201</v>
      </c>
      <c r="AV2646" s="2">
        <v>5858.8029282226598</v>
      </c>
      <c r="AW2646" s="2">
        <v>11065.780177943199</v>
      </c>
      <c r="AX2646" s="2">
        <v>9113.1102074552491</v>
      </c>
    </row>
    <row r="2647" spans="1:50" x14ac:dyDescent="0.25">
      <c r="A2647" s="2" t="s">
        <v>17771</v>
      </c>
      <c r="B2647" s="2">
        <v>428.374623258795</v>
      </c>
      <c r="C2647" s="2">
        <v>10.571666666666699</v>
      </c>
      <c r="D2647" s="2" t="s">
        <v>51</v>
      </c>
      <c r="E2647" s="2" t="s">
        <v>17772</v>
      </c>
      <c r="F2647" s="2">
        <v>47256</v>
      </c>
      <c r="G2647" s="3" t="str">
        <f>HYPERLINK("https://cloud.oebiotech.com/#/lm/network/47256", "https://cloud.oebiotech.com/#/lm/network/47256")</f>
        <v>https://cloud.oebiotech.com/#/lm/network/47256</v>
      </c>
      <c r="H2647" s="2" t="s">
        <v>17773</v>
      </c>
      <c r="I2647" s="2">
        <v>5811</v>
      </c>
      <c r="J2647" s="2"/>
      <c r="K2647" s="2">
        <v>52922056</v>
      </c>
      <c r="L2647" s="2"/>
      <c r="M2647" s="2"/>
      <c r="N2647" s="2"/>
      <c r="O2647" s="2">
        <v>84644</v>
      </c>
      <c r="P2647" s="2"/>
      <c r="Q2647" s="2"/>
      <c r="R2647" s="2" t="s">
        <v>17774</v>
      </c>
      <c r="S2647" s="2" t="s">
        <v>17775</v>
      </c>
      <c r="T2647" s="2" t="s">
        <v>17776</v>
      </c>
      <c r="U2647" s="2" t="s">
        <v>119</v>
      </c>
      <c r="V2647" s="2" t="s">
        <v>120</v>
      </c>
      <c r="W2647" s="2" t="s">
        <v>121</v>
      </c>
      <c r="X2647" s="2" t="s">
        <v>69</v>
      </c>
      <c r="Y2647" s="2">
        <v>57.3</v>
      </c>
      <c r="Z2647" s="2">
        <v>70.599999999999994</v>
      </c>
      <c r="AA2647" s="2" t="s">
        <v>122</v>
      </c>
      <c r="AB2647" s="2" t="s">
        <v>17777</v>
      </c>
      <c r="AC2647" s="2">
        <v>1.4918558995034701</v>
      </c>
      <c r="AD2647" s="2"/>
      <c r="AE2647" s="2">
        <v>0.23714705689365601</v>
      </c>
      <c r="AF2647" s="2">
        <v>120034.912935275</v>
      </c>
      <c r="AG2647" s="2">
        <v>135615.16386848799</v>
      </c>
      <c r="AH2647" s="4">
        <v>0.88511424173536801</v>
      </c>
      <c r="AI2647" s="4">
        <v>-0.17606441895927899</v>
      </c>
      <c r="AJ2647" s="4" t="s">
        <v>62</v>
      </c>
      <c r="AK2647" s="2">
        <v>0.59659591500221398</v>
      </c>
      <c r="AL2647" s="2">
        <v>0.79738630062317595</v>
      </c>
      <c r="AM2647" s="2">
        <v>168897.760937913</v>
      </c>
      <c r="AN2647" s="2">
        <v>77335.381927426701</v>
      </c>
      <c r="AO2647" s="2">
        <v>162675.38611844601</v>
      </c>
      <c r="AP2647" s="2">
        <v>117673.210091227</v>
      </c>
      <c r="AQ2647" s="2">
        <v>99904.169565631193</v>
      </c>
      <c r="AR2647" s="2">
        <v>93723.568971003901</v>
      </c>
      <c r="AS2647" s="2">
        <v>110407.431032067</v>
      </c>
      <c r="AT2647" s="2">
        <v>83465.825469043106</v>
      </c>
      <c r="AU2647" s="2">
        <v>227927.744574429</v>
      </c>
      <c r="AV2647" s="2">
        <v>117933.141657771</v>
      </c>
      <c r="AW2647" s="2">
        <v>187195.17108378699</v>
      </c>
      <c r="AX2647" s="2">
        <v>86761.669393832402</v>
      </c>
    </row>
    <row r="2648" spans="1:50" x14ac:dyDescent="0.25">
      <c r="A2648" s="2" t="s">
        <v>17778</v>
      </c>
      <c r="B2648" s="2">
        <v>187.148653163902</v>
      </c>
      <c r="C2648" s="2">
        <v>8.0870666666666704</v>
      </c>
      <c r="D2648" s="2" t="s">
        <v>51</v>
      </c>
      <c r="E2648" s="2" t="s">
        <v>17779</v>
      </c>
      <c r="F2648" s="2">
        <v>60221</v>
      </c>
      <c r="G2648" s="3" t="str">
        <f>HYPERLINK("https://cloud.oebiotech.com/#/lm/network/60221", "https://cloud.oebiotech.com/#/lm/network/60221")</f>
        <v>https://cloud.oebiotech.com/#/lm/network/60221</v>
      </c>
      <c r="H2648" s="2" t="s">
        <v>17780</v>
      </c>
      <c r="I2648" s="2">
        <v>91596</v>
      </c>
      <c r="J2648" s="2"/>
      <c r="K2648" s="2">
        <v>131751995</v>
      </c>
      <c r="L2648" s="2"/>
      <c r="M2648" s="2"/>
      <c r="N2648" s="2"/>
      <c r="O2648" s="2"/>
      <c r="P2648" s="2"/>
      <c r="Q2648" s="2"/>
      <c r="R2648" s="2" t="s">
        <v>17781</v>
      </c>
      <c r="S2648" s="2" t="s">
        <v>17782</v>
      </c>
      <c r="T2648" s="2" t="s">
        <v>17783</v>
      </c>
      <c r="U2648" s="2" t="s">
        <v>1491</v>
      </c>
      <c r="V2648" s="2" t="s">
        <v>1492</v>
      </c>
      <c r="W2648" s="2" t="s">
        <v>16461</v>
      </c>
      <c r="X2648" s="2" t="s">
        <v>147</v>
      </c>
      <c r="Y2648" s="2">
        <v>44.4</v>
      </c>
      <c r="Z2648" s="2">
        <v>31.1</v>
      </c>
      <c r="AA2648" s="2" t="s">
        <v>259</v>
      </c>
      <c r="AB2648" s="2" t="s">
        <v>17784</v>
      </c>
      <c r="AC2648" s="2">
        <v>2.82664788848273</v>
      </c>
      <c r="AD2648" s="2"/>
      <c r="AE2648" s="2">
        <v>0.237104750020799</v>
      </c>
      <c r="AF2648" s="2">
        <v>2864.0236275061302</v>
      </c>
      <c r="AG2648" s="2">
        <v>1540.70077820698</v>
      </c>
      <c r="AH2648" s="5">
        <v>1.8589097039589999</v>
      </c>
      <c r="AI2648" s="5">
        <v>0.89445669343414702</v>
      </c>
      <c r="AJ2648" s="5" t="s">
        <v>139</v>
      </c>
      <c r="AK2648" s="2">
        <v>8.7746793583283203E-2</v>
      </c>
      <c r="AL2648" s="2">
        <v>0.38035924608661198</v>
      </c>
      <c r="AM2648" s="2">
        <v>6008.7325851588203</v>
      </c>
      <c r="AN2648" s="2">
        <v>2464.61920092735</v>
      </c>
      <c r="AO2648" s="2">
        <v>1992.37520281653</v>
      </c>
      <c r="AP2648" s="2">
        <v>2359.3613996747999</v>
      </c>
      <c r="AQ2648" s="2">
        <v>2039.56009656165</v>
      </c>
      <c r="AR2648" s="2">
        <v>2319.4932798976402</v>
      </c>
      <c r="AS2648" s="2">
        <v>2615.6923833015198</v>
      </c>
      <c r="AT2648" s="2">
        <v>1941.63011660352</v>
      </c>
      <c r="AU2648" s="2">
        <v>1392.2701979180999</v>
      </c>
      <c r="AV2648" s="2">
        <v>566.58564261880497</v>
      </c>
      <c r="AW2648" s="2">
        <v>987.04178755093199</v>
      </c>
      <c r="AX2648" s="2">
        <v>1740.9845412489799</v>
      </c>
    </row>
    <row r="2649" spans="1:50" x14ac:dyDescent="0.25">
      <c r="A2649" s="2" t="s">
        <v>17785</v>
      </c>
      <c r="B2649" s="2">
        <v>581.371088881628</v>
      </c>
      <c r="C2649" s="2">
        <v>13.820650000000001</v>
      </c>
      <c r="D2649" s="2" t="s">
        <v>51</v>
      </c>
      <c r="E2649" s="2" t="s">
        <v>17786</v>
      </c>
      <c r="F2649" s="2">
        <v>250306</v>
      </c>
      <c r="G2649" s="3" t="str">
        <f>HYPERLINK("https://cloud.oebiotech.com/#/lm/network/250306", "https://cloud.oebiotech.com/#/lm/network/250306")</f>
        <v>https://cloud.oebiotech.com/#/lm/network/250306</v>
      </c>
      <c r="H2649" s="2" t="s">
        <v>17787</v>
      </c>
      <c r="I2649" s="2"/>
      <c r="J2649" s="2"/>
      <c r="K2649" s="2"/>
      <c r="L2649" s="2"/>
      <c r="M2649" s="2"/>
      <c r="N2649" s="2"/>
      <c r="O2649" s="2"/>
      <c r="P2649" s="2"/>
      <c r="Q2649" s="2"/>
      <c r="R2649" s="2"/>
      <c r="S2649" s="2" t="s">
        <v>17788</v>
      </c>
      <c r="T2649" s="2" t="s">
        <v>17789</v>
      </c>
      <c r="U2649" s="2" t="s">
        <v>56</v>
      </c>
      <c r="V2649" s="2" t="s">
        <v>145</v>
      </c>
      <c r="W2649" s="2" t="s">
        <v>187</v>
      </c>
      <c r="X2649" s="2" t="s">
        <v>147</v>
      </c>
      <c r="Y2649" s="2">
        <v>37.1</v>
      </c>
      <c r="Z2649" s="2">
        <v>0</v>
      </c>
      <c r="AA2649" s="2" t="s">
        <v>218</v>
      </c>
      <c r="AB2649" s="2" t="s">
        <v>17790</v>
      </c>
      <c r="AC2649" s="2">
        <v>2.94946253915028</v>
      </c>
      <c r="AD2649" s="2"/>
      <c r="AE2649" s="2">
        <v>0.23702317956393801</v>
      </c>
      <c r="AF2649" s="2">
        <v>4596.7553938983701</v>
      </c>
      <c r="AG2649" s="2">
        <v>7744.5660327428504</v>
      </c>
      <c r="AH2649" s="4">
        <v>0.59354589714439598</v>
      </c>
      <c r="AI2649" s="4">
        <v>-0.75256850137668097</v>
      </c>
      <c r="AJ2649" s="4" t="s">
        <v>62</v>
      </c>
      <c r="AK2649" s="2">
        <v>0.53296381047936203</v>
      </c>
      <c r="AL2649" s="2">
        <v>0.75995291637981999</v>
      </c>
      <c r="AM2649" s="2">
        <v>8.559877937157E-6</v>
      </c>
      <c r="AN2649" s="2">
        <v>7429.5190589146496</v>
      </c>
      <c r="AO2649" s="2">
        <v>11940.6012888204</v>
      </c>
      <c r="AP2649" s="2">
        <v>1802.503321165</v>
      </c>
      <c r="AQ2649" s="2">
        <v>137.826447551418</v>
      </c>
      <c r="AR2649" s="2">
        <v>6270.08223837887</v>
      </c>
      <c r="AS2649" s="2">
        <v>19446.720321568901</v>
      </c>
      <c r="AT2649" s="2">
        <v>8.559877937157E-6</v>
      </c>
      <c r="AU2649" s="2">
        <v>8.559877937157E-6</v>
      </c>
      <c r="AV2649" s="2">
        <v>8.559877937157E-6</v>
      </c>
      <c r="AW2649" s="2">
        <v>3120.9833012731901</v>
      </c>
      <c r="AX2649" s="2">
        <v>23899.692547935399</v>
      </c>
    </row>
    <row r="2650" spans="1:50" x14ac:dyDescent="0.25">
      <c r="A2650" s="2" t="s">
        <v>17791</v>
      </c>
      <c r="B2650" s="2">
        <v>258.05390885553402</v>
      </c>
      <c r="C2650" s="2">
        <v>2.07778333333333</v>
      </c>
      <c r="D2650" s="2" t="s">
        <v>51</v>
      </c>
      <c r="E2650" s="2" t="s">
        <v>17792</v>
      </c>
      <c r="F2650" s="2">
        <v>199326</v>
      </c>
      <c r="G2650" s="3" t="str">
        <f>HYPERLINK("https://cloud.oebiotech.com/#/lm/network/199326", "https://cloud.oebiotech.com/#/lm/network/199326")</f>
        <v>https://cloud.oebiotech.com/#/lm/network/199326</v>
      </c>
      <c r="H2650" s="2" t="s">
        <v>17793</v>
      </c>
      <c r="I2650" s="2"/>
      <c r="J2650" s="2"/>
      <c r="K2650" s="2">
        <v>129656</v>
      </c>
      <c r="L2650" s="2"/>
      <c r="M2650" s="2"/>
      <c r="N2650" s="2"/>
      <c r="O2650" s="2"/>
      <c r="P2650" s="2"/>
      <c r="Q2650" s="2"/>
      <c r="R2650" s="2"/>
      <c r="S2650" s="2" t="s">
        <v>17794</v>
      </c>
      <c r="T2650" s="2" t="s">
        <v>17795</v>
      </c>
      <c r="U2650" s="2" t="s">
        <v>103</v>
      </c>
      <c r="V2650" s="2" t="s">
        <v>104</v>
      </c>
      <c r="W2650" s="2" t="s">
        <v>105</v>
      </c>
      <c r="X2650" s="2" t="s">
        <v>147</v>
      </c>
      <c r="Y2650" s="2">
        <v>38.299999999999997</v>
      </c>
      <c r="Z2650" s="2">
        <v>4.3499999999999996</v>
      </c>
      <c r="AA2650" s="2" t="s">
        <v>163</v>
      </c>
      <c r="AB2650" s="2" t="s">
        <v>17796</v>
      </c>
      <c r="AC2650" s="2">
        <v>2.84348551786056</v>
      </c>
      <c r="AD2650" s="2"/>
      <c r="AE2650" s="2">
        <v>0.23700491016425099</v>
      </c>
      <c r="AF2650" s="2">
        <v>8.559877937157E-6</v>
      </c>
      <c r="AG2650" s="2">
        <v>2304.2053457048601</v>
      </c>
      <c r="AH2650" s="4">
        <v>3.71489370646284E-9</v>
      </c>
      <c r="AI2650" s="4">
        <v>-28.004031922186801</v>
      </c>
      <c r="AJ2650" s="4" t="s">
        <v>62</v>
      </c>
      <c r="AK2650" s="2">
        <v>8.7713302964633297E-2</v>
      </c>
      <c r="AL2650" s="2">
        <v>0.38035924608661198</v>
      </c>
      <c r="AM2650" s="2">
        <v>8.559877937157E-6</v>
      </c>
      <c r="AN2650" s="2">
        <v>8.559877937157E-6</v>
      </c>
      <c r="AO2650" s="2">
        <v>8.559877937157E-6</v>
      </c>
      <c r="AP2650" s="2">
        <v>8.559877937157E-6</v>
      </c>
      <c r="AQ2650" s="2">
        <v>8.559877937157E-6</v>
      </c>
      <c r="AR2650" s="2">
        <v>8.559877937157E-6</v>
      </c>
      <c r="AS2650" s="2">
        <v>4888.6023200852396</v>
      </c>
      <c r="AT2650" s="2">
        <v>6968.6062832035504</v>
      </c>
      <c r="AU2650" s="2">
        <v>8.559877937157E-6</v>
      </c>
      <c r="AV2650" s="2">
        <v>1968.0234452607201</v>
      </c>
      <c r="AW2650" s="2">
        <v>8.559877937157E-6</v>
      </c>
      <c r="AX2650" s="2">
        <v>8.559877937157E-6</v>
      </c>
    </row>
    <row r="2651" spans="1:50" x14ac:dyDescent="0.25">
      <c r="A2651" s="2" t="s">
        <v>17797</v>
      </c>
      <c r="B2651" s="2">
        <v>385.09410830684698</v>
      </c>
      <c r="C2651" s="2">
        <v>5.7101499999999996</v>
      </c>
      <c r="D2651" s="2" t="s">
        <v>51</v>
      </c>
      <c r="E2651" s="2" t="s">
        <v>17798</v>
      </c>
      <c r="F2651" s="2">
        <v>30245</v>
      </c>
      <c r="G2651" s="3" t="str">
        <f>HYPERLINK("https://cloud.oebiotech.com/#/lm/network/30245", "https://cloud.oebiotech.com/#/lm/network/30245")</f>
        <v>https://cloud.oebiotech.com/#/lm/network/30245</v>
      </c>
      <c r="H2651" s="2"/>
      <c r="I2651" s="2">
        <v>48585</v>
      </c>
      <c r="J2651" s="2" t="s">
        <v>17799</v>
      </c>
      <c r="K2651" s="2">
        <v>44257631</v>
      </c>
      <c r="L2651" s="2"/>
      <c r="M2651" s="2"/>
      <c r="N2651" s="2"/>
      <c r="O2651" s="2"/>
      <c r="P2651" s="2"/>
      <c r="Q2651" s="2"/>
      <c r="R2651" s="2"/>
      <c r="S2651" s="2" t="s">
        <v>17800</v>
      </c>
      <c r="T2651" s="2" t="s">
        <v>17801</v>
      </c>
      <c r="U2651" s="2" t="s">
        <v>540</v>
      </c>
      <c r="V2651" s="2" t="s">
        <v>541</v>
      </c>
      <c r="W2651" s="2" t="s">
        <v>542</v>
      </c>
      <c r="X2651" s="2" t="s">
        <v>83</v>
      </c>
      <c r="Y2651" s="2">
        <v>39.6</v>
      </c>
      <c r="Z2651" s="2">
        <v>0</v>
      </c>
      <c r="AA2651" s="2" t="s">
        <v>163</v>
      </c>
      <c r="AB2651" s="2" t="s">
        <v>17802</v>
      </c>
      <c r="AC2651" s="2">
        <v>3.1525630118220498</v>
      </c>
      <c r="AD2651" s="2"/>
      <c r="AE2651" s="2">
        <v>0.23681929065059501</v>
      </c>
      <c r="AF2651" s="2">
        <v>1302.8681872568</v>
      </c>
      <c r="AG2651" s="2">
        <v>3500.0079531779602</v>
      </c>
      <c r="AH2651" s="4">
        <v>0.372247207631003</v>
      </c>
      <c r="AI2651" s="4">
        <v>-1.42566706824792</v>
      </c>
      <c r="AJ2651" s="4" t="s">
        <v>62</v>
      </c>
      <c r="AK2651" s="2">
        <v>0.14469391037792401</v>
      </c>
      <c r="AL2651" s="2">
        <v>0.46795150714190697</v>
      </c>
      <c r="AM2651" s="2">
        <v>2031.4221259748899</v>
      </c>
      <c r="AN2651" s="2">
        <v>155.888504495951</v>
      </c>
      <c r="AO2651" s="2">
        <v>2365.7485038868899</v>
      </c>
      <c r="AP2651" s="2">
        <v>8.559877937157E-6</v>
      </c>
      <c r="AQ2651" s="2">
        <v>1230.67001406235</v>
      </c>
      <c r="AR2651" s="2">
        <v>2033.47996656083</v>
      </c>
      <c r="AS2651" s="2">
        <v>728.166892189289</v>
      </c>
      <c r="AT2651" s="2">
        <v>465.38262274658001</v>
      </c>
      <c r="AU2651" s="2">
        <v>5206.4213614201099</v>
      </c>
      <c r="AV2651" s="2">
        <v>3776.8706262943101</v>
      </c>
      <c r="AW2651" s="2">
        <v>8978.9925379283304</v>
      </c>
      <c r="AX2651" s="2">
        <v>1844.21367848915</v>
      </c>
    </row>
    <row r="2652" spans="1:50" x14ac:dyDescent="0.25">
      <c r="A2652" s="2" t="s">
        <v>17803</v>
      </c>
      <c r="B2652" s="2">
        <v>226.21719595613499</v>
      </c>
      <c r="C2652" s="2">
        <v>12.6645</v>
      </c>
      <c r="D2652" s="2" t="s">
        <v>51</v>
      </c>
      <c r="E2652" s="2" t="s">
        <v>17804</v>
      </c>
      <c r="F2652" s="2">
        <v>56626</v>
      </c>
      <c r="G2652" s="3" t="str">
        <f>HYPERLINK("https://cloud.oebiotech.com/#/lm/network/56626", "https://cloud.oebiotech.com/#/lm/network/56626")</f>
        <v>https://cloud.oebiotech.com/#/lm/network/56626</v>
      </c>
      <c r="H2652" s="2" t="s">
        <v>17805</v>
      </c>
      <c r="I2652" s="2">
        <v>88266</v>
      </c>
      <c r="J2652" s="2"/>
      <c r="K2652" s="2">
        <v>12762300</v>
      </c>
      <c r="L2652" s="2"/>
      <c r="M2652" s="2"/>
      <c r="N2652" s="2"/>
      <c r="O2652" s="2">
        <v>168892</v>
      </c>
      <c r="P2652" s="2"/>
      <c r="Q2652" s="2"/>
      <c r="R2652" s="2" t="s">
        <v>17806</v>
      </c>
      <c r="S2652" s="2" t="s">
        <v>17807</v>
      </c>
      <c r="T2652" s="2" t="s">
        <v>17808</v>
      </c>
      <c r="U2652" s="2" t="s">
        <v>266</v>
      </c>
      <c r="V2652" s="2" t="s">
        <v>7754</v>
      </c>
      <c r="W2652" s="2" t="s">
        <v>240</v>
      </c>
      <c r="X2652" s="2" t="s">
        <v>69</v>
      </c>
      <c r="Y2652" s="2">
        <v>63.5</v>
      </c>
      <c r="Z2652" s="2">
        <v>99.5</v>
      </c>
      <c r="AA2652" s="2" t="s">
        <v>512</v>
      </c>
      <c r="AB2652" s="2" t="s">
        <v>17809</v>
      </c>
      <c r="AC2652" s="2">
        <v>3.1464518721475598</v>
      </c>
      <c r="AD2652" s="2"/>
      <c r="AE2652" s="2">
        <v>0.23675355814642099</v>
      </c>
      <c r="AF2652" s="2">
        <v>38079.2735960317</v>
      </c>
      <c r="AG2652" s="2">
        <v>48054.090145030503</v>
      </c>
      <c r="AH2652" s="4">
        <v>0.79242523333822101</v>
      </c>
      <c r="AI2652" s="4">
        <v>-0.33565327393267802</v>
      </c>
      <c r="AJ2652" s="4" t="s">
        <v>62</v>
      </c>
      <c r="AK2652" s="2">
        <v>0.80115911485675395</v>
      </c>
      <c r="AL2652" s="2">
        <v>0.91034349227655897</v>
      </c>
      <c r="AM2652" s="2">
        <v>270.32378704949201</v>
      </c>
      <c r="AN2652" s="2">
        <v>8.559877937157E-6</v>
      </c>
      <c r="AO2652" s="2">
        <v>100196.072657553</v>
      </c>
      <c r="AP2652" s="2">
        <v>1259.92169920622</v>
      </c>
      <c r="AQ2652" s="2">
        <v>124721.460461052</v>
      </c>
      <c r="AR2652" s="2">
        <v>2027.86296276945</v>
      </c>
      <c r="AS2652" s="2">
        <v>164959.29670940299</v>
      </c>
      <c r="AT2652" s="2">
        <v>358.83926299202699</v>
      </c>
      <c r="AU2652" s="2">
        <v>119818.993168366</v>
      </c>
      <c r="AV2652" s="2">
        <v>2770.0288208864799</v>
      </c>
      <c r="AW2652" s="2">
        <v>417.38289997532797</v>
      </c>
      <c r="AX2652" s="2">
        <v>8.559877937157E-6</v>
      </c>
    </row>
    <row r="2653" spans="1:50" x14ac:dyDescent="0.25">
      <c r="A2653" s="2" t="s">
        <v>17810</v>
      </c>
      <c r="B2653" s="2">
        <v>307.027976287966</v>
      </c>
      <c r="C2653" s="2">
        <v>7.8818000000000001</v>
      </c>
      <c r="D2653" s="2" t="s">
        <v>51</v>
      </c>
      <c r="E2653" s="2" t="s">
        <v>17811</v>
      </c>
      <c r="F2653" s="2">
        <v>29993</v>
      </c>
      <c r="G2653" s="3" t="str">
        <f>HYPERLINK("https://cloud.oebiotech.com/#/lm/network/29993", "https://cloud.oebiotech.com/#/lm/network/29993")</f>
        <v>https://cloud.oebiotech.com/#/lm/network/29993</v>
      </c>
      <c r="H2653" s="2"/>
      <c r="I2653" s="2">
        <v>48347</v>
      </c>
      <c r="J2653" s="2" t="s">
        <v>17812</v>
      </c>
      <c r="K2653" s="2">
        <v>44257534</v>
      </c>
      <c r="L2653" s="2"/>
      <c r="M2653" s="2"/>
      <c r="N2653" s="2"/>
      <c r="O2653" s="2"/>
      <c r="P2653" s="2"/>
      <c r="Q2653" s="2"/>
      <c r="R2653" s="2"/>
      <c r="S2653" s="2" t="s">
        <v>17813</v>
      </c>
      <c r="T2653" s="2" t="s">
        <v>17814</v>
      </c>
      <c r="U2653" s="2" t="s">
        <v>540</v>
      </c>
      <c r="V2653" s="2" t="s">
        <v>784</v>
      </c>
      <c r="W2653" s="2" t="s">
        <v>17815</v>
      </c>
      <c r="X2653" s="2" t="s">
        <v>83</v>
      </c>
      <c r="Y2653" s="2">
        <v>39</v>
      </c>
      <c r="Z2653" s="2">
        <v>0</v>
      </c>
      <c r="AA2653" s="2" t="s">
        <v>379</v>
      </c>
      <c r="AB2653" s="2" t="s">
        <v>17816</v>
      </c>
      <c r="AC2653" s="2">
        <v>9.7065531775562697</v>
      </c>
      <c r="AD2653" s="2"/>
      <c r="AE2653" s="2">
        <v>0.23671369551486701</v>
      </c>
      <c r="AF2653" s="2">
        <v>1338.35336965434</v>
      </c>
      <c r="AG2653" s="2">
        <v>3085.1152776539998</v>
      </c>
      <c r="AH2653" s="4">
        <v>0.43380984151492102</v>
      </c>
      <c r="AI2653" s="4">
        <v>-1.2048653121775099</v>
      </c>
      <c r="AJ2653" s="4" t="s">
        <v>62</v>
      </c>
      <c r="AK2653" s="2">
        <v>1.50268875189005E-2</v>
      </c>
      <c r="AL2653" s="2">
        <v>0.19564612105200099</v>
      </c>
      <c r="AM2653" s="2">
        <v>2463.7817286018899</v>
      </c>
      <c r="AN2653" s="2">
        <v>416.82257679715298</v>
      </c>
      <c r="AO2653" s="2">
        <v>2027.49852885472</v>
      </c>
      <c r="AP2653" s="2">
        <v>582.15055634775001</v>
      </c>
      <c r="AQ2653" s="2">
        <v>630.19366357485205</v>
      </c>
      <c r="AR2653" s="2">
        <v>1909.67316374969</v>
      </c>
      <c r="AS2653" s="2">
        <v>3589.24204847898</v>
      </c>
      <c r="AT2653" s="2">
        <v>2311.52998759411</v>
      </c>
      <c r="AU2653" s="2">
        <v>4571.87339858613</v>
      </c>
      <c r="AV2653" s="2">
        <v>2282.9608897974699</v>
      </c>
      <c r="AW2653" s="2">
        <v>4076.5670840877401</v>
      </c>
      <c r="AX2653" s="2">
        <v>1678.5182573795801</v>
      </c>
    </row>
    <row r="2654" spans="1:50" x14ac:dyDescent="0.25">
      <c r="A2654" s="2" t="s">
        <v>17817</v>
      </c>
      <c r="B2654" s="2">
        <v>331.23943495576702</v>
      </c>
      <c r="C2654" s="2">
        <v>7.0694833333333298</v>
      </c>
      <c r="D2654" s="2" t="s">
        <v>51</v>
      </c>
      <c r="E2654" s="2" t="s">
        <v>17818</v>
      </c>
      <c r="F2654" s="2">
        <v>53253</v>
      </c>
      <c r="G2654" s="3" t="str">
        <f>HYPERLINK("https://cloud.oebiotech.com/#/lm/network/53253", "https://cloud.oebiotech.com/#/lm/network/53253")</f>
        <v>https://cloud.oebiotech.com/#/lm/network/53253</v>
      </c>
      <c r="H2654" s="2" t="s">
        <v>17819</v>
      </c>
      <c r="I2654" s="2">
        <v>316537</v>
      </c>
      <c r="J2654" s="2"/>
      <c r="K2654" s="2">
        <v>3202</v>
      </c>
      <c r="L2654" s="2" t="s">
        <v>17820</v>
      </c>
      <c r="M2654" s="2"/>
      <c r="N2654" s="2"/>
      <c r="O2654" s="2">
        <v>251408</v>
      </c>
      <c r="P2654" s="2" t="s">
        <v>6097</v>
      </c>
      <c r="Q2654" s="2" t="s">
        <v>6098</v>
      </c>
      <c r="R2654" s="2" t="s">
        <v>17821</v>
      </c>
      <c r="S2654" s="2" t="s">
        <v>17822</v>
      </c>
      <c r="T2654" s="2" t="s">
        <v>17823</v>
      </c>
      <c r="U2654" s="2" t="s">
        <v>610</v>
      </c>
      <c r="V2654" s="2" t="s">
        <v>611</v>
      </c>
      <c r="W2654" s="2" t="s">
        <v>977</v>
      </c>
      <c r="X2654" s="2" t="s">
        <v>147</v>
      </c>
      <c r="Y2654" s="2">
        <v>38.5</v>
      </c>
      <c r="Z2654" s="2">
        <v>0</v>
      </c>
      <c r="AA2654" s="2" t="s">
        <v>478</v>
      </c>
      <c r="AB2654" s="2" t="s">
        <v>17824</v>
      </c>
      <c r="AC2654" s="2">
        <v>1.00260778905255</v>
      </c>
      <c r="AD2654" s="2"/>
      <c r="AE2654" s="2">
        <v>0.23659734336452501</v>
      </c>
      <c r="AF2654" s="2">
        <v>5595.8667130824697</v>
      </c>
      <c r="AG2654" s="2">
        <v>3735.0152554158999</v>
      </c>
      <c r="AH2654" s="5">
        <v>1.49821790017277</v>
      </c>
      <c r="AI2654" s="5">
        <v>0.58324746400835104</v>
      </c>
      <c r="AJ2654" s="5" t="s">
        <v>139</v>
      </c>
      <c r="AK2654" s="2">
        <v>0.197089473245845</v>
      </c>
      <c r="AL2654" s="2">
        <v>0.520359326065163</v>
      </c>
      <c r="AM2654" s="2">
        <v>4866.7006660408797</v>
      </c>
      <c r="AN2654" s="2">
        <v>9316.5713269896496</v>
      </c>
      <c r="AO2654" s="2">
        <v>7087.2822138349802</v>
      </c>
      <c r="AP2654" s="2">
        <v>2903.1707658742598</v>
      </c>
      <c r="AQ2654" s="2">
        <v>5136.07498157181</v>
      </c>
      <c r="AR2654" s="2">
        <v>4265.4003241832497</v>
      </c>
      <c r="AS2654" s="2">
        <v>2820.5561830086399</v>
      </c>
      <c r="AT2654" s="2">
        <v>1490.31597231708</v>
      </c>
      <c r="AU2654" s="2">
        <v>7098.0819642611496</v>
      </c>
      <c r="AV2654" s="2">
        <v>1538.8321889280101</v>
      </c>
      <c r="AW2654" s="2">
        <v>6243.4551663680404</v>
      </c>
      <c r="AX2654" s="2">
        <v>3218.8500576124902</v>
      </c>
    </row>
    <row r="2655" spans="1:50" x14ac:dyDescent="0.25">
      <c r="A2655" s="2" t="s">
        <v>17825</v>
      </c>
      <c r="B2655" s="2">
        <v>591.46336603376903</v>
      </c>
      <c r="C2655" s="2">
        <v>15.32525</v>
      </c>
      <c r="D2655" s="2" t="s">
        <v>51</v>
      </c>
      <c r="E2655" s="2" t="s">
        <v>17826</v>
      </c>
      <c r="F2655" s="2">
        <v>64038</v>
      </c>
      <c r="G2655" s="3" t="str">
        <f>HYPERLINK("https://cloud.oebiotech.com/#/lm/network/64038", "https://cloud.oebiotech.com/#/lm/network/64038")</f>
        <v>https://cloud.oebiotech.com/#/lm/network/64038</v>
      </c>
      <c r="H2655" s="2" t="s">
        <v>17827</v>
      </c>
      <c r="I2655" s="2">
        <v>95370</v>
      </c>
      <c r="J2655" s="2"/>
      <c r="K2655" s="2">
        <v>73826292</v>
      </c>
      <c r="L2655" s="2"/>
      <c r="M2655" s="2"/>
      <c r="N2655" s="2"/>
      <c r="O2655" s="2"/>
      <c r="P2655" s="2"/>
      <c r="Q2655" s="2"/>
      <c r="R2655" s="2" t="s">
        <v>17828</v>
      </c>
      <c r="S2655" s="2" t="s">
        <v>17829</v>
      </c>
      <c r="T2655" s="2" t="s">
        <v>17830</v>
      </c>
      <c r="U2655" s="2" t="s">
        <v>56</v>
      </c>
      <c r="V2655" s="2" t="s">
        <v>145</v>
      </c>
      <c r="W2655" s="2" t="s">
        <v>146</v>
      </c>
      <c r="X2655" s="2" t="s">
        <v>147</v>
      </c>
      <c r="Y2655" s="2">
        <v>38.1</v>
      </c>
      <c r="Z2655" s="2">
        <v>0</v>
      </c>
      <c r="AA2655" s="2" t="s">
        <v>218</v>
      </c>
      <c r="AB2655" s="2" t="s">
        <v>9603</v>
      </c>
      <c r="AC2655" s="2">
        <v>0.64541610407769201</v>
      </c>
      <c r="AD2655" s="2"/>
      <c r="AE2655" s="2">
        <v>0.23647687295571301</v>
      </c>
      <c r="AF2655" s="2">
        <v>13792.0734492148</v>
      </c>
      <c r="AG2655" s="2">
        <v>21070.075928481001</v>
      </c>
      <c r="AH2655" s="4">
        <v>0.65458109861729097</v>
      </c>
      <c r="AI2655" s="4">
        <v>-0.61135615050162795</v>
      </c>
      <c r="AJ2655" s="4" t="s">
        <v>62</v>
      </c>
      <c r="AK2655" s="2">
        <v>0.472561737001849</v>
      </c>
      <c r="AL2655" s="2">
        <v>0.71901564135827301</v>
      </c>
      <c r="AM2655" s="2">
        <v>7093.0444690669301</v>
      </c>
      <c r="AN2655" s="2">
        <v>11793.662752116899</v>
      </c>
      <c r="AO2655" s="2">
        <v>17429.145058832099</v>
      </c>
      <c r="AP2655" s="2">
        <v>20048.344270840302</v>
      </c>
      <c r="AQ2655" s="2">
        <v>6299.0795827559996</v>
      </c>
      <c r="AR2655" s="2">
        <v>20089.164561676698</v>
      </c>
      <c r="AS2655" s="2">
        <v>27522.8916815716</v>
      </c>
      <c r="AT2655" s="2">
        <v>64995.236971963699</v>
      </c>
      <c r="AU2655" s="2">
        <v>10291.615692083</v>
      </c>
      <c r="AV2655" s="2">
        <v>3383.8479196570602</v>
      </c>
      <c r="AW2655" s="2">
        <v>7415.2765468689804</v>
      </c>
      <c r="AX2655" s="2">
        <v>12811.5867587415</v>
      </c>
    </row>
    <row r="2656" spans="1:50" x14ac:dyDescent="0.25">
      <c r="A2656" s="2" t="s">
        <v>17831</v>
      </c>
      <c r="B2656" s="2">
        <v>296.071011360787</v>
      </c>
      <c r="C2656" s="2">
        <v>4.3658666666666699</v>
      </c>
      <c r="D2656" s="2" t="s">
        <v>51</v>
      </c>
      <c r="E2656" s="2" t="s">
        <v>17832</v>
      </c>
      <c r="F2656" s="2">
        <v>267470</v>
      </c>
      <c r="G2656" s="3" t="str">
        <f>HYPERLINK("https://cloud.oebiotech.com/#/lm/network/267470", "https://cloud.oebiotech.com/#/lm/network/267470")</f>
        <v>https://cloud.oebiotech.com/#/lm/network/267470</v>
      </c>
      <c r="H2656" s="2"/>
      <c r="I2656" s="2">
        <v>45530</v>
      </c>
      <c r="J2656" s="2"/>
      <c r="K2656" s="2">
        <v>3544</v>
      </c>
      <c r="L2656" s="2"/>
      <c r="M2656" s="2"/>
      <c r="N2656" s="2"/>
      <c r="O2656" s="2"/>
      <c r="P2656" s="2"/>
      <c r="Q2656" s="2"/>
      <c r="R2656" s="2"/>
      <c r="S2656" s="2" t="s">
        <v>17833</v>
      </c>
      <c r="T2656" s="2" t="s">
        <v>17834</v>
      </c>
      <c r="U2656" s="2" t="s">
        <v>266</v>
      </c>
      <c r="V2656" s="2" t="s">
        <v>1074</v>
      </c>
      <c r="W2656" s="2" t="s">
        <v>240</v>
      </c>
      <c r="X2656" s="2" t="s">
        <v>147</v>
      </c>
      <c r="Y2656" s="2">
        <v>39.1</v>
      </c>
      <c r="Z2656" s="2">
        <v>0</v>
      </c>
      <c r="AA2656" s="2" t="s">
        <v>218</v>
      </c>
      <c r="AB2656" s="2" t="s">
        <v>17835</v>
      </c>
      <c r="AC2656" s="2">
        <v>-0.15604890409345901</v>
      </c>
      <c r="AD2656" s="2"/>
      <c r="AE2656" s="2">
        <v>0.236264977282554</v>
      </c>
      <c r="AF2656" s="2">
        <v>1321.6228988810601</v>
      </c>
      <c r="AG2656" s="2">
        <v>8848.8702588564302</v>
      </c>
      <c r="AH2656" s="4">
        <v>0.14935498659371901</v>
      </c>
      <c r="AI2656" s="4">
        <v>-2.7431826884142199</v>
      </c>
      <c r="AJ2656" s="4" t="s">
        <v>62</v>
      </c>
      <c r="AK2656" s="2">
        <v>0.410864903514153</v>
      </c>
      <c r="AL2656" s="2">
        <v>0.67548655599718399</v>
      </c>
      <c r="AM2656" s="2">
        <v>157.113533146468</v>
      </c>
      <c r="AN2656" s="2">
        <v>2897.6376162193301</v>
      </c>
      <c r="AO2656" s="2">
        <v>4874.9862182409197</v>
      </c>
      <c r="AP2656" s="2">
        <v>8.559877937157E-6</v>
      </c>
      <c r="AQ2656" s="2">
        <v>8.559877937157E-6</v>
      </c>
      <c r="AR2656" s="2">
        <v>8.559877937157E-6</v>
      </c>
      <c r="AS2656" s="2">
        <v>56.555003003130899</v>
      </c>
      <c r="AT2656" s="2">
        <v>8.559877937157E-6</v>
      </c>
      <c r="AU2656" s="2">
        <v>52493.395744931702</v>
      </c>
      <c r="AV2656" s="2">
        <v>543.27077952413094</v>
      </c>
      <c r="AW2656" s="2">
        <v>8.559877937157E-6</v>
      </c>
      <c r="AX2656" s="2">
        <v>8.559877937157E-6</v>
      </c>
    </row>
    <row r="2657" spans="1:50" x14ac:dyDescent="0.25">
      <c r="A2657" s="2" t="s">
        <v>17836</v>
      </c>
      <c r="B2657" s="2">
        <v>539.24993917226095</v>
      </c>
      <c r="C2657" s="2">
        <v>5.3210166666666696</v>
      </c>
      <c r="D2657" s="2" t="s">
        <v>51</v>
      </c>
      <c r="E2657" s="2" t="s">
        <v>17837</v>
      </c>
      <c r="F2657" s="2">
        <v>57865</v>
      </c>
      <c r="G2657" s="3" t="str">
        <f>HYPERLINK("https://cloud.oebiotech.com/#/lm/network/57865", "https://cloud.oebiotech.com/#/lm/network/57865")</f>
        <v>https://cloud.oebiotech.com/#/lm/network/57865</v>
      </c>
      <c r="H2657" s="2" t="s">
        <v>17838</v>
      </c>
      <c r="I2657" s="2">
        <v>89454</v>
      </c>
      <c r="J2657" s="2"/>
      <c r="K2657" s="2">
        <v>131751476</v>
      </c>
      <c r="L2657" s="2"/>
      <c r="M2657" s="2"/>
      <c r="N2657" s="2"/>
      <c r="O2657" s="2">
        <v>173236</v>
      </c>
      <c r="P2657" s="2"/>
      <c r="Q2657" s="2"/>
      <c r="R2657" s="2" t="s">
        <v>17839</v>
      </c>
      <c r="S2657" s="2" t="s">
        <v>17840</v>
      </c>
      <c r="T2657" s="2" t="s">
        <v>17841</v>
      </c>
      <c r="U2657" s="2" t="s">
        <v>56</v>
      </c>
      <c r="V2657" s="2" t="s">
        <v>177</v>
      </c>
      <c r="W2657" s="2" t="s">
        <v>584</v>
      </c>
      <c r="X2657" s="2" t="s">
        <v>147</v>
      </c>
      <c r="Y2657" s="2">
        <v>45</v>
      </c>
      <c r="Z2657" s="2">
        <v>33.1</v>
      </c>
      <c r="AA2657" s="2" t="s">
        <v>218</v>
      </c>
      <c r="AB2657" s="2" t="s">
        <v>17842</v>
      </c>
      <c r="AC2657" s="2">
        <v>0.31058587658245301</v>
      </c>
      <c r="AD2657" s="2"/>
      <c r="AE2657" s="2">
        <v>0.23600738617179601</v>
      </c>
      <c r="AF2657" s="2">
        <v>2874.3133594751098</v>
      </c>
      <c r="AG2657" s="2">
        <v>12069.3642837589</v>
      </c>
      <c r="AH2657" s="4">
        <v>0.23814952402612699</v>
      </c>
      <c r="AI2657" s="4">
        <v>-2.0700604296027398</v>
      </c>
      <c r="AJ2657" s="4" t="s">
        <v>62</v>
      </c>
      <c r="AK2657" s="2">
        <v>0.39500348199814</v>
      </c>
      <c r="AL2657" s="2">
        <v>0.66736513623488802</v>
      </c>
      <c r="AM2657" s="2">
        <v>4599.2669540593197</v>
      </c>
      <c r="AN2657" s="2">
        <v>7370.5344097433399</v>
      </c>
      <c r="AO2657" s="2">
        <v>1449.6658069965599</v>
      </c>
      <c r="AP2657" s="2">
        <v>1674.21982753628</v>
      </c>
      <c r="AQ2657" s="2">
        <v>1425.08781379266</v>
      </c>
      <c r="AR2657" s="2">
        <v>727.10534472249901</v>
      </c>
      <c r="AS2657" s="2">
        <v>2538.4536039509298</v>
      </c>
      <c r="AT2657" s="2">
        <v>63493.585735959903</v>
      </c>
      <c r="AU2657" s="2">
        <v>535.23406912897599</v>
      </c>
      <c r="AV2657" s="2">
        <v>3150.4351458198098</v>
      </c>
      <c r="AW2657" s="2">
        <v>1354.6898424065901</v>
      </c>
      <c r="AX2657" s="2">
        <v>1343.7873052868899</v>
      </c>
    </row>
    <row r="2658" spans="1:50" x14ac:dyDescent="0.25">
      <c r="A2658" s="2" t="s">
        <v>17843</v>
      </c>
      <c r="B2658" s="2">
        <v>361.16376246119</v>
      </c>
      <c r="C2658" s="2">
        <v>9.6639666666666706</v>
      </c>
      <c r="D2658" s="2" t="s">
        <v>51</v>
      </c>
      <c r="E2658" s="2" t="s">
        <v>17844</v>
      </c>
      <c r="F2658" s="2">
        <v>54493</v>
      </c>
      <c r="G2658" s="3" t="str">
        <f>HYPERLINK("https://cloud.oebiotech.com/#/lm/network/54493", "https://cloud.oebiotech.com/#/lm/network/54493")</f>
        <v>https://cloud.oebiotech.com/#/lm/network/54493</v>
      </c>
      <c r="H2658" s="2" t="s">
        <v>17845</v>
      </c>
      <c r="I2658" s="2">
        <v>86348</v>
      </c>
      <c r="J2658" s="2"/>
      <c r="K2658" s="2">
        <v>18406287</v>
      </c>
      <c r="L2658" s="2"/>
      <c r="M2658" s="2"/>
      <c r="N2658" s="2"/>
      <c r="O2658" s="2">
        <v>172548</v>
      </c>
      <c r="P2658" s="2"/>
      <c r="Q2658" s="2"/>
      <c r="R2658" s="2" t="s">
        <v>17846</v>
      </c>
      <c r="S2658" s="2" t="s">
        <v>17847</v>
      </c>
      <c r="T2658" s="2" t="s">
        <v>17848</v>
      </c>
      <c r="U2658" s="2" t="s">
        <v>540</v>
      </c>
      <c r="V2658" s="2" t="s">
        <v>3291</v>
      </c>
      <c r="W2658" s="2" t="s">
        <v>3292</v>
      </c>
      <c r="X2658" s="2" t="s">
        <v>83</v>
      </c>
      <c r="Y2658" s="2">
        <v>39.700000000000003</v>
      </c>
      <c r="Z2658" s="2">
        <v>0</v>
      </c>
      <c r="AA2658" s="2" t="s">
        <v>218</v>
      </c>
      <c r="AB2658" s="2" t="s">
        <v>17849</v>
      </c>
      <c r="AC2658" s="2">
        <v>-6.0083878803365796</v>
      </c>
      <c r="AD2658" s="2"/>
      <c r="AE2658" s="2">
        <v>0.23598809079139901</v>
      </c>
      <c r="AF2658" s="2">
        <v>2703.3693300383302</v>
      </c>
      <c r="AG2658" s="2">
        <v>4020.18834484633</v>
      </c>
      <c r="AH2658" s="4">
        <v>0.67244842732403498</v>
      </c>
      <c r="AI2658" s="4">
        <v>-0.572504468849237</v>
      </c>
      <c r="AJ2658" s="4" t="s">
        <v>62</v>
      </c>
      <c r="AK2658" s="2">
        <v>3.8054048251465702E-2</v>
      </c>
      <c r="AL2658" s="2">
        <v>0.28634586117737798</v>
      </c>
      <c r="AM2658" s="2">
        <v>1892.60970414136</v>
      </c>
      <c r="AN2658" s="2">
        <v>2630.9384299397002</v>
      </c>
      <c r="AO2658" s="2">
        <v>2985.3104801518898</v>
      </c>
      <c r="AP2658" s="2">
        <v>2294.0318761460999</v>
      </c>
      <c r="AQ2658" s="2">
        <v>4318.0174411828602</v>
      </c>
      <c r="AR2658" s="2">
        <v>2099.3080486680801</v>
      </c>
      <c r="AS2658" s="2">
        <v>4192.8962507717397</v>
      </c>
      <c r="AT2658" s="2">
        <v>3857.2384439720299</v>
      </c>
      <c r="AU2658" s="2">
        <v>2388.0380985460702</v>
      </c>
      <c r="AV2658" s="2">
        <v>5553.2609599514399</v>
      </c>
      <c r="AW2658" s="2">
        <v>3780.1871325236398</v>
      </c>
      <c r="AX2658" s="2">
        <v>4349.50918331308</v>
      </c>
    </row>
    <row r="2659" spans="1:50" x14ac:dyDescent="0.25">
      <c r="A2659" s="2" t="s">
        <v>17850</v>
      </c>
      <c r="B2659" s="2">
        <v>219.077100081716</v>
      </c>
      <c r="C2659" s="2">
        <v>1.4513499999999999</v>
      </c>
      <c r="D2659" s="2" t="s">
        <v>51</v>
      </c>
      <c r="E2659" s="2" t="s">
        <v>17851</v>
      </c>
      <c r="F2659" s="2">
        <v>54116</v>
      </c>
      <c r="G2659" s="3" t="str">
        <f>HYPERLINK("https://cloud.oebiotech.com/#/lm/network/54116", "https://cloud.oebiotech.com/#/lm/network/54116")</f>
        <v>https://cloud.oebiotech.com/#/lm/network/54116</v>
      </c>
      <c r="H2659" s="2" t="s">
        <v>17852</v>
      </c>
      <c r="I2659" s="2">
        <v>23898</v>
      </c>
      <c r="J2659" s="2"/>
      <c r="K2659" s="2">
        <v>7021853</v>
      </c>
      <c r="L2659" s="2"/>
      <c r="M2659" s="2"/>
      <c r="N2659" s="2"/>
      <c r="O2659" s="2">
        <v>74990</v>
      </c>
      <c r="P2659" s="2"/>
      <c r="Q2659" s="2"/>
      <c r="R2659" s="2" t="s">
        <v>17853</v>
      </c>
      <c r="S2659" s="2" t="s">
        <v>17854</v>
      </c>
      <c r="T2659" s="2" t="s">
        <v>17855</v>
      </c>
      <c r="U2659" s="2" t="s">
        <v>103</v>
      </c>
      <c r="V2659" s="2" t="s">
        <v>104</v>
      </c>
      <c r="W2659" s="2" t="s">
        <v>105</v>
      </c>
      <c r="X2659" s="2" t="s">
        <v>83</v>
      </c>
      <c r="Y2659" s="2">
        <v>39.200000000000003</v>
      </c>
      <c r="Z2659" s="2">
        <v>0</v>
      </c>
      <c r="AA2659" s="2" t="s">
        <v>379</v>
      </c>
      <c r="AB2659" s="2" t="s">
        <v>17856</v>
      </c>
      <c r="AC2659" s="2">
        <v>-1.7460865640112899</v>
      </c>
      <c r="AD2659" s="2"/>
      <c r="AE2659" s="2">
        <v>0.23570859175905101</v>
      </c>
      <c r="AF2659" s="2">
        <v>4515.7812724574096</v>
      </c>
      <c r="AG2659" s="2">
        <v>3175.12412000521</v>
      </c>
      <c r="AH2659" s="5">
        <v>1.42223771474168</v>
      </c>
      <c r="AI2659" s="5">
        <v>0.50816261911824401</v>
      </c>
      <c r="AJ2659" s="5" t="s">
        <v>139</v>
      </c>
      <c r="AK2659" s="2">
        <v>0.13986390179983699</v>
      </c>
      <c r="AL2659" s="2">
        <v>0.45949604540634398</v>
      </c>
      <c r="AM2659" s="2">
        <v>6894.9020899485104</v>
      </c>
      <c r="AN2659" s="2">
        <v>5054.4362019429</v>
      </c>
      <c r="AO2659" s="2">
        <v>3020.13839319314</v>
      </c>
      <c r="AP2659" s="2">
        <v>2994.72969451974</v>
      </c>
      <c r="AQ2659" s="2">
        <v>5837.2139043056604</v>
      </c>
      <c r="AR2659" s="2">
        <v>3293.2673508345301</v>
      </c>
      <c r="AS2659" s="2">
        <v>3110.82660355801</v>
      </c>
      <c r="AT2659" s="2">
        <v>3875.75953306377</v>
      </c>
      <c r="AU2659" s="2">
        <v>4238.0285349898204</v>
      </c>
      <c r="AV2659" s="2">
        <v>3243.6343844232301</v>
      </c>
      <c r="AW2659" s="2">
        <v>871.31912216176397</v>
      </c>
      <c r="AX2659" s="2">
        <v>3711.1765418346899</v>
      </c>
    </row>
    <row r="2660" spans="1:50" x14ac:dyDescent="0.25">
      <c r="A2660" s="2" t="s">
        <v>17857</v>
      </c>
      <c r="B2660" s="2">
        <v>631.47132999638598</v>
      </c>
      <c r="C2660" s="2">
        <v>12.708216666666701</v>
      </c>
      <c r="D2660" s="2" t="s">
        <v>51</v>
      </c>
      <c r="E2660" s="2" t="s">
        <v>17858</v>
      </c>
      <c r="F2660" s="2">
        <v>25889</v>
      </c>
      <c r="G2660" s="3" t="str">
        <f>HYPERLINK("https://cloud.oebiotech.com/#/lm/network/25889", "https://cloud.oebiotech.com/#/lm/network/25889")</f>
        <v>https://cloud.oebiotech.com/#/lm/network/25889</v>
      </c>
      <c r="H2660" s="2"/>
      <c r="I2660" s="2">
        <v>82154</v>
      </c>
      <c r="J2660" s="2" t="s">
        <v>17859</v>
      </c>
      <c r="K2660" s="2">
        <v>52929571</v>
      </c>
      <c r="L2660" s="2"/>
      <c r="M2660" s="2"/>
      <c r="N2660" s="2"/>
      <c r="O2660" s="2"/>
      <c r="P2660" s="2"/>
      <c r="Q2660" s="2"/>
      <c r="R2660" s="2"/>
      <c r="S2660" s="2" t="s">
        <v>17860</v>
      </c>
      <c r="T2660" s="2" t="s">
        <v>17861</v>
      </c>
      <c r="U2660" s="2" t="s">
        <v>56</v>
      </c>
      <c r="V2660" s="2" t="s">
        <v>57</v>
      </c>
      <c r="W2660" s="2" t="s">
        <v>702</v>
      </c>
      <c r="X2660" s="2" t="s">
        <v>147</v>
      </c>
      <c r="Y2660" s="2">
        <v>36.700000000000003</v>
      </c>
      <c r="Z2660" s="2">
        <v>0</v>
      </c>
      <c r="AA2660" s="2" t="s">
        <v>298</v>
      </c>
      <c r="AB2660" s="2" t="s">
        <v>17862</v>
      </c>
      <c r="AC2660" s="2">
        <v>0.81465056695391402</v>
      </c>
      <c r="AD2660" s="2"/>
      <c r="AE2660" s="2">
        <v>0.23534945459813</v>
      </c>
      <c r="AF2660" s="2">
        <v>7184.9460252563804</v>
      </c>
      <c r="AG2660" s="2">
        <v>9373.4654076022107</v>
      </c>
      <c r="AH2660" s="4">
        <v>0.76651971419547205</v>
      </c>
      <c r="AI2660" s="4">
        <v>-0.38360519771134199</v>
      </c>
      <c r="AJ2660" s="4" t="s">
        <v>62</v>
      </c>
      <c r="AK2660" s="2">
        <v>0.279139832056507</v>
      </c>
      <c r="AL2660" s="2">
        <v>0.59871863544779103</v>
      </c>
      <c r="AM2660" s="2">
        <v>4730.7843974187799</v>
      </c>
      <c r="AN2660" s="2">
        <v>4567.8474006971001</v>
      </c>
      <c r="AO2660" s="2">
        <v>8492.4060414097294</v>
      </c>
      <c r="AP2660" s="2">
        <v>6689.0608596975999</v>
      </c>
      <c r="AQ2660" s="2">
        <v>8588.8440020794005</v>
      </c>
      <c r="AR2660" s="2">
        <v>10040.733450235701</v>
      </c>
      <c r="AS2660" s="2">
        <v>4947.1740735391704</v>
      </c>
      <c r="AT2660" s="2">
        <v>4982.0019318022396</v>
      </c>
      <c r="AU2660" s="2">
        <v>13401.7509704657</v>
      </c>
      <c r="AV2660" s="2">
        <v>7504.2157861681399</v>
      </c>
      <c r="AW2660" s="2">
        <v>14118.426293877999</v>
      </c>
      <c r="AX2660" s="2">
        <v>11287.22338976</v>
      </c>
    </row>
    <row r="2661" spans="1:50" x14ac:dyDescent="0.25">
      <c r="A2661" s="2" t="s">
        <v>17863</v>
      </c>
      <c r="B2661" s="2">
        <v>260.12498439945898</v>
      </c>
      <c r="C2661" s="2">
        <v>0.99048333333333305</v>
      </c>
      <c r="D2661" s="2" t="s">
        <v>51</v>
      </c>
      <c r="E2661" s="2" t="s">
        <v>17864</v>
      </c>
      <c r="F2661" s="2">
        <v>265081</v>
      </c>
      <c r="G2661" s="3" t="str">
        <f>HYPERLINK("https://cloud.oebiotech.com/#/lm/network/265081", "https://cloud.oebiotech.com/#/lm/network/265081")</f>
        <v>https://cloud.oebiotech.com/#/lm/network/265081</v>
      </c>
      <c r="H2661" s="2"/>
      <c r="I2661" s="2">
        <v>22557</v>
      </c>
      <c r="J2661" s="2"/>
      <c r="K2661" s="2">
        <v>51037738</v>
      </c>
      <c r="L2661" s="2"/>
      <c r="M2661" s="2"/>
      <c r="N2661" s="2"/>
      <c r="O2661" s="2"/>
      <c r="P2661" s="2"/>
      <c r="Q2661" s="2"/>
      <c r="R2661" s="2"/>
      <c r="S2661" s="2" t="s">
        <v>17865</v>
      </c>
      <c r="T2661" s="2" t="s">
        <v>17866</v>
      </c>
      <c r="U2661" s="2" t="s">
        <v>103</v>
      </c>
      <c r="V2661" s="2" t="s">
        <v>104</v>
      </c>
      <c r="W2661" s="2" t="s">
        <v>105</v>
      </c>
      <c r="X2661" s="2" t="s">
        <v>83</v>
      </c>
      <c r="Y2661" s="2">
        <v>40.700000000000003</v>
      </c>
      <c r="Z2661" s="2">
        <v>7.65</v>
      </c>
      <c r="AA2661" s="2" t="s">
        <v>60</v>
      </c>
      <c r="AB2661" s="2" t="s">
        <v>17867</v>
      </c>
      <c r="AC2661" s="2">
        <v>3.4243630613409</v>
      </c>
      <c r="AD2661" s="2"/>
      <c r="AE2661" s="2">
        <v>0.23527131951330801</v>
      </c>
      <c r="AF2661" s="2">
        <v>6185.3470244479204</v>
      </c>
      <c r="AG2661" s="2">
        <v>10807.944601019401</v>
      </c>
      <c r="AH2661" s="4">
        <v>0.572296329485672</v>
      </c>
      <c r="AI2661" s="4">
        <v>-0.80516574092691795</v>
      </c>
      <c r="AJ2661" s="4" t="s">
        <v>62</v>
      </c>
      <c r="AK2661" s="2">
        <v>0.671801540893603</v>
      </c>
      <c r="AL2661" s="2">
        <v>0.84137846271826899</v>
      </c>
      <c r="AM2661" s="2">
        <v>14026.7422155599</v>
      </c>
      <c r="AN2661" s="2">
        <v>173.138073902656</v>
      </c>
      <c r="AO2661" s="2">
        <v>323.579619529225</v>
      </c>
      <c r="AP2661" s="2">
        <v>182.58385364977201</v>
      </c>
      <c r="AQ2661" s="2">
        <v>13618.260400409299</v>
      </c>
      <c r="AR2661" s="2">
        <v>8787.7779836366408</v>
      </c>
      <c r="AS2661" s="2">
        <v>125.121424778622</v>
      </c>
      <c r="AT2661" s="2">
        <v>45.1831631442776</v>
      </c>
      <c r="AU2661" s="2">
        <v>43.779793856715997</v>
      </c>
      <c r="AV2661" s="2">
        <v>61878.314089065403</v>
      </c>
      <c r="AW2661" s="2">
        <v>8.559877937157E-6</v>
      </c>
      <c r="AX2661" s="2">
        <v>2755.2691267117898</v>
      </c>
    </row>
    <row r="2662" spans="1:50" x14ac:dyDescent="0.25">
      <c r="A2662" s="2" t="s">
        <v>17868</v>
      </c>
      <c r="B2662" s="2">
        <v>441.39538021138799</v>
      </c>
      <c r="C2662" s="2">
        <v>13.510733333333301</v>
      </c>
      <c r="D2662" s="2" t="s">
        <v>51</v>
      </c>
      <c r="E2662" s="2" t="s">
        <v>17869</v>
      </c>
      <c r="F2662" s="2">
        <v>7145</v>
      </c>
      <c r="G2662" s="3" t="str">
        <f>HYPERLINK("https://cloud.oebiotech.com/#/lm/network/7145", "https://cloud.oebiotech.com/#/lm/network/7145")</f>
        <v>https://cloud.oebiotech.com/#/lm/network/7145</v>
      </c>
      <c r="H2662" s="2"/>
      <c r="I2662" s="2">
        <v>46405</v>
      </c>
      <c r="J2662" s="2" t="s">
        <v>17870</v>
      </c>
      <c r="K2662" s="2">
        <v>13908471</v>
      </c>
      <c r="L2662" s="2"/>
      <c r="M2662" s="2"/>
      <c r="N2662" s="2"/>
      <c r="O2662" s="2"/>
      <c r="P2662" s="2"/>
      <c r="Q2662" s="2"/>
      <c r="R2662" s="2"/>
      <c r="S2662" s="2" t="s">
        <v>17871</v>
      </c>
      <c r="T2662" s="2" t="s">
        <v>17872</v>
      </c>
      <c r="U2662" s="2" t="s">
        <v>56</v>
      </c>
      <c r="V2662" s="2" t="s">
        <v>145</v>
      </c>
      <c r="W2662" s="2" t="s">
        <v>17251</v>
      </c>
      <c r="X2662" s="2" t="s">
        <v>147</v>
      </c>
      <c r="Y2662" s="2">
        <v>38.299999999999997</v>
      </c>
      <c r="Z2662" s="2">
        <v>0</v>
      </c>
      <c r="AA2662" s="2" t="s">
        <v>218</v>
      </c>
      <c r="AB2662" s="2" t="s">
        <v>17873</v>
      </c>
      <c r="AC2662" s="2">
        <v>1.1262318616523901</v>
      </c>
      <c r="AD2662" s="2"/>
      <c r="AE2662" s="2">
        <v>0.23520090616809899</v>
      </c>
      <c r="AF2662" s="2">
        <v>3407.8196249521998</v>
      </c>
      <c r="AG2662" s="2">
        <v>6192.5593578006101</v>
      </c>
      <c r="AH2662" s="4">
        <v>0.550308754111409</v>
      </c>
      <c r="AI2662" s="4">
        <v>-0.86168681616981901</v>
      </c>
      <c r="AJ2662" s="4" t="s">
        <v>62</v>
      </c>
      <c r="AK2662" s="2">
        <v>0.26453163744668001</v>
      </c>
      <c r="AL2662" s="2">
        <v>0.58645419399586896</v>
      </c>
      <c r="AM2662" s="2">
        <v>849.57878023652995</v>
      </c>
      <c r="AN2662" s="2">
        <v>1678.1237558970399</v>
      </c>
      <c r="AO2662" s="2">
        <v>2305.9441726680998</v>
      </c>
      <c r="AP2662" s="2">
        <v>4766.5044973213198</v>
      </c>
      <c r="AQ2662" s="2">
        <v>8728.9331185380506</v>
      </c>
      <c r="AR2662" s="2">
        <v>2117.8334250521498</v>
      </c>
      <c r="AS2662" s="2">
        <v>513.88919060707701</v>
      </c>
      <c r="AT2662" s="2">
        <v>5803.1048514932299</v>
      </c>
      <c r="AU2662" s="2">
        <v>13070.287048005101</v>
      </c>
      <c r="AV2662" s="2">
        <v>5178.7965906783202</v>
      </c>
      <c r="AW2662" s="2">
        <v>10940.9675581957</v>
      </c>
      <c r="AX2662" s="2">
        <v>1648.3109078242301</v>
      </c>
    </row>
    <row r="2663" spans="1:50" x14ac:dyDescent="0.25">
      <c r="A2663" s="2" t="s">
        <v>17874</v>
      </c>
      <c r="B2663" s="2">
        <v>378.20083198285403</v>
      </c>
      <c r="C2663" s="2">
        <v>4.0044000000000004</v>
      </c>
      <c r="D2663" s="2" t="s">
        <v>51</v>
      </c>
      <c r="E2663" s="2" t="s">
        <v>17875</v>
      </c>
      <c r="F2663" s="2">
        <v>264195</v>
      </c>
      <c r="G2663" s="3" t="str">
        <f>HYPERLINK("https://cloud.oebiotech.com/#/lm/network/264195", "https://cloud.oebiotech.com/#/lm/network/264195")</f>
        <v>https://cloud.oebiotech.com/#/lm/network/264195</v>
      </c>
      <c r="H2663" s="2"/>
      <c r="I2663" s="2">
        <v>21644</v>
      </c>
      <c r="J2663" s="2"/>
      <c r="K2663" s="2">
        <v>10135306</v>
      </c>
      <c r="L2663" s="2"/>
      <c r="M2663" s="2"/>
      <c r="N2663" s="2"/>
      <c r="O2663" s="2"/>
      <c r="P2663" s="2"/>
      <c r="Q2663" s="2"/>
      <c r="R2663" s="2"/>
      <c r="S2663" s="2" t="s">
        <v>17876</v>
      </c>
      <c r="T2663" s="2" t="s">
        <v>17877</v>
      </c>
      <c r="U2663" s="2" t="s">
        <v>103</v>
      </c>
      <c r="V2663" s="2" t="s">
        <v>104</v>
      </c>
      <c r="W2663" s="2" t="s">
        <v>105</v>
      </c>
      <c r="X2663" s="2" t="s">
        <v>83</v>
      </c>
      <c r="Y2663" s="2">
        <v>40.200000000000003</v>
      </c>
      <c r="Z2663" s="2">
        <v>0</v>
      </c>
      <c r="AA2663" s="2" t="s">
        <v>3354</v>
      </c>
      <c r="AB2663" s="2" t="s">
        <v>17878</v>
      </c>
      <c r="AC2663" s="2">
        <v>-3.83453270727688</v>
      </c>
      <c r="AD2663" s="2"/>
      <c r="AE2663" s="2">
        <v>0.235043269412754</v>
      </c>
      <c r="AF2663" s="2">
        <v>2729.70576478969</v>
      </c>
      <c r="AG2663" s="2">
        <v>727.91830635970598</v>
      </c>
      <c r="AH2663" s="5">
        <v>3.7500166446436101</v>
      </c>
      <c r="AI2663" s="5">
        <v>1.9068969990995901</v>
      </c>
      <c r="AJ2663" s="5" t="s">
        <v>139</v>
      </c>
      <c r="AK2663" s="2">
        <v>9.97333352191834E-2</v>
      </c>
      <c r="AL2663" s="2">
        <v>0.40172900346892498</v>
      </c>
      <c r="AM2663" s="2">
        <v>5353.5890922467197</v>
      </c>
      <c r="AN2663" s="2">
        <v>176.33005750977199</v>
      </c>
      <c r="AO2663" s="2">
        <v>557.259822006229</v>
      </c>
      <c r="AP2663" s="2">
        <v>4790.3049578906002</v>
      </c>
      <c r="AQ2663" s="2">
        <v>5026.2112930005396</v>
      </c>
      <c r="AR2663" s="2">
        <v>474.53936608426301</v>
      </c>
      <c r="AS2663" s="2">
        <v>2067.4349708208101</v>
      </c>
      <c r="AT2663" s="2">
        <v>1491.7297781129901</v>
      </c>
      <c r="AU2663" s="2">
        <v>0.30589275689437101</v>
      </c>
      <c r="AV2663" s="2">
        <v>128.129953905278</v>
      </c>
      <c r="AW2663" s="2">
        <v>679.90923400238603</v>
      </c>
      <c r="AX2663" s="2">
        <v>8.559877937157E-6</v>
      </c>
    </row>
    <row r="2664" spans="1:50" x14ac:dyDescent="0.25">
      <c r="A2664" s="2" t="s">
        <v>17879</v>
      </c>
      <c r="B2664" s="2">
        <v>221.07892290980601</v>
      </c>
      <c r="C2664" s="2">
        <v>5.5300333333333302</v>
      </c>
      <c r="D2664" s="2" t="s">
        <v>51</v>
      </c>
      <c r="E2664" s="2" t="s">
        <v>17880</v>
      </c>
      <c r="F2664" s="2">
        <v>47130</v>
      </c>
      <c r="G2664" s="3" t="str">
        <f>HYPERLINK("https://cloud.oebiotech.com/#/lm/network/47130", "https://cloud.oebiotech.com/#/lm/network/47130")</f>
        <v>https://cloud.oebiotech.com/#/lm/network/47130</v>
      </c>
      <c r="H2664" s="2" t="s">
        <v>17881</v>
      </c>
      <c r="I2664" s="2">
        <v>283</v>
      </c>
      <c r="J2664" s="2"/>
      <c r="K2664" s="2">
        <v>597</v>
      </c>
      <c r="L2664" s="2" t="s">
        <v>17882</v>
      </c>
      <c r="M2664" s="2" t="s">
        <v>3456</v>
      </c>
      <c r="N2664" s="2" t="s">
        <v>3457</v>
      </c>
      <c r="O2664" s="2">
        <v>16040</v>
      </c>
      <c r="P2664" s="2" t="s">
        <v>17883</v>
      </c>
      <c r="Q2664" s="2" t="s">
        <v>17884</v>
      </c>
      <c r="R2664" s="2" t="s">
        <v>17885</v>
      </c>
      <c r="S2664" s="2" t="s">
        <v>17886</v>
      </c>
      <c r="T2664" s="2" t="s">
        <v>17887</v>
      </c>
      <c r="U2664" s="2" t="s">
        <v>266</v>
      </c>
      <c r="V2664" s="2" t="s">
        <v>3926</v>
      </c>
      <c r="W2664" s="2" t="s">
        <v>4115</v>
      </c>
      <c r="X2664" s="2" t="s">
        <v>147</v>
      </c>
      <c r="Y2664" s="2">
        <v>41.6</v>
      </c>
      <c r="Z2664" s="2">
        <v>12.5</v>
      </c>
      <c r="AA2664" s="2" t="s">
        <v>478</v>
      </c>
      <c r="AB2664" s="2" t="s">
        <v>17888</v>
      </c>
      <c r="AC2664" s="2">
        <v>-1.4600022064939799</v>
      </c>
      <c r="AD2664" s="2"/>
      <c r="AE2664" s="2">
        <v>0.23502573230982901</v>
      </c>
      <c r="AF2664" s="2">
        <v>2392.42893920714</v>
      </c>
      <c r="AG2664" s="2">
        <v>838.154370236011</v>
      </c>
      <c r="AH2664" s="5">
        <v>2.8544013181408001</v>
      </c>
      <c r="AI2664" s="5">
        <v>1.5131881865965999</v>
      </c>
      <c r="AJ2664" s="5" t="s">
        <v>139</v>
      </c>
      <c r="AK2664" s="2">
        <v>2.2224037158840901E-2</v>
      </c>
      <c r="AL2664" s="2">
        <v>0.23188771285068299</v>
      </c>
      <c r="AM2664" s="2">
        <v>1293.8842301813499</v>
      </c>
      <c r="AN2664" s="2">
        <v>2458.6082430473298</v>
      </c>
      <c r="AO2664" s="2">
        <v>4013.8242425161502</v>
      </c>
      <c r="AP2664" s="2">
        <v>480.11927978095702</v>
      </c>
      <c r="AQ2664" s="2">
        <v>3371.1640379467799</v>
      </c>
      <c r="AR2664" s="2">
        <v>2736.9736017702699</v>
      </c>
      <c r="AS2664" s="2">
        <v>992.16655259097899</v>
      </c>
      <c r="AT2664" s="2">
        <v>64.743518994417798</v>
      </c>
      <c r="AU2664" s="2">
        <v>1101.2467351314599</v>
      </c>
      <c r="AV2664" s="2">
        <v>519.80840680868198</v>
      </c>
      <c r="AW2664" s="2">
        <v>768.93195334453503</v>
      </c>
      <c r="AX2664" s="2">
        <v>1582.02905454599</v>
      </c>
    </row>
    <row r="2665" spans="1:50" x14ac:dyDescent="0.25">
      <c r="A2665" s="2" t="s">
        <v>17889</v>
      </c>
      <c r="B2665" s="2">
        <v>463.23166316315599</v>
      </c>
      <c r="C2665" s="2">
        <v>8.94478333333333</v>
      </c>
      <c r="D2665" s="2" t="s">
        <v>51</v>
      </c>
      <c r="E2665" s="2" t="s">
        <v>17890</v>
      </c>
      <c r="F2665" s="2">
        <v>207423</v>
      </c>
      <c r="G2665" s="3" t="str">
        <f>HYPERLINK("https://cloud.oebiotech.com/#/lm/network/207423", "https://cloud.oebiotech.com/#/lm/network/207423")</f>
        <v>https://cloud.oebiotech.com/#/lm/network/207423</v>
      </c>
      <c r="H2665" s="2" t="s">
        <v>17891</v>
      </c>
      <c r="I2665" s="2"/>
      <c r="J2665" s="2"/>
      <c r="K2665" s="2">
        <v>21151249</v>
      </c>
      <c r="L2665" s="2"/>
      <c r="M2665" s="2"/>
      <c r="N2665" s="2"/>
      <c r="O2665" s="2"/>
      <c r="P2665" s="2"/>
      <c r="Q2665" s="2"/>
      <c r="R2665" s="2"/>
      <c r="S2665" s="2" t="s">
        <v>17892</v>
      </c>
      <c r="T2665" s="2" t="s">
        <v>17893</v>
      </c>
      <c r="U2665" s="2" t="s">
        <v>103</v>
      </c>
      <c r="V2665" s="2" t="s">
        <v>104</v>
      </c>
      <c r="W2665" s="2" t="s">
        <v>105</v>
      </c>
      <c r="X2665" s="2" t="s">
        <v>147</v>
      </c>
      <c r="Y2665" s="2">
        <v>38.1</v>
      </c>
      <c r="Z2665" s="2">
        <v>0</v>
      </c>
      <c r="AA2665" s="2" t="s">
        <v>218</v>
      </c>
      <c r="AB2665" s="2" t="s">
        <v>17894</v>
      </c>
      <c r="AC2665" s="2">
        <v>1.45092383445163</v>
      </c>
      <c r="AD2665" s="2"/>
      <c r="AE2665" s="2">
        <v>0.23482973332246801</v>
      </c>
      <c r="AF2665" s="2">
        <v>2541.0623695368199</v>
      </c>
      <c r="AG2665" s="2">
        <v>958.34782693776503</v>
      </c>
      <c r="AH2665" s="5">
        <v>2.6515032414236801</v>
      </c>
      <c r="AI2665" s="5">
        <v>1.40681051215319</v>
      </c>
      <c r="AJ2665" s="5" t="s">
        <v>139</v>
      </c>
      <c r="AK2665" s="2">
        <v>2.53940403539346E-2</v>
      </c>
      <c r="AL2665" s="2">
        <v>0.245411442075921</v>
      </c>
      <c r="AM2665" s="2">
        <v>3258.9218610225598</v>
      </c>
      <c r="AN2665" s="2">
        <v>1976.5677633042999</v>
      </c>
      <c r="AO2665" s="2">
        <v>1094.03854963035</v>
      </c>
      <c r="AP2665" s="2">
        <v>1416.2217778019401</v>
      </c>
      <c r="AQ2665" s="2">
        <v>2754.8693313825902</v>
      </c>
      <c r="AR2665" s="2">
        <v>4745.7549340791902</v>
      </c>
      <c r="AS2665" s="2">
        <v>1735.0277990832601</v>
      </c>
      <c r="AT2665" s="2">
        <v>254.48815816030699</v>
      </c>
      <c r="AU2665" s="2">
        <v>1239.7586001879899</v>
      </c>
      <c r="AV2665" s="2">
        <v>291.06555256173999</v>
      </c>
      <c r="AW2665" s="2">
        <v>852.847843006311</v>
      </c>
      <c r="AX2665" s="2">
        <v>1376.89900862698</v>
      </c>
    </row>
    <row r="2666" spans="1:50" x14ac:dyDescent="0.25">
      <c r="A2666" s="2" t="s">
        <v>17895</v>
      </c>
      <c r="B2666" s="2">
        <v>156.07720468920701</v>
      </c>
      <c r="C2666" s="2">
        <v>0.59993333333333299</v>
      </c>
      <c r="D2666" s="2" t="s">
        <v>51</v>
      </c>
      <c r="E2666" s="2" t="s">
        <v>17896</v>
      </c>
      <c r="F2666" s="2">
        <v>201216</v>
      </c>
      <c r="G2666" s="3" t="str">
        <f>HYPERLINK("https://cloud.oebiotech.com/#/lm/network/201216", "https://cloud.oebiotech.com/#/lm/network/201216")</f>
        <v>https://cloud.oebiotech.com/#/lm/network/201216</v>
      </c>
      <c r="H2666" s="2" t="s">
        <v>17897</v>
      </c>
      <c r="I2666" s="2">
        <v>429487</v>
      </c>
      <c r="J2666" s="2"/>
      <c r="K2666" s="2">
        <v>73836</v>
      </c>
      <c r="L2666" s="2"/>
      <c r="M2666" s="2"/>
      <c r="N2666" s="2"/>
      <c r="O2666" s="2"/>
      <c r="P2666" s="2"/>
      <c r="Q2666" s="2"/>
      <c r="R2666" s="2"/>
      <c r="S2666" s="2" t="s">
        <v>17898</v>
      </c>
      <c r="T2666" s="2" t="s">
        <v>17899</v>
      </c>
      <c r="U2666" s="2" t="s">
        <v>266</v>
      </c>
      <c r="V2666" s="2" t="s">
        <v>2143</v>
      </c>
      <c r="W2666" s="2" t="s">
        <v>2624</v>
      </c>
      <c r="X2666" s="2" t="s">
        <v>69</v>
      </c>
      <c r="Y2666" s="2">
        <v>58.7</v>
      </c>
      <c r="Z2666" s="2">
        <v>95.8</v>
      </c>
      <c r="AA2666" s="2" t="s">
        <v>512</v>
      </c>
      <c r="AB2666" s="2" t="s">
        <v>17900</v>
      </c>
      <c r="AC2666" s="2">
        <v>3.2723014167682098</v>
      </c>
      <c r="AD2666" s="2"/>
      <c r="AE2666" s="2">
        <v>0.234632356915145</v>
      </c>
      <c r="AF2666" s="2">
        <v>67269.346784142093</v>
      </c>
      <c r="AG2666" s="2">
        <v>72448.306118472901</v>
      </c>
      <c r="AH2666" s="4">
        <v>0.92851510805702298</v>
      </c>
      <c r="AI2666" s="4">
        <v>-0.107002710153035</v>
      </c>
      <c r="AJ2666" s="4" t="s">
        <v>62</v>
      </c>
      <c r="AK2666" s="2">
        <v>0.62613235688660296</v>
      </c>
      <c r="AL2666" s="2">
        <v>0.81628190663938605</v>
      </c>
      <c r="AM2666" s="2">
        <v>79748.905938111304</v>
      </c>
      <c r="AN2666" s="2">
        <v>62273.178299647501</v>
      </c>
      <c r="AO2666" s="2">
        <v>58497.912995789899</v>
      </c>
      <c r="AP2666" s="2">
        <v>77742.748317941005</v>
      </c>
      <c r="AQ2666" s="2">
        <v>68888.601965894602</v>
      </c>
      <c r="AR2666" s="2">
        <v>56464.733187468402</v>
      </c>
      <c r="AS2666" s="2">
        <v>39628.674645535197</v>
      </c>
      <c r="AT2666" s="2">
        <v>58420.5841601133</v>
      </c>
      <c r="AU2666" s="2">
        <v>74368.557643483902</v>
      </c>
      <c r="AV2666" s="2">
        <v>83024.605564307698</v>
      </c>
      <c r="AW2666" s="2">
        <v>108588.428836083</v>
      </c>
      <c r="AX2666" s="2">
        <v>70658.985861314301</v>
      </c>
    </row>
    <row r="2667" spans="1:50" x14ac:dyDescent="0.25">
      <c r="A2667" s="2" t="s">
        <v>17901</v>
      </c>
      <c r="B2667" s="2">
        <v>257.10299210110998</v>
      </c>
      <c r="C2667" s="2">
        <v>4.5305499999999999</v>
      </c>
      <c r="D2667" s="2" t="s">
        <v>51</v>
      </c>
      <c r="E2667" s="2" t="s">
        <v>17902</v>
      </c>
      <c r="F2667" s="2">
        <v>81791</v>
      </c>
      <c r="G2667" s="3" t="str">
        <f>HYPERLINK("https://cloud.oebiotech.com/#/lm/network/81791", "https://cloud.oebiotech.com/#/lm/network/81791")</f>
        <v>https://cloud.oebiotech.com/#/lm/network/81791</v>
      </c>
      <c r="H2667" s="2" t="s">
        <v>17903</v>
      </c>
      <c r="I2667" s="2"/>
      <c r="J2667" s="2"/>
      <c r="K2667" s="2">
        <v>122517586</v>
      </c>
      <c r="L2667" s="2"/>
      <c r="M2667" s="2"/>
      <c r="N2667" s="2"/>
      <c r="O2667" s="2">
        <v>89902</v>
      </c>
      <c r="P2667" s="2"/>
      <c r="Q2667" s="2"/>
      <c r="R2667" s="2"/>
      <c r="S2667" s="2" t="s">
        <v>17904</v>
      </c>
      <c r="T2667" s="2" t="s">
        <v>17905</v>
      </c>
      <c r="U2667" s="2" t="s">
        <v>56</v>
      </c>
      <c r="V2667" s="2" t="s">
        <v>145</v>
      </c>
      <c r="W2667" s="2" t="s">
        <v>231</v>
      </c>
      <c r="X2667" s="2" t="s">
        <v>147</v>
      </c>
      <c r="Y2667" s="2">
        <v>40.299999999999997</v>
      </c>
      <c r="Z2667" s="2">
        <v>6.81</v>
      </c>
      <c r="AA2667" s="2" t="s">
        <v>218</v>
      </c>
      <c r="AB2667" s="2" t="s">
        <v>17906</v>
      </c>
      <c r="AC2667" s="2">
        <v>-0.32889510628640301</v>
      </c>
      <c r="AD2667" s="2"/>
      <c r="AE2667" s="2">
        <v>0.23461136154290599</v>
      </c>
      <c r="AF2667" s="2">
        <v>3038.45350018714</v>
      </c>
      <c r="AG2667" s="2">
        <v>1650.0094917670899</v>
      </c>
      <c r="AH2667" s="5">
        <v>1.8414763765589499</v>
      </c>
      <c r="AI2667" s="5">
        <v>0.88086288969496096</v>
      </c>
      <c r="AJ2667" s="5" t="s">
        <v>139</v>
      </c>
      <c r="AK2667" s="2">
        <v>0.108786496730907</v>
      </c>
      <c r="AL2667" s="2">
        <v>0.420407201347063</v>
      </c>
      <c r="AM2667" s="2">
        <v>4735.8014144818699</v>
      </c>
      <c r="AN2667" s="2">
        <v>4712.5824933742297</v>
      </c>
      <c r="AO2667" s="2">
        <v>1903.94100515427</v>
      </c>
      <c r="AP2667" s="2">
        <v>1529.94316386524</v>
      </c>
      <c r="AQ2667" s="2">
        <v>1826.52543285261</v>
      </c>
      <c r="AR2667" s="2">
        <v>3521.9274913946101</v>
      </c>
      <c r="AS2667" s="2">
        <v>2458.0721051363798</v>
      </c>
      <c r="AT2667" s="2">
        <v>534.22073026230305</v>
      </c>
      <c r="AU2667" s="2">
        <v>3758.44163570397</v>
      </c>
      <c r="AV2667" s="2">
        <v>618.39162347999604</v>
      </c>
      <c r="AW2667" s="2">
        <v>1221.23173699431</v>
      </c>
      <c r="AX2667" s="2">
        <v>1309.6991190256099</v>
      </c>
    </row>
    <row r="2668" spans="1:50" x14ac:dyDescent="0.25">
      <c r="A2668" s="2" t="s">
        <v>17907</v>
      </c>
      <c r="B2668" s="2">
        <v>334.23644971879202</v>
      </c>
      <c r="C2668" s="2">
        <v>7.4269166666666697</v>
      </c>
      <c r="D2668" s="2" t="s">
        <v>51</v>
      </c>
      <c r="E2668" s="2" t="s">
        <v>17908</v>
      </c>
      <c r="F2668" s="2">
        <v>44887</v>
      </c>
      <c r="G2668" s="3" t="str">
        <f>HYPERLINK("https://cloud.oebiotech.com/#/lm/network/44887", "https://cloud.oebiotech.com/#/lm/network/44887")</f>
        <v>https://cloud.oebiotech.com/#/lm/network/44887</v>
      </c>
      <c r="H2668" s="2" t="s">
        <v>17909</v>
      </c>
      <c r="I2668" s="2">
        <v>5333</v>
      </c>
      <c r="J2668" s="2" t="s">
        <v>17910</v>
      </c>
      <c r="K2668" s="2">
        <v>11301534</v>
      </c>
      <c r="L2668" s="2"/>
      <c r="M2668" s="2"/>
      <c r="N2668" s="2"/>
      <c r="O2668" s="2">
        <v>89192</v>
      </c>
      <c r="P2668" s="2"/>
      <c r="Q2668" s="2"/>
      <c r="R2668" s="2" t="s">
        <v>17911</v>
      </c>
      <c r="S2668" s="2" t="s">
        <v>17912</v>
      </c>
      <c r="T2668" s="2" t="s">
        <v>17913</v>
      </c>
      <c r="U2668" s="2" t="s">
        <v>56</v>
      </c>
      <c r="V2668" s="2" t="s">
        <v>283</v>
      </c>
      <c r="W2668" s="2" t="s">
        <v>1944</v>
      </c>
      <c r="X2668" s="2" t="s">
        <v>147</v>
      </c>
      <c r="Y2668" s="2">
        <v>39.9</v>
      </c>
      <c r="Z2668" s="2">
        <v>17.899999999999999</v>
      </c>
      <c r="AA2668" s="2" t="s">
        <v>512</v>
      </c>
      <c r="AB2668" s="2" t="s">
        <v>708</v>
      </c>
      <c r="AC2668" s="2">
        <v>-3.8600664364956501</v>
      </c>
      <c r="AD2668" s="2"/>
      <c r="AE2668" s="2">
        <v>0.23443639223842999</v>
      </c>
      <c r="AF2668" s="2">
        <v>4363.7699314423198</v>
      </c>
      <c r="AG2668" s="2">
        <v>887.32411241364503</v>
      </c>
      <c r="AH2668" s="5">
        <v>4.9178985112579197</v>
      </c>
      <c r="AI2668" s="5">
        <v>2.29804196290966</v>
      </c>
      <c r="AJ2668" s="5" t="s">
        <v>139</v>
      </c>
      <c r="AK2668" s="2">
        <v>0.28958758789517902</v>
      </c>
      <c r="AL2668" s="2">
        <v>0.60369237994034897</v>
      </c>
      <c r="AM2668" s="2">
        <v>8.559877937157E-6</v>
      </c>
      <c r="AN2668" s="2">
        <v>8.559877937157E-6</v>
      </c>
      <c r="AO2668" s="2">
        <v>7839.2916181335404</v>
      </c>
      <c r="AP2668" s="2">
        <v>8.559877937157E-6</v>
      </c>
      <c r="AQ2668" s="2">
        <v>18255.3134061852</v>
      </c>
      <c r="AR2668" s="2">
        <v>88.014538655541699</v>
      </c>
      <c r="AS2668" s="2">
        <v>2585.2697077681601</v>
      </c>
      <c r="AT2668" s="2">
        <v>8.559877937157E-6</v>
      </c>
      <c r="AU2668" s="2">
        <v>2738.6749324742</v>
      </c>
      <c r="AV2668" s="2">
        <v>8.559877937157E-6</v>
      </c>
      <c r="AW2668" s="2">
        <v>8.559877937157E-6</v>
      </c>
      <c r="AX2668" s="2">
        <v>8.559877937157E-6</v>
      </c>
    </row>
    <row r="2669" spans="1:50" x14ac:dyDescent="0.25">
      <c r="A2669" s="2" t="s">
        <v>17914</v>
      </c>
      <c r="B2669" s="2">
        <v>226.21716541123101</v>
      </c>
      <c r="C2669" s="2">
        <v>10.7341</v>
      </c>
      <c r="D2669" s="2" t="s">
        <v>51</v>
      </c>
      <c r="E2669" s="2" t="s">
        <v>17915</v>
      </c>
      <c r="F2669" s="2">
        <v>63120</v>
      </c>
      <c r="G2669" s="3" t="str">
        <f>HYPERLINK("https://cloud.oebiotech.com/#/lm/network/63120", "https://cloud.oebiotech.com/#/lm/network/63120")</f>
        <v>https://cloud.oebiotech.com/#/lm/network/63120</v>
      </c>
      <c r="H2669" s="2" t="s">
        <v>17916</v>
      </c>
      <c r="I2669" s="2">
        <v>94428</v>
      </c>
      <c r="J2669" s="2"/>
      <c r="K2669" s="2">
        <v>6365540</v>
      </c>
      <c r="L2669" s="2"/>
      <c r="M2669" s="2"/>
      <c r="N2669" s="2"/>
      <c r="O2669" s="2">
        <v>171805</v>
      </c>
      <c r="P2669" s="2"/>
      <c r="Q2669" s="2"/>
      <c r="R2669" s="2" t="s">
        <v>17917</v>
      </c>
      <c r="S2669" s="2" t="s">
        <v>17918</v>
      </c>
      <c r="T2669" s="2" t="s">
        <v>17919</v>
      </c>
      <c r="U2669" s="2" t="s">
        <v>331</v>
      </c>
      <c r="V2669" s="2" t="s">
        <v>332</v>
      </c>
      <c r="W2669" s="2" t="s">
        <v>1207</v>
      </c>
      <c r="X2669" s="2" t="s">
        <v>147</v>
      </c>
      <c r="Y2669" s="2">
        <v>44.2</v>
      </c>
      <c r="Z2669" s="2">
        <v>28.9</v>
      </c>
      <c r="AA2669" s="2" t="s">
        <v>512</v>
      </c>
      <c r="AB2669" s="2" t="s">
        <v>17809</v>
      </c>
      <c r="AC2669" s="2">
        <v>2.99973026088671</v>
      </c>
      <c r="AD2669" s="2"/>
      <c r="AE2669" s="2">
        <v>0.234291311449291</v>
      </c>
      <c r="AF2669" s="2">
        <v>130.74513817558801</v>
      </c>
      <c r="AG2669" s="2">
        <v>2684.4804128259202</v>
      </c>
      <c r="AH2669" s="4">
        <v>4.8704076047980598E-2</v>
      </c>
      <c r="AI2669" s="4">
        <v>-4.3598136731522903</v>
      </c>
      <c r="AJ2669" s="4" t="s">
        <v>62</v>
      </c>
      <c r="AK2669" s="2">
        <v>0.35875818722916702</v>
      </c>
      <c r="AL2669" s="2">
        <v>0.64449606579735297</v>
      </c>
      <c r="AM2669" s="2">
        <v>8.559877937157E-6</v>
      </c>
      <c r="AN2669" s="2">
        <v>8.559877937157E-6</v>
      </c>
      <c r="AO2669" s="2">
        <v>784.47078625413997</v>
      </c>
      <c r="AP2669" s="2">
        <v>8.559877937157E-6</v>
      </c>
      <c r="AQ2669" s="2">
        <v>8.559877937157E-6</v>
      </c>
      <c r="AR2669" s="2">
        <v>8.559877937157E-6</v>
      </c>
      <c r="AS2669" s="2">
        <v>15941.435448762701</v>
      </c>
      <c r="AT2669" s="2">
        <v>8.559877937157E-6</v>
      </c>
      <c r="AU2669" s="2">
        <v>8.559877937157E-6</v>
      </c>
      <c r="AV2669" s="2">
        <v>165.446993953331</v>
      </c>
      <c r="AW2669" s="2">
        <v>8.559877937157E-6</v>
      </c>
      <c r="AX2669" s="2">
        <v>8.559877937157E-6</v>
      </c>
    </row>
    <row r="2670" spans="1:50" x14ac:dyDescent="0.25">
      <c r="A2670" s="2" t="s">
        <v>17920</v>
      </c>
      <c r="B2670" s="2">
        <v>578.25323015260403</v>
      </c>
      <c r="C2670" s="2">
        <v>3.7524500000000001</v>
      </c>
      <c r="D2670" s="2" t="s">
        <v>51</v>
      </c>
      <c r="E2670" s="2" t="s">
        <v>17921</v>
      </c>
      <c r="F2670" s="2">
        <v>210832</v>
      </c>
      <c r="G2670" s="3" t="str">
        <f>HYPERLINK("https://cloud.oebiotech.com/#/lm/network/210832", "https://cloud.oebiotech.com/#/lm/network/210832")</f>
        <v>https://cloud.oebiotech.com/#/lm/network/210832</v>
      </c>
      <c r="H2670" s="2" t="s">
        <v>17922</v>
      </c>
      <c r="I2670" s="2"/>
      <c r="J2670" s="2"/>
      <c r="K2670" s="2"/>
      <c r="L2670" s="2"/>
      <c r="M2670" s="2"/>
      <c r="N2670" s="2"/>
      <c r="O2670" s="2">
        <v>90217</v>
      </c>
      <c r="P2670" s="2"/>
      <c r="Q2670" s="2"/>
      <c r="R2670" s="2"/>
      <c r="S2670" s="2" t="s">
        <v>17923</v>
      </c>
      <c r="T2670" s="2" t="s">
        <v>17924</v>
      </c>
      <c r="U2670" s="2" t="s">
        <v>266</v>
      </c>
      <c r="V2670" s="2" t="s">
        <v>1585</v>
      </c>
      <c r="W2670" s="2" t="s">
        <v>1586</v>
      </c>
      <c r="X2670" s="2" t="s">
        <v>147</v>
      </c>
      <c r="Y2670" s="2">
        <v>36</v>
      </c>
      <c r="Z2670" s="2">
        <v>0</v>
      </c>
      <c r="AA2670" s="2" t="s">
        <v>512</v>
      </c>
      <c r="AB2670" s="2" t="s">
        <v>17925</v>
      </c>
      <c r="AC2670" s="2">
        <v>-2.0883036594775</v>
      </c>
      <c r="AD2670" s="2"/>
      <c r="AE2670" s="2">
        <v>0.23418228480749501</v>
      </c>
      <c r="AF2670" s="2">
        <v>7520.4795703786303</v>
      </c>
      <c r="AG2670" s="2">
        <v>4570.8128833765904</v>
      </c>
      <c r="AH2670" s="5">
        <v>1.6453265014915801</v>
      </c>
      <c r="AI2670" s="5">
        <v>0.71837390331762196</v>
      </c>
      <c r="AJ2670" s="5" t="s">
        <v>139</v>
      </c>
      <c r="AK2670" s="2">
        <v>0.34136080488700499</v>
      </c>
      <c r="AL2670" s="2">
        <v>0.63815037094278604</v>
      </c>
      <c r="AM2670" s="2">
        <v>10407.5129188996</v>
      </c>
      <c r="AN2670" s="2">
        <v>3537.8112944966001</v>
      </c>
      <c r="AO2670" s="2">
        <v>12155.0179873368</v>
      </c>
      <c r="AP2670" s="2">
        <v>2014.8250246540799</v>
      </c>
      <c r="AQ2670" s="2">
        <v>1221.6000218644001</v>
      </c>
      <c r="AR2670" s="2">
        <v>15786.1101750203</v>
      </c>
      <c r="AS2670" s="2">
        <v>8.559877937157E-6</v>
      </c>
      <c r="AT2670" s="2">
        <v>527.55795321349694</v>
      </c>
      <c r="AU2670" s="2">
        <v>5847.3069827827503</v>
      </c>
      <c r="AV2670" s="2">
        <v>8116.5236655938497</v>
      </c>
      <c r="AW2670" s="2">
        <v>9543.3720589074092</v>
      </c>
      <c r="AX2670" s="2">
        <v>3390.1166312021601</v>
      </c>
    </row>
    <row r="2671" spans="1:50" x14ac:dyDescent="0.25">
      <c r="A2671" s="2" t="s">
        <v>17926</v>
      </c>
      <c r="B2671" s="2">
        <v>517.38882758268699</v>
      </c>
      <c r="C2671" s="2">
        <v>13.9127666666667</v>
      </c>
      <c r="D2671" s="2" t="s">
        <v>51</v>
      </c>
      <c r="E2671" s="2" t="s">
        <v>17927</v>
      </c>
      <c r="F2671" s="2">
        <v>58639</v>
      </c>
      <c r="G2671" s="3" t="str">
        <f>HYPERLINK("https://cloud.oebiotech.com/#/lm/network/58639", "https://cloud.oebiotech.com/#/lm/network/58639")</f>
        <v>https://cloud.oebiotech.com/#/lm/network/58639</v>
      </c>
      <c r="H2671" s="2" t="s">
        <v>17928</v>
      </c>
      <c r="I2671" s="2">
        <v>90107</v>
      </c>
      <c r="J2671" s="2"/>
      <c r="K2671" s="2">
        <v>73819433</v>
      </c>
      <c r="L2671" s="2"/>
      <c r="M2671" s="2"/>
      <c r="N2671" s="2"/>
      <c r="O2671" s="2"/>
      <c r="P2671" s="2"/>
      <c r="Q2671" s="2"/>
      <c r="R2671" s="2" t="s">
        <v>17929</v>
      </c>
      <c r="S2671" s="2" t="s">
        <v>17930</v>
      </c>
      <c r="T2671" s="2" t="s">
        <v>17931</v>
      </c>
      <c r="U2671" s="2" t="s">
        <v>56</v>
      </c>
      <c r="V2671" s="2" t="s">
        <v>177</v>
      </c>
      <c r="W2671" s="2" t="s">
        <v>3270</v>
      </c>
      <c r="X2671" s="2" t="s">
        <v>147</v>
      </c>
      <c r="Y2671" s="2">
        <v>38.6</v>
      </c>
      <c r="Z2671" s="2">
        <v>0</v>
      </c>
      <c r="AA2671" s="2" t="s">
        <v>259</v>
      </c>
      <c r="AB2671" s="2" t="s">
        <v>17932</v>
      </c>
      <c r="AC2671" s="2">
        <v>0.14792406462322699</v>
      </c>
      <c r="AD2671" s="2"/>
      <c r="AE2671" s="2">
        <v>0.23408336343463701</v>
      </c>
      <c r="AF2671" s="2">
        <v>9971.2705312745802</v>
      </c>
      <c r="AG2671" s="2">
        <v>6681.7643561299101</v>
      </c>
      <c r="AH2671" s="5">
        <v>1.4923110124539001</v>
      </c>
      <c r="AI2671" s="5">
        <v>0.57754823892108298</v>
      </c>
      <c r="AJ2671" s="5" t="s">
        <v>139</v>
      </c>
      <c r="AK2671" s="2">
        <v>0.26034433161410703</v>
      </c>
      <c r="AL2671" s="2">
        <v>0.58239046601091005</v>
      </c>
      <c r="AM2671" s="2">
        <v>8620.4338645170192</v>
      </c>
      <c r="AN2671" s="2">
        <v>9313.0405289625996</v>
      </c>
      <c r="AO2671" s="2">
        <v>12544.426597600699</v>
      </c>
      <c r="AP2671" s="2">
        <v>19058.0365379016</v>
      </c>
      <c r="AQ2671" s="2">
        <v>7204.0113902019802</v>
      </c>
      <c r="AR2671" s="2">
        <v>3087.6742684635601</v>
      </c>
      <c r="AS2671" s="2">
        <v>1654.5347925141</v>
      </c>
      <c r="AT2671" s="2">
        <v>7852.60553099975</v>
      </c>
      <c r="AU2671" s="2">
        <v>6204.4849538355402</v>
      </c>
      <c r="AV2671" s="2">
        <v>2954.4732554397501</v>
      </c>
      <c r="AW2671" s="2">
        <v>12747.008526278099</v>
      </c>
      <c r="AX2671" s="2">
        <v>8677.4790777121998</v>
      </c>
    </row>
    <row r="2672" spans="1:50" x14ac:dyDescent="0.25">
      <c r="A2672" s="2" t="s">
        <v>17933</v>
      </c>
      <c r="B2672" s="2">
        <v>364.09847706016802</v>
      </c>
      <c r="C2672" s="2">
        <v>7.8409500000000003</v>
      </c>
      <c r="D2672" s="2" t="s">
        <v>51</v>
      </c>
      <c r="E2672" s="2" t="s">
        <v>17934</v>
      </c>
      <c r="F2672" s="2">
        <v>208415</v>
      </c>
      <c r="G2672" s="3" t="str">
        <f>HYPERLINK("https://cloud.oebiotech.com/#/lm/network/208415", "https://cloud.oebiotech.com/#/lm/network/208415")</f>
        <v>https://cloud.oebiotech.com/#/lm/network/208415</v>
      </c>
      <c r="H2672" s="2" t="s">
        <v>17935</v>
      </c>
      <c r="I2672" s="2"/>
      <c r="J2672" s="2"/>
      <c r="K2672" s="2">
        <v>20107</v>
      </c>
      <c r="L2672" s="2"/>
      <c r="M2672" s="2"/>
      <c r="N2672" s="2"/>
      <c r="O2672" s="2"/>
      <c r="P2672" s="2"/>
      <c r="Q2672" s="2"/>
      <c r="R2672" s="2"/>
      <c r="S2672" s="2" t="s">
        <v>17936</v>
      </c>
      <c r="T2672" s="2" t="s">
        <v>17937</v>
      </c>
      <c r="U2672" s="2" t="s">
        <v>103</v>
      </c>
      <c r="V2672" s="2" t="s">
        <v>12842</v>
      </c>
      <c r="W2672" s="2" t="s">
        <v>12843</v>
      </c>
      <c r="X2672" s="2" t="s">
        <v>147</v>
      </c>
      <c r="Y2672" s="2">
        <v>36.799999999999997</v>
      </c>
      <c r="Z2672" s="2">
        <v>0</v>
      </c>
      <c r="AA2672" s="2" t="s">
        <v>122</v>
      </c>
      <c r="AB2672" s="2" t="s">
        <v>17938</v>
      </c>
      <c r="AC2672" s="2">
        <v>2.9366438356772</v>
      </c>
      <c r="AD2672" s="2"/>
      <c r="AE2672" s="2">
        <v>0.23381225229397101</v>
      </c>
      <c r="AF2672" s="2">
        <v>1624.7264707315201</v>
      </c>
      <c r="AG2672" s="2">
        <v>3505.1038141326299</v>
      </c>
      <c r="AH2672" s="4">
        <v>0.46353162613346899</v>
      </c>
      <c r="AI2672" s="4">
        <v>-1.10926031955467</v>
      </c>
      <c r="AJ2672" s="4" t="s">
        <v>62</v>
      </c>
      <c r="AK2672" s="2">
        <v>1.7498863990329998E-2</v>
      </c>
      <c r="AL2672" s="2">
        <v>0.209035725373419</v>
      </c>
      <c r="AM2672" s="2">
        <v>2391.8702215397798</v>
      </c>
      <c r="AN2672" s="2">
        <v>935.37240896691799</v>
      </c>
      <c r="AO2672" s="2">
        <v>2688.0897476456798</v>
      </c>
      <c r="AP2672" s="2">
        <v>8.559877937157E-6</v>
      </c>
      <c r="AQ2672" s="2">
        <v>1528.8652225824301</v>
      </c>
      <c r="AR2672" s="2">
        <v>2204.1612150944602</v>
      </c>
      <c r="AS2672" s="2">
        <v>3517.4234897433898</v>
      </c>
      <c r="AT2672" s="2">
        <v>3329.6380519479399</v>
      </c>
      <c r="AU2672" s="2">
        <v>5176.1710760537399</v>
      </c>
      <c r="AV2672" s="2">
        <v>2101.5103896698101</v>
      </c>
      <c r="AW2672" s="2">
        <v>4709.5567893011303</v>
      </c>
      <c r="AX2672" s="2">
        <v>2196.3230880797801</v>
      </c>
    </row>
    <row r="2673" spans="1:50" x14ac:dyDescent="0.25">
      <c r="A2673" s="2" t="s">
        <v>17939</v>
      </c>
      <c r="B2673" s="2">
        <v>274.17701552620002</v>
      </c>
      <c r="C2673" s="2">
        <v>3.46308333333333</v>
      </c>
      <c r="D2673" s="2" t="s">
        <v>51</v>
      </c>
      <c r="E2673" s="2" t="s">
        <v>17940</v>
      </c>
      <c r="F2673" s="2">
        <v>263888</v>
      </c>
      <c r="G2673" s="3" t="str">
        <f>HYPERLINK("https://cloud.oebiotech.com/#/lm/network/263888", "https://cloud.oebiotech.com/#/lm/network/263888")</f>
        <v>https://cloud.oebiotech.com/#/lm/network/263888</v>
      </c>
      <c r="H2673" s="2"/>
      <c r="I2673" s="2">
        <v>21324</v>
      </c>
      <c r="J2673" s="2"/>
      <c r="K2673" s="2">
        <v>139789064</v>
      </c>
      <c r="L2673" s="2"/>
      <c r="M2673" s="2"/>
      <c r="N2673" s="2"/>
      <c r="O2673" s="2"/>
      <c r="P2673" s="2"/>
      <c r="Q2673" s="2"/>
      <c r="R2673" s="2"/>
      <c r="S2673" s="2" t="s">
        <v>17941</v>
      </c>
      <c r="T2673" s="2" t="s">
        <v>17942</v>
      </c>
      <c r="U2673" s="2" t="s">
        <v>103</v>
      </c>
      <c r="V2673" s="2" t="s">
        <v>104</v>
      </c>
      <c r="W2673" s="2" t="s">
        <v>105</v>
      </c>
      <c r="X2673" s="2" t="s">
        <v>83</v>
      </c>
      <c r="Y2673" s="2">
        <v>41.7</v>
      </c>
      <c r="Z2673" s="2">
        <v>19.7</v>
      </c>
      <c r="AA2673" s="2" t="s">
        <v>259</v>
      </c>
      <c r="AB2673" s="2" t="s">
        <v>17943</v>
      </c>
      <c r="AC2673" s="2">
        <v>3.2319348646254298</v>
      </c>
      <c r="AD2673" s="2"/>
      <c r="AE2673" s="2">
        <v>0.23365164516850001</v>
      </c>
      <c r="AF2673" s="2">
        <v>3688.6746718295699</v>
      </c>
      <c r="AG2673" s="2">
        <v>1402.02904174474</v>
      </c>
      <c r="AH2673" s="5">
        <v>2.6309545394575</v>
      </c>
      <c r="AI2673" s="5">
        <v>1.3955863202385601</v>
      </c>
      <c r="AJ2673" s="5" t="s">
        <v>139</v>
      </c>
      <c r="AK2673" s="2">
        <v>0.134302089702175</v>
      </c>
      <c r="AL2673" s="2">
        <v>0.45509148539334099</v>
      </c>
      <c r="AM2673" s="2">
        <v>5183.5464493813097</v>
      </c>
      <c r="AN2673" s="2">
        <v>1038.68377840269</v>
      </c>
      <c r="AO2673" s="2">
        <v>2790.3752929122702</v>
      </c>
      <c r="AP2673" s="2">
        <v>1942.75593600409</v>
      </c>
      <c r="AQ2673" s="2">
        <v>8733.6333443974199</v>
      </c>
      <c r="AR2673" s="2">
        <v>2443.0532298796402</v>
      </c>
      <c r="AS2673" s="2">
        <v>755.18492483843102</v>
      </c>
      <c r="AT2673" s="2">
        <v>549.71447345852903</v>
      </c>
      <c r="AU2673" s="2">
        <v>629.71133406342403</v>
      </c>
      <c r="AV2673" s="2">
        <v>5358.4943874709597</v>
      </c>
      <c r="AW2673" s="2">
        <v>841.90196936832501</v>
      </c>
      <c r="AX2673" s="2">
        <v>277.16716126875298</v>
      </c>
    </row>
    <row r="2674" spans="1:50" x14ac:dyDescent="0.25">
      <c r="A2674" s="2" t="s">
        <v>17944</v>
      </c>
      <c r="B2674" s="2">
        <v>370.07166571999301</v>
      </c>
      <c r="C2674" s="2">
        <v>4.1373666666666704</v>
      </c>
      <c r="D2674" s="2" t="s">
        <v>51</v>
      </c>
      <c r="E2674" s="2" t="s">
        <v>17945</v>
      </c>
      <c r="F2674" s="2">
        <v>208017</v>
      </c>
      <c r="G2674" s="3" t="str">
        <f>HYPERLINK("https://cloud.oebiotech.com/#/lm/network/208017", "https://cloud.oebiotech.com/#/lm/network/208017")</f>
        <v>https://cloud.oebiotech.com/#/lm/network/208017</v>
      </c>
      <c r="H2674" s="2" t="s">
        <v>17946</v>
      </c>
      <c r="I2674" s="2"/>
      <c r="J2674" s="2"/>
      <c r="K2674" s="2">
        <v>12831285</v>
      </c>
      <c r="L2674" s="2"/>
      <c r="M2674" s="2"/>
      <c r="N2674" s="2"/>
      <c r="O2674" s="2"/>
      <c r="P2674" s="2"/>
      <c r="Q2674" s="2"/>
      <c r="R2674" s="2"/>
      <c r="S2674" s="2" t="s">
        <v>17947</v>
      </c>
      <c r="T2674" s="2" t="s">
        <v>17948</v>
      </c>
      <c r="U2674" s="2" t="s">
        <v>103</v>
      </c>
      <c r="V2674" s="2" t="s">
        <v>104</v>
      </c>
      <c r="W2674" s="2" t="s">
        <v>105</v>
      </c>
      <c r="X2674" s="2" t="s">
        <v>59</v>
      </c>
      <c r="Y2674" s="2">
        <v>50.3</v>
      </c>
      <c r="Z2674" s="2">
        <v>61.4</v>
      </c>
      <c r="AA2674" s="2" t="s">
        <v>218</v>
      </c>
      <c r="AB2674" s="2" t="s">
        <v>17949</v>
      </c>
      <c r="AC2674" s="2">
        <v>0.68063659097471296</v>
      </c>
      <c r="AD2674" s="2"/>
      <c r="AE2674" s="2">
        <v>0.233578476097104</v>
      </c>
      <c r="AF2674" s="2">
        <v>166.411463316652</v>
      </c>
      <c r="AG2674" s="2">
        <v>5902.9635795044396</v>
      </c>
      <c r="AH2674" s="4">
        <v>2.8191172294276999E-2</v>
      </c>
      <c r="AI2674" s="4">
        <v>-5.1486127179687404</v>
      </c>
      <c r="AJ2674" s="4" t="s">
        <v>62</v>
      </c>
      <c r="AK2674" s="2">
        <v>0.35131528670407802</v>
      </c>
      <c r="AL2674" s="2">
        <v>0.64273559662805702</v>
      </c>
      <c r="AM2674" s="2">
        <v>8.559877937157E-6</v>
      </c>
      <c r="AN2674" s="2">
        <v>114.912577963591</v>
      </c>
      <c r="AO2674" s="2">
        <v>843.53614385535695</v>
      </c>
      <c r="AP2674" s="2">
        <v>8.559877937157E-6</v>
      </c>
      <c r="AQ2674" s="2">
        <v>8.559877937157E-6</v>
      </c>
      <c r="AR2674" s="2">
        <v>40.020032401327697</v>
      </c>
      <c r="AS2674" s="2">
        <v>8.559877937157E-6</v>
      </c>
      <c r="AT2674" s="2">
        <v>8.559877937157E-6</v>
      </c>
      <c r="AU2674" s="2">
        <v>35233.718663434804</v>
      </c>
      <c r="AV2674" s="2">
        <v>184.06277935231901</v>
      </c>
      <c r="AW2674" s="2">
        <v>8.559877937157E-6</v>
      </c>
      <c r="AX2674" s="2">
        <v>8.559877937157E-6</v>
      </c>
    </row>
    <row r="2675" spans="1:50" x14ac:dyDescent="0.25">
      <c r="A2675" s="2" t="s">
        <v>17950</v>
      </c>
      <c r="B2675" s="2">
        <v>261.11065263078399</v>
      </c>
      <c r="C2675" s="2">
        <v>5.1612</v>
      </c>
      <c r="D2675" s="2" t="s">
        <v>51</v>
      </c>
      <c r="E2675" s="2" t="s">
        <v>17951</v>
      </c>
      <c r="F2675" s="2">
        <v>53879</v>
      </c>
      <c r="G2675" s="3" t="str">
        <f>HYPERLINK("https://cloud.oebiotech.com/#/lm/network/53879", "https://cloud.oebiotech.com/#/lm/network/53879")</f>
        <v>https://cloud.oebiotech.com/#/lm/network/53879</v>
      </c>
      <c r="H2675" s="2" t="s">
        <v>17952</v>
      </c>
      <c r="I2675" s="2"/>
      <c r="J2675" s="2"/>
      <c r="K2675" s="2">
        <v>102763</v>
      </c>
      <c r="L2675" s="2"/>
      <c r="M2675" s="2"/>
      <c r="N2675" s="2"/>
      <c r="O2675" s="2"/>
      <c r="P2675" s="2"/>
      <c r="Q2675" s="2"/>
      <c r="R2675" s="2"/>
      <c r="S2675" s="2" t="s">
        <v>17953</v>
      </c>
      <c r="T2675" s="2" t="s">
        <v>17954</v>
      </c>
      <c r="U2675" s="2" t="s">
        <v>103</v>
      </c>
      <c r="V2675" s="2" t="s">
        <v>104</v>
      </c>
      <c r="W2675" s="2" t="s">
        <v>105</v>
      </c>
      <c r="X2675" s="2" t="s">
        <v>147</v>
      </c>
      <c r="Y2675" s="2">
        <v>42.7</v>
      </c>
      <c r="Z2675" s="2">
        <v>22.1</v>
      </c>
      <c r="AA2675" s="2" t="s">
        <v>122</v>
      </c>
      <c r="AB2675" s="2" t="s">
        <v>15610</v>
      </c>
      <c r="AC2675" s="2">
        <v>-2.6380445311531902</v>
      </c>
      <c r="AD2675" s="2"/>
      <c r="AE2675" s="2">
        <v>0.23347680150920599</v>
      </c>
      <c r="AF2675" s="2">
        <v>4336.1800960630599</v>
      </c>
      <c r="AG2675" s="2">
        <v>2698.14291161549</v>
      </c>
      <c r="AH2675" s="5">
        <v>1.6070980070758401</v>
      </c>
      <c r="AI2675" s="5">
        <v>0.68445791284051705</v>
      </c>
      <c r="AJ2675" s="5" t="s">
        <v>139</v>
      </c>
      <c r="AK2675" s="2">
        <v>6.59673452715865E-2</v>
      </c>
      <c r="AL2675" s="2">
        <v>0.34192828169447498</v>
      </c>
      <c r="AM2675" s="2">
        <v>4338.4131201479404</v>
      </c>
      <c r="AN2675" s="2">
        <v>6492.0115010399204</v>
      </c>
      <c r="AO2675" s="2">
        <v>2919.1800666843301</v>
      </c>
      <c r="AP2675" s="2">
        <v>4032.6365804052698</v>
      </c>
      <c r="AQ2675" s="2">
        <v>3527.54189094293</v>
      </c>
      <c r="AR2675" s="2">
        <v>4707.2974171579899</v>
      </c>
      <c r="AS2675" s="2">
        <v>5128.1969616469796</v>
      </c>
      <c r="AT2675" s="2">
        <v>3710.2948894170399</v>
      </c>
      <c r="AU2675" s="2">
        <v>1841.5792556445001</v>
      </c>
      <c r="AV2675" s="2">
        <v>1075.87812482149</v>
      </c>
      <c r="AW2675" s="2">
        <v>1668.43458548797</v>
      </c>
      <c r="AX2675" s="2">
        <v>2764.4736526749898</v>
      </c>
    </row>
    <row r="2676" spans="1:50" x14ac:dyDescent="0.25">
      <c r="A2676" s="2" t="s">
        <v>17955</v>
      </c>
      <c r="B2676" s="2">
        <v>475.19517094052202</v>
      </c>
      <c r="C2676" s="2">
        <v>6.1134166666666703</v>
      </c>
      <c r="D2676" s="2" t="s">
        <v>51</v>
      </c>
      <c r="E2676" s="2" t="s">
        <v>17956</v>
      </c>
      <c r="F2676" s="2">
        <v>203885</v>
      </c>
      <c r="G2676" s="3" t="str">
        <f>HYPERLINK("https://cloud.oebiotech.com/#/lm/network/203885", "https://cloud.oebiotech.com/#/lm/network/203885")</f>
        <v>https://cloud.oebiotech.com/#/lm/network/203885</v>
      </c>
      <c r="H2676" s="2" t="s">
        <v>17957</v>
      </c>
      <c r="I2676" s="2"/>
      <c r="J2676" s="2"/>
      <c r="K2676" s="2">
        <v>17975723</v>
      </c>
      <c r="L2676" s="2"/>
      <c r="M2676" s="2"/>
      <c r="N2676" s="2"/>
      <c r="O2676" s="2"/>
      <c r="P2676" s="2"/>
      <c r="Q2676" s="2"/>
      <c r="R2676" s="2"/>
      <c r="S2676" s="2" t="s">
        <v>17958</v>
      </c>
      <c r="T2676" s="2" t="s">
        <v>17959</v>
      </c>
      <c r="U2676" s="2" t="s">
        <v>331</v>
      </c>
      <c r="V2676" s="2" t="s">
        <v>332</v>
      </c>
      <c r="W2676" s="2" t="s">
        <v>333</v>
      </c>
      <c r="X2676" s="2" t="s">
        <v>147</v>
      </c>
      <c r="Y2676" s="2">
        <v>40.799999999999997</v>
      </c>
      <c r="Z2676" s="2">
        <v>17.100000000000001</v>
      </c>
      <c r="AA2676" s="2" t="s">
        <v>379</v>
      </c>
      <c r="AB2676" s="2" t="s">
        <v>17960</v>
      </c>
      <c r="AC2676" s="2">
        <v>1.01193945982671</v>
      </c>
      <c r="AD2676" s="2"/>
      <c r="AE2676" s="2">
        <v>0.23345268239101499</v>
      </c>
      <c r="AF2676" s="2">
        <v>17996.5613380246</v>
      </c>
      <c r="AG2676" s="2">
        <v>15894.773752462301</v>
      </c>
      <c r="AH2676" s="5">
        <v>1.1322313622260101</v>
      </c>
      <c r="AI2676" s="5">
        <v>0.179168791235751</v>
      </c>
      <c r="AJ2676" s="5" t="s">
        <v>139</v>
      </c>
      <c r="AK2676" s="2">
        <v>0.63373257794821303</v>
      </c>
      <c r="AL2676" s="2">
        <v>0.820119264563689</v>
      </c>
      <c r="AM2676" s="2">
        <v>28371.475708331898</v>
      </c>
      <c r="AN2676" s="2">
        <v>25060.839774032102</v>
      </c>
      <c r="AO2676" s="2">
        <v>11823.2413858163</v>
      </c>
      <c r="AP2676" s="2">
        <v>9365.4102611117705</v>
      </c>
      <c r="AQ2676" s="2">
        <v>19967.869794663002</v>
      </c>
      <c r="AR2676" s="2">
        <v>13390.5311041928</v>
      </c>
      <c r="AS2676" s="2">
        <v>18842.4242670038</v>
      </c>
      <c r="AT2676" s="2">
        <v>23816.239847958499</v>
      </c>
      <c r="AU2676" s="2">
        <v>7948.0202600542298</v>
      </c>
      <c r="AV2676" s="2">
        <v>16667.655414941699</v>
      </c>
      <c r="AW2676" s="2">
        <v>6580.6606854781103</v>
      </c>
      <c r="AX2676" s="2">
        <v>21513.642039337399</v>
      </c>
    </row>
    <row r="2677" spans="1:50" x14ac:dyDescent="0.25">
      <c r="A2677" s="2" t="s">
        <v>17961</v>
      </c>
      <c r="B2677" s="2">
        <v>463.31037706531902</v>
      </c>
      <c r="C2677" s="2">
        <v>15.0309333333333</v>
      </c>
      <c r="D2677" s="2" t="s">
        <v>51</v>
      </c>
      <c r="E2677" s="2" t="s">
        <v>17962</v>
      </c>
      <c r="F2677" s="2">
        <v>206047</v>
      </c>
      <c r="G2677" s="3" t="str">
        <f>HYPERLINK("https://cloud.oebiotech.com/#/lm/network/206047", "https://cloud.oebiotech.com/#/lm/network/206047")</f>
        <v>https://cloud.oebiotech.com/#/lm/network/206047</v>
      </c>
      <c r="H2677" s="2" t="s">
        <v>17963</v>
      </c>
      <c r="I2677" s="2">
        <v>319692</v>
      </c>
      <c r="J2677" s="2"/>
      <c r="K2677" s="2">
        <v>6787</v>
      </c>
      <c r="L2677" s="2"/>
      <c r="M2677" s="2"/>
      <c r="N2677" s="2"/>
      <c r="O2677" s="2"/>
      <c r="P2677" s="2"/>
      <c r="Q2677" s="2"/>
      <c r="R2677" s="2"/>
      <c r="S2677" s="2" t="s">
        <v>17964</v>
      </c>
      <c r="T2677" s="2" t="s">
        <v>17965</v>
      </c>
      <c r="U2677" s="2" t="s">
        <v>610</v>
      </c>
      <c r="V2677" s="2" t="s">
        <v>611</v>
      </c>
      <c r="W2677" s="2" t="s">
        <v>1122</v>
      </c>
      <c r="X2677" s="2" t="s">
        <v>83</v>
      </c>
      <c r="Y2677" s="2">
        <v>42.2</v>
      </c>
      <c r="Z2677" s="2">
        <v>0</v>
      </c>
      <c r="AA2677" s="2" t="s">
        <v>218</v>
      </c>
      <c r="AB2677" s="2" t="s">
        <v>1750</v>
      </c>
      <c r="AC2677" s="2">
        <v>9.2380907781291004</v>
      </c>
      <c r="AD2677" s="2"/>
      <c r="AE2677" s="2">
        <v>0.23314479606057101</v>
      </c>
      <c r="AF2677" s="2">
        <v>9040.2878825921398</v>
      </c>
      <c r="AG2677" s="2">
        <v>11088.514800009199</v>
      </c>
      <c r="AH2677" s="4">
        <v>0.81528392626437296</v>
      </c>
      <c r="AI2677" s="4">
        <v>-0.294625523053484</v>
      </c>
      <c r="AJ2677" s="4" t="s">
        <v>62</v>
      </c>
      <c r="AK2677" s="2">
        <v>0.14306083592723801</v>
      </c>
      <c r="AL2677" s="2">
        <v>0.46565360904605901</v>
      </c>
      <c r="AM2677" s="2">
        <v>7217.5280800294404</v>
      </c>
      <c r="AN2677" s="2">
        <v>8013.0324474393701</v>
      </c>
      <c r="AO2677" s="2">
        <v>9275.6128936093792</v>
      </c>
      <c r="AP2677" s="2">
        <v>9218.6507684850803</v>
      </c>
      <c r="AQ2677" s="2">
        <v>10725.475630036901</v>
      </c>
      <c r="AR2677" s="2">
        <v>9791.4274759526797</v>
      </c>
      <c r="AS2677" s="2">
        <v>14326.914532746299</v>
      </c>
      <c r="AT2677" s="2">
        <v>14675.9156156963</v>
      </c>
      <c r="AU2677" s="2">
        <v>10048.8823506647</v>
      </c>
      <c r="AV2677" s="2">
        <v>10937.1678600832</v>
      </c>
      <c r="AW2677" s="2">
        <v>9170.4644397555694</v>
      </c>
      <c r="AX2677" s="2">
        <v>7371.7440011094104</v>
      </c>
    </row>
    <row r="2678" spans="1:50" x14ac:dyDescent="0.25">
      <c r="A2678" s="2" t="s">
        <v>17966</v>
      </c>
      <c r="B2678" s="2">
        <v>299.16263481675497</v>
      </c>
      <c r="C2678" s="2">
        <v>7.0347166666666698</v>
      </c>
      <c r="D2678" s="2" t="s">
        <v>51</v>
      </c>
      <c r="E2678" s="2" t="s">
        <v>17967</v>
      </c>
      <c r="F2678" s="2">
        <v>1708</v>
      </c>
      <c r="G2678" s="3" t="str">
        <f>HYPERLINK("https://cloud.oebiotech.com/#/lm/network/1708", "https://cloud.oebiotech.com/#/lm/network/1708")</f>
        <v>https://cloud.oebiotech.com/#/lm/network/1708</v>
      </c>
      <c r="H2678" s="2"/>
      <c r="I2678" s="2">
        <v>35458</v>
      </c>
      <c r="J2678" s="2" t="s">
        <v>17968</v>
      </c>
      <c r="K2678" s="2">
        <v>5282923</v>
      </c>
      <c r="L2678" s="2"/>
      <c r="M2678" s="2"/>
      <c r="N2678" s="2"/>
      <c r="O2678" s="2"/>
      <c r="P2678" s="2"/>
      <c r="Q2678" s="2"/>
      <c r="R2678" s="2"/>
      <c r="S2678" s="2" t="s">
        <v>17969</v>
      </c>
      <c r="T2678" s="2" t="s">
        <v>17970</v>
      </c>
      <c r="U2678" s="2" t="s">
        <v>56</v>
      </c>
      <c r="V2678" s="2" t="s">
        <v>145</v>
      </c>
      <c r="W2678" s="2" t="s">
        <v>231</v>
      </c>
      <c r="X2678" s="2" t="s">
        <v>147</v>
      </c>
      <c r="Y2678" s="2">
        <v>38.4</v>
      </c>
      <c r="Z2678" s="2">
        <v>0</v>
      </c>
      <c r="AA2678" s="2" t="s">
        <v>395</v>
      </c>
      <c r="AB2678" s="2" t="s">
        <v>4323</v>
      </c>
      <c r="AC2678" s="2">
        <v>2.7569714657711799</v>
      </c>
      <c r="AD2678" s="2"/>
      <c r="AE2678" s="2">
        <v>0.23292360301118301</v>
      </c>
      <c r="AF2678" s="2">
        <v>1664.6008097573799</v>
      </c>
      <c r="AG2678" s="2">
        <v>407.07303408756297</v>
      </c>
      <c r="AH2678" s="5">
        <v>4.0891944942718101</v>
      </c>
      <c r="AI2678" s="5">
        <v>2.0318166833701099</v>
      </c>
      <c r="AJ2678" s="5" t="s">
        <v>139</v>
      </c>
      <c r="AK2678" s="2">
        <v>8.3774507537683604E-2</v>
      </c>
      <c r="AL2678" s="2">
        <v>0.37452503859279201</v>
      </c>
      <c r="AM2678" s="2">
        <v>4717.5048831989498</v>
      </c>
      <c r="AN2678" s="2">
        <v>1167.89408126427</v>
      </c>
      <c r="AO2678" s="2">
        <v>681.27422248896301</v>
      </c>
      <c r="AP2678" s="2">
        <v>1446.50994949611</v>
      </c>
      <c r="AQ2678" s="2">
        <v>387.30961689486497</v>
      </c>
      <c r="AR2678" s="2">
        <v>1587.1121052011499</v>
      </c>
      <c r="AS2678" s="2">
        <v>543.92605698819204</v>
      </c>
      <c r="AT2678" s="2">
        <v>522.74572265573102</v>
      </c>
      <c r="AU2678" s="2">
        <v>938.67286682720101</v>
      </c>
      <c r="AV2678" s="2">
        <v>8.559877937157E-6</v>
      </c>
      <c r="AW2678" s="2">
        <v>8.559877937157E-6</v>
      </c>
      <c r="AX2678" s="2">
        <v>437.09354093450003</v>
      </c>
    </row>
    <row r="2679" spans="1:50" x14ac:dyDescent="0.25">
      <c r="A2679" s="2" t="s">
        <v>17971</v>
      </c>
      <c r="B2679" s="2">
        <v>335.08268605625801</v>
      </c>
      <c r="C2679" s="2">
        <v>4.8935333333333304</v>
      </c>
      <c r="D2679" s="2" t="s">
        <v>51</v>
      </c>
      <c r="E2679" s="2" t="s">
        <v>17972</v>
      </c>
      <c r="F2679" s="2">
        <v>54001</v>
      </c>
      <c r="G2679" s="3" t="str">
        <f>HYPERLINK("https://cloud.oebiotech.com/#/lm/network/54001", "https://cloud.oebiotech.com/#/lm/network/54001")</f>
        <v>https://cloud.oebiotech.com/#/lm/network/54001</v>
      </c>
      <c r="H2679" s="2" t="s">
        <v>17973</v>
      </c>
      <c r="I2679" s="2"/>
      <c r="J2679" s="2"/>
      <c r="K2679" s="2">
        <v>100048</v>
      </c>
      <c r="L2679" s="2"/>
      <c r="M2679" s="2"/>
      <c r="N2679" s="2"/>
      <c r="O2679" s="2"/>
      <c r="P2679" s="2"/>
      <c r="Q2679" s="2"/>
      <c r="R2679" s="2"/>
      <c r="S2679" s="2" t="s">
        <v>17974</v>
      </c>
      <c r="T2679" s="2" t="s">
        <v>17975</v>
      </c>
      <c r="U2679" s="2" t="s">
        <v>103</v>
      </c>
      <c r="V2679" s="2" t="s">
        <v>104</v>
      </c>
      <c r="W2679" s="2" t="s">
        <v>105</v>
      </c>
      <c r="X2679" s="2" t="s">
        <v>147</v>
      </c>
      <c r="Y2679" s="2">
        <v>38.700000000000003</v>
      </c>
      <c r="Z2679" s="2">
        <v>0</v>
      </c>
      <c r="AA2679" s="2" t="s">
        <v>395</v>
      </c>
      <c r="AB2679" s="2" t="s">
        <v>17976</v>
      </c>
      <c r="AC2679" s="2">
        <v>0.21770462769062399</v>
      </c>
      <c r="AD2679" s="2"/>
      <c r="AE2679" s="2">
        <v>0.232870569493526</v>
      </c>
      <c r="AF2679" s="2">
        <v>524.76339967835202</v>
      </c>
      <c r="AG2679" s="2">
        <v>2189.3541987004401</v>
      </c>
      <c r="AH2679" s="4">
        <v>0.239688671659361</v>
      </c>
      <c r="AI2679" s="4">
        <v>-2.0607663699932299</v>
      </c>
      <c r="AJ2679" s="4" t="s">
        <v>62</v>
      </c>
      <c r="AK2679" s="2">
        <v>4.9003197071059899E-2</v>
      </c>
      <c r="AL2679" s="2">
        <v>0.30691247078395001</v>
      </c>
      <c r="AM2679" s="2">
        <v>738.08492031472599</v>
      </c>
      <c r="AN2679" s="2">
        <v>349.73807912285503</v>
      </c>
      <c r="AO2679" s="2">
        <v>537.92831437412099</v>
      </c>
      <c r="AP2679" s="2">
        <v>8.559877937157E-6</v>
      </c>
      <c r="AQ2679" s="2">
        <v>251.15704019194399</v>
      </c>
      <c r="AR2679" s="2">
        <v>1271.67203550659</v>
      </c>
      <c r="AS2679" s="2">
        <v>1121.1796372504</v>
      </c>
      <c r="AT2679" s="2">
        <v>1255.9751286558501</v>
      </c>
      <c r="AU2679" s="2">
        <v>2866.2637819219999</v>
      </c>
      <c r="AV2679" s="2">
        <v>2030.31347844162</v>
      </c>
      <c r="AW2679" s="2">
        <v>5379.2465494869302</v>
      </c>
      <c r="AX2679" s="2">
        <v>483.14661644582998</v>
      </c>
    </row>
    <row r="2680" spans="1:50" x14ac:dyDescent="0.25">
      <c r="A2680" s="2" t="s">
        <v>17977</v>
      </c>
      <c r="B2680" s="2">
        <v>370.24494191746902</v>
      </c>
      <c r="C2680" s="2">
        <v>4.5462333333333298</v>
      </c>
      <c r="D2680" s="2" t="s">
        <v>51</v>
      </c>
      <c r="E2680" s="2" t="s">
        <v>17978</v>
      </c>
      <c r="F2680" s="2">
        <v>210523</v>
      </c>
      <c r="G2680" s="3" t="str">
        <f>HYPERLINK("https://cloud.oebiotech.com/#/lm/network/210523", "https://cloud.oebiotech.com/#/lm/network/210523")</f>
        <v>https://cloud.oebiotech.com/#/lm/network/210523</v>
      </c>
      <c r="H2680" s="2" t="s">
        <v>17979</v>
      </c>
      <c r="I2680" s="2"/>
      <c r="J2680" s="2"/>
      <c r="K2680" s="2">
        <v>9841481</v>
      </c>
      <c r="L2680" s="2"/>
      <c r="M2680" s="2"/>
      <c r="N2680" s="2"/>
      <c r="O2680" s="2"/>
      <c r="P2680" s="2"/>
      <c r="Q2680" s="2"/>
      <c r="R2680" s="2"/>
      <c r="S2680" s="2" t="s">
        <v>17980</v>
      </c>
      <c r="T2680" s="2" t="s">
        <v>17981</v>
      </c>
      <c r="U2680" s="2" t="s">
        <v>103</v>
      </c>
      <c r="V2680" s="2" t="s">
        <v>104</v>
      </c>
      <c r="W2680" s="2" t="s">
        <v>105</v>
      </c>
      <c r="X2680" s="2" t="s">
        <v>147</v>
      </c>
      <c r="Y2680" s="2">
        <v>44.8</v>
      </c>
      <c r="Z2680" s="2">
        <v>34.700000000000003</v>
      </c>
      <c r="AA2680" s="2" t="s">
        <v>512</v>
      </c>
      <c r="AB2680" s="2" t="s">
        <v>17982</v>
      </c>
      <c r="AC2680" s="2">
        <v>0.17316909183606399</v>
      </c>
      <c r="AD2680" s="2"/>
      <c r="AE2680" s="2">
        <v>0.23281404706780401</v>
      </c>
      <c r="AF2680" s="2">
        <v>3051.7364570126601</v>
      </c>
      <c r="AG2680" s="2">
        <v>1785.5371734872499</v>
      </c>
      <c r="AH2680" s="5">
        <v>1.70914193349022</v>
      </c>
      <c r="AI2680" s="5">
        <v>0.77327220874017899</v>
      </c>
      <c r="AJ2680" s="5" t="s">
        <v>139</v>
      </c>
      <c r="AK2680" s="2">
        <v>1.6926269854097099E-2</v>
      </c>
      <c r="AL2680" s="2">
        <v>0.205950846806881</v>
      </c>
      <c r="AM2680" s="2">
        <v>3259.1421714609701</v>
      </c>
      <c r="AN2680" s="2">
        <v>2804.6094203305602</v>
      </c>
      <c r="AO2680" s="2">
        <v>3413.2760468955398</v>
      </c>
      <c r="AP2680" s="2">
        <v>3505.6948500112999</v>
      </c>
      <c r="AQ2680" s="2">
        <v>1995.55280683144</v>
      </c>
      <c r="AR2680" s="2">
        <v>3332.1434465461698</v>
      </c>
      <c r="AS2680" s="2">
        <v>2268.7765714211</v>
      </c>
      <c r="AT2680" s="2">
        <v>2691.4583151562902</v>
      </c>
      <c r="AU2680" s="2">
        <v>2260.2124451242498</v>
      </c>
      <c r="AV2680" s="2">
        <v>352.95525299939197</v>
      </c>
      <c r="AW2680" s="2">
        <v>2208.6749532025901</v>
      </c>
      <c r="AX2680" s="2">
        <v>931.14550301986401</v>
      </c>
    </row>
    <row r="2681" spans="1:50" x14ac:dyDescent="0.25">
      <c r="A2681" s="2" t="s">
        <v>17983</v>
      </c>
      <c r="B2681" s="2">
        <v>326.21818964488699</v>
      </c>
      <c r="C2681" s="2">
        <v>4.3619500000000002</v>
      </c>
      <c r="D2681" s="2" t="s">
        <v>51</v>
      </c>
      <c r="E2681" s="2" t="s">
        <v>17984</v>
      </c>
      <c r="F2681" s="2">
        <v>54328</v>
      </c>
      <c r="G2681" s="3" t="str">
        <f>HYPERLINK("https://cloud.oebiotech.com/#/lm/network/54328", "https://cloud.oebiotech.com/#/lm/network/54328")</f>
        <v>https://cloud.oebiotech.com/#/lm/network/54328</v>
      </c>
      <c r="H2681" s="2" t="s">
        <v>17985</v>
      </c>
      <c r="I2681" s="2">
        <v>86223</v>
      </c>
      <c r="J2681" s="2"/>
      <c r="K2681" s="2">
        <v>14213498</v>
      </c>
      <c r="L2681" s="2"/>
      <c r="M2681" s="2"/>
      <c r="N2681" s="2"/>
      <c r="O2681" s="2">
        <v>168463</v>
      </c>
      <c r="P2681" s="2"/>
      <c r="Q2681" s="2"/>
      <c r="R2681" s="2" t="s">
        <v>17986</v>
      </c>
      <c r="S2681" s="2" t="s">
        <v>17987</v>
      </c>
      <c r="T2681" s="2" t="s">
        <v>17988</v>
      </c>
      <c r="U2681" s="2" t="s">
        <v>56</v>
      </c>
      <c r="V2681" s="2" t="s">
        <v>145</v>
      </c>
      <c r="W2681" s="2" t="s">
        <v>3263</v>
      </c>
      <c r="X2681" s="2" t="s">
        <v>147</v>
      </c>
      <c r="Y2681" s="2">
        <v>36.700000000000003</v>
      </c>
      <c r="Z2681" s="2">
        <v>1.05</v>
      </c>
      <c r="AA2681" s="2" t="s">
        <v>512</v>
      </c>
      <c r="AB2681" s="2" t="s">
        <v>17989</v>
      </c>
      <c r="AC2681" s="2">
        <v>2.79340067817812</v>
      </c>
      <c r="AD2681" s="2"/>
      <c r="AE2681" s="2">
        <v>0.232794479723506</v>
      </c>
      <c r="AF2681" s="2">
        <v>3824.8882877187398</v>
      </c>
      <c r="AG2681" s="2">
        <v>2317.03219937837</v>
      </c>
      <c r="AH2681" s="5">
        <v>1.6507704505552001</v>
      </c>
      <c r="AI2681" s="5">
        <v>0.72313951887615802</v>
      </c>
      <c r="AJ2681" s="5" t="s">
        <v>139</v>
      </c>
      <c r="AK2681" s="2">
        <v>7.9707239524913501E-2</v>
      </c>
      <c r="AL2681" s="2">
        <v>0.36520736260394099</v>
      </c>
      <c r="AM2681" s="2">
        <v>3179.6330168333998</v>
      </c>
      <c r="AN2681" s="2">
        <v>4265.3392766349398</v>
      </c>
      <c r="AO2681" s="2">
        <v>4707.2866452552798</v>
      </c>
      <c r="AP2681" s="2">
        <v>4460.0691653429203</v>
      </c>
      <c r="AQ2681" s="2">
        <v>2609.6198062123399</v>
      </c>
      <c r="AR2681" s="2">
        <v>3727.38181603356</v>
      </c>
      <c r="AS2681" s="2">
        <v>3532.7942467726898</v>
      </c>
      <c r="AT2681" s="2">
        <v>4457.45070979923</v>
      </c>
      <c r="AU2681" s="2">
        <v>2980.5680338530801</v>
      </c>
      <c r="AV2681" s="2">
        <v>8.559877937157E-6</v>
      </c>
      <c r="AW2681" s="2">
        <v>648.554261922602</v>
      </c>
      <c r="AX2681" s="2">
        <v>2282.82593536271</v>
      </c>
    </row>
    <row r="2682" spans="1:50" x14ac:dyDescent="0.25">
      <c r="A2682" s="2" t="s">
        <v>17990</v>
      </c>
      <c r="B2682" s="2">
        <v>600.27699559972905</v>
      </c>
      <c r="C2682" s="2">
        <v>7.3330166666666701</v>
      </c>
      <c r="D2682" s="2" t="s">
        <v>51</v>
      </c>
      <c r="E2682" s="2" t="s">
        <v>17991</v>
      </c>
      <c r="F2682" s="2">
        <v>207350</v>
      </c>
      <c r="G2682" s="3" t="str">
        <f>HYPERLINK("https://cloud.oebiotech.com/#/lm/network/207350", "https://cloud.oebiotech.com/#/lm/network/207350")</f>
        <v>https://cloud.oebiotech.com/#/lm/network/207350</v>
      </c>
      <c r="H2682" s="2" t="s">
        <v>17992</v>
      </c>
      <c r="I2682" s="2"/>
      <c r="J2682" s="2"/>
      <c r="K2682" s="2">
        <v>14796483</v>
      </c>
      <c r="L2682" s="2"/>
      <c r="M2682" s="2"/>
      <c r="N2682" s="2"/>
      <c r="O2682" s="2"/>
      <c r="P2682" s="2"/>
      <c r="Q2682" s="2"/>
      <c r="R2682" s="2"/>
      <c r="S2682" s="2" t="s">
        <v>17993</v>
      </c>
      <c r="T2682" s="2" t="s">
        <v>17994</v>
      </c>
      <c r="U2682" s="2" t="s">
        <v>103</v>
      </c>
      <c r="V2682" s="2" t="s">
        <v>104</v>
      </c>
      <c r="W2682" s="2" t="s">
        <v>105</v>
      </c>
      <c r="X2682" s="2" t="s">
        <v>147</v>
      </c>
      <c r="Y2682" s="2">
        <v>37.799999999999997</v>
      </c>
      <c r="Z2682" s="2">
        <v>0.94399999999999995</v>
      </c>
      <c r="AA2682" s="2" t="s">
        <v>163</v>
      </c>
      <c r="AB2682" s="2" t="s">
        <v>17995</v>
      </c>
      <c r="AC2682" s="2">
        <v>3.7977891286952898</v>
      </c>
      <c r="AD2682" s="2"/>
      <c r="AE2682" s="2">
        <v>0.232719352171504</v>
      </c>
      <c r="AF2682" s="2">
        <v>549.39188276674804</v>
      </c>
      <c r="AG2682" s="2">
        <v>2499.0100094291201</v>
      </c>
      <c r="AH2682" s="4">
        <v>0.21984381042645501</v>
      </c>
      <c r="AI2682" s="4">
        <v>-2.1854491799977702</v>
      </c>
      <c r="AJ2682" s="4" t="s">
        <v>62</v>
      </c>
      <c r="AK2682" s="2">
        <v>0.146607874956971</v>
      </c>
      <c r="AL2682" s="2">
        <v>0.46813495501649</v>
      </c>
      <c r="AM2682" s="2">
        <v>8.559877937157E-6</v>
      </c>
      <c r="AN2682" s="2">
        <v>636.25909204260495</v>
      </c>
      <c r="AO2682" s="2">
        <v>8.559877937157E-6</v>
      </c>
      <c r="AP2682" s="2">
        <v>2073.7646846584298</v>
      </c>
      <c r="AQ2682" s="2">
        <v>345.23597661304899</v>
      </c>
      <c r="AR2682" s="2">
        <v>241.09152616664801</v>
      </c>
      <c r="AS2682" s="2">
        <v>8.559877937157E-6</v>
      </c>
      <c r="AT2682" s="2">
        <v>704.40342935891897</v>
      </c>
      <c r="AU2682" s="2">
        <v>5000.9575399328596</v>
      </c>
      <c r="AV2682" s="2">
        <v>7270.1788687115204</v>
      </c>
      <c r="AW2682" s="2">
        <v>871.15827155145803</v>
      </c>
      <c r="AX2682" s="2">
        <v>1147.36193846009</v>
      </c>
    </row>
    <row r="2683" spans="1:50" x14ac:dyDescent="0.25">
      <c r="A2683" s="2" t="s">
        <v>17996</v>
      </c>
      <c r="B2683" s="2">
        <v>247.133749207709</v>
      </c>
      <c r="C2683" s="2">
        <v>10.078099999999999</v>
      </c>
      <c r="D2683" s="2" t="s">
        <v>51</v>
      </c>
      <c r="E2683" s="2" t="s">
        <v>17997</v>
      </c>
      <c r="F2683" s="2">
        <v>210177</v>
      </c>
      <c r="G2683" s="3" t="str">
        <f>HYPERLINK("https://cloud.oebiotech.com/#/lm/network/210177", "https://cloud.oebiotech.com/#/lm/network/210177")</f>
        <v>https://cloud.oebiotech.com/#/lm/network/210177</v>
      </c>
      <c r="H2683" s="2" t="s">
        <v>17998</v>
      </c>
      <c r="I2683" s="2"/>
      <c r="J2683" s="2"/>
      <c r="K2683" s="2">
        <v>339385</v>
      </c>
      <c r="L2683" s="2"/>
      <c r="M2683" s="2"/>
      <c r="N2683" s="2"/>
      <c r="O2683" s="2"/>
      <c r="P2683" s="2"/>
      <c r="Q2683" s="2"/>
      <c r="R2683" s="2"/>
      <c r="S2683" s="2" t="s">
        <v>17999</v>
      </c>
      <c r="T2683" s="2" t="s">
        <v>18000</v>
      </c>
      <c r="U2683" s="2" t="s">
        <v>56</v>
      </c>
      <c r="V2683" s="2" t="s">
        <v>177</v>
      </c>
      <c r="W2683" s="2" t="s">
        <v>1996</v>
      </c>
      <c r="X2683" s="2" t="s">
        <v>83</v>
      </c>
      <c r="Y2683" s="2">
        <v>45.2</v>
      </c>
      <c r="Z2683" s="2">
        <v>0</v>
      </c>
      <c r="AA2683" s="2" t="s">
        <v>163</v>
      </c>
      <c r="AB2683" s="2" t="s">
        <v>18001</v>
      </c>
      <c r="AC2683" s="2">
        <v>-0.881999168957049</v>
      </c>
      <c r="AD2683" s="2"/>
      <c r="AE2683" s="2">
        <v>0.23255399853592501</v>
      </c>
      <c r="AF2683" s="2">
        <v>1716.1382568589599</v>
      </c>
      <c r="AG2683" s="2">
        <v>499.54199804613302</v>
      </c>
      <c r="AH2683" s="5">
        <v>3.4354233749541101</v>
      </c>
      <c r="AI2683" s="5">
        <v>1.78048790495552</v>
      </c>
      <c r="AJ2683" s="5" t="s">
        <v>139</v>
      </c>
      <c r="AK2683" s="2">
        <v>1.4338843093131499E-2</v>
      </c>
      <c r="AL2683" s="2">
        <v>0.19002167733018299</v>
      </c>
      <c r="AM2683" s="2">
        <v>2405.5488318385901</v>
      </c>
      <c r="AN2683" s="2">
        <v>2780.7732310831302</v>
      </c>
      <c r="AO2683" s="2">
        <v>783.69291470331302</v>
      </c>
      <c r="AP2683" s="2">
        <v>1393.7402995771499</v>
      </c>
      <c r="AQ2683" s="2">
        <v>631.73884618698298</v>
      </c>
      <c r="AR2683" s="2">
        <v>2301.3354177646202</v>
      </c>
      <c r="AS2683" s="2">
        <v>1126.44010186938</v>
      </c>
      <c r="AT2683" s="2">
        <v>468.88607854781901</v>
      </c>
      <c r="AU2683" s="2">
        <v>714.38272718878397</v>
      </c>
      <c r="AV2683" s="2">
        <v>8.559877937157E-6</v>
      </c>
      <c r="AW2683" s="2">
        <v>8.559877937157E-6</v>
      </c>
      <c r="AX2683" s="2">
        <v>687.54306355105803</v>
      </c>
    </row>
    <row r="2684" spans="1:50" x14ac:dyDescent="0.25">
      <c r="A2684" s="2" t="s">
        <v>18002</v>
      </c>
      <c r="B2684" s="2">
        <v>335.03385097904601</v>
      </c>
      <c r="C2684" s="2">
        <v>4.5102333333333302</v>
      </c>
      <c r="D2684" s="2" t="s">
        <v>51</v>
      </c>
      <c r="E2684" s="2" t="s">
        <v>18003</v>
      </c>
      <c r="F2684" s="2">
        <v>200968</v>
      </c>
      <c r="G2684" s="3" t="str">
        <f>HYPERLINK("https://cloud.oebiotech.com/#/lm/network/200968", "https://cloud.oebiotech.com/#/lm/network/200968")</f>
        <v>https://cloud.oebiotech.com/#/lm/network/200968</v>
      </c>
      <c r="H2684" s="2" t="s">
        <v>18004</v>
      </c>
      <c r="I2684" s="2"/>
      <c r="J2684" s="2"/>
      <c r="K2684" s="2">
        <v>9798663</v>
      </c>
      <c r="L2684" s="2"/>
      <c r="M2684" s="2"/>
      <c r="N2684" s="2"/>
      <c r="O2684" s="2"/>
      <c r="P2684" s="2"/>
      <c r="Q2684" s="2"/>
      <c r="R2684" s="2"/>
      <c r="S2684" s="2" t="s">
        <v>18005</v>
      </c>
      <c r="T2684" s="2" t="s">
        <v>18006</v>
      </c>
      <c r="U2684" s="2" t="s">
        <v>540</v>
      </c>
      <c r="V2684" s="2" t="s">
        <v>10873</v>
      </c>
      <c r="W2684" s="2" t="s">
        <v>18007</v>
      </c>
      <c r="X2684" s="2" t="s">
        <v>147</v>
      </c>
      <c r="Y2684" s="2">
        <v>36.799999999999997</v>
      </c>
      <c r="Z2684" s="2">
        <v>0</v>
      </c>
      <c r="AA2684" s="2" t="s">
        <v>379</v>
      </c>
      <c r="AB2684" s="2" t="s">
        <v>18008</v>
      </c>
      <c r="AC2684" s="2">
        <v>3.49676579026504</v>
      </c>
      <c r="AD2684" s="2"/>
      <c r="AE2684" s="2">
        <v>0.23248000896896101</v>
      </c>
      <c r="AF2684" s="2">
        <v>4797.5368945515202</v>
      </c>
      <c r="AG2684" s="2">
        <v>2720.7609287499999</v>
      </c>
      <c r="AH2684" s="5">
        <v>1.7633070380629301</v>
      </c>
      <c r="AI2684" s="5">
        <v>0.81828370762623603</v>
      </c>
      <c r="AJ2684" s="5" t="s">
        <v>139</v>
      </c>
      <c r="AK2684" s="2">
        <v>8.1831082461796101E-2</v>
      </c>
      <c r="AL2684" s="2">
        <v>0.36979659145315502</v>
      </c>
      <c r="AM2684" s="2">
        <v>5079.4881914863799</v>
      </c>
      <c r="AN2684" s="2">
        <v>2878.12772962286</v>
      </c>
      <c r="AO2684" s="2">
        <v>3071.5039305923601</v>
      </c>
      <c r="AP2684" s="2">
        <v>8893.9641065982905</v>
      </c>
      <c r="AQ2684" s="2">
        <v>5986.2748597560403</v>
      </c>
      <c r="AR2684" s="2">
        <v>2875.8625492531901</v>
      </c>
      <c r="AS2684" s="2">
        <v>2267.3175791645899</v>
      </c>
      <c r="AT2684" s="2">
        <v>4659.6506036112796</v>
      </c>
      <c r="AU2684" s="2">
        <v>3021.5981711355498</v>
      </c>
      <c r="AV2684" s="2">
        <v>2789.19784782734</v>
      </c>
      <c r="AW2684" s="2">
        <v>2082.98727268227</v>
      </c>
      <c r="AX2684" s="2">
        <v>1503.8140980789899</v>
      </c>
    </row>
    <row r="2685" spans="1:50" x14ac:dyDescent="0.25">
      <c r="A2685" s="2" t="s">
        <v>18009</v>
      </c>
      <c r="B2685" s="2">
        <v>243.06199498056299</v>
      </c>
      <c r="C2685" s="2">
        <v>0.74113333333333298</v>
      </c>
      <c r="D2685" s="2" t="s">
        <v>51</v>
      </c>
      <c r="E2685" s="2" t="s">
        <v>18010</v>
      </c>
      <c r="F2685" s="2">
        <v>211587</v>
      </c>
      <c r="G2685" s="3" t="str">
        <f>HYPERLINK("https://cloud.oebiotech.com/#/lm/network/211587", "https://cloud.oebiotech.com/#/lm/network/211587")</f>
        <v>https://cloud.oebiotech.com/#/lm/network/211587</v>
      </c>
      <c r="H2685" s="2" t="s">
        <v>18011</v>
      </c>
      <c r="I2685" s="2"/>
      <c r="J2685" s="2"/>
      <c r="K2685" s="2"/>
      <c r="L2685" s="2"/>
      <c r="M2685" s="2"/>
      <c r="N2685" s="2"/>
      <c r="O2685" s="2"/>
      <c r="P2685" s="2"/>
      <c r="Q2685" s="2"/>
      <c r="R2685" s="2"/>
      <c r="S2685" s="2" t="s">
        <v>18012</v>
      </c>
      <c r="T2685" s="2" t="s">
        <v>18013</v>
      </c>
      <c r="U2685" s="2" t="s">
        <v>331</v>
      </c>
      <c r="V2685" s="2" t="s">
        <v>332</v>
      </c>
      <c r="W2685" s="2" t="s">
        <v>333</v>
      </c>
      <c r="X2685" s="2" t="s">
        <v>69</v>
      </c>
      <c r="Y2685" s="2">
        <v>49</v>
      </c>
      <c r="Z2685" s="2">
        <v>47.2</v>
      </c>
      <c r="AA2685" s="2" t="s">
        <v>163</v>
      </c>
      <c r="AB2685" s="2" t="s">
        <v>13553</v>
      </c>
      <c r="AC2685" s="2">
        <v>-1.08452386834027</v>
      </c>
      <c r="AD2685" s="2"/>
      <c r="AE2685" s="2">
        <v>0.23244392956292301</v>
      </c>
      <c r="AF2685" s="2">
        <v>66694.444201977603</v>
      </c>
      <c r="AG2685" s="2">
        <v>72222.281824046702</v>
      </c>
      <c r="AH2685" s="4">
        <v>0.92346077301273299</v>
      </c>
      <c r="AI2685" s="4">
        <v>-0.11487741552259299</v>
      </c>
      <c r="AJ2685" s="4" t="s">
        <v>62</v>
      </c>
      <c r="AK2685" s="2">
        <v>0.48911403468657</v>
      </c>
      <c r="AL2685" s="2">
        <v>0.73154848154225005</v>
      </c>
      <c r="AM2685" s="2">
        <v>53617.981955014096</v>
      </c>
      <c r="AN2685" s="2">
        <v>76089.7070525788</v>
      </c>
      <c r="AO2685" s="2">
        <v>59724.620214270602</v>
      </c>
      <c r="AP2685" s="2">
        <v>49138.225685225698</v>
      </c>
      <c r="AQ2685" s="2">
        <v>86995.207697277598</v>
      </c>
      <c r="AR2685" s="2">
        <v>74600.922607498898</v>
      </c>
      <c r="AS2685" s="2">
        <v>72753.988356168702</v>
      </c>
      <c r="AT2685" s="2">
        <v>90803.072711682602</v>
      </c>
      <c r="AU2685" s="2">
        <v>65634.815356572901</v>
      </c>
      <c r="AV2685" s="2">
        <v>58434.545171399397</v>
      </c>
      <c r="AW2685" s="2">
        <v>65537.931135532694</v>
      </c>
      <c r="AX2685" s="2">
        <v>80169.338212923802</v>
      </c>
    </row>
    <row r="2686" spans="1:50" x14ac:dyDescent="0.25">
      <c r="A2686" s="2" t="s">
        <v>18014</v>
      </c>
      <c r="B2686" s="2">
        <v>719.31128948395201</v>
      </c>
      <c r="C2686" s="2">
        <v>11.1512666666667</v>
      </c>
      <c r="D2686" s="2" t="s">
        <v>51</v>
      </c>
      <c r="E2686" s="2" t="s">
        <v>18015</v>
      </c>
      <c r="F2686" s="2">
        <v>56992</v>
      </c>
      <c r="G2686" s="3" t="str">
        <f>HYPERLINK("https://cloud.oebiotech.com/#/lm/network/56992", "https://cloud.oebiotech.com/#/lm/network/56992")</f>
        <v>https://cloud.oebiotech.com/#/lm/network/56992</v>
      </c>
      <c r="H2686" s="2" t="s">
        <v>18016</v>
      </c>
      <c r="I2686" s="2">
        <v>88647</v>
      </c>
      <c r="J2686" s="2"/>
      <c r="K2686" s="2">
        <v>100927765</v>
      </c>
      <c r="L2686" s="2"/>
      <c r="M2686" s="2"/>
      <c r="N2686" s="2"/>
      <c r="O2686" s="2">
        <v>175626</v>
      </c>
      <c r="P2686" s="2"/>
      <c r="Q2686" s="2"/>
      <c r="R2686" s="2"/>
      <c r="S2686" s="2" t="s">
        <v>18017</v>
      </c>
      <c r="T2686" s="2" t="s">
        <v>18018</v>
      </c>
      <c r="U2686" s="2" t="s">
        <v>610</v>
      </c>
      <c r="V2686" s="2" t="s">
        <v>611</v>
      </c>
      <c r="W2686" s="2" t="s">
        <v>4746</v>
      </c>
      <c r="X2686" s="2" t="s">
        <v>147</v>
      </c>
      <c r="Y2686" s="2">
        <v>38</v>
      </c>
      <c r="Z2686" s="2">
        <v>0</v>
      </c>
      <c r="AA2686" s="2" t="s">
        <v>478</v>
      </c>
      <c r="AB2686" s="2" t="s">
        <v>18019</v>
      </c>
      <c r="AC2686" s="2">
        <v>1.82435795921513</v>
      </c>
      <c r="AD2686" s="2"/>
      <c r="AE2686" s="2">
        <v>0.232360242215815</v>
      </c>
      <c r="AF2686" s="2">
        <v>7271.4673489164898</v>
      </c>
      <c r="AG2686" s="2">
        <v>8783.0823008263596</v>
      </c>
      <c r="AH2686" s="4">
        <v>0.82789470710440105</v>
      </c>
      <c r="AI2686" s="4">
        <v>-0.27248079962375099</v>
      </c>
      <c r="AJ2686" s="4" t="s">
        <v>62</v>
      </c>
      <c r="AK2686" s="2">
        <v>0.222639521982612</v>
      </c>
      <c r="AL2686" s="2">
        <v>0.54873825251944697</v>
      </c>
      <c r="AM2686" s="2">
        <v>4542.5453848207499</v>
      </c>
      <c r="AN2686" s="2">
        <v>8328.9123341216891</v>
      </c>
      <c r="AO2686" s="2">
        <v>8552.2032180509905</v>
      </c>
      <c r="AP2686" s="2">
        <v>5889.4889874965602</v>
      </c>
      <c r="AQ2686" s="2">
        <v>8643.5700414956209</v>
      </c>
      <c r="AR2686" s="2">
        <v>7672.0841275133498</v>
      </c>
      <c r="AS2686" s="2">
        <v>9926.1028237325099</v>
      </c>
      <c r="AT2686" s="2">
        <v>6713.9233710283797</v>
      </c>
      <c r="AU2686" s="2">
        <v>5392.9367910178598</v>
      </c>
      <c r="AV2686" s="2">
        <v>9941.5651777400908</v>
      </c>
      <c r="AW2686" s="2">
        <v>9143.2906207207398</v>
      </c>
      <c r="AX2686" s="2">
        <v>11580.6750207186</v>
      </c>
    </row>
    <row r="2687" spans="1:50" x14ac:dyDescent="0.25">
      <c r="A2687" s="2" t="s">
        <v>18020</v>
      </c>
      <c r="B2687" s="2">
        <v>242.24866683023299</v>
      </c>
      <c r="C2687" s="2">
        <v>8.0054499999999997</v>
      </c>
      <c r="D2687" s="2" t="s">
        <v>51</v>
      </c>
      <c r="E2687" s="2" t="s">
        <v>18021</v>
      </c>
      <c r="F2687" s="2">
        <v>63554</v>
      </c>
      <c r="G2687" s="3" t="str">
        <f>HYPERLINK("https://cloud.oebiotech.com/#/lm/network/63554", "https://cloud.oebiotech.com/#/lm/network/63554")</f>
        <v>https://cloud.oebiotech.com/#/lm/network/63554</v>
      </c>
      <c r="H2687" s="2" t="s">
        <v>18022</v>
      </c>
      <c r="I2687" s="2">
        <v>94889</v>
      </c>
      <c r="J2687" s="2"/>
      <c r="K2687" s="2">
        <v>15138499</v>
      </c>
      <c r="L2687" s="2"/>
      <c r="M2687" s="2"/>
      <c r="N2687" s="2"/>
      <c r="O2687" s="2"/>
      <c r="P2687" s="2"/>
      <c r="Q2687" s="2"/>
      <c r="R2687" s="2" t="s">
        <v>18023</v>
      </c>
      <c r="S2687" s="2" t="s">
        <v>18024</v>
      </c>
      <c r="T2687" s="2" t="s">
        <v>18025</v>
      </c>
      <c r="U2687" s="2" t="s">
        <v>56</v>
      </c>
      <c r="V2687" s="2" t="s">
        <v>145</v>
      </c>
      <c r="W2687" s="2" t="s">
        <v>1543</v>
      </c>
      <c r="X2687" s="2" t="s">
        <v>147</v>
      </c>
      <c r="Y2687" s="2">
        <v>41.2</v>
      </c>
      <c r="Z2687" s="2">
        <v>13.4</v>
      </c>
      <c r="AA2687" s="2" t="s">
        <v>512</v>
      </c>
      <c r="AB2687" s="2" t="s">
        <v>12048</v>
      </c>
      <c r="AC2687" s="2">
        <v>3.6830111203816398</v>
      </c>
      <c r="AD2687" s="2"/>
      <c r="AE2687" s="2">
        <v>0.23217149272961601</v>
      </c>
      <c r="AF2687" s="2">
        <v>466.67252983703497</v>
      </c>
      <c r="AG2687" s="2">
        <v>3108.2723532503501</v>
      </c>
      <c r="AH2687" s="4">
        <v>0.15013887999519501</v>
      </c>
      <c r="AI2687" s="4">
        <v>-2.7356304689425199</v>
      </c>
      <c r="AJ2687" s="4" t="s">
        <v>62</v>
      </c>
      <c r="AK2687" s="2">
        <v>0.33715059407167097</v>
      </c>
      <c r="AL2687" s="2">
        <v>0.63815037094278604</v>
      </c>
      <c r="AM2687" s="2">
        <v>8.559877937157E-6</v>
      </c>
      <c r="AN2687" s="2">
        <v>8.559877937157E-6</v>
      </c>
      <c r="AO2687" s="2">
        <v>526.95682762729098</v>
      </c>
      <c r="AP2687" s="2">
        <v>991.26364272248702</v>
      </c>
      <c r="AQ2687" s="2">
        <v>1232.02265095287</v>
      </c>
      <c r="AR2687" s="2">
        <v>49.792040599805297</v>
      </c>
      <c r="AS2687" s="2">
        <v>1117.2360334989901</v>
      </c>
      <c r="AT2687" s="2">
        <v>762.362711708642</v>
      </c>
      <c r="AU2687" s="2">
        <v>573.09257759610898</v>
      </c>
      <c r="AV2687" s="2">
        <v>63.120220537849697</v>
      </c>
      <c r="AW2687" s="2">
        <v>8.559877937157E-6</v>
      </c>
      <c r="AX2687" s="2">
        <v>16133.8225676006</v>
      </c>
    </row>
    <row r="2688" spans="1:50" x14ac:dyDescent="0.25">
      <c r="A2688" s="2" t="s">
        <v>18026</v>
      </c>
      <c r="B2688" s="2">
        <v>425.17185071687999</v>
      </c>
      <c r="C2688" s="2">
        <v>6.6032999999999999</v>
      </c>
      <c r="D2688" s="2" t="s">
        <v>51</v>
      </c>
      <c r="E2688" s="2" t="s">
        <v>18027</v>
      </c>
      <c r="F2688" s="2">
        <v>202599</v>
      </c>
      <c r="G2688" s="3" t="str">
        <f>HYPERLINK("https://cloud.oebiotech.com/#/lm/network/202599", "https://cloud.oebiotech.com/#/lm/network/202599")</f>
        <v>https://cloud.oebiotech.com/#/lm/network/202599</v>
      </c>
      <c r="H2688" s="2" t="s">
        <v>18028</v>
      </c>
      <c r="I2688" s="2"/>
      <c r="J2688" s="2"/>
      <c r="K2688" s="2">
        <v>81976</v>
      </c>
      <c r="L2688" s="2"/>
      <c r="M2688" s="2"/>
      <c r="N2688" s="2"/>
      <c r="O2688" s="2"/>
      <c r="P2688" s="2"/>
      <c r="Q2688" s="2"/>
      <c r="R2688" s="2"/>
      <c r="S2688" s="2" t="s">
        <v>18029</v>
      </c>
      <c r="T2688" s="2" t="s">
        <v>18030</v>
      </c>
      <c r="U2688" s="2" t="s">
        <v>610</v>
      </c>
      <c r="V2688" s="2" t="s">
        <v>611</v>
      </c>
      <c r="W2688" s="2" t="s">
        <v>1122</v>
      </c>
      <c r="X2688" s="2" t="s">
        <v>147</v>
      </c>
      <c r="Y2688" s="2">
        <v>39</v>
      </c>
      <c r="Z2688" s="2">
        <v>1.58</v>
      </c>
      <c r="AA2688" s="2" t="s">
        <v>478</v>
      </c>
      <c r="AB2688" s="2" t="s">
        <v>18031</v>
      </c>
      <c r="AC2688" s="2">
        <v>-3.0429003945665101</v>
      </c>
      <c r="AD2688" s="2"/>
      <c r="AE2688" s="2">
        <v>0.23216665949082499</v>
      </c>
      <c r="AF2688" s="2">
        <v>2149.1993140568802</v>
      </c>
      <c r="AG2688" s="2">
        <v>872.37587971286405</v>
      </c>
      <c r="AH2688" s="5">
        <v>2.4636161590853098</v>
      </c>
      <c r="AI2688" s="5">
        <v>1.3007774960809999</v>
      </c>
      <c r="AJ2688" s="5" t="s">
        <v>139</v>
      </c>
      <c r="AK2688" s="2">
        <v>3.71635791502046E-3</v>
      </c>
      <c r="AL2688" s="2">
        <v>0.1120315017845</v>
      </c>
      <c r="AM2688" s="2">
        <v>2097.5351967543402</v>
      </c>
      <c r="AN2688" s="2">
        <v>2873.0456965880298</v>
      </c>
      <c r="AO2688" s="2">
        <v>2016.0275365418299</v>
      </c>
      <c r="AP2688" s="2">
        <v>1979.3162654291</v>
      </c>
      <c r="AQ2688" s="2">
        <v>1315.3706986693301</v>
      </c>
      <c r="AR2688" s="2">
        <v>2613.9004903586401</v>
      </c>
      <c r="AS2688" s="2">
        <v>2053.7011627673501</v>
      </c>
      <c r="AT2688" s="2">
        <v>461.12630848813097</v>
      </c>
      <c r="AU2688" s="2">
        <v>897.18892470428898</v>
      </c>
      <c r="AV2688" s="2">
        <v>578.879213017045</v>
      </c>
      <c r="AW2688" s="2">
        <v>308.50095514703901</v>
      </c>
      <c r="AX2688" s="2">
        <v>934.85871415333202</v>
      </c>
    </row>
    <row r="2689" spans="1:50" x14ac:dyDescent="0.25">
      <c r="A2689" s="2" t="s">
        <v>18032</v>
      </c>
      <c r="B2689" s="2">
        <v>708.54032274312499</v>
      </c>
      <c r="C2689" s="2">
        <v>13.994683333333301</v>
      </c>
      <c r="D2689" s="2" t="s">
        <v>51</v>
      </c>
      <c r="E2689" s="2" t="s">
        <v>18033</v>
      </c>
      <c r="F2689" s="2">
        <v>249054</v>
      </c>
      <c r="G2689" s="3" t="str">
        <f>HYPERLINK("https://cloud.oebiotech.com/#/lm/network/249054", "https://cloud.oebiotech.com/#/lm/network/249054")</f>
        <v>https://cloud.oebiotech.com/#/lm/network/249054</v>
      </c>
      <c r="H2689" s="2" t="s">
        <v>18034</v>
      </c>
      <c r="I2689" s="2"/>
      <c r="J2689" s="2"/>
      <c r="K2689" s="2"/>
      <c r="L2689" s="2"/>
      <c r="M2689" s="2"/>
      <c r="N2689" s="2"/>
      <c r="O2689" s="2"/>
      <c r="P2689" s="2"/>
      <c r="Q2689" s="2"/>
      <c r="R2689" s="2"/>
      <c r="S2689" s="2" t="s">
        <v>18035</v>
      </c>
      <c r="T2689" s="2" t="s">
        <v>18036</v>
      </c>
      <c r="U2689" s="2" t="s">
        <v>56</v>
      </c>
      <c r="V2689" s="2" t="s">
        <v>145</v>
      </c>
      <c r="W2689" s="2" t="s">
        <v>187</v>
      </c>
      <c r="X2689" s="2" t="s">
        <v>147</v>
      </c>
      <c r="Y2689" s="2">
        <v>37.700000000000003</v>
      </c>
      <c r="Z2689" s="2">
        <v>0</v>
      </c>
      <c r="AA2689" s="2" t="s">
        <v>512</v>
      </c>
      <c r="AB2689" s="2" t="s">
        <v>18037</v>
      </c>
      <c r="AC2689" s="2">
        <v>-0.828359738003002</v>
      </c>
      <c r="AD2689" s="2"/>
      <c r="AE2689" s="2">
        <v>0.23213677524846299</v>
      </c>
      <c r="AF2689" s="2">
        <v>4186.61383108672</v>
      </c>
      <c r="AG2689" s="2">
        <v>2411.44201458423</v>
      </c>
      <c r="AH2689" s="5">
        <v>1.7361453461316401</v>
      </c>
      <c r="AI2689" s="5">
        <v>0.79588773197922003</v>
      </c>
      <c r="AJ2689" s="5" t="s">
        <v>139</v>
      </c>
      <c r="AK2689" s="2">
        <v>0.323873665380493</v>
      </c>
      <c r="AL2689" s="2">
        <v>0.62992073899545697</v>
      </c>
      <c r="AM2689" s="2">
        <v>3880.5753088977599</v>
      </c>
      <c r="AN2689" s="2">
        <v>10324.049691588099</v>
      </c>
      <c r="AO2689" s="2">
        <v>5335.9127059216598</v>
      </c>
      <c r="AP2689" s="2">
        <v>1608.07710600583</v>
      </c>
      <c r="AQ2689" s="2">
        <v>1055.37097518773</v>
      </c>
      <c r="AR2689" s="2">
        <v>2915.6971989192298</v>
      </c>
      <c r="AS2689" s="2">
        <v>1698.03066304398</v>
      </c>
      <c r="AT2689" s="2">
        <v>1202.8102794280501</v>
      </c>
      <c r="AU2689" s="2">
        <v>6387.6763964751799</v>
      </c>
      <c r="AV2689" s="2">
        <v>9.6722912984684992</v>
      </c>
      <c r="AW2689" s="2">
        <v>708.92499137749303</v>
      </c>
      <c r="AX2689" s="2">
        <v>4461.5374658822202</v>
      </c>
    </row>
    <row r="2690" spans="1:50" x14ac:dyDescent="0.25">
      <c r="A2690" s="2" t="s">
        <v>18038</v>
      </c>
      <c r="B2690" s="2">
        <v>281.15273517062002</v>
      </c>
      <c r="C2690" s="2">
        <v>8.4163499999999996</v>
      </c>
      <c r="D2690" s="2" t="s">
        <v>51</v>
      </c>
      <c r="E2690" s="2" t="s">
        <v>18039</v>
      </c>
      <c r="F2690" s="2">
        <v>289861</v>
      </c>
      <c r="G2690" s="3" t="str">
        <f>HYPERLINK("https://cloud.oebiotech.com/#/lm/network/289861", "https://cloud.oebiotech.com/#/lm/network/289861")</f>
        <v>https://cloud.oebiotech.com/#/lm/network/289861</v>
      </c>
      <c r="H2690" s="2"/>
      <c r="I2690" s="2">
        <v>984994</v>
      </c>
      <c r="J2690" s="2"/>
      <c r="K2690" s="2">
        <v>14608480</v>
      </c>
      <c r="L2690" s="2"/>
      <c r="M2690" s="2"/>
      <c r="N2690" s="2"/>
      <c r="O2690" s="2"/>
      <c r="P2690" s="2"/>
      <c r="Q2690" s="2"/>
      <c r="R2690" s="2"/>
      <c r="S2690" s="2" t="s">
        <v>18040</v>
      </c>
      <c r="T2690" s="2" t="s">
        <v>18041</v>
      </c>
      <c r="U2690" s="2" t="s">
        <v>540</v>
      </c>
      <c r="V2690" s="2" t="s">
        <v>2365</v>
      </c>
      <c r="W2690" s="2" t="s">
        <v>7571</v>
      </c>
      <c r="X2690" s="2" t="s">
        <v>83</v>
      </c>
      <c r="Y2690" s="2">
        <v>46.4</v>
      </c>
      <c r="Z2690" s="2">
        <v>0</v>
      </c>
      <c r="AA2690" s="2" t="s">
        <v>156</v>
      </c>
      <c r="AB2690" s="2" t="s">
        <v>18042</v>
      </c>
      <c r="AC2690" s="2">
        <v>-2.9217623870110701</v>
      </c>
      <c r="AD2690" s="2"/>
      <c r="AE2690" s="2">
        <v>0.23195452581179801</v>
      </c>
      <c r="AF2690" s="2">
        <v>4177.0349683018503</v>
      </c>
      <c r="AG2690" s="2">
        <v>2593.8658890657698</v>
      </c>
      <c r="AH2690" s="5">
        <v>1.6103511696228401</v>
      </c>
      <c r="AI2690" s="5">
        <v>0.68737533146339502</v>
      </c>
      <c r="AJ2690" s="5" t="s">
        <v>139</v>
      </c>
      <c r="AK2690" s="2">
        <v>7.0145657732682304E-2</v>
      </c>
      <c r="AL2690" s="2">
        <v>0.34954547296639299</v>
      </c>
      <c r="AM2690" s="2">
        <v>3794.0682496890199</v>
      </c>
      <c r="AN2690" s="2">
        <v>6035.5074521979004</v>
      </c>
      <c r="AO2690" s="2">
        <v>4608.78412452664</v>
      </c>
      <c r="AP2690" s="2">
        <v>3336.8213993695299</v>
      </c>
      <c r="AQ2690" s="2">
        <v>2562.15225226963</v>
      </c>
      <c r="AR2690" s="2">
        <v>4724.8763317583998</v>
      </c>
      <c r="AS2690" s="2">
        <v>4166.93055682669</v>
      </c>
      <c r="AT2690" s="2">
        <v>2171.3470017745599</v>
      </c>
      <c r="AU2690" s="2">
        <v>3033.6201939431398</v>
      </c>
      <c r="AV2690" s="2">
        <v>728.99896710132998</v>
      </c>
      <c r="AW2690" s="2">
        <v>1225.0872072038301</v>
      </c>
      <c r="AX2690" s="2">
        <v>4237.21140754506</v>
      </c>
    </row>
    <row r="2691" spans="1:50" x14ac:dyDescent="0.25">
      <c r="A2691" s="2" t="s">
        <v>18043</v>
      </c>
      <c r="B2691" s="2">
        <v>198.07085279461501</v>
      </c>
      <c r="C2691" s="2">
        <v>0.69840000000000002</v>
      </c>
      <c r="D2691" s="2" t="s">
        <v>51</v>
      </c>
      <c r="E2691" s="2" t="s">
        <v>18044</v>
      </c>
      <c r="F2691" s="2">
        <v>303190</v>
      </c>
      <c r="G2691" s="3" t="str">
        <f>HYPERLINK("https://cloud.oebiotech.com/#/lm/network/303190", "https://cloud.oebiotech.com/#/lm/network/303190")</f>
        <v>https://cloud.oebiotech.com/#/lm/network/303190</v>
      </c>
      <c r="H2691" s="2"/>
      <c r="I2691" s="2">
        <v>329205</v>
      </c>
      <c r="J2691" s="2"/>
      <c r="K2691" s="2">
        <v>135502804</v>
      </c>
      <c r="L2691" s="2"/>
      <c r="M2691" s="2"/>
      <c r="N2691" s="2"/>
      <c r="O2691" s="2"/>
      <c r="P2691" s="2"/>
      <c r="Q2691" s="2"/>
      <c r="R2691" s="2"/>
      <c r="S2691" s="2" t="s">
        <v>18045</v>
      </c>
      <c r="T2691" s="2" t="s">
        <v>18046</v>
      </c>
      <c r="U2691" s="2" t="s">
        <v>1231</v>
      </c>
      <c r="V2691" s="2" t="s">
        <v>15569</v>
      </c>
      <c r="W2691" s="2" t="s">
        <v>18047</v>
      </c>
      <c r="X2691" s="2" t="s">
        <v>147</v>
      </c>
      <c r="Y2691" s="2">
        <v>36.9</v>
      </c>
      <c r="Z2691" s="2">
        <v>0</v>
      </c>
      <c r="AA2691" s="2" t="s">
        <v>163</v>
      </c>
      <c r="AB2691" s="2" t="s">
        <v>18048</v>
      </c>
      <c r="AC2691" s="2">
        <v>0.98542185032271801</v>
      </c>
      <c r="AD2691" s="2"/>
      <c r="AE2691" s="2">
        <v>0.23163504956439199</v>
      </c>
      <c r="AF2691" s="2">
        <v>8684.4854893699994</v>
      </c>
      <c r="AG2691" s="2">
        <v>6254.2231391279902</v>
      </c>
      <c r="AH2691" s="5">
        <v>1.3885794120516199</v>
      </c>
      <c r="AI2691" s="5">
        <v>0.473609686409177</v>
      </c>
      <c r="AJ2691" s="5" t="s">
        <v>139</v>
      </c>
      <c r="AK2691" s="2">
        <v>0.18113800588696799</v>
      </c>
      <c r="AL2691" s="2">
        <v>0.50370788803322297</v>
      </c>
      <c r="AM2691" s="2">
        <v>9937.7603062395592</v>
      </c>
      <c r="AN2691" s="2">
        <v>10937.0714362567</v>
      </c>
      <c r="AO2691" s="2">
        <v>5108.9701054856096</v>
      </c>
      <c r="AP2691" s="2">
        <v>9785.8933301429006</v>
      </c>
      <c r="AQ2691" s="2">
        <v>7462.4274662739799</v>
      </c>
      <c r="AR2691" s="2">
        <v>8874.7902918212803</v>
      </c>
      <c r="AS2691" s="2">
        <v>10980.9447594221</v>
      </c>
      <c r="AT2691" s="2">
        <v>6371.2976705666897</v>
      </c>
      <c r="AU2691" s="2">
        <v>4038.3174955394902</v>
      </c>
      <c r="AV2691" s="2">
        <v>661.51468184540204</v>
      </c>
      <c r="AW2691" s="2">
        <v>7170.2435446582103</v>
      </c>
      <c r="AX2691" s="2">
        <v>8303.0206827360307</v>
      </c>
    </row>
    <row r="2692" spans="1:50" x14ac:dyDescent="0.25">
      <c r="A2692" s="2" t="s">
        <v>18049</v>
      </c>
      <c r="B2692" s="2">
        <v>576.87719609334999</v>
      </c>
      <c r="C2692" s="2">
        <v>8.4782166666666701</v>
      </c>
      <c r="D2692" s="2" t="s">
        <v>51</v>
      </c>
      <c r="E2692" s="2" t="s">
        <v>18050</v>
      </c>
      <c r="F2692" s="2">
        <v>201428</v>
      </c>
      <c r="G2692" s="3" t="str">
        <f>HYPERLINK("https://cloud.oebiotech.com/#/lm/network/201428", "https://cloud.oebiotech.com/#/lm/network/201428")</f>
        <v>https://cloud.oebiotech.com/#/lm/network/201428</v>
      </c>
      <c r="H2692" s="2" t="s">
        <v>18051</v>
      </c>
      <c r="I2692" s="2"/>
      <c r="J2692" s="2"/>
      <c r="K2692" s="2">
        <v>198621</v>
      </c>
      <c r="L2692" s="2"/>
      <c r="M2692" s="2"/>
      <c r="N2692" s="2"/>
      <c r="O2692" s="2"/>
      <c r="P2692" s="2"/>
      <c r="Q2692" s="2"/>
      <c r="R2692" s="2"/>
      <c r="S2692" s="2" t="s">
        <v>18052</v>
      </c>
      <c r="T2692" s="2" t="s">
        <v>18053</v>
      </c>
      <c r="U2692" s="2" t="s">
        <v>610</v>
      </c>
      <c r="V2692" s="2" t="s">
        <v>611</v>
      </c>
      <c r="W2692" s="2" t="s">
        <v>4746</v>
      </c>
      <c r="X2692" s="2" t="s">
        <v>147</v>
      </c>
      <c r="Y2692" s="2">
        <v>38.299999999999997</v>
      </c>
      <c r="Z2692" s="2">
        <v>0</v>
      </c>
      <c r="AA2692" s="2" t="s">
        <v>395</v>
      </c>
      <c r="AB2692" s="2" t="s">
        <v>18054</v>
      </c>
      <c r="AC2692" s="2">
        <v>0.43319577997304298</v>
      </c>
      <c r="AD2692" s="2"/>
      <c r="AE2692" s="2">
        <v>0.231433866283942</v>
      </c>
      <c r="AF2692" s="2">
        <v>5091.20286926279</v>
      </c>
      <c r="AG2692" s="2">
        <v>3697.81254736753</v>
      </c>
      <c r="AH2692" s="5">
        <v>1.3768147530591299</v>
      </c>
      <c r="AI2692" s="5">
        <v>0.46133446156339702</v>
      </c>
      <c r="AJ2692" s="5" t="s">
        <v>139</v>
      </c>
      <c r="AK2692" s="2">
        <v>5.2770322110251497E-2</v>
      </c>
      <c r="AL2692" s="2">
        <v>0.31710263397627803</v>
      </c>
      <c r="AM2692" s="2">
        <v>5409.9050245341105</v>
      </c>
      <c r="AN2692" s="2">
        <v>4673.8978203346396</v>
      </c>
      <c r="AO2692" s="2">
        <v>4049.1211823513199</v>
      </c>
      <c r="AP2692" s="2">
        <v>5271.0881896137198</v>
      </c>
      <c r="AQ2692" s="2">
        <v>4592.8288502294399</v>
      </c>
      <c r="AR2692" s="2">
        <v>6550.3761485134901</v>
      </c>
      <c r="AS2692" s="2">
        <v>3381.5603129845199</v>
      </c>
      <c r="AT2692" s="2">
        <v>5505.9717487580801</v>
      </c>
      <c r="AU2692" s="2">
        <v>4802.8465516277702</v>
      </c>
      <c r="AV2692" s="2">
        <v>2988.0991252584299</v>
      </c>
      <c r="AW2692" s="2">
        <v>3599.2572304087798</v>
      </c>
      <c r="AX2692" s="2">
        <v>1909.14031516759</v>
      </c>
    </row>
    <row r="2693" spans="1:50" x14ac:dyDescent="0.25">
      <c r="A2693" s="2" t="s">
        <v>18055</v>
      </c>
      <c r="B2693" s="2">
        <v>269.21217704794901</v>
      </c>
      <c r="C2693" s="2">
        <v>11.109966666666701</v>
      </c>
      <c r="D2693" s="2" t="s">
        <v>51</v>
      </c>
      <c r="E2693" s="2" t="s">
        <v>18056</v>
      </c>
      <c r="F2693" s="2">
        <v>2093</v>
      </c>
      <c r="G2693" s="3" t="str">
        <f>HYPERLINK("https://cloud.oebiotech.com/#/lm/network/2093", "https://cloud.oebiotech.com/#/lm/network/2093")</f>
        <v>https://cloud.oebiotech.com/#/lm/network/2093</v>
      </c>
      <c r="H2693" s="2" t="s">
        <v>18057</v>
      </c>
      <c r="I2693" s="2">
        <v>35752</v>
      </c>
      <c r="J2693" s="2" t="s">
        <v>18058</v>
      </c>
      <c r="K2693" s="2">
        <v>5283003</v>
      </c>
      <c r="L2693" s="2"/>
      <c r="M2693" s="2"/>
      <c r="N2693" s="2"/>
      <c r="O2693" s="2"/>
      <c r="P2693" s="2"/>
      <c r="Q2693" s="2"/>
      <c r="R2693" s="2" t="s">
        <v>18059</v>
      </c>
      <c r="S2693" s="2" t="s">
        <v>18060</v>
      </c>
      <c r="T2693" s="2" t="s">
        <v>18061</v>
      </c>
      <c r="U2693" s="2" t="s">
        <v>56</v>
      </c>
      <c r="V2693" s="2" t="s">
        <v>145</v>
      </c>
      <c r="W2693" s="2" t="s">
        <v>231</v>
      </c>
      <c r="X2693" s="2" t="s">
        <v>83</v>
      </c>
      <c r="Y2693" s="2">
        <v>53.2</v>
      </c>
      <c r="Z2693" s="2">
        <v>7.5999999999999998E-2</v>
      </c>
      <c r="AA2693" s="2" t="s">
        <v>163</v>
      </c>
      <c r="AB2693" s="2" t="s">
        <v>18062</v>
      </c>
      <c r="AC2693" s="2">
        <v>-0.152989816099315</v>
      </c>
      <c r="AD2693" s="2"/>
      <c r="AE2693" s="2">
        <v>0.23130987028393801</v>
      </c>
      <c r="AF2693" s="2">
        <v>17028.599693138101</v>
      </c>
      <c r="AG2693" s="2">
        <v>19440.4768096017</v>
      </c>
      <c r="AH2693" s="4">
        <v>0.87593529006077098</v>
      </c>
      <c r="AI2693" s="4">
        <v>-0.191103800582274</v>
      </c>
      <c r="AJ2693" s="4" t="s">
        <v>62</v>
      </c>
      <c r="AK2693" s="2">
        <v>0.12649274148696299</v>
      </c>
      <c r="AL2693" s="2">
        <v>0.44516147374516801</v>
      </c>
      <c r="AM2693" s="2">
        <v>17401.431892005901</v>
      </c>
      <c r="AN2693" s="2">
        <v>16370.1081125868</v>
      </c>
      <c r="AO2693" s="2">
        <v>14831.080602363299</v>
      </c>
      <c r="AP2693" s="2">
        <v>16025.467408201001</v>
      </c>
      <c r="AQ2693" s="2">
        <v>18375.721801895201</v>
      </c>
      <c r="AR2693" s="2">
        <v>19167.788341776599</v>
      </c>
      <c r="AS2693" s="2">
        <v>17265.737864929801</v>
      </c>
      <c r="AT2693" s="2">
        <v>17572.831445841701</v>
      </c>
      <c r="AU2693" s="2">
        <v>25413.007701066501</v>
      </c>
      <c r="AV2693" s="2">
        <v>17843.303228678898</v>
      </c>
      <c r="AW2693" s="2">
        <v>20598.9269400224</v>
      </c>
      <c r="AX2693" s="2">
        <v>17949.0536770707</v>
      </c>
    </row>
    <row r="2694" spans="1:50" x14ac:dyDescent="0.25">
      <c r="A2694" s="2" t="s">
        <v>18063</v>
      </c>
      <c r="B2694" s="2">
        <v>298.22345261503398</v>
      </c>
      <c r="C2694" s="2">
        <v>4.0044000000000004</v>
      </c>
      <c r="D2694" s="2" t="s">
        <v>51</v>
      </c>
      <c r="E2694" s="2" t="s">
        <v>18064</v>
      </c>
      <c r="F2694" s="2">
        <v>89</v>
      </c>
      <c r="G2694" s="3" t="str">
        <f>HYPERLINK("https://cloud.oebiotech.com/#/lm/network/89", "https://cloud.oebiotech.com/#/lm/network/89")</f>
        <v>https://cloud.oebiotech.com/#/lm/network/89</v>
      </c>
      <c r="H2694" s="2"/>
      <c r="I2694" s="2">
        <v>96756</v>
      </c>
      <c r="J2694" s="2" t="s">
        <v>18065</v>
      </c>
      <c r="K2694" s="2">
        <v>12358530</v>
      </c>
      <c r="L2694" s="2"/>
      <c r="M2694" s="2"/>
      <c r="N2694" s="2"/>
      <c r="O2694" s="2"/>
      <c r="P2694" s="2"/>
      <c r="Q2694" s="2"/>
      <c r="R2694" s="2"/>
      <c r="S2694" s="2" t="s">
        <v>18066</v>
      </c>
      <c r="T2694" s="2" t="s">
        <v>18067</v>
      </c>
      <c r="U2694" s="2" t="s">
        <v>56</v>
      </c>
      <c r="V2694" s="2" t="s">
        <v>145</v>
      </c>
      <c r="W2694" s="2" t="s">
        <v>231</v>
      </c>
      <c r="X2694" s="2" t="s">
        <v>147</v>
      </c>
      <c r="Y2694" s="2">
        <v>37.6</v>
      </c>
      <c r="Z2694" s="2">
        <v>0.61299999999999999</v>
      </c>
      <c r="AA2694" s="2" t="s">
        <v>395</v>
      </c>
      <c r="AB2694" s="2" t="s">
        <v>18068</v>
      </c>
      <c r="AC2694" s="2">
        <v>4.7598432298931099</v>
      </c>
      <c r="AD2694" s="2"/>
      <c r="AE2694" s="2">
        <v>0.23129894248966101</v>
      </c>
      <c r="AF2694" s="2">
        <v>4904.1076337469804</v>
      </c>
      <c r="AG2694" s="2">
        <v>3384.4060115538</v>
      </c>
      <c r="AH2694" s="5">
        <v>1.4490305291401699</v>
      </c>
      <c r="AI2694" s="5">
        <v>0.53508799087493197</v>
      </c>
      <c r="AJ2694" s="5" t="s">
        <v>139</v>
      </c>
      <c r="AK2694" s="2">
        <v>9.9515309429726903E-2</v>
      </c>
      <c r="AL2694" s="2">
        <v>0.40172900346892498</v>
      </c>
      <c r="AM2694" s="2">
        <v>4528.2077384540398</v>
      </c>
      <c r="AN2694" s="2">
        <v>5841.4044590804897</v>
      </c>
      <c r="AO2694" s="2">
        <v>6140.9668752980197</v>
      </c>
      <c r="AP2694" s="2">
        <v>5573.0244453364103</v>
      </c>
      <c r="AQ2694" s="2">
        <v>2607.04706078648</v>
      </c>
      <c r="AR2694" s="2">
        <v>4733.99522352643</v>
      </c>
      <c r="AS2694" s="2">
        <v>3621.97012089493</v>
      </c>
      <c r="AT2694" s="2">
        <v>5027.8570851362101</v>
      </c>
      <c r="AU2694" s="2">
        <v>4275.27292400649</v>
      </c>
      <c r="AV2694" s="2">
        <v>782.23409792646999</v>
      </c>
      <c r="AW2694" s="2">
        <v>4391.0650741217896</v>
      </c>
      <c r="AX2694" s="2">
        <v>2208.0367672368898</v>
      </c>
    </row>
    <row r="2695" spans="1:50" x14ac:dyDescent="0.25">
      <c r="A2695" s="2" t="s">
        <v>18069</v>
      </c>
      <c r="B2695" s="2">
        <v>410.20870431994098</v>
      </c>
      <c r="C2695" s="2">
        <v>4.6885500000000002</v>
      </c>
      <c r="D2695" s="2" t="s">
        <v>51</v>
      </c>
      <c r="E2695" s="2" t="s">
        <v>18070</v>
      </c>
      <c r="F2695" s="2">
        <v>263865</v>
      </c>
      <c r="G2695" s="3" t="str">
        <f>HYPERLINK("https://cloud.oebiotech.com/#/lm/network/263865", "https://cloud.oebiotech.com/#/lm/network/263865")</f>
        <v>https://cloud.oebiotech.com/#/lm/network/263865</v>
      </c>
      <c r="H2695" s="2"/>
      <c r="I2695" s="2">
        <v>21296</v>
      </c>
      <c r="J2695" s="2"/>
      <c r="K2695" s="2">
        <v>145456239</v>
      </c>
      <c r="L2695" s="2"/>
      <c r="M2695" s="2"/>
      <c r="N2695" s="2"/>
      <c r="O2695" s="2"/>
      <c r="P2695" s="2"/>
      <c r="Q2695" s="2"/>
      <c r="R2695" s="2"/>
      <c r="S2695" s="2" t="s">
        <v>18071</v>
      </c>
      <c r="T2695" s="2" t="s">
        <v>18072</v>
      </c>
      <c r="U2695" s="2" t="s">
        <v>103</v>
      </c>
      <c r="V2695" s="2" t="s">
        <v>104</v>
      </c>
      <c r="W2695" s="2" t="s">
        <v>105</v>
      </c>
      <c r="X2695" s="2" t="s">
        <v>83</v>
      </c>
      <c r="Y2695" s="2">
        <v>38.200000000000003</v>
      </c>
      <c r="Z2695" s="2">
        <v>0</v>
      </c>
      <c r="AA2695" s="2" t="s">
        <v>259</v>
      </c>
      <c r="AB2695" s="2" t="s">
        <v>18073</v>
      </c>
      <c r="AC2695" s="2">
        <v>-5.1309402985876202</v>
      </c>
      <c r="AD2695" s="2"/>
      <c r="AE2695" s="2">
        <v>0.23111336856511799</v>
      </c>
      <c r="AF2695" s="2">
        <v>2259.3238537598299</v>
      </c>
      <c r="AG2695" s="2">
        <v>4749.1046459341196</v>
      </c>
      <c r="AH2695" s="4">
        <v>0.475736801397738</v>
      </c>
      <c r="AI2695" s="4">
        <v>-1.0717644632376</v>
      </c>
      <c r="AJ2695" s="4" t="s">
        <v>62</v>
      </c>
      <c r="AK2695" s="2">
        <v>0.39363311328770101</v>
      </c>
      <c r="AL2695" s="2">
        <v>0.666522226182239</v>
      </c>
      <c r="AM2695" s="2">
        <v>2784.9899005391899</v>
      </c>
      <c r="AN2695" s="2">
        <v>1893.3941066175901</v>
      </c>
      <c r="AO2695" s="2">
        <v>816.89660600815</v>
      </c>
      <c r="AP2695" s="2">
        <v>468.84974533284901</v>
      </c>
      <c r="AQ2695" s="2">
        <v>3244.2688688699</v>
      </c>
      <c r="AR2695" s="2">
        <v>4347.5438951913202</v>
      </c>
      <c r="AS2695" s="2">
        <v>8.559877937157E-6</v>
      </c>
      <c r="AT2695" s="2">
        <v>2344.3976594301598</v>
      </c>
      <c r="AU2695" s="2">
        <v>340.211360739067</v>
      </c>
      <c r="AV2695" s="2">
        <v>16037.5621270431</v>
      </c>
      <c r="AW2695" s="2">
        <v>9772.4567112726199</v>
      </c>
      <c r="AX2695" s="2">
        <v>8.559877937157E-6</v>
      </c>
    </row>
    <row r="2696" spans="1:50" x14ac:dyDescent="0.25">
      <c r="A2696" s="2" t="s">
        <v>18074</v>
      </c>
      <c r="B2696" s="2">
        <v>361.19</v>
      </c>
      <c r="C2696" s="2">
        <v>25.568000000000001</v>
      </c>
      <c r="D2696" s="2" t="s">
        <v>125</v>
      </c>
      <c r="E2696" s="2" t="s">
        <v>18075</v>
      </c>
      <c r="F2696" s="2">
        <v>257742</v>
      </c>
      <c r="G2696" s="3" t="str">
        <f>HYPERLINK("https://cloud.oebiotech.com/#/lm/network/257742", "https://cloud.oebiotech.com/#/lm/network/257742")</f>
        <v>https://cloud.oebiotech.com/#/lm/network/257742</v>
      </c>
      <c r="H2696" s="2" t="s">
        <v>18076</v>
      </c>
      <c r="I2696" s="2">
        <v>413</v>
      </c>
      <c r="J2696" s="2"/>
      <c r="K2696" s="2">
        <v>6255</v>
      </c>
      <c r="L2696" s="2" t="s">
        <v>18077</v>
      </c>
      <c r="M2696" s="2" t="s">
        <v>18078</v>
      </c>
      <c r="N2696" s="2" t="s">
        <v>18079</v>
      </c>
      <c r="O2696" s="2"/>
      <c r="P2696" s="2"/>
      <c r="Q2696" s="2"/>
      <c r="R2696" s="2" t="s">
        <v>18080</v>
      </c>
      <c r="S2696" s="2" t="s">
        <v>18081</v>
      </c>
      <c r="T2696" s="2" t="s">
        <v>18082</v>
      </c>
      <c r="U2696" s="2" t="s">
        <v>331</v>
      </c>
      <c r="V2696" s="2" t="s">
        <v>332</v>
      </c>
      <c r="W2696" s="2" t="s">
        <v>333</v>
      </c>
      <c r="X2696" s="2" t="s">
        <v>69</v>
      </c>
      <c r="Y2696" s="2">
        <v>94.4</v>
      </c>
      <c r="Z2696" s="2">
        <v>90.9</v>
      </c>
      <c r="AA2696" s="2"/>
      <c r="AB2696" s="2" t="s">
        <v>18083</v>
      </c>
      <c r="AC2696" s="2"/>
      <c r="AD2696" s="2">
        <v>954995.43500511802</v>
      </c>
      <c r="AE2696" s="2">
        <v>0.23084975807080199</v>
      </c>
      <c r="AF2696" s="2">
        <v>14288.9815953446</v>
      </c>
      <c r="AG2696" s="2">
        <v>51872.116329220698</v>
      </c>
      <c r="AH2696" s="4">
        <v>0.27546556043049503</v>
      </c>
      <c r="AI2696" s="4">
        <v>-1.86005613508165</v>
      </c>
      <c r="AJ2696" s="4" t="s">
        <v>62</v>
      </c>
      <c r="AK2696" s="2">
        <v>0.16210623951289099</v>
      </c>
      <c r="AL2696" s="2">
        <v>0.48399353100485398</v>
      </c>
      <c r="AM2696" s="2">
        <v>13341.076530685799</v>
      </c>
      <c r="AN2696" s="2">
        <v>11407.1049753097</v>
      </c>
      <c r="AO2696" s="2">
        <v>17094.7610866779</v>
      </c>
      <c r="AP2696" s="2">
        <v>9270.0415300658296</v>
      </c>
      <c r="AQ2696" s="2">
        <v>20823.764493264101</v>
      </c>
      <c r="AR2696" s="2">
        <v>13797.140956064501</v>
      </c>
      <c r="AS2696" s="2">
        <v>107208.611322393</v>
      </c>
      <c r="AT2696" s="2">
        <v>148755.84585362999</v>
      </c>
      <c r="AU2696" s="2">
        <v>24006.761367692699</v>
      </c>
      <c r="AV2696" s="2">
        <v>19816.078398967798</v>
      </c>
      <c r="AW2696" s="2">
        <v>5702.8684411738304</v>
      </c>
      <c r="AX2696" s="2">
        <v>5742.5325914671503</v>
      </c>
    </row>
    <row r="2697" spans="1:50" x14ac:dyDescent="0.25">
      <c r="A2697" s="2" t="s">
        <v>18084</v>
      </c>
      <c r="B2697" s="2">
        <v>549.268788607126</v>
      </c>
      <c r="C2697" s="2">
        <v>9.1509999999999998</v>
      </c>
      <c r="D2697" s="2" t="s">
        <v>51</v>
      </c>
      <c r="E2697" s="2" t="s">
        <v>18085</v>
      </c>
      <c r="F2697" s="2">
        <v>213356</v>
      </c>
      <c r="G2697" s="3" t="str">
        <f>HYPERLINK("https://cloud.oebiotech.com/#/lm/network/213356", "https://cloud.oebiotech.com/#/lm/network/213356")</f>
        <v>https://cloud.oebiotech.com/#/lm/network/213356</v>
      </c>
      <c r="H2697" s="2" t="s">
        <v>18086</v>
      </c>
      <c r="I2697" s="2"/>
      <c r="J2697" s="2"/>
      <c r="K2697" s="2"/>
      <c r="L2697" s="2"/>
      <c r="M2697" s="2"/>
      <c r="N2697" s="2"/>
      <c r="O2697" s="2"/>
      <c r="P2697" s="2"/>
      <c r="Q2697" s="2"/>
      <c r="R2697" s="2"/>
      <c r="S2697" s="2" t="s">
        <v>18087</v>
      </c>
      <c r="T2697" s="2" t="s">
        <v>18088</v>
      </c>
      <c r="U2697" s="2" t="s">
        <v>295</v>
      </c>
      <c r="V2697" s="2" t="s">
        <v>5645</v>
      </c>
      <c r="W2697" s="2" t="s">
        <v>18089</v>
      </c>
      <c r="X2697" s="2" t="s">
        <v>147</v>
      </c>
      <c r="Y2697" s="2">
        <v>38.200000000000003</v>
      </c>
      <c r="Z2697" s="2">
        <v>0</v>
      </c>
      <c r="AA2697" s="2" t="s">
        <v>478</v>
      </c>
      <c r="AB2697" s="2" t="s">
        <v>18090</v>
      </c>
      <c r="AC2697" s="2">
        <v>-0.69888052530994405</v>
      </c>
      <c r="AD2697" s="2"/>
      <c r="AE2697" s="2">
        <v>0.23084883887021601</v>
      </c>
      <c r="AF2697" s="2">
        <v>1253.07720779589</v>
      </c>
      <c r="AG2697" s="2">
        <v>4274.4918917557898</v>
      </c>
      <c r="AH2697" s="4">
        <v>0.29315231834050098</v>
      </c>
      <c r="AI2697" s="4">
        <v>-1.7702776288228801</v>
      </c>
      <c r="AJ2697" s="4" t="s">
        <v>62</v>
      </c>
      <c r="AK2697" s="2">
        <v>0.19238137734710001</v>
      </c>
      <c r="AL2697" s="2">
        <v>0.51702050946451295</v>
      </c>
      <c r="AM2697" s="2">
        <v>4848.44605706115</v>
      </c>
      <c r="AN2697" s="2">
        <v>8.559877937157E-6</v>
      </c>
      <c r="AO2697" s="2">
        <v>8.559877937157E-6</v>
      </c>
      <c r="AP2697" s="2">
        <v>537.06825060146195</v>
      </c>
      <c r="AQ2697" s="2">
        <v>1871.14737342278</v>
      </c>
      <c r="AR2697" s="2">
        <v>261.80154857016402</v>
      </c>
      <c r="AS2697" s="2">
        <v>8.559877937157E-6</v>
      </c>
      <c r="AT2697" s="2">
        <v>8.559877937157E-6</v>
      </c>
      <c r="AU2697" s="2">
        <v>11156.9716832716</v>
      </c>
      <c r="AV2697" s="2">
        <v>8335.3003687256405</v>
      </c>
      <c r="AW2697" s="2">
        <v>6154.6792728578803</v>
      </c>
      <c r="AX2697" s="2">
        <v>8.559877937157E-6</v>
      </c>
    </row>
    <row r="2698" spans="1:50" x14ac:dyDescent="0.25">
      <c r="A2698" s="2" t="s">
        <v>18091</v>
      </c>
      <c r="B2698" s="2">
        <v>345.13198826698499</v>
      </c>
      <c r="C2698" s="2">
        <v>10.3901166666667</v>
      </c>
      <c r="D2698" s="2" t="s">
        <v>51</v>
      </c>
      <c r="E2698" s="2" t="s">
        <v>18092</v>
      </c>
      <c r="F2698" s="2">
        <v>209098</v>
      </c>
      <c r="G2698" s="3" t="str">
        <f>HYPERLINK("https://cloud.oebiotech.com/#/lm/network/209098", "https://cloud.oebiotech.com/#/lm/network/209098")</f>
        <v>https://cloud.oebiotech.com/#/lm/network/209098</v>
      </c>
      <c r="H2698" s="2" t="s">
        <v>18093</v>
      </c>
      <c r="I2698" s="2"/>
      <c r="J2698" s="2"/>
      <c r="K2698" s="2"/>
      <c r="L2698" s="2"/>
      <c r="M2698" s="2"/>
      <c r="N2698" s="2"/>
      <c r="O2698" s="2"/>
      <c r="P2698" s="2"/>
      <c r="Q2698" s="2"/>
      <c r="R2698" s="2"/>
      <c r="S2698" s="2" t="s">
        <v>18094</v>
      </c>
      <c r="T2698" s="2" t="s">
        <v>18095</v>
      </c>
      <c r="U2698" s="2" t="s">
        <v>103</v>
      </c>
      <c r="V2698" s="2" t="s">
        <v>104</v>
      </c>
      <c r="W2698" s="2" t="s">
        <v>105</v>
      </c>
      <c r="X2698" s="2" t="s">
        <v>147</v>
      </c>
      <c r="Y2698" s="2">
        <v>38</v>
      </c>
      <c r="Z2698" s="2">
        <v>0.249</v>
      </c>
      <c r="AA2698" s="2" t="s">
        <v>379</v>
      </c>
      <c r="AB2698" s="2" t="s">
        <v>18096</v>
      </c>
      <c r="AC2698" s="2">
        <v>4.5284632846109103</v>
      </c>
      <c r="AD2698" s="2"/>
      <c r="AE2698" s="2">
        <v>0.230782074291599</v>
      </c>
      <c r="AF2698" s="2">
        <v>7116.8989537370298</v>
      </c>
      <c r="AG2698" s="2">
        <v>10330.585542061201</v>
      </c>
      <c r="AH2698" s="4">
        <v>0.68891534993446601</v>
      </c>
      <c r="AI2698" s="4">
        <v>-0.53760137136624397</v>
      </c>
      <c r="AJ2698" s="4" t="s">
        <v>62</v>
      </c>
      <c r="AK2698" s="2">
        <v>0.32732111837645</v>
      </c>
      <c r="AL2698" s="2">
        <v>0.62992073899545697</v>
      </c>
      <c r="AM2698" s="2">
        <v>11606.4416832843</v>
      </c>
      <c r="AN2698" s="2">
        <v>4786.0704245666502</v>
      </c>
      <c r="AO2698" s="2">
        <v>6635.3086308717802</v>
      </c>
      <c r="AP2698" s="2">
        <v>11803.930231443799</v>
      </c>
      <c r="AQ2698" s="2">
        <v>4879.7760071864404</v>
      </c>
      <c r="AR2698" s="2">
        <v>2989.8667450692301</v>
      </c>
      <c r="AS2698" s="2">
        <v>2433.8504717425099</v>
      </c>
      <c r="AT2698" s="2">
        <v>8240.1631944409291</v>
      </c>
      <c r="AU2698" s="2">
        <v>12253.6257767671</v>
      </c>
      <c r="AV2698" s="2">
        <v>20419.5414766018</v>
      </c>
      <c r="AW2698" s="2">
        <v>14217.787418022001</v>
      </c>
      <c r="AX2698" s="2">
        <v>4418.5449147929103</v>
      </c>
    </row>
    <row r="2699" spans="1:50" x14ac:dyDescent="0.25">
      <c r="A2699" s="2" t="s">
        <v>18097</v>
      </c>
      <c r="B2699" s="2">
        <v>197.12906122250399</v>
      </c>
      <c r="C2699" s="2">
        <v>4.0687333333333298</v>
      </c>
      <c r="D2699" s="2" t="s">
        <v>51</v>
      </c>
      <c r="E2699" s="2" t="s">
        <v>18098</v>
      </c>
      <c r="F2699" s="2">
        <v>197150</v>
      </c>
      <c r="G2699" s="3" t="str">
        <f>HYPERLINK("https://cloud.oebiotech.com/#/lm/network/197150", "https://cloud.oebiotech.com/#/lm/network/197150")</f>
        <v>https://cloud.oebiotech.com/#/lm/network/197150</v>
      </c>
      <c r="H2699" s="2" t="s">
        <v>18099</v>
      </c>
      <c r="I2699" s="2"/>
      <c r="J2699" s="2"/>
      <c r="K2699" s="2">
        <v>6992261</v>
      </c>
      <c r="L2699" s="2"/>
      <c r="M2699" s="2"/>
      <c r="N2699" s="2"/>
      <c r="O2699" s="2"/>
      <c r="P2699" s="2"/>
      <c r="Q2699" s="2"/>
      <c r="R2699" s="2"/>
      <c r="S2699" s="2" t="s">
        <v>18100</v>
      </c>
      <c r="T2699" s="2" t="s">
        <v>18101</v>
      </c>
      <c r="U2699" s="2" t="s">
        <v>103</v>
      </c>
      <c r="V2699" s="2" t="s">
        <v>104</v>
      </c>
      <c r="W2699" s="2" t="s">
        <v>105</v>
      </c>
      <c r="X2699" s="2" t="s">
        <v>83</v>
      </c>
      <c r="Y2699" s="2">
        <v>39.6</v>
      </c>
      <c r="Z2699" s="2">
        <v>0</v>
      </c>
      <c r="AA2699" s="2" t="s">
        <v>259</v>
      </c>
      <c r="AB2699" s="2" t="s">
        <v>13250</v>
      </c>
      <c r="AC2699" s="2">
        <v>3.0951714175228999</v>
      </c>
      <c r="AD2699" s="2"/>
      <c r="AE2699" s="2">
        <v>0.230711470991247</v>
      </c>
      <c r="AF2699" s="2">
        <v>5523.8696298048399</v>
      </c>
      <c r="AG2699" s="2">
        <v>7567.0399614288099</v>
      </c>
      <c r="AH2699" s="4">
        <v>0.72999080987565201</v>
      </c>
      <c r="AI2699" s="4">
        <v>-0.45404979340194002</v>
      </c>
      <c r="AJ2699" s="4" t="s">
        <v>62</v>
      </c>
      <c r="AK2699" s="2">
        <v>0.244216115711194</v>
      </c>
      <c r="AL2699" s="2">
        <v>0.56903888499896405</v>
      </c>
      <c r="AM2699" s="2">
        <v>4307.9512882766703</v>
      </c>
      <c r="AN2699" s="2">
        <v>5935.1241662105303</v>
      </c>
      <c r="AO2699" s="2">
        <v>5097.1772225700297</v>
      </c>
      <c r="AP2699" s="2">
        <v>8656.3394051736996</v>
      </c>
      <c r="AQ2699" s="2">
        <v>3778.2903069879999</v>
      </c>
      <c r="AR2699" s="2">
        <v>5368.3353896101098</v>
      </c>
      <c r="AS2699" s="2">
        <v>3257.1489116121402</v>
      </c>
      <c r="AT2699" s="2">
        <v>5120.9175299935396</v>
      </c>
      <c r="AU2699" s="2">
        <v>9239.2249939346893</v>
      </c>
      <c r="AV2699" s="2">
        <v>5820.2779701224899</v>
      </c>
      <c r="AW2699" s="2">
        <v>13565.718751988001</v>
      </c>
      <c r="AX2699" s="2">
        <v>8398.9516109219894</v>
      </c>
    </row>
    <row r="2700" spans="1:50" x14ac:dyDescent="0.25">
      <c r="A2700" s="2" t="s">
        <v>18102</v>
      </c>
      <c r="B2700" s="2">
        <v>786.40197565396795</v>
      </c>
      <c r="C2700" s="2">
        <v>4.9338333333333297</v>
      </c>
      <c r="D2700" s="2" t="s">
        <v>51</v>
      </c>
      <c r="E2700" s="2" t="s">
        <v>18103</v>
      </c>
      <c r="F2700" s="2">
        <v>28002</v>
      </c>
      <c r="G2700" s="3" t="str">
        <f>HYPERLINK("https://cloud.oebiotech.com/#/lm/network/28002", "https://cloud.oebiotech.com/#/lm/network/28002")</f>
        <v>https://cloud.oebiotech.com/#/lm/network/28002</v>
      </c>
      <c r="H2700" s="2"/>
      <c r="I2700" s="2"/>
      <c r="J2700" s="2" t="s">
        <v>18104</v>
      </c>
      <c r="K2700" s="2">
        <v>134812449</v>
      </c>
      <c r="L2700" s="2"/>
      <c r="M2700" s="2"/>
      <c r="N2700" s="2"/>
      <c r="O2700" s="2"/>
      <c r="P2700" s="2"/>
      <c r="Q2700" s="2"/>
      <c r="R2700" s="2"/>
      <c r="S2700" s="2" t="s">
        <v>18105</v>
      </c>
      <c r="T2700" s="2" t="s">
        <v>18106</v>
      </c>
      <c r="U2700" s="2" t="s">
        <v>56</v>
      </c>
      <c r="V2700" s="2" t="s">
        <v>57</v>
      </c>
      <c r="W2700" s="2" t="s">
        <v>1097</v>
      </c>
      <c r="X2700" s="2" t="s">
        <v>147</v>
      </c>
      <c r="Y2700" s="2">
        <v>36.9</v>
      </c>
      <c r="Z2700" s="2">
        <v>0</v>
      </c>
      <c r="AA2700" s="2" t="s">
        <v>512</v>
      </c>
      <c r="AB2700" s="2" t="s">
        <v>18107</v>
      </c>
      <c r="AC2700" s="2">
        <v>-2.04637847599736</v>
      </c>
      <c r="AD2700" s="2"/>
      <c r="AE2700" s="2">
        <v>0.230698427555875</v>
      </c>
      <c r="AF2700" s="2">
        <v>3032.4580184576798</v>
      </c>
      <c r="AG2700" s="2">
        <v>1342.1058768499799</v>
      </c>
      <c r="AH2700" s="5">
        <v>2.25947749038628</v>
      </c>
      <c r="AI2700" s="5">
        <v>1.17598918450622</v>
      </c>
      <c r="AJ2700" s="5" t="s">
        <v>139</v>
      </c>
      <c r="AK2700" s="2">
        <v>0.18261103214132901</v>
      </c>
      <c r="AL2700" s="2">
        <v>0.50543668896180405</v>
      </c>
      <c r="AM2700" s="2">
        <v>7072.2126910861498</v>
      </c>
      <c r="AN2700" s="2">
        <v>393.87704216096802</v>
      </c>
      <c r="AO2700" s="2">
        <v>3822.7150005567501</v>
      </c>
      <c r="AP2700" s="2">
        <v>2067.18326427785</v>
      </c>
      <c r="AQ2700" s="2">
        <v>3294.6478421381398</v>
      </c>
      <c r="AR2700" s="2">
        <v>1544.1122705262301</v>
      </c>
      <c r="AS2700" s="2">
        <v>8.559877937157E-6</v>
      </c>
      <c r="AT2700" s="2">
        <v>368.57776662598701</v>
      </c>
      <c r="AU2700" s="2">
        <v>1220.45135910519</v>
      </c>
      <c r="AV2700" s="2">
        <v>766.21881030621205</v>
      </c>
      <c r="AW2700" s="2">
        <v>973.04306506936496</v>
      </c>
      <c r="AX2700" s="2">
        <v>4724.3442514332701</v>
      </c>
    </row>
    <row r="2701" spans="1:50" x14ac:dyDescent="0.25">
      <c r="A2701" s="2" t="s">
        <v>18108</v>
      </c>
      <c r="B2701" s="2">
        <v>307.19161129856201</v>
      </c>
      <c r="C2701" s="2">
        <v>8.3861666666666697</v>
      </c>
      <c r="D2701" s="2" t="s">
        <v>51</v>
      </c>
      <c r="E2701" s="2" t="s">
        <v>18109</v>
      </c>
      <c r="F2701" s="2">
        <v>3457</v>
      </c>
      <c r="G2701" s="3" t="str">
        <f>HYPERLINK("https://cloud.oebiotech.com/#/lm/network/3457", "https://cloud.oebiotech.com/#/lm/network/3457")</f>
        <v>https://cloud.oebiotech.com/#/lm/network/3457</v>
      </c>
      <c r="H2701" s="2"/>
      <c r="I2701" s="2"/>
      <c r="J2701" s="2" t="s">
        <v>18110</v>
      </c>
      <c r="K2701" s="2">
        <v>131839865</v>
      </c>
      <c r="L2701" s="2"/>
      <c r="M2701" s="2"/>
      <c r="N2701" s="2"/>
      <c r="O2701" s="2"/>
      <c r="P2701" s="2"/>
      <c r="Q2701" s="2"/>
      <c r="R2701" s="2"/>
      <c r="S2701" s="2" t="s">
        <v>18111</v>
      </c>
      <c r="T2701" s="2" t="s">
        <v>18112</v>
      </c>
      <c r="U2701" s="2" t="s">
        <v>56</v>
      </c>
      <c r="V2701" s="2" t="s">
        <v>145</v>
      </c>
      <c r="W2701" s="2" t="s">
        <v>187</v>
      </c>
      <c r="X2701" s="2" t="s">
        <v>69</v>
      </c>
      <c r="Y2701" s="2">
        <v>68.099999999999994</v>
      </c>
      <c r="Z2701" s="2">
        <v>58.6</v>
      </c>
      <c r="AA2701" s="2" t="s">
        <v>163</v>
      </c>
      <c r="AB2701" s="2" t="s">
        <v>12571</v>
      </c>
      <c r="AC2701" s="2">
        <v>0.416466185035271</v>
      </c>
      <c r="AD2701" s="2"/>
      <c r="AE2701" s="2">
        <v>0.23059828188492501</v>
      </c>
      <c r="AF2701" s="2">
        <v>14659.8283419328</v>
      </c>
      <c r="AG2701" s="2">
        <v>11941.359334020801</v>
      </c>
      <c r="AH2701" s="5">
        <v>1.2276515538869199</v>
      </c>
      <c r="AI2701" s="5">
        <v>0.29590113659257899</v>
      </c>
      <c r="AJ2701" s="5" t="s">
        <v>139</v>
      </c>
      <c r="AK2701" s="2">
        <v>0.60200675369976397</v>
      </c>
      <c r="AL2701" s="2">
        <v>0.80119123441279905</v>
      </c>
      <c r="AM2701" s="2">
        <v>15153.3475448053</v>
      </c>
      <c r="AN2701" s="2">
        <v>36334.606467291298</v>
      </c>
      <c r="AO2701" s="2">
        <v>11433.5954627969</v>
      </c>
      <c r="AP2701" s="2">
        <v>7124.4510139304903</v>
      </c>
      <c r="AQ2701" s="2">
        <v>8398.7226792205001</v>
      </c>
      <c r="AR2701" s="2">
        <v>9514.2468835520303</v>
      </c>
      <c r="AS2701" s="2">
        <v>13342.224001361899</v>
      </c>
      <c r="AT2701" s="2">
        <v>4361.7483435701797</v>
      </c>
      <c r="AU2701" s="2">
        <v>20000.641371365498</v>
      </c>
      <c r="AV2701" s="2">
        <v>7510.59415664474</v>
      </c>
      <c r="AW2701" s="2">
        <v>10537.079629436401</v>
      </c>
      <c r="AX2701" s="2">
        <v>15895.868501746199</v>
      </c>
    </row>
    <row r="2702" spans="1:50" x14ac:dyDescent="0.25">
      <c r="A2702" s="2" t="s">
        <v>18113</v>
      </c>
      <c r="B2702" s="2">
        <v>379.127681296118</v>
      </c>
      <c r="C2702" s="2">
        <v>4.6271666666666702</v>
      </c>
      <c r="D2702" s="2" t="s">
        <v>51</v>
      </c>
      <c r="E2702" s="2" t="s">
        <v>18114</v>
      </c>
      <c r="F2702" s="2">
        <v>201543</v>
      </c>
      <c r="G2702" s="3" t="str">
        <f>HYPERLINK("https://cloud.oebiotech.com/#/lm/network/201543", "https://cloud.oebiotech.com/#/lm/network/201543")</f>
        <v>https://cloud.oebiotech.com/#/lm/network/201543</v>
      </c>
      <c r="H2702" s="2" t="s">
        <v>18115</v>
      </c>
      <c r="I2702" s="2"/>
      <c r="J2702" s="2"/>
      <c r="K2702" s="2">
        <v>3025986</v>
      </c>
      <c r="L2702" s="2"/>
      <c r="M2702" s="2"/>
      <c r="N2702" s="2"/>
      <c r="O2702" s="2">
        <v>91399</v>
      </c>
      <c r="P2702" s="2"/>
      <c r="Q2702" s="2"/>
      <c r="R2702" s="2"/>
      <c r="S2702" s="2" t="s">
        <v>18116</v>
      </c>
      <c r="T2702" s="2" t="s">
        <v>18117</v>
      </c>
      <c r="U2702" s="2" t="s">
        <v>266</v>
      </c>
      <c r="V2702" s="2" t="s">
        <v>1742</v>
      </c>
      <c r="W2702" s="2" t="s">
        <v>18118</v>
      </c>
      <c r="X2702" s="2" t="s">
        <v>147</v>
      </c>
      <c r="Y2702" s="2">
        <v>37</v>
      </c>
      <c r="Z2702" s="2">
        <v>0</v>
      </c>
      <c r="AA2702" s="2" t="s">
        <v>241</v>
      </c>
      <c r="AB2702" s="2" t="s">
        <v>18119</v>
      </c>
      <c r="AC2702" s="2">
        <v>2.34049035040537</v>
      </c>
      <c r="AD2702" s="2"/>
      <c r="AE2702" s="2">
        <v>0.23055814977321301</v>
      </c>
      <c r="AF2702" s="2">
        <v>53238.200448681098</v>
      </c>
      <c r="AG2702" s="2">
        <v>43206.339206889599</v>
      </c>
      <c r="AH2702" s="5">
        <v>1.23218493919966</v>
      </c>
      <c r="AI2702" s="5">
        <v>0.30121880704119702</v>
      </c>
      <c r="AJ2702" s="5" t="s">
        <v>139</v>
      </c>
      <c r="AK2702" s="2">
        <v>0.62048607958928004</v>
      </c>
      <c r="AL2702" s="2">
        <v>0.81248878430468197</v>
      </c>
      <c r="AM2702" s="2">
        <v>19915.042088557999</v>
      </c>
      <c r="AN2702" s="2">
        <v>62730.820330778501</v>
      </c>
      <c r="AO2702" s="2">
        <v>63946.1736643412</v>
      </c>
      <c r="AP2702" s="2">
        <v>39660.8354488513</v>
      </c>
      <c r="AQ2702" s="2">
        <v>50949.668854948199</v>
      </c>
      <c r="AR2702" s="2">
        <v>82226.662304609199</v>
      </c>
      <c r="AS2702" s="2">
        <v>59465.301764845899</v>
      </c>
      <c r="AT2702" s="2">
        <v>53192.680543010298</v>
      </c>
      <c r="AU2702" s="2">
        <v>15275.7590976624</v>
      </c>
      <c r="AV2702" s="2">
        <v>7848.0090132709001</v>
      </c>
      <c r="AW2702" s="2">
        <v>6322.6597054172898</v>
      </c>
      <c r="AX2702" s="2">
        <v>117133.625117131</v>
      </c>
    </row>
    <row r="2703" spans="1:50" x14ac:dyDescent="0.25">
      <c r="A2703" s="2" t="s">
        <v>18120</v>
      </c>
      <c r="B2703" s="2">
        <v>451.28725049245799</v>
      </c>
      <c r="C2703" s="2">
        <v>12.1338666666667</v>
      </c>
      <c r="D2703" s="2" t="s">
        <v>51</v>
      </c>
      <c r="E2703" s="2" t="s">
        <v>18121</v>
      </c>
      <c r="F2703" s="2">
        <v>210433</v>
      </c>
      <c r="G2703" s="3" t="str">
        <f>HYPERLINK("https://cloud.oebiotech.com/#/lm/network/210433", "https://cloud.oebiotech.com/#/lm/network/210433")</f>
        <v>https://cloud.oebiotech.com/#/lm/network/210433</v>
      </c>
      <c r="H2703" s="2" t="s">
        <v>18122</v>
      </c>
      <c r="I2703" s="2">
        <v>320295</v>
      </c>
      <c r="J2703" s="2"/>
      <c r="K2703" s="2">
        <v>68802</v>
      </c>
      <c r="L2703" s="2"/>
      <c r="M2703" s="2"/>
      <c r="N2703" s="2"/>
      <c r="O2703" s="2"/>
      <c r="P2703" s="2"/>
      <c r="Q2703" s="2"/>
      <c r="R2703" s="2"/>
      <c r="S2703" s="2" t="s">
        <v>18123</v>
      </c>
      <c r="T2703" s="2" t="s">
        <v>18124</v>
      </c>
      <c r="U2703" s="2" t="s">
        <v>266</v>
      </c>
      <c r="V2703" s="2" t="s">
        <v>445</v>
      </c>
      <c r="W2703" s="2" t="s">
        <v>911</v>
      </c>
      <c r="X2703" s="2" t="s">
        <v>147</v>
      </c>
      <c r="Y2703" s="2">
        <v>39.4</v>
      </c>
      <c r="Z2703" s="2">
        <v>0</v>
      </c>
      <c r="AA2703" s="2" t="s">
        <v>478</v>
      </c>
      <c r="AB2703" s="2" t="s">
        <v>18125</v>
      </c>
      <c r="AC2703" s="2">
        <v>1.1712530826442</v>
      </c>
      <c r="AD2703" s="2"/>
      <c r="AE2703" s="2">
        <v>0.23046389405187101</v>
      </c>
      <c r="AF2703" s="2">
        <v>3266.53615552887</v>
      </c>
      <c r="AG2703" s="2">
        <v>5163.6954894869996</v>
      </c>
      <c r="AH2703" s="4">
        <v>0.63259658943470898</v>
      </c>
      <c r="AI2703" s="4">
        <v>-0.66064231712072996</v>
      </c>
      <c r="AJ2703" s="4" t="s">
        <v>62</v>
      </c>
      <c r="AK2703" s="2">
        <v>3.5140620498644901E-2</v>
      </c>
      <c r="AL2703" s="2">
        <v>0.27343363551828997</v>
      </c>
      <c r="AM2703" s="2">
        <v>3265.2350142897199</v>
      </c>
      <c r="AN2703" s="2">
        <v>3213.7358987739699</v>
      </c>
      <c r="AO2703" s="2">
        <v>3031.5405435440098</v>
      </c>
      <c r="AP2703" s="2">
        <v>3510.7226514595</v>
      </c>
      <c r="AQ2703" s="2">
        <v>3322.8739839728801</v>
      </c>
      <c r="AR2703" s="2">
        <v>3255.1088411331202</v>
      </c>
      <c r="AS2703" s="2">
        <v>2540.7098793872001</v>
      </c>
      <c r="AT2703" s="2">
        <v>7642.4190684157802</v>
      </c>
      <c r="AU2703" s="2">
        <v>5518.8809341991</v>
      </c>
      <c r="AV2703" s="2">
        <v>5284.2265257129802</v>
      </c>
      <c r="AW2703" s="2">
        <v>6558.1414911296097</v>
      </c>
      <c r="AX2703" s="2">
        <v>3437.79503807731</v>
      </c>
    </row>
    <row r="2704" spans="1:50" x14ac:dyDescent="0.25">
      <c r="A2704" s="2" t="s">
        <v>18126</v>
      </c>
      <c r="B2704" s="2">
        <v>515.36826008606999</v>
      </c>
      <c r="C2704" s="2">
        <v>9.0521333333333303</v>
      </c>
      <c r="D2704" s="2" t="s">
        <v>51</v>
      </c>
      <c r="E2704" s="2" t="s">
        <v>18127</v>
      </c>
      <c r="F2704" s="2">
        <v>274759</v>
      </c>
      <c r="G2704" s="3" t="str">
        <f>HYPERLINK("https://cloud.oebiotech.com/#/lm/network/274759", "https://cloud.oebiotech.com/#/lm/network/274759")</f>
        <v>https://cloud.oebiotech.com/#/lm/network/274759</v>
      </c>
      <c r="H2704" s="2"/>
      <c r="I2704" s="2">
        <v>65437</v>
      </c>
      <c r="J2704" s="2"/>
      <c r="K2704" s="2">
        <v>25058102</v>
      </c>
      <c r="L2704" s="2"/>
      <c r="M2704" s="2"/>
      <c r="N2704" s="2"/>
      <c r="O2704" s="2"/>
      <c r="P2704" s="2"/>
      <c r="Q2704" s="2"/>
      <c r="R2704" s="2"/>
      <c r="S2704" s="2" t="s">
        <v>18128</v>
      </c>
      <c r="T2704" s="2" t="s">
        <v>18129</v>
      </c>
      <c r="U2704" s="2" t="s">
        <v>103</v>
      </c>
      <c r="V2704" s="2" t="s">
        <v>1372</v>
      </c>
      <c r="W2704" s="2" t="s">
        <v>10005</v>
      </c>
      <c r="X2704" s="2" t="s">
        <v>147</v>
      </c>
      <c r="Y2704" s="2">
        <v>36</v>
      </c>
      <c r="Z2704" s="2">
        <v>0</v>
      </c>
      <c r="AA2704" s="2" t="s">
        <v>512</v>
      </c>
      <c r="AB2704" s="2" t="s">
        <v>18130</v>
      </c>
      <c r="AC2704" s="2">
        <v>-1.6453547882511099</v>
      </c>
      <c r="AD2704" s="2"/>
      <c r="AE2704" s="2">
        <v>0.230443642644069</v>
      </c>
      <c r="AF2704" s="2">
        <v>12183.983443670801</v>
      </c>
      <c r="AG2704" s="2">
        <v>9839.9961292849803</v>
      </c>
      <c r="AH2704" s="5">
        <v>1.23821018662902</v>
      </c>
      <c r="AI2704" s="5">
        <v>0.30825623334761798</v>
      </c>
      <c r="AJ2704" s="5" t="s">
        <v>139</v>
      </c>
      <c r="AK2704" s="2">
        <v>0.162063959443285</v>
      </c>
      <c r="AL2704" s="2">
        <v>0.48399353100485398</v>
      </c>
      <c r="AM2704" s="2">
        <v>10570.5106247531</v>
      </c>
      <c r="AN2704" s="2">
        <v>10201.9597342203</v>
      </c>
      <c r="AO2704" s="2">
        <v>11122.4913759795</v>
      </c>
      <c r="AP2704" s="2">
        <v>12009.177353864199</v>
      </c>
      <c r="AQ2704" s="2">
        <v>10965.6286168878</v>
      </c>
      <c r="AR2704" s="2">
        <v>18234.1329563201</v>
      </c>
      <c r="AS2704" s="2">
        <v>9923.4487142579401</v>
      </c>
      <c r="AT2704" s="2">
        <v>13168.7015501395</v>
      </c>
      <c r="AU2704" s="2">
        <v>10452.9871815027</v>
      </c>
      <c r="AV2704" s="2">
        <v>7794.6041678680604</v>
      </c>
      <c r="AW2704" s="2">
        <v>10964.2991677888</v>
      </c>
      <c r="AX2704" s="2">
        <v>6735.9359941528701</v>
      </c>
    </row>
    <row r="2705" spans="1:50" x14ac:dyDescent="0.25">
      <c r="A2705" s="2" t="s">
        <v>18131</v>
      </c>
      <c r="B2705" s="2">
        <v>763.36144285237197</v>
      </c>
      <c r="C2705" s="2">
        <v>4.2970333333333297</v>
      </c>
      <c r="D2705" s="2" t="s">
        <v>51</v>
      </c>
      <c r="E2705" s="2" t="s">
        <v>18132</v>
      </c>
      <c r="F2705" s="2">
        <v>57488</v>
      </c>
      <c r="G2705" s="3" t="str">
        <f>HYPERLINK("https://cloud.oebiotech.com/#/lm/network/57488", "https://cloud.oebiotech.com/#/lm/network/57488")</f>
        <v>https://cloud.oebiotech.com/#/lm/network/57488</v>
      </c>
      <c r="H2705" s="2" t="s">
        <v>18133</v>
      </c>
      <c r="I2705" s="2">
        <v>89104</v>
      </c>
      <c r="J2705" s="2"/>
      <c r="K2705" s="2">
        <v>85225480</v>
      </c>
      <c r="L2705" s="2"/>
      <c r="M2705" s="2"/>
      <c r="N2705" s="2"/>
      <c r="O2705" s="2">
        <v>167921</v>
      </c>
      <c r="P2705" s="2"/>
      <c r="Q2705" s="2"/>
      <c r="R2705" s="2" t="s">
        <v>18134</v>
      </c>
      <c r="S2705" s="2" t="s">
        <v>18135</v>
      </c>
      <c r="T2705" s="2" t="s">
        <v>18136</v>
      </c>
      <c r="U2705" s="2" t="s">
        <v>331</v>
      </c>
      <c r="V2705" s="2" t="s">
        <v>332</v>
      </c>
      <c r="W2705" s="2" t="s">
        <v>333</v>
      </c>
      <c r="X2705" s="2" t="s">
        <v>147</v>
      </c>
      <c r="Y2705" s="2">
        <v>37.6</v>
      </c>
      <c r="Z2705" s="2">
        <v>0</v>
      </c>
      <c r="AA2705" s="2" t="s">
        <v>478</v>
      </c>
      <c r="AB2705" s="2" t="s">
        <v>18137</v>
      </c>
      <c r="AC2705" s="2">
        <v>1.2101098170406499</v>
      </c>
      <c r="AD2705" s="2"/>
      <c r="AE2705" s="2">
        <v>0.230318551735924</v>
      </c>
      <c r="AF2705" s="2">
        <v>3587.1846965711102</v>
      </c>
      <c r="AG2705" s="2">
        <v>1380.1929493861101</v>
      </c>
      <c r="AH2705" s="5">
        <v>2.59904580599882</v>
      </c>
      <c r="AI2705" s="5">
        <v>1.3779820603222299</v>
      </c>
      <c r="AJ2705" s="5" t="s">
        <v>139</v>
      </c>
      <c r="AK2705" s="2">
        <v>0.168488782016809</v>
      </c>
      <c r="AL2705" s="2">
        <v>0.49098458663462602</v>
      </c>
      <c r="AM2705" s="2">
        <v>3550.2584557844002</v>
      </c>
      <c r="AN2705" s="2">
        <v>1324.6415739510001</v>
      </c>
      <c r="AO2705" s="2">
        <v>8668.1457494883598</v>
      </c>
      <c r="AP2705" s="2">
        <v>2701.1672950236998</v>
      </c>
      <c r="AQ2705" s="2">
        <v>8.559877937157E-6</v>
      </c>
      <c r="AR2705" s="2">
        <v>5278.8950966193497</v>
      </c>
      <c r="AS2705" s="2">
        <v>8.559877937157E-6</v>
      </c>
      <c r="AT2705" s="2">
        <v>8.559877937157E-6</v>
      </c>
      <c r="AU2705" s="2">
        <v>1261.67758003823</v>
      </c>
      <c r="AV2705" s="2">
        <v>940.08288279686701</v>
      </c>
      <c r="AW2705" s="2">
        <v>880.20990149401905</v>
      </c>
      <c r="AX2705" s="2">
        <v>5199.1873148678096</v>
      </c>
    </row>
    <row r="2706" spans="1:50" x14ac:dyDescent="0.25">
      <c r="A2706" s="2" t="s">
        <v>18138</v>
      </c>
      <c r="B2706" s="2">
        <v>450.38002984689098</v>
      </c>
      <c r="C2706" s="2">
        <v>12.194933333333299</v>
      </c>
      <c r="D2706" s="2" t="s">
        <v>51</v>
      </c>
      <c r="E2706" s="2" t="s">
        <v>18139</v>
      </c>
      <c r="F2706" s="2">
        <v>256148</v>
      </c>
      <c r="G2706" s="3" t="str">
        <f>HYPERLINK("https://cloud.oebiotech.com/#/lm/network/256148", "https://cloud.oebiotech.com/#/lm/network/256148")</f>
        <v>https://cloud.oebiotech.com/#/lm/network/256148</v>
      </c>
      <c r="H2706" s="2" t="s">
        <v>18140</v>
      </c>
      <c r="I2706" s="2"/>
      <c r="J2706" s="2"/>
      <c r="K2706" s="2">
        <v>9954527</v>
      </c>
      <c r="L2706" s="2"/>
      <c r="M2706" s="2"/>
      <c r="N2706" s="2"/>
      <c r="O2706" s="2"/>
      <c r="P2706" s="2"/>
      <c r="Q2706" s="2"/>
      <c r="R2706" s="2"/>
      <c r="S2706" s="2" t="s">
        <v>18141</v>
      </c>
      <c r="T2706" s="2" t="s">
        <v>18142</v>
      </c>
      <c r="U2706" s="2" t="s">
        <v>56</v>
      </c>
      <c r="V2706" s="2" t="s">
        <v>3215</v>
      </c>
      <c r="W2706" s="2" t="s">
        <v>3216</v>
      </c>
      <c r="X2706" s="2" t="s">
        <v>83</v>
      </c>
      <c r="Y2706" s="2">
        <v>48.2</v>
      </c>
      <c r="Z2706" s="2">
        <v>14.6</v>
      </c>
      <c r="AA2706" s="2" t="s">
        <v>148</v>
      </c>
      <c r="AB2706" s="2" t="s">
        <v>18143</v>
      </c>
      <c r="AC2706" s="2">
        <v>2.5790975742617399</v>
      </c>
      <c r="AD2706" s="2"/>
      <c r="AE2706" s="2">
        <v>0.23024986823864799</v>
      </c>
      <c r="AF2706" s="2">
        <v>19993.538986417501</v>
      </c>
      <c r="AG2706" s="2">
        <v>17809.2976310712</v>
      </c>
      <c r="AH2706" s="5">
        <v>1.1226461256695199</v>
      </c>
      <c r="AI2706" s="5">
        <v>0.166903241009322</v>
      </c>
      <c r="AJ2706" s="5" t="s">
        <v>139</v>
      </c>
      <c r="AK2706" s="2">
        <v>0.75229242147380504</v>
      </c>
      <c r="AL2706" s="2">
        <v>0.88799216304912298</v>
      </c>
      <c r="AM2706" s="2">
        <v>50767.4907915156</v>
      </c>
      <c r="AN2706" s="2">
        <v>16402.2249497306</v>
      </c>
      <c r="AO2706" s="2">
        <v>15975.068418220801</v>
      </c>
      <c r="AP2706" s="2">
        <v>10244.9056176095</v>
      </c>
      <c r="AQ2706" s="2">
        <v>16967.804869047999</v>
      </c>
      <c r="AR2706" s="2">
        <v>9603.7392723806406</v>
      </c>
      <c r="AS2706" s="2">
        <v>22243.9172979469</v>
      </c>
      <c r="AT2706" s="2">
        <v>17479.673409047999</v>
      </c>
      <c r="AU2706" s="2">
        <v>6687.3850949995904</v>
      </c>
      <c r="AV2706" s="2">
        <v>21428.962856847498</v>
      </c>
      <c r="AW2706" s="2">
        <v>17363.0918919012</v>
      </c>
      <c r="AX2706" s="2">
        <v>21652.755235684101</v>
      </c>
    </row>
    <row r="2707" spans="1:50" x14ac:dyDescent="0.25">
      <c r="A2707" s="2" t="s">
        <v>18144</v>
      </c>
      <c r="B2707" s="2">
        <v>279.00622594063998</v>
      </c>
      <c r="C2707" s="2">
        <v>9.31598333333333</v>
      </c>
      <c r="D2707" s="2" t="s">
        <v>51</v>
      </c>
      <c r="E2707" s="2" t="s">
        <v>18145</v>
      </c>
      <c r="F2707" s="2">
        <v>53036</v>
      </c>
      <c r="G2707" s="3" t="str">
        <f>HYPERLINK("https://cloud.oebiotech.com/#/lm/network/53036", "https://cloud.oebiotech.com/#/lm/network/53036")</f>
        <v>https://cloud.oebiotech.com/#/lm/network/53036</v>
      </c>
      <c r="H2707" s="2" t="s">
        <v>18146</v>
      </c>
      <c r="I2707" s="2">
        <v>2321</v>
      </c>
      <c r="J2707" s="2"/>
      <c r="K2707" s="2">
        <v>5070</v>
      </c>
      <c r="L2707" s="2" t="s">
        <v>18147</v>
      </c>
      <c r="M2707" s="2"/>
      <c r="N2707" s="2"/>
      <c r="O2707" s="2">
        <v>138898</v>
      </c>
      <c r="P2707" s="2"/>
      <c r="Q2707" s="2"/>
      <c r="R2707" s="2" t="s">
        <v>18148</v>
      </c>
      <c r="S2707" s="2" t="s">
        <v>18149</v>
      </c>
      <c r="T2707" s="2" t="s">
        <v>18150</v>
      </c>
      <c r="U2707" s="2" t="s">
        <v>266</v>
      </c>
      <c r="V2707" s="2" t="s">
        <v>9065</v>
      </c>
      <c r="W2707" s="2" t="s">
        <v>240</v>
      </c>
      <c r="X2707" s="2" t="s">
        <v>147</v>
      </c>
      <c r="Y2707" s="2">
        <v>40.4</v>
      </c>
      <c r="Z2707" s="2">
        <v>17.899999999999999</v>
      </c>
      <c r="AA2707" s="2" t="s">
        <v>218</v>
      </c>
      <c r="AB2707" s="2" t="s">
        <v>18151</v>
      </c>
      <c r="AC2707" s="2">
        <v>2.3701001241378199</v>
      </c>
      <c r="AD2707" s="2"/>
      <c r="AE2707" s="2">
        <v>0.23023573561025901</v>
      </c>
      <c r="AF2707" s="2">
        <v>9795.0206653819096</v>
      </c>
      <c r="AG2707" s="2">
        <v>10926.156466250601</v>
      </c>
      <c r="AH2707" s="4">
        <v>0.89647450094984504</v>
      </c>
      <c r="AI2707" s="4">
        <v>-0.157665546792469</v>
      </c>
      <c r="AJ2707" s="4" t="s">
        <v>62</v>
      </c>
      <c r="AK2707" s="2">
        <v>5.3825344192861502E-2</v>
      </c>
      <c r="AL2707" s="2">
        <v>0.31892322202896101</v>
      </c>
      <c r="AM2707" s="2">
        <v>8722.4945671162095</v>
      </c>
      <c r="AN2707" s="2">
        <v>8885.3793681864408</v>
      </c>
      <c r="AO2707" s="2">
        <v>9668.3793317568307</v>
      </c>
      <c r="AP2707" s="2">
        <v>10360.888690485601</v>
      </c>
      <c r="AQ2707" s="2">
        <v>11068.065240792999</v>
      </c>
      <c r="AR2707" s="2">
        <v>10064.9167939534</v>
      </c>
      <c r="AS2707" s="2">
        <v>11804.1405276566</v>
      </c>
      <c r="AT2707" s="2">
        <v>11207.467455431501</v>
      </c>
      <c r="AU2707" s="2">
        <v>9412.4872710767795</v>
      </c>
      <c r="AV2707" s="2">
        <v>11796.761735329999</v>
      </c>
      <c r="AW2707" s="2">
        <v>10629.815202342101</v>
      </c>
      <c r="AX2707" s="2">
        <v>10706.2666056665</v>
      </c>
    </row>
    <row r="2708" spans="1:50" x14ac:dyDescent="0.25">
      <c r="A2708" s="2" t="s">
        <v>18152</v>
      </c>
      <c r="B2708" s="2">
        <v>233.18662660425699</v>
      </c>
      <c r="C2708" s="2">
        <v>4.5257666666666703</v>
      </c>
      <c r="D2708" s="2" t="s">
        <v>51</v>
      </c>
      <c r="E2708" s="2" t="s">
        <v>18153</v>
      </c>
      <c r="F2708" s="2">
        <v>202205</v>
      </c>
      <c r="G2708" s="3" t="str">
        <f>HYPERLINK("https://cloud.oebiotech.com/#/lm/network/202205", "https://cloud.oebiotech.com/#/lm/network/202205")</f>
        <v>https://cloud.oebiotech.com/#/lm/network/202205</v>
      </c>
      <c r="H2708" s="2" t="s">
        <v>18154</v>
      </c>
      <c r="I2708" s="2">
        <v>72595</v>
      </c>
      <c r="J2708" s="2"/>
      <c r="K2708" s="2">
        <v>104150</v>
      </c>
      <c r="L2708" s="2" t="s">
        <v>18155</v>
      </c>
      <c r="M2708" s="2"/>
      <c r="N2708" s="2"/>
      <c r="O2708" s="2"/>
      <c r="P2708" s="2"/>
      <c r="Q2708" s="2"/>
      <c r="R2708" s="2" t="s">
        <v>18156</v>
      </c>
      <c r="S2708" s="2" t="s">
        <v>18157</v>
      </c>
      <c r="T2708" s="2" t="s">
        <v>18158</v>
      </c>
      <c r="U2708" s="2" t="s">
        <v>103</v>
      </c>
      <c r="V2708" s="2" t="s">
        <v>104</v>
      </c>
      <c r="W2708" s="2" t="s">
        <v>9173</v>
      </c>
      <c r="X2708" s="2" t="s">
        <v>147</v>
      </c>
      <c r="Y2708" s="2">
        <v>40.200000000000003</v>
      </c>
      <c r="Z2708" s="2">
        <v>8.73</v>
      </c>
      <c r="AA2708" s="2" t="s">
        <v>512</v>
      </c>
      <c r="AB2708" s="2" t="s">
        <v>18159</v>
      </c>
      <c r="AC2708" s="2">
        <v>3.0561503898495301</v>
      </c>
      <c r="AD2708" s="2"/>
      <c r="AE2708" s="2">
        <v>0.230063298574811</v>
      </c>
      <c r="AF2708" s="2">
        <v>3667.2587868966102</v>
      </c>
      <c r="AG2708" s="2">
        <v>822.63859144917899</v>
      </c>
      <c r="AH2708" s="5">
        <v>4.45792213617925</v>
      </c>
      <c r="AI2708" s="5">
        <v>2.15637141813892</v>
      </c>
      <c r="AJ2708" s="5" t="s">
        <v>139</v>
      </c>
      <c r="AK2708" s="2">
        <v>0.22206984891363499</v>
      </c>
      <c r="AL2708" s="2">
        <v>0.54865946441957902</v>
      </c>
      <c r="AM2708" s="2">
        <v>1307.30549609678</v>
      </c>
      <c r="AN2708" s="2">
        <v>524.62363332053701</v>
      </c>
      <c r="AO2708" s="2">
        <v>5074.0212480896998</v>
      </c>
      <c r="AP2708" s="2">
        <v>552.122543957262</v>
      </c>
      <c r="AQ2708" s="2">
        <v>13918.1676812974</v>
      </c>
      <c r="AR2708" s="2">
        <v>627.31211861799898</v>
      </c>
      <c r="AS2708" s="2">
        <v>1705.5677454024899</v>
      </c>
      <c r="AT2708" s="2">
        <v>535.18525149744698</v>
      </c>
      <c r="AU2708" s="2">
        <v>1328.8455465843199</v>
      </c>
      <c r="AV2708" s="2">
        <v>88.472124818639799</v>
      </c>
      <c r="AW2708" s="2">
        <v>656.66548865900199</v>
      </c>
      <c r="AX2708" s="2">
        <v>621.09539173317296</v>
      </c>
    </row>
    <row r="2709" spans="1:50" x14ac:dyDescent="0.25">
      <c r="A2709" s="2" t="s">
        <v>18160</v>
      </c>
      <c r="B2709" s="2">
        <v>357.27995789725497</v>
      </c>
      <c r="C2709" s="2">
        <v>9.9910499999999995</v>
      </c>
      <c r="D2709" s="2" t="s">
        <v>51</v>
      </c>
      <c r="E2709" s="2" t="s">
        <v>18161</v>
      </c>
      <c r="F2709" s="2">
        <v>45195</v>
      </c>
      <c r="G2709" s="3" t="str">
        <f>HYPERLINK("https://cloud.oebiotech.com/#/lm/network/45195", "https://cloud.oebiotech.com/#/lm/network/45195")</f>
        <v>https://cloud.oebiotech.com/#/lm/network/45195</v>
      </c>
      <c r="H2709" s="2"/>
      <c r="I2709" s="2"/>
      <c r="J2709" s="2" t="s">
        <v>18162</v>
      </c>
      <c r="K2709" s="2">
        <v>9547283</v>
      </c>
      <c r="L2709" s="2"/>
      <c r="M2709" s="2"/>
      <c r="N2709" s="2"/>
      <c r="O2709" s="2"/>
      <c r="P2709" s="2"/>
      <c r="Q2709" s="2"/>
      <c r="R2709" s="2"/>
      <c r="S2709" s="2" t="s">
        <v>18163</v>
      </c>
      <c r="T2709" s="2" t="s">
        <v>18164</v>
      </c>
      <c r="U2709" s="2" t="s">
        <v>56</v>
      </c>
      <c r="V2709" s="2" t="s">
        <v>283</v>
      </c>
      <c r="W2709" s="2" t="s">
        <v>420</v>
      </c>
      <c r="X2709" s="2" t="s">
        <v>69</v>
      </c>
      <c r="Y2709" s="2">
        <v>61.5</v>
      </c>
      <c r="Z2709" s="2">
        <v>48.3</v>
      </c>
      <c r="AA2709" s="2" t="s">
        <v>179</v>
      </c>
      <c r="AB2709" s="2" t="s">
        <v>3396</v>
      </c>
      <c r="AC2709" s="2">
        <v>3.0754073723943298</v>
      </c>
      <c r="AD2709" s="2"/>
      <c r="AE2709" s="2">
        <v>0.229983046137678</v>
      </c>
      <c r="AF2709" s="2">
        <v>42098.315063718197</v>
      </c>
      <c r="AG2709" s="2">
        <v>33750.2645479977</v>
      </c>
      <c r="AH2709" s="5">
        <v>1.24734770608534</v>
      </c>
      <c r="AI2709" s="5">
        <v>0.31886368162443801</v>
      </c>
      <c r="AJ2709" s="5" t="s">
        <v>139</v>
      </c>
      <c r="AK2709" s="2">
        <v>0.84027492529578296</v>
      </c>
      <c r="AL2709" s="2">
        <v>0.92963204272259004</v>
      </c>
      <c r="AM2709" s="2">
        <v>424.15269693597202</v>
      </c>
      <c r="AN2709" s="2">
        <v>5221.3819883243596</v>
      </c>
      <c r="AO2709" s="2">
        <v>829.51393418403404</v>
      </c>
      <c r="AP2709" s="2">
        <v>8058.7129694598498</v>
      </c>
      <c r="AQ2709" s="2">
        <v>194014.65609849899</v>
      </c>
      <c r="AR2709" s="2">
        <v>44041.472694906297</v>
      </c>
      <c r="AS2709" s="2">
        <v>649.30862819556103</v>
      </c>
      <c r="AT2709" s="2">
        <v>160944.41148213801</v>
      </c>
      <c r="AU2709" s="2">
        <v>24518.5678992799</v>
      </c>
      <c r="AV2709" s="2">
        <v>11809.418156310099</v>
      </c>
      <c r="AW2709" s="2">
        <v>2095.2635356225101</v>
      </c>
      <c r="AX2709" s="2">
        <v>2484.6175864402398</v>
      </c>
    </row>
    <row r="2710" spans="1:50" x14ac:dyDescent="0.25">
      <c r="A2710" s="2" t="s">
        <v>18165</v>
      </c>
      <c r="B2710" s="2">
        <v>596.96024493240998</v>
      </c>
      <c r="C2710" s="2">
        <v>4.42221666666667</v>
      </c>
      <c r="D2710" s="2" t="s">
        <v>51</v>
      </c>
      <c r="E2710" s="2" t="s">
        <v>18166</v>
      </c>
      <c r="F2710" s="2">
        <v>210184</v>
      </c>
      <c r="G2710" s="3" t="str">
        <f>HYPERLINK("https://cloud.oebiotech.com/#/lm/network/210184", "https://cloud.oebiotech.com/#/lm/network/210184")</f>
        <v>https://cloud.oebiotech.com/#/lm/network/210184</v>
      </c>
      <c r="H2710" s="2" t="s">
        <v>18167</v>
      </c>
      <c r="I2710" s="2"/>
      <c r="J2710" s="2"/>
      <c r="K2710" s="2"/>
      <c r="L2710" s="2"/>
      <c r="M2710" s="2"/>
      <c r="N2710" s="2"/>
      <c r="O2710" s="2">
        <v>90633</v>
      </c>
      <c r="P2710" s="2"/>
      <c r="Q2710" s="2"/>
      <c r="R2710" s="2"/>
      <c r="S2710" s="2" t="s">
        <v>18168</v>
      </c>
      <c r="T2710" s="2" t="s">
        <v>18169</v>
      </c>
      <c r="U2710" s="2" t="s">
        <v>1357</v>
      </c>
      <c r="V2710" s="2" t="s">
        <v>4878</v>
      </c>
      <c r="W2710" s="2" t="s">
        <v>4879</v>
      </c>
      <c r="X2710" s="2" t="s">
        <v>147</v>
      </c>
      <c r="Y2710" s="2">
        <v>36.9</v>
      </c>
      <c r="Z2710" s="2">
        <v>0</v>
      </c>
      <c r="AA2710" s="2" t="s">
        <v>156</v>
      </c>
      <c r="AB2710" s="2" t="s">
        <v>18170</v>
      </c>
      <c r="AC2710" s="2">
        <v>4.2426986789053602</v>
      </c>
      <c r="AD2710" s="2"/>
      <c r="AE2710" s="2">
        <v>0.22986287283351001</v>
      </c>
      <c r="AF2710" s="2">
        <v>6007.3635738156599</v>
      </c>
      <c r="AG2710" s="2">
        <v>10148.8981835595</v>
      </c>
      <c r="AH2710" s="4">
        <v>0.59192273537113305</v>
      </c>
      <c r="AI2710" s="4">
        <v>-0.75651922405293304</v>
      </c>
      <c r="AJ2710" s="4" t="s">
        <v>62</v>
      </c>
      <c r="AK2710" s="2">
        <v>0.50868975595897103</v>
      </c>
      <c r="AL2710" s="2">
        <v>0.74345363423474298</v>
      </c>
      <c r="AM2710" s="2">
        <v>2360.63110402244</v>
      </c>
      <c r="AN2710" s="2">
        <v>14514.1120068202</v>
      </c>
      <c r="AO2710" s="2">
        <v>13355.148821684001</v>
      </c>
      <c r="AP2710" s="2">
        <v>1359.1819740240601</v>
      </c>
      <c r="AQ2710" s="2">
        <v>834.90398710127897</v>
      </c>
      <c r="AR2710" s="2">
        <v>3620.203549242</v>
      </c>
      <c r="AS2710" s="2">
        <v>1251.45894381844</v>
      </c>
      <c r="AT2710" s="2">
        <v>5831.1612264718697</v>
      </c>
      <c r="AU2710" s="2">
        <v>8.559877937157E-6</v>
      </c>
      <c r="AV2710" s="2">
        <v>6097.4676683315001</v>
      </c>
      <c r="AW2710" s="2">
        <v>11432.1784371833</v>
      </c>
      <c r="AX2710" s="2">
        <v>36281.122816992</v>
      </c>
    </row>
    <row r="2711" spans="1:50" x14ac:dyDescent="0.25">
      <c r="A2711" s="2" t="s">
        <v>18171</v>
      </c>
      <c r="B2711" s="2">
        <v>399.18449883456998</v>
      </c>
      <c r="C2711" s="2">
        <v>14.465633333333299</v>
      </c>
      <c r="D2711" s="2" t="s">
        <v>51</v>
      </c>
      <c r="E2711" s="2" t="s">
        <v>18172</v>
      </c>
      <c r="F2711" s="2">
        <v>54724</v>
      </c>
      <c r="G2711" s="3" t="str">
        <f>HYPERLINK("https://cloud.oebiotech.com/#/lm/network/54724", "https://cloud.oebiotech.com/#/lm/network/54724")</f>
        <v>https://cloud.oebiotech.com/#/lm/network/54724</v>
      </c>
      <c r="H2711" s="2" t="s">
        <v>18173</v>
      </c>
      <c r="I2711" s="2">
        <v>3337</v>
      </c>
      <c r="J2711" s="2"/>
      <c r="K2711" s="2">
        <v>3565</v>
      </c>
      <c r="L2711" s="2" t="s">
        <v>18174</v>
      </c>
      <c r="M2711" s="2"/>
      <c r="N2711" s="2"/>
      <c r="O2711" s="2">
        <v>27943</v>
      </c>
      <c r="P2711" s="2"/>
      <c r="Q2711" s="2"/>
      <c r="R2711" s="2" t="s">
        <v>18175</v>
      </c>
      <c r="S2711" s="2" t="s">
        <v>18176</v>
      </c>
      <c r="T2711" s="2" t="s">
        <v>18177</v>
      </c>
      <c r="U2711" s="2" t="s">
        <v>238</v>
      </c>
      <c r="V2711" s="2" t="s">
        <v>18178</v>
      </c>
      <c r="W2711" s="2" t="s">
        <v>240</v>
      </c>
      <c r="X2711" s="2" t="s">
        <v>147</v>
      </c>
      <c r="Y2711" s="2">
        <v>37.700000000000003</v>
      </c>
      <c r="Z2711" s="2">
        <v>0.1</v>
      </c>
      <c r="AA2711" s="2" t="s">
        <v>478</v>
      </c>
      <c r="AB2711" s="2" t="s">
        <v>18179</v>
      </c>
      <c r="AC2711" s="2">
        <v>4.6209023500816704</v>
      </c>
      <c r="AD2711" s="2"/>
      <c r="AE2711" s="2">
        <v>0.22982731589115901</v>
      </c>
      <c r="AF2711" s="2">
        <v>5210.9656161782596</v>
      </c>
      <c r="AG2711" s="2">
        <v>7091.4327530288201</v>
      </c>
      <c r="AH2711" s="4">
        <v>0.73482549967813005</v>
      </c>
      <c r="AI2711" s="4">
        <v>-0.44452640363016899</v>
      </c>
      <c r="AJ2711" s="4" t="s">
        <v>62</v>
      </c>
      <c r="AK2711" s="2">
        <v>0.11786495325818</v>
      </c>
      <c r="AL2711" s="2">
        <v>0.436261987215596</v>
      </c>
      <c r="AM2711" s="2">
        <v>5066.0704717241697</v>
      </c>
      <c r="AN2711" s="2">
        <v>3212.4368241235602</v>
      </c>
      <c r="AO2711" s="2">
        <v>7474.3816912354996</v>
      </c>
      <c r="AP2711" s="2">
        <v>2951.5154751536802</v>
      </c>
      <c r="AQ2711" s="2">
        <v>7351.4086369893603</v>
      </c>
      <c r="AR2711" s="2">
        <v>5209.9805978432696</v>
      </c>
      <c r="AS2711" s="2">
        <v>4634.6664253164599</v>
      </c>
      <c r="AT2711" s="2">
        <v>5548.6092180371597</v>
      </c>
      <c r="AU2711" s="2">
        <v>7095.2212681083001</v>
      </c>
      <c r="AV2711" s="2">
        <v>9610.0516363635397</v>
      </c>
      <c r="AW2711" s="2">
        <v>8713.5512078440406</v>
      </c>
      <c r="AX2711" s="2">
        <v>6946.4967625033996</v>
      </c>
    </row>
    <row r="2712" spans="1:50" x14ac:dyDescent="0.25">
      <c r="A2712" s="2" t="s">
        <v>18180</v>
      </c>
      <c r="B2712" s="2">
        <v>461.22861929196699</v>
      </c>
      <c r="C2712" s="2">
        <v>3.8365666666666698</v>
      </c>
      <c r="D2712" s="2" t="s">
        <v>51</v>
      </c>
      <c r="E2712" s="2" t="s">
        <v>18181</v>
      </c>
      <c r="F2712" s="2">
        <v>46268</v>
      </c>
      <c r="G2712" s="3" t="str">
        <f>HYPERLINK("https://cloud.oebiotech.com/#/lm/network/46268", "https://cloud.oebiotech.com/#/lm/network/46268")</f>
        <v>https://cloud.oebiotech.com/#/lm/network/46268</v>
      </c>
      <c r="H2712" s="2"/>
      <c r="I2712" s="2">
        <v>84720</v>
      </c>
      <c r="J2712" s="2" t="s">
        <v>18182</v>
      </c>
      <c r="K2712" s="2">
        <v>5284158</v>
      </c>
      <c r="L2712" s="2"/>
      <c r="M2712" s="2"/>
      <c r="N2712" s="2"/>
      <c r="O2712" s="2"/>
      <c r="P2712" s="2"/>
      <c r="Q2712" s="2"/>
      <c r="R2712" s="2"/>
      <c r="S2712" s="2" t="s">
        <v>18183</v>
      </c>
      <c r="T2712" s="2" t="s">
        <v>18184</v>
      </c>
      <c r="U2712" s="2" t="s">
        <v>56</v>
      </c>
      <c r="V2712" s="2" t="s">
        <v>283</v>
      </c>
      <c r="W2712" s="2" t="s">
        <v>2042</v>
      </c>
      <c r="X2712" s="2" t="s">
        <v>147</v>
      </c>
      <c r="Y2712" s="2">
        <v>36.9</v>
      </c>
      <c r="Z2712" s="2">
        <v>0</v>
      </c>
      <c r="AA2712" s="2" t="s">
        <v>395</v>
      </c>
      <c r="AB2712" s="2" t="s">
        <v>18185</v>
      </c>
      <c r="AC2712" s="2">
        <v>-3.2626858801284802</v>
      </c>
      <c r="AD2712" s="2"/>
      <c r="AE2712" s="2">
        <v>0.22962307135686999</v>
      </c>
      <c r="AF2712" s="2">
        <v>3199.4052870752298</v>
      </c>
      <c r="AG2712" s="2">
        <v>6932.9366895237399</v>
      </c>
      <c r="AH2712" s="4">
        <v>0.46147908604297599</v>
      </c>
      <c r="AI2712" s="4">
        <v>-1.11566282761387</v>
      </c>
      <c r="AJ2712" s="4" t="s">
        <v>62</v>
      </c>
      <c r="AK2712" s="2">
        <v>0.55304493895883999</v>
      </c>
      <c r="AL2712" s="2">
        <v>0.77329905854890102</v>
      </c>
      <c r="AM2712" s="2">
        <v>6979.5754295235802</v>
      </c>
      <c r="AN2712" s="2">
        <v>488.695240894047</v>
      </c>
      <c r="AO2712" s="2">
        <v>1843.7662180249799</v>
      </c>
      <c r="AP2712" s="2">
        <v>996.68583847616196</v>
      </c>
      <c r="AQ2712" s="2">
        <v>5661.4449076372102</v>
      </c>
      <c r="AR2712" s="2">
        <v>3226.2640878954098</v>
      </c>
      <c r="AS2712" s="2">
        <v>8.559877937157E-6</v>
      </c>
      <c r="AT2712" s="2">
        <v>2035.08743236449</v>
      </c>
      <c r="AU2712" s="2">
        <v>1099.6756423996701</v>
      </c>
      <c r="AV2712" s="2">
        <v>36839.669552364503</v>
      </c>
      <c r="AW2712" s="2">
        <v>1019.85703765413</v>
      </c>
      <c r="AX2712" s="2">
        <v>603.33046379977304</v>
      </c>
    </row>
    <row r="2713" spans="1:50" x14ac:dyDescent="0.25">
      <c r="A2713" s="2" t="s">
        <v>18186</v>
      </c>
      <c r="B2713" s="2">
        <v>449.24856237525398</v>
      </c>
      <c r="C2713" s="2">
        <v>3.6894833333333299</v>
      </c>
      <c r="D2713" s="2" t="s">
        <v>51</v>
      </c>
      <c r="E2713" s="2" t="s">
        <v>18187</v>
      </c>
      <c r="F2713" s="2">
        <v>261679</v>
      </c>
      <c r="G2713" s="3" t="str">
        <f>HYPERLINK("https://cloud.oebiotech.com/#/lm/network/261679", "https://cloud.oebiotech.com/#/lm/network/261679")</f>
        <v>https://cloud.oebiotech.com/#/lm/network/261679</v>
      </c>
      <c r="H2713" s="2"/>
      <c r="I2713" s="2">
        <v>19005</v>
      </c>
      <c r="J2713" s="2"/>
      <c r="K2713" s="2">
        <v>44538194</v>
      </c>
      <c r="L2713" s="2"/>
      <c r="M2713" s="2"/>
      <c r="N2713" s="2"/>
      <c r="O2713" s="2"/>
      <c r="P2713" s="2"/>
      <c r="Q2713" s="2"/>
      <c r="R2713" s="2"/>
      <c r="S2713" s="2" t="s">
        <v>18188</v>
      </c>
      <c r="T2713" s="2" t="s">
        <v>18189</v>
      </c>
      <c r="U2713" s="2" t="s">
        <v>103</v>
      </c>
      <c r="V2713" s="2" t="s">
        <v>104</v>
      </c>
      <c r="W2713" s="2" t="s">
        <v>105</v>
      </c>
      <c r="X2713" s="2" t="s">
        <v>83</v>
      </c>
      <c r="Y2713" s="2">
        <v>38.200000000000003</v>
      </c>
      <c r="Z2713" s="2">
        <v>0</v>
      </c>
      <c r="AA2713" s="2" t="s">
        <v>512</v>
      </c>
      <c r="AB2713" s="2" t="s">
        <v>18190</v>
      </c>
      <c r="AC2713" s="2">
        <v>-4.9446270045669198</v>
      </c>
      <c r="AD2713" s="2"/>
      <c r="AE2713" s="2">
        <v>0.229596213339711</v>
      </c>
      <c r="AF2713" s="2">
        <v>1731.09432023823</v>
      </c>
      <c r="AG2713" s="2">
        <v>4883.0569762078803</v>
      </c>
      <c r="AH2713" s="4">
        <v>0.35451036690187698</v>
      </c>
      <c r="AI2713" s="4">
        <v>-1.49610027825686</v>
      </c>
      <c r="AJ2713" s="4" t="s">
        <v>62</v>
      </c>
      <c r="AK2713" s="2">
        <v>0.29645057794827201</v>
      </c>
      <c r="AL2713" s="2">
        <v>0.60781637719227499</v>
      </c>
      <c r="AM2713" s="2">
        <v>3944.4828981656001</v>
      </c>
      <c r="AN2713" s="2">
        <v>448.91407437802098</v>
      </c>
      <c r="AO2713" s="2">
        <v>2256.6491878813999</v>
      </c>
      <c r="AP2713" s="2">
        <v>303.45439034135501</v>
      </c>
      <c r="AQ2713" s="2">
        <v>1699.2824426770501</v>
      </c>
      <c r="AR2713" s="2">
        <v>1733.78292798594</v>
      </c>
      <c r="AS2713" s="2">
        <v>124.768139205295</v>
      </c>
      <c r="AT2713" s="2">
        <v>1065.3150304830799</v>
      </c>
      <c r="AU2713" s="2">
        <v>9152.7306699516703</v>
      </c>
      <c r="AV2713" s="2">
        <v>17068.554296747399</v>
      </c>
      <c r="AW2713" s="2">
        <v>1886.97371229996</v>
      </c>
      <c r="AX2713" s="2">
        <v>8.559877937157E-6</v>
      </c>
    </row>
    <row r="2714" spans="1:50" x14ac:dyDescent="0.25">
      <c r="A2714" s="2" t="s">
        <v>18191</v>
      </c>
      <c r="B2714" s="2">
        <v>149.096505200173</v>
      </c>
      <c r="C2714" s="2">
        <v>5.3466166666666703</v>
      </c>
      <c r="D2714" s="2" t="s">
        <v>51</v>
      </c>
      <c r="E2714" s="2" t="s">
        <v>18192</v>
      </c>
      <c r="F2714" s="2">
        <v>35387</v>
      </c>
      <c r="G2714" s="3" t="str">
        <f>HYPERLINK("https://cloud.oebiotech.com/#/lm/network/35387", "https://cloud.oebiotech.com/#/lm/network/35387")</f>
        <v>https://cloud.oebiotech.com/#/lm/network/35387</v>
      </c>
      <c r="H2714" s="2" t="s">
        <v>18193</v>
      </c>
      <c r="I2714" s="2">
        <v>41133</v>
      </c>
      <c r="J2714" s="2" t="s">
        <v>18194</v>
      </c>
      <c r="K2714" s="2">
        <v>1256</v>
      </c>
      <c r="L2714" s="2" t="s">
        <v>18195</v>
      </c>
      <c r="M2714" s="2"/>
      <c r="N2714" s="2"/>
      <c r="O2714" s="2">
        <v>36999</v>
      </c>
      <c r="P2714" s="2"/>
      <c r="Q2714" s="2"/>
      <c r="R2714" s="2" t="s">
        <v>18196</v>
      </c>
      <c r="S2714" s="2" t="s">
        <v>18197</v>
      </c>
      <c r="T2714" s="2" t="s">
        <v>18198</v>
      </c>
      <c r="U2714" s="2" t="s">
        <v>56</v>
      </c>
      <c r="V2714" s="2" t="s">
        <v>177</v>
      </c>
      <c r="W2714" s="2" t="s">
        <v>584</v>
      </c>
      <c r="X2714" s="2" t="s">
        <v>147</v>
      </c>
      <c r="Y2714" s="2">
        <v>38.299999999999997</v>
      </c>
      <c r="Z2714" s="2">
        <v>0</v>
      </c>
      <c r="AA2714" s="2" t="s">
        <v>156</v>
      </c>
      <c r="AB2714" s="2" t="s">
        <v>16584</v>
      </c>
      <c r="AC2714" s="2">
        <v>2.4910512837922498</v>
      </c>
      <c r="AD2714" s="2"/>
      <c r="AE2714" s="2">
        <v>0.22944048610541001</v>
      </c>
      <c r="AF2714" s="2">
        <v>1876.77636807313</v>
      </c>
      <c r="AG2714" s="2">
        <v>3742.0668254542102</v>
      </c>
      <c r="AH2714" s="4">
        <v>0.50153470144011403</v>
      </c>
      <c r="AI2714" s="4">
        <v>-0.99557856979554504</v>
      </c>
      <c r="AJ2714" s="4" t="s">
        <v>62</v>
      </c>
      <c r="AK2714" s="2">
        <v>0.114018510066784</v>
      </c>
      <c r="AL2714" s="2">
        <v>0.42835315311351202</v>
      </c>
      <c r="AM2714" s="2">
        <v>2006.8565810797099</v>
      </c>
      <c r="AN2714" s="2">
        <v>1942.6498275364499</v>
      </c>
      <c r="AO2714" s="2">
        <v>1673.3171903285199</v>
      </c>
      <c r="AP2714" s="2">
        <v>1106.1685011283901</v>
      </c>
      <c r="AQ2714" s="2">
        <v>1726.72822744379</v>
      </c>
      <c r="AR2714" s="2">
        <v>2804.9378809219402</v>
      </c>
      <c r="AS2714" s="2">
        <v>1982.7967184193899</v>
      </c>
      <c r="AT2714" s="2">
        <v>2413.56104494073</v>
      </c>
      <c r="AU2714" s="2">
        <v>4234.4370762820599</v>
      </c>
      <c r="AV2714" s="2">
        <v>3750.80160533051</v>
      </c>
      <c r="AW2714" s="2">
        <v>8558.3571638267604</v>
      </c>
      <c r="AX2714" s="2">
        <v>1512.4473439257999</v>
      </c>
    </row>
    <row r="2715" spans="1:50" x14ac:dyDescent="0.25">
      <c r="A2715" s="2" t="s">
        <v>18199</v>
      </c>
      <c r="B2715" s="2">
        <v>279.09437971594502</v>
      </c>
      <c r="C2715" s="2">
        <v>8.0870666666666704</v>
      </c>
      <c r="D2715" s="2" t="s">
        <v>51</v>
      </c>
      <c r="E2715" s="2" t="s">
        <v>18200</v>
      </c>
      <c r="F2715" s="2">
        <v>51436</v>
      </c>
      <c r="G2715" s="3" t="str">
        <f>HYPERLINK("https://cloud.oebiotech.com/#/lm/network/51436", "https://cloud.oebiotech.com/#/lm/network/51436")</f>
        <v>https://cloud.oebiotech.com/#/lm/network/51436</v>
      </c>
      <c r="H2715" s="2" t="s">
        <v>18201</v>
      </c>
      <c r="I2715" s="2">
        <v>62397</v>
      </c>
      <c r="J2715" s="2"/>
      <c r="K2715" s="2">
        <v>11507134</v>
      </c>
      <c r="L2715" s="2" t="s">
        <v>18202</v>
      </c>
      <c r="M2715" s="2"/>
      <c r="N2715" s="2"/>
      <c r="O2715" s="2">
        <v>55458</v>
      </c>
      <c r="P2715" s="2" t="s">
        <v>18203</v>
      </c>
      <c r="Q2715" s="2" t="s">
        <v>18204</v>
      </c>
      <c r="R2715" s="2"/>
      <c r="S2715" s="2" t="s">
        <v>18205</v>
      </c>
      <c r="T2715" s="2" t="s">
        <v>18206</v>
      </c>
      <c r="U2715" s="2" t="s">
        <v>331</v>
      </c>
      <c r="V2715" s="2" t="s">
        <v>332</v>
      </c>
      <c r="W2715" s="2" t="s">
        <v>333</v>
      </c>
      <c r="X2715" s="2" t="s">
        <v>147</v>
      </c>
      <c r="Y2715" s="2">
        <v>38.5</v>
      </c>
      <c r="Z2715" s="2">
        <v>0</v>
      </c>
      <c r="AA2715" s="2" t="s">
        <v>95</v>
      </c>
      <c r="AB2715" s="2" t="s">
        <v>18207</v>
      </c>
      <c r="AC2715" s="2">
        <v>-2.9776139879027599</v>
      </c>
      <c r="AD2715" s="2"/>
      <c r="AE2715" s="2">
        <v>0.22939967685415399</v>
      </c>
      <c r="AF2715" s="2">
        <v>5809.8687168889001</v>
      </c>
      <c r="AG2715" s="2">
        <v>7009.7857788623896</v>
      </c>
      <c r="AH2715" s="4">
        <v>0.82882257748991806</v>
      </c>
      <c r="AI2715" s="4">
        <v>-0.27086479168300498</v>
      </c>
      <c r="AJ2715" s="4" t="s">
        <v>62</v>
      </c>
      <c r="AK2715" s="2">
        <v>1.38073451684937E-2</v>
      </c>
      <c r="AL2715" s="2">
        <v>0.187155726633213</v>
      </c>
      <c r="AM2715" s="2">
        <v>5372.82443113097</v>
      </c>
      <c r="AN2715" s="2">
        <v>5815.3045218812204</v>
      </c>
      <c r="AO2715" s="2">
        <v>5641.8496928423901</v>
      </c>
      <c r="AP2715" s="2">
        <v>6912.2812368356599</v>
      </c>
      <c r="AQ2715" s="2">
        <v>6177.2382668150503</v>
      </c>
      <c r="AR2715" s="2">
        <v>4939.7141518280996</v>
      </c>
      <c r="AS2715" s="2">
        <v>7480.1924407445604</v>
      </c>
      <c r="AT2715" s="2">
        <v>7670.3060546382303</v>
      </c>
      <c r="AU2715" s="2">
        <v>5981.4006729844896</v>
      </c>
      <c r="AV2715" s="2">
        <v>6320.3183383985197</v>
      </c>
      <c r="AW2715" s="2">
        <v>7007.8980748634604</v>
      </c>
      <c r="AX2715" s="2">
        <v>7598.5990915450502</v>
      </c>
    </row>
    <row r="2716" spans="1:50" x14ac:dyDescent="0.25">
      <c r="A2716" s="2" t="s">
        <v>18208</v>
      </c>
      <c r="B2716" s="2">
        <v>609.35162217919401</v>
      </c>
      <c r="C2716" s="2">
        <v>11.4845333333333</v>
      </c>
      <c r="D2716" s="2" t="s">
        <v>51</v>
      </c>
      <c r="E2716" s="2" t="s">
        <v>18209</v>
      </c>
      <c r="F2716" s="2">
        <v>61603</v>
      </c>
      <c r="G2716" s="3" t="str">
        <f>HYPERLINK("https://cloud.oebiotech.com/#/lm/network/61603", "https://cloud.oebiotech.com/#/lm/network/61603")</f>
        <v>https://cloud.oebiotech.com/#/lm/network/61603</v>
      </c>
      <c r="H2716" s="2" t="s">
        <v>18210</v>
      </c>
      <c r="I2716" s="2">
        <v>92909</v>
      </c>
      <c r="J2716" s="2"/>
      <c r="K2716" s="2">
        <v>120501</v>
      </c>
      <c r="L2716" s="2"/>
      <c r="M2716" s="2"/>
      <c r="N2716" s="2"/>
      <c r="O2716" s="2"/>
      <c r="P2716" s="2"/>
      <c r="Q2716" s="2"/>
      <c r="R2716" s="2" t="s">
        <v>18211</v>
      </c>
      <c r="S2716" s="2" t="s">
        <v>18212</v>
      </c>
      <c r="T2716" s="2" t="s">
        <v>18213</v>
      </c>
      <c r="U2716" s="2" t="s">
        <v>610</v>
      </c>
      <c r="V2716" s="2" t="s">
        <v>611</v>
      </c>
      <c r="W2716" s="2" t="s">
        <v>2327</v>
      </c>
      <c r="X2716" s="2" t="s">
        <v>147</v>
      </c>
      <c r="Y2716" s="2">
        <v>37.6</v>
      </c>
      <c r="Z2716" s="2">
        <v>0</v>
      </c>
      <c r="AA2716" s="2" t="s">
        <v>478</v>
      </c>
      <c r="AB2716" s="2" t="s">
        <v>18214</v>
      </c>
      <c r="AC2716" s="2">
        <v>4.8658284689101396</v>
      </c>
      <c r="AD2716" s="2"/>
      <c r="AE2716" s="2">
        <v>0.229304849420669</v>
      </c>
      <c r="AF2716" s="2">
        <v>5077.4102029601299</v>
      </c>
      <c r="AG2716" s="2">
        <v>7607.7342227865902</v>
      </c>
      <c r="AH2716" s="4">
        <v>0.66740110186188295</v>
      </c>
      <c r="AI2716" s="4">
        <v>-0.58337402651312598</v>
      </c>
      <c r="AJ2716" s="4" t="s">
        <v>62</v>
      </c>
      <c r="AK2716" s="2">
        <v>0.254946125325336</v>
      </c>
      <c r="AL2716" s="2">
        <v>0.57771570460172506</v>
      </c>
      <c r="AM2716" s="2">
        <v>7072.9281025191303</v>
      </c>
      <c r="AN2716" s="2">
        <v>5554.32521706429</v>
      </c>
      <c r="AO2716" s="2">
        <v>6256.4126592823304</v>
      </c>
      <c r="AP2716" s="2">
        <v>4018.1233475822801</v>
      </c>
      <c r="AQ2716" s="2">
        <v>3368.6610852367598</v>
      </c>
      <c r="AR2716" s="2">
        <v>4194.0108060759903</v>
      </c>
      <c r="AS2716" s="2">
        <v>1992.88041275722</v>
      </c>
      <c r="AT2716" s="2">
        <v>1409.41822658519</v>
      </c>
      <c r="AU2716" s="2">
        <v>8937.7202646534406</v>
      </c>
      <c r="AV2716" s="2">
        <v>14028.500462575899</v>
      </c>
      <c r="AW2716" s="2">
        <v>9831.7079529613602</v>
      </c>
      <c r="AX2716" s="2">
        <v>9446.1780171864393</v>
      </c>
    </row>
    <row r="2717" spans="1:50" x14ac:dyDescent="0.25">
      <c r="A2717" s="2" t="s">
        <v>18215</v>
      </c>
      <c r="B2717" s="2">
        <v>214.96997406339699</v>
      </c>
      <c r="C2717" s="2">
        <v>0.84924999999999995</v>
      </c>
      <c r="D2717" s="2" t="s">
        <v>51</v>
      </c>
      <c r="E2717" s="2" t="s">
        <v>18216</v>
      </c>
      <c r="F2717" s="2">
        <v>213066</v>
      </c>
      <c r="G2717" s="3" t="str">
        <f>HYPERLINK("https://cloud.oebiotech.com/#/lm/network/213066", "https://cloud.oebiotech.com/#/lm/network/213066")</f>
        <v>https://cloud.oebiotech.com/#/lm/network/213066</v>
      </c>
      <c r="H2717" s="2" t="s">
        <v>18217</v>
      </c>
      <c r="I2717" s="2">
        <v>316770</v>
      </c>
      <c r="J2717" s="2"/>
      <c r="K2717" s="2">
        <v>62474</v>
      </c>
      <c r="L2717" s="2"/>
      <c r="M2717" s="2"/>
      <c r="N2717" s="2"/>
      <c r="O2717" s="2"/>
      <c r="P2717" s="2"/>
      <c r="Q2717" s="2"/>
      <c r="R2717" s="2"/>
      <c r="S2717" s="2" t="s">
        <v>18218</v>
      </c>
      <c r="T2717" s="2" t="s">
        <v>18219</v>
      </c>
      <c r="U2717" s="2" t="s">
        <v>103</v>
      </c>
      <c r="V2717" s="2" t="s">
        <v>12842</v>
      </c>
      <c r="W2717" s="2" t="s">
        <v>12843</v>
      </c>
      <c r="X2717" s="2" t="s">
        <v>83</v>
      </c>
      <c r="Y2717" s="2">
        <v>38.4</v>
      </c>
      <c r="Z2717" s="2">
        <v>0</v>
      </c>
      <c r="AA2717" s="2" t="s">
        <v>478</v>
      </c>
      <c r="AB2717" s="2" t="s">
        <v>18220</v>
      </c>
      <c r="AC2717" s="2">
        <v>4.7251564546024198</v>
      </c>
      <c r="AD2717" s="2"/>
      <c r="AE2717" s="2">
        <v>0.22930202764133301</v>
      </c>
      <c r="AF2717" s="2">
        <v>22843.019317857699</v>
      </c>
      <c r="AG2717" s="2">
        <v>25538.018223404299</v>
      </c>
      <c r="AH2717" s="4">
        <v>0.89447110257455897</v>
      </c>
      <c r="AI2717" s="4">
        <v>-0.160893220598784</v>
      </c>
      <c r="AJ2717" s="4" t="s">
        <v>62</v>
      </c>
      <c r="AK2717" s="2">
        <v>0.13937182761761699</v>
      </c>
      <c r="AL2717" s="2">
        <v>0.45923352345858398</v>
      </c>
      <c r="AM2717" s="2">
        <v>23717.429682412301</v>
      </c>
      <c r="AN2717" s="2">
        <v>26801.604560682499</v>
      </c>
      <c r="AO2717" s="2">
        <v>21843.1669936609</v>
      </c>
      <c r="AP2717" s="2">
        <v>22730.8198352746</v>
      </c>
      <c r="AQ2717" s="2">
        <v>22393.433914483499</v>
      </c>
      <c r="AR2717" s="2">
        <v>19571.660920632199</v>
      </c>
      <c r="AS2717" s="2">
        <v>28706.434444026199</v>
      </c>
      <c r="AT2717" s="2">
        <v>29006.933798521099</v>
      </c>
      <c r="AU2717" s="2">
        <v>22853.406281029002</v>
      </c>
      <c r="AV2717" s="2">
        <v>21991.736240124399</v>
      </c>
      <c r="AW2717" s="2">
        <v>27999.171271766401</v>
      </c>
      <c r="AX2717" s="2">
        <v>22670.427304959001</v>
      </c>
    </row>
    <row r="2718" spans="1:50" x14ac:dyDescent="0.25">
      <c r="A2718" s="2" t="s">
        <v>18221</v>
      </c>
      <c r="B2718" s="2">
        <v>397.190052894811</v>
      </c>
      <c r="C2718" s="2">
        <v>3.5042</v>
      </c>
      <c r="D2718" s="2" t="s">
        <v>51</v>
      </c>
      <c r="E2718" s="2" t="s">
        <v>18222</v>
      </c>
      <c r="F2718" s="2">
        <v>204590</v>
      </c>
      <c r="G2718" s="3" t="str">
        <f>HYPERLINK("https://cloud.oebiotech.com/#/lm/network/204590", "https://cloud.oebiotech.com/#/lm/network/204590")</f>
        <v>https://cloud.oebiotech.com/#/lm/network/204590</v>
      </c>
      <c r="H2718" s="2" t="s">
        <v>18223</v>
      </c>
      <c r="I2718" s="2"/>
      <c r="J2718" s="2"/>
      <c r="K2718" s="2">
        <v>57364</v>
      </c>
      <c r="L2718" s="2"/>
      <c r="M2718" s="2"/>
      <c r="N2718" s="2"/>
      <c r="O2718" s="2">
        <v>64200</v>
      </c>
      <c r="P2718" s="2"/>
      <c r="Q2718" s="2"/>
      <c r="R2718" s="2"/>
      <c r="S2718" s="2" t="s">
        <v>18224</v>
      </c>
      <c r="T2718" s="2" t="s">
        <v>18225</v>
      </c>
      <c r="U2718" s="2" t="s">
        <v>266</v>
      </c>
      <c r="V2718" s="2" t="s">
        <v>445</v>
      </c>
      <c r="W2718" s="2" t="s">
        <v>5555</v>
      </c>
      <c r="X2718" s="2" t="s">
        <v>147</v>
      </c>
      <c r="Y2718" s="2">
        <v>38.5</v>
      </c>
      <c r="Z2718" s="2">
        <v>6.77</v>
      </c>
      <c r="AA2718" s="2" t="s">
        <v>95</v>
      </c>
      <c r="AB2718" s="2" t="s">
        <v>18226</v>
      </c>
      <c r="AC2718" s="2">
        <v>3.75236348612466</v>
      </c>
      <c r="AD2718" s="2"/>
      <c r="AE2718" s="2">
        <v>0.22920564552266001</v>
      </c>
      <c r="AF2718" s="2">
        <v>790.49997589097995</v>
      </c>
      <c r="AG2718" s="2">
        <v>3560.6979776804701</v>
      </c>
      <c r="AH2718" s="4">
        <v>0.22200702807316799</v>
      </c>
      <c r="AI2718" s="4">
        <v>-2.1713227462137201</v>
      </c>
      <c r="AJ2718" s="4" t="s">
        <v>62</v>
      </c>
      <c r="AK2718" s="2">
        <v>0.45508973175328599</v>
      </c>
      <c r="AL2718" s="2">
        <v>0.70729521921970095</v>
      </c>
      <c r="AM2718" s="2">
        <v>1219.03899725576</v>
      </c>
      <c r="AN2718" s="2">
        <v>8.559877937157E-6</v>
      </c>
      <c r="AO2718" s="2">
        <v>8.559877937157E-6</v>
      </c>
      <c r="AP2718" s="2">
        <v>8.559877937157E-6</v>
      </c>
      <c r="AQ2718" s="2">
        <v>2524.5395706621498</v>
      </c>
      <c r="AR2718" s="2">
        <v>999.42126174833402</v>
      </c>
      <c r="AS2718" s="2">
        <v>8.559877937157E-6</v>
      </c>
      <c r="AT2718" s="2">
        <v>8.559877937157E-6</v>
      </c>
      <c r="AU2718" s="2">
        <v>99.553132964807105</v>
      </c>
      <c r="AV2718" s="2">
        <v>21264.634698878501</v>
      </c>
      <c r="AW2718" s="2">
        <v>8.559877937157E-6</v>
      </c>
      <c r="AX2718" s="2">
        <v>8.559877937157E-6</v>
      </c>
    </row>
    <row r="2719" spans="1:50" x14ac:dyDescent="0.25">
      <c r="A2719" s="2" t="s">
        <v>18227</v>
      </c>
      <c r="B2719" s="2">
        <v>172.09709492235501</v>
      </c>
      <c r="C2719" s="2">
        <v>4.01643333333333</v>
      </c>
      <c r="D2719" s="2" t="s">
        <v>51</v>
      </c>
      <c r="E2719" s="2" t="s">
        <v>18228</v>
      </c>
      <c r="F2719" s="2">
        <v>256066</v>
      </c>
      <c r="G2719" s="3" t="str">
        <f>HYPERLINK("https://cloud.oebiotech.com/#/lm/network/256066", "https://cloud.oebiotech.com/#/lm/network/256066")</f>
        <v>https://cloud.oebiotech.com/#/lm/network/256066</v>
      </c>
      <c r="H2719" s="2" t="s">
        <v>18229</v>
      </c>
      <c r="I2719" s="2"/>
      <c r="J2719" s="2"/>
      <c r="K2719" s="2">
        <v>20783257</v>
      </c>
      <c r="L2719" s="2"/>
      <c r="M2719" s="2"/>
      <c r="N2719" s="2"/>
      <c r="O2719" s="2"/>
      <c r="P2719" s="2"/>
      <c r="Q2719" s="2"/>
      <c r="R2719" s="2"/>
      <c r="S2719" s="2" t="s">
        <v>18230</v>
      </c>
      <c r="T2719" s="2" t="s">
        <v>18231</v>
      </c>
      <c r="U2719" s="2" t="s">
        <v>56</v>
      </c>
      <c r="V2719" s="2" t="s">
        <v>145</v>
      </c>
      <c r="W2719" s="2" t="s">
        <v>231</v>
      </c>
      <c r="X2719" s="2" t="s">
        <v>69</v>
      </c>
      <c r="Y2719" s="2">
        <v>57.9</v>
      </c>
      <c r="Z2719" s="2">
        <v>75</v>
      </c>
      <c r="AA2719" s="2" t="s">
        <v>163</v>
      </c>
      <c r="AB2719" s="2" t="s">
        <v>18232</v>
      </c>
      <c r="AC2719" s="2">
        <v>-4.7485009524303203</v>
      </c>
      <c r="AD2719" s="2"/>
      <c r="AE2719" s="2">
        <v>0.228961697906197</v>
      </c>
      <c r="AF2719" s="2">
        <v>3230.7379976864599</v>
      </c>
      <c r="AG2719" s="2">
        <v>605.45895963180101</v>
      </c>
      <c r="AH2719" s="5">
        <v>5.3360148467390296</v>
      </c>
      <c r="AI2719" s="5">
        <v>2.41576268063175</v>
      </c>
      <c r="AJ2719" s="5" t="s">
        <v>139</v>
      </c>
      <c r="AK2719" s="2">
        <v>0.18239423633954199</v>
      </c>
      <c r="AL2719" s="2">
        <v>0.50524064131911905</v>
      </c>
      <c r="AM2719" s="2">
        <v>523.297802466191</v>
      </c>
      <c r="AN2719" s="2">
        <v>650.444946267864</v>
      </c>
      <c r="AO2719" s="2">
        <v>5516.6965196824003</v>
      </c>
      <c r="AP2719" s="2">
        <v>551.85261233194296</v>
      </c>
      <c r="AQ2719" s="2">
        <v>11444.805492911501</v>
      </c>
      <c r="AR2719" s="2">
        <v>697.33061245885801</v>
      </c>
      <c r="AS2719" s="2">
        <v>1065.2439491195601</v>
      </c>
      <c r="AT2719" s="2">
        <v>606.15536799358802</v>
      </c>
      <c r="AU2719" s="2">
        <v>690.717371675354</v>
      </c>
      <c r="AV2719" s="2">
        <v>274.21812454252301</v>
      </c>
      <c r="AW2719" s="2">
        <v>311.92855610967098</v>
      </c>
      <c r="AX2719" s="2">
        <v>684.49038835011095</v>
      </c>
    </row>
    <row r="2720" spans="1:50" x14ac:dyDescent="0.25">
      <c r="A2720" s="2" t="s">
        <v>18233</v>
      </c>
      <c r="B2720" s="2">
        <v>560.29453104854997</v>
      </c>
      <c r="C2720" s="2">
        <v>8.2118333333333293</v>
      </c>
      <c r="D2720" s="2" t="s">
        <v>51</v>
      </c>
      <c r="E2720" s="2" t="s">
        <v>18234</v>
      </c>
      <c r="F2720" s="2">
        <v>198885</v>
      </c>
      <c r="G2720" s="3" t="str">
        <f>HYPERLINK("https://cloud.oebiotech.com/#/lm/network/198885", "https://cloud.oebiotech.com/#/lm/network/198885")</f>
        <v>https://cloud.oebiotech.com/#/lm/network/198885</v>
      </c>
      <c r="H2720" s="2" t="s">
        <v>18235</v>
      </c>
      <c r="I2720" s="2"/>
      <c r="J2720" s="2"/>
      <c r="K2720" s="2">
        <v>86114501</v>
      </c>
      <c r="L2720" s="2"/>
      <c r="M2720" s="2"/>
      <c r="N2720" s="2"/>
      <c r="O2720" s="2"/>
      <c r="P2720" s="2"/>
      <c r="Q2720" s="2"/>
      <c r="R2720" s="2"/>
      <c r="S2720" s="2" t="s">
        <v>18236</v>
      </c>
      <c r="T2720" s="2" t="s">
        <v>18237</v>
      </c>
      <c r="U2720" s="2" t="s">
        <v>56</v>
      </c>
      <c r="V2720" s="2" t="s">
        <v>283</v>
      </c>
      <c r="W2720" s="2" t="s">
        <v>2042</v>
      </c>
      <c r="X2720" s="2" t="s">
        <v>83</v>
      </c>
      <c r="Y2720" s="2">
        <v>36.9</v>
      </c>
      <c r="Z2720" s="2">
        <v>0</v>
      </c>
      <c r="AA2720" s="2" t="s">
        <v>395</v>
      </c>
      <c r="AB2720" s="2" t="s">
        <v>18238</v>
      </c>
      <c r="AC2720" s="2">
        <v>-7.4421985438975904</v>
      </c>
      <c r="AD2720" s="2"/>
      <c r="AE2720" s="2">
        <v>0.22893115682864601</v>
      </c>
      <c r="AF2720" s="2">
        <v>4931.6280086359502</v>
      </c>
      <c r="AG2720" s="2">
        <v>2963.76631782803</v>
      </c>
      <c r="AH2720" s="5">
        <v>1.66397329606271</v>
      </c>
      <c r="AI2720" s="5">
        <v>0.73463228086660404</v>
      </c>
      <c r="AJ2720" s="5" t="s">
        <v>139</v>
      </c>
      <c r="AK2720" s="2">
        <v>0.150615668309557</v>
      </c>
      <c r="AL2720" s="2">
        <v>0.47152425089815803</v>
      </c>
      <c r="AM2720" s="2">
        <v>3100.4199606145098</v>
      </c>
      <c r="AN2720" s="2">
        <v>9099.5377580075692</v>
      </c>
      <c r="AO2720" s="2">
        <v>5012.8930153920901</v>
      </c>
      <c r="AP2720" s="2">
        <v>2204.6860925454498</v>
      </c>
      <c r="AQ2720" s="2">
        <v>3199.8010397390499</v>
      </c>
      <c r="AR2720" s="2">
        <v>6972.4301855170297</v>
      </c>
      <c r="AS2720" s="2">
        <v>5274.1522008291004</v>
      </c>
      <c r="AT2720" s="2">
        <v>2443.0335694365199</v>
      </c>
      <c r="AU2720" s="2">
        <v>3061.5419592304402</v>
      </c>
      <c r="AV2720" s="2">
        <v>1322.69485306198</v>
      </c>
      <c r="AW2720" s="2">
        <v>1379.2006684632199</v>
      </c>
      <c r="AX2720" s="2">
        <v>4301.9746559469304</v>
      </c>
    </row>
    <row r="2721" spans="1:50" x14ac:dyDescent="0.25">
      <c r="A2721" s="2" t="s">
        <v>18239</v>
      </c>
      <c r="B2721" s="2">
        <v>383.09307578880998</v>
      </c>
      <c r="C2721" s="2">
        <v>6.9113499999999997</v>
      </c>
      <c r="D2721" s="2" t="s">
        <v>51</v>
      </c>
      <c r="E2721" s="2" t="s">
        <v>18240</v>
      </c>
      <c r="F2721" s="2">
        <v>256238</v>
      </c>
      <c r="G2721" s="3" t="str">
        <f>HYPERLINK("https://cloud.oebiotech.com/#/lm/network/256238", "https://cloud.oebiotech.com/#/lm/network/256238")</f>
        <v>https://cloud.oebiotech.com/#/lm/network/256238</v>
      </c>
      <c r="H2721" s="2" t="s">
        <v>18241</v>
      </c>
      <c r="I2721" s="2"/>
      <c r="J2721" s="2"/>
      <c r="K2721" s="2">
        <v>14132338</v>
      </c>
      <c r="L2721" s="2"/>
      <c r="M2721" s="2"/>
      <c r="N2721" s="2"/>
      <c r="O2721" s="2"/>
      <c r="P2721" s="2"/>
      <c r="Q2721" s="2"/>
      <c r="R2721" s="2"/>
      <c r="S2721" s="2" t="s">
        <v>18242</v>
      </c>
      <c r="T2721" s="2" t="s">
        <v>18243</v>
      </c>
      <c r="U2721" s="2" t="s">
        <v>540</v>
      </c>
      <c r="V2721" s="2" t="s">
        <v>935</v>
      </c>
      <c r="W2721" s="2" t="s">
        <v>936</v>
      </c>
      <c r="X2721" s="2" t="s">
        <v>147</v>
      </c>
      <c r="Y2721" s="2">
        <v>37.1</v>
      </c>
      <c r="Z2721" s="2">
        <v>0</v>
      </c>
      <c r="AA2721" s="2" t="s">
        <v>95</v>
      </c>
      <c r="AB2721" s="2" t="s">
        <v>18244</v>
      </c>
      <c r="AC2721" s="2">
        <v>-4.97556260532685</v>
      </c>
      <c r="AD2721" s="2"/>
      <c r="AE2721" s="2">
        <v>0.22889236891935699</v>
      </c>
      <c r="AF2721" s="2">
        <v>1465.72855842953</v>
      </c>
      <c r="AG2721" s="2">
        <v>3110.0097898107501</v>
      </c>
      <c r="AH2721" s="4">
        <v>0.471293872846207</v>
      </c>
      <c r="AI2721" s="4">
        <v>-1.08530116946843</v>
      </c>
      <c r="AJ2721" s="4" t="s">
        <v>62</v>
      </c>
      <c r="AK2721" s="2">
        <v>6.9897505103115501E-2</v>
      </c>
      <c r="AL2721" s="2">
        <v>0.34931101666430697</v>
      </c>
      <c r="AM2721" s="2">
        <v>1291.0150787479599</v>
      </c>
      <c r="AN2721" s="2">
        <v>1327.01520106668</v>
      </c>
      <c r="AO2721" s="2">
        <v>1935.41218339482</v>
      </c>
      <c r="AP2721" s="2">
        <v>8.559877937157E-6</v>
      </c>
      <c r="AQ2721" s="2">
        <v>1174.3413458108801</v>
      </c>
      <c r="AR2721" s="2">
        <v>3066.5875329969499</v>
      </c>
      <c r="AS2721" s="2">
        <v>2698.9905712205</v>
      </c>
      <c r="AT2721" s="2">
        <v>1736.30913172857</v>
      </c>
      <c r="AU2721" s="2">
        <v>3774.3917448053298</v>
      </c>
      <c r="AV2721" s="2">
        <v>5117.2522184136396</v>
      </c>
      <c r="AW2721" s="2">
        <v>4630.2141488345396</v>
      </c>
      <c r="AX2721" s="2">
        <v>702.90092386193101</v>
      </c>
    </row>
    <row r="2722" spans="1:50" x14ac:dyDescent="0.25">
      <c r="A2722" s="2" t="s">
        <v>18245</v>
      </c>
      <c r="B2722" s="2">
        <v>434.989074000703</v>
      </c>
      <c r="C2722" s="2">
        <v>14.299383333333299</v>
      </c>
      <c r="D2722" s="2" t="s">
        <v>51</v>
      </c>
      <c r="E2722" s="2" t="s">
        <v>18246</v>
      </c>
      <c r="F2722" s="2">
        <v>206950</v>
      </c>
      <c r="G2722" s="3" t="str">
        <f>HYPERLINK("https://cloud.oebiotech.com/#/lm/network/206950", "https://cloud.oebiotech.com/#/lm/network/206950")</f>
        <v>https://cloud.oebiotech.com/#/lm/network/206950</v>
      </c>
      <c r="H2722" s="2" t="s">
        <v>18247</v>
      </c>
      <c r="I2722" s="2">
        <v>44294</v>
      </c>
      <c r="J2722" s="2"/>
      <c r="K2722" s="2">
        <v>3418</v>
      </c>
      <c r="L2722" s="2"/>
      <c r="M2722" s="2"/>
      <c r="N2722" s="2"/>
      <c r="O2722" s="2"/>
      <c r="P2722" s="2"/>
      <c r="Q2722" s="2"/>
      <c r="R2722" s="2" t="s">
        <v>18248</v>
      </c>
      <c r="S2722" s="2" t="s">
        <v>18249</v>
      </c>
      <c r="T2722" s="2" t="s">
        <v>18250</v>
      </c>
      <c r="U2722" s="2" t="s">
        <v>103</v>
      </c>
      <c r="V2722" s="2" t="s">
        <v>1567</v>
      </c>
      <c r="W2722" s="2" t="s">
        <v>1568</v>
      </c>
      <c r="X2722" s="2" t="s">
        <v>147</v>
      </c>
      <c r="Y2722" s="2">
        <v>38.6</v>
      </c>
      <c r="Z2722" s="2">
        <v>0</v>
      </c>
      <c r="AA2722" s="2" t="s">
        <v>478</v>
      </c>
      <c r="AB2722" s="2" t="s">
        <v>18251</v>
      </c>
      <c r="AC2722" s="2">
        <v>0.69103608516604298</v>
      </c>
      <c r="AD2722" s="2"/>
      <c r="AE2722" s="2">
        <v>0.228436885715607</v>
      </c>
      <c r="AF2722" s="2">
        <v>5088.5369516734199</v>
      </c>
      <c r="AG2722" s="2">
        <v>6317.5070567087496</v>
      </c>
      <c r="AH2722" s="4">
        <v>0.80546597035768297</v>
      </c>
      <c r="AI2722" s="4">
        <v>-0.31210445621409</v>
      </c>
      <c r="AJ2722" s="4" t="s">
        <v>62</v>
      </c>
      <c r="AK2722" s="2">
        <v>3.4087396396856401E-2</v>
      </c>
      <c r="AL2722" s="2">
        <v>0.27081853690800001</v>
      </c>
      <c r="AM2722" s="2">
        <v>3939.9631160457002</v>
      </c>
      <c r="AN2722" s="2">
        <v>5574.9135656669996</v>
      </c>
      <c r="AO2722" s="2">
        <v>4383.2190729368303</v>
      </c>
      <c r="AP2722" s="2">
        <v>5184.8278751181597</v>
      </c>
      <c r="AQ2722" s="2">
        <v>6051.9884945676304</v>
      </c>
      <c r="AR2722" s="2">
        <v>5396.3095857051903</v>
      </c>
      <c r="AS2722" s="2">
        <v>7065.32654675507</v>
      </c>
      <c r="AT2722" s="2">
        <v>7054.6053925823699</v>
      </c>
      <c r="AU2722" s="2">
        <v>4885.36652115587</v>
      </c>
      <c r="AV2722" s="2">
        <v>6346.5596199367101</v>
      </c>
      <c r="AW2722" s="2">
        <v>5474.2482396196001</v>
      </c>
      <c r="AX2722" s="2">
        <v>7078.9360202028602</v>
      </c>
    </row>
    <row r="2723" spans="1:50" x14ac:dyDescent="0.25">
      <c r="A2723" s="2" t="s">
        <v>18252</v>
      </c>
      <c r="B2723" s="2">
        <v>330.26491099878399</v>
      </c>
      <c r="C2723" s="2">
        <v>9.3404333333333298</v>
      </c>
      <c r="D2723" s="2" t="s">
        <v>51</v>
      </c>
      <c r="E2723" s="2" t="s">
        <v>18253</v>
      </c>
      <c r="F2723" s="2">
        <v>3178</v>
      </c>
      <c r="G2723" s="3" t="str">
        <f>HYPERLINK("https://cloud.oebiotech.com/#/lm/network/3178", "https://cloud.oebiotech.com/#/lm/network/3178")</f>
        <v>https://cloud.oebiotech.com/#/lm/network/3178</v>
      </c>
      <c r="H2723" s="2"/>
      <c r="I2723" s="2">
        <v>35692</v>
      </c>
      <c r="J2723" s="2" t="s">
        <v>18254</v>
      </c>
      <c r="K2723" s="2">
        <v>5460412</v>
      </c>
      <c r="L2723" s="2" t="s">
        <v>18255</v>
      </c>
      <c r="M2723" s="2" t="s">
        <v>1756</v>
      </c>
      <c r="N2723" s="2" t="s">
        <v>1757</v>
      </c>
      <c r="O2723" s="2">
        <v>15658</v>
      </c>
      <c r="P2723" s="2"/>
      <c r="Q2723" s="2"/>
      <c r="R2723" s="2"/>
      <c r="S2723" s="2" t="s">
        <v>18256</v>
      </c>
      <c r="T2723" s="2" t="s">
        <v>18257</v>
      </c>
      <c r="U2723" s="2" t="s">
        <v>56</v>
      </c>
      <c r="V2723" s="2" t="s">
        <v>145</v>
      </c>
      <c r="W2723" s="2" t="s">
        <v>203</v>
      </c>
      <c r="X2723" s="2" t="s">
        <v>69</v>
      </c>
      <c r="Y2723" s="2">
        <v>67.7</v>
      </c>
      <c r="Z2723" s="2">
        <v>85</v>
      </c>
      <c r="AA2723" s="2" t="s">
        <v>512</v>
      </c>
      <c r="AB2723" s="2" t="s">
        <v>714</v>
      </c>
      <c r="AC2723" s="2">
        <v>3.2859241869022999</v>
      </c>
      <c r="AD2723" s="2"/>
      <c r="AE2723" s="2">
        <v>0.22835872034996099</v>
      </c>
      <c r="AF2723" s="2">
        <v>15814.786533864401</v>
      </c>
      <c r="AG2723" s="2">
        <v>13378.389481013801</v>
      </c>
      <c r="AH2723" s="5">
        <v>1.18211437604715</v>
      </c>
      <c r="AI2723" s="5">
        <v>0.24136963092404201</v>
      </c>
      <c r="AJ2723" s="5" t="s">
        <v>139</v>
      </c>
      <c r="AK2723" s="2">
        <v>0.55022582348205296</v>
      </c>
      <c r="AL2723" s="2">
        <v>0.77171998913606199</v>
      </c>
      <c r="AM2723" s="2">
        <v>15555.762896772299</v>
      </c>
      <c r="AN2723" s="2">
        <v>26111.560660157302</v>
      </c>
      <c r="AO2723" s="2">
        <v>17524.033163820601</v>
      </c>
      <c r="AP2723" s="2">
        <v>9444.6370857388793</v>
      </c>
      <c r="AQ2723" s="2">
        <v>13471.6885571166</v>
      </c>
      <c r="AR2723" s="2">
        <v>12781.0368395807</v>
      </c>
      <c r="AS2723" s="2">
        <v>9323.9709277961902</v>
      </c>
      <c r="AT2723" s="2">
        <v>7880.4913146812696</v>
      </c>
      <c r="AU2723" s="2">
        <v>24562.2884171724</v>
      </c>
      <c r="AV2723" s="2">
        <v>7893.8879345995401</v>
      </c>
      <c r="AW2723" s="2">
        <v>22100.0894000197</v>
      </c>
      <c r="AX2723" s="2">
        <v>8509.6088918138794</v>
      </c>
    </row>
    <row r="2724" spans="1:50" x14ac:dyDescent="0.25">
      <c r="A2724" s="2" t="s">
        <v>18258</v>
      </c>
      <c r="B2724" s="2">
        <v>587.28460814875598</v>
      </c>
      <c r="C2724" s="2">
        <v>7.0490333333333304</v>
      </c>
      <c r="D2724" s="2" t="s">
        <v>51</v>
      </c>
      <c r="E2724" s="2" t="s">
        <v>18259</v>
      </c>
      <c r="F2724" s="2">
        <v>55349</v>
      </c>
      <c r="G2724" s="3" t="str">
        <f>HYPERLINK("https://cloud.oebiotech.com/#/lm/network/55349", "https://cloud.oebiotech.com/#/lm/network/55349")</f>
        <v>https://cloud.oebiotech.com/#/lm/network/55349</v>
      </c>
      <c r="H2724" s="2" t="s">
        <v>18260</v>
      </c>
      <c r="I2724" s="2">
        <v>87057</v>
      </c>
      <c r="J2724" s="2"/>
      <c r="K2724" s="2">
        <v>67764516</v>
      </c>
      <c r="L2724" s="2"/>
      <c r="M2724" s="2"/>
      <c r="N2724" s="2"/>
      <c r="O2724" s="2">
        <v>172913</v>
      </c>
      <c r="P2724" s="2"/>
      <c r="Q2724" s="2"/>
      <c r="R2724" s="2" t="s">
        <v>18261</v>
      </c>
      <c r="S2724" s="2" t="s">
        <v>18262</v>
      </c>
      <c r="T2724" s="2" t="s">
        <v>18263</v>
      </c>
      <c r="U2724" s="2" t="s">
        <v>56</v>
      </c>
      <c r="V2724" s="2" t="s">
        <v>177</v>
      </c>
      <c r="W2724" s="2" t="s">
        <v>1996</v>
      </c>
      <c r="X2724" s="2" t="s">
        <v>83</v>
      </c>
      <c r="Y2724" s="2">
        <v>49.4</v>
      </c>
      <c r="Z2724" s="2">
        <v>0</v>
      </c>
      <c r="AA2724" s="2" t="s">
        <v>478</v>
      </c>
      <c r="AB2724" s="2" t="s">
        <v>18264</v>
      </c>
      <c r="AC2724" s="2">
        <v>-2.6568814087150598</v>
      </c>
      <c r="AD2724" s="2"/>
      <c r="AE2724" s="2">
        <v>0.22831113315459201</v>
      </c>
      <c r="AF2724" s="2">
        <v>1209.98721876883</v>
      </c>
      <c r="AG2724" s="2">
        <v>3229.4156575054099</v>
      </c>
      <c r="AH2724" s="4">
        <v>0.37467682921420498</v>
      </c>
      <c r="AI2724" s="4">
        <v>-1.41628133369052</v>
      </c>
      <c r="AJ2724" s="4" t="s">
        <v>62</v>
      </c>
      <c r="AK2724" s="2">
        <v>0.22839767871125699</v>
      </c>
      <c r="AL2724" s="2">
        <v>0.55414671782130498</v>
      </c>
      <c r="AM2724" s="2">
        <v>619.56803825044506</v>
      </c>
      <c r="AN2724" s="2">
        <v>459.34622846807702</v>
      </c>
      <c r="AO2724" s="2">
        <v>8.559877937157E-6</v>
      </c>
      <c r="AP2724" s="2">
        <v>1155.86943323782</v>
      </c>
      <c r="AQ2724" s="2">
        <v>287.930753402552</v>
      </c>
      <c r="AR2724" s="2">
        <v>4737.20885069423</v>
      </c>
      <c r="AS2724" s="2">
        <v>1030.34201037502</v>
      </c>
      <c r="AT2724" s="2">
        <v>4657.01276179259</v>
      </c>
      <c r="AU2724" s="2">
        <v>610.02488405427096</v>
      </c>
      <c r="AV2724" s="2">
        <v>2522.7520552809401</v>
      </c>
      <c r="AW2724" s="2">
        <v>9521.5561583934195</v>
      </c>
      <c r="AX2724" s="2">
        <v>1034.80607513623</v>
      </c>
    </row>
    <row r="2725" spans="1:50" x14ac:dyDescent="0.25">
      <c r="A2725" s="2" t="s">
        <v>18265</v>
      </c>
      <c r="B2725" s="2">
        <v>245.09302017882499</v>
      </c>
      <c r="C2725" s="2">
        <v>4.9626666666666699</v>
      </c>
      <c r="D2725" s="2" t="s">
        <v>51</v>
      </c>
      <c r="E2725" s="2" t="s">
        <v>18266</v>
      </c>
      <c r="F2725" s="2">
        <v>52441</v>
      </c>
      <c r="G2725" s="3" t="str">
        <f>HYPERLINK("https://cloud.oebiotech.com/#/lm/network/52441", "https://cloud.oebiotech.com/#/lm/network/52441")</f>
        <v>https://cloud.oebiotech.com/#/lm/network/52441</v>
      </c>
      <c r="H2725" s="2" t="s">
        <v>18267</v>
      </c>
      <c r="I2725" s="2"/>
      <c r="J2725" s="2"/>
      <c r="K2725" s="2">
        <v>700653</v>
      </c>
      <c r="L2725" s="2"/>
      <c r="M2725" s="2"/>
      <c r="N2725" s="2"/>
      <c r="O2725" s="2">
        <v>74640</v>
      </c>
      <c r="P2725" s="2"/>
      <c r="Q2725" s="2"/>
      <c r="R2725" s="2" t="s">
        <v>18268</v>
      </c>
      <c r="S2725" s="2" t="s">
        <v>18269</v>
      </c>
      <c r="T2725" s="2" t="s">
        <v>18270</v>
      </c>
      <c r="U2725" s="2" t="s">
        <v>103</v>
      </c>
      <c r="V2725" s="2" t="s">
        <v>104</v>
      </c>
      <c r="W2725" s="2" t="s">
        <v>105</v>
      </c>
      <c r="X2725" s="2" t="s">
        <v>69</v>
      </c>
      <c r="Y2725" s="2">
        <v>62</v>
      </c>
      <c r="Z2725" s="2">
        <v>88.9</v>
      </c>
      <c r="AA2725" s="2" t="s">
        <v>163</v>
      </c>
      <c r="AB2725" s="2" t="s">
        <v>18271</v>
      </c>
      <c r="AC2725" s="2">
        <v>-0.59206084279487703</v>
      </c>
      <c r="AD2725" s="2"/>
      <c r="AE2725" s="2">
        <v>0.22827269130519401</v>
      </c>
      <c r="AF2725" s="2">
        <v>1730.48363107768</v>
      </c>
      <c r="AG2725" s="2">
        <v>9020.3161384006107</v>
      </c>
      <c r="AH2725" s="4">
        <v>0.19184290267951901</v>
      </c>
      <c r="AI2725" s="4">
        <v>-2.38200270215652</v>
      </c>
      <c r="AJ2725" s="4" t="s">
        <v>62</v>
      </c>
      <c r="AK2725" s="2">
        <v>0.37697986211152601</v>
      </c>
      <c r="AL2725" s="2">
        <v>0.65843423286843805</v>
      </c>
      <c r="AM2725" s="2">
        <v>1700.3947528001599</v>
      </c>
      <c r="AN2725" s="2">
        <v>1751.17435676781</v>
      </c>
      <c r="AO2725" s="2">
        <v>624.57804546142404</v>
      </c>
      <c r="AP2725" s="2">
        <v>1359.7887597122501</v>
      </c>
      <c r="AQ2725" s="2">
        <v>3545.1003479695901</v>
      </c>
      <c r="AR2725" s="2">
        <v>1401.8655237548501</v>
      </c>
      <c r="AS2725" s="2">
        <v>926.98333730758804</v>
      </c>
      <c r="AT2725" s="2">
        <v>48391.459181354097</v>
      </c>
      <c r="AU2725" s="2">
        <v>1592.4035247151101</v>
      </c>
      <c r="AV2725" s="2">
        <v>998.22922564828502</v>
      </c>
      <c r="AW2725" s="2">
        <v>1053.3353429829001</v>
      </c>
      <c r="AX2725" s="2">
        <v>1159.48621839567</v>
      </c>
    </row>
    <row r="2726" spans="1:50" x14ac:dyDescent="0.25">
      <c r="A2726" s="2" t="s">
        <v>18272</v>
      </c>
      <c r="B2726" s="2">
        <v>605.329508207873</v>
      </c>
      <c r="C2726" s="2">
        <v>8.33036666666667</v>
      </c>
      <c r="D2726" s="2" t="s">
        <v>51</v>
      </c>
      <c r="E2726" s="2" t="s">
        <v>18273</v>
      </c>
      <c r="F2726" s="2">
        <v>58695</v>
      </c>
      <c r="G2726" s="3" t="str">
        <f>HYPERLINK("https://cloud.oebiotech.com/#/lm/network/58695", "https://cloud.oebiotech.com/#/lm/network/58695")</f>
        <v>https://cloud.oebiotech.com/#/lm/network/58695</v>
      </c>
      <c r="H2726" s="2" t="s">
        <v>18274</v>
      </c>
      <c r="I2726" s="2"/>
      <c r="J2726" s="2"/>
      <c r="K2726" s="2">
        <v>5874476</v>
      </c>
      <c r="L2726" s="2" t="s">
        <v>18275</v>
      </c>
      <c r="M2726" s="2"/>
      <c r="N2726" s="2"/>
      <c r="O2726" s="2"/>
      <c r="P2726" s="2"/>
      <c r="Q2726" s="2"/>
      <c r="R2726" s="2" t="s">
        <v>18276</v>
      </c>
      <c r="S2726" s="2" t="s">
        <v>18277</v>
      </c>
      <c r="T2726" s="2" t="s">
        <v>18278</v>
      </c>
      <c r="U2726" s="2" t="s">
        <v>56</v>
      </c>
      <c r="V2726" s="2" t="s">
        <v>283</v>
      </c>
      <c r="W2726" s="2" t="s">
        <v>18279</v>
      </c>
      <c r="X2726" s="2" t="s">
        <v>83</v>
      </c>
      <c r="Y2726" s="2">
        <v>37.299999999999997</v>
      </c>
      <c r="Z2726" s="2">
        <v>0</v>
      </c>
      <c r="AA2726" s="2" t="s">
        <v>218</v>
      </c>
      <c r="AB2726" s="2" t="s">
        <v>18280</v>
      </c>
      <c r="AC2726" s="2">
        <v>-6.4482113238321803</v>
      </c>
      <c r="AD2726" s="2"/>
      <c r="AE2726" s="2">
        <v>0.227941218881476</v>
      </c>
      <c r="AF2726" s="2">
        <v>5967.5236075217699</v>
      </c>
      <c r="AG2726" s="2">
        <v>3845.2904512499999</v>
      </c>
      <c r="AH2726" s="5">
        <v>1.55190451363222</v>
      </c>
      <c r="AI2726" s="5">
        <v>0.63403979338381</v>
      </c>
      <c r="AJ2726" s="5" t="s">
        <v>139</v>
      </c>
      <c r="AK2726" s="2">
        <v>0.136749349657662</v>
      </c>
      <c r="AL2726" s="2">
        <v>0.45714014015627302</v>
      </c>
      <c r="AM2726" s="2">
        <v>6251.7011848832899</v>
      </c>
      <c r="AN2726" s="2">
        <v>7297.5566244073598</v>
      </c>
      <c r="AO2726" s="2">
        <v>2474.5546832098098</v>
      </c>
      <c r="AP2726" s="2">
        <v>4384.9794860653601</v>
      </c>
      <c r="AQ2726" s="2">
        <v>5425.7994439148597</v>
      </c>
      <c r="AR2726" s="2">
        <v>9970.5502226499393</v>
      </c>
      <c r="AS2726" s="2">
        <v>6305.6748960799096</v>
      </c>
      <c r="AT2726" s="2">
        <v>4187.1159053575302</v>
      </c>
      <c r="AU2726" s="2">
        <v>2670.0340951910798</v>
      </c>
      <c r="AV2726" s="2">
        <v>2152.8561694751002</v>
      </c>
      <c r="AW2726" s="2">
        <v>1837.6864709152601</v>
      </c>
      <c r="AX2726" s="2">
        <v>5918.3751704811402</v>
      </c>
    </row>
    <row r="2727" spans="1:50" x14ac:dyDescent="0.25">
      <c r="A2727" s="2" t="s">
        <v>18281</v>
      </c>
      <c r="B2727" s="2">
        <v>193.09549822526401</v>
      </c>
      <c r="C2727" s="2">
        <v>4.3206499999999997</v>
      </c>
      <c r="D2727" s="2" t="s">
        <v>51</v>
      </c>
      <c r="E2727" s="2" t="s">
        <v>18282</v>
      </c>
      <c r="F2727" s="2">
        <v>58077</v>
      </c>
      <c r="G2727" s="3" t="str">
        <f>HYPERLINK("https://cloud.oebiotech.com/#/lm/network/58077", "https://cloud.oebiotech.com/#/lm/network/58077")</f>
        <v>https://cloud.oebiotech.com/#/lm/network/58077</v>
      </c>
      <c r="H2727" s="2" t="s">
        <v>18283</v>
      </c>
      <c r="I2727" s="2">
        <v>89623</v>
      </c>
      <c r="J2727" s="2"/>
      <c r="K2727" s="2">
        <v>139895</v>
      </c>
      <c r="L2727" s="2"/>
      <c r="M2727" s="2"/>
      <c r="N2727" s="2"/>
      <c r="O2727" s="2"/>
      <c r="P2727" s="2"/>
      <c r="Q2727" s="2"/>
      <c r="R2727" s="2"/>
      <c r="S2727" s="2" t="s">
        <v>18284</v>
      </c>
      <c r="T2727" s="2" t="s">
        <v>18285</v>
      </c>
      <c r="U2727" s="2" t="s">
        <v>103</v>
      </c>
      <c r="V2727" s="2" t="s">
        <v>104</v>
      </c>
      <c r="W2727" s="2" t="s">
        <v>105</v>
      </c>
      <c r="X2727" s="2" t="s">
        <v>83</v>
      </c>
      <c r="Y2727" s="2">
        <v>39.700000000000003</v>
      </c>
      <c r="Z2727" s="2">
        <v>1.9800000000000002E-2</v>
      </c>
      <c r="AA2727" s="2" t="s">
        <v>60</v>
      </c>
      <c r="AB2727" s="2" t="s">
        <v>2821</v>
      </c>
      <c r="AC2727" s="2">
        <v>4.4081316697193698</v>
      </c>
      <c r="AD2727" s="2"/>
      <c r="AE2727" s="2">
        <v>0.22778328535845699</v>
      </c>
      <c r="AF2727" s="2">
        <v>48.031660282684797</v>
      </c>
      <c r="AG2727" s="2">
        <v>2737.8248668822798</v>
      </c>
      <c r="AH2727" s="4">
        <v>1.7543730011255702E-2</v>
      </c>
      <c r="AI2727" s="4">
        <v>-5.8329006747948897</v>
      </c>
      <c r="AJ2727" s="4" t="s">
        <v>62</v>
      </c>
      <c r="AK2727" s="2">
        <v>0.34854036338185801</v>
      </c>
      <c r="AL2727" s="2">
        <v>0.64167546020235899</v>
      </c>
      <c r="AM2727" s="2">
        <v>8.559877937157E-6</v>
      </c>
      <c r="AN2727" s="2">
        <v>72.447289934748895</v>
      </c>
      <c r="AO2727" s="2">
        <v>76.756472852292006</v>
      </c>
      <c r="AP2727" s="2">
        <v>10.747847663020099</v>
      </c>
      <c r="AQ2727" s="2">
        <v>85.690615308050496</v>
      </c>
      <c r="AR2727" s="2">
        <v>42.547727378119397</v>
      </c>
      <c r="AS2727" s="2">
        <v>4.6272912659913397</v>
      </c>
      <c r="AT2727" s="2">
        <v>10.622155390182799</v>
      </c>
      <c r="AU2727" s="2">
        <v>8.559877937157E-6</v>
      </c>
      <c r="AV2727" s="2">
        <v>8.559877937157E-6</v>
      </c>
      <c r="AW2727" s="2">
        <v>8.559877937157E-6</v>
      </c>
      <c r="AX2727" s="2">
        <v>16411.699728957901</v>
      </c>
    </row>
    <row r="2728" spans="1:50" x14ac:dyDescent="0.25">
      <c r="A2728" s="2" t="s">
        <v>18286</v>
      </c>
      <c r="B2728" s="2">
        <v>370.28131629603598</v>
      </c>
      <c r="C2728" s="2">
        <v>5.6083833333333297</v>
      </c>
      <c r="D2728" s="2" t="s">
        <v>51</v>
      </c>
      <c r="E2728" s="2" t="s">
        <v>18287</v>
      </c>
      <c r="F2728" s="2">
        <v>198439</v>
      </c>
      <c r="G2728" s="3" t="str">
        <f>HYPERLINK("https://cloud.oebiotech.com/#/lm/network/198439", "https://cloud.oebiotech.com/#/lm/network/198439")</f>
        <v>https://cloud.oebiotech.com/#/lm/network/198439</v>
      </c>
      <c r="H2728" s="2" t="s">
        <v>18288</v>
      </c>
      <c r="I2728" s="2"/>
      <c r="J2728" s="2"/>
      <c r="K2728" s="2">
        <v>121225983</v>
      </c>
      <c r="L2728" s="2"/>
      <c r="M2728" s="2"/>
      <c r="N2728" s="2"/>
      <c r="O2728" s="2">
        <v>133706</v>
      </c>
      <c r="P2728" s="2"/>
      <c r="Q2728" s="2"/>
      <c r="R2728" s="2"/>
      <c r="S2728" s="2" t="s">
        <v>18289</v>
      </c>
      <c r="T2728" s="2" t="s">
        <v>18290</v>
      </c>
      <c r="U2728" s="2" t="s">
        <v>103</v>
      </c>
      <c r="V2728" s="2" t="s">
        <v>104</v>
      </c>
      <c r="W2728" s="2" t="s">
        <v>105</v>
      </c>
      <c r="X2728" s="2" t="s">
        <v>147</v>
      </c>
      <c r="Y2728" s="2">
        <v>44.7</v>
      </c>
      <c r="Z2728" s="2">
        <v>40.9</v>
      </c>
      <c r="AA2728" s="2" t="s">
        <v>122</v>
      </c>
      <c r="AB2728" s="2" t="s">
        <v>18291</v>
      </c>
      <c r="AC2728" s="2">
        <v>-4.9732493244495402</v>
      </c>
      <c r="AD2728" s="2"/>
      <c r="AE2728" s="2">
        <v>0.22759394372946101</v>
      </c>
      <c r="AF2728" s="2">
        <v>3705.6414477547701</v>
      </c>
      <c r="AG2728" s="2">
        <v>2483.50795069471</v>
      </c>
      <c r="AH2728" s="5">
        <v>1.4920996917759799</v>
      </c>
      <c r="AI2728" s="5">
        <v>0.57734392971246895</v>
      </c>
      <c r="AJ2728" s="5" t="s">
        <v>139</v>
      </c>
      <c r="AK2728" s="2">
        <v>2.5957166019714598E-2</v>
      </c>
      <c r="AL2728" s="2">
        <v>0.24798394490570699</v>
      </c>
      <c r="AM2728" s="2">
        <v>4524.5110314147696</v>
      </c>
      <c r="AN2728" s="2">
        <v>3128.0237751909099</v>
      </c>
      <c r="AO2728" s="2">
        <v>3279.99820005846</v>
      </c>
      <c r="AP2728" s="2">
        <v>4441.9230295320504</v>
      </c>
      <c r="AQ2728" s="2">
        <v>2394.9001939085801</v>
      </c>
      <c r="AR2728" s="2">
        <v>4464.4924564238299</v>
      </c>
      <c r="AS2728" s="2">
        <v>2154.74709517569</v>
      </c>
      <c r="AT2728" s="2">
        <v>3697.9529573293999</v>
      </c>
      <c r="AU2728" s="2">
        <v>2961.4936087947499</v>
      </c>
      <c r="AV2728" s="2">
        <v>2033.59290504418</v>
      </c>
      <c r="AW2728" s="2">
        <v>2267.0647378753401</v>
      </c>
      <c r="AX2728" s="2">
        <v>1786.1963999489001</v>
      </c>
    </row>
    <row r="2729" spans="1:50" x14ac:dyDescent="0.25">
      <c r="A2729" s="2" t="s">
        <v>18292</v>
      </c>
      <c r="B2729" s="2">
        <v>389.24090786982299</v>
      </c>
      <c r="C2729" s="2">
        <v>3.8572500000000001</v>
      </c>
      <c r="D2729" s="2" t="s">
        <v>51</v>
      </c>
      <c r="E2729" s="2" t="s">
        <v>18293</v>
      </c>
      <c r="F2729" s="2">
        <v>197832</v>
      </c>
      <c r="G2729" s="3" t="str">
        <f>HYPERLINK("https://cloud.oebiotech.com/#/lm/network/197832", "https://cloud.oebiotech.com/#/lm/network/197832")</f>
        <v>https://cloud.oebiotech.com/#/lm/network/197832</v>
      </c>
      <c r="H2729" s="2" t="s">
        <v>18294</v>
      </c>
      <c r="I2729" s="2"/>
      <c r="J2729" s="2"/>
      <c r="K2729" s="2"/>
      <c r="L2729" s="2"/>
      <c r="M2729" s="2"/>
      <c r="N2729" s="2"/>
      <c r="O2729" s="2"/>
      <c r="P2729" s="2"/>
      <c r="Q2729" s="2"/>
      <c r="R2729" s="2"/>
      <c r="S2729" s="2" t="s">
        <v>18295</v>
      </c>
      <c r="T2729" s="2" t="s">
        <v>18296</v>
      </c>
      <c r="U2729" s="2" t="s">
        <v>56</v>
      </c>
      <c r="V2729" s="2" t="s">
        <v>145</v>
      </c>
      <c r="W2729" s="2" t="s">
        <v>1188</v>
      </c>
      <c r="X2729" s="2" t="s">
        <v>147</v>
      </c>
      <c r="Y2729" s="2">
        <v>37.9</v>
      </c>
      <c r="Z2729" s="2">
        <v>0</v>
      </c>
      <c r="AA2729" s="2" t="s">
        <v>122</v>
      </c>
      <c r="AB2729" s="2" t="s">
        <v>18297</v>
      </c>
      <c r="AC2729" s="2">
        <v>-1.1424642941104599</v>
      </c>
      <c r="AD2729" s="2"/>
      <c r="AE2729" s="2">
        <v>0.22731472701011601</v>
      </c>
      <c r="AF2729" s="2">
        <v>3211.82369127725</v>
      </c>
      <c r="AG2729" s="2">
        <v>5881.0967099551199</v>
      </c>
      <c r="AH2729" s="4">
        <v>0.54612665794808202</v>
      </c>
      <c r="AI2729" s="4">
        <v>-0.87269251443330498</v>
      </c>
      <c r="AJ2729" s="4" t="s">
        <v>62</v>
      </c>
      <c r="AK2729" s="2">
        <v>0.37964407136775702</v>
      </c>
      <c r="AL2729" s="2">
        <v>0.65913977412323299</v>
      </c>
      <c r="AM2729" s="2">
        <v>4249.9709907721599</v>
      </c>
      <c r="AN2729" s="2">
        <v>1923.59142187099</v>
      </c>
      <c r="AO2729" s="2">
        <v>1684.08506419433</v>
      </c>
      <c r="AP2729" s="2">
        <v>2094.4983187410498</v>
      </c>
      <c r="AQ2729" s="2">
        <v>1665.0249844673899</v>
      </c>
      <c r="AR2729" s="2">
        <v>7653.7713676175699</v>
      </c>
      <c r="AS2729" s="2">
        <v>2347.4468457765502</v>
      </c>
      <c r="AT2729" s="2">
        <v>1986.3471912761599</v>
      </c>
      <c r="AU2729" s="2">
        <v>6531.9301913440004</v>
      </c>
      <c r="AV2729" s="2">
        <v>19105.140231046898</v>
      </c>
      <c r="AW2729" s="2">
        <v>3298.3742622241298</v>
      </c>
      <c r="AX2729" s="2">
        <v>2017.3415380629599</v>
      </c>
    </row>
    <row r="2730" spans="1:50" x14ac:dyDescent="0.25">
      <c r="A2730" s="2" t="s">
        <v>18298</v>
      </c>
      <c r="B2730" s="2">
        <v>307.02502503457902</v>
      </c>
      <c r="C2730" s="2">
        <v>1.00901666666667</v>
      </c>
      <c r="D2730" s="2" t="s">
        <v>51</v>
      </c>
      <c r="E2730" s="2" t="s">
        <v>18299</v>
      </c>
      <c r="F2730" s="2">
        <v>52853</v>
      </c>
      <c r="G2730" s="3" t="str">
        <f>HYPERLINK("https://cloud.oebiotech.com/#/lm/network/52853", "https://cloud.oebiotech.com/#/lm/network/52853")</f>
        <v>https://cloud.oebiotech.com/#/lm/network/52853</v>
      </c>
      <c r="H2730" s="2" t="s">
        <v>18300</v>
      </c>
      <c r="I2730" s="2">
        <v>64837</v>
      </c>
      <c r="J2730" s="2"/>
      <c r="K2730" s="2">
        <v>41684</v>
      </c>
      <c r="L2730" s="2"/>
      <c r="M2730" s="2"/>
      <c r="N2730" s="2"/>
      <c r="O2730" s="2">
        <v>438934</v>
      </c>
      <c r="P2730" s="2"/>
      <c r="Q2730" s="2"/>
      <c r="R2730" s="2" t="s">
        <v>18301</v>
      </c>
      <c r="S2730" s="2" t="s">
        <v>18302</v>
      </c>
      <c r="T2730" s="2" t="s">
        <v>18303</v>
      </c>
      <c r="U2730" s="2" t="s">
        <v>610</v>
      </c>
      <c r="V2730" s="2" t="s">
        <v>611</v>
      </c>
      <c r="W2730" s="2" t="s">
        <v>1122</v>
      </c>
      <c r="X2730" s="2" t="s">
        <v>147</v>
      </c>
      <c r="Y2730" s="2">
        <v>36.6</v>
      </c>
      <c r="Z2730" s="2">
        <v>0</v>
      </c>
      <c r="AA2730" s="2" t="s">
        <v>122</v>
      </c>
      <c r="AB2730" s="2" t="s">
        <v>18304</v>
      </c>
      <c r="AC2730" s="2">
        <v>-4.1249439747291596</v>
      </c>
      <c r="AD2730" s="2"/>
      <c r="AE2730" s="2">
        <v>0.22718123314365299</v>
      </c>
      <c r="AF2730" s="2">
        <v>4802.3950264669502</v>
      </c>
      <c r="AG2730" s="2">
        <v>7382.2040522323596</v>
      </c>
      <c r="AH2730" s="4">
        <v>0.65053674925372995</v>
      </c>
      <c r="AI2730" s="4">
        <v>-0.62029753683964195</v>
      </c>
      <c r="AJ2730" s="4" t="s">
        <v>62</v>
      </c>
      <c r="AK2730" s="2">
        <v>0.14031526896042501</v>
      </c>
      <c r="AL2730" s="2">
        <v>0.459629804117481</v>
      </c>
      <c r="AM2730" s="2">
        <v>6137.3293896443902</v>
      </c>
      <c r="AN2730" s="2">
        <v>3615.3693001545598</v>
      </c>
      <c r="AO2730" s="2">
        <v>3851.91716662506</v>
      </c>
      <c r="AP2730" s="2">
        <v>7316.1168185627903</v>
      </c>
      <c r="AQ2730" s="2">
        <v>4438.9940970164598</v>
      </c>
      <c r="AR2730" s="2">
        <v>3454.6433867984501</v>
      </c>
      <c r="AS2730" s="2">
        <v>10439.647454988501</v>
      </c>
      <c r="AT2730" s="2">
        <v>12812.9755310743</v>
      </c>
      <c r="AU2730" s="2">
        <v>6574.6061415367203</v>
      </c>
      <c r="AV2730" s="2">
        <v>3758.5530758416598</v>
      </c>
      <c r="AW2730" s="2">
        <v>6873.0639568453998</v>
      </c>
      <c r="AX2730" s="2">
        <v>3834.3781531075601</v>
      </c>
    </row>
    <row r="2731" spans="1:50" x14ac:dyDescent="0.25">
      <c r="A2731" s="2" t="s">
        <v>18305</v>
      </c>
      <c r="B2731" s="2">
        <v>719.56539012196401</v>
      </c>
      <c r="C2731" s="2">
        <v>12.91235</v>
      </c>
      <c r="D2731" s="2" t="s">
        <v>51</v>
      </c>
      <c r="E2731" s="2" t="s">
        <v>18306</v>
      </c>
      <c r="F2731" s="2">
        <v>243315</v>
      </c>
      <c r="G2731" s="3" t="str">
        <f>HYPERLINK("https://cloud.oebiotech.com/#/lm/network/243315", "https://cloud.oebiotech.com/#/lm/network/243315")</f>
        <v>https://cloud.oebiotech.com/#/lm/network/243315</v>
      </c>
      <c r="H2731" s="2" t="s">
        <v>18307</v>
      </c>
      <c r="I2731" s="2"/>
      <c r="J2731" s="2"/>
      <c r="K2731" s="2"/>
      <c r="L2731" s="2"/>
      <c r="M2731" s="2"/>
      <c r="N2731" s="2"/>
      <c r="O2731" s="2"/>
      <c r="P2731" s="2"/>
      <c r="Q2731" s="2"/>
      <c r="R2731" s="2"/>
      <c r="S2731" s="2" t="s">
        <v>18308</v>
      </c>
      <c r="T2731" s="2" t="s">
        <v>18309</v>
      </c>
      <c r="U2731" s="2" t="s">
        <v>56</v>
      </c>
      <c r="V2731" s="2" t="s">
        <v>283</v>
      </c>
      <c r="W2731" s="2" t="s">
        <v>1663</v>
      </c>
      <c r="X2731" s="2" t="s">
        <v>83</v>
      </c>
      <c r="Y2731" s="2">
        <v>45.1</v>
      </c>
      <c r="Z2731" s="2">
        <v>14.8</v>
      </c>
      <c r="AA2731" s="2" t="s">
        <v>379</v>
      </c>
      <c r="AB2731" s="2" t="s">
        <v>18310</v>
      </c>
      <c r="AC2731" s="2">
        <v>4.5912749847976899</v>
      </c>
      <c r="AD2731" s="2"/>
      <c r="AE2731" s="2">
        <v>0.22660773950046501</v>
      </c>
      <c r="AF2731" s="2">
        <v>1298.8631525579799</v>
      </c>
      <c r="AG2731" s="2">
        <v>5142.1374967869797</v>
      </c>
      <c r="AH2731" s="4">
        <v>0.25259206961493402</v>
      </c>
      <c r="AI2731" s="4">
        <v>-1.98511874992979</v>
      </c>
      <c r="AJ2731" s="4" t="s">
        <v>62</v>
      </c>
      <c r="AK2731" s="2">
        <v>0.197743095948824</v>
      </c>
      <c r="AL2731" s="2">
        <v>0.52099301167963796</v>
      </c>
      <c r="AM2731" s="2">
        <v>3153.6336041969198</v>
      </c>
      <c r="AN2731" s="2">
        <v>354.19319445550599</v>
      </c>
      <c r="AO2731" s="2">
        <v>8.559877937157E-6</v>
      </c>
      <c r="AP2731" s="2">
        <v>590.37295025958497</v>
      </c>
      <c r="AQ2731" s="2">
        <v>1733.4877780440399</v>
      </c>
      <c r="AR2731" s="2">
        <v>1961.4913798319301</v>
      </c>
      <c r="AS2731" s="2">
        <v>482.23596317189498</v>
      </c>
      <c r="AT2731" s="2">
        <v>4657.83696660037</v>
      </c>
      <c r="AU2731" s="2">
        <v>18376.974302517101</v>
      </c>
      <c r="AV2731" s="2">
        <v>2997.6414323704698</v>
      </c>
      <c r="AW2731" s="2">
        <v>3936.0965849264499</v>
      </c>
      <c r="AX2731" s="2">
        <v>402.03973113558601</v>
      </c>
    </row>
    <row r="2732" spans="1:50" x14ac:dyDescent="0.25">
      <c r="A2732" s="2" t="s">
        <v>18311</v>
      </c>
      <c r="B2732" s="2">
        <v>203.091912820364</v>
      </c>
      <c r="C2732" s="2">
        <v>4.3825500000000002</v>
      </c>
      <c r="D2732" s="2" t="s">
        <v>51</v>
      </c>
      <c r="E2732" s="2" t="s">
        <v>18312</v>
      </c>
      <c r="F2732" s="2">
        <v>2937</v>
      </c>
      <c r="G2732" s="3" t="str">
        <f>HYPERLINK("https://cloud.oebiotech.com/#/lm/network/2937", "https://cloud.oebiotech.com/#/lm/network/2937")</f>
        <v>https://cloud.oebiotech.com/#/lm/network/2937</v>
      </c>
      <c r="H2732" s="2"/>
      <c r="I2732" s="2"/>
      <c r="J2732" s="2" t="s">
        <v>18313</v>
      </c>
      <c r="K2732" s="2">
        <v>131839802</v>
      </c>
      <c r="L2732" s="2"/>
      <c r="M2732" s="2"/>
      <c r="N2732" s="2"/>
      <c r="O2732" s="2"/>
      <c r="P2732" s="2"/>
      <c r="Q2732" s="2"/>
      <c r="R2732" s="2"/>
      <c r="S2732" s="2" t="s">
        <v>18314</v>
      </c>
      <c r="T2732" s="2" t="s">
        <v>18315</v>
      </c>
      <c r="U2732" s="2" t="s">
        <v>103</v>
      </c>
      <c r="V2732" s="2" t="s">
        <v>377</v>
      </c>
      <c r="W2732" s="2" t="s">
        <v>378</v>
      </c>
      <c r="X2732" s="2" t="s">
        <v>83</v>
      </c>
      <c r="Y2732" s="2">
        <v>58.1</v>
      </c>
      <c r="Z2732" s="2">
        <v>31.9</v>
      </c>
      <c r="AA2732" s="2" t="s">
        <v>163</v>
      </c>
      <c r="AB2732" s="2" t="s">
        <v>18316</v>
      </c>
      <c r="AC2732" s="2">
        <v>-2.8631024222711501</v>
      </c>
      <c r="AD2732" s="2"/>
      <c r="AE2732" s="2">
        <v>0.22660327975330299</v>
      </c>
      <c r="AF2732" s="2">
        <v>2925.3648808132498</v>
      </c>
      <c r="AG2732" s="2">
        <v>1610.1775589086899</v>
      </c>
      <c r="AH2732" s="5">
        <v>1.8167964549176401</v>
      </c>
      <c r="AI2732" s="5">
        <v>0.86139679605521202</v>
      </c>
      <c r="AJ2732" s="5" t="s">
        <v>139</v>
      </c>
      <c r="AK2732" s="2">
        <v>0.24549917266594501</v>
      </c>
      <c r="AL2732" s="2">
        <v>0.57060798295178805</v>
      </c>
      <c r="AM2732" s="2">
        <v>7651.9569304126298</v>
      </c>
      <c r="AN2732" s="2">
        <v>3100.83397941054</v>
      </c>
      <c r="AO2732" s="2">
        <v>1703.71596273566</v>
      </c>
      <c r="AP2732" s="2">
        <v>1686.1676092579601</v>
      </c>
      <c r="AQ2732" s="2">
        <v>1355.05579818055</v>
      </c>
      <c r="AR2732" s="2">
        <v>2054.4590048821601</v>
      </c>
      <c r="AS2732" s="2">
        <v>1463.65733521638</v>
      </c>
      <c r="AT2732" s="2">
        <v>699.38072222257802</v>
      </c>
      <c r="AU2732" s="2">
        <v>3389.5989625239199</v>
      </c>
      <c r="AV2732" s="2">
        <v>705.93587478672896</v>
      </c>
      <c r="AW2732" s="2">
        <v>1146.8968528805401</v>
      </c>
      <c r="AX2732" s="2">
        <v>2255.5956058219799</v>
      </c>
    </row>
    <row r="2733" spans="1:50" x14ac:dyDescent="0.25">
      <c r="A2733" s="2" t="s">
        <v>18317</v>
      </c>
      <c r="B2733" s="2">
        <v>287.20148438428299</v>
      </c>
      <c r="C2733" s="2">
        <v>9.5024499999999996</v>
      </c>
      <c r="D2733" s="2" t="s">
        <v>51</v>
      </c>
      <c r="E2733" s="2" t="s">
        <v>18318</v>
      </c>
      <c r="F2733" s="2">
        <v>44895</v>
      </c>
      <c r="G2733" s="3" t="str">
        <f>HYPERLINK("https://cloud.oebiotech.com/#/lm/network/44895", "https://cloud.oebiotech.com/#/lm/network/44895")</f>
        <v>https://cloud.oebiotech.com/#/lm/network/44895</v>
      </c>
      <c r="H2733" s="2" t="s">
        <v>18319</v>
      </c>
      <c r="I2733" s="2">
        <v>2795</v>
      </c>
      <c r="J2733" s="2" t="s">
        <v>18320</v>
      </c>
      <c r="K2733" s="2">
        <v>6128</v>
      </c>
      <c r="L2733" s="2" t="s">
        <v>18321</v>
      </c>
      <c r="M2733" s="2" t="s">
        <v>18322</v>
      </c>
      <c r="N2733" s="2" t="s">
        <v>18323</v>
      </c>
      <c r="O2733" s="2">
        <v>16422</v>
      </c>
      <c r="P2733" s="2" t="s">
        <v>18324</v>
      </c>
      <c r="Q2733" s="2" t="s">
        <v>18325</v>
      </c>
      <c r="R2733" s="2" t="s">
        <v>18326</v>
      </c>
      <c r="S2733" s="2" t="s">
        <v>18327</v>
      </c>
      <c r="T2733" s="2" t="s">
        <v>18328</v>
      </c>
      <c r="U2733" s="2" t="s">
        <v>56</v>
      </c>
      <c r="V2733" s="2" t="s">
        <v>283</v>
      </c>
      <c r="W2733" s="2" t="s">
        <v>284</v>
      </c>
      <c r="X2733" s="2" t="s">
        <v>147</v>
      </c>
      <c r="Y2733" s="2">
        <v>37.4</v>
      </c>
      <c r="Z2733" s="2">
        <v>0</v>
      </c>
      <c r="AA2733" s="2" t="s">
        <v>259</v>
      </c>
      <c r="AB2733" s="2" t="s">
        <v>18329</v>
      </c>
      <c r="AC2733" s="2">
        <v>3.24214231316062</v>
      </c>
      <c r="AD2733" s="2"/>
      <c r="AE2733" s="2">
        <v>0.226344006412386</v>
      </c>
      <c r="AF2733" s="2">
        <v>4261.76415400936</v>
      </c>
      <c r="AG2733" s="2">
        <v>2938.5221968159699</v>
      </c>
      <c r="AH2733" s="5">
        <v>1.45030864787313</v>
      </c>
      <c r="AI2733" s="5">
        <v>0.53635996049599099</v>
      </c>
      <c r="AJ2733" s="5" t="s">
        <v>139</v>
      </c>
      <c r="AK2733" s="2">
        <v>0.13426878417569399</v>
      </c>
      <c r="AL2733" s="2">
        <v>0.45509148539334099</v>
      </c>
      <c r="AM2733" s="2">
        <v>6270.0839982876896</v>
      </c>
      <c r="AN2733" s="2">
        <v>5668.4863785594398</v>
      </c>
      <c r="AO2733" s="2">
        <v>3549.2823829098802</v>
      </c>
      <c r="AP2733" s="2">
        <v>2855.1387735901999</v>
      </c>
      <c r="AQ2733" s="2">
        <v>3861.31073426801</v>
      </c>
      <c r="AR2733" s="2">
        <v>3366.2826564409702</v>
      </c>
      <c r="AS2733" s="2">
        <v>4430.7320452415097</v>
      </c>
      <c r="AT2733" s="2">
        <v>1570.68844579855</v>
      </c>
      <c r="AU2733" s="2">
        <v>4974.4568272775396</v>
      </c>
      <c r="AV2733" s="2">
        <v>1691.82231762936</v>
      </c>
      <c r="AW2733" s="2">
        <v>2248.5736143387098</v>
      </c>
      <c r="AX2733" s="2">
        <v>2714.8599306101801</v>
      </c>
    </row>
    <row r="2734" spans="1:50" x14ac:dyDescent="0.25">
      <c r="A2734" s="2" t="s">
        <v>18330</v>
      </c>
      <c r="B2734" s="2">
        <v>277.14430666520002</v>
      </c>
      <c r="C2734" s="2">
        <v>10.96625</v>
      </c>
      <c r="D2734" s="2" t="s">
        <v>51</v>
      </c>
      <c r="E2734" s="2" t="s">
        <v>18331</v>
      </c>
      <c r="F2734" s="2">
        <v>208928</v>
      </c>
      <c r="G2734" s="3" t="str">
        <f>HYPERLINK("https://cloud.oebiotech.com/#/lm/network/208928", "https://cloud.oebiotech.com/#/lm/network/208928")</f>
        <v>https://cloud.oebiotech.com/#/lm/network/208928</v>
      </c>
      <c r="H2734" s="2" t="s">
        <v>18332</v>
      </c>
      <c r="I2734" s="2">
        <v>328993</v>
      </c>
      <c r="J2734" s="2"/>
      <c r="K2734" s="2">
        <v>79362</v>
      </c>
      <c r="L2734" s="2"/>
      <c r="M2734" s="2"/>
      <c r="N2734" s="2"/>
      <c r="O2734" s="2">
        <v>132583</v>
      </c>
      <c r="P2734" s="2"/>
      <c r="Q2734" s="2"/>
      <c r="R2734" s="2"/>
      <c r="S2734" s="2" t="s">
        <v>18333</v>
      </c>
      <c r="T2734" s="2" t="s">
        <v>18334</v>
      </c>
      <c r="U2734" s="2" t="s">
        <v>610</v>
      </c>
      <c r="V2734" s="2" t="s">
        <v>611</v>
      </c>
      <c r="W2734" s="2" t="s">
        <v>1122</v>
      </c>
      <c r="X2734" s="2" t="s">
        <v>83</v>
      </c>
      <c r="Y2734" s="2">
        <v>48.5</v>
      </c>
      <c r="Z2734" s="2">
        <v>0</v>
      </c>
      <c r="AA2734" s="2" t="s">
        <v>163</v>
      </c>
      <c r="AB2734" s="2" t="s">
        <v>16354</v>
      </c>
      <c r="AC2734" s="2">
        <v>-0.81281722032509296</v>
      </c>
      <c r="AD2734" s="2"/>
      <c r="AE2734" s="2">
        <v>0.226323845723165</v>
      </c>
      <c r="AF2734" s="2">
        <v>9540.8462747886006</v>
      </c>
      <c r="AG2734" s="2">
        <v>8161.30968174382</v>
      </c>
      <c r="AH2734" s="5">
        <v>1.1690337270414699</v>
      </c>
      <c r="AI2734" s="5">
        <v>0.22531655273831699</v>
      </c>
      <c r="AJ2734" s="5" t="s">
        <v>139</v>
      </c>
      <c r="AK2734" s="2">
        <v>7.7072569807368096E-2</v>
      </c>
      <c r="AL2734" s="2">
        <v>0.36167090103694299</v>
      </c>
      <c r="AM2734" s="2">
        <v>10489.455110191901</v>
      </c>
      <c r="AN2734" s="2">
        <v>10090.5615895868</v>
      </c>
      <c r="AO2734" s="2">
        <v>9051.0048035235504</v>
      </c>
      <c r="AP2734" s="2">
        <v>9973.9804796059507</v>
      </c>
      <c r="AQ2734" s="2">
        <v>9777.9721055434293</v>
      </c>
      <c r="AR2734" s="2">
        <v>7862.1035602799702</v>
      </c>
      <c r="AS2734" s="2">
        <v>9787.7582896978402</v>
      </c>
      <c r="AT2734" s="2">
        <v>10168.3224713169</v>
      </c>
      <c r="AU2734" s="2">
        <v>7233.8735187414004</v>
      </c>
      <c r="AV2734" s="2">
        <v>7566.7783275194097</v>
      </c>
      <c r="AW2734" s="2">
        <v>6902.0654114683803</v>
      </c>
      <c r="AX2734" s="2">
        <v>7309.060071719</v>
      </c>
    </row>
    <row r="2735" spans="1:50" x14ac:dyDescent="0.25">
      <c r="A2735" s="2" t="s">
        <v>18335</v>
      </c>
      <c r="B2735" s="2">
        <v>239.128638891279</v>
      </c>
      <c r="C2735" s="2">
        <v>7.00115</v>
      </c>
      <c r="D2735" s="2" t="s">
        <v>51</v>
      </c>
      <c r="E2735" s="2" t="s">
        <v>18336</v>
      </c>
      <c r="F2735" s="2">
        <v>510</v>
      </c>
      <c r="G2735" s="3" t="str">
        <f>HYPERLINK("https://cloud.oebiotech.com/#/lm/network/510", "https://cloud.oebiotech.com/#/lm/network/510")</f>
        <v>https://cloud.oebiotech.com/#/lm/network/510</v>
      </c>
      <c r="H2735" s="2"/>
      <c r="I2735" s="2"/>
      <c r="J2735" s="2" t="s">
        <v>18337</v>
      </c>
      <c r="K2735" s="2"/>
      <c r="L2735" s="2"/>
      <c r="M2735" s="2"/>
      <c r="N2735" s="2"/>
      <c r="O2735" s="2"/>
      <c r="P2735" s="2"/>
      <c r="Q2735" s="2"/>
      <c r="R2735" s="2"/>
      <c r="S2735" s="2" t="s">
        <v>18338</v>
      </c>
      <c r="T2735" s="2" t="s">
        <v>18339</v>
      </c>
      <c r="U2735" s="2" t="s">
        <v>103</v>
      </c>
      <c r="V2735" s="2" t="s">
        <v>2602</v>
      </c>
      <c r="W2735" s="2" t="s">
        <v>2603</v>
      </c>
      <c r="X2735" s="2" t="s">
        <v>83</v>
      </c>
      <c r="Y2735" s="2">
        <v>41.2</v>
      </c>
      <c r="Z2735" s="2">
        <v>0</v>
      </c>
      <c r="AA2735" s="2" t="s">
        <v>163</v>
      </c>
      <c r="AB2735" s="2" t="s">
        <v>18340</v>
      </c>
      <c r="AC2735" s="2">
        <v>-1.0152421924788</v>
      </c>
      <c r="AD2735" s="2"/>
      <c r="AE2735" s="2">
        <v>0.226122993252136</v>
      </c>
      <c r="AF2735" s="2">
        <v>2896.0516961882599</v>
      </c>
      <c r="AG2735" s="2">
        <v>1706.2524281410599</v>
      </c>
      <c r="AH2735" s="5">
        <v>1.69731725999269</v>
      </c>
      <c r="AI2735" s="5">
        <v>0.76325625647650297</v>
      </c>
      <c r="AJ2735" s="5" t="s">
        <v>139</v>
      </c>
      <c r="AK2735" s="2">
        <v>7.1536656013988301E-2</v>
      </c>
      <c r="AL2735" s="2">
        <v>0.35359330830404301</v>
      </c>
      <c r="AM2735" s="2">
        <v>4674.8558342598199</v>
      </c>
      <c r="AN2735" s="2">
        <v>4063.03063420853</v>
      </c>
      <c r="AO2735" s="2">
        <v>1772.5938208943701</v>
      </c>
      <c r="AP2735" s="2">
        <v>1983.94376642063</v>
      </c>
      <c r="AQ2735" s="2">
        <v>1632.2255981629201</v>
      </c>
      <c r="AR2735" s="2">
        <v>3249.66052318332</v>
      </c>
      <c r="AS2735" s="2">
        <v>2130.2142767220498</v>
      </c>
      <c r="AT2735" s="2">
        <v>2226.1091318183098</v>
      </c>
      <c r="AU2735" s="2">
        <v>1381.96731843664</v>
      </c>
      <c r="AV2735" s="2">
        <v>806.98102970853995</v>
      </c>
      <c r="AW2735" s="2">
        <v>1249.8875438463599</v>
      </c>
      <c r="AX2735" s="2">
        <v>2442.3552683144599</v>
      </c>
    </row>
    <row r="2736" spans="1:50" x14ac:dyDescent="0.25">
      <c r="A2736" s="2" t="s">
        <v>18341</v>
      </c>
      <c r="B2736" s="2">
        <v>534.31762912624799</v>
      </c>
      <c r="C2736" s="2">
        <v>12.1138666666667</v>
      </c>
      <c r="D2736" s="2" t="s">
        <v>51</v>
      </c>
      <c r="E2736" s="2" t="s">
        <v>18342</v>
      </c>
      <c r="F2736" s="2">
        <v>207260</v>
      </c>
      <c r="G2736" s="3" t="str">
        <f>HYPERLINK("https://cloud.oebiotech.com/#/lm/network/207260", "https://cloud.oebiotech.com/#/lm/network/207260")</f>
        <v>https://cloud.oebiotech.com/#/lm/network/207260</v>
      </c>
      <c r="H2736" s="2" t="s">
        <v>18343</v>
      </c>
      <c r="I2736" s="2"/>
      <c r="J2736" s="2"/>
      <c r="K2736" s="2">
        <v>71330004</v>
      </c>
      <c r="L2736" s="2"/>
      <c r="M2736" s="2"/>
      <c r="N2736" s="2"/>
      <c r="O2736" s="2"/>
      <c r="P2736" s="2"/>
      <c r="Q2736" s="2"/>
      <c r="R2736" s="2"/>
      <c r="S2736" s="2" t="s">
        <v>18344</v>
      </c>
      <c r="T2736" s="2" t="s">
        <v>18345</v>
      </c>
      <c r="U2736" s="2" t="s">
        <v>103</v>
      </c>
      <c r="V2736" s="2" t="s">
        <v>104</v>
      </c>
      <c r="W2736" s="2" t="s">
        <v>105</v>
      </c>
      <c r="X2736" s="2" t="s">
        <v>147</v>
      </c>
      <c r="Y2736" s="2">
        <v>37.6</v>
      </c>
      <c r="Z2736" s="2">
        <v>0</v>
      </c>
      <c r="AA2736" s="2" t="s">
        <v>379</v>
      </c>
      <c r="AB2736" s="2" t="s">
        <v>18346</v>
      </c>
      <c r="AC2736" s="2">
        <v>3.3254922118883301</v>
      </c>
      <c r="AD2736" s="2"/>
      <c r="AE2736" s="2">
        <v>0.226108137936014</v>
      </c>
      <c r="AF2736" s="2">
        <v>1818.47837329503</v>
      </c>
      <c r="AG2736" s="2">
        <v>3433.1825866941599</v>
      </c>
      <c r="AH2736" s="4">
        <v>0.52967715155693296</v>
      </c>
      <c r="AI2736" s="4">
        <v>-0.91681481779153395</v>
      </c>
      <c r="AJ2736" s="4" t="s">
        <v>62</v>
      </c>
      <c r="AK2736" s="2">
        <v>3.6491664307619402E-2</v>
      </c>
      <c r="AL2736" s="2">
        <v>0.27847173649657597</v>
      </c>
      <c r="AM2736" s="2">
        <v>3847.7264531358001</v>
      </c>
      <c r="AN2736" s="2">
        <v>454.73691421883399</v>
      </c>
      <c r="AO2736" s="2">
        <v>1101.60833557212</v>
      </c>
      <c r="AP2736" s="2">
        <v>227.77792062496999</v>
      </c>
      <c r="AQ2736" s="2">
        <v>2190.8313348780398</v>
      </c>
      <c r="AR2736" s="2">
        <v>3088.1892813403902</v>
      </c>
      <c r="AS2736" s="2">
        <v>4412.0897166662899</v>
      </c>
      <c r="AT2736" s="2">
        <v>2629.7362348166198</v>
      </c>
      <c r="AU2736" s="2">
        <v>2758.26977502007</v>
      </c>
      <c r="AV2736" s="2">
        <v>4182.7165018757496</v>
      </c>
      <c r="AW2736" s="2">
        <v>3370.7158506637402</v>
      </c>
      <c r="AX2736" s="2">
        <v>3245.56744112251</v>
      </c>
    </row>
    <row r="2737" spans="1:50" x14ac:dyDescent="0.25">
      <c r="A2737" s="2" t="s">
        <v>18347</v>
      </c>
      <c r="B2737" s="2">
        <v>438.98287691836998</v>
      </c>
      <c r="C2737" s="2">
        <v>10.121033333333299</v>
      </c>
      <c r="D2737" s="2" t="s">
        <v>51</v>
      </c>
      <c r="E2737" s="2" t="s">
        <v>18348</v>
      </c>
      <c r="F2737" s="2">
        <v>256425</v>
      </c>
      <c r="G2737" s="3" t="str">
        <f>HYPERLINK("https://cloud.oebiotech.com/#/lm/network/256425", "https://cloud.oebiotech.com/#/lm/network/256425")</f>
        <v>https://cloud.oebiotech.com/#/lm/network/256425</v>
      </c>
      <c r="H2737" s="2" t="s">
        <v>18349</v>
      </c>
      <c r="I2737" s="2"/>
      <c r="J2737" s="2"/>
      <c r="K2737" s="2">
        <v>24568</v>
      </c>
      <c r="L2737" s="2"/>
      <c r="M2737" s="2"/>
      <c r="N2737" s="2"/>
      <c r="O2737" s="2"/>
      <c r="P2737" s="2"/>
      <c r="Q2737" s="2"/>
      <c r="R2737" s="2"/>
      <c r="S2737" s="2" t="s">
        <v>18350</v>
      </c>
      <c r="T2737" s="2" t="s">
        <v>18351</v>
      </c>
      <c r="U2737" s="2" t="s">
        <v>13215</v>
      </c>
      <c r="V2737" s="2" t="s">
        <v>18352</v>
      </c>
      <c r="W2737" s="2" t="s">
        <v>18353</v>
      </c>
      <c r="X2737" s="2" t="s">
        <v>147</v>
      </c>
      <c r="Y2737" s="2">
        <v>36.700000000000003</v>
      </c>
      <c r="Z2737" s="2">
        <v>0</v>
      </c>
      <c r="AA2737" s="2" t="s">
        <v>379</v>
      </c>
      <c r="AB2737" s="2" t="s">
        <v>18354</v>
      </c>
      <c r="AC2737" s="2">
        <v>-1.8013769220812199</v>
      </c>
      <c r="AD2737" s="2"/>
      <c r="AE2737" s="2">
        <v>0.22566291884314599</v>
      </c>
      <c r="AF2737" s="2">
        <v>3474.0017127280998</v>
      </c>
      <c r="AG2737" s="2">
        <v>4686.3741502742396</v>
      </c>
      <c r="AH2737" s="4">
        <v>0.74129841137946995</v>
      </c>
      <c r="AI2737" s="4">
        <v>-0.43187367522676801</v>
      </c>
      <c r="AJ2737" s="4" t="s">
        <v>62</v>
      </c>
      <c r="AK2737" s="2">
        <v>2.75002112603983E-2</v>
      </c>
      <c r="AL2737" s="2">
        <v>0.25505404741882998</v>
      </c>
      <c r="AM2737" s="2">
        <v>2635.98732137966</v>
      </c>
      <c r="AN2737" s="2">
        <v>4151.0225708370399</v>
      </c>
      <c r="AO2737" s="2">
        <v>4478.9571288369498</v>
      </c>
      <c r="AP2737" s="2">
        <v>4353.28337565335</v>
      </c>
      <c r="AQ2737" s="2">
        <v>2046.2968873432401</v>
      </c>
      <c r="AR2737" s="2">
        <v>3178.4629923183902</v>
      </c>
      <c r="AS2737" s="2">
        <v>5050.9118586833401</v>
      </c>
      <c r="AT2737" s="2">
        <v>4580.71843564558</v>
      </c>
      <c r="AU2737" s="2">
        <v>3622.6789858940401</v>
      </c>
      <c r="AV2737" s="2">
        <v>4784.5904476086998</v>
      </c>
      <c r="AW2737" s="2">
        <v>5161.1307181813499</v>
      </c>
      <c r="AX2737" s="2">
        <v>4918.2144556324301</v>
      </c>
    </row>
    <row r="2738" spans="1:50" x14ac:dyDescent="0.25">
      <c r="A2738" s="2" t="s">
        <v>18355</v>
      </c>
      <c r="B2738" s="2">
        <v>432.16911672404399</v>
      </c>
      <c r="C2738" s="2">
        <v>10.011466666666699</v>
      </c>
      <c r="D2738" s="2" t="s">
        <v>51</v>
      </c>
      <c r="E2738" s="2" t="s">
        <v>18356</v>
      </c>
      <c r="F2738" s="2">
        <v>62205</v>
      </c>
      <c r="G2738" s="3" t="str">
        <f>HYPERLINK("https://cloud.oebiotech.com/#/lm/network/62205", "https://cloud.oebiotech.com/#/lm/network/62205")</f>
        <v>https://cloud.oebiotech.com/#/lm/network/62205</v>
      </c>
      <c r="H2738" s="2" t="s">
        <v>18357</v>
      </c>
      <c r="I2738" s="2">
        <v>93490</v>
      </c>
      <c r="J2738" s="2"/>
      <c r="K2738" s="2">
        <v>131752480</v>
      </c>
      <c r="L2738" s="2"/>
      <c r="M2738" s="2"/>
      <c r="N2738" s="2"/>
      <c r="O2738" s="2">
        <v>173287</v>
      </c>
      <c r="P2738" s="2"/>
      <c r="Q2738" s="2"/>
      <c r="R2738" s="2" t="s">
        <v>18358</v>
      </c>
      <c r="S2738" s="2" t="s">
        <v>18359</v>
      </c>
      <c r="T2738" s="2" t="s">
        <v>18360</v>
      </c>
      <c r="U2738" s="2" t="s">
        <v>331</v>
      </c>
      <c r="V2738" s="2" t="s">
        <v>332</v>
      </c>
      <c r="W2738" s="2" t="s">
        <v>333</v>
      </c>
      <c r="X2738" s="2" t="s">
        <v>147</v>
      </c>
      <c r="Y2738" s="2">
        <v>37.700000000000003</v>
      </c>
      <c r="Z2738" s="2">
        <v>0</v>
      </c>
      <c r="AA2738" s="2" t="s">
        <v>512</v>
      </c>
      <c r="AB2738" s="2" t="s">
        <v>18361</v>
      </c>
      <c r="AC2738" s="2">
        <v>-4.9493099359308399</v>
      </c>
      <c r="AD2738" s="2"/>
      <c r="AE2738" s="2">
        <v>0.22557485843371899</v>
      </c>
      <c r="AF2738" s="2">
        <v>1910.3703779176201</v>
      </c>
      <c r="AG2738" s="2">
        <v>758.66140034464604</v>
      </c>
      <c r="AH2738" s="5">
        <v>2.51808036767097</v>
      </c>
      <c r="AI2738" s="5">
        <v>1.3323243292007201</v>
      </c>
      <c r="AJ2738" s="5" t="s">
        <v>139</v>
      </c>
      <c r="AK2738" s="2">
        <v>1.0785914436125201E-2</v>
      </c>
      <c r="AL2738" s="2">
        <v>0.16592979635359201</v>
      </c>
      <c r="AM2738" s="2">
        <v>2143.8946489101399</v>
      </c>
      <c r="AN2738" s="2">
        <v>3223.3230646337902</v>
      </c>
      <c r="AO2738" s="2">
        <v>1194.19150013886</v>
      </c>
      <c r="AP2738" s="2">
        <v>1443.3852746830401</v>
      </c>
      <c r="AQ2738" s="2">
        <v>1337.0024510527201</v>
      </c>
      <c r="AR2738" s="2">
        <v>2120.4253280871799</v>
      </c>
      <c r="AS2738" s="2">
        <v>1499.71633631791</v>
      </c>
      <c r="AT2738" s="2">
        <v>532.50692996320095</v>
      </c>
      <c r="AU2738" s="2">
        <v>1037.6040424878699</v>
      </c>
      <c r="AV2738" s="2">
        <v>258.14218469576298</v>
      </c>
      <c r="AW2738" s="2">
        <v>279.21729504081401</v>
      </c>
      <c r="AX2738" s="2">
        <v>944.78161356231703</v>
      </c>
    </row>
    <row r="2739" spans="1:50" x14ac:dyDescent="0.25">
      <c r="A2739" s="2" t="s">
        <v>18362</v>
      </c>
      <c r="B2739" s="2">
        <v>255.092826135271</v>
      </c>
      <c r="C2739" s="2">
        <v>4.9764666666666697</v>
      </c>
      <c r="D2739" s="2" t="s">
        <v>51</v>
      </c>
      <c r="E2739" s="2" t="s">
        <v>18363</v>
      </c>
      <c r="F2739" s="2">
        <v>58841</v>
      </c>
      <c r="G2739" s="3" t="str">
        <f>HYPERLINK("https://cloud.oebiotech.com/#/lm/network/58841", "https://cloud.oebiotech.com/#/lm/network/58841")</f>
        <v>https://cloud.oebiotech.com/#/lm/network/58841</v>
      </c>
      <c r="H2739" s="2" t="s">
        <v>18364</v>
      </c>
      <c r="I2739" s="2"/>
      <c r="J2739" s="2"/>
      <c r="K2739" s="2">
        <v>13362142</v>
      </c>
      <c r="L2739" s="2"/>
      <c r="M2739" s="2"/>
      <c r="N2739" s="2"/>
      <c r="O2739" s="2"/>
      <c r="P2739" s="2"/>
      <c r="Q2739" s="2"/>
      <c r="R2739" s="2" t="s">
        <v>18365</v>
      </c>
      <c r="S2739" s="2" t="s">
        <v>18366</v>
      </c>
      <c r="T2739" s="2" t="s">
        <v>18367</v>
      </c>
      <c r="U2739" s="2" t="s">
        <v>266</v>
      </c>
      <c r="V2739" s="2" t="s">
        <v>18368</v>
      </c>
      <c r="W2739" s="2" t="s">
        <v>240</v>
      </c>
      <c r="X2739" s="2" t="s">
        <v>147</v>
      </c>
      <c r="Y2739" s="2">
        <v>38.799999999999997</v>
      </c>
      <c r="Z2739" s="2">
        <v>0</v>
      </c>
      <c r="AA2739" s="2" t="s">
        <v>395</v>
      </c>
      <c r="AB2739" s="2" t="s">
        <v>18369</v>
      </c>
      <c r="AC2739" s="2">
        <v>0.15631688522887499</v>
      </c>
      <c r="AD2739" s="2"/>
      <c r="AE2739" s="2">
        <v>0.22553889919391601</v>
      </c>
      <c r="AF2739" s="2">
        <v>2305.7098606659802</v>
      </c>
      <c r="AG2739" s="2">
        <v>1132.6032774573</v>
      </c>
      <c r="AH2739" s="5">
        <v>2.0357612471705901</v>
      </c>
      <c r="AI2739" s="5">
        <v>1.0255683729457801</v>
      </c>
      <c r="AJ2739" s="5" t="s">
        <v>139</v>
      </c>
      <c r="AK2739" s="2">
        <v>3.2521965699387301E-3</v>
      </c>
      <c r="AL2739" s="2">
        <v>0.1120315017845</v>
      </c>
      <c r="AM2739" s="2">
        <v>2980.46093926396</v>
      </c>
      <c r="AN2739" s="2">
        <v>1412.5964659257399</v>
      </c>
      <c r="AO2739" s="2">
        <v>1797.66364067516</v>
      </c>
      <c r="AP2739" s="2">
        <v>2786.2007565200201</v>
      </c>
      <c r="AQ2739" s="2">
        <v>3036.9218188452401</v>
      </c>
      <c r="AR2739" s="2">
        <v>1820.4155427657299</v>
      </c>
      <c r="AS2739" s="2">
        <v>1383.3715824890501</v>
      </c>
      <c r="AT2739" s="2">
        <v>1432.09447790283</v>
      </c>
      <c r="AU2739" s="2">
        <v>1032.7718528380501</v>
      </c>
      <c r="AV2739" s="2">
        <v>895.49143145070002</v>
      </c>
      <c r="AW2739" s="2">
        <v>879.84654277068398</v>
      </c>
      <c r="AX2739" s="2">
        <v>1172.0437772925</v>
      </c>
    </row>
    <row r="2740" spans="1:50" x14ac:dyDescent="0.25">
      <c r="A2740" s="2" t="s">
        <v>18370</v>
      </c>
      <c r="B2740" s="2">
        <v>572.23906636084303</v>
      </c>
      <c r="C2740" s="2">
        <v>4.5051166666666704</v>
      </c>
      <c r="D2740" s="2" t="s">
        <v>51</v>
      </c>
      <c r="E2740" s="2" t="s">
        <v>18371</v>
      </c>
      <c r="F2740" s="2">
        <v>64502</v>
      </c>
      <c r="G2740" s="3" t="str">
        <f>HYPERLINK("https://cloud.oebiotech.com/#/lm/network/64502", "https://cloud.oebiotech.com/#/lm/network/64502")</f>
        <v>https://cloud.oebiotech.com/#/lm/network/64502</v>
      </c>
      <c r="H2740" s="2" t="s">
        <v>18372</v>
      </c>
      <c r="I2740" s="2">
        <v>95811</v>
      </c>
      <c r="J2740" s="2"/>
      <c r="K2740" s="2">
        <v>85117146</v>
      </c>
      <c r="L2740" s="2"/>
      <c r="M2740" s="2"/>
      <c r="N2740" s="2"/>
      <c r="O2740" s="2"/>
      <c r="P2740" s="2"/>
      <c r="Q2740" s="2"/>
      <c r="R2740" s="2" t="s">
        <v>18373</v>
      </c>
      <c r="S2740" s="2" t="s">
        <v>18374</v>
      </c>
      <c r="T2740" s="2" t="s">
        <v>18375</v>
      </c>
      <c r="U2740" s="2" t="s">
        <v>540</v>
      </c>
      <c r="V2740" s="2" t="s">
        <v>1826</v>
      </c>
      <c r="W2740" s="2" t="s">
        <v>4829</v>
      </c>
      <c r="X2740" s="2" t="s">
        <v>83</v>
      </c>
      <c r="Y2740" s="2">
        <v>39.700000000000003</v>
      </c>
      <c r="Z2740" s="2">
        <v>0</v>
      </c>
      <c r="AA2740" s="2" t="s">
        <v>512</v>
      </c>
      <c r="AB2740" s="2" t="s">
        <v>18376</v>
      </c>
      <c r="AC2740" s="2">
        <v>9.5627692987098598</v>
      </c>
      <c r="AD2740" s="2"/>
      <c r="AE2740" s="2">
        <v>0.225432829667396</v>
      </c>
      <c r="AF2740" s="2">
        <v>672.99551388323403</v>
      </c>
      <c r="AG2740" s="2">
        <v>3269.17786372708</v>
      </c>
      <c r="AH2740" s="4">
        <v>0.20586078272167599</v>
      </c>
      <c r="AI2740" s="4">
        <v>-2.28025907774785</v>
      </c>
      <c r="AJ2740" s="4" t="s">
        <v>62</v>
      </c>
      <c r="AK2740" s="2">
        <v>0.41385011304866898</v>
      </c>
      <c r="AL2740" s="2">
        <v>0.67695529702038104</v>
      </c>
      <c r="AM2740" s="2">
        <v>1303.1345795556999</v>
      </c>
      <c r="AN2740" s="2">
        <v>8.559877937157E-6</v>
      </c>
      <c r="AO2740" s="2">
        <v>781.79353406976202</v>
      </c>
      <c r="AP2740" s="2">
        <v>251.821303556684</v>
      </c>
      <c r="AQ2740" s="2">
        <v>8.559877937157E-6</v>
      </c>
      <c r="AR2740" s="2">
        <v>1701.2236489975</v>
      </c>
      <c r="AS2740" s="2">
        <v>8.559877937157E-6</v>
      </c>
      <c r="AT2740" s="2">
        <v>8.559877937157E-6</v>
      </c>
      <c r="AU2740" s="2">
        <v>650.98602688588505</v>
      </c>
      <c r="AV2740" s="2">
        <v>18412.782949306998</v>
      </c>
      <c r="AW2740" s="2">
        <v>551.29818048995298</v>
      </c>
      <c r="AX2740" s="2">
        <v>8.559877937157E-6</v>
      </c>
    </row>
    <row r="2741" spans="1:50" x14ac:dyDescent="0.25">
      <c r="A2741" s="2" t="s">
        <v>18377</v>
      </c>
      <c r="B2741" s="2">
        <v>381.11278198869098</v>
      </c>
      <c r="C2741" s="2">
        <v>3.9637500000000001</v>
      </c>
      <c r="D2741" s="2" t="s">
        <v>51</v>
      </c>
      <c r="E2741" s="2" t="s">
        <v>18378</v>
      </c>
      <c r="F2741" s="2">
        <v>56743</v>
      </c>
      <c r="G2741" s="3" t="str">
        <f>HYPERLINK("https://cloud.oebiotech.com/#/lm/network/56743", "https://cloud.oebiotech.com/#/lm/network/56743")</f>
        <v>https://cloud.oebiotech.com/#/lm/network/56743</v>
      </c>
      <c r="H2741" s="2" t="s">
        <v>18379</v>
      </c>
      <c r="I2741" s="2">
        <v>88413</v>
      </c>
      <c r="J2741" s="2"/>
      <c r="K2741" s="2">
        <v>1151711</v>
      </c>
      <c r="L2741" s="2"/>
      <c r="M2741" s="2"/>
      <c r="N2741" s="2"/>
      <c r="O2741" s="2"/>
      <c r="P2741" s="2"/>
      <c r="Q2741" s="2"/>
      <c r="R2741" s="2" t="s">
        <v>18380</v>
      </c>
      <c r="S2741" s="2" t="s">
        <v>18381</v>
      </c>
      <c r="T2741" s="2" t="s">
        <v>18382</v>
      </c>
      <c r="U2741" s="2" t="s">
        <v>266</v>
      </c>
      <c r="V2741" s="2" t="s">
        <v>2143</v>
      </c>
      <c r="W2741" s="2" t="s">
        <v>18383</v>
      </c>
      <c r="X2741" s="2" t="s">
        <v>147</v>
      </c>
      <c r="Y2741" s="2">
        <v>36.9</v>
      </c>
      <c r="Z2741" s="2">
        <v>0.64200000000000002</v>
      </c>
      <c r="AA2741" s="2" t="s">
        <v>156</v>
      </c>
      <c r="AB2741" s="2" t="s">
        <v>18384</v>
      </c>
      <c r="AC2741" s="2">
        <v>-9.8529168517555804E-2</v>
      </c>
      <c r="AD2741" s="2"/>
      <c r="AE2741" s="2">
        <v>0.22542549249917701</v>
      </c>
      <c r="AF2741" s="2">
        <v>1634.5089417031199</v>
      </c>
      <c r="AG2741" s="2">
        <v>419.029809712408</v>
      </c>
      <c r="AH2741" s="5">
        <v>3.90069847972135</v>
      </c>
      <c r="AI2741" s="5">
        <v>1.96373248371933</v>
      </c>
      <c r="AJ2741" s="5" t="s">
        <v>139</v>
      </c>
      <c r="AK2741" s="2">
        <v>5.06204206565848E-2</v>
      </c>
      <c r="AL2741" s="2">
        <v>0.31128179309847198</v>
      </c>
      <c r="AM2741" s="2">
        <v>1375.8826874953199</v>
      </c>
      <c r="AN2741" s="2">
        <v>2835.7623244176698</v>
      </c>
      <c r="AO2741" s="2">
        <v>2577.6333043967902</v>
      </c>
      <c r="AP2741" s="2">
        <v>1566.70716248753</v>
      </c>
      <c r="AQ2741" s="2">
        <v>126.602651521475</v>
      </c>
      <c r="AR2741" s="2">
        <v>1324.4655198999301</v>
      </c>
      <c r="AS2741" s="2">
        <v>8.559877937157E-6</v>
      </c>
      <c r="AT2741" s="2">
        <v>2288.0983982819498</v>
      </c>
      <c r="AU2741" s="2">
        <v>8.559877937157E-6</v>
      </c>
      <c r="AV2741" s="2">
        <v>8.559877937157E-6</v>
      </c>
      <c r="AW2741" s="2">
        <v>64.019501664925897</v>
      </c>
      <c r="AX2741" s="2">
        <v>162.060932647941</v>
      </c>
    </row>
    <row r="2742" spans="1:50" x14ac:dyDescent="0.25">
      <c r="A2742" s="2" t="s">
        <v>18385</v>
      </c>
      <c r="B2742" s="2">
        <v>401.14559808710197</v>
      </c>
      <c r="C2742" s="2">
        <v>4.6470166666666701</v>
      </c>
      <c r="D2742" s="2" t="s">
        <v>51</v>
      </c>
      <c r="E2742" s="2" t="s">
        <v>18386</v>
      </c>
      <c r="F2742" s="2">
        <v>63708</v>
      </c>
      <c r="G2742" s="3" t="str">
        <f>HYPERLINK("https://cloud.oebiotech.com/#/lm/network/63708", "https://cloud.oebiotech.com/#/lm/network/63708")</f>
        <v>https://cloud.oebiotech.com/#/lm/network/63708</v>
      </c>
      <c r="H2742" s="2" t="s">
        <v>18387</v>
      </c>
      <c r="I2742" s="2">
        <v>95045</v>
      </c>
      <c r="J2742" s="2"/>
      <c r="K2742" s="2">
        <v>74937233</v>
      </c>
      <c r="L2742" s="2"/>
      <c r="M2742" s="2"/>
      <c r="N2742" s="2"/>
      <c r="O2742" s="2">
        <v>175579</v>
      </c>
      <c r="P2742" s="2"/>
      <c r="Q2742" s="2"/>
      <c r="R2742" s="2" t="s">
        <v>18388</v>
      </c>
      <c r="S2742" s="2" t="s">
        <v>18389</v>
      </c>
      <c r="T2742" s="2" t="s">
        <v>18390</v>
      </c>
      <c r="U2742" s="2" t="s">
        <v>331</v>
      </c>
      <c r="V2742" s="2" t="s">
        <v>332</v>
      </c>
      <c r="W2742" s="2" t="s">
        <v>333</v>
      </c>
      <c r="X2742" s="2" t="s">
        <v>83</v>
      </c>
      <c r="Y2742" s="2">
        <v>43.1</v>
      </c>
      <c r="Z2742" s="2">
        <v>0</v>
      </c>
      <c r="AA2742" s="2" t="s">
        <v>218</v>
      </c>
      <c r="AB2742" s="2" t="s">
        <v>17629</v>
      </c>
      <c r="AC2742" s="2">
        <v>0.77914695472403295</v>
      </c>
      <c r="AD2742" s="2"/>
      <c r="AE2742" s="2">
        <v>0.22527901050488899</v>
      </c>
      <c r="AF2742" s="2">
        <v>62.9037175616916</v>
      </c>
      <c r="AG2742" s="2">
        <v>1959.00147048743</v>
      </c>
      <c r="AH2742" s="4">
        <v>3.2110092059318501E-2</v>
      </c>
      <c r="AI2742" s="4">
        <v>-4.9608293885126002</v>
      </c>
      <c r="AJ2742" s="4" t="s">
        <v>62</v>
      </c>
      <c r="AK2742" s="2">
        <v>0.17951310714827801</v>
      </c>
      <c r="AL2742" s="2">
        <v>0.50272137600911704</v>
      </c>
      <c r="AM2742" s="2">
        <v>156.610067445482</v>
      </c>
      <c r="AN2742" s="2">
        <v>8.559877937157E-6</v>
      </c>
      <c r="AO2742" s="2">
        <v>8.559877937157E-6</v>
      </c>
      <c r="AP2742" s="2">
        <v>8.559877937157E-6</v>
      </c>
      <c r="AQ2742" s="2">
        <v>8.559877937157E-6</v>
      </c>
      <c r="AR2742" s="2">
        <v>220.81220368515599</v>
      </c>
      <c r="AS2742" s="2">
        <v>157.605818399296</v>
      </c>
      <c r="AT2742" s="2">
        <v>258.90543749483601</v>
      </c>
      <c r="AU2742" s="2">
        <v>1698.92833655458</v>
      </c>
      <c r="AV2742" s="2">
        <v>1261.09785344341</v>
      </c>
      <c r="AW2742" s="2">
        <v>8377.4713684725702</v>
      </c>
      <c r="AX2742" s="2">
        <v>8.559877937157E-6</v>
      </c>
    </row>
    <row r="2743" spans="1:50" x14ac:dyDescent="0.25">
      <c r="A2743" s="2" t="s">
        <v>18391</v>
      </c>
      <c r="B2743" s="2">
        <v>194.96392577201101</v>
      </c>
      <c r="C2743" s="2">
        <v>0.79683333333333295</v>
      </c>
      <c r="D2743" s="2" t="s">
        <v>51</v>
      </c>
      <c r="E2743" s="2" t="s">
        <v>18392</v>
      </c>
      <c r="F2743" s="2">
        <v>212355</v>
      </c>
      <c r="G2743" s="3" t="str">
        <f>HYPERLINK("https://cloud.oebiotech.com/#/lm/network/212355", "https://cloud.oebiotech.com/#/lm/network/212355")</f>
        <v>https://cloud.oebiotech.com/#/lm/network/212355</v>
      </c>
      <c r="H2743" s="2" t="s">
        <v>18393</v>
      </c>
      <c r="I2743" s="2">
        <v>73012</v>
      </c>
      <c r="J2743" s="2"/>
      <c r="K2743" s="2">
        <v>10509</v>
      </c>
      <c r="L2743" s="2" t="s">
        <v>18394</v>
      </c>
      <c r="M2743" s="2"/>
      <c r="N2743" s="2"/>
      <c r="O2743" s="2"/>
      <c r="P2743" s="2"/>
      <c r="Q2743" s="2"/>
      <c r="R2743" s="2" t="s">
        <v>18395</v>
      </c>
      <c r="S2743" s="2" t="s">
        <v>18396</v>
      </c>
      <c r="T2743" s="2" t="s">
        <v>18397</v>
      </c>
      <c r="U2743" s="2" t="s">
        <v>119</v>
      </c>
      <c r="V2743" s="2" t="s">
        <v>120</v>
      </c>
      <c r="W2743" s="2" t="s">
        <v>18398</v>
      </c>
      <c r="X2743" s="2" t="s">
        <v>147</v>
      </c>
      <c r="Y2743" s="2">
        <v>39</v>
      </c>
      <c r="Z2743" s="2">
        <v>2.0499999999999998</v>
      </c>
      <c r="AA2743" s="2" t="s">
        <v>163</v>
      </c>
      <c r="AB2743" s="2" t="s">
        <v>18399</v>
      </c>
      <c r="AC2743" s="2">
        <v>-2.0960773983115701</v>
      </c>
      <c r="AD2743" s="2"/>
      <c r="AE2743" s="2">
        <v>0.22517179383531999</v>
      </c>
      <c r="AF2743" s="2">
        <v>15800.0739683259</v>
      </c>
      <c r="AG2743" s="2">
        <v>18239.876235547501</v>
      </c>
      <c r="AH2743" s="4">
        <v>0.86623800316875599</v>
      </c>
      <c r="AI2743" s="4">
        <v>-0.207164627884312</v>
      </c>
      <c r="AJ2743" s="4" t="s">
        <v>62</v>
      </c>
      <c r="AK2743" s="2">
        <v>0.30739609070820401</v>
      </c>
      <c r="AL2743" s="2">
        <v>0.61756871527620305</v>
      </c>
      <c r="AM2743" s="2">
        <v>10201.6300734584</v>
      </c>
      <c r="AN2743" s="2">
        <v>22437.927620718299</v>
      </c>
      <c r="AO2743" s="2">
        <v>15522.999885437701</v>
      </c>
      <c r="AP2743" s="2">
        <v>14253.0309020973</v>
      </c>
      <c r="AQ2743" s="2">
        <v>17454.508191184701</v>
      </c>
      <c r="AR2743" s="2">
        <v>14930.3471370592</v>
      </c>
      <c r="AS2743" s="2">
        <v>23162.324963489002</v>
      </c>
      <c r="AT2743" s="2">
        <v>22297.6965102703</v>
      </c>
      <c r="AU2743" s="2">
        <v>13254.9610802807</v>
      </c>
      <c r="AV2743" s="2">
        <v>15757.115516174499</v>
      </c>
      <c r="AW2743" s="2">
        <v>17206.931308971602</v>
      </c>
      <c r="AX2743" s="2">
        <v>17760.228034099</v>
      </c>
    </row>
    <row r="2744" spans="1:50" x14ac:dyDescent="0.25">
      <c r="A2744" s="2" t="s">
        <v>18400</v>
      </c>
      <c r="B2744" s="2">
        <v>570.37794041269899</v>
      </c>
      <c r="C2744" s="2">
        <v>11.381349999999999</v>
      </c>
      <c r="D2744" s="2" t="s">
        <v>51</v>
      </c>
      <c r="E2744" s="2" t="s">
        <v>18401</v>
      </c>
      <c r="F2744" s="2">
        <v>21256</v>
      </c>
      <c r="G2744" s="3" t="str">
        <f>HYPERLINK("https://cloud.oebiotech.com/#/lm/network/21256", "https://cloud.oebiotech.com/#/lm/network/21256")</f>
        <v>https://cloud.oebiotech.com/#/lm/network/21256</v>
      </c>
      <c r="H2744" s="2"/>
      <c r="I2744" s="2"/>
      <c r="J2744" s="2" t="s">
        <v>18402</v>
      </c>
      <c r="K2744" s="2">
        <v>137323926</v>
      </c>
      <c r="L2744" s="2"/>
      <c r="M2744" s="2"/>
      <c r="N2744" s="2"/>
      <c r="O2744" s="2"/>
      <c r="P2744" s="2"/>
      <c r="Q2744" s="2"/>
      <c r="R2744" s="2"/>
      <c r="S2744" s="2" t="s">
        <v>18403</v>
      </c>
      <c r="T2744" s="2" t="s">
        <v>18404</v>
      </c>
      <c r="U2744" s="2" t="s">
        <v>56</v>
      </c>
      <c r="V2744" s="2" t="s">
        <v>57</v>
      </c>
      <c r="W2744" s="2" t="s">
        <v>155</v>
      </c>
      <c r="X2744" s="2" t="s">
        <v>147</v>
      </c>
      <c r="Y2744" s="2">
        <v>37.200000000000003</v>
      </c>
      <c r="Z2744" s="2">
        <v>0</v>
      </c>
      <c r="AA2744" s="2" t="s">
        <v>218</v>
      </c>
      <c r="AB2744" s="2" t="s">
        <v>18405</v>
      </c>
      <c r="AC2744" s="2">
        <v>0.56678095179543198</v>
      </c>
      <c r="AD2744" s="2"/>
      <c r="AE2744" s="2">
        <v>0.22466591663337801</v>
      </c>
      <c r="AF2744" s="2">
        <v>6596.7658327511999</v>
      </c>
      <c r="AG2744" s="2">
        <v>5056.1092571643203</v>
      </c>
      <c r="AH2744" s="5">
        <v>1.30471188362946</v>
      </c>
      <c r="AI2744" s="5">
        <v>0.38373125510883999</v>
      </c>
      <c r="AJ2744" s="5" t="s">
        <v>139</v>
      </c>
      <c r="AK2744" s="2">
        <v>0.28932859547784201</v>
      </c>
      <c r="AL2744" s="2">
        <v>0.60369237994034897</v>
      </c>
      <c r="AM2744" s="2">
        <v>11567.0687159876</v>
      </c>
      <c r="AN2744" s="2">
        <v>7705.0761881021899</v>
      </c>
      <c r="AO2744" s="2">
        <v>5206.6539740773696</v>
      </c>
      <c r="AP2744" s="2">
        <v>5132.9340329645602</v>
      </c>
      <c r="AQ2744" s="2">
        <v>4518.2398980777498</v>
      </c>
      <c r="AR2744" s="2">
        <v>5450.6221872977503</v>
      </c>
      <c r="AS2744" s="2">
        <v>5008.6113621520199</v>
      </c>
      <c r="AT2744" s="2">
        <v>1931.80893979744</v>
      </c>
      <c r="AU2744" s="2">
        <v>8428.2615821976306</v>
      </c>
      <c r="AV2744" s="2">
        <v>5186.2158603722501</v>
      </c>
      <c r="AW2744" s="2">
        <v>5009.8510649457603</v>
      </c>
      <c r="AX2744" s="2">
        <v>4771.9067335208501</v>
      </c>
    </row>
    <row r="2745" spans="1:50" x14ac:dyDescent="0.25">
      <c r="A2745" s="2" t="s">
        <v>18406</v>
      </c>
      <c r="B2745" s="2">
        <v>355.189503050947</v>
      </c>
      <c r="C2745" s="2">
        <v>9.8903166666666706</v>
      </c>
      <c r="D2745" s="2" t="s">
        <v>51</v>
      </c>
      <c r="E2745" s="2" t="s">
        <v>18407</v>
      </c>
      <c r="F2745" s="2">
        <v>57625</v>
      </c>
      <c r="G2745" s="3" t="str">
        <f>HYPERLINK("https://cloud.oebiotech.com/#/lm/network/57625", "https://cloud.oebiotech.com/#/lm/network/57625")</f>
        <v>https://cloud.oebiotech.com/#/lm/network/57625</v>
      </c>
      <c r="H2745" s="2" t="s">
        <v>18408</v>
      </c>
      <c r="I2745" s="2">
        <v>71846</v>
      </c>
      <c r="J2745" s="2"/>
      <c r="K2745" s="2">
        <v>31226</v>
      </c>
      <c r="L2745" s="2" t="s">
        <v>18409</v>
      </c>
      <c r="M2745" s="2"/>
      <c r="N2745" s="2"/>
      <c r="O2745" s="2">
        <v>81257</v>
      </c>
      <c r="P2745" s="2"/>
      <c r="Q2745" s="2"/>
      <c r="R2745" s="2" t="s">
        <v>18410</v>
      </c>
      <c r="S2745" s="2" t="s">
        <v>18411</v>
      </c>
      <c r="T2745" s="2" t="s">
        <v>18412</v>
      </c>
      <c r="U2745" s="2" t="s">
        <v>610</v>
      </c>
      <c r="V2745" s="2" t="s">
        <v>611</v>
      </c>
      <c r="W2745" s="2" t="s">
        <v>240</v>
      </c>
      <c r="X2745" s="2" t="s">
        <v>83</v>
      </c>
      <c r="Y2745" s="2">
        <v>50.8</v>
      </c>
      <c r="Z2745" s="2">
        <v>0</v>
      </c>
      <c r="AA2745" s="2" t="s">
        <v>478</v>
      </c>
      <c r="AB2745" s="2" t="s">
        <v>18413</v>
      </c>
      <c r="AC2745" s="2">
        <v>-5.55839457888335</v>
      </c>
      <c r="AD2745" s="2"/>
      <c r="AE2745" s="2">
        <v>0.22458726348174801</v>
      </c>
      <c r="AF2745" s="2">
        <v>2737.4565928387201</v>
      </c>
      <c r="AG2745" s="2">
        <v>1004.83392494707</v>
      </c>
      <c r="AH2745" s="5">
        <v>2.72428759108915</v>
      </c>
      <c r="AI2745" s="5">
        <v>1.44587901037547</v>
      </c>
      <c r="AJ2745" s="5" t="s">
        <v>139</v>
      </c>
      <c r="AK2745" s="2">
        <v>3.3774120316569102E-2</v>
      </c>
      <c r="AL2745" s="2">
        <v>0.27023848021491997</v>
      </c>
      <c r="AM2745" s="2">
        <v>1064.30056282026</v>
      </c>
      <c r="AN2745" s="2">
        <v>3983.7584329044598</v>
      </c>
      <c r="AO2745" s="2">
        <v>2266.1786148886299</v>
      </c>
      <c r="AP2745" s="2">
        <v>3529.2402810794401</v>
      </c>
      <c r="AQ2745" s="2">
        <v>1244.44082510714</v>
      </c>
      <c r="AR2745" s="2">
        <v>4336.8208402323698</v>
      </c>
      <c r="AS2745" s="2">
        <v>2096.4532226330002</v>
      </c>
      <c r="AT2745" s="2">
        <v>2209.6046493548101</v>
      </c>
      <c r="AU2745" s="2">
        <v>8.559877937157E-6</v>
      </c>
      <c r="AV2745" s="2">
        <v>242.420681883849</v>
      </c>
      <c r="AW2745" s="2">
        <v>220.868713768871</v>
      </c>
      <c r="AX2745" s="2">
        <v>1259.65627348203</v>
      </c>
    </row>
    <row r="2746" spans="1:50" x14ac:dyDescent="0.25">
      <c r="A2746" s="2" t="s">
        <v>18414</v>
      </c>
      <c r="B2746" s="2">
        <v>617.47663586662497</v>
      </c>
      <c r="C2746" s="2">
        <v>14.907166666666701</v>
      </c>
      <c r="D2746" s="2" t="s">
        <v>51</v>
      </c>
      <c r="E2746" s="2" t="s">
        <v>18415</v>
      </c>
      <c r="F2746" s="2">
        <v>209982</v>
      </c>
      <c r="G2746" s="3" t="str">
        <f>HYPERLINK("https://cloud.oebiotech.com/#/lm/network/209982", "https://cloud.oebiotech.com/#/lm/network/209982")</f>
        <v>https://cloud.oebiotech.com/#/lm/network/209982</v>
      </c>
      <c r="H2746" s="2" t="s">
        <v>18416</v>
      </c>
      <c r="I2746" s="2"/>
      <c r="J2746" s="2"/>
      <c r="K2746" s="2">
        <v>4485538</v>
      </c>
      <c r="L2746" s="2"/>
      <c r="M2746" s="2"/>
      <c r="N2746" s="2"/>
      <c r="O2746" s="2"/>
      <c r="P2746" s="2"/>
      <c r="Q2746" s="2"/>
      <c r="R2746" s="2"/>
      <c r="S2746" s="2" t="s">
        <v>18417</v>
      </c>
      <c r="T2746" s="2" t="s">
        <v>18418</v>
      </c>
      <c r="U2746" s="2" t="s">
        <v>540</v>
      </c>
      <c r="V2746" s="2" t="s">
        <v>1380</v>
      </c>
      <c r="W2746" s="2" t="s">
        <v>240</v>
      </c>
      <c r="X2746" s="2" t="s">
        <v>147</v>
      </c>
      <c r="Y2746" s="2">
        <v>37.799999999999997</v>
      </c>
      <c r="Z2746" s="2">
        <v>0</v>
      </c>
      <c r="AA2746" s="2" t="s">
        <v>478</v>
      </c>
      <c r="AB2746" s="2" t="s">
        <v>18419</v>
      </c>
      <c r="AC2746" s="2">
        <v>1.06357486671026</v>
      </c>
      <c r="AD2746" s="2"/>
      <c r="AE2746" s="2">
        <v>0.22450903595578001</v>
      </c>
      <c r="AF2746" s="2">
        <v>13570.6556364271</v>
      </c>
      <c r="AG2746" s="2">
        <v>18665.419661706401</v>
      </c>
      <c r="AH2746" s="4">
        <v>0.72704797868908</v>
      </c>
      <c r="AI2746" s="4">
        <v>-0.45987752258176701</v>
      </c>
      <c r="AJ2746" s="4" t="s">
        <v>62</v>
      </c>
      <c r="AK2746" s="2">
        <v>0.564160630774867</v>
      </c>
      <c r="AL2746" s="2">
        <v>0.78088127829314202</v>
      </c>
      <c r="AM2746" s="2">
        <v>673.39989751305802</v>
      </c>
      <c r="AN2746" s="2">
        <v>6902.4441641756803</v>
      </c>
      <c r="AO2746" s="2">
        <v>9811.3242255857494</v>
      </c>
      <c r="AP2746" s="2">
        <v>21010.156754637399</v>
      </c>
      <c r="AQ2746" s="2">
        <v>31857.558859751</v>
      </c>
      <c r="AR2746" s="2">
        <v>11169.049916899599</v>
      </c>
      <c r="AS2746" s="2">
        <v>16707.6529262275</v>
      </c>
      <c r="AT2746" s="2">
        <v>53541.771755078902</v>
      </c>
      <c r="AU2746" s="2">
        <v>11069.3451989477</v>
      </c>
      <c r="AV2746" s="2">
        <v>6254.3107274379499</v>
      </c>
      <c r="AW2746" s="2">
        <v>17379.8691093411</v>
      </c>
      <c r="AX2746" s="2">
        <v>7039.5682532055398</v>
      </c>
    </row>
    <row r="2747" spans="1:50" x14ac:dyDescent="0.25">
      <c r="A2747" s="2" t="s">
        <v>18420</v>
      </c>
      <c r="B2747" s="2">
        <v>468.207900114035</v>
      </c>
      <c r="C2747" s="2">
        <v>4.2766000000000002</v>
      </c>
      <c r="D2747" s="2" t="s">
        <v>51</v>
      </c>
      <c r="E2747" s="2" t="s">
        <v>18421</v>
      </c>
      <c r="F2747" s="2">
        <v>83652</v>
      </c>
      <c r="G2747" s="3" t="str">
        <f>HYPERLINK("https://cloud.oebiotech.com/#/lm/network/83652", "https://cloud.oebiotech.com/#/lm/network/83652")</f>
        <v>https://cloud.oebiotech.com/#/lm/network/83652</v>
      </c>
      <c r="H2747" s="2" t="s">
        <v>18422</v>
      </c>
      <c r="I2747" s="2">
        <v>329432</v>
      </c>
      <c r="J2747" s="2"/>
      <c r="K2747" s="2">
        <v>65938</v>
      </c>
      <c r="L2747" s="2"/>
      <c r="M2747" s="2"/>
      <c r="N2747" s="2"/>
      <c r="O2747" s="2"/>
      <c r="P2747" s="2"/>
      <c r="Q2747" s="2"/>
      <c r="R2747" s="2"/>
      <c r="S2747" s="2" t="s">
        <v>18423</v>
      </c>
      <c r="T2747" s="2" t="s">
        <v>18424</v>
      </c>
      <c r="U2747" s="2" t="s">
        <v>103</v>
      </c>
      <c r="V2747" s="2" t="s">
        <v>104</v>
      </c>
      <c r="W2747" s="2" t="s">
        <v>105</v>
      </c>
      <c r="X2747" s="2" t="s">
        <v>147</v>
      </c>
      <c r="Y2747" s="2">
        <v>36.9</v>
      </c>
      <c r="Z2747" s="2">
        <v>0</v>
      </c>
      <c r="AA2747" s="2" t="s">
        <v>379</v>
      </c>
      <c r="AB2747" s="2" t="s">
        <v>11330</v>
      </c>
      <c r="AC2747" s="2">
        <v>-4.28223552981183</v>
      </c>
      <c r="AD2747" s="2"/>
      <c r="AE2747" s="2">
        <v>0.22443044625744299</v>
      </c>
      <c r="AF2747" s="2">
        <v>4288.6087391722203</v>
      </c>
      <c r="AG2747" s="2">
        <v>1979.89728280194</v>
      </c>
      <c r="AH2747" s="5">
        <v>2.1660763800347298</v>
      </c>
      <c r="AI2747" s="5">
        <v>1.1150841160554199</v>
      </c>
      <c r="AJ2747" s="5" t="s">
        <v>139</v>
      </c>
      <c r="AK2747" s="2">
        <v>7.5188977463061302E-2</v>
      </c>
      <c r="AL2747" s="2">
        <v>0.35912868801142001</v>
      </c>
      <c r="AM2747" s="2">
        <v>2849.1721126305602</v>
      </c>
      <c r="AN2747" s="2">
        <v>1993.72745527857</v>
      </c>
      <c r="AO2747" s="2">
        <v>6286.8939427189698</v>
      </c>
      <c r="AP2747" s="2">
        <v>4689.2325164277199</v>
      </c>
      <c r="AQ2747" s="2">
        <v>3223.1740051595498</v>
      </c>
      <c r="AR2747" s="2">
        <v>6689.4524028179803</v>
      </c>
      <c r="AS2747" s="2">
        <v>8.559877937157E-6</v>
      </c>
      <c r="AT2747" s="2">
        <v>1061.0281819801801</v>
      </c>
      <c r="AU2747" s="2">
        <v>786.63818722397104</v>
      </c>
      <c r="AV2747" s="2">
        <v>4724.1105062133101</v>
      </c>
      <c r="AW2747" s="2">
        <v>711.37514837146</v>
      </c>
      <c r="AX2747" s="2">
        <v>4596.2316644628499</v>
      </c>
    </row>
    <row r="2748" spans="1:50" x14ac:dyDescent="0.25">
      <c r="A2748" s="2" t="s">
        <v>18425</v>
      </c>
      <c r="B2748" s="2">
        <v>205.11894379591101</v>
      </c>
      <c r="C2748" s="2">
        <v>1.0683</v>
      </c>
      <c r="D2748" s="2" t="s">
        <v>51</v>
      </c>
      <c r="E2748" s="2" t="s">
        <v>18426</v>
      </c>
      <c r="F2748" s="2">
        <v>54063</v>
      </c>
      <c r="G2748" s="3" t="str">
        <f>HYPERLINK("https://cloud.oebiotech.com/#/lm/network/54063", "https://cloud.oebiotech.com/#/lm/network/54063")</f>
        <v>https://cloud.oebiotech.com/#/lm/network/54063</v>
      </c>
      <c r="H2748" s="2" t="s">
        <v>18427</v>
      </c>
      <c r="I2748" s="2">
        <v>23827</v>
      </c>
      <c r="J2748" s="2"/>
      <c r="K2748" s="2">
        <v>7020158</v>
      </c>
      <c r="L2748" s="2"/>
      <c r="M2748" s="2"/>
      <c r="N2748" s="2"/>
      <c r="O2748" s="2">
        <v>74823</v>
      </c>
      <c r="P2748" s="2"/>
      <c r="Q2748" s="2"/>
      <c r="R2748" s="2" t="s">
        <v>18428</v>
      </c>
      <c r="S2748" s="2" t="s">
        <v>18429</v>
      </c>
      <c r="T2748" s="2" t="s">
        <v>18430</v>
      </c>
      <c r="U2748" s="2" t="s">
        <v>103</v>
      </c>
      <c r="V2748" s="2" t="s">
        <v>104</v>
      </c>
      <c r="W2748" s="2" t="s">
        <v>105</v>
      </c>
      <c r="X2748" s="2" t="s">
        <v>69</v>
      </c>
      <c r="Y2748" s="2">
        <v>49.2</v>
      </c>
      <c r="Z2748" s="2">
        <v>53.1</v>
      </c>
      <c r="AA2748" s="2" t="s">
        <v>259</v>
      </c>
      <c r="AB2748" s="2" t="s">
        <v>18431</v>
      </c>
      <c r="AC2748" s="2">
        <v>3.2353127882858299</v>
      </c>
      <c r="AD2748" s="2"/>
      <c r="AE2748" s="2">
        <v>0.22429511320575399</v>
      </c>
      <c r="AF2748" s="2">
        <v>3093.7919563294799</v>
      </c>
      <c r="AG2748" s="2">
        <v>1505.19934245168</v>
      </c>
      <c r="AH2748" s="5">
        <v>2.0554034731973001</v>
      </c>
      <c r="AI2748" s="5">
        <v>1.03942162098505</v>
      </c>
      <c r="AJ2748" s="5" t="s">
        <v>139</v>
      </c>
      <c r="AK2748" s="2">
        <v>0.37229450121207702</v>
      </c>
      <c r="AL2748" s="2">
        <v>0.65429556789251697</v>
      </c>
      <c r="AM2748" s="2">
        <v>8675.1039984472409</v>
      </c>
      <c r="AN2748" s="2">
        <v>342.05093251614301</v>
      </c>
      <c r="AO2748" s="2">
        <v>1273.28841785533</v>
      </c>
      <c r="AP2748" s="2">
        <v>1623.1078248626</v>
      </c>
      <c r="AQ2748" s="2">
        <v>5222.4911991736999</v>
      </c>
      <c r="AR2748" s="2">
        <v>1426.70936512187</v>
      </c>
      <c r="AS2748" s="2">
        <v>8.559877937157E-6</v>
      </c>
      <c r="AT2748" s="2">
        <v>695.56189185481401</v>
      </c>
      <c r="AU2748" s="2">
        <v>6872.0473967615899</v>
      </c>
      <c r="AV2748" s="2">
        <v>1023.9155445953</v>
      </c>
      <c r="AW2748" s="2">
        <v>292.84153326402998</v>
      </c>
      <c r="AX2748" s="2">
        <v>146.82967967446899</v>
      </c>
    </row>
    <row r="2749" spans="1:50" x14ac:dyDescent="0.25">
      <c r="A2749" s="2" t="s">
        <v>18432</v>
      </c>
      <c r="B2749" s="2">
        <v>204.11</v>
      </c>
      <c r="C2749" s="2">
        <v>25.302</v>
      </c>
      <c r="D2749" s="2" t="s">
        <v>125</v>
      </c>
      <c r="E2749" s="2" t="s">
        <v>18433</v>
      </c>
      <c r="F2749" s="2">
        <v>46847</v>
      </c>
      <c r="G2749" s="3" t="str">
        <f>HYPERLINK("https://cloud.oebiotech.com/#/lm/network/46847", "https://cloud.oebiotech.com/#/lm/network/46847")</f>
        <v>https://cloud.oebiotech.com/#/lm/network/46847</v>
      </c>
      <c r="H2749" s="2" t="s">
        <v>18434</v>
      </c>
      <c r="I2749" s="2">
        <v>3480</v>
      </c>
      <c r="J2749" s="2"/>
      <c r="K2749" s="2">
        <v>10712</v>
      </c>
      <c r="L2749" s="2" t="s">
        <v>18435</v>
      </c>
      <c r="M2749" s="2"/>
      <c r="N2749" s="2"/>
      <c r="O2749" s="2">
        <v>36217</v>
      </c>
      <c r="P2749" s="2"/>
      <c r="Q2749" s="2"/>
      <c r="R2749" s="2" t="s">
        <v>18436</v>
      </c>
      <c r="S2749" s="2" t="s">
        <v>18437</v>
      </c>
      <c r="T2749" s="2" t="s">
        <v>18438</v>
      </c>
      <c r="U2749" s="2" t="s">
        <v>331</v>
      </c>
      <c r="V2749" s="2" t="s">
        <v>332</v>
      </c>
      <c r="W2749" s="2" t="s">
        <v>333</v>
      </c>
      <c r="X2749" s="2" t="s">
        <v>69</v>
      </c>
      <c r="Y2749" s="2">
        <v>99.2</v>
      </c>
      <c r="Z2749" s="2">
        <v>99.3</v>
      </c>
      <c r="AA2749" s="2"/>
      <c r="AB2749" s="2" t="s">
        <v>18083</v>
      </c>
      <c r="AC2749" s="2"/>
      <c r="AD2749" s="2">
        <v>938060.73694984603</v>
      </c>
      <c r="AE2749" s="2">
        <v>0.224260024396716</v>
      </c>
      <c r="AF2749" s="2">
        <v>15498.585917404</v>
      </c>
      <c r="AG2749" s="2">
        <v>48345.561645469097</v>
      </c>
      <c r="AH2749" s="4">
        <v>0.32057929187086898</v>
      </c>
      <c r="AI2749" s="4">
        <v>-1.6412468586653399</v>
      </c>
      <c r="AJ2749" s="4" t="s">
        <v>62</v>
      </c>
      <c r="AK2749" s="2">
        <v>0.14896481525998401</v>
      </c>
      <c r="AL2749" s="2">
        <v>0.47024664296044399</v>
      </c>
      <c r="AM2749" s="2">
        <v>13111.978956172799</v>
      </c>
      <c r="AN2749" s="2">
        <v>11601.570914271901</v>
      </c>
      <c r="AO2749" s="2">
        <v>15564.4179598837</v>
      </c>
      <c r="AP2749" s="2">
        <v>18994.724871568</v>
      </c>
      <c r="AQ2749" s="2">
        <v>16212.1779422156</v>
      </c>
      <c r="AR2749" s="2">
        <v>17506.644860311699</v>
      </c>
      <c r="AS2749" s="2">
        <v>94687.193643813502</v>
      </c>
      <c r="AT2749" s="2">
        <v>130597.335618889</v>
      </c>
      <c r="AU2749" s="2">
        <v>22267.1195284561</v>
      </c>
      <c r="AV2749" s="2">
        <v>22504.392880257899</v>
      </c>
      <c r="AW2749" s="2">
        <v>9537.6896983524493</v>
      </c>
      <c r="AX2749" s="2">
        <v>10479.6385030458</v>
      </c>
    </row>
    <row r="2750" spans="1:50" x14ac:dyDescent="0.25">
      <c r="A2750" s="2" t="s">
        <v>18439</v>
      </c>
      <c r="B2750" s="2">
        <v>472.24068233490402</v>
      </c>
      <c r="C2750" s="2">
        <v>4.5660166666666697</v>
      </c>
      <c r="D2750" s="2" t="s">
        <v>51</v>
      </c>
      <c r="E2750" s="2" t="s">
        <v>18440</v>
      </c>
      <c r="F2750" s="2">
        <v>62510</v>
      </c>
      <c r="G2750" s="3" t="str">
        <f>HYPERLINK("https://cloud.oebiotech.com/#/lm/network/62510", "https://cloud.oebiotech.com/#/lm/network/62510")</f>
        <v>https://cloud.oebiotech.com/#/lm/network/62510</v>
      </c>
      <c r="H2750" s="2" t="s">
        <v>18441</v>
      </c>
      <c r="I2750" s="2">
        <v>93805</v>
      </c>
      <c r="J2750" s="2"/>
      <c r="K2750" s="2">
        <v>73981662</v>
      </c>
      <c r="L2750" s="2"/>
      <c r="M2750" s="2"/>
      <c r="N2750" s="2"/>
      <c r="O2750" s="2">
        <v>167973</v>
      </c>
      <c r="P2750" s="2"/>
      <c r="Q2750" s="2"/>
      <c r="R2750" s="2"/>
      <c r="S2750" s="2" t="s">
        <v>18442</v>
      </c>
      <c r="T2750" s="2" t="s">
        <v>18443</v>
      </c>
      <c r="U2750" s="2" t="s">
        <v>56</v>
      </c>
      <c r="V2750" s="2" t="s">
        <v>145</v>
      </c>
      <c r="W2750" s="2" t="s">
        <v>3263</v>
      </c>
      <c r="X2750" s="2" t="s">
        <v>83</v>
      </c>
      <c r="Y2750" s="2">
        <v>37.6</v>
      </c>
      <c r="Z2750" s="2">
        <v>0</v>
      </c>
      <c r="AA2750" s="2" t="s">
        <v>512</v>
      </c>
      <c r="AB2750" s="2" t="s">
        <v>18444</v>
      </c>
      <c r="AC2750" s="2">
        <v>4.0296335279986497</v>
      </c>
      <c r="AD2750" s="2"/>
      <c r="AE2750" s="2">
        <v>0.224160093986121</v>
      </c>
      <c r="AF2750" s="2">
        <v>109908.060017829</v>
      </c>
      <c r="AG2750" s="2">
        <v>84734.229462886404</v>
      </c>
      <c r="AH2750" s="5">
        <v>1.2970916324431601</v>
      </c>
      <c r="AI2750" s="5">
        <v>0.37528040171891203</v>
      </c>
      <c r="AJ2750" s="5" t="s">
        <v>139</v>
      </c>
      <c r="AK2750" s="2">
        <v>0.68575514293014495</v>
      </c>
      <c r="AL2750" s="2">
        <v>0.84845792633565997</v>
      </c>
      <c r="AM2750" s="2">
        <v>78767.067998237893</v>
      </c>
      <c r="AN2750" s="2">
        <v>11728.8181328884</v>
      </c>
      <c r="AO2750" s="2">
        <v>136720.074393049</v>
      </c>
      <c r="AP2750" s="2">
        <v>102152.04533499099</v>
      </c>
      <c r="AQ2750" s="2">
        <v>92816.085183679097</v>
      </c>
      <c r="AR2750" s="2">
        <v>237264.269064127</v>
      </c>
      <c r="AS2750" s="2">
        <v>334011.58054715302</v>
      </c>
      <c r="AT2750" s="2">
        <v>102586.72295240901</v>
      </c>
      <c r="AU2750" s="2">
        <v>2252.93939648988</v>
      </c>
      <c r="AV2750" s="2">
        <v>48909.119444123797</v>
      </c>
      <c r="AW2750" s="2">
        <v>7955.21767968113</v>
      </c>
      <c r="AX2750" s="2">
        <v>12689.796757461399</v>
      </c>
    </row>
    <row r="2751" spans="1:50" x14ac:dyDescent="0.25">
      <c r="A2751" s="2" t="s">
        <v>18445</v>
      </c>
      <c r="B2751" s="2">
        <v>327.21782291505798</v>
      </c>
      <c r="C2751" s="2">
        <v>7.9430833333333304</v>
      </c>
      <c r="D2751" s="2" t="s">
        <v>51</v>
      </c>
      <c r="E2751" s="2" t="s">
        <v>18446</v>
      </c>
      <c r="F2751" s="2">
        <v>2845</v>
      </c>
      <c r="G2751" s="3" t="str">
        <f>HYPERLINK("https://cloud.oebiotech.com/#/lm/network/2845", "https://cloud.oebiotech.com/#/lm/network/2845")</f>
        <v>https://cloud.oebiotech.com/#/lm/network/2845</v>
      </c>
      <c r="H2751" s="2"/>
      <c r="I2751" s="2">
        <v>74916</v>
      </c>
      <c r="J2751" s="2" t="s">
        <v>18447</v>
      </c>
      <c r="K2751" s="2">
        <v>236484</v>
      </c>
      <c r="L2751" s="2"/>
      <c r="M2751" s="2"/>
      <c r="N2751" s="2"/>
      <c r="O2751" s="2"/>
      <c r="P2751" s="2"/>
      <c r="Q2751" s="2"/>
      <c r="R2751" s="2"/>
      <c r="S2751" s="2" t="s">
        <v>18448</v>
      </c>
      <c r="T2751" s="2" t="s">
        <v>18449</v>
      </c>
      <c r="U2751" s="2" t="s">
        <v>56</v>
      </c>
      <c r="V2751" s="2" t="s">
        <v>145</v>
      </c>
      <c r="W2751" s="2" t="s">
        <v>231</v>
      </c>
      <c r="X2751" s="2" t="s">
        <v>83</v>
      </c>
      <c r="Y2751" s="2">
        <v>44.3</v>
      </c>
      <c r="Z2751" s="2">
        <v>0</v>
      </c>
      <c r="AA2751" s="2" t="s">
        <v>379</v>
      </c>
      <c r="AB2751" s="2" t="s">
        <v>18450</v>
      </c>
      <c r="AC2751" s="2">
        <v>0.36168245028347301</v>
      </c>
      <c r="AD2751" s="2"/>
      <c r="AE2751" s="2">
        <v>0.22400305775055901</v>
      </c>
      <c r="AF2751" s="2">
        <v>2358.0395436610002</v>
      </c>
      <c r="AG2751" s="2">
        <v>1235.4700980126099</v>
      </c>
      <c r="AH2751" s="5">
        <v>1.9086172522136799</v>
      </c>
      <c r="AI2751" s="5">
        <v>0.93252781845869304</v>
      </c>
      <c r="AJ2751" s="5" t="s">
        <v>139</v>
      </c>
      <c r="AK2751" s="2">
        <v>4.6485081939681202E-3</v>
      </c>
      <c r="AL2751" s="2">
        <v>0.12174388396289799</v>
      </c>
      <c r="AM2751" s="2">
        <v>1863.82948695748</v>
      </c>
      <c r="AN2751" s="2">
        <v>3045.2790049641599</v>
      </c>
      <c r="AO2751" s="2">
        <v>2806.7890495010001</v>
      </c>
      <c r="AP2751" s="2">
        <v>1595.4963401013599</v>
      </c>
      <c r="AQ2751" s="2">
        <v>2412.2763652889098</v>
      </c>
      <c r="AR2751" s="2">
        <v>2424.5670151530799</v>
      </c>
      <c r="AS2751" s="2">
        <v>1304.17323001813</v>
      </c>
      <c r="AT2751" s="2">
        <v>855.19678434652303</v>
      </c>
      <c r="AU2751" s="2">
        <v>1848.38261261001</v>
      </c>
      <c r="AV2751" s="2">
        <v>475.38088849409002</v>
      </c>
      <c r="AW2751" s="2">
        <v>1749.2160488526199</v>
      </c>
      <c r="AX2751" s="2">
        <v>1180.47102375431</v>
      </c>
    </row>
    <row r="2752" spans="1:50" x14ac:dyDescent="0.25">
      <c r="A2752" s="2" t="s">
        <v>18451</v>
      </c>
      <c r="B2752" s="2">
        <v>201.12364056154601</v>
      </c>
      <c r="C2752" s="2">
        <v>0.77381666666666704</v>
      </c>
      <c r="D2752" s="2" t="s">
        <v>51</v>
      </c>
      <c r="E2752" s="2" t="s">
        <v>18452</v>
      </c>
      <c r="F2752" s="2">
        <v>115463</v>
      </c>
      <c r="G2752" s="3" t="str">
        <f>HYPERLINK("https://cloud.oebiotech.com/#/lm/network/115463", "https://cloud.oebiotech.com/#/lm/network/115463")</f>
        <v>https://cloud.oebiotech.com/#/lm/network/115463</v>
      </c>
      <c r="H2752" s="2" t="s">
        <v>18453</v>
      </c>
      <c r="I2752" s="2"/>
      <c r="J2752" s="2"/>
      <c r="K2752" s="2">
        <v>131802901</v>
      </c>
      <c r="L2752" s="2"/>
      <c r="M2752" s="2"/>
      <c r="N2752" s="2"/>
      <c r="O2752" s="2"/>
      <c r="P2752" s="2"/>
      <c r="Q2752" s="2"/>
      <c r="R2752" s="2"/>
      <c r="S2752" s="2" t="s">
        <v>18454</v>
      </c>
      <c r="T2752" s="2" t="s">
        <v>18455</v>
      </c>
      <c r="U2752" s="2" t="s">
        <v>103</v>
      </c>
      <c r="V2752" s="2" t="s">
        <v>104</v>
      </c>
      <c r="W2752" s="2" t="s">
        <v>105</v>
      </c>
      <c r="X2752" s="2" t="s">
        <v>83</v>
      </c>
      <c r="Y2752" s="2">
        <v>37.299999999999997</v>
      </c>
      <c r="Z2752" s="2">
        <v>0</v>
      </c>
      <c r="AA2752" s="2" t="s">
        <v>163</v>
      </c>
      <c r="AB2752" s="2" t="s">
        <v>6386</v>
      </c>
      <c r="AC2752" s="2">
        <v>-4.0837326375288496</v>
      </c>
      <c r="AD2752" s="2"/>
      <c r="AE2752" s="2">
        <v>0.223890741428802</v>
      </c>
      <c r="AF2752" s="2">
        <v>3436.4746529502199</v>
      </c>
      <c r="AG2752" s="2">
        <v>1306.9214363809001</v>
      </c>
      <c r="AH2752" s="5">
        <v>2.62944241121824</v>
      </c>
      <c r="AI2752" s="5">
        <v>1.39475689995241</v>
      </c>
      <c r="AJ2752" s="5" t="s">
        <v>139</v>
      </c>
      <c r="AK2752" s="2">
        <v>0.13332300092007901</v>
      </c>
      <c r="AL2752" s="2">
        <v>0.45370418977862098</v>
      </c>
      <c r="AM2752" s="2">
        <v>4089.50663909171</v>
      </c>
      <c r="AN2752" s="2">
        <v>1689.2135096834299</v>
      </c>
      <c r="AO2752" s="2">
        <v>2323.7313071261301</v>
      </c>
      <c r="AP2752" s="2">
        <v>251.624077093393</v>
      </c>
      <c r="AQ2752" s="2">
        <v>7067.3860414686296</v>
      </c>
      <c r="AR2752" s="2">
        <v>5197.3863432380003</v>
      </c>
      <c r="AS2752" s="2">
        <v>235.72397479642299</v>
      </c>
      <c r="AT2752" s="2">
        <v>296.89571682667798</v>
      </c>
      <c r="AU2752" s="2">
        <v>539.94665303121099</v>
      </c>
      <c r="AV2752" s="2">
        <v>5217.4013695994199</v>
      </c>
      <c r="AW2752" s="2">
        <v>8.559877937157E-6</v>
      </c>
      <c r="AX2752" s="2">
        <v>1551.56089547182</v>
      </c>
    </row>
    <row r="2753" spans="1:50" x14ac:dyDescent="0.25">
      <c r="A2753" s="2" t="s">
        <v>18456</v>
      </c>
      <c r="B2753" s="2">
        <v>365.18955049666198</v>
      </c>
      <c r="C2753" s="2">
        <v>12.174899999999999</v>
      </c>
      <c r="D2753" s="2" t="s">
        <v>51</v>
      </c>
      <c r="E2753" s="2" t="s">
        <v>18457</v>
      </c>
      <c r="F2753" s="2">
        <v>273699</v>
      </c>
      <c r="G2753" s="3" t="str">
        <f>HYPERLINK("https://cloud.oebiotech.com/#/lm/network/273699", "https://cloud.oebiotech.com/#/lm/network/273699")</f>
        <v>https://cloud.oebiotech.com/#/lm/network/273699</v>
      </c>
      <c r="H2753" s="2"/>
      <c r="I2753" s="2">
        <v>62961</v>
      </c>
      <c r="J2753" s="2"/>
      <c r="K2753" s="2">
        <v>11393246</v>
      </c>
      <c r="L2753" s="2"/>
      <c r="M2753" s="2"/>
      <c r="N2753" s="2"/>
      <c r="O2753" s="2"/>
      <c r="P2753" s="2"/>
      <c r="Q2753" s="2"/>
      <c r="R2753" s="2"/>
      <c r="S2753" s="2" t="s">
        <v>18458</v>
      </c>
      <c r="T2753" s="2" t="s">
        <v>18459</v>
      </c>
      <c r="U2753" s="2" t="s">
        <v>56</v>
      </c>
      <c r="V2753" s="2" t="s">
        <v>145</v>
      </c>
      <c r="W2753" s="2" t="s">
        <v>231</v>
      </c>
      <c r="X2753" s="2" t="s">
        <v>83</v>
      </c>
      <c r="Y2753" s="2">
        <v>45.7</v>
      </c>
      <c r="Z2753" s="2">
        <v>0</v>
      </c>
      <c r="AA2753" s="2" t="s">
        <v>395</v>
      </c>
      <c r="AB2753" s="2" t="s">
        <v>7111</v>
      </c>
      <c r="AC2753" s="2">
        <v>5.5551161756945699</v>
      </c>
      <c r="AD2753" s="2"/>
      <c r="AE2753" s="2">
        <v>0.22386174310728599</v>
      </c>
      <c r="AF2753" s="2">
        <v>7803.6965149853604</v>
      </c>
      <c r="AG2753" s="2">
        <v>13615.423119597201</v>
      </c>
      <c r="AH2753" s="4">
        <v>0.57315123051542904</v>
      </c>
      <c r="AI2753" s="4">
        <v>-0.80301223910255104</v>
      </c>
      <c r="AJ2753" s="4" t="s">
        <v>62</v>
      </c>
      <c r="AK2753" s="2">
        <v>0.29933632988832098</v>
      </c>
      <c r="AL2753" s="2">
        <v>0.61037838979491599</v>
      </c>
      <c r="AM2753" s="2">
        <v>16712.789167269799</v>
      </c>
      <c r="AN2753" s="2">
        <v>4377.0828302022601</v>
      </c>
      <c r="AO2753" s="2">
        <v>5979.7812974743501</v>
      </c>
      <c r="AP2753" s="2">
        <v>4531.1108496827701</v>
      </c>
      <c r="AQ2753" s="2">
        <v>9313.8324698045999</v>
      </c>
      <c r="AR2753" s="2">
        <v>5907.5824754783798</v>
      </c>
      <c r="AS2753" s="2">
        <v>5567.92250128459</v>
      </c>
      <c r="AT2753" s="2">
        <v>8261.3814398781906</v>
      </c>
      <c r="AU2753" s="2">
        <v>37632.436217998402</v>
      </c>
      <c r="AV2753" s="2">
        <v>10045.060667801299</v>
      </c>
      <c r="AW2753" s="2">
        <v>13753.643176592001</v>
      </c>
      <c r="AX2753" s="2">
        <v>6432.0947140287599</v>
      </c>
    </row>
    <row r="2754" spans="1:50" x14ac:dyDescent="0.25">
      <c r="A2754" s="2" t="s">
        <v>18460</v>
      </c>
      <c r="B2754" s="2">
        <v>235.17003287128</v>
      </c>
      <c r="C2754" s="2">
        <v>6.5805166666666697</v>
      </c>
      <c r="D2754" s="2" t="s">
        <v>51</v>
      </c>
      <c r="E2754" s="2" t="s">
        <v>18461</v>
      </c>
      <c r="F2754" s="2">
        <v>60202</v>
      </c>
      <c r="G2754" s="3" t="str">
        <f>HYPERLINK("https://cloud.oebiotech.com/#/lm/network/60202", "https://cloud.oebiotech.com/#/lm/network/60202")</f>
        <v>https://cloud.oebiotech.com/#/lm/network/60202</v>
      </c>
      <c r="H2754" s="2" t="s">
        <v>18462</v>
      </c>
      <c r="I2754" s="2">
        <v>91582</v>
      </c>
      <c r="J2754" s="2"/>
      <c r="K2754" s="2">
        <v>14632997</v>
      </c>
      <c r="L2754" s="2"/>
      <c r="M2754" s="2"/>
      <c r="N2754" s="2"/>
      <c r="O2754" s="2"/>
      <c r="P2754" s="2"/>
      <c r="Q2754" s="2"/>
      <c r="R2754" s="2" t="s">
        <v>18463</v>
      </c>
      <c r="S2754" s="2" t="s">
        <v>18464</v>
      </c>
      <c r="T2754" s="2" t="s">
        <v>18465</v>
      </c>
      <c r="U2754" s="2" t="s">
        <v>56</v>
      </c>
      <c r="V2754" s="2" t="s">
        <v>177</v>
      </c>
      <c r="W2754" s="2" t="s">
        <v>1996</v>
      </c>
      <c r="X2754" s="2" t="s">
        <v>83</v>
      </c>
      <c r="Y2754" s="2">
        <v>50.2</v>
      </c>
      <c r="Z2754" s="2">
        <v>15.6</v>
      </c>
      <c r="AA2754" s="2" t="s">
        <v>156</v>
      </c>
      <c r="AB2754" s="2" t="s">
        <v>18466</v>
      </c>
      <c r="AC2754" s="2">
        <v>3.0792127705896899</v>
      </c>
      <c r="AD2754" s="2"/>
      <c r="AE2754" s="2">
        <v>0.22378951094879199</v>
      </c>
      <c r="AF2754" s="2">
        <v>22180.346044746399</v>
      </c>
      <c r="AG2754" s="2">
        <v>19827.1687442988</v>
      </c>
      <c r="AH2754" s="5">
        <v>1.11868448444633</v>
      </c>
      <c r="AI2754" s="5">
        <v>0.16180319367784199</v>
      </c>
      <c r="AJ2754" s="5" t="s">
        <v>139</v>
      </c>
      <c r="AK2754" s="2">
        <v>0.280803483349649</v>
      </c>
      <c r="AL2754" s="2">
        <v>0.59978920543246905</v>
      </c>
      <c r="AM2754" s="2">
        <v>20996.100781040499</v>
      </c>
      <c r="AN2754" s="2">
        <v>27429.862021061599</v>
      </c>
      <c r="AO2754" s="2">
        <v>19928.099314109499</v>
      </c>
      <c r="AP2754" s="2">
        <v>25560.7770193424</v>
      </c>
      <c r="AQ2754" s="2">
        <v>18963.698442025099</v>
      </c>
      <c r="AR2754" s="2">
        <v>20203.5386908992</v>
      </c>
      <c r="AS2754" s="2">
        <v>23652.742181201502</v>
      </c>
      <c r="AT2754" s="2">
        <v>20576.630307132</v>
      </c>
      <c r="AU2754" s="2">
        <v>21881.5262284938</v>
      </c>
      <c r="AV2754" s="2">
        <v>13449.2137598229</v>
      </c>
      <c r="AW2754" s="2">
        <v>17706.957341408899</v>
      </c>
      <c r="AX2754" s="2">
        <v>21695.942647733798</v>
      </c>
    </row>
    <row r="2755" spans="1:50" x14ac:dyDescent="0.25">
      <c r="A2755" s="2" t="s">
        <v>18467</v>
      </c>
      <c r="B2755" s="2">
        <v>455.16383907035998</v>
      </c>
      <c r="C2755" s="2">
        <v>4.6064833333333297</v>
      </c>
      <c r="D2755" s="2" t="s">
        <v>51</v>
      </c>
      <c r="E2755" s="2" t="s">
        <v>18468</v>
      </c>
      <c r="F2755" s="2">
        <v>204152</v>
      </c>
      <c r="G2755" s="3" t="str">
        <f>HYPERLINK("https://cloud.oebiotech.com/#/lm/network/204152", "https://cloud.oebiotech.com/#/lm/network/204152")</f>
        <v>https://cloud.oebiotech.com/#/lm/network/204152</v>
      </c>
      <c r="H2755" s="2" t="s">
        <v>18469</v>
      </c>
      <c r="I2755" s="2"/>
      <c r="J2755" s="2"/>
      <c r="K2755" s="2">
        <v>2367</v>
      </c>
      <c r="L2755" s="2"/>
      <c r="M2755" s="2"/>
      <c r="N2755" s="2"/>
      <c r="O2755" s="2"/>
      <c r="P2755" s="2"/>
      <c r="Q2755" s="2"/>
      <c r="R2755" s="2"/>
      <c r="S2755" s="2" t="s">
        <v>18470</v>
      </c>
      <c r="T2755" s="2" t="s">
        <v>18471</v>
      </c>
      <c r="U2755" s="2" t="s">
        <v>56</v>
      </c>
      <c r="V2755" s="2" t="s">
        <v>283</v>
      </c>
      <c r="W2755" s="2" t="s">
        <v>3686</v>
      </c>
      <c r="X2755" s="2" t="s">
        <v>147</v>
      </c>
      <c r="Y2755" s="2">
        <v>37.4</v>
      </c>
      <c r="Z2755" s="2">
        <v>0</v>
      </c>
      <c r="AA2755" s="2" t="s">
        <v>156</v>
      </c>
      <c r="AB2755" s="2" t="s">
        <v>18472</v>
      </c>
      <c r="AC2755" s="2">
        <v>1.89456957625488</v>
      </c>
      <c r="AD2755" s="2"/>
      <c r="AE2755" s="2">
        <v>0.22378712731770201</v>
      </c>
      <c r="AF2755" s="2">
        <v>5563.5494150947397</v>
      </c>
      <c r="AG2755" s="2">
        <v>8170.4164100739699</v>
      </c>
      <c r="AH2755" s="4">
        <v>0.680938294434417</v>
      </c>
      <c r="AI2755" s="4">
        <v>-0.55440402550004697</v>
      </c>
      <c r="AJ2755" s="4" t="s">
        <v>62</v>
      </c>
      <c r="AK2755" s="2">
        <v>0.60962294669577699</v>
      </c>
      <c r="AL2755" s="2">
        <v>0.80553815117069005</v>
      </c>
      <c r="AM2755" s="2">
        <v>766.76158906906596</v>
      </c>
      <c r="AN2755" s="2">
        <v>3343.8842503804999</v>
      </c>
      <c r="AO2755" s="2">
        <v>3046.2078416235699</v>
      </c>
      <c r="AP2755" s="2">
        <v>5308.8981507766202</v>
      </c>
      <c r="AQ2755" s="2">
        <v>9813.3570824250091</v>
      </c>
      <c r="AR2755" s="2">
        <v>11102.1875762937</v>
      </c>
      <c r="AS2755" s="2">
        <v>29308.041926096201</v>
      </c>
      <c r="AT2755" s="2">
        <v>7919.7576470988597</v>
      </c>
      <c r="AU2755" s="2">
        <v>8.559877937157E-6</v>
      </c>
      <c r="AV2755" s="2">
        <v>189.862281804285</v>
      </c>
      <c r="AW2755" s="2">
        <v>224.91805456770001</v>
      </c>
      <c r="AX2755" s="2">
        <v>11379.9185423169</v>
      </c>
    </row>
    <row r="2756" spans="1:50" x14ac:dyDescent="0.25">
      <c r="A2756" s="2" t="s">
        <v>18473</v>
      </c>
      <c r="B2756" s="2">
        <v>351.254132262241</v>
      </c>
      <c r="C2756" s="2">
        <v>11.1512666666667</v>
      </c>
      <c r="D2756" s="2" t="s">
        <v>51</v>
      </c>
      <c r="E2756" s="2" t="s">
        <v>18474</v>
      </c>
      <c r="F2756" s="2">
        <v>206273</v>
      </c>
      <c r="G2756" s="3" t="str">
        <f>HYPERLINK("https://cloud.oebiotech.com/#/lm/network/206273", "https://cloud.oebiotech.com/#/lm/network/206273")</f>
        <v>https://cloud.oebiotech.com/#/lm/network/206273</v>
      </c>
      <c r="H2756" s="2" t="s">
        <v>18475</v>
      </c>
      <c r="I2756" s="2"/>
      <c r="J2756" s="2"/>
      <c r="K2756" s="2">
        <v>3193</v>
      </c>
      <c r="L2756" s="2"/>
      <c r="M2756" s="2"/>
      <c r="N2756" s="2"/>
      <c r="O2756" s="2"/>
      <c r="P2756" s="2"/>
      <c r="Q2756" s="2"/>
      <c r="R2756" s="2"/>
      <c r="S2756" s="2" t="s">
        <v>18476</v>
      </c>
      <c r="T2756" s="2" t="s">
        <v>18477</v>
      </c>
      <c r="U2756" s="2" t="s">
        <v>56</v>
      </c>
      <c r="V2756" s="2" t="s">
        <v>177</v>
      </c>
      <c r="W2756" s="2" t="s">
        <v>806</v>
      </c>
      <c r="X2756" s="2" t="s">
        <v>83</v>
      </c>
      <c r="Y2756" s="2">
        <v>53.3</v>
      </c>
      <c r="Z2756" s="2">
        <v>0</v>
      </c>
      <c r="AA2756" s="2" t="s">
        <v>163</v>
      </c>
      <c r="AB2756" s="2" t="s">
        <v>18478</v>
      </c>
      <c r="AC2756" s="2">
        <v>0.13927579632411</v>
      </c>
      <c r="AD2756" s="2"/>
      <c r="AE2756" s="2">
        <v>0.223167452735027</v>
      </c>
      <c r="AF2756" s="2">
        <v>16781.377863056201</v>
      </c>
      <c r="AG2756" s="2">
        <v>12804.006995453001</v>
      </c>
      <c r="AH2756" s="5">
        <v>1.31063485587096</v>
      </c>
      <c r="AI2756" s="5">
        <v>0.39026580531581301</v>
      </c>
      <c r="AJ2756" s="5" t="s">
        <v>139</v>
      </c>
      <c r="AK2756" s="2">
        <v>0.29156249538289503</v>
      </c>
      <c r="AL2756" s="2">
        <v>0.60524704024064702</v>
      </c>
      <c r="AM2756" s="2">
        <v>7180.8003967282102</v>
      </c>
      <c r="AN2756" s="2">
        <v>19961.316148985701</v>
      </c>
      <c r="AO2756" s="2">
        <v>29105.758541578602</v>
      </c>
      <c r="AP2756" s="2">
        <v>22691.281751033101</v>
      </c>
      <c r="AQ2756" s="2">
        <v>8567.9001309546002</v>
      </c>
      <c r="AR2756" s="2">
        <v>13181.210209057101</v>
      </c>
      <c r="AS2756" s="2">
        <v>14776.1066489574</v>
      </c>
      <c r="AT2756" s="2">
        <v>10324.289334851201</v>
      </c>
      <c r="AU2756" s="2">
        <v>12811.140512817899</v>
      </c>
      <c r="AV2756" s="2">
        <v>13152.6713753436</v>
      </c>
      <c r="AW2756" s="2">
        <v>11633.810773695401</v>
      </c>
      <c r="AX2756" s="2">
        <v>14126.0233270523</v>
      </c>
    </row>
    <row r="2757" spans="1:50" x14ac:dyDescent="0.25">
      <c r="A2757" s="2" t="s">
        <v>18479</v>
      </c>
      <c r="B2757" s="2">
        <v>227.12852794691199</v>
      </c>
      <c r="C2757" s="2">
        <v>5.8270499999999998</v>
      </c>
      <c r="D2757" s="2" t="s">
        <v>51</v>
      </c>
      <c r="E2757" s="2" t="s">
        <v>18480</v>
      </c>
      <c r="F2757" s="2">
        <v>2004</v>
      </c>
      <c r="G2757" s="3" t="str">
        <f>HYPERLINK("https://cloud.oebiotech.com/#/lm/network/2004", "https://cloud.oebiotech.com/#/lm/network/2004")</f>
        <v>https://cloud.oebiotech.com/#/lm/network/2004</v>
      </c>
      <c r="H2757" s="2"/>
      <c r="I2757" s="2"/>
      <c r="J2757" s="2" t="s">
        <v>18481</v>
      </c>
      <c r="K2757" s="2">
        <v>21080048</v>
      </c>
      <c r="L2757" s="2"/>
      <c r="M2757" s="2"/>
      <c r="N2757" s="2"/>
      <c r="O2757" s="2"/>
      <c r="P2757" s="2"/>
      <c r="Q2757" s="2"/>
      <c r="R2757" s="2"/>
      <c r="S2757" s="2" t="s">
        <v>18482</v>
      </c>
      <c r="T2757" s="2" t="s">
        <v>18483</v>
      </c>
      <c r="U2757" s="2" t="s">
        <v>103</v>
      </c>
      <c r="V2757" s="2" t="s">
        <v>377</v>
      </c>
      <c r="W2757" s="2" t="s">
        <v>378</v>
      </c>
      <c r="X2757" s="2" t="s">
        <v>83</v>
      </c>
      <c r="Y2757" s="2">
        <v>44.9</v>
      </c>
      <c r="Z2757" s="2">
        <v>0</v>
      </c>
      <c r="AA2757" s="2" t="s">
        <v>163</v>
      </c>
      <c r="AB2757" s="2" t="s">
        <v>7377</v>
      </c>
      <c r="AC2757" s="2">
        <v>-1.55495178691841</v>
      </c>
      <c r="AD2757" s="2"/>
      <c r="AE2757" s="2">
        <v>0.223028191792532</v>
      </c>
      <c r="AF2757" s="2">
        <v>3145.37101478567</v>
      </c>
      <c r="AG2757" s="2">
        <v>1934.93636187795</v>
      </c>
      <c r="AH2757" s="5">
        <v>1.62556819787755</v>
      </c>
      <c r="AI2757" s="5">
        <v>0.70094408305124301</v>
      </c>
      <c r="AJ2757" s="5" t="s">
        <v>139</v>
      </c>
      <c r="AK2757" s="2">
        <v>4.01978669580354E-2</v>
      </c>
      <c r="AL2757" s="2">
        <v>0.29155452793099101</v>
      </c>
      <c r="AM2757" s="2">
        <v>3518.4605694679499</v>
      </c>
      <c r="AN2757" s="2">
        <v>4337.4807528165802</v>
      </c>
      <c r="AO2757" s="2">
        <v>2575.3331111575899</v>
      </c>
      <c r="AP2757" s="2">
        <v>2648.0680959306501</v>
      </c>
      <c r="AQ2757" s="2">
        <v>2021.2288844014699</v>
      </c>
      <c r="AR2757" s="2">
        <v>3771.6546749397899</v>
      </c>
      <c r="AS2757" s="2">
        <v>2749.0499437396802</v>
      </c>
      <c r="AT2757" s="2">
        <v>1518.76664410071</v>
      </c>
      <c r="AU2757" s="2">
        <v>3332.6299143485498</v>
      </c>
      <c r="AV2757" s="2">
        <v>968.52996490319595</v>
      </c>
      <c r="AW2757" s="2">
        <v>1347.01093069889</v>
      </c>
      <c r="AX2757" s="2">
        <v>1693.6307734766499</v>
      </c>
    </row>
    <row r="2758" spans="1:50" x14ac:dyDescent="0.25">
      <c r="A2758" s="2" t="s">
        <v>18484</v>
      </c>
      <c r="B2758" s="2">
        <v>257.96897637952901</v>
      </c>
      <c r="C2758" s="2">
        <v>3.7574999999999998</v>
      </c>
      <c r="D2758" s="2" t="s">
        <v>51</v>
      </c>
      <c r="E2758" s="2" t="s">
        <v>18485</v>
      </c>
      <c r="F2758" s="2">
        <v>256843</v>
      </c>
      <c r="G2758" s="3" t="str">
        <f>HYPERLINK("https://cloud.oebiotech.com/#/lm/network/256843", "https://cloud.oebiotech.com/#/lm/network/256843")</f>
        <v>https://cloud.oebiotech.com/#/lm/network/256843</v>
      </c>
      <c r="H2758" s="2" t="s">
        <v>18486</v>
      </c>
      <c r="I2758" s="2"/>
      <c r="J2758" s="2"/>
      <c r="K2758" s="2"/>
      <c r="L2758" s="2"/>
      <c r="M2758" s="2"/>
      <c r="N2758" s="2"/>
      <c r="O2758" s="2"/>
      <c r="P2758" s="2"/>
      <c r="Q2758" s="2"/>
      <c r="R2758" s="2"/>
      <c r="S2758" s="2" t="s">
        <v>18487</v>
      </c>
      <c r="T2758" s="2" t="s">
        <v>18488</v>
      </c>
      <c r="U2758" s="2" t="s">
        <v>56</v>
      </c>
      <c r="V2758" s="2" t="s">
        <v>177</v>
      </c>
      <c r="W2758" s="2" t="s">
        <v>18489</v>
      </c>
      <c r="X2758" s="2" t="s">
        <v>147</v>
      </c>
      <c r="Y2758" s="2">
        <v>38.5</v>
      </c>
      <c r="Z2758" s="2">
        <v>0</v>
      </c>
      <c r="AA2758" s="2" t="s">
        <v>163</v>
      </c>
      <c r="AB2758" s="2" t="s">
        <v>18490</v>
      </c>
      <c r="AC2758" s="2">
        <v>-3.9103570688254901</v>
      </c>
      <c r="AD2758" s="2"/>
      <c r="AE2758" s="2">
        <v>0.223012227101718</v>
      </c>
      <c r="AF2758" s="2">
        <v>17281.956627420699</v>
      </c>
      <c r="AG2758" s="2">
        <v>18315.0935436498</v>
      </c>
      <c r="AH2758" s="4">
        <v>0.94359095607309595</v>
      </c>
      <c r="AI2758" s="4">
        <v>-8.3766503875717102E-2</v>
      </c>
      <c r="AJ2758" s="4" t="s">
        <v>62</v>
      </c>
      <c r="AK2758" s="2">
        <v>0.89814105153148505</v>
      </c>
      <c r="AL2758" s="2">
        <v>0.95749028962873495</v>
      </c>
      <c r="AM2758" s="2">
        <v>6853.2314856436296</v>
      </c>
      <c r="AN2758" s="2">
        <v>3414.4397378677099</v>
      </c>
      <c r="AO2758" s="2">
        <v>8903.1456528992694</v>
      </c>
      <c r="AP2758" s="2">
        <v>33886.067530628497</v>
      </c>
      <c r="AQ2758" s="2">
        <v>20141.204973015901</v>
      </c>
      <c r="AR2758" s="2">
        <v>30493.650384469402</v>
      </c>
      <c r="AS2758" s="2">
        <v>15512.0642193852</v>
      </c>
      <c r="AT2758" s="2">
        <v>15495.5370027972</v>
      </c>
      <c r="AU2758" s="2">
        <v>4362.8942309827598</v>
      </c>
      <c r="AV2758" s="2">
        <v>14171.9257123853</v>
      </c>
      <c r="AW2758" s="2">
        <v>46279.586715316698</v>
      </c>
      <c r="AX2758" s="2">
        <v>14068.553381031899</v>
      </c>
    </row>
    <row r="2759" spans="1:50" x14ac:dyDescent="0.25">
      <c r="A2759" s="2" t="s">
        <v>18491</v>
      </c>
      <c r="B2759" s="2">
        <v>389.06730982890201</v>
      </c>
      <c r="C2759" s="2">
        <v>5.4175500000000003</v>
      </c>
      <c r="D2759" s="2" t="s">
        <v>51</v>
      </c>
      <c r="E2759" s="2" t="s">
        <v>18492</v>
      </c>
      <c r="F2759" s="2">
        <v>211275</v>
      </c>
      <c r="G2759" s="3" t="str">
        <f>HYPERLINK("https://cloud.oebiotech.com/#/lm/network/211275", "https://cloud.oebiotech.com/#/lm/network/211275")</f>
        <v>https://cloud.oebiotech.com/#/lm/network/211275</v>
      </c>
      <c r="H2759" s="2" t="s">
        <v>18493</v>
      </c>
      <c r="I2759" s="2"/>
      <c r="J2759" s="2"/>
      <c r="K2759" s="2">
        <v>18783750</v>
      </c>
      <c r="L2759" s="2"/>
      <c r="M2759" s="2"/>
      <c r="N2759" s="2"/>
      <c r="O2759" s="2"/>
      <c r="P2759" s="2"/>
      <c r="Q2759" s="2"/>
      <c r="R2759" s="2"/>
      <c r="S2759" s="2" t="s">
        <v>18494</v>
      </c>
      <c r="T2759" s="2" t="s">
        <v>18495</v>
      </c>
      <c r="U2759" s="2" t="s">
        <v>266</v>
      </c>
      <c r="V2759" s="2" t="s">
        <v>445</v>
      </c>
      <c r="W2759" s="2" t="s">
        <v>446</v>
      </c>
      <c r="X2759" s="2" t="s">
        <v>147</v>
      </c>
      <c r="Y2759" s="2">
        <v>37.6</v>
      </c>
      <c r="Z2759" s="2">
        <v>0</v>
      </c>
      <c r="AA2759" s="2" t="s">
        <v>218</v>
      </c>
      <c r="AB2759" s="2" t="s">
        <v>18496</v>
      </c>
      <c r="AC2759" s="2">
        <v>3.7350172848102399</v>
      </c>
      <c r="AD2759" s="2"/>
      <c r="AE2759" s="2">
        <v>0.22298569872184701</v>
      </c>
      <c r="AF2759" s="2">
        <v>1025.6753688584499</v>
      </c>
      <c r="AG2759" s="2">
        <v>2404.8440754605999</v>
      </c>
      <c r="AH2759" s="4">
        <v>0.42650389658298699</v>
      </c>
      <c r="AI2759" s="4">
        <v>-1.2293691726749301</v>
      </c>
      <c r="AJ2759" s="4" t="s">
        <v>62</v>
      </c>
      <c r="AK2759" s="2">
        <v>0.164473038728361</v>
      </c>
      <c r="AL2759" s="2">
        <v>0.48532625791763301</v>
      </c>
      <c r="AM2759" s="2">
        <v>8.559877937157E-6</v>
      </c>
      <c r="AN2759" s="2">
        <v>257.56780670437797</v>
      </c>
      <c r="AO2759" s="2">
        <v>987.23514840254404</v>
      </c>
      <c r="AP2759" s="2">
        <v>4135.4386198786096</v>
      </c>
      <c r="AQ2759" s="2">
        <v>773.81062104544196</v>
      </c>
      <c r="AR2759" s="2">
        <v>8.559877937157E-6</v>
      </c>
      <c r="AS2759" s="2">
        <v>2639.7893913984699</v>
      </c>
      <c r="AT2759" s="2">
        <v>2942.9414765860502</v>
      </c>
      <c r="AU2759" s="2">
        <v>859.55588316323701</v>
      </c>
      <c r="AV2759" s="2">
        <v>5057.7164962153001</v>
      </c>
      <c r="AW2759" s="2">
        <v>2297.76053931161</v>
      </c>
      <c r="AX2759" s="2">
        <v>631.30066608892105</v>
      </c>
    </row>
    <row r="2760" spans="1:50" x14ac:dyDescent="0.25">
      <c r="A2760" s="2" t="s">
        <v>18497</v>
      </c>
      <c r="B2760" s="2">
        <v>315.21505984319299</v>
      </c>
      <c r="C2760" s="2">
        <v>8.2118333333333293</v>
      </c>
      <c r="D2760" s="2" t="s">
        <v>51</v>
      </c>
      <c r="E2760" s="2" t="s">
        <v>18498</v>
      </c>
      <c r="F2760" s="2">
        <v>115444</v>
      </c>
      <c r="G2760" s="3" t="str">
        <f>HYPERLINK("https://cloud.oebiotech.com/#/lm/network/115444", "https://cloud.oebiotech.com/#/lm/network/115444")</f>
        <v>https://cloud.oebiotech.com/#/lm/network/115444</v>
      </c>
      <c r="H2760" s="2" t="s">
        <v>18499</v>
      </c>
      <c r="I2760" s="2"/>
      <c r="J2760" s="2"/>
      <c r="K2760" s="2">
        <v>235009</v>
      </c>
      <c r="L2760" s="2"/>
      <c r="M2760" s="2"/>
      <c r="N2760" s="2"/>
      <c r="O2760" s="2"/>
      <c r="P2760" s="2"/>
      <c r="Q2760" s="2"/>
      <c r="R2760" s="2"/>
      <c r="S2760" s="2" t="s">
        <v>18500</v>
      </c>
      <c r="T2760" s="2" t="s">
        <v>18501</v>
      </c>
      <c r="U2760" s="2" t="s">
        <v>103</v>
      </c>
      <c r="V2760" s="2" t="s">
        <v>104</v>
      </c>
      <c r="W2760" s="2" t="s">
        <v>105</v>
      </c>
      <c r="X2760" s="2" t="s">
        <v>147</v>
      </c>
      <c r="Y2760" s="2">
        <v>39.200000000000003</v>
      </c>
      <c r="Z2760" s="2">
        <v>6.96</v>
      </c>
      <c r="AA2760" s="2" t="s">
        <v>122</v>
      </c>
      <c r="AB2760" s="2" t="s">
        <v>18502</v>
      </c>
      <c r="AC2760" s="2">
        <v>-2.3687881820860701</v>
      </c>
      <c r="AD2760" s="2"/>
      <c r="AE2760" s="2">
        <v>0.222597411568843</v>
      </c>
      <c r="AF2760" s="2">
        <v>2557.46487558532</v>
      </c>
      <c r="AG2760" s="2">
        <v>1381.87970186127</v>
      </c>
      <c r="AH2760" s="5">
        <v>1.85071455361898</v>
      </c>
      <c r="AI2760" s="5">
        <v>0.88808239718861604</v>
      </c>
      <c r="AJ2760" s="5" t="s">
        <v>139</v>
      </c>
      <c r="AK2760" s="2">
        <v>0.15710695968549601</v>
      </c>
      <c r="AL2760" s="2">
        <v>0.47857568991933802</v>
      </c>
      <c r="AM2760" s="2">
        <v>5586.83488229879</v>
      </c>
      <c r="AN2760" s="2">
        <v>1510.8000778518899</v>
      </c>
      <c r="AO2760" s="2">
        <v>1889.67178220037</v>
      </c>
      <c r="AP2760" s="2">
        <v>2409.5070749976799</v>
      </c>
      <c r="AQ2760" s="2">
        <v>2067.00134939893</v>
      </c>
      <c r="AR2760" s="2">
        <v>1880.9740867642399</v>
      </c>
      <c r="AS2760" s="2">
        <v>455.08426694204098</v>
      </c>
      <c r="AT2760" s="2">
        <v>2462.6628244326898</v>
      </c>
      <c r="AU2760" s="2">
        <v>2685.6561637822301</v>
      </c>
      <c r="AV2760" s="2">
        <v>445.70389716335501</v>
      </c>
      <c r="AW2760" s="2">
        <v>1999.15611287364</v>
      </c>
      <c r="AX2760" s="2">
        <v>243.01494597369199</v>
      </c>
    </row>
    <row r="2761" spans="1:50" x14ac:dyDescent="0.25">
      <c r="A2761" s="2" t="s">
        <v>18503</v>
      </c>
      <c r="B2761" s="2">
        <v>205.09789094599199</v>
      </c>
      <c r="C2761" s="2">
        <v>4.6885500000000002</v>
      </c>
      <c r="D2761" s="2" t="s">
        <v>51</v>
      </c>
      <c r="E2761" s="2" t="s">
        <v>18504</v>
      </c>
      <c r="F2761" s="2">
        <v>257539</v>
      </c>
      <c r="G2761" s="3" t="str">
        <f>HYPERLINK("https://cloud.oebiotech.com/#/lm/network/257539", "https://cloud.oebiotech.com/#/lm/network/257539")</f>
        <v>https://cloud.oebiotech.com/#/lm/network/257539</v>
      </c>
      <c r="H2761" s="2" t="s">
        <v>18505</v>
      </c>
      <c r="I2761" s="2">
        <v>85897</v>
      </c>
      <c r="J2761" s="2"/>
      <c r="K2761" s="2">
        <v>98207</v>
      </c>
      <c r="L2761" s="2"/>
      <c r="M2761" s="2"/>
      <c r="N2761" s="2"/>
      <c r="O2761" s="2"/>
      <c r="P2761" s="2"/>
      <c r="Q2761" s="2"/>
      <c r="R2761" s="2"/>
      <c r="S2761" s="2" t="s">
        <v>18506</v>
      </c>
      <c r="T2761" s="2" t="s">
        <v>18507</v>
      </c>
      <c r="U2761" s="2" t="s">
        <v>103</v>
      </c>
      <c r="V2761" s="2" t="s">
        <v>104</v>
      </c>
      <c r="W2761" s="2" t="s">
        <v>105</v>
      </c>
      <c r="X2761" s="2" t="s">
        <v>59</v>
      </c>
      <c r="Y2761" s="2">
        <v>50</v>
      </c>
      <c r="Z2761" s="2">
        <v>57.4</v>
      </c>
      <c r="AA2761" s="2" t="s">
        <v>156</v>
      </c>
      <c r="AB2761" s="2" t="s">
        <v>18508</v>
      </c>
      <c r="AC2761" s="2">
        <v>3.3177724664728698</v>
      </c>
      <c r="AD2761" s="2"/>
      <c r="AE2761" s="2">
        <v>0.22242703575515799</v>
      </c>
      <c r="AF2761" s="2">
        <v>196.59950161103399</v>
      </c>
      <c r="AG2761" s="2">
        <v>2460.4566048555298</v>
      </c>
      <c r="AH2761" s="4">
        <v>7.9903665532266799E-2</v>
      </c>
      <c r="AI2761" s="4">
        <v>-3.6455945023420702</v>
      </c>
      <c r="AJ2761" s="4" t="s">
        <v>62</v>
      </c>
      <c r="AK2761" s="2">
        <v>0.34045673768260198</v>
      </c>
      <c r="AL2761" s="2">
        <v>0.63815037094278604</v>
      </c>
      <c r="AM2761" s="2">
        <v>156.977719629967</v>
      </c>
      <c r="AN2761" s="2">
        <v>146.72309786195001</v>
      </c>
      <c r="AO2761" s="2">
        <v>155.76363661904901</v>
      </c>
      <c r="AP2761" s="2">
        <v>202.08412447622501</v>
      </c>
      <c r="AQ2761" s="2">
        <v>405.341518219617</v>
      </c>
      <c r="AR2761" s="2">
        <v>112.706912859393</v>
      </c>
      <c r="AS2761" s="2">
        <v>64.867150215133805</v>
      </c>
      <c r="AT2761" s="2">
        <v>169.627025816165</v>
      </c>
      <c r="AU2761" s="2">
        <v>172.14639459830701</v>
      </c>
      <c r="AV2761" s="2">
        <v>137.636631318204</v>
      </c>
      <c r="AW2761" s="2">
        <v>13763.677024484001</v>
      </c>
      <c r="AX2761" s="2">
        <v>454.78540270139803</v>
      </c>
    </row>
    <row r="2762" spans="1:50" x14ac:dyDescent="0.25">
      <c r="A2762" s="2" t="s">
        <v>18509</v>
      </c>
      <c r="B2762" s="2">
        <v>265.14456695193201</v>
      </c>
      <c r="C2762" s="2">
        <v>6.0715666666666701</v>
      </c>
      <c r="D2762" s="2" t="s">
        <v>51</v>
      </c>
      <c r="E2762" s="2" t="s">
        <v>18510</v>
      </c>
      <c r="F2762" s="2">
        <v>57480</v>
      </c>
      <c r="G2762" s="3" t="str">
        <f>HYPERLINK("https://cloud.oebiotech.com/#/lm/network/57480", "https://cloud.oebiotech.com/#/lm/network/57480")</f>
        <v>https://cloud.oebiotech.com/#/lm/network/57480</v>
      </c>
      <c r="H2762" s="2" t="s">
        <v>18511</v>
      </c>
      <c r="I2762" s="2">
        <v>89096</v>
      </c>
      <c r="J2762" s="2"/>
      <c r="K2762" s="2">
        <v>131751394</v>
      </c>
      <c r="L2762" s="2"/>
      <c r="M2762" s="2"/>
      <c r="N2762" s="2"/>
      <c r="O2762" s="2">
        <v>174494</v>
      </c>
      <c r="P2762" s="2"/>
      <c r="Q2762" s="2"/>
      <c r="R2762" s="2" t="s">
        <v>18512</v>
      </c>
      <c r="S2762" s="2" t="s">
        <v>18513</v>
      </c>
      <c r="T2762" s="2" t="s">
        <v>18514</v>
      </c>
      <c r="U2762" s="2" t="s">
        <v>56</v>
      </c>
      <c r="V2762" s="2" t="s">
        <v>177</v>
      </c>
      <c r="W2762" s="2" t="s">
        <v>806</v>
      </c>
      <c r="X2762" s="2" t="s">
        <v>83</v>
      </c>
      <c r="Y2762" s="2">
        <v>45.5</v>
      </c>
      <c r="Z2762" s="2">
        <v>0</v>
      </c>
      <c r="AA2762" s="2" t="s">
        <v>163</v>
      </c>
      <c r="AB2762" s="2" t="s">
        <v>15678</v>
      </c>
      <c r="AC2762" s="2">
        <v>0.12849866506895799</v>
      </c>
      <c r="AD2762" s="2"/>
      <c r="AE2762" s="2">
        <v>0.22241345432198301</v>
      </c>
      <c r="AF2762" s="2">
        <v>3389.9643962372502</v>
      </c>
      <c r="AG2762" s="2">
        <v>2095.5264425308001</v>
      </c>
      <c r="AH2762" s="5">
        <v>1.61771492233863</v>
      </c>
      <c r="AI2762" s="5">
        <v>0.69395739493439401</v>
      </c>
      <c r="AJ2762" s="5" t="s">
        <v>139</v>
      </c>
      <c r="AK2762" s="2">
        <v>8.52813229127352E-2</v>
      </c>
      <c r="AL2762" s="2">
        <v>0.37799325512262799</v>
      </c>
      <c r="AM2762" s="2">
        <v>4260.4315185354799</v>
      </c>
      <c r="AN2762" s="2">
        <v>5225.9287085105998</v>
      </c>
      <c r="AO2762" s="2">
        <v>2518.2042140407002</v>
      </c>
      <c r="AP2762" s="2">
        <v>2170.02680947109</v>
      </c>
      <c r="AQ2762" s="2">
        <v>2058.7992941674602</v>
      </c>
      <c r="AR2762" s="2">
        <v>4106.3958326981601</v>
      </c>
      <c r="AS2762" s="2">
        <v>2695.2739945029198</v>
      </c>
      <c r="AT2762" s="2">
        <v>1459.7397076708</v>
      </c>
      <c r="AU2762" s="2">
        <v>3053.6589122812602</v>
      </c>
      <c r="AV2762" s="2">
        <v>756.87458815977504</v>
      </c>
      <c r="AW2762" s="2">
        <v>1419.4518400279701</v>
      </c>
      <c r="AX2762" s="2">
        <v>3188.1596125420701</v>
      </c>
    </row>
    <row r="2763" spans="1:50" x14ac:dyDescent="0.25">
      <c r="A2763" s="2" t="s">
        <v>18515</v>
      </c>
      <c r="B2763" s="2">
        <v>211.07206461017401</v>
      </c>
      <c r="C2763" s="2">
        <v>4.1329500000000001</v>
      </c>
      <c r="D2763" s="2" t="s">
        <v>51</v>
      </c>
      <c r="E2763" s="2" t="s">
        <v>18516</v>
      </c>
      <c r="F2763" s="2">
        <v>201752</v>
      </c>
      <c r="G2763" s="3" t="str">
        <f>HYPERLINK("https://cloud.oebiotech.com/#/lm/network/201752", "https://cloud.oebiotech.com/#/lm/network/201752")</f>
        <v>https://cloud.oebiotech.com/#/lm/network/201752</v>
      </c>
      <c r="H2763" s="2" t="s">
        <v>18517</v>
      </c>
      <c r="I2763" s="2"/>
      <c r="J2763" s="2"/>
      <c r="K2763" s="2">
        <v>328839</v>
      </c>
      <c r="L2763" s="2"/>
      <c r="M2763" s="2"/>
      <c r="N2763" s="2"/>
      <c r="O2763" s="2"/>
      <c r="P2763" s="2"/>
      <c r="Q2763" s="2"/>
      <c r="R2763" s="2"/>
      <c r="S2763" s="2" t="s">
        <v>18518</v>
      </c>
      <c r="T2763" s="2" t="s">
        <v>18519</v>
      </c>
      <c r="U2763" s="2" t="s">
        <v>295</v>
      </c>
      <c r="V2763" s="2" t="s">
        <v>1818</v>
      </c>
      <c r="W2763" s="2" t="s">
        <v>240</v>
      </c>
      <c r="X2763" s="2" t="s">
        <v>147</v>
      </c>
      <c r="Y2763" s="2">
        <v>45.1</v>
      </c>
      <c r="Z2763" s="2">
        <v>31.2</v>
      </c>
      <c r="AA2763" s="2" t="s">
        <v>156</v>
      </c>
      <c r="AB2763" s="2" t="s">
        <v>18520</v>
      </c>
      <c r="AC2763" s="2">
        <v>3.2067045830152301</v>
      </c>
      <c r="AD2763" s="2"/>
      <c r="AE2763" s="2">
        <v>0.222376317794412</v>
      </c>
      <c r="AF2763" s="2">
        <v>1769.55055781346</v>
      </c>
      <c r="AG2763" s="2">
        <v>9041.3913786557496</v>
      </c>
      <c r="AH2763" s="4">
        <v>0.195716619677684</v>
      </c>
      <c r="AI2763" s="4">
        <v>-2.3531618243160302</v>
      </c>
      <c r="AJ2763" s="4" t="s">
        <v>62</v>
      </c>
      <c r="AK2763" s="2">
        <v>0.430158636409324</v>
      </c>
      <c r="AL2763" s="2">
        <v>0.68819175824183598</v>
      </c>
      <c r="AM2763" s="2">
        <v>512.05298037242903</v>
      </c>
      <c r="AN2763" s="2">
        <v>3591.3232617182898</v>
      </c>
      <c r="AO2763" s="2">
        <v>5545.9881802876698</v>
      </c>
      <c r="AP2763" s="2">
        <v>598.49581037662995</v>
      </c>
      <c r="AQ2763" s="2">
        <v>208.42673168959701</v>
      </c>
      <c r="AR2763" s="2">
        <v>161.01638243614099</v>
      </c>
      <c r="AS2763" s="2">
        <v>204.01110764791099</v>
      </c>
      <c r="AT2763" s="2">
        <v>444.72389577349901</v>
      </c>
      <c r="AU2763" s="2">
        <v>53023.238304575403</v>
      </c>
      <c r="AV2763" s="2">
        <v>406.70691452839702</v>
      </c>
      <c r="AW2763" s="2">
        <v>8.559877937157E-6</v>
      </c>
      <c r="AX2763" s="2">
        <v>169.668040849394</v>
      </c>
    </row>
    <row r="2764" spans="1:50" x14ac:dyDescent="0.25">
      <c r="A2764" s="2" t="s">
        <v>18521</v>
      </c>
      <c r="B2764" s="2">
        <v>409.25494100637599</v>
      </c>
      <c r="C2764" s="2">
        <v>10.2914333333333</v>
      </c>
      <c r="D2764" s="2" t="s">
        <v>51</v>
      </c>
      <c r="E2764" s="2" t="s">
        <v>18522</v>
      </c>
      <c r="F2764" s="2">
        <v>10277</v>
      </c>
      <c r="G2764" s="3" t="str">
        <f>HYPERLINK("https://cloud.oebiotech.com/#/lm/network/10277", "https://cloud.oebiotech.com/#/lm/network/10277")</f>
        <v>https://cloud.oebiotech.com/#/lm/network/10277</v>
      </c>
      <c r="H2764" s="2"/>
      <c r="I2764" s="2"/>
      <c r="J2764" s="2" t="s">
        <v>18523</v>
      </c>
      <c r="K2764" s="2">
        <v>86289696</v>
      </c>
      <c r="L2764" s="2"/>
      <c r="M2764" s="2"/>
      <c r="N2764" s="2"/>
      <c r="O2764" s="2">
        <v>78963</v>
      </c>
      <c r="P2764" s="2"/>
      <c r="Q2764" s="2"/>
      <c r="R2764" s="2"/>
      <c r="S2764" s="2" t="s">
        <v>18524</v>
      </c>
      <c r="T2764" s="2" t="s">
        <v>18525</v>
      </c>
      <c r="U2764" s="2" t="s">
        <v>56</v>
      </c>
      <c r="V2764" s="2" t="s">
        <v>145</v>
      </c>
      <c r="W2764" s="2" t="s">
        <v>231</v>
      </c>
      <c r="X2764" s="2" t="s">
        <v>83</v>
      </c>
      <c r="Y2764" s="2">
        <v>52.5</v>
      </c>
      <c r="Z2764" s="2">
        <v>0</v>
      </c>
      <c r="AA2764" s="2" t="s">
        <v>95</v>
      </c>
      <c r="AB2764" s="2" t="s">
        <v>18526</v>
      </c>
      <c r="AC2764" s="2">
        <v>-2.8959504976338399</v>
      </c>
      <c r="AD2764" s="2"/>
      <c r="AE2764" s="2">
        <v>0.22231047576306601</v>
      </c>
      <c r="AF2764" s="2">
        <v>6435.9235074794396</v>
      </c>
      <c r="AG2764" s="2">
        <v>9081.1276951673299</v>
      </c>
      <c r="AH2764" s="4">
        <v>0.70871412929304101</v>
      </c>
      <c r="AI2764" s="4">
        <v>-0.49672428324613199</v>
      </c>
      <c r="AJ2764" s="4" t="s">
        <v>62</v>
      </c>
      <c r="AK2764" s="2">
        <v>0.36844297047129898</v>
      </c>
      <c r="AL2764" s="2">
        <v>0.65222958973558298</v>
      </c>
      <c r="AM2764" s="2">
        <v>6683.9387548613304</v>
      </c>
      <c r="AN2764" s="2">
        <v>9141.5027441081093</v>
      </c>
      <c r="AO2764" s="2">
        <v>8486.7715486337602</v>
      </c>
      <c r="AP2764" s="2">
        <v>5579.1583777502101</v>
      </c>
      <c r="AQ2764" s="2">
        <v>2741.1837442245101</v>
      </c>
      <c r="AR2764" s="2">
        <v>5982.9858752987102</v>
      </c>
      <c r="AS2764" s="2">
        <v>8052.3611966516801</v>
      </c>
      <c r="AT2764" s="2">
        <v>2531.4915318061098</v>
      </c>
      <c r="AU2764" s="2">
        <v>6976.8882590848498</v>
      </c>
      <c r="AV2764" s="2">
        <v>8480.8676163304099</v>
      </c>
      <c r="AW2764" s="2">
        <v>6846.2977520979302</v>
      </c>
      <c r="AX2764" s="2">
        <v>21598.859815033</v>
      </c>
    </row>
    <row r="2765" spans="1:50" x14ac:dyDescent="0.25">
      <c r="A2765" s="2" t="s">
        <v>18527</v>
      </c>
      <c r="B2765" s="2">
        <v>398.32773857362298</v>
      </c>
      <c r="C2765" s="2">
        <v>9.7259833333333301</v>
      </c>
      <c r="D2765" s="2" t="s">
        <v>51</v>
      </c>
      <c r="E2765" s="2" t="s">
        <v>18528</v>
      </c>
      <c r="F2765" s="2">
        <v>198013</v>
      </c>
      <c r="G2765" s="3" t="str">
        <f>HYPERLINK("https://cloud.oebiotech.com/#/lm/network/198013", "https://cloud.oebiotech.com/#/lm/network/198013")</f>
        <v>https://cloud.oebiotech.com/#/lm/network/198013</v>
      </c>
      <c r="H2765" s="2" t="s">
        <v>18529</v>
      </c>
      <c r="I2765" s="2"/>
      <c r="J2765" s="2"/>
      <c r="K2765" s="2"/>
      <c r="L2765" s="2"/>
      <c r="M2765" s="2"/>
      <c r="N2765" s="2"/>
      <c r="O2765" s="2"/>
      <c r="P2765" s="2"/>
      <c r="Q2765" s="2"/>
      <c r="R2765" s="2"/>
      <c r="S2765" s="2" t="s">
        <v>18530</v>
      </c>
      <c r="T2765" s="2" t="s">
        <v>18531</v>
      </c>
      <c r="U2765" s="2" t="s">
        <v>56</v>
      </c>
      <c r="V2765" s="2" t="s">
        <v>145</v>
      </c>
      <c r="W2765" s="2" t="s">
        <v>1188</v>
      </c>
      <c r="X2765" s="2" t="s">
        <v>147</v>
      </c>
      <c r="Y2765" s="2">
        <v>47.2</v>
      </c>
      <c r="Z2765" s="2">
        <v>43.9</v>
      </c>
      <c r="AA2765" s="2" t="s">
        <v>60</v>
      </c>
      <c r="AB2765" s="2" t="s">
        <v>18532</v>
      </c>
      <c r="AC2765" s="2">
        <v>3.1543392443899601</v>
      </c>
      <c r="AD2765" s="2"/>
      <c r="AE2765" s="2">
        <v>0.222194512058044</v>
      </c>
      <c r="AF2765" s="2">
        <v>95360.727635524599</v>
      </c>
      <c r="AG2765" s="2">
        <v>81158.147860073805</v>
      </c>
      <c r="AH2765" s="5">
        <v>1.17499881589139</v>
      </c>
      <c r="AI2765" s="5">
        <v>0.23265930291071199</v>
      </c>
      <c r="AJ2765" s="5" t="s">
        <v>139</v>
      </c>
      <c r="AK2765" s="2">
        <v>0.49846175170093499</v>
      </c>
      <c r="AL2765" s="2">
        <v>0.73671083391796099</v>
      </c>
      <c r="AM2765" s="2">
        <v>79642.099437461206</v>
      </c>
      <c r="AN2765" s="2">
        <v>61656.151373065099</v>
      </c>
      <c r="AO2765" s="2">
        <v>94045.630677070003</v>
      </c>
      <c r="AP2765" s="2">
        <v>174304.729913747</v>
      </c>
      <c r="AQ2765" s="2">
        <v>89533.280885012195</v>
      </c>
      <c r="AR2765" s="2">
        <v>72982.473526792397</v>
      </c>
      <c r="AS2765" s="2">
        <v>71159.008903582799</v>
      </c>
      <c r="AT2765" s="2">
        <v>56847.115642466801</v>
      </c>
      <c r="AU2765" s="2">
        <v>99192.531665174698</v>
      </c>
      <c r="AV2765" s="2">
        <v>67407.949616855898</v>
      </c>
      <c r="AW2765" s="2">
        <v>131229.96314544001</v>
      </c>
      <c r="AX2765" s="2">
        <v>61112.318186922399</v>
      </c>
    </row>
    <row r="2766" spans="1:50" x14ac:dyDescent="0.25">
      <c r="A2766" s="2" t="s">
        <v>18533</v>
      </c>
      <c r="B2766" s="2">
        <v>495.405932025281</v>
      </c>
      <c r="C2766" s="2">
        <v>14.4452</v>
      </c>
      <c r="D2766" s="2" t="s">
        <v>51</v>
      </c>
      <c r="E2766" s="2" t="s">
        <v>18534</v>
      </c>
      <c r="F2766" s="2">
        <v>2209</v>
      </c>
      <c r="G2766" s="3" t="str">
        <f>HYPERLINK("https://cloud.oebiotech.com/#/lm/network/2209", "https://cloud.oebiotech.com/#/lm/network/2209")</f>
        <v>https://cloud.oebiotech.com/#/lm/network/2209</v>
      </c>
      <c r="H2766" s="2"/>
      <c r="I2766" s="2"/>
      <c r="J2766" s="2" t="s">
        <v>18535</v>
      </c>
      <c r="K2766" s="2"/>
      <c r="L2766" s="2"/>
      <c r="M2766" s="2"/>
      <c r="N2766" s="2"/>
      <c r="O2766" s="2"/>
      <c r="P2766" s="2"/>
      <c r="Q2766" s="2"/>
      <c r="R2766" s="2"/>
      <c r="S2766" s="2" t="s">
        <v>18536</v>
      </c>
      <c r="T2766" s="2" t="s">
        <v>18537</v>
      </c>
      <c r="U2766" s="2" t="s">
        <v>56</v>
      </c>
      <c r="V2766" s="2" t="s">
        <v>145</v>
      </c>
      <c r="W2766" s="2" t="s">
        <v>231</v>
      </c>
      <c r="X2766" s="2" t="s">
        <v>83</v>
      </c>
      <c r="Y2766" s="2">
        <v>44.4</v>
      </c>
      <c r="Z2766" s="2">
        <v>0</v>
      </c>
      <c r="AA2766" s="2" t="s">
        <v>218</v>
      </c>
      <c r="AB2766" s="2" t="s">
        <v>18538</v>
      </c>
      <c r="AC2766" s="2">
        <v>0.96260612325948003</v>
      </c>
      <c r="AD2766" s="2"/>
      <c r="AE2766" s="2">
        <v>0.22209624435789899</v>
      </c>
      <c r="AF2766" s="2">
        <v>57154.712248883399</v>
      </c>
      <c r="AG2766" s="2">
        <v>66163.186828175705</v>
      </c>
      <c r="AH2766" s="4">
        <v>0.86384460889577297</v>
      </c>
      <c r="AI2766" s="4">
        <v>-0.21115627571336401</v>
      </c>
      <c r="AJ2766" s="4" t="s">
        <v>62</v>
      </c>
      <c r="AK2766" s="2">
        <v>0.64323132896417201</v>
      </c>
      <c r="AL2766" s="2">
        <v>0.82605762493192503</v>
      </c>
      <c r="AM2766" s="2">
        <v>79163.732532350405</v>
      </c>
      <c r="AN2766" s="2">
        <v>23877.599239429801</v>
      </c>
      <c r="AO2766" s="2">
        <v>55690.8793260565</v>
      </c>
      <c r="AP2766" s="2">
        <v>66469.911410914006</v>
      </c>
      <c r="AQ2766" s="2">
        <v>85908.532256698905</v>
      </c>
      <c r="AR2766" s="2">
        <v>31817.618727850499</v>
      </c>
      <c r="AS2766" s="2">
        <v>40842.024937092501</v>
      </c>
      <c r="AT2766" s="2">
        <v>94268.046669515097</v>
      </c>
      <c r="AU2766" s="2">
        <v>55833.221972062798</v>
      </c>
      <c r="AV2766" s="2">
        <v>32139.705964543598</v>
      </c>
      <c r="AW2766" s="2">
        <v>131480.56506921799</v>
      </c>
      <c r="AX2766" s="2">
        <v>42415.556356622103</v>
      </c>
    </row>
    <row r="2767" spans="1:50" x14ac:dyDescent="0.25">
      <c r="A2767" s="2" t="s">
        <v>18539</v>
      </c>
      <c r="B2767" s="2">
        <v>730.36130639988403</v>
      </c>
      <c r="C2767" s="2">
        <v>5.2849000000000004</v>
      </c>
      <c r="D2767" s="2" t="s">
        <v>51</v>
      </c>
      <c r="E2767" s="2" t="s">
        <v>18540</v>
      </c>
      <c r="F2767" s="2">
        <v>44681</v>
      </c>
      <c r="G2767" s="3" t="str">
        <f>HYPERLINK("https://cloud.oebiotech.com/#/lm/network/44681", "https://cloud.oebiotech.com/#/lm/network/44681")</f>
        <v>https://cloud.oebiotech.com/#/lm/network/44681</v>
      </c>
      <c r="H2767" s="2"/>
      <c r="I2767" s="2"/>
      <c r="J2767" s="2" t="s">
        <v>18541</v>
      </c>
      <c r="K2767" s="2">
        <v>46872700</v>
      </c>
      <c r="L2767" s="2"/>
      <c r="M2767" s="2"/>
      <c r="N2767" s="2"/>
      <c r="O2767" s="2"/>
      <c r="P2767" s="2"/>
      <c r="Q2767" s="2"/>
      <c r="R2767" s="2"/>
      <c r="S2767" s="2" t="s">
        <v>18542</v>
      </c>
      <c r="T2767" s="2" t="s">
        <v>18543</v>
      </c>
      <c r="U2767" s="2" t="s">
        <v>56</v>
      </c>
      <c r="V2767" s="2" t="s">
        <v>283</v>
      </c>
      <c r="W2767" s="2" t="s">
        <v>1338</v>
      </c>
      <c r="X2767" s="2" t="s">
        <v>147</v>
      </c>
      <c r="Y2767" s="2">
        <v>45.9</v>
      </c>
      <c r="Z2767" s="2">
        <v>44.6</v>
      </c>
      <c r="AA2767" s="2" t="s">
        <v>512</v>
      </c>
      <c r="AB2767" s="2" t="s">
        <v>18544</v>
      </c>
      <c r="AC2767" s="2">
        <v>-4.4081934195187102</v>
      </c>
      <c r="AD2767" s="2"/>
      <c r="AE2767" s="2">
        <v>0.222081529823382</v>
      </c>
      <c r="AF2767" s="2">
        <v>2494.6554206147698</v>
      </c>
      <c r="AG2767" s="2">
        <v>5580.5040134604296</v>
      </c>
      <c r="AH2767" s="4">
        <v>0.44703048588398903</v>
      </c>
      <c r="AI2767" s="4">
        <v>-1.1615548734700201</v>
      </c>
      <c r="AJ2767" s="4" t="s">
        <v>62</v>
      </c>
      <c r="AK2767" s="2">
        <v>0.53964164547454896</v>
      </c>
      <c r="AL2767" s="2">
        <v>0.76464258930367401</v>
      </c>
      <c r="AM2767" s="2">
        <v>3904.57263830993</v>
      </c>
      <c r="AN2767" s="2">
        <v>8.559877937157E-6</v>
      </c>
      <c r="AO2767" s="2">
        <v>5341.1072404747001</v>
      </c>
      <c r="AP2767" s="2">
        <v>8.559877937157E-6</v>
      </c>
      <c r="AQ2767" s="2">
        <v>854.62822610259695</v>
      </c>
      <c r="AR2767" s="2">
        <v>4867.6244016816199</v>
      </c>
      <c r="AS2767" s="2">
        <v>8.559877937157E-6</v>
      </c>
      <c r="AT2767" s="2">
        <v>8.559877937157E-6</v>
      </c>
      <c r="AU2767" s="2">
        <v>348.43851453907899</v>
      </c>
      <c r="AV2767" s="2">
        <v>29121.996969888602</v>
      </c>
      <c r="AW2767" s="2">
        <v>4012.5885706552899</v>
      </c>
      <c r="AX2767" s="2">
        <v>8.559877937157E-6</v>
      </c>
    </row>
    <row r="2768" spans="1:50" x14ac:dyDescent="0.25">
      <c r="A2768" s="2" t="s">
        <v>18545</v>
      </c>
      <c r="B2768" s="2">
        <v>454.16499925369499</v>
      </c>
      <c r="C2768" s="2">
        <v>7.1589166666666699</v>
      </c>
      <c r="D2768" s="2" t="s">
        <v>51</v>
      </c>
      <c r="E2768" s="2" t="s">
        <v>18546</v>
      </c>
      <c r="F2768" s="2">
        <v>203823</v>
      </c>
      <c r="G2768" s="3" t="str">
        <f>HYPERLINK("https://cloud.oebiotech.com/#/lm/network/203823", "https://cloud.oebiotech.com/#/lm/network/203823")</f>
        <v>https://cloud.oebiotech.com/#/lm/network/203823</v>
      </c>
      <c r="H2768" s="2" t="s">
        <v>18547</v>
      </c>
      <c r="I2768" s="2"/>
      <c r="J2768" s="2"/>
      <c r="K2768" s="2">
        <v>10138980</v>
      </c>
      <c r="L2768" s="2"/>
      <c r="M2768" s="2"/>
      <c r="N2768" s="2"/>
      <c r="O2768" s="2">
        <v>167652</v>
      </c>
      <c r="P2768" s="2" t="s">
        <v>18548</v>
      </c>
      <c r="Q2768" s="2" t="s">
        <v>18549</v>
      </c>
      <c r="R2768" s="2"/>
      <c r="S2768" s="2" t="s">
        <v>18550</v>
      </c>
      <c r="T2768" s="2" t="s">
        <v>18551</v>
      </c>
      <c r="U2768" s="2" t="s">
        <v>610</v>
      </c>
      <c r="V2768" s="2" t="s">
        <v>611</v>
      </c>
      <c r="W2768" s="2" t="s">
        <v>5656</v>
      </c>
      <c r="X2768" s="2" t="s">
        <v>147</v>
      </c>
      <c r="Y2768" s="2">
        <v>44.9</v>
      </c>
      <c r="Z2768" s="2">
        <v>36.4</v>
      </c>
      <c r="AA2768" s="2" t="s">
        <v>259</v>
      </c>
      <c r="AB2768" s="2" t="s">
        <v>18552</v>
      </c>
      <c r="AC2768" s="2">
        <v>-1.29272305965403</v>
      </c>
      <c r="AD2768" s="2"/>
      <c r="AE2768" s="2">
        <v>0.221976973260923</v>
      </c>
      <c r="AF2768" s="2">
        <v>10687.2637491644</v>
      </c>
      <c r="AG2768" s="2">
        <v>14352.717390936699</v>
      </c>
      <c r="AH2768" s="4">
        <v>0.74461605130698905</v>
      </c>
      <c r="AI2768" s="4">
        <v>-0.42543137892437</v>
      </c>
      <c r="AJ2768" s="4" t="s">
        <v>62</v>
      </c>
      <c r="AK2768" s="2">
        <v>0.59469169879258998</v>
      </c>
      <c r="AL2768" s="2">
        <v>0.79555759705534201</v>
      </c>
      <c r="AM2768" s="2">
        <v>1485.9949703812499</v>
      </c>
      <c r="AN2768" s="2">
        <v>9487.3053308366107</v>
      </c>
      <c r="AO2768" s="2">
        <v>28720.748386603002</v>
      </c>
      <c r="AP2768" s="2">
        <v>19061.405361782301</v>
      </c>
      <c r="AQ2768" s="2">
        <v>4765.5518265970504</v>
      </c>
      <c r="AR2768" s="2">
        <v>602.57661878635702</v>
      </c>
      <c r="AS2768" s="2">
        <v>6216.4400625513799</v>
      </c>
      <c r="AT2768" s="2">
        <v>15264.7667711173</v>
      </c>
      <c r="AU2768" s="2">
        <v>12464.2902274355</v>
      </c>
      <c r="AV2768" s="2">
        <v>37685.341593507699</v>
      </c>
      <c r="AW2768" s="2">
        <v>6823.11026759584</v>
      </c>
      <c r="AX2768" s="2">
        <v>7662.3554234124304</v>
      </c>
    </row>
    <row r="2769" spans="1:50" x14ac:dyDescent="0.25">
      <c r="A2769" s="2" t="s">
        <v>18553</v>
      </c>
      <c r="B2769" s="2">
        <v>413.26748238390599</v>
      </c>
      <c r="C2769" s="2">
        <v>11.920066666666701</v>
      </c>
      <c r="D2769" s="2" t="s">
        <v>51</v>
      </c>
      <c r="E2769" s="2" t="s">
        <v>18554</v>
      </c>
      <c r="F2769" s="2">
        <v>35002</v>
      </c>
      <c r="G2769" s="3" t="str">
        <f>HYPERLINK("https://cloud.oebiotech.com/#/lm/network/35002", "https://cloud.oebiotech.com/#/lm/network/35002")</f>
        <v>https://cloud.oebiotech.com/#/lm/network/35002</v>
      </c>
      <c r="H2769" s="2"/>
      <c r="I2769" s="2"/>
      <c r="J2769" s="2" t="s">
        <v>18555</v>
      </c>
      <c r="K2769" s="2"/>
      <c r="L2769" s="2"/>
      <c r="M2769" s="2"/>
      <c r="N2769" s="2"/>
      <c r="O2769" s="2"/>
      <c r="P2769" s="2"/>
      <c r="Q2769" s="2"/>
      <c r="R2769" s="2"/>
      <c r="S2769" s="2" t="s">
        <v>18556</v>
      </c>
      <c r="T2769" s="2" t="s">
        <v>18557</v>
      </c>
      <c r="U2769" s="2" t="s">
        <v>266</v>
      </c>
      <c r="V2769" s="2" t="s">
        <v>1785</v>
      </c>
      <c r="W2769" s="2" t="s">
        <v>1786</v>
      </c>
      <c r="X2769" s="2" t="s">
        <v>83</v>
      </c>
      <c r="Y2769" s="2">
        <v>41.5</v>
      </c>
      <c r="Z2769" s="2">
        <v>0</v>
      </c>
      <c r="AA2769" s="2" t="s">
        <v>156</v>
      </c>
      <c r="AB2769" s="2" t="s">
        <v>3159</v>
      </c>
      <c r="AC2769" s="2">
        <v>-2.68128708631781</v>
      </c>
      <c r="AD2769" s="2"/>
      <c r="AE2769" s="2">
        <v>0.22190866218754399</v>
      </c>
      <c r="AF2769" s="2">
        <v>8653.9482374600902</v>
      </c>
      <c r="AG2769" s="2">
        <v>10488.417700476501</v>
      </c>
      <c r="AH2769" s="4">
        <v>0.82509568979760495</v>
      </c>
      <c r="AI2769" s="4">
        <v>-0.27736665044894399</v>
      </c>
      <c r="AJ2769" s="4" t="s">
        <v>62</v>
      </c>
      <c r="AK2769" s="2">
        <v>0.29663881428454503</v>
      </c>
      <c r="AL2769" s="2">
        <v>0.60792013821447899</v>
      </c>
      <c r="AM2769" s="2">
        <v>8153.6295522938099</v>
      </c>
      <c r="AN2769" s="2">
        <v>8806.5200651630203</v>
      </c>
      <c r="AO2769" s="2">
        <v>7630.3198113730596</v>
      </c>
      <c r="AP2769" s="2">
        <v>8422.7113556388595</v>
      </c>
      <c r="AQ2769" s="2">
        <v>11877.442148406401</v>
      </c>
      <c r="AR2769" s="2">
        <v>7033.0664918854</v>
      </c>
      <c r="AS2769" s="2">
        <v>14999.6461101204</v>
      </c>
      <c r="AT2769" s="2">
        <v>8578.2445662624905</v>
      </c>
      <c r="AU2769" s="2">
        <v>6588.2185952240798</v>
      </c>
      <c r="AV2769" s="2">
        <v>7242.5817185147198</v>
      </c>
      <c r="AW2769" s="2">
        <v>10663.600475879701</v>
      </c>
      <c r="AX2769" s="2">
        <v>14858.214736857801</v>
      </c>
    </row>
    <row r="2770" spans="1:50" x14ac:dyDescent="0.25">
      <c r="A2770" s="2" t="s">
        <v>18558</v>
      </c>
      <c r="B2770" s="2">
        <v>795.37665818550499</v>
      </c>
      <c r="C2770" s="2">
        <v>4.9422166666666696</v>
      </c>
      <c r="D2770" s="2" t="s">
        <v>51</v>
      </c>
      <c r="E2770" s="2" t="s">
        <v>18559</v>
      </c>
      <c r="F2770" s="2">
        <v>211244</v>
      </c>
      <c r="G2770" s="3" t="str">
        <f>HYPERLINK("https://cloud.oebiotech.com/#/lm/network/211244", "https://cloud.oebiotech.com/#/lm/network/211244")</f>
        <v>https://cloud.oebiotech.com/#/lm/network/211244</v>
      </c>
      <c r="H2770" s="2" t="s">
        <v>18560</v>
      </c>
      <c r="I2770" s="2"/>
      <c r="J2770" s="2"/>
      <c r="K2770" s="2"/>
      <c r="L2770" s="2"/>
      <c r="M2770" s="2"/>
      <c r="N2770" s="2"/>
      <c r="O2770" s="2"/>
      <c r="P2770" s="2"/>
      <c r="Q2770" s="2"/>
      <c r="R2770" s="2"/>
      <c r="S2770" s="2" t="s">
        <v>18561</v>
      </c>
      <c r="T2770" s="2" t="s">
        <v>18562</v>
      </c>
      <c r="U2770" s="2" t="s">
        <v>540</v>
      </c>
      <c r="V2770" s="2" t="s">
        <v>7590</v>
      </c>
      <c r="W2770" s="2" t="s">
        <v>11926</v>
      </c>
      <c r="X2770" s="2" t="s">
        <v>147</v>
      </c>
      <c r="Y2770" s="2">
        <v>37.200000000000003</v>
      </c>
      <c r="Z2770" s="2">
        <v>0</v>
      </c>
      <c r="AA2770" s="2" t="s">
        <v>478</v>
      </c>
      <c r="AB2770" s="2" t="s">
        <v>18563</v>
      </c>
      <c r="AC2770" s="2">
        <v>1.0082784447065101</v>
      </c>
      <c r="AD2770" s="2"/>
      <c r="AE2770" s="2">
        <v>0.22187470214426999</v>
      </c>
      <c r="AF2770" s="2">
        <v>1433.2283262953199</v>
      </c>
      <c r="AG2770" s="2">
        <v>261.077515033792</v>
      </c>
      <c r="AH2770" s="5">
        <v>5.4896658799200502</v>
      </c>
      <c r="AI2770" s="5">
        <v>2.4567183444852598</v>
      </c>
      <c r="AJ2770" s="5" t="s">
        <v>139</v>
      </c>
      <c r="AK2770" s="2">
        <v>2.1517692063147398E-2</v>
      </c>
      <c r="AL2770" s="2">
        <v>0.22861090756966099</v>
      </c>
      <c r="AM2770" s="2">
        <v>2076.1367865993502</v>
      </c>
      <c r="AN2770" s="2">
        <v>432.43593533581799</v>
      </c>
      <c r="AO2770" s="2">
        <v>3043.5155658901499</v>
      </c>
      <c r="AP2770" s="2">
        <v>1116.17528846955</v>
      </c>
      <c r="AQ2770" s="2">
        <v>1101.1643411941</v>
      </c>
      <c r="AR2770" s="2">
        <v>829.94204028295405</v>
      </c>
      <c r="AS2770" s="2">
        <v>8.559877937157E-6</v>
      </c>
      <c r="AT2770" s="2">
        <v>8.559877937157E-6</v>
      </c>
      <c r="AU2770" s="2">
        <v>495.241396166009</v>
      </c>
      <c r="AV2770" s="2">
        <v>8.559877937157E-6</v>
      </c>
      <c r="AW2770" s="2">
        <v>8.559877937157E-6</v>
      </c>
      <c r="AX2770" s="2">
        <v>1071.2236597972301</v>
      </c>
    </row>
    <row r="2771" spans="1:50" x14ac:dyDescent="0.25">
      <c r="A2771" s="2" t="s">
        <v>18564</v>
      </c>
      <c r="B2771" s="2">
        <v>393.301478748227</v>
      </c>
      <c r="C2771" s="2">
        <v>12.1338666666667</v>
      </c>
      <c r="D2771" s="2" t="s">
        <v>51</v>
      </c>
      <c r="E2771" s="2" t="s">
        <v>18565</v>
      </c>
      <c r="F2771" s="2">
        <v>255996</v>
      </c>
      <c r="G2771" s="3" t="str">
        <f>HYPERLINK("https://cloud.oebiotech.com/#/lm/network/255996", "https://cloud.oebiotech.com/#/lm/network/255996")</f>
        <v>https://cloud.oebiotech.com/#/lm/network/255996</v>
      </c>
      <c r="H2771" s="2" t="s">
        <v>18566</v>
      </c>
      <c r="I2771" s="2"/>
      <c r="J2771" s="2"/>
      <c r="K2771" s="2">
        <v>86196543</v>
      </c>
      <c r="L2771" s="2"/>
      <c r="M2771" s="2"/>
      <c r="N2771" s="2"/>
      <c r="O2771" s="2"/>
      <c r="P2771" s="2"/>
      <c r="Q2771" s="2"/>
      <c r="R2771" s="2"/>
      <c r="S2771" s="2" t="s">
        <v>18567</v>
      </c>
      <c r="T2771" s="2" t="s">
        <v>18568</v>
      </c>
      <c r="U2771" s="2" t="s">
        <v>56</v>
      </c>
      <c r="V2771" s="2" t="s">
        <v>145</v>
      </c>
      <c r="W2771" s="2" t="s">
        <v>146</v>
      </c>
      <c r="X2771" s="2" t="s">
        <v>83</v>
      </c>
      <c r="Y2771" s="2">
        <v>42.3</v>
      </c>
      <c r="Z2771" s="2">
        <v>0</v>
      </c>
      <c r="AA2771" s="2" t="s">
        <v>163</v>
      </c>
      <c r="AB2771" s="2" t="s">
        <v>18569</v>
      </c>
      <c r="AC2771" s="2">
        <v>1.12945894434426</v>
      </c>
      <c r="AD2771" s="2"/>
      <c r="AE2771" s="2">
        <v>0.22181124811769901</v>
      </c>
      <c r="AF2771" s="2">
        <v>19560.068797560001</v>
      </c>
      <c r="AG2771" s="2">
        <v>15725.203232859199</v>
      </c>
      <c r="AH2771" s="5">
        <v>1.2438674723572101</v>
      </c>
      <c r="AI2771" s="5">
        <v>0.31483278196514097</v>
      </c>
      <c r="AJ2771" s="5" t="s">
        <v>139</v>
      </c>
      <c r="AK2771" s="2">
        <v>0.27534586945078499</v>
      </c>
      <c r="AL2771" s="2">
        <v>0.59552948157716201</v>
      </c>
      <c r="AM2771" s="2">
        <v>10192.3934768936</v>
      </c>
      <c r="AN2771" s="2">
        <v>20987.154242731802</v>
      </c>
      <c r="AO2771" s="2">
        <v>21482.341545703199</v>
      </c>
      <c r="AP2771" s="2">
        <v>25317.634051585199</v>
      </c>
      <c r="AQ2771" s="2">
        <v>27429.461713206099</v>
      </c>
      <c r="AR2771" s="2">
        <v>11951.4277552402</v>
      </c>
      <c r="AS2771" s="2">
        <v>16054.906328003801</v>
      </c>
      <c r="AT2771" s="2">
        <v>20357.319996616501</v>
      </c>
      <c r="AU2771" s="2">
        <v>13322.970346591899</v>
      </c>
      <c r="AV2771" s="2">
        <v>8824.1857738204708</v>
      </c>
      <c r="AW2771" s="2">
        <v>18381.147661620002</v>
      </c>
      <c r="AX2771" s="2">
        <v>17410.689290502702</v>
      </c>
    </row>
    <row r="2772" spans="1:50" x14ac:dyDescent="0.25">
      <c r="A2772" s="2" t="s">
        <v>18570</v>
      </c>
      <c r="B2772" s="2">
        <v>518.34638730934898</v>
      </c>
      <c r="C2772" s="2">
        <v>9.0315999999999992</v>
      </c>
      <c r="D2772" s="2" t="s">
        <v>51</v>
      </c>
      <c r="E2772" s="2" t="s">
        <v>18571</v>
      </c>
      <c r="F2772" s="2">
        <v>257230</v>
      </c>
      <c r="G2772" s="3" t="str">
        <f>HYPERLINK("https://cloud.oebiotech.com/#/lm/network/257230", "https://cloud.oebiotech.com/#/lm/network/257230")</f>
        <v>https://cloud.oebiotech.com/#/lm/network/257230</v>
      </c>
      <c r="H2772" s="2" t="s">
        <v>18572</v>
      </c>
      <c r="I2772" s="2"/>
      <c r="J2772" s="2"/>
      <c r="K2772" s="2">
        <v>74427715</v>
      </c>
      <c r="L2772" s="2"/>
      <c r="M2772" s="2"/>
      <c r="N2772" s="2"/>
      <c r="O2772" s="2"/>
      <c r="P2772" s="2"/>
      <c r="Q2772" s="2"/>
      <c r="R2772" s="2"/>
      <c r="S2772" s="2" t="s">
        <v>18573</v>
      </c>
      <c r="T2772" s="2" t="s">
        <v>18574</v>
      </c>
      <c r="U2772" s="2" t="s">
        <v>56</v>
      </c>
      <c r="V2772" s="2" t="s">
        <v>177</v>
      </c>
      <c r="W2772" s="2" t="s">
        <v>3270</v>
      </c>
      <c r="X2772" s="2" t="s">
        <v>83</v>
      </c>
      <c r="Y2772" s="2">
        <v>36.5</v>
      </c>
      <c r="Z2772" s="2">
        <v>0</v>
      </c>
      <c r="AA2772" s="2" t="s">
        <v>512</v>
      </c>
      <c r="AB2772" s="2" t="s">
        <v>18575</v>
      </c>
      <c r="AC2772" s="2">
        <v>-2.4531586324907999</v>
      </c>
      <c r="AD2772" s="2"/>
      <c r="AE2772" s="2">
        <v>0.22179705616281201</v>
      </c>
      <c r="AF2772" s="2">
        <v>2422.1694397956198</v>
      </c>
      <c r="AG2772" s="2">
        <v>1158.98091353617</v>
      </c>
      <c r="AH2772" s="5">
        <v>2.08991313964381</v>
      </c>
      <c r="AI2772" s="5">
        <v>1.06344298268453</v>
      </c>
      <c r="AJ2772" s="5" t="s">
        <v>139</v>
      </c>
      <c r="AK2772" s="2">
        <v>3.0432983351917499E-2</v>
      </c>
      <c r="AL2772" s="2">
        <v>0.260087446182861</v>
      </c>
      <c r="AM2772" s="2">
        <v>2361.0692183194701</v>
      </c>
      <c r="AN2772" s="2">
        <v>2328.6029432578598</v>
      </c>
      <c r="AO2772" s="2">
        <v>2236.9382635981801</v>
      </c>
      <c r="AP2772" s="2">
        <v>765.29548300531906</v>
      </c>
      <c r="AQ2772" s="2">
        <v>2632.4298207856</v>
      </c>
      <c r="AR2772" s="2">
        <v>4208.6809098072699</v>
      </c>
      <c r="AS2772" s="2">
        <v>888.76134969900295</v>
      </c>
      <c r="AT2772" s="2">
        <v>2175.5284303141698</v>
      </c>
      <c r="AU2772" s="2">
        <v>759.43680889078303</v>
      </c>
      <c r="AV2772" s="2">
        <v>877.22832276298197</v>
      </c>
      <c r="AW2772" s="2">
        <v>1416.1756451701001</v>
      </c>
      <c r="AX2772" s="2">
        <v>836.75492437996195</v>
      </c>
    </row>
    <row r="2773" spans="1:50" x14ac:dyDescent="0.25">
      <c r="A2773" s="2" t="s">
        <v>18576</v>
      </c>
      <c r="B2773" s="2">
        <v>276.16047449933802</v>
      </c>
      <c r="C2773" s="2">
        <v>11.4020666666667</v>
      </c>
      <c r="D2773" s="2" t="s">
        <v>51</v>
      </c>
      <c r="E2773" s="2" t="s">
        <v>18577</v>
      </c>
      <c r="F2773" s="2">
        <v>206451</v>
      </c>
      <c r="G2773" s="3" t="str">
        <f>HYPERLINK("https://cloud.oebiotech.com/#/lm/network/206451", "https://cloud.oebiotech.com/#/lm/network/206451")</f>
        <v>https://cloud.oebiotech.com/#/lm/network/206451</v>
      </c>
      <c r="H2773" s="2" t="s">
        <v>18578</v>
      </c>
      <c r="I2773" s="2"/>
      <c r="J2773" s="2"/>
      <c r="K2773" s="2">
        <v>3246</v>
      </c>
      <c r="L2773" s="2"/>
      <c r="M2773" s="2"/>
      <c r="N2773" s="2"/>
      <c r="O2773" s="2"/>
      <c r="P2773" s="2"/>
      <c r="Q2773" s="2"/>
      <c r="R2773" s="2"/>
      <c r="S2773" s="2" t="s">
        <v>18579</v>
      </c>
      <c r="T2773" s="2" t="s">
        <v>18580</v>
      </c>
      <c r="U2773" s="2" t="s">
        <v>610</v>
      </c>
      <c r="V2773" s="2" t="s">
        <v>9501</v>
      </c>
      <c r="W2773" s="2" t="s">
        <v>240</v>
      </c>
      <c r="X2773" s="2" t="s">
        <v>147</v>
      </c>
      <c r="Y2773" s="2">
        <v>39</v>
      </c>
      <c r="Z2773" s="2">
        <v>0.86599999999999999</v>
      </c>
      <c r="AA2773" s="2" t="s">
        <v>218</v>
      </c>
      <c r="AB2773" s="2" t="s">
        <v>18581</v>
      </c>
      <c r="AC2773" s="2">
        <v>-0.184582387557404</v>
      </c>
      <c r="AD2773" s="2"/>
      <c r="AE2773" s="2">
        <v>0.22178072241529101</v>
      </c>
      <c r="AF2773" s="2">
        <v>1725.14778838749</v>
      </c>
      <c r="AG2773" s="2">
        <v>2695.1073962523501</v>
      </c>
      <c r="AH2773" s="4">
        <v>0.64010354124899504</v>
      </c>
      <c r="AI2773" s="4">
        <v>-0.64362280483051504</v>
      </c>
      <c r="AJ2773" s="4" t="s">
        <v>62</v>
      </c>
      <c r="AK2773" s="2">
        <v>3.8719318867954999E-4</v>
      </c>
      <c r="AL2773" s="2">
        <v>5.60674624680607E-2</v>
      </c>
      <c r="AM2773" s="2">
        <v>1349.1468224510099</v>
      </c>
      <c r="AN2773" s="2">
        <v>1483.5212777331601</v>
      </c>
      <c r="AO2773" s="2">
        <v>1637.69187475543</v>
      </c>
      <c r="AP2773" s="2">
        <v>1709.39293117478</v>
      </c>
      <c r="AQ2773" s="2">
        <v>1956.3982754584499</v>
      </c>
      <c r="AR2773" s="2">
        <v>2214.7355487520899</v>
      </c>
      <c r="AS2773" s="2">
        <v>3192.9546632750598</v>
      </c>
      <c r="AT2773" s="2">
        <v>2952.9574959093902</v>
      </c>
      <c r="AU2773" s="2">
        <v>2736.7270881518998</v>
      </c>
      <c r="AV2773" s="2">
        <v>2419.5739172588401</v>
      </c>
      <c r="AW2773" s="2">
        <v>2384.3007000047601</v>
      </c>
      <c r="AX2773" s="2">
        <v>2484.1305129141401</v>
      </c>
    </row>
    <row r="2774" spans="1:50" x14ac:dyDescent="0.25">
      <c r="A2774" s="2" t="s">
        <v>18582</v>
      </c>
      <c r="B2774" s="2">
        <v>205.118822915279</v>
      </c>
      <c r="C2774" s="2">
        <v>0.75593333333333301</v>
      </c>
      <c r="D2774" s="2" t="s">
        <v>51</v>
      </c>
      <c r="E2774" s="2" t="s">
        <v>18583</v>
      </c>
      <c r="F2774" s="2">
        <v>8764</v>
      </c>
      <c r="G2774" s="3" t="str">
        <f>HYPERLINK("https://cloud.oebiotech.com/#/lm/network/8764", "https://cloud.oebiotech.com/#/lm/network/8764")</f>
        <v>https://cloud.oebiotech.com/#/lm/network/8764</v>
      </c>
      <c r="H2774" s="2"/>
      <c r="I2774" s="2"/>
      <c r="J2774" s="2" t="s">
        <v>18584</v>
      </c>
      <c r="K2774" s="2">
        <v>16654923</v>
      </c>
      <c r="L2774" s="2"/>
      <c r="M2774" s="2"/>
      <c r="N2774" s="2"/>
      <c r="O2774" s="2">
        <v>50430</v>
      </c>
      <c r="P2774" s="2"/>
      <c r="Q2774" s="2"/>
      <c r="R2774" s="2"/>
      <c r="S2774" s="2" t="s">
        <v>18585</v>
      </c>
      <c r="T2774" s="2" t="s">
        <v>18586</v>
      </c>
      <c r="U2774" s="2" t="s">
        <v>56</v>
      </c>
      <c r="V2774" s="2" t="s">
        <v>145</v>
      </c>
      <c r="W2774" s="2" t="s">
        <v>231</v>
      </c>
      <c r="X2774" s="2" t="s">
        <v>83</v>
      </c>
      <c r="Y2774" s="2">
        <v>40.1</v>
      </c>
      <c r="Z2774" s="2">
        <v>0</v>
      </c>
      <c r="AA2774" s="2" t="s">
        <v>259</v>
      </c>
      <c r="AB2774" s="2" t="s">
        <v>18431</v>
      </c>
      <c r="AC2774" s="2">
        <v>2.6430829315367301</v>
      </c>
      <c r="AD2774" s="2"/>
      <c r="AE2774" s="2">
        <v>0.22165112681410701</v>
      </c>
      <c r="AF2774" s="2">
        <v>3296.3312757133299</v>
      </c>
      <c r="AG2774" s="2">
        <v>1713.51448309139</v>
      </c>
      <c r="AH2774" s="5">
        <v>1.92372536575608</v>
      </c>
      <c r="AI2774" s="5">
        <v>0.94390285225636505</v>
      </c>
      <c r="AJ2774" s="5" t="s">
        <v>139</v>
      </c>
      <c r="AK2774" s="2">
        <v>0.50026332951217201</v>
      </c>
      <c r="AL2774" s="2">
        <v>0.73772066252204804</v>
      </c>
      <c r="AM2774" s="2">
        <v>10968.6640748193</v>
      </c>
      <c r="AN2774" s="2">
        <v>325.96141750557302</v>
      </c>
      <c r="AO2774" s="2">
        <v>783.50727408909199</v>
      </c>
      <c r="AP2774" s="2">
        <v>402.63661718940801</v>
      </c>
      <c r="AQ2774" s="2">
        <v>5155.2614191512703</v>
      </c>
      <c r="AR2774" s="2">
        <v>2141.95685152532</v>
      </c>
      <c r="AS2774" s="2">
        <v>8.559877937157E-6</v>
      </c>
      <c r="AT2774" s="2">
        <v>329.21088742886201</v>
      </c>
      <c r="AU2774" s="2">
        <v>9145.3335229160093</v>
      </c>
      <c r="AV2774" s="2">
        <v>551.85205800726101</v>
      </c>
      <c r="AW2774" s="2">
        <v>8.559877937157E-6</v>
      </c>
      <c r="AX2774" s="2">
        <v>254.69041307644099</v>
      </c>
    </row>
    <row r="2775" spans="1:50" x14ac:dyDescent="0.25">
      <c r="A2775" s="2" t="s">
        <v>18587</v>
      </c>
      <c r="B2775" s="2">
        <v>452.37476267269898</v>
      </c>
      <c r="C2775" s="2">
        <v>10.331950000000001</v>
      </c>
      <c r="D2775" s="2" t="s">
        <v>51</v>
      </c>
      <c r="E2775" s="2" t="s">
        <v>18588</v>
      </c>
      <c r="F2775" s="2">
        <v>46547</v>
      </c>
      <c r="G2775" s="3" t="str">
        <f>HYPERLINK("https://cloud.oebiotech.com/#/lm/network/46547", "https://cloud.oebiotech.com/#/lm/network/46547")</f>
        <v>https://cloud.oebiotech.com/#/lm/network/46547</v>
      </c>
      <c r="H2775" s="2"/>
      <c r="I2775" s="2"/>
      <c r="J2775" s="2" t="s">
        <v>18589</v>
      </c>
      <c r="K2775" s="2">
        <v>21126457</v>
      </c>
      <c r="L2775" s="2"/>
      <c r="M2775" s="2"/>
      <c r="N2775" s="2"/>
      <c r="O2775" s="2"/>
      <c r="P2775" s="2"/>
      <c r="Q2775" s="2"/>
      <c r="R2775" s="2"/>
      <c r="S2775" s="2" t="s">
        <v>18590</v>
      </c>
      <c r="T2775" s="2" t="s">
        <v>18591</v>
      </c>
      <c r="U2775" s="2" t="s">
        <v>56</v>
      </c>
      <c r="V2775" s="2" t="s">
        <v>283</v>
      </c>
      <c r="W2775" s="2" t="s">
        <v>2042</v>
      </c>
      <c r="X2775" s="2" t="s">
        <v>83</v>
      </c>
      <c r="Y2775" s="2">
        <v>44</v>
      </c>
      <c r="Z2775" s="2">
        <v>0.12</v>
      </c>
      <c r="AA2775" s="2" t="s">
        <v>512</v>
      </c>
      <c r="AB2775" s="2" t="s">
        <v>16486</v>
      </c>
      <c r="AC2775" s="2">
        <v>3.05564864157025</v>
      </c>
      <c r="AD2775" s="2"/>
      <c r="AE2775" s="2">
        <v>0.22159249535434999</v>
      </c>
      <c r="AF2775" s="2">
        <v>32759.366473142702</v>
      </c>
      <c r="AG2775" s="2">
        <v>29813.486877004001</v>
      </c>
      <c r="AH2775" s="5">
        <v>1.09881030046207</v>
      </c>
      <c r="AI2775" s="5">
        <v>0.13594233969449099</v>
      </c>
      <c r="AJ2775" s="5" t="s">
        <v>139</v>
      </c>
      <c r="AK2775" s="2">
        <v>0.76696077202544</v>
      </c>
      <c r="AL2775" s="2">
        <v>0.89441094156649703</v>
      </c>
      <c r="AM2775" s="2">
        <v>53371.012615561398</v>
      </c>
      <c r="AN2775" s="2">
        <v>20413.273456911302</v>
      </c>
      <c r="AO2775" s="2">
        <v>49440.803354867501</v>
      </c>
      <c r="AP2775" s="2">
        <v>39151.657890228103</v>
      </c>
      <c r="AQ2775" s="2">
        <v>18801.875664611001</v>
      </c>
      <c r="AR2775" s="2">
        <v>15377.575856677</v>
      </c>
      <c r="AS2775" s="2">
        <v>14460.3360636247</v>
      </c>
      <c r="AT2775" s="2">
        <v>15638.8087694198</v>
      </c>
      <c r="AU2775" s="2">
        <v>54525.490890724701</v>
      </c>
      <c r="AV2775" s="2">
        <v>29553.547043690902</v>
      </c>
      <c r="AW2775" s="2">
        <v>45646.912396900698</v>
      </c>
      <c r="AX2775" s="2">
        <v>19055.826097663499</v>
      </c>
    </row>
    <row r="2776" spans="1:50" x14ac:dyDescent="0.25">
      <c r="A2776" s="2" t="s">
        <v>18592</v>
      </c>
      <c r="B2776" s="2">
        <v>526.293883162763</v>
      </c>
      <c r="C2776" s="2">
        <v>10.644133333333301</v>
      </c>
      <c r="D2776" s="2" t="s">
        <v>51</v>
      </c>
      <c r="E2776" s="2" t="s">
        <v>18593</v>
      </c>
      <c r="F2776" s="2">
        <v>21230</v>
      </c>
      <c r="G2776" s="3" t="str">
        <f>HYPERLINK("https://cloud.oebiotech.com/#/lm/network/21230", "https://cloud.oebiotech.com/#/lm/network/21230")</f>
        <v>https://cloud.oebiotech.com/#/lm/network/21230</v>
      </c>
      <c r="H2776" s="2" t="s">
        <v>18594</v>
      </c>
      <c r="I2776" s="2">
        <v>62308</v>
      </c>
      <c r="J2776" s="2" t="s">
        <v>18595</v>
      </c>
      <c r="K2776" s="2">
        <v>53480954</v>
      </c>
      <c r="L2776" s="2"/>
      <c r="M2776" s="2"/>
      <c r="N2776" s="2"/>
      <c r="O2776" s="2"/>
      <c r="P2776" s="2"/>
      <c r="Q2776" s="2"/>
      <c r="R2776" s="2"/>
      <c r="S2776" s="2" t="s">
        <v>18596</v>
      </c>
      <c r="T2776" s="2" t="s">
        <v>18597</v>
      </c>
      <c r="U2776" s="2" t="s">
        <v>56</v>
      </c>
      <c r="V2776" s="2" t="s">
        <v>57</v>
      </c>
      <c r="W2776" s="2" t="s">
        <v>155</v>
      </c>
      <c r="X2776" s="2" t="s">
        <v>69</v>
      </c>
      <c r="Y2776" s="2">
        <v>57.1</v>
      </c>
      <c r="Z2776" s="2">
        <v>70.099999999999994</v>
      </c>
      <c r="AA2776" s="2" t="s">
        <v>163</v>
      </c>
      <c r="AB2776" s="2" t="s">
        <v>6987</v>
      </c>
      <c r="AC2776" s="2">
        <v>-5.6613141607963498E-2</v>
      </c>
      <c r="AD2776" s="2"/>
      <c r="AE2776" s="2">
        <v>0.22156341227531501</v>
      </c>
      <c r="AF2776" s="2">
        <v>38013.556472730503</v>
      </c>
      <c r="AG2776" s="2">
        <v>40917.981798501598</v>
      </c>
      <c r="AH2776" s="4">
        <v>0.92901836312275099</v>
      </c>
      <c r="AI2776" s="4">
        <v>-0.106220981461027</v>
      </c>
      <c r="AJ2776" s="4" t="s">
        <v>62</v>
      </c>
      <c r="AK2776" s="2">
        <v>0.86314748746679604</v>
      </c>
      <c r="AL2776" s="2">
        <v>0.94079431486880305</v>
      </c>
      <c r="AM2776" s="2">
        <v>30306.286659409699</v>
      </c>
      <c r="AN2776" s="2">
        <v>20145.4294304018</v>
      </c>
      <c r="AO2776" s="2">
        <v>17504.634039968401</v>
      </c>
      <c r="AP2776" s="2">
        <v>25408.384473075701</v>
      </c>
      <c r="AQ2776" s="2">
        <v>46493.749734149402</v>
      </c>
      <c r="AR2776" s="2">
        <v>88222.854499377994</v>
      </c>
      <c r="AS2776" s="2">
        <v>12933.049896896</v>
      </c>
      <c r="AT2776" s="2">
        <v>9565.1975435803306</v>
      </c>
      <c r="AU2776" s="2">
        <v>52412.290696460703</v>
      </c>
      <c r="AV2776" s="2">
        <v>91774.283560699507</v>
      </c>
      <c r="AW2776" s="2">
        <v>44421.612010080898</v>
      </c>
      <c r="AX2776" s="2">
        <v>34401.457083292298</v>
      </c>
    </row>
    <row r="2777" spans="1:50" x14ac:dyDescent="0.25">
      <c r="A2777" s="2" t="s">
        <v>18598</v>
      </c>
      <c r="B2777" s="2">
        <v>433.19989033044101</v>
      </c>
      <c r="C2777" s="2">
        <v>10.906883333333299</v>
      </c>
      <c r="D2777" s="2" t="s">
        <v>51</v>
      </c>
      <c r="E2777" s="2" t="s">
        <v>18599</v>
      </c>
      <c r="F2777" s="2">
        <v>63718</v>
      </c>
      <c r="G2777" s="3" t="str">
        <f>HYPERLINK("https://cloud.oebiotech.com/#/lm/network/63718", "https://cloud.oebiotech.com/#/lm/network/63718")</f>
        <v>https://cloud.oebiotech.com/#/lm/network/63718</v>
      </c>
      <c r="H2777" s="2" t="s">
        <v>18600</v>
      </c>
      <c r="I2777" s="2">
        <v>95054</v>
      </c>
      <c r="J2777" s="2"/>
      <c r="K2777" s="2">
        <v>5319662</v>
      </c>
      <c r="L2777" s="2"/>
      <c r="M2777" s="2"/>
      <c r="N2777" s="2"/>
      <c r="O2777" s="2">
        <v>175968</v>
      </c>
      <c r="P2777" s="2"/>
      <c r="Q2777" s="2"/>
      <c r="R2777" s="2" t="s">
        <v>18601</v>
      </c>
      <c r="S2777" s="2" t="s">
        <v>18602</v>
      </c>
      <c r="T2777" s="2" t="s">
        <v>18603</v>
      </c>
      <c r="U2777" s="2" t="s">
        <v>56</v>
      </c>
      <c r="V2777" s="2" t="s">
        <v>145</v>
      </c>
      <c r="W2777" s="2" t="s">
        <v>17251</v>
      </c>
      <c r="X2777" s="2" t="s">
        <v>147</v>
      </c>
      <c r="Y2777" s="2">
        <v>37.799999999999997</v>
      </c>
      <c r="Z2777" s="2">
        <v>0</v>
      </c>
      <c r="AA2777" s="2" t="s">
        <v>395</v>
      </c>
      <c r="AB2777" s="2" t="s">
        <v>414</v>
      </c>
      <c r="AC2777" s="2">
        <v>3.0272326646368</v>
      </c>
      <c r="AD2777" s="2"/>
      <c r="AE2777" s="2">
        <v>0.22154906084977</v>
      </c>
      <c r="AF2777" s="2">
        <v>4060.6851294360999</v>
      </c>
      <c r="AG2777" s="2">
        <v>2341.7104917658999</v>
      </c>
      <c r="AH2777" s="5">
        <v>1.73406795746724</v>
      </c>
      <c r="AI2777" s="5">
        <v>0.79416043834051198</v>
      </c>
      <c r="AJ2777" s="5" t="s">
        <v>139</v>
      </c>
      <c r="AK2777" s="2">
        <v>6.5559783416965195E-2</v>
      </c>
      <c r="AL2777" s="2">
        <v>0.34192828169447498</v>
      </c>
      <c r="AM2777" s="2">
        <v>2681.8788268527001</v>
      </c>
      <c r="AN2777" s="2">
        <v>6718.8097001491496</v>
      </c>
      <c r="AO2777" s="2">
        <v>3871.0560654132901</v>
      </c>
      <c r="AP2777" s="2">
        <v>2363.2510548319301</v>
      </c>
      <c r="AQ2777" s="2">
        <v>3859.03352439216</v>
      </c>
      <c r="AR2777" s="2">
        <v>4870.0816049773803</v>
      </c>
      <c r="AS2777" s="2">
        <v>4497.8381235832003</v>
      </c>
      <c r="AT2777" s="2">
        <v>1936.36498340859</v>
      </c>
      <c r="AU2777" s="2">
        <v>1322.7741675213999</v>
      </c>
      <c r="AV2777" s="2">
        <v>2388.0760159270699</v>
      </c>
      <c r="AW2777" s="2">
        <v>952.03032092960996</v>
      </c>
      <c r="AX2777" s="2">
        <v>2953.1793392255099</v>
      </c>
    </row>
    <row r="2778" spans="1:50" x14ac:dyDescent="0.25">
      <c r="A2778" s="2" t="s">
        <v>18604</v>
      </c>
      <c r="B2778" s="2">
        <v>491.19391876919502</v>
      </c>
      <c r="C2778" s="2">
        <v>1.3012999999999999</v>
      </c>
      <c r="D2778" s="2" t="s">
        <v>51</v>
      </c>
      <c r="E2778" s="2" t="s">
        <v>18605</v>
      </c>
      <c r="F2778" s="2">
        <v>46630</v>
      </c>
      <c r="G2778" s="3" t="str">
        <f>HYPERLINK("https://cloud.oebiotech.com/#/lm/network/46630", "https://cloud.oebiotech.com/#/lm/network/46630")</f>
        <v>https://cloud.oebiotech.com/#/lm/network/46630</v>
      </c>
      <c r="H2778" s="2" t="s">
        <v>18606</v>
      </c>
      <c r="I2778" s="2">
        <v>7063</v>
      </c>
      <c r="J2778" s="2" t="s">
        <v>18607</v>
      </c>
      <c r="K2778" s="2">
        <v>115255</v>
      </c>
      <c r="L2778" s="2" t="s">
        <v>18608</v>
      </c>
      <c r="M2778" s="2" t="s">
        <v>2681</v>
      </c>
      <c r="N2778" s="2" t="s">
        <v>2682</v>
      </c>
      <c r="O2778" s="2">
        <v>28919</v>
      </c>
      <c r="P2778" s="2"/>
      <c r="Q2778" s="2"/>
      <c r="R2778" s="2" t="s">
        <v>18609</v>
      </c>
      <c r="S2778" s="2" t="s">
        <v>18610</v>
      </c>
      <c r="T2778" s="2" t="s">
        <v>18611</v>
      </c>
      <c r="U2778" s="2" t="s">
        <v>56</v>
      </c>
      <c r="V2778" s="2" t="s">
        <v>283</v>
      </c>
      <c r="W2778" s="2" t="s">
        <v>3462</v>
      </c>
      <c r="X2778" s="2" t="s">
        <v>147</v>
      </c>
      <c r="Y2778" s="2">
        <v>42.1</v>
      </c>
      <c r="Z2778" s="2">
        <v>24.5</v>
      </c>
      <c r="AA2778" s="2" t="s">
        <v>241</v>
      </c>
      <c r="AB2778" s="2" t="s">
        <v>18612</v>
      </c>
      <c r="AC2778" s="2">
        <v>3.6934166844696201</v>
      </c>
      <c r="AD2778" s="2"/>
      <c r="AE2778" s="2">
        <v>0.22145231990738801</v>
      </c>
      <c r="AF2778" s="2">
        <v>11040.918331229601</v>
      </c>
      <c r="AG2778" s="2">
        <v>13870.636457783699</v>
      </c>
      <c r="AH2778" s="4">
        <v>0.79599219292016099</v>
      </c>
      <c r="AI2778" s="4">
        <v>-0.32917381398100398</v>
      </c>
      <c r="AJ2778" s="4" t="s">
        <v>62</v>
      </c>
      <c r="AK2778" s="2">
        <v>0.43623695586504302</v>
      </c>
      <c r="AL2778" s="2">
        <v>0.69360975012607495</v>
      </c>
      <c r="AM2778" s="2">
        <v>10362.5900156222</v>
      </c>
      <c r="AN2778" s="2">
        <v>10767.8345397057</v>
      </c>
      <c r="AO2778" s="2">
        <v>9361.9480147231297</v>
      </c>
      <c r="AP2778" s="2">
        <v>12441.3164864011</v>
      </c>
      <c r="AQ2778" s="2">
        <v>13715.8833804204</v>
      </c>
      <c r="AR2778" s="2">
        <v>9595.9375505051903</v>
      </c>
      <c r="AS2778" s="2">
        <v>5217.9704288636103</v>
      </c>
      <c r="AT2778" s="2">
        <v>2889.9530807443798</v>
      </c>
      <c r="AU2778" s="2">
        <v>22628.5917823489</v>
      </c>
      <c r="AV2778" s="2">
        <v>16846.107222594401</v>
      </c>
      <c r="AW2778" s="2">
        <v>13435.462392629701</v>
      </c>
      <c r="AX2778" s="2">
        <v>22205.733839521501</v>
      </c>
    </row>
    <row r="2779" spans="1:50" x14ac:dyDescent="0.25">
      <c r="A2779" s="2" t="s">
        <v>18613</v>
      </c>
      <c r="B2779" s="2">
        <v>179.07051172611801</v>
      </c>
      <c r="C2779" s="2">
        <v>7.1858500000000003</v>
      </c>
      <c r="D2779" s="2" t="s">
        <v>51</v>
      </c>
      <c r="E2779" s="2" t="s">
        <v>18614</v>
      </c>
      <c r="F2779" s="2">
        <v>55679</v>
      </c>
      <c r="G2779" s="3" t="str">
        <f>HYPERLINK("https://cloud.oebiotech.com/#/lm/network/55679", "https://cloud.oebiotech.com/#/lm/network/55679")</f>
        <v>https://cloud.oebiotech.com/#/lm/network/55679</v>
      </c>
      <c r="H2779" s="2" t="s">
        <v>18615</v>
      </c>
      <c r="I2779" s="2">
        <v>87335</v>
      </c>
      <c r="J2779" s="2"/>
      <c r="K2779" s="2">
        <v>131751117</v>
      </c>
      <c r="L2779" s="2"/>
      <c r="M2779" s="2"/>
      <c r="N2779" s="2"/>
      <c r="O2779" s="2">
        <v>173994</v>
      </c>
      <c r="P2779" s="2"/>
      <c r="Q2779" s="2"/>
      <c r="R2779" s="2"/>
      <c r="S2779" s="2" t="s">
        <v>18616</v>
      </c>
      <c r="T2779" s="2" t="s">
        <v>18617</v>
      </c>
      <c r="U2779" s="2" t="s">
        <v>266</v>
      </c>
      <c r="V2779" s="2" t="s">
        <v>3994</v>
      </c>
      <c r="W2779" s="2" t="s">
        <v>3995</v>
      </c>
      <c r="X2779" s="2" t="s">
        <v>83</v>
      </c>
      <c r="Y2779" s="2">
        <v>47.7</v>
      </c>
      <c r="Z2779" s="2">
        <v>0</v>
      </c>
      <c r="AA2779" s="2" t="s">
        <v>379</v>
      </c>
      <c r="AB2779" s="2" t="s">
        <v>15887</v>
      </c>
      <c r="AC2779" s="2">
        <v>-4.321694786818</v>
      </c>
      <c r="AD2779" s="2"/>
      <c r="AE2779" s="2">
        <v>0.22141182746962901</v>
      </c>
      <c r="AF2779" s="2">
        <v>5717.6726064676704</v>
      </c>
      <c r="AG2779" s="2">
        <v>6936.5881519984996</v>
      </c>
      <c r="AH2779" s="4">
        <v>0.82427736535292995</v>
      </c>
      <c r="AI2779" s="4">
        <v>-0.27879821586873099</v>
      </c>
      <c r="AJ2779" s="4" t="s">
        <v>62</v>
      </c>
      <c r="AK2779" s="2">
        <v>6.7153171038530995E-2</v>
      </c>
      <c r="AL2779" s="2">
        <v>0.34192828169447498</v>
      </c>
      <c r="AM2779" s="2">
        <v>4554.2116572508903</v>
      </c>
      <c r="AN2779" s="2">
        <v>4971.4442412076396</v>
      </c>
      <c r="AO2779" s="2">
        <v>6668.4773287778098</v>
      </c>
      <c r="AP2779" s="2">
        <v>6020.5508416380299</v>
      </c>
      <c r="AQ2779" s="2">
        <v>7240.11974127132</v>
      </c>
      <c r="AR2779" s="2">
        <v>4851.2318286603504</v>
      </c>
      <c r="AS2779" s="2">
        <v>8416.6514589644394</v>
      </c>
      <c r="AT2779" s="2">
        <v>6870.6953779192099</v>
      </c>
      <c r="AU2779" s="2">
        <v>5786.3181187452201</v>
      </c>
      <c r="AV2779" s="2">
        <v>6932.6803180138604</v>
      </c>
      <c r="AW2779" s="2">
        <v>6083.0564834695397</v>
      </c>
      <c r="AX2779" s="2">
        <v>7530.1271548787299</v>
      </c>
    </row>
    <row r="2780" spans="1:50" x14ac:dyDescent="0.25">
      <c r="A2780" s="2" t="s">
        <v>18618</v>
      </c>
      <c r="B2780" s="2">
        <v>431.31688863653898</v>
      </c>
      <c r="C2780" s="2">
        <v>14.047549999999999</v>
      </c>
      <c r="D2780" s="2" t="s">
        <v>51</v>
      </c>
      <c r="E2780" s="2" t="s">
        <v>18619</v>
      </c>
      <c r="F2780" s="2">
        <v>1242</v>
      </c>
      <c r="G2780" s="3" t="str">
        <f>HYPERLINK("https://cloud.oebiotech.com/#/lm/network/1242", "https://cloud.oebiotech.com/#/lm/network/1242")</f>
        <v>https://cloud.oebiotech.com/#/lm/network/1242</v>
      </c>
      <c r="H2780" s="2"/>
      <c r="I2780" s="2">
        <v>74367</v>
      </c>
      <c r="J2780" s="2" t="s">
        <v>18620</v>
      </c>
      <c r="K2780" s="2">
        <v>52921807</v>
      </c>
      <c r="L2780" s="2"/>
      <c r="M2780" s="2"/>
      <c r="N2780" s="2"/>
      <c r="O2780" s="2">
        <v>77368</v>
      </c>
      <c r="P2780" s="2"/>
      <c r="Q2780" s="2"/>
      <c r="R2780" s="2"/>
      <c r="S2780" s="2" t="s">
        <v>18621</v>
      </c>
      <c r="T2780" s="2" t="s">
        <v>18622</v>
      </c>
      <c r="U2780" s="2" t="s">
        <v>56</v>
      </c>
      <c r="V2780" s="2" t="s">
        <v>145</v>
      </c>
      <c r="W2780" s="2" t="s">
        <v>231</v>
      </c>
      <c r="X2780" s="2" t="s">
        <v>83</v>
      </c>
      <c r="Y2780" s="2">
        <v>44</v>
      </c>
      <c r="Z2780" s="2">
        <v>0</v>
      </c>
      <c r="AA2780" s="2" t="s">
        <v>218</v>
      </c>
      <c r="AB2780" s="2" t="s">
        <v>18623</v>
      </c>
      <c r="AC2780" s="2">
        <v>0.53111743033955605</v>
      </c>
      <c r="AD2780" s="2"/>
      <c r="AE2780" s="2">
        <v>0.22134218068922901</v>
      </c>
      <c r="AF2780" s="2">
        <v>2733.1693241421699</v>
      </c>
      <c r="AG2780" s="2">
        <v>982.89455707157697</v>
      </c>
      <c r="AH2780" s="5">
        <v>2.7807350284707399</v>
      </c>
      <c r="AI2780" s="5">
        <v>1.4754662792679401</v>
      </c>
      <c r="AJ2780" s="5" t="s">
        <v>139</v>
      </c>
      <c r="AK2780" s="2">
        <v>0.100402438978808</v>
      </c>
      <c r="AL2780" s="2">
        <v>0.40292733648068202</v>
      </c>
      <c r="AM2780" s="2">
        <v>2356.8711788987798</v>
      </c>
      <c r="AN2780" s="2">
        <v>6052.2048419381199</v>
      </c>
      <c r="AO2780" s="2">
        <v>1474.7298600496399</v>
      </c>
      <c r="AP2780" s="2">
        <v>1176.02403932641</v>
      </c>
      <c r="AQ2780" s="2">
        <v>1003.6665590705099</v>
      </c>
      <c r="AR2780" s="2">
        <v>4335.5194655695504</v>
      </c>
      <c r="AS2780" s="2">
        <v>2542.2775679858801</v>
      </c>
      <c r="AT2780" s="2">
        <v>217.131745025481</v>
      </c>
      <c r="AU2780" s="2">
        <v>8.559877937157E-6</v>
      </c>
      <c r="AV2780" s="2">
        <v>8.559877937157E-6</v>
      </c>
      <c r="AW2780" s="2">
        <v>649.48064301912495</v>
      </c>
      <c r="AX2780" s="2">
        <v>2488.4773692792201</v>
      </c>
    </row>
    <row r="2781" spans="1:50" x14ac:dyDescent="0.25">
      <c r="A2781" s="2" t="s">
        <v>18624</v>
      </c>
      <c r="B2781" s="2">
        <v>333.09915140730402</v>
      </c>
      <c r="C2781" s="2">
        <v>4.8526333333333298</v>
      </c>
      <c r="D2781" s="2" t="s">
        <v>51</v>
      </c>
      <c r="E2781" s="2" t="s">
        <v>18625</v>
      </c>
      <c r="F2781" s="2">
        <v>206903</v>
      </c>
      <c r="G2781" s="3" t="str">
        <f>HYPERLINK("https://cloud.oebiotech.com/#/lm/network/206903", "https://cloud.oebiotech.com/#/lm/network/206903")</f>
        <v>https://cloud.oebiotech.com/#/lm/network/206903</v>
      </c>
      <c r="H2781" s="2" t="s">
        <v>18626</v>
      </c>
      <c r="I2781" s="2">
        <v>331456</v>
      </c>
      <c r="J2781" s="2"/>
      <c r="K2781" s="2">
        <v>91755</v>
      </c>
      <c r="L2781" s="2"/>
      <c r="M2781" s="2"/>
      <c r="N2781" s="2"/>
      <c r="O2781" s="2">
        <v>138738</v>
      </c>
      <c r="P2781" s="2"/>
      <c r="Q2781" s="2"/>
      <c r="R2781" s="2"/>
      <c r="S2781" s="2" t="s">
        <v>18627</v>
      </c>
      <c r="T2781" s="2" t="s">
        <v>18628</v>
      </c>
      <c r="U2781" s="2" t="s">
        <v>610</v>
      </c>
      <c r="V2781" s="2" t="s">
        <v>611</v>
      </c>
      <c r="W2781" s="2" t="s">
        <v>3746</v>
      </c>
      <c r="X2781" s="2" t="s">
        <v>147</v>
      </c>
      <c r="Y2781" s="2">
        <v>38.799999999999997</v>
      </c>
      <c r="Z2781" s="2">
        <v>9.6300000000000008</v>
      </c>
      <c r="AA2781" s="2" t="s">
        <v>5030</v>
      </c>
      <c r="AB2781" s="2" t="s">
        <v>18629</v>
      </c>
      <c r="AC2781" s="2">
        <v>4.4670214400927302</v>
      </c>
      <c r="AD2781" s="2"/>
      <c r="AE2781" s="2">
        <v>0.221321218059779</v>
      </c>
      <c r="AF2781" s="2">
        <v>4265.6840660261596</v>
      </c>
      <c r="AG2781" s="2">
        <v>1219.5270698695199</v>
      </c>
      <c r="AH2781" s="5">
        <v>3.4978182702271101</v>
      </c>
      <c r="AI2781" s="5">
        <v>1.8064553357281701</v>
      </c>
      <c r="AJ2781" s="5" t="s">
        <v>139</v>
      </c>
      <c r="AK2781" s="2">
        <v>0.46525362423800198</v>
      </c>
      <c r="AL2781" s="2">
        <v>0.71329029553543499</v>
      </c>
      <c r="AM2781" s="2">
        <v>5.3606437126091802</v>
      </c>
      <c r="AN2781" s="2">
        <v>23569.643084393301</v>
      </c>
      <c r="AO2781" s="2">
        <v>143.12875367264101</v>
      </c>
      <c r="AP2781" s="2">
        <v>8.559877937157E-6</v>
      </c>
      <c r="AQ2781" s="2">
        <v>1026.93378367897</v>
      </c>
      <c r="AR2781" s="2">
        <v>849.03812213953995</v>
      </c>
      <c r="AS2781" s="2">
        <v>8.559877937157E-6</v>
      </c>
      <c r="AT2781" s="2">
        <v>0.97639279495818998</v>
      </c>
      <c r="AU2781" s="2">
        <v>185.408045054404</v>
      </c>
      <c r="AV2781" s="2">
        <v>541.91355808445201</v>
      </c>
      <c r="AW2781" s="2">
        <v>6588.8644061635796</v>
      </c>
      <c r="AX2781" s="2">
        <v>8.559877937157E-6</v>
      </c>
    </row>
    <row r="2782" spans="1:50" x14ac:dyDescent="0.25">
      <c r="A2782" s="2" t="s">
        <v>18630</v>
      </c>
      <c r="B2782" s="2">
        <v>646.37262401692703</v>
      </c>
      <c r="C2782" s="2">
        <v>11.297000000000001</v>
      </c>
      <c r="D2782" s="2" t="s">
        <v>51</v>
      </c>
      <c r="E2782" s="2" t="s">
        <v>18631</v>
      </c>
      <c r="F2782" s="2">
        <v>27834</v>
      </c>
      <c r="G2782" s="3" t="str">
        <f>HYPERLINK("https://cloud.oebiotech.com/#/lm/network/27834", "https://cloud.oebiotech.com/#/lm/network/27834")</f>
        <v>https://cloud.oebiotech.com/#/lm/network/27834</v>
      </c>
      <c r="H2782" s="2"/>
      <c r="I2782" s="2"/>
      <c r="J2782" s="2" t="s">
        <v>18632</v>
      </c>
      <c r="K2782" s="2">
        <v>134812288</v>
      </c>
      <c r="L2782" s="2"/>
      <c r="M2782" s="2"/>
      <c r="N2782" s="2"/>
      <c r="O2782" s="2"/>
      <c r="P2782" s="2"/>
      <c r="Q2782" s="2"/>
      <c r="R2782" s="2"/>
      <c r="S2782" s="2" t="s">
        <v>18633</v>
      </c>
      <c r="T2782" s="2" t="s">
        <v>18634</v>
      </c>
      <c r="U2782" s="2" t="s">
        <v>56</v>
      </c>
      <c r="V2782" s="2" t="s">
        <v>57</v>
      </c>
      <c r="W2782" s="2" t="s">
        <v>58</v>
      </c>
      <c r="X2782" s="2" t="s">
        <v>83</v>
      </c>
      <c r="Y2782" s="2">
        <v>43.8</v>
      </c>
      <c r="Z2782" s="2">
        <v>0</v>
      </c>
      <c r="AA2782" s="2" t="s">
        <v>163</v>
      </c>
      <c r="AB2782" s="2" t="s">
        <v>18635</v>
      </c>
      <c r="AC2782" s="2">
        <v>0.10312101712211701</v>
      </c>
      <c r="AD2782" s="2"/>
      <c r="AE2782" s="2">
        <v>0.220834694908495</v>
      </c>
      <c r="AF2782" s="2">
        <v>1354.7786383534001</v>
      </c>
      <c r="AG2782" s="2">
        <v>170.33723440701999</v>
      </c>
      <c r="AH2782" s="5">
        <v>7.9535084802196998</v>
      </c>
      <c r="AI2782" s="5">
        <v>2.9915914076220802</v>
      </c>
      <c r="AJ2782" s="5" t="s">
        <v>139</v>
      </c>
      <c r="AK2782" s="2">
        <v>1.8258944940558599E-2</v>
      </c>
      <c r="AL2782" s="2">
        <v>0.212973194719246</v>
      </c>
      <c r="AM2782" s="2">
        <v>1917.3982575438699</v>
      </c>
      <c r="AN2782" s="2">
        <v>2015.2250506297401</v>
      </c>
      <c r="AO2782" s="2">
        <v>304.21325530822298</v>
      </c>
      <c r="AP2782" s="2">
        <v>2092.5787622640901</v>
      </c>
      <c r="AQ2782" s="2">
        <v>8.559877937157E-6</v>
      </c>
      <c r="AR2782" s="2">
        <v>1799.2564958146199</v>
      </c>
      <c r="AS2782" s="2">
        <v>8.559877937157E-6</v>
      </c>
      <c r="AT2782" s="2">
        <v>1022.02336364273</v>
      </c>
      <c r="AU2782" s="2">
        <v>8.559877937157E-6</v>
      </c>
      <c r="AV2782" s="2">
        <v>8.559877937157E-6</v>
      </c>
      <c r="AW2782" s="2">
        <v>8.559877937157E-6</v>
      </c>
      <c r="AX2782" s="2">
        <v>8.559877937157E-6</v>
      </c>
    </row>
    <row r="2783" spans="1:50" x14ac:dyDescent="0.25">
      <c r="A2783" s="2" t="s">
        <v>18636</v>
      </c>
      <c r="B2783" s="2">
        <v>243.12374472759299</v>
      </c>
      <c r="C2783" s="2">
        <v>5.5419</v>
      </c>
      <c r="D2783" s="2" t="s">
        <v>51</v>
      </c>
      <c r="E2783" s="2" t="s">
        <v>18637</v>
      </c>
      <c r="F2783" s="2">
        <v>56805</v>
      </c>
      <c r="G2783" s="3" t="str">
        <f>HYPERLINK("https://cloud.oebiotech.com/#/lm/network/56805", "https://cloud.oebiotech.com/#/lm/network/56805")</f>
        <v>https://cloud.oebiotech.com/#/lm/network/56805</v>
      </c>
      <c r="H2783" s="2" t="s">
        <v>18638</v>
      </c>
      <c r="I2783" s="2">
        <v>88485</v>
      </c>
      <c r="J2783" s="2"/>
      <c r="K2783" s="2">
        <v>24847855</v>
      </c>
      <c r="L2783" s="2"/>
      <c r="M2783" s="2"/>
      <c r="N2783" s="2"/>
      <c r="O2783" s="2">
        <v>168411</v>
      </c>
      <c r="P2783" s="2"/>
      <c r="Q2783" s="2"/>
      <c r="R2783" s="2" t="s">
        <v>18639</v>
      </c>
      <c r="S2783" s="2" t="s">
        <v>18640</v>
      </c>
      <c r="T2783" s="2" t="s">
        <v>18641</v>
      </c>
      <c r="U2783" s="2" t="s">
        <v>103</v>
      </c>
      <c r="V2783" s="2" t="s">
        <v>2602</v>
      </c>
      <c r="W2783" s="2" t="s">
        <v>2603</v>
      </c>
      <c r="X2783" s="2" t="s">
        <v>83</v>
      </c>
      <c r="Y2783" s="2">
        <v>39.9</v>
      </c>
      <c r="Z2783" s="2">
        <v>0</v>
      </c>
      <c r="AA2783" s="2" t="s">
        <v>163</v>
      </c>
      <c r="AB2783" s="2" t="s">
        <v>6973</v>
      </c>
      <c r="AC2783" s="2">
        <v>-0.21537449696347</v>
      </c>
      <c r="AD2783" s="2"/>
      <c r="AE2783" s="2">
        <v>0.22072869961076999</v>
      </c>
      <c r="AF2783" s="2">
        <v>3260.6899052614899</v>
      </c>
      <c r="AG2783" s="2">
        <v>1954.9443489914599</v>
      </c>
      <c r="AH2783" s="5">
        <v>1.66791955328224</v>
      </c>
      <c r="AI2783" s="5">
        <v>0.738049706720461</v>
      </c>
      <c r="AJ2783" s="5" t="s">
        <v>139</v>
      </c>
      <c r="AK2783" s="2">
        <v>0.124351531938986</v>
      </c>
      <c r="AL2783" s="2">
        <v>0.44128813217080598</v>
      </c>
      <c r="AM2783" s="2">
        <v>4027.2458907188902</v>
      </c>
      <c r="AN2783" s="2">
        <v>4302.4373542524299</v>
      </c>
      <c r="AO2783" s="2">
        <v>4102.4602644218403</v>
      </c>
      <c r="AP2783" s="2">
        <v>712.56590516499602</v>
      </c>
      <c r="AQ2783" s="2">
        <v>4542.1185146519801</v>
      </c>
      <c r="AR2783" s="2">
        <v>1877.31150235878</v>
      </c>
      <c r="AS2783" s="2">
        <v>2043.09752496024</v>
      </c>
      <c r="AT2783" s="2">
        <v>522.15001313237701</v>
      </c>
      <c r="AU2783" s="2">
        <v>3765.9308585037702</v>
      </c>
      <c r="AV2783" s="2">
        <v>1358.8359125327399</v>
      </c>
      <c r="AW2783" s="2">
        <v>2160.9676541846002</v>
      </c>
      <c r="AX2783" s="2">
        <v>1878.68413063504</v>
      </c>
    </row>
    <row r="2784" spans="1:50" x14ac:dyDescent="0.25">
      <c r="A2784" s="2" t="s">
        <v>18642</v>
      </c>
      <c r="B2784" s="2">
        <v>473.35429872208601</v>
      </c>
      <c r="C2784" s="2">
        <v>8.5796666666666699</v>
      </c>
      <c r="D2784" s="2" t="s">
        <v>51</v>
      </c>
      <c r="E2784" s="2" t="s">
        <v>18643</v>
      </c>
      <c r="F2784" s="2">
        <v>8831</v>
      </c>
      <c r="G2784" s="3" t="str">
        <f>HYPERLINK("https://cloud.oebiotech.com/#/lm/network/8831", "https://cloud.oebiotech.com/#/lm/network/8831")</f>
        <v>https://cloud.oebiotech.com/#/lm/network/8831</v>
      </c>
      <c r="H2784" s="2"/>
      <c r="I2784" s="2"/>
      <c r="J2784" s="2" t="s">
        <v>18644</v>
      </c>
      <c r="K2784" s="2">
        <v>71684549</v>
      </c>
      <c r="L2784" s="2"/>
      <c r="M2784" s="2"/>
      <c r="N2784" s="2"/>
      <c r="O2784" s="2">
        <v>146294</v>
      </c>
      <c r="P2784" s="2"/>
      <c r="Q2784" s="2"/>
      <c r="R2784" s="2"/>
      <c r="S2784" s="2" t="s">
        <v>18645</v>
      </c>
      <c r="T2784" s="2" t="s">
        <v>18646</v>
      </c>
      <c r="U2784" s="2" t="s">
        <v>56</v>
      </c>
      <c r="V2784" s="2" t="s">
        <v>145</v>
      </c>
      <c r="W2784" s="2" t="s">
        <v>1617</v>
      </c>
      <c r="X2784" s="2" t="s">
        <v>147</v>
      </c>
      <c r="Y2784" s="2">
        <v>38.1</v>
      </c>
      <c r="Z2784" s="2">
        <v>0</v>
      </c>
      <c r="AA2784" s="2" t="s">
        <v>122</v>
      </c>
      <c r="AB2784" s="2" t="s">
        <v>18647</v>
      </c>
      <c r="AC2784" s="2">
        <v>0.88412389396574598</v>
      </c>
      <c r="AD2784" s="2"/>
      <c r="AE2784" s="2">
        <v>0.22069852201478399</v>
      </c>
      <c r="AF2784" s="2">
        <v>3964.6881977173598</v>
      </c>
      <c r="AG2784" s="2">
        <v>5707.0662975033902</v>
      </c>
      <c r="AH2784" s="4">
        <v>0.69469811476550603</v>
      </c>
      <c r="AI2784" s="4">
        <v>-0.52554191265948003</v>
      </c>
      <c r="AJ2784" s="4" t="s">
        <v>62</v>
      </c>
      <c r="AK2784" s="2">
        <v>4.05279340945199E-2</v>
      </c>
      <c r="AL2784" s="2">
        <v>0.29155452793099101</v>
      </c>
      <c r="AM2784" s="2">
        <v>3582.3317336953601</v>
      </c>
      <c r="AN2784" s="2">
        <v>5762.5634876754802</v>
      </c>
      <c r="AO2784" s="2">
        <v>4543.4672336653703</v>
      </c>
      <c r="AP2784" s="2">
        <v>4107.4200066479998</v>
      </c>
      <c r="AQ2784" s="2">
        <v>2607.22366862034</v>
      </c>
      <c r="AR2784" s="2">
        <v>3185.1230559996102</v>
      </c>
      <c r="AS2784" s="2">
        <v>6811.7634676760299</v>
      </c>
      <c r="AT2784" s="2">
        <v>5660.9587484526801</v>
      </c>
      <c r="AU2784" s="2">
        <v>7106.9931480457599</v>
      </c>
      <c r="AV2784" s="2">
        <v>3592.60031732475</v>
      </c>
      <c r="AW2784" s="2">
        <v>6669.12379173105</v>
      </c>
      <c r="AX2784" s="2">
        <v>4400.9583117900702</v>
      </c>
    </row>
    <row r="2785" spans="1:50" x14ac:dyDescent="0.25">
      <c r="A2785" s="2" t="s">
        <v>18648</v>
      </c>
      <c r="B2785" s="2">
        <v>188.09209850080899</v>
      </c>
      <c r="C2785" s="2">
        <v>4.0804666666666698</v>
      </c>
      <c r="D2785" s="2" t="s">
        <v>51</v>
      </c>
      <c r="E2785" s="2" t="s">
        <v>18649</v>
      </c>
      <c r="F2785" s="2">
        <v>289986</v>
      </c>
      <c r="G2785" s="3" t="str">
        <f>HYPERLINK("https://cloud.oebiotech.com/#/lm/network/289986", "https://cloud.oebiotech.com/#/lm/network/289986")</f>
        <v>https://cloud.oebiotech.com/#/lm/network/289986</v>
      </c>
      <c r="H2785" s="2"/>
      <c r="I2785" s="2">
        <v>103470</v>
      </c>
      <c r="J2785" s="2"/>
      <c r="K2785" s="2">
        <v>11041524</v>
      </c>
      <c r="L2785" s="2"/>
      <c r="M2785" s="2"/>
      <c r="N2785" s="2"/>
      <c r="O2785" s="2"/>
      <c r="P2785" s="2"/>
      <c r="Q2785" s="2"/>
      <c r="R2785" s="2" t="s">
        <v>18650</v>
      </c>
      <c r="S2785" s="2" t="s">
        <v>18651</v>
      </c>
      <c r="T2785" s="2" t="s">
        <v>18652</v>
      </c>
      <c r="U2785" s="2" t="s">
        <v>103</v>
      </c>
      <c r="V2785" s="2" t="s">
        <v>104</v>
      </c>
      <c r="W2785" s="2" t="s">
        <v>105</v>
      </c>
      <c r="X2785" s="2" t="s">
        <v>147</v>
      </c>
      <c r="Y2785" s="2">
        <v>41.1</v>
      </c>
      <c r="Z2785" s="2">
        <v>15.1</v>
      </c>
      <c r="AA2785" s="2" t="s">
        <v>163</v>
      </c>
      <c r="AB2785" s="2" t="s">
        <v>18653</v>
      </c>
      <c r="AC2785" s="2">
        <v>-3.8764191574399298</v>
      </c>
      <c r="AD2785" s="2"/>
      <c r="AE2785" s="2">
        <v>0.22067406284487501</v>
      </c>
      <c r="AF2785" s="2">
        <v>4720.6405979557403</v>
      </c>
      <c r="AG2785" s="2">
        <v>3127.1462196542202</v>
      </c>
      <c r="AH2785" s="5">
        <v>1.50956823454124</v>
      </c>
      <c r="AI2785" s="5">
        <v>0.594135970107178</v>
      </c>
      <c r="AJ2785" s="5" t="s">
        <v>139</v>
      </c>
      <c r="AK2785" s="2">
        <v>0.48164587289875999</v>
      </c>
      <c r="AL2785" s="2">
        <v>0.72613802625696799</v>
      </c>
      <c r="AM2785" s="2">
        <v>13757.5122623552</v>
      </c>
      <c r="AN2785" s="2">
        <v>2228.60543953254</v>
      </c>
      <c r="AO2785" s="2">
        <v>2785.6071884687799</v>
      </c>
      <c r="AP2785" s="2">
        <v>5653.7346451173498</v>
      </c>
      <c r="AQ2785" s="2">
        <v>2290.1841938429202</v>
      </c>
      <c r="AR2785" s="2">
        <v>1608.1998584176499</v>
      </c>
      <c r="AS2785" s="2">
        <v>1876.5406025355501</v>
      </c>
      <c r="AT2785" s="2">
        <v>2440.8526244965801</v>
      </c>
      <c r="AU2785" s="2">
        <v>8124.5138098636098</v>
      </c>
      <c r="AV2785" s="2">
        <v>2219.91052744834</v>
      </c>
      <c r="AW2785" s="2">
        <v>3530.7294248009598</v>
      </c>
      <c r="AX2785" s="2">
        <v>570.33032878025494</v>
      </c>
    </row>
    <row r="2786" spans="1:50" x14ac:dyDescent="0.25">
      <c r="A2786" s="2" t="s">
        <v>18654</v>
      </c>
      <c r="B2786" s="2">
        <v>243.03342733236599</v>
      </c>
      <c r="C2786" s="2">
        <v>5.5917833333333302</v>
      </c>
      <c r="D2786" s="2" t="s">
        <v>51</v>
      </c>
      <c r="E2786" s="2" t="s">
        <v>18655</v>
      </c>
      <c r="F2786" s="2">
        <v>82000</v>
      </c>
      <c r="G2786" s="3" t="str">
        <f>HYPERLINK("https://cloud.oebiotech.com/#/lm/network/82000", "https://cloud.oebiotech.com/#/lm/network/82000")</f>
        <v>https://cloud.oebiotech.com/#/lm/network/82000</v>
      </c>
      <c r="H2786" s="2" t="s">
        <v>18656</v>
      </c>
      <c r="I2786" s="2"/>
      <c r="J2786" s="2"/>
      <c r="K2786" s="2">
        <v>124202078</v>
      </c>
      <c r="L2786" s="2"/>
      <c r="M2786" s="2"/>
      <c r="N2786" s="2"/>
      <c r="O2786" s="2">
        <v>88699</v>
      </c>
      <c r="P2786" s="2"/>
      <c r="Q2786" s="2"/>
      <c r="R2786" s="2"/>
      <c r="S2786" s="2" t="s">
        <v>18657</v>
      </c>
      <c r="T2786" s="2" t="s">
        <v>18658</v>
      </c>
      <c r="U2786" s="2" t="s">
        <v>610</v>
      </c>
      <c r="V2786" s="2" t="s">
        <v>611</v>
      </c>
      <c r="W2786" s="2" t="s">
        <v>240</v>
      </c>
      <c r="X2786" s="2" t="s">
        <v>147</v>
      </c>
      <c r="Y2786" s="2">
        <v>38.9</v>
      </c>
      <c r="Z2786" s="2">
        <v>7.38</v>
      </c>
      <c r="AA2786" s="2" t="s">
        <v>163</v>
      </c>
      <c r="AB2786" s="2" t="s">
        <v>18659</v>
      </c>
      <c r="AC2786" s="2">
        <v>0.65268550568680594</v>
      </c>
      <c r="AD2786" s="2"/>
      <c r="AE2786" s="2">
        <v>0.220533307999289</v>
      </c>
      <c r="AF2786" s="2">
        <v>1035.2465624951501</v>
      </c>
      <c r="AG2786" s="2">
        <v>3309.64064861717</v>
      </c>
      <c r="AH2786" s="4">
        <v>0.31279727088428599</v>
      </c>
      <c r="AI2786" s="4">
        <v>-1.6767001695147401</v>
      </c>
      <c r="AJ2786" s="4" t="s">
        <v>62</v>
      </c>
      <c r="AK2786" s="2">
        <v>0.412086235832967</v>
      </c>
      <c r="AL2786" s="2">
        <v>0.67548655599718399</v>
      </c>
      <c r="AM2786" s="2">
        <v>8.559877937157E-6</v>
      </c>
      <c r="AN2786" s="2">
        <v>890.34727031213004</v>
      </c>
      <c r="AO2786" s="2">
        <v>1224.2102362113801</v>
      </c>
      <c r="AP2786" s="2">
        <v>922.43567112880498</v>
      </c>
      <c r="AQ2786" s="2">
        <v>254.29161485868801</v>
      </c>
      <c r="AR2786" s="2">
        <v>2920.1945739000198</v>
      </c>
      <c r="AS2786" s="2">
        <v>63.804044353827798</v>
      </c>
      <c r="AT2786" s="2">
        <v>8.559877937157E-6</v>
      </c>
      <c r="AU2786" s="2">
        <v>882.24291591818303</v>
      </c>
      <c r="AV2786" s="2">
        <v>8.559877937157E-6</v>
      </c>
      <c r="AW2786" s="2">
        <v>16261.8485001668</v>
      </c>
      <c r="AX2786" s="2">
        <v>2649.94841414448</v>
      </c>
    </row>
    <row r="2787" spans="1:50" x14ac:dyDescent="0.25">
      <c r="A2787" s="2" t="s">
        <v>18660</v>
      </c>
      <c r="B2787" s="2">
        <v>256.13395745537599</v>
      </c>
      <c r="C2787" s="2">
        <v>4.6687166666666702</v>
      </c>
      <c r="D2787" s="2" t="s">
        <v>51</v>
      </c>
      <c r="E2787" s="2" t="s">
        <v>18661</v>
      </c>
      <c r="F2787" s="2">
        <v>33679</v>
      </c>
      <c r="G2787" s="3" t="str">
        <f>HYPERLINK("https://cloud.oebiotech.com/#/lm/network/33679", "https://cloud.oebiotech.com/#/lm/network/33679")</f>
        <v>https://cloud.oebiotech.com/#/lm/network/33679</v>
      </c>
      <c r="H2787" s="2" t="s">
        <v>18662</v>
      </c>
      <c r="I2787" s="2">
        <v>44091</v>
      </c>
      <c r="J2787" s="2" t="s">
        <v>18663</v>
      </c>
      <c r="K2787" s="2">
        <v>641818</v>
      </c>
      <c r="L2787" s="2"/>
      <c r="M2787" s="2"/>
      <c r="N2787" s="2"/>
      <c r="O2787" s="2"/>
      <c r="P2787" s="2"/>
      <c r="Q2787" s="2"/>
      <c r="R2787" s="2" t="s">
        <v>18664</v>
      </c>
      <c r="S2787" s="2" t="s">
        <v>18665</v>
      </c>
      <c r="T2787" s="2" t="s">
        <v>18666</v>
      </c>
      <c r="U2787" s="2" t="s">
        <v>540</v>
      </c>
      <c r="V2787" s="2" t="s">
        <v>10873</v>
      </c>
      <c r="W2787" s="2" t="s">
        <v>18007</v>
      </c>
      <c r="X2787" s="2" t="s">
        <v>147</v>
      </c>
      <c r="Y2787" s="2">
        <v>39.1</v>
      </c>
      <c r="Z2787" s="2">
        <v>6.72</v>
      </c>
      <c r="AA2787" s="2" t="s">
        <v>512</v>
      </c>
      <c r="AB2787" s="2" t="s">
        <v>18667</v>
      </c>
      <c r="AC2787" s="2">
        <v>3.1593416030891399</v>
      </c>
      <c r="AD2787" s="2"/>
      <c r="AE2787" s="2">
        <v>0.22050399053662501</v>
      </c>
      <c r="AF2787" s="2">
        <v>1281.5543798735</v>
      </c>
      <c r="AG2787" s="2">
        <v>3824.7106979098498</v>
      </c>
      <c r="AH2787" s="4">
        <v>0.335072239731451</v>
      </c>
      <c r="AI2787" s="4">
        <v>-1.57745592866951</v>
      </c>
      <c r="AJ2787" s="4" t="s">
        <v>62</v>
      </c>
      <c r="AK2787" s="2">
        <v>0.35304921131977002</v>
      </c>
      <c r="AL2787" s="2">
        <v>0.64413839403207296</v>
      </c>
      <c r="AM2787" s="2">
        <v>974.45355996295496</v>
      </c>
      <c r="AN2787" s="2">
        <v>1306.4665785800501</v>
      </c>
      <c r="AO2787" s="2">
        <v>1752.3058905825201</v>
      </c>
      <c r="AP2787" s="2">
        <v>1310.2309994341499</v>
      </c>
      <c r="AQ2787" s="2">
        <v>1167.15840628762</v>
      </c>
      <c r="AR2787" s="2">
        <v>1178.71084439369</v>
      </c>
      <c r="AS2787" s="2">
        <v>1152.7855607531601</v>
      </c>
      <c r="AT2787" s="2">
        <v>1466.5729710210801</v>
      </c>
      <c r="AU2787" s="2">
        <v>1124.21939043423</v>
      </c>
      <c r="AV2787" s="2">
        <v>1082.7769687029399</v>
      </c>
      <c r="AW2787" s="2">
        <v>1255.2840859938201</v>
      </c>
      <c r="AX2787" s="2">
        <v>16866.625210553899</v>
      </c>
    </row>
    <row r="2788" spans="1:50" x14ac:dyDescent="0.25">
      <c r="A2788" s="2" t="s">
        <v>18668</v>
      </c>
      <c r="B2788" s="2">
        <v>453.13813460872899</v>
      </c>
      <c r="C2788" s="2">
        <v>4.2211666666666696</v>
      </c>
      <c r="D2788" s="2" t="s">
        <v>51</v>
      </c>
      <c r="E2788" s="2" t="s">
        <v>18669</v>
      </c>
      <c r="F2788" s="2">
        <v>62429</v>
      </c>
      <c r="G2788" s="3" t="str">
        <f>HYPERLINK("https://cloud.oebiotech.com/#/lm/network/62429", "https://cloud.oebiotech.com/#/lm/network/62429")</f>
        <v>https://cloud.oebiotech.com/#/lm/network/62429</v>
      </c>
      <c r="H2788" s="2" t="s">
        <v>18670</v>
      </c>
      <c r="I2788" s="2">
        <v>93724</v>
      </c>
      <c r="J2788" s="2"/>
      <c r="K2788" s="2">
        <v>193232</v>
      </c>
      <c r="L2788" s="2"/>
      <c r="M2788" s="2"/>
      <c r="N2788" s="2"/>
      <c r="O2788" s="2">
        <v>165847</v>
      </c>
      <c r="P2788" s="2"/>
      <c r="Q2788" s="2"/>
      <c r="R2788" s="2" t="s">
        <v>18671</v>
      </c>
      <c r="S2788" s="2" t="s">
        <v>18672</v>
      </c>
      <c r="T2788" s="2" t="s">
        <v>18673</v>
      </c>
      <c r="U2788" s="2" t="s">
        <v>103</v>
      </c>
      <c r="V2788" s="2" t="s">
        <v>104</v>
      </c>
      <c r="W2788" s="2" t="s">
        <v>105</v>
      </c>
      <c r="X2788" s="2" t="s">
        <v>147</v>
      </c>
      <c r="Y2788" s="2">
        <v>38.299999999999997</v>
      </c>
      <c r="Z2788" s="2">
        <v>0</v>
      </c>
      <c r="AA2788" s="2" t="s">
        <v>218</v>
      </c>
      <c r="AB2788" s="2" t="s">
        <v>18674</v>
      </c>
      <c r="AC2788" s="2">
        <v>1.43267639754127</v>
      </c>
      <c r="AD2788" s="2"/>
      <c r="AE2788" s="2">
        <v>0.22039967562427601</v>
      </c>
      <c r="AF2788" s="2">
        <v>824.38755682423903</v>
      </c>
      <c r="AG2788" s="2">
        <v>2625.8943584353601</v>
      </c>
      <c r="AH2788" s="4">
        <v>0.31394543888484999</v>
      </c>
      <c r="AI2788" s="4">
        <v>-1.67141424242609</v>
      </c>
      <c r="AJ2788" s="4" t="s">
        <v>62</v>
      </c>
      <c r="AK2788" s="2">
        <v>6.6539838296331796E-2</v>
      </c>
      <c r="AL2788" s="2">
        <v>0.34192828169447498</v>
      </c>
      <c r="AM2788" s="2">
        <v>870.37526250140604</v>
      </c>
      <c r="AN2788" s="2">
        <v>995.70982315493302</v>
      </c>
      <c r="AO2788" s="2">
        <v>762.25727331979601</v>
      </c>
      <c r="AP2788" s="2">
        <v>8.559877937157E-6</v>
      </c>
      <c r="AQ2788" s="2">
        <v>154.50445051919101</v>
      </c>
      <c r="AR2788" s="2">
        <v>2163.4785228902301</v>
      </c>
      <c r="AS2788" s="2">
        <v>1363.3962814049901</v>
      </c>
      <c r="AT2788" s="2">
        <v>4341.0462467831503</v>
      </c>
      <c r="AU2788" s="2">
        <v>1703.7948094154201</v>
      </c>
      <c r="AV2788" s="2">
        <v>574.47247655444403</v>
      </c>
      <c r="AW2788" s="2">
        <v>5789.6846012486503</v>
      </c>
      <c r="AX2788" s="2">
        <v>1982.9717352054899</v>
      </c>
    </row>
    <row r="2789" spans="1:50" x14ac:dyDescent="0.25">
      <c r="A2789" s="2" t="s">
        <v>18675</v>
      </c>
      <c r="B2789" s="2">
        <v>452.314549465369</v>
      </c>
      <c r="C2789" s="2">
        <v>11.3306166666667</v>
      </c>
      <c r="D2789" s="2" t="s">
        <v>51</v>
      </c>
      <c r="E2789" s="2" t="s">
        <v>18676</v>
      </c>
      <c r="F2789" s="2">
        <v>197421</v>
      </c>
      <c r="G2789" s="3" t="str">
        <f>HYPERLINK("https://cloud.oebiotech.com/#/lm/network/197421", "https://cloud.oebiotech.com/#/lm/network/197421")</f>
        <v>https://cloud.oebiotech.com/#/lm/network/197421</v>
      </c>
      <c r="H2789" s="2" t="s">
        <v>18677</v>
      </c>
      <c r="I2789" s="2"/>
      <c r="J2789" s="2"/>
      <c r="K2789" s="2"/>
      <c r="L2789" s="2"/>
      <c r="M2789" s="2"/>
      <c r="N2789" s="2"/>
      <c r="O2789" s="2"/>
      <c r="P2789" s="2"/>
      <c r="Q2789" s="2"/>
      <c r="R2789" s="2"/>
      <c r="S2789" s="2" t="s">
        <v>18678</v>
      </c>
      <c r="T2789" s="2" t="s">
        <v>18679</v>
      </c>
      <c r="U2789" s="2" t="s">
        <v>56</v>
      </c>
      <c r="V2789" s="2" t="s">
        <v>145</v>
      </c>
      <c r="W2789" s="2" t="s">
        <v>1188</v>
      </c>
      <c r="X2789" s="2" t="s">
        <v>83</v>
      </c>
      <c r="Y2789" s="2">
        <v>42.2</v>
      </c>
      <c r="Z2789" s="2">
        <v>4.7500000000000001E-2</v>
      </c>
      <c r="AA2789" s="2" t="s">
        <v>395</v>
      </c>
      <c r="AB2789" s="2" t="s">
        <v>18680</v>
      </c>
      <c r="AC2789" s="2">
        <v>2.1347380009196701</v>
      </c>
      <c r="AD2789" s="2"/>
      <c r="AE2789" s="2">
        <v>0.220397451515605</v>
      </c>
      <c r="AF2789" s="2">
        <v>32591.587987718802</v>
      </c>
      <c r="AG2789" s="2">
        <v>30255.588925403099</v>
      </c>
      <c r="AH2789" s="5">
        <v>1.07720884455679</v>
      </c>
      <c r="AI2789" s="5">
        <v>0.10729798042738201</v>
      </c>
      <c r="AJ2789" s="5" t="s">
        <v>139</v>
      </c>
      <c r="AK2789" s="2">
        <v>0.81758487815659697</v>
      </c>
      <c r="AL2789" s="2">
        <v>0.91984108804542597</v>
      </c>
      <c r="AM2789" s="2">
        <v>70351.243015652202</v>
      </c>
      <c r="AN2789" s="2">
        <v>28661.810712766299</v>
      </c>
      <c r="AO2789" s="2">
        <v>26198.163947804202</v>
      </c>
      <c r="AP2789" s="2">
        <v>21482.196493193998</v>
      </c>
      <c r="AQ2789" s="2">
        <v>23071.185179679302</v>
      </c>
      <c r="AR2789" s="2">
        <v>25784.928577216899</v>
      </c>
      <c r="AS2789" s="2">
        <v>16218.9038218061</v>
      </c>
      <c r="AT2789" s="2">
        <v>13882.952494487799</v>
      </c>
      <c r="AU2789" s="2">
        <v>40041.4692996374</v>
      </c>
      <c r="AV2789" s="2">
        <v>50664.6025447879</v>
      </c>
      <c r="AW2789" s="2">
        <v>40345.799424234101</v>
      </c>
      <c r="AX2789" s="2">
        <v>20379.805967465301</v>
      </c>
    </row>
    <row r="2790" spans="1:50" x14ac:dyDescent="0.25">
      <c r="A2790" s="2" t="s">
        <v>18681</v>
      </c>
      <c r="B2790" s="2">
        <v>245.093235521412</v>
      </c>
      <c r="C2790" s="2">
        <v>5.0793666666666697</v>
      </c>
      <c r="D2790" s="2" t="s">
        <v>51</v>
      </c>
      <c r="E2790" s="2" t="s">
        <v>18682</v>
      </c>
      <c r="F2790" s="2">
        <v>204409</v>
      </c>
      <c r="G2790" s="3" t="str">
        <f>HYPERLINK("https://cloud.oebiotech.com/#/lm/network/204409", "https://cloud.oebiotech.com/#/lm/network/204409")</f>
        <v>https://cloud.oebiotech.com/#/lm/network/204409</v>
      </c>
      <c r="H2790" s="2" t="s">
        <v>18683</v>
      </c>
      <c r="I2790" s="2">
        <v>66203</v>
      </c>
      <c r="J2790" s="2"/>
      <c r="K2790" s="2">
        <v>21157</v>
      </c>
      <c r="L2790" s="2" t="s">
        <v>18684</v>
      </c>
      <c r="M2790" s="2"/>
      <c r="N2790" s="2"/>
      <c r="O2790" s="2">
        <v>28714</v>
      </c>
      <c r="P2790" s="2"/>
      <c r="Q2790" s="2"/>
      <c r="R2790" s="2" t="s">
        <v>18685</v>
      </c>
      <c r="S2790" s="2" t="s">
        <v>18686</v>
      </c>
      <c r="T2790" s="2" t="s">
        <v>18687</v>
      </c>
      <c r="U2790" s="2" t="s">
        <v>103</v>
      </c>
      <c r="V2790" s="2" t="s">
        <v>104</v>
      </c>
      <c r="W2790" s="2" t="s">
        <v>105</v>
      </c>
      <c r="X2790" s="2" t="s">
        <v>147</v>
      </c>
      <c r="Y2790" s="2">
        <v>44.4</v>
      </c>
      <c r="Z2790" s="2">
        <v>28.5</v>
      </c>
      <c r="AA2790" s="2" t="s">
        <v>786</v>
      </c>
      <c r="AB2790" s="2" t="s">
        <v>18688</v>
      </c>
      <c r="AC2790" s="2">
        <v>0.906764583650009</v>
      </c>
      <c r="AD2790" s="2"/>
      <c r="AE2790" s="2">
        <v>0.220061587078176</v>
      </c>
      <c r="AF2790" s="2">
        <v>481.26117922542397</v>
      </c>
      <c r="AG2790" s="2">
        <v>2684.8574057698702</v>
      </c>
      <c r="AH2790" s="4">
        <v>0.17925018222240499</v>
      </c>
      <c r="AI2790" s="4">
        <v>-2.4799535093424598</v>
      </c>
      <c r="AJ2790" s="4" t="s">
        <v>62</v>
      </c>
      <c r="AK2790" s="2">
        <v>0.37781850134390399</v>
      </c>
      <c r="AL2790" s="2">
        <v>0.65844593389412398</v>
      </c>
      <c r="AM2790" s="2">
        <v>198.800274281463</v>
      </c>
      <c r="AN2790" s="2">
        <v>109.85317093002899</v>
      </c>
      <c r="AO2790" s="2">
        <v>142.815622204688</v>
      </c>
      <c r="AP2790" s="2">
        <v>192.659568424279</v>
      </c>
      <c r="AQ2790" s="2">
        <v>151.812286173507</v>
      </c>
      <c r="AR2790" s="2">
        <v>2091.62615333858</v>
      </c>
      <c r="AS2790" s="2">
        <v>69.785279789853107</v>
      </c>
      <c r="AT2790" s="2">
        <v>163.74790355547</v>
      </c>
      <c r="AU2790" s="2">
        <v>37.647472891103597</v>
      </c>
      <c r="AV2790" s="2">
        <v>1096.91845234125</v>
      </c>
      <c r="AW2790" s="2">
        <v>14487.441025558999</v>
      </c>
      <c r="AX2790" s="2">
        <v>253.60430048256299</v>
      </c>
    </row>
    <row r="2791" spans="1:50" x14ac:dyDescent="0.25">
      <c r="A2791" s="2" t="s">
        <v>18689</v>
      </c>
      <c r="B2791" s="2">
        <v>189.123930604973</v>
      </c>
      <c r="C2791" s="2">
        <v>2.6807833333333302</v>
      </c>
      <c r="D2791" s="2" t="s">
        <v>51</v>
      </c>
      <c r="E2791" s="2" t="s">
        <v>18690</v>
      </c>
      <c r="F2791" s="2">
        <v>53873</v>
      </c>
      <c r="G2791" s="3" t="str">
        <f>HYPERLINK("https://cloud.oebiotech.com/#/lm/network/53873", "https://cloud.oebiotech.com/#/lm/network/53873")</f>
        <v>https://cloud.oebiotech.com/#/lm/network/53873</v>
      </c>
      <c r="H2791" s="2" t="s">
        <v>18691</v>
      </c>
      <c r="I2791" s="2"/>
      <c r="J2791" s="2"/>
      <c r="K2791" s="2">
        <v>259613</v>
      </c>
      <c r="L2791" s="2"/>
      <c r="M2791" s="2"/>
      <c r="N2791" s="2"/>
      <c r="O2791" s="2"/>
      <c r="P2791" s="2"/>
      <c r="Q2791" s="2"/>
      <c r="R2791" s="2"/>
      <c r="S2791" s="2" t="s">
        <v>18692</v>
      </c>
      <c r="T2791" s="2" t="s">
        <v>18693</v>
      </c>
      <c r="U2791" s="2" t="s">
        <v>103</v>
      </c>
      <c r="V2791" s="2" t="s">
        <v>104</v>
      </c>
      <c r="W2791" s="2" t="s">
        <v>105</v>
      </c>
      <c r="X2791" s="2" t="s">
        <v>69</v>
      </c>
      <c r="Y2791" s="2">
        <v>56.4</v>
      </c>
      <c r="Z2791" s="2">
        <v>74</v>
      </c>
      <c r="AA2791" s="2" t="s">
        <v>60</v>
      </c>
      <c r="AB2791" s="2" t="s">
        <v>14061</v>
      </c>
      <c r="AC2791" s="2">
        <v>2.9864089043890298</v>
      </c>
      <c r="AD2791" s="2"/>
      <c r="AE2791" s="2">
        <v>0.21979092587733101</v>
      </c>
      <c r="AF2791" s="2">
        <v>34725.178812535902</v>
      </c>
      <c r="AG2791" s="2">
        <v>42525.193592013296</v>
      </c>
      <c r="AH2791" s="4">
        <v>0.81657897070826502</v>
      </c>
      <c r="AI2791" s="4">
        <v>-0.29233568045380298</v>
      </c>
      <c r="AJ2791" s="4" t="s">
        <v>62</v>
      </c>
      <c r="AK2791" s="2">
        <v>0.762821183569377</v>
      </c>
      <c r="AL2791" s="2">
        <v>0.89215323352690901</v>
      </c>
      <c r="AM2791" s="2">
        <v>59714.299349900502</v>
      </c>
      <c r="AN2791" s="2">
        <v>11081.0263985814</v>
      </c>
      <c r="AO2791" s="2">
        <v>12440.868798107</v>
      </c>
      <c r="AP2791" s="2">
        <v>14324.1278316113</v>
      </c>
      <c r="AQ2791" s="2">
        <v>59590.973566908702</v>
      </c>
      <c r="AR2791" s="2">
        <v>51199.776930106498</v>
      </c>
      <c r="AS2791" s="2">
        <v>7093.8825878492798</v>
      </c>
      <c r="AT2791" s="2">
        <v>15528.744808630699</v>
      </c>
      <c r="AU2791" s="2">
        <v>54585.829062790799</v>
      </c>
      <c r="AV2791" s="2">
        <v>152066.38225223401</v>
      </c>
      <c r="AW2791" s="2">
        <v>5526.2195104440698</v>
      </c>
      <c r="AX2791" s="2">
        <v>20350.1033301307</v>
      </c>
    </row>
    <row r="2792" spans="1:50" x14ac:dyDescent="0.25">
      <c r="A2792" s="2" t="s">
        <v>18694</v>
      </c>
      <c r="B2792" s="2">
        <v>152.00119010983801</v>
      </c>
      <c r="C2792" s="2">
        <v>0.70238333333333303</v>
      </c>
      <c r="D2792" s="2" t="s">
        <v>51</v>
      </c>
      <c r="E2792" s="2" t="s">
        <v>18695</v>
      </c>
      <c r="F2792" s="2">
        <v>47334</v>
      </c>
      <c r="G2792" s="3" t="str">
        <f>HYPERLINK("https://cloud.oebiotech.com/#/lm/network/47334", "https://cloud.oebiotech.com/#/lm/network/47334")</f>
        <v>https://cloud.oebiotech.com/#/lm/network/47334</v>
      </c>
      <c r="H2792" s="2" t="s">
        <v>18696</v>
      </c>
      <c r="I2792" s="2"/>
      <c r="J2792" s="2"/>
      <c r="K2792" s="2">
        <v>1549098</v>
      </c>
      <c r="L2792" s="2" t="s">
        <v>18697</v>
      </c>
      <c r="M2792" s="2" t="s">
        <v>18698</v>
      </c>
      <c r="N2792" s="2" t="s">
        <v>18699</v>
      </c>
      <c r="O2792" s="2">
        <v>16345</v>
      </c>
      <c r="P2792" s="2"/>
      <c r="Q2792" s="2"/>
      <c r="R2792" s="2" t="s">
        <v>18700</v>
      </c>
      <c r="S2792" s="2" t="s">
        <v>18701</v>
      </c>
      <c r="T2792" s="2" t="s">
        <v>18702</v>
      </c>
      <c r="U2792" s="2" t="s">
        <v>103</v>
      </c>
      <c r="V2792" s="2" t="s">
        <v>104</v>
      </c>
      <c r="W2792" s="2" t="s">
        <v>105</v>
      </c>
      <c r="X2792" s="2" t="s">
        <v>83</v>
      </c>
      <c r="Y2792" s="2">
        <v>38</v>
      </c>
      <c r="Z2792" s="2">
        <v>0</v>
      </c>
      <c r="AA2792" s="2" t="s">
        <v>163</v>
      </c>
      <c r="AB2792" s="2" t="s">
        <v>18703</v>
      </c>
      <c r="AC2792" s="2">
        <v>-7.26860175124615</v>
      </c>
      <c r="AD2792" s="2"/>
      <c r="AE2792" s="2">
        <v>0.21955008685034599</v>
      </c>
      <c r="AF2792" s="2">
        <v>5662.6705129725397</v>
      </c>
      <c r="AG2792" s="2">
        <v>4081.6083981666302</v>
      </c>
      <c r="AH2792" s="5">
        <v>1.3873625200095401</v>
      </c>
      <c r="AI2792" s="5">
        <v>0.47234481540694301</v>
      </c>
      <c r="AJ2792" s="5" t="s">
        <v>139</v>
      </c>
      <c r="AK2792" s="2">
        <v>0.109961493754659</v>
      </c>
      <c r="AL2792" s="2">
        <v>0.42227774154037001</v>
      </c>
      <c r="AM2792" s="2">
        <v>8382.1149536292905</v>
      </c>
      <c r="AN2792" s="2">
        <v>5098.7077750022499</v>
      </c>
      <c r="AO2792" s="2">
        <v>3749.8924620023199</v>
      </c>
      <c r="AP2792" s="2">
        <v>8084.6169390772602</v>
      </c>
      <c r="AQ2792" s="2">
        <v>5063.0005227319998</v>
      </c>
      <c r="AR2792" s="2">
        <v>3597.6904253921198</v>
      </c>
      <c r="AS2792" s="2">
        <v>4765.7371057888104</v>
      </c>
      <c r="AT2792" s="2">
        <v>3943.3396206075199</v>
      </c>
      <c r="AU2792" s="2">
        <v>4279.9698868628102</v>
      </c>
      <c r="AV2792" s="2">
        <v>2851.1988990244199</v>
      </c>
      <c r="AW2792" s="2">
        <v>3903.5727678927901</v>
      </c>
      <c r="AX2792" s="2">
        <v>4745.8321088233997</v>
      </c>
    </row>
    <row r="2793" spans="1:50" x14ac:dyDescent="0.25">
      <c r="A2793" s="2" t="s">
        <v>18704</v>
      </c>
      <c r="B2793" s="2">
        <v>350.17236788685398</v>
      </c>
      <c r="C2793" s="2">
        <v>5.3260166666666704</v>
      </c>
      <c r="D2793" s="2" t="s">
        <v>51</v>
      </c>
      <c r="E2793" s="2" t="s">
        <v>18705</v>
      </c>
      <c r="F2793" s="2">
        <v>254923</v>
      </c>
      <c r="G2793" s="3" t="str">
        <f>HYPERLINK("https://cloud.oebiotech.com/#/lm/network/254923", "https://cloud.oebiotech.com/#/lm/network/254923")</f>
        <v>https://cloud.oebiotech.com/#/lm/network/254923</v>
      </c>
      <c r="H2793" s="2" t="s">
        <v>18706</v>
      </c>
      <c r="I2793" s="2">
        <v>67583</v>
      </c>
      <c r="J2793" s="2"/>
      <c r="K2793" s="2">
        <v>5281423</v>
      </c>
      <c r="L2793" s="2" t="s">
        <v>18707</v>
      </c>
      <c r="M2793" s="2"/>
      <c r="N2793" s="2"/>
      <c r="O2793" s="2">
        <v>2810</v>
      </c>
      <c r="P2793" s="2"/>
      <c r="Q2793" s="2"/>
      <c r="R2793" s="2" t="s">
        <v>18708</v>
      </c>
      <c r="S2793" s="2" t="s">
        <v>18709</v>
      </c>
      <c r="T2793" s="2" t="s">
        <v>18710</v>
      </c>
      <c r="U2793" s="2" t="s">
        <v>56</v>
      </c>
      <c r="V2793" s="2" t="s">
        <v>177</v>
      </c>
      <c r="W2793" s="2" t="s">
        <v>806</v>
      </c>
      <c r="X2793" s="2" t="s">
        <v>147</v>
      </c>
      <c r="Y2793" s="2">
        <v>39.200000000000003</v>
      </c>
      <c r="Z2793" s="2">
        <v>6.17</v>
      </c>
      <c r="AA2793" s="2" t="s">
        <v>122</v>
      </c>
      <c r="AB2793" s="2" t="s">
        <v>7050</v>
      </c>
      <c r="AC2793" s="2">
        <v>-1.6299498419808101</v>
      </c>
      <c r="AD2793" s="2"/>
      <c r="AE2793" s="2">
        <v>0.219538254789101</v>
      </c>
      <c r="AF2793" s="2">
        <v>1442.88048245081</v>
      </c>
      <c r="AG2793" s="2">
        <v>342.537884436426</v>
      </c>
      <c r="AH2793" s="5">
        <v>4.2123237983581499</v>
      </c>
      <c r="AI2793" s="5">
        <v>2.0746163395760302</v>
      </c>
      <c r="AJ2793" s="5" t="s">
        <v>139</v>
      </c>
      <c r="AK2793" s="2">
        <v>4.2426395975707402E-2</v>
      </c>
      <c r="AL2793" s="2">
        <v>0.29376930997653899</v>
      </c>
      <c r="AM2793" s="2">
        <v>2154.1387734486302</v>
      </c>
      <c r="AN2793" s="2">
        <v>3359.8527354323901</v>
      </c>
      <c r="AO2793" s="2">
        <v>655.45109006272003</v>
      </c>
      <c r="AP2793" s="2">
        <v>717.87810799340502</v>
      </c>
      <c r="AQ2793" s="2">
        <v>703.75797082245401</v>
      </c>
      <c r="AR2793" s="2">
        <v>1066.20421694527</v>
      </c>
      <c r="AS2793" s="2">
        <v>376.291466270922</v>
      </c>
      <c r="AT2793" s="2">
        <v>8.559877937157E-6</v>
      </c>
      <c r="AU2793" s="2">
        <v>927.24120178464602</v>
      </c>
      <c r="AV2793" s="2">
        <v>8.559877937157E-6</v>
      </c>
      <c r="AW2793" s="2">
        <v>124.559447561075</v>
      </c>
      <c r="AX2793" s="2">
        <v>627.13517388215803</v>
      </c>
    </row>
    <row r="2794" spans="1:50" x14ac:dyDescent="0.25">
      <c r="A2794" s="2" t="s">
        <v>18711</v>
      </c>
      <c r="B2794" s="2">
        <v>680.43226009138198</v>
      </c>
      <c r="C2794" s="2">
        <v>10.753966666666701</v>
      </c>
      <c r="D2794" s="2" t="s">
        <v>51</v>
      </c>
      <c r="E2794" s="2" t="s">
        <v>18712</v>
      </c>
      <c r="F2794" s="2">
        <v>10243</v>
      </c>
      <c r="G2794" s="3" t="str">
        <f>HYPERLINK("https://cloud.oebiotech.com/#/lm/network/10243", "https://cloud.oebiotech.com/#/lm/network/10243")</f>
        <v>https://cloud.oebiotech.com/#/lm/network/10243</v>
      </c>
      <c r="H2794" s="2"/>
      <c r="I2794" s="2">
        <v>46611</v>
      </c>
      <c r="J2794" s="2" t="s">
        <v>18713</v>
      </c>
      <c r="K2794" s="2">
        <v>25058164</v>
      </c>
      <c r="L2794" s="2" t="s">
        <v>18714</v>
      </c>
      <c r="M2794" s="2"/>
      <c r="N2794" s="2"/>
      <c r="O2794" s="2">
        <v>26723</v>
      </c>
      <c r="P2794" s="2"/>
      <c r="Q2794" s="2"/>
      <c r="R2794" s="2"/>
      <c r="S2794" s="2" t="s">
        <v>18715</v>
      </c>
      <c r="T2794" s="2" t="s">
        <v>18716</v>
      </c>
      <c r="U2794" s="2" t="s">
        <v>56</v>
      </c>
      <c r="V2794" s="2" t="s">
        <v>145</v>
      </c>
      <c r="W2794" s="2" t="s">
        <v>3263</v>
      </c>
      <c r="X2794" s="2" t="s">
        <v>147</v>
      </c>
      <c r="Y2794" s="2">
        <v>36.1</v>
      </c>
      <c r="Z2794" s="2">
        <v>0</v>
      </c>
      <c r="AA2794" s="2" t="s">
        <v>122</v>
      </c>
      <c r="AB2794" s="2" t="s">
        <v>18717</v>
      </c>
      <c r="AC2794" s="2">
        <v>-3.5743553444329299</v>
      </c>
      <c r="AD2794" s="2"/>
      <c r="AE2794" s="2">
        <v>0.21933892329602001</v>
      </c>
      <c r="AF2794" s="2">
        <v>4174.2962297346503</v>
      </c>
      <c r="AG2794" s="2">
        <v>6280.5890238723696</v>
      </c>
      <c r="AH2794" s="4">
        <v>0.66463451339806601</v>
      </c>
      <c r="AI2794" s="4">
        <v>-0.58936688308613605</v>
      </c>
      <c r="AJ2794" s="4" t="s">
        <v>62</v>
      </c>
      <c r="AK2794" s="2">
        <v>0.263045767848544</v>
      </c>
      <c r="AL2794" s="2">
        <v>0.58556532572808595</v>
      </c>
      <c r="AM2794" s="2">
        <v>1536.0071981147601</v>
      </c>
      <c r="AN2794" s="2">
        <v>1329.9802738583101</v>
      </c>
      <c r="AO2794" s="2">
        <v>10929.0433109064</v>
      </c>
      <c r="AP2794" s="2">
        <v>3281.7276186763502</v>
      </c>
      <c r="AQ2794" s="2">
        <v>3828.5740575792702</v>
      </c>
      <c r="AR2794" s="2">
        <v>4140.4449192727898</v>
      </c>
      <c r="AS2794" s="2">
        <v>7141.9880430139201</v>
      </c>
      <c r="AT2794" s="2">
        <v>2839.11257585151</v>
      </c>
      <c r="AU2794" s="2">
        <v>8754.5378695126601</v>
      </c>
      <c r="AV2794" s="2">
        <v>4199.3498166997797</v>
      </c>
      <c r="AW2794" s="2">
        <v>5424.8604675650504</v>
      </c>
      <c r="AX2794" s="2">
        <v>9323.68537059132</v>
      </c>
    </row>
    <row r="2795" spans="1:50" x14ac:dyDescent="0.25">
      <c r="A2795" s="2" t="s">
        <v>18718</v>
      </c>
      <c r="B2795" s="2">
        <v>255.03999803038101</v>
      </c>
      <c r="C2795" s="2">
        <v>1.17966666666667</v>
      </c>
      <c r="D2795" s="2" t="s">
        <v>51</v>
      </c>
      <c r="E2795" s="2" t="s">
        <v>18719</v>
      </c>
      <c r="F2795" s="2">
        <v>52490</v>
      </c>
      <c r="G2795" s="3" t="str">
        <f>HYPERLINK("https://cloud.oebiotech.com/#/lm/network/52490", "https://cloud.oebiotech.com/#/lm/network/52490")</f>
        <v>https://cloud.oebiotech.com/#/lm/network/52490</v>
      </c>
      <c r="H2795" s="2" t="s">
        <v>18720</v>
      </c>
      <c r="I2795" s="2">
        <v>85290</v>
      </c>
      <c r="J2795" s="2"/>
      <c r="K2795" s="2">
        <v>9878646</v>
      </c>
      <c r="L2795" s="2"/>
      <c r="M2795" s="2"/>
      <c r="N2795" s="2"/>
      <c r="O2795" s="2">
        <v>212535</v>
      </c>
      <c r="P2795" s="2"/>
      <c r="Q2795" s="2"/>
      <c r="R2795" s="2"/>
      <c r="S2795" s="2" t="s">
        <v>18721</v>
      </c>
      <c r="T2795" s="2" t="s">
        <v>18722</v>
      </c>
      <c r="U2795" s="2" t="s">
        <v>266</v>
      </c>
      <c r="V2795" s="2" t="s">
        <v>984</v>
      </c>
      <c r="W2795" s="2" t="s">
        <v>985</v>
      </c>
      <c r="X2795" s="2" t="s">
        <v>147</v>
      </c>
      <c r="Y2795" s="2">
        <v>37.299999999999997</v>
      </c>
      <c r="Z2795" s="2">
        <v>3.63</v>
      </c>
      <c r="AA2795" s="2" t="s">
        <v>379</v>
      </c>
      <c r="AB2795" s="2" t="s">
        <v>18723</v>
      </c>
      <c r="AC2795" s="2">
        <v>-4.1315112340609996</v>
      </c>
      <c r="AD2795" s="2"/>
      <c r="AE2795" s="2">
        <v>0.219212145203385</v>
      </c>
      <c r="AF2795" s="2">
        <v>13437.324828217101</v>
      </c>
      <c r="AG2795" s="2">
        <v>11395.378815095301</v>
      </c>
      <c r="AH2795" s="5">
        <v>1.1791907093441101</v>
      </c>
      <c r="AI2795" s="5">
        <v>0.237797062825825</v>
      </c>
      <c r="AJ2795" s="5" t="s">
        <v>139</v>
      </c>
      <c r="AK2795" s="2">
        <v>0.122844786885435</v>
      </c>
      <c r="AL2795" s="2">
        <v>0.44047290513653697</v>
      </c>
      <c r="AM2795" s="2">
        <v>13622.964047433201</v>
      </c>
      <c r="AN2795" s="2">
        <v>14210.675727145001</v>
      </c>
      <c r="AO2795" s="2">
        <v>12666.687432152299</v>
      </c>
      <c r="AP2795" s="2">
        <v>16897.417996142802</v>
      </c>
      <c r="AQ2795" s="2">
        <v>12908.913368629101</v>
      </c>
      <c r="AR2795" s="2">
        <v>10317.2903978003</v>
      </c>
      <c r="AS2795" s="2">
        <v>12056.0423723803</v>
      </c>
      <c r="AT2795" s="2">
        <v>13684.6026738532</v>
      </c>
      <c r="AU2795" s="2">
        <v>8747.3491386274509</v>
      </c>
      <c r="AV2795" s="2">
        <v>12314.6031713744</v>
      </c>
      <c r="AW2795" s="2">
        <v>12594.855865547501</v>
      </c>
      <c r="AX2795" s="2">
        <v>8974.8196687892105</v>
      </c>
    </row>
    <row r="2796" spans="1:50" x14ac:dyDescent="0.25">
      <c r="A2796" s="2" t="s">
        <v>18724</v>
      </c>
      <c r="B2796" s="2">
        <v>244.076820973721</v>
      </c>
      <c r="C2796" s="2">
        <v>4.5051166666666704</v>
      </c>
      <c r="D2796" s="2" t="s">
        <v>51</v>
      </c>
      <c r="E2796" s="2" t="s">
        <v>18725</v>
      </c>
      <c r="F2796" s="2">
        <v>64916</v>
      </c>
      <c r="G2796" s="3" t="str">
        <f>HYPERLINK("https://cloud.oebiotech.com/#/lm/network/64916", "https://cloud.oebiotech.com/#/lm/network/64916")</f>
        <v>https://cloud.oebiotech.com/#/lm/network/64916</v>
      </c>
      <c r="H2796" s="2" t="s">
        <v>18726</v>
      </c>
      <c r="I2796" s="2">
        <v>44231</v>
      </c>
      <c r="J2796" s="2"/>
      <c r="K2796" s="2">
        <v>3374</v>
      </c>
      <c r="L2796" s="2"/>
      <c r="M2796" s="2"/>
      <c r="N2796" s="2"/>
      <c r="O2796" s="2">
        <v>85269</v>
      </c>
      <c r="P2796" s="2"/>
      <c r="Q2796" s="2"/>
      <c r="R2796" s="2" t="s">
        <v>18727</v>
      </c>
      <c r="S2796" s="2" t="s">
        <v>18728</v>
      </c>
      <c r="T2796" s="2" t="s">
        <v>18729</v>
      </c>
      <c r="U2796" s="2" t="s">
        <v>266</v>
      </c>
      <c r="V2796" s="2" t="s">
        <v>1393</v>
      </c>
      <c r="W2796" s="2" t="s">
        <v>1643</v>
      </c>
      <c r="X2796" s="2" t="s">
        <v>147</v>
      </c>
      <c r="Y2796" s="2">
        <v>39.799999999999997</v>
      </c>
      <c r="Z2796" s="2">
        <v>6.71</v>
      </c>
      <c r="AA2796" s="2" t="s">
        <v>156</v>
      </c>
      <c r="AB2796" s="2" t="s">
        <v>18730</v>
      </c>
      <c r="AC2796" s="2">
        <v>-4.6899777213130101E-2</v>
      </c>
      <c r="AD2796" s="2"/>
      <c r="AE2796" s="2">
        <v>0.21917817671921599</v>
      </c>
      <c r="AF2796" s="2">
        <v>3189.9821686586401</v>
      </c>
      <c r="AG2796" s="2">
        <v>1488.9709884786</v>
      </c>
      <c r="AH2796" s="5">
        <v>2.1424072015789299</v>
      </c>
      <c r="AI2796" s="5">
        <v>1.09923271531964</v>
      </c>
      <c r="AJ2796" s="5" t="s">
        <v>139</v>
      </c>
      <c r="AK2796" s="2">
        <v>5.9248107679739197E-2</v>
      </c>
      <c r="AL2796" s="2">
        <v>0.32837652512840398</v>
      </c>
      <c r="AM2796" s="2">
        <v>3647.8616726605301</v>
      </c>
      <c r="AN2796" s="2">
        <v>1637.3047123797101</v>
      </c>
      <c r="AO2796" s="2">
        <v>2159.9602283979302</v>
      </c>
      <c r="AP2796" s="2">
        <v>5311.0829235048895</v>
      </c>
      <c r="AQ2796" s="2">
        <v>5340.0076574785498</v>
      </c>
      <c r="AR2796" s="2">
        <v>1043.67581753024</v>
      </c>
      <c r="AS2796" s="2">
        <v>787.32348871910597</v>
      </c>
      <c r="AT2796" s="2">
        <v>1896.19081975517</v>
      </c>
      <c r="AU2796" s="2">
        <v>1887.42469128839</v>
      </c>
      <c r="AV2796" s="2">
        <v>1425.5588180285399</v>
      </c>
      <c r="AW2796" s="2">
        <v>2155.0381759729898</v>
      </c>
      <c r="AX2796" s="2">
        <v>782.28993710739599</v>
      </c>
    </row>
    <row r="2797" spans="1:50" x14ac:dyDescent="0.25">
      <c r="A2797" s="2" t="s">
        <v>18731</v>
      </c>
      <c r="B2797" s="2">
        <v>177.03959913982001</v>
      </c>
      <c r="C2797" s="2">
        <v>0.74113333333333298</v>
      </c>
      <c r="D2797" s="2" t="s">
        <v>51</v>
      </c>
      <c r="E2797" s="2" t="s">
        <v>18732</v>
      </c>
      <c r="F2797" s="2">
        <v>201415</v>
      </c>
      <c r="G2797" s="3" t="str">
        <f>HYPERLINK("https://cloud.oebiotech.com/#/lm/network/201415", "https://cloud.oebiotech.com/#/lm/network/201415")</f>
        <v>https://cloud.oebiotech.com/#/lm/network/201415</v>
      </c>
      <c r="H2797" s="2" t="s">
        <v>18733</v>
      </c>
      <c r="I2797" s="2"/>
      <c r="J2797" s="2"/>
      <c r="K2797" s="2">
        <v>736</v>
      </c>
      <c r="L2797" s="2"/>
      <c r="M2797" s="2"/>
      <c r="N2797" s="2"/>
      <c r="O2797" s="2">
        <v>74105</v>
      </c>
      <c r="P2797" s="2"/>
      <c r="Q2797" s="2"/>
      <c r="R2797" s="2"/>
      <c r="S2797" s="2" t="s">
        <v>18734</v>
      </c>
      <c r="T2797" s="2" t="s">
        <v>18735</v>
      </c>
      <c r="U2797" s="2" t="s">
        <v>331</v>
      </c>
      <c r="V2797" s="2" t="s">
        <v>332</v>
      </c>
      <c r="W2797" s="2" t="s">
        <v>333</v>
      </c>
      <c r="X2797" s="2" t="s">
        <v>83</v>
      </c>
      <c r="Y2797" s="2">
        <v>46.8</v>
      </c>
      <c r="Z2797" s="2">
        <v>38.299999999999997</v>
      </c>
      <c r="AA2797" s="2" t="s">
        <v>163</v>
      </c>
      <c r="AB2797" s="2" t="s">
        <v>18736</v>
      </c>
      <c r="AC2797" s="2">
        <v>-4.8440168342884702</v>
      </c>
      <c r="AD2797" s="2"/>
      <c r="AE2797" s="2">
        <v>0.21907673949687501</v>
      </c>
      <c r="AF2797" s="2">
        <v>5960.3959815829203</v>
      </c>
      <c r="AG2797" s="2">
        <v>2534.4442322923201</v>
      </c>
      <c r="AH2797" s="5">
        <v>2.3517566122147202</v>
      </c>
      <c r="AI2797" s="5">
        <v>1.23373876063346</v>
      </c>
      <c r="AJ2797" s="5" t="s">
        <v>139</v>
      </c>
      <c r="AK2797" s="2">
        <v>0.28241187419942798</v>
      </c>
      <c r="AL2797" s="2">
        <v>0.60000138164408201</v>
      </c>
      <c r="AM2797" s="2">
        <v>2667.8904215316702</v>
      </c>
      <c r="AN2797" s="2">
        <v>2696.2780561774698</v>
      </c>
      <c r="AO2797" s="2">
        <v>770.00324451815595</v>
      </c>
      <c r="AP2797" s="2">
        <v>1419.589955038</v>
      </c>
      <c r="AQ2797" s="2">
        <v>19795.1990634379</v>
      </c>
      <c r="AR2797" s="2">
        <v>8413.4151487943509</v>
      </c>
      <c r="AS2797" s="2">
        <v>4347.0752692597098</v>
      </c>
      <c r="AT2797" s="2">
        <v>3228.1604001137698</v>
      </c>
      <c r="AU2797" s="2">
        <v>2368.37570999939</v>
      </c>
      <c r="AV2797" s="2">
        <v>2415.8654321261902</v>
      </c>
      <c r="AW2797" s="2">
        <v>1252.68485711884</v>
      </c>
      <c r="AX2797" s="2">
        <v>1594.50372513604</v>
      </c>
    </row>
    <row r="2798" spans="1:50" x14ac:dyDescent="0.25">
      <c r="A2798" s="2" t="s">
        <v>18737</v>
      </c>
      <c r="B2798" s="2">
        <v>503.41117811556302</v>
      </c>
      <c r="C2798" s="2">
        <v>14.465633333333299</v>
      </c>
      <c r="D2798" s="2" t="s">
        <v>51</v>
      </c>
      <c r="E2798" s="2" t="s">
        <v>18738</v>
      </c>
      <c r="F2798" s="2">
        <v>254835</v>
      </c>
      <c r="G2798" s="3" t="str">
        <f>HYPERLINK("https://cloud.oebiotech.com/#/lm/network/254835", "https://cloud.oebiotech.com/#/lm/network/254835")</f>
        <v>https://cloud.oebiotech.com/#/lm/network/254835</v>
      </c>
      <c r="H2798" s="2" t="s">
        <v>18739</v>
      </c>
      <c r="I2798" s="2"/>
      <c r="J2798" s="2"/>
      <c r="K2798" s="2">
        <v>122421239</v>
      </c>
      <c r="L2798" s="2"/>
      <c r="M2798" s="2"/>
      <c r="N2798" s="2"/>
      <c r="O2798" s="2"/>
      <c r="P2798" s="2"/>
      <c r="Q2798" s="2"/>
      <c r="R2798" s="2"/>
      <c r="S2798" s="2" t="s">
        <v>18740</v>
      </c>
      <c r="T2798" s="2" t="s">
        <v>18741</v>
      </c>
      <c r="U2798" s="2" t="s">
        <v>610</v>
      </c>
      <c r="V2798" s="2" t="s">
        <v>895</v>
      </c>
      <c r="W2798" s="2" t="s">
        <v>5219</v>
      </c>
      <c r="X2798" s="2" t="s">
        <v>83</v>
      </c>
      <c r="Y2798" s="2">
        <v>42.7</v>
      </c>
      <c r="Z2798" s="2">
        <v>0</v>
      </c>
      <c r="AA2798" s="2" t="s">
        <v>218</v>
      </c>
      <c r="AB2798" s="2" t="s">
        <v>18742</v>
      </c>
      <c r="AC2798" s="2">
        <v>1.29637568270653</v>
      </c>
      <c r="AD2798" s="2"/>
      <c r="AE2798" s="2">
        <v>0.21899380742723401</v>
      </c>
      <c r="AF2798" s="2">
        <v>65845.477902360406</v>
      </c>
      <c r="AG2798" s="2">
        <v>71846.902701301704</v>
      </c>
      <c r="AH2798" s="4">
        <v>0.91646926209342905</v>
      </c>
      <c r="AI2798" s="4">
        <v>-0.12584160055867799</v>
      </c>
      <c r="AJ2798" s="4" t="s">
        <v>62</v>
      </c>
      <c r="AK2798" s="2">
        <v>0.72925258169680995</v>
      </c>
      <c r="AL2798" s="2">
        <v>0.87519414201178403</v>
      </c>
      <c r="AM2798" s="2">
        <v>22276.162928792099</v>
      </c>
      <c r="AN2798" s="2">
        <v>63214.418676562404</v>
      </c>
      <c r="AO2798" s="2">
        <v>58356.737273599101</v>
      </c>
      <c r="AP2798" s="2">
        <v>97739.719911515494</v>
      </c>
      <c r="AQ2798" s="2">
        <v>83836.752173044195</v>
      </c>
      <c r="AR2798" s="2">
        <v>69649.076450648907</v>
      </c>
      <c r="AS2798" s="2">
        <v>49996.614429349698</v>
      </c>
      <c r="AT2798" s="2">
        <v>112287.27092761701</v>
      </c>
      <c r="AU2798" s="2">
        <v>104411.76723840401</v>
      </c>
      <c r="AV2798" s="2">
        <v>35105.948761892898</v>
      </c>
      <c r="AW2798" s="2">
        <v>81712.890393539099</v>
      </c>
      <c r="AX2798" s="2">
        <v>47566.924457007502</v>
      </c>
    </row>
    <row r="2799" spans="1:50" x14ac:dyDescent="0.25">
      <c r="A2799" s="2" t="s">
        <v>18743</v>
      </c>
      <c r="B2799" s="2">
        <v>158.154340490707</v>
      </c>
      <c r="C2799" s="2">
        <v>7.7793999999999999</v>
      </c>
      <c r="D2799" s="2" t="s">
        <v>51</v>
      </c>
      <c r="E2799" s="2" t="s">
        <v>18744</v>
      </c>
      <c r="F2799" s="2">
        <v>6341</v>
      </c>
      <c r="G2799" s="3" t="str">
        <f>HYPERLINK("https://cloud.oebiotech.com/#/lm/network/6341", "https://cloud.oebiotech.com/#/lm/network/6341")</f>
        <v>https://cloud.oebiotech.com/#/lm/network/6341</v>
      </c>
      <c r="H2799" s="2" t="s">
        <v>18745</v>
      </c>
      <c r="I2799" s="2">
        <v>90242</v>
      </c>
      <c r="J2799" s="2" t="s">
        <v>18746</v>
      </c>
      <c r="K2799" s="2">
        <v>5364586</v>
      </c>
      <c r="L2799" s="2"/>
      <c r="M2799" s="2"/>
      <c r="N2799" s="2"/>
      <c r="O2799" s="2"/>
      <c r="P2799" s="2"/>
      <c r="Q2799" s="2"/>
      <c r="R2799" s="2" t="s">
        <v>18747</v>
      </c>
      <c r="S2799" s="2" t="s">
        <v>18748</v>
      </c>
      <c r="T2799" s="2" t="s">
        <v>18749</v>
      </c>
      <c r="U2799" s="2" t="s">
        <v>56</v>
      </c>
      <c r="V2799" s="2" t="s">
        <v>145</v>
      </c>
      <c r="W2799" s="2" t="s">
        <v>146</v>
      </c>
      <c r="X2799" s="2" t="s">
        <v>147</v>
      </c>
      <c r="Y2799" s="2">
        <v>40.799999999999997</v>
      </c>
      <c r="Z2799" s="2">
        <v>9.68</v>
      </c>
      <c r="AA2799" s="2" t="s">
        <v>512</v>
      </c>
      <c r="AB2799" s="2" t="s">
        <v>18750</v>
      </c>
      <c r="AC2799" s="2">
        <v>2.8534663039900101</v>
      </c>
      <c r="AD2799" s="2"/>
      <c r="AE2799" s="2">
        <v>0.218934216167739</v>
      </c>
      <c r="AF2799" s="2">
        <v>8783.6447542301394</v>
      </c>
      <c r="AG2799" s="2">
        <v>5489.4978866624297</v>
      </c>
      <c r="AH2799" s="5">
        <v>1.60008163507474</v>
      </c>
      <c r="AI2799" s="5">
        <v>0.67814551230829401</v>
      </c>
      <c r="AJ2799" s="5" t="s">
        <v>139</v>
      </c>
      <c r="AK2799" s="2">
        <v>0.46543768572051503</v>
      </c>
      <c r="AL2799" s="2">
        <v>0.71329029553543499</v>
      </c>
      <c r="AM2799" s="2">
        <v>3942.5299427336099</v>
      </c>
      <c r="AN2799" s="2">
        <v>4619.6231674851697</v>
      </c>
      <c r="AO2799" s="2">
        <v>30136.4932900985</v>
      </c>
      <c r="AP2799" s="2">
        <v>4627.5252027678798</v>
      </c>
      <c r="AQ2799" s="2">
        <v>5677.4312173395301</v>
      </c>
      <c r="AR2799" s="2">
        <v>3698.2657049561799</v>
      </c>
      <c r="AS2799" s="2">
        <v>8881.0392339618593</v>
      </c>
      <c r="AT2799" s="2">
        <v>5529.1007227548298</v>
      </c>
      <c r="AU2799" s="2">
        <v>4177.6754588137801</v>
      </c>
      <c r="AV2799" s="2">
        <v>4229.5094077805497</v>
      </c>
      <c r="AW2799" s="2">
        <v>4512.8905741068302</v>
      </c>
      <c r="AX2799" s="2">
        <v>5606.7719225567198</v>
      </c>
    </row>
    <row r="2800" spans="1:50" x14ac:dyDescent="0.25">
      <c r="A2800" s="2" t="s">
        <v>18751</v>
      </c>
      <c r="B2800" s="2">
        <v>238.99468698844399</v>
      </c>
      <c r="C2800" s="2">
        <v>7.4499333333333304</v>
      </c>
      <c r="D2800" s="2" t="s">
        <v>51</v>
      </c>
      <c r="E2800" s="2" t="s">
        <v>18752</v>
      </c>
      <c r="F2800" s="2">
        <v>52698</v>
      </c>
      <c r="G2800" s="3" t="str">
        <f>HYPERLINK("https://cloud.oebiotech.com/#/lm/network/52698", "https://cloud.oebiotech.com/#/lm/network/52698")</f>
        <v>https://cloud.oebiotech.com/#/lm/network/52698</v>
      </c>
      <c r="H2800" s="2" t="s">
        <v>18753</v>
      </c>
      <c r="I2800" s="2">
        <v>85362</v>
      </c>
      <c r="J2800" s="2"/>
      <c r="K2800" s="2">
        <v>3295</v>
      </c>
      <c r="L2800" s="2"/>
      <c r="M2800" s="2"/>
      <c r="N2800" s="2"/>
      <c r="O2800" s="2">
        <v>101096</v>
      </c>
      <c r="P2800" s="2"/>
      <c r="Q2800" s="2"/>
      <c r="R2800" s="2" t="s">
        <v>18754</v>
      </c>
      <c r="S2800" s="2" t="s">
        <v>18755</v>
      </c>
      <c r="T2800" s="2" t="s">
        <v>18756</v>
      </c>
      <c r="U2800" s="2" t="s">
        <v>266</v>
      </c>
      <c r="V2800" s="2" t="s">
        <v>9065</v>
      </c>
      <c r="W2800" s="2" t="s">
        <v>240</v>
      </c>
      <c r="X2800" s="2" t="s">
        <v>147</v>
      </c>
      <c r="Y2800" s="2">
        <v>36.4</v>
      </c>
      <c r="Z2800" s="2">
        <v>2.62</v>
      </c>
      <c r="AA2800" s="2" t="s">
        <v>379</v>
      </c>
      <c r="AB2800" s="2" t="s">
        <v>18757</v>
      </c>
      <c r="AC2800" s="2">
        <v>-2.9303938300720702</v>
      </c>
      <c r="AD2800" s="2"/>
      <c r="AE2800" s="2">
        <v>0.21885364099283</v>
      </c>
      <c r="AF2800" s="2">
        <v>12218.1326376733</v>
      </c>
      <c r="AG2800" s="2">
        <v>13953.960024529501</v>
      </c>
      <c r="AH2800" s="4">
        <v>0.87560324210440599</v>
      </c>
      <c r="AI2800" s="4">
        <v>-0.19165079847804101</v>
      </c>
      <c r="AJ2800" s="4" t="s">
        <v>62</v>
      </c>
      <c r="AK2800" s="2">
        <v>0.34261513204136601</v>
      </c>
      <c r="AL2800" s="2">
        <v>0.63815037094278604</v>
      </c>
      <c r="AM2800" s="2">
        <v>8176.7793389365197</v>
      </c>
      <c r="AN2800" s="2">
        <v>10086.577086323699</v>
      </c>
      <c r="AO2800" s="2">
        <v>13407.1899251576</v>
      </c>
      <c r="AP2800" s="2">
        <v>15933.650114821499</v>
      </c>
      <c r="AQ2800" s="2">
        <v>16334.8402821491</v>
      </c>
      <c r="AR2800" s="2">
        <v>9369.7590786513992</v>
      </c>
      <c r="AS2800" s="2">
        <v>13817.093610054601</v>
      </c>
      <c r="AT2800" s="2">
        <v>17809.0392885201</v>
      </c>
      <c r="AU2800" s="2">
        <v>10164.0395066413</v>
      </c>
      <c r="AV2800" s="2">
        <v>13977.9429611632</v>
      </c>
      <c r="AW2800" s="2">
        <v>13399.0073957861</v>
      </c>
      <c r="AX2800" s="2">
        <v>14556.6373850117</v>
      </c>
    </row>
    <row r="2801" spans="1:50" x14ac:dyDescent="0.25">
      <c r="A2801" s="2" t="s">
        <v>18758</v>
      </c>
      <c r="B2801" s="2">
        <v>390.22663846381801</v>
      </c>
      <c r="C2801" s="2">
        <v>13.262283333333301</v>
      </c>
      <c r="D2801" s="2" t="s">
        <v>51</v>
      </c>
      <c r="E2801" s="2" t="s">
        <v>18759</v>
      </c>
      <c r="F2801" s="2">
        <v>197994</v>
      </c>
      <c r="G2801" s="3" t="str">
        <f>HYPERLINK("https://cloud.oebiotech.com/#/lm/network/197994", "https://cloud.oebiotech.com/#/lm/network/197994")</f>
        <v>https://cloud.oebiotech.com/#/lm/network/197994</v>
      </c>
      <c r="H2801" s="2" t="s">
        <v>18760</v>
      </c>
      <c r="I2801" s="2"/>
      <c r="J2801" s="2"/>
      <c r="K2801" s="2"/>
      <c r="L2801" s="2"/>
      <c r="M2801" s="2"/>
      <c r="N2801" s="2"/>
      <c r="O2801" s="2"/>
      <c r="P2801" s="2"/>
      <c r="Q2801" s="2"/>
      <c r="R2801" s="2"/>
      <c r="S2801" s="2" t="s">
        <v>18761</v>
      </c>
      <c r="T2801" s="2" t="s">
        <v>18762</v>
      </c>
      <c r="U2801" s="2" t="s">
        <v>56</v>
      </c>
      <c r="V2801" s="2" t="s">
        <v>145</v>
      </c>
      <c r="W2801" s="2" t="s">
        <v>1188</v>
      </c>
      <c r="X2801" s="2" t="s">
        <v>147</v>
      </c>
      <c r="Y2801" s="2">
        <v>38.6</v>
      </c>
      <c r="Z2801" s="2">
        <v>3.68</v>
      </c>
      <c r="AA2801" s="2" t="s">
        <v>379</v>
      </c>
      <c r="AB2801" s="2" t="s">
        <v>18763</v>
      </c>
      <c r="AC2801" s="2">
        <v>-4.7850405304701198</v>
      </c>
      <c r="AD2801" s="2"/>
      <c r="AE2801" s="2">
        <v>0.218659876534574</v>
      </c>
      <c r="AF2801" s="2">
        <v>427.54601463694098</v>
      </c>
      <c r="AG2801" s="2">
        <v>1937.7632647231101</v>
      </c>
      <c r="AH2801" s="4">
        <v>0.22063893067868301</v>
      </c>
      <c r="AI2801" s="4">
        <v>-2.18024072489301</v>
      </c>
      <c r="AJ2801" s="4" t="s">
        <v>62</v>
      </c>
      <c r="AK2801" s="2">
        <v>5.0810281190474302E-2</v>
      </c>
      <c r="AL2801" s="2">
        <v>0.31163289197091498</v>
      </c>
      <c r="AM2801" s="2">
        <v>199.22509622963901</v>
      </c>
      <c r="AN2801" s="2">
        <v>8.559877937157E-6</v>
      </c>
      <c r="AO2801" s="2">
        <v>480.37486375553601</v>
      </c>
      <c r="AP2801" s="2">
        <v>8.559877937157E-6</v>
      </c>
      <c r="AQ2801" s="2">
        <v>762.79325313069603</v>
      </c>
      <c r="AR2801" s="2">
        <v>1122.88285758602</v>
      </c>
      <c r="AS2801" s="2">
        <v>574.29992903556604</v>
      </c>
      <c r="AT2801" s="2">
        <v>221.845396272931</v>
      </c>
      <c r="AU2801" s="2">
        <v>4581.0334589008498</v>
      </c>
      <c r="AV2801" s="2">
        <v>2466.3214268271799</v>
      </c>
      <c r="AW2801" s="2">
        <v>2527.8831877974999</v>
      </c>
      <c r="AX2801" s="2">
        <v>1255.19618950466</v>
      </c>
    </row>
    <row r="2802" spans="1:50" x14ac:dyDescent="0.25">
      <c r="A2802" s="2" t="s">
        <v>18764</v>
      </c>
      <c r="B2802" s="2">
        <v>301.21715402567798</v>
      </c>
      <c r="C2802" s="2">
        <v>8.1912333333333294</v>
      </c>
      <c r="D2802" s="2" t="s">
        <v>51</v>
      </c>
      <c r="E2802" s="2" t="s">
        <v>18765</v>
      </c>
      <c r="F2802" s="2">
        <v>1143</v>
      </c>
      <c r="G2802" s="3" t="str">
        <f>HYPERLINK("https://cloud.oebiotech.com/#/lm/network/1143", "https://cloud.oebiotech.com/#/lm/network/1143")</f>
        <v>https://cloud.oebiotech.com/#/lm/network/1143</v>
      </c>
      <c r="H2802" s="2"/>
      <c r="I2802" s="2">
        <v>74316</v>
      </c>
      <c r="J2802" s="2" t="s">
        <v>18766</v>
      </c>
      <c r="K2802" s="2">
        <v>9543624</v>
      </c>
      <c r="L2802" s="2"/>
      <c r="M2802" s="2"/>
      <c r="N2802" s="2"/>
      <c r="O2802" s="2"/>
      <c r="P2802" s="2"/>
      <c r="Q2802" s="2"/>
      <c r="R2802" s="2"/>
      <c r="S2802" s="2" t="s">
        <v>18767</v>
      </c>
      <c r="T2802" s="2" t="s">
        <v>18768</v>
      </c>
      <c r="U2802" s="2" t="s">
        <v>56</v>
      </c>
      <c r="V2802" s="2" t="s">
        <v>145</v>
      </c>
      <c r="W2802" s="2" t="s">
        <v>187</v>
      </c>
      <c r="X2802" s="2" t="s">
        <v>59</v>
      </c>
      <c r="Y2802" s="2">
        <v>39</v>
      </c>
      <c r="Z2802" s="2">
        <v>46.9</v>
      </c>
      <c r="AA2802" s="2" t="s">
        <v>156</v>
      </c>
      <c r="AB2802" s="2" t="s">
        <v>180</v>
      </c>
      <c r="AC2802" s="2">
        <v>2.9773628362239899</v>
      </c>
      <c r="AD2802" s="2"/>
      <c r="AE2802" s="2">
        <v>0.21856913874245401</v>
      </c>
      <c r="AF2802" s="2">
        <v>3475.6797586411699</v>
      </c>
      <c r="AG2802" s="2">
        <v>2085.1228359595598</v>
      </c>
      <c r="AH2802" s="5">
        <v>1.66689448635849</v>
      </c>
      <c r="AI2802" s="5">
        <v>0.737162785293071</v>
      </c>
      <c r="AJ2802" s="5" t="s">
        <v>139</v>
      </c>
      <c r="AK2802" s="2">
        <v>6.9850751057951493E-2</v>
      </c>
      <c r="AL2802" s="2">
        <v>0.34931101666430697</v>
      </c>
      <c r="AM2802" s="2">
        <v>3376.6353375779499</v>
      </c>
      <c r="AN2802" s="2">
        <v>3355.5543701772999</v>
      </c>
      <c r="AO2802" s="2">
        <v>2140.2268199507898</v>
      </c>
      <c r="AP2802" s="2">
        <v>4371.6768361068798</v>
      </c>
      <c r="AQ2802" s="2">
        <v>4333.3101858546697</v>
      </c>
      <c r="AR2802" s="2">
        <v>3276.6750021794101</v>
      </c>
      <c r="AS2802" s="2">
        <v>1366.5743132745099</v>
      </c>
      <c r="AT2802" s="2">
        <v>4594.5287474363904</v>
      </c>
      <c r="AU2802" s="2">
        <v>2279.8119508657101</v>
      </c>
      <c r="AV2802" s="2">
        <v>476.47428003372698</v>
      </c>
      <c r="AW2802" s="2">
        <v>2666.9495370156501</v>
      </c>
      <c r="AX2802" s="2">
        <v>1126.3981871313799</v>
      </c>
    </row>
    <row r="2803" spans="1:50" x14ac:dyDescent="0.25">
      <c r="A2803" s="2" t="s">
        <v>18769</v>
      </c>
      <c r="B2803" s="2">
        <v>366.07311565912897</v>
      </c>
      <c r="C2803" s="2">
        <v>6.3538666666666703</v>
      </c>
      <c r="D2803" s="2" t="s">
        <v>51</v>
      </c>
      <c r="E2803" s="2" t="s">
        <v>18770</v>
      </c>
      <c r="F2803" s="2">
        <v>257549</v>
      </c>
      <c r="G2803" s="3" t="str">
        <f>HYPERLINK("https://cloud.oebiotech.com/#/lm/network/257549", "https://cloud.oebiotech.com/#/lm/network/257549")</f>
        <v>https://cloud.oebiotech.com/#/lm/network/257549</v>
      </c>
      <c r="H2803" s="2" t="s">
        <v>18771</v>
      </c>
      <c r="I2803" s="2"/>
      <c r="J2803" s="2"/>
      <c r="K2803" s="2">
        <v>350</v>
      </c>
      <c r="L2803" s="2"/>
      <c r="M2803" s="2"/>
      <c r="N2803" s="2"/>
      <c r="O2803" s="2"/>
      <c r="P2803" s="2"/>
      <c r="Q2803" s="2"/>
      <c r="R2803" s="2"/>
      <c r="S2803" s="2" t="s">
        <v>18772</v>
      </c>
      <c r="T2803" s="2" t="s">
        <v>18773</v>
      </c>
      <c r="U2803" s="2" t="s">
        <v>103</v>
      </c>
      <c r="V2803" s="2" t="s">
        <v>104</v>
      </c>
      <c r="W2803" s="2" t="s">
        <v>105</v>
      </c>
      <c r="X2803" s="2" t="s">
        <v>147</v>
      </c>
      <c r="Y2803" s="2">
        <v>45.3</v>
      </c>
      <c r="Z2803" s="2">
        <v>37.5</v>
      </c>
      <c r="AA2803" s="2" t="s">
        <v>95</v>
      </c>
      <c r="AB2803" s="2" t="s">
        <v>18774</v>
      </c>
      <c r="AC2803" s="2">
        <v>-4.5606658241747198</v>
      </c>
      <c r="AD2803" s="2"/>
      <c r="AE2803" s="2">
        <v>0.218565902509996</v>
      </c>
      <c r="AF2803" s="2">
        <v>4094.7682880993402</v>
      </c>
      <c r="AG2803" s="2">
        <v>8537.80816379104</v>
      </c>
      <c r="AH2803" s="4">
        <v>0.47960415712609999</v>
      </c>
      <c r="AI2803" s="4">
        <v>-1.06008393104929</v>
      </c>
      <c r="AJ2803" s="4" t="s">
        <v>62</v>
      </c>
      <c r="AK2803" s="2">
        <v>0.40267402474203801</v>
      </c>
      <c r="AL2803" s="2">
        <v>0.67024796707061796</v>
      </c>
      <c r="AM2803" s="2">
        <v>17860.664313734898</v>
      </c>
      <c r="AN2803" s="2">
        <v>8.559877937157E-6</v>
      </c>
      <c r="AO2803" s="2">
        <v>8.559877937157E-6</v>
      </c>
      <c r="AP2803" s="2">
        <v>8.559877937157E-6</v>
      </c>
      <c r="AQ2803" s="2">
        <v>6020.9684644805002</v>
      </c>
      <c r="AR2803" s="2">
        <v>686.97692470100401</v>
      </c>
      <c r="AS2803" s="2">
        <v>27993.703005226202</v>
      </c>
      <c r="AT2803" s="2">
        <v>544.08545969743</v>
      </c>
      <c r="AU2803" s="2">
        <v>11259.9470749469</v>
      </c>
      <c r="AV2803" s="2">
        <v>3723.2570050552599</v>
      </c>
      <c r="AW2803" s="2">
        <v>5161.3377324456596</v>
      </c>
      <c r="AX2803" s="2">
        <v>2544.51870537481</v>
      </c>
    </row>
    <row r="2804" spans="1:50" x14ac:dyDescent="0.25">
      <c r="A2804" s="2" t="s">
        <v>18775</v>
      </c>
      <c r="B2804" s="2">
        <v>596.39372069973103</v>
      </c>
      <c r="C2804" s="2">
        <v>11.7151666666667</v>
      </c>
      <c r="D2804" s="2" t="s">
        <v>51</v>
      </c>
      <c r="E2804" s="2" t="s">
        <v>18776</v>
      </c>
      <c r="F2804" s="2">
        <v>19546</v>
      </c>
      <c r="G2804" s="3" t="str">
        <f>HYPERLINK("https://cloud.oebiotech.com/#/lm/network/19546", "https://cloud.oebiotech.com/#/lm/network/19546")</f>
        <v>https://cloud.oebiotech.com/#/lm/network/19546</v>
      </c>
      <c r="H2804" s="2"/>
      <c r="I2804" s="2">
        <v>40099</v>
      </c>
      <c r="J2804" s="2" t="s">
        <v>18777</v>
      </c>
      <c r="K2804" s="2">
        <v>24779310</v>
      </c>
      <c r="L2804" s="2"/>
      <c r="M2804" s="2"/>
      <c r="N2804" s="2"/>
      <c r="O2804" s="2">
        <v>78368</v>
      </c>
      <c r="P2804" s="2"/>
      <c r="Q2804" s="2"/>
      <c r="R2804" s="2"/>
      <c r="S2804" s="2" t="s">
        <v>18778</v>
      </c>
      <c r="T2804" s="2" t="s">
        <v>18779</v>
      </c>
      <c r="U2804" s="2" t="s">
        <v>56</v>
      </c>
      <c r="V2804" s="2" t="s">
        <v>57</v>
      </c>
      <c r="W2804" s="2" t="s">
        <v>58</v>
      </c>
      <c r="X2804" s="2" t="s">
        <v>69</v>
      </c>
      <c r="Y2804" s="2">
        <v>62.3</v>
      </c>
      <c r="Z2804" s="2">
        <v>90.2</v>
      </c>
      <c r="AA2804" s="2" t="s">
        <v>218</v>
      </c>
      <c r="AB2804" s="2" t="s">
        <v>18780</v>
      </c>
      <c r="AC2804" s="2">
        <v>0.77620921746448002</v>
      </c>
      <c r="AD2804" s="2"/>
      <c r="AE2804" s="2">
        <v>0.21852688241663401</v>
      </c>
      <c r="AF2804" s="2">
        <v>48449.640269805597</v>
      </c>
      <c r="AG2804" s="2">
        <v>57325.499754066397</v>
      </c>
      <c r="AH2804" s="4">
        <v>0.84516734224142198</v>
      </c>
      <c r="AI2804" s="4">
        <v>-0.24269107311452601</v>
      </c>
      <c r="AJ2804" s="4" t="s">
        <v>62</v>
      </c>
      <c r="AK2804" s="2">
        <v>0.54253982934172595</v>
      </c>
      <c r="AL2804" s="2">
        <v>0.766918801619482</v>
      </c>
      <c r="AM2804" s="2">
        <v>61333.630488924697</v>
      </c>
      <c r="AN2804" s="2">
        <v>66724.074172998793</v>
      </c>
      <c r="AO2804" s="2">
        <v>65391.145926929799</v>
      </c>
      <c r="AP2804" s="2">
        <v>31302.278839994</v>
      </c>
      <c r="AQ2804" s="2">
        <v>29659.307855095802</v>
      </c>
      <c r="AR2804" s="2">
        <v>36287.4043348907</v>
      </c>
      <c r="AS2804" s="2">
        <v>31429.687663403001</v>
      </c>
      <c r="AT2804" s="2">
        <v>22368.174885683598</v>
      </c>
      <c r="AU2804" s="2">
        <v>90160.062613938499</v>
      </c>
      <c r="AV2804" s="2">
        <v>86709.570861141896</v>
      </c>
      <c r="AW2804" s="2">
        <v>72909.237817090601</v>
      </c>
      <c r="AX2804" s="2">
        <v>40376.264683141097</v>
      </c>
    </row>
    <row r="2805" spans="1:50" x14ac:dyDescent="0.25">
      <c r="A2805" s="2" t="s">
        <v>18781</v>
      </c>
      <c r="B2805" s="2">
        <v>280.16318667825698</v>
      </c>
      <c r="C2805" s="2">
        <v>11.187900000000001</v>
      </c>
      <c r="D2805" s="2" t="s">
        <v>51</v>
      </c>
      <c r="E2805" s="2" t="s">
        <v>18782</v>
      </c>
      <c r="F2805" s="2">
        <v>52190</v>
      </c>
      <c r="G2805" s="3" t="str">
        <f>HYPERLINK("https://cloud.oebiotech.com/#/lm/network/52190", "https://cloud.oebiotech.com/#/lm/network/52190")</f>
        <v>https://cloud.oebiotech.com/#/lm/network/52190</v>
      </c>
      <c r="H2805" s="2" t="s">
        <v>18783</v>
      </c>
      <c r="I2805" s="2"/>
      <c r="J2805" s="2"/>
      <c r="K2805" s="2"/>
      <c r="L2805" s="2"/>
      <c r="M2805" s="2"/>
      <c r="N2805" s="2"/>
      <c r="O2805" s="2"/>
      <c r="P2805" s="2"/>
      <c r="Q2805" s="2"/>
      <c r="R2805" s="2" t="s">
        <v>18784</v>
      </c>
      <c r="S2805" s="2" t="s">
        <v>18785</v>
      </c>
      <c r="T2805" s="2" t="s">
        <v>18786</v>
      </c>
      <c r="U2805" s="2" t="s">
        <v>56</v>
      </c>
      <c r="V2805" s="2" t="s">
        <v>145</v>
      </c>
      <c r="W2805" s="2" t="s">
        <v>1188</v>
      </c>
      <c r="X2805" s="2" t="s">
        <v>147</v>
      </c>
      <c r="Y2805" s="2">
        <v>37.200000000000003</v>
      </c>
      <c r="Z2805" s="2">
        <v>0</v>
      </c>
      <c r="AA2805" s="2" t="s">
        <v>512</v>
      </c>
      <c r="AB2805" s="2" t="s">
        <v>18787</v>
      </c>
      <c r="AC2805" s="2">
        <v>1.13983811801799</v>
      </c>
      <c r="AD2805" s="2"/>
      <c r="AE2805" s="2">
        <v>0.21848047824803399</v>
      </c>
      <c r="AF2805" s="2">
        <v>40990.021823932002</v>
      </c>
      <c r="AG2805" s="2">
        <v>44129.666725993899</v>
      </c>
      <c r="AH2805" s="4">
        <v>0.92885409895442195</v>
      </c>
      <c r="AI2805" s="4">
        <v>-0.106476093807541</v>
      </c>
      <c r="AJ2805" s="4" t="s">
        <v>62</v>
      </c>
      <c r="AK2805" s="2">
        <v>0.26631506333861499</v>
      </c>
      <c r="AL2805" s="2">
        <v>0.58793719391510602</v>
      </c>
      <c r="AM2805" s="2">
        <v>39885.923993391698</v>
      </c>
      <c r="AN2805" s="2">
        <v>46468.0334578904</v>
      </c>
      <c r="AO2805" s="2">
        <v>39876.484771187301</v>
      </c>
      <c r="AP2805" s="2">
        <v>43736.900869474499</v>
      </c>
      <c r="AQ2805" s="2">
        <v>44167.654623383598</v>
      </c>
      <c r="AR2805" s="2">
        <v>31805.1332282644</v>
      </c>
      <c r="AS2805" s="2">
        <v>43454.000644186599</v>
      </c>
      <c r="AT2805" s="2">
        <v>51030.447972181799</v>
      </c>
      <c r="AU2805" s="2">
        <v>40101.691708432998</v>
      </c>
      <c r="AV2805" s="2">
        <v>41013.4304109363</v>
      </c>
      <c r="AW2805" s="2">
        <v>43100.973697393099</v>
      </c>
      <c r="AX2805" s="2">
        <v>46077.455922832603</v>
      </c>
    </row>
    <row r="2806" spans="1:50" x14ac:dyDescent="0.25">
      <c r="A2806" s="2" t="s">
        <v>18788</v>
      </c>
      <c r="B2806" s="2">
        <v>578.34643391647705</v>
      </c>
      <c r="C2806" s="2">
        <v>11.96875</v>
      </c>
      <c r="D2806" s="2" t="s">
        <v>51</v>
      </c>
      <c r="E2806" s="2" t="s">
        <v>18789</v>
      </c>
      <c r="F2806" s="2">
        <v>21185</v>
      </c>
      <c r="G2806" s="3" t="str">
        <f>HYPERLINK("https://cloud.oebiotech.com/#/lm/network/21185", "https://cloud.oebiotech.com/#/lm/network/21185")</f>
        <v>https://cloud.oebiotech.com/#/lm/network/21185</v>
      </c>
      <c r="H2806" s="2" t="s">
        <v>18790</v>
      </c>
      <c r="I2806" s="2">
        <v>62306</v>
      </c>
      <c r="J2806" s="2" t="s">
        <v>18791</v>
      </c>
      <c r="K2806" s="2">
        <v>52925143</v>
      </c>
      <c r="L2806" s="2"/>
      <c r="M2806" s="2"/>
      <c r="N2806" s="2"/>
      <c r="O2806" s="2"/>
      <c r="P2806" s="2"/>
      <c r="Q2806" s="2"/>
      <c r="R2806" s="2"/>
      <c r="S2806" s="2" t="s">
        <v>18792</v>
      </c>
      <c r="T2806" s="2" t="s">
        <v>18793</v>
      </c>
      <c r="U2806" s="2" t="s">
        <v>56</v>
      </c>
      <c r="V2806" s="2" t="s">
        <v>57</v>
      </c>
      <c r="W2806" s="2" t="s">
        <v>155</v>
      </c>
      <c r="X2806" s="2" t="s">
        <v>83</v>
      </c>
      <c r="Y2806" s="2">
        <v>40.9</v>
      </c>
      <c r="Z2806" s="2">
        <v>0</v>
      </c>
      <c r="AA2806" s="2" t="s">
        <v>218</v>
      </c>
      <c r="AB2806" s="2" t="s">
        <v>18794</v>
      </c>
      <c r="AC2806" s="2">
        <v>0.17138358666214401</v>
      </c>
      <c r="AD2806" s="2"/>
      <c r="AE2806" s="2">
        <v>0.21843139972756001</v>
      </c>
      <c r="AF2806" s="2">
        <v>2221.4316395212199</v>
      </c>
      <c r="AG2806" s="2">
        <v>1014.5672312235901</v>
      </c>
      <c r="AH2806" s="5">
        <v>2.1895361600059999</v>
      </c>
      <c r="AI2806" s="5">
        <v>1.1306252759748801</v>
      </c>
      <c r="AJ2806" s="5" t="s">
        <v>139</v>
      </c>
      <c r="AK2806" s="2">
        <v>0.17093891317190901</v>
      </c>
      <c r="AL2806" s="2">
        <v>0.49169783309187098</v>
      </c>
      <c r="AM2806" s="2">
        <v>5217.2441209300296</v>
      </c>
      <c r="AN2806" s="2">
        <v>2957.3021493803599</v>
      </c>
      <c r="AO2806" s="2">
        <v>1161.59708927171</v>
      </c>
      <c r="AP2806" s="2">
        <v>1541.5143418725299</v>
      </c>
      <c r="AQ2806" s="2">
        <v>705.61304862417205</v>
      </c>
      <c r="AR2806" s="2">
        <v>1745.31908704854</v>
      </c>
      <c r="AS2806" s="2">
        <v>498.87652801053798</v>
      </c>
      <c r="AT2806" s="2">
        <v>8.559877937157E-6</v>
      </c>
      <c r="AU2806" s="2">
        <v>3116.1036495293602</v>
      </c>
      <c r="AV2806" s="2">
        <v>1414.7338332852701</v>
      </c>
      <c r="AW2806" s="2">
        <v>295.28945604418698</v>
      </c>
      <c r="AX2806" s="2">
        <v>762.399911912314</v>
      </c>
    </row>
    <row r="2807" spans="1:50" x14ac:dyDescent="0.25">
      <c r="A2807" s="2" t="s">
        <v>18795</v>
      </c>
      <c r="B2807" s="2">
        <v>295.12997532773397</v>
      </c>
      <c r="C2807" s="2">
        <v>3.7123833333333298</v>
      </c>
      <c r="D2807" s="2" t="s">
        <v>51</v>
      </c>
      <c r="E2807" s="2" t="s">
        <v>18796</v>
      </c>
      <c r="F2807" s="2">
        <v>266147</v>
      </c>
      <c r="G2807" s="3" t="str">
        <f>HYPERLINK("https://cloud.oebiotech.com/#/lm/network/266147", "https://cloud.oebiotech.com/#/lm/network/266147")</f>
        <v>https://cloud.oebiotech.com/#/lm/network/266147</v>
      </c>
      <c r="H2807" s="2"/>
      <c r="I2807" s="2">
        <v>23756</v>
      </c>
      <c r="J2807" s="2"/>
      <c r="K2807" s="2">
        <v>19365626</v>
      </c>
      <c r="L2807" s="2"/>
      <c r="M2807" s="2"/>
      <c r="N2807" s="2"/>
      <c r="O2807" s="2"/>
      <c r="P2807" s="2"/>
      <c r="Q2807" s="2"/>
      <c r="R2807" s="2"/>
      <c r="S2807" s="2" t="s">
        <v>18797</v>
      </c>
      <c r="T2807" s="2" t="s">
        <v>18798</v>
      </c>
      <c r="U2807" s="2" t="s">
        <v>103</v>
      </c>
      <c r="V2807" s="2" t="s">
        <v>104</v>
      </c>
      <c r="W2807" s="2" t="s">
        <v>105</v>
      </c>
      <c r="X2807" s="2" t="s">
        <v>69</v>
      </c>
      <c r="Y2807" s="2">
        <v>59.9</v>
      </c>
      <c r="Z2807" s="2">
        <v>70.2</v>
      </c>
      <c r="AA2807" s="2" t="s">
        <v>179</v>
      </c>
      <c r="AB2807" s="2" t="s">
        <v>18799</v>
      </c>
      <c r="AC2807" s="2">
        <v>3.8324665108311402</v>
      </c>
      <c r="AD2807" s="2"/>
      <c r="AE2807" s="2">
        <v>0.21833947831964101</v>
      </c>
      <c r="AF2807" s="2">
        <v>15925.7260956383</v>
      </c>
      <c r="AG2807" s="2">
        <v>12765.5490034052</v>
      </c>
      <c r="AH2807" s="5">
        <v>1.2475551260184801</v>
      </c>
      <c r="AI2807" s="5">
        <v>0.31910356568386</v>
      </c>
      <c r="AJ2807" s="5" t="s">
        <v>139</v>
      </c>
      <c r="AK2807" s="2">
        <v>0.69806453389546397</v>
      </c>
      <c r="AL2807" s="2">
        <v>0.85481101092610401</v>
      </c>
      <c r="AM2807" s="2">
        <v>15424.9187996319</v>
      </c>
      <c r="AN2807" s="2">
        <v>16583.100652159101</v>
      </c>
      <c r="AO2807" s="2">
        <v>12004.1012267284</v>
      </c>
      <c r="AP2807" s="2">
        <v>9142.6524575544008</v>
      </c>
      <c r="AQ2807" s="2">
        <v>31564.311002205501</v>
      </c>
      <c r="AR2807" s="2">
        <v>10835.2724355503</v>
      </c>
      <c r="AS2807" s="2">
        <v>2133.27868180108</v>
      </c>
      <c r="AT2807" s="2">
        <v>3182.30730490933</v>
      </c>
      <c r="AU2807" s="2">
        <v>47311.488870670102</v>
      </c>
      <c r="AV2807" s="2">
        <v>15270.8306418462</v>
      </c>
      <c r="AW2807" s="2">
        <v>4031.8698759969898</v>
      </c>
      <c r="AX2807" s="2">
        <v>4663.5186452075704</v>
      </c>
    </row>
    <row r="2808" spans="1:50" x14ac:dyDescent="0.25">
      <c r="A2808" s="2" t="s">
        <v>18800</v>
      </c>
      <c r="B2808" s="2">
        <v>342.21360664042697</v>
      </c>
      <c r="C2808" s="2">
        <v>3.9837333333333298</v>
      </c>
      <c r="D2808" s="2" t="s">
        <v>51</v>
      </c>
      <c r="E2808" s="2" t="s">
        <v>18801</v>
      </c>
      <c r="F2808" s="2">
        <v>208156</v>
      </c>
      <c r="G2808" s="3" t="str">
        <f>HYPERLINK("https://cloud.oebiotech.com/#/lm/network/208156", "https://cloud.oebiotech.com/#/lm/network/208156")</f>
        <v>https://cloud.oebiotech.com/#/lm/network/208156</v>
      </c>
      <c r="H2808" s="2" t="s">
        <v>18802</v>
      </c>
      <c r="I2808" s="2"/>
      <c r="J2808" s="2"/>
      <c r="K2808" s="2">
        <v>13312506</v>
      </c>
      <c r="L2808" s="2"/>
      <c r="M2808" s="2"/>
      <c r="N2808" s="2"/>
      <c r="O2808" s="2"/>
      <c r="P2808" s="2"/>
      <c r="Q2808" s="2"/>
      <c r="R2808" s="2"/>
      <c r="S2808" s="2" t="s">
        <v>18803</v>
      </c>
      <c r="T2808" s="2" t="s">
        <v>18804</v>
      </c>
      <c r="U2808" s="2" t="s">
        <v>103</v>
      </c>
      <c r="V2808" s="2" t="s">
        <v>104</v>
      </c>
      <c r="W2808" s="2" t="s">
        <v>105</v>
      </c>
      <c r="X2808" s="2" t="s">
        <v>59</v>
      </c>
      <c r="Y2808" s="2">
        <v>49.1</v>
      </c>
      <c r="Z2808" s="2">
        <v>50.9</v>
      </c>
      <c r="AA2808" s="2" t="s">
        <v>512</v>
      </c>
      <c r="AB2808" s="2" t="s">
        <v>18805</v>
      </c>
      <c r="AC2808" s="2">
        <v>7.9719066152510704E-2</v>
      </c>
      <c r="AD2808" s="2"/>
      <c r="AE2808" s="2">
        <v>0.21826483375681199</v>
      </c>
      <c r="AF2808" s="2">
        <v>20237.011072728401</v>
      </c>
      <c r="AG2808" s="2">
        <v>24779.025668563499</v>
      </c>
      <c r="AH2808" s="4">
        <v>0.81669922552292495</v>
      </c>
      <c r="AI2808" s="4">
        <v>-0.29212323529232698</v>
      </c>
      <c r="AJ2808" s="4" t="s">
        <v>62</v>
      </c>
      <c r="AK2808" s="2">
        <v>0.44982215414623</v>
      </c>
      <c r="AL2808" s="2">
        <v>0.70407682969872998</v>
      </c>
      <c r="AM2808" s="2">
        <v>10171.9595031996</v>
      </c>
      <c r="AN2808" s="2">
        <v>25680.860759739298</v>
      </c>
      <c r="AO2808" s="2">
        <v>32435.952296792901</v>
      </c>
      <c r="AP2808" s="2">
        <v>25370.7638733813</v>
      </c>
      <c r="AQ2808" s="2">
        <v>14285.818962801901</v>
      </c>
      <c r="AR2808" s="2">
        <v>13476.711040455701</v>
      </c>
      <c r="AS2808" s="2">
        <v>30372.177173076201</v>
      </c>
      <c r="AT2808" s="2">
        <v>36354.828525026802</v>
      </c>
      <c r="AU2808" s="2">
        <v>25315.628704987201</v>
      </c>
      <c r="AV2808" s="2">
        <v>3756.1931025465401</v>
      </c>
      <c r="AW2808" s="2">
        <v>26824.1988685098</v>
      </c>
      <c r="AX2808" s="2">
        <v>26051.1276372342</v>
      </c>
    </row>
    <row r="2809" spans="1:50" x14ac:dyDescent="0.25">
      <c r="A2809" s="2" t="s">
        <v>18806</v>
      </c>
      <c r="B2809" s="2">
        <v>592.36204289307204</v>
      </c>
      <c r="C2809" s="2">
        <v>11.233700000000001</v>
      </c>
      <c r="D2809" s="2" t="s">
        <v>51</v>
      </c>
      <c r="E2809" s="2" t="s">
        <v>18807</v>
      </c>
      <c r="F2809" s="2">
        <v>19882</v>
      </c>
      <c r="G2809" s="3" t="str">
        <f>HYPERLINK("https://cloud.oebiotech.com/#/lm/network/19882", "https://cloud.oebiotech.com/#/lm/network/19882")</f>
        <v>https://cloud.oebiotech.com/#/lm/network/19882</v>
      </c>
      <c r="H2809" s="2" t="s">
        <v>18808</v>
      </c>
      <c r="I2809" s="2">
        <v>61702</v>
      </c>
      <c r="J2809" s="2" t="s">
        <v>18809</v>
      </c>
      <c r="K2809" s="2">
        <v>52924053</v>
      </c>
      <c r="L2809" s="2" t="s">
        <v>691</v>
      </c>
      <c r="M2809" s="2" t="s">
        <v>692</v>
      </c>
      <c r="N2809" s="2" t="s">
        <v>693</v>
      </c>
      <c r="O2809" s="2">
        <v>83055</v>
      </c>
      <c r="P2809" s="2"/>
      <c r="Q2809" s="2"/>
      <c r="R2809" s="2"/>
      <c r="S2809" s="2" t="s">
        <v>18810</v>
      </c>
      <c r="T2809" s="2" t="s">
        <v>18811</v>
      </c>
      <c r="U2809" s="2" t="s">
        <v>56</v>
      </c>
      <c r="V2809" s="2" t="s">
        <v>57</v>
      </c>
      <c r="W2809" s="2" t="s">
        <v>58</v>
      </c>
      <c r="X2809" s="2" t="s">
        <v>69</v>
      </c>
      <c r="Y2809" s="2">
        <v>65.900000000000006</v>
      </c>
      <c r="Z2809" s="2">
        <v>96.1</v>
      </c>
      <c r="AA2809" s="2" t="s">
        <v>218</v>
      </c>
      <c r="AB2809" s="2" t="s">
        <v>8639</v>
      </c>
      <c r="AC2809" s="2">
        <v>9.1930766152202997E-2</v>
      </c>
      <c r="AD2809" s="2"/>
      <c r="AE2809" s="2">
        <v>0.21824388595129801</v>
      </c>
      <c r="AF2809" s="2">
        <v>27135.943951445101</v>
      </c>
      <c r="AG2809" s="2">
        <v>32662.547061691101</v>
      </c>
      <c r="AH2809" s="4">
        <v>0.830796933876355</v>
      </c>
      <c r="AI2809" s="4">
        <v>-0.26743220307834498</v>
      </c>
      <c r="AJ2809" s="4" t="s">
        <v>62</v>
      </c>
      <c r="AK2809" s="2">
        <v>0.53917432161882295</v>
      </c>
      <c r="AL2809" s="2">
        <v>0.76464258930367401</v>
      </c>
      <c r="AM2809" s="2">
        <v>38073.0288893174</v>
      </c>
      <c r="AN2809" s="2">
        <v>34448.999926437398</v>
      </c>
      <c r="AO2809" s="2">
        <v>29518.847375435402</v>
      </c>
      <c r="AP2809" s="2">
        <v>19268.642116736399</v>
      </c>
      <c r="AQ2809" s="2">
        <v>18928.672309530299</v>
      </c>
      <c r="AR2809" s="2">
        <v>22577.4730912136</v>
      </c>
      <c r="AS2809" s="2">
        <v>11289.2108893024</v>
      </c>
      <c r="AT2809" s="2">
        <v>7657.0379985463096</v>
      </c>
      <c r="AU2809" s="2">
        <v>43657.901456905303</v>
      </c>
      <c r="AV2809" s="2">
        <v>58907.381107753397</v>
      </c>
      <c r="AW2809" s="2">
        <v>38689.3027548092</v>
      </c>
      <c r="AX2809" s="2">
        <v>35774.4481628297</v>
      </c>
    </row>
    <row r="2810" spans="1:50" x14ac:dyDescent="0.25">
      <c r="A2810" s="2" t="s">
        <v>18812</v>
      </c>
      <c r="B2810" s="2">
        <v>180.98823436949999</v>
      </c>
      <c r="C2810" s="2">
        <v>5.4531000000000001</v>
      </c>
      <c r="D2810" s="2" t="s">
        <v>51</v>
      </c>
      <c r="E2810" s="2" t="s">
        <v>18813</v>
      </c>
      <c r="F2810" s="2">
        <v>201441</v>
      </c>
      <c r="G2810" s="3" t="str">
        <f>HYPERLINK("https://cloud.oebiotech.com/#/lm/network/201441", "https://cloud.oebiotech.com/#/lm/network/201441")</f>
        <v>https://cloud.oebiotech.com/#/lm/network/201441</v>
      </c>
      <c r="H2810" s="2" t="s">
        <v>18814</v>
      </c>
      <c r="I2810" s="2">
        <v>44188</v>
      </c>
      <c r="J2810" s="2"/>
      <c r="K2810" s="2">
        <v>3870203</v>
      </c>
      <c r="L2810" s="2"/>
      <c r="M2810" s="2"/>
      <c r="N2810" s="2"/>
      <c r="O2810" s="2"/>
      <c r="P2810" s="2"/>
      <c r="Q2810" s="2"/>
      <c r="R2810" s="2"/>
      <c r="S2810" s="2" t="s">
        <v>18815</v>
      </c>
      <c r="T2810" s="2" t="s">
        <v>18816</v>
      </c>
      <c r="U2810" s="2" t="s">
        <v>610</v>
      </c>
      <c r="V2810" s="2" t="s">
        <v>895</v>
      </c>
      <c r="W2810" s="2" t="s">
        <v>5799</v>
      </c>
      <c r="X2810" s="2" t="s">
        <v>147</v>
      </c>
      <c r="Y2810" s="2">
        <v>37.5</v>
      </c>
      <c r="Z2810" s="2">
        <v>0</v>
      </c>
      <c r="AA2810" s="2" t="s">
        <v>379</v>
      </c>
      <c r="AB2810" s="2" t="s">
        <v>18817</v>
      </c>
      <c r="AC2810" s="2">
        <v>-4.30167951892901</v>
      </c>
      <c r="AD2810" s="2"/>
      <c r="AE2810" s="2">
        <v>0.21821883827083599</v>
      </c>
      <c r="AF2810" s="2">
        <v>50033.580926325398</v>
      </c>
      <c r="AG2810" s="2">
        <v>53171.492788982599</v>
      </c>
      <c r="AH2810" s="4">
        <v>0.94098507117130703</v>
      </c>
      <c r="AI2810" s="4">
        <v>-8.7756260262955105E-2</v>
      </c>
      <c r="AJ2810" s="4" t="s">
        <v>62</v>
      </c>
      <c r="AK2810" s="2">
        <v>0.51752902490365704</v>
      </c>
      <c r="AL2810" s="2">
        <v>0.74995602168733499</v>
      </c>
      <c r="AM2810" s="2">
        <v>44214.783872116401</v>
      </c>
      <c r="AN2810" s="2">
        <v>51194.899703749899</v>
      </c>
      <c r="AO2810" s="2">
        <v>54665.763799177003</v>
      </c>
      <c r="AP2810" s="2">
        <v>55963.533738875703</v>
      </c>
      <c r="AQ2810" s="2">
        <v>51061.732493951</v>
      </c>
      <c r="AR2810" s="2">
        <v>43100.771950082599</v>
      </c>
      <c r="AS2810" s="2">
        <v>60193.219270974601</v>
      </c>
      <c r="AT2810" s="2">
        <v>65330.293941519303</v>
      </c>
      <c r="AU2810" s="2">
        <v>39797.618192877198</v>
      </c>
      <c r="AV2810" s="2">
        <v>58010.610881188702</v>
      </c>
      <c r="AW2810" s="2">
        <v>42398.795935858499</v>
      </c>
      <c r="AX2810" s="2">
        <v>53298.418511477299</v>
      </c>
    </row>
    <row r="2811" spans="1:50" x14ac:dyDescent="0.25">
      <c r="A2811" s="2" t="s">
        <v>18818</v>
      </c>
      <c r="B2811" s="2">
        <v>335.14993363944001</v>
      </c>
      <c r="C2811" s="2">
        <v>4.8935333333333304</v>
      </c>
      <c r="D2811" s="2" t="s">
        <v>51</v>
      </c>
      <c r="E2811" s="2" t="s">
        <v>18819</v>
      </c>
      <c r="F2811" s="2">
        <v>207114</v>
      </c>
      <c r="G2811" s="3" t="str">
        <f>HYPERLINK("https://cloud.oebiotech.com/#/lm/network/207114", "https://cloud.oebiotech.com/#/lm/network/207114")</f>
        <v>https://cloud.oebiotech.com/#/lm/network/207114</v>
      </c>
      <c r="H2811" s="2" t="s">
        <v>18820</v>
      </c>
      <c r="I2811" s="2"/>
      <c r="J2811" s="2"/>
      <c r="K2811" s="2">
        <v>57519545</v>
      </c>
      <c r="L2811" s="2"/>
      <c r="M2811" s="2"/>
      <c r="N2811" s="2"/>
      <c r="O2811" s="2">
        <v>91434</v>
      </c>
      <c r="P2811" s="2"/>
      <c r="Q2811" s="2"/>
      <c r="R2811" s="2"/>
      <c r="S2811" s="2" t="s">
        <v>18821</v>
      </c>
      <c r="T2811" s="2" t="s">
        <v>18822</v>
      </c>
      <c r="U2811" s="2" t="s">
        <v>610</v>
      </c>
      <c r="V2811" s="2" t="s">
        <v>14762</v>
      </c>
      <c r="W2811" s="2" t="s">
        <v>240</v>
      </c>
      <c r="X2811" s="2" t="s">
        <v>147</v>
      </c>
      <c r="Y2811" s="2">
        <v>38.799999999999997</v>
      </c>
      <c r="Z2811" s="2">
        <v>0</v>
      </c>
      <c r="AA2811" s="2" t="s">
        <v>259</v>
      </c>
      <c r="AB2811" s="2" t="s">
        <v>18823</v>
      </c>
      <c r="AC2811" s="2">
        <v>-0.95356827215807305</v>
      </c>
      <c r="AD2811" s="2"/>
      <c r="AE2811" s="2">
        <v>0.21804016254824901</v>
      </c>
      <c r="AF2811" s="2">
        <v>723.12002077694603</v>
      </c>
      <c r="AG2811" s="2">
        <v>2388.6941209084098</v>
      </c>
      <c r="AH2811" s="4">
        <v>0.30272608554080799</v>
      </c>
      <c r="AI2811" s="4">
        <v>-1.7239150990780601</v>
      </c>
      <c r="AJ2811" s="4" t="s">
        <v>62</v>
      </c>
      <c r="AK2811" s="2">
        <v>0.12026405091539399</v>
      </c>
      <c r="AL2811" s="2">
        <v>0.43792729332499802</v>
      </c>
      <c r="AM2811" s="2">
        <v>940.68571938561604</v>
      </c>
      <c r="AN2811" s="2">
        <v>356.98235949994603</v>
      </c>
      <c r="AO2811" s="2">
        <v>642.849213134558</v>
      </c>
      <c r="AP2811" s="2">
        <v>45.458122483145097</v>
      </c>
      <c r="AQ2811" s="2">
        <v>331.91231924467002</v>
      </c>
      <c r="AR2811" s="2">
        <v>2020.83239091374</v>
      </c>
      <c r="AS2811" s="2">
        <v>1000.31099621884</v>
      </c>
      <c r="AT2811" s="2">
        <v>1243.89411813825</v>
      </c>
      <c r="AU2811" s="2">
        <v>2591.3296796457698</v>
      </c>
      <c r="AV2811" s="2">
        <v>2434.1556825283801</v>
      </c>
      <c r="AW2811" s="2">
        <v>6730.6779724093803</v>
      </c>
      <c r="AX2811" s="2">
        <v>331.79627650986902</v>
      </c>
    </row>
    <row r="2812" spans="1:50" x14ac:dyDescent="0.25">
      <c r="A2812" s="2" t="s">
        <v>18824</v>
      </c>
      <c r="B2812" s="2">
        <v>350.23138709766698</v>
      </c>
      <c r="C2812" s="2">
        <v>8.9080499999999994</v>
      </c>
      <c r="D2812" s="2" t="s">
        <v>51</v>
      </c>
      <c r="E2812" s="2" t="s">
        <v>18825</v>
      </c>
      <c r="F2812" s="2">
        <v>2507</v>
      </c>
      <c r="G2812" s="3" t="str">
        <f>HYPERLINK("https://cloud.oebiotech.com/#/lm/network/2507", "https://cloud.oebiotech.com/#/lm/network/2507")</f>
        <v>https://cloud.oebiotech.com/#/lm/network/2507</v>
      </c>
      <c r="H2812" s="2" t="s">
        <v>18826</v>
      </c>
      <c r="I2812" s="2">
        <v>74886</v>
      </c>
      <c r="J2812" s="2" t="s">
        <v>18827</v>
      </c>
      <c r="K2812" s="2">
        <v>24836820</v>
      </c>
      <c r="L2812" s="2"/>
      <c r="M2812" s="2"/>
      <c r="N2812" s="2"/>
      <c r="O2812" s="2">
        <v>86285</v>
      </c>
      <c r="P2812" s="2"/>
      <c r="Q2812" s="2"/>
      <c r="R2812" s="2"/>
      <c r="S2812" s="2" t="s">
        <v>18828</v>
      </c>
      <c r="T2812" s="2" t="s">
        <v>18829</v>
      </c>
      <c r="U2812" s="2" t="s">
        <v>56</v>
      </c>
      <c r="V2812" s="2" t="s">
        <v>145</v>
      </c>
      <c r="W2812" s="2" t="s">
        <v>231</v>
      </c>
      <c r="X2812" s="2" t="s">
        <v>59</v>
      </c>
      <c r="Y2812" s="2">
        <v>49.7</v>
      </c>
      <c r="Z2812" s="2">
        <v>57.9</v>
      </c>
      <c r="AA2812" s="2" t="s">
        <v>95</v>
      </c>
      <c r="AB2812" s="2" t="s">
        <v>18830</v>
      </c>
      <c r="AC2812" s="2">
        <v>3.6910914893519</v>
      </c>
      <c r="AD2812" s="2"/>
      <c r="AE2812" s="2">
        <v>0.21786898194082499</v>
      </c>
      <c r="AF2812" s="2">
        <v>5724.5709434684404</v>
      </c>
      <c r="AG2812" s="2">
        <v>1952.55349716411</v>
      </c>
      <c r="AH2812" s="5">
        <v>2.9318382066267601</v>
      </c>
      <c r="AI2812" s="5">
        <v>1.5518054906007499</v>
      </c>
      <c r="AJ2812" s="5" t="s">
        <v>139</v>
      </c>
      <c r="AK2812" s="2">
        <v>0.34436993607258798</v>
      </c>
      <c r="AL2812" s="2">
        <v>0.63883639734105901</v>
      </c>
      <c r="AM2812" s="2">
        <v>1147.8007727070799</v>
      </c>
      <c r="AN2812" s="2">
        <v>1337.17062175149</v>
      </c>
      <c r="AO2812" s="2">
        <v>6393.5744787721396</v>
      </c>
      <c r="AP2812" s="2">
        <v>1304.6130410967301</v>
      </c>
      <c r="AQ2812" s="2">
        <v>23763.5295016774</v>
      </c>
      <c r="AR2812" s="2">
        <v>400.73724480580898</v>
      </c>
      <c r="AS2812" s="2">
        <v>5919.5057547755096</v>
      </c>
      <c r="AT2812" s="2">
        <v>1241.97111725796</v>
      </c>
      <c r="AU2812" s="2">
        <v>1746.0121575066701</v>
      </c>
      <c r="AV2812" s="2">
        <v>834.34262889543197</v>
      </c>
      <c r="AW2812" s="2">
        <v>925.50212328412204</v>
      </c>
      <c r="AX2812" s="2">
        <v>1047.9872012649701</v>
      </c>
    </row>
    <row r="2813" spans="1:50" x14ac:dyDescent="0.25">
      <c r="A2813" s="2" t="s">
        <v>18831</v>
      </c>
      <c r="B2813" s="2">
        <v>280.04074556973001</v>
      </c>
      <c r="C2813" s="2">
        <v>5.9389500000000002</v>
      </c>
      <c r="D2813" s="2" t="s">
        <v>51</v>
      </c>
      <c r="E2813" s="2" t="s">
        <v>18832</v>
      </c>
      <c r="F2813" s="2">
        <v>63488</v>
      </c>
      <c r="G2813" s="3" t="str">
        <f>HYPERLINK("https://cloud.oebiotech.com/#/lm/network/63488", "https://cloud.oebiotech.com/#/lm/network/63488")</f>
        <v>https://cloud.oebiotech.com/#/lm/network/63488</v>
      </c>
      <c r="H2813" s="2" t="s">
        <v>18833</v>
      </c>
      <c r="I2813" s="2">
        <v>94814</v>
      </c>
      <c r="J2813" s="2"/>
      <c r="K2813" s="2">
        <v>3035207</v>
      </c>
      <c r="L2813" s="2"/>
      <c r="M2813" s="2"/>
      <c r="N2813" s="2"/>
      <c r="O2813" s="2"/>
      <c r="P2813" s="2"/>
      <c r="Q2813" s="2"/>
      <c r="R2813" s="2" t="s">
        <v>18834</v>
      </c>
      <c r="S2813" s="2" t="s">
        <v>18835</v>
      </c>
      <c r="T2813" s="2" t="s">
        <v>18836</v>
      </c>
      <c r="U2813" s="2" t="s">
        <v>610</v>
      </c>
      <c r="V2813" s="2" t="s">
        <v>611</v>
      </c>
      <c r="W2813" s="2" t="s">
        <v>18837</v>
      </c>
      <c r="X2813" s="2" t="s">
        <v>147</v>
      </c>
      <c r="Y2813" s="2">
        <v>38</v>
      </c>
      <c r="Z2813" s="2">
        <v>0</v>
      </c>
      <c r="AA2813" s="2" t="s">
        <v>395</v>
      </c>
      <c r="AB2813" s="2" t="s">
        <v>18838</v>
      </c>
      <c r="AC2813" s="2">
        <v>1.34042171326114</v>
      </c>
      <c r="AD2813" s="2"/>
      <c r="AE2813" s="2">
        <v>0.21774015008497999</v>
      </c>
      <c r="AF2813" s="2">
        <v>849.78057103319099</v>
      </c>
      <c r="AG2813" s="2">
        <v>2141.6430351282502</v>
      </c>
      <c r="AH2813" s="4">
        <v>0.39678908067062801</v>
      </c>
      <c r="AI2813" s="4">
        <v>-1.3335557704707699</v>
      </c>
      <c r="AJ2813" s="4" t="s">
        <v>62</v>
      </c>
      <c r="AK2813" s="2">
        <v>0.20589281628970299</v>
      </c>
      <c r="AL2813" s="2">
        <v>0.53101027381058497</v>
      </c>
      <c r="AM2813" s="2">
        <v>8.559877937157E-6</v>
      </c>
      <c r="AN2813" s="2">
        <v>548.67515450713699</v>
      </c>
      <c r="AO2813" s="2">
        <v>8.559877937157E-6</v>
      </c>
      <c r="AP2813" s="2">
        <v>2379.1702347610899</v>
      </c>
      <c r="AQ2813" s="2">
        <v>538.10819557749301</v>
      </c>
      <c r="AR2813" s="2">
        <v>1632.7298242336699</v>
      </c>
      <c r="AS2813" s="2">
        <v>6167.98377072113</v>
      </c>
      <c r="AT2813" s="2">
        <v>8.559877937157E-6</v>
      </c>
      <c r="AU2813" s="2">
        <v>1652.85578431211</v>
      </c>
      <c r="AV2813" s="2">
        <v>2459.5558360209802</v>
      </c>
      <c r="AW2813" s="2">
        <v>997.70058294301498</v>
      </c>
      <c r="AX2813" s="2">
        <v>1571.76222821238</v>
      </c>
    </row>
    <row r="2814" spans="1:50" x14ac:dyDescent="0.25">
      <c r="A2814" s="2" t="s">
        <v>18839</v>
      </c>
      <c r="B2814" s="2">
        <v>433.333220372195</v>
      </c>
      <c r="C2814" s="2">
        <v>11.655150000000001</v>
      </c>
      <c r="D2814" s="2" t="s">
        <v>51</v>
      </c>
      <c r="E2814" s="2" t="s">
        <v>18840</v>
      </c>
      <c r="F2814" s="2">
        <v>46451</v>
      </c>
      <c r="G2814" s="3" t="str">
        <f>HYPERLINK("https://cloud.oebiotech.com/#/lm/network/46451", "https://cloud.oebiotech.com/#/lm/network/46451")</f>
        <v>https://cloud.oebiotech.com/#/lm/network/46451</v>
      </c>
      <c r="H2814" s="2"/>
      <c r="I2814" s="2">
        <v>84864</v>
      </c>
      <c r="J2814" s="2" t="s">
        <v>18841</v>
      </c>
      <c r="K2814" s="2">
        <v>5284292</v>
      </c>
      <c r="L2814" s="2"/>
      <c r="M2814" s="2"/>
      <c r="N2814" s="2"/>
      <c r="O2814" s="2"/>
      <c r="P2814" s="2"/>
      <c r="Q2814" s="2"/>
      <c r="R2814" s="2"/>
      <c r="S2814" s="2" t="s">
        <v>18842</v>
      </c>
      <c r="T2814" s="2" t="s">
        <v>18843</v>
      </c>
      <c r="U2814" s="2" t="s">
        <v>56</v>
      </c>
      <c r="V2814" s="2" t="s">
        <v>283</v>
      </c>
      <c r="W2814" s="2" t="s">
        <v>2042</v>
      </c>
      <c r="X2814" s="2" t="s">
        <v>83</v>
      </c>
      <c r="Y2814" s="2">
        <v>46.1</v>
      </c>
      <c r="Z2814" s="2">
        <v>0</v>
      </c>
      <c r="AA2814" s="2" t="s">
        <v>259</v>
      </c>
      <c r="AB2814" s="2" t="s">
        <v>12999</v>
      </c>
      <c r="AC2814" s="2">
        <v>4.58926883254491</v>
      </c>
      <c r="AD2814" s="2"/>
      <c r="AE2814" s="2">
        <v>0.21773564035432999</v>
      </c>
      <c r="AF2814" s="2">
        <v>8660.6785133256799</v>
      </c>
      <c r="AG2814" s="2">
        <v>10263.509040524899</v>
      </c>
      <c r="AH2814" s="4">
        <v>0.84383211230481103</v>
      </c>
      <c r="AI2814" s="4">
        <v>-0.24497210405755401</v>
      </c>
      <c r="AJ2814" s="4" t="s">
        <v>62</v>
      </c>
      <c r="AK2814" s="2">
        <v>0.26438249357052301</v>
      </c>
      <c r="AL2814" s="2">
        <v>0.58634249694740204</v>
      </c>
      <c r="AM2814" s="2">
        <v>6297.6623943926197</v>
      </c>
      <c r="AN2814" s="2">
        <v>8304.6263177750607</v>
      </c>
      <c r="AO2814" s="2">
        <v>8291.6219348010309</v>
      </c>
      <c r="AP2814" s="2">
        <v>8092.97900190769</v>
      </c>
      <c r="AQ2814" s="2">
        <v>12018.566534510899</v>
      </c>
      <c r="AR2814" s="2">
        <v>8958.6148965667708</v>
      </c>
      <c r="AS2814" s="2">
        <v>13960.1725659529</v>
      </c>
      <c r="AT2814" s="2">
        <v>9386.7395765583897</v>
      </c>
      <c r="AU2814" s="2">
        <v>9311.3702277517405</v>
      </c>
      <c r="AV2814" s="2">
        <v>7424.4457663536195</v>
      </c>
      <c r="AW2814" s="2">
        <v>13368.0984269905</v>
      </c>
      <c r="AX2814" s="2">
        <v>8130.2276795424395</v>
      </c>
    </row>
    <row r="2815" spans="1:50" x14ac:dyDescent="0.25">
      <c r="A2815" s="2" t="s">
        <v>18844</v>
      </c>
      <c r="B2815" s="2">
        <v>437.19475131023501</v>
      </c>
      <c r="C2815" s="2">
        <v>7.8818000000000001</v>
      </c>
      <c r="D2815" s="2" t="s">
        <v>51</v>
      </c>
      <c r="E2815" s="2" t="s">
        <v>18845</v>
      </c>
      <c r="F2815" s="2">
        <v>266640</v>
      </c>
      <c r="G2815" s="3" t="str">
        <f>HYPERLINK("https://cloud.oebiotech.com/#/lm/network/266640", "https://cloud.oebiotech.com/#/lm/network/266640")</f>
        <v>https://cloud.oebiotech.com/#/lm/network/266640</v>
      </c>
      <c r="H2815" s="2"/>
      <c r="I2815" s="2">
        <v>43705</v>
      </c>
      <c r="J2815" s="2"/>
      <c r="K2815" s="2">
        <v>6708622</v>
      </c>
      <c r="L2815" s="2"/>
      <c r="M2815" s="2"/>
      <c r="N2815" s="2"/>
      <c r="O2815" s="2"/>
      <c r="P2815" s="2"/>
      <c r="Q2815" s="2"/>
      <c r="R2815" s="2"/>
      <c r="S2815" s="2" t="s">
        <v>18846</v>
      </c>
      <c r="T2815" s="2" t="s">
        <v>18847</v>
      </c>
      <c r="U2815" s="2" t="s">
        <v>266</v>
      </c>
      <c r="V2815" s="2" t="s">
        <v>1988</v>
      </c>
      <c r="W2815" s="2" t="s">
        <v>240</v>
      </c>
      <c r="X2815" s="2" t="s">
        <v>147</v>
      </c>
      <c r="Y2815" s="2">
        <v>37.1</v>
      </c>
      <c r="Z2815" s="2">
        <v>0</v>
      </c>
      <c r="AA2815" s="2" t="s">
        <v>379</v>
      </c>
      <c r="AB2815" s="2" t="s">
        <v>18848</v>
      </c>
      <c r="AC2815" s="2">
        <v>-4.8462542387596796</v>
      </c>
      <c r="AD2815" s="2"/>
      <c r="AE2815" s="2">
        <v>0.21768533548973701</v>
      </c>
      <c r="AF2815" s="2">
        <v>6774.1183050167301</v>
      </c>
      <c r="AG2815" s="2">
        <v>12877.8432864893</v>
      </c>
      <c r="AH2815" s="4">
        <v>0.52602894400211797</v>
      </c>
      <c r="AI2815" s="4">
        <v>-0.92678591092210805</v>
      </c>
      <c r="AJ2815" s="4" t="s">
        <v>62</v>
      </c>
      <c r="AK2815" s="2">
        <v>0.33073958449368202</v>
      </c>
      <c r="AL2815" s="2">
        <v>0.63290471104282697</v>
      </c>
      <c r="AM2815" s="2">
        <v>23567.2346907635</v>
      </c>
      <c r="AN2815" s="2">
        <v>277.78040032013899</v>
      </c>
      <c r="AO2815" s="2">
        <v>7825.8117460162402</v>
      </c>
      <c r="AP2815" s="2">
        <v>116.297705553982</v>
      </c>
      <c r="AQ2815" s="2">
        <v>113.691416178148</v>
      </c>
      <c r="AR2815" s="2">
        <v>8743.8938712683903</v>
      </c>
      <c r="AS2815" s="2">
        <v>16184.7021968521</v>
      </c>
      <c r="AT2815" s="2">
        <v>4308.0398658148697</v>
      </c>
      <c r="AU2815" s="2">
        <v>31308.198452999099</v>
      </c>
      <c r="AV2815" s="2">
        <v>4089.4475849263499</v>
      </c>
      <c r="AW2815" s="2">
        <v>19075.833200542002</v>
      </c>
      <c r="AX2815" s="2">
        <v>2300.8384178013898</v>
      </c>
    </row>
    <row r="2816" spans="1:50" x14ac:dyDescent="0.25">
      <c r="A2816" s="2" t="s">
        <v>18849</v>
      </c>
      <c r="B2816" s="2">
        <v>407.28048765948802</v>
      </c>
      <c r="C2816" s="2">
        <v>6.4777333333333296</v>
      </c>
      <c r="D2816" s="2" t="s">
        <v>51</v>
      </c>
      <c r="E2816" s="2" t="s">
        <v>18850</v>
      </c>
      <c r="F2816" s="2">
        <v>46050</v>
      </c>
      <c r="G2816" s="3" t="str">
        <f>HYPERLINK("https://cloud.oebiotech.com/#/lm/network/46050", "https://cloud.oebiotech.com/#/lm/network/46050")</f>
        <v>https://cloud.oebiotech.com/#/lm/network/46050</v>
      </c>
      <c r="H2816" s="2"/>
      <c r="I2816" s="2"/>
      <c r="J2816" s="2" t="s">
        <v>18851</v>
      </c>
      <c r="K2816" s="2">
        <v>248928</v>
      </c>
      <c r="L2816" s="2"/>
      <c r="M2816" s="2"/>
      <c r="N2816" s="2"/>
      <c r="O2816" s="2"/>
      <c r="P2816" s="2"/>
      <c r="Q2816" s="2"/>
      <c r="R2816" s="2"/>
      <c r="S2816" s="2" t="s">
        <v>18852</v>
      </c>
      <c r="T2816" s="2" t="s">
        <v>18853</v>
      </c>
      <c r="U2816" s="2" t="s">
        <v>56</v>
      </c>
      <c r="V2816" s="2" t="s">
        <v>283</v>
      </c>
      <c r="W2816" s="2" t="s">
        <v>2042</v>
      </c>
      <c r="X2816" s="2" t="s">
        <v>147</v>
      </c>
      <c r="Y2816" s="2">
        <v>42.1</v>
      </c>
      <c r="Z2816" s="2">
        <v>22.9</v>
      </c>
      <c r="AA2816" s="2" t="s">
        <v>60</v>
      </c>
      <c r="AB2816" s="2" t="s">
        <v>4227</v>
      </c>
      <c r="AC2816" s="2">
        <v>3.16761004438579</v>
      </c>
      <c r="AD2816" s="2"/>
      <c r="AE2816" s="2">
        <v>0.21766335143853499</v>
      </c>
      <c r="AF2816" s="2">
        <v>8750.8686246122707</v>
      </c>
      <c r="AG2816" s="2">
        <v>3805.9917846506</v>
      </c>
      <c r="AH2816" s="5">
        <v>2.2992347644848099</v>
      </c>
      <c r="AI2816" s="5">
        <v>1.2011537806564401</v>
      </c>
      <c r="AJ2816" s="5" t="s">
        <v>139</v>
      </c>
      <c r="AK2816" s="2">
        <v>0.46779083443409197</v>
      </c>
      <c r="AL2816" s="2">
        <v>0.71431949177860199</v>
      </c>
      <c r="AM2816" s="2">
        <v>1188.8860913058199</v>
      </c>
      <c r="AN2816" s="2">
        <v>875.86609600682505</v>
      </c>
      <c r="AO2816" s="2">
        <v>1113.64484508245</v>
      </c>
      <c r="AP2816" s="2">
        <v>554.26353095387697</v>
      </c>
      <c r="AQ2816" s="2">
        <v>38928.134692839798</v>
      </c>
      <c r="AR2816" s="2">
        <v>9844.4164914848207</v>
      </c>
      <c r="AS2816" s="2">
        <v>1298.6871300539899</v>
      </c>
      <c r="AT2816" s="2">
        <v>1046.19504067566</v>
      </c>
      <c r="AU2816" s="2">
        <v>13541.441516783199</v>
      </c>
      <c r="AV2816" s="2">
        <v>5557.3116983514801</v>
      </c>
      <c r="AW2816" s="2">
        <v>749.95793833310995</v>
      </c>
      <c r="AX2816" s="2">
        <v>642.35738370617196</v>
      </c>
    </row>
    <row r="2817" spans="1:50" x14ac:dyDescent="0.25">
      <c r="A2817" s="2" t="s">
        <v>18854</v>
      </c>
      <c r="B2817" s="2">
        <v>363.12003528719498</v>
      </c>
      <c r="C2817" s="2">
        <v>4.1950000000000003</v>
      </c>
      <c r="D2817" s="2" t="s">
        <v>51</v>
      </c>
      <c r="E2817" s="2" t="s">
        <v>18855</v>
      </c>
      <c r="F2817" s="2">
        <v>2327</v>
      </c>
      <c r="G2817" s="3" t="str">
        <f>HYPERLINK("https://cloud.oebiotech.com/#/lm/network/2327", "https://cloud.oebiotech.com/#/lm/network/2327")</f>
        <v>https://cloud.oebiotech.com/#/lm/network/2327</v>
      </c>
      <c r="H2817" s="2"/>
      <c r="I2817" s="2">
        <v>35914</v>
      </c>
      <c r="J2817" s="2" t="s">
        <v>18856</v>
      </c>
      <c r="K2817" s="2">
        <v>5312958</v>
      </c>
      <c r="L2817" s="2"/>
      <c r="M2817" s="2"/>
      <c r="N2817" s="2"/>
      <c r="O2817" s="2"/>
      <c r="P2817" s="2"/>
      <c r="Q2817" s="2"/>
      <c r="R2817" s="2"/>
      <c r="S2817" s="2" t="s">
        <v>18857</v>
      </c>
      <c r="T2817" s="2" t="s">
        <v>18858</v>
      </c>
      <c r="U2817" s="2" t="s">
        <v>56</v>
      </c>
      <c r="V2817" s="2" t="s">
        <v>145</v>
      </c>
      <c r="W2817" s="2" t="s">
        <v>231</v>
      </c>
      <c r="X2817" s="2" t="s">
        <v>147</v>
      </c>
      <c r="Y2817" s="2">
        <v>46.4</v>
      </c>
      <c r="Z2817" s="2">
        <v>38.6</v>
      </c>
      <c r="AA2817" s="2" t="s">
        <v>379</v>
      </c>
      <c r="AB2817" s="2" t="s">
        <v>18859</v>
      </c>
      <c r="AC2817" s="2">
        <v>2.61208473060401</v>
      </c>
      <c r="AD2817" s="2"/>
      <c r="AE2817" s="2">
        <v>0.21757727136428301</v>
      </c>
      <c r="AF2817" s="2">
        <v>7012.1597720872296</v>
      </c>
      <c r="AG2817" s="2">
        <v>9549.0515511735193</v>
      </c>
      <c r="AH2817" s="4">
        <v>0.73433049706653697</v>
      </c>
      <c r="AI2817" s="4">
        <v>-0.44549857791469399</v>
      </c>
      <c r="AJ2817" s="4" t="s">
        <v>62</v>
      </c>
      <c r="AK2817" s="2">
        <v>0.18633025870688</v>
      </c>
      <c r="AL2817" s="2">
        <v>0.51040020334889302</v>
      </c>
      <c r="AM2817" s="2">
        <v>8535.3842395166594</v>
      </c>
      <c r="AN2817" s="2">
        <v>4587.7040821094997</v>
      </c>
      <c r="AO2817" s="2">
        <v>8799.1040077134294</v>
      </c>
      <c r="AP2817" s="2">
        <v>7063.7581493825501</v>
      </c>
      <c r="AQ2817" s="2">
        <v>9556.6829264662592</v>
      </c>
      <c r="AR2817" s="2">
        <v>3530.3252273349999</v>
      </c>
      <c r="AS2817" s="2">
        <v>9857.1400459793895</v>
      </c>
      <c r="AT2817" s="2">
        <v>7246.3979271852404</v>
      </c>
      <c r="AU2817" s="2">
        <v>14799.621129339201</v>
      </c>
      <c r="AV2817" s="2">
        <v>7717.4133065500801</v>
      </c>
      <c r="AW2817" s="2">
        <v>12616.4990475795</v>
      </c>
      <c r="AX2817" s="2">
        <v>5057.2378504076796</v>
      </c>
    </row>
    <row r="2818" spans="1:50" x14ac:dyDescent="0.25">
      <c r="A2818" s="2" t="s">
        <v>18860</v>
      </c>
      <c r="B2818" s="2">
        <v>146.081107545934</v>
      </c>
      <c r="C2818" s="2">
        <v>0.69093333333333296</v>
      </c>
      <c r="D2818" s="2" t="s">
        <v>51</v>
      </c>
      <c r="E2818" s="2" t="s">
        <v>18861</v>
      </c>
      <c r="F2818" s="2">
        <v>208523</v>
      </c>
      <c r="G2818" s="3" t="str">
        <f>HYPERLINK("https://cloud.oebiotech.com/#/lm/network/208523", "https://cloud.oebiotech.com/#/lm/network/208523")</f>
        <v>https://cloud.oebiotech.com/#/lm/network/208523</v>
      </c>
      <c r="H2818" s="2" t="s">
        <v>18862</v>
      </c>
      <c r="I2818" s="2"/>
      <c r="J2818" s="2"/>
      <c r="K2818" s="2">
        <v>10130032</v>
      </c>
      <c r="L2818" s="2"/>
      <c r="M2818" s="2"/>
      <c r="N2818" s="2"/>
      <c r="O2818" s="2"/>
      <c r="P2818" s="2"/>
      <c r="Q2818" s="2"/>
      <c r="R2818" s="2"/>
      <c r="S2818" s="2" t="s">
        <v>18863</v>
      </c>
      <c r="T2818" s="2" t="s">
        <v>18864</v>
      </c>
      <c r="U2818" s="2" t="s">
        <v>266</v>
      </c>
      <c r="V2818" s="2" t="s">
        <v>2432</v>
      </c>
      <c r="W2818" s="2" t="s">
        <v>2433</v>
      </c>
      <c r="X2818" s="2" t="s">
        <v>83</v>
      </c>
      <c r="Y2818" s="2">
        <v>37.6</v>
      </c>
      <c r="Z2818" s="2">
        <v>0</v>
      </c>
      <c r="AA2818" s="2" t="s">
        <v>163</v>
      </c>
      <c r="AB2818" s="2" t="s">
        <v>3648</v>
      </c>
      <c r="AC2818" s="2">
        <v>-7.88161027720838</v>
      </c>
      <c r="AD2818" s="2"/>
      <c r="AE2818" s="2">
        <v>0.217469521278047</v>
      </c>
      <c r="AF2818" s="2">
        <v>14603.177640096301</v>
      </c>
      <c r="AG2818" s="2">
        <v>11594.9588668874</v>
      </c>
      <c r="AH2818" s="5">
        <v>1.2594419529852501</v>
      </c>
      <c r="AI2818" s="5">
        <v>0.33278463055159602</v>
      </c>
      <c r="AJ2818" s="5" t="s">
        <v>139</v>
      </c>
      <c r="AK2818" s="2">
        <v>0.238636160798636</v>
      </c>
      <c r="AL2818" s="2">
        <v>0.56258760860868195</v>
      </c>
      <c r="AM2818" s="2">
        <v>15430.2679232011</v>
      </c>
      <c r="AN2818" s="2">
        <v>17390.261980815601</v>
      </c>
      <c r="AO2818" s="2">
        <v>8868.9632924457601</v>
      </c>
      <c r="AP2818" s="2">
        <v>17550.404133918</v>
      </c>
      <c r="AQ2818" s="2">
        <v>13144.883326150601</v>
      </c>
      <c r="AR2818" s="2">
        <v>15234.285184046799</v>
      </c>
      <c r="AS2818" s="2">
        <v>18853.284314138698</v>
      </c>
      <c r="AT2818" s="2">
        <v>10871.7438321519</v>
      </c>
      <c r="AU2818" s="2">
        <v>7696.0645221043997</v>
      </c>
      <c r="AV2818" s="2">
        <v>5007.4241815660498</v>
      </c>
      <c r="AW2818" s="2">
        <v>12977.6412207093</v>
      </c>
      <c r="AX2818" s="2">
        <v>14163.595130653801</v>
      </c>
    </row>
    <row r="2819" spans="1:50" x14ac:dyDescent="0.25">
      <c r="A2819" s="2" t="s">
        <v>18865</v>
      </c>
      <c r="B2819" s="2">
        <v>264.16024059343601</v>
      </c>
      <c r="C2819" s="2">
        <v>7.6341666666666699</v>
      </c>
      <c r="D2819" s="2" t="s">
        <v>51</v>
      </c>
      <c r="E2819" s="2" t="s">
        <v>18866</v>
      </c>
      <c r="F2819" s="2">
        <v>61617</v>
      </c>
      <c r="G2819" s="3" t="str">
        <f>HYPERLINK("https://cloud.oebiotech.com/#/lm/network/61617", "https://cloud.oebiotech.com/#/lm/network/61617")</f>
        <v>https://cloud.oebiotech.com/#/lm/network/61617</v>
      </c>
      <c r="H2819" s="2" t="s">
        <v>18867</v>
      </c>
      <c r="I2819" s="2">
        <v>92924</v>
      </c>
      <c r="J2819" s="2"/>
      <c r="K2819" s="2">
        <v>5316208</v>
      </c>
      <c r="L2819" s="2"/>
      <c r="M2819" s="2"/>
      <c r="N2819" s="2"/>
      <c r="O2819" s="2"/>
      <c r="P2819" s="2"/>
      <c r="Q2819" s="2"/>
      <c r="R2819" s="2" t="s">
        <v>18868</v>
      </c>
      <c r="S2819" s="2" t="s">
        <v>18869</v>
      </c>
      <c r="T2819" s="2" t="s">
        <v>18870</v>
      </c>
      <c r="U2819" s="2" t="s">
        <v>56</v>
      </c>
      <c r="V2819" s="2" t="s">
        <v>177</v>
      </c>
      <c r="W2819" s="2" t="s">
        <v>1996</v>
      </c>
      <c r="X2819" s="2" t="s">
        <v>83</v>
      </c>
      <c r="Y2819" s="2">
        <v>45.1</v>
      </c>
      <c r="Z2819" s="2">
        <v>16.600000000000001</v>
      </c>
      <c r="AA2819" s="2" t="s">
        <v>512</v>
      </c>
      <c r="AB2819" s="2" t="s">
        <v>18871</v>
      </c>
      <c r="AC2819" s="2">
        <v>3.3341818737821001</v>
      </c>
      <c r="AD2819" s="2"/>
      <c r="AE2819" s="2">
        <v>0.21736281915513</v>
      </c>
      <c r="AF2819" s="2">
        <v>3523.5471505763899</v>
      </c>
      <c r="AG2819" s="2">
        <v>2118.7152330143399</v>
      </c>
      <c r="AH2819" s="5">
        <v>1.6630583929692899</v>
      </c>
      <c r="AI2819" s="5">
        <v>0.73383882513043697</v>
      </c>
      <c r="AJ2819" s="5" t="s">
        <v>139</v>
      </c>
      <c r="AK2819" s="2">
        <v>0.15262489555748299</v>
      </c>
      <c r="AL2819" s="2">
        <v>0.47381118742890099</v>
      </c>
      <c r="AM2819" s="2">
        <v>5081.86569906966</v>
      </c>
      <c r="AN2819" s="2">
        <v>6405.9169891644797</v>
      </c>
      <c r="AO2819" s="2">
        <v>1948.07191736404</v>
      </c>
      <c r="AP2819" s="2">
        <v>2717.0453500448002</v>
      </c>
      <c r="AQ2819" s="2">
        <v>2041.5118856317599</v>
      </c>
      <c r="AR2819" s="2">
        <v>2946.8710621836099</v>
      </c>
      <c r="AS2819" s="2">
        <v>2286.0902655475002</v>
      </c>
      <c r="AT2819" s="2">
        <v>952.50437875669195</v>
      </c>
      <c r="AU2819" s="2">
        <v>2940.9650045994599</v>
      </c>
      <c r="AV2819" s="2">
        <v>525.78215180332097</v>
      </c>
      <c r="AW2819" s="2">
        <v>1969.7175533260499</v>
      </c>
      <c r="AX2819" s="2">
        <v>4037.2320440530202</v>
      </c>
    </row>
    <row r="2820" spans="1:50" x14ac:dyDescent="0.25">
      <c r="A2820" s="2" t="s">
        <v>18872</v>
      </c>
      <c r="B2820" s="2">
        <v>173.10499999999999</v>
      </c>
      <c r="C2820" s="2">
        <v>24.940999999999999</v>
      </c>
      <c r="D2820" s="2" t="s">
        <v>125</v>
      </c>
      <c r="E2820" s="2" t="s">
        <v>18873</v>
      </c>
      <c r="F2820" s="2">
        <v>46961</v>
      </c>
      <c r="G2820" s="3" t="str">
        <f>HYPERLINK("https://cloud.oebiotech.com/#/lm/network/46961", "https://cloud.oebiotech.com/#/lm/network/46961")</f>
        <v>https://cloud.oebiotech.com/#/lm/network/46961</v>
      </c>
      <c r="H2820" s="2" t="s">
        <v>18874</v>
      </c>
      <c r="I2820" s="2">
        <v>137</v>
      </c>
      <c r="J2820" s="2"/>
      <c r="K2820" s="2">
        <v>5988</v>
      </c>
      <c r="L2820" s="2" t="s">
        <v>18875</v>
      </c>
      <c r="M2820" s="2" t="s">
        <v>18876</v>
      </c>
      <c r="N2820" s="2" t="s">
        <v>18877</v>
      </c>
      <c r="O2820" s="2">
        <v>17992</v>
      </c>
      <c r="P2820" s="2" t="s">
        <v>18878</v>
      </c>
      <c r="Q2820" s="2" t="s">
        <v>18879</v>
      </c>
      <c r="R2820" s="2" t="s">
        <v>18880</v>
      </c>
      <c r="S2820" s="2" t="s">
        <v>18881</v>
      </c>
      <c r="T2820" s="2" t="s">
        <v>18882</v>
      </c>
      <c r="U2820" s="2" t="s">
        <v>331</v>
      </c>
      <c r="V2820" s="2" t="s">
        <v>332</v>
      </c>
      <c r="W2820" s="2" t="s">
        <v>333</v>
      </c>
      <c r="X2820" s="2" t="s">
        <v>69</v>
      </c>
      <c r="Y2820" s="2">
        <v>90.7</v>
      </c>
      <c r="Z2820" s="2">
        <v>85.9</v>
      </c>
      <c r="AA2820" s="2"/>
      <c r="AB2820" s="2" t="s">
        <v>18083</v>
      </c>
      <c r="AC2820" s="2"/>
      <c r="AD2820" s="2">
        <v>915077.93244626396</v>
      </c>
      <c r="AE2820" s="2">
        <v>0.21736057751881899</v>
      </c>
      <c r="AF2820" s="2">
        <v>17623.390218232202</v>
      </c>
      <c r="AG2820" s="2">
        <v>8784.8500849036209</v>
      </c>
      <c r="AH2820" s="5">
        <v>2.00611166359199</v>
      </c>
      <c r="AI2820" s="5">
        <v>1.0044019110482401</v>
      </c>
      <c r="AJ2820" s="5" t="s">
        <v>139</v>
      </c>
      <c r="AK2820" s="2">
        <v>3.2061738067265002E-4</v>
      </c>
      <c r="AL2820" s="2">
        <v>5.3199942447790097E-2</v>
      </c>
      <c r="AM2820" s="2">
        <v>20377.6112525301</v>
      </c>
      <c r="AN2820" s="2">
        <v>19725.981844276201</v>
      </c>
      <c r="AO2820" s="2">
        <v>16449.088176708599</v>
      </c>
      <c r="AP2820" s="2">
        <v>18327.151938875199</v>
      </c>
      <c r="AQ2820" s="2">
        <v>13951.681476542401</v>
      </c>
      <c r="AR2820" s="2">
        <v>16908.826620460801</v>
      </c>
      <c r="AS2820" s="2">
        <v>6704.0150775042202</v>
      </c>
      <c r="AT2820" s="2">
        <v>6550.6516228435703</v>
      </c>
      <c r="AU2820" s="2">
        <v>7460.7383015950099</v>
      </c>
      <c r="AV2820" s="2">
        <v>8485.7079172394297</v>
      </c>
      <c r="AW2820" s="2">
        <v>15290.346807435701</v>
      </c>
      <c r="AX2820" s="2">
        <v>8217.64078280377</v>
      </c>
    </row>
    <row r="2821" spans="1:50" x14ac:dyDescent="0.25">
      <c r="A2821" s="2" t="s">
        <v>18883</v>
      </c>
      <c r="B2821" s="2">
        <v>239.16502149428899</v>
      </c>
      <c r="C2821" s="2">
        <v>9.2139500000000005</v>
      </c>
      <c r="D2821" s="2" t="s">
        <v>51</v>
      </c>
      <c r="E2821" s="2" t="s">
        <v>18884</v>
      </c>
      <c r="F2821" s="2">
        <v>2178</v>
      </c>
      <c r="G2821" s="3" t="str">
        <f>HYPERLINK("https://cloud.oebiotech.com/#/lm/network/2178", "https://cloud.oebiotech.com/#/lm/network/2178")</f>
        <v>https://cloud.oebiotech.com/#/lm/network/2178</v>
      </c>
      <c r="H2821" s="2"/>
      <c r="I2821" s="2">
        <v>45868</v>
      </c>
      <c r="J2821" s="2" t="s">
        <v>18885</v>
      </c>
      <c r="K2821" s="2">
        <v>44256505</v>
      </c>
      <c r="L2821" s="2"/>
      <c r="M2821" s="2"/>
      <c r="N2821" s="2"/>
      <c r="O2821" s="2"/>
      <c r="P2821" s="2"/>
      <c r="Q2821" s="2"/>
      <c r="R2821" s="2"/>
      <c r="S2821" s="2" t="s">
        <v>18886</v>
      </c>
      <c r="T2821" s="2" t="s">
        <v>18887</v>
      </c>
      <c r="U2821" s="2" t="s">
        <v>56</v>
      </c>
      <c r="V2821" s="2" t="s">
        <v>145</v>
      </c>
      <c r="W2821" s="2" t="s">
        <v>231</v>
      </c>
      <c r="X2821" s="2" t="s">
        <v>83</v>
      </c>
      <c r="Y2821" s="2">
        <v>46.1</v>
      </c>
      <c r="Z2821" s="2">
        <v>16.7</v>
      </c>
      <c r="AA2821" s="2" t="s">
        <v>163</v>
      </c>
      <c r="AB2821" s="2" t="s">
        <v>18888</v>
      </c>
      <c r="AC2821" s="2">
        <v>-1.0271868135759099</v>
      </c>
      <c r="AD2821" s="2"/>
      <c r="AE2821" s="2">
        <v>0.217343023543978</v>
      </c>
      <c r="AF2821" s="2">
        <v>2081.8280202487999</v>
      </c>
      <c r="AG2821" s="2">
        <v>1049.71506218374</v>
      </c>
      <c r="AH2821" s="5">
        <v>1.9832315408697101</v>
      </c>
      <c r="AI2821" s="5">
        <v>0.98785312101815004</v>
      </c>
      <c r="AJ2821" s="5" t="s">
        <v>139</v>
      </c>
      <c r="AK2821" s="2">
        <v>3.3669039089890399E-2</v>
      </c>
      <c r="AL2821" s="2">
        <v>0.27023848021491997</v>
      </c>
      <c r="AM2821" s="2">
        <v>2484.9266491559301</v>
      </c>
      <c r="AN2821" s="2">
        <v>2527.75745949769</v>
      </c>
      <c r="AO2821" s="2">
        <v>3379.4716742089499</v>
      </c>
      <c r="AP2821" s="2">
        <v>930.71825078035602</v>
      </c>
      <c r="AQ2821" s="2">
        <v>1445.63066217757</v>
      </c>
      <c r="AR2821" s="2">
        <v>1722.46342567228</v>
      </c>
      <c r="AS2821" s="2">
        <v>1034.6451097196</v>
      </c>
      <c r="AT2821" s="2">
        <v>479.44083599893497</v>
      </c>
      <c r="AU2821" s="2">
        <v>2016.0162345958299</v>
      </c>
      <c r="AV2821" s="2">
        <v>1074.4251987426001</v>
      </c>
      <c r="AW2821" s="2">
        <v>716.34060536917002</v>
      </c>
      <c r="AX2821" s="2">
        <v>977.422388676281</v>
      </c>
    </row>
    <row r="2822" spans="1:50" x14ac:dyDescent="0.25">
      <c r="A2822" s="2" t="s">
        <v>18889</v>
      </c>
      <c r="B2822" s="2">
        <v>122.09694886160401</v>
      </c>
      <c r="C2822" s="2">
        <v>3.7123833333333298</v>
      </c>
      <c r="D2822" s="2" t="s">
        <v>51</v>
      </c>
      <c r="E2822" s="2" t="s">
        <v>18890</v>
      </c>
      <c r="F2822" s="2">
        <v>54626</v>
      </c>
      <c r="G2822" s="3" t="str">
        <f>HYPERLINK("https://cloud.oebiotech.com/#/lm/network/54626", "https://cloud.oebiotech.com/#/lm/network/54626")</f>
        <v>https://cloud.oebiotech.com/#/lm/network/54626</v>
      </c>
      <c r="H2822" s="2" t="s">
        <v>18891</v>
      </c>
      <c r="I2822" s="2">
        <v>86450</v>
      </c>
      <c r="J2822" s="2"/>
      <c r="K2822" s="2">
        <v>7728</v>
      </c>
      <c r="L2822" s="2"/>
      <c r="M2822" s="2"/>
      <c r="N2822" s="2"/>
      <c r="O2822" s="2">
        <v>481701</v>
      </c>
      <c r="P2822" s="2"/>
      <c r="Q2822" s="2"/>
      <c r="R2822" s="2" t="s">
        <v>18892</v>
      </c>
      <c r="S2822" s="2" t="s">
        <v>18893</v>
      </c>
      <c r="T2822" s="2" t="s">
        <v>18894</v>
      </c>
      <c r="U2822" s="2" t="s">
        <v>266</v>
      </c>
      <c r="V2822" s="2" t="s">
        <v>2143</v>
      </c>
      <c r="W2822" s="2" t="s">
        <v>18895</v>
      </c>
      <c r="X2822" s="2" t="s">
        <v>83</v>
      </c>
      <c r="Y2822" s="2">
        <v>39.9</v>
      </c>
      <c r="Z2822" s="2">
        <v>0</v>
      </c>
      <c r="AA2822" s="2" t="s">
        <v>259</v>
      </c>
      <c r="AB2822" s="2" t="s">
        <v>18896</v>
      </c>
      <c r="AC2822" s="2">
        <v>4.3197267181495702</v>
      </c>
      <c r="AD2822" s="2"/>
      <c r="AE2822" s="2">
        <v>0.21718539264032299</v>
      </c>
      <c r="AF2822" s="2">
        <v>2224.8244381294198</v>
      </c>
      <c r="AG2822" s="2">
        <v>4157.1454369786898</v>
      </c>
      <c r="AH2822" s="4">
        <v>0.53518080419778902</v>
      </c>
      <c r="AI2822" s="4">
        <v>-0.90190172439622895</v>
      </c>
      <c r="AJ2822" s="4" t="s">
        <v>62</v>
      </c>
      <c r="AK2822" s="2">
        <v>0.49695989713827599</v>
      </c>
      <c r="AL2822" s="2">
        <v>0.735773294092256</v>
      </c>
      <c r="AM2822" s="2">
        <v>1430.2525853550501</v>
      </c>
      <c r="AN2822" s="2">
        <v>520.55210056461601</v>
      </c>
      <c r="AO2822" s="2">
        <v>2555.0112878631498</v>
      </c>
      <c r="AP2822" s="2">
        <v>7849.8491737888698</v>
      </c>
      <c r="AQ2822" s="2">
        <v>661.86215478155304</v>
      </c>
      <c r="AR2822" s="2">
        <v>331.41932642331102</v>
      </c>
      <c r="AS2822" s="2">
        <v>16069.0709008306</v>
      </c>
      <c r="AT2822" s="2">
        <v>628.28309760738398</v>
      </c>
      <c r="AU2822" s="2">
        <v>542.31760007079299</v>
      </c>
      <c r="AV2822" s="2">
        <v>513.76668329412905</v>
      </c>
      <c r="AW2822" s="2">
        <v>2411.4000551211602</v>
      </c>
      <c r="AX2822" s="2">
        <v>4778.0342849480703</v>
      </c>
    </row>
    <row r="2823" spans="1:50" x14ac:dyDescent="0.25">
      <c r="A2823" s="2" t="s">
        <v>18897</v>
      </c>
      <c r="B2823" s="2">
        <v>318.19235295323699</v>
      </c>
      <c r="C2823" s="2">
        <v>4.0892666666666697</v>
      </c>
      <c r="D2823" s="2" t="s">
        <v>51</v>
      </c>
      <c r="E2823" s="2" t="s">
        <v>18898</v>
      </c>
      <c r="F2823" s="2">
        <v>198258</v>
      </c>
      <c r="G2823" s="3" t="str">
        <f>HYPERLINK("https://cloud.oebiotech.com/#/lm/network/198258", "https://cloud.oebiotech.com/#/lm/network/198258")</f>
        <v>https://cloud.oebiotech.com/#/lm/network/198258</v>
      </c>
      <c r="H2823" s="2" t="s">
        <v>18899</v>
      </c>
      <c r="I2823" s="2"/>
      <c r="J2823" s="2"/>
      <c r="K2823" s="2">
        <v>92036974</v>
      </c>
      <c r="L2823" s="2"/>
      <c r="M2823" s="2"/>
      <c r="N2823" s="2"/>
      <c r="O2823" s="2"/>
      <c r="P2823" s="2"/>
      <c r="Q2823" s="2"/>
      <c r="R2823" s="2"/>
      <c r="S2823" s="2" t="s">
        <v>18900</v>
      </c>
      <c r="T2823" s="2" t="s">
        <v>18901</v>
      </c>
      <c r="U2823" s="2" t="s">
        <v>56</v>
      </c>
      <c r="V2823" s="2" t="s">
        <v>145</v>
      </c>
      <c r="W2823" s="2" t="s">
        <v>1188</v>
      </c>
      <c r="X2823" s="2" t="s">
        <v>69</v>
      </c>
      <c r="Y2823" s="2">
        <v>55</v>
      </c>
      <c r="Z2823" s="2">
        <v>75.099999999999994</v>
      </c>
      <c r="AA2823" s="2" t="s">
        <v>259</v>
      </c>
      <c r="AB2823" s="2" t="s">
        <v>18902</v>
      </c>
      <c r="AC2823" s="2">
        <v>3.9060413569674002</v>
      </c>
      <c r="AD2823" s="2"/>
      <c r="AE2823" s="2">
        <v>0.217121014688366</v>
      </c>
      <c r="AF2823" s="2">
        <v>6054.8989896427802</v>
      </c>
      <c r="AG2823" s="2">
        <v>3147.3684031932298</v>
      </c>
      <c r="AH2823" s="5">
        <v>1.92379734876275</v>
      </c>
      <c r="AI2823" s="5">
        <v>0.94395683479757797</v>
      </c>
      <c r="AJ2823" s="5" t="s">
        <v>139</v>
      </c>
      <c r="AK2823" s="2">
        <v>0.21922698508183799</v>
      </c>
      <c r="AL2823" s="2">
        <v>0.54503794406652895</v>
      </c>
      <c r="AM2823" s="2">
        <v>1194.2447318488</v>
      </c>
      <c r="AN2823" s="2">
        <v>3900.05002575666</v>
      </c>
      <c r="AO2823" s="2">
        <v>16132.448850009499</v>
      </c>
      <c r="AP2823" s="2">
        <v>5114.3692336448003</v>
      </c>
      <c r="AQ2823" s="2">
        <v>6202.9824327430297</v>
      </c>
      <c r="AR2823" s="2">
        <v>3785.29866385389</v>
      </c>
      <c r="AS2823" s="2">
        <v>2729.8769634099499</v>
      </c>
      <c r="AT2823" s="2">
        <v>1283.7886890342299</v>
      </c>
      <c r="AU2823" s="2">
        <v>1806.3239769035499</v>
      </c>
      <c r="AV2823" s="2">
        <v>5097.6996806555298</v>
      </c>
      <c r="AW2823" s="2">
        <v>3251.2265490527302</v>
      </c>
      <c r="AX2823" s="2">
        <v>4715.2945601034098</v>
      </c>
    </row>
    <row r="2824" spans="1:50" x14ac:dyDescent="0.25">
      <c r="A2824" s="2" t="s">
        <v>18903</v>
      </c>
      <c r="B2824" s="2">
        <v>203.15083171297201</v>
      </c>
      <c r="C2824" s="2">
        <v>0.67084999999999995</v>
      </c>
      <c r="D2824" s="2" t="s">
        <v>51</v>
      </c>
      <c r="E2824" s="2" t="s">
        <v>18904</v>
      </c>
      <c r="F2824" s="2">
        <v>48065</v>
      </c>
      <c r="G2824" s="3" t="str">
        <f>HYPERLINK("https://cloud.oebiotech.com/#/lm/network/48065", "https://cloud.oebiotech.com/#/lm/network/48065")</f>
        <v>https://cloud.oebiotech.com/#/lm/network/48065</v>
      </c>
      <c r="H2824" s="2" t="s">
        <v>18905</v>
      </c>
      <c r="I2824" s="2">
        <v>44873</v>
      </c>
      <c r="J2824" s="2"/>
      <c r="K2824" s="2">
        <v>169148</v>
      </c>
      <c r="L2824" s="2"/>
      <c r="M2824" s="2"/>
      <c r="N2824" s="2"/>
      <c r="O2824" s="2">
        <v>25682</v>
      </c>
      <c r="P2824" s="2" t="s">
        <v>18906</v>
      </c>
      <c r="Q2824" s="2" t="s">
        <v>18907</v>
      </c>
      <c r="R2824" s="2" t="s">
        <v>18908</v>
      </c>
      <c r="S2824" s="2" t="s">
        <v>18909</v>
      </c>
      <c r="T2824" s="2" t="s">
        <v>18910</v>
      </c>
      <c r="U2824" s="2" t="s">
        <v>103</v>
      </c>
      <c r="V2824" s="2" t="s">
        <v>104</v>
      </c>
      <c r="W2824" s="2" t="s">
        <v>105</v>
      </c>
      <c r="X2824" s="2" t="s">
        <v>83</v>
      </c>
      <c r="Y2824" s="2">
        <v>39</v>
      </c>
      <c r="Z2824" s="2">
        <v>0</v>
      </c>
      <c r="AA2824" s="2" t="s">
        <v>259</v>
      </c>
      <c r="AB2824" s="2" t="s">
        <v>10118</v>
      </c>
      <c r="AC2824" s="2">
        <v>2.8665126218488601</v>
      </c>
      <c r="AD2824" s="2"/>
      <c r="AE2824" s="2">
        <v>0.217104698804716</v>
      </c>
      <c r="AF2824" s="2">
        <v>18752.610188677401</v>
      </c>
      <c r="AG2824" s="2">
        <v>22684.996775382398</v>
      </c>
      <c r="AH2824" s="4">
        <v>0.82665253931301197</v>
      </c>
      <c r="AI2824" s="4">
        <v>-0.27464703531531498</v>
      </c>
      <c r="AJ2824" s="4" t="s">
        <v>62</v>
      </c>
      <c r="AK2824" s="2">
        <v>0.422747163694004</v>
      </c>
      <c r="AL2824" s="2">
        <v>0.683406571622166</v>
      </c>
      <c r="AM2824" s="2">
        <v>12509.6713131462</v>
      </c>
      <c r="AN2824" s="2">
        <v>18543.856845714399</v>
      </c>
      <c r="AO2824" s="2">
        <v>18193.905586526002</v>
      </c>
      <c r="AP2824" s="2">
        <v>21574.5060847602</v>
      </c>
      <c r="AQ2824" s="2">
        <v>21071.536473586799</v>
      </c>
      <c r="AR2824" s="2">
        <v>20622.184828330701</v>
      </c>
      <c r="AS2824" s="2">
        <v>22528.800472254701</v>
      </c>
      <c r="AT2824" s="2">
        <v>44273.627860532099</v>
      </c>
      <c r="AU2824" s="2">
        <v>14209.882564776801</v>
      </c>
      <c r="AV2824" s="2">
        <v>18020.8284086284</v>
      </c>
      <c r="AW2824" s="2">
        <v>15917.136542763301</v>
      </c>
      <c r="AX2824" s="2">
        <v>21159.704803339398</v>
      </c>
    </row>
    <row r="2825" spans="1:50" x14ac:dyDescent="0.25">
      <c r="A2825" s="2" t="s">
        <v>18911</v>
      </c>
      <c r="B2825" s="2">
        <v>476.27886791509098</v>
      </c>
      <c r="C2825" s="2">
        <v>8.4782166666666701</v>
      </c>
      <c r="D2825" s="2" t="s">
        <v>51</v>
      </c>
      <c r="E2825" s="2" t="s">
        <v>18912</v>
      </c>
      <c r="F2825" s="2">
        <v>21204</v>
      </c>
      <c r="G2825" s="3" t="str">
        <f>HYPERLINK("https://cloud.oebiotech.com/#/lm/network/21204", "https://cloud.oebiotech.com/#/lm/network/21204")</f>
        <v>https://cloud.oebiotech.com/#/lm/network/21204</v>
      </c>
      <c r="H2825" s="2" t="s">
        <v>18913</v>
      </c>
      <c r="I2825" s="2">
        <v>62267</v>
      </c>
      <c r="J2825" s="2" t="s">
        <v>18914</v>
      </c>
      <c r="K2825" s="2">
        <v>53480928</v>
      </c>
      <c r="L2825" s="2"/>
      <c r="M2825" s="2"/>
      <c r="N2825" s="2"/>
      <c r="O2825" s="2"/>
      <c r="P2825" s="2"/>
      <c r="Q2825" s="2"/>
      <c r="R2825" s="2"/>
      <c r="S2825" s="2" t="s">
        <v>18915</v>
      </c>
      <c r="T2825" s="2" t="s">
        <v>18916</v>
      </c>
      <c r="U2825" s="2" t="s">
        <v>56</v>
      </c>
      <c r="V2825" s="2" t="s">
        <v>57</v>
      </c>
      <c r="W2825" s="2" t="s">
        <v>155</v>
      </c>
      <c r="X2825" s="2" t="s">
        <v>59</v>
      </c>
      <c r="Y2825" s="2">
        <v>55.5</v>
      </c>
      <c r="Z2825" s="2">
        <v>86.3</v>
      </c>
      <c r="AA2825" s="2" t="s">
        <v>259</v>
      </c>
      <c r="AB2825" s="2" t="s">
        <v>12485</v>
      </c>
      <c r="AC2825" s="2">
        <v>3.5814691169481998</v>
      </c>
      <c r="AD2825" s="2"/>
      <c r="AE2825" s="2">
        <v>0.217062105651669</v>
      </c>
      <c r="AF2825" s="2">
        <v>8682.9632254415392</v>
      </c>
      <c r="AG2825" s="2">
        <v>13033.7128815167</v>
      </c>
      <c r="AH2825" s="4">
        <v>0.66619261175800204</v>
      </c>
      <c r="AI2825" s="4">
        <v>-0.58598874063372397</v>
      </c>
      <c r="AJ2825" s="4" t="s">
        <v>62</v>
      </c>
      <c r="AK2825" s="2">
        <v>0.247415575635589</v>
      </c>
      <c r="AL2825" s="2">
        <v>0.57119796911972998</v>
      </c>
      <c r="AM2825" s="2">
        <v>14837.697382652599</v>
      </c>
      <c r="AN2825" s="2">
        <v>9794.5472130498001</v>
      </c>
      <c r="AO2825" s="2">
        <v>8178.75171420486</v>
      </c>
      <c r="AP2825" s="2">
        <v>5923.6412051129</v>
      </c>
      <c r="AQ2825" s="2">
        <v>6605.5144963951698</v>
      </c>
      <c r="AR2825" s="2">
        <v>6757.6273412339397</v>
      </c>
      <c r="AS2825" s="2">
        <v>5490.7438808679599</v>
      </c>
      <c r="AT2825" s="2">
        <v>6109.3624018618302</v>
      </c>
      <c r="AU2825" s="2">
        <v>27689.938364821301</v>
      </c>
      <c r="AV2825" s="2">
        <v>12215.154577765699</v>
      </c>
      <c r="AW2825" s="2">
        <v>12717.8029588551</v>
      </c>
      <c r="AX2825" s="2">
        <v>13979.2751049285</v>
      </c>
    </row>
    <row r="2826" spans="1:50" x14ac:dyDescent="0.25">
      <c r="A2826" s="2" t="s">
        <v>18917</v>
      </c>
      <c r="B2826" s="2">
        <v>421.13051084482998</v>
      </c>
      <c r="C2826" s="2">
        <v>5.5510999999999999</v>
      </c>
      <c r="D2826" s="2" t="s">
        <v>51</v>
      </c>
      <c r="E2826" s="2" t="s">
        <v>18918</v>
      </c>
      <c r="F2826" s="2">
        <v>34329</v>
      </c>
      <c r="G2826" s="3" t="str">
        <f>HYPERLINK("https://cloud.oebiotech.com/#/lm/network/34329", "https://cloud.oebiotech.com/#/lm/network/34329")</f>
        <v>https://cloud.oebiotech.com/#/lm/network/34329</v>
      </c>
      <c r="H2826" s="2"/>
      <c r="I2826" s="2">
        <v>52637</v>
      </c>
      <c r="J2826" s="2" t="s">
        <v>18919</v>
      </c>
      <c r="K2826" s="2">
        <v>155587</v>
      </c>
      <c r="L2826" s="2"/>
      <c r="M2826" s="2"/>
      <c r="N2826" s="2"/>
      <c r="O2826" s="2">
        <v>140136</v>
      </c>
      <c r="P2826" s="2"/>
      <c r="Q2826" s="2"/>
      <c r="R2826" s="2"/>
      <c r="S2826" s="2" t="s">
        <v>18920</v>
      </c>
      <c r="T2826" s="2" t="s">
        <v>18921</v>
      </c>
      <c r="U2826" s="2" t="s">
        <v>540</v>
      </c>
      <c r="V2826" s="2" t="s">
        <v>2365</v>
      </c>
      <c r="W2826" s="2" t="s">
        <v>7571</v>
      </c>
      <c r="X2826" s="2" t="s">
        <v>147</v>
      </c>
      <c r="Y2826" s="2">
        <v>36.299999999999997</v>
      </c>
      <c r="Z2826" s="2">
        <v>0.499</v>
      </c>
      <c r="AA2826" s="2" t="s">
        <v>241</v>
      </c>
      <c r="AB2826" s="2" t="s">
        <v>18922</v>
      </c>
      <c r="AC2826" s="2">
        <v>3.2813976732181902</v>
      </c>
      <c r="AD2826" s="2"/>
      <c r="AE2826" s="2">
        <v>0.217006212629861</v>
      </c>
      <c r="AF2826" s="2">
        <v>7298.2612946464096</v>
      </c>
      <c r="AG2826" s="2">
        <v>5727.9546594901403</v>
      </c>
      <c r="AH2826" s="5">
        <v>1.2741478814875999</v>
      </c>
      <c r="AI2826" s="5">
        <v>0.34953273089674403</v>
      </c>
      <c r="AJ2826" s="5" t="s">
        <v>139</v>
      </c>
      <c r="AK2826" s="2">
        <v>0.48626182724400602</v>
      </c>
      <c r="AL2826" s="2">
        <v>0.72976149351558695</v>
      </c>
      <c r="AM2826" s="2">
        <v>9847.8950383679894</v>
      </c>
      <c r="AN2826" s="2">
        <v>4985.3655626543896</v>
      </c>
      <c r="AO2826" s="2">
        <v>10558.791431134599</v>
      </c>
      <c r="AP2826" s="2">
        <v>1223.69457359014</v>
      </c>
      <c r="AQ2826" s="2">
        <v>5021.9235848950702</v>
      </c>
      <c r="AR2826" s="2">
        <v>12151.897577236299</v>
      </c>
      <c r="AS2826" s="2">
        <v>7142.1717815245602</v>
      </c>
      <c r="AT2826" s="2">
        <v>10917.0070615227</v>
      </c>
      <c r="AU2826" s="2">
        <v>7213.2813391538102</v>
      </c>
      <c r="AV2826" s="2">
        <v>3495.46711854654</v>
      </c>
      <c r="AW2826" s="2">
        <v>3068.86842367688</v>
      </c>
      <c r="AX2826" s="2">
        <v>2530.9322325163398</v>
      </c>
    </row>
    <row r="2827" spans="1:50" x14ac:dyDescent="0.25">
      <c r="A2827" s="2" t="s">
        <v>18923</v>
      </c>
      <c r="B2827" s="2">
        <v>245.165803672918</v>
      </c>
      <c r="C2827" s="2">
        <v>5.5685333333333302</v>
      </c>
      <c r="D2827" s="2" t="s">
        <v>51</v>
      </c>
      <c r="E2827" s="2" t="s">
        <v>18924</v>
      </c>
      <c r="F2827" s="2">
        <v>207613</v>
      </c>
      <c r="G2827" s="3" t="str">
        <f>HYPERLINK("https://cloud.oebiotech.com/#/lm/network/207613", "https://cloud.oebiotech.com/#/lm/network/207613")</f>
        <v>https://cloud.oebiotech.com/#/lm/network/207613</v>
      </c>
      <c r="H2827" s="2" t="s">
        <v>18925</v>
      </c>
      <c r="I2827" s="2"/>
      <c r="J2827" s="2"/>
      <c r="K2827" s="2">
        <v>21202</v>
      </c>
      <c r="L2827" s="2"/>
      <c r="M2827" s="2"/>
      <c r="N2827" s="2"/>
      <c r="O2827" s="2">
        <v>53216</v>
      </c>
      <c r="P2827" s="2"/>
      <c r="Q2827" s="2"/>
      <c r="R2827" s="2"/>
      <c r="S2827" s="2" t="s">
        <v>18926</v>
      </c>
      <c r="T2827" s="2" t="s">
        <v>18927</v>
      </c>
      <c r="U2827" s="2" t="s">
        <v>119</v>
      </c>
      <c r="V2827" s="2" t="s">
        <v>120</v>
      </c>
      <c r="W2827" s="2" t="s">
        <v>18928</v>
      </c>
      <c r="X2827" s="2" t="s">
        <v>147</v>
      </c>
      <c r="Y2827" s="2">
        <v>39.9</v>
      </c>
      <c r="Z2827" s="2">
        <v>5.47</v>
      </c>
      <c r="AA2827" s="2" t="s">
        <v>156</v>
      </c>
      <c r="AB2827" s="2" t="s">
        <v>18929</v>
      </c>
      <c r="AC2827" s="2">
        <v>3.6769101782356799</v>
      </c>
      <c r="AD2827" s="2"/>
      <c r="AE2827" s="2">
        <v>0.21691857941576301</v>
      </c>
      <c r="AF2827" s="2">
        <v>656.49145807662501</v>
      </c>
      <c r="AG2827" s="2">
        <v>2885.0773237577801</v>
      </c>
      <c r="AH2827" s="4">
        <v>0.22754726629702701</v>
      </c>
      <c r="AI2827" s="4">
        <v>-2.1357618406990899</v>
      </c>
      <c r="AJ2827" s="4" t="s">
        <v>62</v>
      </c>
      <c r="AK2827" s="2">
        <v>0.30071699345631298</v>
      </c>
      <c r="AL2827" s="2">
        <v>0.61037838979491599</v>
      </c>
      <c r="AM2827" s="2">
        <v>2127.2026127535601</v>
      </c>
      <c r="AN2827" s="2">
        <v>181.376204012719</v>
      </c>
      <c r="AO2827" s="2">
        <v>157.44733948164401</v>
      </c>
      <c r="AP2827" s="2">
        <v>1090.4980577236499</v>
      </c>
      <c r="AQ2827" s="2">
        <v>176.449757631555</v>
      </c>
      <c r="AR2827" s="2">
        <v>205.97477685662199</v>
      </c>
      <c r="AS2827" s="2">
        <v>4411.6976583580299</v>
      </c>
      <c r="AT2827" s="2">
        <v>194.42193547867399</v>
      </c>
      <c r="AU2827" s="2">
        <v>144.33041044361801</v>
      </c>
      <c r="AV2827" s="2">
        <v>8.559877937157E-6</v>
      </c>
      <c r="AW2827" s="2">
        <v>222.64641777448699</v>
      </c>
      <c r="AX2827" s="2">
        <v>12337.367511932</v>
      </c>
    </row>
    <row r="2828" spans="1:50" x14ac:dyDescent="0.25">
      <c r="A2828" s="2" t="s">
        <v>18930</v>
      </c>
      <c r="B2828" s="2">
        <v>239.967891553985</v>
      </c>
      <c r="C2828" s="2">
        <v>6.7417333333333298</v>
      </c>
      <c r="D2828" s="2" t="s">
        <v>51</v>
      </c>
      <c r="E2828" s="2" t="s">
        <v>18931</v>
      </c>
      <c r="F2828" s="2">
        <v>516557</v>
      </c>
      <c r="G2828" s="3" t="str">
        <f>HYPERLINK("https://cloud.oebiotech.com/#/lm/network/516557", "https://cloud.oebiotech.com/#/lm/network/516557")</f>
        <v>https://cloud.oebiotech.com/#/lm/network/516557</v>
      </c>
      <c r="H2828" s="2"/>
      <c r="I2828" s="2">
        <v>96598</v>
      </c>
      <c r="J2828" s="2"/>
      <c r="K2828" s="2">
        <v>131506</v>
      </c>
      <c r="L2828" s="2"/>
      <c r="M2828" s="2"/>
      <c r="N2828" s="2"/>
      <c r="O2828" s="2"/>
      <c r="P2828" s="2"/>
      <c r="Q2828" s="2"/>
      <c r="R2828" s="2"/>
      <c r="S2828" s="2" t="s">
        <v>18932</v>
      </c>
      <c r="T2828" s="2" t="s">
        <v>18933</v>
      </c>
      <c r="U2828" s="2" t="s">
        <v>610</v>
      </c>
      <c r="V2828" s="2" t="s">
        <v>14762</v>
      </c>
      <c r="W2828" s="2" t="s">
        <v>240</v>
      </c>
      <c r="X2828" s="2" t="s">
        <v>147</v>
      </c>
      <c r="Y2828" s="2">
        <v>38.5</v>
      </c>
      <c r="Z2828" s="2">
        <v>0</v>
      </c>
      <c r="AA2828" s="2" t="s">
        <v>379</v>
      </c>
      <c r="AB2828" s="2" t="s">
        <v>18934</v>
      </c>
      <c r="AC2828" s="2">
        <v>-0.24963343963003801</v>
      </c>
      <c r="AD2828" s="2"/>
      <c r="AE2828" s="2">
        <v>0.216884701159167</v>
      </c>
      <c r="AF2828" s="2">
        <v>5903.3607822982704</v>
      </c>
      <c r="AG2828" s="2">
        <v>6977.8579485432901</v>
      </c>
      <c r="AH2828" s="4">
        <v>0.84601332182903799</v>
      </c>
      <c r="AI2828" s="4">
        <v>-0.24124771382893601</v>
      </c>
      <c r="AJ2828" s="4" t="s">
        <v>62</v>
      </c>
      <c r="AK2828" s="2">
        <v>3.1319388677894897E-2</v>
      </c>
      <c r="AL2828" s="2">
        <v>0.26189184588825598</v>
      </c>
      <c r="AM2828" s="2">
        <v>4862.1258488531903</v>
      </c>
      <c r="AN2828" s="2">
        <v>5435.3333290025603</v>
      </c>
      <c r="AO2828" s="2">
        <v>5968.1395372462403</v>
      </c>
      <c r="AP2828" s="2">
        <v>6367.46659378821</v>
      </c>
      <c r="AQ2828" s="2">
        <v>7347.9822528452696</v>
      </c>
      <c r="AR2828" s="2">
        <v>5439.1171320541298</v>
      </c>
      <c r="AS2828" s="2">
        <v>7128.0645010881299</v>
      </c>
      <c r="AT2828" s="2">
        <v>7503.04938562384</v>
      </c>
      <c r="AU2828" s="2">
        <v>6366.1408930763</v>
      </c>
      <c r="AV2828" s="2">
        <v>6970.7636128191798</v>
      </c>
      <c r="AW2828" s="2">
        <v>7667.8323326209202</v>
      </c>
      <c r="AX2828" s="2">
        <v>6231.2969660313902</v>
      </c>
    </row>
    <row r="2829" spans="1:50" x14ac:dyDescent="0.25">
      <c r="A2829" s="2" t="s">
        <v>18935</v>
      </c>
      <c r="B2829" s="2">
        <v>375.18524533844999</v>
      </c>
      <c r="C2829" s="2">
        <v>9.6451499999999992</v>
      </c>
      <c r="D2829" s="2" t="s">
        <v>51</v>
      </c>
      <c r="E2829" s="2" t="s">
        <v>18936</v>
      </c>
      <c r="F2829" s="2">
        <v>209927</v>
      </c>
      <c r="G2829" s="3" t="str">
        <f>HYPERLINK("https://cloud.oebiotech.com/#/lm/network/209927", "https://cloud.oebiotech.com/#/lm/network/209927")</f>
        <v>https://cloud.oebiotech.com/#/lm/network/209927</v>
      </c>
      <c r="H2829" s="2" t="s">
        <v>18937</v>
      </c>
      <c r="I2829" s="2"/>
      <c r="J2829" s="2"/>
      <c r="K2829" s="2">
        <v>113914</v>
      </c>
      <c r="L2829" s="2"/>
      <c r="M2829" s="2"/>
      <c r="N2829" s="2"/>
      <c r="O2829" s="2"/>
      <c r="P2829" s="2"/>
      <c r="Q2829" s="2"/>
      <c r="R2829" s="2"/>
      <c r="S2829" s="2" t="s">
        <v>18938</v>
      </c>
      <c r="T2829" s="2" t="s">
        <v>18939</v>
      </c>
      <c r="U2829" s="2" t="s">
        <v>266</v>
      </c>
      <c r="V2829" s="2" t="s">
        <v>5547</v>
      </c>
      <c r="W2829" s="2" t="s">
        <v>5548</v>
      </c>
      <c r="X2829" s="2" t="s">
        <v>147</v>
      </c>
      <c r="Y2829" s="2">
        <v>36.5</v>
      </c>
      <c r="Z2829" s="2">
        <v>0</v>
      </c>
      <c r="AA2829" s="2" t="s">
        <v>95</v>
      </c>
      <c r="AB2829" s="2" t="s">
        <v>18940</v>
      </c>
      <c r="AC2829" s="2">
        <v>-3.6776234138887101</v>
      </c>
      <c r="AD2829" s="2"/>
      <c r="AE2829" s="2">
        <v>0.21685292211092699</v>
      </c>
      <c r="AF2829" s="2">
        <v>9563.6310574440395</v>
      </c>
      <c r="AG2829" s="2">
        <v>7892.1856977077596</v>
      </c>
      <c r="AH2829" s="5">
        <v>1.21178484943933</v>
      </c>
      <c r="AI2829" s="5">
        <v>0.27713357323287902</v>
      </c>
      <c r="AJ2829" s="5" t="s">
        <v>139</v>
      </c>
      <c r="AK2829" s="2">
        <v>0.19486779390346801</v>
      </c>
      <c r="AL2829" s="2">
        <v>0.51854897429313196</v>
      </c>
      <c r="AM2829" s="2">
        <v>10100.9290913638</v>
      </c>
      <c r="AN2829" s="2">
        <v>9687.3994346879299</v>
      </c>
      <c r="AO2829" s="2">
        <v>8742.8153477546803</v>
      </c>
      <c r="AP2829" s="2">
        <v>11853.0825134727</v>
      </c>
      <c r="AQ2829" s="2">
        <v>8323.6873051828006</v>
      </c>
      <c r="AR2829" s="2">
        <v>8673.8726522023098</v>
      </c>
      <c r="AS2829" s="2">
        <v>9834.9770128179807</v>
      </c>
      <c r="AT2829" s="2">
        <v>8684.3068491557806</v>
      </c>
      <c r="AU2829" s="2">
        <v>10861.164210344599</v>
      </c>
      <c r="AV2829" s="2">
        <v>4112.1879511450898</v>
      </c>
      <c r="AW2829" s="2">
        <v>5270.1716938316704</v>
      </c>
      <c r="AX2829" s="2">
        <v>8590.3064689514194</v>
      </c>
    </row>
    <row r="2830" spans="1:50" x14ac:dyDescent="0.25">
      <c r="A2830" s="2" t="s">
        <v>18941</v>
      </c>
      <c r="B2830" s="2">
        <v>290.08267251598801</v>
      </c>
      <c r="C2830" s="2">
        <v>1.3012999999999999</v>
      </c>
      <c r="D2830" s="2" t="s">
        <v>51</v>
      </c>
      <c r="E2830" s="2" t="s">
        <v>18942</v>
      </c>
      <c r="F2830" s="2">
        <v>201210</v>
      </c>
      <c r="G2830" s="3" t="str">
        <f>HYPERLINK("https://cloud.oebiotech.com/#/lm/network/201210", "https://cloud.oebiotech.com/#/lm/network/201210")</f>
        <v>https://cloud.oebiotech.com/#/lm/network/201210</v>
      </c>
      <c r="H2830" s="2" t="s">
        <v>18943</v>
      </c>
      <c r="I2830" s="2"/>
      <c r="J2830" s="2"/>
      <c r="K2830" s="2">
        <v>13143216</v>
      </c>
      <c r="L2830" s="2"/>
      <c r="M2830" s="2"/>
      <c r="N2830" s="2"/>
      <c r="O2830" s="2"/>
      <c r="P2830" s="2"/>
      <c r="Q2830" s="2"/>
      <c r="R2830" s="2"/>
      <c r="S2830" s="2" t="s">
        <v>18944</v>
      </c>
      <c r="T2830" s="2" t="s">
        <v>18945</v>
      </c>
      <c r="U2830" s="2" t="s">
        <v>610</v>
      </c>
      <c r="V2830" s="2" t="s">
        <v>5991</v>
      </c>
      <c r="W2830" s="2" t="s">
        <v>240</v>
      </c>
      <c r="X2830" s="2" t="s">
        <v>147</v>
      </c>
      <c r="Y2830" s="2">
        <v>44.5</v>
      </c>
      <c r="Z2830" s="2">
        <v>35.799999999999997</v>
      </c>
      <c r="AA2830" s="2" t="s">
        <v>218</v>
      </c>
      <c r="AB2830" s="2" t="s">
        <v>18946</v>
      </c>
      <c r="AC2830" s="2">
        <v>1.6552233196903801</v>
      </c>
      <c r="AD2830" s="2"/>
      <c r="AE2830" s="2">
        <v>0.21683594623902799</v>
      </c>
      <c r="AF2830" s="2">
        <v>8698.1940493893999</v>
      </c>
      <c r="AG2830" s="2">
        <v>6963.1788018493899</v>
      </c>
      <c r="AH2830" s="5">
        <v>1.24916999791521</v>
      </c>
      <c r="AI2830" s="5">
        <v>0.32096982479234398</v>
      </c>
      <c r="AJ2830" s="5" t="s">
        <v>139</v>
      </c>
      <c r="AK2830" s="2">
        <v>0.20722614432025999</v>
      </c>
      <c r="AL2830" s="2">
        <v>0.53236764120700197</v>
      </c>
      <c r="AM2830" s="2">
        <v>11503.9879286535</v>
      </c>
      <c r="AN2830" s="2">
        <v>8540.5241155654403</v>
      </c>
      <c r="AO2830" s="2">
        <v>9038.2843566475694</v>
      </c>
      <c r="AP2830" s="2">
        <v>11080.422745755401</v>
      </c>
      <c r="AQ2830" s="2">
        <v>7388.8231836081104</v>
      </c>
      <c r="AR2830" s="2">
        <v>4637.1219661063997</v>
      </c>
      <c r="AS2830" s="2">
        <v>5347.5788689655101</v>
      </c>
      <c r="AT2830" s="2">
        <v>4727.50539143471</v>
      </c>
      <c r="AU2830" s="2">
        <v>9595.1511872659703</v>
      </c>
      <c r="AV2830" s="2">
        <v>8380.3766173067397</v>
      </c>
      <c r="AW2830" s="2">
        <v>7638.6308868699998</v>
      </c>
      <c r="AX2830" s="2">
        <v>6089.8298592533802</v>
      </c>
    </row>
    <row r="2831" spans="1:50" x14ac:dyDescent="0.25">
      <c r="A2831" s="2" t="s">
        <v>18947</v>
      </c>
      <c r="B2831" s="2">
        <v>211.097035476521</v>
      </c>
      <c r="C2831" s="2">
        <v>5.8401166666666704</v>
      </c>
      <c r="D2831" s="2" t="s">
        <v>51</v>
      </c>
      <c r="E2831" s="2" t="s">
        <v>18948</v>
      </c>
      <c r="F2831" s="2">
        <v>60662</v>
      </c>
      <c r="G2831" s="3" t="str">
        <f>HYPERLINK("https://cloud.oebiotech.com/#/lm/network/60662", "https://cloud.oebiotech.com/#/lm/network/60662")</f>
        <v>https://cloud.oebiotech.com/#/lm/network/60662</v>
      </c>
      <c r="H2831" s="2" t="s">
        <v>18949</v>
      </c>
      <c r="I2831" s="2">
        <v>91994</v>
      </c>
      <c r="J2831" s="2"/>
      <c r="K2831" s="2">
        <v>14379178</v>
      </c>
      <c r="L2831" s="2"/>
      <c r="M2831" s="2"/>
      <c r="N2831" s="2"/>
      <c r="O2831" s="2">
        <v>138750</v>
      </c>
      <c r="P2831" s="2"/>
      <c r="Q2831" s="2"/>
      <c r="R2831" s="2" t="s">
        <v>18950</v>
      </c>
      <c r="S2831" s="2" t="s">
        <v>18951</v>
      </c>
      <c r="T2831" s="2" t="s">
        <v>18952</v>
      </c>
      <c r="U2831" s="2" t="s">
        <v>56</v>
      </c>
      <c r="V2831" s="2" t="s">
        <v>177</v>
      </c>
      <c r="W2831" s="2" t="s">
        <v>584</v>
      </c>
      <c r="X2831" s="2" t="s">
        <v>83</v>
      </c>
      <c r="Y2831" s="2">
        <v>45.1</v>
      </c>
      <c r="Z2831" s="2">
        <v>0</v>
      </c>
      <c r="AA2831" s="2" t="s">
        <v>218</v>
      </c>
      <c r="AB2831" s="2" t="s">
        <v>16584</v>
      </c>
      <c r="AC2831" s="2">
        <v>-3.2937003162801601</v>
      </c>
      <c r="AD2831" s="2"/>
      <c r="AE2831" s="2">
        <v>0.21683130368991499</v>
      </c>
      <c r="AF2831" s="2">
        <v>4882.6997301723204</v>
      </c>
      <c r="AG2831" s="2">
        <v>3471.87244412477</v>
      </c>
      <c r="AH2831" s="5">
        <v>1.40635919341882</v>
      </c>
      <c r="AI2831" s="5">
        <v>0.49196511530783399</v>
      </c>
      <c r="AJ2831" s="5" t="s">
        <v>139</v>
      </c>
      <c r="AK2831" s="2">
        <v>0.224264295663544</v>
      </c>
      <c r="AL2831" s="2">
        <v>0.550416338716189</v>
      </c>
      <c r="AM2831" s="2">
        <v>5480.2177462046002</v>
      </c>
      <c r="AN2831" s="2">
        <v>8584.3548824802692</v>
      </c>
      <c r="AO2831" s="2">
        <v>3973.10774634884</v>
      </c>
      <c r="AP2831" s="2">
        <v>3017.1579420529602</v>
      </c>
      <c r="AQ2831" s="2">
        <v>3311.9471409902799</v>
      </c>
      <c r="AR2831" s="2">
        <v>4929.4129229569999</v>
      </c>
      <c r="AS2831" s="2">
        <v>4170.2490880531604</v>
      </c>
      <c r="AT2831" s="2">
        <v>2287.2637011700099</v>
      </c>
      <c r="AU2831" s="2">
        <v>6647.4049593650598</v>
      </c>
      <c r="AV2831" s="2">
        <v>2087.71269018371</v>
      </c>
      <c r="AW2831" s="2">
        <v>2849.7399815583299</v>
      </c>
      <c r="AX2831" s="2">
        <v>2788.8642444183401</v>
      </c>
    </row>
    <row r="2832" spans="1:50" x14ac:dyDescent="0.25">
      <c r="A2832" s="2" t="s">
        <v>18953</v>
      </c>
      <c r="B2832" s="2">
        <v>550.38854345640095</v>
      </c>
      <c r="C2832" s="2">
        <v>9.6451499999999992</v>
      </c>
      <c r="D2832" s="2" t="s">
        <v>51</v>
      </c>
      <c r="E2832" s="2" t="s">
        <v>18954</v>
      </c>
      <c r="F2832" s="2">
        <v>19845</v>
      </c>
      <c r="G2832" s="3" t="str">
        <f>HYPERLINK("https://cloud.oebiotech.com/#/lm/network/19845", "https://cloud.oebiotech.com/#/lm/network/19845")</f>
        <v>https://cloud.oebiotech.com/#/lm/network/19845</v>
      </c>
      <c r="H2832" s="2"/>
      <c r="I2832" s="2">
        <v>40313</v>
      </c>
      <c r="J2832" s="2" t="s">
        <v>18955</v>
      </c>
      <c r="K2832" s="2">
        <v>24779475</v>
      </c>
      <c r="L2832" s="2"/>
      <c r="M2832" s="2"/>
      <c r="N2832" s="2"/>
      <c r="O2832" s="2"/>
      <c r="P2832" s="2"/>
      <c r="Q2832" s="2"/>
      <c r="R2832" s="2"/>
      <c r="S2832" s="2" t="s">
        <v>18956</v>
      </c>
      <c r="T2832" s="2" t="s">
        <v>18957</v>
      </c>
      <c r="U2832" s="2" t="s">
        <v>56</v>
      </c>
      <c r="V2832" s="2" t="s">
        <v>57</v>
      </c>
      <c r="W2832" s="2" t="s">
        <v>58</v>
      </c>
      <c r="X2832" s="2" t="s">
        <v>59</v>
      </c>
      <c r="Y2832" s="2">
        <v>57.2</v>
      </c>
      <c r="Z2832" s="2">
        <v>95.4</v>
      </c>
      <c r="AA2832" s="2" t="s">
        <v>259</v>
      </c>
      <c r="AB2832" s="2" t="s">
        <v>3131</v>
      </c>
      <c r="AC2832" s="2">
        <v>3.3260377591143202</v>
      </c>
      <c r="AD2832" s="2"/>
      <c r="AE2832" s="2">
        <v>0.21681876096951</v>
      </c>
      <c r="AF2832" s="2">
        <v>34577.928898163103</v>
      </c>
      <c r="AG2832" s="2">
        <v>32246.8993418953</v>
      </c>
      <c r="AH2832" s="5">
        <v>1.0722869362276699</v>
      </c>
      <c r="AI2832" s="5">
        <v>0.100691012214741</v>
      </c>
      <c r="AJ2832" s="5" t="s">
        <v>139</v>
      </c>
      <c r="AK2832" s="2">
        <v>0.79831075565143395</v>
      </c>
      <c r="AL2832" s="2">
        <v>0.90954932814260703</v>
      </c>
      <c r="AM2832" s="2">
        <v>42666.009439530302</v>
      </c>
      <c r="AN2832" s="2">
        <v>49322.434889043601</v>
      </c>
      <c r="AO2832" s="2">
        <v>36545.534457700502</v>
      </c>
      <c r="AP2832" s="2">
        <v>32205.395070000501</v>
      </c>
      <c r="AQ2832" s="2">
        <v>19286.359425995401</v>
      </c>
      <c r="AR2832" s="2">
        <v>27441.840106708401</v>
      </c>
      <c r="AS2832" s="2">
        <v>28688.80991014</v>
      </c>
      <c r="AT2832" s="2">
        <v>14677.6583386741</v>
      </c>
      <c r="AU2832" s="2">
        <v>65621.196760379506</v>
      </c>
      <c r="AV2832" s="2">
        <v>16851.488124653399</v>
      </c>
      <c r="AW2832" s="2">
        <v>26318.648554126699</v>
      </c>
      <c r="AX2832" s="2">
        <v>41323.594363398202</v>
      </c>
    </row>
    <row r="2833" spans="1:50" x14ac:dyDescent="0.25">
      <c r="A2833" s="2" t="s">
        <v>18958</v>
      </c>
      <c r="B2833" s="2">
        <v>281.24827897598198</v>
      </c>
      <c r="C2833" s="2">
        <v>13.487033333333301</v>
      </c>
      <c r="D2833" s="2" t="s">
        <v>51</v>
      </c>
      <c r="E2833" s="2" t="s">
        <v>18959</v>
      </c>
      <c r="F2833" s="2">
        <v>2524</v>
      </c>
      <c r="G2833" s="3" t="str">
        <f>HYPERLINK("https://cloud.oebiotech.com/#/lm/network/2524", "https://cloud.oebiotech.com/#/lm/network/2524")</f>
        <v>https://cloud.oebiotech.com/#/lm/network/2524</v>
      </c>
      <c r="H2833" s="2" t="s">
        <v>18960</v>
      </c>
      <c r="I2833" s="2">
        <v>35954</v>
      </c>
      <c r="J2833" s="2" t="s">
        <v>18961</v>
      </c>
      <c r="K2833" s="2">
        <v>10416</v>
      </c>
      <c r="L2833" s="2" t="s">
        <v>18962</v>
      </c>
      <c r="M2833" s="2"/>
      <c r="N2833" s="2"/>
      <c r="O2833" s="2">
        <v>6673</v>
      </c>
      <c r="P2833" s="2"/>
      <c r="Q2833" s="2"/>
      <c r="R2833" s="2"/>
      <c r="S2833" s="2" t="s">
        <v>18963</v>
      </c>
      <c r="T2833" s="2" t="s">
        <v>18964</v>
      </c>
      <c r="U2833" s="2" t="s">
        <v>56</v>
      </c>
      <c r="V2833" s="2" t="s">
        <v>145</v>
      </c>
      <c r="W2833" s="2" t="s">
        <v>231</v>
      </c>
      <c r="X2833" s="2" t="s">
        <v>69</v>
      </c>
      <c r="Y2833" s="2">
        <v>60.9</v>
      </c>
      <c r="Z2833" s="2">
        <v>80.099999999999994</v>
      </c>
      <c r="AA2833" s="2" t="s">
        <v>259</v>
      </c>
      <c r="AB2833" s="2" t="s">
        <v>598</v>
      </c>
      <c r="AC2833" s="2">
        <v>2.75577357670831</v>
      </c>
      <c r="AD2833" s="2"/>
      <c r="AE2833" s="2">
        <v>0.21674440358350799</v>
      </c>
      <c r="AF2833" s="2">
        <v>14424.8382660312</v>
      </c>
      <c r="AG2833" s="2">
        <v>11980.420471916501</v>
      </c>
      <c r="AH2833" s="5">
        <v>1.2040343909335001</v>
      </c>
      <c r="AI2833" s="5">
        <v>0.26787660050344397</v>
      </c>
      <c r="AJ2833" s="5" t="s">
        <v>139</v>
      </c>
      <c r="AK2833" s="2">
        <v>0.39122553993985498</v>
      </c>
      <c r="AL2833" s="2">
        <v>0.66528673878009803</v>
      </c>
      <c r="AM2833" s="2">
        <v>17686.643997712301</v>
      </c>
      <c r="AN2833" s="2">
        <v>10959.4950323215</v>
      </c>
      <c r="AO2833" s="2">
        <v>15820.163138796899</v>
      </c>
      <c r="AP2833" s="2">
        <v>16458.360325145699</v>
      </c>
      <c r="AQ2833" s="2">
        <v>19499.838237234901</v>
      </c>
      <c r="AR2833" s="2">
        <v>6124.5288649758504</v>
      </c>
      <c r="AS2833" s="2">
        <v>11973.0237469165</v>
      </c>
      <c r="AT2833" s="2">
        <v>18024.110214671698</v>
      </c>
      <c r="AU2833" s="2">
        <v>6689.3306048396598</v>
      </c>
      <c r="AV2833" s="2">
        <v>7369.6225024388796</v>
      </c>
      <c r="AW2833" s="2">
        <v>15725.0837489275</v>
      </c>
      <c r="AX2833" s="2">
        <v>12101.3520137046</v>
      </c>
    </row>
    <row r="2834" spans="1:50" x14ac:dyDescent="0.25">
      <c r="A2834" s="2" t="s">
        <v>18965</v>
      </c>
      <c r="B2834" s="2">
        <v>372.10486535441299</v>
      </c>
      <c r="C2834" s="2">
        <v>0.77381666666666704</v>
      </c>
      <c r="D2834" s="2" t="s">
        <v>51</v>
      </c>
      <c r="E2834" s="2" t="s">
        <v>18966</v>
      </c>
      <c r="F2834" s="2">
        <v>261042</v>
      </c>
      <c r="G2834" s="3" t="str">
        <f>HYPERLINK("https://cloud.oebiotech.com/#/lm/network/261042", "https://cloud.oebiotech.com/#/lm/network/261042")</f>
        <v>https://cloud.oebiotech.com/#/lm/network/261042</v>
      </c>
      <c r="H2834" s="2"/>
      <c r="I2834" s="2">
        <v>18340</v>
      </c>
      <c r="J2834" s="2"/>
      <c r="K2834" s="2">
        <v>16123298</v>
      </c>
      <c r="L2834" s="2"/>
      <c r="M2834" s="2"/>
      <c r="N2834" s="2"/>
      <c r="O2834" s="2"/>
      <c r="P2834" s="2"/>
      <c r="Q2834" s="2"/>
      <c r="R2834" s="2"/>
      <c r="S2834" s="2" t="s">
        <v>18967</v>
      </c>
      <c r="T2834" s="2" t="s">
        <v>18968</v>
      </c>
      <c r="U2834" s="2" t="s">
        <v>103</v>
      </c>
      <c r="V2834" s="2" t="s">
        <v>104</v>
      </c>
      <c r="W2834" s="2" t="s">
        <v>105</v>
      </c>
      <c r="X2834" s="2" t="s">
        <v>83</v>
      </c>
      <c r="Y2834" s="2">
        <v>38</v>
      </c>
      <c r="Z2834" s="2">
        <v>0</v>
      </c>
      <c r="AA2834" s="2" t="s">
        <v>379</v>
      </c>
      <c r="AB2834" s="2" t="s">
        <v>18969</v>
      </c>
      <c r="AC2834" s="2">
        <v>3.21917995382884E-2</v>
      </c>
      <c r="AD2834" s="2"/>
      <c r="AE2834" s="2">
        <v>0.21673381259079599</v>
      </c>
      <c r="AF2834" s="2">
        <v>6754.6072792711002</v>
      </c>
      <c r="AG2834" s="2">
        <v>5028.1787072693196</v>
      </c>
      <c r="AH2834" s="5">
        <v>1.34335067874693</v>
      </c>
      <c r="AI2834" s="5">
        <v>0.42583596630550202</v>
      </c>
      <c r="AJ2834" s="5" t="s">
        <v>139</v>
      </c>
      <c r="AK2834" s="2">
        <v>0.55896050978737299</v>
      </c>
      <c r="AL2834" s="2">
        <v>0.778439037851683</v>
      </c>
      <c r="AM2834" s="2">
        <v>15204.0308780831</v>
      </c>
      <c r="AN2834" s="2">
        <v>1285.72064982955</v>
      </c>
      <c r="AO2834" s="2">
        <v>7699.7254901737197</v>
      </c>
      <c r="AP2834" s="2">
        <v>7964.1468121886201</v>
      </c>
      <c r="AQ2834" s="2">
        <v>4556.0307965619204</v>
      </c>
      <c r="AR2834" s="2">
        <v>3817.9890487897101</v>
      </c>
      <c r="AS2834" s="2">
        <v>2355.5820045431201</v>
      </c>
      <c r="AT2834" s="2">
        <v>3431.6595583110302</v>
      </c>
      <c r="AU2834" s="2">
        <v>15288.312836409699</v>
      </c>
      <c r="AV2834" s="2">
        <v>2732.8717381626898</v>
      </c>
      <c r="AW2834" s="2">
        <v>3680.6048617069901</v>
      </c>
      <c r="AX2834" s="2">
        <v>2680.0412444823801</v>
      </c>
    </row>
    <row r="2835" spans="1:50" x14ac:dyDescent="0.25">
      <c r="A2835" s="2" t="s">
        <v>18970</v>
      </c>
      <c r="B2835" s="2">
        <v>429.141647146438</v>
      </c>
      <c r="C2835" s="2">
        <v>4.9422166666666696</v>
      </c>
      <c r="D2835" s="2" t="s">
        <v>51</v>
      </c>
      <c r="E2835" s="2" t="s">
        <v>18971</v>
      </c>
      <c r="F2835" s="2">
        <v>203906</v>
      </c>
      <c r="G2835" s="3" t="str">
        <f>HYPERLINK("https://cloud.oebiotech.com/#/lm/network/203906", "https://cloud.oebiotech.com/#/lm/network/203906")</f>
        <v>https://cloud.oebiotech.com/#/lm/network/203906</v>
      </c>
      <c r="H2835" s="2" t="s">
        <v>18972</v>
      </c>
      <c r="I2835" s="2"/>
      <c r="J2835" s="2"/>
      <c r="K2835" s="2">
        <v>18759764</v>
      </c>
      <c r="L2835" s="2"/>
      <c r="M2835" s="2"/>
      <c r="N2835" s="2"/>
      <c r="O2835" s="2"/>
      <c r="P2835" s="2"/>
      <c r="Q2835" s="2"/>
      <c r="R2835" s="2"/>
      <c r="S2835" s="2" t="s">
        <v>18973</v>
      </c>
      <c r="T2835" s="2" t="s">
        <v>18974</v>
      </c>
      <c r="U2835" s="2" t="s">
        <v>56</v>
      </c>
      <c r="V2835" s="2" t="s">
        <v>177</v>
      </c>
      <c r="W2835" s="2" t="s">
        <v>394</v>
      </c>
      <c r="X2835" s="2" t="s">
        <v>147</v>
      </c>
      <c r="Y2835" s="2">
        <v>37.6</v>
      </c>
      <c r="Z2835" s="2">
        <v>0</v>
      </c>
      <c r="AA2835" s="2" t="s">
        <v>379</v>
      </c>
      <c r="AB2835" s="2" t="s">
        <v>18975</v>
      </c>
      <c r="AC2835" s="2">
        <v>3.1505261930353501</v>
      </c>
      <c r="AD2835" s="2"/>
      <c r="AE2835" s="2">
        <v>0.216550003775549</v>
      </c>
      <c r="AF2835" s="2">
        <v>2293.4864066283399</v>
      </c>
      <c r="AG2835" s="2">
        <v>3892.5691689139999</v>
      </c>
      <c r="AH2835" s="4">
        <v>0.58919605718097001</v>
      </c>
      <c r="AI2835" s="4">
        <v>-0.76318031879821302</v>
      </c>
      <c r="AJ2835" s="4" t="s">
        <v>62</v>
      </c>
      <c r="AK2835" s="2">
        <v>0.443653881658153</v>
      </c>
      <c r="AL2835" s="2">
        <v>0.69908803275019105</v>
      </c>
      <c r="AM2835" s="2">
        <v>8.559877937157E-6</v>
      </c>
      <c r="AN2835" s="2">
        <v>2482.0897236382898</v>
      </c>
      <c r="AO2835" s="2">
        <v>951.59276227905195</v>
      </c>
      <c r="AP2835" s="2">
        <v>1688.87701879221</v>
      </c>
      <c r="AQ2835" s="2">
        <v>230.15590795597399</v>
      </c>
      <c r="AR2835" s="2">
        <v>8408.2030185446201</v>
      </c>
      <c r="AS2835" s="2">
        <v>3663.4702069892901</v>
      </c>
      <c r="AT2835" s="2">
        <v>492.808661993486</v>
      </c>
      <c r="AU2835" s="2">
        <v>298.801160013264</v>
      </c>
      <c r="AV2835" s="2">
        <v>4828.4784400000799</v>
      </c>
      <c r="AW2835" s="2">
        <v>10664.000607423999</v>
      </c>
      <c r="AX2835" s="2">
        <v>3407.8559370639</v>
      </c>
    </row>
    <row r="2836" spans="1:50" x14ac:dyDescent="0.25">
      <c r="A2836" s="2" t="s">
        <v>18976</v>
      </c>
      <c r="B2836" s="2">
        <v>295.19125940794402</v>
      </c>
      <c r="C2836" s="2">
        <v>9.6451499999999992</v>
      </c>
      <c r="D2836" s="2" t="s">
        <v>51</v>
      </c>
      <c r="E2836" s="2" t="s">
        <v>18977</v>
      </c>
      <c r="F2836" s="2">
        <v>53158</v>
      </c>
      <c r="G2836" s="3" t="str">
        <f>HYPERLINK("https://cloud.oebiotech.com/#/lm/network/53158", "https://cloud.oebiotech.com/#/lm/network/53158")</f>
        <v>https://cloud.oebiotech.com/#/lm/network/53158</v>
      </c>
      <c r="H2836" s="2" t="s">
        <v>18978</v>
      </c>
      <c r="I2836" s="2"/>
      <c r="J2836" s="2"/>
      <c r="K2836" s="2">
        <v>3510</v>
      </c>
      <c r="L2836" s="2" t="s">
        <v>18979</v>
      </c>
      <c r="M2836" s="2"/>
      <c r="N2836" s="2"/>
      <c r="O2836" s="2">
        <v>154547</v>
      </c>
      <c r="P2836" s="2"/>
      <c r="Q2836" s="2"/>
      <c r="R2836" s="2" t="s">
        <v>18980</v>
      </c>
      <c r="S2836" s="2" t="s">
        <v>18981</v>
      </c>
      <c r="T2836" s="2" t="s">
        <v>18982</v>
      </c>
      <c r="U2836" s="2" t="s">
        <v>266</v>
      </c>
      <c r="V2836" s="2" t="s">
        <v>12134</v>
      </c>
      <c r="W2836" s="2" t="s">
        <v>12135</v>
      </c>
      <c r="X2836" s="2" t="s">
        <v>147</v>
      </c>
      <c r="Y2836" s="2">
        <v>37.9</v>
      </c>
      <c r="Z2836" s="2">
        <v>0</v>
      </c>
      <c r="AA2836" s="2" t="s">
        <v>3354</v>
      </c>
      <c r="AB2836" s="2" t="s">
        <v>18983</v>
      </c>
      <c r="AC2836" s="2">
        <v>-1.4854513322299201</v>
      </c>
      <c r="AD2836" s="2"/>
      <c r="AE2836" s="2">
        <v>0.21643348205600499</v>
      </c>
      <c r="AF2836" s="2">
        <v>8296.3529856488094</v>
      </c>
      <c r="AG2836" s="2">
        <v>9634.9175079559409</v>
      </c>
      <c r="AH2836" s="4">
        <v>0.86107151190429798</v>
      </c>
      <c r="AI2836" s="4">
        <v>-0.21579503660850399</v>
      </c>
      <c r="AJ2836" s="4" t="s">
        <v>62</v>
      </c>
      <c r="AK2836" s="2">
        <v>0.12480632372964499</v>
      </c>
      <c r="AL2836" s="2">
        <v>0.44206731734385901</v>
      </c>
      <c r="AM2836" s="2">
        <v>5541.9793294843103</v>
      </c>
      <c r="AN2836" s="2">
        <v>9482.2835107128903</v>
      </c>
      <c r="AO2836" s="2">
        <v>9938.1288998755608</v>
      </c>
      <c r="AP2836" s="2">
        <v>8997.5788273468497</v>
      </c>
      <c r="AQ2836" s="2">
        <v>8521.3634252344</v>
      </c>
      <c r="AR2836" s="2">
        <v>7296.7839212388299</v>
      </c>
      <c r="AS2836" s="2">
        <v>10275.7194345181</v>
      </c>
      <c r="AT2836" s="2">
        <v>9990.1135900245299</v>
      </c>
      <c r="AU2836" s="2">
        <v>8167.5435994052996</v>
      </c>
      <c r="AV2836" s="2">
        <v>9014.6394670953505</v>
      </c>
      <c r="AW2836" s="2">
        <v>9119.9091470473395</v>
      </c>
      <c r="AX2836" s="2">
        <v>11241.579809645</v>
      </c>
    </row>
    <row r="2837" spans="1:50" x14ac:dyDescent="0.25">
      <c r="A2837" s="2" t="s">
        <v>18984</v>
      </c>
      <c r="B2837" s="2">
        <v>373.20206282017102</v>
      </c>
      <c r="C2837" s="2">
        <v>6.5423833333333299</v>
      </c>
      <c r="D2837" s="2" t="s">
        <v>51</v>
      </c>
      <c r="E2837" s="2" t="s">
        <v>18985</v>
      </c>
      <c r="F2837" s="2">
        <v>45105</v>
      </c>
      <c r="G2837" s="3" t="str">
        <f>HYPERLINK("https://cloud.oebiotech.com/#/lm/network/45105", "https://cloud.oebiotech.com/#/lm/network/45105")</f>
        <v>https://cloud.oebiotech.com/#/lm/network/45105</v>
      </c>
      <c r="H2837" s="2"/>
      <c r="I2837" s="2"/>
      <c r="J2837" s="2" t="s">
        <v>18986</v>
      </c>
      <c r="K2837" s="2"/>
      <c r="L2837" s="2"/>
      <c r="M2837" s="2"/>
      <c r="N2837" s="2"/>
      <c r="O2837" s="2"/>
      <c r="P2837" s="2"/>
      <c r="Q2837" s="2"/>
      <c r="R2837" s="2"/>
      <c r="S2837" s="2" t="s">
        <v>18987</v>
      </c>
      <c r="T2837" s="2" t="s">
        <v>18988</v>
      </c>
      <c r="U2837" s="2" t="s">
        <v>56</v>
      </c>
      <c r="V2837" s="2" t="s">
        <v>177</v>
      </c>
      <c r="W2837" s="2" t="s">
        <v>584</v>
      </c>
      <c r="X2837" s="2" t="s">
        <v>83</v>
      </c>
      <c r="Y2837" s="2">
        <v>40.299999999999997</v>
      </c>
      <c r="Z2837" s="2">
        <v>0</v>
      </c>
      <c r="AA2837" s="2" t="s">
        <v>163</v>
      </c>
      <c r="AB2837" s="2" t="s">
        <v>807</v>
      </c>
      <c r="AC2837" s="2">
        <v>4.0598321783817302E-2</v>
      </c>
      <c r="AD2837" s="2"/>
      <c r="AE2837" s="2">
        <v>0.216416114531123</v>
      </c>
      <c r="AF2837" s="2">
        <v>1960.05778379145</v>
      </c>
      <c r="AG2837" s="2">
        <v>920.98715897965303</v>
      </c>
      <c r="AH2837" s="5">
        <v>2.1282140197947701</v>
      </c>
      <c r="AI2837" s="5">
        <v>1.0896432400171301</v>
      </c>
      <c r="AJ2837" s="5" t="s">
        <v>139</v>
      </c>
      <c r="AK2837" s="2">
        <v>4.1937369358663198E-2</v>
      </c>
      <c r="AL2837" s="2">
        <v>0.29293759539812297</v>
      </c>
      <c r="AM2837" s="2">
        <v>3775.4997294673999</v>
      </c>
      <c r="AN2837" s="2">
        <v>2059.99321644969</v>
      </c>
      <c r="AO2837" s="2">
        <v>1692.50983367096</v>
      </c>
      <c r="AP2837" s="2">
        <v>1640.23844347563</v>
      </c>
      <c r="AQ2837" s="2">
        <v>1069.9243519568199</v>
      </c>
      <c r="AR2837" s="2">
        <v>1522.18112772823</v>
      </c>
      <c r="AS2837" s="2">
        <v>1285.28781664506</v>
      </c>
      <c r="AT2837" s="2">
        <v>624.98125004510803</v>
      </c>
      <c r="AU2837" s="2">
        <v>1174.5186687683599</v>
      </c>
      <c r="AV2837" s="2">
        <v>8.559877937157E-6</v>
      </c>
      <c r="AW2837" s="2">
        <v>1522.2907185832501</v>
      </c>
      <c r="AX2837" s="2">
        <v>918.84449127626306</v>
      </c>
    </row>
    <row r="2838" spans="1:50" x14ac:dyDescent="0.25">
      <c r="A2838" s="2" t="s">
        <v>18989</v>
      </c>
      <c r="B2838" s="2">
        <v>237.97169447169699</v>
      </c>
      <c r="C2838" s="2">
        <v>1.21291666666667</v>
      </c>
      <c r="D2838" s="2" t="s">
        <v>51</v>
      </c>
      <c r="E2838" s="2" t="s">
        <v>18990</v>
      </c>
      <c r="F2838" s="2">
        <v>256190</v>
      </c>
      <c r="G2838" s="3" t="str">
        <f>HYPERLINK("https://cloud.oebiotech.com/#/lm/network/256190", "https://cloud.oebiotech.com/#/lm/network/256190")</f>
        <v>https://cloud.oebiotech.com/#/lm/network/256190</v>
      </c>
      <c r="H2838" s="2" t="s">
        <v>18991</v>
      </c>
      <c r="I2838" s="2"/>
      <c r="J2838" s="2"/>
      <c r="K2838" s="2">
        <v>21152</v>
      </c>
      <c r="L2838" s="2"/>
      <c r="M2838" s="2"/>
      <c r="N2838" s="2"/>
      <c r="O2838" s="2">
        <v>132766</v>
      </c>
      <c r="P2838" s="2"/>
      <c r="Q2838" s="2"/>
      <c r="R2838" s="2"/>
      <c r="S2838" s="2" t="s">
        <v>18992</v>
      </c>
      <c r="T2838" s="2" t="s">
        <v>18993</v>
      </c>
      <c r="U2838" s="2" t="s">
        <v>103</v>
      </c>
      <c r="V2838" s="2" t="s">
        <v>104</v>
      </c>
      <c r="W2838" s="2" t="s">
        <v>105</v>
      </c>
      <c r="X2838" s="2" t="s">
        <v>147</v>
      </c>
      <c r="Y2838" s="2">
        <v>37.799999999999997</v>
      </c>
      <c r="Z2838" s="2">
        <v>0</v>
      </c>
      <c r="AA2838" s="2" t="s">
        <v>379</v>
      </c>
      <c r="AB2838" s="2" t="s">
        <v>18994</v>
      </c>
      <c r="AC2838" s="2">
        <v>2.7854691009508801</v>
      </c>
      <c r="AD2838" s="2"/>
      <c r="AE2838" s="2">
        <v>0.216288409877819</v>
      </c>
      <c r="AF2838" s="2">
        <v>4040.0411890584001</v>
      </c>
      <c r="AG2838" s="2">
        <v>5306.8764311745899</v>
      </c>
      <c r="AH2838" s="4">
        <v>0.76128420200735802</v>
      </c>
      <c r="AI2838" s="4">
        <v>-0.39349295484642099</v>
      </c>
      <c r="AJ2838" s="4" t="s">
        <v>62</v>
      </c>
      <c r="AK2838" s="2">
        <v>6.9583629154136101E-2</v>
      </c>
      <c r="AL2838" s="2">
        <v>0.34931101666430697</v>
      </c>
      <c r="AM2838" s="2">
        <v>2781.1333240035601</v>
      </c>
      <c r="AN2838" s="2">
        <v>5276.2728687881699</v>
      </c>
      <c r="AO2838" s="2">
        <v>3330.4127230496101</v>
      </c>
      <c r="AP2838" s="2">
        <v>3392.94576833786</v>
      </c>
      <c r="AQ2838" s="2">
        <v>4675.0937656524802</v>
      </c>
      <c r="AR2838" s="2">
        <v>4784.3886845187299</v>
      </c>
      <c r="AS2838" s="2">
        <v>6387.7264188312301</v>
      </c>
      <c r="AT2838" s="2">
        <v>6067.0328230204896</v>
      </c>
      <c r="AU2838" s="2">
        <v>3195.7530818821301</v>
      </c>
      <c r="AV2838" s="2">
        <v>5213.9632935515801</v>
      </c>
      <c r="AW2838" s="2">
        <v>5046.0201514854998</v>
      </c>
      <c r="AX2838" s="2">
        <v>5930.7628182766102</v>
      </c>
    </row>
    <row r="2839" spans="1:50" x14ac:dyDescent="0.25">
      <c r="A2839" s="2" t="s">
        <v>18995</v>
      </c>
      <c r="B2839" s="2">
        <v>695.08551436824996</v>
      </c>
      <c r="C2839" s="2">
        <v>4.7703666666666704</v>
      </c>
      <c r="D2839" s="2" t="s">
        <v>51</v>
      </c>
      <c r="E2839" s="2" t="s">
        <v>18996</v>
      </c>
      <c r="F2839" s="2">
        <v>33285</v>
      </c>
      <c r="G2839" s="3" t="str">
        <f>HYPERLINK("https://cloud.oebiotech.com/#/lm/network/33285", "https://cloud.oebiotech.com/#/lm/network/33285")</f>
        <v>https://cloud.oebiotech.com/#/lm/network/33285</v>
      </c>
      <c r="H2839" s="2"/>
      <c r="I2839" s="2"/>
      <c r="J2839" s="2" t="s">
        <v>18997</v>
      </c>
      <c r="K2839" s="2">
        <v>13964103</v>
      </c>
      <c r="L2839" s="2"/>
      <c r="M2839" s="2"/>
      <c r="N2839" s="2"/>
      <c r="O2839" s="2"/>
      <c r="P2839" s="2"/>
      <c r="Q2839" s="2"/>
      <c r="R2839" s="2"/>
      <c r="S2839" s="2" t="s">
        <v>18998</v>
      </c>
      <c r="T2839" s="2" t="s">
        <v>18999</v>
      </c>
      <c r="U2839" s="2" t="s">
        <v>540</v>
      </c>
      <c r="V2839" s="2" t="s">
        <v>541</v>
      </c>
      <c r="W2839" s="2" t="s">
        <v>542</v>
      </c>
      <c r="X2839" s="2" t="s">
        <v>147</v>
      </c>
      <c r="Y2839" s="2">
        <v>38.1</v>
      </c>
      <c r="Z2839" s="2">
        <v>0</v>
      </c>
      <c r="AA2839" s="2" t="s">
        <v>395</v>
      </c>
      <c r="AB2839" s="2" t="s">
        <v>19000</v>
      </c>
      <c r="AC2839" s="2">
        <v>-0.18652211082862699</v>
      </c>
      <c r="AD2839" s="2"/>
      <c r="AE2839" s="2">
        <v>0.21610692691632399</v>
      </c>
      <c r="AF2839" s="2">
        <v>2409.4026414090399</v>
      </c>
      <c r="AG2839" s="2">
        <v>921.48399362081796</v>
      </c>
      <c r="AH2839" s="5">
        <v>2.6146983106474702</v>
      </c>
      <c r="AI2839" s="5">
        <v>1.38664449490755</v>
      </c>
      <c r="AJ2839" s="5" t="s">
        <v>139</v>
      </c>
      <c r="AK2839" s="2">
        <v>0.118775515468991</v>
      </c>
      <c r="AL2839" s="2">
        <v>0.43690844816567598</v>
      </c>
      <c r="AM2839" s="2">
        <v>4933.1471044950704</v>
      </c>
      <c r="AN2839" s="2">
        <v>1092.6160928818199</v>
      </c>
      <c r="AO2839" s="2">
        <v>2820.2938534415998</v>
      </c>
      <c r="AP2839" s="2">
        <v>3434.49678418454</v>
      </c>
      <c r="AQ2839" s="2">
        <v>1157.5032556850899</v>
      </c>
      <c r="AR2839" s="2">
        <v>1018.35875776613</v>
      </c>
      <c r="AS2839" s="2">
        <v>390.65744728576601</v>
      </c>
      <c r="AT2839" s="2">
        <v>8.559877937157E-6</v>
      </c>
      <c r="AU2839" s="2">
        <v>1638.92174572665</v>
      </c>
      <c r="AV2839" s="2">
        <v>8.559877937157E-6</v>
      </c>
      <c r="AW2839" s="2">
        <v>3499.3247430328602</v>
      </c>
      <c r="AX2839" s="2">
        <v>8.559877937157E-6</v>
      </c>
    </row>
    <row r="2840" spans="1:50" x14ac:dyDescent="0.25">
      <c r="A2840" s="2" t="s">
        <v>19001</v>
      </c>
      <c r="B2840" s="2">
        <v>117.0371</v>
      </c>
      <c r="C2840" s="2">
        <v>11.612</v>
      </c>
      <c r="D2840" s="2" t="s">
        <v>125</v>
      </c>
      <c r="E2840" s="2" t="s">
        <v>19002</v>
      </c>
      <c r="F2840" s="2">
        <v>1882</v>
      </c>
      <c r="G2840" s="3" t="str">
        <f>HYPERLINK("https://cloud.oebiotech.com/#/lm/network/1882", "https://cloud.oebiotech.com/#/lm/network/1882")</f>
        <v>https://cloud.oebiotech.com/#/lm/network/1882</v>
      </c>
      <c r="H2840" s="2" t="s">
        <v>19003</v>
      </c>
      <c r="I2840" s="2">
        <v>45851</v>
      </c>
      <c r="J2840" s="2" t="s">
        <v>19004</v>
      </c>
      <c r="K2840" s="2">
        <v>250402</v>
      </c>
      <c r="L2840" s="2"/>
      <c r="M2840" s="2"/>
      <c r="N2840" s="2"/>
      <c r="O2840" s="2">
        <v>86347</v>
      </c>
      <c r="P2840" s="2"/>
      <c r="Q2840" s="2"/>
      <c r="R2840" s="2"/>
      <c r="S2840" s="2" t="s">
        <v>19005</v>
      </c>
      <c r="T2840" s="2" t="s">
        <v>19006</v>
      </c>
      <c r="U2840" s="2" t="s">
        <v>331</v>
      </c>
      <c r="V2840" s="2" t="s">
        <v>332</v>
      </c>
      <c r="W2840" s="2" t="s">
        <v>333</v>
      </c>
      <c r="X2840" s="2" t="s">
        <v>69</v>
      </c>
      <c r="Y2840" s="2">
        <v>89.5</v>
      </c>
      <c r="Z2840" s="2">
        <v>83</v>
      </c>
      <c r="AA2840" s="2"/>
      <c r="AB2840" s="2" t="s">
        <v>16095</v>
      </c>
      <c r="AC2840" s="2"/>
      <c r="AD2840" s="2">
        <v>392855.84813304001</v>
      </c>
      <c r="AE2840" s="2">
        <v>0.216093883597921</v>
      </c>
      <c r="AF2840" s="2">
        <v>64723.675049179401</v>
      </c>
      <c r="AG2840" s="2">
        <v>43528.602728286402</v>
      </c>
      <c r="AH2840" s="5">
        <v>1.4869228735228801</v>
      </c>
      <c r="AI2840" s="5">
        <v>0.57232981694527696</v>
      </c>
      <c r="AJ2840" s="5" t="s">
        <v>139</v>
      </c>
      <c r="AK2840" s="2">
        <v>0.14510674156110001</v>
      </c>
      <c r="AL2840" s="2">
        <v>0.46795150714190697</v>
      </c>
      <c r="AM2840" s="2">
        <v>41415.866045670999</v>
      </c>
      <c r="AN2840" s="2">
        <v>41091.596259419501</v>
      </c>
      <c r="AO2840" s="2">
        <v>91237.615489632299</v>
      </c>
      <c r="AP2840" s="2">
        <v>102426.92138394</v>
      </c>
      <c r="AQ2840" s="2">
        <v>55031.772203618602</v>
      </c>
      <c r="AR2840" s="2">
        <v>57138.278912795002</v>
      </c>
      <c r="AS2840" s="2">
        <v>69102.167369833798</v>
      </c>
      <c r="AT2840" s="2">
        <v>55671.415642403997</v>
      </c>
      <c r="AU2840" s="2">
        <v>25004.848746036401</v>
      </c>
      <c r="AV2840" s="2">
        <v>26523.033655048901</v>
      </c>
      <c r="AW2840" s="2">
        <v>59497.313510960601</v>
      </c>
      <c r="AX2840" s="2">
        <v>25372.8374454349</v>
      </c>
    </row>
    <row r="2841" spans="1:50" x14ac:dyDescent="0.25">
      <c r="A2841" s="2" t="s">
        <v>19007</v>
      </c>
      <c r="B2841" s="2">
        <v>173.07880991917</v>
      </c>
      <c r="C2841" s="2">
        <v>0.61653333333333304</v>
      </c>
      <c r="D2841" s="2" t="s">
        <v>51</v>
      </c>
      <c r="E2841" s="2" t="s">
        <v>19008</v>
      </c>
      <c r="F2841" s="2">
        <v>212595</v>
      </c>
      <c r="G2841" s="3" t="str">
        <f>HYPERLINK("https://cloud.oebiotech.com/#/lm/network/212595", "https://cloud.oebiotech.com/#/lm/network/212595")</f>
        <v>https://cloud.oebiotech.com/#/lm/network/212595</v>
      </c>
      <c r="H2841" s="2" t="s">
        <v>19009</v>
      </c>
      <c r="I2841" s="2"/>
      <c r="J2841" s="2"/>
      <c r="K2841" s="2"/>
      <c r="L2841" s="2"/>
      <c r="M2841" s="2"/>
      <c r="N2841" s="2"/>
      <c r="O2841" s="2">
        <v>44926</v>
      </c>
      <c r="P2841" s="2"/>
      <c r="Q2841" s="2"/>
      <c r="R2841" s="2"/>
      <c r="S2841" s="2" t="s">
        <v>19010</v>
      </c>
      <c r="T2841" s="2" t="s">
        <v>19011</v>
      </c>
      <c r="U2841" s="2" t="s">
        <v>331</v>
      </c>
      <c r="V2841" s="2" t="s">
        <v>332</v>
      </c>
      <c r="W2841" s="2" t="s">
        <v>511</v>
      </c>
      <c r="X2841" s="2" t="s">
        <v>147</v>
      </c>
      <c r="Y2841" s="2">
        <v>39.299999999999997</v>
      </c>
      <c r="Z2841" s="2">
        <v>4.26</v>
      </c>
      <c r="AA2841" s="2" t="s">
        <v>95</v>
      </c>
      <c r="AB2841" s="2" t="s">
        <v>19012</v>
      </c>
      <c r="AC2841" s="2">
        <v>2.5339060175464998</v>
      </c>
      <c r="AD2841" s="2"/>
      <c r="AE2841" s="2">
        <v>0.215928910615381</v>
      </c>
      <c r="AF2841" s="2">
        <v>17113.019359829199</v>
      </c>
      <c r="AG2841" s="2">
        <v>15094.129754977699</v>
      </c>
      <c r="AH2841" s="5">
        <v>1.13375329599149</v>
      </c>
      <c r="AI2841" s="5">
        <v>0.18110674489154299</v>
      </c>
      <c r="AJ2841" s="5" t="s">
        <v>139</v>
      </c>
      <c r="AK2841" s="2">
        <v>0.344854438986328</v>
      </c>
      <c r="AL2841" s="2">
        <v>0.63883639734105901</v>
      </c>
      <c r="AM2841" s="2">
        <v>16895.349712574</v>
      </c>
      <c r="AN2841" s="2">
        <v>26605.088465573401</v>
      </c>
      <c r="AO2841" s="2">
        <v>16075.164375280299</v>
      </c>
      <c r="AP2841" s="2">
        <v>15941.318492373401</v>
      </c>
      <c r="AQ2841" s="2">
        <v>13189.6675607538</v>
      </c>
      <c r="AR2841" s="2">
        <v>13971.527552420101</v>
      </c>
      <c r="AS2841" s="2">
        <v>16749.460126787799</v>
      </c>
      <c r="AT2841" s="2">
        <v>15448.4880115243</v>
      </c>
      <c r="AU2841" s="2">
        <v>13385.900805613501</v>
      </c>
      <c r="AV2841" s="2">
        <v>14580.487378314199</v>
      </c>
      <c r="AW2841" s="2">
        <v>14715.527284437299</v>
      </c>
      <c r="AX2841" s="2">
        <v>15684.9149231888</v>
      </c>
    </row>
    <row r="2842" spans="1:50" x14ac:dyDescent="0.25">
      <c r="A2842" s="2" t="s">
        <v>19013</v>
      </c>
      <c r="B2842" s="2">
        <v>399.184255700687</v>
      </c>
      <c r="C2842" s="2">
        <v>11.4020666666667</v>
      </c>
      <c r="D2842" s="2" t="s">
        <v>51</v>
      </c>
      <c r="E2842" s="2" t="s">
        <v>19014</v>
      </c>
      <c r="F2842" s="2">
        <v>56342</v>
      </c>
      <c r="G2842" s="3" t="str">
        <f>HYPERLINK("https://cloud.oebiotech.com/#/lm/network/56342", "https://cloud.oebiotech.com/#/lm/network/56342")</f>
        <v>https://cloud.oebiotech.com/#/lm/network/56342</v>
      </c>
      <c r="H2842" s="2" t="s">
        <v>19015</v>
      </c>
      <c r="I2842" s="2">
        <v>87994</v>
      </c>
      <c r="J2842" s="2"/>
      <c r="K2842" s="2">
        <v>102066549</v>
      </c>
      <c r="L2842" s="2"/>
      <c r="M2842" s="2"/>
      <c r="N2842" s="2"/>
      <c r="O2842" s="2">
        <v>172580</v>
      </c>
      <c r="P2842" s="2"/>
      <c r="Q2842" s="2"/>
      <c r="R2842" s="2"/>
      <c r="S2842" s="2" t="s">
        <v>19016</v>
      </c>
      <c r="T2842" s="2" t="s">
        <v>19017</v>
      </c>
      <c r="U2842" s="2" t="s">
        <v>610</v>
      </c>
      <c r="V2842" s="2" t="s">
        <v>813</v>
      </c>
      <c r="W2842" s="2" t="s">
        <v>5382</v>
      </c>
      <c r="X2842" s="2" t="s">
        <v>83</v>
      </c>
      <c r="Y2842" s="2">
        <v>50.1</v>
      </c>
      <c r="Z2842" s="2">
        <v>16.399999999999999</v>
      </c>
      <c r="AA2842" s="2" t="s">
        <v>218</v>
      </c>
      <c r="AB2842" s="2" t="s">
        <v>19018</v>
      </c>
      <c r="AC2842" s="2">
        <v>8.3107255798857302</v>
      </c>
      <c r="AD2842" s="2"/>
      <c r="AE2842" s="2">
        <v>0.215916209701251</v>
      </c>
      <c r="AF2842" s="2">
        <v>3128.90097660636</v>
      </c>
      <c r="AG2842" s="2">
        <v>87.726852558120797</v>
      </c>
      <c r="AH2842" s="5">
        <v>35.666399572849201</v>
      </c>
      <c r="AI2842" s="5">
        <v>5.1564936818565696</v>
      </c>
      <c r="AJ2842" s="5" t="s">
        <v>139</v>
      </c>
      <c r="AK2842" s="2">
        <v>0.226418803394519</v>
      </c>
      <c r="AL2842" s="2">
        <v>0.55273373180643903</v>
      </c>
      <c r="AM2842" s="2">
        <v>8.559877937157E-6</v>
      </c>
      <c r="AN2842" s="2">
        <v>152.62052757407099</v>
      </c>
      <c r="AO2842" s="2">
        <v>94.622724670901306</v>
      </c>
      <c r="AP2842" s="2">
        <v>104.81578756496999</v>
      </c>
      <c r="AQ2842" s="2">
        <v>14496.7418188833</v>
      </c>
      <c r="AR2842" s="2">
        <v>3924.6049923850501</v>
      </c>
      <c r="AS2842" s="2">
        <v>8.559877937157E-6</v>
      </c>
      <c r="AT2842" s="2">
        <v>8.559877937157E-6</v>
      </c>
      <c r="AU2842" s="2">
        <v>120.362725830472</v>
      </c>
      <c r="AV2842" s="2">
        <v>405.99835527874097</v>
      </c>
      <c r="AW2842" s="2">
        <v>8.559877937157E-6</v>
      </c>
      <c r="AX2842" s="2">
        <v>8.559877937157E-6</v>
      </c>
    </row>
    <row r="2843" spans="1:50" x14ac:dyDescent="0.25">
      <c r="A2843" s="2" t="s">
        <v>19019</v>
      </c>
      <c r="B2843" s="2">
        <v>317.13948765255702</v>
      </c>
      <c r="C2843" s="2">
        <v>5.3466166666666703</v>
      </c>
      <c r="D2843" s="2" t="s">
        <v>51</v>
      </c>
      <c r="E2843" s="2" t="s">
        <v>19020</v>
      </c>
      <c r="F2843" s="2">
        <v>206104</v>
      </c>
      <c r="G2843" s="3" t="str">
        <f>HYPERLINK("https://cloud.oebiotech.com/#/lm/network/206104", "https://cloud.oebiotech.com/#/lm/network/206104")</f>
        <v>https://cloud.oebiotech.com/#/lm/network/206104</v>
      </c>
      <c r="H2843" s="2" t="s">
        <v>19021</v>
      </c>
      <c r="I2843" s="2">
        <v>352464</v>
      </c>
      <c r="J2843" s="2"/>
      <c r="K2843" s="2">
        <v>22736</v>
      </c>
      <c r="L2843" s="2"/>
      <c r="M2843" s="2"/>
      <c r="N2843" s="2"/>
      <c r="O2843" s="2"/>
      <c r="P2843" s="2"/>
      <c r="Q2843" s="2"/>
      <c r="R2843" s="2"/>
      <c r="S2843" s="2" t="s">
        <v>19022</v>
      </c>
      <c r="T2843" s="2" t="s">
        <v>19023</v>
      </c>
      <c r="U2843" s="2" t="s">
        <v>266</v>
      </c>
      <c r="V2843" s="2" t="s">
        <v>9022</v>
      </c>
      <c r="W2843" s="2" t="s">
        <v>240</v>
      </c>
      <c r="X2843" s="2" t="s">
        <v>147</v>
      </c>
      <c r="Y2843" s="2">
        <v>41.5</v>
      </c>
      <c r="Z2843" s="2">
        <v>15</v>
      </c>
      <c r="AA2843" s="2" t="s">
        <v>259</v>
      </c>
      <c r="AB2843" s="2" t="s">
        <v>19024</v>
      </c>
      <c r="AC2843" s="2">
        <v>-0.63242905941832595</v>
      </c>
      <c r="AD2843" s="2"/>
      <c r="AE2843" s="2">
        <v>0.21567054485065601</v>
      </c>
      <c r="AF2843" s="2">
        <v>524.936266615867</v>
      </c>
      <c r="AG2843" s="2">
        <v>2167.8163696657002</v>
      </c>
      <c r="AH2843" s="4">
        <v>0.242149784438069</v>
      </c>
      <c r="AI2843" s="4">
        <v>-2.04602837623553</v>
      </c>
      <c r="AJ2843" s="4" t="s">
        <v>62</v>
      </c>
      <c r="AK2843" s="2">
        <v>0.13774695696686701</v>
      </c>
      <c r="AL2843" s="2">
        <v>0.458819266663407</v>
      </c>
      <c r="AM2843" s="2">
        <v>597.24394870217702</v>
      </c>
      <c r="AN2843" s="2">
        <v>574.45892091005999</v>
      </c>
      <c r="AO2843" s="2">
        <v>322.266311939128</v>
      </c>
      <c r="AP2843" s="2">
        <v>102.36207340408799</v>
      </c>
      <c r="AQ2843" s="2">
        <v>192.220452900206</v>
      </c>
      <c r="AR2843" s="2">
        <v>1361.06589183954</v>
      </c>
      <c r="AS2843" s="2">
        <v>495.58115767815701</v>
      </c>
      <c r="AT2843" s="2">
        <v>592.76949942737701</v>
      </c>
      <c r="AU2843" s="2">
        <v>2518.2338089332302</v>
      </c>
      <c r="AV2843" s="2">
        <v>2507.2876892614499</v>
      </c>
      <c r="AW2843" s="2">
        <v>6708.9061239397697</v>
      </c>
      <c r="AX2843" s="2">
        <v>184.11993875421999</v>
      </c>
    </row>
    <row r="2844" spans="1:50" x14ac:dyDescent="0.25">
      <c r="A2844" s="2" t="s">
        <v>19025</v>
      </c>
      <c r="B2844" s="2">
        <v>171.0455</v>
      </c>
      <c r="C2844" s="2">
        <v>17.131</v>
      </c>
      <c r="D2844" s="2" t="s">
        <v>125</v>
      </c>
      <c r="E2844" s="2" t="s">
        <v>19026</v>
      </c>
      <c r="F2844" s="2">
        <v>48696</v>
      </c>
      <c r="G2844" s="3" t="str">
        <f>HYPERLINK("https://cloud.oebiotech.com/#/lm/network/48696", "https://cloud.oebiotech.com/#/lm/network/48696")</f>
        <v>https://cloud.oebiotech.com/#/lm/network/48696</v>
      </c>
      <c r="H2844" s="2" t="s">
        <v>19027</v>
      </c>
      <c r="I2844" s="2">
        <v>58381</v>
      </c>
      <c r="J2844" s="2"/>
      <c r="K2844" s="2">
        <v>134490</v>
      </c>
      <c r="L2844" s="2" t="s">
        <v>19028</v>
      </c>
      <c r="M2844" s="2" t="s">
        <v>432</v>
      </c>
      <c r="N2844" s="2" t="s">
        <v>433</v>
      </c>
      <c r="O2844" s="2">
        <v>48950</v>
      </c>
      <c r="P2844" s="2" t="s">
        <v>19029</v>
      </c>
      <c r="Q2844" s="2" t="s">
        <v>19030</v>
      </c>
      <c r="R2844" s="2" t="s">
        <v>19031</v>
      </c>
      <c r="S2844" s="2" t="s">
        <v>19032</v>
      </c>
      <c r="T2844" s="2" t="s">
        <v>19033</v>
      </c>
      <c r="U2844" s="2" t="s">
        <v>103</v>
      </c>
      <c r="V2844" s="2" t="s">
        <v>104</v>
      </c>
      <c r="W2844" s="2" t="s">
        <v>105</v>
      </c>
      <c r="X2844" s="2" t="s">
        <v>69</v>
      </c>
      <c r="Y2844" s="2">
        <v>89.9</v>
      </c>
      <c r="Z2844" s="2">
        <v>83.7</v>
      </c>
      <c r="AA2844" s="2"/>
      <c r="AB2844" s="2" t="s">
        <v>19034</v>
      </c>
      <c r="AC2844" s="2"/>
      <c r="AD2844" s="2">
        <v>575509.15938037902</v>
      </c>
      <c r="AE2844" s="2">
        <v>0.215667890604959</v>
      </c>
      <c r="AF2844" s="2">
        <v>55385.261071401699</v>
      </c>
      <c r="AG2844" s="2">
        <v>36665.3991147263</v>
      </c>
      <c r="AH2844" s="5">
        <v>1.5105593395588299</v>
      </c>
      <c r="AI2844" s="5">
        <v>0.59508285881311096</v>
      </c>
      <c r="AJ2844" s="5" t="s">
        <v>139</v>
      </c>
      <c r="AK2844" s="2">
        <v>0.20562541106721599</v>
      </c>
      <c r="AL2844" s="2">
        <v>0.53096870391533402</v>
      </c>
      <c r="AM2844" s="2">
        <v>56658.1157172206</v>
      </c>
      <c r="AN2844" s="2">
        <v>49994.973272507399</v>
      </c>
      <c r="AO2844" s="2">
        <v>50415.180128727901</v>
      </c>
      <c r="AP2844" s="2">
        <v>100596.068681155</v>
      </c>
      <c r="AQ2844" s="2">
        <v>40767.323587734798</v>
      </c>
      <c r="AR2844" s="2">
        <v>33879.905041064703</v>
      </c>
      <c r="AS2844" s="2">
        <v>6016.6588593664901</v>
      </c>
      <c r="AT2844" s="2">
        <v>44804.276992044397</v>
      </c>
      <c r="AU2844" s="2">
        <v>63924.0598666878</v>
      </c>
      <c r="AV2844" s="2">
        <v>62553.384796327198</v>
      </c>
      <c r="AW2844" s="2">
        <v>27389.1573362651</v>
      </c>
      <c r="AX2844" s="2">
        <v>15304.856837666701</v>
      </c>
    </row>
    <row r="2845" spans="1:50" x14ac:dyDescent="0.25">
      <c r="A2845" s="2" t="s">
        <v>19035</v>
      </c>
      <c r="B2845" s="2">
        <v>293.16164213214699</v>
      </c>
      <c r="C2845" s="2">
        <v>6.0442833333333299</v>
      </c>
      <c r="D2845" s="2" t="s">
        <v>51</v>
      </c>
      <c r="E2845" s="2" t="s">
        <v>19036</v>
      </c>
      <c r="F2845" s="2">
        <v>54087</v>
      </c>
      <c r="G2845" s="3" t="str">
        <f>HYPERLINK("https://cloud.oebiotech.com/#/lm/network/54087", "https://cloud.oebiotech.com/#/lm/network/54087")</f>
        <v>https://cloud.oebiotech.com/#/lm/network/54087</v>
      </c>
      <c r="H2845" s="2" t="s">
        <v>19037</v>
      </c>
      <c r="I2845" s="2">
        <v>85969</v>
      </c>
      <c r="J2845" s="2"/>
      <c r="K2845" s="2">
        <v>263475</v>
      </c>
      <c r="L2845" s="2"/>
      <c r="M2845" s="2"/>
      <c r="N2845" s="2"/>
      <c r="O2845" s="2"/>
      <c r="P2845" s="2"/>
      <c r="Q2845" s="2"/>
      <c r="R2845" s="2"/>
      <c r="S2845" s="2" t="s">
        <v>19038</v>
      </c>
      <c r="T2845" s="2" t="s">
        <v>19039</v>
      </c>
      <c r="U2845" s="2" t="s">
        <v>103</v>
      </c>
      <c r="V2845" s="2" t="s">
        <v>104</v>
      </c>
      <c r="W2845" s="2" t="s">
        <v>105</v>
      </c>
      <c r="X2845" s="2" t="s">
        <v>147</v>
      </c>
      <c r="Y2845" s="2">
        <v>38.1</v>
      </c>
      <c r="Z2845" s="2">
        <v>2.74</v>
      </c>
      <c r="AA2845" s="2" t="s">
        <v>512</v>
      </c>
      <c r="AB2845" s="2" t="s">
        <v>19040</v>
      </c>
      <c r="AC2845" s="2">
        <v>2.9992836133135801</v>
      </c>
      <c r="AD2845" s="2"/>
      <c r="AE2845" s="2">
        <v>0.21555568765223601</v>
      </c>
      <c r="AF2845" s="2">
        <v>1353.04865492003</v>
      </c>
      <c r="AG2845" s="2">
        <v>300.07588346329999</v>
      </c>
      <c r="AH2845" s="5">
        <v>4.50902164913734</v>
      </c>
      <c r="AI2845" s="5">
        <v>2.17281443679471</v>
      </c>
      <c r="AJ2845" s="5" t="s">
        <v>139</v>
      </c>
      <c r="AK2845" s="2">
        <v>4.6614924105541099E-2</v>
      </c>
      <c r="AL2845" s="2">
        <v>0.30312464886593399</v>
      </c>
      <c r="AM2845" s="2">
        <v>2618.9989544883401</v>
      </c>
      <c r="AN2845" s="2">
        <v>2635.2706626823901</v>
      </c>
      <c r="AO2845" s="2">
        <v>514.35690094986398</v>
      </c>
      <c r="AP2845" s="2">
        <v>1522.7698243366499</v>
      </c>
      <c r="AQ2845" s="2">
        <v>821.20387846474102</v>
      </c>
      <c r="AR2845" s="2">
        <v>5.6917085982081304</v>
      </c>
      <c r="AS2845" s="2">
        <v>1.8939849693707901E-3</v>
      </c>
      <c r="AT2845" s="2">
        <v>697.591352476834</v>
      </c>
      <c r="AU2845" s="2">
        <v>183.19421727810001</v>
      </c>
      <c r="AV2845" s="2">
        <v>200.09249049732401</v>
      </c>
      <c r="AW2845" s="2">
        <v>133.640978924921</v>
      </c>
      <c r="AX2845" s="2">
        <v>585.93436761765201</v>
      </c>
    </row>
    <row r="2846" spans="1:50" x14ac:dyDescent="0.25">
      <c r="A2846" s="2" t="s">
        <v>19041</v>
      </c>
      <c r="B2846" s="2">
        <v>355.06167633433699</v>
      </c>
      <c r="C2846" s="2">
        <v>7.2455166666666697</v>
      </c>
      <c r="D2846" s="2" t="s">
        <v>51</v>
      </c>
      <c r="E2846" s="2" t="s">
        <v>19042</v>
      </c>
      <c r="F2846" s="2">
        <v>54472</v>
      </c>
      <c r="G2846" s="3" t="str">
        <f>HYPERLINK("https://cloud.oebiotech.com/#/lm/network/54472", "https://cloud.oebiotech.com/#/lm/network/54472")</f>
        <v>https://cloud.oebiotech.com/#/lm/network/54472</v>
      </c>
      <c r="H2846" s="2" t="s">
        <v>19043</v>
      </c>
      <c r="I2846" s="2">
        <v>86326</v>
      </c>
      <c r="J2846" s="2"/>
      <c r="K2846" s="2">
        <v>16072922</v>
      </c>
      <c r="L2846" s="2"/>
      <c r="M2846" s="2"/>
      <c r="N2846" s="2"/>
      <c r="O2846" s="2">
        <v>506254</v>
      </c>
      <c r="P2846" s="2"/>
      <c r="Q2846" s="2"/>
      <c r="R2846" s="2" t="s">
        <v>19044</v>
      </c>
      <c r="S2846" s="2" t="s">
        <v>19045</v>
      </c>
      <c r="T2846" s="2" t="s">
        <v>19046</v>
      </c>
      <c r="U2846" s="2" t="s">
        <v>610</v>
      </c>
      <c r="V2846" s="2" t="s">
        <v>813</v>
      </c>
      <c r="W2846" s="2" t="s">
        <v>5382</v>
      </c>
      <c r="X2846" s="2" t="s">
        <v>147</v>
      </c>
      <c r="Y2846" s="2">
        <v>37.4</v>
      </c>
      <c r="Z2846" s="2">
        <v>0</v>
      </c>
      <c r="AA2846" s="2" t="s">
        <v>379</v>
      </c>
      <c r="AB2846" s="2" t="s">
        <v>19047</v>
      </c>
      <c r="AC2846" s="2">
        <v>1.28124794092382</v>
      </c>
      <c r="AD2846" s="2"/>
      <c r="AE2846" s="2">
        <v>0.21547140570715301</v>
      </c>
      <c r="AF2846" s="2">
        <v>1960.2529814325001</v>
      </c>
      <c r="AG2846" s="2">
        <v>3897.85744057496</v>
      </c>
      <c r="AH2846" s="4">
        <v>0.50290525277480502</v>
      </c>
      <c r="AI2846" s="4">
        <v>-0.99164147264468505</v>
      </c>
      <c r="AJ2846" s="4" t="s">
        <v>62</v>
      </c>
      <c r="AK2846" s="2">
        <v>0.17185676923750501</v>
      </c>
      <c r="AL2846" s="2">
        <v>0.49215166418631001</v>
      </c>
      <c r="AM2846" s="2">
        <v>3746.2844880887701</v>
      </c>
      <c r="AN2846" s="2">
        <v>1692.36992179555</v>
      </c>
      <c r="AO2846" s="2">
        <v>1217.5207724358499</v>
      </c>
      <c r="AP2846" s="2">
        <v>2990.2398141045101</v>
      </c>
      <c r="AQ2846" s="2">
        <v>292.28597677424699</v>
      </c>
      <c r="AR2846" s="2">
        <v>1822.8169153960901</v>
      </c>
      <c r="AS2846" s="2">
        <v>8820.08663733916</v>
      </c>
      <c r="AT2846" s="2">
        <v>2128.9331771532802</v>
      </c>
      <c r="AU2846" s="2">
        <v>4698.1089496915702</v>
      </c>
      <c r="AV2846" s="2">
        <v>2299.09369532336</v>
      </c>
      <c r="AW2846" s="2">
        <v>5065.5461885417999</v>
      </c>
      <c r="AX2846" s="2">
        <v>375.37599540058</v>
      </c>
    </row>
    <row r="2847" spans="1:50" x14ac:dyDescent="0.25">
      <c r="A2847" s="2" t="s">
        <v>19048</v>
      </c>
      <c r="B2847" s="2">
        <v>411.18564876448301</v>
      </c>
      <c r="C2847" s="2">
        <v>7.2044833333333296</v>
      </c>
      <c r="D2847" s="2" t="s">
        <v>51</v>
      </c>
      <c r="E2847" s="2" t="s">
        <v>19049</v>
      </c>
      <c r="F2847" s="2">
        <v>208868</v>
      </c>
      <c r="G2847" s="3" t="str">
        <f>HYPERLINK("https://cloud.oebiotech.com/#/lm/network/208868", "https://cloud.oebiotech.com/#/lm/network/208868")</f>
        <v>https://cloud.oebiotech.com/#/lm/network/208868</v>
      </c>
      <c r="H2847" s="2" t="s">
        <v>19050</v>
      </c>
      <c r="I2847" s="2">
        <v>410987</v>
      </c>
      <c r="J2847" s="2"/>
      <c r="K2847" s="2">
        <v>57514438</v>
      </c>
      <c r="L2847" s="2"/>
      <c r="M2847" s="2"/>
      <c r="N2847" s="2"/>
      <c r="O2847" s="2"/>
      <c r="P2847" s="2"/>
      <c r="Q2847" s="2"/>
      <c r="R2847" s="2"/>
      <c r="S2847" s="2" t="s">
        <v>19051</v>
      </c>
      <c r="T2847" s="2" t="s">
        <v>19052</v>
      </c>
      <c r="U2847" s="2" t="s">
        <v>56</v>
      </c>
      <c r="V2847" s="2" t="s">
        <v>145</v>
      </c>
      <c r="W2847" s="2" t="s">
        <v>231</v>
      </c>
      <c r="X2847" s="2" t="s">
        <v>147</v>
      </c>
      <c r="Y2847" s="2">
        <v>38.1</v>
      </c>
      <c r="Z2847" s="2">
        <v>0</v>
      </c>
      <c r="AA2847" s="2" t="s">
        <v>478</v>
      </c>
      <c r="AB2847" s="2" t="s">
        <v>19053</v>
      </c>
      <c r="AC2847" s="2">
        <v>4.9754568341463097</v>
      </c>
      <c r="AD2847" s="2"/>
      <c r="AE2847" s="2">
        <v>0.21545200412033499</v>
      </c>
      <c r="AF2847" s="2">
        <v>611.85934503333999</v>
      </c>
      <c r="AG2847" s="2">
        <v>2610.98671578741</v>
      </c>
      <c r="AH2847" s="4">
        <v>0.23434027501316401</v>
      </c>
      <c r="AI2847" s="4">
        <v>-2.0933231698438401</v>
      </c>
      <c r="AJ2847" s="4" t="s">
        <v>62</v>
      </c>
      <c r="AK2847" s="2">
        <v>0.33607847302567601</v>
      </c>
      <c r="AL2847" s="2">
        <v>0.63709566614514901</v>
      </c>
      <c r="AM2847" s="2">
        <v>462.57850761511997</v>
      </c>
      <c r="AN2847" s="2">
        <v>561.24371470848598</v>
      </c>
      <c r="AO2847" s="2">
        <v>354.89514091857598</v>
      </c>
      <c r="AP2847" s="2">
        <v>414.68365991809702</v>
      </c>
      <c r="AQ2847" s="2">
        <v>1332.56646976151</v>
      </c>
      <c r="AR2847" s="2">
        <v>545.18857727825105</v>
      </c>
      <c r="AS2847" s="2">
        <v>798.49197158180004</v>
      </c>
      <c r="AT2847" s="2">
        <v>504.56719930472701</v>
      </c>
      <c r="AU2847" s="2">
        <v>349.379716257994</v>
      </c>
      <c r="AV2847" s="2">
        <v>12429.132727398301</v>
      </c>
      <c r="AW2847" s="2">
        <v>116.675853603033</v>
      </c>
      <c r="AX2847" s="2">
        <v>1467.6728265786201</v>
      </c>
    </row>
    <row r="2848" spans="1:50" x14ac:dyDescent="0.25">
      <c r="A2848" s="2" t="s">
        <v>19054</v>
      </c>
      <c r="B2848" s="2">
        <v>575.46856864235099</v>
      </c>
      <c r="C2848" s="2">
        <v>14.919600000000001</v>
      </c>
      <c r="D2848" s="2" t="s">
        <v>51</v>
      </c>
      <c r="E2848" s="2" t="s">
        <v>19055</v>
      </c>
      <c r="F2848" s="2">
        <v>10971</v>
      </c>
      <c r="G2848" s="3" t="str">
        <f>HYPERLINK("https://cloud.oebiotech.com/#/lm/network/10971", "https://cloud.oebiotech.com/#/lm/network/10971")</f>
        <v>https://cloud.oebiotech.com/#/lm/network/10971</v>
      </c>
      <c r="H2848" s="2"/>
      <c r="I2848" s="2">
        <v>98425</v>
      </c>
      <c r="J2848" s="2" t="s">
        <v>19056</v>
      </c>
      <c r="K2848" s="2">
        <v>56936374</v>
      </c>
      <c r="L2848" s="2"/>
      <c r="M2848" s="2"/>
      <c r="N2848" s="2"/>
      <c r="O2848" s="2"/>
      <c r="P2848" s="2"/>
      <c r="Q2848" s="2"/>
      <c r="R2848" s="2"/>
      <c r="S2848" s="2" t="s">
        <v>19057</v>
      </c>
      <c r="T2848" s="2" t="s">
        <v>19058</v>
      </c>
      <c r="U2848" s="2" t="s">
        <v>56</v>
      </c>
      <c r="V2848" s="2" t="s">
        <v>145</v>
      </c>
      <c r="W2848" s="2" t="s">
        <v>203</v>
      </c>
      <c r="X2848" s="2" t="s">
        <v>59</v>
      </c>
      <c r="Y2848" s="2">
        <v>53.8</v>
      </c>
      <c r="Z2848" s="2">
        <v>80.8</v>
      </c>
      <c r="AA2848" s="2" t="s">
        <v>259</v>
      </c>
      <c r="AB2848" s="2" t="s">
        <v>4274</v>
      </c>
      <c r="AC2848" s="2">
        <v>2.7279966591496798</v>
      </c>
      <c r="AD2848" s="2"/>
      <c r="AE2848" s="2">
        <v>0.21542928179691601</v>
      </c>
      <c r="AF2848" s="2">
        <v>17172.638069323399</v>
      </c>
      <c r="AG2848" s="2">
        <v>13944.6838050725</v>
      </c>
      <c r="AH2848" s="5">
        <v>1.2314827865137199</v>
      </c>
      <c r="AI2848" s="5">
        <v>0.30039646219752802</v>
      </c>
      <c r="AJ2848" s="5" t="s">
        <v>139</v>
      </c>
      <c r="AK2848" s="2">
        <v>0.33830985552785803</v>
      </c>
      <c r="AL2848" s="2">
        <v>0.63815037094278604</v>
      </c>
      <c r="AM2848" s="2">
        <v>7188.2456835600397</v>
      </c>
      <c r="AN2848" s="2">
        <v>22771.211412346202</v>
      </c>
      <c r="AO2848" s="2">
        <v>22621.7154203315</v>
      </c>
      <c r="AP2848" s="2">
        <v>20792.485185363999</v>
      </c>
      <c r="AQ2848" s="2">
        <v>12886.452996247501</v>
      </c>
      <c r="AR2848" s="2">
        <v>16775.7177180912</v>
      </c>
      <c r="AS2848" s="2">
        <v>10491.171797000099</v>
      </c>
      <c r="AT2848" s="2">
        <v>22470.781374451901</v>
      </c>
      <c r="AU2848" s="2">
        <v>9556.6328443806506</v>
      </c>
      <c r="AV2848" s="2">
        <v>11351.393163209699</v>
      </c>
      <c r="AW2848" s="2">
        <v>13428.494827610501</v>
      </c>
      <c r="AX2848" s="2">
        <v>16369.628823782101</v>
      </c>
    </row>
    <row r="2849" spans="1:50" x14ac:dyDescent="0.25">
      <c r="A2849" s="2" t="s">
        <v>19059</v>
      </c>
      <c r="B2849" s="2">
        <v>174.12418454456099</v>
      </c>
      <c r="C2849" s="2">
        <v>0.74455000000000005</v>
      </c>
      <c r="D2849" s="2" t="s">
        <v>51</v>
      </c>
      <c r="E2849" s="2" t="s">
        <v>19060</v>
      </c>
      <c r="F2849" s="2">
        <v>209180</v>
      </c>
      <c r="G2849" s="3" t="str">
        <f>HYPERLINK("https://cloud.oebiotech.com/#/lm/network/209180", "https://cloud.oebiotech.com/#/lm/network/209180")</f>
        <v>https://cloud.oebiotech.com/#/lm/network/209180</v>
      </c>
      <c r="H2849" s="2" t="s">
        <v>19061</v>
      </c>
      <c r="I2849" s="2"/>
      <c r="J2849" s="2"/>
      <c r="K2849" s="2">
        <v>21954793</v>
      </c>
      <c r="L2849" s="2"/>
      <c r="M2849" s="2"/>
      <c r="N2849" s="2"/>
      <c r="O2849" s="2"/>
      <c r="P2849" s="2"/>
      <c r="Q2849" s="2"/>
      <c r="R2849" s="2"/>
      <c r="S2849" s="2" t="s">
        <v>19062</v>
      </c>
      <c r="T2849" s="2" t="s">
        <v>19063</v>
      </c>
      <c r="U2849" s="2" t="s">
        <v>103</v>
      </c>
      <c r="V2849" s="2" t="s">
        <v>104</v>
      </c>
      <c r="W2849" s="2" t="s">
        <v>105</v>
      </c>
      <c r="X2849" s="2" t="s">
        <v>147</v>
      </c>
      <c r="Y2849" s="2">
        <v>42</v>
      </c>
      <c r="Z2849" s="2">
        <v>20</v>
      </c>
      <c r="AA2849" s="2" t="s">
        <v>259</v>
      </c>
      <c r="AB2849" s="2" t="s">
        <v>19064</v>
      </c>
      <c r="AC2849" s="2">
        <v>2.78066039157122</v>
      </c>
      <c r="AD2849" s="2"/>
      <c r="AE2849" s="2">
        <v>0.21528366775032501</v>
      </c>
      <c r="AF2849" s="2">
        <v>10137.716175503399</v>
      </c>
      <c r="AG2849" s="2">
        <v>16511.764546361901</v>
      </c>
      <c r="AH2849" s="4">
        <v>0.61396927911844901</v>
      </c>
      <c r="AI2849" s="4">
        <v>-0.70376162491451</v>
      </c>
      <c r="AJ2849" s="4" t="s">
        <v>62</v>
      </c>
      <c r="AK2849" s="2">
        <v>0.38236342701477999</v>
      </c>
      <c r="AL2849" s="2">
        <v>0.66023025420912795</v>
      </c>
      <c r="AM2849" s="2">
        <v>6040.3468442408803</v>
      </c>
      <c r="AN2849" s="2">
        <v>22275.656349598001</v>
      </c>
      <c r="AO2849" s="2">
        <v>296.94958503527198</v>
      </c>
      <c r="AP2849" s="2">
        <v>1502.0530570303699</v>
      </c>
      <c r="AQ2849" s="2">
        <v>3208.3449799837899</v>
      </c>
      <c r="AR2849" s="2">
        <v>27502.946237131899</v>
      </c>
      <c r="AS2849" s="2">
        <v>13412.779696965599</v>
      </c>
      <c r="AT2849" s="2">
        <v>36326.033204077197</v>
      </c>
      <c r="AU2849" s="2">
        <v>25210.028195975301</v>
      </c>
      <c r="AV2849" s="2">
        <v>697.64425465243903</v>
      </c>
      <c r="AW2849" s="2">
        <v>12328.960934062699</v>
      </c>
      <c r="AX2849" s="2">
        <v>11095.140992438101</v>
      </c>
    </row>
    <row r="2850" spans="1:50" x14ac:dyDescent="0.25">
      <c r="A2850" s="2" t="s">
        <v>19065</v>
      </c>
      <c r="B2850" s="2">
        <v>827.31442985415299</v>
      </c>
      <c r="C2850" s="2">
        <v>4.1837666666666697</v>
      </c>
      <c r="D2850" s="2" t="s">
        <v>51</v>
      </c>
      <c r="E2850" s="2" t="s">
        <v>19066</v>
      </c>
      <c r="F2850" s="2">
        <v>52719</v>
      </c>
      <c r="G2850" s="3" t="str">
        <f>HYPERLINK("https://cloud.oebiotech.com/#/lm/network/52719", "https://cloud.oebiotech.com/#/lm/network/52719")</f>
        <v>https://cloud.oebiotech.com/#/lm/network/52719</v>
      </c>
      <c r="H2850" s="2" t="s">
        <v>19067</v>
      </c>
      <c r="I2850" s="2">
        <v>2268</v>
      </c>
      <c r="J2850" s="2"/>
      <c r="K2850" s="2">
        <v>39186</v>
      </c>
      <c r="L2850" s="2" t="s">
        <v>19068</v>
      </c>
      <c r="M2850" s="2"/>
      <c r="N2850" s="2"/>
      <c r="O2850" s="2">
        <v>101278</v>
      </c>
      <c r="P2850" s="2" t="s">
        <v>7400</v>
      </c>
      <c r="Q2850" s="2" t="s">
        <v>7401</v>
      </c>
      <c r="R2850" s="2" t="s">
        <v>19069</v>
      </c>
      <c r="S2850" s="2" t="s">
        <v>19070</v>
      </c>
      <c r="T2850" s="2" t="s">
        <v>19071</v>
      </c>
      <c r="U2850" s="2" t="s">
        <v>266</v>
      </c>
      <c r="V2850" s="2" t="s">
        <v>19072</v>
      </c>
      <c r="W2850" s="2" t="s">
        <v>240</v>
      </c>
      <c r="X2850" s="2" t="s">
        <v>147</v>
      </c>
      <c r="Y2850" s="2">
        <v>37.9</v>
      </c>
      <c r="Z2850" s="2">
        <v>0</v>
      </c>
      <c r="AA2850" s="2" t="s">
        <v>478</v>
      </c>
      <c r="AB2850" s="2" t="s">
        <v>19073</v>
      </c>
      <c r="AC2850" s="2">
        <v>-1.1473272638101</v>
      </c>
      <c r="AD2850" s="2"/>
      <c r="AE2850" s="2">
        <v>0.215012004029697</v>
      </c>
      <c r="AF2850" s="2">
        <v>6149.9242111946096</v>
      </c>
      <c r="AG2850" s="2">
        <v>3770.4090330105601</v>
      </c>
      <c r="AH2850" s="5">
        <v>1.63110266216503</v>
      </c>
      <c r="AI2850" s="5">
        <v>0.70584758863178898</v>
      </c>
      <c r="AJ2850" s="5" t="s">
        <v>139</v>
      </c>
      <c r="AK2850" s="2">
        <v>0.499353652151794</v>
      </c>
      <c r="AL2850" s="2">
        <v>0.737712171101222</v>
      </c>
      <c r="AM2850" s="2">
        <v>13914.054906122299</v>
      </c>
      <c r="AN2850" s="2">
        <v>0.97700437757146796</v>
      </c>
      <c r="AO2850" s="2">
        <v>8195.6440486149404</v>
      </c>
      <c r="AP2850" s="2">
        <v>570.07368845545705</v>
      </c>
      <c r="AQ2850" s="2">
        <v>693.06279066477305</v>
      </c>
      <c r="AR2850" s="2">
        <v>13525.7328289326</v>
      </c>
      <c r="AS2850" s="2">
        <v>23.4210466451656</v>
      </c>
      <c r="AT2850" s="2">
        <v>6.7245592311650304</v>
      </c>
      <c r="AU2850" s="2">
        <v>8570.8907395097103</v>
      </c>
      <c r="AV2850" s="2">
        <v>11682.327851516</v>
      </c>
      <c r="AW2850" s="2">
        <v>1805.11588382274</v>
      </c>
      <c r="AX2850" s="2">
        <v>533.97411733856597</v>
      </c>
    </row>
    <row r="2851" spans="1:50" x14ac:dyDescent="0.25">
      <c r="A2851" s="2" t="s">
        <v>19074</v>
      </c>
      <c r="B2851" s="2">
        <v>147.04</v>
      </c>
      <c r="C2851" s="2">
        <v>7.9420000000000002</v>
      </c>
      <c r="D2851" s="2" t="s">
        <v>125</v>
      </c>
      <c r="E2851" s="2" t="s">
        <v>19075</v>
      </c>
      <c r="F2851" s="2">
        <v>47909</v>
      </c>
      <c r="G2851" s="3" t="str">
        <f>HYPERLINK("https://cloud.oebiotech.com/#/lm/network/47909", "https://cloud.oebiotech.com/#/lm/network/47909")</f>
        <v>https://cloud.oebiotech.com/#/lm/network/47909</v>
      </c>
      <c r="H2851" s="2" t="s">
        <v>19076</v>
      </c>
      <c r="I2851" s="2">
        <v>113</v>
      </c>
      <c r="J2851" s="2"/>
      <c r="K2851" s="2">
        <v>971</v>
      </c>
      <c r="L2851" s="2" t="s">
        <v>19077</v>
      </c>
      <c r="M2851" s="2" t="s">
        <v>19078</v>
      </c>
      <c r="N2851" s="2" t="s">
        <v>19079</v>
      </c>
      <c r="O2851" s="2">
        <v>16995</v>
      </c>
      <c r="P2851" s="2" t="s">
        <v>19080</v>
      </c>
      <c r="Q2851" s="2" t="s">
        <v>19081</v>
      </c>
      <c r="R2851" s="2" t="s">
        <v>19082</v>
      </c>
      <c r="S2851" s="2" t="s">
        <v>19083</v>
      </c>
      <c r="T2851" s="2" t="s">
        <v>19084</v>
      </c>
      <c r="U2851" s="2" t="s">
        <v>103</v>
      </c>
      <c r="V2851" s="2" t="s">
        <v>104</v>
      </c>
      <c r="W2851" s="2" t="s">
        <v>3415</v>
      </c>
      <c r="X2851" s="2" t="s">
        <v>69</v>
      </c>
      <c r="Y2851" s="2">
        <v>93.1</v>
      </c>
      <c r="Z2851" s="2">
        <v>90.8</v>
      </c>
      <c r="AA2851" s="2"/>
      <c r="AB2851" s="2" t="s">
        <v>19085</v>
      </c>
      <c r="AC2851" s="2"/>
      <c r="AD2851" s="2">
        <v>264518.45880260802</v>
      </c>
      <c r="AE2851" s="2">
        <v>0.215005532053063</v>
      </c>
      <c r="AF2851" s="2">
        <v>89894.503709837896</v>
      </c>
      <c r="AG2851" s="2">
        <v>67587.128841806902</v>
      </c>
      <c r="AH2851" s="5">
        <v>1.3300535952672801</v>
      </c>
      <c r="AI2851" s="5">
        <v>0.41148438111626601</v>
      </c>
      <c r="AJ2851" s="5" t="s">
        <v>139</v>
      </c>
      <c r="AK2851" s="2">
        <v>0.49250761866683901</v>
      </c>
      <c r="AL2851" s="2">
        <v>0.734308822708444</v>
      </c>
      <c r="AM2851" s="2">
        <v>77972.810730470504</v>
      </c>
      <c r="AN2851" s="2">
        <v>56228.270323590397</v>
      </c>
      <c r="AO2851" s="2">
        <v>45595.416835978998</v>
      </c>
      <c r="AP2851" s="2">
        <v>166448.06712321501</v>
      </c>
      <c r="AQ2851" s="2">
        <v>182355.15635816799</v>
      </c>
      <c r="AR2851" s="2">
        <v>10767.300887604701</v>
      </c>
      <c r="AS2851" s="2">
        <v>72085.657338326506</v>
      </c>
      <c r="AT2851" s="2">
        <v>92175.960360844198</v>
      </c>
      <c r="AU2851" s="2">
        <v>90184.908959035005</v>
      </c>
      <c r="AV2851" s="2">
        <v>94414.200455244601</v>
      </c>
      <c r="AW2851" s="2">
        <v>45210.752212947998</v>
      </c>
      <c r="AX2851" s="2">
        <v>11451.2937244431</v>
      </c>
    </row>
    <row r="2852" spans="1:50" x14ac:dyDescent="0.25">
      <c r="A2852" s="2" t="s">
        <v>19086</v>
      </c>
      <c r="B2852" s="2">
        <v>308.139759361421</v>
      </c>
      <c r="C2852" s="2">
        <v>8.4163499999999996</v>
      </c>
      <c r="D2852" s="2" t="s">
        <v>51</v>
      </c>
      <c r="E2852" s="2" t="s">
        <v>19087</v>
      </c>
      <c r="F2852" s="2">
        <v>204724</v>
      </c>
      <c r="G2852" s="3" t="str">
        <f>HYPERLINK("https://cloud.oebiotech.com/#/lm/network/204724", "https://cloud.oebiotech.com/#/lm/network/204724")</f>
        <v>https://cloud.oebiotech.com/#/lm/network/204724</v>
      </c>
      <c r="H2852" s="2" t="s">
        <v>19088</v>
      </c>
      <c r="I2852" s="2"/>
      <c r="J2852" s="2"/>
      <c r="K2852" s="2">
        <v>10448985</v>
      </c>
      <c r="L2852" s="2"/>
      <c r="M2852" s="2"/>
      <c r="N2852" s="2"/>
      <c r="O2852" s="2"/>
      <c r="P2852" s="2"/>
      <c r="Q2852" s="2"/>
      <c r="R2852" s="2"/>
      <c r="S2852" s="2" t="s">
        <v>19089</v>
      </c>
      <c r="T2852" s="2" t="s">
        <v>19090</v>
      </c>
      <c r="U2852" s="2" t="s">
        <v>266</v>
      </c>
      <c r="V2852" s="2" t="s">
        <v>4415</v>
      </c>
      <c r="W2852" s="2" t="s">
        <v>240</v>
      </c>
      <c r="X2852" s="2" t="s">
        <v>147</v>
      </c>
      <c r="Y2852" s="2">
        <v>40.6</v>
      </c>
      <c r="Z2852" s="2">
        <v>11.8</v>
      </c>
      <c r="AA2852" s="2" t="s">
        <v>156</v>
      </c>
      <c r="AB2852" s="2" t="s">
        <v>19091</v>
      </c>
      <c r="AC2852" s="2">
        <v>1.24907950809854</v>
      </c>
      <c r="AD2852" s="2"/>
      <c r="AE2852" s="2">
        <v>0.21494676650827199</v>
      </c>
      <c r="AF2852" s="2">
        <v>3909.0472848613699</v>
      </c>
      <c r="AG2852" s="2">
        <v>2524.9421230878702</v>
      </c>
      <c r="AH2852" s="5">
        <v>1.5481730250833701</v>
      </c>
      <c r="AI2852" s="5">
        <v>0.63056671727056501</v>
      </c>
      <c r="AJ2852" s="5" t="s">
        <v>139</v>
      </c>
      <c r="AK2852" s="2">
        <v>0.123831580826899</v>
      </c>
      <c r="AL2852" s="2">
        <v>0.44128813217080598</v>
      </c>
      <c r="AM2852" s="2">
        <v>3765.0656057323299</v>
      </c>
      <c r="AN2852" s="2">
        <v>6350.4713904580904</v>
      </c>
      <c r="AO2852" s="2">
        <v>3455.3754958821601</v>
      </c>
      <c r="AP2852" s="2">
        <v>2913.9741810956102</v>
      </c>
      <c r="AQ2852" s="2">
        <v>2611.5586467122798</v>
      </c>
      <c r="AR2852" s="2">
        <v>4357.83838928774</v>
      </c>
      <c r="AS2852" s="2">
        <v>4086.24596741305</v>
      </c>
      <c r="AT2852" s="2">
        <v>2448.0886557262702</v>
      </c>
      <c r="AU2852" s="2">
        <v>3519.0322812516101</v>
      </c>
      <c r="AV2852" s="2">
        <v>470.87430684028902</v>
      </c>
      <c r="AW2852" s="2">
        <v>979.65818687782496</v>
      </c>
      <c r="AX2852" s="2">
        <v>3645.75334041819</v>
      </c>
    </row>
    <row r="2853" spans="1:50" x14ac:dyDescent="0.25">
      <c r="A2853" s="2" t="s">
        <v>19092</v>
      </c>
      <c r="B2853" s="2">
        <v>311.22286617513299</v>
      </c>
      <c r="C2853" s="2">
        <v>8.0879666666666701</v>
      </c>
      <c r="D2853" s="2" t="s">
        <v>51</v>
      </c>
      <c r="E2853" s="2" t="s">
        <v>19093</v>
      </c>
      <c r="F2853" s="2">
        <v>3122</v>
      </c>
      <c r="G2853" s="3" t="str">
        <f>HYPERLINK("https://cloud.oebiotech.com/#/lm/network/3122", "https://cloud.oebiotech.com/#/lm/network/3122")</f>
        <v>https://cloud.oebiotech.com/#/lm/network/3122</v>
      </c>
      <c r="H2853" s="2"/>
      <c r="I2853" s="2">
        <v>35508</v>
      </c>
      <c r="J2853" s="2" t="s">
        <v>19094</v>
      </c>
      <c r="K2853" s="2">
        <v>5282965</v>
      </c>
      <c r="L2853" s="2" t="s">
        <v>19095</v>
      </c>
      <c r="M2853" s="2" t="s">
        <v>1756</v>
      </c>
      <c r="N2853" s="2" t="s">
        <v>1757</v>
      </c>
      <c r="O2853" s="2">
        <v>34499</v>
      </c>
      <c r="P2853" s="2"/>
      <c r="Q2853" s="2"/>
      <c r="R2853" s="2"/>
      <c r="S2853" s="2" t="s">
        <v>19096</v>
      </c>
      <c r="T2853" s="2" t="s">
        <v>19097</v>
      </c>
      <c r="U2853" s="2" t="s">
        <v>56</v>
      </c>
      <c r="V2853" s="2" t="s">
        <v>145</v>
      </c>
      <c r="W2853" s="2" t="s">
        <v>231</v>
      </c>
      <c r="X2853" s="2" t="s">
        <v>83</v>
      </c>
      <c r="Y2853" s="2">
        <v>53.4</v>
      </c>
      <c r="Z2853" s="2">
        <v>0</v>
      </c>
      <c r="AA2853" s="2" t="s">
        <v>379</v>
      </c>
      <c r="AB2853" s="2" t="s">
        <v>2949</v>
      </c>
      <c r="AC2853" s="2">
        <v>0.25165575267240597</v>
      </c>
      <c r="AD2853" s="2"/>
      <c r="AE2853" s="2">
        <v>0.21463607813816199</v>
      </c>
      <c r="AF2853" s="2">
        <v>1823.8803703854001</v>
      </c>
      <c r="AG2853" s="2">
        <v>775.40527670143899</v>
      </c>
      <c r="AH2853" s="5">
        <v>2.3521639911249501</v>
      </c>
      <c r="AI2853" s="5">
        <v>1.23398864730655</v>
      </c>
      <c r="AJ2853" s="5" t="s">
        <v>139</v>
      </c>
      <c r="AK2853" s="2">
        <v>9.6249833914287108E-3</v>
      </c>
      <c r="AL2853" s="2">
        <v>0.16142239094607999</v>
      </c>
      <c r="AM2853" s="2">
        <v>1647.4947406715801</v>
      </c>
      <c r="AN2853" s="2">
        <v>2758.5444101041899</v>
      </c>
      <c r="AO2853" s="2">
        <v>2102.0565841143002</v>
      </c>
      <c r="AP2853" s="2">
        <v>743.62141567433605</v>
      </c>
      <c r="AQ2853" s="2">
        <v>1444.6227408693501</v>
      </c>
      <c r="AR2853" s="2">
        <v>2246.94233087866</v>
      </c>
      <c r="AS2853" s="2">
        <v>862.30274001752196</v>
      </c>
      <c r="AT2853" s="2">
        <v>440.08915660455199</v>
      </c>
      <c r="AU2853" s="2">
        <v>863.37248746018497</v>
      </c>
      <c r="AV2853" s="2">
        <v>215.88387324177299</v>
      </c>
      <c r="AW2853" s="2">
        <v>954.59982447986999</v>
      </c>
      <c r="AX2853" s="2">
        <v>1316.18357840473</v>
      </c>
    </row>
    <row r="2854" spans="1:50" x14ac:dyDescent="0.25">
      <c r="A2854" s="2" t="s">
        <v>19098</v>
      </c>
      <c r="B2854" s="2">
        <v>354.30115787594002</v>
      </c>
      <c r="C2854" s="2">
        <v>15.2194</v>
      </c>
      <c r="D2854" s="2" t="s">
        <v>51</v>
      </c>
      <c r="E2854" s="2" t="s">
        <v>19099</v>
      </c>
      <c r="F2854" s="2">
        <v>132598</v>
      </c>
      <c r="G2854" s="3" t="str">
        <f>HYPERLINK("https://cloud.oebiotech.com/#/lm/network/132598", "https://cloud.oebiotech.com/#/lm/network/132598")</f>
        <v>https://cloud.oebiotech.com/#/lm/network/132598</v>
      </c>
      <c r="H2854" s="2" t="s">
        <v>19100</v>
      </c>
      <c r="I2854" s="2"/>
      <c r="J2854" s="2"/>
      <c r="K2854" s="2">
        <v>85564628</v>
      </c>
      <c r="L2854" s="2"/>
      <c r="M2854" s="2"/>
      <c r="N2854" s="2"/>
      <c r="O2854" s="2"/>
      <c r="P2854" s="2"/>
      <c r="Q2854" s="2"/>
      <c r="R2854" s="2" t="s">
        <v>19101</v>
      </c>
      <c r="S2854" s="2" t="s">
        <v>19102</v>
      </c>
      <c r="T2854" s="2" t="s">
        <v>19103</v>
      </c>
      <c r="U2854" s="2" t="s">
        <v>56</v>
      </c>
      <c r="V2854" s="2" t="s">
        <v>145</v>
      </c>
      <c r="W2854" s="2" t="s">
        <v>231</v>
      </c>
      <c r="X2854" s="2" t="s">
        <v>147</v>
      </c>
      <c r="Y2854" s="2">
        <v>42.9</v>
      </c>
      <c r="Z2854" s="2">
        <v>23.8</v>
      </c>
      <c r="AA2854" s="2" t="s">
        <v>512</v>
      </c>
      <c r="AB2854" s="2" t="s">
        <v>19104</v>
      </c>
      <c r="AC2854" s="2">
        <v>2.63877872085164</v>
      </c>
      <c r="AD2854" s="2"/>
      <c r="AE2854" s="2">
        <v>0.21446512466947101</v>
      </c>
      <c r="AF2854" s="2">
        <v>3758.2376768234599</v>
      </c>
      <c r="AG2854" s="2">
        <v>4877.8395687400098</v>
      </c>
      <c r="AH2854" s="4">
        <v>0.77047176805657902</v>
      </c>
      <c r="AI2854" s="4">
        <v>-0.37618600100386701</v>
      </c>
      <c r="AJ2854" s="4" t="s">
        <v>62</v>
      </c>
      <c r="AK2854" s="2">
        <v>6.2870813655823907E-2</v>
      </c>
      <c r="AL2854" s="2">
        <v>0.33601027492909402</v>
      </c>
      <c r="AM2854" s="2">
        <v>2290.3225575657598</v>
      </c>
      <c r="AN2854" s="2">
        <v>4965.0841652837098</v>
      </c>
      <c r="AO2854" s="2">
        <v>4478.0058545093998</v>
      </c>
      <c r="AP2854" s="2">
        <v>3550.0241884864799</v>
      </c>
      <c r="AQ2854" s="2">
        <v>3448.5355401278898</v>
      </c>
      <c r="AR2854" s="2">
        <v>3817.4537549675001</v>
      </c>
      <c r="AS2854" s="2">
        <v>5673.8497224708799</v>
      </c>
      <c r="AT2854" s="2">
        <v>4164.3656499557201</v>
      </c>
      <c r="AU2854" s="2">
        <v>3536.5377724150799</v>
      </c>
      <c r="AV2854" s="2">
        <v>5206.4327633717703</v>
      </c>
      <c r="AW2854" s="2">
        <v>4696.95786123781</v>
      </c>
      <c r="AX2854" s="2">
        <v>5988.8936429888099</v>
      </c>
    </row>
    <row r="2855" spans="1:50" x14ac:dyDescent="0.25">
      <c r="A2855" s="2" t="s">
        <v>19105</v>
      </c>
      <c r="B2855" s="2">
        <v>249.14948024885899</v>
      </c>
      <c r="C2855" s="2">
        <v>9.3362833333333306</v>
      </c>
      <c r="D2855" s="2" t="s">
        <v>51</v>
      </c>
      <c r="E2855" s="2" t="s">
        <v>19106</v>
      </c>
      <c r="F2855" s="2">
        <v>60344</v>
      </c>
      <c r="G2855" s="3" t="str">
        <f>HYPERLINK("https://cloud.oebiotech.com/#/lm/network/60344", "https://cloud.oebiotech.com/#/lm/network/60344")</f>
        <v>https://cloud.oebiotech.com/#/lm/network/60344</v>
      </c>
      <c r="H2855" s="2" t="s">
        <v>19107</v>
      </c>
      <c r="I2855" s="2"/>
      <c r="J2855" s="2"/>
      <c r="K2855" s="2">
        <v>12304831</v>
      </c>
      <c r="L2855" s="2"/>
      <c r="M2855" s="2"/>
      <c r="N2855" s="2"/>
      <c r="O2855" s="2"/>
      <c r="P2855" s="2"/>
      <c r="Q2855" s="2"/>
      <c r="R2855" s="2" t="s">
        <v>19108</v>
      </c>
      <c r="S2855" s="2" t="s">
        <v>19109</v>
      </c>
      <c r="T2855" s="2" t="s">
        <v>19110</v>
      </c>
      <c r="U2855" s="2" t="s">
        <v>56</v>
      </c>
      <c r="V2855" s="2" t="s">
        <v>177</v>
      </c>
      <c r="W2855" s="2" t="s">
        <v>806</v>
      </c>
      <c r="X2855" s="2" t="s">
        <v>83</v>
      </c>
      <c r="Y2855" s="2">
        <v>51.7</v>
      </c>
      <c r="Z2855" s="2">
        <v>0</v>
      </c>
      <c r="AA2855" s="2" t="s">
        <v>163</v>
      </c>
      <c r="AB2855" s="2" t="s">
        <v>8328</v>
      </c>
      <c r="AC2855" s="2">
        <v>-0.55118753111261298</v>
      </c>
      <c r="AD2855" s="2"/>
      <c r="AE2855" s="2">
        <v>0.214367248439745</v>
      </c>
      <c r="AF2855" s="2">
        <v>1806.24272638037</v>
      </c>
      <c r="AG2855" s="2">
        <v>701.03767093380202</v>
      </c>
      <c r="AH2855" s="5">
        <v>2.5765273412117802</v>
      </c>
      <c r="AI2855" s="5">
        <v>1.3654279019500399</v>
      </c>
      <c r="AJ2855" s="5" t="s">
        <v>139</v>
      </c>
      <c r="AK2855" s="2">
        <v>2.8222362524568601E-2</v>
      </c>
      <c r="AL2855" s="2">
        <v>0.25647995834418702</v>
      </c>
      <c r="AM2855" s="2">
        <v>2507.7546550704401</v>
      </c>
      <c r="AN2855" s="2">
        <v>2715.8902530575501</v>
      </c>
      <c r="AO2855" s="2">
        <v>998.23722689376905</v>
      </c>
      <c r="AP2855" s="2">
        <v>892.00825502307998</v>
      </c>
      <c r="AQ2855" s="2">
        <v>931.08020004636705</v>
      </c>
      <c r="AR2855" s="2">
        <v>2792.4857681909998</v>
      </c>
      <c r="AS2855" s="2">
        <v>717.99059170089299</v>
      </c>
      <c r="AT2855" s="2">
        <v>606.78392199355096</v>
      </c>
      <c r="AU2855" s="2">
        <v>596.71362287821103</v>
      </c>
      <c r="AV2855" s="2">
        <v>508.18877856788703</v>
      </c>
      <c r="AW2855" s="2">
        <v>216.071541304802</v>
      </c>
      <c r="AX2855" s="2">
        <v>1560.47756915747</v>
      </c>
    </row>
    <row r="2856" spans="1:50" x14ac:dyDescent="0.25">
      <c r="A2856" s="2" t="s">
        <v>19111</v>
      </c>
      <c r="B2856" s="2">
        <v>230.06410747508099</v>
      </c>
      <c r="C2856" s="2">
        <v>5.4175500000000003</v>
      </c>
      <c r="D2856" s="2" t="s">
        <v>51</v>
      </c>
      <c r="E2856" s="2" t="s">
        <v>19112</v>
      </c>
      <c r="F2856" s="2">
        <v>514752</v>
      </c>
      <c r="G2856" s="3" t="str">
        <f>HYPERLINK("https://cloud.oebiotech.com/#/lm/network/514752", "https://cloud.oebiotech.com/#/lm/network/514752")</f>
        <v>https://cloud.oebiotech.com/#/lm/network/514752</v>
      </c>
      <c r="H2856" s="2"/>
      <c r="I2856" s="2">
        <v>96422</v>
      </c>
      <c r="J2856" s="2"/>
      <c r="K2856" s="2">
        <v>1893668</v>
      </c>
      <c r="L2856" s="2"/>
      <c r="M2856" s="2"/>
      <c r="N2856" s="2"/>
      <c r="O2856" s="2"/>
      <c r="P2856" s="2"/>
      <c r="Q2856" s="2"/>
      <c r="R2856" s="2" t="s">
        <v>19113</v>
      </c>
      <c r="S2856" s="2" t="s">
        <v>19114</v>
      </c>
      <c r="T2856" s="2" t="s">
        <v>19115</v>
      </c>
      <c r="U2856" s="2" t="s">
        <v>266</v>
      </c>
      <c r="V2856" s="2" t="s">
        <v>9065</v>
      </c>
      <c r="W2856" s="2" t="s">
        <v>240</v>
      </c>
      <c r="X2856" s="2" t="s">
        <v>147</v>
      </c>
      <c r="Y2856" s="2">
        <v>36.1</v>
      </c>
      <c r="Z2856" s="2">
        <v>0</v>
      </c>
      <c r="AA2856" s="2" t="s">
        <v>379</v>
      </c>
      <c r="AB2856" s="2" t="s">
        <v>19116</v>
      </c>
      <c r="AC2856" s="2">
        <v>-1.6104308061656301</v>
      </c>
      <c r="AD2856" s="2"/>
      <c r="AE2856" s="2">
        <v>0.21422721547193299</v>
      </c>
      <c r="AF2856" s="2">
        <v>5052.6475804258198</v>
      </c>
      <c r="AG2856" s="2">
        <v>3587.12743477206</v>
      </c>
      <c r="AH2856" s="5">
        <v>1.40854978595063</v>
      </c>
      <c r="AI2856" s="5">
        <v>0.49421055744710402</v>
      </c>
      <c r="AJ2856" s="5" t="s">
        <v>139</v>
      </c>
      <c r="AK2856" s="2">
        <v>0.23026464455562801</v>
      </c>
      <c r="AL2856" s="2">
        <v>0.55482191344430198</v>
      </c>
      <c r="AM2856" s="2">
        <v>7548.6353314589296</v>
      </c>
      <c r="AN2856" s="2">
        <v>5873.4948848689801</v>
      </c>
      <c r="AO2856" s="2">
        <v>3321.97719499198</v>
      </c>
      <c r="AP2856" s="2">
        <v>5930.4378204021295</v>
      </c>
      <c r="AQ2856" s="2">
        <v>3117.67103437776</v>
      </c>
      <c r="AR2856" s="2">
        <v>4523.6692164551596</v>
      </c>
      <c r="AS2856" s="2">
        <v>4043.6912534088201</v>
      </c>
      <c r="AT2856" s="2">
        <v>2265.8741155212201</v>
      </c>
      <c r="AU2856" s="2">
        <v>7412.9660952746399</v>
      </c>
      <c r="AV2856" s="2">
        <v>759.10844069313998</v>
      </c>
      <c r="AW2856" s="2">
        <v>3216.15925150772</v>
      </c>
      <c r="AX2856" s="2">
        <v>3824.9654522268002</v>
      </c>
    </row>
    <row r="2857" spans="1:50" x14ac:dyDescent="0.25">
      <c r="A2857" s="2" t="s">
        <v>19117</v>
      </c>
      <c r="B2857" s="2">
        <v>499.29159726122901</v>
      </c>
      <c r="C2857" s="2">
        <v>7.6172500000000003</v>
      </c>
      <c r="D2857" s="2" t="s">
        <v>51</v>
      </c>
      <c r="E2857" s="2" t="s">
        <v>19118</v>
      </c>
      <c r="F2857" s="2">
        <v>250039</v>
      </c>
      <c r="G2857" s="3" t="str">
        <f>HYPERLINK("https://cloud.oebiotech.com/#/lm/network/250039", "https://cloud.oebiotech.com/#/lm/network/250039")</f>
        <v>https://cloud.oebiotech.com/#/lm/network/250039</v>
      </c>
      <c r="H2857" s="2" t="s">
        <v>19119</v>
      </c>
      <c r="I2857" s="2"/>
      <c r="J2857" s="2"/>
      <c r="K2857" s="2"/>
      <c r="L2857" s="2"/>
      <c r="M2857" s="2"/>
      <c r="N2857" s="2"/>
      <c r="O2857" s="2"/>
      <c r="P2857" s="2"/>
      <c r="Q2857" s="2"/>
      <c r="R2857" s="2"/>
      <c r="S2857" s="2" t="s">
        <v>19120</v>
      </c>
      <c r="T2857" s="2" t="s">
        <v>19121</v>
      </c>
      <c r="U2857" s="2" t="s">
        <v>56</v>
      </c>
      <c r="V2857" s="2" t="s">
        <v>145</v>
      </c>
      <c r="W2857" s="2" t="s">
        <v>187</v>
      </c>
      <c r="X2857" s="2" t="s">
        <v>147</v>
      </c>
      <c r="Y2857" s="2">
        <v>39.200000000000003</v>
      </c>
      <c r="Z2857" s="2">
        <v>2.7</v>
      </c>
      <c r="AA2857" s="2" t="s">
        <v>218</v>
      </c>
      <c r="AB2857" s="2" t="s">
        <v>19122</v>
      </c>
      <c r="AC2857" s="2">
        <v>0.74997265689405501</v>
      </c>
      <c r="AD2857" s="2"/>
      <c r="AE2857" s="2">
        <v>0.21394628717905601</v>
      </c>
      <c r="AF2857" s="2">
        <v>10285.4931852424</v>
      </c>
      <c r="AG2857" s="2">
        <v>12834.784195463601</v>
      </c>
      <c r="AH2857" s="4">
        <v>0.80137640248581399</v>
      </c>
      <c r="AI2857" s="4">
        <v>-0.31944806642377099</v>
      </c>
      <c r="AJ2857" s="4" t="s">
        <v>62</v>
      </c>
      <c r="AK2857" s="2">
        <v>0.632139802877836</v>
      </c>
      <c r="AL2857" s="2">
        <v>0.81944950313377996</v>
      </c>
      <c r="AM2857" s="2">
        <v>9497.6784835770904</v>
      </c>
      <c r="AN2857" s="2">
        <v>9958.4459967373205</v>
      </c>
      <c r="AO2857" s="2">
        <v>13393.691734428299</v>
      </c>
      <c r="AP2857" s="2">
        <v>18344.878524642001</v>
      </c>
      <c r="AQ2857" s="2">
        <v>4334.2959081082599</v>
      </c>
      <c r="AR2857" s="2">
        <v>6183.9684639613597</v>
      </c>
      <c r="AS2857" s="2">
        <v>3376.59156162518</v>
      </c>
      <c r="AT2857" s="2">
        <v>7410.4513254145704</v>
      </c>
      <c r="AU2857" s="2">
        <v>6427.9327241091996</v>
      </c>
      <c r="AV2857" s="2">
        <v>28470.862692420102</v>
      </c>
      <c r="AW2857" s="2">
        <v>26880.257415993499</v>
      </c>
      <c r="AX2857" s="2">
        <v>4442.60945321898</v>
      </c>
    </row>
    <row r="2858" spans="1:50" x14ac:dyDescent="0.25">
      <c r="A2858" s="2" t="s">
        <v>19123</v>
      </c>
      <c r="B2858" s="2">
        <v>589.29982390576697</v>
      </c>
      <c r="C2858" s="2">
        <v>7.2863499999999997</v>
      </c>
      <c r="D2858" s="2" t="s">
        <v>51</v>
      </c>
      <c r="E2858" s="2" t="s">
        <v>19124</v>
      </c>
      <c r="F2858" s="2">
        <v>204413</v>
      </c>
      <c r="G2858" s="3" t="str">
        <f>HYPERLINK("https://cloud.oebiotech.com/#/lm/network/204413", "https://cloud.oebiotech.com/#/lm/network/204413")</f>
        <v>https://cloud.oebiotech.com/#/lm/network/204413</v>
      </c>
      <c r="H2858" s="2" t="s">
        <v>19125</v>
      </c>
      <c r="I2858" s="2">
        <v>72384</v>
      </c>
      <c r="J2858" s="2"/>
      <c r="K2858" s="2">
        <v>36565</v>
      </c>
      <c r="L2858" s="2" t="s">
        <v>19126</v>
      </c>
      <c r="M2858" s="2"/>
      <c r="N2858" s="2"/>
      <c r="O2858" s="2"/>
      <c r="P2858" s="2"/>
      <c r="Q2858" s="2"/>
      <c r="R2858" s="2" t="s">
        <v>19127</v>
      </c>
      <c r="S2858" s="2" t="s">
        <v>19128</v>
      </c>
      <c r="T2858" s="2" t="s">
        <v>19129</v>
      </c>
      <c r="U2858" s="2" t="s">
        <v>610</v>
      </c>
      <c r="V2858" s="2" t="s">
        <v>611</v>
      </c>
      <c r="W2858" s="2" t="s">
        <v>977</v>
      </c>
      <c r="X2858" s="2" t="s">
        <v>147</v>
      </c>
      <c r="Y2858" s="2">
        <v>38.1</v>
      </c>
      <c r="Z2858" s="2">
        <v>0</v>
      </c>
      <c r="AA2858" s="2" t="s">
        <v>478</v>
      </c>
      <c r="AB2858" s="2" t="s">
        <v>19130</v>
      </c>
      <c r="AC2858" s="2">
        <v>1.16550579955912</v>
      </c>
      <c r="AD2858" s="2"/>
      <c r="AE2858" s="2">
        <v>0.21376293973701799</v>
      </c>
      <c r="AF2858" s="2">
        <v>2808.166574631</v>
      </c>
      <c r="AG2858" s="2">
        <v>5009.54891999356</v>
      </c>
      <c r="AH2858" s="4">
        <v>0.56056276113471004</v>
      </c>
      <c r="AI2858" s="4">
        <v>-0.83505218731811204</v>
      </c>
      <c r="AJ2858" s="4" t="s">
        <v>62</v>
      </c>
      <c r="AK2858" s="2">
        <v>0.31055856636214801</v>
      </c>
      <c r="AL2858" s="2">
        <v>0.62015055657616003</v>
      </c>
      <c r="AM2858" s="2">
        <v>3604.4733356715401</v>
      </c>
      <c r="AN2858" s="2">
        <v>2266.3753464220199</v>
      </c>
      <c r="AO2858" s="2">
        <v>430.78216667361397</v>
      </c>
      <c r="AP2858" s="2">
        <v>1935.5996880494799</v>
      </c>
      <c r="AQ2858" s="2">
        <v>3123.0303133560001</v>
      </c>
      <c r="AR2858" s="2">
        <v>5488.7385976133201</v>
      </c>
      <c r="AS2858" s="2">
        <v>14331.4138043722</v>
      </c>
      <c r="AT2858" s="2">
        <v>4244.15908066257</v>
      </c>
      <c r="AU2858" s="2">
        <v>4114.8743185061303</v>
      </c>
      <c r="AV2858" s="2">
        <v>2462.78557864715</v>
      </c>
      <c r="AW2858" s="2">
        <v>4024.55116606192</v>
      </c>
      <c r="AX2858" s="2">
        <v>879.50957171138998</v>
      </c>
    </row>
    <row r="2859" spans="1:50" x14ac:dyDescent="0.25">
      <c r="A2859" s="2" t="s">
        <v>19131</v>
      </c>
      <c r="B2859" s="2">
        <v>209.03859471388901</v>
      </c>
      <c r="C2859" s="2">
        <v>5.0999999999999996</v>
      </c>
      <c r="D2859" s="2" t="s">
        <v>51</v>
      </c>
      <c r="E2859" s="2" t="s">
        <v>19132</v>
      </c>
      <c r="F2859" s="2">
        <v>207993</v>
      </c>
      <c r="G2859" s="3" t="str">
        <f>HYPERLINK("https://cloud.oebiotech.com/#/lm/network/207993", "https://cloud.oebiotech.com/#/lm/network/207993")</f>
        <v>https://cloud.oebiotech.com/#/lm/network/207993</v>
      </c>
      <c r="H2859" s="2" t="s">
        <v>19133</v>
      </c>
      <c r="I2859" s="2"/>
      <c r="J2859" s="2"/>
      <c r="K2859" s="2">
        <v>10104496</v>
      </c>
      <c r="L2859" s="2"/>
      <c r="M2859" s="2"/>
      <c r="N2859" s="2"/>
      <c r="O2859" s="2"/>
      <c r="P2859" s="2"/>
      <c r="Q2859" s="2"/>
      <c r="R2859" s="2"/>
      <c r="S2859" s="2" t="s">
        <v>19134</v>
      </c>
      <c r="T2859" s="2" t="s">
        <v>19135</v>
      </c>
      <c r="U2859" s="2" t="s">
        <v>266</v>
      </c>
      <c r="V2859" s="2" t="s">
        <v>1074</v>
      </c>
      <c r="W2859" s="2" t="s">
        <v>240</v>
      </c>
      <c r="X2859" s="2" t="s">
        <v>147</v>
      </c>
      <c r="Y2859" s="2">
        <v>37.6</v>
      </c>
      <c r="Z2859" s="2">
        <v>0</v>
      </c>
      <c r="AA2859" s="2" t="s">
        <v>60</v>
      </c>
      <c r="AB2859" s="2" t="s">
        <v>19136</v>
      </c>
      <c r="AC2859" s="2">
        <v>3.2196054478287399</v>
      </c>
      <c r="AD2859" s="2"/>
      <c r="AE2859" s="2">
        <v>0.21346645548618101</v>
      </c>
      <c r="AF2859" s="2">
        <v>3797.0279673491</v>
      </c>
      <c r="AG2859" s="2">
        <v>5122.6407488077302</v>
      </c>
      <c r="AH2859" s="4">
        <v>0.74122472247011195</v>
      </c>
      <c r="AI2859" s="4">
        <v>-0.43201709372966801</v>
      </c>
      <c r="AJ2859" s="4" t="s">
        <v>62</v>
      </c>
      <c r="AK2859" s="2">
        <v>8.4330687342215396E-2</v>
      </c>
      <c r="AL2859" s="2">
        <v>0.37644457951182902</v>
      </c>
      <c r="AM2859" s="2">
        <v>2825.1295379516901</v>
      </c>
      <c r="AN2859" s="2">
        <v>3757.5639314876298</v>
      </c>
      <c r="AO2859" s="2">
        <v>4090.2335299882402</v>
      </c>
      <c r="AP2859" s="2">
        <v>4313.9469910442904</v>
      </c>
      <c r="AQ2859" s="2">
        <v>4393.7557059819601</v>
      </c>
      <c r="AR2859" s="2">
        <v>3401.5381076407698</v>
      </c>
      <c r="AS2859" s="2">
        <v>7095.4595040122504</v>
      </c>
      <c r="AT2859" s="2">
        <v>5728.94703296224</v>
      </c>
      <c r="AU2859" s="2">
        <v>3755.4813071570202</v>
      </c>
      <c r="AV2859" s="2">
        <v>4005.4527296138499</v>
      </c>
      <c r="AW2859" s="2">
        <v>3468.4726770545399</v>
      </c>
      <c r="AX2859" s="2">
        <v>6682.0312420464797</v>
      </c>
    </row>
    <row r="2860" spans="1:50" x14ac:dyDescent="0.25">
      <c r="A2860" s="2" t="s">
        <v>19137</v>
      </c>
      <c r="B2860" s="2">
        <v>315.00777632284797</v>
      </c>
      <c r="C2860" s="2">
        <v>6.2539666666666696</v>
      </c>
      <c r="D2860" s="2" t="s">
        <v>51</v>
      </c>
      <c r="E2860" s="2" t="s">
        <v>19138</v>
      </c>
      <c r="F2860" s="2">
        <v>210127</v>
      </c>
      <c r="G2860" s="3" t="str">
        <f>HYPERLINK("https://cloud.oebiotech.com/#/lm/network/210127", "https://cloud.oebiotech.com/#/lm/network/210127")</f>
        <v>https://cloud.oebiotech.com/#/lm/network/210127</v>
      </c>
      <c r="H2860" s="2" t="s">
        <v>19139</v>
      </c>
      <c r="I2860" s="2"/>
      <c r="J2860" s="2"/>
      <c r="K2860" s="2"/>
      <c r="L2860" s="2"/>
      <c r="M2860" s="2"/>
      <c r="N2860" s="2"/>
      <c r="O2860" s="2">
        <v>25879</v>
      </c>
      <c r="P2860" s="2"/>
      <c r="Q2860" s="2"/>
      <c r="R2860" s="2"/>
      <c r="S2860" s="2" t="s">
        <v>19140</v>
      </c>
      <c r="T2860" s="2" t="s">
        <v>19141</v>
      </c>
      <c r="U2860" s="2" t="s">
        <v>331</v>
      </c>
      <c r="V2860" s="2" t="s">
        <v>1284</v>
      </c>
      <c r="W2860" s="2" t="s">
        <v>1285</v>
      </c>
      <c r="X2860" s="2" t="s">
        <v>147</v>
      </c>
      <c r="Y2860" s="2">
        <v>38.4</v>
      </c>
      <c r="Z2860" s="2">
        <v>0</v>
      </c>
      <c r="AA2860" s="2" t="s">
        <v>163</v>
      </c>
      <c r="AB2860" s="2" t="s">
        <v>19142</v>
      </c>
      <c r="AC2860" s="2">
        <v>3.73731811826215</v>
      </c>
      <c r="AD2860" s="2"/>
      <c r="AE2860" s="2">
        <v>0.213454941536972</v>
      </c>
      <c r="AF2860" s="2">
        <v>4439.6886437448402</v>
      </c>
      <c r="AG2860" s="2">
        <v>5490.7892457150501</v>
      </c>
      <c r="AH2860" s="4">
        <v>0.80857021551310204</v>
      </c>
      <c r="AI2860" s="4">
        <v>-0.30655503340359402</v>
      </c>
      <c r="AJ2860" s="4" t="s">
        <v>62</v>
      </c>
      <c r="AK2860" s="2">
        <v>1.2940275121690799E-2</v>
      </c>
      <c r="AL2860" s="2">
        <v>0.17992134285123801</v>
      </c>
      <c r="AM2860" s="2">
        <v>3544.1538775004901</v>
      </c>
      <c r="AN2860" s="2">
        <v>4901.9996270615402</v>
      </c>
      <c r="AO2860" s="2">
        <v>4720.6926057076398</v>
      </c>
      <c r="AP2860" s="2">
        <v>4229.5044538278598</v>
      </c>
      <c r="AQ2860" s="2">
        <v>5168.0230251092498</v>
      </c>
      <c r="AR2860" s="2">
        <v>4073.75827326227</v>
      </c>
      <c r="AS2860" s="2">
        <v>5347.2111688912701</v>
      </c>
      <c r="AT2860" s="2">
        <v>5976.7287694889101</v>
      </c>
      <c r="AU2860" s="2">
        <v>4554.7904552201899</v>
      </c>
      <c r="AV2860" s="2">
        <v>6295.1903378399702</v>
      </c>
      <c r="AW2860" s="2">
        <v>5255.7200175300304</v>
      </c>
      <c r="AX2860" s="2">
        <v>5515.0947253199402</v>
      </c>
    </row>
    <row r="2861" spans="1:50" x14ac:dyDescent="0.25">
      <c r="A2861" s="2" t="s">
        <v>19143</v>
      </c>
      <c r="B2861" s="2">
        <v>720.44608741076604</v>
      </c>
      <c r="C2861" s="2">
        <v>11.3173666666667</v>
      </c>
      <c r="D2861" s="2" t="s">
        <v>51</v>
      </c>
      <c r="E2861" s="2" t="s">
        <v>19144</v>
      </c>
      <c r="F2861" s="2">
        <v>27837</v>
      </c>
      <c r="G2861" s="3" t="str">
        <f>HYPERLINK("https://cloud.oebiotech.com/#/lm/network/27837", "https://cloud.oebiotech.com/#/lm/network/27837")</f>
        <v>https://cloud.oebiotech.com/#/lm/network/27837</v>
      </c>
      <c r="H2861" s="2"/>
      <c r="I2861" s="2"/>
      <c r="J2861" s="2" t="s">
        <v>19145</v>
      </c>
      <c r="K2861" s="2">
        <v>134812290</v>
      </c>
      <c r="L2861" s="2"/>
      <c r="M2861" s="2"/>
      <c r="N2861" s="2"/>
      <c r="O2861" s="2"/>
      <c r="P2861" s="2"/>
      <c r="Q2861" s="2"/>
      <c r="R2861" s="2"/>
      <c r="S2861" s="2" t="s">
        <v>19146</v>
      </c>
      <c r="T2861" s="2" t="s">
        <v>19147</v>
      </c>
      <c r="U2861" s="2" t="s">
        <v>56</v>
      </c>
      <c r="V2861" s="2" t="s">
        <v>57</v>
      </c>
      <c r="W2861" s="2" t="s">
        <v>58</v>
      </c>
      <c r="X2861" s="2" t="s">
        <v>83</v>
      </c>
      <c r="Y2861" s="2">
        <v>47.1</v>
      </c>
      <c r="Z2861" s="2">
        <v>0</v>
      </c>
      <c r="AA2861" s="2" t="s">
        <v>163</v>
      </c>
      <c r="AB2861" s="2" t="s">
        <v>19148</v>
      </c>
      <c r="AC2861" s="2">
        <v>0.50621737856100402</v>
      </c>
      <c r="AD2861" s="2"/>
      <c r="AE2861" s="2">
        <v>0.213438530363877</v>
      </c>
      <c r="AF2861" s="2">
        <v>1941.8040991129601</v>
      </c>
      <c r="AG2861" s="2">
        <v>219.508200411225</v>
      </c>
      <c r="AH2861" s="5">
        <v>8.8461574350078696</v>
      </c>
      <c r="AI2861" s="5">
        <v>3.1450509180995501</v>
      </c>
      <c r="AJ2861" s="5" t="s">
        <v>139</v>
      </c>
      <c r="AK2861" s="2">
        <v>5.1290243507803902E-2</v>
      </c>
      <c r="AL2861" s="2">
        <v>0.31425198731252002</v>
      </c>
      <c r="AM2861" s="2">
        <v>640.89979102786401</v>
      </c>
      <c r="AN2861" s="2">
        <v>4194.4582067211004</v>
      </c>
      <c r="AO2861" s="2">
        <v>8.559877937157E-6</v>
      </c>
      <c r="AP2861" s="2">
        <v>2543.1275752834199</v>
      </c>
      <c r="AQ2861" s="2">
        <v>324.21288743641497</v>
      </c>
      <c r="AR2861" s="2">
        <v>3948.1261256490702</v>
      </c>
      <c r="AS2861" s="2">
        <v>842.55242971422399</v>
      </c>
      <c r="AT2861" s="2">
        <v>13.783582357088401</v>
      </c>
      <c r="AU2861" s="2">
        <v>8.559877937157E-6</v>
      </c>
      <c r="AV2861" s="2">
        <v>5.5893628494295902</v>
      </c>
      <c r="AW2861" s="2">
        <v>8.559877937157E-6</v>
      </c>
      <c r="AX2861" s="2">
        <v>455.12381042685399</v>
      </c>
    </row>
    <row r="2862" spans="1:50" x14ac:dyDescent="0.25">
      <c r="A2862" s="2" t="s">
        <v>19149</v>
      </c>
      <c r="B2862" s="2">
        <v>181.02279747556</v>
      </c>
      <c r="C2862" s="2">
        <v>1.1926000000000001</v>
      </c>
      <c r="D2862" s="2" t="s">
        <v>51</v>
      </c>
      <c r="E2862" s="2" t="s">
        <v>19150</v>
      </c>
      <c r="F2862" s="2">
        <v>212413</v>
      </c>
      <c r="G2862" s="3" t="str">
        <f>HYPERLINK("https://cloud.oebiotech.com/#/lm/network/212413", "https://cloud.oebiotech.com/#/lm/network/212413")</f>
        <v>https://cloud.oebiotech.com/#/lm/network/212413</v>
      </c>
      <c r="H2862" s="2" t="s">
        <v>19151</v>
      </c>
      <c r="I2862" s="2"/>
      <c r="J2862" s="2"/>
      <c r="K2862" s="2">
        <v>87064713</v>
      </c>
      <c r="L2862" s="2"/>
      <c r="M2862" s="2"/>
      <c r="N2862" s="2"/>
      <c r="O2862" s="2"/>
      <c r="P2862" s="2"/>
      <c r="Q2862" s="2"/>
      <c r="R2862" s="2"/>
      <c r="S2862" s="2" t="s">
        <v>19152</v>
      </c>
      <c r="T2862" s="2" t="s">
        <v>19153</v>
      </c>
      <c r="U2862" s="2" t="s">
        <v>1231</v>
      </c>
      <c r="V2862" s="2" t="s">
        <v>15569</v>
      </c>
      <c r="W2862" s="2" t="s">
        <v>18047</v>
      </c>
      <c r="X2862" s="2" t="s">
        <v>147</v>
      </c>
      <c r="Y2862" s="2">
        <v>36.5</v>
      </c>
      <c r="Z2862" s="2">
        <v>0</v>
      </c>
      <c r="AA2862" s="2" t="s">
        <v>379</v>
      </c>
      <c r="AB2862" s="2" t="s">
        <v>19154</v>
      </c>
      <c r="AC2862" s="2">
        <v>-0.90316866560692599</v>
      </c>
      <c r="AD2862" s="2"/>
      <c r="AE2862" s="2">
        <v>0.21340178399423301</v>
      </c>
      <c r="AF2862" s="2">
        <v>3647.1554046926999</v>
      </c>
      <c r="AG2862" s="2">
        <v>4817.5171527110897</v>
      </c>
      <c r="AH2862" s="4">
        <v>0.75706121827510997</v>
      </c>
      <c r="AI2862" s="4">
        <v>-0.401518129245797</v>
      </c>
      <c r="AJ2862" s="4" t="s">
        <v>62</v>
      </c>
      <c r="AK2862" s="2">
        <v>8.4868758296817004E-2</v>
      </c>
      <c r="AL2862" s="2">
        <v>0.37686299028287401</v>
      </c>
      <c r="AM2862" s="2">
        <v>2349.54014800904</v>
      </c>
      <c r="AN2862" s="2">
        <v>4652.4815593798303</v>
      </c>
      <c r="AO2862" s="2">
        <v>3326.5107719671601</v>
      </c>
      <c r="AP2862" s="2">
        <v>3331.25915357332</v>
      </c>
      <c r="AQ2862" s="2">
        <v>4394.3032785524401</v>
      </c>
      <c r="AR2862" s="2">
        <v>3828.8375166743999</v>
      </c>
      <c r="AS2862" s="2">
        <v>6042.8343401482298</v>
      </c>
      <c r="AT2862" s="2">
        <v>5313.8681209873403</v>
      </c>
      <c r="AU2862" s="2">
        <v>2417.91856002136</v>
      </c>
      <c r="AV2862" s="2">
        <v>5271.9653742998498</v>
      </c>
      <c r="AW2862" s="2">
        <v>5000.7087577960701</v>
      </c>
      <c r="AX2862" s="2">
        <v>4857.8077630137104</v>
      </c>
    </row>
    <row r="2863" spans="1:50" x14ac:dyDescent="0.25">
      <c r="A2863" s="2" t="s">
        <v>19155</v>
      </c>
      <c r="B2863" s="2">
        <v>439.32160001696599</v>
      </c>
      <c r="C2863" s="2">
        <v>11.819000000000001</v>
      </c>
      <c r="D2863" s="2" t="s">
        <v>51</v>
      </c>
      <c r="E2863" s="2" t="s">
        <v>19156</v>
      </c>
      <c r="F2863" s="2">
        <v>43770</v>
      </c>
      <c r="G2863" s="3" t="str">
        <f>HYPERLINK("https://cloud.oebiotech.com/#/lm/network/43770", "https://cloud.oebiotech.com/#/lm/network/43770")</f>
        <v>https://cloud.oebiotech.com/#/lm/network/43770</v>
      </c>
      <c r="H2863" s="2"/>
      <c r="I2863" s="2"/>
      <c r="J2863" s="2" t="s">
        <v>19157</v>
      </c>
      <c r="K2863" s="2"/>
      <c r="L2863" s="2"/>
      <c r="M2863" s="2"/>
      <c r="N2863" s="2"/>
      <c r="O2863" s="2"/>
      <c r="P2863" s="2"/>
      <c r="Q2863" s="2"/>
      <c r="R2863" s="2"/>
      <c r="S2863" s="2" t="s">
        <v>19158</v>
      </c>
      <c r="T2863" s="2" t="s">
        <v>19159</v>
      </c>
      <c r="U2863" s="2" t="s">
        <v>56</v>
      </c>
      <c r="V2863" s="2" t="s">
        <v>283</v>
      </c>
      <c r="W2863" s="2" t="s">
        <v>2042</v>
      </c>
      <c r="X2863" s="2" t="s">
        <v>83</v>
      </c>
      <c r="Y2863" s="2">
        <v>52.6</v>
      </c>
      <c r="Z2863" s="2">
        <v>0</v>
      </c>
      <c r="AA2863" s="2" t="s">
        <v>95</v>
      </c>
      <c r="AB2863" s="2" t="s">
        <v>12916</v>
      </c>
      <c r="AC2863" s="2">
        <v>8.0082503092099895</v>
      </c>
      <c r="AD2863" s="2"/>
      <c r="AE2863" s="2">
        <v>0.21332793328026101</v>
      </c>
      <c r="AF2863" s="2">
        <v>1128.9343184235299</v>
      </c>
      <c r="AG2863" s="2">
        <v>2534.4183753860998</v>
      </c>
      <c r="AH2863" s="4">
        <v>0.44544118263487098</v>
      </c>
      <c r="AI2863" s="4">
        <v>-1.16669314826481</v>
      </c>
      <c r="AJ2863" s="4" t="s">
        <v>62</v>
      </c>
      <c r="AK2863" s="2">
        <v>0.201544819673216</v>
      </c>
      <c r="AL2863" s="2">
        <v>0.524812102806965</v>
      </c>
      <c r="AM2863" s="2">
        <v>8.559877937157E-6</v>
      </c>
      <c r="AN2863" s="2">
        <v>8.559877937157E-6</v>
      </c>
      <c r="AO2863" s="2">
        <v>731.44674148021602</v>
      </c>
      <c r="AP2863" s="2">
        <v>8.559877937157E-6</v>
      </c>
      <c r="AQ2863" s="2">
        <v>3478.6726609647799</v>
      </c>
      <c r="AR2863" s="2">
        <v>2563.4864824165702</v>
      </c>
      <c r="AS2863" s="2">
        <v>532.185130494482</v>
      </c>
      <c r="AT2863" s="2">
        <v>1394.65862942171</v>
      </c>
      <c r="AU2863" s="2">
        <v>861.41751739257302</v>
      </c>
      <c r="AV2863" s="2">
        <v>4368.5421455449496</v>
      </c>
      <c r="AW2863" s="2">
        <v>2569.6744087577299</v>
      </c>
      <c r="AX2863" s="2">
        <v>5480.0324207051699</v>
      </c>
    </row>
    <row r="2864" spans="1:50" x14ac:dyDescent="0.25">
      <c r="A2864" s="2" t="s">
        <v>19160</v>
      </c>
      <c r="B2864" s="2">
        <v>408.30961081259898</v>
      </c>
      <c r="C2864" s="2">
        <v>13.1406666666667</v>
      </c>
      <c r="D2864" s="2" t="s">
        <v>51</v>
      </c>
      <c r="E2864" s="2" t="s">
        <v>19161</v>
      </c>
      <c r="F2864" s="2">
        <v>256182</v>
      </c>
      <c r="G2864" s="3" t="str">
        <f>HYPERLINK("https://cloud.oebiotech.com/#/lm/network/256182", "https://cloud.oebiotech.com/#/lm/network/256182")</f>
        <v>https://cloud.oebiotech.com/#/lm/network/256182</v>
      </c>
      <c r="H2864" s="2" t="s">
        <v>19162</v>
      </c>
      <c r="I2864" s="2"/>
      <c r="J2864" s="2"/>
      <c r="K2864" s="2">
        <v>6435830</v>
      </c>
      <c r="L2864" s="2"/>
      <c r="M2864" s="2"/>
      <c r="N2864" s="2"/>
      <c r="O2864" s="2"/>
      <c r="P2864" s="2"/>
      <c r="Q2864" s="2"/>
      <c r="R2864" s="2"/>
      <c r="S2864" s="2" t="s">
        <v>19163</v>
      </c>
      <c r="T2864" s="2" t="s">
        <v>19164</v>
      </c>
      <c r="U2864" s="2" t="s">
        <v>56</v>
      </c>
      <c r="V2864" s="2" t="s">
        <v>145</v>
      </c>
      <c r="W2864" s="2" t="s">
        <v>1188</v>
      </c>
      <c r="X2864" s="2" t="s">
        <v>147</v>
      </c>
      <c r="Y2864" s="2">
        <v>38.1</v>
      </c>
      <c r="Z2864" s="2">
        <v>0</v>
      </c>
      <c r="AA2864" s="2" t="s">
        <v>512</v>
      </c>
      <c r="AB2864" s="2" t="s">
        <v>19165</v>
      </c>
      <c r="AC2864" s="2">
        <v>3.0267732425718799</v>
      </c>
      <c r="AD2864" s="2"/>
      <c r="AE2864" s="2">
        <v>0.21326736145787201</v>
      </c>
      <c r="AF2864" s="2">
        <v>11065.8383380217</v>
      </c>
      <c r="AG2864" s="2">
        <v>13443.8770871245</v>
      </c>
      <c r="AH2864" s="4">
        <v>0.823113620149033</v>
      </c>
      <c r="AI2864" s="4">
        <v>-0.28083650517414999</v>
      </c>
      <c r="AJ2864" s="4" t="s">
        <v>62</v>
      </c>
      <c r="AK2864" s="2">
        <v>0.56459598406264599</v>
      </c>
      <c r="AL2864" s="2">
        <v>0.78117137202981302</v>
      </c>
      <c r="AM2864" s="2">
        <v>8782.2185149091802</v>
      </c>
      <c r="AN2864" s="2">
        <v>12368.890043670201</v>
      </c>
      <c r="AO2864" s="2">
        <v>16482.105420493801</v>
      </c>
      <c r="AP2864" s="2">
        <v>10920.792005970199</v>
      </c>
      <c r="AQ2864" s="2">
        <v>11161.8203645014</v>
      </c>
      <c r="AR2864" s="2">
        <v>6679.2036785854698</v>
      </c>
      <c r="AS2864" s="2">
        <v>6916.9693922082397</v>
      </c>
      <c r="AT2864" s="2">
        <v>7103.14452588926</v>
      </c>
      <c r="AU2864" s="2">
        <v>6756.8102644999599</v>
      </c>
      <c r="AV2864" s="2">
        <v>25294.3387463051</v>
      </c>
      <c r="AW2864" s="2">
        <v>25198.032198516001</v>
      </c>
      <c r="AX2864" s="2">
        <v>9393.9673953285892</v>
      </c>
    </row>
    <row r="2865" spans="1:50" x14ac:dyDescent="0.25">
      <c r="A2865" s="2" t="s">
        <v>19166</v>
      </c>
      <c r="B2865" s="2">
        <v>451.379696094922</v>
      </c>
      <c r="C2865" s="2">
        <v>14.465633333333299</v>
      </c>
      <c r="D2865" s="2" t="s">
        <v>51</v>
      </c>
      <c r="E2865" s="2" t="s">
        <v>19167</v>
      </c>
      <c r="F2865" s="2">
        <v>427</v>
      </c>
      <c r="G2865" s="3" t="str">
        <f>HYPERLINK("https://cloud.oebiotech.com/#/lm/network/427", "https://cloud.oebiotech.com/#/lm/network/427")</f>
        <v>https://cloud.oebiotech.com/#/lm/network/427</v>
      </c>
      <c r="H2865" s="2"/>
      <c r="I2865" s="2">
        <v>73769</v>
      </c>
      <c r="J2865" s="2" t="s">
        <v>19168</v>
      </c>
      <c r="K2865" s="2">
        <v>52921778</v>
      </c>
      <c r="L2865" s="2"/>
      <c r="M2865" s="2"/>
      <c r="N2865" s="2"/>
      <c r="O2865" s="2"/>
      <c r="P2865" s="2"/>
      <c r="Q2865" s="2"/>
      <c r="R2865" s="2"/>
      <c r="S2865" s="2" t="s">
        <v>19169</v>
      </c>
      <c r="T2865" s="2" t="s">
        <v>19170</v>
      </c>
      <c r="U2865" s="2" t="s">
        <v>56</v>
      </c>
      <c r="V2865" s="2" t="s">
        <v>145</v>
      </c>
      <c r="W2865" s="2" t="s">
        <v>231</v>
      </c>
      <c r="X2865" s="2" t="s">
        <v>83</v>
      </c>
      <c r="Y2865" s="2">
        <v>44.2</v>
      </c>
      <c r="Z2865" s="2">
        <v>0</v>
      </c>
      <c r="AA2865" s="2" t="s">
        <v>218</v>
      </c>
      <c r="AB2865" s="2" t="s">
        <v>19171</v>
      </c>
      <c r="AC2865" s="2">
        <v>1.0147674723450599</v>
      </c>
      <c r="AD2865" s="2"/>
      <c r="AE2865" s="2">
        <v>0.21317481330301799</v>
      </c>
      <c r="AF2865" s="2">
        <v>26949.044183964899</v>
      </c>
      <c r="AG2865" s="2">
        <v>23155.421556877001</v>
      </c>
      <c r="AH2865" s="5">
        <v>1.16383301931125</v>
      </c>
      <c r="AI2865" s="5">
        <v>0.21888408273721399</v>
      </c>
      <c r="AJ2865" s="5" t="s">
        <v>139</v>
      </c>
      <c r="AK2865" s="2">
        <v>0.54216482661957599</v>
      </c>
      <c r="AL2865" s="2">
        <v>0.76675382935693703</v>
      </c>
      <c r="AM2865" s="2">
        <v>17258.635545347701</v>
      </c>
      <c r="AN2865" s="2">
        <v>24382.363135658699</v>
      </c>
      <c r="AO2865" s="2">
        <v>28379.3489841761</v>
      </c>
      <c r="AP2865" s="2">
        <v>32854.487799334303</v>
      </c>
      <c r="AQ2865" s="2">
        <v>39186.376038314003</v>
      </c>
      <c r="AR2865" s="2">
        <v>19633.053600958599</v>
      </c>
      <c r="AS2865" s="2">
        <v>15335.515109674299</v>
      </c>
      <c r="AT2865" s="2">
        <v>43696.735433074798</v>
      </c>
      <c r="AU2865" s="2">
        <v>21292.578699679099</v>
      </c>
      <c r="AV2865" s="2">
        <v>12849.0458732596</v>
      </c>
      <c r="AW2865" s="2">
        <v>31556.0538607692</v>
      </c>
      <c r="AX2865" s="2">
        <v>14202.600364804901</v>
      </c>
    </row>
    <row r="2866" spans="1:50" x14ac:dyDescent="0.25">
      <c r="A2866" s="2" t="s">
        <v>19172</v>
      </c>
      <c r="B2866" s="2">
        <v>563.23831388511803</v>
      </c>
      <c r="C2866" s="2">
        <v>9.9910499999999995</v>
      </c>
      <c r="D2866" s="2" t="s">
        <v>51</v>
      </c>
      <c r="E2866" s="2" t="s">
        <v>19173</v>
      </c>
      <c r="F2866" s="2">
        <v>219668</v>
      </c>
      <c r="G2866" s="3" t="str">
        <f>HYPERLINK("https://cloud.oebiotech.com/#/lm/network/219668", "https://cloud.oebiotech.com/#/lm/network/219668")</f>
        <v>https://cloud.oebiotech.com/#/lm/network/219668</v>
      </c>
      <c r="H2866" s="2" t="s">
        <v>19174</v>
      </c>
      <c r="I2866" s="2"/>
      <c r="J2866" s="2"/>
      <c r="K2866" s="2"/>
      <c r="L2866" s="2"/>
      <c r="M2866" s="2"/>
      <c r="N2866" s="2"/>
      <c r="O2866" s="2"/>
      <c r="P2866" s="2"/>
      <c r="Q2866" s="2"/>
      <c r="R2866" s="2"/>
      <c r="S2866" s="2" t="s">
        <v>19175</v>
      </c>
      <c r="T2866" s="2" t="s">
        <v>19176</v>
      </c>
      <c r="U2866" s="2" t="s">
        <v>56</v>
      </c>
      <c r="V2866" s="2" t="s">
        <v>57</v>
      </c>
      <c r="W2866" s="2" t="s">
        <v>702</v>
      </c>
      <c r="X2866" s="2" t="s">
        <v>147</v>
      </c>
      <c r="Y2866" s="2">
        <v>39.4</v>
      </c>
      <c r="Z2866" s="2">
        <v>0</v>
      </c>
      <c r="AA2866" s="2" t="s">
        <v>526</v>
      </c>
      <c r="AB2866" s="2" t="s">
        <v>19177</v>
      </c>
      <c r="AC2866" s="2">
        <v>0.50658918297102595</v>
      </c>
      <c r="AD2866" s="2"/>
      <c r="AE2866" s="2">
        <v>0.21309349324311799</v>
      </c>
      <c r="AF2866" s="2">
        <v>1846.63043929425</v>
      </c>
      <c r="AG2866" s="2">
        <v>73.494762798729795</v>
      </c>
      <c r="AH2866" s="5">
        <v>25.1260140039007</v>
      </c>
      <c r="AI2866" s="5">
        <v>4.6511099148159296</v>
      </c>
      <c r="AJ2866" s="5" t="s">
        <v>139</v>
      </c>
      <c r="AK2866" s="2">
        <v>9.29644463792067E-2</v>
      </c>
      <c r="AL2866" s="2">
        <v>0.39171747207476998</v>
      </c>
      <c r="AM2866" s="2">
        <v>2269.7918556700201</v>
      </c>
      <c r="AN2866" s="2">
        <v>8.559877937157E-6</v>
      </c>
      <c r="AO2866" s="2">
        <v>8.559877937157E-6</v>
      </c>
      <c r="AP2866" s="2">
        <v>8.559877937157E-6</v>
      </c>
      <c r="AQ2866" s="2">
        <v>3046.9765487928998</v>
      </c>
      <c r="AR2866" s="2">
        <v>5763.0142056229297</v>
      </c>
      <c r="AS2866" s="2">
        <v>8.559877937157E-6</v>
      </c>
      <c r="AT2866" s="2">
        <v>8.559877937157E-6</v>
      </c>
      <c r="AU2866" s="2">
        <v>8.559877937157E-6</v>
      </c>
      <c r="AV2866" s="2">
        <v>8.559877937157E-6</v>
      </c>
      <c r="AW2866" s="2">
        <v>440.96853399298902</v>
      </c>
      <c r="AX2866" s="2">
        <v>8.559877937157E-6</v>
      </c>
    </row>
    <row r="2867" spans="1:50" x14ac:dyDescent="0.25">
      <c r="A2867" s="2" t="s">
        <v>19178</v>
      </c>
      <c r="B2867" s="2">
        <v>179.04</v>
      </c>
      <c r="C2867" s="2">
        <v>10.029999999999999</v>
      </c>
      <c r="D2867" s="2" t="s">
        <v>125</v>
      </c>
      <c r="E2867" s="2" t="s">
        <v>19179</v>
      </c>
      <c r="F2867" s="2">
        <v>47686</v>
      </c>
      <c r="G2867" s="3" t="str">
        <f>HYPERLINK("https://cloud.oebiotech.com/#/lm/network/47686", "https://cloud.oebiotech.com/#/lm/network/47686")</f>
        <v>https://cloud.oebiotech.com/#/lm/network/47686</v>
      </c>
      <c r="H2867" s="2" t="s">
        <v>19180</v>
      </c>
      <c r="I2867" s="2">
        <v>1297</v>
      </c>
      <c r="J2867" s="2"/>
      <c r="K2867" s="2">
        <v>243</v>
      </c>
      <c r="L2867" s="2" t="s">
        <v>19181</v>
      </c>
      <c r="M2867" s="2"/>
      <c r="N2867" s="2"/>
      <c r="O2867" s="2">
        <v>30746</v>
      </c>
      <c r="P2867" s="2" t="s">
        <v>19182</v>
      </c>
      <c r="Q2867" s="2" t="s">
        <v>19183</v>
      </c>
      <c r="R2867" s="2" t="s">
        <v>19184</v>
      </c>
      <c r="S2867" s="2" t="s">
        <v>19185</v>
      </c>
      <c r="T2867" s="2" t="s">
        <v>19186</v>
      </c>
      <c r="U2867" s="2" t="s">
        <v>610</v>
      </c>
      <c r="V2867" s="2" t="s">
        <v>611</v>
      </c>
      <c r="W2867" s="2" t="s">
        <v>1122</v>
      </c>
      <c r="X2867" s="2" t="s">
        <v>83</v>
      </c>
      <c r="Y2867" s="2">
        <v>83.3</v>
      </c>
      <c r="Z2867" s="2">
        <v>73.400000000000006</v>
      </c>
      <c r="AA2867" s="2"/>
      <c r="AB2867" s="2" t="s">
        <v>16396</v>
      </c>
      <c r="AC2867" s="2"/>
      <c r="AD2867" s="2">
        <v>338995.25222551898</v>
      </c>
      <c r="AE2867" s="2">
        <v>0.21286856340423599</v>
      </c>
      <c r="AF2867" s="2">
        <v>19941.509190307901</v>
      </c>
      <c r="AG2867" s="2">
        <v>39289.547209468903</v>
      </c>
      <c r="AH2867" s="4">
        <v>0.50755253258561195</v>
      </c>
      <c r="AI2867" s="4">
        <v>-0.97837094337084995</v>
      </c>
      <c r="AJ2867" s="4" t="s">
        <v>62</v>
      </c>
      <c r="AK2867" s="2">
        <v>0.36022013998756103</v>
      </c>
      <c r="AL2867" s="2">
        <v>0.64513634120849195</v>
      </c>
      <c r="AM2867" s="2">
        <v>19505.554440301101</v>
      </c>
      <c r="AN2867" s="2">
        <v>21839.0657006201</v>
      </c>
      <c r="AO2867" s="2">
        <v>16879.511737173099</v>
      </c>
      <c r="AP2867" s="2">
        <v>18513.102381130298</v>
      </c>
      <c r="AQ2867" s="2">
        <v>18075.219185790502</v>
      </c>
      <c r="AR2867" s="2">
        <v>24836.601696832298</v>
      </c>
      <c r="AS2867" s="2">
        <v>18084.427848790201</v>
      </c>
      <c r="AT2867" s="2">
        <v>17444.5877899226</v>
      </c>
      <c r="AU2867" s="2">
        <v>18623.272885006401</v>
      </c>
      <c r="AV2867" s="2">
        <v>18757.280056826399</v>
      </c>
      <c r="AW2867" s="2">
        <v>139923.28594853199</v>
      </c>
      <c r="AX2867" s="2">
        <v>22904.428727736002</v>
      </c>
    </row>
    <row r="2868" spans="1:50" x14ac:dyDescent="0.25">
      <c r="A2868" s="2" t="s">
        <v>19187</v>
      </c>
      <c r="B2868" s="2">
        <v>307.09595704786801</v>
      </c>
      <c r="C2868" s="2">
        <v>9.4626166666666691</v>
      </c>
      <c r="D2868" s="2" t="s">
        <v>51</v>
      </c>
      <c r="E2868" s="2" t="s">
        <v>19188</v>
      </c>
      <c r="F2868" s="2">
        <v>515470</v>
      </c>
      <c r="G2868" s="3" t="str">
        <f>HYPERLINK("https://cloud.oebiotech.com/#/lm/network/515470", "https://cloud.oebiotech.com/#/lm/network/515470")</f>
        <v>https://cloud.oebiotech.com/#/lm/network/515470</v>
      </c>
      <c r="H2868" s="2"/>
      <c r="I2868" s="2">
        <v>96492</v>
      </c>
      <c r="J2868" s="2"/>
      <c r="K2868" s="2">
        <v>131866484</v>
      </c>
      <c r="L2868" s="2"/>
      <c r="M2868" s="2"/>
      <c r="N2868" s="2"/>
      <c r="O2868" s="2"/>
      <c r="P2868" s="2"/>
      <c r="Q2868" s="2"/>
      <c r="R2868" s="2" t="s">
        <v>19189</v>
      </c>
      <c r="S2868" s="2" t="s">
        <v>19190</v>
      </c>
      <c r="T2868" s="2" t="s">
        <v>19191</v>
      </c>
      <c r="U2868" s="2" t="s">
        <v>610</v>
      </c>
      <c r="V2868" s="2" t="s">
        <v>611</v>
      </c>
      <c r="W2868" s="2" t="s">
        <v>1122</v>
      </c>
      <c r="X2868" s="2" t="s">
        <v>147</v>
      </c>
      <c r="Y2868" s="2">
        <v>38.700000000000003</v>
      </c>
      <c r="Z2868" s="2">
        <v>0</v>
      </c>
      <c r="AA2868" s="2" t="s">
        <v>395</v>
      </c>
      <c r="AB2868" s="2" t="s">
        <v>19192</v>
      </c>
      <c r="AC2868" s="2">
        <v>-0.81468270555636402</v>
      </c>
      <c r="AD2868" s="2"/>
      <c r="AE2868" s="2">
        <v>0.212818404564136</v>
      </c>
      <c r="AF2868" s="2">
        <v>1749.5946037481399</v>
      </c>
      <c r="AG2868" s="2">
        <v>636.48352295939299</v>
      </c>
      <c r="AH2868" s="5">
        <v>2.7488450849650099</v>
      </c>
      <c r="AI2868" s="5">
        <v>1.4588256040315499</v>
      </c>
      <c r="AJ2868" s="5" t="s">
        <v>139</v>
      </c>
      <c r="AK2868" s="2">
        <v>2.5859457905015398E-2</v>
      </c>
      <c r="AL2868" s="2">
        <v>0.24762516384205899</v>
      </c>
      <c r="AM2868" s="2">
        <v>2132.5722138685601</v>
      </c>
      <c r="AN2868" s="2">
        <v>3407.6339005774998</v>
      </c>
      <c r="AO2868" s="2">
        <v>1013.02726827616</v>
      </c>
      <c r="AP2868" s="2">
        <v>1181.5760390109699</v>
      </c>
      <c r="AQ2868" s="2">
        <v>978.11851828612305</v>
      </c>
      <c r="AR2868" s="2">
        <v>1784.6396824695501</v>
      </c>
      <c r="AS2868" s="2">
        <v>1328.60409475955</v>
      </c>
      <c r="AT2868" s="2">
        <v>176.210179147297</v>
      </c>
      <c r="AU2868" s="2">
        <v>727.24570285764401</v>
      </c>
      <c r="AV2868" s="2">
        <v>225.1822606776</v>
      </c>
      <c r="AW2868" s="2">
        <v>356.80461187159898</v>
      </c>
      <c r="AX2868" s="2">
        <v>1004.8542884426701</v>
      </c>
    </row>
    <row r="2869" spans="1:50" x14ac:dyDescent="0.25">
      <c r="A2869" s="2" t="s">
        <v>19193</v>
      </c>
      <c r="B2869" s="2">
        <v>164.920845171618</v>
      </c>
      <c r="C2869" s="2">
        <v>0.63544999999999996</v>
      </c>
      <c r="D2869" s="2" t="s">
        <v>51</v>
      </c>
      <c r="E2869" s="2" t="s">
        <v>19194</v>
      </c>
      <c r="F2869" s="2">
        <v>256418</v>
      </c>
      <c r="G2869" s="3" t="str">
        <f>HYPERLINK("https://cloud.oebiotech.com/#/lm/network/256418", "https://cloud.oebiotech.com/#/lm/network/256418")</f>
        <v>https://cloud.oebiotech.com/#/lm/network/256418</v>
      </c>
      <c r="H2869" s="2" t="s">
        <v>19195</v>
      </c>
      <c r="I2869" s="2"/>
      <c r="J2869" s="2"/>
      <c r="K2869" s="2"/>
      <c r="L2869" s="2" t="s">
        <v>19196</v>
      </c>
      <c r="M2869" s="2"/>
      <c r="N2869" s="2"/>
      <c r="O2869" s="2">
        <v>32149</v>
      </c>
      <c r="P2869" s="2"/>
      <c r="Q2869" s="2"/>
      <c r="R2869" s="2"/>
      <c r="S2869" s="2" t="s">
        <v>19197</v>
      </c>
      <c r="T2869" s="2" t="s">
        <v>19198</v>
      </c>
      <c r="U2869" s="2" t="s">
        <v>13215</v>
      </c>
      <c r="V2869" s="2" t="s">
        <v>13216</v>
      </c>
      <c r="W2869" s="2" t="s">
        <v>19199</v>
      </c>
      <c r="X2869" s="2" t="s">
        <v>147</v>
      </c>
      <c r="Y2869" s="2">
        <v>38.200000000000003</v>
      </c>
      <c r="Z2869" s="2">
        <v>0</v>
      </c>
      <c r="AA2869" s="2" t="s">
        <v>95</v>
      </c>
      <c r="AB2869" s="2" t="s">
        <v>19200</v>
      </c>
      <c r="AC2869" s="2">
        <v>2.5114379881052198</v>
      </c>
      <c r="AD2869" s="2"/>
      <c r="AE2869" s="2">
        <v>0.212687900050336</v>
      </c>
      <c r="AF2869" s="2">
        <v>7477.7828395385804</v>
      </c>
      <c r="AG2869" s="2">
        <v>9242.0198429068805</v>
      </c>
      <c r="AH2869" s="4">
        <v>0.80910698815234305</v>
      </c>
      <c r="AI2869" s="4">
        <v>-0.30559761216852399</v>
      </c>
      <c r="AJ2869" s="4" t="s">
        <v>62</v>
      </c>
      <c r="AK2869" s="2">
        <v>0.395988290456258</v>
      </c>
      <c r="AL2869" s="2">
        <v>0.66752996494649497</v>
      </c>
      <c r="AM2869" s="2">
        <v>3957.1962719716298</v>
      </c>
      <c r="AN2869" s="2">
        <v>7753.1925191699702</v>
      </c>
      <c r="AO2869" s="2">
        <v>8785.0046747819506</v>
      </c>
      <c r="AP2869" s="2">
        <v>7255.1966843585496</v>
      </c>
      <c r="AQ2869" s="2">
        <v>4210.6448505653598</v>
      </c>
      <c r="AR2869" s="2">
        <v>12905.462036384</v>
      </c>
      <c r="AS2869" s="2">
        <v>6582.7134107230204</v>
      </c>
      <c r="AT2869" s="2">
        <v>6514.4736594296101</v>
      </c>
      <c r="AU2869" s="2">
        <v>9255.8170051072793</v>
      </c>
      <c r="AV2869" s="2">
        <v>14025.591389434099</v>
      </c>
      <c r="AW2869" s="2">
        <v>13196.882198384999</v>
      </c>
      <c r="AX2869" s="2">
        <v>5876.6413943622701</v>
      </c>
    </row>
    <row r="2870" spans="1:50" x14ac:dyDescent="0.25">
      <c r="A2870" s="2" t="s">
        <v>19201</v>
      </c>
      <c r="B2870" s="2">
        <v>288.16050996144497</v>
      </c>
      <c r="C2870" s="2">
        <v>9.2343499999999992</v>
      </c>
      <c r="D2870" s="2" t="s">
        <v>51</v>
      </c>
      <c r="E2870" s="2" t="s">
        <v>19202</v>
      </c>
      <c r="F2870" s="2">
        <v>8744</v>
      </c>
      <c r="G2870" s="3" t="str">
        <f>HYPERLINK("https://cloud.oebiotech.com/#/lm/network/8744", "https://cloud.oebiotech.com/#/lm/network/8744")</f>
        <v>https://cloud.oebiotech.com/#/lm/network/8744</v>
      </c>
      <c r="H2870" s="2"/>
      <c r="I2870" s="2">
        <v>68710</v>
      </c>
      <c r="J2870" s="2" t="s">
        <v>19203</v>
      </c>
      <c r="K2870" s="2">
        <v>5281870</v>
      </c>
      <c r="L2870" s="2" t="s">
        <v>19204</v>
      </c>
      <c r="M2870" s="2"/>
      <c r="N2870" s="2"/>
      <c r="O2870" s="2">
        <v>5990</v>
      </c>
      <c r="P2870" s="2"/>
      <c r="Q2870" s="2"/>
      <c r="R2870" s="2"/>
      <c r="S2870" s="2" t="s">
        <v>19205</v>
      </c>
      <c r="T2870" s="2" t="s">
        <v>19206</v>
      </c>
      <c r="U2870" s="2" t="s">
        <v>56</v>
      </c>
      <c r="V2870" s="2" t="s">
        <v>145</v>
      </c>
      <c r="W2870" s="2" t="s">
        <v>1617</v>
      </c>
      <c r="X2870" s="2" t="s">
        <v>147</v>
      </c>
      <c r="Y2870" s="2">
        <v>40.5</v>
      </c>
      <c r="Z2870" s="2">
        <v>10.199999999999999</v>
      </c>
      <c r="AA2870" s="2" t="s">
        <v>218</v>
      </c>
      <c r="AB2870" s="2" t="s">
        <v>19207</v>
      </c>
      <c r="AC2870" s="2">
        <v>-2.9636108646924401E-2</v>
      </c>
      <c r="AD2870" s="2"/>
      <c r="AE2870" s="2">
        <v>0.21263548671084001</v>
      </c>
      <c r="AF2870" s="2">
        <v>4063.2305779520502</v>
      </c>
      <c r="AG2870" s="2">
        <v>2645.6647021458198</v>
      </c>
      <c r="AH2870" s="5">
        <v>1.53580707890024</v>
      </c>
      <c r="AI2870" s="5">
        <v>0.61899700265137503</v>
      </c>
      <c r="AJ2870" s="5" t="s">
        <v>139</v>
      </c>
      <c r="AK2870" s="2">
        <v>6.3160949371571504E-2</v>
      </c>
      <c r="AL2870" s="2">
        <v>0.33601027492909402</v>
      </c>
      <c r="AM2870" s="2">
        <v>4769.43488944397</v>
      </c>
      <c r="AN2870" s="2">
        <v>5564.8721589283796</v>
      </c>
      <c r="AO2870" s="2">
        <v>2510.3102882388298</v>
      </c>
      <c r="AP2870" s="2">
        <v>5042.4313736621898</v>
      </c>
      <c r="AQ2870" s="2">
        <v>2593.0635667832998</v>
      </c>
      <c r="AR2870" s="2">
        <v>3899.2711906556201</v>
      </c>
      <c r="AS2870" s="2">
        <v>2385.9303614456999</v>
      </c>
      <c r="AT2870" s="2">
        <v>2026.4038307355599</v>
      </c>
      <c r="AU2870" s="2">
        <v>2928.5869196374802</v>
      </c>
      <c r="AV2870" s="2">
        <v>1096.00735474661</v>
      </c>
      <c r="AW2870" s="2">
        <v>4077.8987647689801</v>
      </c>
      <c r="AX2870" s="2">
        <v>3359.16098154061</v>
      </c>
    </row>
    <row r="2871" spans="1:50" x14ac:dyDescent="0.25">
      <c r="A2871" s="2" t="s">
        <v>19208</v>
      </c>
      <c r="B2871" s="2">
        <v>343.22758040904802</v>
      </c>
      <c r="C2871" s="2">
        <v>10.5512333333333</v>
      </c>
      <c r="D2871" s="2" t="s">
        <v>51</v>
      </c>
      <c r="E2871" s="2" t="s">
        <v>19209</v>
      </c>
      <c r="F2871" s="2">
        <v>52866</v>
      </c>
      <c r="G2871" s="3" t="str">
        <f>HYPERLINK("https://cloud.oebiotech.com/#/lm/network/52866", "https://cloud.oebiotech.com/#/lm/network/52866")</f>
        <v>https://cloud.oebiotech.com/#/lm/network/52866</v>
      </c>
      <c r="H2871" s="2" t="s">
        <v>19210</v>
      </c>
      <c r="I2871" s="2">
        <v>3979</v>
      </c>
      <c r="J2871" s="2"/>
      <c r="K2871" s="2">
        <v>3025</v>
      </c>
      <c r="L2871" s="2" t="s">
        <v>19211</v>
      </c>
      <c r="M2871" s="2"/>
      <c r="N2871" s="2"/>
      <c r="O2871" s="2">
        <v>247956</v>
      </c>
      <c r="P2871" s="2"/>
      <c r="Q2871" s="2"/>
      <c r="R2871" s="2" t="s">
        <v>19212</v>
      </c>
      <c r="S2871" s="2" t="s">
        <v>19213</v>
      </c>
      <c r="T2871" s="2" t="s">
        <v>19214</v>
      </c>
      <c r="U2871" s="2" t="s">
        <v>266</v>
      </c>
      <c r="V2871" s="2" t="s">
        <v>1393</v>
      </c>
      <c r="W2871" s="2" t="s">
        <v>19215</v>
      </c>
      <c r="X2871" s="2" t="s">
        <v>147</v>
      </c>
      <c r="Y2871" s="2">
        <v>37.9</v>
      </c>
      <c r="Z2871" s="2">
        <v>0</v>
      </c>
      <c r="AA2871" s="2" t="s">
        <v>3659</v>
      </c>
      <c r="AB2871" s="2" t="s">
        <v>19216</v>
      </c>
      <c r="AC2871" s="2">
        <v>4.6707580573855898</v>
      </c>
      <c r="AD2871" s="2"/>
      <c r="AE2871" s="2">
        <v>0.21254759532838299</v>
      </c>
      <c r="AF2871" s="2">
        <v>7057.5177076158998</v>
      </c>
      <c r="AG2871" s="2">
        <v>5366.3723140765997</v>
      </c>
      <c r="AH2871" s="5">
        <v>1.3151375444270299</v>
      </c>
      <c r="AI2871" s="5">
        <v>0.39521369251051702</v>
      </c>
      <c r="AJ2871" s="5" t="s">
        <v>139</v>
      </c>
      <c r="AK2871" s="2">
        <v>0.237598018239949</v>
      </c>
      <c r="AL2871" s="2">
        <v>0.56163755472588195</v>
      </c>
      <c r="AM2871" s="2">
        <v>12458.5055828614</v>
      </c>
      <c r="AN2871" s="2">
        <v>4812.7815509122902</v>
      </c>
      <c r="AO2871" s="2">
        <v>5954.1778329694498</v>
      </c>
      <c r="AP2871" s="2">
        <v>8395.5567147384409</v>
      </c>
      <c r="AQ2871" s="2">
        <v>4200.2071131623497</v>
      </c>
      <c r="AR2871" s="2">
        <v>6523.8774510514904</v>
      </c>
      <c r="AS2871" s="2">
        <v>4840.0695758605598</v>
      </c>
      <c r="AT2871" s="2">
        <v>4468.0647675766504</v>
      </c>
      <c r="AU2871" s="2">
        <v>5035.8766674992703</v>
      </c>
      <c r="AV2871" s="2">
        <v>4596.2922627866701</v>
      </c>
      <c r="AW2871" s="2">
        <v>7994.6604095204902</v>
      </c>
      <c r="AX2871" s="2">
        <v>5263.2702012159598</v>
      </c>
    </row>
    <row r="2872" spans="1:50" x14ac:dyDescent="0.25">
      <c r="A2872" s="2" t="s">
        <v>19217</v>
      </c>
      <c r="B2872" s="2">
        <v>417.23568846644599</v>
      </c>
      <c r="C2872" s="2">
        <v>4.2211666666666696</v>
      </c>
      <c r="D2872" s="2" t="s">
        <v>51</v>
      </c>
      <c r="E2872" s="2" t="s">
        <v>19218</v>
      </c>
      <c r="F2872" s="2">
        <v>264881</v>
      </c>
      <c r="G2872" s="3" t="str">
        <f>HYPERLINK("https://cloud.oebiotech.com/#/lm/network/264881", "https://cloud.oebiotech.com/#/lm/network/264881")</f>
        <v>https://cloud.oebiotech.com/#/lm/network/264881</v>
      </c>
      <c r="H2872" s="2"/>
      <c r="I2872" s="2">
        <v>22349</v>
      </c>
      <c r="J2872" s="2"/>
      <c r="K2872" s="2">
        <v>145455124</v>
      </c>
      <c r="L2872" s="2"/>
      <c r="M2872" s="2"/>
      <c r="N2872" s="2"/>
      <c r="O2872" s="2"/>
      <c r="P2872" s="2"/>
      <c r="Q2872" s="2"/>
      <c r="R2872" s="2"/>
      <c r="S2872" s="2" t="s">
        <v>19219</v>
      </c>
      <c r="T2872" s="2" t="s">
        <v>19220</v>
      </c>
      <c r="U2872" s="2" t="s">
        <v>103</v>
      </c>
      <c r="V2872" s="2" t="s">
        <v>104</v>
      </c>
      <c r="W2872" s="2" t="s">
        <v>105</v>
      </c>
      <c r="X2872" s="2" t="s">
        <v>83</v>
      </c>
      <c r="Y2872" s="2">
        <v>45.9</v>
      </c>
      <c r="Z2872" s="2">
        <v>0</v>
      </c>
      <c r="AA2872" s="2" t="s">
        <v>218</v>
      </c>
      <c r="AB2872" s="2" t="s">
        <v>19221</v>
      </c>
      <c r="AC2872" s="2">
        <v>0.57880610853413506</v>
      </c>
      <c r="AD2872" s="2"/>
      <c r="AE2872" s="2">
        <v>0.21243515276906699</v>
      </c>
      <c r="AF2872" s="2">
        <v>2887.54366090761</v>
      </c>
      <c r="AG2872" s="2">
        <v>1596.84768933433</v>
      </c>
      <c r="AH2872" s="5">
        <v>1.8082774457414501</v>
      </c>
      <c r="AI2872" s="5">
        <v>0.85461604881884001</v>
      </c>
      <c r="AJ2872" s="5" t="s">
        <v>139</v>
      </c>
      <c r="AK2872" s="2">
        <v>0.23482542874219201</v>
      </c>
      <c r="AL2872" s="2">
        <v>0.55997646305846605</v>
      </c>
      <c r="AM2872" s="2">
        <v>5141.8593818225299</v>
      </c>
      <c r="AN2872" s="2">
        <v>1074.4672765488001</v>
      </c>
      <c r="AO2872" s="2">
        <v>5015.29608134505</v>
      </c>
      <c r="AP2872" s="2">
        <v>558.38205945813502</v>
      </c>
      <c r="AQ2872" s="2">
        <v>1864.88202991865</v>
      </c>
      <c r="AR2872" s="2">
        <v>3670.3751363524798</v>
      </c>
      <c r="AS2872" s="2">
        <v>361.00946831464</v>
      </c>
      <c r="AT2872" s="2">
        <v>1902.2537012152</v>
      </c>
      <c r="AU2872" s="2">
        <v>3299.5674397008202</v>
      </c>
      <c r="AV2872" s="2">
        <v>3402.0073844400699</v>
      </c>
      <c r="AW2872" s="2">
        <v>616.24813377534804</v>
      </c>
      <c r="AX2872" s="2">
        <v>8.559877937157E-6</v>
      </c>
    </row>
    <row r="2873" spans="1:50" x14ac:dyDescent="0.25">
      <c r="A2873" s="2" t="s">
        <v>19222</v>
      </c>
      <c r="B2873" s="2">
        <v>147.03</v>
      </c>
      <c r="C2873" s="2">
        <v>16.581</v>
      </c>
      <c r="D2873" s="2" t="s">
        <v>125</v>
      </c>
      <c r="E2873" s="2" t="s">
        <v>19223</v>
      </c>
      <c r="F2873" s="2">
        <v>198644</v>
      </c>
      <c r="G2873" s="3" t="str">
        <f>HYPERLINK("https://cloud.oebiotech.com/#/lm/network/198644", "https://cloud.oebiotech.com/#/lm/network/198644")</f>
        <v>https://cloud.oebiotech.com/#/lm/network/198644</v>
      </c>
      <c r="H2873" s="2" t="s">
        <v>19224</v>
      </c>
      <c r="I2873" s="2">
        <v>316</v>
      </c>
      <c r="J2873" s="2"/>
      <c r="K2873" s="2">
        <v>6912</v>
      </c>
      <c r="L2873" s="2" t="s">
        <v>19225</v>
      </c>
      <c r="M2873" s="2" t="s">
        <v>19226</v>
      </c>
      <c r="N2873" s="2" t="s">
        <v>19227</v>
      </c>
      <c r="O2873" s="2">
        <v>1305691</v>
      </c>
      <c r="P2873" s="2"/>
      <c r="Q2873" s="2"/>
      <c r="R2873" s="2" t="s">
        <v>19228</v>
      </c>
      <c r="S2873" s="2" t="s">
        <v>19229</v>
      </c>
      <c r="T2873" s="2" t="s">
        <v>19230</v>
      </c>
      <c r="U2873" s="2" t="s">
        <v>331</v>
      </c>
      <c r="V2873" s="2" t="s">
        <v>332</v>
      </c>
      <c r="W2873" s="2" t="s">
        <v>333</v>
      </c>
      <c r="X2873" s="2" t="s">
        <v>59</v>
      </c>
      <c r="Y2873" s="2">
        <v>71.3</v>
      </c>
      <c r="Z2873" s="2">
        <v>56.4</v>
      </c>
      <c r="AA2873" s="2"/>
      <c r="AB2873" s="2" t="s">
        <v>19231</v>
      </c>
      <c r="AC2873" s="2"/>
      <c r="AD2873" s="2">
        <v>557233.63442340796</v>
      </c>
      <c r="AE2873" s="2">
        <v>0.21221517200706599</v>
      </c>
      <c r="AF2873" s="2">
        <v>82783.933405555304</v>
      </c>
      <c r="AG2873" s="2">
        <v>54974.851270852298</v>
      </c>
      <c r="AH2873" s="5">
        <v>1.50585097534311</v>
      </c>
      <c r="AI2873" s="5">
        <v>0.59057900256523599</v>
      </c>
      <c r="AJ2873" s="5" t="s">
        <v>139</v>
      </c>
      <c r="AK2873" s="2">
        <v>0.55000186977491805</v>
      </c>
      <c r="AL2873" s="2">
        <v>0.77171998913606199</v>
      </c>
      <c r="AM2873" s="2">
        <v>41431.212409276799</v>
      </c>
      <c r="AN2873" s="2">
        <v>38681.792348284798</v>
      </c>
      <c r="AO2873" s="2">
        <v>46190.213042723597</v>
      </c>
      <c r="AP2873" s="2">
        <v>51197.241264050499</v>
      </c>
      <c r="AQ2873" s="2">
        <v>299144.53843216097</v>
      </c>
      <c r="AR2873" s="2">
        <v>20058.602936835101</v>
      </c>
      <c r="AS2873" s="2">
        <v>24684.082195432198</v>
      </c>
      <c r="AT2873" s="2">
        <v>92226.313912865706</v>
      </c>
      <c r="AU2873" s="2">
        <v>70981.328607324496</v>
      </c>
      <c r="AV2873" s="2">
        <v>67213.517905250497</v>
      </c>
      <c r="AW2873" s="2">
        <v>20690.9670619444</v>
      </c>
      <c r="AX2873" s="2">
        <v>54052.897942296302</v>
      </c>
    </row>
    <row r="2874" spans="1:50" x14ac:dyDescent="0.25">
      <c r="A2874" s="2" t="s">
        <v>19232</v>
      </c>
      <c r="B2874" s="2">
        <v>706.26493566212798</v>
      </c>
      <c r="C2874" s="2">
        <v>11.109966666666701</v>
      </c>
      <c r="D2874" s="2" t="s">
        <v>51</v>
      </c>
      <c r="E2874" s="2" t="s">
        <v>19233</v>
      </c>
      <c r="F2874" s="2">
        <v>210029</v>
      </c>
      <c r="G2874" s="3" t="str">
        <f>HYPERLINK("https://cloud.oebiotech.com/#/lm/network/210029", "https://cloud.oebiotech.com/#/lm/network/210029")</f>
        <v>https://cloud.oebiotech.com/#/lm/network/210029</v>
      </c>
      <c r="H2874" s="2" t="s">
        <v>19234</v>
      </c>
      <c r="I2874" s="2"/>
      <c r="J2874" s="2"/>
      <c r="K2874" s="2">
        <v>68231172</v>
      </c>
      <c r="L2874" s="2"/>
      <c r="M2874" s="2"/>
      <c r="N2874" s="2"/>
      <c r="O2874" s="2"/>
      <c r="P2874" s="2"/>
      <c r="Q2874" s="2"/>
      <c r="R2874" s="2"/>
      <c r="S2874" s="2" t="s">
        <v>19235</v>
      </c>
      <c r="T2874" s="2" t="s">
        <v>19236</v>
      </c>
      <c r="U2874" s="2" t="s">
        <v>266</v>
      </c>
      <c r="V2874" s="2" t="s">
        <v>4415</v>
      </c>
      <c r="W2874" s="2" t="s">
        <v>4416</v>
      </c>
      <c r="X2874" s="2" t="s">
        <v>147</v>
      </c>
      <c r="Y2874" s="2">
        <v>36.1</v>
      </c>
      <c r="Z2874" s="2">
        <v>0.106</v>
      </c>
      <c r="AA2874" s="2" t="s">
        <v>379</v>
      </c>
      <c r="AB2874" s="2" t="s">
        <v>19237</v>
      </c>
      <c r="AC2874" s="2">
        <v>-2.99445001022361</v>
      </c>
      <c r="AD2874" s="2"/>
      <c r="AE2874" s="2">
        <v>0.212179021105489</v>
      </c>
      <c r="AF2874" s="2">
        <v>17654.119970801901</v>
      </c>
      <c r="AG2874" s="2">
        <v>19447.643398864599</v>
      </c>
      <c r="AH2874" s="4">
        <v>0.90777682461169196</v>
      </c>
      <c r="AI2874" s="4">
        <v>-0.13959043790101899</v>
      </c>
      <c r="AJ2874" s="4" t="s">
        <v>62</v>
      </c>
      <c r="AK2874" s="2">
        <v>0.284470156506542</v>
      </c>
      <c r="AL2874" s="2">
        <v>0.60000138164408201</v>
      </c>
      <c r="AM2874" s="2">
        <v>17867.663240780301</v>
      </c>
      <c r="AN2874" s="2">
        <v>19365.643779497899</v>
      </c>
      <c r="AO2874" s="2">
        <v>18252.2497683537</v>
      </c>
      <c r="AP2874" s="2">
        <v>17359.899443184699</v>
      </c>
      <c r="AQ2874" s="2">
        <v>17255.405510503799</v>
      </c>
      <c r="AR2874" s="2">
        <v>15823.8580824907</v>
      </c>
      <c r="AS2874" s="2">
        <v>18876.249844124901</v>
      </c>
      <c r="AT2874" s="2">
        <v>12832.1701066649</v>
      </c>
      <c r="AU2874" s="2">
        <v>20460.860197630001</v>
      </c>
      <c r="AV2874" s="2">
        <v>24118.826682986401</v>
      </c>
      <c r="AW2874" s="2">
        <v>20675.2888878466</v>
      </c>
      <c r="AX2874" s="2">
        <v>19722.464673934901</v>
      </c>
    </row>
    <row r="2875" spans="1:50" x14ac:dyDescent="0.25">
      <c r="A2875" s="2" t="s">
        <v>19238</v>
      </c>
      <c r="B2875" s="2">
        <v>417.28612252525301</v>
      </c>
      <c r="C2875" s="2">
        <v>11.505183333333299</v>
      </c>
      <c r="D2875" s="2" t="s">
        <v>51</v>
      </c>
      <c r="E2875" s="2" t="s">
        <v>19239</v>
      </c>
      <c r="F2875" s="2">
        <v>113725</v>
      </c>
      <c r="G2875" s="3" t="str">
        <f>HYPERLINK("https://cloud.oebiotech.com/#/lm/network/113725", "https://cloud.oebiotech.com/#/lm/network/113725")</f>
        <v>https://cloud.oebiotech.com/#/lm/network/113725</v>
      </c>
      <c r="H2875" s="2" t="s">
        <v>19240</v>
      </c>
      <c r="I2875" s="2"/>
      <c r="J2875" s="2"/>
      <c r="K2875" s="2">
        <v>73416315</v>
      </c>
      <c r="L2875" s="2"/>
      <c r="M2875" s="2"/>
      <c r="N2875" s="2"/>
      <c r="O2875" s="2"/>
      <c r="P2875" s="2"/>
      <c r="Q2875" s="2"/>
      <c r="R2875" s="2"/>
      <c r="S2875" s="2" t="s">
        <v>19241</v>
      </c>
      <c r="T2875" s="2" t="s">
        <v>19242</v>
      </c>
      <c r="U2875" s="2" t="s">
        <v>56</v>
      </c>
      <c r="V2875" s="2" t="s">
        <v>3215</v>
      </c>
      <c r="W2875" s="2" t="s">
        <v>3216</v>
      </c>
      <c r="X2875" s="2" t="s">
        <v>83</v>
      </c>
      <c r="Y2875" s="2">
        <v>40.799999999999997</v>
      </c>
      <c r="Z2875" s="2">
        <v>0</v>
      </c>
      <c r="AA2875" s="2" t="s">
        <v>218</v>
      </c>
      <c r="AB2875" s="2" t="s">
        <v>19243</v>
      </c>
      <c r="AC2875" s="2">
        <v>0.92744071140189699</v>
      </c>
      <c r="AD2875" s="2"/>
      <c r="AE2875" s="2">
        <v>0.211875495065909</v>
      </c>
      <c r="AF2875" s="2">
        <v>675.98539650963005</v>
      </c>
      <c r="AG2875" s="2">
        <v>1773.26689161581</v>
      </c>
      <c r="AH2875" s="4">
        <v>0.38120905527857002</v>
      </c>
      <c r="AI2875" s="4">
        <v>-1.39134570530812</v>
      </c>
      <c r="AJ2875" s="4" t="s">
        <v>62</v>
      </c>
      <c r="AK2875" s="2">
        <v>7.6801674643479895E-2</v>
      </c>
      <c r="AL2875" s="2">
        <v>0.36102259885854299</v>
      </c>
      <c r="AM2875" s="2">
        <v>8.559877937157E-6</v>
      </c>
      <c r="AN2875" s="2">
        <v>1087.4856642493901</v>
      </c>
      <c r="AO2875" s="2">
        <v>172.949153143031</v>
      </c>
      <c r="AP2875" s="2">
        <v>8.559877937157E-6</v>
      </c>
      <c r="AQ2875" s="2">
        <v>598.85714337059198</v>
      </c>
      <c r="AR2875" s="2">
        <v>2196.6204011750101</v>
      </c>
      <c r="AS2875" s="2">
        <v>2522.7259963402098</v>
      </c>
      <c r="AT2875" s="2">
        <v>741.41297128819895</v>
      </c>
      <c r="AU2875" s="2">
        <v>479.25974510482598</v>
      </c>
      <c r="AV2875" s="2">
        <v>2830.0093864948699</v>
      </c>
      <c r="AW2875" s="2">
        <v>1299.9894968716901</v>
      </c>
      <c r="AX2875" s="2">
        <v>2766.2037535950799</v>
      </c>
    </row>
    <row r="2876" spans="1:50" x14ac:dyDescent="0.25">
      <c r="A2876" s="2" t="s">
        <v>19244</v>
      </c>
      <c r="B2876" s="2">
        <v>239.98729929741299</v>
      </c>
      <c r="C2876" s="2">
        <v>1.1907333333333301</v>
      </c>
      <c r="D2876" s="2" t="s">
        <v>51</v>
      </c>
      <c r="E2876" s="2" t="s">
        <v>19245</v>
      </c>
      <c r="F2876" s="2">
        <v>212464</v>
      </c>
      <c r="G2876" s="3" t="str">
        <f>HYPERLINK("https://cloud.oebiotech.com/#/lm/network/212464", "https://cloud.oebiotech.com/#/lm/network/212464")</f>
        <v>https://cloud.oebiotech.com/#/lm/network/212464</v>
      </c>
      <c r="H2876" s="2" t="s">
        <v>19246</v>
      </c>
      <c r="I2876" s="2">
        <v>68883</v>
      </c>
      <c r="J2876" s="2"/>
      <c r="K2876" s="2">
        <v>5455</v>
      </c>
      <c r="L2876" s="2" t="s">
        <v>19247</v>
      </c>
      <c r="M2876" s="2"/>
      <c r="N2876" s="2"/>
      <c r="O2876" s="2">
        <v>9495</v>
      </c>
      <c r="P2876" s="2"/>
      <c r="Q2876" s="2"/>
      <c r="R2876" s="2" t="s">
        <v>19248</v>
      </c>
      <c r="S2876" s="2" t="s">
        <v>19249</v>
      </c>
      <c r="T2876" s="2" t="s">
        <v>19250</v>
      </c>
      <c r="U2876" s="2" t="s">
        <v>119</v>
      </c>
      <c r="V2876" s="2" t="s">
        <v>120</v>
      </c>
      <c r="W2876" s="2" t="s">
        <v>1887</v>
      </c>
      <c r="X2876" s="2" t="s">
        <v>147</v>
      </c>
      <c r="Y2876" s="2">
        <v>36.700000000000003</v>
      </c>
      <c r="Z2876" s="2">
        <v>7.72</v>
      </c>
      <c r="AA2876" s="2" t="s">
        <v>122</v>
      </c>
      <c r="AB2876" s="2" t="s">
        <v>19251</v>
      </c>
      <c r="AC2876" s="2">
        <v>-4.3051969104529899</v>
      </c>
      <c r="AD2876" s="2"/>
      <c r="AE2876" s="2">
        <v>0.21179181404814201</v>
      </c>
      <c r="AF2876" s="2">
        <v>3504.1614755170199</v>
      </c>
      <c r="AG2876" s="2">
        <v>4517.9348021697097</v>
      </c>
      <c r="AH2876" s="4">
        <v>0.77561134211900895</v>
      </c>
      <c r="AI2876" s="4">
        <v>-0.36659419409969302</v>
      </c>
      <c r="AJ2876" s="4" t="s">
        <v>62</v>
      </c>
      <c r="AK2876" s="2">
        <v>0.109952278719097</v>
      </c>
      <c r="AL2876" s="2">
        <v>0.42227774154037001</v>
      </c>
      <c r="AM2876" s="2">
        <v>1601.66880003642</v>
      </c>
      <c r="AN2876" s="2">
        <v>3225.0963414105299</v>
      </c>
      <c r="AO2876" s="2">
        <v>3896.8537369102801</v>
      </c>
      <c r="AP2876" s="2">
        <v>3960.5306743859401</v>
      </c>
      <c r="AQ2876" s="2">
        <v>4819.0567697961296</v>
      </c>
      <c r="AR2876" s="2">
        <v>3521.7625305628499</v>
      </c>
      <c r="AS2876" s="2">
        <v>4249.7324981602696</v>
      </c>
      <c r="AT2876" s="2">
        <v>4351.0153034868199</v>
      </c>
      <c r="AU2876" s="2">
        <v>3053.9544793261398</v>
      </c>
      <c r="AV2876" s="2">
        <v>4431.1067911018599</v>
      </c>
      <c r="AW2876" s="2">
        <v>5443.1088432049</v>
      </c>
      <c r="AX2876" s="2">
        <v>5578.69089773825</v>
      </c>
    </row>
    <row r="2877" spans="1:50" x14ac:dyDescent="0.25">
      <c r="A2877" s="2" t="s">
        <v>19252</v>
      </c>
      <c r="B2877" s="2">
        <v>188.05039524401701</v>
      </c>
      <c r="C2877" s="2">
        <v>1.57118333333333</v>
      </c>
      <c r="D2877" s="2" t="s">
        <v>51</v>
      </c>
      <c r="E2877" s="2" t="s">
        <v>19253</v>
      </c>
      <c r="F2877" s="2">
        <v>47599</v>
      </c>
      <c r="G2877" s="3" t="str">
        <f>HYPERLINK("https://cloud.oebiotech.com/#/lm/network/47599", "https://cloud.oebiotech.com/#/lm/network/47599")</f>
        <v>https://cloud.oebiotech.com/#/lm/network/47599</v>
      </c>
      <c r="H2877" s="2" t="s">
        <v>19254</v>
      </c>
      <c r="I2877" s="2">
        <v>6256</v>
      </c>
      <c r="J2877" s="2"/>
      <c r="K2877" s="2">
        <v>655</v>
      </c>
      <c r="L2877" s="2" t="s">
        <v>19255</v>
      </c>
      <c r="M2877" s="2"/>
      <c r="N2877" s="2"/>
      <c r="O2877" s="2">
        <v>28006</v>
      </c>
      <c r="P2877" s="2"/>
      <c r="Q2877" s="2"/>
      <c r="R2877" s="2" t="s">
        <v>19256</v>
      </c>
      <c r="S2877" s="2" t="s">
        <v>19257</v>
      </c>
      <c r="T2877" s="2" t="s">
        <v>19258</v>
      </c>
      <c r="U2877" s="2" t="s">
        <v>103</v>
      </c>
      <c r="V2877" s="2" t="s">
        <v>11073</v>
      </c>
      <c r="W2877" s="2" t="s">
        <v>11074</v>
      </c>
      <c r="X2877" s="2" t="s">
        <v>147</v>
      </c>
      <c r="Y2877" s="2">
        <v>40.200000000000003</v>
      </c>
      <c r="Z2877" s="2">
        <v>7.55</v>
      </c>
      <c r="AA2877" s="2" t="s">
        <v>512</v>
      </c>
      <c r="AB2877" s="2" t="s">
        <v>19259</v>
      </c>
      <c r="AC2877" s="2">
        <v>-0.48305522859323002</v>
      </c>
      <c r="AD2877" s="2"/>
      <c r="AE2877" s="2">
        <v>0.21167367623684699</v>
      </c>
      <c r="AF2877" s="2">
        <v>40823.493034641499</v>
      </c>
      <c r="AG2877" s="2">
        <v>35599.252075460397</v>
      </c>
      <c r="AH2877" s="5">
        <v>1.1467514246677799</v>
      </c>
      <c r="AI2877" s="5">
        <v>0.19755269975461101</v>
      </c>
      <c r="AJ2877" s="5" t="s">
        <v>139</v>
      </c>
      <c r="AK2877" s="2">
        <v>0.39739254369370902</v>
      </c>
      <c r="AL2877" s="2">
        <v>0.66752996494649497</v>
      </c>
      <c r="AM2877" s="2">
        <v>35207.470732447502</v>
      </c>
      <c r="AN2877" s="2">
        <v>36881.582014642197</v>
      </c>
      <c r="AO2877" s="2">
        <v>52229.222213651999</v>
      </c>
      <c r="AP2877" s="2">
        <v>59128.733158775001</v>
      </c>
      <c r="AQ2877" s="2">
        <v>23682.606570401898</v>
      </c>
      <c r="AR2877" s="2">
        <v>37811.343517930298</v>
      </c>
      <c r="AS2877" s="2">
        <v>26293.970828691799</v>
      </c>
      <c r="AT2877" s="2">
        <v>31129.53571873</v>
      </c>
      <c r="AU2877" s="2">
        <v>34072.245977766499</v>
      </c>
      <c r="AV2877" s="2">
        <v>37753.563539638097</v>
      </c>
      <c r="AW2877" s="2">
        <v>38149.0043532196</v>
      </c>
      <c r="AX2877" s="2">
        <v>46197.192034716201</v>
      </c>
    </row>
    <row r="2878" spans="1:50" x14ac:dyDescent="0.25">
      <c r="A2878" s="2" t="s">
        <v>19260</v>
      </c>
      <c r="B2878" s="2">
        <v>482.19875980406698</v>
      </c>
      <c r="C2878" s="2">
        <v>7.0694833333333298</v>
      </c>
      <c r="D2878" s="2" t="s">
        <v>51</v>
      </c>
      <c r="E2878" s="2" t="s">
        <v>19261</v>
      </c>
      <c r="F2878" s="2">
        <v>48272</v>
      </c>
      <c r="G2878" s="3" t="str">
        <f>HYPERLINK("https://cloud.oebiotech.com/#/lm/network/48272", "https://cloud.oebiotech.com/#/lm/network/48272")</f>
        <v>https://cloud.oebiotech.com/#/lm/network/48272</v>
      </c>
      <c r="H2878" s="2" t="s">
        <v>19262</v>
      </c>
      <c r="I2878" s="2">
        <v>7043</v>
      </c>
      <c r="J2878" s="2"/>
      <c r="K2878" s="2">
        <v>440883</v>
      </c>
      <c r="L2878" s="2" t="s">
        <v>19263</v>
      </c>
      <c r="M2878" s="2" t="s">
        <v>739</v>
      </c>
      <c r="N2878" s="2" t="s">
        <v>740</v>
      </c>
      <c r="O2878" s="2">
        <v>35373</v>
      </c>
      <c r="P2878" s="2"/>
      <c r="Q2878" s="2"/>
      <c r="R2878" s="2" t="s">
        <v>19264</v>
      </c>
      <c r="S2878" s="2" t="s">
        <v>19265</v>
      </c>
      <c r="T2878" s="2" t="s">
        <v>19266</v>
      </c>
      <c r="U2878" s="2" t="s">
        <v>331</v>
      </c>
      <c r="V2878" s="2" t="s">
        <v>332</v>
      </c>
      <c r="W2878" s="2" t="s">
        <v>333</v>
      </c>
      <c r="X2878" s="2" t="s">
        <v>147</v>
      </c>
      <c r="Y2878" s="2">
        <v>37.6</v>
      </c>
      <c r="Z2878" s="2">
        <v>0.91600000000000004</v>
      </c>
      <c r="AA2878" s="2" t="s">
        <v>379</v>
      </c>
      <c r="AB2878" s="2" t="s">
        <v>19267</v>
      </c>
      <c r="AC2878" s="2">
        <v>-0.77265350673042399</v>
      </c>
      <c r="AD2878" s="2"/>
      <c r="AE2878" s="2">
        <v>0.21148620203715801</v>
      </c>
      <c r="AF2878" s="2">
        <v>4332.2619125421397</v>
      </c>
      <c r="AG2878" s="2">
        <v>2698.12452521558</v>
      </c>
      <c r="AH2878" s="5">
        <v>1.6056567708623399</v>
      </c>
      <c r="AI2878" s="5">
        <v>0.68316353177432798</v>
      </c>
      <c r="AJ2878" s="5" t="s">
        <v>139</v>
      </c>
      <c r="AK2878" s="2">
        <v>0.21039009976319401</v>
      </c>
      <c r="AL2878" s="2">
        <v>0.53494048063986399</v>
      </c>
      <c r="AM2878" s="2">
        <v>3190.8968711457401</v>
      </c>
      <c r="AN2878" s="2">
        <v>7409.4930610033298</v>
      </c>
      <c r="AO2878" s="2">
        <v>5703.9237570659698</v>
      </c>
      <c r="AP2878" s="2">
        <v>1646.6275152000801</v>
      </c>
      <c r="AQ2878" s="2">
        <v>3869.0594884155198</v>
      </c>
      <c r="AR2878" s="2">
        <v>4173.5707824222</v>
      </c>
      <c r="AS2878" s="2">
        <v>2126.6255417265402</v>
      </c>
      <c r="AT2878" s="2">
        <v>575.23182800328004</v>
      </c>
      <c r="AU2878" s="2">
        <v>5624.1447128296704</v>
      </c>
      <c r="AV2878" s="2">
        <v>544.40945269564804</v>
      </c>
      <c r="AW2878" s="2">
        <v>5197.6682615357304</v>
      </c>
      <c r="AX2878" s="2">
        <v>2120.6673545026001</v>
      </c>
    </row>
    <row r="2879" spans="1:50" x14ac:dyDescent="0.25">
      <c r="A2879" s="2" t="s">
        <v>19268</v>
      </c>
      <c r="B2879" s="2">
        <v>242.02481177962801</v>
      </c>
      <c r="C2879" s="2">
        <v>0.79683333333333295</v>
      </c>
      <c r="D2879" s="2" t="s">
        <v>51</v>
      </c>
      <c r="E2879" s="2" t="s">
        <v>19269</v>
      </c>
      <c r="F2879" s="2">
        <v>48663</v>
      </c>
      <c r="G2879" s="3" t="str">
        <f>HYPERLINK("https://cloud.oebiotech.com/#/lm/network/48663", "https://cloud.oebiotech.com/#/lm/network/48663")</f>
        <v>https://cloud.oebiotech.com/#/lm/network/48663</v>
      </c>
      <c r="H2879" s="2" t="s">
        <v>19270</v>
      </c>
      <c r="I2879" s="2">
        <v>44797</v>
      </c>
      <c r="J2879" s="2"/>
      <c r="K2879" s="2">
        <v>30819</v>
      </c>
      <c r="L2879" s="2" t="s">
        <v>19271</v>
      </c>
      <c r="M2879" s="2"/>
      <c r="N2879" s="2"/>
      <c r="O2879" s="2">
        <v>37788</v>
      </c>
      <c r="P2879" s="2"/>
      <c r="Q2879" s="2"/>
      <c r="R2879" s="2" t="s">
        <v>19272</v>
      </c>
      <c r="S2879" s="2" t="s">
        <v>19273</v>
      </c>
      <c r="T2879" s="2" t="s">
        <v>19274</v>
      </c>
      <c r="U2879" s="2" t="s">
        <v>103</v>
      </c>
      <c r="V2879" s="2" t="s">
        <v>104</v>
      </c>
      <c r="W2879" s="2" t="s">
        <v>105</v>
      </c>
      <c r="X2879" s="2" t="s">
        <v>83</v>
      </c>
      <c r="Y2879" s="2">
        <v>38.200000000000003</v>
      </c>
      <c r="Z2879" s="2">
        <v>0</v>
      </c>
      <c r="AA2879" s="2" t="s">
        <v>379</v>
      </c>
      <c r="AB2879" s="2" t="s">
        <v>19275</v>
      </c>
      <c r="AC2879" s="2">
        <v>9.3057023688806506</v>
      </c>
      <c r="AD2879" s="2"/>
      <c r="AE2879" s="2">
        <v>0.21136246742484099</v>
      </c>
      <c r="AF2879" s="2">
        <v>3132.2910706274902</v>
      </c>
      <c r="AG2879" s="2">
        <v>1896.4760007144801</v>
      </c>
      <c r="AH2879" s="5">
        <v>1.6516376001844599</v>
      </c>
      <c r="AI2879" s="5">
        <v>0.72389716752488498</v>
      </c>
      <c r="AJ2879" s="5" t="s">
        <v>139</v>
      </c>
      <c r="AK2879" s="2">
        <v>3.7042101538786003E-2</v>
      </c>
      <c r="AL2879" s="2">
        <v>0.28122628751377599</v>
      </c>
      <c r="AM2879" s="2">
        <v>4131.3758277097304</v>
      </c>
      <c r="AN2879" s="2">
        <v>1525.79772265266</v>
      </c>
      <c r="AO2879" s="2">
        <v>4107.2161108547598</v>
      </c>
      <c r="AP2879" s="2">
        <v>3564.7350350457</v>
      </c>
      <c r="AQ2879" s="2">
        <v>3320.7770912784099</v>
      </c>
      <c r="AR2879" s="2">
        <v>2143.84463622365</v>
      </c>
      <c r="AS2879" s="2">
        <v>2035.9422257497199</v>
      </c>
      <c r="AT2879" s="2">
        <v>1285.63702590402</v>
      </c>
      <c r="AU2879" s="2">
        <v>2478.7761069483599</v>
      </c>
      <c r="AV2879" s="2">
        <v>917.48806176546202</v>
      </c>
      <c r="AW2879" s="2">
        <v>2075.51345654956</v>
      </c>
      <c r="AX2879" s="2">
        <v>2585.4991273697301</v>
      </c>
    </row>
    <row r="2880" spans="1:50" x14ac:dyDescent="0.25">
      <c r="A2880" s="2" t="s">
        <v>19276</v>
      </c>
      <c r="B2880" s="2">
        <v>698.27210725172097</v>
      </c>
      <c r="C2880" s="2">
        <v>4.16346666666667</v>
      </c>
      <c r="D2880" s="2" t="s">
        <v>51</v>
      </c>
      <c r="E2880" s="2" t="s">
        <v>19277</v>
      </c>
      <c r="F2880" s="2">
        <v>212833</v>
      </c>
      <c r="G2880" s="3" t="str">
        <f>HYPERLINK("https://cloud.oebiotech.com/#/lm/network/212833", "https://cloud.oebiotech.com/#/lm/network/212833")</f>
        <v>https://cloud.oebiotech.com/#/lm/network/212833</v>
      </c>
      <c r="H2880" s="2" t="s">
        <v>19278</v>
      </c>
      <c r="I2880" s="2"/>
      <c r="J2880" s="2"/>
      <c r="K2880" s="2"/>
      <c r="L2880" s="2"/>
      <c r="M2880" s="2"/>
      <c r="N2880" s="2"/>
      <c r="O2880" s="2"/>
      <c r="P2880" s="2"/>
      <c r="Q2880" s="2"/>
      <c r="R2880" s="2"/>
      <c r="S2880" s="2" t="s">
        <v>19279</v>
      </c>
      <c r="T2880" s="2" t="s">
        <v>19280</v>
      </c>
      <c r="U2880" s="2" t="s">
        <v>103</v>
      </c>
      <c r="V2880" s="2" t="s">
        <v>104</v>
      </c>
      <c r="W2880" s="2" t="s">
        <v>105</v>
      </c>
      <c r="X2880" s="2" t="s">
        <v>147</v>
      </c>
      <c r="Y2880" s="2">
        <v>44.1</v>
      </c>
      <c r="Z2880" s="2">
        <v>35.6</v>
      </c>
      <c r="AA2880" s="2" t="s">
        <v>218</v>
      </c>
      <c r="AB2880" s="2" t="s">
        <v>19281</v>
      </c>
      <c r="AC2880" s="2">
        <v>-2.54305346191888</v>
      </c>
      <c r="AD2880" s="2"/>
      <c r="AE2880" s="2">
        <v>0.21130089643524599</v>
      </c>
      <c r="AF2880" s="2">
        <v>2279.69700297194</v>
      </c>
      <c r="AG2880" s="2">
        <v>844.51027864131902</v>
      </c>
      <c r="AH2880" s="5">
        <v>2.6994307359285301</v>
      </c>
      <c r="AI2880" s="5">
        <v>1.43265519948233</v>
      </c>
      <c r="AJ2880" s="5" t="s">
        <v>139</v>
      </c>
      <c r="AK2880" s="2">
        <v>0.139842564747168</v>
      </c>
      <c r="AL2880" s="2">
        <v>0.45949604540634398</v>
      </c>
      <c r="AM2880" s="2">
        <v>3808.22948663132</v>
      </c>
      <c r="AN2880" s="2">
        <v>1447.3136452477299</v>
      </c>
      <c r="AO2880" s="2">
        <v>3705.0922799395798</v>
      </c>
      <c r="AP2880" s="2">
        <v>8.559877937157E-6</v>
      </c>
      <c r="AQ2880" s="2">
        <v>311.53136099900399</v>
      </c>
      <c r="AR2880" s="2">
        <v>4406.01523645414</v>
      </c>
      <c r="AS2880" s="2">
        <v>8.559877937157E-6</v>
      </c>
      <c r="AT2880" s="2">
        <v>8.559877937157E-6</v>
      </c>
      <c r="AU2880" s="2">
        <v>927.70802456626905</v>
      </c>
      <c r="AV2880" s="2">
        <v>2783.48801991853</v>
      </c>
      <c r="AW2880" s="2">
        <v>430.39225218959501</v>
      </c>
      <c r="AX2880" s="2">
        <v>925.47335805376201</v>
      </c>
    </row>
    <row r="2881" spans="1:50" x14ac:dyDescent="0.25">
      <c r="A2881" s="2" t="s">
        <v>19282</v>
      </c>
      <c r="B2881" s="2">
        <v>294.24386448096999</v>
      </c>
      <c r="C2881" s="2">
        <v>9.2584999999999997</v>
      </c>
      <c r="D2881" s="2" t="s">
        <v>51</v>
      </c>
      <c r="E2881" s="2" t="s">
        <v>19283</v>
      </c>
      <c r="F2881" s="2">
        <v>44877</v>
      </c>
      <c r="G2881" s="3" t="str">
        <f>HYPERLINK("https://cloud.oebiotech.com/#/lm/network/44877", "https://cloud.oebiotech.com/#/lm/network/44877")</f>
        <v>https://cloud.oebiotech.com/#/lm/network/44877</v>
      </c>
      <c r="H2881" s="2" t="s">
        <v>19284</v>
      </c>
      <c r="I2881" s="2">
        <v>1436</v>
      </c>
      <c r="J2881" s="2" t="s">
        <v>19285</v>
      </c>
      <c r="K2881" s="2">
        <v>9548753</v>
      </c>
      <c r="L2881" s="2"/>
      <c r="M2881" s="2"/>
      <c r="N2881" s="2"/>
      <c r="O2881" s="2">
        <v>36412</v>
      </c>
      <c r="P2881" s="2"/>
      <c r="Q2881" s="2"/>
      <c r="R2881" s="2" t="s">
        <v>19286</v>
      </c>
      <c r="S2881" s="2" t="s">
        <v>19287</v>
      </c>
      <c r="T2881" s="2" t="s">
        <v>19288</v>
      </c>
      <c r="U2881" s="2" t="s">
        <v>56</v>
      </c>
      <c r="V2881" s="2" t="s">
        <v>283</v>
      </c>
      <c r="W2881" s="2" t="s">
        <v>1944</v>
      </c>
      <c r="X2881" s="2" t="s">
        <v>83</v>
      </c>
      <c r="Y2881" s="2">
        <v>55</v>
      </c>
      <c r="Z2881" s="2">
        <v>0</v>
      </c>
      <c r="AA2881" s="2" t="s">
        <v>512</v>
      </c>
      <c r="AB2881" s="2" t="s">
        <v>6435</v>
      </c>
      <c r="AC2881" s="2">
        <v>4.0144027547458698</v>
      </c>
      <c r="AD2881" s="2"/>
      <c r="AE2881" s="2">
        <v>0.21127641919745599</v>
      </c>
      <c r="AF2881" s="2">
        <v>3271.81707197165</v>
      </c>
      <c r="AG2881" s="2">
        <v>635.16872471346403</v>
      </c>
      <c r="AH2881" s="5">
        <v>5.1510991405435202</v>
      </c>
      <c r="AI2881" s="5">
        <v>2.3648803071344102</v>
      </c>
      <c r="AJ2881" s="5" t="s">
        <v>139</v>
      </c>
      <c r="AK2881" s="2">
        <v>0.26817750779199001</v>
      </c>
      <c r="AL2881" s="2">
        <v>0.58925605616619003</v>
      </c>
      <c r="AM2881" s="2">
        <v>8.559877937157E-6</v>
      </c>
      <c r="AN2881" s="2">
        <v>8.559877937157E-6</v>
      </c>
      <c r="AO2881" s="2">
        <v>6246.6984108256102</v>
      </c>
      <c r="AP2881" s="2">
        <v>8.559877937157E-6</v>
      </c>
      <c r="AQ2881" s="2">
        <v>13103.8420495314</v>
      </c>
      <c r="AR2881" s="2">
        <v>280.361945793237</v>
      </c>
      <c r="AS2881" s="2">
        <v>1526.9408767878101</v>
      </c>
      <c r="AT2881" s="2">
        <v>8.559877937157E-6</v>
      </c>
      <c r="AU2881" s="2">
        <v>2284.0714372534599</v>
      </c>
      <c r="AV2881" s="2">
        <v>8.559877937157E-6</v>
      </c>
      <c r="AW2881" s="2">
        <v>8.559877937157E-6</v>
      </c>
      <c r="AX2881" s="2">
        <v>8.559877937157E-6</v>
      </c>
    </row>
    <row r="2882" spans="1:50" x14ac:dyDescent="0.25">
      <c r="A2882" s="2" t="s">
        <v>19289</v>
      </c>
      <c r="B2882" s="2">
        <v>543.128521335345</v>
      </c>
      <c r="C2882" s="2">
        <v>9.6639666666666706</v>
      </c>
      <c r="D2882" s="2" t="s">
        <v>51</v>
      </c>
      <c r="E2882" s="2" t="s">
        <v>19290</v>
      </c>
      <c r="F2882" s="2">
        <v>199001</v>
      </c>
      <c r="G2882" s="3" t="str">
        <f>HYPERLINK("https://cloud.oebiotech.com/#/lm/network/199001", "https://cloud.oebiotech.com/#/lm/network/199001")</f>
        <v>https://cloud.oebiotech.com/#/lm/network/199001</v>
      </c>
      <c r="H2882" s="2" t="s">
        <v>19291</v>
      </c>
      <c r="I2882" s="2">
        <v>3401</v>
      </c>
      <c r="J2882" s="2"/>
      <c r="K2882" s="2">
        <v>932</v>
      </c>
      <c r="L2882" s="2" t="s">
        <v>19292</v>
      </c>
      <c r="M2882" s="2"/>
      <c r="N2882" s="2"/>
      <c r="O2882" s="2">
        <v>50202</v>
      </c>
      <c r="P2882" s="2"/>
      <c r="Q2882" s="2"/>
      <c r="R2882" s="2" t="s">
        <v>19293</v>
      </c>
      <c r="S2882" s="2" t="s">
        <v>19294</v>
      </c>
      <c r="T2882" s="2" t="s">
        <v>19295</v>
      </c>
      <c r="U2882" s="2" t="s">
        <v>540</v>
      </c>
      <c r="V2882" s="2" t="s">
        <v>541</v>
      </c>
      <c r="W2882" s="2" t="s">
        <v>757</v>
      </c>
      <c r="X2882" s="2" t="s">
        <v>147</v>
      </c>
      <c r="Y2882" s="2">
        <v>38.200000000000003</v>
      </c>
      <c r="Z2882" s="2">
        <v>0</v>
      </c>
      <c r="AA2882" s="2" t="s">
        <v>478</v>
      </c>
      <c r="AB2882" s="2" t="s">
        <v>19296</v>
      </c>
      <c r="AC2882" s="2">
        <v>-2.1119645360608601</v>
      </c>
      <c r="AD2882" s="2"/>
      <c r="AE2882" s="2">
        <v>0.21112680540968501</v>
      </c>
      <c r="AF2882" s="2">
        <v>5321.1433024453099</v>
      </c>
      <c r="AG2882" s="2">
        <v>3765.0315952230699</v>
      </c>
      <c r="AH2882" s="5">
        <v>1.4133064140010301</v>
      </c>
      <c r="AI2882" s="5">
        <v>0.49907428522976899</v>
      </c>
      <c r="AJ2882" s="5" t="s">
        <v>139</v>
      </c>
      <c r="AK2882" s="2">
        <v>6.6434413628736394E-2</v>
      </c>
      <c r="AL2882" s="2">
        <v>0.34192828169447498</v>
      </c>
      <c r="AM2882" s="2">
        <v>4888.03107997595</v>
      </c>
      <c r="AN2882" s="2">
        <v>5930.5958822266202</v>
      </c>
      <c r="AO2882" s="2">
        <v>4024.5334885985199</v>
      </c>
      <c r="AP2882" s="2">
        <v>7557.5579050347696</v>
      </c>
      <c r="AQ2882" s="2">
        <v>4470.0535530306497</v>
      </c>
      <c r="AR2882" s="2">
        <v>5056.0879058053497</v>
      </c>
      <c r="AS2882" s="2">
        <v>5051.1062917237396</v>
      </c>
      <c r="AT2882" s="2">
        <v>4052.8777994666302</v>
      </c>
      <c r="AU2882" s="2">
        <v>4811.5092585689699</v>
      </c>
      <c r="AV2882" s="2">
        <v>1678.9094408241599</v>
      </c>
      <c r="AW2882" s="2">
        <v>2559.0918864678201</v>
      </c>
      <c r="AX2882" s="2">
        <v>4436.6948942871104</v>
      </c>
    </row>
    <row r="2883" spans="1:50" x14ac:dyDescent="0.25">
      <c r="A2883" s="2" t="s">
        <v>19297</v>
      </c>
      <c r="B2883" s="2">
        <v>479.20269785839002</v>
      </c>
      <c r="C2883" s="2">
        <v>11.068</v>
      </c>
      <c r="D2883" s="2" t="s">
        <v>51</v>
      </c>
      <c r="E2883" s="2" t="s">
        <v>19298</v>
      </c>
      <c r="F2883" s="2">
        <v>212728</v>
      </c>
      <c r="G2883" s="3" t="str">
        <f>HYPERLINK("https://cloud.oebiotech.com/#/lm/network/212728", "https://cloud.oebiotech.com/#/lm/network/212728")</f>
        <v>https://cloud.oebiotech.com/#/lm/network/212728</v>
      </c>
      <c r="H2883" s="2" t="s">
        <v>19299</v>
      </c>
      <c r="I2883" s="2"/>
      <c r="J2883" s="2"/>
      <c r="K2883" s="2"/>
      <c r="L2883" s="2"/>
      <c r="M2883" s="2"/>
      <c r="N2883" s="2"/>
      <c r="O2883" s="2"/>
      <c r="P2883" s="2"/>
      <c r="Q2883" s="2"/>
      <c r="R2883" s="2"/>
      <c r="S2883" s="2" t="s">
        <v>19300</v>
      </c>
      <c r="T2883" s="2" t="s">
        <v>19301</v>
      </c>
      <c r="U2883" s="2" t="s">
        <v>103</v>
      </c>
      <c r="V2883" s="2" t="s">
        <v>104</v>
      </c>
      <c r="W2883" s="2" t="s">
        <v>105</v>
      </c>
      <c r="X2883" s="2" t="s">
        <v>147</v>
      </c>
      <c r="Y2883" s="2">
        <v>37.1</v>
      </c>
      <c r="Z2883" s="2">
        <v>0</v>
      </c>
      <c r="AA2883" s="2" t="s">
        <v>379</v>
      </c>
      <c r="AB2883" s="2" t="s">
        <v>19302</v>
      </c>
      <c r="AC2883" s="2">
        <v>-4.30275445957753</v>
      </c>
      <c r="AD2883" s="2"/>
      <c r="AE2883" s="2">
        <v>0.21105681125850301</v>
      </c>
      <c r="AF2883" s="2">
        <v>7931.9447655649101</v>
      </c>
      <c r="AG2883" s="2">
        <v>6195.2257328505402</v>
      </c>
      <c r="AH2883" s="5">
        <v>1.2803318406148301</v>
      </c>
      <c r="AI2883" s="5">
        <v>0.35651778113363197</v>
      </c>
      <c r="AJ2883" s="5" t="s">
        <v>139</v>
      </c>
      <c r="AK2883" s="2">
        <v>0.36295165129122398</v>
      </c>
      <c r="AL2883" s="2">
        <v>0.64748916878485396</v>
      </c>
      <c r="AM2883" s="2">
        <v>16104.835859368801</v>
      </c>
      <c r="AN2883" s="2">
        <v>4903.7056671168102</v>
      </c>
      <c r="AO2883" s="2">
        <v>4444.4465831526904</v>
      </c>
      <c r="AP2883" s="2">
        <v>7742.3574901922802</v>
      </c>
      <c r="AQ2883" s="2">
        <v>5954.3809516005704</v>
      </c>
      <c r="AR2883" s="2">
        <v>8441.9420419582802</v>
      </c>
      <c r="AS2883" s="2">
        <v>5057.1682861230302</v>
      </c>
      <c r="AT2883" s="2">
        <v>6433.8345194916401</v>
      </c>
      <c r="AU2883" s="2">
        <v>5180.0272591351204</v>
      </c>
      <c r="AV2883" s="2">
        <v>7136.7492513709904</v>
      </c>
      <c r="AW2883" s="2">
        <v>8005.9355737280803</v>
      </c>
      <c r="AX2883" s="2">
        <v>5357.6395072543901</v>
      </c>
    </row>
    <row r="2884" spans="1:50" x14ac:dyDescent="0.25">
      <c r="A2884" s="2" t="s">
        <v>19303</v>
      </c>
      <c r="B2884" s="2">
        <v>380.18289476356102</v>
      </c>
      <c r="C2884" s="2">
        <v>4.3824333333333296</v>
      </c>
      <c r="D2884" s="2" t="s">
        <v>51</v>
      </c>
      <c r="E2884" s="2" t="s">
        <v>19304</v>
      </c>
      <c r="F2884" s="2">
        <v>265202</v>
      </c>
      <c r="G2884" s="3" t="str">
        <f>HYPERLINK("https://cloud.oebiotech.com/#/lm/network/265202", "https://cloud.oebiotech.com/#/lm/network/265202")</f>
        <v>https://cloud.oebiotech.com/#/lm/network/265202</v>
      </c>
      <c r="H2884" s="2"/>
      <c r="I2884" s="2">
        <v>22684</v>
      </c>
      <c r="J2884" s="2"/>
      <c r="K2884" s="2">
        <v>10045262</v>
      </c>
      <c r="L2884" s="2"/>
      <c r="M2884" s="2"/>
      <c r="N2884" s="2"/>
      <c r="O2884" s="2"/>
      <c r="P2884" s="2"/>
      <c r="Q2884" s="2"/>
      <c r="R2884" s="2"/>
      <c r="S2884" s="2" t="s">
        <v>19305</v>
      </c>
      <c r="T2884" s="2" t="s">
        <v>19306</v>
      </c>
      <c r="U2884" s="2" t="s">
        <v>103</v>
      </c>
      <c r="V2884" s="2" t="s">
        <v>104</v>
      </c>
      <c r="W2884" s="2" t="s">
        <v>105</v>
      </c>
      <c r="X2884" s="2" t="s">
        <v>69</v>
      </c>
      <c r="Y2884" s="2">
        <v>57.9</v>
      </c>
      <c r="Z2884" s="2">
        <v>86.8</v>
      </c>
      <c r="AA2884" s="2" t="s">
        <v>60</v>
      </c>
      <c r="AB2884" s="2" t="s">
        <v>19307</v>
      </c>
      <c r="AC2884" s="2">
        <v>3.3831352260656198</v>
      </c>
      <c r="AD2884" s="2"/>
      <c r="AE2884" s="2">
        <v>0.21104745103119399</v>
      </c>
      <c r="AF2884" s="2">
        <v>2278.5211272572901</v>
      </c>
      <c r="AG2884" s="2">
        <v>6505.9124884570401</v>
      </c>
      <c r="AH2884" s="4">
        <v>0.350223144147712</v>
      </c>
      <c r="AI2884" s="4">
        <v>-1.51365366890049</v>
      </c>
      <c r="AJ2884" s="4" t="s">
        <v>62</v>
      </c>
      <c r="AK2884" s="2">
        <v>0.37733783801102799</v>
      </c>
      <c r="AL2884" s="2">
        <v>0.65844593389412398</v>
      </c>
      <c r="AM2884" s="2">
        <v>2762.8476012516899</v>
      </c>
      <c r="AN2884" s="2">
        <v>138.36453021598501</v>
      </c>
      <c r="AO2884" s="2">
        <v>650.81408092628703</v>
      </c>
      <c r="AP2884" s="2">
        <v>5204.2090784470702</v>
      </c>
      <c r="AQ2884" s="2">
        <v>3572.3422548741401</v>
      </c>
      <c r="AR2884" s="2">
        <v>1342.5492178285599</v>
      </c>
      <c r="AS2884" s="2">
        <v>1747.4918634605101</v>
      </c>
      <c r="AT2884" s="2">
        <v>1342.38593073787</v>
      </c>
      <c r="AU2884" s="2">
        <v>28788.966504995002</v>
      </c>
      <c r="AV2884" s="2">
        <v>5258.7558389870801</v>
      </c>
      <c r="AW2884" s="2">
        <v>1436.7560368310301</v>
      </c>
      <c r="AX2884" s="2">
        <v>461.11875573074701</v>
      </c>
    </row>
    <row r="2885" spans="1:50" x14ac:dyDescent="0.25">
      <c r="A2885" s="2" t="s">
        <v>19308</v>
      </c>
      <c r="B2885" s="2">
        <v>639.49919506792105</v>
      </c>
      <c r="C2885" s="2">
        <v>14.1407333333333</v>
      </c>
      <c r="D2885" s="2" t="s">
        <v>51</v>
      </c>
      <c r="E2885" s="2" t="s">
        <v>19309</v>
      </c>
      <c r="F2885" s="2">
        <v>78723</v>
      </c>
      <c r="G2885" s="3" t="str">
        <f>HYPERLINK("https://cloud.oebiotech.com/#/lm/network/78723", "https://cloud.oebiotech.com/#/lm/network/78723")</f>
        <v>https://cloud.oebiotech.com/#/lm/network/78723</v>
      </c>
      <c r="H2885" s="2" t="s">
        <v>19310</v>
      </c>
      <c r="I2885" s="2"/>
      <c r="J2885" s="2"/>
      <c r="K2885" s="2">
        <v>131802033</v>
      </c>
      <c r="L2885" s="2"/>
      <c r="M2885" s="2"/>
      <c r="N2885" s="2"/>
      <c r="O2885" s="2"/>
      <c r="P2885" s="2"/>
      <c r="Q2885" s="2"/>
      <c r="R2885" s="2"/>
      <c r="S2885" s="2" t="s">
        <v>19311</v>
      </c>
      <c r="T2885" s="2" t="s">
        <v>19312</v>
      </c>
      <c r="U2885" s="2" t="s">
        <v>56</v>
      </c>
      <c r="V2885" s="2" t="s">
        <v>145</v>
      </c>
      <c r="W2885" s="2" t="s">
        <v>187</v>
      </c>
      <c r="X2885" s="2" t="s">
        <v>59</v>
      </c>
      <c r="Y2885" s="2">
        <v>51.4</v>
      </c>
      <c r="Z2885" s="2">
        <v>72.3</v>
      </c>
      <c r="AA2885" s="2" t="s">
        <v>259</v>
      </c>
      <c r="AB2885" s="2" t="s">
        <v>19313</v>
      </c>
      <c r="AC2885" s="2">
        <v>1.39927025676071</v>
      </c>
      <c r="AD2885" s="2"/>
      <c r="AE2885" s="2">
        <v>0.21102284634063601</v>
      </c>
      <c r="AF2885" s="2">
        <v>21258.0083475756</v>
      </c>
      <c r="AG2885" s="2">
        <v>20166.466597889201</v>
      </c>
      <c r="AH2885" s="5">
        <v>1.0541265741515999</v>
      </c>
      <c r="AI2885" s="5">
        <v>7.6048108850903004E-2</v>
      </c>
      <c r="AJ2885" s="5" t="s">
        <v>139</v>
      </c>
      <c r="AK2885" s="2">
        <v>0.90958867526545895</v>
      </c>
      <c r="AL2885" s="2">
        <v>0.96252844734401399</v>
      </c>
      <c r="AM2885" s="2">
        <v>53707.994592039002</v>
      </c>
      <c r="AN2885" s="2">
        <v>24352.977963844802</v>
      </c>
      <c r="AO2885" s="2">
        <v>10518.9047122753</v>
      </c>
      <c r="AP2885" s="2">
        <v>16886.1369790471</v>
      </c>
      <c r="AQ2885" s="2">
        <v>8597.7573975972591</v>
      </c>
      <c r="AR2885" s="2">
        <v>13484.2784406504</v>
      </c>
      <c r="AS2885" s="2">
        <v>8643.3899759409305</v>
      </c>
      <c r="AT2885" s="2">
        <v>5756.1728613261103</v>
      </c>
      <c r="AU2885" s="2">
        <v>47011.235694433497</v>
      </c>
      <c r="AV2885" s="2">
        <v>14299.245905886901</v>
      </c>
      <c r="AW2885" s="2">
        <v>15241.6183747169</v>
      </c>
      <c r="AX2885" s="2">
        <v>30047.1367750309</v>
      </c>
    </row>
    <row r="2886" spans="1:50" x14ac:dyDescent="0.25">
      <c r="A2886" s="2" t="s">
        <v>19314</v>
      </c>
      <c r="B2886" s="2">
        <v>573.48926287779</v>
      </c>
      <c r="C2886" s="2">
        <v>14.459250000000001</v>
      </c>
      <c r="D2886" s="2" t="s">
        <v>51</v>
      </c>
      <c r="E2886" s="2" t="s">
        <v>19315</v>
      </c>
      <c r="F2886" s="2">
        <v>78417</v>
      </c>
      <c r="G2886" s="3" t="str">
        <f>HYPERLINK("https://cloud.oebiotech.com/#/lm/network/78417", "https://cloud.oebiotech.com/#/lm/network/78417")</f>
        <v>https://cloud.oebiotech.com/#/lm/network/78417</v>
      </c>
      <c r="H2886" s="2" t="s">
        <v>19316</v>
      </c>
      <c r="I2886" s="2"/>
      <c r="J2886" s="2"/>
      <c r="K2886" s="2">
        <v>131801752</v>
      </c>
      <c r="L2886" s="2"/>
      <c r="M2886" s="2"/>
      <c r="N2886" s="2"/>
      <c r="O2886" s="2"/>
      <c r="P2886" s="2"/>
      <c r="Q2886" s="2"/>
      <c r="R2886" s="2"/>
      <c r="S2886" s="2" t="s">
        <v>19317</v>
      </c>
      <c r="T2886" s="2" t="s">
        <v>19318</v>
      </c>
      <c r="U2886" s="2" t="s">
        <v>56</v>
      </c>
      <c r="V2886" s="2" t="s">
        <v>145</v>
      </c>
      <c r="W2886" s="2" t="s">
        <v>203</v>
      </c>
      <c r="X2886" s="2" t="s">
        <v>59</v>
      </c>
      <c r="Y2886" s="2">
        <v>50.1</v>
      </c>
      <c r="Z2886" s="2">
        <v>61.9</v>
      </c>
      <c r="AA2886" s="2" t="s">
        <v>156</v>
      </c>
      <c r="AB2886" s="2" t="s">
        <v>19319</v>
      </c>
      <c r="AC2886" s="2">
        <v>2.5841432047965101</v>
      </c>
      <c r="AD2886" s="2"/>
      <c r="AE2886" s="2">
        <v>0.21091766541514201</v>
      </c>
      <c r="AF2886" s="2">
        <v>61498.744031051603</v>
      </c>
      <c r="AG2886" s="2">
        <v>72460.812353823698</v>
      </c>
      <c r="AH2886" s="4">
        <v>0.84871728639689104</v>
      </c>
      <c r="AI2886" s="4">
        <v>-0.236644032790714</v>
      </c>
      <c r="AJ2886" s="4" t="s">
        <v>62</v>
      </c>
      <c r="AK2886" s="2">
        <v>0.56775308688285697</v>
      </c>
      <c r="AL2886" s="2">
        <v>0.78298491912276902</v>
      </c>
      <c r="AM2886" s="2">
        <v>51183.860334526697</v>
      </c>
      <c r="AN2886" s="2">
        <v>126796.12682220001</v>
      </c>
      <c r="AO2886" s="2">
        <v>62725.740797967199</v>
      </c>
      <c r="AP2886" s="2">
        <v>35443.225792390302</v>
      </c>
      <c r="AQ2886" s="2">
        <v>67483.306551549205</v>
      </c>
      <c r="AR2886" s="2">
        <v>25360.203887676202</v>
      </c>
      <c r="AS2886" s="2">
        <v>26175.117887835499</v>
      </c>
      <c r="AT2886" s="2">
        <v>74112.146370379705</v>
      </c>
      <c r="AU2886" s="2">
        <v>83314.113718242006</v>
      </c>
      <c r="AV2886" s="2">
        <v>112009.881213445</v>
      </c>
      <c r="AW2886" s="2">
        <v>62813.187276462697</v>
      </c>
      <c r="AX2886" s="2">
        <v>76340.427656577405</v>
      </c>
    </row>
    <row r="2887" spans="1:50" x14ac:dyDescent="0.25">
      <c r="A2887" s="2" t="s">
        <v>19320</v>
      </c>
      <c r="B2887" s="2">
        <v>251.20123893819201</v>
      </c>
      <c r="C2887" s="2">
        <v>13.953466666666699</v>
      </c>
      <c r="D2887" s="2" t="s">
        <v>51</v>
      </c>
      <c r="E2887" s="2" t="s">
        <v>19321</v>
      </c>
      <c r="F2887" s="2">
        <v>645</v>
      </c>
      <c r="G2887" s="3" t="str">
        <f>HYPERLINK("https://cloud.oebiotech.com/#/lm/network/645", "https://cloud.oebiotech.com/#/lm/network/645")</f>
        <v>https://cloud.oebiotech.com/#/lm/network/645</v>
      </c>
      <c r="H2887" s="2"/>
      <c r="I2887" s="2">
        <v>96765</v>
      </c>
      <c r="J2887" s="2" t="s">
        <v>19322</v>
      </c>
      <c r="K2887" s="2">
        <v>5312428</v>
      </c>
      <c r="L2887" s="2"/>
      <c r="M2887" s="2"/>
      <c r="N2887" s="2"/>
      <c r="O2887" s="2">
        <v>22340</v>
      </c>
      <c r="P2887" s="2"/>
      <c r="Q2887" s="2"/>
      <c r="R2887" s="2"/>
      <c r="S2887" s="2" t="s">
        <v>19323</v>
      </c>
      <c r="T2887" s="2" t="s">
        <v>19324</v>
      </c>
      <c r="U2887" s="2" t="s">
        <v>56</v>
      </c>
      <c r="V2887" s="2" t="s">
        <v>145</v>
      </c>
      <c r="W2887" s="2" t="s">
        <v>231</v>
      </c>
      <c r="X2887" s="2" t="s">
        <v>59</v>
      </c>
      <c r="Y2887" s="2">
        <v>50.8</v>
      </c>
      <c r="Z2887" s="2">
        <v>61</v>
      </c>
      <c r="AA2887" s="2" t="s">
        <v>259</v>
      </c>
      <c r="AB2887" s="2" t="s">
        <v>6238</v>
      </c>
      <c r="AC2887" s="2">
        <v>2.72762422588977</v>
      </c>
      <c r="AD2887" s="2"/>
      <c r="AE2887" s="2">
        <v>0.21088169237728299</v>
      </c>
      <c r="AF2887" s="2">
        <v>10714.366734298599</v>
      </c>
      <c r="AG2887" s="2">
        <v>7674.4024656229503</v>
      </c>
      <c r="AH2887" s="5">
        <v>1.3961173892420999</v>
      </c>
      <c r="AI2887" s="5">
        <v>0.48142025226192098</v>
      </c>
      <c r="AJ2887" s="5" t="s">
        <v>139</v>
      </c>
      <c r="AK2887" s="2">
        <v>0.38459421841930003</v>
      </c>
      <c r="AL2887" s="2">
        <v>0.66126147545768399</v>
      </c>
      <c r="AM2887" s="2">
        <v>7875.6665888528696</v>
      </c>
      <c r="AN2887" s="2">
        <v>7512.8374919484304</v>
      </c>
      <c r="AO2887" s="2">
        <v>11671.586270774</v>
      </c>
      <c r="AP2887" s="2">
        <v>18604.899005017101</v>
      </c>
      <c r="AQ2887" s="2">
        <v>13363.022838422001</v>
      </c>
      <c r="AR2887" s="2">
        <v>5258.1882107773999</v>
      </c>
      <c r="AS2887" s="2">
        <v>4146.9165265749998</v>
      </c>
      <c r="AT2887" s="2">
        <v>19329.0696577128</v>
      </c>
      <c r="AU2887" s="2">
        <v>2418.59126686524</v>
      </c>
      <c r="AV2887" s="2">
        <v>1683.51847670242</v>
      </c>
      <c r="AW2887" s="2">
        <v>9680.8092422974205</v>
      </c>
      <c r="AX2887" s="2">
        <v>8787.5096235848505</v>
      </c>
    </row>
    <row r="2888" spans="1:50" x14ac:dyDescent="0.25">
      <c r="A2888" s="2" t="s">
        <v>19325</v>
      </c>
      <c r="B2888" s="2">
        <v>288.25431559276501</v>
      </c>
      <c r="C2888" s="2">
        <v>9.7054500000000008</v>
      </c>
      <c r="D2888" s="2" t="s">
        <v>51</v>
      </c>
      <c r="E2888" s="2" t="s">
        <v>19326</v>
      </c>
      <c r="F2888" s="2">
        <v>38991</v>
      </c>
      <c r="G2888" s="3" t="str">
        <f>HYPERLINK("https://cloud.oebiotech.com/#/lm/network/38991", "https://cloud.oebiotech.com/#/lm/network/38991")</f>
        <v>https://cloud.oebiotech.com/#/lm/network/38991</v>
      </c>
      <c r="H2888" s="2"/>
      <c r="I2888" s="2">
        <v>53949</v>
      </c>
      <c r="J2888" s="2" t="s">
        <v>19327</v>
      </c>
      <c r="K2888" s="2">
        <v>42608371</v>
      </c>
      <c r="L2888" s="2"/>
      <c r="M2888" s="2"/>
      <c r="N2888" s="2"/>
      <c r="O2888" s="2">
        <v>73903</v>
      </c>
      <c r="P2888" s="2"/>
      <c r="Q2888" s="2"/>
      <c r="R2888" s="2"/>
      <c r="S2888" s="2" t="s">
        <v>19328</v>
      </c>
      <c r="T2888" s="2" t="s">
        <v>19329</v>
      </c>
      <c r="U2888" s="2" t="s">
        <v>238</v>
      </c>
      <c r="V2888" s="2" t="s">
        <v>240</v>
      </c>
      <c r="W2888" s="2" t="s">
        <v>240</v>
      </c>
      <c r="X2888" s="2" t="s">
        <v>147</v>
      </c>
      <c r="Y2888" s="2">
        <v>43.4</v>
      </c>
      <c r="Z2888" s="2">
        <v>27</v>
      </c>
      <c r="AA2888" s="2" t="s">
        <v>60</v>
      </c>
      <c r="AB2888" s="2" t="s">
        <v>19330</v>
      </c>
      <c r="AC2888" s="2">
        <v>3.4647612955933398</v>
      </c>
      <c r="AD2888" s="2"/>
      <c r="AE2888" s="2">
        <v>0.21051268208777901</v>
      </c>
      <c r="AF2888" s="2">
        <v>5283.6692274509296</v>
      </c>
      <c r="AG2888" s="2">
        <v>8628.4891586656395</v>
      </c>
      <c r="AH2888" s="4">
        <v>0.61235160991591597</v>
      </c>
      <c r="AI2888" s="4">
        <v>-0.70756781416046899</v>
      </c>
      <c r="AJ2888" s="4" t="s">
        <v>62</v>
      </c>
      <c r="AK2888" s="2">
        <v>0.46072059199530402</v>
      </c>
      <c r="AL2888" s="2">
        <v>0.71040092022659995</v>
      </c>
      <c r="AM2888" s="2">
        <v>1963.4193907098099</v>
      </c>
      <c r="AN2888" s="2">
        <v>10834.7383647141</v>
      </c>
      <c r="AO2888" s="2">
        <v>4182.6833882214596</v>
      </c>
      <c r="AP2888" s="2">
        <v>3083.8974534628801</v>
      </c>
      <c r="AQ2888" s="2">
        <v>8632.1482141585293</v>
      </c>
      <c r="AR2888" s="2">
        <v>3005.1285534388198</v>
      </c>
      <c r="AS2888" s="2">
        <v>27827.995371387598</v>
      </c>
      <c r="AT2888" s="2">
        <v>8610.8438485970291</v>
      </c>
      <c r="AU2888" s="2">
        <v>9640.7129541201102</v>
      </c>
      <c r="AV2888" s="2">
        <v>2292.9745808549701</v>
      </c>
      <c r="AW2888" s="2">
        <v>1387.09262597457</v>
      </c>
      <c r="AX2888" s="2">
        <v>2011.31557105959</v>
      </c>
    </row>
    <row r="2889" spans="1:50" x14ac:dyDescent="0.25">
      <c r="A2889" s="2" t="s">
        <v>19331</v>
      </c>
      <c r="B2889" s="2">
        <v>244.99895960867201</v>
      </c>
      <c r="C2889" s="2">
        <v>1.27196666666667</v>
      </c>
      <c r="D2889" s="2" t="s">
        <v>51</v>
      </c>
      <c r="E2889" s="2" t="s">
        <v>19332</v>
      </c>
      <c r="F2889" s="2">
        <v>197098</v>
      </c>
      <c r="G2889" s="3" t="str">
        <f>HYPERLINK("https://cloud.oebiotech.com/#/lm/network/197098", "https://cloud.oebiotech.com/#/lm/network/197098")</f>
        <v>https://cloud.oebiotech.com/#/lm/network/197098</v>
      </c>
      <c r="H2889" s="2" t="s">
        <v>19333</v>
      </c>
      <c r="I2889" s="2"/>
      <c r="J2889" s="2"/>
      <c r="K2889" s="2"/>
      <c r="L2889" s="2"/>
      <c r="M2889" s="2"/>
      <c r="N2889" s="2"/>
      <c r="O2889" s="2"/>
      <c r="P2889" s="2"/>
      <c r="Q2889" s="2"/>
      <c r="R2889" s="2"/>
      <c r="S2889" s="2" t="s">
        <v>19334</v>
      </c>
      <c r="T2889" s="2" t="s">
        <v>19335</v>
      </c>
      <c r="U2889" s="2" t="s">
        <v>266</v>
      </c>
      <c r="V2889" s="2" t="s">
        <v>19336</v>
      </c>
      <c r="W2889" s="2" t="s">
        <v>19337</v>
      </c>
      <c r="X2889" s="2" t="s">
        <v>147</v>
      </c>
      <c r="Y2889" s="2">
        <v>38.6</v>
      </c>
      <c r="Z2889" s="2">
        <v>4.79</v>
      </c>
      <c r="AA2889" s="2" t="s">
        <v>122</v>
      </c>
      <c r="AB2889" s="2" t="s">
        <v>19338</v>
      </c>
      <c r="AC2889" s="2">
        <v>-1.8303635179931199</v>
      </c>
      <c r="AD2889" s="2"/>
      <c r="AE2889" s="2">
        <v>0.210467373334849</v>
      </c>
      <c r="AF2889" s="2">
        <v>43246.553097012496</v>
      </c>
      <c r="AG2889" s="2">
        <v>46712.083149509599</v>
      </c>
      <c r="AH2889" s="4">
        <v>0.92581084338702802</v>
      </c>
      <c r="AI2889" s="4">
        <v>-0.111210634861706</v>
      </c>
      <c r="AJ2889" s="4" t="s">
        <v>62</v>
      </c>
      <c r="AK2889" s="2">
        <v>0.87998867213847898</v>
      </c>
      <c r="AL2889" s="2">
        <v>0.947767478779867</v>
      </c>
      <c r="AM2889" s="2">
        <v>11244.0132546693</v>
      </c>
      <c r="AN2889" s="2">
        <v>26766.435606217699</v>
      </c>
      <c r="AO2889" s="2">
        <v>129138.54576138299</v>
      </c>
      <c r="AP2889" s="2">
        <v>30839.901678366899</v>
      </c>
      <c r="AQ2889" s="2">
        <v>39709.694690710698</v>
      </c>
      <c r="AR2889" s="2">
        <v>21780.7275907273</v>
      </c>
      <c r="AS2889" s="2">
        <v>15097.436167657001</v>
      </c>
      <c r="AT2889" s="2">
        <v>13411.2908345131</v>
      </c>
      <c r="AU2889" s="2">
        <v>21333.6410137604</v>
      </c>
      <c r="AV2889" s="2">
        <v>81317.965345292905</v>
      </c>
      <c r="AW2889" s="2">
        <v>84966.536196060493</v>
      </c>
      <c r="AX2889" s="2">
        <v>64145.629339773703</v>
      </c>
    </row>
    <row r="2890" spans="1:50" x14ac:dyDescent="0.25">
      <c r="A2890" s="2" t="s">
        <v>19339</v>
      </c>
      <c r="B2890" s="2">
        <v>320.186539801886</v>
      </c>
      <c r="C2890" s="2">
        <v>6.7462666666666697</v>
      </c>
      <c r="D2890" s="2" t="s">
        <v>51</v>
      </c>
      <c r="E2890" s="2" t="s">
        <v>19340</v>
      </c>
      <c r="F2890" s="2">
        <v>44888</v>
      </c>
      <c r="G2890" s="3" t="str">
        <f>HYPERLINK("https://cloud.oebiotech.com/#/lm/network/44888", "https://cloud.oebiotech.com/#/lm/network/44888")</f>
        <v>https://cloud.oebiotech.com/#/lm/network/44888</v>
      </c>
      <c r="H2890" s="2" t="s">
        <v>19341</v>
      </c>
      <c r="I2890" s="2"/>
      <c r="J2890" s="2" t="s">
        <v>19342</v>
      </c>
      <c r="K2890" s="2">
        <v>44263332</v>
      </c>
      <c r="L2890" s="2"/>
      <c r="M2890" s="2"/>
      <c r="N2890" s="2"/>
      <c r="O2890" s="2"/>
      <c r="P2890" s="2"/>
      <c r="Q2890" s="2"/>
      <c r="R2890" s="2"/>
      <c r="S2890" s="2" t="s">
        <v>19343</v>
      </c>
      <c r="T2890" s="2" t="s">
        <v>19344</v>
      </c>
      <c r="U2890" s="2" t="s">
        <v>56</v>
      </c>
      <c r="V2890" s="2" t="s">
        <v>283</v>
      </c>
      <c r="W2890" s="2" t="s">
        <v>1944</v>
      </c>
      <c r="X2890" s="2" t="s">
        <v>147</v>
      </c>
      <c r="Y2890" s="2">
        <v>39.5</v>
      </c>
      <c r="Z2890" s="2">
        <v>18.3</v>
      </c>
      <c r="AA2890" s="2" t="s">
        <v>512</v>
      </c>
      <c r="AB2890" s="2" t="s">
        <v>19345</v>
      </c>
      <c r="AC2890" s="2">
        <v>2.9954747206479002</v>
      </c>
      <c r="AD2890" s="2"/>
      <c r="AE2890" s="2">
        <v>0.21045387080637901</v>
      </c>
      <c r="AF2890" s="2">
        <v>1686.75475400559</v>
      </c>
      <c r="AG2890" s="2">
        <v>676.30671202569999</v>
      </c>
      <c r="AH2890" s="5">
        <v>2.4940677417696402</v>
      </c>
      <c r="AI2890" s="5">
        <v>1.3185006509686501</v>
      </c>
      <c r="AJ2890" s="5" t="s">
        <v>139</v>
      </c>
      <c r="AK2890" s="2">
        <v>5.3636293021089597E-2</v>
      </c>
      <c r="AL2890" s="2">
        <v>0.318609759665544</v>
      </c>
      <c r="AM2890" s="2">
        <v>3544.75084893441</v>
      </c>
      <c r="AN2890" s="2">
        <v>2081.68902062293</v>
      </c>
      <c r="AO2890" s="2">
        <v>1072.27206534876</v>
      </c>
      <c r="AP2890" s="2">
        <v>1418.8025599191001</v>
      </c>
      <c r="AQ2890" s="2">
        <v>740.62009683226404</v>
      </c>
      <c r="AR2890" s="2">
        <v>1262.3939323760801</v>
      </c>
      <c r="AS2890" s="2">
        <v>1158.0927047436801</v>
      </c>
      <c r="AT2890" s="2">
        <v>217.53834521383601</v>
      </c>
      <c r="AU2890" s="2">
        <v>1068.5523075925801</v>
      </c>
      <c r="AV2890" s="2">
        <v>123.94936298118699</v>
      </c>
      <c r="AW2890" s="2">
        <v>319.30736901496903</v>
      </c>
      <c r="AX2890" s="2">
        <v>1170.40018260795</v>
      </c>
    </row>
    <row r="2891" spans="1:50" x14ac:dyDescent="0.25">
      <c r="A2891" s="2" t="s">
        <v>19346</v>
      </c>
      <c r="B2891" s="2">
        <v>322.14095424721398</v>
      </c>
      <c r="C2891" s="2">
        <v>4.7222</v>
      </c>
      <c r="D2891" s="2" t="s">
        <v>51</v>
      </c>
      <c r="E2891" s="2" t="s">
        <v>19347</v>
      </c>
      <c r="F2891" s="2">
        <v>19868</v>
      </c>
      <c r="G2891" s="3" t="str">
        <f>HYPERLINK("https://cloud.oebiotech.com/#/lm/network/19868", "https://cloud.oebiotech.com/#/lm/network/19868")</f>
        <v>https://cloud.oebiotech.com/#/lm/network/19868</v>
      </c>
      <c r="H2891" s="2"/>
      <c r="I2891" s="2">
        <v>40357</v>
      </c>
      <c r="J2891" s="2" t="s">
        <v>19348</v>
      </c>
      <c r="K2891" s="2">
        <v>24779499</v>
      </c>
      <c r="L2891" s="2"/>
      <c r="M2891" s="2"/>
      <c r="N2891" s="2"/>
      <c r="O2891" s="2"/>
      <c r="P2891" s="2"/>
      <c r="Q2891" s="2"/>
      <c r="R2891" s="2"/>
      <c r="S2891" s="2" t="s">
        <v>19349</v>
      </c>
      <c r="T2891" s="2" t="s">
        <v>19350</v>
      </c>
      <c r="U2891" s="2" t="s">
        <v>56</v>
      </c>
      <c r="V2891" s="2" t="s">
        <v>57</v>
      </c>
      <c r="W2891" s="2" t="s">
        <v>58</v>
      </c>
      <c r="X2891" s="2" t="s">
        <v>147</v>
      </c>
      <c r="Y2891" s="2">
        <v>38.700000000000003</v>
      </c>
      <c r="Z2891" s="2">
        <v>4.8499999999999996</v>
      </c>
      <c r="AA2891" s="2" t="s">
        <v>379</v>
      </c>
      <c r="AB2891" s="2" t="s">
        <v>19351</v>
      </c>
      <c r="AC2891" s="2">
        <v>-4.5242728710780904</v>
      </c>
      <c r="AD2891" s="2"/>
      <c r="AE2891" s="2">
        <v>0.21016794225480101</v>
      </c>
      <c r="AF2891" s="2">
        <v>2583.85867356569</v>
      </c>
      <c r="AG2891" s="2">
        <v>1502.1476111504701</v>
      </c>
      <c r="AH2891" s="5">
        <v>1.72010969786568</v>
      </c>
      <c r="AI2891" s="5">
        <v>0.78250057395078398</v>
      </c>
      <c r="AJ2891" s="5" t="s">
        <v>139</v>
      </c>
      <c r="AK2891" s="2">
        <v>0.110543365616495</v>
      </c>
      <c r="AL2891" s="2">
        <v>0.42261842103963698</v>
      </c>
      <c r="AM2891" s="2">
        <v>3766.0726912558398</v>
      </c>
      <c r="AN2891" s="2">
        <v>4371.8416224090897</v>
      </c>
      <c r="AO2891" s="2">
        <v>2170.4902858362698</v>
      </c>
      <c r="AP2891" s="2">
        <v>1859.94787336114</v>
      </c>
      <c r="AQ2891" s="2">
        <v>1738.26349947734</v>
      </c>
      <c r="AR2891" s="2">
        <v>1596.5360690544501</v>
      </c>
      <c r="AS2891" s="2">
        <v>1489.6901786042199</v>
      </c>
      <c r="AT2891" s="2">
        <v>824.95832043336497</v>
      </c>
      <c r="AU2891" s="2">
        <v>2926.9145503790301</v>
      </c>
      <c r="AV2891" s="2">
        <v>264.92593298057801</v>
      </c>
      <c r="AW2891" s="2">
        <v>2157.7878558233401</v>
      </c>
      <c r="AX2891" s="2">
        <v>1348.6088286823001</v>
      </c>
    </row>
    <row r="2892" spans="1:50" x14ac:dyDescent="0.25">
      <c r="A2892" s="2" t="s">
        <v>19352</v>
      </c>
      <c r="B2892" s="2">
        <v>269.12517955484299</v>
      </c>
      <c r="C2892" s="2">
        <v>0.73424999999999996</v>
      </c>
      <c r="D2892" s="2" t="s">
        <v>51</v>
      </c>
      <c r="E2892" s="2" t="s">
        <v>19353</v>
      </c>
      <c r="F2892" s="2">
        <v>53910</v>
      </c>
      <c r="G2892" s="3" t="str">
        <f>HYPERLINK("https://cloud.oebiotech.com/#/lm/network/53910", "https://cloud.oebiotech.com/#/lm/network/53910")</f>
        <v>https://cloud.oebiotech.com/#/lm/network/53910</v>
      </c>
      <c r="H2892" s="2" t="s">
        <v>19354</v>
      </c>
      <c r="I2892" s="2"/>
      <c r="J2892" s="2"/>
      <c r="K2892" s="2">
        <v>9900059</v>
      </c>
      <c r="L2892" s="2"/>
      <c r="M2892" s="2"/>
      <c r="N2892" s="2"/>
      <c r="O2892" s="2"/>
      <c r="P2892" s="2"/>
      <c r="Q2892" s="2"/>
      <c r="R2892" s="2" t="s">
        <v>19355</v>
      </c>
      <c r="S2892" s="2" t="s">
        <v>19356</v>
      </c>
      <c r="T2892" s="2" t="s">
        <v>19357</v>
      </c>
      <c r="U2892" s="2" t="s">
        <v>103</v>
      </c>
      <c r="V2892" s="2" t="s">
        <v>104</v>
      </c>
      <c r="W2892" s="2" t="s">
        <v>105</v>
      </c>
      <c r="X2892" s="2" t="s">
        <v>83</v>
      </c>
      <c r="Y2892" s="2">
        <v>39.5</v>
      </c>
      <c r="Z2892" s="2">
        <v>0</v>
      </c>
      <c r="AA2892" s="2" t="s">
        <v>60</v>
      </c>
      <c r="AB2892" s="2" t="s">
        <v>19358</v>
      </c>
      <c r="AC2892" s="2">
        <v>2.7902439996189599</v>
      </c>
      <c r="AD2892" s="2"/>
      <c r="AE2892" s="2">
        <v>0.21008716689384799</v>
      </c>
      <c r="AF2892" s="2">
        <v>3680.8819194109901</v>
      </c>
      <c r="AG2892" s="2">
        <v>5715.0675038750796</v>
      </c>
      <c r="AH2892" s="4">
        <v>0.64406621915054996</v>
      </c>
      <c r="AI2892" s="4">
        <v>-0.63471906939092604</v>
      </c>
      <c r="AJ2892" s="4" t="s">
        <v>62</v>
      </c>
      <c r="AK2892" s="2">
        <v>0.27160110990290198</v>
      </c>
      <c r="AL2892" s="2">
        <v>0.59187658046137204</v>
      </c>
      <c r="AM2892" s="2">
        <v>1025.53094522531</v>
      </c>
      <c r="AN2892" s="2">
        <v>5037.0033127054703</v>
      </c>
      <c r="AO2892" s="2">
        <v>5480.2370300037101</v>
      </c>
      <c r="AP2892" s="2">
        <v>2812.9438536968601</v>
      </c>
      <c r="AQ2892" s="2">
        <v>3869.6487341643501</v>
      </c>
      <c r="AR2892" s="2">
        <v>3859.9276406702402</v>
      </c>
      <c r="AS2892" s="2">
        <v>7974.0924445589299</v>
      </c>
      <c r="AT2892" s="2">
        <v>9172.6170553453103</v>
      </c>
      <c r="AU2892" s="2">
        <v>1424.6013722648099</v>
      </c>
      <c r="AV2892" s="2">
        <v>2281.35060365257</v>
      </c>
      <c r="AW2892" s="2">
        <v>10557.180022954701</v>
      </c>
      <c r="AX2892" s="2">
        <v>2880.5635244741302</v>
      </c>
    </row>
    <row r="2893" spans="1:50" x14ac:dyDescent="0.25">
      <c r="A2893" s="2" t="s">
        <v>19359</v>
      </c>
      <c r="B2893" s="2">
        <v>306.01273815650597</v>
      </c>
      <c r="C2893" s="2">
        <v>1.0791166666666701</v>
      </c>
      <c r="D2893" s="2" t="s">
        <v>51</v>
      </c>
      <c r="E2893" s="2" t="s">
        <v>19360</v>
      </c>
      <c r="F2893" s="2">
        <v>47927</v>
      </c>
      <c r="G2893" s="3" t="str">
        <f>HYPERLINK("https://cloud.oebiotech.com/#/lm/network/47927", "https://cloud.oebiotech.com/#/lm/network/47927")</f>
        <v>https://cloud.oebiotech.com/#/lm/network/47927</v>
      </c>
      <c r="H2893" s="2" t="s">
        <v>19361</v>
      </c>
      <c r="I2893" s="2">
        <v>6653</v>
      </c>
      <c r="J2893" s="2"/>
      <c r="K2893" s="2">
        <v>86845</v>
      </c>
      <c r="L2893" s="2"/>
      <c r="M2893" s="2"/>
      <c r="N2893" s="2"/>
      <c r="O2893" s="2">
        <v>176463</v>
      </c>
      <c r="P2893" s="2"/>
      <c r="Q2893" s="2"/>
      <c r="R2893" s="2" t="s">
        <v>19362</v>
      </c>
      <c r="S2893" s="2" t="s">
        <v>19363</v>
      </c>
      <c r="T2893" s="2" t="s">
        <v>19364</v>
      </c>
      <c r="U2893" s="2" t="s">
        <v>266</v>
      </c>
      <c r="V2893" s="2" t="s">
        <v>13201</v>
      </c>
      <c r="W2893" s="2" t="s">
        <v>13202</v>
      </c>
      <c r="X2893" s="2" t="s">
        <v>147</v>
      </c>
      <c r="Y2893" s="2">
        <v>38.799999999999997</v>
      </c>
      <c r="Z2893" s="2">
        <v>11.7</v>
      </c>
      <c r="AA2893" s="2" t="s">
        <v>379</v>
      </c>
      <c r="AB2893" s="2" t="s">
        <v>19365</v>
      </c>
      <c r="AC2893" s="2">
        <v>0.76313202958416304</v>
      </c>
      <c r="AD2893" s="2"/>
      <c r="AE2893" s="2">
        <v>0.21007485621207</v>
      </c>
      <c r="AF2893" s="2">
        <v>9314.4386296437297</v>
      </c>
      <c r="AG2893" s="2">
        <v>7249.9934295338599</v>
      </c>
      <c r="AH2893" s="5">
        <v>1.2847513201460401</v>
      </c>
      <c r="AI2893" s="5">
        <v>0.36148913458491599</v>
      </c>
      <c r="AJ2893" s="5" t="s">
        <v>139</v>
      </c>
      <c r="AK2893" s="2">
        <v>0.129446911189389</v>
      </c>
      <c r="AL2893" s="2">
        <v>0.44843954713391498</v>
      </c>
      <c r="AM2893" s="2">
        <v>7343.7944536110099</v>
      </c>
      <c r="AN2893" s="2">
        <v>12443.471891329</v>
      </c>
      <c r="AO2893" s="2">
        <v>7504.9266987363699</v>
      </c>
      <c r="AP2893" s="2">
        <v>11357.398508943899</v>
      </c>
      <c r="AQ2893" s="2">
        <v>9209.0844019304095</v>
      </c>
      <c r="AR2893" s="2">
        <v>8027.9558233116704</v>
      </c>
      <c r="AS2893" s="2">
        <v>6472.7287469010798</v>
      </c>
      <c r="AT2893" s="2">
        <v>7638.0473638618396</v>
      </c>
      <c r="AU2893" s="2">
        <v>5924.5137890282003</v>
      </c>
      <c r="AV2893" s="2">
        <v>4512.19167856279</v>
      </c>
      <c r="AW2893" s="2">
        <v>8041.76420788413</v>
      </c>
      <c r="AX2893" s="2">
        <v>10910.714790965099</v>
      </c>
    </row>
    <row r="2894" spans="1:50" x14ac:dyDescent="0.25">
      <c r="A2894" s="2" t="s">
        <v>19366</v>
      </c>
      <c r="B2894" s="2">
        <v>367.212678575555</v>
      </c>
      <c r="C2894" s="2">
        <v>7.05525</v>
      </c>
      <c r="D2894" s="2" t="s">
        <v>51</v>
      </c>
      <c r="E2894" s="2" t="s">
        <v>19367</v>
      </c>
      <c r="F2894" s="2">
        <v>3853</v>
      </c>
      <c r="G2894" s="3" t="str">
        <f>HYPERLINK("https://cloud.oebiotech.com/#/lm/network/3853", "https://cloud.oebiotech.com/#/lm/network/3853")</f>
        <v>https://cloud.oebiotech.com/#/lm/network/3853</v>
      </c>
      <c r="H2894" s="2" t="s">
        <v>19368</v>
      </c>
      <c r="I2894" s="2">
        <v>7033</v>
      </c>
      <c r="J2894" s="2" t="s">
        <v>19369</v>
      </c>
      <c r="K2894" s="2">
        <v>5280877</v>
      </c>
      <c r="L2894" s="2" t="s">
        <v>19370</v>
      </c>
      <c r="M2894" s="2" t="s">
        <v>305</v>
      </c>
      <c r="N2894" s="2" t="s">
        <v>306</v>
      </c>
      <c r="O2894" s="2">
        <v>27562</v>
      </c>
      <c r="P2894" s="2" t="s">
        <v>646</v>
      </c>
      <c r="Q2894" s="2" t="s">
        <v>647</v>
      </c>
      <c r="R2894" s="2" t="s">
        <v>19371</v>
      </c>
      <c r="S2894" s="2" t="s">
        <v>19372</v>
      </c>
      <c r="T2894" s="2" t="s">
        <v>19373</v>
      </c>
      <c r="U2894" s="2" t="s">
        <v>56</v>
      </c>
      <c r="V2894" s="2" t="s">
        <v>145</v>
      </c>
      <c r="W2894" s="2" t="s">
        <v>231</v>
      </c>
      <c r="X2894" s="2" t="s">
        <v>69</v>
      </c>
      <c r="Y2894" s="2">
        <v>67.5</v>
      </c>
      <c r="Z2894" s="2">
        <v>52.4</v>
      </c>
      <c r="AA2894" s="2" t="s">
        <v>259</v>
      </c>
      <c r="AB2894" s="2" t="s">
        <v>4056</v>
      </c>
      <c r="AC2894" s="2">
        <v>3.1770907375473501</v>
      </c>
      <c r="AD2894" s="2"/>
      <c r="AE2894" s="2">
        <v>0.210000808205654</v>
      </c>
      <c r="AF2894" s="2">
        <v>2988.3159224340402</v>
      </c>
      <c r="AG2894" s="2">
        <v>1616.8479128561801</v>
      </c>
      <c r="AH2894" s="5">
        <v>1.8482356309908801</v>
      </c>
      <c r="AI2894" s="5">
        <v>0.88614869722553502</v>
      </c>
      <c r="AJ2894" s="5" t="s">
        <v>139</v>
      </c>
      <c r="AK2894" s="2">
        <v>8.7139083400290501E-2</v>
      </c>
      <c r="AL2894" s="2">
        <v>0.38018166893268901</v>
      </c>
      <c r="AM2894" s="2">
        <v>2080.8721955006799</v>
      </c>
      <c r="AN2894" s="2">
        <v>5091.4388007019797</v>
      </c>
      <c r="AO2894" s="2">
        <v>3047.0610872555899</v>
      </c>
      <c r="AP2894" s="2">
        <v>3049.6043350104801</v>
      </c>
      <c r="AQ2894" s="2">
        <v>1417.38193941843</v>
      </c>
      <c r="AR2894" s="2">
        <v>3243.53717671708</v>
      </c>
      <c r="AS2894" s="2">
        <v>2196.7421317232602</v>
      </c>
      <c r="AT2894" s="2">
        <v>831.88233693043799</v>
      </c>
      <c r="AU2894" s="2">
        <v>3915.3325682250902</v>
      </c>
      <c r="AV2894" s="2">
        <v>730.85164900325799</v>
      </c>
      <c r="AW2894" s="2">
        <v>1290.90354907247</v>
      </c>
      <c r="AX2894" s="2">
        <v>735.37524218257397</v>
      </c>
    </row>
    <row r="2895" spans="1:50" x14ac:dyDescent="0.25">
      <c r="A2895" s="2" t="s">
        <v>19374</v>
      </c>
      <c r="B2895" s="2">
        <v>336.12033302334902</v>
      </c>
      <c r="C2895" s="2">
        <v>3.8462333333333301</v>
      </c>
      <c r="D2895" s="2" t="s">
        <v>51</v>
      </c>
      <c r="E2895" s="2" t="s">
        <v>19375</v>
      </c>
      <c r="F2895" s="2">
        <v>54103</v>
      </c>
      <c r="G2895" s="3" t="str">
        <f>HYPERLINK("https://cloud.oebiotech.com/#/lm/network/54103", "https://cloud.oebiotech.com/#/lm/network/54103")</f>
        <v>https://cloud.oebiotech.com/#/lm/network/54103</v>
      </c>
      <c r="H2895" s="2" t="s">
        <v>19376</v>
      </c>
      <c r="I2895" s="2">
        <v>85985</v>
      </c>
      <c r="J2895" s="2"/>
      <c r="K2895" s="2">
        <v>14409362</v>
      </c>
      <c r="L2895" s="2"/>
      <c r="M2895" s="2"/>
      <c r="N2895" s="2"/>
      <c r="O2895" s="2"/>
      <c r="P2895" s="2"/>
      <c r="Q2895" s="2"/>
      <c r="R2895" s="2"/>
      <c r="S2895" s="2" t="s">
        <v>19377</v>
      </c>
      <c r="T2895" s="2" t="s">
        <v>19378</v>
      </c>
      <c r="U2895" s="2" t="s">
        <v>103</v>
      </c>
      <c r="V2895" s="2" t="s">
        <v>104</v>
      </c>
      <c r="W2895" s="2" t="s">
        <v>105</v>
      </c>
      <c r="X2895" s="2" t="s">
        <v>69</v>
      </c>
      <c r="Y2895" s="2">
        <v>67.2</v>
      </c>
      <c r="Z2895" s="2">
        <v>97.1</v>
      </c>
      <c r="AA2895" s="2" t="s">
        <v>218</v>
      </c>
      <c r="AB2895" s="2" t="s">
        <v>19379</v>
      </c>
      <c r="AC2895" s="2">
        <v>0.76983392287806995</v>
      </c>
      <c r="AD2895" s="2"/>
      <c r="AE2895" s="2">
        <v>0.209994146505529</v>
      </c>
      <c r="AF2895" s="2">
        <v>22786.591810137401</v>
      </c>
      <c r="AG2895" s="2">
        <v>18343.0315799655</v>
      </c>
      <c r="AH2895" s="5">
        <v>1.2422478645800901</v>
      </c>
      <c r="AI2895" s="5">
        <v>0.312953061902223</v>
      </c>
      <c r="AJ2895" s="5" t="s">
        <v>139</v>
      </c>
      <c r="AK2895" s="2">
        <v>0.50714393525311596</v>
      </c>
      <c r="AL2895" s="2">
        <v>0.74196982345927798</v>
      </c>
      <c r="AM2895" s="2">
        <v>23851.006657074799</v>
      </c>
      <c r="AN2895" s="2">
        <v>17365.886101527401</v>
      </c>
      <c r="AO2895" s="2">
        <v>26471.4874352232</v>
      </c>
      <c r="AP2895" s="2">
        <v>14559.6066647282</v>
      </c>
      <c r="AQ2895" s="2">
        <v>29566.056276339001</v>
      </c>
      <c r="AR2895" s="2">
        <v>24905.507725931599</v>
      </c>
      <c r="AS2895" s="2">
        <v>4042.3500183430801</v>
      </c>
      <c r="AT2895" s="2">
        <v>7786.1073416938398</v>
      </c>
      <c r="AU2895" s="2">
        <v>16172.7960225651</v>
      </c>
      <c r="AV2895" s="2">
        <v>23529.531269087802</v>
      </c>
      <c r="AW2895" s="2">
        <v>13398.784781394599</v>
      </c>
      <c r="AX2895" s="2">
        <v>45128.620046708798</v>
      </c>
    </row>
    <row r="2896" spans="1:50" x14ac:dyDescent="0.25">
      <c r="A2896" s="2" t="s">
        <v>19380</v>
      </c>
      <c r="B2896" s="2">
        <v>234.99751918152799</v>
      </c>
      <c r="C2896" s="2">
        <v>1.1926000000000001</v>
      </c>
      <c r="D2896" s="2" t="s">
        <v>51</v>
      </c>
      <c r="E2896" s="2" t="s">
        <v>19381</v>
      </c>
      <c r="F2896" s="2">
        <v>266464</v>
      </c>
      <c r="G2896" s="3" t="str">
        <f>HYPERLINK("https://cloud.oebiotech.com/#/lm/network/266464", "https://cloud.oebiotech.com/#/lm/network/266464")</f>
        <v>https://cloud.oebiotech.com/#/lm/network/266464</v>
      </c>
      <c r="H2896" s="2"/>
      <c r="I2896" s="2">
        <v>43249</v>
      </c>
      <c r="J2896" s="2"/>
      <c r="K2896" s="2">
        <v>4100</v>
      </c>
      <c r="L2896" s="2" t="s">
        <v>19382</v>
      </c>
      <c r="M2896" s="2"/>
      <c r="N2896" s="2"/>
      <c r="O2896" s="2"/>
      <c r="P2896" s="2"/>
      <c r="Q2896" s="2"/>
      <c r="R2896" s="2"/>
      <c r="S2896" s="2" t="s">
        <v>19383</v>
      </c>
      <c r="T2896" s="2" t="s">
        <v>19384</v>
      </c>
      <c r="U2896" s="2" t="s">
        <v>266</v>
      </c>
      <c r="V2896" s="2" t="s">
        <v>1585</v>
      </c>
      <c r="W2896" s="2" t="s">
        <v>9354</v>
      </c>
      <c r="X2896" s="2" t="s">
        <v>147</v>
      </c>
      <c r="Y2896" s="2">
        <v>36.700000000000003</v>
      </c>
      <c r="Z2896" s="2">
        <v>0</v>
      </c>
      <c r="AA2896" s="2" t="s">
        <v>163</v>
      </c>
      <c r="AB2896" s="2" t="s">
        <v>19385</v>
      </c>
      <c r="AC2896" s="2">
        <v>4.2943340936290397</v>
      </c>
      <c r="AD2896" s="2"/>
      <c r="AE2896" s="2">
        <v>0.20996638566317199</v>
      </c>
      <c r="AF2896" s="2">
        <v>7516.1610042620096</v>
      </c>
      <c r="AG2896" s="2">
        <v>8950.1114453719292</v>
      </c>
      <c r="AH2896" s="4">
        <v>0.83978406862727795</v>
      </c>
      <c r="AI2896" s="4">
        <v>-0.25190967552895099</v>
      </c>
      <c r="AJ2896" s="4" t="s">
        <v>62</v>
      </c>
      <c r="AK2896" s="2">
        <v>0.19376541852558599</v>
      </c>
      <c r="AL2896" s="2">
        <v>0.51725957274568402</v>
      </c>
      <c r="AM2896" s="2">
        <v>5289.4951600947497</v>
      </c>
      <c r="AN2896" s="2">
        <v>8515.6462968217293</v>
      </c>
      <c r="AO2896" s="2">
        <v>9616.4669310276495</v>
      </c>
      <c r="AP2896" s="2">
        <v>6162.44122366395</v>
      </c>
      <c r="AQ2896" s="2">
        <v>7745.0787454688998</v>
      </c>
      <c r="AR2896" s="2">
        <v>7767.8376684950499</v>
      </c>
      <c r="AS2896" s="2">
        <v>9778.1579481271492</v>
      </c>
      <c r="AT2896" s="2">
        <v>9395.9844440555407</v>
      </c>
      <c r="AU2896" s="2">
        <v>5202.8663692210703</v>
      </c>
      <c r="AV2896" s="2">
        <v>11056.6073568386</v>
      </c>
      <c r="AW2896" s="2">
        <v>9000.66552753828</v>
      </c>
      <c r="AX2896" s="2">
        <v>9266.3870264509405</v>
      </c>
    </row>
    <row r="2897" spans="1:50" x14ac:dyDescent="0.25">
      <c r="A2897" s="2" t="s">
        <v>19386</v>
      </c>
      <c r="B2897" s="2">
        <v>221.154314640867</v>
      </c>
      <c r="C2897" s="2">
        <v>8.3552166666666707</v>
      </c>
      <c r="D2897" s="2" t="s">
        <v>51</v>
      </c>
      <c r="E2897" s="2" t="s">
        <v>19387</v>
      </c>
      <c r="F2897" s="2">
        <v>3350</v>
      </c>
      <c r="G2897" s="3" t="str">
        <f>HYPERLINK("https://cloud.oebiotech.com/#/lm/network/3350", "https://cloud.oebiotech.com/#/lm/network/3350")</f>
        <v>https://cloud.oebiotech.com/#/lm/network/3350</v>
      </c>
      <c r="H2897" s="2"/>
      <c r="I2897" s="2">
        <v>36062</v>
      </c>
      <c r="J2897" s="2" t="s">
        <v>19388</v>
      </c>
      <c r="K2897" s="2">
        <v>5716900</v>
      </c>
      <c r="L2897" s="2"/>
      <c r="M2897" s="2"/>
      <c r="N2897" s="2"/>
      <c r="O2897" s="2">
        <v>137704</v>
      </c>
      <c r="P2897" s="2"/>
      <c r="Q2897" s="2"/>
      <c r="R2897" s="2"/>
      <c r="S2897" s="2" t="s">
        <v>19389</v>
      </c>
      <c r="T2897" s="2" t="s">
        <v>19390</v>
      </c>
      <c r="U2897" s="2" t="s">
        <v>331</v>
      </c>
      <c r="V2897" s="2" t="s">
        <v>332</v>
      </c>
      <c r="W2897" s="2" t="s">
        <v>1207</v>
      </c>
      <c r="X2897" s="2" t="s">
        <v>83</v>
      </c>
      <c r="Y2897" s="2">
        <v>47.5</v>
      </c>
      <c r="Z2897" s="2">
        <v>32.6</v>
      </c>
      <c r="AA2897" s="2" t="s">
        <v>156</v>
      </c>
      <c r="AB2897" s="2" t="s">
        <v>10230</v>
      </c>
      <c r="AC2897" s="2">
        <v>2.9742017270778001</v>
      </c>
      <c r="AD2897" s="2"/>
      <c r="AE2897" s="2">
        <v>0.20987265852159301</v>
      </c>
      <c r="AF2897" s="2">
        <v>6335.7253992732403</v>
      </c>
      <c r="AG2897" s="2">
        <v>5206.1405678759802</v>
      </c>
      <c r="AH2897" s="5">
        <v>1.21697163506634</v>
      </c>
      <c r="AI2897" s="5">
        <v>0.28329554239344701</v>
      </c>
      <c r="AJ2897" s="5" t="s">
        <v>139</v>
      </c>
      <c r="AK2897" s="2">
        <v>0.27615488059283999</v>
      </c>
      <c r="AL2897" s="2">
        <v>0.59599669755941997</v>
      </c>
      <c r="AM2897" s="2">
        <v>10365.059282304799</v>
      </c>
      <c r="AN2897" s="2">
        <v>6901.42046153724</v>
      </c>
      <c r="AO2897" s="2">
        <v>5689.2069268054402</v>
      </c>
      <c r="AP2897" s="2">
        <v>4648.2600810959102</v>
      </c>
      <c r="AQ2897" s="2">
        <v>5306.6812273389196</v>
      </c>
      <c r="AR2897" s="2">
        <v>5103.7244165571401</v>
      </c>
      <c r="AS2897" s="2">
        <v>4564.5289503927697</v>
      </c>
      <c r="AT2897" s="2">
        <v>3929.0909024900002</v>
      </c>
      <c r="AU2897" s="2">
        <v>7174.47695320809</v>
      </c>
      <c r="AV2897" s="2">
        <v>4691.8958369437796</v>
      </c>
      <c r="AW2897" s="2">
        <v>5154.17508200674</v>
      </c>
      <c r="AX2897" s="2">
        <v>5722.6756822145298</v>
      </c>
    </row>
    <row r="2898" spans="1:50" x14ac:dyDescent="0.25">
      <c r="A2898" s="2" t="s">
        <v>19391</v>
      </c>
      <c r="B2898" s="2">
        <v>303.15502852154702</v>
      </c>
      <c r="C2898" s="2">
        <v>11.493266666666701</v>
      </c>
      <c r="D2898" s="2" t="s">
        <v>51</v>
      </c>
      <c r="E2898" s="2" t="s">
        <v>19392</v>
      </c>
      <c r="F2898" s="2">
        <v>53848</v>
      </c>
      <c r="G2898" s="3" t="str">
        <f>HYPERLINK("https://cloud.oebiotech.com/#/lm/network/53848", "https://cloud.oebiotech.com/#/lm/network/53848")</f>
        <v>https://cloud.oebiotech.com/#/lm/network/53848</v>
      </c>
      <c r="H2898" s="2" t="s">
        <v>19393</v>
      </c>
      <c r="I2898" s="2"/>
      <c r="J2898" s="2"/>
      <c r="K2898" s="2">
        <v>9796450</v>
      </c>
      <c r="L2898" s="2"/>
      <c r="M2898" s="2"/>
      <c r="N2898" s="2"/>
      <c r="O2898" s="2">
        <v>157844</v>
      </c>
      <c r="P2898" s="2"/>
      <c r="Q2898" s="2"/>
      <c r="R2898" s="2" t="s">
        <v>19394</v>
      </c>
      <c r="S2898" s="2" t="s">
        <v>19395</v>
      </c>
      <c r="T2898" s="2" t="s">
        <v>19396</v>
      </c>
      <c r="U2898" s="2" t="s">
        <v>103</v>
      </c>
      <c r="V2898" s="2" t="s">
        <v>104</v>
      </c>
      <c r="W2898" s="2" t="s">
        <v>105</v>
      </c>
      <c r="X2898" s="2" t="s">
        <v>147</v>
      </c>
      <c r="Y2898" s="2">
        <v>39.5</v>
      </c>
      <c r="Z2898" s="2">
        <v>6.17</v>
      </c>
      <c r="AA2898" s="2" t="s">
        <v>122</v>
      </c>
      <c r="AB2898" s="2" t="s">
        <v>19397</v>
      </c>
      <c r="AC2898" s="2">
        <v>2.50574164710335</v>
      </c>
      <c r="AD2898" s="2"/>
      <c r="AE2898" s="2">
        <v>0.20986373341689701</v>
      </c>
      <c r="AF2898" s="2">
        <v>27827.519190893599</v>
      </c>
      <c r="AG2898" s="2">
        <v>25901.905761096801</v>
      </c>
      <c r="AH2898" s="5">
        <v>1.07434253863625</v>
      </c>
      <c r="AI2898" s="5">
        <v>0.103454049191628</v>
      </c>
      <c r="AJ2898" s="5" t="s">
        <v>139</v>
      </c>
      <c r="AK2898" s="2">
        <v>0.76657484117821695</v>
      </c>
      <c r="AL2898" s="2">
        <v>0.89413650924854104</v>
      </c>
      <c r="AM2898" s="2">
        <v>45530.010447186003</v>
      </c>
      <c r="AN2898" s="2">
        <v>31934.210223904101</v>
      </c>
      <c r="AO2898" s="2">
        <v>27786.7115110999</v>
      </c>
      <c r="AP2898" s="2">
        <v>22113.7580518582</v>
      </c>
      <c r="AQ2898" s="2">
        <v>20438.8209326291</v>
      </c>
      <c r="AR2898" s="2">
        <v>19161.603978684001</v>
      </c>
      <c r="AS2898" s="2">
        <v>13772.44224928</v>
      </c>
      <c r="AT2898" s="2">
        <v>12390.670874701</v>
      </c>
      <c r="AU2898" s="2">
        <v>41005.768822036298</v>
      </c>
      <c r="AV2898" s="2">
        <v>27396.830035101601</v>
      </c>
      <c r="AW2898" s="2">
        <v>37558.286827482298</v>
      </c>
      <c r="AX2898" s="2">
        <v>23287.435757979802</v>
      </c>
    </row>
    <row r="2899" spans="1:50" x14ac:dyDescent="0.25">
      <c r="A2899" s="2" t="s">
        <v>19398</v>
      </c>
      <c r="B2899" s="2">
        <v>491.374799772237</v>
      </c>
      <c r="C2899" s="2">
        <v>13.3257833333333</v>
      </c>
      <c r="D2899" s="2" t="s">
        <v>51</v>
      </c>
      <c r="E2899" s="2" t="s">
        <v>19399</v>
      </c>
      <c r="F2899" s="2">
        <v>44364</v>
      </c>
      <c r="G2899" s="3" t="str">
        <f>HYPERLINK("https://cloud.oebiotech.com/#/lm/network/44364", "https://cloud.oebiotech.com/#/lm/network/44364")</f>
        <v>https://cloud.oebiotech.com/#/lm/network/44364</v>
      </c>
      <c r="H2899" s="2"/>
      <c r="I2899" s="2"/>
      <c r="J2899" s="2" t="s">
        <v>19400</v>
      </c>
      <c r="K2899" s="2">
        <v>44250143</v>
      </c>
      <c r="L2899" s="2"/>
      <c r="M2899" s="2"/>
      <c r="N2899" s="2"/>
      <c r="O2899" s="2"/>
      <c r="P2899" s="2"/>
      <c r="Q2899" s="2"/>
      <c r="R2899" s="2"/>
      <c r="S2899" s="2" t="s">
        <v>19401</v>
      </c>
      <c r="T2899" s="2" t="s">
        <v>19402</v>
      </c>
      <c r="U2899" s="2" t="s">
        <v>56</v>
      </c>
      <c r="V2899" s="2" t="s">
        <v>283</v>
      </c>
      <c r="W2899" s="2" t="s">
        <v>10738</v>
      </c>
      <c r="X2899" s="2" t="s">
        <v>83</v>
      </c>
      <c r="Y2899" s="2">
        <v>43.4</v>
      </c>
      <c r="Z2899" s="2">
        <v>0</v>
      </c>
      <c r="AA2899" s="2" t="s">
        <v>218</v>
      </c>
      <c r="AB2899" s="2" t="s">
        <v>13447</v>
      </c>
      <c r="AC2899" s="2">
        <v>1.34738440881521</v>
      </c>
      <c r="AD2899" s="2"/>
      <c r="AE2899" s="2">
        <v>0.20974999934574101</v>
      </c>
      <c r="AF2899" s="2">
        <v>34489.117489253003</v>
      </c>
      <c r="AG2899" s="2">
        <v>28259.2626609658</v>
      </c>
      <c r="AH2899" s="5">
        <v>1.22045355192131</v>
      </c>
      <c r="AI2899" s="5">
        <v>0.287417390008122</v>
      </c>
      <c r="AJ2899" s="5" t="s">
        <v>139</v>
      </c>
      <c r="AK2899" s="2">
        <v>0.48832201332046599</v>
      </c>
      <c r="AL2899" s="2">
        <v>0.73151391771825403</v>
      </c>
      <c r="AM2899" s="2">
        <v>21469.629911170701</v>
      </c>
      <c r="AN2899" s="2">
        <v>28794.260010021299</v>
      </c>
      <c r="AO2899" s="2">
        <v>40368.975854547898</v>
      </c>
      <c r="AP2899" s="2">
        <v>57741.679004329402</v>
      </c>
      <c r="AQ2899" s="2">
        <v>39991.280130235602</v>
      </c>
      <c r="AR2899" s="2">
        <v>18568.880025213199</v>
      </c>
      <c r="AS2899" s="2">
        <v>16913.310561192498</v>
      </c>
      <c r="AT2899" s="2">
        <v>39380.003940591399</v>
      </c>
      <c r="AU2899" s="2">
        <v>20417.779545081899</v>
      </c>
      <c r="AV2899" s="2">
        <v>7557.1740892436101</v>
      </c>
      <c r="AW2899" s="2">
        <v>46649.151680115698</v>
      </c>
      <c r="AX2899" s="2">
        <v>38638.156149569702</v>
      </c>
    </row>
    <row r="2900" spans="1:50" x14ac:dyDescent="0.25">
      <c r="A2900" s="2" t="s">
        <v>19403</v>
      </c>
      <c r="B2900" s="2">
        <v>611.32972316164296</v>
      </c>
      <c r="C2900" s="2">
        <v>11.381349999999999</v>
      </c>
      <c r="D2900" s="2" t="s">
        <v>51</v>
      </c>
      <c r="E2900" s="2" t="s">
        <v>19404</v>
      </c>
      <c r="F2900" s="2">
        <v>210621</v>
      </c>
      <c r="G2900" s="3" t="str">
        <f>HYPERLINK("https://cloud.oebiotech.com/#/lm/network/210621", "https://cloud.oebiotech.com/#/lm/network/210621")</f>
        <v>https://cloud.oebiotech.com/#/lm/network/210621</v>
      </c>
      <c r="H2900" s="2" t="s">
        <v>19405</v>
      </c>
      <c r="I2900" s="2"/>
      <c r="J2900" s="2"/>
      <c r="K2900" s="2"/>
      <c r="L2900" s="2"/>
      <c r="M2900" s="2"/>
      <c r="N2900" s="2"/>
      <c r="O2900" s="2"/>
      <c r="P2900" s="2"/>
      <c r="Q2900" s="2"/>
      <c r="R2900" s="2"/>
      <c r="S2900" s="2" t="s">
        <v>19406</v>
      </c>
      <c r="T2900" s="2" t="s">
        <v>19407</v>
      </c>
      <c r="U2900" s="2" t="s">
        <v>266</v>
      </c>
      <c r="V2900" s="2" t="s">
        <v>2772</v>
      </c>
      <c r="W2900" s="2" t="s">
        <v>2773</v>
      </c>
      <c r="X2900" s="2" t="s">
        <v>147</v>
      </c>
      <c r="Y2900" s="2">
        <v>38.799999999999997</v>
      </c>
      <c r="Z2900" s="2">
        <v>0</v>
      </c>
      <c r="AA2900" s="2" t="s">
        <v>478</v>
      </c>
      <c r="AB2900" s="2" t="s">
        <v>19408</v>
      </c>
      <c r="AC2900" s="2">
        <v>-2.2562250536643602</v>
      </c>
      <c r="AD2900" s="2"/>
      <c r="AE2900" s="2">
        <v>0.20970819455415099</v>
      </c>
      <c r="AF2900" s="2">
        <v>7558.9860471128604</v>
      </c>
      <c r="AG2900" s="2">
        <v>10081.700621706001</v>
      </c>
      <c r="AH2900" s="4">
        <v>0.74977291339501895</v>
      </c>
      <c r="AI2900" s="4">
        <v>-0.415474387715001</v>
      </c>
      <c r="AJ2900" s="4" t="s">
        <v>62</v>
      </c>
      <c r="AK2900" s="2">
        <v>0.160049377361247</v>
      </c>
      <c r="AL2900" s="2">
        <v>0.48258667008315098</v>
      </c>
      <c r="AM2900" s="2">
        <v>11551.533809248</v>
      </c>
      <c r="AN2900" s="2">
        <v>9478.6991801305903</v>
      </c>
      <c r="AO2900" s="2">
        <v>5809.2114702430999</v>
      </c>
      <c r="AP2900" s="2">
        <v>6414.52714177291</v>
      </c>
      <c r="AQ2900" s="2">
        <v>4300.7365461193303</v>
      </c>
      <c r="AR2900" s="2">
        <v>7799.2081351632496</v>
      </c>
      <c r="AS2900" s="2">
        <v>7600.6158254171696</v>
      </c>
      <c r="AT2900" s="2">
        <v>5555.6755807248501</v>
      </c>
      <c r="AU2900" s="2">
        <v>13811.417401963001</v>
      </c>
      <c r="AV2900" s="2">
        <v>9562.4617443237203</v>
      </c>
      <c r="AW2900" s="2">
        <v>11673.8482815427</v>
      </c>
      <c r="AX2900" s="2">
        <v>12286.1848962644</v>
      </c>
    </row>
    <row r="2901" spans="1:50" x14ac:dyDescent="0.25">
      <c r="A2901" s="2" t="s">
        <v>19409</v>
      </c>
      <c r="B2901" s="2">
        <v>507.260554241725</v>
      </c>
      <c r="C2901" s="2">
        <v>5.3695666666666702</v>
      </c>
      <c r="D2901" s="2" t="s">
        <v>51</v>
      </c>
      <c r="E2901" s="2" t="s">
        <v>19410</v>
      </c>
      <c r="F2901" s="2">
        <v>46661</v>
      </c>
      <c r="G2901" s="3" t="str">
        <f>HYPERLINK("https://cloud.oebiotech.com/#/lm/network/46661", "https://cloud.oebiotech.com/#/lm/network/46661")</f>
        <v>https://cloud.oebiotech.com/#/lm/network/46661</v>
      </c>
      <c r="H2901" s="2"/>
      <c r="I2901" s="2">
        <v>329932</v>
      </c>
      <c r="J2901" s="2" t="s">
        <v>19411</v>
      </c>
      <c r="K2901" s="2">
        <v>53356726</v>
      </c>
      <c r="L2901" s="2"/>
      <c r="M2901" s="2"/>
      <c r="N2901" s="2"/>
      <c r="O2901" s="2">
        <v>62672</v>
      </c>
      <c r="P2901" s="2"/>
      <c r="Q2901" s="2"/>
      <c r="R2901" s="2"/>
      <c r="S2901" s="2" t="s">
        <v>19412</v>
      </c>
      <c r="T2901" s="2" t="s">
        <v>19413</v>
      </c>
      <c r="U2901" s="2" t="s">
        <v>56</v>
      </c>
      <c r="V2901" s="2" t="s">
        <v>283</v>
      </c>
      <c r="W2901" s="2" t="s">
        <v>3462</v>
      </c>
      <c r="X2901" s="2" t="s">
        <v>147</v>
      </c>
      <c r="Y2901" s="2">
        <v>44.9</v>
      </c>
      <c r="Z2901" s="2">
        <v>37.299999999999997</v>
      </c>
      <c r="AA2901" s="2" t="s">
        <v>179</v>
      </c>
      <c r="AB2901" s="2" t="s">
        <v>19414</v>
      </c>
      <c r="AC2901" s="2">
        <v>3.3481673580911702</v>
      </c>
      <c r="AD2901" s="2"/>
      <c r="AE2901" s="2">
        <v>0.209593852055629</v>
      </c>
      <c r="AF2901" s="2">
        <v>738.27272703256904</v>
      </c>
      <c r="AG2901" s="2">
        <v>5396.3416382183696</v>
      </c>
      <c r="AH2901" s="4">
        <v>0.13680985684892899</v>
      </c>
      <c r="AI2901" s="4">
        <v>-2.8697559179180798</v>
      </c>
      <c r="AJ2901" s="4" t="s">
        <v>62</v>
      </c>
      <c r="AK2901" s="2">
        <v>0.30553439686162098</v>
      </c>
      <c r="AL2901" s="2">
        <v>0.61510943172853205</v>
      </c>
      <c r="AM2901" s="2">
        <v>666.05567026269796</v>
      </c>
      <c r="AN2901" s="2">
        <v>1990.9644750571099</v>
      </c>
      <c r="AO2901" s="2">
        <v>8.559877937157E-6</v>
      </c>
      <c r="AP2901" s="2">
        <v>303.25054216103098</v>
      </c>
      <c r="AQ2901" s="2">
        <v>8.559877937157E-6</v>
      </c>
      <c r="AR2901" s="2">
        <v>1469.36565759482</v>
      </c>
      <c r="AS2901" s="2">
        <v>1003.0646872703099</v>
      </c>
      <c r="AT2901" s="2">
        <v>26845.850711520601</v>
      </c>
      <c r="AU2901" s="2">
        <v>757.05091765151599</v>
      </c>
      <c r="AV2901" s="2">
        <v>1675.0344955411399</v>
      </c>
      <c r="AW2901" s="2">
        <v>2097.0490087667899</v>
      </c>
      <c r="AX2901" s="2">
        <v>8.559877937157E-6</v>
      </c>
    </row>
    <row r="2902" spans="1:50" x14ac:dyDescent="0.25">
      <c r="A2902" s="2" t="s">
        <v>19415</v>
      </c>
      <c r="B2902" s="2">
        <v>282.13462495150799</v>
      </c>
      <c r="C2902" s="2">
        <v>6.2292500000000004</v>
      </c>
      <c r="D2902" s="2" t="s">
        <v>51</v>
      </c>
      <c r="E2902" s="2" t="s">
        <v>19416</v>
      </c>
      <c r="F2902" s="2">
        <v>211155</v>
      </c>
      <c r="G2902" s="3" t="str">
        <f>HYPERLINK("https://cloud.oebiotech.com/#/lm/network/211155", "https://cloud.oebiotech.com/#/lm/network/211155")</f>
        <v>https://cloud.oebiotech.com/#/lm/network/211155</v>
      </c>
      <c r="H2902" s="2" t="s">
        <v>19417</v>
      </c>
      <c r="I2902" s="2"/>
      <c r="J2902" s="2"/>
      <c r="K2902" s="2">
        <v>6426700</v>
      </c>
      <c r="L2902" s="2"/>
      <c r="M2902" s="2"/>
      <c r="N2902" s="2"/>
      <c r="O2902" s="2"/>
      <c r="P2902" s="2"/>
      <c r="Q2902" s="2"/>
      <c r="R2902" s="2"/>
      <c r="S2902" s="2" t="s">
        <v>19418</v>
      </c>
      <c r="T2902" s="2" t="s">
        <v>19419</v>
      </c>
      <c r="U2902" s="2" t="s">
        <v>266</v>
      </c>
      <c r="V2902" s="2" t="s">
        <v>267</v>
      </c>
      <c r="W2902" s="2" t="s">
        <v>268</v>
      </c>
      <c r="X2902" s="2" t="s">
        <v>147</v>
      </c>
      <c r="Y2902" s="2">
        <v>41.4</v>
      </c>
      <c r="Z2902" s="2">
        <v>17.600000000000001</v>
      </c>
      <c r="AA2902" s="2" t="s">
        <v>259</v>
      </c>
      <c r="AB2902" s="2" t="s">
        <v>19420</v>
      </c>
      <c r="AC2902" s="2">
        <v>3.6489204147238699</v>
      </c>
      <c r="AD2902" s="2"/>
      <c r="AE2902" s="2">
        <v>0.20921704735798299</v>
      </c>
      <c r="AF2902" s="2">
        <v>232.41832875776001</v>
      </c>
      <c r="AG2902" s="2">
        <v>1447.66905854211</v>
      </c>
      <c r="AH2902" s="4">
        <v>0.160546588591055</v>
      </c>
      <c r="AI2902" s="4">
        <v>-2.6389360849158998</v>
      </c>
      <c r="AJ2902" s="4" t="s">
        <v>62</v>
      </c>
      <c r="AK2902" s="2">
        <v>5.0786426065114E-2</v>
      </c>
      <c r="AL2902" s="2">
        <v>0.31163289197091498</v>
      </c>
      <c r="AM2902" s="2">
        <v>8.559877937157E-6</v>
      </c>
      <c r="AN2902" s="2">
        <v>123.913352763048</v>
      </c>
      <c r="AO2902" s="2">
        <v>8.559877937157E-6</v>
      </c>
      <c r="AP2902" s="2">
        <v>726.03085331911905</v>
      </c>
      <c r="AQ2902" s="2">
        <v>116.498329602553</v>
      </c>
      <c r="AR2902" s="2">
        <v>428.06741974208398</v>
      </c>
      <c r="AS2902" s="2">
        <v>694.30736024993803</v>
      </c>
      <c r="AT2902" s="2">
        <v>8.559877937157E-6</v>
      </c>
      <c r="AU2902" s="2">
        <v>2904.4790613969599</v>
      </c>
      <c r="AV2902" s="2">
        <v>3242.9404461335198</v>
      </c>
      <c r="AW2902" s="2">
        <v>816.61547133045894</v>
      </c>
      <c r="AX2902" s="2">
        <v>1027.6720035819201</v>
      </c>
    </row>
    <row r="2903" spans="1:50" x14ac:dyDescent="0.25">
      <c r="A2903" s="2" t="s">
        <v>19421</v>
      </c>
      <c r="B2903" s="2">
        <v>256.19154586165598</v>
      </c>
      <c r="C2903" s="2">
        <v>9.1553166666666694</v>
      </c>
      <c r="D2903" s="2" t="s">
        <v>51</v>
      </c>
      <c r="E2903" s="2" t="s">
        <v>19422</v>
      </c>
      <c r="F2903" s="2">
        <v>35654</v>
      </c>
      <c r="G2903" s="3" t="str">
        <f>HYPERLINK("https://cloud.oebiotech.com/#/lm/network/35654", "https://cloud.oebiotech.com/#/lm/network/35654")</f>
        <v>https://cloud.oebiotech.com/#/lm/network/35654</v>
      </c>
      <c r="H2903" s="2"/>
      <c r="I2903" s="2">
        <v>53442</v>
      </c>
      <c r="J2903" s="2" t="s">
        <v>19423</v>
      </c>
      <c r="K2903" s="2">
        <v>42608154</v>
      </c>
      <c r="L2903" s="2"/>
      <c r="M2903" s="2"/>
      <c r="N2903" s="2"/>
      <c r="O2903" s="2"/>
      <c r="P2903" s="2"/>
      <c r="Q2903" s="2"/>
      <c r="R2903" s="2"/>
      <c r="S2903" s="2" t="s">
        <v>19424</v>
      </c>
      <c r="T2903" s="2" t="s">
        <v>19425</v>
      </c>
      <c r="U2903" s="2" t="s">
        <v>56</v>
      </c>
      <c r="V2903" s="2" t="s">
        <v>177</v>
      </c>
      <c r="W2903" s="2" t="s">
        <v>806</v>
      </c>
      <c r="X2903" s="2" t="s">
        <v>59</v>
      </c>
      <c r="Y2903" s="2">
        <v>48.8</v>
      </c>
      <c r="Z2903" s="2">
        <v>56.4</v>
      </c>
      <c r="AA2903" s="2" t="s">
        <v>512</v>
      </c>
      <c r="AB2903" s="2" t="s">
        <v>10230</v>
      </c>
      <c r="AC2903" s="2">
        <v>3.4673253414803602</v>
      </c>
      <c r="AD2903" s="2"/>
      <c r="AE2903" s="2">
        <v>0.20919646133104799</v>
      </c>
      <c r="AF2903" s="2">
        <v>16601.7458355446</v>
      </c>
      <c r="AG2903" s="2">
        <v>14330.4291560004</v>
      </c>
      <c r="AH2903" s="5">
        <v>1.15849606838838</v>
      </c>
      <c r="AI2903" s="5">
        <v>0.21225314810760099</v>
      </c>
      <c r="AJ2903" s="5" t="s">
        <v>139</v>
      </c>
      <c r="AK2903" s="2">
        <v>0.49406226470437298</v>
      </c>
      <c r="AL2903" s="2">
        <v>0.73513085382097298</v>
      </c>
      <c r="AM2903" s="2">
        <v>20915.129386287299</v>
      </c>
      <c r="AN2903" s="2">
        <v>18153.026387451901</v>
      </c>
      <c r="AO2903" s="2">
        <v>15479.150557364501</v>
      </c>
      <c r="AP2903" s="2">
        <v>18058.100119741801</v>
      </c>
      <c r="AQ2903" s="2">
        <v>11973.997707205501</v>
      </c>
      <c r="AR2903" s="2">
        <v>15031.0708552168</v>
      </c>
      <c r="AS2903" s="2">
        <v>7385.4562558295702</v>
      </c>
      <c r="AT2903" s="2">
        <v>7653.4352580494797</v>
      </c>
      <c r="AU2903" s="2">
        <v>24761.445436616799</v>
      </c>
      <c r="AV2903" s="2">
        <v>10156.752281854</v>
      </c>
      <c r="AW2903" s="2">
        <v>20540.175649418099</v>
      </c>
      <c r="AX2903" s="2">
        <v>15485.3100542343</v>
      </c>
    </row>
    <row r="2904" spans="1:50" x14ac:dyDescent="0.25">
      <c r="A2904" s="2" t="s">
        <v>19426</v>
      </c>
      <c r="B2904" s="2">
        <v>301.27434345099499</v>
      </c>
      <c r="C2904" s="2">
        <v>11.270949999999999</v>
      </c>
      <c r="D2904" s="2" t="s">
        <v>51</v>
      </c>
      <c r="E2904" s="2" t="s">
        <v>19427</v>
      </c>
      <c r="F2904" s="2">
        <v>3089</v>
      </c>
      <c r="G2904" s="3" t="str">
        <f>HYPERLINK("https://cloud.oebiotech.com/#/lm/network/3089", "https://cloud.oebiotech.com/#/lm/network/3089")</f>
        <v>https://cloud.oebiotech.com/#/lm/network/3089</v>
      </c>
      <c r="H2904" s="2"/>
      <c r="I2904" s="2">
        <v>35447</v>
      </c>
      <c r="J2904" s="2" t="s">
        <v>19428</v>
      </c>
      <c r="K2904" s="2">
        <v>5282914</v>
      </c>
      <c r="L2904" s="2"/>
      <c r="M2904" s="2"/>
      <c r="N2904" s="2"/>
      <c r="O2904" s="2"/>
      <c r="P2904" s="2"/>
      <c r="Q2904" s="2"/>
      <c r="R2904" s="2"/>
      <c r="S2904" s="2" t="s">
        <v>19429</v>
      </c>
      <c r="T2904" s="2" t="s">
        <v>19430</v>
      </c>
      <c r="U2904" s="2" t="s">
        <v>56</v>
      </c>
      <c r="V2904" s="2" t="s">
        <v>145</v>
      </c>
      <c r="W2904" s="2" t="s">
        <v>231</v>
      </c>
      <c r="X2904" s="2" t="s">
        <v>83</v>
      </c>
      <c r="Y2904" s="2">
        <v>51.3</v>
      </c>
      <c r="Z2904" s="2">
        <v>0</v>
      </c>
      <c r="AA2904" s="2" t="s">
        <v>259</v>
      </c>
      <c r="AB2904" s="2" t="s">
        <v>2843</v>
      </c>
      <c r="AC2904" s="2">
        <v>2.0715128364757001</v>
      </c>
      <c r="AD2904" s="2"/>
      <c r="AE2904" s="2">
        <v>0.209129710561369</v>
      </c>
      <c r="AF2904" s="2">
        <v>1708.2478988801099</v>
      </c>
      <c r="AG2904" s="2">
        <v>476.01979083465199</v>
      </c>
      <c r="AH2904" s="5">
        <v>3.5886068851987698</v>
      </c>
      <c r="AI2904" s="5">
        <v>1.84342389143566</v>
      </c>
      <c r="AJ2904" s="5" t="s">
        <v>139</v>
      </c>
      <c r="AK2904" s="2">
        <v>0.344699560486324</v>
      </c>
      <c r="AL2904" s="2">
        <v>0.63883639734105901</v>
      </c>
      <c r="AM2904" s="2">
        <v>7814.2952013164604</v>
      </c>
      <c r="AN2904" s="2">
        <v>200.42525041946701</v>
      </c>
      <c r="AO2904" s="2">
        <v>896.87207636449205</v>
      </c>
      <c r="AP2904" s="2">
        <v>227.06307558808001</v>
      </c>
      <c r="AQ2904" s="2">
        <v>926.26824683142604</v>
      </c>
      <c r="AR2904" s="2">
        <v>184.563542760736</v>
      </c>
      <c r="AS2904" s="2">
        <v>233.44931943782899</v>
      </c>
      <c r="AT2904" s="2">
        <v>293.53444143297497</v>
      </c>
      <c r="AU2904" s="2">
        <v>1168.7797177005</v>
      </c>
      <c r="AV2904" s="2">
        <v>308.614131802261</v>
      </c>
      <c r="AW2904" s="2">
        <v>851.74112607446796</v>
      </c>
      <c r="AX2904" s="2">
        <v>8.559877937157E-6</v>
      </c>
    </row>
    <row r="2905" spans="1:50" x14ac:dyDescent="0.25">
      <c r="A2905" s="2" t="s">
        <v>19431</v>
      </c>
      <c r="B2905" s="2">
        <v>413.041720744043</v>
      </c>
      <c r="C2905" s="2">
        <v>5.2225333333333301</v>
      </c>
      <c r="D2905" s="2" t="s">
        <v>51</v>
      </c>
      <c r="E2905" s="2" t="s">
        <v>19432</v>
      </c>
      <c r="F2905" s="2">
        <v>202201</v>
      </c>
      <c r="G2905" s="3" t="str">
        <f>HYPERLINK("https://cloud.oebiotech.com/#/lm/network/202201", "https://cloud.oebiotech.com/#/lm/network/202201")</f>
        <v>https://cloud.oebiotech.com/#/lm/network/202201</v>
      </c>
      <c r="H2905" s="2" t="s">
        <v>19433</v>
      </c>
      <c r="I2905" s="2"/>
      <c r="J2905" s="2"/>
      <c r="K2905" s="2"/>
      <c r="L2905" s="2"/>
      <c r="M2905" s="2"/>
      <c r="N2905" s="2"/>
      <c r="O2905" s="2"/>
      <c r="P2905" s="2"/>
      <c r="Q2905" s="2"/>
      <c r="R2905" s="2"/>
      <c r="S2905" s="2" t="s">
        <v>19434</v>
      </c>
      <c r="T2905" s="2" t="s">
        <v>19435</v>
      </c>
      <c r="U2905" s="2" t="s">
        <v>540</v>
      </c>
      <c r="V2905" s="2" t="s">
        <v>1826</v>
      </c>
      <c r="W2905" s="2" t="s">
        <v>240</v>
      </c>
      <c r="X2905" s="2" t="s">
        <v>147</v>
      </c>
      <c r="Y2905" s="2">
        <v>36.299999999999997</v>
      </c>
      <c r="Z2905" s="2">
        <v>0</v>
      </c>
      <c r="AA2905" s="2" t="s">
        <v>163</v>
      </c>
      <c r="AB2905" s="2" t="s">
        <v>19436</v>
      </c>
      <c r="AC2905" s="2">
        <v>-3.5186327484200399</v>
      </c>
      <c r="AD2905" s="2"/>
      <c r="AE2905" s="2">
        <v>0.20891647134036101</v>
      </c>
      <c r="AF2905" s="2">
        <v>6821.97080985299</v>
      </c>
      <c r="AG2905" s="2">
        <v>5193.7749370894398</v>
      </c>
      <c r="AH2905" s="5">
        <v>1.31348987826492</v>
      </c>
      <c r="AI2905" s="5">
        <v>0.39340508312607803</v>
      </c>
      <c r="AJ2905" s="5" t="s">
        <v>139</v>
      </c>
      <c r="AK2905" s="2">
        <v>0.22757946581243299</v>
      </c>
      <c r="AL2905" s="2">
        <v>0.55318612061801498</v>
      </c>
      <c r="AM2905" s="2">
        <v>5328.0375313308296</v>
      </c>
      <c r="AN2905" s="2">
        <v>8488.9658955117102</v>
      </c>
      <c r="AO2905" s="2">
        <v>9841.5063949571104</v>
      </c>
      <c r="AP2905" s="2">
        <v>4649.3834296371397</v>
      </c>
      <c r="AQ2905" s="2">
        <v>7018.7913188636103</v>
      </c>
      <c r="AR2905" s="2">
        <v>5605.1402888175298</v>
      </c>
      <c r="AS2905" s="2">
        <v>6879.5045478556103</v>
      </c>
      <c r="AT2905" s="2">
        <v>3862.9317607223402</v>
      </c>
      <c r="AU2905" s="2">
        <v>7886.8245705850704</v>
      </c>
      <c r="AV2905" s="2">
        <v>3112.67470904939</v>
      </c>
      <c r="AW2905" s="2">
        <v>2355.2050510661102</v>
      </c>
      <c r="AX2905" s="2">
        <v>7065.5089832580898</v>
      </c>
    </row>
    <row r="2906" spans="1:50" x14ac:dyDescent="0.25">
      <c r="A2906" s="2" t="s">
        <v>19437</v>
      </c>
      <c r="B2906" s="2">
        <v>391.21300385269302</v>
      </c>
      <c r="C2906" s="2">
        <v>8.8328666666666695</v>
      </c>
      <c r="D2906" s="2" t="s">
        <v>51</v>
      </c>
      <c r="E2906" s="2" t="s">
        <v>19438</v>
      </c>
      <c r="F2906" s="2">
        <v>255450</v>
      </c>
      <c r="G2906" s="3" t="str">
        <f>HYPERLINK("https://cloud.oebiotech.com/#/lm/network/255450", "https://cloud.oebiotech.com/#/lm/network/255450")</f>
        <v>https://cloud.oebiotech.com/#/lm/network/255450</v>
      </c>
      <c r="H2906" s="2" t="s">
        <v>19439</v>
      </c>
      <c r="I2906" s="2"/>
      <c r="J2906" s="2"/>
      <c r="K2906" s="2"/>
      <c r="L2906" s="2"/>
      <c r="M2906" s="2"/>
      <c r="N2906" s="2"/>
      <c r="O2906" s="2"/>
      <c r="P2906" s="2"/>
      <c r="Q2906" s="2"/>
      <c r="R2906" s="2"/>
      <c r="S2906" s="2" t="s">
        <v>19440</v>
      </c>
      <c r="T2906" s="2" t="s">
        <v>19441</v>
      </c>
      <c r="U2906" s="2" t="s">
        <v>56</v>
      </c>
      <c r="V2906" s="2" t="s">
        <v>145</v>
      </c>
      <c r="W2906" s="2" t="s">
        <v>1188</v>
      </c>
      <c r="X2906" s="2" t="s">
        <v>147</v>
      </c>
      <c r="Y2906" s="2">
        <v>39.299999999999997</v>
      </c>
      <c r="Z2906" s="2">
        <v>0</v>
      </c>
      <c r="AA2906" s="2" t="s">
        <v>478</v>
      </c>
      <c r="AB2906" s="2" t="s">
        <v>11306</v>
      </c>
      <c r="AC2906" s="2">
        <v>0.99826934854981497</v>
      </c>
      <c r="AD2906" s="2"/>
      <c r="AE2906" s="2">
        <v>0.20890891867790501</v>
      </c>
      <c r="AF2906" s="2">
        <v>3002.08160881407</v>
      </c>
      <c r="AG2906" s="2">
        <v>1898.10372407058</v>
      </c>
      <c r="AH2906" s="5">
        <v>1.5816214734440099</v>
      </c>
      <c r="AI2906" s="5">
        <v>0.66140436357282995</v>
      </c>
      <c r="AJ2906" s="5" t="s">
        <v>139</v>
      </c>
      <c r="AK2906" s="2">
        <v>4.1964508191842699E-2</v>
      </c>
      <c r="AL2906" s="2">
        <v>0.29293759539812297</v>
      </c>
      <c r="AM2906" s="2">
        <v>4848.7843781543997</v>
      </c>
      <c r="AN2906" s="2">
        <v>2494.41479504582</v>
      </c>
      <c r="AO2906" s="2">
        <v>2770.5521231447301</v>
      </c>
      <c r="AP2906" s="2">
        <v>2737.6524665193901</v>
      </c>
      <c r="AQ2906" s="2">
        <v>2179.06193257016</v>
      </c>
      <c r="AR2906" s="2">
        <v>2982.0239574499201</v>
      </c>
      <c r="AS2906" s="2">
        <v>1912.0658800850899</v>
      </c>
      <c r="AT2906" s="2">
        <v>1176.4131951826901</v>
      </c>
      <c r="AU2906" s="2">
        <v>2037.10283263469</v>
      </c>
      <c r="AV2906" s="2">
        <v>1583.40506721472</v>
      </c>
      <c r="AW2906" s="2">
        <v>3123.7275227667901</v>
      </c>
      <c r="AX2906" s="2">
        <v>1555.90784653948</v>
      </c>
    </row>
    <row r="2907" spans="1:50" x14ac:dyDescent="0.25">
      <c r="A2907" s="2" t="s">
        <v>19442</v>
      </c>
      <c r="B2907" s="2">
        <v>306.05283819103897</v>
      </c>
      <c r="C2907" s="2">
        <v>4.7703666666666704</v>
      </c>
      <c r="D2907" s="2" t="s">
        <v>51</v>
      </c>
      <c r="E2907" s="2" t="s">
        <v>19443</v>
      </c>
      <c r="F2907" s="2">
        <v>200225</v>
      </c>
      <c r="G2907" s="3" t="str">
        <f>HYPERLINK("https://cloud.oebiotech.com/#/lm/network/200225", "https://cloud.oebiotech.com/#/lm/network/200225")</f>
        <v>https://cloud.oebiotech.com/#/lm/network/200225</v>
      </c>
      <c r="H2907" s="2" t="s">
        <v>19444</v>
      </c>
      <c r="I2907" s="2">
        <v>64632</v>
      </c>
      <c r="J2907" s="2"/>
      <c r="K2907" s="2">
        <v>4713</v>
      </c>
      <c r="L2907" s="2"/>
      <c r="M2907" s="2"/>
      <c r="N2907" s="2"/>
      <c r="O2907" s="2">
        <v>77954</v>
      </c>
      <c r="P2907" s="2"/>
      <c r="Q2907" s="2"/>
      <c r="R2907" s="2" t="s">
        <v>19445</v>
      </c>
      <c r="S2907" s="2" t="s">
        <v>19446</v>
      </c>
      <c r="T2907" s="2" t="s">
        <v>19447</v>
      </c>
      <c r="U2907" s="2" t="s">
        <v>540</v>
      </c>
      <c r="V2907" s="2" t="s">
        <v>541</v>
      </c>
      <c r="W2907" s="2" t="s">
        <v>6898</v>
      </c>
      <c r="X2907" s="2" t="s">
        <v>147</v>
      </c>
      <c r="Y2907" s="2">
        <v>39.9</v>
      </c>
      <c r="Z2907" s="2">
        <v>7.98</v>
      </c>
      <c r="AA2907" s="2" t="s">
        <v>395</v>
      </c>
      <c r="AB2907" s="2" t="s">
        <v>19448</v>
      </c>
      <c r="AC2907" s="2">
        <v>0.51230253243727097</v>
      </c>
      <c r="AD2907" s="2"/>
      <c r="AE2907" s="2">
        <v>0.20877960914435401</v>
      </c>
      <c r="AF2907" s="2">
        <v>775.91963056084899</v>
      </c>
      <c r="AG2907" s="2">
        <v>6404.6961286512096</v>
      </c>
      <c r="AH2907" s="4">
        <v>0.121148547093405</v>
      </c>
      <c r="AI2907" s="4">
        <v>-3.0451509919033701</v>
      </c>
      <c r="AJ2907" s="4" t="s">
        <v>62</v>
      </c>
      <c r="AK2907" s="2">
        <v>0.39864604026091399</v>
      </c>
      <c r="AL2907" s="2">
        <v>0.66807956279695502</v>
      </c>
      <c r="AM2907" s="2">
        <v>448.28609427504898</v>
      </c>
      <c r="AN2907" s="2">
        <v>1409.4607101895299</v>
      </c>
      <c r="AO2907" s="2">
        <v>2797.7709532208801</v>
      </c>
      <c r="AP2907" s="2">
        <v>8.559877937157E-6</v>
      </c>
      <c r="AQ2907" s="2">
        <v>8.559877937157E-6</v>
      </c>
      <c r="AR2907" s="2">
        <v>8.559877937157E-6</v>
      </c>
      <c r="AS2907" s="2">
        <v>8.559877937157E-6</v>
      </c>
      <c r="AT2907" s="2">
        <v>8.559877937157E-6</v>
      </c>
      <c r="AU2907" s="2">
        <v>38241.356919737802</v>
      </c>
      <c r="AV2907" s="2">
        <v>186.819817929945</v>
      </c>
      <c r="AW2907" s="2">
        <v>8.559877937157E-6</v>
      </c>
      <c r="AX2907" s="2">
        <v>8.559877937157E-6</v>
      </c>
    </row>
    <row r="2908" spans="1:50" x14ac:dyDescent="0.25">
      <c r="A2908" s="2" t="s">
        <v>19449</v>
      </c>
      <c r="B2908" s="2">
        <v>552.31029708640403</v>
      </c>
      <c r="C2908" s="2">
        <v>10.3696</v>
      </c>
      <c r="D2908" s="2" t="s">
        <v>51</v>
      </c>
      <c r="E2908" s="2" t="s">
        <v>19450</v>
      </c>
      <c r="F2908" s="2">
        <v>21224</v>
      </c>
      <c r="G2908" s="3" t="str">
        <f>HYPERLINK("https://cloud.oebiotech.com/#/lm/network/21224", "https://cloud.oebiotech.com/#/lm/network/21224")</f>
        <v>https://cloud.oebiotech.com/#/lm/network/21224</v>
      </c>
      <c r="H2908" s="2" t="s">
        <v>19451</v>
      </c>
      <c r="I2908" s="2">
        <v>62287</v>
      </c>
      <c r="J2908" s="2" t="s">
        <v>19452</v>
      </c>
      <c r="K2908" s="2">
        <v>53480948</v>
      </c>
      <c r="L2908" s="2"/>
      <c r="M2908" s="2"/>
      <c r="N2908" s="2"/>
      <c r="O2908" s="2"/>
      <c r="P2908" s="2"/>
      <c r="Q2908" s="2"/>
      <c r="R2908" s="2"/>
      <c r="S2908" s="2" t="s">
        <v>19453</v>
      </c>
      <c r="T2908" s="2" t="s">
        <v>19454</v>
      </c>
      <c r="U2908" s="2" t="s">
        <v>56</v>
      </c>
      <c r="V2908" s="2" t="s">
        <v>57</v>
      </c>
      <c r="W2908" s="2" t="s">
        <v>155</v>
      </c>
      <c r="X2908" s="2" t="s">
        <v>147</v>
      </c>
      <c r="Y2908" s="2">
        <v>37.200000000000003</v>
      </c>
      <c r="Z2908" s="2">
        <v>0</v>
      </c>
      <c r="AA2908" s="2" t="s">
        <v>163</v>
      </c>
      <c r="AB2908" s="2" t="s">
        <v>19455</v>
      </c>
      <c r="AC2908" s="2">
        <v>1.32655880186203</v>
      </c>
      <c r="AD2908" s="2"/>
      <c r="AE2908" s="2">
        <v>0.20851183547654401</v>
      </c>
      <c r="AF2908" s="2">
        <v>8407.6053673320894</v>
      </c>
      <c r="AG2908" s="2">
        <v>11060.491644595801</v>
      </c>
      <c r="AH2908" s="4">
        <v>0.76014752666442797</v>
      </c>
      <c r="AI2908" s="4">
        <v>-0.39564865615664502</v>
      </c>
      <c r="AJ2908" s="4" t="s">
        <v>62</v>
      </c>
      <c r="AK2908" s="2">
        <v>0.38291557404189402</v>
      </c>
      <c r="AL2908" s="2">
        <v>0.66023025420912795</v>
      </c>
      <c r="AM2908" s="2">
        <v>16243.489290384799</v>
      </c>
      <c r="AN2908" s="2">
        <v>5536.2583796967201</v>
      </c>
      <c r="AO2908" s="2">
        <v>4691.6340033527304</v>
      </c>
      <c r="AP2908" s="2">
        <v>9290.2890173957694</v>
      </c>
      <c r="AQ2908" s="2">
        <v>6469.1562361350298</v>
      </c>
      <c r="AR2908" s="2">
        <v>8214.8052770274808</v>
      </c>
      <c r="AS2908" s="2">
        <v>4563.1934223275002</v>
      </c>
      <c r="AT2908" s="2">
        <v>4043.7242620001898</v>
      </c>
      <c r="AU2908" s="2">
        <v>10195.7444606234</v>
      </c>
      <c r="AV2908" s="2">
        <v>16350.205347556001</v>
      </c>
      <c r="AW2908" s="2">
        <v>17016.765598126902</v>
      </c>
      <c r="AX2908" s="2">
        <v>14193.316776940999</v>
      </c>
    </row>
    <row r="2909" spans="1:50" x14ac:dyDescent="0.25">
      <c r="A2909" s="2" t="s">
        <v>19456</v>
      </c>
      <c r="B2909" s="2">
        <v>447.34808553710701</v>
      </c>
      <c r="C2909" s="2">
        <v>13.932933333333301</v>
      </c>
      <c r="D2909" s="2" t="s">
        <v>51</v>
      </c>
      <c r="E2909" s="2" t="s">
        <v>19457</v>
      </c>
      <c r="F2909" s="2">
        <v>255873</v>
      </c>
      <c r="G2909" s="3" t="str">
        <f>HYPERLINK("https://cloud.oebiotech.com/#/lm/network/255873", "https://cloud.oebiotech.com/#/lm/network/255873")</f>
        <v>https://cloud.oebiotech.com/#/lm/network/255873</v>
      </c>
      <c r="H2909" s="2" t="s">
        <v>19458</v>
      </c>
      <c r="I2909" s="2"/>
      <c r="J2909" s="2"/>
      <c r="K2909" s="2">
        <v>5320256</v>
      </c>
      <c r="L2909" s="2"/>
      <c r="M2909" s="2"/>
      <c r="N2909" s="2"/>
      <c r="O2909" s="2"/>
      <c r="P2909" s="2"/>
      <c r="Q2909" s="2"/>
      <c r="R2909" s="2"/>
      <c r="S2909" s="2" t="s">
        <v>19459</v>
      </c>
      <c r="T2909" s="2" t="s">
        <v>19460</v>
      </c>
      <c r="U2909" s="2" t="s">
        <v>540</v>
      </c>
      <c r="V2909" s="2" t="s">
        <v>3291</v>
      </c>
      <c r="W2909" s="2" t="s">
        <v>3292</v>
      </c>
      <c r="X2909" s="2" t="s">
        <v>83</v>
      </c>
      <c r="Y2909" s="2">
        <v>47.2</v>
      </c>
      <c r="Z2909" s="2">
        <v>0</v>
      </c>
      <c r="AA2909" s="2" t="s">
        <v>259</v>
      </c>
      <c r="AB2909" s="2" t="s">
        <v>19461</v>
      </c>
      <c r="AC2909" s="2">
        <v>2.6866350639198902</v>
      </c>
      <c r="AD2909" s="2"/>
      <c r="AE2909" s="2">
        <v>0.20841507280610999</v>
      </c>
      <c r="AF2909" s="2">
        <v>8243.1938022450304</v>
      </c>
      <c r="AG2909" s="2">
        <v>9733.0784351848597</v>
      </c>
      <c r="AH2909" s="4">
        <v>0.84692565226291305</v>
      </c>
      <c r="AI2909" s="4">
        <v>-0.23969276738353701</v>
      </c>
      <c r="AJ2909" s="4" t="s">
        <v>62</v>
      </c>
      <c r="AK2909" s="2">
        <v>0.15411301044098899</v>
      </c>
      <c r="AL2909" s="2">
        <v>0.47517092828514201</v>
      </c>
      <c r="AM2909" s="2">
        <v>6742.1589226661699</v>
      </c>
      <c r="AN2909" s="2">
        <v>9634.16754875886</v>
      </c>
      <c r="AO2909" s="2">
        <v>8745.6483395098494</v>
      </c>
      <c r="AP2909" s="2">
        <v>8058.23963600979</v>
      </c>
      <c r="AQ2909" s="2">
        <v>10332.6092588716</v>
      </c>
      <c r="AR2909" s="2">
        <v>5946.3391076539301</v>
      </c>
      <c r="AS2909" s="2">
        <v>11919.7167397579</v>
      </c>
      <c r="AT2909" s="2">
        <v>10657.049419454101</v>
      </c>
      <c r="AU2909" s="2">
        <v>6978.3336994286401</v>
      </c>
      <c r="AV2909" s="2">
        <v>9868.4342510157603</v>
      </c>
      <c r="AW2909" s="2">
        <v>8972.7887508918702</v>
      </c>
      <c r="AX2909" s="2">
        <v>10002.1477505609</v>
      </c>
    </row>
    <row r="2910" spans="1:50" x14ac:dyDescent="0.25">
      <c r="A2910" s="2" t="s">
        <v>19462</v>
      </c>
      <c r="B2910" s="2">
        <v>551.211838291964</v>
      </c>
      <c r="C2910" s="2">
        <v>6.1052666666666697</v>
      </c>
      <c r="D2910" s="2" t="s">
        <v>51</v>
      </c>
      <c r="E2910" s="2" t="s">
        <v>19463</v>
      </c>
      <c r="F2910" s="2">
        <v>10219</v>
      </c>
      <c r="G2910" s="3" t="str">
        <f>HYPERLINK("https://cloud.oebiotech.com/#/lm/network/10219", "https://cloud.oebiotech.com/#/lm/network/10219")</f>
        <v>https://cloud.oebiotech.com/#/lm/network/10219</v>
      </c>
      <c r="H2910" s="2"/>
      <c r="I2910" s="2"/>
      <c r="J2910" s="2" t="s">
        <v>19464</v>
      </c>
      <c r="K2910" s="2">
        <v>25087719</v>
      </c>
      <c r="L2910" s="2"/>
      <c r="M2910" s="2"/>
      <c r="N2910" s="2"/>
      <c r="O2910" s="2"/>
      <c r="P2910" s="2"/>
      <c r="Q2910" s="2"/>
      <c r="R2910" s="2"/>
      <c r="S2910" s="2" t="s">
        <v>19465</v>
      </c>
      <c r="T2910" s="2" t="s">
        <v>19466</v>
      </c>
      <c r="U2910" s="2" t="s">
        <v>56</v>
      </c>
      <c r="V2910" s="2" t="s">
        <v>145</v>
      </c>
      <c r="W2910" s="2" t="s">
        <v>3263</v>
      </c>
      <c r="X2910" s="2" t="s">
        <v>147</v>
      </c>
      <c r="Y2910" s="2">
        <v>38</v>
      </c>
      <c r="Z2910" s="2">
        <v>0</v>
      </c>
      <c r="AA2910" s="2" t="s">
        <v>395</v>
      </c>
      <c r="AB2910" s="2" t="s">
        <v>19467</v>
      </c>
      <c r="AC2910" s="2">
        <v>3.4922122792092201</v>
      </c>
      <c r="AD2910" s="2"/>
      <c r="AE2910" s="2">
        <v>0.20817542515218601</v>
      </c>
      <c r="AF2910" s="2">
        <v>5535.9717682980499</v>
      </c>
      <c r="AG2910" s="2">
        <v>7732.6734493878603</v>
      </c>
      <c r="AH2910" s="4">
        <v>0.715919507597504</v>
      </c>
      <c r="AI2910" s="4">
        <v>-0.48213070365176203</v>
      </c>
      <c r="AJ2910" s="4" t="s">
        <v>62</v>
      </c>
      <c r="AK2910" s="2">
        <v>0.240683355973005</v>
      </c>
      <c r="AL2910" s="2">
        <v>0.56479726656590201</v>
      </c>
      <c r="AM2910" s="2">
        <v>7784.4009015464399</v>
      </c>
      <c r="AN2910" s="2">
        <v>5264.8086136771599</v>
      </c>
      <c r="AO2910" s="2">
        <v>3533.4263595754301</v>
      </c>
      <c r="AP2910" s="2">
        <v>5262.8761622048196</v>
      </c>
      <c r="AQ2910" s="2">
        <v>2441.2116786163301</v>
      </c>
      <c r="AR2910" s="2">
        <v>8929.1068941681497</v>
      </c>
      <c r="AS2910" s="2">
        <v>9513.2932889392305</v>
      </c>
      <c r="AT2910" s="2">
        <v>10491.429116752401</v>
      </c>
      <c r="AU2910" s="2">
        <v>3591.4505026195002</v>
      </c>
      <c r="AV2910" s="2">
        <v>5846.4979288506202</v>
      </c>
      <c r="AW2910" s="2">
        <v>12358.715242336801</v>
      </c>
      <c r="AX2910" s="2">
        <v>4594.6546168286204</v>
      </c>
    </row>
    <row r="2911" spans="1:50" x14ac:dyDescent="0.25">
      <c r="A2911" s="2" t="s">
        <v>19468</v>
      </c>
      <c r="B2911" s="2">
        <v>634.45414351386796</v>
      </c>
      <c r="C2911" s="2">
        <v>11.411483333333299</v>
      </c>
      <c r="D2911" s="2" t="s">
        <v>51</v>
      </c>
      <c r="E2911" s="2" t="s">
        <v>19469</v>
      </c>
      <c r="F2911" s="2">
        <v>53699</v>
      </c>
      <c r="G2911" s="3" t="str">
        <f>HYPERLINK("https://cloud.oebiotech.com/#/lm/network/53699", "https://cloud.oebiotech.com/#/lm/network/53699")</f>
        <v>https://cloud.oebiotech.com/#/lm/network/53699</v>
      </c>
      <c r="H2911" s="2" t="s">
        <v>19470</v>
      </c>
      <c r="I2911" s="2">
        <v>43278</v>
      </c>
      <c r="J2911" s="2"/>
      <c r="K2911" s="2">
        <v>72385</v>
      </c>
      <c r="L2911" s="2"/>
      <c r="M2911" s="2"/>
      <c r="N2911" s="2"/>
      <c r="O2911" s="2">
        <v>53775</v>
      </c>
      <c r="P2911" s="2"/>
      <c r="Q2911" s="2"/>
      <c r="R2911" s="2" t="s">
        <v>19471</v>
      </c>
      <c r="S2911" s="2" t="s">
        <v>19472</v>
      </c>
      <c r="T2911" s="2" t="s">
        <v>19473</v>
      </c>
      <c r="U2911" s="2" t="s">
        <v>331</v>
      </c>
      <c r="V2911" s="2" t="s">
        <v>332</v>
      </c>
      <c r="W2911" s="2" t="s">
        <v>511</v>
      </c>
      <c r="X2911" s="2" t="s">
        <v>69</v>
      </c>
      <c r="Y2911" s="2">
        <v>62.6</v>
      </c>
      <c r="Z2911" s="2">
        <v>96.1</v>
      </c>
      <c r="AA2911" s="2" t="s">
        <v>512</v>
      </c>
      <c r="AB2911" s="2" t="s">
        <v>19474</v>
      </c>
      <c r="AC2911" s="2">
        <v>2.7089772071543501</v>
      </c>
      <c r="AD2911" s="2"/>
      <c r="AE2911" s="2">
        <v>0.208146452825203</v>
      </c>
      <c r="AF2911" s="2">
        <v>40101.947104944797</v>
      </c>
      <c r="AG2911" s="2">
        <v>32767.929561037399</v>
      </c>
      <c r="AH2911" s="5">
        <v>1.2238169344891401</v>
      </c>
      <c r="AI2911" s="5">
        <v>0.29138776762447</v>
      </c>
      <c r="AJ2911" s="5" t="s">
        <v>139</v>
      </c>
      <c r="AK2911" s="2">
        <v>0.61130891792619702</v>
      </c>
      <c r="AL2911" s="2">
        <v>0.80562509339130595</v>
      </c>
      <c r="AM2911" s="2">
        <v>26703.396063235399</v>
      </c>
      <c r="AN2911" s="2">
        <v>22966.069768071498</v>
      </c>
      <c r="AO2911" s="2">
        <v>50334.754926236499</v>
      </c>
      <c r="AP2911" s="2">
        <v>15365.435860195301</v>
      </c>
      <c r="AQ2911" s="2">
        <v>98702.943490064994</v>
      </c>
      <c r="AR2911" s="2">
        <v>26539.082521865199</v>
      </c>
      <c r="AS2911" s="2">
        <v>32873.192499753903</v>
      </c>
      <c r="AT2911" s="2">
        <v>15712.209629962999</v>
      </c>
      <c r="AU2911" s="2">
        <v>44797.9684399623</v>
      </c>
      <c r="AV2911" s="2">
        <v>47506.079762483598</v>
      </c>
      <c r="AW2911" s="2">
        <v>41184.1670626005</v>
      </c>
      <c r="AX2911" s="2">
        <v>14533.959971460999</v>
      </c>
    </row>
    <row r="2912" spans="1:50" x14ac:dyDescent="0.25">
      <c r="A2912" s="2" t="s">
        <v>19475</v>
      </c>
      <c r="B2912" s="2">
        <v>255.12359128563401</v>
      </c>
      <c r="C2912" s="2">
        <v>5.1832166666666701</v>
      </c>
      <c r="D2912" s="2" t="s">
        <v>51</v>
      </c>
      <c r="E2912" s="2" t="s">
        <v>19476</v>
      </c>
      <c r="F2912" s="2">
        <v>10271</v>
      </c>
      <c r="G2912" s="3" t="str">
        <f>HYPERLINK("https://cloud.oebiotech.com/#/lm/network/10271", "https://cloud.oebiotech.com/#/lm/network/10271")</f>
        <v>https://cloud.oebiotech.com/#/lm/network/10271</v>
      </c>
      <c r="H2912" s="2"/>
      <c r="I2912" s="2"/>
      <c r="J2912" s="2" t="s">
        <v>19477</v>
      </c>
      <c r="K2912" s="2">
        <v>86289656</v>
      </c>
      <c r="L2912" s="2"/>
      <c r="M2912" s="2"/>
      <c r="N2912" s="2"/>
      <c r="O2912" s="2">
        <v>78830</v>
      </c>
      <c r="P2912" s="2"/>
      <c r="Q2912" s="2"/>
      <c r="R2912" s="2"/>
      <c r="S2912" s="2" t="s">
        <v>19478</v>
      </c>
      <c r="T2912" s="2" t="s">
        <v>19479</v>
      </c>
      <c r="U2912" s="2" t="s">
        <v>331</v>
      </c>
      <c r="V2912" s="2" t="s">
        <v>332</v>
      </c>
      <c r="W2912" s="2" t="s">
        <v>333</v>
      </c>
      <c r="X2912" s="2" t="s">
        <v>83</v>
      </c>
      <c r="Y2912" s="2">
        <v>57</v>
      </c>
      <c r="Z2912" s="2">
        <v>7.31</v>
      </c>
      <c r="AA2912" s="2" t="s">
        <v>379</v>
      </c>
      <c r="AB2912" s="2" t="s">
        <v>19480</v>
      </c>
      <c r="AC2912" s="2">
        <v>-0.75149936212730395</v>
      </c>
      <c r="AD2912" s="2"/>
      <c r="AE2912" s="2">
        <v>0.20807206290015601</v>
      </c>
      <c r="AF2912" s="2">
        <v>2163.8322336246101</v>
      </c>
      <c r="AG2912" s="2">
        <v>1045.5836321198401</v>
      </c>
      <c r="AH2912" s="5">
        <v>2.0694970417981899</v>
      </c>
      <c r="AI2912" s="5">
        <v>1.04928018633765</v>
      </c>
      <c r="AJ2912" s="5" t="s">
        <v>139</v>
      </c>
      <c r="AK2912" s="2">
        <v>0.29648580568449201</v>
      </c>
      <c r="AL2912" s="2">
        <v>0.60781637719227499</v>
      </c>
      <c r="AM2912" s="2">
        <v>6258.4376334584604</v>
      </c>
      <c r="AN2912" s="2">
        <v>2377.1522888772702</v>
      </c>
      <c r="AO2912" s="2">
        <v>1144.7041316091099</v>
      </c>
      <c r="AP2912" s="2">
        <v>696.02920470805998</v>
      </c>
      <c r="AQ2912" s="2">
        <v>1225.0975047995701</v>
      </c>
      <c r="AR2912" s="2">
        <v>1281.57263829518</v>
      </c>
      <c r="AS2912" s="2">
        <v>597.26805251461496</v>
      </c>
      <c r="AT2912" s="2">
        <v>8.559877937157E-6</v>
      </c>
      <c r="AU2912" s="2">
        <v>3640.92955763796</v>
      </c>
      <c r="AV2912" s="2">
        <v>256.87345344783</v>
      </c>
      <c r="AW2912" s="2">
        <v>362.69949744374401</v>
      </c>
      <c r="AX2912" s="2">
        <v>1415.7312231149999</v>
      </c>
    </row>
    <row r="2913" spans="1:50" x14ac:dyDescent="0.25">
      <c r="A2913" s="2" t="s">
        <v>19481</v>
      </c>
      <c r="B2913" s="2">
        <v>180.9836</v>
      </c>
      <c r="C2913" s="2">
        <v>10.792</v>
      </c>
      <c r="D2913" s="2" t="s">
        <v>125</v>
      </c>
      <c r="E2913" s="2" t="s">
        <v>19482</v>
      </c>
      <c r="F2913" s="2">
        <v>81784</v>
      </c>
      <c r="G2913" s="3" t="str">
        <f>HYPERLINK("https://cloud.oebiotech.com/#/lm/network/81784", "https://cloud.oebiotech.com/#/lm/network/81784")</f>
        <v>https://cloud.oebiotech.com/#/lm/network/81784</v>
      </c>
      <c r="H2913" s="2" t="s">
        <v>19483</v>
      </c>
      <c r="I2913" s="2">
        <v>2197</v>
      </c>
      <c r="J2913" s="2"/>
      <c r="K2913" s="2">
        <v>1047</v>
      </c>
      <c r="L2913" s="2" t="s">
        <v>19484</v>
      </c>
      <c r="M2913" s="2"/>
      <c r="N2913" s="2"/>
      <c r="O2913" s="2">
        <v>71311</v>
      </c>
      <c r="P2913" s="2"/>
      <c r="Q2913" s="2"/>
      <c r="R2913" s="2" t="s">
        <v>19485</v>
      </c>
      <c r="S2913" s="2" t="s">
        <v>19486</v>
      </c>
      <c r="T2913" s="2" t="s">
        <v>19487</v>
      </c>
      <c r="U2913" s="2" t="s">
        <v>266</v>
      </c>
      <c r="V2913" s="2" t="s">
        <v>3926</v>
      </c>
      <c r="W2913" s="2" t="s">
        <v>3927</v>
      </c>
      <c r="X2913" s="2" t="s">
        <v>59</v>
      </c>
      <c r="Y2913" s="2">
        <v>71.400000000000006</v>
      </c>
      <c r="Z2913" s="2">
        <v>54.4</v>
      </c>
      <c r="AA2913" s="2"/>
      <c r="AB2913" s="2" t="s">
        <v>19488</v>
      </c>
      <c r="AC2913" s="2"/>
      <c r="AD2913" s="2">
        <v>365179.10979228502</v>
      </c>
      <c r="AE2913" s="2">
        <v>0.20793625369653601</v>
      </c>
      <c r="AF2913" s="2">
        <v>22821.492433219599</v>
      </c>
      <c r="AG2913" s="2">
        <v>12988.4653855078</v>
      </c>
      <c r="AH2913" s="5">
        <v>1.75705841728486</v>
      </c>
      <c r="AI2913" s="5">
        <v>0.81316215772428502</v>
      </c>
      <c r="AJ2913" s="5" t="s">
        <v>139</v>
      </c>
      <c r="AK2913" s="2">
        <v>2.6921911135008601E-2</v>
      </c>
      <c r="AL2913" s="2">
        <v>0.25289923831018501</v>
      </c>
      <c r="AM2913" s="2">
        <v>31500.471713142499</v>
      </c>
      <c r="AN2913" s="2">
        <v>20965.051521875401</v>
      </c>
      <c r="AO2913" s="2">
        <v>26766.636800794899</v>
      </c>
      <c r="AP2913" s="2">
        <v>25535.4207305745</v>
      </c>
      <c r="AQ2913" s="2">
        <v>12249.655796314</v>
      </c>
      <c r="AR2913" s="2">
        <v>19911.718036615999</v>
      </c>
      <c r="AS2913" s="2">
        <v>19578.7614578229</v>
      </c>
      <c r="AT2913" s="2">
        <v>14504.1815575658</v>
      </c>
      <c r="AU2913" s="2">
        <v>14237.3170275992</v>
      </c>
      <c r="AV2913" s="2">
        <v>18546.740354113299</v>
      </c>
      <c r="AW2913" s="2">
        <v>2299.8352172700202</v>
      </c>
      <c r="AX2913" s="2">
        <v>8763.95669867584</v>
      </c>
    </row>
    <row r="2914" spans="1:50" x14ac:dyDescent="0.25">
      <c r="A2914" s="2" t="s">
        <v>19489</v>
      </c>
      <c r="B2914" s="2">
        <v>271.13594213296199</v>
      </c>
      <c r="C2914" s="2">
        <v>4.5012333333333299</v>
      </c>
      <c r="D2914" s="2" t="s">
        <v>51</v>
      </c>
      <c r="E2914" s="2" t="s">
        <v>19490</v>
      </c>
      <c r="F2914" s="2">
        <v>267505</v>
      </c>
      <c r="G2914" s="3" t="str">
        <f>HYPERLINK("https://cloud.oebiotech.com/#/lm/network/267505", "https://cloud.oebiotech.com/#/lm/network/267505")</f>
        <v>https://cloud.oebiotech.com/#/lm/network/267505</v>
      </c>
      <c r="H2914" s="2"/>
      <c r="I2914" s="2">
        <v>45578</v>
      </c>
      <c r="J2914" s="2"/>
      <c r="K2914" s="2">
        <v>11565518</v>
      </c>
      <c r="L2914" s="2"/>
      <c r="M2914" s="2"/>
      <c r="N2914" s="2"/>
      <c r="O2914" s="2"/>
      <c r="P2914" s="2"/>
      <c r="Q2914" s="2"/>
      <c r="R2914" s="2" t="s">
        <v>19491</v>
      </c>
      <c r="S2914" s="2" t="s">
        <v>19492</v>
      </c>
      <c r="T2914" s="2" t="s">
        <v>19493</v>
      </c>
      <c r="U2914" s="2" t="s">
        <v>610</v>
      </c>
      <c r="V2914" s="2" t="s">
        <v>611</v>
      </c>
      <c r="W2914" s="2" t="s">
        <v>19494</v>
      </c>
      <c r="X2914" s="2" t="s">
        <v>147</v>
      </c>
      <c r="Y2914" s="2">
        <v>37.5</v>
      </c>
      <c r="Z2914" s="2">
        <v>0</v>
      </c>
      <c r="AA2914" s="2" t="s">
        <v>379</v>
      </c>
      <c r="AB2914" s="2" t="s">
        <v>19495</v>
      </c>
      <c r="AC2914" s="2">
        <v>2.1942085032710001</v>
      </c>
      <c r="AD2914" s="2"/>
      <c r="AE2914" s="2">
        <v>0.20788193277439701</v>
      </c>
      <c r="AF2914" s="2">
        <v>1612.319284186</v>
      </c>
      <c r="AG2914" s="2">
        <v>318.25188303836802</v>
      </c>
      <c r="AH2914" s="5">
        <v>5.0661735880180796</v>
      </c>
      <c r="AI2914" s="5">
        <v>2.3408965105842401</v>
      </c>
      <c r="AJ2914" s="5" t="s">
        <v>139</v>
      </c>
      <c r="AK2914" s="2">
        <v>8.67003561037092E-2</v>
      </c>
      <c r="AL2914" s="2">
        <v>0.38016249201456498</v>
      </c>
      <c r="AM2914" s="2">
        <v>4330.56879467607</v>
      </c>
      <c r="AN2914" s="2">
        <v>221.72343809421</v>
      </c>
      <c r="AO2914" s="2">
        <v>215.14336782385499</v>
      </c>
      <c r="AP2914" s="2">
        <v>1696.5293293760601</v>
      </c>
      <c r="AQ2914" s="2">
        <v>2480.7547081784901</v>
      </c>
      <c r="AR2914" s="2">
        <v>729.19606696733103</v>
      </c>
      <c r="AS2914" s="2">
        <v>8.559877937157E-6</v>
      </c>
      <c r="AT2914" s="2">
        <v>8.559877937157E-6</v>
      </c>
      <c r="AU2914" s="2">
        <v>79.623344020865801</v>
      </c>
      <c r="AV2914" s="2">
        <v>1048.40481437423</v>
      </c>
      <c r="AW2914" s="2">
        <v>781.48311415548096</v>
      </c>
      <c r="AX2914" s="2">
        <v>8.559877937157E-6</v>
      </c>
    </row>
    <row r="2915" spans="1:50" x14ac:dyDescent="0.25">
      <c r="A2915" s="2" t="s">
        <v>19496</v>
      </c>
      <c r="B2915" s="2">
        <v>193.13156656710299</v>
      </c>
      <c r="C2915" s="2">
        <v>0.63544999999999996</v>
      </c>
      <c r="D2915" s="2" t="s">
        <v>51</v>
      </c>
      <c r="E2915" s="2" t="s">
        <v>19497</v>
      </c>
      <c r="F2915" s="2">
        <v>202235</v>
      </c>
      <c r="G2915" s="3" t="str">
        <f>HYPERLINK("https://cloud.oebiotech.com/#/lm/network/202235", "https://cloud.oebiotech.com/#/lm/network/202235")</f>
        <v>https://cloud.oebiotech.com/#/lm/network/202235</v>
      </c>
      <c r="H2915" s="2" t="s">
        <v>19498</v>
      </c>
      <c r="I2915" s="2"/>
      <c r="J2915" s="2"/>
      <c r="K2915" s="2">
        <v>4470972</v>
      </c>
      <c r="L2915" s="2"/>
      <c r="M2915" s="2"/>
      <c r="N2915" s="2"/>
      <c r="O2915" s="2"/>
      <c r="P2915" s="2"/>
      <c r="Q2915" s="2"/>
      <c r="R2915" s="2"/>
      <c r="S2915" s="2" t="s">
        <v>19499</v>
      </c>
      <c r="T2915" s="2" t="s">
        <v>19500</v>
      </c>
      <c r="U2915" s="2" t="s">
        <v>103</v>
      </c>
      <c r="V2915" s="2" t="s">
        <v>104</v>
      </c>
      <c r="W2915" s="2" t="s">
        <v>105</v>
      </c>
      <c r="X2915" s="2" t="s">
        <v>147</v>
      </c>
      <c r="Y2915" s="2">
        <v>38.9</v>
      </c>
      <c r="Z2915" s="2">
        <v>0</v>
      </c>
      <c r="AA2915" s="2" t="s">
        <v>95</v>
      </c>
      <c r="AB2915" s="2" t="s">
        <v>19501</v>
      </c>
      <c r="AC2915" s="2">
        <v>2.5430575856657498</v>
      </c>
      <c r="AD2915" s="2"/>
      <c r="AE2915" s="2">
        <v>0.20783208278970999</v>
      </c>
      <c r="AF2915" s="2">
        <v>2081.1644100124499</v>
      </c>
      <c r="AG2915" s="2">
        <v>3052.0111719609199</v>
      </c>
      <c r="AH2915" s="4">
        <v>0.68189934202478497</v>
      </c>
      <c r="AI2915" s="4">
        <v>-0.55236930208851798</v>
      </c>
      <c r="AJ2915" s="4" t="s">
        <v>62</v>
      </c>
      <c r="AK2915" s="2">
        <v>2.32998679854745E-3</v>
      </c>
      <c r="AL2915" s="2">
        <v>0.101912249503871</v>
      </c>
      <c r="AM2915" s="2">
        <v>1726.5618089864099</v>
      </c>
      <c r="AN2915" s="2">
        <v>2883.5467775339298</v>
      </c>
      <c r="AO2915" s="2">
        <v>2305.3326972964501</v>
      </c>
      <c r="AP2915" s="2">
        <v>2000.2777884100899</v>
      </c>
      <c r="AQ2915" s="2">
        <v>1941.79857249564</v>
      </c>
      <c r="AR2915" s="2">
        <v>1629.4688153521599</v>
      </c>
      <c r="AS2915" s="2">
        <v>2683.9146695675299</v>
      </c>
      <c r="AT2915" s="2">
        <v>3117.2268377404298</v>
      </c>
      <c r="AU2915" s="2">
        <v>2533.9280898254201</v>
      </c>
      <c r="AV2915" s="2">
        <v>3312.1429736643099</v>
      </c>
      <c r="AW2915" s="2">
        <v>3478.1380156965902</v>
      </c>
      <c r="AX2915" s="2">
        <v>3186.71644527126</v>
      </c>
    </row>
    <row r="2916" spans="1:50" x14ac:dyDescent="0.25">
      <c r="A2916" s="2" t="s">
        <v>19502</v>
      </c>
      <c r="B2916" s="2">
        <v>502.375257142468</v>
      </c>
      <c r="C2916" s="2">
        <v>13.4911166666667</v>
      </c>
      <c r="D2916" s="2" t="s">
        <v>51</v>
      </c>
      <c r="E2916" s="2" t="s">
        <v>19503</v>
      </c>
      <c r="F2916" s="2">
        <v>198101</v>
      </c>
      <c r="G2916" s="3" t="str">
        <f>HYPERLINK("https://cloud.oebiotech.com/#/lm/network/198101", "https://cloud.oebiotech.com/#/lm/network/198101")</f>
        <v>https://cloud.oebiotech.com/#/lm/network/198101</v>
      </c>
      <c r="H2916" s="2" t="s">
        <v>19504</v>
      </c>
      <c r="I2916" s="2"/>
      <c r="J2916" s="2"/>
      <c r="K2916" s="2"/>
      <c r="L2916" s="2"/>
      <c r="M2916" s="2"/>
      <c r="N2916" s="2"/>
      <c r="O2916" s="2"/>
      <c r="P2916" s="2"/>
      <c r="Q2916" s="2"/>
      <c r="R2916" s="2"/>
      <c r="S2916" s="2" t="s">
        <v>19505</v>
      </c>
      <c r="T2916" s="2" t="s">
        <v>19506</v>
      </c>
      <c r="U2916" s="2" t="s">
        <v>56</v>
      </c>
      <c r="V2916" s="2" t="s">
        <v>145</v>
      </c>
      <c r="W2916" s="2" t="s">
        <v>1188</v>
      </c>
      <c r="X2916" s="2" t="s">
        <v>147</v>
      </c>
      <c r="Y2916" s="2">
        <v>38.1</v>
      </c>
      <c r="Z2916" s="2">
        <v>0</v>
      </c>
      <c r="AA2916" s="2" t="s">
        <v>218</v>
      </c>
      <c r="AB2916" s="2" t="s">
        <v>19507</v>
      </c>
      <c r="AC2916" s="2">
        <v>0.72267406879518403</v>
      </c>
      <c r="AD2916" s="2"/>
      <c r="AE2916" s="2">
        <v>0.20761335445866699</v>
      </c>
      <c r="AF2916" s="2">
        <v>6225.1724559644899</v>
      </c>
      <c r="AG2916" s="2">
        <v>3017.4026541410999</v>
      </c>
      <c r="AH2916" s="5">
        <v>2.06308973958813</v>
      </c>
      <c r="AI2916" s="5">
        <v>1.0448065764560801</v>
      </c>
      <c r="AJ2916" s="5" t="s">
        <v>139</v>
      </c>
      <c r="AK2916" s="2">
        <v>0.223116370111583</v>
      </c>
      <c r="AL2916" s="2">
        <v>0.54894302685029694</v>
      </c>
      <c r="AM2916" s="2">
        <v>755.83482033602604</v>
      </c>
      <c r="AN2916" s="2">
        <v>8637.7240665345107</v>
      </c>
      <c r="AO2916" s="2">
        <v>6228.4523336443899</v>
      </c>
      <c r="AP2916" s="2">
        <v>15654.0058567252</v>
      </c>
      <c r="AQ2916" s="2">
        <v>4054.9067127507801</v>
      </c>
      <c r="AR2916" s="2">
        <v>2020.1109457960099</v>
      </c>
      <c r="AS2916" s="2">
        <v>8.559877937157E-6</v>
      </c>
      <c r="AT2916" s="2">
        <v>5012.36084449805</v>
      </c>
      <c r="AU2916" s="2">
        <v>1082.3653534719199</v>
      </c>
      <c r="AV2916" s="2">
        <v>1137.1815905558501</v>
      </c>
      <c r="AW2916" s="2">
        <v>4046.5645111743302</v>
      </c>
      <c r="AX2916" s="2">
        <v>6825.94361658659</v>
      </c>
    </row>
    <row r="2917" spans="1:50" x14ac:dyDescent="0.25">
      <c r="A2917" s="2" t="s">
        <v>19508</v>
      </c>
      <c r="B2917" s="2">
        <v>623.34434516352496</v>
      </c>
      <c r="C2917" s="2">
        <v>9.6046833333333304</v>
      </c>
      <c r="D2917" s="2" t="s">
        <v>51</v>
      </c>
      <c r="E2917" s="2" t="s">
        <v>19509</v>
      </c>
      <c r="F2917" s="2">
        <v>43758</v>
      </c>
      <c r="G2917" s="3" t="str">
        <f>HYPERLINK("https://cloud.oebiotech.com/#/lm/network/43758", "https://cloud.oebiotech.com/#/lm/network/43758")</f>
        <v>https://cloud.oebiotech.com/#/lm/network/43758</v>
      </c>
      <c r="H2917" s="2"/>
      <c r="I2917" s="2"/>
      <c r="J2917" s="2" t="s">
        <v>19510</v>
      </c>
      <c r="K2917" s="2">
        <v>101514324</v>
      </c>
      <c r="L2917" s="2"/>
      <c r="M2917" s="2"/>
      <c r="N2917" s="2"/>
      <c r="O2917" s="2"/>
      <c r="P2917" s="2"/>
      <c r="Q2917" s="2"/>
      <c r="R2917" s="2"/>
      <c r="S2917" s="2" t="s">
        <v>19511</v>
      </c>
      <c r="T2917" s="2" t="s">
        <v>19512</v>
      </c>
      <c r="U2917" s="2" t="s">
        <v>56</v>
      </c>
      <c r="V2917" s="2" t="s">
        <v>283</v>
      </c>
      <c r="W2917" s="2" t="s">
        <v>3462</v>
      </c>
      <c r="X2917" s="2" t="s">
        <v>147</v>
      </c>
      <c r="Y2917" s="2">
        <v>38.200000000000003</v>
      </c>
      <c r="Z2917" s="2">
        <v>0</v>
      </c>
      <c r="AA2917" s="2" t="s">
        <v>60</v>
      </c>
      <c r="AB2917" s="2" t="s">
        <v>19513</v>
      </c>
      <c r="AC2917" s="2">
        <v>2.82213274794923</v>
      </c>
      <c r="AD2917" s="2"/>
      <c r="AE2917" s="2">
        <v>0.207489157603581</v>
      </c>
      <c r="AF2917" s="2">
        <v>573.54289855112597</v>
      </c>
      <c r="AG2917" s="2">
        <v>2904.0089181122098</v>
      </c>
      <c r="AH2917" s="4">
        <v>0.197500391604846</v>
      </c>
      <c r="AI2917" s="4">
        <v>-2.3400725810112499</v>
      </c>
      <c r="AJ2917" s="4" t="s">
        <v>62</v>
      </c>
      <c r="AK2917" s="2">
        <v>0.37175186899464802</v>
      </c>
      <c r="AL2917" s="2">
        <v>0.65414666455875103</v>
      </c>
      <c r="AM2917" s="2">
        <v>1043.0476667376599</v>
      </c>
      <c r="AN2917" s="2">
        <v>1695.2832395221801</v>
      </c>
      <c r="AO2917" s="2">
        <v>8.559877937157E-6</v>
      </c>
      <c r="AP2917" s="2">
        <v>8.559877937157E-6</v>
      </c>
      <c r="AQ2917" s="2">
        <v>358.15463531565001</v>
      </c>
      <c r="AR2917" s="2">
        <v>344.77183261151202</v>
      </c>
      <c r="AS2917" s="2">
        <v>15196.5834518457</v>
      </c>
      <c r="AT2917" s="2">
        <v>1909.9573990558099</v>
      </c>
      <c r="AU2917" s="2">
        <v>8.559877937157E-6</v>
      </c>
      <c r="AV2917" s="2">
        <v>8.559877937157E-6</v>
      </c>
      <c r="AW2917" s="2">
        <v>317.51263209213897</v>
      </c>
      <c r="AX2917" s="2">
        <v>8.559877937157E-6</v>
      </c>
    </row>
    <row r="2918" spans="1:50" x14ac:dyDescent="0.25">
      <c r="A2918" s="2" t="s">
        <v>19514</v>
      </c>
      <c r="B2918" s="2">
        <v>312.32697053805498</v>
      </c>
      <c r="C2918" s="2">
        <v>14.2899333333333</v>
      </c>
      <c r="D2918" s="2" t="s">
        <v>51</v>
      </c>
      <c r="E2918" s="2" t="s">
        <v>19515</v>
      </c>
      <c r="F2918" s="2">
        <v>10092</v>
      </c>
      <c r="G2918" s="3" t="str">
        <f>HYPERLINK("https://cloud.oebiotech.com/#/lm/network/10092", "https://cloud.oebiotech.com/#/lm/network/10092")</f>
        <v>https://cloud.oebiotech.com/#/lm/network/10092</v>
      </c>
      <c r="H2918" s="2"/>
      <c r="I2918" s="2">
        <v>98297</v>
      </c>
      <c r="J2918" s="2" t="s">
        <v>19516</v>
      </c>
      <c r="K2918" s="2">
        <v>15708134</v>
      </c>
      <c r="L2918" s="2"/>
      <c r="M2918" s="2"/>
      <c r="N2918" s="2"/>
      <c r="O2918" s="2"/>
      <c r="P2918" s="2"/>
      <c r="Q2918" s="2"/>
      <c r="R2918" s="2"/>
      <c r="S2918" s="2" t="s">
        <v>19517</v>
      </c>
      <c r="T2918" s="2" t="s">
        <v>19518</v>
      </c>
      <c r="U2918" s="2" t="s">
        <v>266</v>
      </c>
      <c r="V2918" s="2" t="s">
        <v>1593</v>
      </c>
      <c r="W2918" s="2" t="s">
        <v>240</v>
      </c>
      <c r="X2918" s="2" t="s">
        <v>83</v>
      </c>
      <c r="Y2918" s="2">
        <v>47.7</v>
      </c>
      <c r="Z2918" s="2">
        <v>5.2299999999999999E-2</v>
      </c>
      <c r="AA2918" s="2" t="s">
        <v>512</v>
      </c>
      <c r="AB2918" s="2" t="s">
        <v>7094</v>
      </c>
      <c r="AC2918" s="2">
        <v>2.9874038062534298</v>
      </c>
      <c r="AD2918" s="2"/>
      <c r="AE2918" s="2">
        <v>0.20729183887442501</v>
      </c>
      <c r="AF2918" s="2">
        <v>4845.5783185506098</v>
      </c>
      <c r="AG2918" s="2">
        <v>5942.4024120785498</v>
      </c>
      <c r="AH2918" s="4">
        <v>0.81542413026446603</v>
      </c>
      <c r="AI2918" s="4">
        <v>-0.29437744478424999</v>
      </c>
      <c r="AJ2918" s="4" t="s">
        <v>62</v>
      </c>
      <c r="AK2918" s="2">
        <v>1.3902510421259799E-2</v>
      </c>
      <c r="AL2918" s="2">
        <v>0.18716372873247</v>
      </c>
      <c r="AM2918" s="2">
        <v>4865.2937987206296</v>
      </c>
      <c r="AN2918" s="2">
        <v>5293.936070019</v>
      </c>
      <c r="AO2918" s="2">
        <v>4632.1305467018301</v>
      </c>
      <c r="AP2918" s="2">
        <v>4443.5943099065998</v>
      </c>
      <c r="AQ2918" s="2">
        <v>5884.7351830923899</v>
      </c>
      <c r="AR2918" s="2">
        <v>3953.78000286323</v>
      </c>
      <c r="AS2918" s="2">
        <v>5779.2748406726796</v>
      </c>
      <c r="AT2918" s="2">
        <v>5800.161012433</v>
      </c>
      <c r="AU2918" s="2">
        <v>5090.70110146345</v>
      </c>
      <c r="AV2918" s="2">
        <v>6012.6945076536804</v>
      </c>
      <c r="AW2918" s="2">
        <v>6025.5820279276004</v>
      </c>
      <c r="AX2918" s="2">
        <v>6946.0009823208802</v>
      </c>
    </row>
    <row r="2919" spans="1:50" x14ac:dyDescent="0.25">
      <c r="A2919" s="2" t="s">
        <v>19519</v>
      </c>
      <c r="B2919" s="2">
        <v>375.14817925454298</v>
      </c>
      <c r="C2919" s="2">
        <v>12.051083333333301</v>
      </c>
      <c r="D2919" s="2" t="s">
        <v>51</v>
      </c>
      <c r="E2919" s="2" t="s">
        <v>19520</v>
      </c>
      <c r="F2919" s="2">
        <v>206406</v>
      </c>
      <c r="G2919" s="3" t="str">
        <f>HYPERLINK("https://cloud.oebiotech.com/#/lm/network/206406", "https://cloud.oebiotech.com/#/lm/network/206406")</f>
        <v>https://cloud.oebiotech.com/#/lm/network/206406</v>
      </c>
      <c r="H2919" s="2" t="s">
        <v>19521</v>
      </c>
      <c r="I2919" s="2"/>
      <c r="J2919" s="2"/>
      <c r="K2919" s="2">
        <v>23278464</v>
      </c>
      <c r="L2919" s="2"/>
      <c r="M2919" s="2"/>
      <c r="N2919" s="2"/>
      <c r="O2919" s="2"/>
      <c r="P2919" s="2"/>
      <c r="Q2919" s="2"/>
      <c r="R2919" s="2"/>
      <c r="S2919" s="2" t="s">
        <v>19522</v>
      </c>
      <c r="T2919" s="2" t="s">
        <v>19523</v>
      </c>
      <c r="U2919" s="2" t="s">
        <v>266</v>
      </c>
      <c r="V2919" s="2" t="s">
        <v>2781</v>
      </c>
      <c r="W2919" s="2" t="s">
        <v>2782</v>
      </c>
      <c r="X2919" s="2" t="s">
        <v>147</v>
      </c>
      <c r="Y2919" s="2">
        <v>37.799999999999997</v>
      </c>
      <c r="Z2919" s="2">
        <v>0</v>
      </c>
      <c r="AA2919" s="2" t="s">
        <v>379</v>
      </c>
      <c r="AB2919" s="2" t="s">
        <v>19524</v>
      </c>
      <c r="AC2919" s="2">
        <v>1.9593303499052901</v>
      </c>
      <c r="AD2919" s="2"/>
      <c r="AE2919" s="2">
        <v>0.20715104178340801</v>
      </c>
      <c r="AF2919" s="2">
        <v>717.97674837733996</v>
      </c>
      <c r="AG2919" s="2">
        <v>2405.0019627829902</v>
      </c>
      <c r="AH2919" s="4">
        <v>0.29853478686833201</v>
      </c>
      <c r="AI2919" s="4">
        <v>-1.7440290430679799</v>
      </c>
      <c r="AJ2919" s="4" t="s">
        <v>62</v>
      </c>
      <c r="AK2919" s="2">
        <v>8.8292313172619694E-2</v>
      </c>
      <c r="AL2919" s="2">
        <v>0.38072356452622402</v>
      </c>
      <c r="AM2919" s="2">
        <v>912.18280390049904</v>
      </c>
      <c r="AN2919" s="2">
        <v>919.59309902514701</v>
      </c>
      <c r="AO2919" s="2">
        <v>1517.92655787322</v>
      </c>
      <c r="AP2919" s="2">
        <v>364.55591219652399</v>
      </c>
      <c r="AQ2919" s="2">
        <v>338.51367070205401</v>
      </c>
      <c r="AR2919" s="2">
        <v>255.08844656659301</v>
      </c>
      <c r="AS2919" s="2">
        <v>1110.55105631843</v>
      </c>
      <c r="AT2919" s="2">
        <v>151.82583901050899</v>
      </c>
      <c r="AU2919" s="2">
        <v>5644.5027711226403</v>
      </c>
      <c r="AV2919" s="2">
        <v>3030.4719350125101</v>
      </c>
      <c r="AW2919" s="2">
        <v>3835.7858988365901</v>
      </c>
      <c r="AX2919" s="2">
        <v>656.87427639724899</v>
      </c>
    </row>
    <row r="2920" spans="1:50" x14ac:dyDescent="0.25">
      <c r="A2920" s="2" t="s">
        <v>19525</v>
      </c>
      <c r="B2920" s="2">
        <v>537.25195836309399</v>
      </c>
      <c r="C2920" s="2">
        <v>7.4982666666666704</v>
      </c>
      <c r="D2920" s="2" t="s">
        <v>51</v>
      </c>
      <c r="E2920" s="2" t="s">
        <v>19526</v>
      </c>
      <c r="F2920" s="2">
        <v>44070</v>
      </c>
      <c r="G2920" s="3" t="str">
        <f>HYPERLINK("https://cloud.oebiotech.com/#/lm/network/44070", "https://cloud.oebiotech.com/#/lm/network/44070")</f>
        <v>https://cloud.oebiotech.com/#/lm/network/44070</v>
      </c>
      <c r="H2920" s="2"/>
      <c r="I2920" s="2">
        <v>84041</v>
      </c>
      <c r="J2920" s="2" t="s">
        <v>19527</v>
      </c>
      <c r="K2920" s="2">
        <v>44254701</v>
      </c>
      <c r="L2920" s="2"/>
      <c r="M2920" s="2"/>
      <c r="N2920" s="2"/>
      <c r="O2920" s="2"/>
      <c r="P2920" s="2"/>
      <c r="Q2920" s="2"/>
      <c r="R2920" s="2"/>
      <c r="S2920" s="2" t="s">
        <v>19528</v>
      </c>
      <c r="T2920" s="2" t="s">
        <v>19529</v>
      </c>
      <c r="U2920" s="2" t="s">
        <v>56</v>
      </c>
      <c r="V2920" s="2" t="s">
        <v>283</v>
      </c>
      <c r="W2920" s="2" t="s">
        <v>1108</v>
      </c>
      <c r="X2920" s="2" t="s">
        <v>147</v>
      </c>
      <c r="Y2920" s="2">
        <v>37</v>
      </c>
      <c r="Z2920" s="2">
        <v>0</v>
      </c>
      <c r="AA2920" s="2" t="s">
        <v>218</v>
      </c>
      <c r="AB2920" s="2" t="s">
        <v>19530</v>
      </c>
      <c r="AC2920" s="2">
        <v>-1.6343313623177</v>
      </c>
      <c r="AD2920" s="2"/>
      <c r="AE2920" s="2">
        <v>0.20712905529551701</v>
      </c>
      <c r="AF2920" s="2">
        <v>1332.5469407773401</v>
      </c>
      <c r="AG2920" s="2">
        <v>2260.2385238351599</v>
      </c>
      <c r="AH2920" s="4">
        <v>0.58956031707497902</v>
      </c>
      <c r="AI2920" s="4">
        <v>-0.76228867405993395</v>
      </c>
      <c r="AJ2920" s="4" t="s">
        <v>62</v>
      </c>
      <c r="AK2920" s="2">
        <v>1.1514277623132001E-2</v>
      </c>
      <c r="AL2920" s="2">
        <v>0.17165665021883</v>
      </c>
      <c r="AM2920" s="2">
        <v>1076.94721459436</v>
      </c>
      <c r="AN2920" s="2">
        <v>754.28522783583503</v>
      </c>
      <c r="AO2920" s="2">
        <v>1086.81981742421</v>
      </c>
      <c r="AP2920" s="2">
        <v>1935.0496325772599</v>
      </c>
      <c r="AQ2920" s="2">
        <v>1101.85502863784</v>
      </c>
      <c r="AR2920" s="2">
        <v>2040.3247235945501</v>
      </c>
      <c r="AS2920" s="2">
        <v>1899.28988726693</v>
      </c>
      <c r="AT2920" s="2">
        <v>2831.11138221803</v>
      </c>
      <c r="AU2920" s="2">
        <v>1496.22270295366</v>
      </c>
      <c r="AV2920" s="2">
        <v>2435.58665798832</v>
      </c>
      <c r="AW2920" s="2">
        <v>2140.8347573477199</v>
      </c>
      <c r="AX2920" s="2">
        <v>2758.3857552363302</v>
      </c>
    </row>
    <row r="2921" spans="1:50" x14ac:dyDescent="0.25">
      <c r="A2921" s="2" t="s">
        <v>19531</v>
      </c>
      <c r="B2921" s="2">
        <v>240.08745781351001</v>
      </c>
      <c r="C2921" s="2">
        <v>4.6486833333333299</v>
      </c>
      <c r="D2921" s="2" t="s">
        <v>51</v>
      </c>
      <c r="E2921" s="2" t="s">
        <v>19532</v>
      </c>
      <c r="F2921" s="2">
        <v>211435</v>
      </c>
      <c r="G2921" s="3" t="str">
        <f>HYPERLINK("https://cloud.oebiotech.com/#/lm/network/211435", "https://cloud.oebiotech.com/#/lm/network/211435")</f>
        <v>https://cloud.oebiotech.com/#/lm/network/211435</v>
      </c>
      <c r="H2921" s="2" t="s">
        <v>19533</v>
      </c>
      <c r="I2921" s="2"/>
      <c r="J2921" s="2"/>
      <c r="K2921" s="2">
        <v>54433909</v>
      </c>
      <c r="L2921" s="2"/>
      <c r="M2921" s="2"/>
      <c r="N2921" s="2"/>
      <c r="O2921" s="2"/>
      <c r="P2921" s="2"/>
      <c r="Q2921" s="2"/>
      <c r="R2921" s="2"/>
      <c r="S2921" s="2" t="s">
        <v>19534</v>
      </c>
      <c r="T2921" s="2" t="s">
        <v>19535</v>
      </c>
      <c r="U2921" s="2" t="s">
        <v>103</v>
      </c>
      <c r="V2921" s="2" t="s">
        <v>104</v>
      </c>
      <c r="W2921" s="2" t="s">
        <v>3415</v>
      </c>
      <c r="X2921" s="2" t="s">
        <v>147</v>
      </c>
      <c r="Y2921" s="2">
        <v>41.7</v>
      </c>
      <c r="Z2921" s="2">
        <v>18.8</v>
      </c>
      <c r="AA2921" s="2" t="s">
        <v>156</v>
      </c>
      <c r="AB2921" s="2" t="s">
        <v>19536</v>
      </c>
      <c r="AC2921" s="2">
        <v>3.1462153233675498</v>
      </c>
      <c r="AD2921" s="2"/>
      <c r="AE2921" s="2">
        <v>0.20704472138229801</v>
      </c>
      <c r="AF2921" s="2">
        <v>451.48792268384</v>
      </c>
      <c r="AG2921" s="2">
        <v>1954.2387350951201</v>
      </c>
      <c r="AH2921" s="4">
        <v>0.23103007558688299</v>
      </c>
      <c r="AI2921" s="4">
        <v>-2.1138474204076401</v>
      </c>
      <c r="AJ2921" s="4" t="s">
        <v>62</v>
      </c>
      <c r="AK2921" s="2">
        <v>0.10135984388644501</v>
      </c>
      <c r="AL2921" s="2">
        <v>0.405234608184393</v>
      </c>
      <c r="AM2921" s="2">
        <v>84.171296602075202</v>
      </c>
      <c r="AN2921" s="2">
        <v>435.310298041306</v>
      </c>
      <c r="AO2921" s="2">
        <v>43.360644777860998</v>
      </c>
      <c r="AP2921" s="2">
        <v>1078.0306856360401</v>
      </c>
      <c r="AQ2921" s="2">
        <v>221.86444713264601</v>
      </c>
      <c r="AR2921" s="2">
        <v>846.19016391311402</v>
      </c>
      <c r="AS2921" s="2">
        <v>1751.20862882293</v>
      </c>
      <c r="AT2921" s="2">
        <v>8.559877937157E-6</v>
      </c>
      <c r="AU2921" s="2">
        <v>5295.9712229238703</v>
      </c>
      <c r="AV2921" s="2">
        <v>3251.20190077902</v>
      </c>
      <c r="AW2921" s="2">
        <v>960.46110023049005</v>
      </c>
      <c r="AX2921" s="2">
        <v>466.58954925456101</v>
      </c>
    </row>
    <row r="2922" spans="1:50" x14ac:dyDescent="0.25">
      <c r="A2922" s="2" t="s">
        <v>19537</v>
      </c>
      <c r="B2922" s="2">
        <v>249.03788509266499</v>
      </c>
      <c r="C2922" s="2">
        <v>3.6886666666666699</v>
      </c>
      <c r="D2922" s="2" t="s">
        <v>51</v>
      </c>
      <c r="E2922" s="2" t="s">
        <v>19538</v>
      </c>
      <c r="F2922" s="2">
        <v>53133</v>
      </c>
      <c r="G2922" s="3" t="str">
        <f>HYPERLINK("https://cloud.oebiotech.com/#/lm/network/53133", "https://cloud.oebiotech.com/#/lm/network/53133")</f>
        <v>https://cloud.oebiotech.com/#/lm/network/53133</v>
      </c>
      <c r="H2922" s="2" t="s">
        <v>19539</v>
      </c>
      <c r="I2922" s="2">
        <v>2029</v>
      </c>
      <c r="J2922" s="2"/>
      <c r="K2922" s="2">
        <v>3059</v>
      </c>
      <c r="L2922" s="2" t="s">
        <v>19540</v>
      </c>
      <c r="M2922" s="2"/>
      <c r="N2922" s="2"/>
      <c r="O2922" s="2">
        <v>39669</v>
      </c>
      <c r="P2922" s="2"/>
      <c r="Q2922" s="2"/>
      <c r="R2922" s="2" t="s">
        <v>19541</v>
      </c>
      <c r="S2922" s="2" t="s">
        <v>19542</v>
      </c>
      <c r="T2922" s="2" t="s">
        <v>19543</v>
      </c>
      <c r="U2922" s="2" t="s">
        <v>610</v>
      </c>
      <c r="V2922" s="2" t="s">
        <v>611</v>
      </c>
      <c r="W2922" s="2" t="s">
        <v>8482</v>
      </c>
      <c r="X2922" s="2" t="s">
        <v>147</v>
      </c>
      <c r="Y2922" s="2">
        <v>37.700000000000003</v>
      </c>
      <c r="Z2922" s="2">
        <v>0</v>
      </c>
      <c r="AA2922" s="2" t="s">
        <v>163</v>
      </c>
      <c r="AB2922" s="2" t="s">
        <v>19544</v>
      </c>
      <c r="AC2922" s="2">
        <v>4.0431636692675701</v>
      </c>
      <c r="AD2922" s="2"/>
      <c r="AE2922" s="2">
        <v>0.207033955410798</v>
      </c>
      <c r="AF2922" s="2">
        <v>12500.363904309001</v>
      </c>
      <c r="AG2922" s="2">
        <v>10141.425190886401</v>
      </c>
      <c r="AH2922" s="5">
        <v>1.23260426113901</v>
      </c>
      <c r="AI2922" s="5">
        <v>0.30170968365506301</v>
      </c>
      <c r="AJ2922" s="5" t="s">
        <v>139</v>
      </c>
      <c r="AK2922" s="2">
        <v>0.44531930905131201</v>
      </c>
      <c r="AL2922" s="2">
        <v>0.700312309697811</v>
      </c>
      <c r="AM2922" s="2">
        <v>14735.5116044509</v>
      </c>
      <c r="AN2922" s="2">
        <v>8244.6170308397195</v>
      </c>
      <c r="AO2922" s="2">
        <v>7482.0045264180399</v>
      </c>
      <c r="AP2922" s="2">
        <v>13384.826642935799</v>
      </c>
      <c r="AQ2922" s="2">
        <v>19980.523297144799</v>
      </c>
      <c r="AR2922" s="2">
        <v>11174.700324064999</v>
      </c>
      <c r="AS2922" s="2">
        <v>12206.798478777901</v>
      </c>
      <c r="AT2922" s="2">
        <v>19836.3601271318</v>
      </c>
      <c r="AU2922" s="2">
        <v>8103.7452250408496</v>
      </c>
      <c r="AV2922" s="2">
        <v>3876.8761877519901</v>
      </c>
      <c r="AW2922" s="2">
        <v>10649.578932595499</v>
      </c>
      <c r="AX2922" s="2">
        <v>6175.1921940201501</v>
      </c>
    </row>
    <row r="2923" spans="1:50" x14ac:dyDescent="0.25">
      <c r="A2923" s="2" t="s">
        <v>19545</v>
      </c>
      <c r="B2923" s="2">
        <v>267.03817157550299</v>
      </c>
      <c r="C2923" s="2">
        <v>5.2225333333333301</v>
      </c>
      <c r="D2923" s="2" t="s">
        <v>51</v>
      </c>
      <c r="E2923" s="2" t="s">
        <v>19546</v>
      </c>
      <c r="F2923" s="2">
        <v>210732</v>
      </c>
      <c r="G2923" s="3" t="str">
        <f>HYPERLINK("https://cloud.oebiotech.com/#/lm/network/210732", "https://cloud.oebiotech.com/#/lm/network/210732")</f>
        <v>https://cloud.oebiotech.com/#/lm/network/210732</v>
      </c>
      <c r="H2923" s="2" t="s">
        <v>19547</v>
      </c>
      <c r="I2923" s="2">
        <v>831145</v>
      </c>
      <c r="J2923" s="2"/>
      <c r="K2923" s="2">
        <v>53630237</v>
      </c>
      <c r="L2923" s="2"/>
      <c r="M2923" s="2"/>
      <c r="N2923" s="2"/>
      <c r="O2923" s="2"/>
      <c r="P2923" s="2"/>
      <c r="Q2923" s="2"/>
      <c r="R2923" s="2"/>
      <c r="S2923" s="2" t="s">
        <v>19548</v>
      </c>
      <c r="T2923" s="2" t="s">
        <v>19549</v>
      </c>
      <c r="U2923" s="2" t="s">
        <v>266</v>
      </c>
      <c r="V2923" s="2" t="s">
        <v>5323</v>
      </c>
      <c r="W2923" s="2" t="s">
        <v>240</v>
      </c>
      <c r="X2923" s="2" t="s">
        <v>147</v>
      </c>
      <c r="Y2923" s="2">
        <v>39.299999999999997</v>
      </c>
      <c r="Z2923" s="2">
        <v>0</v>
      </c>
      <c r="AA2923" s="2" t="s">
        <v>478</v>
      </c>
      <c r="AB2923" s="2" t="s">
        <v>19550</v>
      </c>
      <c r="AC2923" s="2">
        <v>-1.0199688915171501</v>
      </c>
      <c r="AD2923" s="2"/>
      <c r="AE2923" s="2">
        <v>0.206967135179394</v>
      </c>
      <c r="AF2923" s="2">
        <v>3504.9543532881098</v>
      </c>
      <c r="AG2923" s="2">
        <v>2247.5484778199202</v>
      </c>
      <c r="AH2923" s="5">
        <v>1.55945662034745</v>
      </c>
      <c r="AI2923" s="5">
        <v>0.64104342159308603</v>
      </c>
      <c r="AJ2923" s="5" t="s">
        <v>139</v>
      </c>
      <c r="AK2923" s="2">
        <v>0.131984610407263</v>
      </c>
      <c r="AL2923" s="2">
        <v>0.45189886504493798</v>
      </c>
      <c r="AM2923" s="2">
        <v>3079.5049083930699</v>
      </c>
      <c r="AN2923" s="2">
        <v>4518.2252175655804</v>
      </c>
      <c r="AO2923" s="2">
        <v>5465.88186869539</v>
      </c>
      <c r="AP2923" s="2">
        <v>1585.85833444851</v>
      </c>
      <c r="AQ2923" s="2">
        <v>3508.62049572053</v>
      </c>
      <c r="AR2923" s="2">
        <v>2871.6352949055899</v>
      </c>
      <c r="AS2923" s="2">
        <v>2846.0122658747</v>
      </c>
      <c r="AT2923" s="2">
        <v>1096.71236004665</v>
      </c>
      <c r="AU2923" s="2">
        <v>4221.3131680331499</v>
      </c>
      <c r="AV2923" s="2">
        <v>915.19480233789704</v>
      </c>
      <c r="AW2923" s="2">
        <v>1449.66351682872</v>
      </c>
      <c r="AX2923" s="2">
        <v>2956.3947537984</v>
      </c>
    </row>
    <row r="2924" spans="1:50" x14ac:dyDescent="0.25">
      <c r="A2924" s="2" t="s">
        <v>19551</v>
      </c>
      <c r="B2924" s="2">
        <v>327.21784802526997</v>
      </c>
      <c r="C2924" s="2">
        <v>9.0288666666666693</v>
      </c>
      <c r="D2924" s="2" t="s">
        <v>51</v>
      </c>
      <c r="E2924" s="2" t="s">
        <v>19552</v>
      </c>
      <c r="F2924" s="2">
        <v>3061</v>
      </c>
      <c r="G2924" s="3" t="str">
        <f>HYPERLINK("https://cloud.oebiotech.com/#/lm/network/3061", "https://cloud.oebiotech.com/#/lm/network/3061")</f>
        <v>https://cloud.oebiotech.com/#/lm/network/3061</v>
      </c>
      <c r="H2924" s="2"/>
      <c r="I2924" s="2">
        <v>74455</v>
      </c>
      <c r="J2924" s="2" t="s">
        <v>19553</v>
      </c>
      <c r="K2924" s="2">
        <v>5282863</v>
      </c>
      <c r="L2924" s="2"/>
      <c r="M2924" s="2"/>
      <c r="N2924" s="2"/>
      <c r="O2924" s="2"/>
      <c r="P2924" s="2"/>
      <c r="Q2924" s="2"/>
      <c r="R2924" s="2"/>
      <c r="S2924" s="2" t="s">
        <v>19554</v>
      </c>
      <c r="T2924" s="2" t="s">
        <v>19555</v>
      </c>
      <c r="U2924" s="2" t="s">
        <v>56</v>
      </c>
      <c r="V2924" s="2" t="s">
        <v>145</v>
      </c>
      <c r="W2924" s="2" t="s">
        <v>231</v>
      </c>
      <c r="X2924" s="2" t="s">
        <v>83</v>
      </c>
      <c r="Y2924" s="2">
        <v>50.3</v>
      </c>
      <c r="Z2924" s="2">
        <v>0</v>
      </c>
      <c r="AA2924" s="2" t="s">
        <v>379</v>
      </c>
      <c r="AB2924" s="2" t="s">
        <v>18450</v>
      </c>
      <c r="AC2924" s="2">
        <v>0.43420594709064098</v>
      </c>
      <c r="AD2924" s="2"/>
      <c r="AE2924" s="2">
        <v>0.20696166668739699</v>
      </c>
      <c r="AF2924" s="2">
        <v>1784.8355509385301</v>
      </c>
      <c r="AG2924" s="2">
        <v>831.81063125040305</v>
      </c>
      <c r="AH2924" s="5">
        <v>2.14572341814808</v>
      </c>
      <c r="AI2924" s="5">
        <v>1.10146412596306</v>
      </c>
      <c r="AJ2924" s="5" t="s">
        <v>139</v>
      </c>
      <c r="AK2924" s="2">
        <v>3.5969605517074101E-2</v>
      </c>
      <c r="AL2924" s="2">
        <v>0.27626332206321902</v>
      </c>
      <c r="AM2924" s="2">
        <v>2233.7047086489001</v>
      </c>
      <c r="AN2924" s="2">
        <v>2097.0278495257799</v>
      </c>
      <c r="AO2924" s="2">
        <v>3024.3289392256102</v>
      </c>
      <c r="AP2924" s="2">
        <v>498.35837605339202</v>
      </c>
      <c r="AQ2924" s="2">
        <v>1465.7433940475401</v>
      </c>
      <c r="AR2924" s="2">
        <v>1389.85003812994</v>
      </c>
      <c r="AS2924" s="2">
        <v>962.04719748064701</v>
      </c>
      <c r="AT2924" s="2">
        <v>355.88514735493698</v>
      </c>
      <c r="AU2924" s="2">
        <v>1347.2875250898201</v>
      </c>
      <c r="AV2924" s="2">
        <v>299.84212196518502</v>
      </c>
      <c r="AW2924" s="2">
        <v>1156.0562117628799</v>
      </c>
      <c r="AX2924" s="2">
        <v>869.74558384894999</v>
      </c>
    </row>
    <row r="2925" spans="1:50" x14ac:dyDescent="0.25">
      <c r="A2925" s="2" t="s">
        <v>19556</v>
      </c>
      <c r="B2925" s="2">
        <v>463.34324373889899</v>
      </c>
      <c r="C2925" s="2">
        <v>12.9738333333333</v>
      </c>
      <c r="D2925" s="2" t="s">
        <v>51</v>
      </c>
      <c r="E2925" s="2" t="s">
        <v>19557</v>
      </c>
      <c r="F2925" s="2">
        <v>43479</v>
      </c>
      <c r="G2925" s="3" t="str">
        <f>HYPERLINK("https://cloud.oebiotech.com/#/lm/network/43479", "https://cloud.oebiotech.com/#/lm/network/43479")</f>
        <v>https://cloud.oebiotech.com/#/lm/network/43479</v>
      </c>
      <c r="H2925" s="2"/>
      <c r="I2925" s="2"/>
      <c r="J2925" s="2" t="s">
        <v>19558</v>
      </c>
      <c r="K2925" s="2">
        <v>6398884</v>
      </c>
      <c r="L2925" s="2"/>
      <c r="M2925" s="2"/>
      <c r="N2925" s="2"/>
      <c r="O2925" s="2"/>
      <c r="P2925" s="2"/>
      <c r="Q2925" s="2"/>
      <c r="R2925" s="2"/>
      <c r="S2925" s="2" t="s">
        <v>19559</v>
      </c>
      <c r="T2925" s="2" t="s">
        <v>19560</v>
      </c>
      <c r="U2925" s="2" t="s">
        <v>56</v>
      </c>
      <c r="V2925" s="2" t="s">
        <v>177</v>
      </c>
      <c r="W2925" s="2" t="s">
        <v>1996</v>
      </c>
      <c r="X2925" s="2" t="s">
        <v>83</v>
      </c>
      <c r="Y2925" s="2">
        <v>55.6</v>
      </c>
      <c r="Z2925" s="2">
        <v>0</v>
      </c>
      <c r="AA2925" s="2" t="s">
        <v>218</v>
      </c>
      <c r="AB2925" s="2" t="s">
        <v>9651</v>
      </c>
      <c r="AC2925" s="2">
        <v>0.82595764343306999</v>
      </c>
      <c r="AD2925" s="2"/>
      <c r="AE2925" s="2">
        <v>0.206619996916726</v>
      </c>
      <c r="AF2925" s="2">
        <v>23795.3657061052</v>
      </c>
      <c r="AG2925" s="2">
        <v>18968.807164937101</v>
      </c>
      <c r="AH2925" s="5">
        <v>1.2544471299223201</v>
      </c>
      <c r="AI2925" s="5">
        <v>0.32705166803188501</v>
      </c>
      <c r="AJ2925" s="5" t="s">
        <v>139</v>
      </c>
      <c r="AK2925" s="2">
        <v>0.46432527764041598</v>
      </c>
      <c r="AL2925" s="2">
        <v>0.71301190542586401</v>
      </c>
      <c r="AM2925" s="2">
        <v>13171.101596766999</v>
      </c>
      <c r="AN2925" s="2">
        <v>22876.176487790901</v>
      </c>
      <c r="AO2925" s="2">
        <v>21024.467166932998</v>
      </c>
      <c r="AP2925" s="2">
        <v>34680.671198901997</v>
      </c>
      <c r="AQ2925" s="2">
        <v>37069.945867893999</v>
      </c>
      <c r="AR2925" s="2">
        <v>13949.8319183443</v>
      </c>
      <c r="AS2925" s="2">
        <v>10442.4498282283</v>
      </c>
      <c r="AT2925" s="2">
        <v>32425.3449902102</v>
      </c>
      <c r="AU2925" s="2">
        <v>10056.8412374787</v>
      </c>
      <c r="AV2925" s="2">
        <v>7436.7883875217203</v>
      </c>
      <c r="AW2925" s="2">
        <v>19384.816466672801</v>
      </c>
      <c r="AX2925" s="2">
        <v>34066.602079510798</v>
      </c>
    </row>
    <row r="2926" spans="1:50" x14ac:dyDescent="0.25">
      <c r="A2926" s="2" t="s">
        <v>19561</v>
      </c>
      <c r="B2926" s="2">
        <v>187.133212330795</v>
      </c>
      <c r="C2926" s="2">
        <v>7.8615000000000004</v>
      </c>
      <c r="D2926" s="2" t="s">
        <v>51</v>
      </c>
      <c r="E2926" s="2" t="s">
        <v>19562</v>
      </c>
      <c r="F2926" s="2">
        <v>1800</v>
      </c>
      <c r="G2926" s="3" t="str">
        <f>HYPERLINK("https://cloud.oebiotech.com/#/lm/network/1800", "https://cloud.oebiotech.com/#/lm/network/1800")</f>
        <v>https://cloud.oebiotech.com/#/lm/network/1800</v>
      </c>
      <c r="H2926" s="2"/>
      <c r="I2926" s="2">
        <v>35602</v>
      </c>
      <c r="J2926" s="2" t="s">
        <v>19563</v>
      </c>
      <c r="K2926" s="2">
        <v>5312800</v>
      </c>
      <c r="L2926" s="2"/>
      <c r="M2926" s="2"/>
      <c r="N2926" s="2"/>
      <c r="O2926" s="2">
        <v>78951</v>
      </c>
      <c r="P2926" s="2"/>
      <c r="Q2926" s="2"/>
      <c r="R2926" s="2"/>
      <c r="S2926" s="2" t="s">
        <v>19564</v>
      </c>
      <c r="T2926" s="2" t="s">
        <v>19565</v>
      </c>
      <c r="U2926" s="2" t="s">
        <v>103</v>
      </c>
      <c r="V2926" s="2" t="s">
        <v>377</v>
      </c>
      <c r="W2926" s="2" t="s">
        <v>378</v>
      </c>
      <c r="X2926" s="2" t="s">
        <v>147</v>
      </c>
      <c r="Y2926" s="2">
        <v>39.6</v>
      </c>
      <c r="Z2926" s="2">
        <v>5.65</v>
      </c>
      <c r="AA2926" s="2" t="s">
        <v>163</v>
      </c>
      <c r="AB2926" s="2" t="s">
        <v>16206</v>
      </c>
      <c r="AC2926" s="2">
        <v>-4.0168613067269003</v>
      </c>
      <c r="AD2926" s="2"/>
      <c r="AE2926" s="2">
        <v>0.20652745718521601</v>
      </c>
      <c r="AF2926" s="2">
        <v>8311.5979346692202</v>
      </c>
      <c r="AG2926" s="2">
        <v>6612.4188392644201</v>
      </c>
      <c r="AH2926" s="5">
        <v>1.2569678564998199</v>
      </c>
      <c r="AI2926" s="5">
        <v>0.32994775726738101</v>
      </c>
      <c r="AJ2926" s="5" t="s">
        <v>139</v>
      </c>
      <c r="AK2926" s="2">
        <v>9.5231299708178493E-2</v>
      </c>
      <c r="AL2926" s="2">
        <v>0.39518270427574997</v>
      </c>
      <c r="AM2926" s="2">
        <v>8931.6362693609299</v>
      </c>
      <c r="AN2926" s="2">
        <v>4921.9338149060804</v>
      </c>
      <c r="AO2926" s="2">
        <v>8812.5457983787492</v>
      </c>
      <c r="AP2926" s="2">
        <v>8842.0119130543408</v>
      </c>
      <c r="AQ2926" s="2">
        <v>9708.1456121114297</v>
      </c>
      <c r="AR2926" s="2">
        <v>8653.3142002038003</v>
      </c>
      <c r="AS2926" s="2">
        <v>5424.2860502088497</v>
      </c>
      <c r="AT2926" s="2">
        <v>7910.4905976895398</v>
      </c>
      <c r="AU2926" s="2">
        <v>5167.9991908858301</v>
      </c>
      <c r="AV2926" s="2">
        <v>5566.0689304867701</v>
      </c>
      <c r="AW2926" s="2">
        <v>8785.8879641031508</v>
      </c>
      <c r="AX2926" s="2">
        <v>6819.7803022123699</v>
      </c>
    </row>
    <row r="2927" spans="1:50" x14ac:dyDescent="0.25">
      <c r="A2927" s="2" t="s">
        <v>19566</v>
      </c>
      <c r="B2927" s="2">
        <v>287.16513306196498</v>
      </c>
      <c r="C2927" s="2">
        <v>7.3445666666666698</v>
      </c>
      <c r="D2927" s="2" t="s">
        <v>51</v>
      </c>
      <c r="E2927" s="2" t="s">
        <v>19567</v>
      </c>
      <c r="F2927" s="2">
        <v>273743</v>
      </c>
      <c r="G2927" s="3" t="str">
        <f>HYPERLINK("https://cloud.oebiotech.com/#/lm/network/273743", "https://cloud.oebiotech.com/#/lm/network/273743")</f>
        <v>https://cloud.oebiotech.com/#/lm/network/273743</v>
      </c>
      <c r="H2927" s="2"/>
      <c r="I2927" s="2">
        <v>63039</v>
      </c>
      <c r="J2927" s="2"/>
      <c r="K2927" s="2">
        <v>10267038</v>
      </c>
      <c r="L2927" s="2"/>
      <c r="M2927" s="2"/>
      <c r="N2927" s="2"/>
      <c r="O2927" s="2"/>
      <c r="P2927" s="2"/>
      <c r="Q2927" s="2"/>
      <c r="R2927" s="2" t="s">
        <v>19568</v>
      </c>
      <c r="S2927" s="2" t="s">
        <v>19569</v>
      </c>
      <c r="T2927" s="2" t="s">
        <v>19570</v>
      </c>
      <c r="U2927" s="2" t="s">
        <v>266</v>
      </c>
      <c r="V2927" s="2" t="s">
        <v>3994</v>
      </c>
      <c r="W2927" s="2" t="s">
        <v>3995</v>
      </c>
      <c r="X2927" s="2" t="s">
        <v>147</v>
      </c>
      <c r="Y2927" s="2">
        <v>41.7</v>
      </c>
      <c r="Z2927" s="2">
        <v>19.3</v>
      </c>
      <c r="AA2927" s="2" t="s">
        <v>786</v>
      </c>
      <c r="AB2927" s="2" t="s">
        <v>12720</v>
      </c>
      <c r="AC2927" s="2">
        <v>3.16294204267935</v>
      </c>
      <c r="AD2927" s="2"/>
      <c r="AE2927" s="2">
        <v>0.206505115938006</v>
      </c>
      <c r="AF2927" s="2">
        <v>2524.3646642696799</v>
      </c>
      <c r="AG2927" s="2">
        <v>1527.2372193277299</v>
      </c>
      <c r="AH2927" s="5">
        <v>1.6528962444883699</v>
      </c>
      <c r="AI2927" s="5">
        <v>0.72499616669914502</v>
      </c>
      <c r="AJ2927" s="5" t="s">
        <v>139</v>
      </c>
      <c r="AK2927" s="2">
        <v>7.8094530005554705E-2</v>
      </c>
      <c r="AL2927" s="2">
        <v>0.362224394252327</v>
      </c>
      <c r="AM2927" s="2">
        <v>4752.1515704630201</v>
      </c>
      <c r="AN2927" s="2">
        <v>2279.3465766433101</v>
      </c>
      <c r="AO2927" s="2">
        <v>2027.59406729279</v>
      </c>
      <c r="AP2927" s="2">
        <v>1808.6509242053901</v>
      </c>
      <c r="AQ2927" s="2">
        <v>1477.8763420166499</v>
      </c>
      <c r="AR2927" s="2">
        <v>2800.5685049969102</v>
      </c>
      <c r="AS2927" s="2">
        <v>2256.8709273551899</v>
      </c>
      <c r="AT2927" s="2">
        <v>1514.39131811777</v>
      </c>
      <c r="AU2927" s="2">
        <v>1641.76633992094</v>
      </c>
      <c r="AV2927" s="2">
        <v>1165.2519475746301</v>
      </c>
      <c r="AW2927" s="2">
        <v>1333.2582665550599</v>
      </c>
      <c r="AX2927" s="2">
        <v>1251.8845164428101</v>
      </c>
    </row>
    <row r="2928" spans="1:50" x14ac:dyDescent="0.25">
      <c r="A2928" s="2" t="s">
        <v>19571</v>
      </c>
      <c r="B2928" s="2">
        <v>747.36865931656098</v>
      </c>
      <c r="C2928" s="2">
        <v>4.3974166666666701</v>
      </c>
      <c r="D2928" s="2" t="s">
        <v>51</v>
      </c>
      <c r="E2928" s="2" t="s">
        <v>19572</v>
      </c>
      <c r="F2928" s="2">
        <v>209910</v>
      </c>
      <c r="G2928" s="3" t="str">
        <f>HYPERLINK("https://cloud.oebiotech.com/#/lm/network/209910", "https://cloud.oebiotech.com/#/lm/network/209910")</f>
        <v>https://cloud.oebiotech.com/#/lm/network/209910</v>
      </c>
      <c r="H2928" s="2" t="s">
        <v>19573</v>
      </c>
      <c r="I2928" s="2">
        <v>43376</v>
      </c>
      <c r="J2928" s="2"/>
      <c r="K2928" s="2">
        <v>24832095</v>
      </c>
      <c r="L2928" s="2"/>
      <c r="M2928" s="2"/>
      <c r="N2928" s="2"/>
      <c r="O2928" s="2"/>
      <c r="P2928" s="2"/>
      <c r="Q2928" s="2"/>
      <c r="R2928" s="2"/>
      <c r="S2928" s="2" t="s">
        <v>19574</v>
      </c>
      <c r="T2928" s="2" t="s">
        <v>19575</v>
      </c>
      <c r="U2928" s="2" t="s">
        <v>331</v>
      </c>
      <c r="V2928" s="2" t="s">
        <v>332</v>
      </c>
      <c r="W2928" s="2" t="s">
        <v>333</v>
      </c>
      <c r="X2928" s="2" t="s">
        <v>147</v>
      </c>
      <c r="Y2928" s="2">
        <v>44.7</v>
      </c>
      <c r="Z2928" s="2">
        <v>32.700000000000003</v>
      </c>
      <c r="AA2928" s="2" t="s">
        <v>163</v>
      </c>
      <c r="AB2928" s="2" t="s">
        <v>19576</v>
      </c>
      <c r="AC2928" s="2">
        <v>4.0835962981331404</v>
      </c>
      <c r="AD2928" s="2"/>
      <c r="AE2928" s="2">
        <v>0.206489163466481</v>
      </c>
      <c r="AF2928" s="2">
        <v>10383.768592074101</v>
      </c>
      <c r="AG2928" s="2">
        <v>13184.7062428483</v>
      </c>
      <c r="AH2928" s="4">
        <v>0.78756161880409603</v>
      </c>
      <c r="AI2928" s="4">
        <v>-0.34453529054255799</v>
      </c>
      <c r="AJ2928" s="4" t="s">
        <v>62</v>
      </c>
      <c r="AK2928" s="2">
        <v>0.81378042664894501</v>
      </c>
      <c r="AL2928" s="2">
        <v>0.91764755802749998</v>
      </c>
      <c r="AM2928" s="2">
        <v>379.20245512400601</v>
      </c>
      <c r="AN2928" s="2">
        <v>908.94088325718599</v>
      </c>
      <c r="AO2928" s="2">
        <v>9271.5289755908707</v>
      </c>
      <c r="AP2928" s="2">
        <v>906.33799245330499</v>
      </c>
      <c r="AQ2928" s="2">
        <v>5308.0602113840096</v>
      </c>
      <c r="AR2928" s="2">
        <v>45528.541034635302</v>
      </c>
      <c r="AS2928" s="2">
        <v>57658.472483614401</v>
      </c>
      <c r="AT2928" s="2">
        <v>7760.6559283431097</v>
      </c>
      <c r="AU2928" s="2">
        <v>1220.4596279037801</v>
      </c>
      <c r="AV2928" s="2">
        <v>639.86457137747198</v>
      </c>
      <c r="AW2928" s="2">
        <v>73.1255513672821</v>
      </c>
      <c r="AX2928" s="2">
        <v>11755.659294483999</v>
      </c>
    </row>
    <row r="2929" spans="1:50" x14ac:dyDescent="0.25">
      <c r="A2929" s="2" t="s">
        <v>19577</v>
      </c>
      <c r="B2929" s="2">
        <v>297.24349490754997</v>
      </c>
      <c r="C2929" s="2">
        <v>12.667533333333299</v>
      </c>
      <c r="D2929" s="2" t="s">
        <v>51</v>
      </c>
      <c r="E2929" s="2" t="s">
        <v>19578</v>
      </c>
      <c r="F2929" s="2">
        <v>55742</v>
      </c>
      <c r="G2929" s="3" t="str">
        <f>HYPERLINK("https://cloud.oebiotech.com/#/lm/network/55742", "https://cloud.oebiotech.com/#/lm/network/55742")</f>
        <v>https://cloud.oebiotech.com/#/lm/network/55742</v>
      </c>
      <c r="H2929" s="2" t="s">
        <v>19579</v>
      </c>
      <c r="I2929" s="2">
        <v>87429</v>
      </c>
      <c r="J2929" s="2"/>
      <c r="K2929" s="2">
        <v>53656633</v>
      </c>
      <c r="L2929" s="2"/>
      <c r="M2929" s="2"/>
      <c r="N2929" s="2"/>
      <c r="O2929" s="2"/>
      <c r="P2929" s="2"/>
      <c r="Q2929" s="2"/>
      <c r="R2929" s="2" t="s">
        <v>19580</v>
      </c>
      <c r="S2929" s="2" t="s">
        <v>19581</v>
      </c>
      <c r="T2929" s="2" t="s">
        <v>19582</v>
      </c>
      <c r="U2929" s="2" t="s">
        <v>56</v>
      </c>
      <c r="V2929" s="2" t="s">
        <v>145</v>
      </c>
      <c r="W2929" s="2" t="s">
        <v>187</v>
      </c>
      <c r="X2929" s="2" t="s">
        <v>83</v>
      </c>
      <c r="Y2929" s="2">
        <v>44.4</v>
      </c>
      <c r="Z2929" s="2">
        <v>12.4</v>
      </c>
      <c r="AA2929" s="2" t="s">
        <v>241</v>
      </c>
      <c r="AB2929" s="2" t="s">
        <v>8747</v>
      </c>
      <c r="AC2929" s="2">
        <v>-7.9159922297856997E-2</v>
      </c>
      <c r="AD2929" s="2"/>
      <c r="AE2929" s="2">
        <v>0.20646851848043299</v>
      </c>
      <c r="AF2929" s="2">
        <v>12932.8984802163</v>
      </c>
      <c r="AG2929" s="2">
        <v>10738.737329495099</v>
      </c>
      <c r="AH2929" s="5">
        <v>1.2043220802779799</v>
      </c>
      <c r="AI2929" s="5">
        <v>0.26822127372564097</v>
      </c>
      <c r="AJ2929" s="5" t="s">
        <v>139</v>
      </c>
      <c r="AK2929" s="2">
        <v>0.40349026146656702</v>
      </c>
      <c r="AL2929" s="2">
        <v>0.67054288321757405</v>
      </c>
      <c r="AM2929" s="2">
        <v>10239.3681947039</v>
      </c>
      <c r="AN2929" s="2">
        <v>12428.758135553</v>
      </c>
      <c r="AO2929" s="2">
        <v>19984.508874631101</v>
      </c>
      <c r="AP2929" s="2">
        <v>9289.6878628501108</v>
      </c>
      <c r="AQ2929" s="2">
        <v>15588.767311907901</v>
      </c>
      <c r="AR2929" s="2">
        <v>10066.3005016516</v>
      </c>
      <c r="AS2929" s="2">
        <v>11459.953646100699</v>
      </c>
      <c r="AT2929" s="2">
        <v>6426.0323240534199</v>
      </c>
      <c r="AU2929" s="2">
        <v>19150.936773373702</v>
      </c>
      <c r="AV2929" s="2">
        <v>7094.0866861496997</v>
      </c>
      <c r="AW2929" s="2">
        <v>10437.488941019299</v>
      </c>
      <c r="AX2929" s="2">
        <v>9863.9256062736404</v>
      </c>
    </row>
    <row r="2930" spans="1:50" x14ac:dyDescent="0.25">
      <c r="A2930" s="2" t="s">
        <v>19583</v>
      </c>
      <c r="B2930" s="2">
        <v>541.33110223429799</v>
      </c>
      <c r="C2930" s="2">
        <v>11.087300000000001</v>
      </c>
      <c r="D2930" s="2" t="s">
        <v>51</v>
      </c>
      <c r="E2930" s="2" t="s">
        <v>19584</v>
      </c>
      <c r="F2930" s="2">
        <v>10255</v>
      </c>
      <c r="G2930" s="3" t="str">
        <f>HYPERLINK("https://cloud.oebiotech.com/#/lm/network/10255", "https://cloud.oebiotech.com/#/lm/network/10255")</f>
        <v>https://cloud.oebiotech.com/#/lm/network/10255</v>
      </c>
      <c r="H2930" s="2"/>
      <c r="I2930" s="2"/>
      <c r="J2930" s="2" t="s">
        <v>19585</v>
      </c>
      <c r="K2930" s="2">
        <v>132594567</v>
      </c>
      <c r="L2930" s="2"/>
      <c r="M2930" s="2"/>
      <c r="N2930" s="2"/>
      <c r="O2930" s="2"/>
      <c r="P2930" s="2"/>
      <c r="Q2930" s="2"/>
      <c r="R2930" s="2"/>
      <c r="S2930" s="2" t="s">
        <v>19586</v>
      </c>
      <c r="T2930" s="2" t="s">
        <v>19587</v>
      </c>
      <c r="U2930" s="2" t="s">
        <v>56</v>
      </c>
      <c r="V2930" s="2" t="s">
        <v>145</v>
      </c>
      <c r="W2930" s="2" t="s">
        <v>3263</v>
      </c>
      <c r="X2930" s="2" t="s">
        <v>83</v>
      </c>
      <c r="Y2930" s="2">
        <v>43.4</v>
      </c>
      <c r="Z2930" s="2">
        <v>0</v>
      </c>
      <c r="AA2930" s="2" t="s">
        <v>95</v>
      </c>
      <c r="AB2930" s="2" t="s">
        <v>19588</v>
      </c>
      <c r="AC2930" s="2">
        <v>-6.9483102669339099</v>
      </c>
      <c r="AD2930" s="2"/>
      <c r="AE2930" s="2">
        <v>0.206442190005446</v>
      </c>
      <c r="AF2930" s="2">
        <v>12833.931391091</v>
      </c>
      <c r="AG2930" s="2">
        <v>16239.5127700176</v>
      </c>
      <c r="AH2930" s="4">
        <v>0.79029042144576001</v>
      </c>
      <c r="AI2930" s="4">
        <v>-0.33954517250455302</v>
      </c>
      <c r="AJ2930" s="4" t="s">
        <v>62</v>
      </c>
      <c r="AK2930" s="2">
        <v>0.36199326805340298</v>
      </c>
      <c r="AL2930" s="2">
        <v>0.64658976738359497</v>
      </c>
      <c r="AM2930" s="2">
        <v>20988.265652783299</v>
      </c>
      <c r="AN2930" s="2">
        <v>12405.4229027936</v>
      </c>
      <c r="AO2930" s="2">
        <v>13309.185746470401</v>
      </c>
      <c r="AP2930" s="2">
        <v>9953.4402565304008</v>
      </c>
      <c r="AQ2930" s="2">
        <v>10679.710323051901</v>
      </c>
      <c r="AR2930" s="2">
        <v>9667.5634649162603</v>
      </c>
      <c r="AS2930" s="2">
        <v>10686.6861795895</v>
      </c>
      <c r="AT2930" s="2">
        <v>4139.8099728587504</v>
      </c>
      <c r="AU2930" s="2">
        <v>22701.274509090999</v>
      </c>
      <c r="AV2930" s="2">
        <v>22851.861752663401</v>
      </c>
      <c r="AW2930" s="2">
        <v>21551.520825942898</v>
      </c>
      <c r="AX2930" s="2">
        <v>15505.923379959801</v>
      </c>
    </row>
    <row r="2931" spans="1:50" x14ac:dyDescent="0.25">
      <c r="A2931" s="2" t="s">
        <v>19589</v>
      </c>
      <c r="B2931" s="2">
        <v>748.54386824698895</v>
      </c>
      <c r="C2931" s="2">
        <v>9.9291999999999998</v>
      </c>
      <c r="D2931" s="2" t="s">
        <v>51</v>
      </c>
      <c r="E2931" s="2" t="s">
        <v>19590</v>
      </c>
      <c r="F2931" s="2">
        <v>243214</v>
      </c>
      <c r="G2931" s="3" t="str">
        <f>HYPERLINK("https://cloud.oebiotech.com/#/lm/network/243214", "https://cloud.oebiotech.com/#/lm/network/243214")</f>
        <v>https://cloud.oebiotech.com/#/lm/network/243214</v>
      </c>
      <c r="H2931" s="2" t="s">
        <v>19591</v>
      </c>
      <c r="I2931" s="2"/>
      <c r="J2931" s="2"/>
      <c r="K2931" s="2"/>
      <c r="L2931" s="2"/>
      <c r="M2931" s="2"/>
      <c r="N2931" s="2"/>
      <c r="O2931" s="2"/>
      <c r="P2931" s="2"/>
      <c r="Q2931" s="2"/>
      <c r="R2931" s="2"/>
      <c r="S2931" s="2" t="s">
        <v>19592</v>
      </c>
      <c r="T2931" s="2" t="s">
        <v>19593</v>
      </c>
      <c r="U2931" s="2" t="s">
        <v>56</v>
      </c>
      <c r="V2931" s="2" t="s">
        <v>145</v>
      </c>
      <c r="W2931" s="2" t="s">
        <v>187</v>
      </c>
      <c r="X2931" s="2" t="s">
        <v>59</v>
      </c>
      <c r="Y2931" s="2">
        <v>50.6</v>
      </c>
      <c r="Z2931" s="2">
        <v>69.400000000000006</v>
      </c>
      <c r="AA2931" s="2" t="s">
        <v>122</v>
      </c>
      <c r="AB2931" s="2" t="s">
        <v>19594</v>
      </c>
      <c r="AC2931" s="2">
        <v>1.9490982626334099</v>
      </c>
      <c r="AD2931" s="2"/>
      <c r="AE2931" s="2">
        <v>0.20642253057341101</v>
      </c>
      <c r="AF2931" s="2">
        <v>121423.542570294</v>
      </c>
      <c r="AG2931" s="2">
        <v>124965.262986111</v>
      </c>
      <c r="AH2931" s="4">
        <v>0.97165836064209998</v>
      </c>
      <c r="AI2931" s="4">
        <v>-4.1478949828834502E-2</v>
      </c>
      <c r="AJ2931" s="4" t="s">
        <v>62</v>
      </c>
      <c r="AK2931" s="2">
        <v>0.74081052851101004</v>
      </c>
      <c r="AL2931" s="2">
        <v>0.88190791048193196</v>
      </c>
      <c r="AM2931" s="2">
        <v>96684.602706373</v>
      </c>
      <c r="AN2931" s="2">
        <v>103495.857304784</v>
      </c>
      <c r="AO2931" s="2">
        <v>121300.778166025</v>
      </c>
      <c r="AP2931" s="2">
        <v>115613.59304858001</v>
      </c>
      <c r="AQ2931" s="2">
        <v>153654.072387489</v>
      </c>
      <c r="AR2931" s="2">
        <v>137792.35180851101</v>
      </c>
      <c r="AS2931" s="2">
        <v>135306.55555310301</v>
      </c>
      <c r="AT2931" s="2">
        <v>143698.19632916601</v>
      </c>
      <c r="AU2931" s="2">
        <v>128670.136458824</v>
      </c>
      <c r="AV2931" s="2">
        <v>104299.39677502</v>
      </c>
      <c r="AW2931" s="2">
        <v>120813.377781641</v>
      </c>
      <c r="AX2931" s="2">
        <v>117003.915018913</v>
      </c>
    </row>
    <row r="2932" spans="1:50" x14ac:dyDescent="0.25">
      <c r="A2932" s="2" t="s">
        <v>19595</v>
      </c>
      <c r="B2932" s="2">
        <v>365.19693095421701</v>
      </c>
      <c r="C2932" s="2">
        <v>10.288216666666701</v>
      </c>
      <c r="D2932" s="2" t="s">
        <v>51</v>
      </c>
      <c r="E2932" s="2" t="s">
        <v>19596</v>
      </c>
      <c r="F2932" s="2">
        <v>61126</v>
      </c>
      <c r="G2932" s="3" t="str">
        <f>HYPERLINK("https://cloud.oebiotech.com/#/lm/network/61126", "https://cloud.oebiotech.com/#/lm/network/61126")</f>
        <v>https://cloud.oebiotech.com/#/lm/network/61126</v>
      </c>
      <c r="H2932" s="2" t="s">
        <v>19597</v>
      </c>
      <c r="I2932" s="2">
        <v>92438</v>
      </c>
      <c r="J2932" s="2"/>
      <c r="K2932" s="2">
        <v>14634289</v>
      </c>
      <c r="L2932" s="2"/>
      <c r="M2932" s="2"/>
      <c r="N2932" s="2"/>
      <c r="O2932" s="2"/>
      <c r="P2932" s="2"/>
      <c r="Q2932" s="2"/>
      <c r="R2932" s="2" t="s">
        <v>19598</v>
      </c>
      <c r="S2932" s="2" t="s">
        <v>19599</v>
      </c>
      <c r="T2932" s="2" t="s">
        <v>19600</v>
      </c>
      <c r="U2932" s="2" t="s">
        <v>56</v>
      </c>
      <c r="V2932" s="2" t="s">
        <v>177</v>
      </c>
      <c r="W2932" s="2" t="s">
        <v>806</v>
      </c>
      <c r="X2932" s="2" t="s">
        <v>147</v>
      </c>
      <c r="Y2932" s="2">
        <v>38.6</v>
      </c>
      <c r="Z2932" s="2">
        <v>0</v>
      </c>
      <c r="AA2932" s="2" t="s">
        <v>218</v>
      </c>
      <c r="AB2932" s="2" t="s">
        <v>8570</v>
      </c>
      <c r="AC2932" s="2">
        <v>-9.7726747137487205E-2</v>
      </c>
      <c r="AD2932" s="2"/>
      <c r="AE2932" s="2">
        <v>0.20638711879569899</v>
      </c>
      <c r="AF2932" s="2">
        <v>3552.9047143643202</v>
      </c>
      <c r="AG2932" s="2">
        <v>2109.1338948483399</v>
      </c>
      <c r="AH2932" s="5">
        <v>1.6845325576732999</v>
      </c>
      <c r="AI2932" s="5">
        <v>0.75234831230644805</v>
      </c>
      <c r="AJ2932" s="5" t="s">
        <v>139</v>
      </c>
      <c r="AK2932" s="2">
        <v>3.0088716741780899E-2</v>
      </c>
      <c r="AL2932" s="2">
        <v>0.259678201768265</v>
      </c>
      <c r="AM2932" s="2">
        <v>1522.54089049406</v>
      </c>
      <c r="AN2932" s="2">
        <v>4764.9849432913798</v>
      </c>
      <c r="AO2932" s="2">
        <v>4070.7776681319301</v>
      </c>
      <c r="AP2932" s="2">
        <v>2408.9788612768102</v>
      </c>
      <c r="AQ2932" s="2">
        <v>4529.4966341571799</v>
      </c>
      <c r="AR2932" s="2">
        <v>4020.6492888345701</v>
      </c>
      <c r="AS2932" s="2">
        <v>3160.41861365668</v>
      </c>
      <c r="AT2932" s="2">
        <v>1729.28502950384</v>
      </c>
      <c r="AU2932" s="2">
        <v>2163.7227491001699</v>
      </c>
      <c r="AV2932" s="2">
        <v>1994.3029881505499</v>
      </c>
      <c r="AW2932" s="2">
        <v>1871.3355330831901</v>
      </c>
      <c r="AX2932" s="2">
        <v>1735.73845559561</v>
      </c>
    </row>
    <row r="2933" spans="1:50" x14ac:dyDescent="0.25">
      <c r="A2933" s="2" t="s">
        <v>19601</v>
      </c>
      <c r="B2933" s="2">
        <v>476.27883969054898</v>
      </c>
      <c r="C2933" s="2">
        <v>8.2944666666666702</v>
      </c>
      <c r="D2933" s="2" t="s">
        <v>51</v>
      </c>
      <c r="E2933" s="2" t="s">
        <v>19602</v>
      </c>
      <c r="F2933" s="2">
        <v>28351</v>
      </c>
      <c r="G2933" s="3" t="str">
        <f>HYPERLINK("https://cloud.oebiotech.com/#/lm/network/28351", "https://cloud.oebiotech.com/#/lm/network/28351")</f>
        <v>https://cloud.oebiotech.com/#/lm/network/28351</v>
      </c>
      <c r="H2933" s="2"/>
      <c r="I2933" s="2"/>
      <c r="J2933" s="2" t="s">
        <v>19603</v>
      </c>
      <c r="K2933" s="2"/>
      <c r="L2933" s="2"/>
      <c r="M2933" s="2"/>
      <c r="N2933" s="2"/>
      <c r="O2933" s="2"/>
      <c r="P2933" s="2"/>
      <c r="Q2933" s="2"/>
      <c r="R2933" s="2"/>
      <c r="S2933" s="2" t="s">
        <v>19604</v>
      </c>
      <c r="T2933" s="2" t="s">
        <v>19605</v>
      </c>
      <c r="U2933" s="2" t="s">
        <v>238</v>
      </c>
      <c r="V2933" s="2" t="s">
        <v>3520</v>
      </c>
      <c r="W2933" s="2" t="s">
        <v>240</v>
      </c>
      <c r="X2933" s="2" t="s">
        <v>59</v>
      </c>
      <c r="Y2933" s="2">
        <v>48.7</v>
      </c>
      <c r="Z2933" s="2">
        <v>56.9</v>
      </c>
      <c r="AA2933" s="2" t="s">
        <v>786</v>
      </c>
      <c r="AB2933" s="2" t="s">
        <v>19606</v>
      </c>
      <c r="AC2933" s="2">
        <v>-1.40976484127741</v>
      </c>
      <c r="AD2933" s="2"/>
      <c r="AE2933" s="2">
        <v>0.20627207660213201</v>
      </c>
      <c r="AF2933" s="2">
        <v>16331.9246809301</v>
      </c>
      <c r="AG2933" s="2">
        <v>21856.729069516601</v>
      </c>
      <c r="AH2933" s="4">
        <v>0.74722638639045602</v>
      </c>
      <c r="AI2933" s="4">
        <v>-0.42038269385140198</v>
      </c>
      <c r="AJ2933" s="4" t="s">
        <v>62</v>
      </c>
      <c r="AK2933" s="2">
        <v>0.300417063753041</v>
      </c>
      <c r="AL2933" s="2">
        <v>0.61037838979491599</v>
      </c>
      <c r="AM2933" s="2">
        <v>26226.529172145401</v>
      </c>
      <c r="AN2933" s="2">
        <v>19142.416416095999</v>
      </c>
      <c r="AO2933" s="2">
        <v>16323.2876509864</v>
      </c>
      <c r="AP2933" s="2">
        <v>10443.0950877217</v>
      </c>
      <c r="AQ2933" s="2">
        <v>11195.7084424122</v>
      </c>
      <c r="AR2933" s="2">
        <v>14660.511316219199</v>
      </c>
      <c r="AS2933" s="2">
        <v>11910.578328961499</v>
      </c>
      <c r="AT2933" s="2">
        <v>12866.1712120426</v>
      </c>
      <c r="AU2933" s="2">
        <v>41743.2602531023</v>
      </c>
      <c r="AV2933" s="2">
        <v>19783.2776805475</v>
      </c>
      <c r="AW2933" s="2">
        <v>19417.963371153</v>
      </c>
      <c r="AX2933" s="2">
        <v>25419.123571292901</v>
      </c>
    </row>
    <row r="2934" spans="1:50" x14ac:dyDescent="0.25">
      <c r="A2934" s="2" t="s">
        <v>19607</v>
      </c>
      <c r="B2934" s="2">
        <v>778.26287216635205</v>
      </c>
      <c r="C2934" s="2">
        <v>3.4034833333333299</v>
      </c>
      <c r="D2934" s="2" t="s">
        <v>51</v>
      </c>
      <c r="E2934" s="2" t="s">
        <v>19608</v>
      </c>
      <c r="F2934" s="2">
        <v>48807</v>
      </c>
      <c r="G2934" s="3" t="str">
        <f>HYPERLINK("https://cloud.oebiotech.com/#/lm/network/48807", "https://cloud.oebiotech.com/#/lm/network/48807")</f>
        <v>https://cloud.oebiotech.com/#/lm/network/48807</v>
      </c>
      <c r="H2934" s="2" t="s">
        <v>19609</v>
      </c>
      <c r="I2934" s="2">
        <v>58488</v>
      </c>
      <c r="J2934" s="2"/>
      <c r="K2934" s="2">
        <v>53477869</v>
      </c>
      <c r="L2934" s="2"/>
      <c r="M2934" s="2"/>
      <c r="N2934" s="2"/>
      <c r="O2934" s="2">
        <v>88442</v>
      </c>
      <c r="P2934" s="2"/>
      <c r="Q2934" s="2"/>
      <c r="R2934" s="2" t="s">
        <v>19610</v>
      </c>
      <c r="S2934" s="2" t="s">
        <v>19611</v>
      </c>
      <c r="T2934" s="2" t="s">
        <v>19612</v>
      </c>
      <c r="U2934" s="2" t="s">
        <v>331</v>
      </c>
      <c r="V2934" s="2" t="s">
        <v>332</v>
      </c>
      <c r="W2934" s="2" t="s">
        <v>333</v>
      </c>
      <c r="X2934" s="2" t="s">
        <v>147</v>
      </c>
      <c r="Y2934" s="2">
        <v>36.4</v>
      </c>
      <c r="Z2934" s="2">
        <v>0</v>
      </c>
      <c r="AA2934" s="2" t="s">
        <v>163</v>
      </c>
      <c r="AB2934" s="2" t="s">
        <v>19613</v>
      </c>
      <c r="AC2934" s="2">
        <v>0.78505858810877305</v>
      </c>
      <c r="AD2934" s="2"/>
      <c r="AE2934" s="2">
        <v>0.20623387887153899</v>
      </c>
      <c r="AF2934" s="2">
        <v>2118.0408625514801</v>
      </c>
      <c r="AG2934" s="2">
        <v>4079.35400492285</v>
      </c>
      <c r="AH2934" s="4">
        <v>0.51920986999301399</v>
      </c>
      <c r="AI2934" s="4">
        <v>-0.94561028617544196</v>
      </c>
      <c r="AJ2934" s="4" t="s">
        <v>62</v>
      </c>
      <c r="AK2934" s="2">
        <v>0.437778559546256</v>
      </c>
      <c r="AL2934" s="2">
        <v>0.69438720492282102</v>
      </c>
      <c r="AM2934" s="2">
        <v>329.371328092157</v>
      </c>
      <c r="AN2934" s="2">
        <v>8.559877937157E-6</v>
      </c>
      <c r="AO2934" s="2">
        <v>2275.6985044377402</v>
      </c>
      <c r="AP2934" s="2">
        <v>2141.1313628388398</v>
      </c>
      <c r="AQ2934" s="2">
        <v>7198.7808966140401</v>
      </c>
      <c r="AR2934" s="2">
        <v>763.26307476620195</v>
      </c>
      <c r="AS2934" s="2">
        <v>4954.5614240692803</v>
      </c>
      <c r="AT2934" s="2">
        <v>2605.9798405511201</v>
      </c>
      <c r="AU2934" s="2">
        <v>8.559877937157E-6</v>
      </c>
      <c r="AV2934" s="2">
        <v>1727.0556622527799</v>
      </c>
      <c r="AW2934" s="2">
        <v>830.57848338164501</v>
      </c>
      <c r="AX2934" s="2">
        <v>14357.9486107224</v>
      </c>
    </row>
    <row r="2935" spans="1:50" x14ac:dyDescent="0.25">
      <c r="A2935" s="2" t="s">
        <v>19614</v>
      </c>
      <c r="B2935" s="2">
        <v>444.31828003887199</v>
      </c>
      <c r="C2935" s="2">
        <v>4.7092833333333299</v>
      </c>
      <c r="D2935" s="2" t="s">
        <v>51</v>
      </c>
      <c r="E2935" s="2" t="s">
        <v>19615</v>
      </c>
      <c r="F2935" s="2">
        <v>8712</v>
      </c>
      <c r="G2935" s="3" t="str">
        <f>HYPERLINK("https://cloud.oebiotech.com/#/lm/network/8712", "https://cloud.oebiotech.com/#/lm/network/8712")</f>
        <v>https://cloud.oebiotech.com/#/lm/network/8712</v>
      </c>
      <c r="H2935" s="2"/>
      <c r="I2935" s="2">
        <v>75517</v>
      </c>
      <c r="J2935" s="2" t="s">
        <v>19616</v>
      </c>
      <c r="K2935" s="2">
        <v>152252</v>
      </c>
      <c r="L2935" s="2"/>
      <c r="M2935" s="2"/>
      <c r="N2935" s="2"/>
      <c r="O2935" s="2"/>
      <c r="P2935" s="2"/>
      <c r="Q2935" s="2"/>
      <c r="R2935" s="2"/>
      <c r="S2935" s="2" t="s">
        <v>19617</v>
      </c>
      <c r="T2935" s="2" t="s">
        <v>19618</v>
      </c>
      <c r="U2935" s="2" t="s">
        <v>103</v>
      </c>
      <c r="V2935" s="2" t="s">
        <v>104</v>
      </c>
      <c r="W2935" s="2" t="s">
        <v>105</v>
      </c>
      <c r="X2935" s="2" t="s">
        <v>147</v>
      </c>
      <c r="Y2935" s="2">
        <v>36.799999999999997</v>
      </c>
      <c r="Z2935" s="2">
        <v>0</v>
      </c>
      <c r="AA2935" s="2" t="s">
        <v>95</v>
      </c>
      <c r="AB2935" s="2" t="s">
        <v>19619</v>
      </c>
      <c r="AC2935" s="2">
        <v>-3.2822057932197901</v>
      </c>
      <c r="AD2935" s="2"/>
      <c r="AE2935" s="2">
        <v>0.206199076968582</v>
      </c>
      <c r="AF2935" s="2">
        <v>2860.4865684014298</v>
      </c>
      <c r="AG2935" s="2">
        <v>1743.64868761702</v>
      </c>
      <c r="AH2935" s="5">
        <v>1.6405177193754199</v>
      </c>
      <c r="AI2935" s="5">
        <v>0.71415117661585203</v>
      </c>
      <c r="AJ2935" s="5" t="s">
        <v>139</v>
      </c>
      <c r="AK2935" s="2">
        <v>2.0815867204512999E-2</v>
      </c>
      <c r="AL2935" s="2">
        <v>0.22510711037011599</v>
      </c>
      <c r="AM2935" s="2">
        <v>2640.4966445017499</v>
      </c>
      <c r="AN2935" s="2">
        <v>2288.9715554463</v>
      </c>
      <c r="AO2935" s="2">
        <v>3690.6452476178902</v>
      </c>
      <c r="AP2935" s="2">
        <v>2379.4009671071799</v>
      </c>
      <c r="AQ2935" s="2">
        <v>2294.0177598595801</v>
      </c>
      <c r="AR2935" s="2">
        <v>3869.3872358758699</v>
      </c>
      <c r="AS2935" s="2">
        <v>2502.7680489427198</v>
      </c>
      <c r="AT2935" s="2">
        <v>2664.0471195923601</v>
      </c>
      <c r="AU2935" s="2">
        <v>1346.4051186721699</v>
      </c>
      <c r="AV2935" s="2">
        <v>1326.24326472658</v>
      </c>
      <c r="AW2935" s="2">
        <v>1641.9068898947701</v>
      </c>
      <c r="AX2935" s="2">
        <v>980.52168387354402</v>
      </c>
    </row>
    <row r="2936" spans="1:50" x14ac:dyDescent="0.25">
      <c r="A2936" s="2" t="s">
        <v>19620</v>
      </c>
      <c r="B2936" s="2">
        <v>263.02876837571699</v>
      </c>
      <c r="C2936" s="2">
        <v>4.2211666666666696</v>
      </c>
      <c r="D2936" s="2" t="s">
        <v>51</v>
      </c>
      <c r="E2936" s="2" t="s">
        <v>19621</v>
      </c>
      <c r="F2936" s="2">
        <v>279969</v>
      </c>
      <c r="G2936" s="3" t="str">
        <f>HYPERLINK("https://cloud.oebiotech.com/#/lm/network/279969", "https://cloud.oebiotech.com/#/lm/network/279969")</f>
        <v>https://cloud.oebiotech.com/#/lm/network/279969</v>
      </c>
      <c r="H2936" s="2"/>
      <c r="I2936" s="2">
        <v>72834</v>
      </c>
      <c r="J2936" s="2"/>
      <c r="K2936" s="2">
        <v>91596</v>
      </c>
      <c r="L2936" s="2" t="s">
        <v>19622</v>
      </c>
      <c r="M2936" s="2"/>
      <c r="N2936" s="2"/>
      <c r="O2936" s="2"/>
      <c r="P2936" s="2"/>
      <c r="Q2936" s="2"/>
      <c r="R2936" s="2" t="s">
        <v>19623</v>
      </c>
      <c r="S2936" s="2" t="s">
        <v>19624</v>
      </c>
      <c r="T2936" s="2" t="s">
        <v>19625</v>
      </c>
      <c r="U2936" s="2" t="s">
        <v>266</v>
      </c>
      <c r="V2936" s="2" t="s">
        <v>1585</v>
      </c>
      <c r="W2936" s="2" t="s">
        <v>9354</v>
      </c>
      <c r="X2936" s="2" t="s">
        <v>147</v>
      </c>
      <c r="Y2936" s="2">
        <v>36.5</v>
      </c>
      <c r="Z2936" s="2">
        <v>0</v>
      </c>
      <c r="AA2936" s="2" t="s">
        <v>163</v>
      </c>
      <c r="AB2936" s="2" t="s">
        <v>19626</v>
      </c>
      <c r="AC2936" s="2">
        <v>3.64551933472741</v>
      </c>
      <c r="AD2936" s="2"/>
      <c r="AE2936" s="2">
        <v>0.206198860403464</v>
      </c>
      <c r="AF2936" s="2">
        <v>539.75942234152205</v>
      </c>
      <c r="AG2936" s="2">
        <v>2493.7527781990998</v>
      </c>
      <c r="AH2936" s="4">
        <v>0.216444640006102</v>
      </c>
      <c r="AI2936" s="4">
        <v>-2.2079300205203301</v>
      </c>
      <c r="AJ2936" s="4" t="s">
        <v>62</v>
      </c>
      <c r="AK2936" s="2">
        <v>0.41174796803609798</v>
      </c>
      <c r="AL2936" s="2">
        <v>0.67548655599718399</v>
      </c>
      <c r="AM2936" s="2">
        <v>56.871762244012501</v>
      </c>
      <c r="AN2936" s="2">
        <v>71.358041020277199</v>
      </c>
      <c r="AO2936" s="2">
        <v>8.559877937157E-6</v>
      </c>
      <c r="AP2936" s="2">
        <v>979.91145441354001</v>
      </c>
      <c r="AQ2936" s="2">
        <v>783.82771950889401</v>
      </c>
      <c r="AR2936" s="2">
        <v>1346.58754830253</v>
      </c>
      <c r="AS2936" s="2">
        <v>8.559877937157E-6</v>
      </c>
      <c r="AT2936" s="2">
        <v>8.559877937157E-6</v>
      </c>
      <c r="AU2936" s="2">
        <v>272.91022360686998</v>
      </c>
      <c r="AV2936" s="2">
        <v>791.19173224184203</v>
      </c>
      <c r="AW2936" s="2">
        <v>13823.1327086562</v>
      </c>
      <c r="AX2936" s="2">
        <v>75.281987569948896</v>
      </c>
    </row>
    <row r="2937" spans="1:50" x14ac:dyDescent="0.25">
      <c r="A2937" s="2" t="s">
        <v>19627</v>
      </c>
      <c r="B2937" s="2">
        <v>307.19053351647801</v>
      </c>
      <c r="C2937" s="2">
        <v>10.0372166666667</v>
      </c>
      <c r="D2937" s="2" t="s">
        <v>51</v>
      </c>
      <c r="E2937" s="2" t="s">
        <v>19628</v>
      </c>
      <c r="F2937" s="2">
        <v>7895</v>
      </c>
      <c r="G2937" s="3" t="str">
        <f>HYPERLINK("https://cloud.oebiotech.com/#/lm/network/7895", "https://cloud.oebiotech.com/#/lm/network/7895")</f>
        <v>https://cloud.oebiotech.com/#/lm/network/7895</v>
      </c>
      <c r="H2937" s="2"/>
      <c r="I2937" s="2"/>
      <c r="J2937" s="2" t="s">
        <v>19629</v>
      </c>
      <c r="K2937" s="2">
        <v>101883941</v>
      </c>
      <c r="L2937" s="2"/>
      <c r="M2937" s="2"/>
      <c r="N2937" s="2"/>
      <c r="O2937" s="2"/>
      <c r="P2937" s="2"/>
      <c r="Q2937" s="2"/>
      <c r="R2937" s="2"/>
      <c r="S2937" s="2" t="s">
        <v>19630</v>
      </c>
      <c r="T2937" s="2" t="s">
        <v>19631</v>
      </c>
      <c r="U2937" s="2" t="s">
        <v>540</v>
      </c>
      <c r="V2937" s="2" t="s">
        <v>563</v>
      </c>
      <c r="W2937" s="2" t="s">
        <v>240</v>
      </c>
      <c r="X2937" s="2" t="s">
        <v>83</v>
      </c>
      <c r="Y2937" s="2">
        <v>45.9</v>
      </c>
      <c r="Z2937" s="2">
        <v>0</v>
      </c>
      <c r="AA2937" s="2" t="s">
        <v>163</v>
      </c>
      <c r="AB2937" s="2" t="s">
        <v>12571</v>
      </c>
      <c r="AC2937" s="2">
        <v>-3.0805695772411301</v>
      </c>
      <c r="AD2937" s="2"/>
      <c r="AE2937" s="2">
        <v>0.20611940330430401</v>
      </c>
      <c r="AF2937" s="2">
        <v>5063.9547238922496</v>
      </c>
      <c r="AG2937" s="2">
        <v>3660.38891576694</v>
      </c>
      <c r="AH2937" s="5">
        <v>1.3834471801833801</v>
      </c>
      <c r="AI2937" s="5">
        <v>0.46826756310782902</v>
      </c>
      <c r="AJ2937" s="5" t="s">
        <v>139</v>
      </c>
      <c r="AK2937" s="2">
        <v>0.100981313423655</v>
      </c>
      <c r="AL2937" s="2">
        <v>0.40426571665289102</v>
      </c>
      <c r="AM2937" s="2">
        <v>4999.02214907907</v>
      </c>
      <c r="AN2937" s="2">
        <v>6705.1325889598602</v>
      </c>
      <c r="AO2937" s="2">
        <v>7172.7570927755796</v>
      </c>
      <c r="AP2937" s="2">
        <v>3143.2401909492601</v>
      </c>
      <c r="AQ2937" s="2">
        <v>3306.7889107762098</v>
      </c>
      <c r="AR2937" s="2">
        <v>5056.7874108135402</v>
      </c>
      <c r="AS2937" s="2">
        <v>4496.5084918286302</v>
      </c>
      <c r="AT2937" s="2">
        <v>2275.3465249610299</v>
      </c>
      <c r="AU2937" s="2">
        <v>3126.8283661948899</v>
      </c>
      <c r="AV2937" s="2">
        <v>4611.9757106216102</v>
      </c>
      <c r="AW2937" s="2">
        <v>4157.3741239822903</v>
      </c>
      <c r="AX2937" s="2">
        <v>3294.3002770131702</v>
      </c>
    </row>
    <row r="2938" spans="1:50" x14ac:dyDescent="0.25">
      <c r="A2938" s="2" t="s">
        <v>19632</v>
      </c>
      <c r="B2938" s="2">
        <v>423.127812802101</v>
      </c>
      <c r="C2938" s="2">
        <v>4.7703666666666704</v>
      </c>
      <c r="D2938" s="2" t="s">
        <v>51</v>
      </c>
      <c r="E2938" s="2" t="s">
        <v>19633</v>
      </c>
      <c r="F2938" s="2">
        <v>57325</v>
      </c>
      <c r="G2938" s="3" t="str">
        <f>HYPERLINK("https://cloud.oebiotech.com/#/lm/network/57325", "https://cloud.oebiotech.com/#/lm/network/57325")</f>
        <v>https://cloud.oebiotech.com/#/lm/network/57325</v>
      </c>
      <c r="H2938" s="2" t="s">
        <v>19634</v>
      </c>
      <c r="I2938" s="2">
        <v>88955</v>
      </c>
      <c r="J2938" s="2"/>
      <c r="K2938" s="2">
        <v>85267368</v>
      </c>
      <c r="L2938" s="2"/>
      <c r="M2938" s="2"/>
      <c r="N2938" s="2"/>
      <c r="O2938" s="2">
        <v>169193</v>
      </c>
      <c r="P2938" s="2"/>
      <c r="Q2938" s="2"/>
      <c r="R2938" s="2"/>
      <c r="S2938" s="2" t="s">
        <v>19635</v>
      </c>
      <c r="T2938" s="2" t="s">
        <v>19636</v>
      </c>
      <c r="U2938" s="2" t="s">
        <v>331</v>
      </c>
      <c r="V2938" s="2" t="s">
        <v>332</v>
      </c>
      <c r="W2938" s="2" t="s">
        <v>333</v>
      </c>
      <c r="X2938" s="2" t="s">
        <v>147</v>
      </c>
      <c r="Y2938" s="2">
        <v>38</v>
      </c>
      <c r="Z2938" s="2">
        <v>0</v>
      </c>
      <c r="AA2938" s="2" t="s">
        <v>395</v>
      </c>
      <c r="AB2938" s="2" t="s">
        <v>19637</v>
      </c>
      <c r="AC2938" s="2">
        <v>3.8863928919086099</v>
      </c>
      <c r="AD2938" s="2"/>
      <c r="AE2938" s="2">
        <v>0.20608446546113399</v>
      </c>
      <c r="AF2938" s="2">
        <v>1421.00658346814</v>
      </c>
      <c r="AG2938" s="2">
        <v>3066.0807073718802</v>
      </c>
      <c r="AH2938" s="4">
        <v>0.46346026706067101</v>
      </c>
      <c r="AI2938" s="4">
        <v>-1.1094824345082299</v>
      </c>
      <c r="AJ2938" s="4" t="s">
        <v>62</v>
      </c>
      <c r="AK2938" s="2">
        <v>8.7898414288501203E-2</v>
      </c>
      <c r="AL2938" s="2">
        <v>0.38035924608661198</v>
      </c>
      <c r="AM2938" s="2">
        <v>1357.9479858964601</v>
      </c>
      <c r="AN2938" s="2">
        <v>1119.36906278027</v>
      </c>
      <c r="AO2938" s="2">
        <v>1378.2173639335199</v>
      </c>
      <c r="AP2938" s="2">
        <v>8.559877937157E-6</v>
      </c>
      <c r="AQ2938" s="2">
        <v>311.022169799859</v>
      </c>
      <c r="AR2938" s="2">
        <v>4359.48290983886</v>
      </c>
      <c r="AS2938" s="2">
        <v>2657.26435284742</v>
      </c>
      <c r="AT2938" s="2">
        <v>3612.3489751082798</v>
      </c>
      <c r="AU2938" s="2">
        <v>3634.8311732882798</v>
      </c>
      <c r="AV2938" s="2">
        <v>1317.00675751773</v>
      </c>
      <c r="AW2938" s="2">
        <v>5366.06077539539</v>
      </c>
      <c r="AX2938" s="2">
        <v>1808.9722100741801</v>
      </c>
    </row>
    <row r="2939" spans="1:50" x14ac:dyDescent="0.25">
      <c r="A2939" s="2" t="s">
        <v>19638</v>
      </c>
      <c r="B2939" s="2">
        <v>371.01495010223698</v>
      </c>
      <c r="C2939" s="2">
        <v>6.5311166666666702</v>
      </c>
      <c r="D2939" s="2" t="s">
        <v>51</v>
      </c>
      <c r="E2939" s="2" t="s">
        <v>19639</v>
      </c>
      <c r="F2939" s="2">
        <v>202683</v>
      </c>
      <c r="G2939" s="3" t="str">
        <f>HYPERLINK("https://cloud.oebiotech.com/#/lm/network/202683", "https://cloud.oebiotech.com/#/lm/network/202683")</f>
        <v>https://cloud.oebiotech.com/#/lm/network/202683</v>
      </c>
      <c r="H2939" s="2" t="s">
        <v>19640</v>
      </c>
      <c r="I2939" s="2"/>
      <c r="J2939" s="2"/>
      <c r="K2939" s="2">
        <v>11854256</v>
      </c>
      <c r="L2939" s="2"/>
      <c r="M2939" s="2"/>
      <c r="N2939" s="2"/>
      <c r="O2939" s="2"/>
      <c r="P2939" s="2"/>
      <c r="Q2939" s="2"/>
      <c r="R2939" s="2"/>
      <c r="S2939" s="2" t="s">
        <v>19641</v>
      </c>
      <c r="T2939" s="2" t="s">
        <v>19642</v>
      </c>
      <c r="U2939" s="2" t="s">
        <v>295</v>
      </c>
      <c r="V2939" s="2" t="s">
        <v>1023</v>
      </c>
      <c r="W2939" s="2" t="s">
        <v>7156</v>
      </c>
      <c r="X2939" s="2" t="s">
        <v>147</v>
      </c>
      <c r="Y2939" s="2">
        <v>37.5</v>
      </c>
      <c r="Z2939" s="2">
        <v>0</v>
      </c>
      <c r="AA2939" s="2" t="s">
        <v>379</v>
      </c>
      <c r="AB2939" s="2" t="s">
        <v>19643</v>
      </c>
      <c r="AC2939" s="2">
        <v>0.71438820604290099</v>
      </c>
      <c r="AD2939" s="2"/>
      <c r="AE2939" s="2">
        <v>0.206060202604538</v>
      </c>
      <c r="AF2939" s="2">
        <v>2858.2713870565299</v>
      </c>
      <c r="AG2939" s="2">
        <v>4022.83177847454</v>
      </c>
      <c r="AH2939" s="4">
        <v>0.71051228200757399</v>
      </c>
      <c r="AI2939" s="4">
        <v>-0.49306850658993301</v>
      </c>
      <c r="AJ2939" s="4" t="s">
        <v>62</v>
      </c>
      <c r="AK2939" s="2">
        <v>1.6504008042906401E-2</v>
      </c>
      <c r="AL2939" s="2">
        <v>0.20292872315987101</v>
      </c>
      <c r="AM2939" s="2">
        <v>2856.7091046809401</v>
      </c>
      <c r="AN2939" s="2">
        <v>3103.2419503626702</v>
      </c>
      <c r="AO2939" s="2">
        <v>2667.5367901138902</v>
      </c>
      <c r="AP2939" s="2">
        <v>2650.4184352253901</v>
      </c>
      <c r="AQ2939" s="2">
        <v>3623.1447686249398</v>
      </c>
      <c r="AR2939" s="2">
        <v>2248.5772733313802</v>
      </c>
      <c r="AS2939" s="2">
        <v>3210.5461878346</v>
      </c>
      <c r="AT2939" s="2">
        <v>3728.1139056411298</v>
      </c>
      <c r="AU2939" s="2">
        <v>4499.3005773545601</v>
      </c>
      <c r="AV2939" s="2">
        <v>5443.0087410378001</v>
      </c>
      <c r="AW2939" s="2">
        <v>4138.3447155303202</v>
      </c>
      <c r="AX2939" s="2">
        <v>3117.6765434488502</v>
      </c>
    </row>
    <row r="2940" spans="1:50" x14ac:dyDescent="0.25">
      <c r="A2940" s="2" t="s">
        <v>19644</v>
      </c>
      <c r="B2940" s="2">
        <v>230.097191784948</v>
      </c>
      <c r="C2940" s="2">
        <v>5.4092166666666701</v>
      </c>
      <c r="D2940" s="2" t="s">
        <v>51</v>
      </c>
      <c r="E2940" s="2" t="s">
        <v>19645</v>
      </c>
      <c r="F2940" s="2">
        <v>202077</v>
      </c>
      <c r="G2940" s="3" t="str">
        <f>HYPERLINK("https://cloud.oebiotech.com/#/lm/network/202077", "https://cloud.oebiotech.com/#/lm/network/202077")</f>
        <v>https://cloud.oebiotech.com/#/lm/network/202077</v>
      </c>
      <c r="H2940" s="2" t="s">
        <v>19646</v>
      </c>
      <c r="I2940" s="2"/>
      <c r="J2940" s="2"/>
      <c r="K2940" s="2">
        <v>344234</v>
      </c>
      <c r="L2940" s="2"/>
      <c r="M2940" s="2"/>
      <c r="N2940" s="2"/>
      <c r="O2940" s="2"/>
      <c r="P2940" s="2"/>
      <c r="Q2940" s="2"/>
      <c r="R2940" s="2"/>
      <c r="S2940" s="2" t="s">
        <v>19647</v>
      </c>
      <c r="T2940" s="2" t="s">
        <v>19648</v>
      </c>
      <c r="U2940" s="2" t="s">
        <v>266</v>
      </c>
      <c r="V2940" s="2" t="s">
        <v>1393</v>
      </c>
      <c r="W2940" s="2" t="s">
        <v>1394</v>
      </c>
      <c r="X2940" s="2" t="s">
        <v>147</v>
      </c>
      <c r="Y2940" s="2">
        <v>38.9</v>
      </c>
      <c r="Z2940" s="2">
        <v>0</v>
      </c>
      <c r="AA2940" s="2" t="s">
        <v>259</v>
      </c>
      <c r="AB2940" s="2" t="s">
        <v>19649</v>
      </c>
      <c r="AC2940" s="2">
        <v>3.3436563027697099</v>
      </c>
      <c r="AD2940" s="2"/>
      <c r="AE2940" s="2">
        <v>0.20604909161933599</v>
      </c>
      <c r="AF2940" s="2">
        <v>1915.5169399597901</v>
      </c>
      <c r="AG2940" s="2">
        <v>908.191463489993</v>
      </c>
      <c r="AH2940" s="5">
        <v>2.1091554115680098</v>
      </c>
      <c r="AI2940" s="5">
        <v>1.0766654029731499</v>
      </c>
      <c r="AJ2940" s="5" t="s">
        <v>139</v>
      </c>
      <c r="AK2940" s="2">
        <v>6.8827202393351203E-2</v>
      </c>
      <c r="AL2940" s="2">
        <v>0.34710539079180402</v>
      </c>
      <c r="AM2940" s="2">
        <v>3332.52862836128</v>
      </c>
      <c r="AN2940" s="2">
        <v>2854.2476191678902</v>
      </c>
      <c r="AO2940" s="2">
        <v>907.96573513653004</v>
      </c>
      <c r="AP2940" s="2">
        <v>1617.1237505828999</v>
      </c>
      <c r="AQ2940" s="2">
        <v>1131.4277798674</v>
      </c>
      <c r="AR2940" s="2">
        <v>1649.80812664273</v>
      </c>
      <c r="AS2940" s="2">
        <v>936.51657656390898</v>
      </c>
      <c r="AT2940" s="2">
        <v>300.55583068542097</v>
      </c>
      <c r="AU2940" s="2">
        <v>2033.2905131160601</v>
      </c>
      <c r="AV2940" s="2">
        <v>8.559877937157E-6</v>
      </c>
      <c r="AW2940" s="2">
        <v>843.50932150328197</v>
      </c>
      <c r="AX2940" s="2">
        <v>1335.2765305114101</v>
      </c>
    </row>
    <row r="2941" spans="1:50" x14ac:dyDescent="0.25">
      <c r="A2941" s="2" t="s">
        <v>19650</v>
      </c>
      <c r="B2941" s="2">
        <v>438.26281385524402</v>
      </c>
      <c r="C2941" s="2">
        <v>10.121033333333299</v>
      </c>
      <c r="D2941" s="2" t="s">
        <v>51</v>
      </c>
      <c r="E2941" s="2" t="s">
        <v>19651</v>
      </c>
      <c r="F2941" s="2">
        <v>21235</v>
      </c>
      <c r="G2941" s="3" t="str">
        <f>HYPERLINK("https://cloud.oebiotech.com/#/lm/network/21235", "https://cloud.oebiotech.com/#/lm/network/21235")</f>
        <v>https://cloud.oebiotech.com/#/lm/network/21235</v>
      </c>
      <c r="H2941" s="2"/>
      <c r="I2941" s="2"/>
      <c r="J2941" s="2" t="s">
        <v>19652</v>
      </c>
      <c r="K2941" s="2"/>
      <c r="L2941" s="2"/>
      <c r="M2941" s="2"/>
      <c r="N2941" s="2"/>
      <c r="O2941" s="2"/>
      <c r="P2941" s="2"/>
      <c r="Q2941" s="2"/>
      <c r="R2941" s="2"/>
      <c r="S2941" s="2" t="s">
        <v>19653</v>
      </c>
      <c r="T2941" s="2" t="s">
        <v>19654</v>
      </c>
      <c r="U2941" s="2" t="s">
        <v>56</v>
      </c>
      <c r="V2941" s="2" t="s">
        <v>57</v>
      </c>
      <c r="W2941" s="2" t="s">
        <v>155</v>
      </c>
      <c r="X2941" s="2" t="s">
        <v>83</v>
      </c>
      <c r="Y2941" s="2">
        <v>42.4</v>
      </c>
      <c r="Z2941" s="2">
        <v>0</v>
      </c>
      <c r="AA2941" s="2" t="s">
        <v>163</v>
      </c>
      <c r="AB2941" s="2" t="s">
        <v>15980</v>
      </c>
      <c r="AC2941" s="2">
        <v>0.457505941780743</v>
      </c>
      <c r="AD2941" s="2"/>
      <c r="AE2941" s="2">
        <v>0.20596512529743699</v>
      </c>
      <c r="AF2941" s="2">
        <v>3833.0898983829802</v>
      </c>
      <c r="AG2941" s="2">
        <v>1361.10812282756</v>
      </c>
      <c r="AH2941" s="5">
        <v>2.8161538632361802</v>
      </c>
      <c r="AI2941" s="5">
        <v>1.49372615913989</v>
      </c>
      <c r="AJ2941" s="5" t="s">
        <v>139</v>
      </c>
      <c r="AK2941" s="2">
        <v>0.26022169156038799</v>
      </c>
      <c r="AL2941" s="2">
        <v>0.58239046601091005</v>
      </c>
      <c r="AM2941" s="2">
        <v>3211.8551531112098</v>
      </c>
      <c r="AN2941" s="2">
        <v>999.95945277250803</v>
      </c>
      <c r="AO2941" s="2">
        <v>1053.31691463835</v>
      </c>
      <c r="AP2941" s="2">
        <v>580.05538882490805</v>
      </c>
      <c r="AQ2941" s="2">
        <v>13778.726969712199</v>
      </c>
      <c r="AR2941" s="2">
        <v>3374.6255112386998</v>
      </c>
      <c r="AS2941" s="2">
        <v>299.84676973315101</v>
      </c>
      <c r="AT2941" s="2">
        <v>778.54457994449899</v>
      </c>
      <c r="AU2941" s="2">
        <v>2139.59760812481</v>
      </c>
      <c r="AV2941" s="2">
        <v>2242.5336433488701</v>
      </c>
      <c r="AW2941" s="2">
        <v>1325.18218554994</v>
      </c>
      <c r="AX2941" s="2">
        <v>1380.9439502640801</v>
      </c>
    </row>
    <row r="2942" spans="1:50" x14ac:dyDescent="0.25">
      <c r="A2942" s="2" t="s">
        <v>19655</v>
      </c>
      <c r="B2942" s="2">
        <v>453.29760466321898</v>
      </c>
      <c r="C2942" s="2">
        <v>7.3651166666666699</v>
      </c>
      <c r="D2942" s="2" t="s">
        <v>51</v>
      </c>
      <c r="E2942" s="2" t="s">
        <v>19656</v>
      </c>
      <c r="F2942" s="2">
        <v>43592</v>
      </c>
      <c r="G2942" s="3" t="str">
        <f>HYPERLINK("https://cloud.oebiotech.com/#/lm/network/43592", "https://cloud.oebiotech.com/#/lm/network/43592")</f>
        <v>https://cloud.oebiotech.com/#/lm/network/43592</v>
      </c>
      <c r="H2942" s="2"/>
      <c r="I2942" s="2">
        <v>83866</v>
      </c>
      <c r="J2942" s="2" t="s">
        <v>19657</v>
      </c>
      <c r="K2942" s="2">
        <v>52931307</v>
      </c>
      <c r="L2942" s="2"/>
      <c r="M2942" s="2"/>
      <c r="N2942" s="2"/>
      <c r="O2942" s="2"/>
      <c r="P2942" s="2"/>
      <c r="Q2942" s="2"/>
      <c r="R2942" s="2"/>
      <c r="S2942" s="2" t="s">
        <v>19658</v>
      </c>
      <c r="T2942" s="2" t="s">
        <v>19659</v>
      </c>
      <c r="U2942" s="2" t="s">
        <v>56</v>
      </c>
      <c r="V2942" s="2" t="s">
        <v>283</v>
      </c>
      <c r="W2942" s="2" t="s">
        <v>1108</v>
      </c>
      <c r="X2942" s="2" t="s">
        <v>147</v>
      </c>
      <c r="Y2942" s="2">
        <v>37.799999999999997</v>
      </c>
      <c r="Z2942" s="2">
        <v>4.04</v>
      </c>
      <c r="AA2942" s="2" t="s">
        <v>95</v>
      </c>
      <c r="AB2942" s="2" t="s">
        <v>3946</v>
      </c>
      <c r="AC2942" s="2">
        <v>0.17233699095194799</v>
      </c>
      <c r="AD2942" s="2"/>
      <c r="AE2942" s="2">
        <v>0.20596096741179001</v>
      </c>
      <c r="AF2942" s="2">
        <v>4586.1626015686797</v>
      </c>
      <c r="AG2942" s="2">
        <v>6423.0984878394001</v>
      </c>
      <c r="AH2942" s="4">
        <v>0.714010941954491</v>
      </c>
      <c r="AI2942" s="4">
        <v>-0.485981911693877</v>
      </c>
      <c r="AJ2942" s="4" t="s">
        <v>62</v>
      </c>
      <c r="AK2942" s="2">
        <v>0.31316539353080303</v>
      </c>
      <c r="AL2942" s="2">
        <v>0.62266006074761504</v>
      </c>
      <c r="AM2942" s="2">
        <v>3445.0023499530198</v>
      </c>
      <c r="AN2942" s="2">
        <v>6081.7939880305303</v>
      </c>
      <c r="AO2942" s="2">
        <v>3452.6160793496301</v>
      </c>
      <c r="AP2942" s="2">
        <v>6894.5509705279901</v>
      </c>
      <c r="AQ2942" s="2">
        <v>2998.3392989127401</v>
      </c>
      <c r="AR2942" s="2">
        <v>4644.6729226381503</v>
      </c>
      <c r="AS2942" s="2">
        <v>2692.12653169024</v>
      </c>
      <c r="AT2942" s="2">
        <v>4785.8016132246203</v>
      </c>
      <c r="AU2942" s="2">
        <v>7446.1503348773304</v>
      </c>
      <c r="AV2942" s="2">
        <v>9687.9165264503608</v>
      </c>
      <c r="AW2942" s="2">
        <v>11870.964478948201</v>
      </c>
      <c r="AX2942" s="2">
        <v>2055.63144184565</v>
      </c>
    </row>
    <row r="2943" spans="1:50" x14ac:dyDescent="0.25">
      <c r="A2943" s="2" t="s">
        <v>19660</v>
      </c>
      <c r="B2943" s="2">
        <v>409.17654700502101</v>
      </c>
      <c r="C2943" s="2">
        <v>8.7919833333333308</v>
      </c>
      <c r="D2943" s="2" t="s">
        <v>51</v>
      </c>
      <c r="E2943" s="2" t="s">
        <v>19661</v>
      </c>
      <c r="F2943" s="2">
        <v>64992</v>
      </c>
      <c r="G2943" s="3" t="str">
        <f>HYPERLINK("https://cloud.oebiotech.com/#/lm/network/64992", "https://cloud.oebiotech.com/#/lm/network/64992")</f>
        <v>https://cloud.oebiotech.com/#/lm/network/64992</v>
      </c>
      <c r="H2943" s="2" t="s">
        <v>19662</v>
      </c>
      <c r="I2943" s="2">
        <v>2217</v>
      </c>
      <c r="J2943" s="2"/>
      <c r="K2943" s="2">
        <v>107994</v>
      </c>
      <c r="L2943" s="2"/>
      <c r="M2943" s="2"/>
      <c r="N2943" s="2"/>
      <c r="O2943" s="2">
        <v>140296</v>
      </c>
      <c r="P2943" s="2" t="s">
        <v>13166</v>
      </c>
      <c r="Q2943" s="2" t="s">
        <v>13167</v>
      </c>
      <c r="R2943" s="2" t="s">
        <v>19663</v>
      </c>
      <c r="S2943" s="2" t="s">
        <v>19664</v>
      </c>
      <c r="T2943" s="2" t="s">
        <v>19665</v>
      </c>
      <c r="U2943" s="2" t="s">
        <v>103</v>
      </c>
      <c r="V2943" s="2" t="s">
        <v>104</v>
      </c>
      <c r="W2943" s="2" t="s">
        <v>105</v>
      </c>
      <c r="X2943" s="2" t="s">
        <v>147</v>
      </c>
      <c r="Y2943" s="2">
        <v>37.1</v>
      </c>
      <c r="Z2943" s="2">
        <v>0</v>
      </c>
      <c r="AA2943" s="2" t="s">
        <v>163</v>
      </c>
      <c r="AB2943" s="2" t="s">
        <v>19666</v>
      </c>
      <c r="AC2943" s="2">
        <v>-0.84962858744379299</v>
      </c>
      <c r="AD2943" s="2"/>
      <c r="AE2943" s="2">
        <v>0.20580137021268</v>
      </c>
      <c r="AF2943" s="2">
        <v>1320.29414541238</v>
      </c>
      <c r="AG2943" s="2">
        <v>350.96157485245601</v>
      </c>
      <c r="AH2943" s="5">
        <v>3.7619336132949299</v>
      </c>
      <c r="AI2943" s="5">
        <v>1.9114743898990501</v>
      </c>
      <c r="AJ2943" s="5" t="s">
        <v>139</v>
      </c>
      <c r="AK2943" s="2">
        <v>5.1945634220093503E-3</v>
      </c>
      <c r="AL2943" s="2">
        <v>0.123740271492219</v>
      </c>
      <c r="AM2943" s="2">
        <v>1052.07539754498</v>
      </c>
      <c r="AN2943" s="2">
        <v>2300.19684243646</v>
      </c>
      <c r="AO2943" s="2">
        <v>1296.5937010090499</v>
      </c>
      <c r="AP2943" s="2">
        <v>801.50269915755996</v>
      </c>
      <c r="AQ2943" s="2">
        <v>811.68734769497496</v>
      </c>
      <c r="AR2943" s="2">
        <v>1659.7088846312399</v>
      </c>
      <c r="AS2943" s="2">
        <v>788.68070620429603</v>
      </c>
      <c r="AT2943" s="2">
        <v>494.02299431138198</v>
      </c>
      <c r="AU2943" s="2">
        <v>8.559877937157E-6</v>
      </c>
      <c r="AV2943" s="2">
        <v>8.559877937157E-6</v>
      </c>
      <c r="AW2943" s="2">
        <v>205.861454397702</v>
      </c>
      <c r="AX2943" s="2">
        <v>617.20427708159798</v>
      </c>
    </row>
    <row r="2944" spans="1:50" x14ac:dyDescent="0.25">
      <c r="A2944" s="2" t="s">
        <v>19667</v>
      </c>
      <c r="B2944" s="2">
        <v>214.14432292690199</v>
      </c>
      <c r="C2944" s="2">
        <v>6.5311166666666702</v>
      </c>
      <c r="D2944" s="2" t="s">
        <v>51</v>
      </c>
      <c r="E2944" s="2" t="s">
        <v>19668</v>
      </c>
      <c r="F2944" s="2">
        <v>52234</v>
      </c>
      <c r="G2944" s="3" t="str">
        <f>HYPERLINK("https://cloud.oebiotech.com/#/lm/network/52234", "https://cloud.oebiotech.com/#/lm/network/52234")</f>
        <v>https://cloud.oebiotech.com/#/lm/network/52234</v>
      </c>
      <c r="H2944" s="2" t="s">
        <v>19669</v>
      </c>
      <c r="I2944" s="2"/>
      <c r="J2944" s="2"/>
      <c r="K2944" s="2">
        <v>10176752</v>
      </c>
      <c r="L2944" s="2"/>
      <c r="M2944" s="2"/>
      <c r="N2944" s="2"/>
      <c r="O2944" s="2">
        <v>74439</v>
      </c>
      <c r="P2944" s="2"/>
      <c r="Q2944" s="2"/>
      <c r="R2944" s="2"/>
      <c r="S2944" s="2" t="s">
        <v>19670</v>
      </c>
      <c r="T2944" s="2" t="s">
        <v>19671</v>
      </c>
      <c r="U2944" s="2" t="s">
        <v>103</v>
      </c>
      <c r="V2944" s="2" t="s">
        <v>104</v>
      </c>
      <c r="W2944" s="2" t="s">
        <v>105</v>
      </c>
      <c r="X2944" s="2" t="s">
        <v>147</v>
      </c>
      <c r="Y2944" s="2">
        <v>39</v>
      </c>
      <c r="Z2944" s="2">
        <v>4.58</v>
      </c>
      <c r="AA2944" s="2" t="s">
        <v>163</v>
      </c>
      <c r="AB2944" s="2" t="s">
        <v>18159</v>
      </c>
      <c r="AC2944" s="2">
        <v>-2.5292708649865201</v>
      </c>
      <c r="AD2944" s="2"/>
      <c r="AE2944" s="2">
        <v>0.2057259465996</v>
      </c>
      <c r="AF2944" s="2">
        <v>2062.3669379359098</v>
      </c>
      <c r="AG2944" s="2">
        <v>953.830900364954</v>
      </c>
      <c r="AH2944" s="5">
        <v>2.1621934633767901</v>
      </c>
      <c r="AI2944" s="5">
        <v>1.1124956147317799</v>
      </c>
      <c r="AJ2944" s="5" t="s">
        <v>139</v>
      </c>
      <c r="AK2944" s="2">
        <v>2.7440934265518802E-2</v>
      </c>
      <c r="AL2944" s="2">
        <v>0.25505404741882998</v>
      </c>
      <c r="AM2944" s="2">
        <v>1931.53874129216</v>
      </c>
      <c r="AN2944" s="2">
        <v>3400.58681224571</v>
      </c>
      <c r="AO2944" s="2">
        <v>1245.1640847890201</v>
      </c>
      <c r="AP2944" s="2">
        <v>1039.1789418579399</v>
      </c>
      <c r="AQ2944" s="2">
        <v>2818.9398891665401</v>
      </c>
      <c r="AR2944" s="2">
        <v>1938.7931582640699</v>
      </c>
      <c r="AS2944" s="2">
        <v>378.12133162013401</v>
      </c>
      <c r="AT2944" s="2">
        <v>266.07553939060102</v>
      </c>
      <c r="AU2944" s="2">
        <v>1523.6869791444501</v>
      </c>
      <c r="AV2944" s="2">
        <v>890.76087467743002</v>
      </c>
      <c r="AW2944" s="2">
        <v>1258.64610324668</v>
      </c>
      <c r="AX2944" s="2">
        <v>1405.69457411043</v>
      </c>
    </row>
    <row r="2945" spans="1:50" x14ac:dyDescent="0.25">
      <c r="A2945" s="2" t="s">
        <v>19672</v>
      </c>
      <c r="B2945" s="2">
        <v>223.09721714802799</v>
      </c>
      <c r="C2945" s="2">
        <v>5.6952833333333297</v>
      </c>
      <c r="D2945" s="2" t="s">
        <v>51</v>
      </c>
      <c r="E2945" s="2" t="s">
        <v>19673</v>
      </c>
      <c r="F2945" s="2">
        <v>211798</v>
      </c>
      <c r="G2945" s="3" t="str">
        <f>HYPERLINK("https://cloud.oebiotech.com/#/lm/network/211798", "https://cloud.oebiotech.com/#/lm/network/211798")</f>
        <v>https://cloud.oebiotech.com/#/lm/network/211798</v>
      </c>
      <c r="H2945" s="2" t="s">
        <v>19674</v>
      </c>
      <c r="I2945" s="2"/>
      <c r="J2945" s="2"/>
      <c r="K2945" s="2">
        <v>3025856</v>
      </c>
      <c r="L2945" s="2"/>
      <c r="M2945" s="2"/>
      <c r="N2945" s="2"/>
      <c r="O2945" s="2"/>
      <c r="P2945" s="2"/>
      <c r="Q2945" s="2"/>
      <c r="R2945" s="2"/>
      <c r="S2945" s="2" t="s">
        <v>19675</v>
      </c>
      <c r="T2945" s="2" t="s">
        <v>19676</v>
      </c>
      <c r="U2945" s="2" t="s">
        <v>266</v>
      </c>
      <c r="V2945" s="2" t="s">
        <v>11997</v>
      </c>
      <c r="W2945" s="2" t="s">
        <v>240</v>
      </c>
      <c r="X2945" s="2" t="s">
        <v>83</v>
      </c>
      <c r="Y2945" s="2">
        <v>48.6</v>
      </c>
      <c r="Z2945" s="2">
        <v>42.3</v>
      </c>
      <c r="AA2945" s="2" t="s">
        <v>163</v>
      </c>
      <c r="AB2945" s="2" t="s">
        <v>19677</v>
      </c>
      <c r="AC2945" s="2">
        <v>-1.63053730280398</v>
      </c>
      <c r="AD2945" s="2"/>
      <c r="AE2945" s="2">
        <v>0.20551324783639399</v>
      </c>
      <c r="AF2945" s="2">
        <v>1056.46169196865</v>
      </c>
      <c r="AG2945" s="2">
        <v>2749.7238354011702</v>
      </c>
      <c r="AH2945" s="4">
        <v>0.38420647134351898</v>
      </c>
      <c r="AI2945" s="4">
        <v>-1.38004627578872</v>
      </c>
      <c r="AJ2945" s="4" t="s">
        <v>62</v>
      </c>
      <c r="AK2945" s="2">
        <v>0.19277588510218899</v>
      </c>
      <c r="AL2945" s="2">
        <v>0.51702050946451295</v>
      </c>
      <c r="AM2945" s="2">
        <v>1761.7982257333299</v>
      </c>
      <c r="AN2945" s="2">
        <v>412.34305739724101</v>
      </c>
      <c r="AO2945" s="2">
        <v>969.26596580695605</v>
      </c>
      <c r="AP2945" s="2">
        <v>8.559877937157E-6</v>
      </c>
      <c r="AQ2945" s="2">
        <v>673.84287466892101</v>
      </c>
      <c r="AR2945" s="2">
        <v>2521.5200196455799</v>
      </c>
      <c r="AS2945" s="2">
        <v>1740.4272491322599</v>
      </c>
      <c r="AT2945" s="2">
        <v>747.00225874834905</v>
      </c>
      <c r="AU2945" s="2">
        <v>2862.8097286746802</v>
      </c>
      <c r="AV2945" s="2">
        <v>2257.71723744459</v>
      </c>
      <c r="AW2945" s="2">
        <v>8235.9961615454795</v>
      </c>
      <c r="AX2945" s="2">
        <v>654.39037686165204</v>
      </c>
    </row>
    <row r="2946" spans="1:50" x14ac:dyDescent="0.25">
      <c r="A2946" s="2" t="s">
        <v>19678</v>
      </c>
      <c r="B2946" s="2">
        <v>339.26937241777699</v>
      </c>
      <c r="C2946" s="2">
        <v>10.132949999999999</v>
      </c>
      <c r="D2946" s="2" t="s">
        <v>51</v>
      </c>
      <c r="E2946" s="2" t="s">
        <v>19679</v>
      </c>
      <c r="F2946" s="2">
        <v>46293</v>
      </c>
      <c r="G2946" s="3" t="str">
        <f>HYPERLINK("https://cloud.oebiotech.com/#/lm/network/46293", "https://cloud.oebiotech.com/#/lm/network/46293")</f>
        <v>https://cloud.oebiotech.com/#/lm/network/46293</v>
      </c>
      <c r="H2946" s="2"/>
      <c r="I2946" s="2">
        <v>57907</v>
      </c>
      <c r="J2946" s="2" t="s">
        <v>19680</v>
      </c>
      <c r="K2946" s="2">
        <v>24798708</v>
      </c>
      <c r="L2946" s="2"/>
      <c r="M2946" s="2"/>
      <c r="N2946" s="2"/>
      <c r="O2946" s="2">
        <v>49277</v>
      </c>
      <c r="P2946" s="2"/>
      <c r="Q2946" s="2"/>
      <c r="R2946" s="2"/>
      <c r="S2946" s="2" t="s">
        <v>19681</v>
      </c>
      <c r="T2946" s="2" t="s">
        <v>19682</v>
      </c>
      <c r="U2946" s="2" t="s">
        <v>56</v>
      </c>
      <c r="V2946" s="2" t="s">
        <v>283</v>
      </c>
      <c r="W2946" s="2" t="s">
        <v>2042</v>
      </c>
      <c r="X2946" s="2" t="s">
        <v>59</v>
      </c>
      <c r="Y2946" s="2">
        <v>53.2</v>
      </c>
      <c r="Z2946" s="2">
        <v>72.900000000000006</v>
      </c>
      <c r="AA2946" s="2" t="s">
        <v>156</v>
      </c>
      <c r="AB2946" s="2" t="s">
        <v>9642</v>
      </c>
      <c r="AC2946" s="2">
        <v>3.1725075977617601</v>
      </c>
      <c r="AD2946" s="2"/>
      <c r="AE2946" s="2">
        <v>0.20540059678869901</v>
      </c>
      <c r="AF2946" s="2">
        <v>7662.4451738497501</v>
      </c>
      <c r="AG2946" s="2">
        <v>3457.4594884047901</v>
      </c>
      <c r="AH2946" s="5">
        <v>2.2162067840699602</v>
      </c>
      <c r="AI2946" s="5">
        <v>1.14809249891152</v>
      </c>
      <c r="AJ2946" s="5" t="s">
        <v>139</v>
      </c>
      <c r="AK2946" s="2">
        <v>0.43777547941471001</v>
      </c>
      <c r="AL2946" s="2">
        <v>0.69438720492282102</v>
      </c>
      <c r="AM2946" s="2">
        <v>2077.8427793569699</v>
      </c>
      <c r="AN2946" s="2">
        <v>527.53743003282796</v>
      </c>
      <c r="AO2946" s="2">
        <v>1707.02735233768</v>
      </c>
      <c r="AP2946" s="2">
        <v>2746.1152758245198</v>
      </c>
      <c r="AQ2946" s="2">
        <v>33106.210661355297</v>
      </c>
      <c r="AR2946" s="2">
        <v>5809.9375441911798</v>
      </c>
      <c r="AS2946" s="2">
        <v>2040.6600222480699</v>
      </c>
      <c r="AT2946" s="2">
        <v>5522.2646961768896</v>
      </c>
      <c r="AU2946" s="2">
        <v>5607.9751691285201</v>
      </c>
      <c r="AV2946" s="2">
        <v>4004.3321639256901</v>
      </c>
      <c r="AW2946" s="2">
        <v>2958.0017033183499</v>
      </c>
      <c r="AX2946" s="2">
        <v>611.52317563121596</v>
      </c>
    </row>
    <row r="2947" spans="1:50" x14ac:dyDescent="0.25">
      <c r="A2947" s="2" t="s">
        <v>19683</v>
      </c>
      <c r="B2947" s="2">
        <v>201.11265196393799</v>
      </c>
      <c r="C2947" s="2">
        <v>5.0034000000000001</v>
      </c>
      <c r="D2947" s="2" t="s">
        <v>51</v>
      </c>
      <c r="E2947" s="2" t="s">
        <v>19684</v>
      </c>
      <c r="F2947" s="2">
        <v>1900</v>
      </c>
      <c r="G2947" s="3" t="str">
        <f>HYPERLINK("https://cloud.oebiotech.com/#/lm/network/1900", "https://cloud.oebiotech.com/#/lm/network/1900")</f>
        <v>https://cloud.oebiotech.com/#/lm/network/1900</v>
      </c>
      <c r="H2947" s="2"/>
      <c r="I2947" s="2"/>
      <c r="J2947" s="2" t="s">
        <v>19685</v>
      </c>
      <c r="K2947" s="2">
        <v>25141159</v>
      </c>
      <c r="L2947" s="2"/>
      <c r="M2947" s="2"/>
      <c r="N2947" s="2"/>
      <c r="O2947" s="2"/>
      <c r="P2947" s="2"/>
      <c r="Q2947" s="2"/>
      <c r="R2947" s="2"/>
      <c r="S2947" s="2" t="s">
        <v>19686</v>
      </c>
      <c r="T2947" s="2" t="s">
        <v>19687</v>
      </c>
      <c r="U2947" s="2" t="s">
        <v>103</v>
      </c>
      <c r="V2947" s="2" t="s">
        <v>377</v>
      </c>
      <c r="W2947" s="2" t="s">
        <v>378</v>
      </c>
      <c r="X2947" s="2" t="s">
        <v>83</v>
      </c>
      <c r="Y2947" s="2">
        <v>48.6</v>
      </c>
      <c r="Z2947" s="2">
        <v>21.2</v>
      </c>
      <c r="AA2947" s="2" t="s">
        <v>163</v>
      </c>
      <c r="AB2947" s="2" t="s">
        <v>9669</v>
      </c>
      <c r="AC2947" s="2">
        <v>-2.8728384123146</v>
      </c>
      <c r="AD2947" s="2"/>
      <c r="AE2947" s="2">
        <v>0.20531567040365201</v>
      </c>
      <c r="AF2947" s="2">
        <v>2591.6351732252301</v>
      </c>
      <c r="AG2947" s="2">
        <v>1345.18238526966</v>
      </c>
      <c r="AH2947" s="5">
        <v>1.9266050474677401</v>
      </c>
      <c r="AI2947" s="5">
        <v>0.94606085058560196</v>
      </c>
      <c r="AJ2947" s="5" t="s">
        <v>139</v>
      </c>
      <c r="AK2947" s="2">
        <v>2.4328057674673401E-2</v>
      </c>
      <c r="AL2947" s="2">
        <v>0.24217236037671899</v>
      </c>
      <c r="AM2947" s="2">
        <v>1266.0194140599999</v>
      </c>
      <c r="AN2947" s="2">
        <v>3474.3596141763701</v>
      </c>
      <c r="AO2947" s="2">
        <v>3631.4217800240499</v>
      </c>
      <c r="AP2947" s="2">
        <v>1894.4074755386</v>
      </c>
      <c r="AQ2947" s="2">
        <v>3665.5400947276898</v>
      </c>
      <c r="AR2947" s="2">
        <v>1618.0626608246801</v>
      </c>
      <c r="AS2947" s="2">
        <v>1825.7996851615501</v>
      </c>
      <c r="AT2947" s="2">
        <v>1021.73094292071</v>
      </c>
      <c r="AU2947" s="2">
        <v>1488.16868381731</v>
      </c>
      <c r="AV2947" s="2">
        <v>1199.9132373816799</v>
      </c>
      <c r="AW2947" s="2">
        <v>1117.8582528315601</v>
      </c>
      <c r="AX2947" s="2">
        <v>1417.62350950517</v>
      </c>
    </row>
    <row r="2948" spans="1:50" x14ac:dyDescent="0.25">
      <c r="A2948" s="2" t="s">
        <v>19688</v>
      </c>
      <c r="B2948" s="2">
        <v>441.33204847031698</v>
      </c>
      <c r="C2948" s="2">
        <v>11.6352666666667</v>
      </c>
      <c r="D2948" s="2" t="s">
        <v>51</v>
      </c>
      <c r="E2948" s="2" t="s">
        <v>19689</v>
      </c>
      <c r="F2948" s="2">
        <v>43534</v>
      </c>
      <c r="G2948" s="3" t="str">
        <f>HYPERLINK("https://cloud.oebiotech.com/#/lm/network/43534", "https://cloud.oebiotech.com/#/lm/network/43534")</f>
        <v>https://cloud.oebiotech.com/#/lm/network/43534</v>
      </c>
      <c r="H2948" s="2"/>
      <c r="I2948" s="2">
        <v>57643</v>
      </c>
      <c r="J2948" s="2" t="s">
        <v>19690</v>
      </c>
      <c r="K2948" s="2">
        <v>6453841</v>
      </c>
      <c r="L2948" s="2" t="s">
        <v>19691</v>
      </c>
      <c r="M2948" s="2" t="s">
        <v>2681</v>
      </c>
      <c r="N2948" s="2" t="s">
        <v>2682</v>
      </c>
      <c r="O2948" s="2">
        <v>1294</v>
      </c>
      <c r="P2948" s="2" t="s">
        <v>19692</v>
      </c>
      <c r="Q2948" s="2" t="s">
        <v>19693</v>
      </c>
      <c r="R2948" s="2"/>
      <c r="S2948" s="2" t="s">
        <v>19694</v>
      </c>
      <c r="T2948" s="2" t="s">
        <v>19695</v>
      </c>
      <c r="U2948" s="2" t="s">
        <v>56</v>
      </c>
      <c r="V2948" s="2" t="s">
        <v>283</v>
      </c>
      <c r="W2948" s="2" t="s">
        <v>2042</v>
      </c>
      <c r="X2948" s="2" t="s">
        <v>83</v>
      </c>
      <c r="Y2948" s="2">
        <v>48.7</v>
      </c>
      <c r="Z2948" s="2">
        <v>0</v>
      </c>
      <c r="AA2948" s="2" t="s">
        <v>95</v>
      </c>
      <c r="AB2948" s="2" t="s">
        <v>9651</v>
      </c>
      <c r="AC2948" s="2">
        <v>-4.4641263634365096</v>
      </c>
      <c r="AD2948" s="2"/>
      <c r="AE2948" s="2">
        <v>0.20515836855415001</v>
      </c>
      <c r="AF2948" s="2">
        <v>425.65761366680999</v>
      </c>
      <c r="AG2948" s="2">
        <v>1779.8418092074</v>
      </c>
      <c r="AH2948" s="4">
        <v>0.239154744800812</v>
      </c>
      <c r="AI2948" s="4">
        <v>-2.0639836803864902</v>
      </c>
      <c r="AJ2948" s="4" t="s">
        <v>62</v>
      </c>
      <c r="AK2948" s="2">
        <v>7.46330838828244E-2</v>
      </c>
      <c r="AL2948" s="2">
        <v>0.35818559707798497</v>
      </c>
      <c r="AM2948" s="2">
        <v>8.559877937157E-6</v>
      </c>
      <c r="AN2948" s="2">
        <v>158.11041624176301</v>
      </c>
      <c r="AO2948" s="2">
        <v>709.92035165133302</v>
      </c>
      <c r="AP2948" s="2">
        <v>696.16278672784301</v>
      </c>
      <c r="AQ2948" s="2">
        <v>252.48940024218501</v>
      </c>
      <c r="AR2948" s="2">
        <v>737.262718577859</v>
      </c>
      <c r="AS2948" s="2">
        <v>4500.0484716033498</v>
      </c>
      <c r="AT2948" s="2">
        <v>3046.4808330792498</v>
      </c>
      <c r="AU2948" s="2">
        <v>735.54414183505696</v>
      </c>
      <c r="AV2948" s="2">
        <v>948.18723137161601</v>
      </c>
      <c r="AW2948" s="2">
        <v>308.63181426897802</v>
      </c>
      <c r="AX2948" s="2">
        <v>1140.1583630861201</v>
      </c>
    </row>
    <row r="2949" spans="1:50" x14ac:dyDescent="0.25">
      <c r="A2949" s="2" t="s">
        <v>19696</v>
      </c>
      <c r="B2949" s="2">
        <v>246.1309</v>
      </c>
      <c r="C2949" s="2">
        <v>23.042000000000002</v>
      </c>
      <c r="D2949" s="2" t="s">
        <v>125</v>
      </c>
      <c r="E2949" s="2" t="s">
        <v>19697</v>
      </c>
      <c r="F2949" s="2">
        <v>256981</v>
      </c>
      <c r="G2949" s="3" t="str">
        <f>HYPERLINK("https://cloud.oebiotech.com/#/lm/network/256981", "https://cloud.oebiotech.com/#/lm/network/256981")</f>
        <v>https://cloud.oebiotech.com/#/lm/network/256981</v>
      </c>
      <c r="H2949" s="2" t="s">
        <v>19698</v>
      </c>
      <c r="I2949" s="2">
        <v>3385</v>
      </c>
      <c r="J2949" s="2"/>
      <c r="K2949" s="2">
        <v>16048618</v>
      </c>
      <c r="L2949" s="2" t="s">
        <v>19699</v>
      </c>
      <c r="M2949" s="2" t="s">
        <v>19700</v>
      </c>
      <c r="N2949" s="2" t="s">
        <v>19701</v>
      </c>
      <c r="O2949" s="2">
        <v>15754</v>
      </c>
      <c r="P2949" s="2"/>
      <c r="Q2949" s="2"/>
      <c r="R2949" s="2" t="s">
        <v>19702</v>
      </c>
      <c r="S2949" s="2" t="s">
        <v>19703</v>
      </c>
      <c r="T2949" s="2" t="s">
        <v>19704</v>
      </c>
      <c r="U2949" s="2" t="s">
        <v>56</v>
      </c>
      <c r="V2949" s="2" t="s">
        <v>3215</v>
      </c>
      <c r="W2949" s="2" t="s">
        <v>5428</v>
      </c>
      <c r="X2949" s="2" t="s">
        <v>83</v>
      </c>
      <c r="Y2949" s="2">
        <v>82</v>
      </c>
      <c r="Z2949" s="2">
        <v>72.599999999999994</v>
      </c>
      <c r="AA2949" s="2"/>
      <c r="AB2949" s="2" t="s">
        <v>19705</v>
      </c>
      <c r="AC2949" s="2"/>
      <c r="AD2949" s="2">
        <v>805690.10869565199</v>
      </c>
      <c r="AE2949" s="2">
        <v>0.20513892086500099</v>
      </c>
      <c r="AF2949" s="2">
        <v>4836.0777471211804</v>
      </c>
      <c r="AG2949" s="2">
        <v>14650.7880486793</v>
      </c>
      <c r="AH2949" s="4">
        <v>0.33008993994402402</v>
      </c>
      <c r="AI2949" s="4">
        <v>-1.5990689242579299</v>
      </c>
      <c r="AJ2949" s="4" t="s">
        <v>62</v>
      </c>
      <c r="AK2949" s="2">
        <v>3.6104433013692698E-2</v>
      </c>
      <c r="AL2949" s="2">
        <v>0.27694059276782101</v>
      </c>
      <c r="AM2949" s="2">
        <v>2299.8352172700202</v>
      </c>
      <c r="AN2949" s="2">
        <v>2299.8352172700202</v>
      </c>
      <c r="AO2949" s="2">
        <v>2299.8352172700202</v>
      </c>
      <c r="AP2949" s="2">
        <v>2299.8352172700202</v>
      </c>
      <c r="AQ2949" s="2">
        <v>7470.2161702318999</v>
      </c>
      <c r="AR2949" s="2">
        <v>12346.909443415099</v>
      </c>
      <c r="AS2949" s="2">
        <v>18952.951725234099</v>
      </c>
      <c r="AT2949" s="2">
        <v>8294.9809974740801</v>
      </c>
      <c r="AU2949" s="2">
        <v>25264.550391581</v>
      </c>
      <c r="AV2949" s="2">
        <v>22602.871157382498</v>
      </c>
      <c r="AW2949" s="2">
        <v>2299.8352172700202</v>
      </c>
      <c r="AX2949" s="2">
        <v>10489.538803134201</v>
      </c>
    </row>
    <row r="2950" spans="1:50" x14ac:dyDescent="0.25">
      <c r="A2950" s="2" t="s">
        <v>19706</v>
      </c>
      <c r="B2950" s="2">
        <v>234.03504105550101</v>
      </c>
      <c r="C2950" s="2">
        <v>5.3260166666666704</v>
      </c>
      <c r="D2950" s="2" t="s">
        <v>51</v>
      </c>
      <c r="E2950" s="2" t="s">
        <v>19707</v>
      </c>
      <c r="F2950" s="2">
        <v>211721</v>
      </c>
      <c r="G2950" s="3" t="str">
        <f>HYPERLINK("https://cloud.oebiotech.com/#/lm/network/211721", "https://cloud.oebiotech.com/#/lm/network/211721")</f>
        <v>https://cloud.oebiotech.com/#/lm/network/211721</v>
      </c>
      <c r="H2950" s="2" t="s">
        <v>19708</v>
      </c>
      <c r="I2950" s="2"/>
      <c r="J2950" s="2"/>
      <c r="K2950" s="2">
        <v>22145432</v>
      </c>
      <c r="L2950" s="2"/>
      <c r="M2950" s="2"/>
      <c r="N2950" s="2"/>
      <c r="O2950" s="2"/>
      <c r="P2950" s="2"/>
      <c r="Q2950" s="2"/>
      <c r="R2950" s="2"/>
      <c r="S2950" s="2" t="s">
        <v>19709</v>
      </c>
      <c r="T2950" s="2" t="s">
        <v>19710</v>
      </c>
      <c r="U2950" s="2" t="s">
        <v>610</v>
      </c>
      <c r="V2950" s="2" t="s">
        <v>240</v>
      </c>
      <c r="W2950" s="2" t="s">
        <v>240</v>
      </c>
      <c r="X2950" s="2" t="s">
        <v>147</v>
      </c>
      <c r="Y2950" s="2">
        <v>37.6</v>
      </c>
      <c r="Z2950" s="2">
        <v>0</v>
      </c>
      <c r="AA2950" s="2" t="s">
        <v>95</v>
      </c>
      <c r="AB2950" s="2" t="s">
        <v>19711</v>
      </c>
      <c r="AC2950" s="2">
        <v>1.18496716258863</v>
      </c>
      <c r="AD2950" s="2"/>
      <c r="AE2950" s="2">
        <v>0.20513472383185199</v>
      </c>
      <c r="AF2950" s="2">
        <v>1206.3572941637599</v>
      </c>
      <c r="AG2950" s="2">
        <v>3003.5380705788698</v>
      </c>
      <c r="AH2950" s="4">
        <v>0.40164541477952898</v>
      </c>
      <c r="AI2950" s="4">
        <v>-1.31600568821607</v>
      </c>
      <c r="AJ2950" s="4" t="s">
        <v>62</v>
      </c>
      <c r="AK2950" s="2">
        <v>0.31459558660817799</v>
      </c>
      <c r="AL2950" s="2">
        <v>0.62409619253186699</v>
      </c>
      <c r="AM2950" s="2">
        <v>851.06449006482103</v>
      </c>
      <c r="AN2950" s="2">
        <v>1251.3974026298299</v>
      </c>
      <c r="AO2950" s="2">
        <v>930.993117225162</v>
      </c>
      <c r="AP2950" s="2">
        <v>1128.7490799770101</v>
      </c>
      <c r="AQ2950" s="2">
        <v>1719.90396801565</v>
      </c>
      <c r="AR2950" s="2">
        <v>1356.03570707006</v>
      </c>
      <c r="AS2950" s="2">
        <v>1542.1783418616899</v>
      </c>
      <c r="AT2950" s="2">
        <v>1249.46075932292</v>
      </c>
      <c r="AU2950" s="2">
        <v>1337.7111810536601</v>
      </c>
      <c r="AV2950" s="2">
        <v>919.30663359924495</v>
      </c>
      <c r="AW2950" s="2">
        <v>11453.4650432005</v>
      </c>
      <c r="AX2950" s="2">
        <v>1519.10646443518</v>
      </c>
    </row>
    <row r="2951" spans="1:50" x14ac:dyDescent="0.25">
      <c r="A2951" s="2" t="s">
        <v>19712</v>
      </c>
      <c r="B2951" s="2">
        <v>355.20445802201101</v>
      </c>
      <c r="C2951" s="2">
        <v>10.74095</v>
      </c>
      <c r="D2951" s="2" t="s">
        <v>51</v>
      </c>
      <c r="E2951" s="2" t="s">
        <v>19713</v>
      </c>
      <c r="F2951" s="2">
        <v>274782</v>
      </c>
      <c r="G2951" s="3" t="str">
        <f>HYPERLINK("https://cloud.oebiotech.com/#/lm/network/274782", "https://cloud.oebiotech.com/#/lm/network/274782")</f>
        <v>https://cloud.oebiotech.com/#/lm/network/274782</v>
      </c>
      <c r="H2951" s="2"/>
      <c r="I2951" s="2">
        <v>65470</v>
      </c>
      <c r="J2951" s="2"/>
      <c r="K2951" s="2">
        <v>124079544</v>
      </c>
      <c r="L2951" s="2"/>
      <c r="M2951" s="2"/>
      <c r="N2951" s="2"/>
      <c r="O2951" s="2"/>
      <c r="P2951" s="2"/>
      <c r="Q2951" s="2"/>
      <c r="R2951" s="2"/>
      <c r="S2951" s="2" t="s">
        <v>19714</v>
      </c>
      <c r="T2951" s="2" t="s">
        <v>19715</v>
      </c>
      <c r="U2951" s="2" t="s">
        <v>56</v>
      </c>
      <c r="V2951" s="2" t="s">
        <v>145</v>
      </c>
      <c r="W2951" s="2" t="s">
        <v>1617</v>
      </c>
      <c r="X2951" s="2" t="s">
        <v>147</v>
      </c>
      <c r="Y2951" s="2">
        <v>36.9</v>
      </c>
      <c r="Z2951" s="2">
        <v>0</v>
      </c>
      <c r="AA2951" s="2" t="s">
        <v>163</v>
      </c>
      <c r="AB2951" s="2" t="s">
        <v>19716</v>
      </c>
      <c r="AC2951" s="2">
        <v>-4.5743385134701002</v>
      </c>
      <c r="AD2951" s="2"/>
      <c r="AE2951" s="2">
        <v>0.20499324034966199</v>
      </c>
      <c r="AF2951" s="2">
        <v>3254.3501909029901</v>
      </c>
      <c r="AG2951" s="2">
        <v>2027.5937919328901</v>
      </c>
      <c r="AH2951" s="5">
        <v>1.60503065448856</v>
      </c>
      <c r="AI2951" s="5">
        <v>0.68260085165056505</v>
      </c>
      <c r="AJ2951" s="5" t="s">
        <v>139</v>
      </c>
      <c r="AK2951" s="2">
        <v>2.02930522351417E-2</v>
      </c>
      <c r="AL2951" s="2">
        <v>0.22228754819194799</v>
      </c>
      <c r="AM2951" s="2">
        <v>2548.6602868090899</v>
      </c>
      <c r="AN2951" s="2">
        <v>3283.9879490466501</v>
      </c>
      <c r="AO2951" s="2">
        <v>3467.6949572622002</v>
      </c>
      <c r="AP2951" s="2">
        <v>1941.87889898866</v>
      </c>
      <c r="AQ2951" s="2">
        <v>4093.0670566679501</v>
      </c>
      <c r="AR2951" s="2">
        <v>4190.8119966433896</v>
      </c>
      <c r="AS2951" s="2">
        <v>2362.5814672075799</v>
      </c>
      <c r="AT2951" s="2">
        <v>1397.2407009835399</v>
      </c>
      <c r="AU2951" s="2">
        <v>2630.34991327136</v>
      </c>
      <c r="AV2951" s="2">
        <v>2272.4633826548002</v>
      </c>
      <c r="AW2951" s="2">
        <v>2463.6241158236598</v>
      </c>
      <c r="AX2951" s="2">
        <v>1039.3031716564201</v>
      </c>
    </row>
    <row r="2952" spans="1:50" x14ac:dyDescent="0.25">
      <c r="A2952" s="2" t="s">
        <v>19717</v>
      </c>
      <c r="B2952" s="2">
        <v>266.103389748268</v>
      </c>
      <c r="C2952" s="2">
        <v>9.8078500000000002</v>
      </c>
      <c r="D2952" s="2" t="s">
        <v>51</v>
      </c>
      <c r="E2952" s="2" t="s">
        <v>19718</v>
      </c>
      <c r="F2952" s="2">
        <v>57902</v>
      </c>
      <c r="G2952" s="3" t="str">
        <f>HYPERLINK("https://cloud.oebiotech.com/#/lm/network/57902", "https://cloud.oebiotech.com/#/lm/network/57902")</f>
        <v>https://cloud.oebiotech.com/#/lm/network/57902</v>
      </c>
      <c r="H2952" s="2" t="s">
        <v>19719</v>
      </c>
      <c r="I2952" s="2">
        <v>43460</v>
      </c>
      <c r="J2952" s="2"/>
      <c r="K2952" s="2">
        <v>3646</v>
      </c>
      <c r="L2952" s="2" t="s">
        <v>19720</v>
      </c>
      <c r="M2952" s="2"/>
      <c r="N2952" s="2"/>
      <c r="O2952" s="2"/>
      <c r="P2952" s="2"/>
      <c r="Q2952" s="2"/>
      <c r="R2952" s="2" t="s">
        <v>19721</v>
      </c>
      <c r="S2952" s="2" t="s">
        <v>19722</v>
      </c>
      <c r="T2952" s="2" t="s">
        <v>19723</v>
      </c>
      <c r="U2952" s="2" t="s">
        <v>266</v>
      </c>
      <c r="V2952" s="2" t="s">
        <v>4187</v>
      </c>
      <c r="W2952" s="2" t="s">
        <v>240</v>
      </c>
      <c r="X2952" s="2" t="s">
        <v>147</v>
      </c>
      <c r="Y2952" s="2">
        <v>39.1</v>
      </c>
      <c r="Z2952" s="2">
        <v>0</v>
      </c>
      <c r="AA2952" s="2" t="s">
        <v>218</v>
      </c>
      <c r="AB2952" s="2" t="s">
        <v>19724</v>
      </c>
      <c r="AC2952" s="2">
        <v>-2.9245183043825299E-2</v>
      </c>
      <c r="AD2952" s="2"/>
      <c r="AE2952" s="2">
        <v>0.20498225366292799</v>
      </c>
      <c r="AF2952" s="2">
        <v>5226.7027967076001</v>
      </c>
      <c r="AG2952" s="2">
        <v>6229.8209862287504</v>
      </c>
      <c r="AH2952" s="4">
        <v>0.83898121764034905</v>
      </c>
      <c r="AI2952" s="4">
        <v>-0.25328958162445298</v>
      </c>
      <c r="AJ2952" s="4" t="s">
        <v>62</v>
      </c>
      <c r="AK2952" s="2">
        <v>9.8345202102516401E-3</v>
      </c>
      <c r="AL2952" s="2">
        <v>0.16151302423615199</v>
      </c>
      <c r="AM2952" s="2">
        <v>4711.64521989489</v>
      </c>
      <c r="AN2952" s="2">
        <v>5603.0311785591603</v>
      </c>
      <c r="AO2952" s="2">
        <v>5540.1605965135896</v>
      </c>
      <c r="AP2952" s="2">
        <v>4852.40311872239</v>
      </c>
      <c r="AQ2952" s="2">
        <v>5634.0962803208104</v>
      </c>
      <c r="AR2952" s="2">
        <v>5018.8803862347504</v>
      </c>
      <c r="AS2952" s="2">
        <v>6431.9127781195302</v>
      </c>
      <c r="AT2952" s="2">
        <v>6723.0649275659598</v>
      </c>
      <c r="AU2952" s="2">
        <v>5110.93520167926</v>
      </c>
      <c r="AV2952" s="2">
        <v>6315.0941213288597</v>
      </c>
      <c r="AW2952" s="2">
        <v>5883.2391283671896</v>
      </c>
      <c r="AX2952" s="2">
        <v>6914.6797603117102</v>
      </c>
    </row>
    <row r="2953" spans="1:50" x14ac:dyDescent="0.25">
      <c r="A2953" s="2" t="s">
        <v>19725</v>
      </c>
      <c r="B2953" s="2">
        <v>406.25962109070502</v>
      </c>
      <c r="C2953" s="2">
        <v>10.1415333333333</v>
      </c>
      <c r="D2953" s="2" t="s">
        <v>51</v>
      </c>
      <c r="E2953" s="2" t="s">
        <v>19726</v>
      </c>
      <c r="F2953" s="2">
        <v>8595</v>
      </c>
      <c r="G2953" s="3" t="str">
        <f>HYPERLINK("https://cloud.oebiotech.com/#/lm/network/8595", "https://cloud.oebiotech.com/#/lm/network/8595")</f>
        <v>https://cloud.oebiotech.com/#/lm/network/8595</v>
      </c>
      <c r="H2953" s="2" t="s">
        <v>19727</v>
      </c>
      <c r="I2953" s="2">
        <v>36676</v>
      </c>
      <c r="J2953" s="2" t="s">
        <v>19728</v>
      </c>
      <c r="K2953" s="2">
        <v>5283389</v>
      </c>
      <c r="L2953" s="2"/>
      <c r="M2953" s="2"/>
      <c r="N2953" s="2"/>
      <c r="O2953" s="2">
        <v>58961</v>
      </c>
      <c r="P2953" s="2" t="s">
        <v>19729</v>
      </c>
      <c r="Q2953" s="2" t="s">
        <v>19730</v>
      </c>
      <c r="R2953" s="2" t="s">
        <v>19731</v>
      </c>
      <c r="S2953" s="2" t="s">
        <v>19732</v>
      </c>
      <c r="T2953" s="2" t="s">
        <v>19733</v>
      </c>
      <c r="U2953" s="2" t="s">
        <v>103</v>
      </c>
      <c r="V2953" s="2" t="s">
        <v>104</v>
      </c>
      <c r="W2953" s="2" t="s">
        <v>105</v>
      </c>
      <c r="X2953" s="2" t="s">
        <v>147</v>
      </c>
      <c r="Y2953" s="2">
        <v>38.9</v>
      </c>
      <c r="Z2953" s="2">
        <v>0</v>
      </c>
      <c r="AA2953" s="2" t="s">
        <v>218</v>
      </c>
      <c r="AB2953" s="2" t="s">
        <v>19734</v>
      </c>
      <c r="AC2953" s="2">
        <v>-0.76333923406741999</v>
      </c>
      <c r="AD2953" s="2"/>
      <c r="AE2953" s="2">
        <v>0.20487091257807399</v>
      </c>
      <c r="AF2953" s="2">
        <v>1308.1241319994001</v>
      </c>
      <c r="AG2953" s="2">
        <v>485.621445160012</v>
      </c>
      <c r="AH2953" s="5">
        <v>2.6937116246346302</v>
      </c>
      <c r="AI2953" s="5">
        <v>1.4295954113131299</v>
      </c>
      <c r="AJ2953" s="5" t="s">
        <v>139</v>
      </c>
      <c r="AK2953" s="2">
        <v>1.40447309391209E-4</v>
      </c>
      <c r="AL2953" s="2">
        <v>3.9225470277496198E-2</v>
      </c>
      <c r="AM2953" s="2">
        <v>1155.97311903389</v>
      </c>
      <c r="AN2953" s="2">
        <v>1797.1549550360601</v>
      </c>
      <c r="AO2953" s="2">
        <v>1015.24839231434</v>
      </c>
      <c r="AP2953" s="2">
        <v>1464.5409442779901</v>
      </c>
      <c r="AQ2953" s="2">
        <v>1185.7747583840001</v>
      </c>
      <c r="AR2953" s="2">
        <v>1230.0526229500899</v>
      </c>
      <c r="AS2953" s="2">
        <v>303.70616660693003</v>
      </c>
      <c r="AT2953" s="2">
        <v>727.74630940735096</v>
      </c>
      <c r="AU2953" s="2">
        <v>560.10400947476205</v>
      </c>
      <c r="AV2953" s="2">
        <v>303.97555380172201</v>
      </c>
      <c r="AW2953" s="2">
        <v>354.999765864126</v>
      </c>
      <c r="AX2953" s="2">
        <v>663.19686580518305</v>
      </c>
    </row>
    <row r="2954" spans="1:50" x14ac:dyDescent="0.25">
      <c r="A2954" s="2" t="s">
        <v>19735</v>
      </c>
      <c r="B2954" s="2">
        <v>201.02215544316601</v>
      </c>
      <c r="C2954" s="2">
        <v>5.4175500000000003</v>
      </c>
      <c r="D2954" s="2" t="s">
        <v>51</v>
      </c>
      <c r="E2954" s="2" t="s">
        <v>19736</v>
      </c>
      <c r="F2954" s="2">
        <v>83746</v>
      </c>
      <c r="G2954" s="3" t="str">
        <f>HYPERLINK("https://cloud.oebiotech.com/#/lm/network/83746", "https://cloud.oebiotech.com/#/lm/network/83746")</f>
        <v>https://cloud.oebiotech.com/#/lm/network/83746</v>
      </c>
      <c r="H2954" s="2" t="s">
        <v>19737</v>
      </c>
      <c r="I2954" s="2"/>
      <c r="J2954" s="2"/>
      <c r="K2954" s="2">
        <v>86290012</v>
      </c>
      <c r="L2954" s="2"/>
      <c r="M2954" s="2"/>
      <c r="N2954" s="2"/>
      <c r="O2954" s="2">
        <v>82935</v>
      </c>
      <c r="P2954" s="2"/>
      <c r="Q2954" s="2"/>
      <c r="R2954" s="2"/>
      <c r="S2954" s="2" t="s">
        <v>19738</v>
      </c>
      <c r="T2954" s="2" t="s">
        <v>19739</v>
      </c>
      <c r="U2954" s="2" t="s">
        <v>103</v>
      </c>
      <c r="V2954" s="2" t="s">
        <v>4820</v>
      </c>
      <c r="W2954" s="2" t="s">
        <v>4821</v>
      </c>
      <c r="X2954" s="2" t="s">
        <v>83</v>
      </c>
      <c r="Y2954" s="2">
        <v>43.9</v>
      </c>
      <c r="Z2954" s="2">
        <v>18</v>
      </c>
      <c r="AA2954" s="2" t="s">
        <v>163</v>
      </c>
      <c r="AB2954" s="2" t="s">
        <v>19740</v>
      </c>
      <c r="AC2954" s="2">
        <v>-2.7120914158187599</v>
      </c>
      <c r="AD2954" s="2"/>
      <c r="AE2954" s="2">
        <v>0.20485119859173401</v>
      </c>
      <c r="AF2954" s="2">
        <v>980.68915432978997</v>
      </c>
      <c r="AG2954" s="2">
        <v>2628.8731732634001</v>
      </c>
      <c r="AH2954" s="4">
        <v>0.37304544178994897</v>
      </c>
      <c r="AI2954" s="4">
        <v>-1.42257671466986</v>
      </c>
      <c r="AJ2954" s="4" t="s">
        <v>62</v>
      </c>
      <c r="AK2954" s="2">
        <v>0.24194531394921201</v>
      </c>
      <c r="AL2954" s="2">
        <v>0.56552335784113095</v>
      </c>
      <c r="AM2954" s="2">
        <v>8.559877937157E-6</v>
      </c>
      <c r="AN2954" s="2">
        <v>8.559877937157E-6</v>
      </c>
      <c r="AO2954" s="2">
        <v>8.559877937157E-6</v>
      </c>
      <c r="AP2954" s="2">
        <v>1852.4816730873799</v>
      </c>
      <c r="AQ2954" s="2">
        <v>497.956724990456</v>
      </c>
      <c r="AR2954" s="2">
        <v>3533.6965022212698</v>
      </c>
      <c r="AS2954" s="2">
        <v>8.559877937157E-6</v>
      </c>
      <c r="AT2954" s="2">
        <v>4498.5142546469697</v>
      </c>
      <c r="AU2954" s="2">
        <v>1133.6841818768301</v>
      </c>
      <c r="AV2954" s="2">
        <v>2745.9715664856799</v>
      </c>
      <c r="AW2954" s="2">
        <v>7395.0690194511699</v>
      </c>
      <c r="AX2954" s="2">
        <v>8.559877937157E-6</v>
      </c>
    </row>
    <row r="2955" spans="1:50" x14ac:dyDescent="0.25">
      <c r="A2955" s="2" t="s">
        <v>19741</v>
      </c>
      <c r="B2955" s="2">
        <v>235.09852153111299</v>
      </c>
      <c r="C2955" s="2">
        <v>8.9080499999999994</v>
      </c>
      <c r="D2955" s="2" t="s">
        <v>51</v>
      </c>
      <c r="E2955" s="2" t="s">
        <v>19742</v>
      </c>
      <c r="F2955" s="2">
        <v>204394</v>
      </c>
      <c r="G2955" s="3" t="str">
        <f>HYPERLINK("https://cloud.oebiotech.com/#/lm/network/204394", "https://cloud.oebiotech.com/#/lm/network/204394")</f>
        <v>https://cloud.oebiotech.com/#/lm/network/204394</v>
      </c>
      <c r="H2955" s="2" t="s">
        <v>19743</v>
      </c>
      <c r="I2955" s="2">
        <v>66645</v>
      </c>
      <c r="J2955" s="2"/>
      <c r="K2955" s="2">
        <v>37018</v>
      </c>
      <c r="L2955" s="2" t="s">
        <v>19744</v>
      </c>
      <c r="M2955" s="2"/>
      <c r="N2955" s="2"/>
      <c r="O2955" s="2"/>
      <c r="P2955" s="2"/>
      <c r="Q2955" s="2"/>
      <c r="R2955" s="2" t="s">
        <v>19745</v>
      </c>
      <c r="S2955" s="2" t="s">
        <v>19746</v>
      </c>
      <c r="T2955" s="2" t="s">
        <v>19747</v>
      </c>
      <c r="U2955" s="2" t="s">
        <v>266</v>
      </c>
      <c r="V2955" s="2" t="s">
        <v>1585</v>
      </c>
      <c r="W2955" s="2" t="s">
        <v>1586</v>
      </c>
      <c r="X2955" s="2" t="s">
        <v>147</v>
      </c>
      <c r="Y2955" s="2">
        <v>38.700000000000003</v>
      </c>
      <c r="Z2955" s="2">
        <v>0</v>
      </c>
      <c r="AA2955" s="2" t="s">
        <v>95</v>
      </c>
      <c r="AB2955" s="2" t="s">
        <v>19748</v>
      </c>
      <c r="AC2955" s="2">
        <v>-1.25728042436992</v>
      </c>
      <c r="AD2955" s="2"/>
      <c r="AE2955" s="2">
        <v>0.20482553087746599</v>
      </c>
      <c r="AF2955" s="2">
        <v>2437.2068224264799</v>
      </c>
      <c r="AG2955" s="2">
        <v>45.262316390446301</v>
      </c>
      <c r="AH2955" s="5">
        <v>53.846268083197501</v>
      </c>
      <c r="AI2955" s="5">
        <v>5.7507744544305801</v>
      </c>
      <c r="AJ2955" s="5" t="s">
        <v>139</v>
      </c>
      <c r="AK2955" s="2">
        <v>0.15439575772099701</v>
      </c>
      <c r="AL2955" s="2">
        <v>0.47517092828514201</v>
      </c>
      <c r="AM2955" s="2">
        <v>43.687854216387102</v>
      </c>
      <c r="AN2955" s="2">
        <v>8.559877937157E-6</v>
      </c>
      <c r="AO2955" s="2">
        <v>8.559877937157E-6</v>
      </c>
      <c r="AP2955" s="2">
        <v>8.559877937157E-6</v>
      </c>
      <c r="AQ2955" s="2">
        <v>8196.4406841569798</v>
      </c>
      <c r="AR2955" s="2">
        <v>6383.1123705058599</v>
      </c>
      <c r="AS2955" s="2">
        <v>8.559877937157E-6</v>
      </c>
      <c r="AT2955" s="2">
        <v>109.38446494520301</v>
      </c>
      <c r="AU2955" s="2">
        <v>8.559877937157E-6</v>
      </c>
      <c r="AV2955" s="2">
        <v>67.226849090437597</v>
      </c>
      <c r="AW2955" s="2">
        <v>8.559877937157E-6</v>
      </c>
      <c r="AX2955" s="2">
        <v>94.962558627403297</v>
      </c>
    </row>
    <row r="2956" spans="1:50" x14ac:dyDescent="0.25">
      <c r="A2956" s="2" t="s">
        <v>19749</v>
      </c>
      <c r="B2956" s="2">
        <v>407.045074001248</v>
      </c>
      <c r="C2956" s="2">
        <v>3.6124666666666698</v>
      </c>
      <c r="D2956" s="2" t="s">
        <v>51</v>
      </c>
      <c r="E2956" s="2" t="s">
        <v>19750</v>
      </c>
      <c r="F2956" s="2">
        <v>56152</v>
      </c>
      <c r="G2956" s="3" t="str">
        <f>HYPERLINK("https://cloud.oebiotech.com/#/lm/network/56152", "https://cloud.oebiotech.com/#/lm/network/56152")</f>
        <v>https://cloud.oebiotech.com/#/lm/network/56152</v>
      </c>
      <c r="H2956" s="2" t="s">
        <v>19751</v>
      </c>
      <c r="I2956" s="2">
        <v>87845</v>
      </c>
      <c r="J2956" s="2"/>
      <c r="K2956" s="2">
        <v>5316316</v>
      </c>
      <c r="L2956" s="2"/>
      <c r="M2956" s="2"/>
      <c r="N2956" s="2"/>
      <c r="O2956" s="2">
        <v>172444</v>
      </c>
      <c r="P2956" s="2"/>
      <c r="Q2956" s="2"/>
      <c r="R2956" s="2" t="s">
        <v>19752</v>
      </c>
      <c r="S2956" s="2" t="s">
        <v>19753</v>
      </c>
      <c r="T2956" s="2" t="s">
        <v>19754</v>
      </c>
      <c r="U2956" s="2" t="s">
        <v>103</v>
      </c>
      <c r="V2956" s="2" t="s">
        <v>377</v>
      </c>
      <c r="W2956" s="2" t="s">
        <v>7726</v>
      </c>
      <c r="X2956" s="2" t="s">
        <v>147</v>
      </c>
      <c r="Y2956" s="2">
        <v>46</v>
      </c>
      <c r="Z2956" s="2">
        <v>41</v>
      </c>
      <c r="AA2956" s="2" t="s">
        <v>478</v>
      </c>
      <c r="AB2956" s="2" t="s">
        <v>19755</v>
      </c>
      <c r="AC2956" s="2">
        <v>-4.0552321293157796</v>
      </c>
      <c r="AD2956" s="2"/>
      <c r="AE2956" s="2">
        <v>0.204792206704212</v>
      </c>
      <c r="AF2956" s="2">
        <v>42007.4061264911</v>
      </c>
      <c r="AG2956" s="2">
        <v>46703.2978055438</v>
      </c>
      <c r="AH2956" s="4">
        <v>0.89945267465683498</v>
      </c>
      <c r="AI2956" s="4">
        <v>-0.15288071984090801</v>
      </c>
      <c r="AJ2956" s="4" t="s">
        <v>62</v>
      </c>
      <c r="AK2956" s="2">
        <v>0.592032236026933</v>
      </c>
      <c r="AL2956" s="2">
        <v>0.79384060507313303</v>
      </c>
      <c r="AM2956" s="2">
        <v>33955.383887475997</v>
      </c>
      <c r="AN2956" s="2">
        <v>48369.884910353299</v>
      </c>
      <c r="AO2956" s="2">
        <v>35500.416824515902</v>
      </c>
      <c r="AP2956" s="2">
        <v>58021.139778998098</v>
      </c>
      <c r="AQ2956" s="2">
        <v>43451.653871129303</v>
      </c>
      <c r="AR2956" s="2">
        <v>32745.957486473901</v>
      </c>
      <c r="AS2956" s="2">
        <v>50552.696691217803</v>
      </c>
      <c r="AT2956" s="2">
        <v>65900.4095334796</v>
      </c>
      <c r="AU2956" s="2">
        <v>41991.8054634199</v>
      </c>
      <c r="AV2956" s="2">
        <v>17653.747681186102</v>
      </c>
      <c r="AW2956" s="2">
        <v>38644.185786504102</v>
      </c>
      <c r="AX2956" s="2">
        <v>65476.941677455499</v>
      </c>
    </row>
    <row r="2957" spans="1:50" x14ac:dyDescent="0.25">
      <c r="A2957" s="2" t="s">
        <v>19756</v>
      </c>
      <c r="B2957" s="2">
        <v>417.26491005091202</v>
      </c>
      <c r="C2957" s="2">
        <v>10.331950000000001</v>
      </c>
      <c r="D2957" s="2" t="s">
        <v>51</v>
      </c>
      <c r="E2957" s="2" t="s">
        <v>19757</v>
      </c>
      <c r="F2957" s="2">
        <v>258109</v>
      </c>
      <c r="G2957" s="3" t="str">
        <f>HYPERLINK("https://cloud.oebiotech.com/#/lm/network/258109", "https://cloud.oebiotech.com/#/lm/network/258109")</f>
        <v>https://cloud.oebiotech.com/#/lm/network/258109</v>
      </c>
      <c r="H2957" s="2"/>
      <c r="I2957" s="2">
        <v>2451</v>
      </c>
      <c r="J2957" s="2"/>
      <c r="K2957" s="2">
        <v>101648629</v>
      </c>
      <c r="L2957" s="2"/>
      <c r="M2957" s="2"/>
      <c r="N2957" s="2"/>
      <c r="O2957" s="2"/>
      <c r="P2957" s="2"/>
      <c r="Q2957" s="2"/>
      <c r="R2957" s="2" t="s">
        <v>19758</v>
      </c>
      <c r="S2957" s="2" t="s">
        <v>19759</v>
      </c>
      <c r="T2957" s="2" t="s">
        <v>19760</v>
      </c>
      <c r="U2957" s="2" t="s">
        <v>266</v>
      </c>
      <c r="V2957" s="2" t="s">
        <v>3994</v>
      </c>
      <c r="W2957" s="2" t="s">
        <v>8308</v>
      </c>
      <c r="X2957" s="2" t="s">
        <v>83</v>
      </c>
      <c r="Y2957" s="2">
        <v>40.299999999999997</v>
      </c>
      <c r="Z2957" s="2">
        <v>0</v>
      </c>
      <c r="AA2957" s="2" t="s">
        <v>156</v>
      </c>
      <c r="AB2957" s="2" t="s">
        <v>13420</v>
      </c>
      <c r="AC2957" s="2">
        <v>3.1302525786005799</v>
      </c>
      <c r="AD2957" s="2"/>
      <c r="AE2957" s="2">
        <v>0.20470642693980001</v>
      </c>
      <c r="AF2957" s="2">
        <v>11608.5847237822</v>
      </c>
      <c r="AG2957" s="2">
        <v>10062.702943245</v>
      </c>
      <c r="AH2957" s="5">
        <v>1.1536249046857701</v>
      </c>
      <c r="AI2957" s="5">
        <v>0.20617421521739501</v>
      </c>
      <c r="AJ2957" s="5" t="s">
        <v>139</v>
      </c>
      <c r="AK2957" s="2">
        <v>0.32677335022731002</v>
      </c>
      <c r="AL2957" s="2">
        <v>0.62992073899545697</v>
      </c>
      <c r="AM2957" s="2">
        <v>11285.633961818399</v>
      </c>
      <c r="AN2957" s="2">
        <v>11673.4189737167</v>
      </c>
      <c r="AO2957" s="2">
        <v>12032.909937911299</v>
      </c>
      <c r="AP2957" s="2">
        <v>10841.689118259799</v>
      </c>
      <c r="AQ2957" s="2">
        <v>12595.1467159691</v>
      </c>
      <c r="AR2957" s="2">
        <v>11222.7096350179</v>
      </c>
      <c r="AS2957" s="2">
        <v>13363.631985006899</v>
      </c>
      <c r="AT2957" s="2">
        <v>13757.892601560799</v>
      </c>
      <c r="AU2957" s="2">
        <v>11691.8209448944</v>
      </c>
      <c r="AV2957" s="2">
        <v>5138.0042229197597</v>
      </c>
      <c r="AW2957" s="2">
        <v>6324.86229529711</v>
      </c>
      <c r="AX2957" s="2">
        <v>10100.005609791</v>
      </c>
    </row>
    <row r="2958" spans="1:50" x14ac:dyDescent="0.25">
      <c r="A2958" s="2" t="s">
        <v>19761</v>
      </c>
      <c r="B2958" s="2">
        <v>283.13187223616802</v>
      </c>
      <c r="C2958" s="2">
        <v>9.7874166666666707</v>
      </c>
      <c r="D2958" s="2" t="s">
        <v>51</v>
      </c>
      <c r="E2958" s="2" t="s">
        <v>19762</v>
      </c>
      <c r="F2958" s="2">
        <v>34084</v>
      </c>
      <c r="G2958" s="3" t="str">
        <f>HYPERLINK("https://cloud.oebiotech.com/#/lm/network/34084", "https://cloud.oebiotech.com/#/lm/network/34084")</f>
        <v>https://cloud.oebiotech.com/#/lm/network/34084</v>
      </c>
      <c r="H2958" s="2" t="s">
        <v>19763</v>
      </c>
      <c r="I2958" s="2">
        <v>52396</v>
      </c>
      <c r="J2958" s="2" t="s">
        <v>19764</v>
      </c>
      <c r="K2958" s="2">
        <v>11722329</v>
      </c>
      <c r="L2958" s="2"/>
      <c r="M2958" s="2"/>
      <c r="N2958" s="2"/>
      <c r="O2958" s="2"/>
      <c r="P2958" s="2"/>
      <c r="Q2958" s="2"/>
      <c r="R2958" s="2" t="s">
        <v>19765</v>
      </c>
      <c r="S2958" s="2" t="s">
        <v>19766</v>
      </c>
      <c r="T2958" s="2" t="s">
        <v>19767</v>
      </c>
      <c r="U2958" s="2" t="s">
        <v>56</v>
      </c>
      <c r="V2958" s="2" t="s">
        <v>177</v>
      </c>
      <c r="W2958" s="2" t="s">
        <v>584</v>
      </c>
      <c r="X2958" s="2" t="s">
        <v>147</v>
      </c>
      <c r="Y2958" s="2">
        <v>37.299999999999997</v>
      </c>
      <c r="Z2958" s="2">
        <v>4.5599999999999996</v>
      </c>
      <c r="AA2958" s="2" t="s">
        <v>156</v>
      </c>
      <c r="AB2958" s="2" t="s">
        <v>19768</v>
      </c>
      <c r="AC2958" s="2">
        <v>-3.3272681143190899</v>
      </c>
      <c r="AD2958" s="2"/>
      <c r="AE2958" s="2">
        <v>0.204565145508395</v>
      </c>
      <c r="AF2958" s="2">
        <v>9192.9729055957996</v>
      </c>
      <c r="AG2958" s="2">
        <v>7275.5537776092797</v>
      </c>
      <c r="AH2958" s="5">
        <v>1.26354270569581</v>
      </c>
      <c r="AI2958" s="5">
        <v>0.33747442586113702</v>
      </c>
      <c r="AJ2958" s="5" t="s">
        <v>139</v>
      </c>
      <c r="AK2958" s="2">
        <v>0.37231575401446199</v>
      </c>
      <c r="AL2958" s="2">
        <v>0.65429556789251697</v>
      </c>
      <c r="AM2958" s="2">
        <v>14703.837742720099</v>
      </c>
      <c r="AN2958" s="2">
        <v>10855.3273983647</v>
      </c>
      <c r="AO2958" s="2">
        <v>6501.5886411995198</v>
      </c>
      <c r="AP2958" s="2">
        <v>9986.6359819008794</v>
      </c>
      <c r="AQ2958" s="2">
        <v>6137.41019982537</v>
      </c>
      <c r="AR2958" s="2">
        <v>6973.0374695642204</v>
      </c>
      <c r="AS2958" s="2">
        <v>3115.0628746902698</v>
      </c>
      <c r="AT2958" s="2">
        <v>2563.60612824904</v>
      </c>
      <c r="AU2958" s="2">
        <v>10457.848145616401</v>
      </c>
      <c r="AV2958" s="2">
        <v>11846.910634292401</v>
      </c>
      <c r="AW2958" s="2">
        <v>7787.8322231492402</v>
      </c>
      <c r="AX2958" s="2">
        <v>7882.0626596583097</v>
      </c>
    </row>
    <row r="2959" spans="1:50" x14ac:dyDescent="0.25">
      <c r="A2959" s="2" t="s">
        <v>19769</v>
      </c>
      <c r="B2959" s="2">
        <v>373.27505501731599</v>
      </c>
      <c r="C2959" s="2">
        <v>7.4684833333333298</v>
      </c>
      <c r="D2959" s="2" t="s">
        <v>51</v>
      </c>
      <c r="E2959" s="2" t="s">
        <v>19770</v>
      </c>
      <c r="F2959" s="2">
        <v>289975</v>
      </c>
      <c r="G2959" s="3" t="str">
        <f>HYPERLINK("https://cloud.oebiotech.com/#/lm/network/289975", "https://cloud.oebiotech.com/#/lm/network/289975")</f>
        <v>https://cloud.oebiotech.com/#/lm/network/289975</v>
      </c>
      <c r="H2959" s="2"/>
      <c r="I2959" s="2">
        <v>985574</v>
      </c>
      <c r="J2959" s="2"/>
      <c r="K2959" s="2">
        <v>25259926</v>
      </c>
      <c r="L2959" s="2"/>
      <c r="M2959" s="2"/>
      <c r="N2959" s="2"/>
      <c r="O2959" s="2"/>
      <c r="P2959" s="2"/>
      <c r="Q2959" s="2"/>
      <c r="R2959" s="2"/>
      <c r="S2959" s="2" t="s">
        <v>19771</v>
      </c>
      <c r="T2959" s="2" t="s">
        <v>19772</v>
      </c>
      <c r="U2959" s="2" t="s">
        <v>56</v>
      </c>
      <c r="V2959" s="2" t="s">
        <v>145</v>
      </c>
      <c r="W2959" s="2" t="s">
        <v>231</v>
      </c>
      <c r="X2959" s="2" t="s">
        <v>59</v>
      </c>
      <c r="Y2959" s="2">
        <v>50.5</v>
      </c>
      <c r="Z2959" s="2">
        <v>62.9</v>
      </c>
      <c r="AA2959" s="2" t="s">
        <v>156</v>
      </c>
      <c r="AB2959" s="2" t="s">
        <v>1124</v>
      </c>
      <c r="AC2959" s="2">
        <v>3.41698430419014</v>
      </c>
      <c r="AD2959" s="2"/>
      <c r="AE2959" s="2">
        <v>0.204543083470763</v>
      </c>
      <c r="AF2959" s="2">
        <v>3238.4844230918402</v>
      </c>
      <c r="AG2959" s="2">
        <v>290.32481890328302</v>
      </c>
      <c r="AH2959" s="5">
        <v>11.1546936818057</v>
      </c>
      <c r="AI2959" s="5">
        <v>3.4795789912746602</v>
      </c>
      <c r="AJ2959" s="5" t="s">
        <v>139</v>
      </c>
      <c r="AK2959" s="2">
        <v>0.27792505549284802</v>
      </c>
      <c r="AL2959" s="2">
        <v>0.59784096176124601</v>
      </c>
      <c r="AM2959" s="2">
        <v>8.559877937157E-6</v>
      </c>
      <c r="AN2959" s="2">
        <v>8.559877937157E-6</v>
      </c>
      <c r="AO2959" s="2">
        <v>9.3550140967397795</v>
      </c>
      <c r="AP2959" s="2">
        <v>8.559877937157E-6</v>
      </c>
      <c r="AQ2959" s="2">
        <v>15698.574662143899</v>
      </c>
      <c r="AR2959" s="2">
        <v>3722.9768366307899</v>
      </c>
      <c r="AS2959" s="2">
        <v>8.559877937157E-6</v>
      </c>
      <c r="AT2959" s="2">
        <v>891.12686774509905</v>
      </c>
      <c r="AU2959" s="2">
        <v>543.74406850620505</v>
      </c>
      <c r="AV2959" s="2">
        <v>307.077951488758</v>
      </c>
      <c r="AW2959" s="2">
        <v>8.559877937157E-6</v>
      </c>
      <c r="AX2959" s="2">
        <v>8.559877937157E-6</v>
      </c>
    </row>
    <row r="2960" spans="1:50" x14ac:dyDescent="0.25">
      <c r="A2960" s="2" t="s">
        <v>19773</v>
      </c>
      <c r="B2960" s="2">
        <v>194.15464660658901</v>
      </c>
      <c r="C2960" s="2">
        <v>4.5462333333333298</v>
      </c>
      <c r="D2960" s="2" t="s">
        <v>51</v>
      </c>
      <c r="E2960" s="2" t="s">
        <v>19774</v>
      </c>
      <c r="F2960" s="2">
        <v>514582</v>
      </c>
      <c r="G2960" s="3" t="str">
        <f>HYPERLINK("https://cloud.oebiotech.com/#/lm/network/514582", "https://cloud.oebiotech.com/#/lm/network/514582")</f>
        <v>https://cloud.oebiotech.com/#/lm/network/514582</v>
      </c>
      <c r="H2960" s="2"/>
      <c r="I2960" s="2">
        <v>96403</v>
      </c>
      <c r="J2960" s="2"/>
      <c r="K2960" s="2">
        <v>71684563</v>
      </c>
      <c r="L2960" s="2"/>
      <c r="M2960" s="2"/>
      <c r="N2960" s="2"/>
      <c r="O2960" s="2"/>
      <c r="P2960" s="2"/>
      <c r="Q2960" s="2"/>
      <c r="R2960" s="2"/>
      <c r="S2960" s="2" t="s">
        <v>19775</v>
      </c>
      <c r="T2960" s="2" t="s">
        <v>19776</v>
      </c>
      <c r="U2960" s="2" t="s">
        <v>103</v>
      </c>
      <c r="V2960" s="2" t="s">
        <v>104</v>
      </c>
      <c r="W2960" s="2" t="s">
        <v>105</v>
      </c>
      <c r="X2960" s="2" t="s">
        <v>147</v>
      </c>
      <c r="Y2960" s="2">
        <v>39.4</v>
      </c>
      <c r="Z2960" s="2">
        <v>0</v>
      </c>
      <c r="AA2960" s="2" t="s">
        <v>512</v>
      </c>
      <c r="AB2960" s="2" t="s">
        <v>19777</v>
      </c>
      <c r="AC2960" s="2">
        <v>-0.60147566376466199</v>
      </c>
      <c r="AD2960" s="2"/>
      <c r="AE2960" s="2">
        <v>0.20451310566609601</v>
      </c>
      <c r="AF2960" s="2">
        <v>119.565829610528</v>
      </c>
      <c r="AG2960" s="2">
        <v>1574.22636515922</v>
      </c>
      <c r="AH2960" s="4">
        <v>7.5952119883619995E-2</v>
      </c>
      <c r="AI2960" s="4">
        <v>-3.7187659577280101</v>
      </c>
      <c r="AJ2960" s="4" t="s">
        <v>62</v>
      </c>
      <c r="AK2960" s="2">
        <v>5.9292510516700203E-2</v>
      </c>
      <c r="AL2960" s="2">
        <v>0.32837652512840398</v>
      </c>
      <c r="AM2960" s="2">
        <v>415.14974838263299</v>
      </c>
      <c r="AN2960" s="2">
        <v>8.559877937157E-6</v>
      </c>
      <c r="AO2960" s="2">
        <v>56.585878683631201</v>
      </c>
      <c r="AP2960" s="2">
        <v>8.559877937157E-6</v>
      </c>
      <c r="AQ2960" s="2">
        <v>71.528966353606506</v>
      </c>
      <c r="AR2960" s="2">
        <v>174.13036712354301</v>
      </c>
      <c r="AS2960" s="2">
        <v>55.974765236918302</v>
      </c>
      <c r="AT2960" s="2">
        <v>74.221611931304693</v>
      </c>
      <c r="AU2960" s="2">
        <v>3979.6610383244201</v>
      </c>
      <c r="AV2960" s="2">
        <v>2209.8638967801999</v>
      </c>
      <c r="AW2960" s="2">
        <v>2819.2587315516398</v>
      </c>
      <c r="AX2960" s="2">
        <v>306.37814713082298</v>
      </c>
    </row>
    <row r="2961" spans="1:50" x14ac:dyDescent="0.25">
      <c r="A2961" s="2" t="s">
        <v>19778</v>
      </c>
      <c r="B2961" s="2">
        <v>342.16734848511999</v>
      </c>
      <c r="C2961" s="2">
        <v>4.0804666666666698</v>
      </c>
      <c r="D2961" s="2" t="s">
        <v>51</v>
      </c>
      <c r="E2961" s="2" t="s">
        <v>19779</v>
      </c>
      <c r="F2961" s="2">
        <v>259977</v>
      </c>
      <c r="G2961" s="3" t="str">
        <f>HYPERLINK("https://cloud.oebiotech.com/#/lm/network/259977", "https://cloud.oebiotech.com/#/lm/network/259977")</f>
        <v>https://cloud.oebiotech.com/#/lm/network/259977</v>
      </c>
      <c r="H2961" s="2"/>
      <c r="I2961" s="2">
        <v>17207</v>
      </c>
      <c r="J2961" s="2"/>
      <c r="K2961" s="2">
        <v>145457417</v>
      </c>
      <c r="L2961" s="2"/>
      <c r="M2961" s="2"/>
      <c r="N2961" s="2"/>
      <c r="O2961" s="2"/>
      <c r="P2961" s="2"/>
      <c r="Q2961" s="2"/>
      <c r="R2961" s="2"/>
      <c r="S2961" s="2" t="s">
        <v>19780</v>
      </c>
      <c r="T2961" s="2" t="s">
        <v>19781</v>
      </c>
      <c r="U2961" s="2" t="s">
        <v>103</v>
      </c>
      <c r="V2961" s="2" t="s">
        <v>1372</v>
      </c>
      <c r="W2961" s="2" t="s">
        <v>240</v>
      </c>
      <c r="X2961" s="2" t="s">
        <v>83</v>
      </c>
      <c r="Y2961" s="2">
        <v>41.6</v>
      </c>
      <c r="Z2961" s="2">
        <v>0</v>
      </c>
      <c r="AA2961" s="2" t="s">
        <v>163</v>
      </c>
      <c r="AB2961" s="2" t="s">
        <v>12921</v>
      </c>
      <c r="AC2961" s="2">
        <v>0.84325539451381004</v>
      </c>
      <c r="AD2961" s="2"/>
      <c r="AE2961" s="2">
        <v>0.204464823752945</v>
      </c>
      <c r="AF2961" s="2">
        <v>870.01649809466005</v>
      </c>
      <c r="AG2961" s="2">
        <v>3425.0976931277401</v>
      </c>
      <c r="AH2961" s="4">
        <v>0.254012170175553</v>
      </c>
      <c r="AI2961" s="4">
        <v>-1.97703047414466</v>
      </c>
      <c r="AJ2961" s="4" t="s">
        <v>62</v>
      </c>
      <c r="AK2961" s="2">
        <v>0.218647454883488</v>
      </c>
      <c r="AL2961" s="2">
        <v>0.54450920287049798</v>
      </c>
      <c r="AM2961" s="2">
        <v>1065.49167910501</v>
      </c>
      <c r="AN2961" s="2">
        <v>559.61382187555898</v>
      </c>
      <c r="AO2961" s="2">
        <v>793.55157054081894</v>
      </c>
      <c r="AP2961" s="2">
        <v>953.95365210186901</v>
      </c>
      <c r="AQ2961" s="2">
        <v>1145.5711861705599</v>
      </c>
      <c r="AR2961" s="2">
        <v>701.91707877414103</v>
      </c>
      <c r="AS2961" s="2">
        <v>8.559877937157E-6</v>
      </c>
      <c r="AT2961" s="2">
        <v>385.084959021629</v>
      </c>
      <c r="AU2961" s="2">
        <v>12456.9070122834</v>
      </c>
      <c r="AV2961" s="2">
        <v>4857.2111499830798</v>
      </c>
      <c r="AW2961" s="2">
        <v>2071.0417880587502</v>
      </c>
      <c r="AX2961" s="2">
        <v>780.34124085971905</v>
      </c>
    </row>
    <row r="2962" spans="1:50" x14ac:dyDescent="0.25">
      <c r="A2962" s="2" t="s">
        <v>19782</v>
      </c>
      <c r="B2962" s="2">
        <v>204.12374545629399</v>
      </c>
      <c r="C2962" s="2">
        <v>4.7092833333333299</v>
      </c>
      <c r="D2962" s="2" t="s">
        <v>51</v>
      </c>
      <c r="E2962" s="2" t="s">
        <v>19783</v>
      </c>
      <c r="F2962" s="2">
        <v>209035</v>
      </c>
      <c r="G2962" s="3" t="str">
        <f>HYPERLINK("https://cloud.oebiotech.com/#/lm/network/209035", "https://cloud.oebiotech.com/#/lm/network/209035")</f>
        <v>https://cloud.oebiotech.com/#/lm/network/209035</v>
      </c>
      <c r="H2962" s="2" t="s">
        <v>19784</v>
      </c>
      <c r="I2962" s="2"/>
      <c r="J2962" s="2"/>
      <c r="K2962" s="2">
        <v>76045192</v>
      </c>
      <c r="L2962" s="2"/>
      <c r="M2962" s="2"/>
      <c r="N2962" s="2"/>
      <c r="O2962" s="2"/>
      <c r="P2962" s="2"/>
      <c r="Q2962" s="2"/>
      <c r="R2962" s="2"/>
      <c r="S2962" s="2" t="s">
        <v>19785</v>
      </c>
      <c r="T2962" s="2" t="s">
        <v>19786</v>
      </c>
      <c r="U2962" s="2" t="s">
        <v>103</v>
      </c>
      <c r="V2962" s="2" t="s">
        <v>104</v>
      </c>
      <c r="W2962" s="2" t="s">
        <v>105</v>
      </c>
      <c r="X2962" s="2" t="s">
        <v>147</v>
      </c>
      <c r="Y2962" s="2">
        <v>45.7</v>
      </c>
      <c r="Z2962" s="2">
        <v>36.4</v>
      </c>
      <c r="AA2962" s="2" t="s">
        <v>84</v>
      </c>
      <c r="AB2962" s="2" t="s">
        <v>19787</v>
      </c>
      <c r="AC2962" s="2">
        <v>3.2153311987617301</v>
      </c>
      <c r="AD2962" s="2"/>
      <c r="AE2962" s="2">
        <v>0.20430162925860701</v>
      </c>
      <c r="AF2962" s="2">
        <v>5726.7385685486097</v>
      </c>
      <c r="AG2962" s="2">
        <v>4269.1674803516498</v>
      </c>
      <c r="AH2962" s="5">
        <v>1.3414181090119499</v>
      </c>
      <c r="AI2962" s="5">
        <v>0.42375898353730301</v>
      </c>
      <c r="AJ2962" s="5" t="s">
        <v>139</v>
      </c>
      <c r="AK2962" s="2">
        <v>0.43915585330241902</v>
      </c>
      <c r="AL2962" s="2">
        <v>0.69582820951600299</v>
      </c>
      <c r="AM2962" s="2">
        <v>13047.231181012799</v>
      </c>
      <c r="AN2962" s="2">
        <v>3945.9660236498598</v>
      </c>
      <c r="AO2962" s="2">
        <v>3930.06545179357</v>
      </c>
      <c r="AP2962" s="2">
        <v>6492.7860049315004</v>
      </c>
      <c r="AQ2962" s="2">
        <v>4635.8959033302799</v>
      </c>
      <c r="AR2962" s="2">
        <v>2308.4868465736699</v>
      </c>
      <c r="AS2962" s="2">
        <v>2087.9307450168099</v>
      </c>
      <c r="AT2962" s="2">
        <v>3072.8812091127902</v>
      </c>
      <c r="AU2962" s="2">
        <v>7558.5778596217297</v>
      </c>
      <c r="AV2962" s="2">
        <v>3706.4458576860902</v>
      </c>
      <c r="AW2962" s="2">
        <v>6491.3696496052999</v>
      </c>
      <c r="AX2962" s="2">
        <v>2697.7995610671901</v>
      </c>
    </row>
    <row r="2963" spans="1:50" x14ac:dyDescent="0.25">
      <c r="A2963" s="2" t="s">
        <v>19788</v>
      </c>
      <c r="B2963" s="2">
        <v>261.0822</v>
      </c>
      <c r="C2963" s="2">
        <v>12.54</v>
      </c>
      <c r="D2963" s="2" t="s">
        <v>125</v>
      </c>
      <c r="E2963" s="2" t="s">
        <v>19789</v>
      </c>
      <c r="F2963" s="2">
        <v>47145</v>
      </c>
      <c r="G2963" s="3" t="str">
        <f>HYPERLINK("https://cloud.oebiotech.com/#/lm/network/47145", "https://cloud.oebiotech.com/#/lm/network/47145")</f>
        <v>https://cloud.oebiotech.com/#/lm/network/47145</v>
      </c>
      <c r="H2963" s="2" t="s">
        <v>19790</v>
      </c>
      <c r="I2963" s="2">
        <v>3254</v>
      </c>
      <c r="J2963" s="2"/>
      <c r="K2963" s="2">
        <v>743</v>
      </c>
      <c r="L2963" s="2" t="s">
        <v>19791</v>
      </c>
      <c r="M2963" s="2" t="s">
        <v>19792</v>
      </c>
      <c r="N2963" s="2" t="s">
        <v>19793</v>
      </c>
      <c r="O2963" s="2">
        <v>17859</v>
      </c>
      <c r="P2963" s="2"/>
      <c r="Q2963" s="2"/>
      <c r="R2963" s="2" t="s">
        <v>19794</v>
      </c>
      <c r="S2963" s="2" t="s">
        <v>19795</v>
      </c>
      <c r="T2963" s="2" t="s">
        <v>19796</v>
      </c>
      <c r="U2963" s="2" t="s">
        <v>103</v>
      </c>
      <c r="V2963" s="2" t="s">
        <v>104</v>
      </c>
      <c r="W2963" s="2" t="s">
        <v>3415</v>
      </c>
      <c r="X2963" s="2" t="s">
        <v>69</v>
      </c>
      <c r="Y2963" s="2">
        <v>95</v>
      </c>
      <c r="Z2963" s="2">
        <v>95.4</v>
      </c>
      <c r="AA2963" s="2"/>
      <c r="AB2963" s="2" t="s">
        <v>6429</v>
      </c>
      <c r="AC2963" s="2"/>
      <c r="AD2963" s="2">
        <v>423451.021022906</v>
      </c>
      <c r="AE2963" s="2">
        <v>0.204245675157437</v>
      </c>
      <c r="AF2963" s="2">
        <v>12199.0952962137</v>
      </c>
      <c r="AG2963" s="2">
        <v>4677.8108497315397</v>
      </c>
      <c r="AH2963" s="5">
        <v>2.6078641672554701</v>
      </c>
      <c r="AI2963" s="5">
        <v>1.38286872757116</v>
      </c>
      <c r="AJ2963" s="5" t="s">
        <v>139</v>
      </c>
      <c r="AK2963" s="2">
        <v>1.78282839406097E-3</v>
      </c>
      <c r="AL2963" s="2">
        <v>9.9661006488224596E-2</v>
      </c>
      <c r="AM2963" s="2">
        <v>16709.2916500133</v>
      </c>
      <c r="AN2963" s="2">
        <v>16340.078976241401</v>
      </c>
      <c r="AO2963" s="2">
        <v>10047.3521677107</v>
      </c>
      <c r="AP2963" s="2">
        <v>9145.1275970767492</v>
      </c>
      <c r="AQ2963" s="2">
        <v>9327.3840879688705</v>
      </c>
      <c r="AR2963" s="2">
        <v>11625.337298271301</v>
      </c>
      <c r="AS2963" s="2">
        <v>8033.8064387353597</v>
      </c>
      <c r="AT2963" s="2">
        <v>2299.8352172700202</v>
      </c>
      <c r="AU2963" s="2">
        <v>2299.8352172700202</v>
      </c>
      <c r="AV2963" s="2">
        <v>2299.8352172700202</v>
      </c>
      <c r="AW2963" s="2">
        <v>6352.7665602131801</v>
      </c>
      <c r="AX2963" s="2">
        <v>6780.7864476306104</v>
      </c>
    </row>
    <row r="2964" spans="1:50" x14ac:dyDescent="0.25">
      <c r="A2964" s="2" t="s">
        <v>19797</v>
      </c>
      <c r="B2964" s="2">
        <v>417.30104678601998</v>
      </c>
      <c r="C2964" s="2">
        <v>12.708216666666701</v>
      </c>
      <c r="D2964" s="2" t="s">
        <v>51</v>
      </c>
      <c r="E2964" s="2" t="s">
        <v>19798</v>
      </c>
      <c r="F2964" s="2">
        <v>10472</v>
      </c>
      <c r="G2964" s="3" t="str">
        <f>HYPERLINK("https://cloud.oebiotech.com/#/lm/network/10472", "https://cloud.oebiotech.com/#/lm/network/10472")</f>
        <v>https://cloud.oebiotech.com/#/lm/network/10472</v>
      </c>
      <c r="H2964" s="2"/>
      <c r="I2964" s="2"/>
      <c r="J2964" s="2" t="s">
        <v>19799</v>
      </c>
      <c r="K2964" s="2">
        <v>137323845</v>
      </c>
      <c r="L2964" s="2"/>
      <c r="M2964" s="2"/>
      <c r="N2964" s="2"/>
      <c r="O2964" s="2"/>
      <c r="P2964" s="2"/>
      <c r="Q2964" s="2"/>
      <c r="R2964" s="2"/>
      <c r="S2964" s="2" t="s">
        <v>19800</v>
      </c>
      <c r="T2964" s="2" t="s">
        <v>19801</v>
      </c>
      <c r="U2964" s="2" t="s">
        <v>56</v>
      </c>
      <c r="V2964" s="2" t="s">
        <v>3215</v>
      </c>
      <c r="W2964" s="2" t="s">
        <v>4174</v>
      </c>
      <c r="X2964" s="2" t="s">
        <v>83</v>
      </c>
      <c r="Y2964" s="2">
        <v>55.5</v>
      </c>
      <c r="Z2964" s="2">
        <v>0</v>
      </c>
      <c r="AA2964" s="2" t="s">
        <v>163</v>
      </c>
      <c r="AB2964" s="2" t="s">
        <v>1750</v>
      </c>
      <c r="AC2964" s="2">
        <v>3.2016671038843099E-2</v>
      </c>
      <c r="AD2964" s="2"/>
      <c r="AE2964" s="2">
        <v>0.204089797602763</v>
      </c>
      <c r="AF2964" s="2">
        <v>4522.2196870503303</v>
      </c>
      <c r="AG2964" s="2">
        <v>6689.1147486363097</v>
      </c>
      <c r="AH2964" s="4">
        <v>0.67605652720672305</v>
      </c>
      <c r="AI2964" s="4">
        <v>-0.56478421507911802</v>
      </c>
      <c r="AJ2964" s="4" t="s">
        <v>62</v>
      </c>
      <c r="AK2964" s="2">
        <v>0.26857177243460001</v>
      </c>
      <c r="AL2964" s="2">
        <v>0.58946787909213405</v>
      </c>
      <c r="AM2964" s="2">
        <v>3690.3279874570699</v>
      </c>
      <c r="AN2964" s="2">
        <v>3764.4128223057401</v>
      </c>
      <c r="AO2964" s="2">
        <v>7844.1636178196004</v>
      </c>
      <c r="AP2964" s="2">
        <v>6762.9059773143599</v>
      </c>
      <c r="AQ2964" s="2">
        <v>3738.9518407206401</v>
      </c>
      <c r="AR2964" s="2">
        <v>1332.55587668458</v>
      </c>
      <c r="AS2964" s="2">
        <v>2454.82688172702</v>
      </c>
      <c r="AT2964" s="2">
        <v>5216.8958899746403</v>
      </c>
      <c r="AU2964" s="2">
        <v>9231.1306951262395</v>
      </c>
      <c r="AV2964" s="2">
        <v>4133.3150639306796</v>
      </c>
      <c r="AW2964" s="2">
        <v>13090.8635075371</v>
      </c>
      <c r="AX2964" s="2">
        <v>6007.6564535221496</v>
      </c>
    </row>
    <row r="2965" spans="1:50" x14ac:dyDescent="0.25">
      <c r="A2965" s="2" t="s">
        <v>19802</v>
      </c>
      <c r="B2965" s="2">
        <v>305.18693149891601</v>
      </c>
      <c r="C2965" s="2">
        <v>4.4640000000000004</v>
      </c>
      <c r="D2965" s="2" t="s">
        <v>51</v>
      </c>
      <c r="E2965" s="2" t="s">
        <v>19803</v>
      </c>
      <c r="F2965" s="2">
        <v>1589</v>
      </c>
      <c r="G2965" s="3" t="str">
        <f>HYPERLINK("https://cloud.oebiotech.com/#/lm/network/1589", "https://cloud.oebiotech.com/#/lm/network/1589")</f>
        <v>https://cloud.oebiotech.com/#/lm/network/1589</v>
      </c>
      <c r="H2965" s="2"/>
      <c r="I2965" s="2"/>
      <c r="J2965" s="2" t="s">
        <v>19804</v>
      </c>
      <c r="K2965" s="2"/>
      <c r="L2965" s="2"/>
      <c r="M2965" s="2"/>
      <c r="N2965" s="2"/>
      <c r="O2965" s="2"/>
      <c r="P2965" s="2"/>
      <c r="Q2965" s="2"/>
      <c r="R2965" s="2"/>
      <c r="S2965" s="2" t="s">
        <v>19805</v>
      </c>
      <c r="T2965" s="2" t="s">
        <v>19806</v>
      </c>
      <c r="U2965" s="2" t="s">
        <v>56</v>
      </c>
      <c r="V2965" s="2" t="s">
        <v>145</v>
      </c>
      <c r="W2965" s="2" t="s">
        <v>231</v>
      </c>
      <c r="X2965" s="2" t="s">
        <v>147</v>
      </c>
      <c r="Y2965" s="2">
        <v>42.1</v>
      </c>
      <c r="Z2965" s="2">
        <v>16.399999999999999</v>
      </c>
      <c r="AA2965" s="2" t="s">
        <v>395</v>
      </c>
      <c r="AB2965" s="2" t="s">
        <v>19807</v>
      </c>
      <c r="AC2965" s="2">
        <v>-3.03045760517373</v>
      </c>
      <c r="AD2965" s="2"/>
      <c r="AE2965" s="2">
        <v>0.20399074924369201</v>
      </c>
      <c r="AF2965" s="2">
        <v>2222.0913968795398</v>
      </c>
      <c r="AG2965" s="2">
        <v>5680.3165441040601</v>
      </c>
      <c r="AH2965" s="4">
        <v>0.39119147315583602</v>
      </c>
      <c r="AI2965" s="4">
        <v>-1.3540531708391901</v>
      </c>
      <c r="AJ2965" s="4" t="s">
        <v>62</v>
      </c>
      <c r="AK2965" s="2">
        <v>0.48524523989270402</v>
      </c>
      <c r="AL2965" s="2">
        <v>0.72897292237929801</v>
      </c>
      <c r="AM2965" s="2">
        <v>9789.3610767911305</v>
      </c>
      <c r="AN2965" s="2">
        <v>388.23867304823398</v>
      </c>
      <c r="AO2965" s="2">
        <v>335.13818719424597</v>
      </c>
      <c r="AP2965" s="2">
        <v>2526.3291928733302</v>
      </c>
      <c r="AQ2965" s="2">
        <v>8.559877937157E-6</v>
      </c>
      <c r="AR2965" s="2">
        <v>293.48124281040202</v>
      </c>
      <c r="AS2965" s="2">
        <v>3723.1719862209202</v>
      </c>
      <c r="AT2965" s="2">
        <v>8.559877937157E-6</v>
      </c>
      <c r="AU2965" s="2">
        <v>101.301825966824</v>
      </c>
      <c r="AV2965" s="2">
        <v>8.559877937157E-6</v>
      </c>
      <c r="AW2965" s="2">
        <v>2241.3585049451899</v>
      </c>
      <c r="AX2965" s="2">
        <v>28016.0669303717</v>
      </c>
    </row>
    <row r="2966" spans="1:50" x14ac:dyDescent="0.25">
      <c r="A2966" s="2" t="s">
        <v>19808</v>
      </c>
      <c r="B2966" s="2">
        <v>393.22638980278703</v>
      </c>
      <c r="C2966" s="2">
        <v>8.4987499999999994</v>
      </c>
      <c r="D2966" s="2" t="s">
        <v>51</v>
      </c>
      <c r="E2966" s="2" t="s">
        <v>19809</v>
      </c>
      <c r="F2966" s="2">
        <v>207955</v>
      </c>
      <c r="G2966" s="3" t="str">
        <f>HYPERLINK("https://cloud.oebiotech.com/#/lm/network/207955", "https://cloud.oebiotech.com/#/lm/network/207955")</f>
        <v>https://cloud.oebiotech.com/#/lm/network/207955</v>
      </c>
      <c r="H2966" s="2" t="s">
        <v>19810</v>
      </c>
      <c r="I2966" s="2"/>
      <c r="J2966" s="2"/>
      <c r="K2966" s="2">
        <v>4613279</v>
      </c>
      <c r="L2966" s="2"/>
      <c r="M2966" s="2"/>
      <c r="N2966" s="2"/>
      <c r="O2966" s="2"/>
      <c r="P2966" s="2"/>
      <c r="Q2966" s="2"/>
      <c r="R2966" s="2"/>
      <c r="S2966" s="2" t="s">
        <v>19811</v>
      </c>
      <c r="T2966" s="2" t="s">
        <v>19812</v>
      </c>
      <c r="U2966" s="2" t="s">
        <v>56</v>
      </c>
      <c r="V2966" s="2" t="s">
        <v>177</v>
      </c>
      <c r="W2966" s="2" t="s">
        <v>3270</v>
      </c>
      <c r="X2966" s="2" t="s">
        <v>83</v>
      </c>
      <c r="Y2966" s="2">
        <v>50.3</v>
      </c>
      <c r="Z2966" s="2">
        <v>0</v>
      </c>
      <c r="AA2966" s="2" t="s">
        <v>156</v>
      </c>
      <c r="AB2966" s="2" t="s">
        <v>19813</v>
      </c>
      <c r="AC2966" s="2">
        <v>-1.89009496106414</v>
      </c>
      <c r="AD2966" s="2"/>
      <c r="AE2966" s="2">
        <v>0.20392225902883601</v>
      </c>
      <c r="AF2966" s="2">
        <v>3366.2149538272602</v>
      </c>
      <c r="AG2966" s="2">
        <v>2223.8271230134201</v>
      </c>
      <c r="AH2966" s="5">
        <v>1.5137035244294701</v>
      </c>
      <c r="AI2966" s="5">
        <v>0.59808266521807396</v>
      </c>
      <c r="AJ2966" s="5" t="s">
        <v>139</v>
      </c>
      <c r="AK2966" s="2">
        <v>0.11267830296563</v>
      </c>
      <c r="AL2966" s="2">
        <v>0.42668564976798301</v>
      </c>
      <c r="AM2966" s="2">
        <v>3985.16391700349</v>
      </c>
      <c r="AN2966" s="2">
        <v>5572.8395370553299</v>
      </c>
      <c r="AO2966" s="2">
        <v>2978.25635757501</v>
      </c>
      <c r="AP2966" s="2">
        <v>2170.98778106181</v>
      </c>
      <c r="AQ2966" s="2">
        <v>2422.6846534654301</v>
      </c>
      <c r="AR2966" s="2">
        <v>3067.35747680247</v>
      </c>
      <c r="AS2966" s="2">
        <v>1776.4579931774699</v>
      </c>
      <c r="AT2966" s="2">
        <v>924.27154708021305</v>
      </c>
      <c r="AU2966" s="2">
        <v>3760.5505184574799</v>
      </c>
      <c r="AV2966" s="2">
        <v>1775.7570965125201</v>
      </c>
      <c r="AW2966" s="2">
        <v>3036.9626624347602</v>
      </c>
      <c r="AX2966" s="2">
        <v>2068.9629204180501</v>
      </c>
    </row>
    <row r="2967" spans="1:50" x14ac:dyDescent="0.25">
      <c r="A2967" s="2" t="s">
        <v>19814</v>
      </c>
      <c r="B2967" s="2">
        <v>534.213578115421</v>
      </c>
      <c r="C2967" s="2">
        <v>10.252599999999999</v>
      </c>
      <c r="D2967" s="2" t="s">
        <v>51</v>
      </c>
      <c r="E2967" s="2" t="s">
        <v>19815</v>
      </c>
      <c r="F2967" s="2">
        <v>3904</v>
      </c>
      <c r="G2967" s="3" t="str">
        <f>HYPERLINK("https://cloud.oebiotech.com/#/lm/network/3904", "https://cloud.oebiotech.com/#/lm/network/3904")</f>
        <v>https://cloud.oebiotech.com/#/lm/network/3904</v>
      </c>
      <c r="H2967" s="2"/>
      <c r="I2967" s="2"/>
      <c r="J2967" s="2" t="s">
        <v>19816</v>
      </c>
      <c r="K2967" s="2">
        <v>102418906</v>
      </c>
      <c r="L2967" s="2"/>
      <c r="M2967" s="2"/>
      <c r="N2967" s="2"/>
      <c r="O2967" s="2"/>
      <c r="P2967" s="2"/>
      <c r="Q2967" s="2"/>
      <c r="R2967" s="2"/>
      <c r="S2967" s="2" t="s">
        <v>19817</v>
      </c>
      <c r="T2967" s="2" t="s">
        <v>19818</v>
      </c>
      <c r="U2967" s="2" t="s">
        <v>103</v>
      </c>
      <c r="V2967" s="2" t="s">
        <v>104</v>
      </c>
      <c r="W2967" s="2" t="s">
        <v>105</v>
      </c>
      <c r="X2967" s="2" t="s">
        <v>147</v>
      </c>
      <c r="Y2967" s="2">
        <v>36.200000000000003</v>
      </c>
      <c r="Z2967" s="2">
        <v>0</v>
      </c>
      <c r="AA2967" s="2" t="s">
        <v>95</v>
      </c>
      <c r="AB2967" s="2" t="s">
        <v>19819</v>
      </c>
      <c r="AC2967" s="2">
        <v>0.72235959034779695</v>
      </c>
      <c r="AD2967" s="2"/>
      <c r="AE2967" s="2">
        <v>0.20389166097682901</v>
      </c>
      <c r="AF2967" s="2">
        <v>2348.8441002347499</v>
      </c>
      <c r="AG2967" s="2">
        <v>3427.33679462798</v>
      </c>
      <c r="AH2967" s="4">
        <v>0.68532631631543595</v>
      </c>
      <c r="AI2967" s="4">
        <v>-0.545137007787734</v>
      </c>
      <c r="AJ2967" s="4" t="s">
        <v>62</v>
      </c>
      <c r="AK2967" s="2">
        <v>3.8844393497144698E-2</v>
      </c>
      <c r="AL2967" s="2">
        <v>0.28885336544489898</v>
      </c>
      <c r="AM2967" s="2">
        <v>2219.1614916467702</v>
      </c>
      <c r="AN2967" s="2">
        <v>2224.4486358078898</v>
      </c>
      <c r="AO2967" s="2">
        <v>3748.88943509313</v>
      </c>
      <c r="AP2967" s="2">
        <v>2593.4509507972198</v>
      </c>
      <c r="AQ2967" s="2">
        <v>1369.03786414366</v>
      </c>
      <c r="AR2967" s="2">
        <v>1938.07622391983</v>
      </c>
      <c r="AS2967" s="2">
        <v>3694.0720666867901</v>
      </c>
      <c r="AT2967" s="2">
        <v>2156.9870977072401</v>
      </c>
      <c r="AU2967" s="2">
        <v>3272.4698756430598</v>
      </c>
      <c r="AV2967" s="2">
        <v>3860.6656894566099</v>
      </c>
      <c r="AW2967" s="2">
        <v>4437.1695734108398</v>
      </c>
      <c r="AX2967" s="2">
        <v>3142.6564648633598</v>
      </c>
    </row>
    <row r="2968" spans="1:50" x14ac:dyDescent="0.25">
      <c r="A2968" s="2" t="s">
        <v>19820</v>
      </c>
      <c r="B2968" s="2">
        <v>314.02592180215902</v>
      </c>
      <c r="C2968" s="2">
        <v>4.2211666666666696</v>
      </c>
      <c r="D2968" s="2" t="s">
        <v>51</v>
      </c>
      <c r="E2968" s="2" t="s">
        <v>19821</v>
      </c>
      <c r="F2968" s="2">
        <v>211225</v>
      </c>
      <c r="G2968" s="3" t="str">
        <f>HYPERLINK("https://cloud.oebiotech.com/#/lm/network/211225", "https://cloud.oebiotech.com/#/lm/network/211225")</f>
        <v>https://cloud.oebiotech.com/#/lm/network/211225</v>
      </c>
      <c r="H2968" s="2" t="s">
        <v>19822</v>
      </c>
      <c r="I2968" s="2"/>
      <c r="J2968" s="2"/>
      <c r="K2968" s="2"/>
      <c r="L2968" s="2"/>
      <c r="M2968" s="2"/>
      <c r="N2968" s="2"/>
      <c r="O2968" s="2"/>
      <c r="P2968" s="2"/>
      <c r="Q2968" s="2"/>
      <c r="R2968" s="2"/>
      <c r="S2968" s="2" t="s">
        <v>19823</v>
      </c>
      <c r="T2968" s="2" t="s">
        <v>19824</v>
      </c>
      <c r="U2968" s="2" t="s">
        <v>610</v>
      </c>
      <c r="V2968" s="2" t="s">
        <v>611</v>
      </c>
      <c r="W2968" s="2" t="s">
        <v>1122</v>
      </c>
      <c r="X2968" s="2" t="s">
        <v>147</v>
      </c>
      <c r="Y2968" s="2">
        <v>36.799999999999997</v>
      </c>
      <c r="Z2968" s="2">
        <v>4.99E-2</v>
      </c>
      <c r="AA2968" s="2" t="s">
        <v>379</v>
      </c>
      <c r="AB2968" s="2" t="s">
        <v>19825</v>
      </c>
      <c r="AC2968" s="2">
        <v>-4.6530337834417397</v>
      </c>
      <c r="AD2968" s="2"/>
      <c r="AE2968" s="2">
        <v>0.20384565556662601</v>
      </c>
      <c r="AF2968" s="2">
        <v>864.41960430868801</v>
      </c>
      <c r="AG2968" s="2">
        <v>2763.7322063413699</v>
      </c>
      <c r="AH2968" s="4">
        <v>0.31277256252442998</v>
      </c>
      <c r="AI2968" s="4">
        <v>-1.6768141348191601</v>
      </c>
      <c r="AJ2968" s="4" t="s">
        <v>62</v>
      </c>
      <c r="AK2968" s="2">
        <v>0.42878718405614902</v>
      </c>
      <c r="AL2968" s="2">
        <v>0.68728658524334696</v>
      </c>
      <c r="AM2968" s="2">
        <v>8.559877937157E-6</v>
      </c>
      <c r="AN2968" s="2">
        <v>525.56477340071399</v>
      </c>
      <c r="AO2968" s="2">
        <v>8.559877937157E-6</v>
      </c>
      <c r="AP2968" s="2">
        <v>1861.31127422035</v>
      </c>
      <c r="AQ2968" s="2">
        <v>1400.2781071736299</v>
      </c>
      <c r="AR2968" s="2">
        <v>1399.3634539376801</v>
      </c>
      <c r="AS2968" s="2">
        <v>352.69770976433102</v>
      </c>
      <c r="AT2968" s="2">
        <v>98.521127377575496</v>
      </c>
      <c r="AU2968" s="2">
        <v>1121.04712536432</v>
      </c>
      <c r="AV2968" s="2">
        <v>574.82204149996596</v>
      </c>
      <c r="AW2968" s="2">
        <v>14141.1759690911</v>
      </c>
      <c r="AX2968" s="2">
        <v>294.12926495093399</v>
      </c>
    </row>
    <row r="2969" spans="1:50" x14ac:dyDescent="0.25">
      <c r="A2969" s="2" t="s">
        <v>19826</v>
      </c>
      <c r="B2969" s="2">
        <v>787.26912898905903</v>
      </c>
      <c r="C2969" s="2">
        <v>6.9037166666666696</v>
      </c>
      <c r="D2969" s="2" t="s">
        <v>51</v>
      </c>
      <c r="E2969" s="2" t="s">
        <v>19827</v>
      </c>
      <c r="F2969" s="2">
        <v>82691</v>
      </c>
      <c r="G2969" s="3" t="str">
        <f>HYPERLINK("https://cloud.oebiotech.com/#/lm/network/82691", "https://cloud.oebiotech.com/#/lm/network/82691")</f>
        <v>https://cloud.oebiotech.com/#/lm/network/82691</v>
      </c>
      <c r="H2969" s="2" t="s">
        <v>19828</v>
      </c>
      <c r="I2969" s="2"/>
      <c r="J2969" s="2"/>
      <c r="K2969" s="2">
        <v>45479483</v>
      </c>
      <c r="L2969" s="2"/>
      <c r="M2969" s="2"/>
      <c r="N2969" s="2"/>
      <c r="O2969" s="2"/>
      <c r="P2969" s="2"/>
      <c r="Q2969" s="2"/>
      <c r="R2969" s="2"/>
      <c r="S2969" s="2" t="s">
        <v>19829</v>
      </c>
      <c r="T2969" s="2" t="s">
        <v>19830</v>
      </c>
      <c r="U2969" s="2" t="s">
        <v>331</v>
      </c>
      <c r="V2969" s="2" t="s">
        <v>332</v>
      </c>
      <c r="W2969" s="2" t="s">
        <v>333</v>
      </c>
      <c r="X2969" s="2" t="s">
        <v>147</v>
      </c>
      <c r="Y2969" s="2">
        <v>38.799999999999997</v>
      </c>
      <c r="Z2969" s="2">
        <v>0.127</v>
      </c>
      <c r="AA2969" s="2" t="s">
        <v>478</v>
      </c>
      <c r="AB2969" s="2" t="s">
        <v>19831</v>
      </c>
      <c r="AC2969" s="2">
        <v>1.4894262462857399</v>
      </c>
      <c r="AD2969" s="2"/>
      <c r="AE2969" s="2">
        <v>0.20358503186791699</v>
      </c>
      <c r="AF2969" s="2">
        <v>10512.6282610907</v>
      </c>
      <c r="AG2969" s="2">
        <v>14148.4017666197</v>
      </c>
      <c r="AH2969" s="4">
        <v>0.74302585086982698</v>
      </c>
      <c r="AI2969" s="4">
        <v>-0.42851568994728101</v>
      </c>
      <c r="AJ2969" s="4" t="s">
        <v>62</v>
      </c>
      <c r="AK2969" s="2">
        <v>0.49507137948776803</v>
      </c>
      <c r="AL2969" s="2">
        <v>0.73518516839452297</v>
      </c>
      <c r="AM2969" s="2">
        <v>10783.094428246301</v>
      </c>
      <c r="AN2969" s="2">
        <v>4667.4284848296302</v>
      </c>
      <c r="AO2969" s="2">
        <v>14592.286116250099</v>
      </c>
      <c r="AP2969" s="2">
        <v>8.559877937157E-6</v>
      </c>
      <c r="AQ2969" s="2">
        <v>6667.7301775751503</v>
      </c>
      <c r="AR2969" s="2">
        <v>26365.230351083399</v>
      </c>
      <c r="AS2969" s="2">
        <v>9611.4395054686993</v>
      </c>
      <c r="AT2969" s="2">
        <v>12083.5579470347</v>
      </c>
      <c r="AU2969" s="2">
        <v>17930.951332957098</v>
      </c>
      <c r="AV2969" s="2">
        <v>20979.251623989599</v>
      </c>
      <c r="AW2969" s="2">
        <v>23753.2410204968</v>
      </c>
      <c r="AX2969" s="2">
        <v>531.96916977117405</v>
      </c>
    </row>
    <row r="2970" spans="1:50" x14ac:dyDescent="0.25">
      <c r="A2970" s="2" t="s">
        <v>19832</v>
      </c>
      <c r="B2970" s="2">
        <v>330.02774840748299</v>
      </c>
      <c r="C2970" s="2">
        <v>1.02656666666667</v>
      </c>
      <c r="D2970" s="2" t="s">
        <v>51</v>
      </c>
      <c r="E2970" s="2" t="s">
        <v>19833</v>
      </c>
      <c r="F2970" s="2">
        <v>274672</v>
      </c>
      <c r="G2970" s="3" t="str">
        <f>HYPERLINK("https://cloud.oebiotech.com/#/lm/network/274672", "https://cloud.oebiotech.com/#/lm/network/274672")</f>
        <v>https://cloud.oebiotech.com/#/lm/network/274672</v>
      </c>
      <c r="H2970" s="2"/>
      <c r="I2970" s="2">
        <v>64838</v>
      </c>
      <c r="J2970" s="2"/>
      <c r="K2970" s="2">
        <v>46233465</v>
      </c>
      <c r="L2970" s="2"/>
      <c r="M2970" s="2"/>
      <c r="N2970" s="2"/>
      <c r="O2970" s="2"/>
      <c r="P2970" s="2"/>
      <c r="Q2970" s="2"/>
      <c r="R2970" s="2"/>
      <c r="S2970" s="2" t="s">
        <v>19834</v>
      </c>
      <c r="T2970" s="2" t="s">
        <v>19835</v>
      </c>
      <c r="U2970" s="2" t="s">
        <v>610</v>
      </c>
      <c r="V2970" s="2" t="s">
        <v>4556</v>
      </c>
      <c r="W2970" s="2" t="s">
        <v>240</v>
      </c>
      <c r="X2970" s="2" t="s">
        <v>147</v>
      </c>
      <c r="Y2970" s="2">
        <v>36.1</v>
      </c>
      <c r="Z2970" s="2">
        <v>0</v>
      </c>
      <c r="AA2970" s="2" t="s">
        <v>163</v>
      </c>
      <c r="AB2970" s="2" t="s">
        <v>19836</v>
      </c>
      <c r="AC2970" s="2">
        <v>4.0465945081108599</v>
      </c>
      <c r="AD2970" s="2"/>
      <c r="AE2970" s="2">
        <v>0.20355147841600699</v>
      </c>
      <c r="AF2970" s="2">
        <v>1739.274398219</v>
      </c>
      <c r="AG2970" s="2">
        <v>2826.5581305340102</v>
      </c>
      <c r="AH2970" s="4">
        <v>0.61533296606583598</v>
      </c>
      <c r="AI2970" s="4">
        <v>-0.70056080882385396</v>
      </c>
      <c r="AJ2970" s="4" t="s">
        <v>62</v>
      </c>
      <c r="AK2970" s="2">
        <v>3.4279300669524701E-3</v>
      </c>
      <c r="AL2970" s="2">
        <v>0.1120315017845</v>
      </c>
      <c r="AM2970" s="2">
        <v>1775.31544221067</v>
      </c>
      <c r="AN2970" s="2">
        <v>1134.1039914005901</v>
      </c>
      <c r="AO2970" s="2">
        <v>2357.5927111894698</v>
      </c>
      <c r="AP2970" s="2">
        <v>1574.1309794029701</v>
      </c>
      <c r="AQ2970" s="2">
        <v>1738.7694160240601</v>
      </c>
      <c r="AR2970" s="2">
        <v>1855.7338490862301</v>
      </c>
      <c r="AS2970" s="2">
        <v>2881.3148103076401</v>
      </c>
      <c r="AT2970" s="2">
        <v>2760.57090681607</v>
      </c>
      <c r="AU2970" s="2">
        <v>3821.7035826292999</v>
      </c>
      <c r="AV2970" s="2">
        <v>2650.8445302609098</v>
      </c>
      <c r="AW2970" s="2">
        <v>2037.0500263490201</v>
      </c>
      <c r="AX2970" s="2">
        <v>2807.86492684114</v>
      </c>
    </row>
    <row r="2971" spans="1:50" x14ac:dyDescent="0.25">
      <c r="A2971" s="2" t="s">
        <v>19837</v>
      </c>
      <c r="B2971" s="2">
        <v>111.00759710660699</v>
      </c>
      <c r="C2971" s="2">
        <v>0.74113333333333298</v>
      </c>
      <c r="D2971" s="2" t="s">
        <v>51</v>
      </c>
      <c r="E2971" s="2" t="s">
        <v>19838</v>
      </c>
      <c r="F2971" s="2">
        <v>82274</v>
      </c>
      <c r="G2971" s="3" t="str">
        <f>HYPERLINK("https://cloud.oebiotech.com/#/lm/network/82274", "https://cloud.oebiotech.com/#/lm/network/82274")</f>
        <v>https://cloud.oebiotech.com/#/lm/network/82274</v>
      </c>
      <c r="H2971" s="2" t="s">
        <v>19839</v>
      </c>
      <c r="I2971" s="2"/>
      <c r="J2971" s="2"/>
      <c r="K2971" s="2">
        <v>523</v>
      </c>
      <c r="L2971" s="2" t="s">
        <v>19840</v>
      </c>
      <c r="M2971" s="2" t="s">
        <v>19841</v>
      </c>
      <c r="N2971" s="2" t="s">
        <v>19842</v>
      </c>
      <c r="O2971" s="2">
        <v>17415</v>
      </c>
      <c r="P2971" s="2"/>
      <c r="Q2971" s="2"/>
      <c r="R2971" s="2"/>
      <c r="S2971" s="2" t="s">
        <v>19843</v>
      </c>
      <c r="T2971" s="2" t="s">
        <v>19844</v>
      </c>
      <c r="U2971" s="2" t="s">
        <v>103</v>
      </c>
      <c r="V2971" s="2" t="s">
        <v>2602</v>
      </c>
      <c r="W2971" s="2" t="s">
        <v>19845</v>
      </c>
      <c r="X2971" s="2" t="s">
        <v>69</v>
      </c>
      <c r="Y2971" s="2">
        <v>48.4</v>
      </c>
      <c r="Z2971" s="2">
        <v>51.2</v>
      </c>
      <c r="AA2971" s="2" t="s">
        <v>379</v>
      </c>
      <c r="AB2971" s="2" t="s">
        <v>19846</v>
      </c>
      <c r="AC2971" s="2">
        <v>-9.00157333264894</v>
      </c>
      <c r="AD2971" s="2"/>
      <c r="AE2971" s="2">
        <v>0.20334567305919099</v>
      </c>
      <c r="AF2971" s="2">
        <v>9910.8456625976105</v>
      </c>
      <c r="AG2971" s="2">
        <v>13159.420385539001</v>
      </c>
      <c r="AH2971" s="4">
        <v>0.75313694465515801</v>
      </c>
      <c r="AI2971" s="4">
        <v>-0.409015877518004</v>
      </c>
      <c r="AJ2971" s="4" t="s">
        <v>62</v>
      </c>
      <c r="AK2971" s="2">
        <v>0.33380852800072203</v>
      </c>
      <c r="AL2971" s="2">
        <v>0.63479219434346201</v>
      </c>
      <c r="AM2971" s="2">
        <v>18250.410077343899</v>
      </c>
      <c r="AN2971" s="2">
        <v>4535.8855602602398</v>
      </c>
      <c r="AO2971" s="2">
        <v>6612.4267184577702</v>
      </c>
      <c r="AP2971" s="2">
        <v>12597.004676387</v>
      </c>
      <c r="AQ2971" s="2">
        <v>9377.7199973984298</v>
      </c>
      <c r="AR2971" s="2">
        <v>8091.6269457383496</v>
      </c>
      <c r="AS2971" s="2">
        <v>12571.30117619</v>
      </c>
      <c r="AT2971" s="2">
        <v>17593.8472993863</v>
      </c>
      <c r="AU2971" s="2">
        <v>11181.379300061501</v>
      </c>
      <c r="AV2971" s="2">
        <v>21934.203898199001</v>
      </c>
      <c r="AW2971" s="2">
        <v>11666.985694347501</v>
      </c>
      <c r="AX2971" s="2">
        <v>4008.80494504947</v>
      </c>
    </row>
    <row r="2972" spans="1:50" x14ac:dyDescent="0.25">
      <c r="A2972" s="2" t="s">
        <v>19847</v>
      </c>
      <c r="B2972" s="2">
        <v>467.27991652212103</v>
      </c>
      <c r="C2972" s="2">
        <v>8.1777666666666704</v>
      </c>
      <c r="D2972" s="2" t="s">
        <v>51</v>
      </c>
      <c r="E2972" s="2" t="s">
        <v>19848</v>
      </c>
      <c r="F2972" s="2">
        <v>8787</v>
      </c>
      <c r="G2972" s="3" t="str">
        <f>HYPERLINK("https://cloud.oebiotech.com/#/lm/network/8787", "https://cloud.oebiotech.com/#/lm/network/8787")</f>
        <v>https://cloud.oebiotech.com/#/lm/network/8787</v>
      </c>
      <c r="H2972" s="2"/>
      <c r="I2972" s="2"/>
      <c r="J2972" s="2" t="s">
        <v>19849</v>
      </c>
      <c r="K2972" s="2">
        <v>10960832</v>
      </c>
      <c r="L2972" s="2"/>
      <c r="M2972" s="2"/>
      <c r="N2972" s="2"/>
      <c r="O2972" s="2"/>
      <c r="P2972" s="2"/>
      <c r="Q2972" s="2"/>
      <c r="R2972" s="2"/>
      <c r="S2972" s="2" t="s">
        <v>19850</v>
      </c>
      <c r="T2972" s="2" t="s">
        <v>19851</v>
      </c>
      <c r="U2972" s="2" t="s">
        <v>103</v>
      </c>
      <c r="V2972" s="2" t="s">
        <v>104</v>
      </c>
      <c r="W2972" s="2" t="s">
        <v>105</v>
      </c>
      <c r="X2972" s="2" t="s">
        <v>83</v>
      </c>
      <c r="Y2972" s="2">
        <v>37.799999999999997</v>
      </c>
      <c r="Z2972" s="2">
        <v>0</v>
      </c>
      <c r="AA2972" s="2" t="s">
        <v>218</v>
      </c>
      <c r="AB2972" s="2" t="s">
        <v>19852</v>
      </c>
      <c r="AC2972" s="2">
        <v>8.6230526737351205</v>
      </c>
      <c r="AD2972" s="2"/>
      <c r="AE2972" s="2">
        <v>0.20311503344986501</v>
      </c>
      <c r="AF2972" s="2">
        <v>3152.2643471409601</v>
      </c>
      <c r="AG2972" s="2">
        <v>4259.6777587105098</v>
      </c>
      <c r="AH2972" s="4">
        <v>0.74002413461792105</v>
      </c>
      <c r="AI2972" s="4">
        <v>-0.43435577235414802</v>
      </c>
      <c r="AJ2972" s="4" t="s">
        <v>62</v>
      </c>
      <c r="AK2972" s="2">
        <v>7.3082124096197507E-2</v>
      </c>
      <c r="AL2972" s="2">
        <v>0.35436676551019203</v>
      </c>
      <c r="AM2972" s="2">
        <v>1661.7651688323399</v>
      </c>
      <c r="AN2972" s="2">
        <v>2806.2118279172601</v>
      </c>
      <c r="AO2972" s="2">
        <v>3379.9531564884201</v>
      </c>
      <c r="AP2972" s="2">
        <v>3986.0868825538801</v>
      </c>
      <c r="AQ2972" s="2">
        <v>4379.3002270076904</v>
      </c>
      <c r="AR2972" s="2">
        <v>2700.2688200461398</v>
      </c>
      <c r="AS2972" s="2">
        <v>4995.5958542898097</v>
      </c>
      <c r="AT2972" s="2">
        <v>5747.1423693117304</v>
      </c>
      <c r="AU2972" s="2">
        <v>3212.9514857785198</v>
      </c>
      <c r="AV2972" s="2">
        <v>3662.2396659733199</v>
      </c>
      <c r="AW2972" s="2">
        <v>3939.0645666933101</v>
      </c>
      <c r="AX2972" s="2">
        <v>4001.0726102163899</v>
      </c>
    </row>
    <row r="2973" spans="1:50" x14ac:dyDescent="0.25">
      <c r="A2973" s="2" t="s">
        <v>19853</v>
      </c>
      <c r="B2973" s="2">
        <v>357.26489779138899</v>
      </c>
      <c r="C2973" s="2">
        <v>8.3861666666666697</v>
      </c>
      <c r="D2973" s="2" t="s">
        <v>51</v>
      </c>
      <c r="E2973" s="2" t="s">
        <v>19854</v>
      </c>
      <c r="F2973" s="2">
        <v>48477</v>
      </c>
      <c r="G2973" s="3" t="str">
        <f>HYPERLINK("https://cloud.oebiotech.com/#/lm/network/48477", "https://cloud.oebiotech.com/#/lm/network/48477")</f>
        <v>https://cloud.oebiotech.com/#/lm/network/48477</v>
      </c>
      <c r="H2973" s="2" t="s">
        <v>19855</v>
      </c>
      <c r="I2973" s="2"/>
      <c r="J2973" s="2"/>
      <c r="K2973" s="2">
        <v>5311239</v>
      </c>
      <c r="L2973" s="2"/>
      <c r="M2973" s="2"/>
      <c r="N2973" s="2"/>
      <c r="O2973" s="2">
        <v>155467</v>
      </c>
      <c r="P2973" s="2"/>
      <c r="Q2973" s="2"/>
      <c r="R2973" s="2"/>
      <c r="S2973" s="2" t="s">
        <v>19856</v>
      </c>
      <c r="T2973" s="2" t="s">
        <v>19857</v>
      </c>
      <c r="U2973" s="2" t="s">
        <v>56</v>
      </c>
      <c r="V2973" s="2" t="s">
        <v>145</v>
      </c>
      <c r="W2973" s="2" t="s">
        <v>187</v>
      </c>
      <c r="X2973" s="2" t="s">
        <v>83</v>
      </c>
      <c r="Y2973" s="2">
        <v>40.1</v>
      </c>
      <c r="Z2973" s="2">
        <v>0</v>
      </c>
      <c r="AA2973" s="2" t="s">
        <v>163</v>
      </c>
      <c r="AB2973" s="2" t="s">
        <v>10283</v>
      </c>
      <c r="AC2973" s="2">
        <v>0.69753422580260904</v>
      </c>
      <c r="AD2973" s="2"/>
      <c r="AE2973" s="2">
        <v>0.20311270722286201</v>
      </c>
      <c r="AF2973" s="2">
        <v>2080.6516393647198</v>
      </c>
      <c r="AG2973" s="2">
        <v>830.22455659095795</v>
      </c>
      <c r="AH2973" s="5">
        <v>2.5061311699911899</v>
      </c>
      <c r="AI2973" s="5">
        <v>1.3254619267680701</v>
      </c>
      <c r="AJ2973" s="5" t="s">
        <v>139</v>
      </c>
      <c r="AK2973" s="2">
        <v>0.13435305660893801</v>
      </c>
      <c r="AL2973" s="2">
        <v>0.45509148539334099</v>
      </c>
      <c r="AM2973" s="2">
        <v>2630.7746773290901</v>
      </c>
      <c r="AN2973" s="2">
        <v>1859.1685093133699</v>
      </c>
      <c r="AO2973" s="2">
        <v>2080.1782881670701</v>
      </c>
      <c r="AP2973" s="2">
        <v>355.12814743404198</v>
      </c>
      <c r="AQ2973" s="2">
        <v>4742.6264359267798</v>
      </c>
      <c r="AR2973" s="2">
        <v>816.03377801795796</v>
      </c>
      <c r="AS2973" s="2">
        <v>296.859311675058</v>
      </c>
      <c r="AT2973" s="2">
        <v>8.559877937157E-6</v>
      </c>
      <c r="AU2973" s="2">
        <v>2853.2722720764</v>
      </c>
      <c r="AV2973" s="2">
        <v>354.59659199146301</v>
      </c>
      <c r="AW2973" s="2">
        <v>1157.11376303766</v>
      </c>
      <c r="AX2973" s="2">
        <v>319.50539220528901</v>
      </c>
    </row>
    <row r="2974" spans="1:50" x14ac:dyDescent="0.25">
      <c r="A2974" s="2" t="s">
        <v>19858</v>
      </c>
      <c r="B2974" s="2">
        <v>486.32997717407699</v>
      </c>
      <c r="C2974" s="2">
        <v>10.906883333333299</v>
      </c>
      <c r="D2974" s="2" t="s">
        <v>51</v>
      </c>
      <c r="E2974" s="2" t="s">
        <v>19859</v>
      </c>
      <c r="F2974" s="2">
        <v>64151</v>
      </c>
      <c r="G2974" s="3" t="str">
        <f>HYPERLINK("https://cloud.oebiotech.com/#/lm/network/64151", "https://cloud.oebiotech.com/#/lm/network/64151")</f>
        <v>https://cloud.oebiotech.com/#/lm/network/64151</v>
      </c>
      <c r="H2974" s="2" t="s">
        <v>19860</v>
      </c>
      <c r="I2974" s="2">
        <v>95474</v>
      </c>
      <c r="J2974" s="2"/>
      <c r="K2974" s="2">
        <v>53463576</v>
      </c>
      <c r="L2974" s="2"/>
      <c r="M2974" s="2"/>
      <c r="N2974" s="2"/>
      <c r="O2974" s="2"/>
      <c r="P2974" s="2"/>
      <c r="Q2974" s="2"/>
      <c r="R2974" s="2" t="s">
        <v>19861</v>
      </c>
      <c r="S2974" s="2" t="s">
        <v>19862</v>
      </c>
      <c r="T2974" s="2" t="s">
        <v>19863</v>
      </c>
      <c r="U2974" s="2" t="s">
        <v>56</v>
      </c>
      <c r="V2974" s="2" t="s">
        <v>177</v>
      </c>
      <c r="W2974" s="2" t="s">
        <v>3270</v>
      </c>
      <c r="X2974" s="2" t="s">
        <v>83</v>
      </c>
      <c r="Y2974" s="2">
        <v>42.8</v>
      </c>
      <c r="Z2974" s="2">
        <v>0</v>
      </c>
      <c r="AA2974" s="2" t="s">
        <v>122</v>
      </c>
      <c r="AB2974" s="2" t="s">
        <v>13097</v>
      </c>
      <c r="AC2974" s="2">
        <v>-9.3505575140976305</v>
      </c>
      <c r="AD2974" s="2"/>
      <c r="AE2974" s="2">
        <v>0.203087232353523</v>
      </c>
      <c r="AF2974" s="2">
        <v>9403.1033282822409</v>
      </c>
      <c r="AG2974" s="2">
        <v>10684.5622276545</v>
      </c>
      <c r="AH2974" s="4">
        <v>0.88006444512480697</v>
      </c>
      <c r="AI2974" s="4">
        <v>-0.18431892198092301</v>
      </c>
      <c r="AJ2974" s="4" t="s">
        <v>62</v>
      </c>
      <c r="AK2974" s="2">
        <v>0.49938777423880898</v>
      </c>
      <c r="AL2974" s="2">
        <v>0.737712171101222</v>
      </c>
      <c r="AM2974" s="2">
        <v>5748.8577378523396</v>
      </c>
      <c r="AN2974" s="2">
        <v>6779.2935562953198</v>
      </c>
      <c r="AO2974" s="2">
        <v>9245.25679112545</v>
      </c>
      <c r="AP2974" s="2">
        <v>9300.7921065500796</v>
      </c>
      <c r="AQ2974" s="2">
        <v>15469.725909286801</v>
      </c>
      <c r="AR2974" s="2">
        <v>9874.6938685834302</v>
      </c>
      <c r="AS2974" s="2">
        <v>11922.8313966855</v>
      </c>
      <c r="AT2974" s="2">
        <v>10723.337549575701</v>
      </c>
      <c r="AU2974" s="2">
        <v>5065.7599465346502</v>
      </c>
      <c r="AV2974" s="2">
        <v>12020.3173934281</v>
      </c>
      <c r="AW2974" s="2">
        <v>13527.664933387299</v>
      </c>
      <c r="AX2974" s="2">
        <v>10847.4621463158</v>
      </c>
    </row>
    <row r="2975" spans="1:50" x14ac:dyDescent="0.25">
      <c r="A2975" s="2" t="s">
        <v>19864</v>
      </c>
      <c r="B2975" s="2">
        <v>377.15832817597402</v>
      </c>
      <c r="C2975" s="2">
        <v>9.2343499999999992</v>
      </c>
      <c r="D2975" s="2" t="s">
        <v>51</v>
      </c>
      <c r="E2975" s="2" t="s">
        <v>19865</v>
      </c>
      <c r="F2975" s="2">
        <v>210566</v>
      </c>
      <c r="G2975" s="3" t="str">
        <f>HYPERLINK("https://cloud.oebiotech.com/#/lm/network/210566", "https://cloud.oebiotech.com/#/lm/network/210566")</f>
        <v>https://cloud.oebiotech.com/#/lm/network/210566</v>
      </c>
      <c r="H2975" s="2" t="s">
        <v>19866</v>
      </c>
      <c r="I2975" s="2"/>
      <c r="J2975" s="2"/>
      <c r="K2975" s="2">
        <v>22395667</v>
      </c>
      <c r="L2975" s="2"/>
      <c r="M2975" s="2"/>
      <c r="N2975" s="2"/>
      <c r="O2975" s="2"/>
      <c r="P2975" s="2"/>
      <c r="Q2975" s="2"/>
      <c r="R2975" s="2"/>
      <c r="S2975" s="2" t="s">
        <v>19867</v>
      </c>
      <c r="T2975" s="2" t="s">
        <v>19868</v>
      </c>
      <c r="U2975" s="2" t="s">
        <v>103</v>
      </c>
      <c r="V2975" s="2" t="s">
        <v>104</v>
      </c>
      <c r="W2975" s="2" t="s">
        <v>105</v>
      </c>
      <c r="X2975" s="2" t="s">
        <v>147</v>
      </c>
      <c r="Y2975" s="2">
        <v>38.200000000000003</v>
      </c>
      <c r="Z2975" s="2">
        <v>0</v>
      </c>
      <c r="AA2975" s="2" t="s">
        <v>478</v>
      </c>
      <c r="AB2975" s="2" t="s">
        <v>19869</v>
      </c>
      <c r="AC2975" s="2">
        <v>2.39355506972871</v>
      </c>
      <c r="AD2975" s="2"/>
      <c r="AE2975" s="2">
        <v>0.202931876009038</v>
      </c>
      <c r="AF2975" s="2">
        <v>2716.4908353286601</v>
      </c>
      <c r="AG2975" s="2">
        <v>3525.8385103546998</v>
      </c>
      <c r="AH2975" s="4">
        <v>0.77045242638052003</v>
      </c>
      <c r="AI2975" s="4">
        <v>-0.37622221841188003</v>
      </c>
      <c r="AJ2975" s="4" t="s">
        <v>62</v>
      </c>
      <c r="AK2975" s="2">
        <v>1.10045183134181E-2</v>
      </c>
      <c r="AL2975" s="2">
        <v>0.16838614749165701</v>
      </c>
      <c r="AM2975" s="2">
        <v>1892.1317740772699</v>
      </c>
      <c r="AN2975" s="2">
        <v>2740.4594198036698</v>
      </c>
      <c r="AO2975" s="2">
        <v>2644.1821770393499</v>
      </c>
      <c r="AP2975" s="2">
        <v>3491.24608541517</v>
      </c>
      <c r="AQ2975" s="2">
        <v>3189.0369696204998</v>
      </c>
      <c r="AR2975" s="2">
        <v>2341.8885860159799</v>
      </c>
      <c r="AS2975" s="2">
        <v>4033.5413997362598</v>
      </c>
      <c r="AT2975" s="2">
        <v>3545.92785177107</v>
      </c>
      <c r="AU2975" s="2">
        <v>3309.2667974184001</v>
      </c>
      <c r="AV2975" s="2">
        <v>3391.49089313276</v>
      </c>
      <c r="AW2975" s="2">
        <v>3296.2503395981298</v>
      </c>
      <c r="AX2975" s="2">
        <v>3578.55378047157</v>
      </c>
    </row>
    <row r="2976" spans="1:50" x14ac:dyDescent="0.25">
      <c r="A2976" s="2" t="s">
        <v>19870</v>
      </c>
      <c r="B2976" s="2">
        <v>406.99782284183499</v>
      </c>
      <c r="C2976" s="2">
        <v>7.6376666666666697</v>
      </c>
      <c r="D2976" s="2" t="s">
        <v>51</v>
      </c>
      <c r="E2976" s="2" t="s">
        <v>19871</v>
      </c>
      <c r="F2976" s="2">
        <v>53481</v>
      </c>
      <c r="G2976" s="3" t="str">
        <f>HYPERLINK("https://cloud.oebiotech.com/#/lm/network/53481", "https://cloud.oebiotech.com/#/lm/network/53481")</f>
        <v>https://cloud.oebiotech.com/#/lm/network/53481</v>
      </c>
      <c r="H2976" s="2" t="s">
        <v>19872</v>
      </c>
      <c r="I2976" s="2"/>
      <c r="J2976" s="2"/>
      <c r="K2976" s="2">
        <v>53629521</v>
      </c>
      <c r="L2976" s="2" t="s">
        <v>19873</v>
      </c>
      <c r="M2976" s="2"/>
      <c r="N2976" s="2"/>
      <c r="O2976" s="2">
        <v>261649</v>
      </c>
      <c r="P2976" s="2"/>
      <c r="Q2976" s="2"/>
      <c r="R2976" s="2" t="s">
        <v>19874</v>
      </c>
      <c r="S2976" s="2" t="s">
        <v>19875</v>
      </c>
      <c r="T2976" s="2" t="s">
        <v>19876</v>
      </c>
      <c r="U2976" s="2" t="s">
        <v>610</v>
      </c>
      <c r="V2976" s="2" t="s">
        <v>240</v>
      </c>
      <c r="W2976" s="2" t="s">
        <v>240</v>
      </c>
      <c r="X2976" s="2" t="s">
        <v>147</v>
      </c>
      <c r="Y2976" s="2">
        <v>39.200000000000003</v>
      </c>
      <c r="Z2976" s="2">
        <v>0</v>
      </c>
      <c r="AA2976" s="2" t="s">
        <v>218</v>
      </c>
      <c r="AB2976" s="2" t="s">
        <v>19877</v>
      </c>
      <c r="AC2976" s="2">
        <v>1.2089343463271001</v>
      </c>
      <c r="AD2976" s="2"/>
      <c r="AE2976" s="2">
        <v>0.202803507681387</v>
      </c>
      <c r="AF2976" s="2">
        <v>7876.2360990240604</v>
      </c>
      <c r="AG2976" s="2">
        <v>9069.3560065298607</v>
      </c>
      <c r="AH2976" s="4">
        <v>0.86844491420925995</v>
      </c>
      <c r="AI2976" s="4">
        <v>-0.20349375374391099</v>
      </c>
      <c r="AJ2976" s="4" t="s">
        <v>62</v>
      </c>
      <c r="AK2976" s="2">
        <v>0.147234449998906</v>
      </c>
      <c r="AL2976" s="2">
        <v>0.46813495501649</v>
      </c>
      <c r="AM2976" s="2">
        <v>6951.1013625298201</v>
      </c>
      <c r="AN2976" s="2">
        <v>6585.6600249274898</v>
      </c>
      <c r="AO2976" s="2">
        <v>7823.2456311298401</v>
      </c>
      <c r="AP2976" s="2">
        <v>8915.8250999623106</v>
      </c>
      <c r="AQ2976" s="2">
        <v>9781.2152278540198</v>
      </c>
      <c r="AR2976" s="2">
        <v>7200.3692477409004</v>
      </c>
      <c r="AS2976" s="2">
        <v>10151.849868011799</v>
      </c>
      <c r="AT2976" s="2">
        <v>9772.8408254450605</v>
      </c>
      <c r="AU2976" s="2">
        <v>7338.0629435825203</v>
      </c>
      <c r="AV2976" s="2">
        <v>7959.5948771088197</v>
      </c>
      <c r="AW2976" s="2">
        <v>8340.2019044013905</v>
      </c>
      <c r="AX2976" s="2">
        <v>10853.585620629599</v>
      </c>
    </row>
    <row r="2977" spans="1:50" x14ac:dyDescent="0.25">
      <c r="A2977" s="2" t="s">
        <v>19878</v>
      </c>
      <c r="B2977" s="2">
        <v>192.05159297074201</v>
      </c>
      <c r="C2977" s="2">
        <v>5.2228500000000002</v>
      </c>
      <c r="D2977" s="2" t="s">
        <v>51</v>
      </c>
      <c r="E2977" s="2" t="s">
        <v>19879</v>
      </c>
      <c r="F2977" s="2">
        <v>202345</v>
      </c>
      <c r="G2977" s="3" t="str">
        <f>HYPERLINK("https://cloud.oebiotech.com/#/lm/network/202345", "https://cloud.oebiotech.com/#/lm/network/202345")</f>
        <v>https://cloud.oebiotech.com/#/lm/network/202345</v>
      </c>
      <c r="H2977" s="2" t="s">
        <v>19880</v>
      </c>
      <c r="I2977" s="2"/>
      <c r="J2977" s="2"/>
      <c r="K2977" s="2"/>
      <c r="L2977" s="2"/>
      <c r="M2977" s="2"/>
      <c r="N2977" s="2"/>
      <c r="O2977" s="2">
        <v>70981</v>
      </c>
      <c r="P2977" s="2"/>
      <c r="Q2977" s="2"/>
      <c r="R2977" s="2"/>
      <c r="S2977" s="2" t="s">
        <v>19881</v>
      </c>
      <c r="T2977" s="2" t="s">
        <v>19882</v>
      </c>
      <c r="U2977" s="2" t="s">
        <v>266</v>
      </c>
      <c r="V2977" s="2" t="s">
        <v>13201</v>
      </c>
      <c r="W2977" s="2" t="s">
        <v>13202</v>
      </c>
      <c r="X2977" s="2" t="s">
        <v>147</v>
      </c>
      <c r="Y2977" s="2">
        <v>39.5</v>
      </c>
      <c r="Z2977" s="2">
        <v>0</v>
      </c>
      <c r="AA2977" s="2" t="s">
        <v>259</v>
      </c>
      <c r="AB2977" s="2" t="s">
        <v>19883</v>
      </c>
      <c r="AC2977" s="2">
        <v>-4.1271718061793201E-2</v>
      </c>
      <c r="AD2977" s="2"/>
      <c r="AE2977" s="2">
        <v>0.202677077919761</v>
      </c>
      <c r="AF2977" s="2">
        <v>1377.0533865615</v>
      </c>
      <c r="AG2977" s="2">
        <v>253.24882442516301</v>
      </c>
      <c r="AH2977" s="5">
        <v>5.43755095285122</v>
      </c>
      <c r="AI2977" s="5">
        <v>2.44295701476024</v>
      </c>
      <c r="AJ2977" s="5" t="s">
        <v>139</v>
      </c>
      <c r="AK2977" s="2">
        <v>9.04437128432629E-2</v>
      </c>
      <c r="AL2977" s="2">
        <v>0.386027550791123</v>
      </c>
      <c r="AM2977" s="2">
        <v>3937.50190045212</v>
      </c>
      <c r="AN2977" s="2">
        <v>495.23500045342598</v>
      </c>
      <c r="AO2977" s="2">
        <v>290.62123656738999</v>
      </c>
      <c r="AP2977" s="2">
        <v>2298.39426598827</v>
      </c>
      <c r="AQ2977" s="2">
        <v>797.66999183501605</v>
      </c>
      <c r="AR2977" s="2">
        <v>442.89792407275201</v>
      </c>
      <c r="AS2977" s="2">
        <v>203.496015489846</v>
      </c>
      <c r="AT2977" s="2">
        <v>140.16096586026501</v>
      </c>
      <c r="AU2977" s="2">
        <v>646.00757538681398</v>
      </c>
      <c r="AV2977" s="2">
        <v>122.65479169471701</v>
      </c>
      <c r="AW2977" s="2">
        <v>84.1929449457255</v>
      </c>
      <c r="AX2977" s="2">
        <v>322.98065317361102</v>
      </c>
    </row>
    <row r="2978" spans="1:50" x14ac:dyDescent="0.25">
      <c r="A2978" s="2" t="s">
        <v>19884</v>
      </c>
      <c r="B2978" s="2">
        <v>438.33372027194503</v>
      </c>
      <c r="C2978" s="2">
        <v>15.068250000000001</v>
      </c>
      <c r="D2978" s="2" t="s">
        <v>51</v>
      </c>
      <c r="E2978" s="2" t="s">
        <v>19885</v>
      </c>
      <c r="F2978" s="2">
        <v>43547</v>
      </c>
      <c r="G2978" s="3" t="str">
        <f>HYPERLINK("https://cloud.oebiotech.com/#/lm/network/43547", "https://cloud.oebiotech.com/#/lm/network/43547")</f>
        <v>https://cloud.oebiotech.com/#/lm/network/43547</v>
      </c>
      <c r="H2978" s="2" t="s">
        <v>19886</v>
      </c>
      <c r="I2978" s="2">
        <v>57654</v>
      </c>
      <c r="J2978" s="2" t="s">
        <v>19887</v>
      </c>
      <c r="K2978" s="2">
        <v>21252278</v>
      </c>
      <c r="L2978" s="2"/>
      <c r="M2978" s="2"/>
      <c r="N2978" s="2"/>
      <c r="O2978" s="2"/>
      <c r="P2978" s="2"/>
      <c r="Q2978" s="2"/>
      <c r="R2978" s="2" t="s">
        <v>19888</v>
      </c>
      <c r="S2978" s="2" t="s">
        <v>19889</v>
      </c>
      <c r="T2978" s="2" t="s">
        <v>19890</v>
      </c>
      <c r="U2978" s="2" t="s">
        <v>56</v>
      </c>
      <c r="V2978" s="2" t="s">
        <v>283</v>
      </c>
      <c r="W2978" s="2" t="s">
        <v>2042</v>
      </c>
      <c r="X2978" s="2" t="s">
        <v>147</v>
      </c>
      <c r="Y2978" s="2">
        <v>39.9</v>
      </c>
      <c r="Z2978" s="2">
        <v>8.48</v>
      </c>
      <c r="AA2978" s="2" t="s">
        <v>122</v>
      </c>
      <c r="AB2978" s="2" t="s">
        <v>19891</v>
      </c>
      <c r="AC2978" s="2">
        <v>-1.8351305456178399</v>
      </c>
      <c r="AD2978" s="2"/>
      <c r="AE2978" s="2">
        <v>0.20261390422376099</v>
      </c>
      <c r="AF2978" s="2">
        <v>46.737637842011999</v>
      </c>
      <c r="AG2978" s="2">
        <v>1282.0980898851101</v>
      </c>
      <c r="AH2978" s="4">
        <v>3.6454026576234998E-2</v>
      </c>
      <c r="AI2978" s="4">
        <v>-4.7777780116909003</v>
      </c>
      <c r="AJ2978" s="4" t="s">
        <v>62</v>
      </c>
      <c r="AK2978" s="2">
        <v>5.25530557504717E-2</v>
      </c>
      <c r="AL2978" s="2">
        <v>0.31653622285434502</v>
      </c>
      <c r="AM2978" s="2">
        <v>8.559877937157E-6</v>
      </c>
      <c r="AN2978" s="2">
        <v>48.501476154302097</v>
      </c>
      <c r="AO2978" s="2">
        <v>8.559877937157E-6</v>
      </c>
      <c r="AP2978" s="2">
        <v>8.559877937157E-6</v>
      </c>
      <c r="AQ2978" s="2">
        <v>109.409701766059</v>
      </c>
      <c r="AR2978" s="2">
        <v>122.514623452077</v>
      </c>
      <c r="AS2978" s="2">
        <v>2431.6901775790002</v>
      </c>
      <c r="AT2978" s="2">
        <v>2148.1019011498902</v>
      </c>
      <c r="AU2978" s="2">
        <v>152.037444641023</v>
      </c>
      <c r="AV2978" s="2">
        <v>2960.7589988210002</v>
      </c>
      <c r="AW2978" s="2">
        <v>8.559877937157E-6</v>
      </c>
      <c r="AX2978" s="2">
        <v>8.559877937157E-6</v>
      </c>
    </row>
    <row r="2979" spans="1:50" x14ac:dyDescent="0.25">
      <c r="A2979" s="2" t="s">
        <v>19892</v>
      </c>
      <c r="B2979" s="2">
        <v>215.139604207768</v>
      </c>
      <c r="C2979" s="2">
        <v>4.4844999999999997</v>
      </c>
      <c r="D2979" s="2" t="s">
        <v>51</v>
      </c>
      <c r="E2979" s="2" t="s">
        <v>19893</v>
      </c>
      <c r="F2979" s="2">
        <v>48138</v>
      </c>
      <c r="G2979" s="3" t="str">
        <f>HYPERLINK("https://cloud.oebiotech.com/#/lm/network/48138", "https://cloud.oebiotech.com/#/lm/network/48138")</f>
        <v>https://cloud.oebiotech.com/#/lm/network/48138</v>
      </c>
      <c r="H2979" s="2" t="s">
        <v>19894</v>
      </c>
      <c r="I2979" s="2">
        <v>3351</v>
      </c>
      <c r="J2979" s="2"/>
      <c r="K2979" s="2">
        <v>445027</v>
      </c>
      <c r="L2979" s="2" t="s">
        <v>19895</v>
      </c>
      <c r="M2979" s="2" t="s">
        <v>7315</v>
      </c>
      <c r="N2979" s="2" t="s">
        <v>7316</v>
      </c>
      <c r="O2979" s="2">
        <v>42280</v>
      </c>
      <c r="P2979" s="2"/>
      <c r="Q2979" s="2"/>
      <c r="R2979" s="2" t="s">
        <v>19896</v>
      </c>
      <c r="S2979" s="2" t="s">
        <v>19897</v>
      </c>
      <c r="T2979" s="2" t="s">
        <v>19898</v>
      </c>
      <c r="U2979" s="2" t="s">
        <v>56</v>
      </c>
      <c r="V2979" s="2" t="s">
        <v>145</v>
      </c>
      <c r="W2979" s="2" t="s">
        <v>231</v>
      </c>
      <c r="X2979" s="2" t="s">
        <v>83</v>
      </c>
      <c r="Y2979" s="2">
        <v>40.200000000000003</v>
      </c>
      <c r="Z2979" s="2">
        <v>0</v>
      </c>
      <c r="AA2979" s="2" t="s">
        <v>259</v>
      </c>
      <c r="AB2979" s="2" t="s">
        <v>19899</v>
      </c>
      <c r="AC2979" s="2">
        <v>2.7335051841349398</v>
      </c>
      <c r="AD2979" s="2"/>
      <c r="AE2979" s="2">
        <v>0.20258527313098201</v>
      </c>
      <c r="AF2979" s="2">
        <v>1639.4853374678</v>
      </c>
      <c r="AG2979" s="2">
        <v>597.87357740566199</v>
      </c>
      <c r="AH2979" s="5">
        <v>2.7421940012501902</v>
      </c>
      <c r="AI2979" s="5">
        <v>1.4553306406798201</v>
      </c>
      <c r="AJ2979" s="5" t="s">
        <v>139</v>
      </c>
      <c r="AK2979" s="2">
        <v>2.2863060864018299E-2</v>
      </c>
      <c r="AL2979" s="2">
        <v>0.23429943344194701</v>
      </c>
      <c r="AM2979" s="2">
        <v>1007.23422289001</v>
      </c>
      <c r="AN2979" s="2">
        <v>3108.4017942799601</v>
      </c>
      <c r="AO2979" s="2">
        <v>1796.00323317777</v>
      </c>
      <c r="AP2979" s="2">
        <v>695.04754231957997</v>
      </c>
      <c r="AQ2979" s="2">
        <v>1124.4757573864099</v>
      </c>
      <c r="AR2979" s="2">
        <v>2105.74947475306</v>
      </c>
      <c r="AS2979" s="2">
        <v>1111.0358621134601</v>
      </c>
      <c r="AT2979" s="2">
        <v>607.31651743738996</v>
      </c>
      <c r="AU2979" s="2">
        <v>678.36814341539696</v>
      </c>
      <c r="AV2979" s="2">
        <v>89.563134093408493</v>
      </c>
      <c r="AW2979" s="2">
        <v>443.789083153685</v>
      </c>
      <c r="AX2979" s="2">
        <v>657.16872422063398</v>
      </c>
    </row>
    <row r="2980" spans="1:50" x14ac:dyDescent="0.25">
      <c r="A2980" s="2" t="s">
        <v>19900</v>
      </c>
      <c r="B2980" s="2">
        <v>243.13467960224</v>
      </c>
      <c r="C2980" s="2">
        <v>0.76093333333333302</v>
      </c>
      <c r="D2980" s="2" t="s">
        <v>51</v>
      </c>
      <c r="E2980" s="2" t="s">
        <v>19901</v>
      </c>
      <c r="F2980" s="2">
        <v>53932</v>
      </c>
      <c r="G2980" s="3" t="str">
        <f>HYPERLINK("https://cloud.oebiotech.com/#/lm/network/53932", "https://cloud.oebiotech.com/#/lm/network/53932")</f>
        <v>https://cloud.oebiotech.com/#/lm/network/53932</v>
      </c>
      <c r="H2980" s="2" t="s">
        <v>19902</v>
      </c>
      <c r="I2980" s="2"/>
      <c r="J2980" s="2"/>
      <c r="K2980" s="2">
        <v>61158802</v>
      </c>
      <c r="L2980" s="2"/>
      <c r="M2980" s="2"/>
      <c r="N2980" s="2"/>
      <c r="O2980" s="2"/>
      <c r="P2980" s="2"/>
      <c r="Q2980" s="2"/>
      <c r="R2980" s="2" t="s">
        <v>19903</v>
      </c>
      <c r="S2980" s="2" t="s">
        <v>19904</v>
      </c>
      <c r="T2980" s="2" t="s">
        <v>19905</v>
      </c>
      <c r="U2980" s="2" t="s">
        <v>103</v>
      </c>
      <c r="V2980" s="2" t="s">
        <v>104</v>
      </c>
      <c r="W2980" s="2" t="s">
        <v>105</v>
      </c>
      <c r="X2980" s="2" t="s">
        <v>147</v>
      </c>
      <c r="Y2980" s="2">
        <v>45.1</v>
      </c>
      <c r="Z2980" s="2">
        <v>35.200000000000003</v>
      </c>
      <c r="AA2980" s="2" t="s">
        <v>163</v>
      </c>
      <c r="AB2980" s="2" t="s">
        <v>19906</v>
      </c>
      <c r="AC2980" s="2">
        <v>-1.4380752131116901</v>
      </c>
      <c r="AD2980" s="2"/>
      <c r="AE2980" s="2">
        <v>0.20258160774870601</v>
      </c>
      <c r="AF2980" s="2">
        <v>10817.2139272235</v>
      </c>
      <c r="AG2980" s="2">
        <v>15015.753001679501</v>
      </c>
      <c r="AH2980" s="4">
        <v>0.72039104039694601</v>
      </c>
      <c r="AI2980" s="4">
        <v>-0.47314785652945202</v>
      </c>
      <c r="AJ2980" s="4" t="s">
        <v>62</v>
      </c>
      <c r="AK2980" s="2">
        <v>0.78073628271866402</v>
      </c>
      <c r="AL2980" s="2">
        <v>0.90337776466589503</v>
      </c>
      <c r="AM2980" s="2">
        <v>21697.709211399098</v>
      </c>
      <c r="AN2980" s="2">
        <v>8.559877937157E-6</v>
      </c>
      <c r="AO2980" s="2">
        <v>1.5317436417351</v>
      </c>
      <c r="AP2980" s="2">
        <v>1.4063559704740901E-2</v>
      </c>
      <c r="AQ2980" s="2">
        <v>34689.532131313397</v>
      </c>
      <c r="AR2980" s="2">
        <v>8514.4964048670408</v>
      </c>
      <c r="AS2980" s="2">
        <v>8.559877937157E-6</v>
      </c>
      <c r="AT2980" s="2">
        <v>0.66618647189542302</v>
      </c>
      <c r="AU2980" s="2">
        <v>35.153148846103797</v>
      </c>
      <c r="AV2980" s="2">
        <v>81904.200474613797</v>
      </c>
      <c r="AW2980" s="2">
        <v>8.559877937157E-6</v>
      </c>
      <c r="AX2980" s="2">
        <v>8154.4981830255902</v>
      </c>
    </row>
    <row r="2981" spans="1:50" x14ac:dyDescent="0.25">
      <c r="A2981" s="2" t="s">
        <v>19907</v>
      </c>
      <c r="B2981" s="2">
        <v>485.38491857915199</v>
      </c>
      <c r="C2981" s="2">
        <v>12.708216666666701</v>
      </c>
      <c r="D2981" s="2" t="s">
        <v>51</v>
      </c>
      <c r="E2981" s="2" t="s">
        <v>19908</v>
      </c>
      <c r="F2981" s="2">
        <v>51375</v>
      </c>
      <c r="G2981" s="3" t="str">
        <f>HYPERLINK("https://cloud.oebiotech.com/#/lm/network/51375", "https://cloud.oebiotech.com/#/lm/network/51375")</f>
        <v>https://cloud.oebiotech.com/#/lm/network/51375</v>
      </c>
      <c r="H2981" s="2" t="s">
        <v>19909</v>
      </c>
      <c r="I2981" s="2">
        <v>62342</v>
      </c>
      <c r="J2981" s="2"/>
      <c r="K2981" s="2">
        <v>53480973</v>
      </c>
      <c r="L2981" s="2"/>
      <c r="M2981" s="2"/>
      <c r="N2981" s="2"/>
      <c r="O2981" s="2"/>
      <c r="P2981" s="2"/>
      <c r="Q2981" s="2"/>
      <c r="R2981" s="2"/>
      <c r="S2981" s="2" t="s">
        <v>19910</v>
      </c>
      <c r="T2981" s="2" t="s">
        <v>19911</v>
      </c>
      <c r="U2981" s="2" t="s">
        <v>56</v>
      </c>
      <c r="V2981" s="2" t="s">
        <v>3215</v>
      </c>
      <c r="W2981" s="2" t="s">
        <v>4174</v>
      </c>
      <c r="X2981" s="2" t="s">
        <v>147</v>
      </c>
      <c r="Y2981" s="2">
        <v>38.9</v>
      </c>
      <c r="Z2981" s="2">
        <v>0</v>
      </c>
      <c r="AA2981" s="2" t="s">
        <v>218</v>
      </c>
      <c r="AB2981" s="2" t="s">
        <v>17137</v>
      </c>
      <c r="AC2981" s="2">
        <v>0.35324255041830199</v>
      </c>
      <c r="AD2981" s="2"/>
      <c r="AE2981" s="2">
        <v>0.202253593976229</v>
      </c>
      <c r="AF2981" s="2">
        <v>6553.3870170881601</v>
      </c>
      <c r="AG2981" s="2">
        <v>9835.5248172117808</v>
      </c>
      <c r="AH2981" s="4">
        <v>0.66629764439412398</v>
      </c>
      <c r="AI2981" s="4">
        <v>-0.58576130172694096</v>
      </c>
      <c r="AJ2981" s="4" t="s">
        <v>62</v>
      </c>
      <c r="AK2981" s="2">
        <v>0.434446112902029</v>
      </c>
      <c r="AL2981" s="2">
        <v>0.69187408055239896</v>
      </c>
      <c r="AM2981" s="2">
        <v>7962.3359979697298</v>
      </c>
      <c r="AN2981" s="2">
        <v>2499.8851034915701</v>
      </c>
      <c r="AO2981" s="2">
        <v>5265.20807605344</v>
      </c>
      <c r="AP2981" s="2">
        <v>8626.6078841624603</v>
      </c>
      <c r="AQ2981" s="2">
        <v>8504.5932658493093</v>
      </c>
      <c r="AR2981" s="2">
        <v>6461.6917750024704</v>
      </c>
      <c r="AS2981" s="2">
        <v>1919.0856882175699</v>
      </c>
      <c r="AT2981" s="2">
        <v>7452.9957867947396</v>
      </c>
      <c r="AU2981" s="2">
        <v>18600.2006101117</v>
      </c>
      <c r="AV2981" s="2">
        <v>3137.7972096240801</v>
      </c>
      <c r="AW2981" s="2">
        <v>24798.257997841301</v>
      </c>
      <c r="AX2981" s="2">
        <v>3104.81161068132</v>
      </c>
    </row>
    <row r="2982" spans="1:50" x14ac:dyDescent="0.25">
      <c r="A2982" s="2" t="s">
        <v>19912</v>
      </c>
      <c r="B2982" s="2">
        <v>399.11742634963298</v>
      </c>
      <c r="C2982" s="2">
        <v>5.4322166666666698</v>
      </c>
      <c r="D2982" s="2" t="s">
        <v>51</v>
      </c>
      <c r="E2982" s="2" t="s">
        <v>19913</v>
      </c>
      <c r="F2982" s="2">
        <v>56231</v>
      </c>
      <c r="G2982" s="3" t="str">
        <f>HYPERLINK("https://cloud.oebiotech.com/#/lm/network/56231", "https://cloud.oebiotech.com/#/lm/network/56231")</f>
        <v>https://cloud.oebiotech.com/#/lm/network/56231</v>
      </c>
      <c r="H2982" s="2" t="s">
        <v>19914</v>
      </c>
      <c r="I2982" s="2"/>
      <c r="J2982" s="2"/>
      <c r="K2982" s="2">
        <v>12358373</v>
      </c>
      <c r="L2982" s="2"/>
      <c r="M2982" s="2"/>
      <c r="N2982" s="2"/>
      <c r="O2982" s="2"/>
      <c r="P2982" s="2"/>
      <c r="Q2982" s="2"/>
      <c r="R2982" s="2" t="s">
        <v>19915</v>
      </c>
      <c r="S2982" s="2" t="s">
        <v>19916</v>
      </c>
      <c r="T2982" s="2" t="s">
        <v>19917</v>
      </c>
      <c r="U2982" s="2" t="s">
        <v>266</v>
      </c>
      <c r="V2982" s="2" t="s">
        <v>3926</v>
      </c>
      <c r="W2982" s="2" t="s">
        <v>4115</v>
      </c>
      <c r="X2982" s="2" t="s">
        <v>83</v>
      </c>
      <c r="Y2982" s="2">
        <v>43.2</v>
      </c>
      <c r="Z2982" s="2">
        <v>0</v>
      </c>
      <c r="AA2982" s="2" t="s">
        <v>218</v>
      </c>
      <c r="AB2982" s="2" t="s">
        <v>19918</v>
      </c>
      <c r="AC2982" s="2">
        <v>2.2747073642301099</v>
      </c>
      <c r="AD2982" s="2"/>
      <c r="AE2982" s="2">
        <v>0.20215498502078399</v>
      </c>
      <c r="AF2982" s="2">
        <v>3158.2390699974799</v>
      </c>
      <c r="AG2982" s="2">
        <v>4730.5606903053704</v>
      </c>
      <c r="AH2982" s="4">
        <v>0.66762468061552505</v>
      </c>
      <c r="AI2982" s="4">
        <v>-0.58289080593959697</v>
      </c>
      <c r="AJ2982" s="4" t="s">
        <v>62</v>
      </c>
      <c r="AK2982" s="2">
        <v>0.274999521795387</v>
      </c>
      <c r="AL2982" s="2">
        <v>0.59510469005205202</v>
      </c>
      <c r="AM2982" s="2">
        <v>3231.3826210713501</v>
      </c>
      <c r="AN2982" s="2">
        <v>4699.2890430349798</v>
      </c>
      <c r="AO2982" s="2">
        <v>2146.5675952228098</v>
      </c>
      <c r="AP2982" s="2">
        <v>2190.7543940656801</v>
      </c>
      <c r="AQ2982" s="2">
        <v>3644.7166708675099</v>
      </c>
      <c r="AR2982" s="2">
        <v>3036.7240957225299</v>
      </c>
      <c r="AS2982" s="2">
        <v>10253.607907017</v>
      </c>
      <c r="AT2982" s="2">
        <v>2451.3633188274598</v>
      </c>
      <c r="AU2982" s="2">
        <v>2380.0093835887901</v>
      </c>
      <c r="AV2982" s="2">
        <v>4347.4939459300203</v>
      </c>
      <c r="AW2982" s="2">
        <v>6656.9025353855204</v>
      </c>
      <c r="AX2982" s="2">
        <v>2293.9870510834098</v>
      </c>
    </row>
    <row r="2983" spans="1:50" x14ac:dyDescent="0.25">
      <c r="A2983" s="2" t="s">
        <v>19919</v>
      </c>
      <c r="B2983" s="2">
        <v>224.02300612705801</v>
      </c>
      <c r="C2983" s="2">
        <v>0.74113333333333298</v>
      </c>
      <c r="D2983" s="2" t="s">
        <v>51</v>
      </c>
      <c r="E2983" s="2" t="s">
        <v>19920</v>
      </c>
      <c r="F2983" s="2">
        <v>54373</v>
      </c>
      <c r="G2983" s="3" t="str">
        <f>HYPERLINK("https://cloud.oebiotech.com/#/lm/network/54373", "https://cloud.oebiotech.com/#/lm/network/54373")</f>
        <v>https://cloud.oebiotech.com/#/lm/network/54373</v>
      </c>
      <c r="H2983" s="2" t="s">
        <v>19921</v>
      </c>
      <c r="I2983" s="2">
        <v>86253</v>
      </c>
      <c r="J2983" s="2"/>
      <c r="K2983" s="2">
        <v>1080</v>
      </c>
      <c r="L2983" s="2"/>
      <c r="M2983" s="2"/>
      <c r="N2983" s="2"/>
      <c r="O2983" s="2">
        <v>971853</v>
      </c>
      <c r="P2983" s="2"/>
      <c r="Q2983" s="2"/>
      <c r="R2983" s="2" t="s">
        <v>19922</v>
      </c>
      <c r="S2983" s="2" t="s">
        <v>19923</v>
      </c>
      <c r="T2983" s="2" t="s">
        <v>19924</v>
      </c>
      <c r="U2983" s="2" t="s">
        <v>103</v>
      </c>
      <c r="V2983" s="2" t="s">
        <v>104</v>
      </c>
      <c r="W2983" s="2" t="s">
        <v>105</v>
      </c>
      <c r="X2983" s="2" t="s">
        <v>83</v>
      </c>
      <c r="Y2983" s="2">
        <v>38.700000000000003</v>
      </c>
      <c r="Z2983" s="2">
        <v>0</v>
      </c>
      <c r="AA2983" s="2" t="s">
        <v>218</v>
      </c>
      <c r="AB2983" s="2" t="s">
        <v>19925</v>
      </c>
      <c r="AC2983" s="2">
        <v>-2.3768416059557902</v>
      </c>
      <c r="AD2983" s="2"/>
      <c r="AE2983" s="2">
        <v>0.201960316644509</v>
      </c>
      <c r="AF2983" s="2">
        <v>4985.5146737078003</v>
      </c>
      <c r="AG2983" s="2">
        <v>2763.5924868699199</v>
      </c>
      <c r="AH2983" s="5">
        <v>1.8039977664559601</v>
      </c>
      <c r="AI2983" s="5">
        <v>0.85119755238215</v>
      </c>
      <c r="AJ2983" s="5" t="s">
        <v>139</v>
      </c>
      <c r="AK2983" s="2">
        <v>0.17015518364389801</v>
      </c>
      <c r="AL2983" s="2">
        <v>0.491550366774546</v>
      </c>
      <c r="AM2983" s="2">
        <v>1556.7637586941901</v>
      </c>
      <c r="AN2983" s="2">
        <v>9608.7269282131692</v>
      </c>
      <c r="AO2983" s="2">
        <v>3309.77806335072</v>
      </c>
      <c r="AP2983" s="2">
        <v>5055.1817844773504</v>
      </c>
      <c r="AQ2983" s="2">
        <v>4135.5790633077404</v>
      </c>
      <c r="AR2983" s="2">
        <v>6247.0584442036497</v>
      </c>
      <c r="AS2983" s="2">
        <v>2386.9997480883599</v>
      </c>
      <c r="AT2983" s="2">
        <v>2747.8419797586398</v>
      </c>
      <c r="AU2983" s="2">
        <v>1466.6979593522201</v>
      </c>
      <c r="AV2983" s="2">
        <v>8.559877937157E-6</v>
      </c>
      <c r="AW2983" s="2">
        <v>7243.0450446247196</v>
      </c>
      <c r="AX2983" s="2">
        <v>2736.9701808356799</v>
      </c>
    </row>
    <row r="2984" spans="1:50" x14ac:dyDescent="0.25">
      <c r="A2984" s="2" t="s">
        <v>19926</v>
      </c>
      <c r="B2984" s="2">
        <v>367.01971886557197</v>
      </c>
      <c r="C2984" s="2">
        <v>7.9954499999999999</v>
      </c>
      <c r="D2984" s="2" t="s">
        <v>51</v>
      </c>
      <c r="E2984" s="2" t="s">
        <v>19927</v>
      </c>
      <c r="F2984" s="2">
        <v>256842</v>
      </c>
      <c r="G2984" s="3" t="str">
        <f>HYPERLINK("https://cloud.oebiotech.com/#/lm/network/256842", "https://cloud.oebiotech.com/#/lm/network/256842")</f>
        <v>https://cloud.oebiotech.com/#/lm/network/256842</v>
      </c>
      <c r="H2984" s="2" t="s">
        <v>19928</v>
      </c>
      <c r="I2984" s="2">
        <v>63860</v>
      </c>
      <c r="J2984" s="2"/>
      <c r="K2984" s="2">
        <v>669</v>
      </c>
      <c r="L2984" s="2" t="s">
        <v>19929</v>
      </c>
      <c r="M2984" s="2" t="s">
        <v>19930</v>
      </c>
      <c r="N2984" s="2" t="s">
        <v>19931</v>
      </c>
      <c r="O2984" s="2">
        <v>50606</v>
      </c>
      <c r="P2984" s="2"/>
      <c r="Q2984" s="2"/>
      <c r="R2984" s="2"/>
      <c r="S2984" s="2" t="s">
        <v>19932</v>
      </c>
      <c r="T2984" s="2" t="s">
        <v>19933</v>
      </c>
      <c r="U2984" s="2" t="s">
        <v>103</v>
      </c>
      <c r="V2984" s="2" t="s">
        <v>1567</v>
      </c>
      <c r="W2984" s="2" t="s">
        <v>1568</v>
      </c>
      <c r="X2984" s="2" t="s">
        <v>147</v>
      </c>
      <c r="Y2984" s="2">
        <v>39.6</v>
      </c>
      <c r="Z2984" s="2">
        <v>1.72</v>
      </c>
      <c r="AA2984" s="2" t="s">
        <v>2837</v>
      </c>
      <c r="AB2984" s="2" t="s">
        <v>19934</v>
      </c>
      <c r="AC2984" s="2">
        <v>-0.96181549779504805</v>
      </c>
      <c r="AD2984" s="2"/>
      <c r="AE2984" s="2">
        <v>0.20194369266704801</v>
      </c>
      <c r="AF2984" s="2">
        <v>7766.2654108696097</v>
      </c>
      <c r="AG2984" s="2">
        <v>9305.9233488651807</v>
      </c>
      <c r="AH2984" s="4">
        <v>0.83455076081372104</v>
      </c>
      <c r="AI2984" s="4">
        <v>-0.26092829197769801</v>
      </c>
      <c r="AJ2984" s="4" t="s">
        <v>62</v>
      </c>
      <c r="AK2984" s="2">
        <v>6.5804248811791394E-2</v>
      </c>
      <c r="AL2984" s="2">
        <v>0.34192828169447498</v>
      </c>
      <c r="AM2984" s="2">
        <v>8694.2815286728801</v>
      </c>
      <c r="AN2984" s="2">
        <v>6728.3452364445602</v>
      </c>
      <c r="AO2984" s="2">
        <v>7215.0934846958899</v>
      </c>
      <c r="AP2984" s="2">
        <v>6843.8119228390697</v>
      </c>
      <c r="AQ2984" s="2">
        <v>8787.9771139442601</v>
      </c>
      <c r="AR2984" s="2">
        <v>8328.0831786209692</v>
      </c>
      <c r="AS2984" s="2">
        <v>7975.77338810742</v>
      </c>
      <c r="AT2984" s="2">
        <v>11197.1998947227</v>
      </c>
      <c r="AU2984" s="2">
        <v>7561.2340678479304</v>
      </c>
      <c r="AV2984" s="2">
        <v>9527.2510073996109</v>
      </c>
      <c r="AW2984" s="2">
        <v>8498.9490252417309</v>
      </c>
      <c r="AX2984" s="2">
        <v>11075.132709871699</v>
      </c>
    </row>
    <row r="2985" spans="1:50" x14ac:dyDescent="0.25">
      <c r="A2985" s="2" t="s">
        <v>19935</v>
      </c>
      <c r="B2985" s="2">
        <v>324.10327935178799</v>
      </c>
      <c r="C2985" s="2">
        <v>7.2403166666666703</v>
      </c>
      <c r="D2985" s="2" t="s">
        <v>51</v>
      </c>
      <c r="E2985" s="2" t="s">
        <v>19936</v>
      </c>
      <c r="F2985" s="2">
        <v>209391</v>
      </c>
      <c r="G2985" s="3" t="str">
        <f>HYPERLINK("https://cloud.oebiotech.com/#/lm/network/209391", "https://cloud.oebiotech.com/#/lm/network/209391")</f>
        <v>https://cloud.oebiotech.com/#/lm/network/209391</v>
      </c>
      <c r="H2985" s="2" t="s">
        <v>19937</v>
      </c>
      <c r="I2985" s="2"/>
      <c r="J2985" s="2"/>
      <c r="K2985" s="2">
        <v>54135119</v>
      </c>
      <c r="L2985" s="2"/>
      <c r="M2985" s="2"/>
      <c r="N2985" s="2"/>
      <c r="O2985" s="2"/>
      <c r="P2985" s="2"/>
      <c r="Q2985" s="2"/>
      <c r="R2985" s="2"/>
      <c r="S2985" s="2" t="s">
        <v>19938</v>
      </c>
      <c r="T2985" s="2" t="s">
        <v>19939</v>
      </c>
      <c r="U2985" s="2" t="s">
        <v>610</v>
      </c>
      <c r="V2985" s="2" t="s">
        <v>611</v>
      </c>
      <c r="W2985" s="2" t="s">
        <v>19940</v>
      </c>
      <c r="X2985" s="2" t="s">
        <v>147</v>
      </c>
      <c r="Y2985" s="2">
        <v>37.700000000000003</v>
      </c>
      <c r="Z2985" s="2">
        <v>0</v>
      </c>
      <c r="AA2985" s="2" t="s">
        <v>122</v>
      </c>
      <c r="AB2985" s="2" t="s">
        <v>19941</v>
      </c>
      <c r="AC2985" s="2">
        <v>0.41503018420614302</v>
      </c>
      <c r="AD2985" s="2"/>
      <c r="AE2985" s="2">
        <v>0.20190236896743899</v>
      </c>
      <c r="AF2985" s="2">
        <v>3341.6524858882599</v>
      </c>
      <c r="AG2985" s="2">
        <v>5578.2579190883998</v>
      </c>
      <c r="AH2985" s="4">
        <v>0.59904947644198403</v>
      </c>
      <c r="AI2985" s="4">
        <v>-0.73925293249142898</v>
      </c>
      <c r="AJ2985" s="4" t="s">
        <v>62</v>
      </c>
      <c r="AK2985" s="2">
        <v>0.30548492279532002</v>
      </c>
      <c r="AL2985" s="2">
        <v>0.61510943172853205</v>
      </c>
      <c r="AM2985" s="2">
        <v>6404.1927350981096</v>
      </c>
      <c r="AN2985" s="2">
        <v>3318.6568872152998</v>
      </c>
      <c r="AO2985" s="2">
        <v>1536.8022532068701</v>
      </c>
      <c r="AP2985" s="2">
        <v>5763.9651820934896</v>
      </c>
      <c r="AQ2985" s="2">
        <v>174.055040439686</v>
      </c>
      <c r="AR2985" s="2">
        <v>2852.2428172761001</v>
      </c>
      <c r="AS2985" s="2">
        <v>13048.6238672408</v>
      </c>
      <c r="AT2985" s="2">
        <v>3283.2756953602802</v>
      </c>
      <c r="AU2985" s="2">
        <v>6550.5668416727003</v>
      </c>
      <c r="AV2985" s="2">
        <v>2529.1400610908199</v>
      </c>
      <c r="AW2985" s="2">
        <v>7475.6583874872904</v>
      </c>
      <c r="AX2985" s="2">
        <v>582.28266167850404</v>
      </c>
    </row>
    <row r="2986" spans="1:50" x14ac:dyDescent="0.25">
      <c r="A2986" s="2" t="s">
        <v>19942</v>
      </c>
      <c r="B2986" s="2">
        <v>157.07499999999999</v>
      </c>
      <c r="C2986" s="2">
        <v>18.61</v>
      </c>
      <c r="D2986" s="2" t="s">
        <v>125</v>
      </c>
      <c r="E2986" s="2" t="s">
        <v>19943</v>
      </c>
      <c r="F2986" s="2">
        <v>47290</v>
      </c>
      <c r="G2986" s="3" t="str">
        <f>HYPERLINK("https://cloud.oebiotech.com/#/lm/network/47290", "https://cloud.oebiotech.com/#/lm/network/47290")</f>
        <v>https://cloud.oebiotech.com/#/lm/network/47290</v>
      </c>
      <c r="H2986" s="2" t="s">
        <v>19944</v>
      </c>
      <c r="I2986" s="2">
        <v>16</v>
      </c>
      <c r="J2986" s="2"/>
      <c r="K2986" s="2">
        <v>9750</v>
      </c>
      <c r="L2986" s="2" t="s">
        <v>19945</v>
      </c>
      <c r="M2986" s="2" t="s">
        <v>3806</v>
      </c>
      <c r="N2986" s="2" t="s">
        <v>3807</v>
      </c>
      <c r="O2986" s="2">
        <v>16349</v>
      </c>
      <c r="P2986" s="2"/>
      <c r="Q2986" s="2"/>
      <c r="R2986" s="2" t="s">
        <v>19946</v>
      </c>
      <c r="S2986" s="2" t="s">
        <v>19947</v>
      </c>
      <c r="T2986" s="2" t="s">
        <v>19948</v>
      </c>
      <c r="U2986" s="2" t="s">
        <v>103</v>
      </c>
      <c r="V2986" s="2" t="s">
        <v>104</v>
      </c>
      <c r="W2986" s="2" t="s">
        <v>105</v>
      </c>
      <c r="X2986" s="2" t="s">
        <v>83</v>
      </c>
      <c r="Y2986" s="2">
        <v>82.9</v>
      </c>
      <c r="Z2986" s="2">
        <v>75.2</v>
      </c>
      <c r="AA2986" s="2"/>
      <c r="AB2986" s="2" t="s">
        <v>19949</v>
      </c>
      <c r="AC2986" s="2"/>
      <c r="AD2986" s="2">
        <v>624624.04936367099</v>
      </c>
      <c r="AE2986" s="2">
        <v>0.20187617602261601</v>
      </c>
      <c r="AF2986" s="2">
        <v>4363.6975809816404</v>
      </c>
      <c r="AG2986" s="2">
        <v>16586.3296232473</v>
      </c>
      <c r="AH2986" s="4">
        <v>0.26309000725908199</v>
      </c>
      <c r="AI2986" s="4">
        <v>-1.9263716420945001</v>
      </c>
      <c r="AJ2986" s="4" t="s">
        <v>62</v>
      </c>
      <c r="AK2986" s="2">
        <v>0.13933597677114901</v>
      </c>
      <c r="AL2986" s="2">
        <v>0.45923352345858398</v>
      </c>
      <c r="AM2986" s="2">
        <v>8355.9135673432702</v>
      </c>
      <c r="AN2986" s="2">
        <v>5384.5970464339498</v>
      </c>
      <c r="AO2986" s="2">
        <v>5542.1692203025596</v>
      </c>
      <c r="AP2986" s="2">
        <v>2299.8352172700202</v>
      </c>
      <c r="AQ2986" s="2">
        <v>2299.8352172700202</v>
      </c>
      <c r="AR2986" s="2">
        <v>2299.8352172700202</v>
      </c>
      <c r="AS2986" s="2">
        <v>2299.8352172700202</v>
      </c>
      <c r="AT2986" s="2">
        <v>2299.8352172700202</v>
      </c>
      <c r="AU2986" s="2">
        <v>47305.613090293402</v>
      </c>
      <c r="AV2986" s="2">
        <v>31088.549059633198</v>
      </c>
      <c r="AW2986" s="2">
        <v>6599.5809460505498</v>
      </c>
      <c r="AX2986" s="2">
        <v>9924.5642089663506</v>
      </c>
    </row>
    <row r="2987" spans="1:50" x14ac:dyDescent="0.25">
      <c r="A2987" s="2" t="s">
        <v>19950</v>
      </c>
      <c r="B2987" s="2">
        <v>433.122304294564</v>
      </c>
      <c r="C2987" s="2">
        <v>3.5328333333333299</v>
      </c>
      <c r="D2987" s="2" t="s">
        <v>51</v>
      </c>
      <c r="E2987" s="2" t="s">
        <v>19951</v>
      </c>
      <c r="F2987" s="2">
        <v>82792</v>
      </c>
      <c r="G2987" s="3" t="str">
        <f>HYPERLINK("https://cloud.oebiotech.com/#/lm/network/82792", "https://cloud.oebiotech.com/#/lm/network/82792")</f>
        <v>https://cloud.oebiotech.com/#/lm/network/82792</v>
      </c>
      <c r="H2987" s="2" t="s">
        <v>19952</v>
      </c>
      <c r="I2987" s="2"/>
      <c r="J2987" s="2"/>
      <c r="K2987" s="2">
        <v>77327</v>
      </c>
      <c r="L2987" s="2"/>
      <c r="M2987" s="2"/>
      <c r="N2987" s="2"/>
      <c r="O2987" s="2"/>
      <c r="P2987" s="2"/>
      <c r="Q2987" s="2"/>
      <c r="R2987" s="2" t="s">
        <v>19953</v>
      </c>
      <c r="S2987" s="2" t="s">
        <v>19954</v>
      </c>
      <c r="T2987" s="2" t="s">
        <v>19955</v>
      </c>
      <c r="U2987" s="2" t="s">
        <v>1231</v>
      </c>
      <c r="V2987" s="2" t="s">
        <v>15569</v>
      </c>
      <c r="W2987" s="2" t="s">
        <v>18047</v>
      </c>
      <c r="X2987" s="2" t="s">
        <v>147</v>
      </c>
      <c r="Y2987" s="2">
        <v>37.700000000000003</v>
      </c>
      <c r="Z2987" s="2">
        <v>12.6</v>
      </c>
      <c r="AA2987" s="2" t="s">
        <v>218</v>
      </c>
      <c r="AB2987" s="2" t="s">
        <v>19956</v>
      </c>
      <c r="AC2987" s="2">
        <v>-1.15289166160196</v>
      </c>
      <c r="AD2987" s="2"/>
      <c r="AE2987" s="2">
        <v>0.20181450659056399</v>
      </c>
      <c r="AF2987" s="2">
        <v>632.87786186960602</v>
      </c>
      <c r="AG2987" s="2">
        <v>1556.6594440958299</v>
      </c>
      <c r="AH2987" s="4">
        <v>0.40656154065683098</v>
      </c>
      <c r="AI2987" s="4">
        <v>-1.2984543473090799</v>
      </c>
      <c r="AJ2987" s="4" t="s">
        <v>62</v>
      </c>
      <c r="AK2987" s="2">
        <v>4.0573403854384099E-2</v>
      </c>
      <c r="AL2987" s="2">
        <v>0.29155452793099101</v>
      </c>
      <c r="AM2987" s="2">
        <v>8.559877937157E-6</v>
      </c>
      <c r="AN2987" s="2">
        <v>829.495180289622</v>
      </c>
      <c r="AO2987" s="2">
        <v>8.559877937157E-6</v>
      </c>
      <c r="AP2987" s="2">
        <v>8.559877937157E-6</v>
      </c>
      <c r="AQ2987" s="2">
        <v>1009.79705149718</v>
      </c>
      <c r="AR2987" s="2">
        <v>1957.9749137511999</v>
      </c>
      <c r="AS2987" s="2">
        <v>1587.7709143970901</v>
      </c>
      <c r="AT2987" s="2">
        <v>675.82749163941003</v>
      </c>
      <c r="AU2987" s="2">
        <v>1176.0837066602901</v>
      </c>
      <c r="AV2987" s="2">
        <v>2036.8064830501901</v>
      </c>
      <c r="AW2987" s="2">
        <v>1758.26828704645</v>
      </c>
      <c r="AX2987" s="2">
        <v>2105.19978178154</v>
      </c>
    </row>
    <row r="2988" spans="1:50" x14ac:dyDescent="0.25">
      <c r="A2988" s="2" t="s">
        <v>19957</v>
      </c>
      <c r="B2988" s="2">
        <v>183.02916862851001</v>
      </c>
      <c r="C2988" s="2">
        <v>4.6849833333333297</v>
      </c>
      <c r="D2988" s="2" t="s">
        <v>51</v>
      </c>
      <c r="E2988" s="2" t="s">
        <v>19958</v>
      </c>
      <c r="F2988" s="2">
        <v>57183</v>
      </c>
      <c r="G2988" s="3" t="str">
        <f>HYPERLINK("https://cloud.oebiotech.com/#/lm/network/57183", "https://cloud.oebiotech.com/#/lm/network/57183")</f>
        <v>https://cloud.oebiotech.com/#/lm/network/57183</v>
      </c>
      <c r="H2988" s="2" t="s">
        <v>19959</v>
      </c>
      <c r="I2988" s="2">
        <v>88825</v>
      </c>
      <c r="J2988" s="2"/>
      <c r="K2988" s="2">
        <v>74038</v>
      </c>
      <c r="L2988" s="2"/>
      <c r="M2988" s="2"/>
      <c r="N2988" s="2"/>
      <c r="O2988" s="2"/>
      <c r="P2988" s="2"/>
      <c r="Q2988" s="2"/>
      <c r="R2988" s="2" t="s">
        <v>19960</v>
      </c>
      <c r="S2988" s="2" t="s">
        <v>19961</v>
      </c>
      <c r="T2988" s="2" t="s">
        <v>19962</v>
      </c>
      <c r="U2988" s="2" t="s">
        <v>331</v>
      </c>
      <c r="V2988" s="2" t="s">
        <v>332</v>
      </c>
      <c r="W2988" s="2" t="s">
        <v>1207</v>
      </c>
      <c r="X2988" s="2" t="s">
        <v>69</v>
      </c>
      <c r="Y2988" s="2">
        <v>58.2</v>
      </c>
      <c r="Z2988" s="2">
        <v>74.5</v>
      </c>
      <c r="AA2988" s="2" t="s">
        <v>218</v>
      </c>
      <c r="AB2988" s="2" t="s">
        <v>19963</v>
      </c>
      <c r="AC2988" s="2">
        <v>-5.2762707521833097</v>
      </c>
      <c r="AD2988" s="2"/>
      <c r="AE2988" s="2">
        <v>0.201602889051891</v>
      </c>
      <c r="AF2988" s="2">
        <v>12438.3938127818</v>
      </c>
      <c r="AG2988" s="2">
        <v>12985.460775870401</v>
      </c>
      <c r="AH2988" s="4">
        <v>0.95787080855034201</v>
      </c>
      <c r="AI2988" s="4">
        <v>-6.2097007226855801E-2</v>
      </c>
      <c r="AJ2988" s="4" t="s">
        <v>62</v>
      </c>
      <c r="AK2988" s="2">
        <v>0.94759362932797997</v>
      </c>
      <c r="AL2988" s="2">
        <v>0.97858121017919897</v>
      </c>
      <c r="AM2988" s="2">
        <v>380.62610955562201</v>
      </c>
      <c r="AN2988" s="2">
        <v>16612.720030488501</v>
      </c>
      <c r="AO2988" s="2">
        <v>1445.5054981301</v>
      </c>
      <c r="AP2988" s="2">
        <v>45191.004117805896</v>
      </c>
      <c r="AQ2988" s="2">
        <v>2919.7382770224199</v>
      </c>
      <c r="AR2988" s="2">
        <v>8080.7688436881299</v>
      </c>
      <c r="AS2988" s="2">
        <v>24912.290393632898</v>
      </c>
      <c r="AT2988" s="2">
        <v>824.98487337761401</v>
      </c>
      <c r="AU2988" s="2">
        <v>6007.9860707653797</v>
      </c>
      <c r="AV2988" s="2">
        <v>6958.1906195331603</v>
      </c>
      <c r="AW2988" s="2">
        <v>24494.3142312405</v>
      </c>
      <c r="AX2988" s="2">
        <v>14714.9984666731</v>
      </c>
    </row>
    <row r="2989" spans="1:50" x14ac:dyDescent="0.25">
      <c r="A2989" s="2" t="s">
        <v>19964</v>
      </c>
      <c r="B2989" s="2">
        <v>624.28235241193102</v>
      </c>
      <c r="C2989" s="2">
        <v>11.0676166666667</v>
      </c>
      <c r="D2989" s="2" t="s">
        <v>51</v>
      </c>
      <c r="E2989" s="2" t="s">
        <v>19965</v>
      </c>
      <c r="F2989" s="2">
        <v>55762</v>
      </c>
      <c r="G2989" s="3" t="str">
        <f>HYPERLINK("https://cloud.oebiotech.com/#/lm/network/55762", "https://cloud.oebiotech.com/#/lm/network/55762")</f>
        <v>https://cloud.oebiotech.com/#/lm/network/55762</v>
      </c>
      <c r="H2989" s="2" t="s">
        <v>19966</v>
      </c>
      <c r="I2989" s="2"/>
      <c r="J2989" s="2"/>
      <c r="K2989" s="2"/>
      <c r="L2989" s="2"/>
      <c r="M2989" s="2"/>
      <c r="N2989" s="2"/>
      <c r="O2989" s="2">
        <v>38258</v>
      </c>
      <c r="P2989" s="2"/>
      <c r="Q2989" s="2"/>
      <c r="R2989" s="2" t="s">
        <v>19967</v>
      </c>
      <c r="S2989" s="2" t="s">
        <v>19968</v>
      </c>
      <c r="T2989" s="2" t="s">
        <v>19969</v>
      </c>
      <c r="U2989" s="2" t="s">
        <v>266</v>
      </c>
      <c r="V2989" s="2" t="s">
        <v>2271</v>
      </c>
      <c r="W2989" s="2" t="s">
        <v>19970</v>
      </c>
      <c r="X2989" s="2" t="s">
        <v>83</v>
      </c>
      <c r="Y2989" s="2">
        <v>40.299999999999997</v>
      </c>
      <c r="Z2989" s="2">
        <v>0</v>
      </c>
      <c r="AA2989" s="2" t="s">
        <v>512</v>
      </c>
      <c r="AB2989" s="2" t="s">
        <v>19971</v>
      </c>
      <c r="AC2989" s="2">
        <v>1.1415380835622899</v>
      </c>
      <c r="AD2989" s="2"/>
      <c r="AE2989" s="2">
        <v>0.201548648790178</v>
      </c>
      <c r="AF2989" s="2">
        <v>11201.474021087601</v>
      </c>
      <c r="AG2989" s="2">
        <v>8845.3553187066009</v>
      </c>
      <c r="AH2989" s="5">
        <v>1.2663678978953099</v>
      </c>
      <c r="AI2989" s="5">
        <v>0.34069658909827</v>
      </c>
      <c r="AJ2989" s="5" t="s">
        <v>139</v>
      </c>
      <c r="AK2989" s="2">
        <v>0.172077930930295</v>
      </c>
      <c r="AL2989" s="2">
        <v>0.49215166418631001</v>
      </c>
      <c r="AM2989" s="2">
        <v>8913.4664859639306</v>
      </c>
      <c r="AN2989" s="2">
        <v>11483.824963511301</v>
      </c>
      <c r="AO2989" s="2">
        <v>15207.0346645094</v>
      </c>
      <c r="AP2989" s="2">
        <v>11258.156121342399</v>
      </c>
      <c r="AQ2989" s="2">
        <v>11839.8006013704</v>
      </c>
      <c r="AR2989" s="2">
        <v>8506.5612898279305</v>
      </c>
      <c r="AS2989" s="2">
        <v>10134.635192642099</v>
      </c>
      <c r="AT2989" s="2">
        <v>6374.2503704883602</v>
      </c>
      <c r="AU2989" s="2">
        <v>6848.6948372248498</v>
      </c>
      <c r="AV2989" s="2">
        <v>5762.51035327917</v>
      </c>
      <c r="AW2989" s="2">
        <v>13858.0131445227</v>
      </c>
      <c r="AX2989" s="2">
        <v>10094.0280140824</v>
      </c>
    </row>
    <row r="2990" spans="1:50" x14ac:dyDescent="0.25">
      <c r="A2990" s="2" t="s">
        <v>19972</v>
      </c>
      <c r="B2990" s="2">
        <v>339.21540053527599</v>
      </c>
      <c r="C2990" s="2">
        <v>11.7151666666667</v>
      </c>
      <c r="D2990" s="2" t="s">
        <v>51</v>
      </c>
      <c r="E2990" s="2" t="s">
        <v>19973</v>
      </c>
      <c r="F2990" s="2">
        <v>2975</v>
      </c>
      <c r="G2990" s="3" t="str">
        <f>HYPERLINK("https://cloud.oebiotech.com/#/lm/network/2975", "https://cloud.oebiotech.com/#/lm/network/2975")</f>
        <v>https://cloud.oebiotech.com/#/lm/network/2975</v>
      </c>
      <c r="H2990" s="2"/>
      <c r="I2990" s="2">
        <v>74945</v>
      </c>
      <c r="J2990" s="2" t="s">
        <v>19974</v>
      </c>
      <c r="K2990" s="2">
        <v>16061051</v>
      </c>
      <c r="L2990" s="2"/>
      <c r="M2990" s="2"/>
      <c r="N2990" s="2"/>
      <c r="O2990" s="2"/>
      <c r="P2990" s="2"/>
      <c r="Q2990" s="2"/>
      <c r="R2990" s="2"/>
      <c r="S2990" s="2" t="s">
        <v>19975</v>
      </c>
      <c r="T2990" s="2" t="s">
        <v>19976</v>
      </c>
      <c r="U2990" s="2" t="s">
        <v>56</v>
      </c>
      <c r="V2990" s="2" t="s">
        <v>145</v>
      </c>
      <c r="W2990" s="2" t="s">
        <v>231</v>
      </c>
      <c r="X2990" s="2" t="s">
        <v>83</v>
      </c>
      <c r="Y2990" s="2">
        <v>40.4</v>
      </c>
      <c r="Z2990" s="2">
        <v>0</v>
      </c>
      <c r="AA2990" s="2" t="s">
        <v>218</v>
      </c>
      <c r="AB2990" s="2" t="s">
        <v>1722</v>
      </c>
      <c r="AC2990" s="2">
        <v>-7.8076250694970097</v>
      </c>
      <c r="AD2990" s="2"/>
      <c r="AE2990" s="2">
        <v>0.201539057368157</v>
      </c>
      <c r="AF2990" s="2">
        <v>3963.0082518131198</v>
      </c>
      <c r="AG2990" s="2">
        <v>2509.3233735435301</v>
      </c>
      <c r="AH2990" s="5">
        <v>1.57931348888556</v>
      </c>
      <c r="AI2990" s="5">
        <v>0.65929757016623902</v>
      </c>
      <c r="AJ2990" s="5" t="s">
        <v>139</v>
      </c>
      <c r="AK2990" s="2">
        <v>6.8392009225475101E-2</v>
      </c>
      <c r="AL2990" s="2">
        <v>0.34637197846783502</v>
      </c>
      <c r="AM2990" s="2">
        <v>4059.5463598648798</v>
      </c>
      <c r="AN2990" s="2">
        <v>2899.9009308991899</v>
      </c>
      <c r="AO2990" s="2">
        <v>2228.8414798632998</v>
      </c>
      <c r="AP2990" s="2">
        <v>2840.2905281535</v>
      </c>
      <c r="AQ2990" s="2">
        <v>6524.6342480724297</v>
      </c>
      <c r="AR2990" s="2">
        <v>5224.8359640254503</v>
      </c>
      <c r="AS2990" s="2">
        <v>2229.0551696655102</v>
      </c>
      <c r="AT2990" s="2">
        <v>2288.4257402952599</v>
      </c>
      <c r="AU2990" s="2">
        <v>2875.01726322166</v>
      </c>
      <c r="AV2990" s="2">
        <v>1601.1482668818801</v>
      </c>
      <c r="AW2990" s="2">
        <v>2966.3430500139002</v>
      </c>
      <c r="AX2990" s="2">
        <v>3095.9507511829902</v>
      </c>
    </row>
    <row r="2991" spans="1:50" x14ac:dyDescent="0.25">
      <c r="A2991" s="2" t="s">
        <v>19977</v>
      </c>
      <c r="B2991" s="2">
        <v>227.12853123045201</v>
      </c>
      <c r="C2991" s="2">
        <v>6.8097833333333302</v>
      </c>
      <c r="D2991" s="2" t="s">
        <v>51</v>
      </c>
      <c r="E2991" s="2" t="s">
        <v>19978</v>
      </c>
      <c r="F2991" s="2">
        <v>2938</v>
      </c>
      <c r="G2991" s="3" t="str">
        <f>HYPERLINK("https://cloud.oebiotech.com/#/lm/network/2938", "https://cloud.oebiotech.com/#/lm/network/2938")</f>
        <v>https://cloud.oebiotech.com/#/lm/network/2938</v>
      </c>
      <c r="H2991" s="2"/>
      <c r="I2991" s="2"/>
      <c r="J2991" s="2" t="s">
        <v>19979</v>
      </c>
      <c r="K2991" s="2">
        <v>24041568</v>
      </c>
      <c r="L2991" s="2"/>
      <c r="M2991" s="2"/>
      <c r="N2991" s="2"/>
      <c r="O2991" s="2"/>
      <c r="P2991" s="2"/>
      <c r="Q2991" s="2"/>
      <c r="R2991" s="2"/>
      <c r="S2991" s="2" t="s">
        <v>19980</v>
      </c>
      <c r="T2991" s="2" t="s">
        <v>19981</v>
      </c>
      <c r="U2991" s="2" t="s">
        <v>56</v>
      </c>
      <c r="V2991" s="2" t="s">
        <v>145</v>
      </c>
      <c r="W2991" s="2" t="s">
        <v>231</v>
      </c>
      <c r="X2991" s="2" t="s">
        <v>83</v>
      </c>
      <c r="Y2991" s="2">
        <v>48.9</v>
      </c>
      <c r="Z2991" s="2">
        <v>0</v>
      </c>
      <c r="AA2991" s="2" t="s">
        <v>163</v>
      </c>
      <c r="AB2991" s="2" t="s">
        <v>7377</v>
      </c>
      <c r="AC2991" s="2">
        <v>-1.5405588877481</v>
      </c>
      <c r="AD2991" s="2"/>
      <c r="AE2991" s="2">
        <v>0.20153789382057</v>
      </c>
      <c r="AF2991" s="2">
        <v>4868.0416020141502</v>
      </c>
      <c r="AG2991" s="2">
        <v>3243.8435833453</v>
      </c>
      <c r="AH2991" s="5">
        <v>1.5007017067678301</v>
      </c>
      <c r="AI2991" s="5">
        <v>0.58563724215931401</v>
      </c>
      <c r="AJ2991" s="5" t="s">
        <v>139</v>
      </c>
      <c r="AK2991" s="2">
        <v>7.8323427585508601E-2</v>
      </c>
      <c r="AL2991" s="2">
        <v>0.36259246282337698</v>
      </c>
      <c r="AM2991" s="2">
        <v>2668.6969123112399</v>
      </c>
      <c r="AN2991" s="2">
        <v>5295.9936007651704</v>
      </c>
      <c r="AO2991" s="2">
        <v>7448.4991148652998</v>
      </c>
      <c r="AP2991" s="2">
        <v>2919.6947639477899</v>
      </c>
      <c r="AQ2991" s="2">
        <v>6115.6846938878698</v>
      </c>
      <c r="AR2991" s="2">
        <v>4759.6805263075503</v>
      </c>
      <c r="AS2991" s="2">
        <v>3762.6563890207699</v>
      </c>
      <c r="AT2991" s="2">
        <v>2503.51199761716</v>
      </c>
      <c r="AU2991" s="2">
        <v>2509.44557883278</v>
      </c>
      <c r="AV2991" s="2">
        <v>2524.8224233432202</v>
      </c>
      <c r="AW2991" s="2">
        <v>4443.9389139593004</v>
      </c>
      <c r="AX2991" s="2">
        <v>3718.6861972985798</v>
      </c>
    </row>
    <row r="2992" spans="1:50" x14ac:dyDescent="0.25">
      <c r="A2992" s="2" t="s">
        <v>19982</v>
      </c>
      <c r="B2992" s="2">
        <v>206.13055966725599</v>
      </c>
      <c r="C2992" s="2">
        <v>9.5834499999999991</v>
      </c>
      <c r="D2992" s="2" t="s">
        <v>51</v>
      </c>
      <c r="E2992" s="2" t="s">
        <v>19983</v>
      </c>
      <c r="F2992" s="2">
        <v>212549</v>
      </c>
      <c r="G2992" s="3" t="str">
        <f>HYPERLINK("https://cloud.oebiotech.com/#/lm/network/212549", "https://cloud.oebiotech.com/#/lm/network/212549")</f>
        <v>https://cloud.oebiotech.com/#/lm/network/212549</v>
      </c>
      <c r="H2992" s="2" t="s">
        <v>19984</v>
      </c>
      <c r="I2992" s="2"/>
      <c r="J2992" s="2"/>
      <c r="K2992" s="2">
        <v>5542</v>
      </c>
      <c r="L2992" s="2"/>
      <c r="M2992" s="2"/>
      <c r="N2992" s="2"/>
      <c r="O2992" s="2"/>
      <c r="P2992" s="2"/>
      <c r="Q2992" s="2"/>
      <c r="R2992" s="2"/>
      <c r="S2992" s="2" t="s">
        <v>19985</v>
      </c>
      <c r="T2992" s="2" t="s">
        <v>19986</v>
      </c>
      <c r="U2992" s="2" t="s">
        <v>119</v>
      </c>
      <c r="V2992" s="2" t="s">
        <v>120</v>
      </c>
      <c r="W2992" s="2" t="s">
        <v>240</v>
      </c>
      <c r="X2992" s="2" t="s">
        <v>147</v>
      </c>
      <c r="Y2992" s="2">
        <v>38.200000000000003</v>
      </c>
      <c r="Z2992" s="2">
        <v>9.7699999999999995E-2</v>
      </c>
      <c r="AA2992" s="2" t="s">
        <v>163</v>
      </c>
      <c r="AB2992" s="2" t="s">
        <v>19987</v>
      </c>
      <c r="AC2992" s="2">
        <v>3.2534968545586498</v>
      </c>
      <c r="AD2992" s="2"/>
      <c r="AE2992" s="2">
        <v>0.20147050920224899</v>
      </c>
      <c r="AF2992" s="2">
        <v>1368.65577426256</v>
      </c>
      <c r="AG2992" s="2">
        <v>397.99192033145403</v>
      </c>
      <c r="AH2992" s="5">
        <v>3.4389034157344698</v>
      </c>
      <c r="AI2992" s="5">
        <v>1.7819485972262501</v>
      </c>
      <c r="AJ2992" s="5" t="s">
        <v>139</v>
      </c>
      <c r="AK2992" s="2">
        <v>8.5348090445036499E-3</v>
      </c>
      <c r="AL2992" s="2">
        <v>0.15035952907186401</v>
      </c>
      <c r="AM2992" s="2">
        <v>1181.5959972076801</v>
      </c>
      <c r="AN2992" s="2">
        <v>2296.6669868691902</v>
      </c>
      <c r="AO2992" s="2">
        <v>1443.44599500199</v>
      </c>
      <c r="AP2992" s="2">
        <v>681.96360122799001</v>
      </c>
      <c r="AQ2992" s="2">
        <v>1133.37663128706</v>
      </c>
      <c r="AR2992" s="2">
        <v>1474.88543398144</v>
      </c>
      <c r="AS2992" s="2">
        <v>1311.2618050398501</v>
      </c>
      <c r="AT2992" s="2">
        <v>240.56743895520199</v>
      </c>
      <c r="AU2992" s="2">
        <v>126.906501094343</v>
      </c>
      <c r="AV2992" s="2">
        <v>8.559877937157E-6</v>
      </c>
      <c r="AW2992" s="2">
        <v>108.89721305310501</v>
      </c>
      <c r="AX2992" s="2">
        <v>600.31855528634401</v>
      </c>
    </row>
    <row r="2993" spans="1:50" x14ac:dyDescent="0.25">
      <c r="A2993" s="2" t="s">
        <v>19988</v>
      </c>
      <c r="B2993" s="2">
        <v>466.33030457930101</v>
      </c>
      <c r="C2993" s="2">
        <v>10.033049999999999</v>
      </c>
      <c r="D2993" s="2" t="s">
        <v>51</v>
      </c>
      <c r="E2993" s="2" t="s">
        <v>19989</v>
      </c>
      <c r="F2993" s="2">
        <v>19919</v>
      </c>
      <c r="G2993" s="3" t="str">
        <f>HYPERLINK("https://cloud.oebiotech.com/#/lm/network/19919", "https://cloud.oebiotech.com/#/lm/network/19919")</f>
        <v>https://cloud.oebiotech.com/#/lm/network/19919</v>
      </c>
      <c r="H2993" s="2"/>
      <c r="I2993" s="2">
        <v>40399</v>
      </c>
      <c r="J2993" s="2" t="s">
        <v>19990</v>
      </c>
      <c r="K2993" s="2">
        <v>24779524</v>
      </c>
      <c r="L2993" s="2"/>
      <c r="M2993" s="2"/>
      <c r="N2993" s="2"/>
      <c r="O2993" s="2">
        <v>137147</v>
      </c>
      <c r="P2993" s="2"/>
      <c r="Q2993" s="2"/>
      <c r="R2993" s="2"/>
      <c r="S2993" s="2" t="s">
        <v>19991</v>
      </c>
      <c r="T2993" s="2" t="s">
        <v>19992</v>
      </c>
      <c r="U2993" s="2" t="s">
        <v>56</v>
      </c>
      <c r="V2993" s="2" t="s">
        <v>57</v>
      </c>
      <c r="W2993" s="2" t="s">
        <v>58</v>
      </c>
      <c r="X2993" s="2" t="s">
        <v>83</v>
      </c>
      <c r="Y2993" s="2">
        <v>39.299999999999997</v>
      </c>
      <c r="Z2993" s="2">
        <v>0</v>
      </c>
      <c r="AA2993" s="2" t="s">
        <v>259</v>
      </c>
      <c r="AB2993" s="2" t="s">
        <v>7068</v>
      </c>
      <c r="AC2993" s="2">
        <v>2.3709516390176901</v>
      </c>
      <c r="AD2993" s="2"/>
      <c r="AE2993" s="2">
        <v>0.20141654075409399</v>
      </c>
      <c r="AF2993" s="2">
        <v>1739.0105142775101</v>
      </c>
      <c r="AG2993" s="2">
        <v>658.39267821080296</v>
      </c>
      <c r="AH2993" s="5">
        <v>2.6412968610211598</v>
      </c>
      <c r="AI2993" s="5">
        <v>1.4012464582087201</v>
      </c>
      <c r="AJ2993" s="5" t="s">
        <v>139</v>
      </c>
      <c r="AK2993" s="2">
        <v>0.28614716150263197</v>
      </c>
      <c r="AL2993" s="2">
        <v>0.60106092987307402</v>
      </c>
      <c r="AM2993" s="2">
        <v>5654.4990111550696</v>
      </c>
      <c r="AN2993" s="2">
        <v>2819.1506374333899</v>
      </c>
      <c r="AO2993" s="2">
        <v>206.17048581892499</v>
      </c>
      <c r="AP2993" s="2">
        <v>663.21022248776501</v>
      </c>
      <c r="AQ2993" s="2">
        <v>8.559877937157E-6</v>
      </c>
      <c r="AR2993" s="2">
        <v>1091.03272021003</v>
      </c>
      <c r="AS2993" s="2">
        <v>486.477719013404</v>
      </c>
      <c r="AT2993" s="2">
        <v>8.559877937157E-6</v>
      </c>
      <c r="AU2993" s="2">
        <v>2236.1571777357299</v>
      </c>
      <c r="AV2993" s="2">
        <v>8.559877937157E-6</v>
      </c>
      <c r="AW2993" s="2">
        <v>1227.7211468360499</v>
      </c>
      <c r="AX2993" s="2">
        <v>8.559877937157E-6</v>
      </c>
    </row>
    <row r="2994" spans="1:50" x14ac:dyDescent="0.25">
      <c r="A2994" s="2" t="s">
        <v>19993</v>
      </c>
      <c r="B2994" s="2">
        <v>146.08160388487599</v>
      </c>
      <c r="C2994" s="2">
        <v>1.04843333333333</v>
      </c>
      <c r="D2994" s="2" t="s">
        <v>51</v>
      </c>
      <c r="E2994" s="2" t="s">
        <v>19994</v>
      </c>
      <c r="F2994" s="2">
        <v>2167</v>
      </c>
      <c r="G2994" s="3" t="str">
        <f>HYPERLINK("https://cloud.oebiotech.com/#/lm/network/2167", "https://cloud.oebiotech.com/#/lm/network/2167")</f>
        <v>https://cloud.oebiotech.com/#/lm/network/2167</v>
      </c>
      <c r="H2994" s="2" t="s">
        <v>19995</v>
      </c>
      <c r="I2994" s="2">
        <v>35856</v>
      </c>
      <c r="J2994" s="2" t="s">
        <v>19996</v>
      </c>
      <c r="K2994" s="2">
        <v>440077</v>
      </c>
      <c r="L2994" s="2" t="s">
        <v>19997</v>
      </c>
      <c r="M2994" s="2" t="s">
        <v>6725</v>
      </c>
      <c r="N2994" s="2" t="s">
        <v>6726</v>
      </c>
      <c r="O2994" s="2">
        <v>27713</v>
      </c>
      <c r="P2994" s="2"/>
      <c r="Q2994" s="2"/>
      <c r="R2994" s="2" t="s">
        <v>19998</v>
      </c>
      <c r="S2994" s="2" t="s">
        <v>19999</v>
      </c>
      <c r="T2994" s="2" t="s">
        <v>20000</v>
      </c>
      <c r="U2994" s="2" t="s">
        <v>103</v>
      </c>
      <c r="V2994" s="2" t="s">
        <v>2602</v>
      </c>
      <c r="W2994" s="2" t="s">
        <v>2603</v>
      </c>
      <c r="X2994" s="2" t="s">
        <v>83</v>
      </c>
      <c r="Y2994" s="2">
        <v>47</v>
      </c>
      <c r="Z2994" s="2">
        <v>28.2</v>
      </c>
      <c r="AA2994" s="2" t="s">
        <v>259</v>
      </c>
      <c r="AB2994" s="2" t="s">
        <v>20001</v>
      </c>
      <c r="AC2994" s="2">
        <v>2.9932099888096602</v>
      </c>
      <c r="AD2994" s="2"/>
      <c r="AE2994" s="2">
        <v>0.201214802676183</v>
      </c>
      <c r="AF2994" s="2">
        <v>6923.8212172293297</v>
      </c>
      <c r="AG2994" s="2">
        <v>4943.9739269858501</v>
      </c>
      <c r="AH2994" s="5">
        <v>1.4004566608729101</v>
      </c>
      <c r="AI2994" s="5">
        <v>0.48589733784927502</v>
      </c>
      <c r="AJ2994" s="5" t="s">
        <v>139</v>
      </c>
      <c r="AK2994" s="2">
        <v>0.402163139489773</v>
      </c>
      <c r="AL2994" s="2">
        <v>0.67012140307347201</v>
      </c>
      <c r="AM2994" s="2">
        <v>4161.1770460140697</v>
      </c>
      <c r="AN2994" s="2">
        <v>17735.4808899157</v>
      </c>
      <c r="AO2994" s="2">
        <v>6443.74426362746</v>
      </c>
      <c r="AP2994" s="2">
        <v>4513.0348875064901</v>
      </c>
      <c r="AQ2994" s="2">
        <v>4691.6068690623597</v>
      </c>
      <c r="AR2994" s="2">
        <v>3997.88334724992</v>
      </c>
      <c r="AS2994" s="2">
        <v>4774.53019580413</v>
      </c>
      <c r="AT2994" s="2">
        <v>5104.4817657542899</v>
      </c>
      <c r="AU2994" s="2">
        <v>4721.9880680781298</v>
      </c>
      <c r="AV2994" s="2">
        <v>3334.6583047111399</v>
      </c>
      <c r="AW2994" s="2">
        <v>4261.4645493503504</v>
      </c>
      <c r="AX2994" s="2">
        <v>7466.7206782170697</v>
      </c>
    </row>
    <row r="2995" spans="1:50" x14ac:dyDescent="0.25">
      <c r="A2995" s="2" t="s">
        <v>20002</v>
      </c>
      <c r="B2995" s="2">
        <v>301.11928428452302</v>
      </c>
      <c r="C2995" s="2">
        <v>5.6083833333333297</v>
      </c>
      <c r="D2995" s="2" t="s">
        <v>51</v>
      </c>
      <c r="E2995" s="2" t="s">
        <v>20003</v>
      </c>
      <c r="F2995" s="2">
        <v>199349</v>
      </c>
      <c r="G2995" s="3" t="str">
        <f>HYPERLINK("https://cloud.oebiotech.com/#/lm/network/199349", "https://cloud.oebiotech.com/#/lm/network/199349")</f>
        <v>https://cloud.oebiotech.com/#/lm/network/199349</v>
      </c>
      <c r="H2995" s="2" t="s">
        <v>20004</v>
      </c>
      <c r="I2995" s="2"/>
      <c r="J2995" s="2"/>
      <c r="K2995" s="2">
        <v>71700183</v>
      </c>
      <c r="L2995" s="2"/>
      <c r="M2995" s="2"/>
      <c r="N2995" s="2"/>
      <c r="O2995" s="2"/>
      <c r="P2995" s="2"/>
      <c r="Q2995" s="2"/>
      <c r="R2995" s="2"/>
      <c r="S2995" s="2" t="s">
        <v>20005</v>
      </c>
      <c r="T2995" s="2" t="s">
        <v>20006</v>
      </c>
      <c r="U2995" s="2" t="s">
        <v>266</v>
      </c>
      <c r="V2995" s="2" t="s">
        <v>2143</v>
      </c>
      <c r="W2995" s="2" t="s">
        <v>2624</v>
      </c>
      <c r="X2995" s="2" t="s">
        <v>69</v>
      </c>
      <c r="Y2995" s="2">
        <v>77.2</v>
      </c>
      <c r="Z2995" s="2">
        <v>95.9</v>
      </c>
      <c r="AA2995" s="2" t="s">
        <v>259</v>
      </c>
      <c r="AB2995" s="2" t="s">
        <v>20007</v>
      </c>
      <c r="AC2995" s="2">
        <v>3.3349378710439499</v>
      </c>
      <c r="AD2995" s="2"/>
      <c r="AE2995" s="2">
        <v>0.200928394944132</v>
      </c>
      <c r="AF2995" s="2">
        <v>16474.250051281699</v>
      </c>
      <c r="AG2995" s="2">
        <v>20680.9692836424</v>
      </c>
      <c r="AH2995" s="4">
        <v>0.79658984186548798</v>
      </c>
      <c r="AI2995" s="4">
        <v>-0.32809101235288202</v>
      </c>
      <c r="AJ2995" s="4" t="s">
        <v>62</v>
      </c>
      <c r="AK2995" s="2">
        <v>0.63186166276398303</v>
      </c>
      <c r="AL2995" s="2">
        <v>0.81944950313377996</v>
      </c>
      <c r="AM2995" s="2">
        <v>13342.2718299973</v>
      </c>
      <c r="AN2995" s="2">
        <v>22096.378871114001</v>
      </c>
      <c r="AO2995" s="2">
        <v>13449.708595042301</v>
      </c>
      <c r="AP2995" s="2">
        <v>18721.563741387501</v>
      </c>
      <c r="AQ2995" s="2">
        <v>19136.132287822202</v>
      </c>
      <c r="AR2995" s="2">
        <v>12099.444982327001</v>
      </c>
      <c r="AS2995" s="2">
        <v>56477.138588088499</v>
      </c>
      <c r="AT2995" s="2">
        <v>34349.819841874298</v>
      </c>
      <c r="AU2995" s="2">
        <v>5791.0449836645503</v>
      </c>
      <c r="AV2995" s="2">
        <v>8927.1052586783208</v>
      </c>
      <c r="AW2995" s="2">
        <v>7913.4672320604896</v>
      </c>
      <c r="AX2995" s="2">
        <v>10627.239797488201</v>
      </c>
    </row>
    <row r="2996" spans="1:50" x14ac:dyDescent="0.25">
      <c r="A2996" s="2" t="s">
        <v>20008</v>
      </c>
      <c r="B2996" s="2">
        <v>515.18523485021797</v>
      </c>
      <c r="C2996" s="2">
        <v>10.72105</v>
      </c>
      <c r="D2996" s="2" t="s">
        <v>51</v>
      </c>
      <c r="E2996" s="2" t="s">
        <v>20009</v>
      </c>
      <c r="F2996" s="2">
        <v>203933</v>
      </c>
      <c r="G2996" s="3" t="str">
        <f>HYPERLINK("https://cloud.oebiotech.com/#/lm/network/203933", "https://cloud.oebiotech.com/#/lm/network/203933")</f>
        <v>https://cloud.oebiotech.com/#/lm/network/203933</v>
      </c>
      <c r="H2996" s="2" t="s">
        <v>20010</v>
      </c>
      <c r="I2996" s="2">
        <v>4162</v>
      </c>
      <c r="J2996" s="2"/>
      <c r="K2996" s="2">
        <v>266934</v>
      </c>
      <c r="L2996" s="2"/>
      <c r="M2996" s="2"/>
      <c r="N2996" s="2"/>
      <c r="O2996" s="2">
        <v>125449</v>
      </c>
      <c r="P2996" s="2"/>
      <c r="Q2996" s="2"/>
      <c r="R2996" s="2" t="s">
        <v>20011</v>
      </c>
      <c r="S2996" s="2" t="s">
        <v>20012</v>
      </c>
      <c r="T2996" s="2" t="s">
        <v>20013</v>
      </c>
      <c r="U2996" s="2" t="s">
        <v>295</v>
      </c>
      <c r="V2996" s="2" t="s">
        <v>20014</v>
      </c>
      <c r="W2996" s="2" t="s">
        <v>20015</v>
      </c>
      <c r="X2996" s="2" t="s">
        <v>147</v>
      </c>
      <c r="Y2996" s="2">
        <v>38.799999999999997</v>
      </c>
      <c r="Z2996" s="2">
        <v>0</v>
      </c>
      <c r="AA2996" s="2" t="s">
        <v>478</v>
      </c>
      <c r="AB2996" s="2" t="s">
        <v>20016</v>
      </c>
      <c r="AC2996" s="2">
        <v>-0.63513035640823401</v>
      </c>
      <c r="AD2996" s="2"/>
      <c r="AE2996" s="2">
        <v>0.20089570790269301</v>
      </c>
      <c r="AF2996" s="2">
        <v>3431.5176815767099</v>
      </c>
      <c r="AG2996" s="2">
        <v>1798.9177079860599</v>
      </c>
      <c r="AH2996" s="5">
        <v>1.9075456683443299</v>
      </c>
      <c r="AI2996" s="5">
        <v>0.93171759687904598</v>
      </c>
      <c r="AJ2996" s="5" t="s">
        <v>139</v>
      </c>
      <c r="AK2996" s="2">
        <v>0.125765507353892</v>
      </c>
      <c r="AL2996" s="2">
        <v>0.44418192573471699</v>
      </c>
      <c r="AM2996" s="2">
        <v>2479.1557667611801</v>
      </c>
      <c r="AN2996" s="2">
        <v>4992.6914447209401</v>
      </c>
      <c r="AO2996" s="2">
        <v>5322.7938255109602</v>
      </c>
      <c r="AP2996" s="2">
        <v>1716.9451455876599</v>
      </c>
      <c r="AQ2996" s="2">
        <v>1645.60475947441</v>
      </c>
      <c r="AR2996" s="2">
        <v>4431.9151474051296</v>
      </c>
      <c r="AS2996" s="2">
        <v>4813.7809854071402</v>
      </c>
      <c r="AT2996" s="2">
        <v>474.49500967407698</v>
      </c>
      <c r="AU2996" s="2">
        <v>1005.36700842394</v>
      </c>
      <c r="AV2996" s="2">
        <v>1029.7483027349399</v>
      </c>
      <c r="AW2996" s="2">
        <v>610.69372759115004</v>
      </c>
      <c r="AX2996" s="2">
        <v>2859.42121408511</v>
      </c>
    </row>
    <row r="2997" spans="1:50" x14ac:dyDescent="0.25">
      <c r="A2997" s="2" t="s">
        <v>20017</v>
      </c>
      <c r="B2997" s="2">
        <v>299.21295083972899</v>
      </c>
      <c r="C2997" s="2">
        <v>5.2849000000000004</v>
      </c>
      <c r="D2997" s="2" t="s">
        <v>51</v>
      </c>
      <c r="E2997" s="2" t="s">
        <v>20018</v>
      </c>
      <c r="F2997" s="2">
        <v>9291</v>
      </c>
      <c r="G2997" s="3" t="str">
        <f>HYPERLINK("https://cloud.oebiotech.com/#/lm/network/9291", "https://cloud.oebiotech.com/#/lm/network/9291")</f>
        <v>https://cloud.oebiotech.com/#/lm/network/9291</v>
      </c>
      <c r="H2997" s="2"/>
      <c r="I2997" s="2">
        <v>97589</v>
      </c>
      <c r="J2997" s="2" t="s">
        <v>20019</v>
      </c>
      <c r="K2997" s="2">
        <v>56936140</v>
      </c>
      <c r="L2997" s="2"/>
      <c r="M2997" s="2"/>
      <c r="N2997" s="2"/>
      <c r="O2997" s="2"/>
      <c r="P2997" s="2"/>
      <c r="Q2997" s="2"/>
      <c r="R2997" s="2"/>
      <c r="S2997" s="2" t="s">
        <v>20020</v>
      </c>
      <c r="T2997" s="2" t="s">
        <v>20021</v>
      </c>
      <c r="U2997" s="2" t="s">
        <v>1491</v>
      </c>
      <c r="V2997" s="2" t="s">
        <v>1492</v>
      </c>
      <c r="W2997" s="2" t="s">
        <v>6421</v>
      </c>
      <c r="X2997" s="2" t="s">
        <v>147</v>
      </c>
      <c r="Y2997" s="2">
        <v>36.299999999999997</v>
      </c>
      <c r="Z2997" s="2">
        <v>5.22</v>
      </c>
      <c r="AA2997" s="2" t="s">
        <v>395</v>
      </c>
      <c r="AB2997" s="2" t="s">
        <v>20022</v>
      </c>
      <c r="AC2997" s="2">
        <v>-2.3372356336010198</v>
      </c>
      <c r="AD2997" s="2"/>
      <c r="AE2997" s="2">
        <v>0.20088243887288701</v>
      </c>
      <c r="AF2997" s="2">
        <v>363.50844149777203</v>
      </c>
      <c r="AG2997" s="2">
        <v>2468.5153149129401</v>
      </c>
      <c r="AH2997" s="4">
        <v>0.14725792434898999</v>
      </c>
      <c r="AI2997" s="4">
        <v>-2.7635828234029001</v>
      </c>
      <c r="AJ2997" s="4" t="s">
        <v>62</v>
      </c>
      <c r="AK2997" s="2">
        <v>0.38848043615574501</v>
      </c>
      <c r="AL2997" s="2">
        <v>0.663978071089806</v>
      </c>
      <c r="AM2997" s="2">
        <v>4.0895445787226503</v>
      </c>
      <c r="AN2997" s="2">
        <v>258.06882078157997</v>
      </c>
      <c r="AO2997" s="2">
        <v>269.33735751450098</v>
      </c>
      <c r="AP2997" s="2">
        <v>1282.1068038634501</v>
      </c>
      <c r="AQ2997" s="2">
        <v>303.27830090316201</v>
      </c>
      <c r="AR2997" s="2">
        <v>64.169821345213805</v>
      </c>
      <c r="AS2997" s="2">
        <v>398.32724154755499</v>
      </c>
      <c r="AT2997" s="2">
        <v>186.84347769789301</v>
      </c>
      <c r="AU2997" s="2">
        <v>125.92399120352</v>
      </c>
      <c r="AV2997" s="2">
        <v>0.159942643878839</v>
      </c>
      <c r="AW2997" s="2">
        <v>8.559877937157E-6</v>
      </c>
      <c r="AX2997" s="2">
        <v>14099.837227824901</v>
      </c>
    </row>
    <row r="2998" spans="1:50" x14ac:dyDescent="0.25">
      <c r="A2998" s="2" t="s">
        <v>20023</v>
      </c>
      <c r="B2998" s="2">
        <v>405.30109514366598</v>
      </c>
      <c r="C2998" s="2">
        <v>12.4654166666667</v>
      </c>
      <c r="D2998" s="2" t="s">
        <v>51</v>
      </c>
      <c r="E2998" s="2" t="s">
        <v>20024</v>
      </c>
      <c r="F2998" s="2">
        <v>59534</v>
      </c>
      <c r="G2998" s="3" t="str">
        <f>HYPERLINK("https://cloud.oebiotech.com/#/lm/network/59534", "https://cloud.oebiotech.com/#/lm/network/59534")</f>
        <v>https://cloud.oebiotech.com/#/lm/network/59534</v>
      </c>
      <c r="H2998" s="2" t="s">
        <v>20025</v>
      </c>
      <c r="I2998" s="2">
        <v>90943</v>
      </c>
      <c r="J2998" s="2"/>
      <c r="K2998" s="2">
        <v>131751845</v>
      </c>
      <c r="L2998" s="2"/>
      <c r="M2998" s="2"/>
      <c r="N2998" s="2"/>
      <c r="O2998" s="2">
        <v>168035</v>
      </c>
      <c r="P2998" s="2"/>
      <c r="Q2998" s="2"/>
      <c r="R2998" s="2"/>
      <c r="S2998" s="2" t="s">
        <v>20026</v>
      </c>
      <c r="T2998" s="2" t="s">
        <v>20027</v>
      </c>
      <c r="U2998" s="2" t="s">
        <v>56</v>
      </c>
      <c r="V2998" s="2" t="s">
        <v>145</v>
      </c>
      <c r="W2998" s="2" t="s">
        <v>146</v>
      </c>
      <c r="X2998" s="2" t="s">
        <v>147</v>
      </c>
      <c r="Y2998" s="2">
        <v>43.2</v>
      </c>
      <c r="Z2998" s="2">
        <v>24.5</v>
      </c>
      <c r="AA2998" s="2" t="s">
        <v>218</v>
      </c>
      <c r="AB2998" s="2" t="s">
        <v>20028</v>
      </c>
      <c r="AC2998" s="2">
        <v>0.17138845490270799</v>
      </c>
      <c r="AD2998" s="2"/>
      <c r="AE2998" s="2">
        <v>0.200809316328836</v>
      </c>
      <c r="AF2998" s="2">
        <v>3070.2342858091001</v>
      </c>
      <c r="AG2998" s="2">
        <v>1778.0161327706601</v>
      </c>
      <c r="AH2998" s="5">
        <v>1.72677526891997</v>
      </c>
      <c r="AI2998" s="5">
        <v>0.78808033561062796</v>
      </c>
      <c r="AJ2998" s="5" t="s">
        <v>139</v>
      </c>
      <c r="AK2998" s="2">
        <v>8.7100475985410195E-2</v>
      </c>
      <c r="AL2998" s="2">
        <v>0.38018166893268901</v>
      </c>
      <c r="AM2998" s="2">
        <v>1691.90911713725</v>
      </c>
      <c r="AN2998" s="2">
        <v>3780.0690765863501</v>
      </c>
      <c r="AO2998" s="2">
        <v>5507.3406223333805</v>
      </c>
      <c r="AP2998" s="2">
        <v>3741.8265788406602</v>
      </c>
      <c r="AQ2998" s="2">
        <v>2130.8503922310101</v>
      </c>
      <c r="AR2998" s="2">
        <v>1569.4099277259299</v>
      </c>
      <c r="AS2998" s="2">
        <v>1667.74887701291</v>
      </c>
      <c r="AT2998" s="2">
        <v>2307.3655159324999</v>
      </c>
      <c r="AU2998" s="2">
        <v>2509.6503983826101</v>
      </c>
      <c r="AV2998" s="2">
        <v>700.42970941156898</v>
      </c>
      <c r="AW2998" s="2">
        <v>1691.66105828329</v>
      </c>
      <c r="AX2998" s="2">
        <v>1791.24123760107</v>
      </c>
    </row>
    <row r="2999" spans="1:50" x14ac:dyDescent="0.25">
      <c r="A2999" s="2" t="s">
        <v>20029</v>
      </c>
      <c r="B2999" s="2">
        <v>419.16770215354302</v>
      </c>
      <c r="C2999" s="2">
        <v>6.3512500000000003</v>
      </c>
      <c r="D2999" s="2" t="s">
        <v>51</v>
      </c>
      <c r="E2999" s="2" t="s">
        <v>20030</v>
      </c>
      <c r="F2999" s="2">
        <v>82601</v>
      </c>
      <c r="G2999" s="3" t="str">
        <f>HYPERLINK("https://cloud.oebiotech.com/#/lm/network/82601", "https://cloud.oebiotech.com/#/lm/network/82601")</f>
        <v>https://cloud.oebiotech.com/#/lm/network/82601</v>
      </c>
      <c r="H2999" s="2" t="s">
        <v>20031</v>
      </c>
      <c r="I2999" s="2"/>
      <c r="J2999" s="2"/>
      <c r="K2999" s="2">
        <v>24972323</v>
      </c>
      <c r="L2999" s="2"/>
      <c r="M2999" s="2"/>
      <c r="N2999" s="2"/>
      <c r="O2999" s="2"/>
      <c r="P2999" s="2"/>
      <c r="Q2999" s="2"/>
      <c r="R2999" s="2"/>
      <c r="S2999" s="2" t="s">
        <v>20032</v>
      </c>
      <c r="T2999" s="2" t="s">
        <v>20033</v>
      </c>
      <c r="U2999" s="2" t="s">
        <v>540</v>
      </c>
      <c r="V2999" s="2" t="s">
        <v>1916</v>
      </c>
      <c r="W2999" s="2" t="s">
        <v>240</v>
      </c>
      <c r="X2999" s="2" t="s">
        <v>83</v>
      </c>
      <c r="Y2999" s="2">
        <v>39.1</v>
      </c>
      <c r="Z2999" s="2">
        <v>0</v>
      </c>
      <c r="AA2999" s="2" t="s">
        <v>478</v>
      </c>
      <c r="AB2999" s="2" t="s">
        <v>20034</v>
      </c>
      <c r="AC2999" s="2">
        <v>-8.1852583343818992</v>
      </c>
      <c r="AD2999" s="2"/>
      <c r="AE2999" s="2">
        <v>0.20080709512671399</v>
      </c>
      <c r="AF2999" s="2">
        <v>1356.15334411604</v>
      </c>
      <c r="AG2999" s="2">
        <v>444.98218906172502</v>
      </c>
      <c r="AH2999" s="5">
        <v>3.0476575859712098</v>
      </c>
      <c r="AI2999" s="5">
        <v>1.6077008205571499</v>
      </c>
      <c r="AJ2999" s="5" t="s">
        <v>139</v>
      </c>
      <c r="AK2999" s="2">
        <v>0.120589727491309</v>
      </c>
      <c r="AL2999" s="2">
        <v>0.43792729332499802</v>
      </c>
      <c r="AM2999" s="2">
        <v>3342.8229722058099</v>
      </c>
      <c r="AN2999" s="2">
        <v>2131.50341170809</v>
      </c>
      <c r="AO2999" s="2">
        <v>649.39496248284797</v>
      </c>
      <c r="AP2999" s="2">
        <v>729.994362915034</v>
      </c>
      <c r="AQ2999" s="2">
        <v>127.844738948415</v>
      </c>
      <c r="AR2999" s="2">
        <v>1155.3596164360399</v>
      </c>
      <c r="AS2999" s="2">
        <v>589.510833870488</v>
      </c>
      <c r="AT2999" s="2">
        <v>218.984285922759</v>
      </c>
      <c r="AU2999" s="2">
        <v>1531.74647682875</v>
      </c>
      <c r="AV2999" s="2">
        <v>8.559877937157E-6</v>
      </c>
      <c r="AW2999" s="2">
        <v>8.559877937157E-6</v>
      </c>
      <c r="AX2999" s="2">
        <v>329.65152062859602</v>
      </c>
    </row>
    <row r="3000" spans="1:50" x14ac:dyDescent="0.25">
      <c r="A3000" s="2" t="s">
        <v>20035</v>
      </c>
      <c r="B3000" s="2">
        <v>159.14957646539199</v>
      </c>
      <c r="C3000" s="2">
        <v>0.75593333333333301</v>
      </c>
      <c r="D3000" s="2" t="s">
        <v>51</v>
      </c>
      <c r="E3000" s="2" t="s">
        <v>20036</v>
      </c>
      <c r="F3000" s="2">
        <v>255803</v>
      </c>
      <c r="G3000" s="3" t="str">
        <f>HYPERLINK("https://cloud.oebiotech.com/#/lm/network/255803", "https://cloud.oebiotech.com/#/lm/network/255803")</f>
        <v>https://cloud.oebiotech.com/#/lm/network/255803</v>
      </c>
      <c r="H3000" s="2" t="s">
        <v>20037</v>
      </c>
      <c r="I3000" s="2">
        <v>3268</v>
      </c>
      <c r="J3000" s="2"/>
      <c r="K3000" s="2">
        <v>440933</v>
      </c>
      <c r="L3000" s="2" t="s">
        <v>20038</v>
      </c>
      <c r="M3000" s="2"/>
      <c r="N3000" s="2"/>
      <c r="O3000" s="2">
        <v>46750</v>
      </c>
      <c r="P3000" s="2"/>
      <c r="Q3000" s="2"/>
      <c r="R3000" s="2" t="s">
        <v>20039</v>
      </c>
      <c r="S3000" s="2" t="s">
        <v>20040</v>
      </c>
      <c r="T3000" s="2" t="s">
        <v>20041</v>
      </c>
      <c r="U3000" s="2" t="s">
        <v>238</v>
      </c>
      <c r="V3000" s="2" t="s">
        <v>240</v>
      </c>
      <c r="W3000" s="2" t="s">
        <v>240</v>
      </c>
      <c r="X3000" s="2" t="s">
        <v>147</v>
      </c>
      <c r="Y3000" s="2">
        <v>38.5</v>
      </c>
      <c r="Z3000" s="2">
        <v>0</v>
      </c>
      <c r="AA3000" s="2" t="s">
        <v>512</v>
      </c>
      <c r="AB3000" s="2" t="s">
        <v>20042</v>
      </c>
      <c r="AC3000" s="2">
        <v>2.7412322168271799</v>
      </c>
      <c r="AD3000" s="2"/>
      <c r="AE3000" s="2">
        <v>0.20068072609419901</v>
      </c>
      <c r="AF3000" s="2">
        <v>7912.7613283850897</v>
      </c>
      <c r="AG3000" s="2">
        <v>3301.1846162632</v>
      </c>
      <c r="AH3000" s="5">
        <v>2.39694602034769</v>
      </c>
      <c r="AI3000" s="5">
        <v>1.26119741960299</v>
      </c>
      <c r="AJ3000" s="5" t="s">
        <v>139</v>
      </c>
      <c r="AK3000" s="2">
        <v>0.510662320048759</v>
      </c>
      <c r="AL3000" s="2">
        <v>0.74460443234332496</v>
      </c>
      <c r="AM3000" s="2">
        <v>8.559877937157E-6</v>
      </c>
      <c r="AN3000" s="2">
        <v>8.559877937157E-6</v>
      </c>
      <c r="AO3000" s="2">
        <v>8.559877937157E-6</v>
      </c>
      <c r="AP3000" s="2">
        <v>8.559877937157E-6</v>
      </c>
      <c r="AQ3000" s="2">
        <v>38381.504018902502</v>
      </c>
      <c r="AR3000" s="2">
        <v>9095.0639171684998</v>
      </c>
      <c r="AS3000" s="2">
        <v>8.559877937157E-6</v>
      </c>
      <c r="AT3000" s="2">
        <v>8.559877937157E-6</v>
      </c>
      <c r="AU3000" s="2">
        <v>15394.055662045201</v>
      </c>
      <c r="AV3000" s="2">
        <v>4413.0520012944799</v>
      </c>
      <c r="AW3000" s="2">
        <v>8.559877937157E-6</v>
      </c>
      <c r="AX3000" s="2">
        <v>8.559877937157E-6</v>
      </c>
    </row>
    <row r="3001" spans="1:50" x14ac:dyDescent="0.25">
      <c r="A3001" s="2" t="s">
        <v>20043</v>
      </c>
      <c r="B3001" s="2">
        <v>337.23795124095898</v>
      </c>
      <c r="C3001" s="2">
        <v>6.3538666666666703</v>
      </c>
      <c r="D3001" s="2" t="s">
        <v>51</v>
      </c>
      <c r="E3001" s="2" t="s">
        <v>20044</v>
      </c>
      <c r="F3001" s="2">
        <v>35987</v>
      </c>
      <c r="G3001" s="3" t="str">
        <f>HYPERLINK("https://cloud.oebiotech.com/#/lm/network/35987", "https://cloud.oebiotech.com/#/lm/network/35987")</f>
        <v>https://cloud.oebiotech.com/#/lm/network/35987</v>
      </c>
      <c r="H3001" s="2"/>
      <c r="I3001" s="2"/>
      <c r="J3001" s="2" t="s">
        <v>20045</v>
      </c>
      <c r="K3001" s="2"/>
      <c r="L3001" s="2"/>
      <c r="M3001" s="2"/>
      <c r="N3001" s="2"/>
      <c r="O3001" s="2"/>
      <c r="P3001" s="2"/>
      <c r="Q3001" s="2"/>
      <c r="R3001" s="2"/>
      <c r="S3001" s="2" t="s">
        <v>20046</v>
      </c>
      <c r="T3001" s="2" t="s">
        <v>20047</v>
      </c>
      <c r="U3001" s="2" t="s">
        <v>56</v>
      </c>
      <c r="V3001" s="2" t="s">
        <v>177</v>
      </c>
      <c r="W3001" s="2" t="s">
        <v>178</v>
      </c>
      <c r="X3001" s="2" t="s">
        <v>83</v>
      </c>
      <c r="Y3001" s="2">
        <v>41.8</v>
      </c>
      <c r="Z3001" s="2">
        <v>0</v>
      </c>
      <c r="AA3001" s="2" t="s">
        <v>259</v>
      </c>
      <c r="AB3001" s="2" t="s">
        <v>188</v>
      </c>
      <c r="AC3001" s="2">
        <v>1.83001032172602</v>
      </c>
      <c r="AD3001" s="2"/>
      <c r="AE3001" s="2">
        <v>0.200617929009691</v>
      </c>
      <c r="AF3001" s="2">
        <v>2719.1107228382898</v>
      </c>
      <c r="AG3001" s="2">
        <v>1506.9511631087601</v>
      </c>
      <c r="AH3001" s="5">
        <v>1.8043787943525</v>
      </c>
      <c r="AI3001" s="5">
        <v>0.851502236247347</v>
      </c>
      <c r="AJ3001" s="5" t="s">
        <v>139</v>
      </c>
      <c r="AK3001" s="2">
        <v>0.34284394351584302</v>
      </c>
      <c r="AL3001" s="2">
        <v>0.63815037094278604</v>
      </c>
      <c r="AM3001" s="2">
        <v>7504.4233830430803</v>
      </c>
      <c r="AN3001" s="2">
        <v>1986.66295581704</v>
      </c>
      <c r="AO3001" s="2">
        <v>1088.6011984581501</v>
      </c>
      <c r="AP3001" s="2">
        <v>1952.4337863737301</v>
      </c>
      <c r="AQ3001" s="2">
        <v>1563.6367171260699</v>
      </c>
      <c r="AR3001" s="2">
        <v>2218.90629621164</v>
      </c>
      <c r="AS3001" s="2">
        <v>1248.44622981474</v>
      </c>
      <c r="AT3001" s="2">
        <v>14.6836478675888</v>
      </c>
      <c r="AU3001" s="2">
        <v>5022.2308544366497</v>
      </c>
      <c r="AV3001" s="2">
        <v>414.37734381166098</v>
      </c>
      <c r="AW3001" s="2">
        <v>1412.93525522401</v>
      </c>
      <c r="AX3001" s="2">
        <v>929.033647497934</v>
      </c>
    </row>
    <row r="3002" spans="1:50" x14ac:dyDescent="0.25">
      <c r="A3002" s="2" t="s">
        <v>20048</v>
      </c>
      <c r="B3002" s="2">
        <v>568.28141849252995</v>
      </c>
      <c r="C3002" s="2">
        <v>8.9651666666666703</v>
      </c>
      <c r="D3002" s="2" t="s">
        <v>51</v>
      </c>
      <c r="E3002" s="2" t="s">
        <v>20049</v>
      </c>
      <c r="F3002" s="2">
        <v>207440</v>
      </c>
      <c r="G3002" s="3" t="str">
        <f>HYPERLINK("https://cloud.oebiotech.com/#/lm/network/207440", "https://cloud.oebiotech.com/#/lm/network/207440")</f>
        <v>https://cloud.oebiotech.com/#/lm/network/207440</v>
      </c>
      <c r="H3002" s="2" t="s">
        <v>20050</v>
      </c>
      <c r="I3002" s="2"/>
      <c r="J3002" s="2"/>
      <c r="K3002" s="2">
        <v>3755</v>
      </c>
      <c r="L3002" s="2"/>
      <c r="M3002" s="2"/>
      <c r="N3002" s="2"/>
      <c r="O3002" s="2"/>
      <c r="P3002" s="2"/>
      <c r="Q3002" s="2"/>
      <c r="R3002" s="2"/>
      <c r="S3002" s="2" t="s">
        <v>20051</v>
      </c>
      <c r="T3002" s="2" t="s">
        <v>20052</v>
      </c>
      <c r="U3002" s="2" t="s">
        <v>331</v>
      </c>
      <c r="V3002" s="2" t="s">
        <v>332</v>
      </c>
      <c r="W3002" s="2" t="s">
        <v>333</v>
      </c>
      <c r="X3002" s="2" t="s">
        <v>147</v>
      </c>
      <c r="Y3002" s="2">
        <v>37.6</v>
      </c>
      <c r="Z3002" s="2">
        <v>0</v>
      </c>
      <c r="AA3002" s="2" t="s">
        <v>163</v>
      </c>
      <c r="AB3002" s="2" t="s">
        <v>20053</v>
      </c>
      <c r="AC3002" s="2">
        <v>-3.7360749868855501</v>
      </c>
      <c r="AD3002" s="2"/>
      <c r="AE3002" s="2">
        <v>0.20057122770544</v>
      </c>
      <c r="AF3002" s="2">
        <v>1909.4313222564399</v>
      </c>
      <c r="AG3002" s="2">
        <v>687.89095039972005</v>
      </c>
      <c r="AH3002" s="5">
        <v>2.7757761911926702</v>
      </c>
      <c r="AI3002" s="5">
        <v>1.4728912491578201</v>
      </c>
      <c r="AJ3002" s="5" t="s">
        <v>139</v>
      </c>
      <c r="AK3002" s="2">
        <v>7.57553582824044E-2</v>
      </c>
      <c r="AL3002" s="2">
        <v>0.35959750056178102</v>
      </c>
      <c r="AM3002" s="2">
        <v>1159.6210627671901</v>
      </c>
      <c r="AN3002" s="2">
        <v>4349.7262526878703</v>
      </c>
      <c r="AO3002" s="2">
        <v>2221.7334505075501</v>
      </c>
      <c r="AP3002" s="2">
        <v>980.70292784843696</v>
      </c>
      <c r="AQ3002" s="2">
        <v>638.38563475576098</v>
      </c>
      <c r="AR3002" s="2">
        <v>2106.4186049718301</v>
      </c>
      <c r="AS3002" s="2">
        <v>1946.86868065453</v>
      </c>
      <c r="AT3002" s="2">
        <v>698.40616850192998</v>
      </c>
      <c r="AU3002" s="2">
        <v>478.30597135012903</v>
      </c>
      <c r="AV3002" s="2">
        <v>8.559877937157E-6</v>
      </c>
      <c r="AW3002" s="2">
        <v>273.21895472363502</v>
      </c>
      <c r="AX3002" s="2">
        <v>730.54591860821802</v>
      </c>
    </row>
    <row r="3003" spans="1:50" x14ac:dyDescent="0.25">
      <c r="A3003" s="2" t="s">
        <v>20054</v>
      </c>
      <c r="B3003" s="2">
        <v>269.05447440927202</v>
      </c>
      <c r="C3003" s="2">
        <v>0.70636666666666703</v>
      </c>
      <c r="D3003" s="2" t="s">
        <v>51</v>
      </c>
      <c r="E3003" s="2" t="s">
        <v>20055</v>
      </c>
      <c r="F3003" s="2">
        <v>53323</v>
      </c>
      <c r="G3003" s="3" t="str">
        <f>HYPERLINK("https://cloud.oebiotech.com/#/lm/network/53323", "https://cloud.oebiotech.com/#/lm/network/53323")</f>
        <v>https://cloud.oebiotech.com/#/lm/network/53323</v>
      </c>
      <c r="H3003" s="2" t="s">
        <v>20056</v>
      </c>
      <c r="I3003" s="2">
        <v>66762</v>
      </c>
      <c r="J3003" s="2"/>
      <c r="K3003" s="2">
        <v>3899</v>
      </c>
      <c r="L3003" s="2" t="s">
        <v>20057</v>
      </c>
      <c r="M3003" s="2"/>
      <c r="N3003" s="2"/>
      <c r="O3003" s="2">
        <v>6402</v>
      </c>
      <c r="P3003" s="2"/>
      <c r="Q3003" s="2"/>
      <c r="R3003" s="2" t="s">
        <v>20058</v>
      </c>
      <c r="S3003" s="2" t="s">
        <v>20059</v>
      </c>
      <c r="T3003" s="2" t="s">
        <v>20060</v>
      </c>
      <c r="U3003" s="2" t="s">
        <v>610</v>
      </c>
      <c r="V3003" s="2" t="s">
        <v>611</v>
      </c>
      <c r="W3003" s="2" t="s">
        <v>1267</v>
      </c>
      <c r="X3003" s="2" t="s">
        <v>147</v>
      </c>
      <c r="Y3003" s="2">
        <v>37.200000000000003</v>
      </c>
      <c r="Z3003" s="2">
        <v>0</v>
      </c>
      <c r="AA3003" s="2" t="s">
        <v>163</v>
      </c>
      <c r="AB3003" s="2" t="s">
        <v>20061</v>
      </c>
      <c r="AC3003" s="2">
        <v>0.513378856779516</v>
      </c>
      <c r="AD3003" s="2"/>
      <c r="AE3003" s="2">
        <v>0.200441476754606</v>
      </c>
      <c r="AF3003" s="2">
        <v>2884.5985805785199</v>
      </c>
      <c r="AG3003" s="2">
        <v>4525.4307693840501</v>
      </c>
      <c r="AH3003" s="4">
        <v>0.63741966844211295</v>
      </c>
      <c r="AI3003" s="4">
        <v>-0.64968455878679598</v>
      </c>
      <c r="AJ3003" s="4" t="s">
        <v>62</v>
      </c>
      <c r="AK3003" s="2">
        <v>7.5841185976524506E-2</v>
      </c>
      <c r="AL3003" s="2">
        <v>0.35963987311711298</v>
      </c>
      <c r="AM3003" s="2">
        <v>3577.17992508619</v>
      </c>
      <c r="AN3003" s="2">
        <v>1338.0414120057801</v>
      </c>
      <c r="AO3003" s="2">
        <v>1606.4041840592799</v>
      </c>
      <c r="AP3003" s="2">
        <v>2485.1307788753902</v>
      </c>
      <c r="AQ3003" s="2">
        <v>3467.019538045</v>
      </c>
      <c r="AR3003" s="2">
        <v>4833.8156453994898</v>
      </c>
      <c r="AS3003" s="2">
        <v>5325.4297385352702</v>
      </c>
      <c r="AT3003" s="2">
        <v>6489.9589620113402</v>
      </c>
      <c r="AU3003" s="2">
        <v>5635.7223097002798</v>
      </c>
      <c r="AV3003" s="2">
        <v>3948.9666929237401</v>
      </c>
      <c r="AW3003" s="2">
        <v>3256.8801380647401</v>
      </c>
      <c r="AX3003" s="2">
        <v>2495.6267750689499</v>
      </c>
    </row>
    <row r="3004" spans="1:50" x14ac:dyDescent="0.25">
      <c r="A3004" s="2" t="s">
        <v>20062</v>
      </c>
      <c r="B3004" s="2">
        <v>185.081160915694</v>
      </c>
      <c r="C3004" s="2">
        <v>5.0034000000000001</v>
      </c>
      <c r="D3004" s="2" t="s">
        <v>51</v>
      </c>
      <c r="E3004" s="2" t="s">
        <v>20063</v>
      </c>
      <c r="F3004" s="2">
        <v>207516</v>
      </c>
      <c r="G3004" s="3" t="str">
        <f>HYPERLINK("https://cloud.oebiotech.com/#/lm/network/207516", "https://cloud.oebiotech.com/#/lm/network/207516")</f>
        <v>https://cloud.oebiotech.com/#/lm/network/207516</v>
      </c>
      <c r="H3004" s="2" t="s">
        <v>20064</v>
      </c>
      <c r="I3004" s="2"/>
      <c r="J3004" s="2"/>
      <c r="K3004" s="2"/>
      <c r="L3004" s="2"/>
      <c r="M3004" s="2"/>
      <c r="N3004" s="2"/>
      <c r="O3004" s="2"/>
      <c r="P3004" s="2"/>
      <c r="Q3004" s="2"/>
      <c r="R3004" s="2"/>
      <c r="S3004" s="2" t="s">
        <v>20065</v>
      </c>
      <c r="T3004" s="2" t="s">
        <v>20066</v>
      </c>
      <c r="U3004" s="2" t="s">
        <v>103</v>
      </c>
      <c r="V3004" s="2" t="s">
        <v>104</v>
      </c>
      <c r="W3004" s="2" t="s">
        <v>3415</v>
      </c>
      <c r="X3004" s="2" t="s">
        <v>83</v>
      </c>
      <c r="Y3004" s="2">
        <v>59.9</v>
      </c>
      <c r="Z3004" s="2">
        <v>38.5</v>
      </c>
      <c r="AA3004" s="2" t="s">
        <v>163</v>
      </c>
      <c r="AB3004" s="2" t="s">
        <v>14975</v>
      </c>
      <c r="AC3004" s="2">
        <v>-4.1462883869805598</v>
      </c>
      <c r="AD3004" s="2"/>
      <c r="AE3004" s="2">
        <v>0.20037215018252899</v>
      </c>
      <c r="AF3004" s="2">
        <v>4455.8185616178698</v>
      </c>
      <c r="AG3004" s="2">
        <v>3323.41509542017</v>
      </c>
      <c r="AH3004" s="5">
        <v>1.3407348867609701</v>
      </c>
      <c r="AI3004" s="5">
        <v>0.42302399088313403</v>
      </c>
      <c r="AJ3004" s="5" t="s">
        <v>139</v>
      </c>
      <c r="AK3004" s="2">
        <v>6.0948302160786103E-2</v>
      </c>
      <c r="AL3004" s="2">
        <v>0.33258278486083398</v>
      </c>
      <c r="AM3004" s="2">
        <v>4264.0818639687104</v>
      </c>
      <c r="AN3004" s="2">
        <v>6944.52823370233</v>
      </c>
      <c r="AO3004" s="2">
        <v>4111.4541872585396</v>
      </c>
      <c r="AP3004" s="2">
        <v>3597.3696196892201</v>
      </c>
      <c r="AQ3004" s="2">
        <v>3613.9314444901502</v>
      </c>
      <c r="AR3004" s="2">
        <v>4203.5460205982499</v>
      </c>
      <c r="AS3004" s="2">
        <v>3945.52772290951</v>
      </c>
      <c r="AT3004" s="2">
        <v>2793.11109368291</v>
      </c>
      <c r="AU3004" s="2">
        <v>3412.9562226420699</v>
      </c>
      <c r="AV3004" s="2">
        <v>3267.2670575446</v>
      </c>
      <c r="AW3004" s="2">
        <v>3051.3190182579701</v>
      </c>
      <c r="AX3004" s="2">
        <v>3470.3094574839602</v>
      </c>
    </row>
    <row r="3005" spans="1:50" x14ac:dyDescent="0.25">
      <c r="A3005" s="2" t="s">
        <v>20067</v>
      </c>
      <c r="B3005" s="2">
        <v>569.41958433155503</v>
      </c>
      <c r="C3005" s="2">
        <v>14.7705</v>
      </c>
      <c r="D3005" s="2" t="s">
        <v>51</v>
      </c>
      <c r="E3005" s="2" t="s">
        <v>20068</v>
      </c>
      <c r="F3005" s="2">
        <v>289874</v>
      </c>
      <c r="G3005" s="3" t="str">
        <f>HYPERLINK("https://cloud.oebiotech.com/#/lm/network/289874", "https://cloud.oebiotech.com/#/lm/network/289874")</f>
        <v>https://cloud.oebiotech.com/#/lm/network/289874</v>
      </c>
      <c r="H3005" s="2"/>
      <c r="I3005" s="2">
        <v>985064</v>
      </c>
      <c r="J3005" s="2"/>
      <c r="K3005" s="2">
        <v>322885</v>
      </c>
      <c r="L3005" s="2"/>
      <c r="M3005" s="2"/>
      <c r="N3005" s="2"/>
      <c r="O3005" s="2"/>
      <c r="P3005" s="2"/>
      <c r="Q3005" s="2"/>
      <c r="R3005" s="2"/>
      <c r="S3005" s="2" t="s">
        <v>20069</v>
      </c>
      <c r="T3005" s="2" t="s">
        <v>20070</v>
      </c>
      <c r="U3005" s="2" t="s">
        <v>56</v>
      </c>
      <c r="V3005" s="2" t="s">
        <v>177</v>
      </c>
      <c r="W3005" s="2" t="s">
        <v>178</v>
      </c>
      <c r="X3005" s="2" t="s">
        <v>147</v>
      </c>
      <c r="Y3005" s="2">
        <v>38</v>
      </c>
      <c r="Z3005" s="2">
        <v>1.26</v>
      </c>
      <c r="AA3005" s="2" t="s">
        <v>156</v>
      </c>
      <c r="AB3005" s="2" t="s">
        <v>20071</v>
      </c>
      <c r="AC3005" s="2">
        <v>-0.79634597221508596</v>
      </c>
      <c r="AD3005" s="2"/>
      <c r="AE3005" s="2">
        <v>0.200302496756884</v>
      </c>
      <c r="AF3005" s="2">
        <v>3018.1717652593802</v>
      </c>
      <c r="AG3005" s="2">
        <v>1259.49949178171</v>
      </c>
      <c r="AH3005" s="5">
        <v>2.39632630656312</v>
      </c>
      <c r="AI3005" s="5">
        <v>1.26082437257049</v>
      </c>
      <c r="AJ3005" s="5" t="s">
        <v>139</v>
      </c>
      <c r="AK3005" s="2">
        <v>0.116337504428667</v>
      </c>
      <c r="AL3005" s="2">
        <v>0.43358177262586001</v>
      </c>
      <c r="AM3005" s="2">
        <v>598.35478185332499</v>
      </c>
      <c r="AN3005" s="2">
        <v>6430.5969005451298</v>
      </c>
      <c r="AO3005" s="2">
        <v>2597.8950268651101</v>
      </c>
      <c r="AP3005" s="2">
        <v>4791.9773584638097</v>
      </c>
      <c r="AQ3005" s="2">
        <v>631.64360554544498</v>
      </c>
      <c r="AR3005" s="2">
        <v>3058.56291828347</v>
      </c>
      <c r="AS3005" s="2">
        <v>586.91845237469397</v>
      </c>
      <c r="AT3005" s="2">
        <v>1738.2048355146001</v>
      </c>
      <c r="AU3005" s="2">
        <v>1043.8079791648099</v>
      </c>
      <c r="AV3005" s="2">
        <v>8.559877937157E-6</v>
      </c>
      <c r="AW3005" s="2">
        <v>2858.4909540057602</v>
      </c>
      <c r="AX3005" s="2">
        <v>1329.5747210704901</v>
      </c>
    </row>
    <row r="3006" spans="1:50" x14ac:dyDescent="0.25">
      <c r="A3006" s="2" t="s">
        <v>20072</v>
      </c>
      <c r="B3006" s="2">
        <v>547.43759220915001</v>
      </c>
      <c r="C3006" s="2">
        <v>14.7495166666667</v>
      </c>
      <c r="D3006" s="2" t="s">
        <v>51</v>
      </c>
      <c r="E3006" s="2" t="s">
        <v>20073</v>
      </c>
      <c r="F3006" s="2">
        <v>250549</v>
      </c>
      <c r="G3006" s="3" t="str">
        <f>HYPERLINK("https://cloud.oebiotech.com/#/lm/network/250549", "https://cloud.oebiotech.com/#/lm/network/250549")</f>
        <v>https://cloud.oebiotech.com/#/lm/network/250549</v>
      </c>
      <c r="H3006" s="2" t="s">
        <v>20074</v>
      </c>
      <c r="I3006" s="2"/>
      <c r="J3006" s="2"/>
      <c r="K3006" s="2"/>
      <c r="L3006" s="2"/>
      <c r="M3006" s="2"/>
      <c r="N3006" s="2"/>
      <c r="O3006" s="2"/>
      <c r="P3006" s="2"/>
      <c r="Q3006" s="2"/>
      <c r="R3006" s="2"/>
      <c r="S3006" s="2" t="s">
        <v>20075</v>
      </c>
      <c r="T3006" s="2" t="s">
        <v>20076</v>
      </c>
      <c r="U3006" s="2" t="s">
        <v>56</v>
      </c>
      <c r="V3006" s="2" t="s">
        <v>145</v>
      </c>
      <c r="W3006" s="2" t="s">
        <v>203</v>
      </c>
      <c r="X3006" s="2" t="s">
        <v>59</v>
      </c>
      <c r="Y3006" s="2">
        <v>50.6</v>
      </c>
      <c r="Z3006" s="2">
        <v>66.7</v>
      </c>
      <c r="AA3006" s="2" t="s">
        <v>156</v>
      </c>
      <c r="AB3006" s="2" t="s">
        <v>20077</v>
      </c>
      <c r="AC3006" s="2">
        <v>3.3499060558942499</v>
      </c>
      <c r="AD3006" s="2"/>
      <c r="AE3006" s="2">
        <v>0.20013871666264901</v>
      </c>
      <c r="AF3006" s="2">
        <v>3601.3649083845298</v>
      </c>
      <c r="AG3006" s="2">
        <v>1802.90276695133</v>
      </c>
      <c r="AH3006" s="5">
        <v>1.9975369578440201</v>
      </c>
      <c r="AI3006" s="5">
        <v>0.99822219572148096</v>
      </c>
      <c r="AJ3006" s="5" t="s">
        <v>139</v>
      </c>
      <c r="AK3006" s="2">
        <v>0.13457724553710901</v>
      </c>
      <c r="AL3006" s="2">
        <v>0.455262169090494</v>
      </c>
      <c r="AM3006" s="2">
        <v>894.59176807685401</v>
      </c>
      <c r="AN3006" s="2">
        <v>7765.0361656356399</v>
      </c>
      <c r="AO3006" s="2">
        <v>3463.6690322097802</v>
      </c>
      <c r="AP3006" s="2">
        <v>4842.9496701665103</v>
      </c>
      <c r="AQ3006" s="2">
        <v>1601.0806681998499</v>
      </c>
      <c r="AR3006" s="2">
        <v>3040.86214601854</v>
      </c>
      <c r="AS3006" s="2">
        <v>788.23909640160298</v>
      </c>
      <c r="AT3006" s="2">
        <v>2509.4684563221699</v>
      </c>
      <c r="AU3006" s="2">
        <v>858.81026898812001</v>
      </c>
      <c r="AV3006" s="2">
        <v>1074.63093624306</v>
      </c>
      <c r="AW3006" s="2">
        <v>3554.7380094585601</v>
      </c>
      <c r="AX3006" s="2">
        <v>2031.52983429449</v>
      </c>
    </row>
    <row r="3007" spans="1:50" x14ac:dyDescent="0.25">
      <c r="A3007" s="2" t="s">
        <v>20078</v>
      </c>
      <c r="B3007" s="2">
        <v>303.00723148641703</v>
      </c>
      <c r="C3007" s="2">
        <v>7.8615000000000004</v>
      </c>
      <c r="D3007" s="2" t="s">
        <v>51</v>
      </c>
      <c r="E3007" s="2" t="s">
        <v>20079</v>
      </c>
      <c r="F3007" s="2">
        <v>206594</v>
      </c>
      <c r="G3007" s="3" t="str">
        <f>HYPERLINK("https://cloud.oebiotech.com/#/lm/network/206594", "https://cloud.oebiotech.com/#/lm/network/206594")</f>
        <v>https://cloud.oebiotech.com/#/lm/network/206594</v>
      </c>
      <c r="H3007" s="2" t="s">
        <v>20080</v>
      </c>
      <c r="I3007" s="2"/>
      <c r="J3007" s="2"/>
      <c r="K3007" s="2">
        <v>40818</v>
      </c>
      <c r="L3007" s="2"/>
      <c r="M3007" s="2"/>
      <c r="N3007" s="2"/>
      <c r="O3007" s="2"/>
      <c r="P3007" s="2"/>
      <c r="Q3007" s="2"/>
      <c r="R3007" s="2"/>
      <c r="S3007" s="2" t="s">
        <v>20081</v>
      </c>
      <c r="T3007" s="2" t="s">
        <v>20082</v>
      </c>
      <c r="U3007" s="2" t="s">
        <v>331</v>
      </c>
      <c r="V3007" s="2" t="s">
        <v>1284</v>
      </c>
      <c r="W3007" s="2" t="s">
        <v>1285</v>
      </c>
      <c r="X3007" s="2" t="s">
        <v>147</v>
      </c>
      <c r="Y3007" s="2">
        <v>39</v>
      </c>
      <c r="Z3007" s="2">
        <v>0</v>
      </c>
      <c r="AA3007" s="2" t="s">
        <v>478</v>
      </c>
      <c r="AB3007" s="2" t="s">
        <v>20083</v>
      </c>
      <c r="AC3007" s="2">
        <v>2.0926937742779899</v>
      </c>
      <c r="AD3007" s="2"/>
      <c r="AE3007" s="2">
        <v>0.20007314442881699</v>
      </c>
      <c r="AF3007" s="2">
        <v>15850.5800341874</v>
      </c>
      <c r="AG3007" s="2">
        <v>17315.419409525799</v>
      </c>
      <c r="AH3007" s="4">
        <v>0.91540260500230197</v>
      </c>
      <c r="AI3007" s="4">
        <v>-0.12752169740088001</v>
      </c>
      <c r="AJ3007" s="4" t="s">
        <v>62</v>
      </c>
      <c r="AK3007" s="2">
        <v>0.234641422783091</v>
      </c>
      <c r="AL3007" s="2">
        <v>0.55997646305846605</v>
      </c>
      <c r="AM3007" s="2">
        <v>14104.655420899</v>
      </c>
      <c r="AN3007" s="2">
        <v>13988.4740879971</v>
      </c>
      <c r="AO3007" s="2">
        <v>16997.986872150999</v>
      </c>
      <c r="AP3007" s="2">
        <v>16422.275425432999</v>
      </c>
      <c r="AQ3007" s="2">
        <v>18698.487318133899</v>
      </c>
      <c r="AR3007" s="2">
        <v>14891.6010805103</v>
      </c>
      <c r="AS3007" s="2">
        <v>16369.3000796946</v>
      </c>
      <c r="AT3007" s="2">
        <v>19611.744442125801</v>
      </c>
      <c r="AU3007" s="2">
        <v>14466.4247986053</v>
      </c>
      <c r="AV3007" s="2">
        <v>19287.917121486102</v>
      </c>
      <c r="AW3007" s="2">
        <v>15534.8533740397</v>
      </c>
      <c r="AX3007" s="2">
        <v>18622.2766412036</v>
      </c>
    </row>
    <row r="3008" spans="1:50" x14ac:dyDescent="0.25">
      <c r="A3008" s="2" t="s">
        <v>20084</v>
      </c>
      <c r="B3008" s="2">
        <v>478.20624692270701</v>
      </c>
      <c r="C3008" s="2">
        <v>8.1461000000000006</v>
      </c>
      <c r="D3008" s="2" t="s">
        <v>51</v>
      </c>
      <c r="E3008" s="2" t="s">
        <v>20085</v>
      </c>
      <c r="F3008" s="2">
        <v>10388</v>
      </c>
      <c r="G3008" s="3" t="str">
        <f>HYPERLINK("https://cloud.oebiotech.com/#/lm/network/10388", "https://cloud.oebiotech.com/#/lm/network/10388")</f>
        <v>https://cloud.oebiotech.com/#/lm/network/10388</v>
      </c>
      <c r="H3008" s="2"/>
      <c r="I3008" s="2"/>
      <c r="J3008" s="2" t="s">
        <v>20086</v>
      </c>
      <c r="K3008" s="2">
        <v>86289743</v>
      </c>
      <c r="L3008" s="2"/>
      <c r="M3008" s="2"/>
      <c r="N3008" s="2"/>
      <c r="O3008" s="2">
        <v>79061</v>
      </c>
      <c r="P3008" s="2"/>
      <c r="Q3008" s="2"/>
      <c r="R3008" s="2"/>
      <c r="S3008" s="2" t="s">
        <v>20087</v>
      </c>
      <c r="T3008" s="2" t="s">
        <v>20088</v>
      </c>
      <c r="U3008" s="2" t="s">
        <v>266</v>
      </c>
      <c r="V3008" s="2" t="s">
        <v>445</v>
      </c>
      <c r="W3008" s="2" t="s">
        <v>5555</v>
      </c>
      <c r="X3008" s="2" t="s">
        <v>147</v>
      </c>
      <c r="Y3008" s="2">
        <v>41.3</v>
      </c>
      <c r="Z3008" s="2">
        <v>25</v>
      </c>
      <c r="AA3008" s="2" t="s">
        <v>218</v>
      </c>
      <c r="AB3008" s="2" t="s">
        <v>15218</v>
      </c>
      <c r="AC3008" s="2">
        <v>-4.6358185181662597</v>
      </c>
      <c r="AD3008" s="2"/>
      <c r="AE3008" s="2">
        <v>0.200060343215548</v>
      </c>
      <c r="AF3008" s="2">
        <v>1869.0104641871101</v>
      </c>
      <c r="AG3008" s="2">
        <v>970.419147626263</v>
      </c>
      <c r="AH3008" s="5">
        <v>1.9259826733209899</v>
      </c>
      <c r="AI3008" s="5">
        <v>0.94559472435150804</v>
      </c>
      <c r="AJ3008" s="5" t="s">
        <v>139</v>
      </c>
      <c r="AK3008" s="2">
        <v>5.3008160414921998E-2</v>
      </c>
      <c r="AL3008" s="2">
        <v>0.31731303224527402</v>
      </c>
      <c r="AM3008" s="2">
        <v>3182.9384158508001</v>
      </c>
      <c r="AN3008" s="2">
        <v>1950.5999693449501</v>
      </c>
      <c r="AO3008" s="2">
        <v>1103.5518819367601</v>
      </c>
      <c r="AP3008" s="2">
        <v>1120.6739222759099</v>
      </c>
      <c r="AQ3008" s="2">
        <v>1272.0231648066299</v>
      </c>
      <c r="AR3008" s="2">
        <v>2584.2754309075999</v>
      </c>
      <c r="AS3008" s="2">
        <v>1549.1838976628401</v>
      </c>
      <c r="AT3008" s="2">
        <v>1589.77251815916</v>
      </c>
      <c r="AU3008" s="2">
        <v>994.73969582691404</v>
      </c>
      <c r="AV3008" s="2">
        <v>440.98634160441901</v>
      </c>
      <c r="AW3008" s="2">
        <v>469.93533905300598</v>
      </c>
      <c r="AX3008" s="2">
        <v>777.89709345123697</v>
      </c>
    </row>
    <row r="3009" spans="1:50" x14ac:dyDescent="0.25">
      <c r="A3009" s="2" t="s">
        <v>20089</v>
      </c>
      <c r="B3009" s="2">
        <v>161.09656170111799</v>
      </c>
      <c r="C3009" s="2">
        <v>4.8935333333333304</v>
      </c>
      <c r="D3009" s="2" t="s">
        <v>51</v>
      </c>
      <c r="E3009" s="2" t="s">
        <v>20090</v>
      </c>
      <c r="F3009" s="2">
        <v>201900</v>
      </c>
      <c r="G3009" s="3" t="str">
        <f>HYPERLINK("https://cloud.oebiotech.com/#/lm/network/201900", "https://cloud.oebiotech.com/#/lm/network/201900")</f>
        <v>https://cloud.oebiotech.com/#/lm/network/201900</v>
      </c>
      <c r="H3009" s="2" t="s">
        <v>20091</v>
      </c>
      <c r="I3009" s="2"/>
      <c r="J3009" s="2"/>
      <c r="K3009" s="2"/>
      <c r="L3009" s="2"/>
      <c r="M3009" s="2"/>
      <c r="N3009" s="2"/>
      <c r="O3009" s="2"/>
      <c r="P3009" s="2"/>
      <c r="Q3009" s="2"/>
      <c r="R3009" s="2"/>
      <c r="S3009" s="2" t="s">
        <v>20092</v>
      </c>
      <c r="T3009" s="2" t="s">
        <v>20093</v>
      </c>
      <c r="U3009" s="2" t="s">
        <v>56</v>
      </c>
      <c r="V3009" s="2" t="s">
        <v>145</v>
      </c>
      <c r="W3009" s="2" t="s">
        <v>231</v>
      </c>
      <c r="X3009" s="2" t="s">
        <v>147</v>
      </c>
      <c r="Y3009" s="2">
        <v>38.5</v>
      </c>
      <c r="Z3009" s="2">
        <v>0</v>
      </c>
      <c r="AA3009" s="2" t="s">
        <v>259</v>
      </c>
      <c r="AB3009" s="2" t="s">
        <v>20094</v>
      </c>
      <c r="AC3009" s="2">
        <v>-4.20143100095697</v>
      </c>
      <c r="AD3009" s="2"/>
      <c r="AE3009" s="2">
        <v>0.19997819438707801</v>
      </c>
      <c r="AF3009" s="2">
        <v>4033.8040454207098</v>
      </c>
      <c r="AG3009" s="2">
        <v>5245.4728528244004</v>
      </c>
      <c r="AH3009" s="4">
        <v>0.76900675279421604</v>
      </c>
      <c r="AI3009" s="4">
        <v>-0.37893182806573</v>
      </c>
      <c r="AJ3009" s="4" t="s">
        <v>62</v>
      </c>
      <c r="AK3009" s="2">
        <v>3.5432294362463299E-2</v>
      </c>
      <c r="AL3009" s="2">
        <v>0.27355205673594801</v>
      </c>
      <c r="AM3009" s="2">
        <v>3904.66388618366</v>
      </c>
      <c r="AN3009" s="2">
        <v>4444.5955291210903</v>
      </c>
      <c r="AO3009" s="2">
        <v>3772.0070825245102</v>
      </c>
      <c r="AP3009" s="2">
        <v>3653.94737249421</v>
      </c>
      <c r="AQ3009" s="2">
        <v>3489.9407822721901</v>
      </c>
      <c r="AR3009" s="2">
        <v>4937.6696199285898</v>
      </c>
      <c r="AS3009" s="2">
        <v>4930.7913235797796</v>
      </c>
      <c r="AT3009" s="2">
        <v>5653.5626106853197</v>
      </c>
      <c r="AU3009" s="2">
        <v>4917.3382011870299</v>
      </c>
      <c r="AV3009" s="2">
        <v>3996.4721045582401</v>
      </c>
      <c r="AW3009" s="2">
        <v>7194.0141175091303</v>
      </c>
      <c r="AX3009" s="2">
        <v>4780.6587594269204</v>
      </c>
    </row>
    <row r="3010" spans="1:50" x14ac:dyDescent="0.25">
      <c r="A3010" s="2" t="s">
        <v>20095</v>
      </c>
      <c r="B3010" s="2">
        <v>437.04117610035701</v>
      </c>
      <c r="C3010" s="2">
        <v>0.68473333333333297</v>
      </c>
      <c r="D3010" s="2" t="s">
        <v>51</v>
      </c>
      <c r="E3010" s="2" t="s">
        <v>20096</v>
      </c>
      <c r="F3010" s="2">
        <v>205295</v>
      </c>
      <c r="G3010" s="3" t="str">
        <f>HYPERLINK("https://cloud.oebiotech.com/#/lm/network/205295", "https://cloud.oebiotech.com/#/lm/network/205295")</f>
        <v>https://cloud.oebiotech.com/#/lm/network/205295</v>
      </c>
      <c r="H3010" s="2" t="s">
        <v>20097</v>
      </c>
      <c r="I3010" s="2"/>
      <c r="J3010" s="2"/>
      <c r="K3010" s="2">
        <v>132280893</v>
      </c>
      <c r="L3010" s="2"/>
      <c r="M3010" s="2"/>
      <c r="N3010" s="2"/>
      <c r="O3010" s="2"/>
      <c r="P3010" s="2"/>
      <c r="Q3010" s="2"/>
      <c r="R3010" s="2"/>
      <c r="S3010" s="2" t="s">
        <v>20098</v>
      </c>
      <c r="T3010" s="2" t="s">
        <v>20099</v>
      </c>
      <c r="U3010" s="2" t="s">
        <v>103</v>
      </c>
      <c r="V3010" s="2" t="s">
        <v>104</v>
      </c>
      <c r="W3010" s="2" t="s">
        <v>105</v>
      </c>
      <c r="X3010" s="2" t="s">
        <v>147</v>
      </c>
      <c r="Y3010" s="2">
        <v>38.1</v>
      </c>
      <c r="Z3010" s="2">
        <v>0</v>
      </c>
      <c r="AA3010" s="2" t="s">
        <v>478</v>
      </c>
      <c r="AB3010" s="2" t="s">
        <v>20100</v>
      </c>
      <c r="AC3010" s="2">
        <v>1.11113159973864</v>
      </c>
      <c r="AD3010" s="2"/>
      <c r="AE3010" s="2">
        <v>0.199747813855321</v>
      </c>
      <c r="AF3010" s="2">
        <v>2375.0946469376699</v>
      </c>
      <c r="AG3010" s="2">
        <v>5410.5798156627498</v>
      </c>
      <c r="AH3010" s="4">
        <v>0.438972296474059</v>
      </c>
      <c r="AI3010" s="4">
        <v>-1.1877982006862799</v>
      </c>
      <c r="AJ3010" s="4" t="s">
        <v>62</v>
      </c>
      <c r="AK3010" s="2">
        <v>0.451502936174553</v>
      </c>
      <c r="AL3010" s="2">
        <v>0.70528155934299797</v>
      </c>
      <c r="AM3010" s="2">
        <v>8.559877937157E-6</v>
      </c>
      <c r="AN3010" s="2">
        <v>8.559877937157E-6</v>
      </c>
      <c r="AO3010" s="2">
        <v>8.559877937157E-6</v>
      </c>
      <c r="AP3010" s="2">
        <v>8.559877937157E-6</v>
      </c>
      <c r="AQ3010" s="2">
        <v>11042.4393437125</v>
      </c>
      <c r="AR3010" s="2">
        <v>3208.1285036740201</v>
      </c>
      <c r="AS3010" s="2">
        <v>16800.8742625417</v>
      </c>
      <c r="AT3010" s="2">
        <v>15662.604597195301</v>
      </c>
      <c r="AU3010" s="2">
        <v>8.559877937157E-6</v>
      </c>
      <c r="AV3010" s="2">
        <v>8.559877937157E-6</v>
      </c>
      <c r="AW3010" s="2">
        <v>8.559877937157E-6</v>
      </c>
      <c r="AX3010" s="2">
        <v>8.559877937157E-6</v>
      </c>
    </row>
    <row r="3011" spans="1:50" x14ac:dyDescent="0.25">
      <c r="A3011" s="2" t="s">
        <v>20101</v>
      </c>
      <c r="B3011" s="2">
        <v>212.16521285113399</v>
      </c>
      <c r="C3011" s="2">
        <v>6.1681499999999998</v>
      </c>
      <c r="D3011" s="2" t="s">
        <v>51</v>
      </c>
      <c r="E3011" s="2" t="s">
        <v>20102</v>
      </c>
      <c r="F3011" s="2">
        <v>52233</v>
      </c>
      <c r="G3011" s="3" t="str">
        <f>HYPERLINK("https://cloud.oebiotech.com/#/lm/network/52233", "https://cloud.oebiotech.com/#/lm/network/52233")</f>
        <v>https://cloud.oebiotech.com/#/lm/network/52233</v>
      </c>
      <c r="H3011" s="2" t="s">
        <v>20103</v>
      </c>
      <c r="I3011" s="2"/>
      <c r="J3011" s="2"/>
      <c r="K3011" s="2">
        <v>1712391</v>
      </c>
      <c r="L3011" s="2"/>
      <c r="M3011" s="2"/>
      <c r="N3011" s="2"/>
      <c r="O3011" s="2">
        <v>74430</v>
      </c>
      <c r="P3011" s="2"/>
      <c r="Q3011" s="2"/>
      <c r="R3011" s="2"/>
      <c r="S3011" s="2" t="s">
        <v>20104</v>
      </c>
      <c r="T3011" s="2" t="s">
        <v>20105</v>
      </c>
      <c r="U3011" s="2" t="s">
        <v>103</v>
      </c>
      <c r="V3011" s="2" t="s">
        <v>104</v>
      </c>
      <c r="W3011" s="2" t="s">
        <v>105</v>
      </c>
      <c r="X3011" s="2" t="s">
        <v>147</v>
      </c>
      <c r="Y3011" s="2">
        <v>39.5</v>
      </c>
      <c r="Z3011" s="2">
        <v>9.76</v>
      </c>
      <c r="AA3011" s="2" t="s">
        <v>786</v>
      </c>
      <c r="AB3011" s="2" t="s">
        <v>20106</v>
      </c>
      <c r="AC3011" s="2">
        <v>3.0872577378367998</v>
      </c>
      <c r="AD3011" s="2"/>
      <c r="AE3011" s="2">
        <v>0.199716518184401</v>
      </c>
      <c r="AF3011" s="2">
        <v>8641.9718084696506</v>
      </c>
      <c r="AG3011" s="2">
        <v>5647.4592426033396</v>
      </c>
      <c r="AH3011" s="5">
        <v>1.53024066880843</v>
      </c>
      <c r="AI3011" s="5">
        <v>0.61375857082060503</v>
      </c>
      <c r="AJ3011" s="5" t="s">
        <v>139</v>
      </c>
      <c r="AK3011" s="2">
        <v>0.35652872074421699</v>
      </c>
      <c r="AL3011" s="2">
        <v>0.64439059109587704</v>
      </c>
      <c r="AM3011" s="2">
        <v>3990.7541988981702</v>
      </c>
      <c r="AN3011" s="2">
        <v>4499.64387289972</v>
      </c>
      <c r="AO3011" s="2">
        <v>13525.2233356</v>
      </c>
      <c r="AP3011" s="2">
        <v>4179.1494958025296</v>
      </c>
      <c r="AQ3011" s="2">
        <v>21078.803783750802</v>
      </c>
      <c r="AR3011" s="2">
        <v>4578.2561638666903</v>
      </c>
      <c r="AS3011" s="2">
        <v>10495.3234367188</v>
      </c>
      <c r="AT3011" s="2">
        <v>4898.1605827603998</v>
      </c>
      <c r="AU3011" s="2">
        <v>6689.7896076882898</v>
      </c>
      <c r="AV3011" s="2">
        <v>4255.0446557015803</v>
      </c>
      <c r="AW3011" s="2">
        <v>3608.0837551336499</v>
      </c>
      <c r="AX3011" s="2">
        <v>3938.3534176172898</v>
      </c>
    </row>
    <row r="3012" spans="1:50" x14ac:dyDescent="0.25">
      <c r="A3012" s="2" t="s">
        <v>20107</v>
      </c>
      <c r="B3012" s="2">
        <v>303.19251999525898</v>
      </c>
      <c r="C3012" s="2">
        <v>4.0687333333333298</v>
      </c>
      <c r="D3012" s="2" t="s">
        <v>51</v>
      </c>
      <c r="E3012" s="2" t="s">
        <v>20108</v>
      </c>
      <c r="F3012" s="2">
        <v>1420</v>
      </c>
      <c r="G3012" s="3" t="str">
        <f>HYPERLINK("https://cloud.oebiotech.com/#/lm/network/1420", "https://cloud.oebiotech.com/#/lm/network/1420")</f>
        <v>https://cloud.oebiotech.com/#/lm/network/1420</v>
      </c>
      <c r="H3012" s="2"/>
      <c r="I3012" s="2"/>
      <c r="J3012" s="2" t="s">
        <v>20109</v>
      </c>
      <c r="K3012" s="2">
        <v>21159003</v>
      </c>
      <c r="L3012" s="2"/>
      <c r="M3012" s="2"/>
      <c r="N3012" s="2"/>
      <c r="O3012" s="2"/>
      <c r="P3012" s="2"/>
      <c r="Q3012" s="2"/>
      <c r="R3012" s="2"/>
      <c r="S3012" s="2" t="s">
        <v>20110</v>
      </c>
      <c r="T3012" s="2" t="s">
        <v>20111</v>
      </c>
      <c r="U3012" s="2" t="s">
        <v>56</v>
      </c>
      <c r="V3012" s="2" t="s">
        <v>145</v>
      </c>
      <c r="W3012" s="2" t="s">
        <v>231</v>
      </c>
      <c r="X3012" s="2" t="s">
        <v>147</v>
      </c>
      <c r="Y3012" s="2">
        <v>44.5</v>
      </c>
      <c r="Z3012" s="2">
        <v>31.8</v>
      </c>
      <c r="AA3012" s="2" t="s">
        <v>95</v>
      </c>
      <c r="AB3012" s="2" t="s">
        <v>10077</v>
      </c>
      <c r="AC3012" s="2">
        <v>-1.9465877852220399</v>
      </c>
      <c r="AD3012" s="2"/>
      <c r="AE3012" s="2">
        <v>0.19951958775932699</v>
      </c>
      <c r="AF3012" s="2">
        <v>3577.7551000268099</v>
      </c>
      <c r="AG3012" s="2">
        <v>1385.9347942664299</v>
      </c>
      <c r="AH3012" s="5">
        <v>2.5814743340219701</v>
      </c>
      <c r="AI3012" s="5">
        <v>1.3681952543598599</v>
      </c>
      <c r="AJ3012" s="5" t="s">
        <v>139</v>
      </c>
      <c r="AK3012" s="2">
        <v>0.39126935026683601</v>
      </c>
      <c r="AL3012" s="2">
        <v>0.66528673878009803</v>
      </c>
      <c r="AM3012" s="2">
        <v>193.87351225348601</v>
      </c>
      <c r="AN3012" s="2">
        <v>323.05258767366001</v>
      </c>
      <c r="AO3012" s="2">
        <v>10478.6501634325</v>
      </c>
      <c r="AP3012" s="2">
        <v>402.58977113242798</v>
      </c>
      <c r="AQ3012" s="2">
        <v>9637.7592717593307</v>
      </c>
      <c r="AR3012" s="2">
        <v>430.60529390944203</v>
      </c>
      <c r="AS3012" s="2">
        <v>202.82738955472399</v>
      </c>
      <c r="AT3012" s="2">
        <v>8.559877937157E-6</v>
      </c>
      <c r="AU3012" s="2">
        <v>8036.7897089445296</v>
      </c>
      <c r="AV3012" s="2">
        <v>75.991641419689302</v>
      </c>
      <c r="AW3012" s="2">
        <v>8.559877937157E-6</v>
      </c>
      <c r="AX3012" s="2">
        <v>8.559877937157E-6</v>
      </c>
    </row>
    <row r="3013" spans="1:50" x14ac:dyDescent="0.25">
      <c r="A3013" s="2" t="s">
        <v>20112</v>
      </c>
      <c r="B3013" s="2">
        <v>223.096992396014</v>
      </c>
      <c r="C3013" s="2">
        <v>5.5806833333333303</v>
      </c>
      <c r="D3013" s="2" t="s">
        <v>51</v>
      </c>
      <c r="E3013" s="2" t="s">
        <v>20113</v>
      </c>
      <c r="F3013" s="2">
        <v>60004</v>
      </c>
      <c r="G3013" s="3" t="str">
        <f>HYPERLINK("https://cloud.oebiotech.com/#/lm/network/60004", "https://cloud.oebiotech.com/#/lm/network/60004")</f>
        <v>https://cloud.oebiotech.com/#/lm/network/60004</v>
      </c>
      <c r="H3013" s="2" t="s">
        <v>20114</v>
      </c>
      <c r="I3013" s="2">
        <v>91380</v>
      </c>
      <c r="J3013" s="2"/>
      <c r="K3013" s="2">
        <v>61464</v>
      </c>
      <c r="L3013" s="2"/>
      <c r="M3013" s="2"/>
      <c r="N3013" s="2"/>
      <c r="O3013" s="2"/>
      <c r="P3013" s="2"/>
      <c r="Q3013" s="2"/>
      <c r="R3013" s="2" t="s">
        <v>20115</v>
      </c>
      <c r="S3013" s="2" t="s">
        <v>20116</v>
      </c>
      <c r="T3013" s="2" t="s">
        <v>20117</v>
      </c>
      <c r="U3013" s="2" t="s">
        <v>610</v>
      </c>
      <c r="V3013" s="2" t="s">
        <v>611</v>
      </c>
      <c r="W3013" s="2" t="s">
        <v>2744</v>
      </c>
      <c r="X3013" s="2" t="s">
        <v>147</v>
      </c>
      <c r="Y3013" s="2">
        <v>42.6</v>
      </c>
      <c r="Z3013" s="2">
        <v>22.8</v>
      </c>
      <c r="AA3013" s="2" t="s">
        <v>218</v>
      </c>
      <c r="AB3013" s="2" t="s">
        <v>18413</v>
      </c>
      <c r="AC3013" s="2">
        <v>-3.3136672768295199</v>
      </c>
      <c r="AD3013" s="2"/>
      <c r="AE3013" s="2">
        <v>0.19940323343236399</v>
      </c>
      <c r="AF3013" s="2">
        <v>3169.5660947199399</v>
      </c>
      <c r="AG3013" s="2">
        <v>5179.8447084975196</v>
      </c>
      <c r="AH3013" s="4">
        <v>0.61190369076514495</v>
      </c>
      <c r="AI3013" s="4">
        <v>-0.70862349391290502</v>
      </c>
      <c r="AJ3013" s="4" t="s">
        <v>62</v>
      </c>
      <c r="AK3013" s="2">
        <v>0.30427468522891599</v>
      </c>
      <c r="AL3013" s="2">
        <v>0.61382222433030098</v>
      </c>
      <c r="AM3013" s="2">
        <v>3551.0439617822199</v>
      </c>
      <c r="AN3013" s="2">
        <v>1477.0045963262401</v>
      </c>
      <c r="AO3013" s="2">
        <v>3261.0071512085901</v>
      </c>
      <c r="AP3013" s="2">
        <v>8.559877937157E-6</v>
      </c>
      <c r="AQ3013" s="2">
        <v>1956.41791219013</v>
      </c>
      <c r="AR3013" s="2">
        <v>8771.9229382525591</v>
      </c>
      <c r="AS3013" s="2">
        <v>2835.1915579883498</v>
      </c>
      <c r="AT3013" s="2">
        <v>3196.5675578606501</v>
      </c>
      <c r="AU3013" s="2">
        <v>5597.7167759750901</v>
      </c>
      <c r="AV3013" s="2">
        <v>4952.9402709043297</v>
      </c>
      <c r="AW3013" s="2">
        <v>11678.2681852609</v>
      </c>
      <c r="AX3013" s="2">
        <v>2818.3839029957699</v>
      </c>
    </row>
    <row r="3014" spans="1:50" x14ac:dyDescent="0.25">
      <c r="A3014" s="2" t="s">
        <v>20118</v>
      </c>
      <c r="B3014" s="2">
        <v>421.22078070060297</v>
      </c>
      <c r="C3014" s="2">
        <v>6.9397333333333302</v>
      </c>
      <c r="D3014" s="2" t="s">
        <v>51</v>
      </c>
      <c r="E3014" s="2" t="s">
        <v>20119</v>
      </c>
      <c r="F3014" s="2">
        <v>52773</v>
      </c>
      <c r="G3014" s="3" t="str">
        <f>HYPERLINK("https://cloud.oebiotech.com/#/lm/network/52773", "https://cloud.oebiotech.com/#/lm/network/52773")</f>
        <v>https://cloud.oebiotech.com/#/lm/network/52773</v>
      </c>
      <c r="H3014" s="2" t="s">
        <v>20120</v>
      </c>
      <c r="I3014" s="2">
        <v>85379</v>
      </c>
      <c r="J3014" s="2"/>
      <c r="K3014" s="2">
        <v>119570</v>
      </c>
      <c r="L3014" s="2"/>
      <c r="M3014" s="2"/>
      <c r="N3014" s="2"/>
      <c r="O3014" s="2">
        <v>8356</v>
      </c>
      <c r="P3014" s="2"/>
      <c r="Q3014" s="2"/>
      <c r="R3014" s="2" t="s">
        <v>20121</v>
      </c>
      <c r="S3014" s="2" t="s">
        <v>20122</v>
      </c>
      <c r="T3014" s="2" t="s">
        <v>20123</v>
      </c>
      <c r="U3014" s="2" t="s">
        <v>119</v>
      </c>
      <c r="V3014" s="2" t="s">
        <v>120</v>
      </c>
      <c r="W3014" s="2" t="s">
        <v>1887</v>
      </c>
      <c r="X3014" s="2" t="s">
        <v>147</v>
      </c>
      <c r="Y3014" s="2">
        <v>38.299999999999997</v>
      </c>
      <c r="Z3014" s="2">
        <v>0</v>
      </c>
      <c r="AA3014" s="2" t="s">
        <v>478</v>
      </c>
      <c r="AB3014" s="2" t="s">
        <v>20124</v>
      </c>
      <c r="AC3014" s="2">
        <v>-1.3736315500768499</v>
      </c>
      <c r="AD3014" s="2"/>
      <c r="AE3014" s="2">
        <v>0.19930748172843199</v>
      </c>
      <c r="AF3014" s="2">
        <v>2191.8192616556898</v>
      </c>
      <c r="AG3014" s="2">
        <v>906.03458047660502</v>
      </c>
      <c r="AH3014" s="5">
        <v>2.4191342238866</v>
      </c>
      <c r="AI3014" s="5">
        <v>1.2744908184138899</v>
      </c>
      <c r="AJ3014" s="5" t="s">
        <v>139</v>
      </c>
      <c r="AK3014" s="2">
        <v>3.0923021557434E-2</v>
      </c>
      <c r="AL3014" s="2">
        <v>0.26142937464104898</v>
      </c>
      <c r="AM3014" s="2">
        <v>1664.11842096747</v>
      </c>
      <c r="AN3014" s="2">
        <v>3533.9186615183798</v>
      </c>
      <c r="AO3014" s="2">
        <v>1970.7104973886501</v>
      </c>
      <c r="AP3014" s="2">
        <v>3523.9633154069002</v>
      </c>
      <c r="AQ3014" s="2">
        <v>1512.3277208177699</v>
      </c>
      <c r="AR3014" s="2">
        <v>945.87695383496998</v>
      </c>
      <c r="AS3014" s="2">
        <v>1753.4861461611399</v>
      </c>
      <c r="AT3014" s="2">
        <v>401.45167977269301</v>
      </c>
      <c r="AU3014" s="2">
        <v>911.26607622805204</v>
      </c>
      <c r="AV3014" s="2">
        <v>8.559877937157E-6</v>
      </c>
      <c r="AW3014" s="2">
        <v>1125.5695916659699</v>
      </c>
      <c r="AX3014" s="2">
        <v>1244.4339804719</v>
      </c>
    </row>
    <row r="3015" spans="1:50" x14ac:dyDescent="0.25">
      <c r="A3015" s="2" t="s">
        <v>20125</v>
      </c>
      <c r="B3015" s="2">
        <v>215.08733886507</v>
      </c>
      <c r="C3015" s="2">
        <v>7.2044833333333296</v>
      </c>
      <c r="D3015" s="2" t="s">
        <v>51</v>
      </c>
      <c r="E3015" s="2" t="s">
        <v>20126</v>
      </c>
      <c r="F3015" s="2">
        <v>199479</v>
      </c>
      <c r="G3015" s="3" t="str">
        <f>HYPERLINK("https://cloud.oebiotech.com/#/lm/network/199479", "https://cloud.oebiotech.com/#/lm/network/199479")</f>
        <v>https://cloud.oebiotech.com/#/lm/network/199479</v>
      </c>
      <c r="H3015" s="2" t="s">
        <v>20127</v>
      </c>
      <c r="I3015" s="2"/>
      <c r="J3015" s="2"/>
      <c r="K3015" s="2">
        <v>16932</v>
      </c>
      <c r="L3015" s="2"/>
      <c r="M3015" s="2"/>
      <c r="N3015" s="2"/>
      <c r="O3015" s="2"/>
      <c r="P3015" s="2"/>
      <c r="Q3015" s="2"/>
      <c r="R3015" s="2"/>
      <c r="S3015" s="2" t="s">
        <v>20128</v>
      </c>
      <c r="T3015" s="2" t="s">
        <v>20129</v>
      </c>
      <c r="U3015" s="2" t="s">
        <v>610</v>
      </c>
      <c r="V3015" s="2" t="s">
        <v>15860</v>
      </c>
      <c r="W3015" s="2" t="s">
        <v>240</v>
      </c>
      <c r="X3015" s="2" t="s">
        <v>147</v>
      </c>
      <c r="Y3015" s="2">
        <v>37.1</v>
      </c>
      <c r="Z3015" s="2">
        <v>0</v>
      </c>
      <c r="AA3015" s="2" t="s">
        <v>163</v>
      </c>
      <c r="AB3015" s="2" t="s">
        <v>20130</v>
      </c>
      <c r="AC3015" s="2">
        <v>3.3083406276170599</v>
      </c>
      <c r="AD3015" s="2"/>
      <c r="AE3015" s="2">
        <v>0.19926460571798099</v>
      </c>
      <c r="AF3015" s="2">
        <v>1005.80948212293</v>
      </c>
      <c r="AG3015" s="2">
        <v>39.590458706547999</v>
      </c>
      <c r="AH3015" s="5">
        <v>25.405350556258401</v>
      </c>
      <c r="AI3015" s="5">
        <v>4.6670604662178796</v>
      </c>
      <c r="AJ3015" s="5" t="s">
        <v>139</v>
      </c>
      <c r="AK3015" s="2">
        <v>0.11963171982404799</v>
      </c>
      <c r="AL3015" s="2">
        <v>0.43766036031086097</v>
      </c>
      <c r="AM3015" s="2">
        <v>3571.0484360801802</v>
      </c>
      <c r="AN3015" s="2">
        <v>43.313950394610202</v>
      </c>
      <c r="AO3015" s="2">
        <v>984.89630738255005</v>
      </c>
      <c r="AP3015" s="2">
        <v>8.559877937157E-6</v>
      </c>
      <c r="AQ3015" s="2">
        <v>1418.874965689</v>
      </c>
      <c r="AR3015" s="2">
        <v>16.7232246313405</v>
      </c>
      <c r="AS3015" s="2">
        <v>15.84817015276</v>
      </c>
      <c r="AT3015" s="2">
        <v>52.7765030437617</v>
      </c>
      <c r="AU3015" s="2">
        <v>33.669698972516201</v>
      </c>
      <c r="AV3015" s="2">
        <v>33.475964116294698</v>
      </c>
      <c r="AW3015" s="2">
        <v>17.445487059393201</v>
      </c>
      <c r="AX3015" s="2">
        <v>84.3269288945624</v>
      </c>
    </row>
    <row r="3016" spans="1:50" x14ac:dyDescent="0.25">
      <c r="A3016" s="2" t="s">
        <v>20131</v>
      </c>
      <c r="B3016" s="2">
        <v>593.26724523193195</v>
      </c>
      <c r="C3016" s="2">
        <v>3.9827333333333299</v>
      </c>
      <c r="D3016" s="2" t="s">
        <v>51</v>
      </c>
      <c r="E3016" s="2" t="s">
        <v>20132</v>
      </c>
      <c r="F3016" s="2">
        <v>58586</v>
      </c>
      <c r="G3016" s="3" t="str">
        <f>HYPERLINK("https://cloud.oebiotech.com/#/lm/network/58586", "https://cloud.oebiotech.com/#/lm/network/58586")</f>
        <v>https://cloud.oebiotech.com/#/lm/network/58586</v>
      </c>
      <c r="H3016" s="2" t="s">
        <v>20133</v>
      </c>
      <c r="I3016" s="2">
        <v>90054</v>
      </c>
      <c r="J3016" s="2"/>
      <c r="K3016" s="2">
        <v>10685418</v>
      </c>
      <c r="L3016" s="2"/>
      <c r="M3016" s="2"/>
      <c r="N3016" s="2"/>
      <c r="O3016" s="2"/>
      <c r="P3016" s="2"/>
      <c r="Q3016" s="2"/>
      <c r="R3016" s="2" t="s">
        <v>20134</v>
      </c>
      <c r="S3016" s="2" t="s">
        <v>20135</v>
      </c>
      <c r="T3016" s="2" t="s">
        <v>20136</v>
      </c>
      <c r="U3016" s="2" t="s">
        <v>540</v>
      </c>
      <c r="V3016" s="2" t="s">
        <v>7590</v>
      </c>
      <c r="W3016" s="2" t="s">
        <v>240</v>
      </c>
      <c r="X3016" s="2" t="s">
        <v>147</v>
      </c>
      <c r="Y3016" s="2">
        <v>38.4</v>
      </c>
      <c r="Z3016" s="2">
        <v>0</v>
      </c>
      <c r="AA3016" s="2" t="s">
        <v>478</v>
      </c>
      <c r="AB3016" s="2" t="s">
        <v>20137</v>
      </c>
      <c r="AC3016" s="2">
        <v>2.5825140062347098</v>
      </c>
      <c r="AD3016" s="2"/>
      <c r="AE3016" s="2">
        <v>0.19925725627232399</v>
      </c>
      <c r="AF3016" s="2">
        <v>2038.63552008951</v>
      </c>
      <c r="AG3016" s="2">
        <v>295.234311591162</v>
      </c>
      <c r="AH3016" s="5">
        <v>6.9051442872689996</v>
      </c>
      <c r="AI3016" s="5">
        <v>2.7876715608052098</v>
      </c>
      <c r="AJ3016" s="5" t="s">
        <v>139</v>
      </c>
      <c r="AK3016" s="2">
        <v>0.19469426409065299</v>
      </c>
      <c r="AL3016" s="2">
        <v>0.51850022179270805</v>
      </c>
      <c r="AM3016" s="2">
        <v>3998.8235602475102</v>
      </c>
      <c r="AN3016" s="2">
        <v>8.559877937157E-6</v>
      </c>
      <c r="AO3016" s="2">
        <v>515.767951054935</v>
      </c>
      <c r="AP3016" s="2">
        <v>335.92594832739798</v>
      </c>
      <c r="AQ3016" s="2">
        <v>8.559877937157E-6</v>
      </c>
      <c r="AR3016" s="2">
        <v>7381.29564378747</v>
      </c>
      <c r="AS3016" s="2">
        <v>8.559877937157E-6</v>
      </c>
      <c r="AT3016" s="2">
        <v>8.559877937157E-6</v>
      </c>
      <c r="AU3016" s="2">
        <v>8.559877937157E-6</v>
      </c>
      <c r="AV3016" s="2">
        <v>1226.09929386708</v>
      </c>
      <c r="AW3016" s="2">
        <v>545.30654144038203</v>
      </c>
      <c r="AX3016" s="2">
        <v>8.559877937157E-6</v>
      </c>
    </row>
    <row r="3017" spans="1:50" x14ac:dyDescent="0.25">
      <c r="A3017" s="2" t="s">
        <v>20138</v>
      </c>
      <c r="B3017" s="2">
        <v>481.20804698632497</v>
      </c>
      <c r="C3017" s="2">
        <v>6.69281666666667</v>
      </c>
      <c r="D3017" s="2" t="s">
        <v>51</v>
      </c>
      <c r="E3017" s="2" t="s">
        <v>20139</v>
      </c>
      <c r="F3017" s="2">
        <v>60290</v>
      </c>
      <c r="G3017" s="3" t="str">
        <f>HYPERLINK("https://cloud.oebiotech.com/#/lm/network/60290", "https://cloud.oebiotech.com/#/lm/network/60290")</f>
        <v>https://cloud.oebiotech.com/#/lm/network/60290</v>
      </c>
      <c r="H3017" s="2" t="s">
        <v>20140</v>
      </c>
      <c r="I3017" s="2">
        <v>91661</v>
      </c>
      <c r="J3017" s="2"/>
      <c r="K3017" s="2">
        <v>78169621</v>
      </c>
      <c r="L3017" s="2"/>
      <c r="M3017" s="2"/>
      <c r="N3017" s="2"/>
      <c r="O3017" s="2"/>
      <c r="P3017" s="2"/>
      <c r="Q3017" s="2"/>
      <c r="R3017" s="2" t="s">
        <v>20141</v>
      </c>
      <c r="S3017" s="2" t="s">
        <v>20142</v>
      </c>
      <c r="T3017" s="2" t="s">
        <v>20143</v>
      </c>
      <c r="U3017" s="2" t="s">
        <v>56</v>
      </c>
      <c r="V3017" s="2" t="s">
        <v>177</v>
      </c>
      <c r="W3017" s="2" t="s">
        <v>1996</v>
      </c>
      <c r="X3017" s="2" t="s">
        <v>147</v>
      </c>
      <c r="Y3017" s="2">
        <v>37.6</v>
      </c>
      <c r="Z3017" s="2">
        <v>0.13800000000000001</v>
      </c>
      <c r="AA3017" s="2" t="s">
        <v>163</v>
      </c>
      <c r="AB3017" s="2" t="s">
        <v>20144</v>
      </c>
      <c r="AC3017" s="2">
        <v>0.26156858105467901</v>
      </c>
      <c r="AD3017" s="2"/>
      <c r="AE3017" s="2">
        <v>0.19925301975016299</v>
      </c>
      <c r="AF3017" s="2">
        <v>1446.8183838689799</v>
      </c>
      <c r="AG3017" s="2">
        <v>3305.6102605218798</v>
      </c>
      <c r="AH3017" s="4">
        <v>0.43768571302793602</v>
      </c>
      <c r="AI3017" s="4">
        <v>-1.1920328027087701</v>
      </c>
      <c r="AJ3017" s="4" t="s">
        <v>62</v>
      </c>
      <c r="AK3017" s="2">
        <v>0.41644673097985802</v>
      </c>
      <c r="AL3017" s="2">
        <v>0.67886991812943998</v>
      </c>
      <c r="AM3017" s="2">
        <v>983.68720375918804</v>
      </c>
      <c r="AN3017" s="2">
        <v>1045.2046684214499</v>
      </c>
      <c r="AO3017" s="2">
        <v>1279.3262935555299</v>
      </c>
      <c r="AP3017" s="2">
        <v>1283.4143079774601</v>
      </c>
      <c r="AQ3017" s="2">
        <v>256.00322222504599</v>
      </c>
      <c r="AR3017" s="2">
        <v>3833.2746072752002</v>
      </c>
      <c r="AS3017" s="2">
        <v>436.07350039917799</v>
      </c>
      <c r="AT3017" s="2">
        <v>1282.7515443063401</v>
      </c>
      <c r="AU3017" s="2">
        <v>754.49982651717301</v>
      </c>
      <c r="AV3017" s="2">
        <v>3398.6717107340701</v>
      </c>
      <c r="AW3017" s="2">
        <v>13720.7048145592</v>
      </c>
      <c r="AX3017" s="2">
        <v>240.96016661529299</v>
      </c>
    </row>
    <row r="3018" spans="1:50" x14ac:dyDescent="0.25">
      <c r="A3018" s="2" t="s">
        <v>20145</v>
      </c>
      <c r="B3018" s="2">
        <v>305.02281936134801</v>
      </c>
      <c r="C3018" s="2">
        <v>3.60421666666667</v>
      </c>
      <c r="D3018" s="2" t="s">
        <v>51</v>
      </c>
      <c r="E3018" s="2" t="s">
        <v>20146</v>
      </c>
      <c r="F3018" s="2">
        <v>202965</v>
      </c>
      <c r="G3018" s="3" t="str">
        <f>HYPERLINK("https://cloud.oebiotech.com/#/lm/network/202965", "https://cloud.oebiotech.com/#/lm/network/202965")</f>
        <v>https://cloud.oebiotech.com/#/lm/network/202965</v>
      </c>
      <c r="H3018" s="2" t="s">
        <v>20147</v>
      </c>
      <c r="I3018" s="2"/>
      <c r="J3018" s="2"/>
      <c r="K3018" s="2">
        <v>65352</v>
      </c>
      <c r="L3018" s="2"/>
      <c r="M3018" s="2"/>
      <c r="N3018" s="2"/>
      <c r="O3018" s="2"/>
      <c r="P3018" s="2"/>
      <c r="Q3018" s="2"/>
      <c r="R3018" s="2"/>
      <c r="S3018" s="2" t="s">
        <v>20148</v>
      </c>
      <c r="T3018" s="2" t="s">
        <v>20149</v>
      </c>
      <c r="U3018" s="2" t="s">
        <v>103</v>
      </c>
      <c r="V3018" s="2" t="s">
        <v>104</v>
      </c>
      <c r="W3018" s="2" t="s">
        <v>105</v>
      </c>
      <c r="X3018" s="2" t="s">
        <v>147</v>
      </c>
      <c r="Y3018" s="2">
        <v>43.1</v>
      </c>
      <c r="Z3018" s="2">
        <v>23.3</v>
      </c>
      <c r="AA3018" s="2" t="s">
        <v>95</v>
      </c>
      <c r="AB3018" s="2" t="s">
        <v>20150</v>
      </c>
      <c r="AC3018" s="2">
        <v>-2.88927518399043</v>
      </c>
      <c r="AD3018" s="2"/>
      <c r="AE3018" s="2">
        <v>0.19903894339137501</v>
      </c>
      <c r="AF3018" s="2">
        <v>15217.250363695301</v>
      </c>
      <c r="AG3018" s="2">
        <v>12333.1018970486</v>
      </c>
      <c r="AH3018" s="5">
        <v>1.23385426397367</v>
      </c>
      <c r="AI3018" s="5">
        <v>0.30317200140879802</v>
      </c>
      <c r="AJ3018" s="5" t="s">
        <v>139</v>
      </c>
      <c r="AK3018" s="2">
        <v>0.38630840714727899</v>
      </c>
      <c r="AL3018" s="2">
        <v>0.66248209509918998</v>
      </c>
      <c r="AM3018" s="2">
        <v>10186.973267629601</v>
      </c>
      <c r="AN3018" s="2">
        <v>20604.078350712502</v>
      </c>
      <c r="AO3018" s="2">
        <v>12053.922616214701</v>
      </c>
      <c r="AP3018" s="2">
        <v>22729.8559806761</v>
      </c>
      <c r="AQ3018" s="2">
        <v>13919.1645741991</v>
      </c>
      <c r="AR3018" s="2">
        <v>11809.507392739601</v>
      </c>
      <c r="AS3018" s="2">
        <v>12297.3395085715</v>
      </c>
      <c r="AT3018" s="2">
        <v>19238.493717203899</v>
      </c>
      <c r="AU3018" s="2">
        <v>10051.3964634317</v>
      </c>
      <c r="AV3018" s="2">
        <v>2869.64115598745</v>
      </c>
      <c r="AW3018" s="2">
        <v>11968.820954875</v>
      </c>
      <c r="AX3018" s="2">
        <v>17572.919582222301</v>
      </c>
    </row>
    <row r="3019" spans="1:50" x14ac:dyDescent="0.25">
      <c r="A3019" s="2" t="s">
        <v>20151</v>
      </c>
      <c r="B3019" s="2">
        <v>246.056139113911</v>
      </c>
      <c r="C3019" s="2">
        <v>0.82335000000000003</v>
      </c>
      <c r="D3019" s="2" t="s">
        <v>51</v>
      </c>
      <c r="E3019" s="2" t="s">
        <v>20152</v>
      </c>
      <c r="F3019" s="2">
        <v>200454</v>
      </c>
      <c r="G3019" s="3" t="str">
        <f>HYPERLINK("https://cloud.oebiotech.com/#/lm/network/200454", "https://cloud.oebiotech.com/#/lm/network/200454")</f>
        <v>https://cloud.oebiotech.com/#/lm/network/200454</v>
      </c>
      <c r="H3019" s="2" t="s">
        <v>20153</v>
      </c>
      <c r="I3019" s="2"/>
      <c r="J3019" s="2"/>
      <c r="K3019" s="2">
        <v>534472</v>
      </c>
      <c r="L3019" s="2"/>
      <c r="M3019" s="2"/>
      <c r="N3019" s="2"/>
      <c r="O3019" s="2"/>
      <c r="P3019" s="2"/>
      <c r="Q3019" s="2"/>
      <c r="R3019" s="2"/>
      <c r="S3019" s="2" t="s">
        <v>20154</v>
      </c>
      <c r="T3019" s="2" t="s">
        <v>20155</v>
      </c>
      <c r="U3019" s="2" t="s">
        <v>103</v>
      </c>
      <c r="V3019" s="2" t="s">
        <v>104</v>
      </c>
      <c r="W3019" s="2" t="s">
        <v>105</v>
      </c>
      <c r="X3019" s="2" t="s">
        <v>147</v>
      </c>
      <c r="Y3019" s="2">
        <v>39.1</v>
      </c>
      <c r="Z3019" s="2">
        <v>4.0599999999999996</v>
      </c>
      <c r="AA3019" s="2" t="s">
        <v>395</v>
      </c>
      <c r="AB3019" s="2" t="s">
        <v>20156</v>
      </c>
      <c r="AC3019" s="2">
        <v>0.32171666268090898</v>
      </c>
      <c r="AD3019" s="2"/>
      <c r="AE3019" s="2">
        <v>0.19902898921203099</v>
      </c>
      <c r="AF3019" s="2">
        <v>42683.892174268898</v>
      </c>
      <c r="AG3019" s="2">
        <v>40480.813714326803</v>
      </c>
      <c r="AH3019" s="5">
        <v>1.0544227810115001</v>
      </c>
      <c r="AI3019" s="5">
        <v>7.6453445505334797E-2</v>
      </c>
      <c r="AJ3019" s="5" t="s">
        <v>139</v>
      </c>
      <c r="AK3019" s="2">
        <v>0.72703114026606797</v>
      </c>
      <c r="AL3019" s="2">
        <v>0.87429286606433898</v>
      </c>
      <c r="AM3019" s="2">
        <v>55939.3114394226</v>
      </c>
      <c r="AN3019" s="2">
        <v>41934.0990229319</v>
      </c>
      <c r="AO3019" s="2">
        <v>40578.2266313242</v>
      </c>
      <c r="AP3019" s="2">
        <v>56069.346363864403</v>
      </c>
      <c r="AQ3019" s="2">
        <v>38926.082538851799</v>
      </c>
      <c r="AR3019" s="2">
        <v>22656.287049218299</v>
      </c>
      <c r="AS3019" s="2">
        <v>33935.550720390696</v>
      </c>
      <c r="AT3019" s="2">
        <v>49403.411659897203</v>
      </c>
      <c r="AU3019" s="2">
        <v>42138.797417280199</v>
      </c>
      <c r="AV3019" s="2">
        <v>31696.253990656998</v>
      </c>
      <c r="AW3019" s="2">
        <v>51245.458003148502</v>
      </c>
      <c r="AX3019" s="2">
        <v>34465.4104945871</v>
      </c>
    </row>
    <row r="3020" spans="1:50" x14ac:dyDescent="0.25">
      <c r="A3020" s="2" t="s">
        <v>20157</v>
      </c>
      <c r="B3020" s="2">
        <v>266.15474351609299</v>
      </c>
      <c r="C3020" s="2">
        <v>7.69593333333333</v>
      </c>
      <c r="D3020" s="2" t="s">
        <v>51</v>
      </c>
      <c r="E3020" s="2" t="s">
        <v>20158</v>
      </c>
      <c r="F3020" s="2">
        <v>52574</v>
      </c>
      <c r="G3020" s="3" t="str">
        <f>HYPERLINK("https://cloud.oebiotech.com/#/lm/network/52574", "https://cloud.oebiotech.com/#/lm/network/52574")</f>
        <v>https://cloud.oebiotech.com/#/lm/network/52574</v>
      </c>
      <c r="H3020" s="2" t="s">
        <v>20159</v>
      </c>
      <c r="I3020" s="2"/>
      <c r="J3020" s="2"/>
      <c r="K3020" s="2">
        <v>6506716</v>
      </c>
      <c r="L3020" s="2"/>
      <c r="M3020" s="2"/>
      <c r="N3020" s="2"/>
      <c r="O3020" s="2"/>
      <c r="P3020" s="2"/>
      <c r="Q3020" s="2"/>
      <c r="R3020" s="2"/>
      <c r="S3020" s="2" t="s">
        <v>20160</v>
      </c>
      <c r="T3020" s="2" t="s">
        <v>20161</v>
      </c>
      <c r="U3020" s="2" t="s">
        <v>610</v>
      </c>
      <c r="V3020" s="2" t="s">
        <v>20162</v>
      </c>
      <c r="W3020" s="2" t="s">
        <v>240</v>
      </c>
      <c r="X3020" s="2" t="s">
        <v>147</v>
      </c>
      <c r="Y3020" s="2">
        <v>46.1</v>
      </c>
      <c r="Z3020" s="2">
        <v>39.4</v>
      </c>
      <c r="AA3020" s="2" t="s">
        <v>259</v>
      </c>
      <c r="AB3020" s="2" t="s">
        <v>20163</v>
      </c>
      <c r="AC3020" s="2">
        <v>3.0279483439225401</v>
      </c>
      <c r="AD3020" s="2"/>
      <c r="AE3020" s="2">
        <v>0.19867744759095801</v>
      </c>
      <c r="AF3020" s="2">
        <v>3209.7114205794401</v>
      </c>
      <c r="AG3020" s="2">
        <v>546.934831116336</v>
      </c>
      <c r="AH3020" s="5">
        <v>5.8685445467573798</v>
      </c>
      <c r="AI3020" s="5">
        <v>2.55300274600387</v>
      </c>
      <c r="AJ3020" s="5" t="s">
        <v>139</v>
      </c>
      <c r="AK3020" s="2">
        <v>0.24680661647305099</v>
      </c>
      <c r="AL3020" s="2">
        <v>0.57119796911972998</v>
      </c>
      <c r="AM3020" s="2">
        <v>510.888988278147</v>
      </c>
      <c r="AN3020" s="2">
        <v>587.75125705299104</v>
      </c>
      <c r="AO3020" s="2">
        <v>669.23149322739096</v>
      </c>
      <c r="AP3020" s="2">
        <v>506.96801940977798</v>
      </c>
      <c r="AQ3020" s="2">
        <v>13816.8073436548</v>
      </c>
      <c r="AR3020" s="2">
        <v>3166.6214218535501</v>
      </c>
      <c r="AS3020" s="2">
        <v>496.33866080771799</v>
      </c>
      <c r="AT3020" s="2">
        <v>400.96268126686101</v>
      </c>
      <c r="AU3020" s="2">
        <v>556.31711435338798</v>
      </c>
      <c r="AV3020" s="2">
        <v>873.13623863029898</v>
      </c>
      <c r="AW3020" s="2">
        <v>511.79498739096198</v>
      </c>
      <c r="AX3020" s="2">
        <v>443.05930424878898</v>
      </c>
    </row>
    <row r="3021" spans="1:50" x14ac:dyDescent="0.25">
      <c r="A3021" s="2" t="s">
        <v>20164</v>
      </c>
      <c r="B3021" s="2">
        <v>285.16069503308898</v>
      </c>
      <c r="C3021" s="2">
        <v>4.7703666666666704</v>
      </c>
      <c r="D3021" s="2" t="s">
        <v>51</v>
      </c>
      <c r="E3021" s="2" t="s">
        <v>20165</v>
      </c>
      <c r="F3021" s="2">
        <v>277668</v>
      </c>
      <c r="G3021" s="3" t="str">
        <f>HYPERLINK("https://cloud.oebiotech.com/#/lm/network/277668", "https://cloud.oebiotech.com/#/lm/network/277668")</f>
        <v>https://cloud.oebiotech.com/#/lm/network/277668</v>
      </c>
      <c r="H3021" s="2"/>
      <c r="I3021" s="2">
        <v>69620</v>
      </c>
      <c r="J3021" s="2"/>
      <c r="K3021" s="2">
        <v>656665</v>
      </c>
      <c r="L3021" s="2" t="s">
        <v>20166</v>
      </c>
      <c r="M3021" s="2"/>
      <c r="N3021" s="2"/>
      <c r="O3021" s="2"/>
      <c r="P3021" s="2"/>
      <c r="Q3021" s="2"/>
      <c r="R3021" s="2" t="s">
        <v>20167</v>
      </c>
      <c r="S3021" s="2" t="s">
        <v>20168</v>
      </c>
      <c r="T3021" s="2" t="s">
        <v>20169</v>
      </c>
      <c r="U3021" s="2" t="s">
        <v>266</v>
      </c>
      <c r="V3021" s="2" t="s">
        <v>445</v>
      </c>
      <c r="W3021" s="2" t="s">
        <v>5555</v>
      </c>
      <c r="X3021" s="2" t="s">
        <v>69</v>
      </c>
      <c r="Y3021" s="2">
        <v>52</v>
      </c>
      <c r="Z3021" s="2">
        <v>57.4</v>
      </c>
      <c r="AA3021" s="2" t="s">
        <v>259</v>
      </c>
      <c r="AB3021" s="2" t="s">
        <v>20170</v>
      </c>
      <c r="AC3021" s="2">
        <v>3.3105851323407198</v>
      </c>
      <c r="AD3021" s="2"/>
      <c r="AE3021" s="2">
        <v>0.198647736524871</v>
      </c>
      <c r="AF3021" s="2">
        <v>34370.333289086899</v>
      </c>
      <c r="AG3021" s="2">
        <v>27411.291319170901</v>
      </c>
      <c r="AH3021" s="5">
        <v>1.25387501409132</v>
      </c>
      <c r="AI3021" s="5">
        <v>0.32639354787098901</v>
      </c>
      <c r="AJ3021" s="5" t="s">
        <v>139</v>
      </c>
      <c r="AK3021" s="2">
        <v>0.71068648329702599</v>
      </c>
      <c r="AL3021" s="2">
        <v>0.86232283902195805</v>
      </c>
      <c r="AM3021" s="2">
        <v>35486.987482420103</v>
      </c>
      <c r="AN3021" s="2">
        <v>24408.995044353898</v>
      </c>
      <c r="AO3021" s="2">
        <v>49643.500321651001</v>
      </c>
      <c r="AP3021" s="2">
        <v>39261.771431720997</v>
      </c>
      <c r="AQ3021" s="2">
        <v>42890.936578085501</v>
      </c>
      <c r="AR3021" s="2">
        <v>14529.8088762897</v>
      </c>
      <c r="AS3021" s="2">
        <v>107479.584060533</v>
      </c>
      <c r="AT3021" s="2">
        <v>44155.4337996166</v>
      </c>
      <c r="AU3021" s="2">
        <v>202.291351950435</v>
      </c>
      <c r="AV3021" s="2">
        <v>147.10326148511299</v>
      </c>
      <c r="AW3021" s="2">
        <v>8.559877937157E-6</v>
      </c>
      <c r="AX3021" s="2">
        <v>12483.3354328806</v>
      </c>
    </row>
    <row r="3022" spans="1:50" x14ac:dyDescent="0.25">
      <c r="A3022" s="2" t="s">
        <v>20171</v>
      </c>
      <c r="B3022" s="2">
        <v>520.12390754408</v>
      </c>
      <c r="C3022" s="2">
        <v>7.1716333333333298</v>
      </c>
      <c r="D3022" s="2" t="s">
        <v>51</v>
      </c>
      <c r="E3022" s="2" t="s">
        <v>20172</v>
      </c>
      <c r="F3022" s="2">
        <v>28406</v>
      </c>
      <c r="G3022" s="3" t="str">
        <f>HYPERLINK("https://cloud.oebiotech.com/#/lm/network/28406", "https://cloud.oebiotech.com/#/lm/network/28406")</f>
        <v>https://cloud.oebiotech.com/#/lm/network/28406</v>
      </c>
      <c r="H3022" s="2"/>
      <c r="I3022" s="2"/>
      <c r="J3022" s="2" t="s">
        <v>20173</v>
      </c>
      <c r="K3022" s="2">
        <v>23584711</v>
      </c>
      <c r="L3022" s="2"/>
      <c r="M3022" s="2"/>
      <c r="N3022" s="2"/>
      <c r="O3022" s="2"/>
      <c r="P3022" s="2"/>
      <c r="Q3022" s="2"/>
      <c r="R3022" s="2"/>
      <c r="S3022" s="2" t="s">
        <v>20174</v>
      </c>
      <c r="T3022" s="2" t="s">
        <v>20175</v>
      </c>
      <c r="U3022" s="2" t="s">
        <v>540</v>
      </c>
      <c r="V3022" s="2" t="s">
        <v>541</v>
      </c>
      <c r="W3022" s="2" t="s">
        <v>542</v>
      </c>
      <c r="X3022" s="2" t="s">
        <v>147</v>
      </c>
      <c r="Y3022" s="2">
        <v>36.9</v>
      </c>
      <c r="Z3022" s="2">
        <v>9.0399999999999994E-2</v>
      </c>
      <c r="AA3022" s="2" t="s">
        <v>218</v>
      </c>
      <c r="AB3022" s="2" t="s">
        <v>20176</v>
      </c>
      <c r="AC3022" s="2">
        <v>3.5109175311873502</v>
      </c>
      <c r="AD3022" s="2"/>
      <c r="AE3022" s="2">
        <v>0.19856555964561401</v>
      </c>
      <c r="AF3022" s="2">
        <v>6002.4006387201098</v>
      </c>
      <c r="AG3022" s="2">
        <v>8822.2559692472496</v>
      </c>
      <c r="AH3022" s="4">
        <v>0.68037026579634197</v>
      </c>
      <c r="AI3022" s="4">
        <v>-0.55560800257142695</v>
      </c>
      <c r="AJ3022" s="4" t="s">
        <v>62</v>
      </c>
      <c r="AK3022" s="2">
        <v>0.61800522718624495</v>
      </c>
      <c r="AL3022" s="2">
        <v>0.81067101940007402</v>
      </c>
      <c r="AM3022" s="2">
        <v>217.62484501242</v>
      </c>
      <c r="AN3022" s="2">
        <v>2924.6745175327201</v>
      </c>
      <c r="AO3022" s="2">
        <v>20619.089486668301</v>
      </c>
      <c r="AP3022" s="2">
        <v>10865.033963884</v>
      </c>
      <c r="AQ3022" s="2">
        <v>1387.9810106633599</v>
      </c>
      <c r="AR3022" s="2">
        <v>8.559877937157E-6</v>
      </c>
      <c r="AS3022" s="2">
        <v>3885.6048544809801</v>
      </c>
      <c r="AT3022" s="2">
        <v>7992.2821299279203</v>
      </c>
      <c r="AU3022" s="2">
        <v>4925.5130214424698</v>
      </c>
      <c r="AV3022" s="2">
        <v>30123.807338089598</v>
      </c>
      <c r="AW3022" s="2">
        <v>2138.1110269444598</v>
      </c>
      <c r="AX3022" s="2">
        <v>3868.21744459808</v>
      </c>
    </row>
    <row r="3023" spans="1:50" x14ac:dyDescent="0.25">
      <c r="A3023" s="2" t="s">
        <v>20177</v>
      </c>
      <c r="B3023" s="2">
        <v>454.09316197628101</v>
      </c>
      <c r="C3023" s="2">
        <v>5.2228500000000002</v>
      </c>
      <c r="D3023" s="2" t="s">
        <v>51</v>
      </c>
      <c r="E3023" s="2" t="s">
        <v>20178</v>
      </c>
      <c r="F3023" s="2">
        <v>82047</v>
      </c>
      <c r="G3023" s="3" t="str">
        <f>HYPERLINK("https://cloud.oebiotech.com/#/lm/network/82047", "https://cloud.oebiotech.com/#/lm/network/82047")</f>
        <v>https://cloud.oebiotech.com/#/lm/network/82047</v>
      </c>
      <c r="H3023" s="2" t="s">
        <v>20179</v>
      </c>
      <c r="I3023" s="2"/>
      <c r="J3023" s="2"/>
      <c r="K3023" s="2">
        <v>131769798</v>
      </c>
      <c r="L3023" s="2"/>
      <c r="M3023" s="2"/>
      <c r="N3023" s="2"/>
      <c r="O3023" s="2"/>
      <c r="P3023" s="2"/>
      <c r="Q3023" s="2"/>
      <c r="R3023" s="2"/>
      <c r="S3023" s="2" t="s">
        <v>20180</v>
      </c>
      <c r="T3023" s="2" t="s">
        <v>20181</v>
      </c>
      <c r="U3023" s="2" t="s">
        <v>331</v>
      </c>
      <c r="V3023" s="2" t="s">
        <v>332</v>
      </c>
      <c r="W3023" s="2" t="s">
        <v>333</v>
      </c>
      <c r="X3023" s="2" t="s">
        <v>69</v>
      </c>
      <c r="Y3023" s="2">
        <v>52.7</v>
      </c>
      <c r="Z3023" s="2">
        <v>65.2</v>
      </c>
      <c r="AA3023" s="2" t="s">
        <v>259</v>
      </c>
      <c r="AB3023" s="2" t="s">
        <v>20182</v>
      </c>
      <c r="AC3023" s="2">
        <v>7.12148650435077</v>
      </c>
      <c r="AD3023" s="2"/>
      <c r="AE3023" s="2">
        <v>0.19848897835040299</v>
      </c>
      <c r="AF3023" s="2">
        <v>29.201425241897802</v>
      </c>
      <c r="AG3023" s="2">
        <v>4005.1332487232598</v>
      </c>
      <c r="AH3023" s="4">
        <v>7.2909996817725102E-3</v>
      </c>
      <c r="AI3023" s="4">
        <v>-7.0996676460965098</v>
      </c>
      <c r="AJ3023" s="4" t="s">
        <v>62</v>
      </c>
      <c r="AK3023" s="2">
        <v>0.34023311449037602</v>
      </c>
      <c r="AL3023" s="2">
        <v>0.63815037094278604</v>
      </c>
      <c r="AM3023" s="2">
        <v>8.559877937157E-6</v>
      </c>
      <c r="AN3023" s="2">
        <v>8.559877937157E-6</v>
      </c>
      <c r="AO3023" s="2">
        <v>175.20850865199699</v>
      </c>
      <c r="AP3023" s="2">
        <v>8.559877937157E-6</v>
      </c>
      <c r="AQ3023" s="2">
        <v>8.559877937157E-6</v>
      </c>
      <c r="AR3023" s="2">
        <v>8.559877937157E-6</v>
      </c>
      <c r="AS3023" s="2">
        <v>175.51993467534299</v>
      </c>
      <c r="AT3023" s="2">
        <v>8.559877937157E-6</v>
      </c>
      <c r="AU3023" s="2">
        <v>23855.279523424699</v>
      </c>
      <c r="AV3023" s="2">
        <v>8.559877937157E-6</v>
      </c>
      <c r="AW3023" s="2">
        <v>8.559877937157E-6</v>
      </c>
      <c r="AX3023" s="2">
        <v>8.559877937157E-6</v>
      </c>
    </row>
    <row r="3024" spans="1:50" x14ac:dyDescent="0.25">
      <c r="A3024" s="2" t="s">
        <v>20183</v>
      </c>
      <c r="B3024" s="2">
        <v>200.038051764165</v>
      </c>
      <c r="C3024" s="2">
        <v>4.3658666666666699</v>
      </c>
      <c r="D3024" s="2" t="s">
        <v>51</v>
      </c>
      <c r="E3024" s="2" t="s">
        <v>20184</v>
      </c>
      <c r="F3024" s="2">
        <v>64569</v>
      </c>
      <c r="G3024" s="3" t="str">
        <f>HYPERLINK("https://cloud.oebiotech.com/#/lm/network/64569", "https://cloud.oebiotech.com/#/lm/network/64569")</f>
        <v>https://cloud.oebiotech.com/#/lm/network/64569</v>
      </c>
      <c r="H3024" s="2" t="s">
        <v>20185</v>
      </c>
      <c r="I3024" s="2">
        <v>95871</v>
      </c>
      <c r="J3024" s="2"/>
      <c r="K3024" s="2">
        <v>520888</v>
      </c>
      <c r="L3024" s="2"/>
      <c r="M3024" s="2"/>
      <c r="N3024" s="2"/>
      <c r="O3024" s="2"/>
      <c r="P3024" s="2"/>
      <c r="Q3024" s="2"/>
      <c r="R3024" s="2" t="s">
        <v>20186</v>
      </c>
      <c r="S3024" s="2" t="s">
        <v>20187</v>
      </c>
      <c r="T3024" s="2" t="s">
        <v>20188</v>
      </c>
      <c r="U3024" s="2" t="s">
        <v>266</v>
      </c>
      <c r="V3024" s="2" t="s">
        <v>1585</v>
      </c>
      <c r="W3024" s="2" t="s">
        <v>12356</v>
      </c>
      <c r="X3024" s="2" t="s">
        <v>147</v>
      </c>
      <c r="Y3024" s="2">
        <v>37</v>
      </c>
      <c r="Z3024" s="2">
        <v>2.31</v>
      </c>
      <c r="AA3024" s="2" t="s">
        <v>218</v>
      </c>
      <c r="AB3024" s="2" t="s">
        <v>20189</v>
      </c>
      <c r="AC3024" s="2">
        <v>-4.1022757728965296</v>
      </c>
      <c r="AD3024" s="2"/>
      <c r="AE3024" s="2">
        <v>0.19847616834155801</v>
      </c>
      <c r="AF3024" s="2">
        <v>4901.4638730591396</v>
      </c>
      <c r="AG3024" s="2">
        <v>7242.8570768371201</v>
      </c>
      <c r="AH3024" s="4">
        <v>0.67673071842521504</v>
      </c>
      <c r="AI3024" s="4">
        <v>-0.56334621747646996</v>
      </c>
      <c r="AJ3024" s="4" t="s">
        <v>62</v>
      </c>
      <c r="AK3024" s="2">
        <v>0.62572907114187903</v>
      </c>
      <c r="AL3024" s="2">
        <v>0.81611456400908</v>
      </c>
      <c r="AM3024" s="2">
        <v>11910.902209494499</v>
      </c>
      <c r="AN3024" s="2">
        <v>8.559877937157E-6</v>
      </c>
      <c r="AO3024" s="2">
        <v>2667.90386649436</v>
      </c>
      <c r="AP3024" s="2">
        <v>14684.1340201536</v>
      </c>
      <c r="AQ3024" s="2">
        <v>145.84312509259499</v>
      </c>
      <c r="AR3024" s="2">
        <v>8.559877937157E-6</v>
      </c>
      <c r="AS3024" s="2">
        <v>23653.680483468201</v>
      </c>
      <c r="AT3024" s="2">
        <v>8.559877937157E-6</v>
      </c>
      <c r="AU3024" s="2">
        <v>8.559877937157E-6</v>
      </c>
      <c r="AV3024" s="2">
        <v>713.18733772128599</v>
      </c>
      <c r="AW3024" s="2">
        <v>8654.5092932092793</v>
      </c>
      <c r="AX3024" s="2">
        <v>10435.7653295042</v>
      </c>
    </row>
    <row r="3025" spans="1:50" x14ac:dyDescent="0.25">
      <c r="A3025" s="2" t="s">
        <v>20190</v>
      </c>
      <c r="B3025" s="2">
        <v>125.00020890962099</v>
      </c>
      <c r="C3025" s="2">
        <v>10.6119166666667</v>
      </c>
      <c r="D3025" s="2" t="s">
        <v>51</v>
      </c>
      <c r="E3025" s="2" t="s">
        <v>20191</v>
      </c>
      <c r="F3025" s="2">
        <v>210332</v>
      </c>
      <c r="G3025" s="3" t="str">
        <f>HYPERLINK("https://cloud.oebiotech.com/#/lm/network/210332", "https://cloud.oebiotech.com/#/lm/network/210332")</f>
        <v>https://cloud.oebiotech.com/#/lm/network/210332</v>
      </c>
      <c r="H3025" s="2" t="s">
        <v>20192</v>
      </c>
      <c r="I3025" s="2">
        <v>63575</v>
      </c>
      <c r="J3025" s="2"/>
      <c r="K3025" s="2">
        <v>490</v>
      </c>
      <c r="L3025" s="2" t="s">
        <v>20193</v>
      </c>
      <c r="M3025" s="2" t="s">
        <v>20194</v>
      </c>
      <c r="N3025" s="2" t="s">
        <v>20195</v>
      </c>
      <c r="O3025" s="2">
        <v>18124</v>
      </c>
      <c r="P3025" s="2"/>
      <c r="Q3025" s="2"/>
      <c r="R3025" s="2"/>
      <c r="S3025" s="2" t="s">
        <v>20196</v>
      </c>
      <c r="T3025" s="2" t="s">
        <v>20197</v>
      </c>
      <c r="U3025" s="2" t="s">
        <v>103</v>
      </c>
      <c r="V3025" s="2" t="s">
        <v>9072</v>
      </c>
      <c r="W3025" s="2" t="s">
        <v>13533</v>
      </c>
      <c r="X3025" s="2" t="s">
        <v>147</v>
      </c>
      <c r="Y3025" s="2">
        <v>38.6</v>
      </c>
      <c r="Z3025" s="2">
        <v>0</v>
      </c>
      <c r="AA3025" s="2" t="s">
        <v>259</v>
      </c>
      <c r="AB3025" s="2" t="s">
        <v>20198</v>
      </c>
      <c r="AC3025" s="2">
        <v>3.1228412159350598</v>
      </c>
      <c r="AD3025" s="2"/>
      <c r="AE3025" s="2">
        <v>0.19842963093608099</v>
      </c>
      <c r="AF3025" s="2">
        <v>3868.0341546238301</v>
      </c>
      <c r="AG3025" s="2">
        <v>5264.9449010359103</v>
      </c>
      <c r="AH3025" s="4">
        <v>0.73467704360263497</v>
      </c>
      <c r="AI3025" s="4">
        <v>-0.444817899341578</v>
      </c>
      <c r="AJ3025" s="4" t="s">
        <v>62</v>
      </c>
      <c r="AK3025" s="2">
        <v>0.11484126843091</v>
      </c>
      <c r="AL3025" s="2">
        <v>0.42989445818052402</v>
      </c>
      <c r="AM3025" s="2">
        <v>5320.9795629788896</v>
      </c>
      <c r="AN3025" s="2">
        <v>3900.1625370462998</v>
      </c>
      <c r="AO3025" s="2">
        <v>3224.9341397507001</v>
      </c>
      <c r="AP3025" s="2">
        <v>3857.9232476679299</v>
      </c>
      <c r="AQ3025" s="2">
        <v>3320.4584541142799</v>
      </c>
      <c r="AR3025" s="2">
        <v>3583.7469861848599</v>
      </c>
      <c r="AS3025" s="2">
        <v>3600.0100266130698</v>
      </c>
      <c r="AT3025" s="2">
        <v>2616.0029622146699</v>
      </c>
      <c r="AU3025" s="2">
        <v>5626.3392293940196</v>
      </c>
      <c r="AV3025" s="2">
        <v>5977.0055285828403</v>
      </c>
      <c r="AW3025" s="2">
        <v>7606.7278261024103</v>
      </c>
      <c r="AX3025" s="2">
        <v>6163.5838333084403</v>
      </c>
    </row>
    <row r="3026" spans="1:50" x14ac:dyDescent="0.25">
      <c r="A3026" s="2" t="s">
        <v>20199</v>
      </c>
      <c r="B3026" s="2">
        <v>244.26432526281201</v>
      </c>
      <c r="C3026" s="2">
        <v>8.3346333333333291</v>
      </c>
      <c r="D3026" s="2" t="s">
        <v>51</v>
      </c>
      <c r="E3026" s="2" t="s">
        <v>20200</v>
      </c>
      <c r="F3026" s="2">
        <v>9882</v>
      </c>
      <c r="G3026" s="3" t="str">
        <f>HYPERLINK("https://cloud.oebiotech.com/#/lm/network/9882", "https://cloud.oebiotech.com/#/lm/network/9882")</f>
        <v>https://cloud.oebiotech.com/#/lm/network/9882</v>
      </c>
      <c r="H3026" s="2" t="s">
        <v>20201</v>
      </c>
      <c r="I3026" s="2">
        <v>87393</v>
      </c>
      <c r="J3026" s="2" t="s">
        <v>20202</v>
      </c>
      <c r="K3026" s="2">
        <v>61303</v>
      </c>
      <c r="L3026" s="2"/>
      <c r="M3026" s="2"/>
      <c r="N3026" s="2"/>
      <c r="O3026" s="2"/>
      <c r="P3026" s="2"/>
      <c r="Q3026" s="2"/>
      <c r="R3026" s="2" t="s">
        <v>20203</v>
      </c>
      <c r="S3026" s="2" t="s">
        <v>20204</v>
      </c>
      <c r="T3026" s="2" t="s">
        <v>20205</v>
      </c>
      <c r="U3026" s="2" t="s">
        <v>331</v>
      </c>
      <c r="V3026" s="2" t="s">
        <v>332</v>
      </c>
      <c r="W3026" s="2" t="s">
        <v>1207</v>
      </c>
      <c r="X3026" s="2" t="s">
        <v>147</v>
      </c>
      <c r="Y3026" s="2">
        <v>39.6</v>
      </c>
      <c r="Z3026" s="2">
        <v>5.1100000000000003</v>
      </c>
      <c r="AA3026" s="2" t="s">
        <v>512</v>
      </c>
      <c r="AB3026" s="2" t="s">
        <v>14943</v>
      </c>
      <c r="AC3026" s="2">
        <v>3.6871873093657199</v>
      </c>
      <c r="AD3026" s="2"/>
      <c r="AE3026" s="2">
        <v>0.198428514061495</v>
      </c>
      <c r="AF3026" s="2">
        <v>26585.931797406101</v>
      </c>
      <c r="AG3026" s="2">
        <v>30277.817923635099</v>
      </c>
      <c r="AH3026" s="4">
        <v>0.87806630796378904</v>
      </c>
      <c r="AI3026" s="4">
        <v>-0.187598204604597</v>
      </c>
      <c r="AJ3026" s="4" t="s">
        <v>62</v>
      </c>
      <c r="AK3026" s="2">
        <v>0.61940197734274505</v>
      </c>
      <c r="AL3026" s="2">
        <v>0.81165815121909402</v>
      </c>
      <c r="AM3026" s="2">
        <v>36396.163332240503</v>
      </c>
      <c r="AN3026" s="2">
        <v>23510.907366550698</v>
      </c>
      <c r="AO3026" s="2">
        <v>19664.237896363102</v>
      </c>
      <c r="AP3026" s="2">
        <v>23785.996610128401</v>
      </c>
      <c r="AQ3026" s="2">
        <v>37332.023434139097</v>
      </c>
      <c r="AR3026" s="2">
        <v>18826.262145014902</v>
      </c>
      <c r="AS3026" s="2">
        <v>13438.8417270109</v>
      </c>
      <c r="AT3026" s="2">
        <v>25884.9595072673</v>
      </c>
      <c r="AU3026" s="2">
        <v>19639.336032000101</v>
      </c>
      <c r="AV3026" s="2">
        <v>47418.034020187202</v>
      </c>
      <c r="AW3026" s="2">
        <v>51804.4671145131</v>
      </c>
      <c r="AX3026" s="2">
        <v>23481.269140832101</v>
      </c>
    </row>
    <row r="3027" spans="1:50" x14ac:dyDescent="0.25">
      <c r="A3027" s="2" t="s">
        <v>20206</v>
      </c>
      <c r="B3027" s="2">
        <v>123.055788007449</v>
      </c>
      <c r="C3027" s="2">
        <v>1.00901666666667</v>
      </c>
      <c r="D3027" s="2" t="s">
        <v>51</v>
      </c>
      <c r="E3027" s="2" t="s">
        <v>20207</v>
      </c>
      <c r="F3027" s="2">
        <v>48437</v>
      </c>
      <c r="G3027" s="3" t="str">
        <f>HYPERLINK("https://cloud.oebiotech.com/#/lm/network/48437", "https://cloud.oebiotech.com/#/lm/network/48437")</f>
        <v>https://cloud.oebiotech.com/#/lm/network/48437</v>
      </c>
      <c r="H3027" s="2" t="s">
        <v>20208</v>
      </c>
      <c r="I3027" s="2">
        <v>3776</v>
      </c>
      <c r="J3027" s="2"/>
      <c r="K3027" s="2">
        <v>6451814</v>
      </c>
      <c r="L3027" s="2"/>
      <c r="M3027" s="2"/>
      <c r="N3027" s="2"/>
      <c r="O3027" s="2">
        <v>70966</v>
      </c>
      <c r="P3027" s="2"/>
      <c r="Q3027" s="2"/>
      <c r="R3027" s="2" t="s">
        <v>20209</v>
      </c>
      <c r="S3027" s="2" t="s">
        <v>20210</v>
      </c>
      <c r="T3027" s="2" t="s">
        <v>20211</v>
      </c>
      <c r="U3027" s="2" t="s">
        <v>266</v>
      </c>
      <c r="V3027" s="2" t="s">
        <v>1585</v>
      </c>
      <c r="W3027" s="2" t="s">
        <v>1586</v>
      </c>
      <c r="X3027" s="2" t="s">
        <v>83</v>
      </c>
      <c r="Y3027" s="2">
        <v>42.5</v>
      </c>
      <c r="Z3027" s="2">
        <v>0</v>
      </c>
      <c r="AA3027" s="2" t="s">
        <v>156</v>
      </c>
      <c r="AB3027" s="2" t="s">
        <v>20212</v>
      </c>
      <c r="AC3027" s="2">
        <v>3.5610255194193199</v>
      </c>
      <c r="AD3027" s="2"/>
      <c r="AE3027" s="2">
        <v>0.198379247070817</v>
      </c>
      <c r="AF3027" s="2">
        <v>27905.440019550599</v>
      </c>
      <c r="AG3027" s="2">
        <v>29849.516310944498</v>
      </c>
      <c r="AH3027" s="4">
        <v>0.93487076068026298</v>
      </c>
      <c r="AI3027" s="4">
        <v>-9.7161158564075006E-2</v>
      </c>
      <c r="AJ3027" s="4" t="s">
        <v>62</v>
      </c>
      <c r="AK3027" s="2">
        <v>0.62434847621900702</v>
      </c>
      <c r="AL3027" s="2">
        <v>0.81503010187164604</v>
      </c>
      <c r="AM3027" s="2">
        <v>19832.0454939632</v>
      </c>
      <c r="AN3027" s="2">
        <v>27792.593380779799</v>
      </c>
      <c r="AO3027" s="2">
        <v>26549.7610066466</v>
      </c>
      <c r="AP3027" s="2">
        <v>35387.908968560499</v>
      </c>
      <c r="AQ3027" s="2">
        <v>34415.249744795598</v>
      </c>
      <c r="AR3027" s="2">
        <v>23455.081522557801</v>
      </c>
      <c r="AS3027" s="2">
        <v>18845.3557823376</v>
      </c>
      <c r="AT3027" s="2">
        <v>33354.765966686602</v>
      </c>
      <c r="AU3027" s="2">
        <v>26987.237636412101</v>
      </c>
      <c r="AV3027" s="2">
        <v>39290.5526195411</v>
      </c>
      <c r="AW3027" s="2">
        <v>34042.582530930602</v>
      </c>
      <c r="AX3027" s="2">
        <v>26576.603329758898</v>
      </c>
    </row>
    <row r="3028" spans="1:50" x14ac:dyDescent="0.25">
      <c r="A3028" s="2" t="s">
        <v>20213</v>
      </c>
      <c r="B3028" s="2">
        <v>403.21689359821499</v>
      </c>
      <c r="C3028" s="2">
        <v>6.5188166666666696</v>
      </c>
      <c r="D3028" s="2" t="s">
        <v>51</v>
      </c>
      <c r="E3028" s="2" t="s">
        <v>20214</v>
      </c>
      <c r="F3028" s="2">
        <v>204457</v>
      </c>
      <c r="G3028" s="3" t="str">
        <f>HYPERLINK("https://cloud.oebiotech.com/#/lm/network/204457", "https://cloud.oebiotech.com/#/lm/network/204457")</f>
        <v>https://cloud.oebiotech.com/#/lm/network/204457</v>
      </c>
      <c r="H3028" s="2" t="s">
        <v>20215</v>
      </c>
      <c r="I3028" s="2"/>
      <c r="J3028" s="2"/>
      <c r="K3028" s="2">
        <v>3915</v>
      </c>
      <c r="L3028" s="2"/>
      <c r="M3028" s="2"/>
      <c r="N3028" s="2"/>
      <c r="O3028" s="2"/>
      <c r="P3028" s="2"/>
      <c r="Q3028" s="2"/>
      <c r="R3028" s="2"/>
      <c r="S3028" s="2" t="s">
        <v>20216</v>
      </c>
      <c r="T3028" s="2" t="s">
        <v>20217</v>
      </c>
      <c r="U3028" s="2" t="s">
        <v>266</v>
      </c>
      <c r="V3028" s="2" t="s">
        <v>1742</v>
      </c>
      <c r="W3028" s="2" t="s">
        <v>6487</v>
      </c>
      <c r="X3028" s="2" t="s">
        <v>147</v>
      </c>
      <c r="Y3028" s="2">
        <v>45.2</v>
      </c>
      <c r="Z3028" s="2">
        <v>43.8</v>
      </c>
      <c r="AA3028" s="2" t="s">
        <v>156</v>
      </c>
      <c r="AB3028" s="2" t="s">
        <v>20218</v>
      </c>
      <c r="AC3028" s="2">
        <v>-2.6760911870280299</v>
      </c>
      <c r="AD3028" s="2"/>
      <c r="AE3028" s="2">
        <v>0.19833731042411201</v>
      </c>
      <c r="AF3028" s="2">
        <v>2781.0579128822201</v>
      </c>
      <c r="AG3028" s="2">
        <v>1461.3652121120499</v>
      </c>
      <c r="AH3028" s="5">
        <v>1.90305468464168</v>
      </c>
      <c r="AI3028" s="5">
        <v>0.92831701832651803</v>
      </c>
      <c r="AJ3028" s="5" t="s">
        <v>139</v>
      </c>
      <c r="AK3028" s="2">
        <v>0.20658800813471601</v>
      </c>
      <c r="AL3028" s="2">
        <v>0.531648463067105</v>
      </c>
      <c r="AM3028" s="2">
        <v>1756.5652263817699</v>
      </c>
      <c r="AN3028" s="2">
        <v>3122.53678097175</v>
      </c>
      <c r="AO3028" s="2">
        <v>4727.4287575872104</v>
      </c>
      <c r="AP3028" s="2">
        <v>1030.64577762555</v>
      </c>
      <c r="AQ3028" s="2">
        <v>1805.3793797563501</v>
      </c>
      <c r="AR3028" s="2">
        <v>4243.7915549706904</v>
      </c>
      <c r="AS3028" s="2">
        <v>715.64436926422798</v>
      </c>
      <c r="AT3028" s="2">
        <v>832.29333043977601</v>
      </c>
      <c r="AU3028" s="2">
        <v>5280.7072968871798</v>
      </c>
      <c r="AV3028" s="2">
        <v>644.50837108602798</v>
      </c>
      <c r="AW3028" s="2">
        <v>667.00826227794505</v>
      </c>
      <c r="AX3028" s="2">
        <v>628.02964271713302</v>
      </c>
    </row>
    <row r="3029" spans="1:50" x14ac:dyDescent="0.25">
      <c r="A3029" s="2" t="s">
        <v>20219</v>
      </c>
      <c r="B3029" s="2">
        <v>301.08286223648298</v>
      </c>
      <c r="C3029" s="2">
        <v>5.0792999999999999</v>
      </c>
      <c r="D3029" s="2" t="s">
        <v>51</v>
      </c>
      <c r="E3029" s="2" t="s">
        <v>20220</v>
      </c>
      <c r="F3029" s="2">
        <v>212424</v>
      </c>
      <c r="G3029" s="3" t="str">
        <f>HYPERLINK("https://cloud.oebiotech.com/#/lm/network/212424", "https://cloud.oebiotech.com/#/lm/network/212424")</f>
        <v>https://cloud.oebiotech.com/#/lm/network/212424</v>
      </c>
      <c r="H3029" s="2" t="s">
        <v>20221</v>
      </c>
      <c r="I3029" s="2">
        <v>340538</v>
      </c>
      <c r="J3029" s="2"/>
      <c r="K3029" s="2">
        <v>820777</v>
      </c>
      <c r="L3029" s="2"/>
      <c r="M3029" s="2"/>
      <c r="N3029" s="2"/>
      <c r="O3029" s="2"/>
      <c r="P3029" s="2"/>
      <c r="Q3029" s="2"/>
      <c r="R3029" s="2"/>
      <c r="S3029" s="2" t="s">
        <v>20222</v>
      </c>
      <c r="T3029" s="2" t="s">
        <v>20223</v>
      </c>
      <c r="U3029" s="2" t="s">
        <v>610</v>
      </c>
      <c r="V3029" s="2" t="s">
        <v>611</v>
      </c>
      <c r="W3029" s="2" t="s">
        <v>240</v>
      </c>
      <c r="X3029" s="2" t="s">
        <v>147</v>
      </c>
      <c r="Y3029" s="2">
        <v>37</v>
      </c>
      <c r="Z3029" s="2">
        <v>0</v>
      </c>
      <c r="AA3029" s="2" t="s">
        <v>478</v>
      </c>
      <c r="AB3029" s="2" t="s">
        <v>20224</v>
      </c>
      <c r="AC3029" s="2">
        <v>-3.3166096004625998</v>
      </c>
      <c r="AD3029" s="2"/>
      <c r="AE3029" s="2">
        <v>0.19817194526589099</v>
      </c>
      <c r="AF3029" s="2">
        <v>4559.7159500828402</v>
      </c>
      <c r="AG3029" s="2">
        <v>1847.0306542589601</v>
      </c>
      <c r="AH3029" s="5">
        <v>2.4686736733734498</v>
      </c>
      <c r="AI3029" s="5">
        <v>1.3037361435197301</v>
      </c>
      <c r="AJ3029" s="5" t="s">
        <v>139</v>
      </c>
      <c r="AK3029" s="2">
        <v>0.56812253609345198</v>
      </c>
      <c r="AL3029" s="2">
        <v>0.78311574344879098</v>
      </c>
      <c r="AM3029" s="2">
        <v>8.559877937157E-6</v>
      </c>
      <c r="AN3029" s="2">
        <v>26522.619306193399</v>
      </c>
      <c r="AO3029" s="2">
        <v>50.705584733001402</v>
      </c>
      <c r="AP3029" s="2">
        <v>8.559877937157E-6</v>
      </c>
      <c r="AQ3029" s="2">
        <v>56.2193522484461</v>
      </c>
      <c r="AR3029" s="2">
        <v>728.75144020243704</v>
      </c>
      <c r="AS3029" s="2">
        <v>28.435792159642201</v>
      </c>
      <c r="AT3029" s="2">
        <v>8.559877937157E-6</v>
      </c>
      <c r="AU3029" s="2">
        <v>2901.12443100579</v>
      </c>
      <c r="AV3029" s="2">
        <v>8.559877937157E-6</v>
      </c>
      <c r="AW3029" s="2">
        <v>8152.6236767087003</v>
      </c>
      <c r="AX3029" s="2">
        <v>8.559877937157E-6</v>
      </c>
    </row>
    <row r="3030" spans="1:50" x14ac:dyDescent="0.25">
      <c r="A3030" s="2" t="s">
        <v>20225</v>
      </c>
      <c r="B3030" s="2">
        <v>251.04728305144499</v>
      </c>
      <c r="C3030" s="2">
        <v>12.0971666666667</v>
      </c>
      <c r="D3030" s="2" t="s">
        <v>51</v>
      </c>
      <c r="E3030" s="2" t="s">
        <v>20226</v>
      </c>
      <c r="F3030" s="2">
        <v>206071</v>
      </c>
      <c r="G3030" s="3" t="str">
        <f>HYPERLINK("https://cloud.oebiotech.com/#/lm/network/206071", "https://cloud.oebiotech.com/#/lm/network/206071")</f>
        <v>https://cloud.oebiotech.com/#/lm/network/206071</v>
      </c>
      <c r="H3030" s="2" t="s">
        <v>20227</v>
      </c>
      <c r="I3030" s="2">
        <v>320267</v>
      </c>
      <c r="J3030" s="2"/>
      <c r="K3030" s="2">
        <v>13282</v>
      </c>
      <c r="L3030" s="2"/>
      <c r="M3030" s="2"/>
      <c r="N3030" s="2"/>
      <c r="O3030" s="2"/>
      <c r="P3030" s="2"/>
      <c r="Q3030" s="2"/>
      <c r="R3030" s="2"/>
      <c r="S3030" s="2" t="s">
        <v>20228</v>
      </c>
      <c r="T3030" s="2" t="s">
        <v>20229</v>
      </c>
      <c r="U3030" s="2" t="s">
        <v>103</v>
      </c>
      <c r="V3030" s="2" t="s">
        <v>1567</v>
      </c>
      <c r="W3030" s="2" t="s">
        <v>1568</v>
      </c>
      <c r="X3030" s="2" t="s">
        <v>147</v>
      </c>
      <c r="Y3030" s="2">
        <v>44.6</v>
      </c>
      <c r="Z3030" s="2">
        <v>31.8</v>
      </c>
      <c r="AA3030" s="2" t="s">
        <v>259</v>
      </c>
      <c r="AB3030" s="2" t="s">
        <v>20230</v>
      </c>
      <c r="AC3030" s="2">
        <v>2.0443107764247199</v>
      </c>
      <c r="AD3030" s="2"/>
      <c r="AE3030" s="2">
        <v>0.19810244380327699</v>
      </c>
      <c r="AF3030" s="2">
        <v>3145.87218401376</v>
      </c>
      <c r="AG3030" s="2">
        <v>4229.4931321949098</v>
      </c>
      <c r="AH3030" s="4">
        <v>0.74379413458964505</v>
      </c>
      <c r="AI3030" s="4">
        <v>-0.42702472369438099</v>
      </c>
      <c r="AJ3030" s="4" t="s">
        <v>62</v>
      </c>
      <c r="AK3030" s="2">
        <v>4.1747206670428999E-2</v>
      </c>
      <c r="AL3030" s="2">
        <v>0.29293759539812297</v>
      </c>
      <c r="AM3030" s="2">
        <v>2884.3837980907401</v>
      </c>
      <c r="AN3030" s="2">
        <v>3347.4771344362898</v>
      </c>
      <c r="AO3030" s="2">
        <v>3541.3271508555199</v>
      </c>
      <c r="AP3030" s="2">
        <v>3132.2020658072902</v>
      </c>
      <c r="AQ3030" s="2">
        <v>3431.5219878180701</v>
      </c>
      <c r="AR3030" s="2">
        <v>2538.3209670746401</v>
      </c>
      <c r="AS3030" s="2">
        <v>5942.5905745281398</v>
      </c>
      <c r="AT3030" s="2">
        <v>4104.8272550767597</v>
      </c>
      <c r="AU3030" s="2">
        <v>3347.2602426865701</v>
      </c>
      <c r="AV3030" s="2">
        <v>3030.9397978873099</v>
      </c>
      <c r="AW3030" s="2">
        <v>3994.7318156956799</v>
      </c>
      <c r="AX3030" s="2">
        <v>4956.6091072949803</v>
      </c>
    </row>
    <row r="3031" spans="1:50" x14ac:dyDescent="0.25">
      <c r="A3031" s="2" t="s">
        <v>20231</v>
      </c>
      <c r="B3031" s="2">
        <v>175.08718084529599</v>
      </c>
      <c r="C3031" s="2">
        <v>3.9637500000000001</v>
      </c>
      <c r="D3031" s="2" t="s">
        <v>51</v>
      </c>
      <c r="E3031" s="2" t="s">
        <v>20232</v>
      </c>
      <c r="F3031" s="2">
        <v>47568</v>
      </c>
      <c r="G3031" s="3" t="str">
        <f>HYPERLINK("https://cloud.oebiotech.com/#/lm/network/47568", "https://cloud.oebiotech.com/#/lm/network/47568")</f>
        <v>https://cloud.oebiotech.com/#/lm/network/47568</v>
      </c>
      <c r="H3031" s="2" t="s">
        <v>20233</v>
      </c>
      <c r="I3031" s="2">
        <v>6227</v>
      </c>
      <c r="J3031" s="2"/>
      <c r="K3031" s="2">
        <v>9815514</v>
      </c>
      <c r="L3031" s="2"/>
      <c r="M3031" s="2"/>
      <c r="N3031" s="2"/>
      <c r="O3031" s="2">
        <v>89087</v>
      </c>
      <c r="P3031" s="2"/>
      <c r="Q3031" s="2"/>
      <c r="R3031" s="2" t="s">
        <v>20234</v>
      </c>
      <c r="S3031" s="2" t="s">
        <v>20235</v>
      </c>
      <c r="T3031" s="2" t="s">
        <v>20236</v>
      </c>
      <c r="U3031" s="2" t="s">
        <v>266</v>
      </c>
      <c r="V3031" s="2" t="s">
        <v>2143</v>
      </c>
      <c r="W3031" s="2" t="s">
        <v>20237</v>
      </c>
      <c r="X3031" s="2" t="s">
        <v>83</v>
      </c>
      <c r="Y3031" s="2">
        <v>40.9</v>
      </c>
      <c r="Z3031" s="2">
        <v>0</v>
      </c>
      <c r="AA3031" s="2" t="s">
        <v>156</v>
      </c>
      <c r="AB3031" s="2" t="s">
        <v>20238</v>
      </c>
      <c r="AC3031" s="2">
        <v>3.0790885139395598</v>
      </c>
      <c r="AD3031" s="2"/>
      <c r="AE3031" s="2">
        <v>0.198066408186305</v>
      </c>
      <c r="AF3031" s="2">
        <v>217.68028112837001</v>
      </c>
      <c r="AG3031" s="2">
        <v>1952.4975680591699</v>
      </c>
      <c r="AH3031" s="4">
        <v>0.111488118955635</v>
      </c>
      <c r="AI3031" s="4">
        <v>-3.1650381213971901</v>
      </c>
      <c r="AJ3031" s="4" t="s">
        <v>62</v>
      </c>
      <c r="AK3031" s="2">
        <v>0.34068474174841101</v>
      </c>
      <c r="AL3031" s="2">
        <v>0.63815037094278604</v>
      </c>
      <c r="AM3031" s="2">
        <v>90.935239246330895</v>
      </c>
      <c r="AN3031" s="2">
        <v>8.559877937157E-6</v>
      </c>
      <c r="AO3031" s="2">
        <v>145.03941011546101</v>
      </c>
      <c r="AP3031" s="2">
        <v>122.56651496391601</v>
      </c>
      <c r="AQ3031" s="2">
        <v>111.536748759273</v>
      </c>
      <c r="AR3031" s="2">
        <v>836.00376512536195</v>
      </c>
      <c r="AS3031" s="2">
        <v>571.55754750322899</v>
      </c>
      <c r="AT3031" s="2">
        <v>173.73638353916601</v>
      </c>
      <c r="AU3031" s="2">
        <v>8.559877937157E-6</v>
      </c>
      <c r="AV3031" s="2">
        <v>8.559877937157E-6</v>
      </c>
      <c r="AW3031" s="2">
        <v>10587.9958013583</v>
      </c>
      <c r="AX3031" s="2">
        <v>381.69565883459899</v>
      </c>
    </row>
    <row r="3032" spans="1:50" x14ac:dyDescent="0.25">
      <c r="A3032" s="2" t="s">
        <v>20239</v>
      </c>
      <c r="B3032" s="2">
        <v>502.29404157891099</v>
      </c>
      <c r="C3032" s="2">
        <v>10.5758666666667</v>
      </c>
      <c r="D3032" s="2" t="s">
        <v>51</v>
      </c>
      <c r="E3032" s="2" t="s">
        <v>20240</v>
      </c>
      <c r="F3032" s="2">
        <v>21227</v>
      </c>
      <c r="G3032" s="3" t="str">
        <f>HYPERLINK("https://cloud.oebiotech.com/#/lm/network/21227", "https://cloud.oebiotech.com/#/lm/network/21227")</f>
        <v>https://cloud.oebiotech.com/#/lm/network/21227</v>
      </c>
      <c r="H3032" s="2" t="s">
        <v>20241</v>
      </c>
      <c r="I3032" s="2">
        <v>62300</v>
      </c>
      <c r="J3032" s="2" t="s">
        <v>20242</v>
      </c>
      <c r="K3032" s="2">
        <v>53480951</v>
      </c>
      <c r="L3032" s="2"/>
      <c r="M3032" s="2"/>
      <c r="N3032" s="2"/>
      <c r="O3032" s="2"/>
      <c r="P3032" s="2"/>
      <c r="Q3032" s="2"/>
      <c r="R3032" s="2"/>
      <c r="S3032" s="2" t="s">
        <v>20243</v>
      </c>
      <c r="T3032" s="2" t="s">
        <v>20244</v>
      </c>
      <c r="U3032" s="2" t="s">
        <v>56</v>
      </c>
      <c r="V3032" s="2" t="s">
        <v>57</v>
      </c>
      <c r="W3032" s="2" t="s">
        <v>155</v>
      </c>
      <c r="X3032" s="2" t="s">
        <v>83</v>
      </c>
      <c r="Y3032" s="2">
        <v>45.9</v>
      </c>
      <c r="Z3032" s="2">
        <v>0</v>
      </c>
      <c r="AA3032" s="2" t="s">
        <v>163</v>
      </c>
      <c r="AB3032" s="2" t="s">
        <v>20245</v>
      </c>
      <c r="AC3032" s="2">
        <v>0.25544142112975898</v>
      </c>
      <c r="AD3032" s="2"/>
      <c r="AE3032" s="2">
        <v>0.19796450742985799</v>
      </c>
      <c r="AF3032" s="2">
        <v>15589.5881310314</v>
      </c>
      <c r="AG3032" s="2">
        <v>19353.040589557499</v>
      </c>
      <c r="AH3032" s="4">
        <v>0.80553689012791396</v>
      </c>
      <c r="AI3032" s="4">
        <v>-0.31197743520948601</v>
      </c>
      <c r="AJ3032" s="4" t="s">
        <v>62</v>
      </c>
      <c r="AK3032" s="2">
        <v>0.462378569219837</v>
      </c>
      <c r="AL3032" s="2">
        <v>0.71230743534755303</v>
      </c>
      <c r="AM3032" s="2">
        <v>27767.623148913401</v>
      </c>
      <c r="AN3032" s="2">
        <v>12214.719328176199</v>
      </c>
      <c r="AO3032" s="2">
        <v>11552.814914148699</v>
      </c>
      <c r="AP3032" s="2">
        <v>16771.424011554798</v>
      </c>
      <c r="AQ3032" s="2">
        <v>11802.2083520162</v>
      </c>
      <c r="AR3032" s="2">
        <v>13428.7390313793</v>
      </c>
      <c r="AS3032" s="2">
        <v>7978.0657734707302</v>
      </c>
      <c r="AT3032" s="2">
        <v>8155.2202613317704</v>
      </c>
      <c r="AU3032" s="2">
        <v>26297.357962218401</v>
      </c>
      <c r="AV3032" s="2">
        <v>33728.330130646202</v>
      </c>
      <c r="AW3032" s="2">
        <v>23194.569309341699</v>
      </c>
      <c r="AX3032" s="2">
        <v>16764.700100336198</v>
      </c>
    </row>
    <row r="3033" spans="1:50" x14ac:dyDescent="0.25">
      <c r="A3033" s="2" t="s">
        <v>20246</v>
      </c>
      <c r="B3033" s="2">
        <v>128.05459999999999</v>
      </c>
      <c r="C3033" s="2">
        <v>6.8719999999999999</v>
      </c>
      <c r="D3033" s="2" t="s">
        <v>125</v>
      </c>
      <c r="E3033" s="2" t="s">
        <v>20247</v>
      </c>
      <c r="F3033" s="2">
        <v>55978</v>
      </c>
      <c r="G3033" s="3" t="str">
        <f>HYPERLINK("https://cloud.oebiotech.com/#/lm/network/55978", "https://cloud.oebiotech.com/#/lm/network/55978")</f>
        <v>https://cloud.oebiotech.com/#/lm/network/55978</v>
      </c>
      <c r="H3033" s="2" t="s">
        <v>20248</v>
      </c>
      <c r="I3033" s="2"/>
      <c r="J3033" s="2"/>
      <c r="K3033" s="2">
        <v>7965</v>
      </c>
      <c r="L3033" s="2" t="s">
        <v>20249</v>
      </c>
      <c r="M3033" s="2"/>
      <c r="N3033" s="2"/>
      <c r="O3033" s="2">
        <v>15773</v>
      </c>
      <c r="P3033" s="2"/>
      <c r="Q3033" s="2"/>
      <c r="R3033" s="2" t="s">
        <v>20250</v>
      </c>
      <c r="S3033" s="2" t="s">
        <v>20251</v>
      </c>
      <c r="T3033" s="2" t="s">
        <v>20252</v>
      </c>
      <c r="U3033" s="2" t="s">
        <v>119</v>
      </c>
      <c r="V3033" s="2" t="s">
        <v>120</v>
      </c>
      <c r="W3033" s="2" t="s">
        <v>6175</v>
      </c>
      <c r="X3033" s="2" t="s">
        <v>69</v>
      </c>
      <c r="Y3033" s="2">
        <v>94.9</v>
      </c>
      <c r="Z3033" s="2">
        <v>96</v>
      </c>
      <c r="AA3033" s="2"/>
      <c r="AB3033" s="2" t="s">
        <v>20253</v>
      </c>
      <c r="AC3033" s="2"/>
      <c r="AD3033" s="2">
        <v>225955.32898636599</v>
      </c>
      <c r="AE3033" s="2">
        <v>0.19774316260195299</v>
      </c>
      <c r="AF3033" s="2">
        <v>362742.48424743401</v>
      </c>
      <c r="AG3033" s="2">
        <v>394935.31936540297</v>
      </c>
      <c r="AH3033" s="4">
        <v>0.91848580377744604</v>
      </c>
      <c r="AI3033" s="4">
        <v>-0.12267067183942</v>
      </c>
      <c r="AJ3033" s="4" t="s">
        <v>62</v>
      </c>
      <c r="AK3033" s="2">
        <v>0.37430677122185002</v>
      </c>
      <c r="AL3033" s="2">
        <v>0.65577650655255004</v>
      </c>
      <c r="AM3033" s="2">
        <v>339606.86015762901</v>
      </c>
      <c r="AN3033" s="2">
        <v>315147.02799299598</v>
      </c>
      <c r="AO3033" s="2">
        <v>327929.85743788001</v>
      </c>
      <c r="AP3033" s="2">
        <v>397125.04277879401</v>
      </c>
      <c r="AQ3033" s="2">
        <v>434770.98731291801</v>
      </c>
      <c r="AR3033" s="2">
        <v>361875.12980438798</v>
      </c>
      <c r="AS3033" s="2">
        <v>421621.43166269403</v>
      </c>
      <c r="AT3033" s="2">
        <v>472443.25296820898</v>
      </c>
      <c r="AU3033" s="2">
        <v>326159.947649654</v>
      </c>
      <c r="AV3033" s="2">
        <v>295628.52714350499</v>
      </c>
      <c r="AW3033" s="2">
        <v>393586.815344056</v>
      </c>
      <c r="AX3033" s="2">
        <v>460171.94142429897</v>
      </c>
    </row>
    <row r="3034" spans="1:50" x14ac:dyDescent="0.25">
      <c r="A3034" s="2" t="s">
        <v>20254</v>
      </c>
      <c r="B3034" s="2">
        <v>984.51265812885799</v>
      </c>
      <c r="C3034" s="2">
        <v>5.2056333333333296</v>
      </c>
      <c r="D3034" s="2" t="s">
        <v>51</v>
      </c>
      <c r="E3034" s="2" t="s">
        <v>20255</v>
      </c>
      <c r="F3034" s="2">
        <v>135644</v>
      </c>
      <c r="G3034" s="3" t="str">
        <f>HYPERLINK("https://cloud.oebiotech.com/#/lm/network/135644", "https://cloud.oebiotech.com/#/lm/network/135644")</f>
        <v>https://cloud.oebiotech.com/#/lm/network/135644</v>
      </c>
      <c r="H3034" s="2" t="s">
        <v>20256</v>
      </c>
      <c r="I3034" s="2"/>
      <c r="J3034" s="2"/>
      <c r="K3034" s="2">
        <v>131822623</v>
      </c>
      <c r="L3034" s="2"/>
      <c r="M3034" s="2"/>
      <c r="N3034" s="2"/>
      <c r="O3034" s="2"/>
      <c r="P3034" s="2"/>
      <c r="Q3034" s="2"/>
      <c r="R3034" s="2"/>
      <c r="S3034" s="2" t="s">
        <v>20257</v>
      </c>
      <c r="T3034" s="2" t="s">
        <v>20258</v>
      </c>
      <c r="U3034" s="2" t="s">
        <v>56</v>
      </c>
      <c r="V3034" s="2" t="s">
        <v>57</v>
      </c>
      <c r="W3034" s="2" t="s">
        <v>3605</v>
      </c>
      <c r="X3034" s="2" t="s">
        <v>147</v>
      </c>
      <c r="Y3034" s="2">
        <v>37.9</v>
      </c>
      <c r="Z3034" s="2">
        <v>24.4</v>
      </c>
      <c r="AA3034" s="2" t="s">
        <v>379</v>
      </c>
      <c r="AB3034" s="2" t="s">
        <v>20259</v>
      </c>
      <c r="AC3034" s="2">
        <v>0.55505991860243498</v>
      </c>
      <c r="AD3034" s="2"/>
      <c r="AE3034" s="2">
        <v>0.19767969598176499</v>
      </c>
      <c r="AF3034" s="2">
        <v>7891.0967799426799</v>
      </c>
      <c r="AG3034" s="2">
        <v>6009.9518771829898</v>
      </c>
      <c r="AH3034" s="5">
        <v>1.3130049859303401</v>
      </c>
      <c r="AI3034" s="5">
        <v>0.39287239464916901</v>
      </c>
      <c r="AJ3034" s="5" t="s">
        <v>139</v>
      </c>
      <c r="AK3034" s="2">
        <v>0.58590217778143605</v>
      </c>
      <c r="AL3034" s="2">
        <v>0.79179983592488301</v>
      </c>
      <c r="AM3034" s="2">
        <v>17394.246205805401</v>
      </c>
      <c r="AN3034" s="2">
        <v>4967.9343853674</v>
      </c>
      <c r="AO3034" s="2">
        <v>10234.498359105401</v>
      </c>
      <c r="AP3034" s="2">
        <v>3191.2913262251</v>
      </c>
      <c r="AQ3034" s="2">
        <v>8.559877937157E-6</v>
      </c>
      <c r="AR3034" s="2">
        <v>11558.610394592901</v>
      </c>
      <c r="AS3034" s="2">
        <v>8.559877937157E-6</v>
      </c>
      <c r="AT3034" s="2">
        <v>8.559877937157E-6</v>
      </c>
      <c r="AU3034" s="2">
        <v>10710.5102957086</v>
      </c>
      <c r="AV3034" s="2">
        <v>5703.7285572627497</v>
      </c>
      <c r="AW3034" s="2">
        <v>11989.5408156047</v>
      </c>
      <c r="AX3034" s="2">
        <v>7655.9315774021597</v>
      </c>
    </row>
    <row r="3035" spans="1:50" x14ac:dyDescent="0.25">
      <c r="A3035" s="2" t="s">
        <v>20260</v>
      </c>
      <c r="B3035" s="2">
        <v>403.12348174988398</v>
      </c>
      <c r="C3035" s="2">
        <v>3.6886666666666699</v>
      </c>
      <c r="D3035" s="2" t="s">
        <v>51</v>
      </c>
      <c r="E3035" s="2" t="s">
        <v>20261</v>
      </c>
      <c r="F3035" s="2">
        <v>54561</v>
      </c>
      <c r="G3035" s="3" t="str">
        <f>HYPERLINK("https://cloud.oebiotech.com/#/lm/network/54561", "https://cloud.oebiotech.com/#/lm/network/54561")</f>
        <v>https://cloud.oebiotech.com/#/lm/network/54561</v>
      </c>
      <c r="H3035" s="2" t="s">
        <v>20262</v>
      </c>
      <c r="I3035" s="2">
        <v>86399</v>
      </c>
      <c r="J3035" s="2"/>
      <c r="K3035" s="2">
        <v>73009474</v>
      </c>
      <c r="L3035" s="2"/>
      <c r="M3035" s="2"/>
      <c r="N3035" s="2"/>
      <c r="O3035" s="2">
        <v>167969</v>
      </c>
      <c r="P3035" s="2"/>
      <c r="Q3035" s="2"/>
      <c r="R3035" s="2" t="s">
        <v>20263</v>
      </c>
      <c r="S3035" s="2" t="s">
        <v>20264</v>
      </c>
      <c r="T3035" s="2" t="s">
        <v>20265</v>
      </c>
      <c r="U3035" s="2" t="s">
        <v>331</v>
      </c>
      <c r="V3035" s="2" t="s">
        <v>332</v>
      </c>
      <c r="W3035" s="2" t="s">
        <v>333</v>
      </c>
      <c r="X3035" s="2" t="s">
        <v>147</v>
      </c>
      <c r="Y3035" s="2">
        <v>42.9</v>
      </c>
      <c r="Z3035" s="2">
        <v>25.1</v>
      </c>
      <c r="AA3035" s="2" t="s">
        <v>218</v>
      </c>
      <c r="AB3035" s="2" t="s">
        <v>16797</v>
      </c>
      <c r="AC3035" s="2">
        <v>-3.0810399650684301</v>
      </c>
      <c r="AD3035" s="2"/>
      <c r="AE3035" s="2">
        <v>0.19751710188358401</v>
      </c>
      <c r="AF3035" s="2">
        <v>2362.7651095605302</v>
      </c>
      <c r="AG3035" s="2">
        <v>840.10012491483599</v>
      </c>
      <c r="AH3035" s="5">
        <v>2.8124803692893798</v>
      </c>
      <c r="AI3035" s="5">
        <v>1.4918430265598299</v>
      </c>
      <c r="AJ3035" s="5" t="s">
        <v>139</v>
      </c>
      <c r="AK3035" s="2">
        <v>0.12587111640388499</v>
      </c>
      <c r="AL3035" s="2">
        <v>0.44429061717590201</v>
      </c>
      <c r="AM3035" s="2">
        <v>1705.3853443119499</v>
      </c>
      <c r="AN3035" s="2">
        <v>1650.1782312749999</v>
      </c>
      <c r="AO3035" s="2">
        <v>5457.4188286312701</v>
      </c>
      <c r="AP3035" s="2">
        <v>668.07936155058303</v>
      </c>
      <c r="AQ3035" s="2">
        <v>977.561951808667</v>
      </c>
      <c r="AR3035" s="2">
        <v>3717.9669397857301</v>
      </c>
      <c r="AS3035" s="2">
        <v>257.31716667283098</v>
      </c>
      <c r="AT3035" s="2">
        <v>360.30569555169001</v>
      </c>
      <c r="AU3035" s="2">
        <v>288.07218059005697</v>
      </c>
      <c r="AV3035" s="2">
        <v>422.62283111349802</v>
      </c>
      <c r="AW3035" s="2">
        <v>3386.1338207823501</v>
      </c>
      <c r="AX3035" s="2">
        <v>326.149054778589</v>
      </c>
    </row>
    <row r="3036" spans="1:50" x14ac:dyDescent="0.25">
      <c r="A3036" s="2" t="s">
        <v>20266</v>
      </c>
      <c r="B3036" s="2">
        <v>578.24717370978999</v>
      </c>
      <c r="C3036" s="2">
        <v>4.6271666666666702</v>
      </c>
      <c r="D3036" s="2" t="s">
        <v>51</v>
      </c>
      <c r="E3036" s="2" t="s">
        <v>20267</v>
      </c>
      <c r="F3036" s="2">
        <v>46691</v>
      </c>
      <c r="G3036" s="3" t="str">
        <f>HYPERLINK("https://cloud.oebiotech.com/#/lm/network/46691", "https://cloud.oebiotech.com/#/lm/network/46691")</f>
        <v>https://cloud.oebiotech.com/#/lm/network/46691</v>
      </c>
      <c r="H3036" s="2"/>
      <c r="I3036" s="2"/>
      <c r="J3036" s="2" t="s">
        <v>20268</v>
      </c>
      <c r="K3036" s="2">
        <v>21126227</v>
      </c>
      <c r="L3036" s="2"/>
      <c r="M3036" s="2"/>
      <c r="N3036" s="2"/>
      <c r="O3036" s="2">
        <v>166737</v>
      </c>
      <c r="P3036" s="2"/>
      <c r="Q3036" s="2"/>
      <c r="R3036" s="2"/>
      <c r="S3036" s="2" t="s">
        <v>20269</v>
      </c>
      <c r="T3036" s="2" t="s">
        <v>20270</v>
      </c>
      <c r="U3036" s="2" t="s">
        <v>56</v>
      </c>
      <c r="V3036" s="2" t="s">
        <v>283</v>
      </c>
      <c r="W3036" s="2" t="s">
        <v>2042</v>
      </c>
      <c r="X3036" s="2" t="s">
        <v>59</v>
      </c>
      <c r="Y3036" s="2">
        <v>52</v>
      </c>
      <c r="Z3036" s="2">
        <v>74.3</v>
      </c>
      <c r="AA3036" s="2" t="s">
        <v>163</v>
      </c>
      <c r="AB3036" s="2" t="s">
        <v>20271</v>
      </c>
      <c r="AC3036" s="2">
        <v>1.5124944219999401</v>
      </c>
      <c r="AD3036" s="2"/>
      <c r="AE3036" s="2">
        <v>0.19750992674760801</v>
      </c>
      <c r="AF3036" s="2">
        <v>14198.473439371401</v>
      </c>
      <c r="AG3036" s="2">
        <v>8150.2663676413604</v>
      </c>
      <c r="AH3036" s="5">
        <v>1.74208704340548</v>
      </c>
      <c r="AI3036" s="5">
        <v>0.80081671001722698</v>
      </c>
      <c r="AJ3036" s="5" t="s">
        <v>139</v>
      </c>
      <c r="AK3036" s="2">
        <v>0.31925862164062901</v>
      </c>
      <c r="AL3036" s="2">
        <v>0.627420866163659</v>
      </c>
      <c r="AM3036" s="2">
        <v>2503.4902863368502</v>
      </c>
      <c r="AN3036" s="2">
        <v>13235.809489077999</v>
      </c>
      <c r="AO3036" s="2">
        <v>7415.6102985179396</v>
      </c>
      <c r="AP3036" s="2">
        <v>32865.187522278698</v>
      </c>
      <c r="AQ3036" s="2">
        <v>9026.4696469250503</v>
      </c>
      <c r="AR3036" s="2">
        <v>20144.273393092099</v>
      </c>
      <c r="AS3036" s="2">
        <v>22126.6277239187</v>
      </c>
      <c r="AT3036" s="2">
        <v>8135.3786013122199</v>
      </c>
      <c r="AU3036" s="2">
        <v>2735.6818872562999</v>
      </c>
      <c r="AV3036" s="2">
        <v>7.5241013732033704</v>
      </c>
      <c r="AW3036" s="2">
        <v>408.64648910513398</v>
      </c>
      <c r="AX3036" s="2">
        <v>15487.7394028826</v>
      </c>
    </row>
    <row r="3037" spans="1:50" x14ac:dyDescent="0.25">
      <c r="A3037" s="2" t="s">
        <v>20272</v>
      </c>
      <c r="B3037" s="2">
        <v>612.52171634021897</v>
      </c>
      <c r="C3037" s="2">
        <v>14.459250000000001</v>
      </c>
      <c r="D3037" s="2" t="s">
        <v>51</v>
      </c>
      <c r="E3037" s="2" t="s">
        <v>20273</v>
      </c>
      <c r="F3037" s="2">
        <v>248408</v>
      </c>
      <c r="G3037" s="3" t="str">
        <f>HYPERLINK("https://cloud.oebiotech.com/#/lm/network/248408", "https://cloud.oebiotech.com/#/lm/network/248408")</f>
        <v>https://cloud.oebiotech.com/#/lm/network/248408</v>
      </c>
      <c r="H3037" s="2" t="s">
        <v>20274</v>
      </c>
      <c r="I3037" s="2"/>
      <c r="J3037" s="2"/>
      <c r="K3037" s="2"/>
      <c r="L3037" s="2"/>
      <c r="M3037" s="2"/>
      <c r="N3037" s="2"/>
      <c r="O3037" s="2"/>
      <c r="P3037" s="2"/>
      <c r="Q3037" s="2"/>
      <c r="R3037" s="2"/>
      <c r="S3037" s="2" t="s">
        <v>20275</v>
      </c>
      <c r="T3037" s="2" t="s">
        <v>20276</v>
      </c>
      <c r="U3037" s="2" t="s">
        <v>56</v>
      </c>
      <c r="V3037" s="2" t="s">
        <v>3215</v>
      </c>
      <c r="W3037" s="2" t="s">
        <v>3216</v>
      </c>
      <c r="X3037" s="2" t="s">
        <v>59</v>
      </c>
      <c r="Y3037" s="2">
        <v>47.7</v>
      </c>
      <c r="Z3037" s="2">
        <v>48.7</v>
      </c>
      <c r="AA3037" s="2" t="s">
        <v>512</v>
      </c>
      <c r="AB3037" s="2" t="s">
        <v>3217</v>
      </c>
      <c r="AC3037" s="2">
        <v>3.2817870165105298</v>
      </c>
      <c r="AD3037" s="2"/>
      <c r="AE3037" s="2">
        <v>0.197496804671038</v>
      </c>
      <c r="AF3037" s="2">
        <v>128198.098729351</v>
      </c>
      <c r="AG3037" s="2">
        <v>112703.446486523</v>
      </c>
      <c r="AH3037" s="5">
        <v>1.1374816185828001</v>
      </c>
      <c r="AI3037" s="5">
        <v>0.18584323191027699</v>
      </c>
      <c r="AJ3037" s="5" t="s">
        <v>139</v>
      </c>
      <c r="AK3037" s="2">
        <v>0.67335583908573304</v>
      </c>
      <c r="AL3037" s="2">
        <v>0.84197843653159099</v>
      </c>
      <c r="AM3037" s="2">
        <v>26345.4114339476</v>
      </c>
      <c r="AN3037" s="2">
        <v>158382.96192870499</v>
      </c>
      <c r="AO3037" s="2">
        <v>154073.18541601201</v>
      </c>
      <c r="AP3037" s="2">
        <v>149543.43873838801</v>
      </c>
      <c r="AQ3037" s="2">
        <v>179082.38576478101</v>
      </c>
      <c r="AR3037" s="2">
        <v>101761.20909427</v>
      </c>
      <c r="AS3037" s="2">
        <v>38580.598224190697</v>
      </c>
      <c r="AT3037" s="2">
        <v>182665.72051562101</v>
      </c>
      <c r="AU3037" s="2">
        <v>39053.813620139503</v>
      </c>
      <c r="AV3037" s="2">
        <v>84562.165773040499</v>
      </c>
      <c r="AW3037" s="2">
        <v>153725.391969858</v>
      </c>
      <c r="AX3037" s="2">
        <v>177632.988816289</v>
      </c>
    </row>
    <row r="3038" spans="1:50" x14ac:dyDescent="0.25">
      <c r="A3038" s="2" t="s">
        <v>20277</v>
      </c>
      <c r="B3038" s="2">
        <v>278.24890059328601</v>
      </c>
      <c r="C3038" s="2">
        <v>8.4163499999999996</v>
      </c>
      <c r="D3038" s="2" t="s">
        <v>51</v>
      </c>
      <c r="E3038" s="2" t="s">
        <v>20278</v>
      </c>
      <c r="F3038" s="2">
        <v>8895</v>
      </c>
      <c r="G3038" s="3" t="str">
        <f>HYPERLINK("https://cloud.oebiotech.com/#/lm/network/8895", "https://cloud.oebiotech.com/#/lm/network/8895")</f>
        <v>https://cloud.oebiotech.com/#/lm/network/8895</v>
      </c>
      <c r="H3038" s="2"/>
      <c r="I3038" s="2"/>
      <c r="J3038" s="2" t="s">
        <v>20279</v>
      </c>
      <c r="K3038" s="2">
        <v>5321844</v>
      </c>
      <c r="L3038" s="2"/>
      <c r="M3038" s="2"/>
      <c r="N3038" s="2"/>
      <c r="O3038" s="2"/>
      <c r="P3038" s="2"/>
      <c r="Q3038" s="2"/>
      <c r="R3038" s="2"/>
      <c r="S3038" s="2" t="s">
        <v>20280</v>
      </c>
      <c r="T3038" s="2" t="s">
        <v>20281</v>
      </c>
      <c r="U3038" s="2" t="s">
        <v>56</v>
      </c>
      <c r="V3038" s="2" t="s">
        <v>145</v>
      </c>
      <c r="W3038" s="2" t="s">
        <v>1617</v>
      </c>
      <c r="X3038" s="2" t="s">
        <v>147</v>
      </c>
      <c r="Y3038" s="2">
        <v>37.799999999999997</v>
      </c>
      <c r="Z3038" s="2">
        <v>0</v>
      </c>
      <c r="AA3038" s="2" t="s">
        <v>156</v>
      </c>
      <c r="AB3038" s="2" t="s">
        <v>6403</v>
      </c>
      <c r="AC3038" s="2">
        <v>3.5886096627567898</v>
      </c>
      <c r="AD3038" s="2"/>
      <c r="AE3038" s="2">
        <v>0.19749560111921599</v>
      </c>
      <c r="AF3038" s="2">
        <v>2482.8920318666601</v>
      </c>
      <c r="AG3038" s="2">
        <v>183.23847739159999</v>
      </c>
      <c r="AH3038" s="5">
        <v>13.5500581930752</v>
      </c>
      <c r="AI3038" s="5">
        <v>3.7602271423839002</v>
      </c>
      <c r="AJ3038" s="5" t="s">
        <v>139</v>
      </c>
      <c r="AK3038" s="2">
        <v>0.236306331995214</v>
      </c>
      <c r="AL3038" s="2">
        <v>0.56083325745832202</v>
      </c>
      <c r="AM3038" s="2">
        <v>8.559877937157E-6</v>
      </c>
      <c r="AN3038" s="2">
        <v>8.559877937157E-6</v>
      </c>
      <c r="AO3038" s="2">
        <v>3895.62943114877</v>
      </c>
      <c r="AP3038" s="2">
        <v>8.559877937157E-6</v>
      </c>
      <c r="AQ3038" s="2">
        <v>11001.7227258117</v>
      </c>
      <c r="AR3038" s="2">
        <v>8.559877937157E-6</v>
      </c>
      <c r="AS3038" s="2">
        <v>947.34203384970704</v>
      </c>
      <c r="AT3038" s="2">
        <v>8.559877937157E-6</v>
      </c>
      <c r="AU3038" s="2">
        <v>152.08879626038001</v>
      </c>
      <c r="AV3038" s="2">
        <v>8.559877937157E-6</v>
      </c>
      <c r="AW3038" s="2">
        <v>8.559877937157E-6</v>
      </c>
      <c r="AX3038" s="2">
        <v>8.559877937157E-6</v>
      </c>
    </row>
    <row r="3039" spans="1:50" x14ac:dyDescent="0.25">
      <c r="A3039" s="2" t="s">
        <v>20282</v>
      </c>
      <c r="B3039" s="2">
        <v>449.34995778816199</v>
      </c>
      <c r="C3039" s="2">
        <v>9.4429666666666705</v>
      </c>
      <c r="D3039" s="2" t="s">
        <v>51</v>
      </c>
      <c r="E3039" s="2" t="s">
        <v>20283</v>
      </c>
      <c r="F3039" s="2">
        <v>38942</v>
      </c>
      <c r="G3039" s="3" t="str">
        <f>HYPERLINK("https://cloud.oebiotech.com/#/lm/network/38942", "https://cloud.oebiotech.com/#/lm/network/38942")</f>
        <v>https://cloud.oebiotech.com/#/lm/network/38942</v>
      </c>
      <c r="H3039" s="2" t="s">
        <v>20284</v>
      </c>
      <c r="I3039" s="2">
        <v>41562</v>
      </c>
      <c r="J3039" s="2" t="s">
        <v>20285</v>
      </c>
      <c r="K3039" s="2">
        <v>44260122</v>
      </c>
      <c r="L3039" s="2"/>
      <c r="M3039" s="2"/>
      <c r="N3039" s="2"/>
      <c r="O3039" s="2">
        <v>132478</v>
      </c>
      <c r="P3039" s="2"/>
      <c r="Q3039" s="2"/>
      <c r="R3039" s="2"/>
      <c r="S3039" s="2" t="s">
        <v>20286</v>
      </c>
      <c r="T3039" s="2" t="s">
        <v>20287</v>
      </c>
      <c r="U3039" s="2" t="s">
        <v>56</v>
      </c>
      <c r="V3039" s="2" t="s">
        <v>344</v>
      </c>
      <c r="W3039" s="2" t="s">
        <v>1239</v>
      </c>
      <c r="X3039" s="2" t="s">
        <v>69</v>
      </c>
      <c r="Y3039" s="2">
        <v>57.4</v>
      </c>
      <c r="Z3039" s="2">
        <v>78.7</v>
      </c>
      <c r="AA3039" s="2" t="s">
        <v>156</v>
      </c>
      <c r="AB3039" s="2" t="s">
        <v>20288</v>
      </c>
      <c r="AC3039" s="2">
        <v>-0.67188252631812795</v>
      </c>
      <c r="AD3039" s="2"/>
      <c r="AE3039" s="2">
        <v>0.19748732348932799</v>
      </c>
      <c r="AF3039" s="2">
        <v>17948.038195699301</v>
      </c>
      <c r="AG3039" s="2">
        <v>15557.7667873134</v>
      </c>
      <c r="AH3039" s="5">
        <v>1.15363846502283</v>
      </c>
      <c r="AI3039" s="5">
        <v>0.20619117334300999</v>
      </c>
      <c r="AJ3039" s="5" t="s">
        <v>139</v>
      </c>
      <c r="AK3039" s="2">
        <v>0.171323272498484</v>
      </c>
      <c r="AL3039" s="2">
        <v>0.49208818036937502</v>
      </c>
      <c r="AM3039" s="2">
        <v>13607.050463789201</v>
      </c>
      <c r="AN3039" s="2">
        <v>22029.879644690998</v>
      </c>
      <c r="AO3039" s="2">
        <v>19341.6412154061</v>
      </c>
      <c r="AP3039" s="2">
        <v>16237.229218708901</v>
      </c>
      <c r="AQ3039" s="2">
        <v>20131.117532111999</v>
      </c>
      <c r="AR3039" s="2">
        <v>16341.311099488599</v>
      </c>
      <c r="AS3039" s="2">
        <v>16373.288307257601</v>
      </c>
      <c r="AT3039" s="2">
        <v>13887.3494839418</v>
      </c>
      <c r="AU3039" s="2">
        <v>12212.6792706783</v>
      </c>
      <c r="AV3039" s="2">
        <v>14562.8601176066</v>
      </c>
      <c r="AW3039" s="2">
        <v>17138.1942188258</v>
      </c>
      <c r="AX3039" s="2">
        <v>19172.229325570199</v>
      </c>
    </row>
    <row r="3040" spans="1:50" x14ac:dyDescent="0.25">
      <c r="A3040" s="2" t="s">
        <v>20289</v>
      </c>
      <c r="B3040" s="2">
        <v>202.11</v>
      </c>
      <c r="C3040" s="2">
        <v>15.093999999999999</v>
      </c>
      <c r="D3040" s="2" t="s">
        <v>125</v>
      </c>
      <c r="E3040" s="2" t="s">
        <v>20290</v>
      </c>
      <c r="F3040" s="2">
        <v>5984</v>
      </c>
      <c r="G3040" s="3" t="str">
        <f>HYPERLINK("https://cloud.oebiotech.com/#/lm/network/5984", "https://cloud.oebiotech.com/#/lm/network/5984")</f>
        <v>https://cloud.oebiotech.com/#/lm/network/5984</v>
      </c>
      <c r="H3040" s="2" t="s">
        <v>20291</v>
      </c>
      <c r="I3040" s="2">
        <v>34482</v>
      </c>
      <c r="J3040" s="2" t="s">
        <v>20292</v>
      </c>
      <c r="K3040" s="2">
        <v>8193</v>
      </c>
      <c r="L3040" s="2" t="s">
        <v>20293</v>
      </c>
      <c r="M3040" s="2"/>
      <c r="N3040" s="2"/>
      <c r="O3040" s="2">
        <v>28878</v>
      </c>
      <c r="P3040" s="2" t="s">
        <v>20294</v>
      </c>
      <c r="Q3040" s="2" t="s">
        <v>20295</v>
      </c>
      <c r="R3040" s="2" t="s">
        <v>20296</v>
      </c>
      <c r="S3040" s="2" t="s">
        <v>20297</v>
      </c>
      <c r="T3040" s="2" t="s">
        <v>20298</v>
      </c>
      <c r="U3040" s="2" t="s">
        <v>56</v>
      </c>
      <c r="V3040" s="2" t="s">
        <v>145</v>
      </c>
      <c r="W3040" s="2" t="s">
        <v>146</v>
      </c>
      <c r="X3040" s="2" t="s">
        <v>59</v>
      </c>
      <c r="Y3040" s="2">
        <v>73</v>
      </c>
      <c r="Z3040" s="2">
        <v>57</v>
      </c>
      <c r="AA3040" s="2"/>
      <c r="AB3040" s="2" t="s">
        <v>20299</v>
      </c>
      <c r="AC3040" s="2"/>
      <c r="AD3040" s="2">
        <v>507823.260585198</v>
      </c>
      <c r="AE3040" s="2">
        <v>0.19728128394528299</v>
      </c>
      <c r="AF3040" s="2">
        <v>32563.7494959367</v>
      </c>
      <c r="AG3040" s="2">
        <v>9069.8830836907691</v>
      </c>
      <c r="AH3040" s="5">
        <v>3.5903163464688901</v>
      </c>
      <c r="AI3040" s="5">
        <v>1.84411096699393</v>
      </c>
      <c r="AJ3040" s="5" t="s">
        <v>139</v>
      </c>
      <c r="AK3040" s="2">
        <v>0.43145421782393101</v>
      </c>
      <c r="AL3040" s="2">
        <v>0.68914277407067004</v>
      </c>
      <c r="AM3040" s="2">
        <v>2299.8352172700202</v>
      </c>
      <c r="AN3040" s="2">
        <v>2299.8352172700202</v>
      </c>
      <c r="AO3040" s="2">
        <v>5677.1716475119201</v>
      </c>
      <c r="AP3040" s="2">
        <v>7169.6221871479702</v>
      </c>
      <c r="AQ3040" s="2">
        <v>175636.19748915001</v>
      </c>
      <c r="AR3040" s="2">
        <v>2299.8352172700202</v>
      </c>
      <c r="AS3040" s="2">
        <v>5930.5082801019498</v>
      </c>
      <c r="AT3040" s="2">
        <v>7879.49122231809</v>
      </c>
      <c r="AU3040" s="2">
        <v>13917.992903647801</v>
      </c>
      <c r="AV3040" s="2">
        <v>11754.264359426899</v>
      </c>
      <c r="AW3040" s="2">
        <v>5439.8924594992004</v>
      </c>
      <c r="AX3040" s="2">
        <v>9497.1492771506892</v>
      </c>
    </row>
    <row r="3041" spans="1:50" x14ac:dyDescent="0.25">
      <c r="A3041" s="2" t="s">
        <v>20300</v>
      </c>
      <c r="B3041" s="2">
        <v>325.27480662219699</v>
      </c>
      <c r="C3041" s="2">
        <v>11.6313666666667</v>
      </c>
      <c r="D3041" s="2" t="s">
        <v>51</v>
      </c>
      <c r="E3041" s="2" t="s">
        <v>20301</v>
      </c>
      <c r="F3041" s="2">
        <v>1719</v>
      </c>
      <c r="G3041" s="3" t="str">
        <f>HYPERLINK("https://cloud.oebiotech.com/#/lm/network/1719", "https://cloud.oebiotech.com/#/lm/network/1719")</f>
        <v>https://cloud.oebiotech.com/#/lm/network/1719</v>
      </c>
      <c r="H3041" s="2"/>
      <c r="I3041" s="2"/>
      <c r="J3041" s="2" t="s">
        <v>20302</v>
      </c>
      <c r="K3041" s="2">
        <v>5282951</v>
      </c>
      <c r="L3041" s="2"/>
      <c r="M3041" s="2"/>
      <c r="N3041" s="2"/>
      <c r="O3041" s="2"/>
      <c r="P3041" s="2"/>
      <c r="Q3041" s="2"/>
      <c r="R3041" s="2"/>
      <c r="S3041" s="2" t="s">
        <v>20303</v>
      </c>
      <c r="T3041" s="2" t="s">
        <v>20304</v>
      </c>
      <c r="U3041" s="2" t="s">
        <v>56</v>
      </c>
      <c r="V3041" s="2" t="s">
        <v>145</v>
      </c>
      <c r="W3041" s="2" t="s">
        <v>231</v>
      </c>
      <c r="X3041" s="2" t="s">
        <v>83</v>
      </c>
      <c r="Y3041" s="2">
        <v>52</v>
      </c>
      <c r="Z3041" s="2">
        <v>0</v>
      </c>
      <c r="AA3041" s="2" t="s">
        <v>163</v>
      </c>
      <c r="AB3041" s="2" t="s">
        <v>20305</v>
      </c>
      <c r="AC3041" s="2">
        <v>-3.6848921514050101E-2</v>
      </c>
      <c r="AD3041" s="2"/>
      <c r="AE3041" s="2">
        <v>0.19726694482538301</v>
      </c>
      <c r="AF3041" s="2">
        <v>2369.7071464061501</v>
      </c>
      <c r="AG3041" s="2">
        <v>1247.6283506132299</v>
      </c>
      <c r="AH3041" s="5">
        <v>1.8993694277958599</v>
      </c>
      <c r="AI3041" s="5">
        <v>0.92552053730107098</v>
      </c>
      <c r="AJ3041" s="5" t="s">
        <v>139</v>
      </c>
      <c r="AK3041" s="2">
        <v>0.34555561383194899</v>
      </c>
      <c r="AL3041" s="2">
        <v>0.63919755662431299</v>
      </c>
      <c r="AM3041" s="2">
        <v>7451.18629209962</v>
      </c>
      <c r="AN3041" s="2">
        <v>705.936715649755</v>
      </c>
      <c r="AO3041" s="2">
        <v>2059.1916639332198</v>
      </c>
      <c r="AP3041" s="2">
        <v>693.59465213870897</v>
      </c>
      <c r="AQ3041" s="2">
        <v>2630.0641861289801</v>
      </c>
      <c r="AR3041" s="2">
        <v>678.2693684866</v>
      </c>
      <c r="AS3041" s="2">
        <v>1657.8535975253101</v>
      </c>
      <c r="AT3041" s="2">
        <v>518.60957941298102</v>
      </c>
      <c r="AU3041" s="2">
        <v>2825.75304896846</v>
      </c>
      <c r="AV3041" s="2">
        <v>957.66472084400505</v>
      </c>
      <c r="AW3041" s="2">
        <v>1196.47835136658</v>
      </c>
      <c r="AX3041" s="2">
        <v>329.41080556204599</v>
      </c>
    </row>
    <row r="3042" spans="1:50" x14ac:dyDescent="0.25">
      <c r="A3042" s="2" t="s">
        <v>20306</v>
      </c>
      <c r="B3042" s="2">
        <v>596.321056420177</v>
      </c>
      <c r="C3042" s="2">
        <v>7.2455166666666697</v>
      </c>
      <c r="D3042" s="2" t="s">
        <v>51</v>
      </c>
      <c r="E3042" s="2" t="s">
        <v>20307</v>
      </c>
      <c r="F3042" s="2">
        <v>28122</v>
      </c>
      <c r="G3042" s="3" t="str">
        <f>HYPERLINK("https://cloud.oebiotech.com/#/lm/network/28122", "https://cloud.oebiotech.com/#/lm/network/28122")</f>
        <v>https://cloud.oebiotech.com/#/lm/network/28122</v>
      </c>
      <c r="H3042" s="2"/>
      <c r="I3042" s="2"/>
      <c r="J3042" s="2" t="s">
        <v>20308</v>
      </c>
      <c r="K3042" s="2"/>
      <c r="L3042" s="2"/>
      <c r="M3042" s="2"/>
      <c r="N3042" s="2"/>
      <c r="O3042" s="2"/>
      <c r="P3042" s="2"/>
      <c r="Q3042" s="2"/>
      <c r="R3042" s="2"/>
      <c r="S3042" s="2" t="s">
        <v>20309</v>
      </c>
      <c r="T3042" s="2" t="s">
        <v>20310</v>
      </c>
      <c r="U3042" s="2" t="s">
        <v>331</v>
      </c>
      <c r="V3042" s="2" t="s">
        <v>332</v>
      </c>
      <c r="W3042" s="2" t="s">
        <v>333</v>
      </c>
      <c r="X3042" s="2" t="s">
        <v>59</v>
      </c>
      <c r="Y3042" s="2">
        <v>54.7</v>
      </c>
      <c r="Z3042" s="2">
        <v>84.2</v>
      </c>
      <c r="AA3042" s="2" t="s">
        <v>379</v>
      </c>
      <c r="AB3042" s="2" t="s">
        <v>7630</v>
      </c>
      <c r="AC3042" s="2">
        <v>0.86901599155366605</v>
      </c>
      <c r="AD3042" s="2"/>
      <c r="AE3042" s="2">
        <v>0.19711039703927999</v>
      </c>
      <c r="AF3042" s="2">
        <v>19985.542142156799</v>
      </c>
      <c r="AG3042" s="2">
        <v>16792.9849506338</v>
      </c>
      <c r="AH3042" s="5">
        <v>1.1901125500265799</v>
      </c>
      <c r="AI3042" s="5">
        <v>0.251098016967643</v>
      </c>
      <c r="AJ3042" s="5" t="s">
        <v>139</v>
      </c>
      <c r="AK3042" s="2">
        <v>0.50447275258758895</v>
      </c>
      <c r="AL3042" s="2">
        <v>0.74116672410604201</v>
      </c>
      <c r="AM3042" s="2">
        <v>13050.5178303018</v>
      </c>
      <c r="AN3042" s="2">
        <v>33406.649382694501</v>
      </c>
      <c r="AO3042" s="2">
        <v>19063.807830558599</v>
      </c>
      <c r="AP3042" s="2">
        <v>8748.75829646889</v>
      </c>
      <c r="AQ3042" s="2">
        <v>21769.586114403599</v>
      </c>
      <c r="AR3042" s="2">
        <v>23873.933398513698</v>
      </c>
      <c r="AS3042" s="2">
        <v>19192.784166937701</v>
      </c>
      <c r="AT3042" s="2">
        <v>7643.14927718747</v>
      </c>
      <c r="AU3042" s="2">
        <v>21697.346126262699</v>
      </c>
      <c r="AV3042" s="2">
        <v>8233.2075544749005</v>
      </c>
      <c r="AW3042" s="2">
        <v>18582.149598012002</v>
      </c>
      <c r="AX3042" s="2">
        <v>25409.272980928301</v>
      </c>
    </row>
    <row r="3043" spans="1:50" x14ac:dyDescent="0.25">
      <c r="A3043" s="2" t="s">
        <v>20311</v>
      </c>
      <c r="B3043" s="2">
        <v>405.22607726793399</v>
      </c>
      <c r="C3043" s="2">
        <v>8.8446666666666705</v>
      </c>
      <c r="D3043" s="2" t="s">
        <v>51</v>
      </c>
      <c r="E3043" s="2" t="s">
        <v>20312</v>
      </c>
      <c r="F3043" s="2">
        <v>62824</v>
      </c>
      <c r="G3043" s="3" t="str">
        <f>HYPERLINK("https://cloud.oebiotech.com/#/lm/network/62824", "https://cloud.oebiotech.com/#/lm/network/62824")</f>
        <v>https://cloud.oebiotech.com/#/lm/network/62824</v>
      </c>
      <c r="H3043" s="2" t="s">
        <v>20313</v>
      </c>
      <c r="I3043" s="2">
        <v>94117</v>
      </c>
      <c r="J3043" s="2"/>
      <c r="K3043" s="2">
        <v>85102744</v>
      </c>
      <c r="L3043" s="2"/>
      <c r="M3043" s="2"/>
      <c r="N3043" s="2"/>
      <c r="O3043" s="2"/>
      <c r="P3043" s="2"/>
      <c r="Q3043" s="2"/>
      <c r="R3043" s="2"/>
      <c r="S3043" s="2" t="s">
        <v>20314</v>
      </c>
      <c r="T3043" s="2" t="s">
        <v>20315</v>
      </c>
      <c r="U3043" s="2" t="s">
        <v>56</v>
      </c>
      <c r="V3043" s="2" t="s">
        <v>177</v>
      </c>
      <c r="W3043" s="2" t="s">
        <v>806</v>
      </c>
      <c r="X3043" s="2" t="s">
        <v>147</v>
      </c>
      <c r="Y3043" s="2">
        <v>38.9</v>
      </c>
      <c r="Z3043" s="2">
        <v>5.28</v>
      </c>
      <c r="AA3043" s="2" t="s">
        <v>259</v>
      </c>
      <c r="AB3043" s="2" t="s">
        <v>14005</v>
      </c>
      <c r="AC3043" s="2">
        <v>-2.69137589864448</v>
      </c>
      <c r="AD3043" s="2"/>
      <c r="AE3043" s="2">
        <v>0.19685760748499201</v>
      </c>
      <c r="AF3043" s="2">
        <v>5414.9720334021404</v>
      </c>
      <c r="AG3043" s="2">
        <v>2913.4969998582701</v>
      </c>
      <c r="AH3043" s="5">
        <v>1.85858164043607</v>
      </c>
      <c r="AI3043" s="5">
        <v>0.89420206170806404</v>
      </c>
      <c r="AJ3043" s="5" t="s">
        <v>139</v>
      </c>
      <c r="AK3043" s="2">
        <v>0.152121024339537</v>
      </c>
      <c r="AL3043" s="2">
        <v>0.47358936336851498</v>
      </c>
      <c r="AM3043" s="2">
        <v>3295.4875450935601</v>
      </c>
      <c r="AN3043" s="2">
        <v>4179.9539836652102</v>
      </c>
      <c r="AO3043" s="2">
        <v>4035.1432198175598</v>
      </c>
      <c r="AP3043" s="2">
        <v>12200.4448051605</v>
      </c>
      <c r="AQ3043" s="2">
        <v>2411.0830344001201</v>
      </c>
      <c r="AR3043" s="2">
        <v>6367.7196122759096</v>
      </c>
      <c r="AS3043" s="2">
        <v>3913.7248286602799</v>
      </c>
      <c r="AT3043" s="2">
        <v>4118.3591503338503</v>
      </c>
      <c r="AU3043" s="2">
        <v>1878.78706024959</v>
      </c>
      <c r="AV3043" s="2">
        <v>664.37692066089005</v>
      </c>
      <c r="AW3043" s="2">
        <v>1863.79435832221</v>
      </c>
      <c r="AX3043" s="2">
        <v>5041.9396809228001</v>
      </c>
    </row>
    <row r="3044" spans="1:50" x14ac:dyDescent="0.25">
      <c r="A3044" s="2" t="s">
        <v>20316</v>
      </c>
      <c r="B3044" s="2">
        <v>545.38505251911897</v>
      </c>
      <c r="C3044" s="2">
        <v>13.8921333333333</v>
      </c>
      <c r="D3044" s="2" t="s">
        <v>51</v>
      </c>
      <c r="E3044" s="2" t="s">
        <v>20317</v>
      </c>
      <c r="F3044" s="2">
        <v>45778</v>
      </c>
      <c r="G3044" s="3" t="str">
        <f>HYPERLINK("https://cloud.oebiotech.com/#/lm/network/45778", "https://cloud.oebiotech.com/#/lm/network/45778")</f>
        <v>https://cloud.oebiotech.com/#/lm/network/45778</v>
      </c>
      <c r="H3044" s="2"/>
      <c r="I3044" s="2"/>
      <c r="J3044" s="2" t="s">
        <v>20318</v>
      </c>
      <c r="K3044" s="2">
        <v>24779627</v>
      </c>
      <c r="L3044" s="2"/>
      <c r="M3044" s="2"/>
      <c r="N3044" s="2"/>
      <c r="O3044" s="2"/>
      <c r="P3044" s="2"/>
      <c r="Q3044" s="2"/>
      <c r="R3044" s="2"/>
      <c r="S3044" s="2" t="s">
        <v>20319</v>
      </c>
      <c r="T3044" s="2" t="s">
        <v>20320</v>
      </c>
      <c r="U3044" s="2" t="s">
        <v>56</v>
      </c>
      <c r="V3044" s="2" t="s">
        <v>283</v>
      </c>
      <c r="W3044" s="2" t="s">
        <v>420</v>
      </c>
      <c r="X3044" s="2" t="s">
        <v>147</v>
      </c>
      <c r="Y3044" s="2">
        <v>36.1</v>
      </c>
      <c r="Z3044" s="2">
        <v>0</v>
      </c>
      <c r="AA3044" s="2" t="s">
        <v>259</v>
      </c>
      <c r="AB3044" s="2" t="s">
        <v>20321</v>
      </c>
      <c r="AC3044" s="2">
        <v>2.5473223056725001</v>
      </c>
      <c r="AD3044" s="2"/>
      <c r="AE3044" s="2">
        <v>0.19685751223954501</v>
      </c>
      <c r="AF3044" s="2">
        <v>5098.4239014039304</v>
      </c>
      <c r="AG3044" s="2">
        <v>3220.4022310302098</v>
      </c>
      <c r="AH3044" s="5">
        <v>1.58316369684446</v>
      </c>
      <c r="AI3044" s="5">
        <v>0.66281043577563004</v>
      </c>
      <c r="AJ3044" s="5" t="s">
        <v>139</v>
      </c>
      <c r="AK3044" s="2">
        <v>0.47793490882523698</v>
      </c>
      <c r="AL3044" s="2">
        <v>0.72348280308399604</v>
      </c>
      <c r="AM3044" s="2">
        <v>6277.9696624195503</v>
      </c>
      <c r="AN3044" s="2">
        <v>13622.922248427099</v>
      </c>
      <c r="AO3044" s="2">
        <v>5874.9155199051102</v>
      </c>
      <c r="AP3044" s="2">
        <v>1101.13489742568</v>
      </c>
      <c r="AQ3044" s="2">
        <v>1330.6470276325499</v>
      </c>
      <c r="AR3044" s="2">
        <v>2382.9540526135802</v>
      </c>
      <c r="AS3044" s="2">
        <v>8.559877937157E-6</v>
      </c>
      <c r="AT3044" s="2">
        <v>8.559877937157E-6</v>
      </c>
      <c r="AU3044" s="2">
        <v>3078.3741306071202</v>
      </c>
      <c r="AV3044" s="2">
        <v>3454.8923831380898</v>
      </c>
      <c r="AW3044" s="2">
        <v>1838.76647439149</v>
      </c>
      <c r="AX3044" s="2">
        <v>10950.3803809248</v>
      </c>
    </row>
    <row r="3045" spans="1:50" x14ac:dyDescent="0.25">
      <c r="A3045" s="2" t="s">
        <v>20322</v>
      </c>
      <c r="B3045" s="2">
        <v>151.148492632515</v>
      </c>
      <c r="C3045" s="2">
        <v>9.2380666666666702</v>
      </c>
      <c r="D3045" s="2" t="s">
        <v>51</v>
      </c>
      <c r="E3045" s="2" t="s">
        <v>20323</v>
      </c>
      <c r="F3045" s="2">
        <v>9951</v>
      </c>
      <c r="G3045" s="3" t="str">
        <f>HYPERLINK("https://cloud.oebiotech.com/#/lm/network/9951", "https://cloud.oebiotech.com/#/lm/network/9951")</f>
        <v>https://cloud.oebiotech.com/#/lm/network/9951</v>
      </c>
      <c r="H3045" s="2" t="s">
        <v>20324</v>
      </c>
      <c r="I3045" s="2">
        <v>89386</v>
      </c>
      <c r="J3045" s="2" t="s">
        <v>20325</v>
      </c>
      <c r="K3045" s="2">
        <v>118928</v>
      </c>
      <c r="L3045" s="2"/>
      <c r="M3045" s="2"/>
      <c r="N3045" s="2"/>
      <c r="O3045" s="2"/>
      <c r="P3045" s="2"/>
      <c r="Q3045" s="2"/>
      <c r="R3045" s="2" t="s">
        <v>20326</v>
      </c>
      <c r="S3045" s="2" t="s">
        <v>20327</v>
      </c>
      <c r="T3045" s="2" t="s">
        <v>20328</v>
      </c>
      <c r="U3045" s="2" t="s">
        <v>331</v>
      </c>
      <c r="V3045" s="2" t="s">
        <v>332</v>
      </c>
      <c r="W3045" s="2" t="s">
        <v>1207</v>
      </c>
      <c r="X3045" s="2" t="s">
        <v>147</v>
      </c>
      <c r="Y3045" s="2">
        <v>38.4</v>
      </c>
      <c r="Z3045" s="2">
        <v>0</v>
      </c>
      <c r="AA3045" s="2" t="s">
        <v>156</v>
      </c>
      <c r="AB3045" s="2" t="s">
        <v>20329</v>
      </c>
      <c r="AC3045" s="2">
        <v>2.17435906991376</v>
      </c>
      <c r="AD3045" s="2"/>
      <c r="AE3045" s="2">
        <v>0.196804441570646</v>
      </c>
      <c r="AF3045" s="2">
        <v>2022.2936499528601</v>
      </c>
      <c r="AG3045" s="2">
        <v>1199.0140445111599</v>
      </c>
      <c r="AH3045" s="5">
        <v>1.68663049378821</v>
      </c>
      <c r="AI3045" s="5">
        <v>0.75414394329409395</v>
      </c>
      <c r="AJ3045" s="5" t="s">
        <v>139</v>
      </c>
      <c r="AK3045" s="2">
        <v>8.5030615791843196E-3</v>
      </c>
      <c r="AL3045" s="2">
        <v>0.15035952907186401</v>
      </c>
      <c r="AM3045" s="2">
        <v>2213.3292278454601</v>
      </c>
      <c r="AN3045" s="2">
        <v>2681.5825116783899</v>
      </c>
      <c r="AO3045" s="2">
        <v>1889.4733067873999</v>
      </c>
      <c r="AP3045" s="2">
        <v>1366.91742665523</v>
      </c>
      <c r="AQ3045" s="2">
        <v>1951.3466104663401</v>
      </c>
      <c r="AR3045" s="2">
        <v>2031.1128162843199</v>
      </c>
      <c r="AS3045" s="2">
        <v>1874.2214498886899</v>
      </c>
      <c r="AT3045" s="2">
        <v>1056.95277946991</v>
      </c>
      <c r="AU3045" s="2">
        <v>1410.46621017033</v>
      </c>
      <c r="AV3045" s="2">
        <v>648.047798344787</v>
      </c>
      <c r="AW3045" s="2">
        <v>836.68683837191804</v>
      </c>
      <c r="AX3045" s="2">
        <v>1367.7091908213299</v>
      </c>
    </row>
    <row r="3046" spans="1:50" x14ac:dyDescent="0.25">
      <c r="A3046" s="2" t="s">
        <v>20330</v>
      </c>
      <c r="B3046" s="2">
        <v>321.14570321802802</v>
      </c>
      <c r="C3046" s="2">
        <v>4.6271666666666702</v>
      </c>
      <c r="D3046" s="2" t="s">
        <v>51</v>
      </c>
      <c r="E3046" s="2" t="s">
        <v>20331</v>
      </c>
      <c r="F3046" s="2">
        <v>211322</v>
      </c>
      <c r="G3046" s="3" t="str">
        <f>HYPERLINK("https://cloud.oebiotech.com/#/lm/network/211322", "https://cloud.oebiotech.com/#/lm/network/211322")</f>
        <v>https://cloud.oebiotech.com/#/lm/network/211322</v>
      </c>
      <c r="H3046" s="2" t="s">
        <v>20332</v>
      </c>
      <c r="I3046" s="2"/>
      <c r="J3046" s="2"/>
      <c r="K3046" s="2">
        <v>22142125</v>
      </c>
      <c r="L3046" s="2"/>
      <c r="M3046" s="2"/>
      <c r="N3046" s="2"/>
      <c r="O3046" s="2"/>
      <c r="P3046" s="2"/>
      <c r="Q3046" s="2"/>
      <c r="R3046" s="2"/>
      <c r="S3046" s="2" t="s">
        <v>20333</v>
      </c>
      <c r="T3046" s="2" t="s">
        <v>20334</v>
      </c>
      <c r="U3046" s="2" t="s">
        <v>103</v>
      </c>
      <c r="V3046" s="2" t="s">
        <v>104</v>
      </c>
      <c r="W3046" s="2" t="s">
        <v>105</v>
      </c>
      <c r="X3046" s="2" t="s">
        <v>59</v>
      </c>
      <c r="Y3046" s="2">
        <v>49.1</v>
      </c>
      <c r="Z3046" s="2">
        <v>51.4</v>
      </c>
      <c r="AA3046" s="2" t="s">
        <v>379</v>
      </c>
      <c r="AB3046" s="2" t="s">
        <v>20335</v>
      </c>
      <c r="AC3046" s="2">
        <v>0.31702815991227901</v>
      </c>
      <c r="AD3046" s="2"/>
      <c r="AE3046" s="2">
        <v>0.196685152513108</v>
      </c>
      <c r="AF3046" s="2">
        <v>3096.9727314809002</v>
      </c>
      <c r="AG3046" s="2">
        <v>209.735605147781</v>
      </c>
      <c r="AH3046" s="5">
        <v>14.766080033472401</v>
      </c>
      <c r="AI3046" s="5">
        <v>3.8842149780743802</v>
      </c>
      <c r="AJ3046" s="5" t="s">
        <v>139</v>
      </c>
      <c r="AK3046" s="2">
        <v>0.28435780376139702</v>
      </c>
      <c r="AL3046" s="2">
        <v>0.60000138164408201</v>
      </c>
      <c r="AM3046" s="2">
        <v>8.559877937157E-6</v>
      </c>
      <c r="AN3046" s="2">
        <v>8.559877937157E-6</v>
      </c>
      <c r="AO3046" s="2">
        <v>8.559877937157E-6</v>
      </c>
      <c r="AP3046" s="2">
        <v>8.559877937157E-6</v>
      </c>
      <c r="AQ3046" s="2">
        <v>15615.561324640101</v>
      </c>
      <c r="AR3046" s="2">
        <v>2966.2750300058001</v>
      </c>
      <c r="AS3046" s="2">
        <v>8.559877937157E-6</v>
      </c>
      <c r="AT3046" s="2">
        <v>8.559877937157E-6</v>
      </c>
      <c r="AU3046" s="2">
        <v>277.21988613474701</v>
      </c>
      <c r="AV3046" s="2">
        <v>624.40606312290004</v>
      </c>
      <c r="AW3046" s="2">
        <v>356.78765594940501</v>
      </c>
      <c r="AX3046" s="2">
        <v>8.559877937157E-6</v>
      </c>
    </row>
    <row r="3047" spans="1:50" x14ac:dyDescent="0.25">
      <c r="A3047" s="2" t="s">
        <v>20336</v>
      </c>
      <c r="B3047" s="2">
        <v>628.32586579511496</v>
      </c>
      <c r="C3047" s="2">
        <v>8.4268833333333308</v>
      </c>
      <c r="D3047" s="2" t="s">
        <v>51</v>
      </c>
      <c r="E3047" s="2" t="s">
        <v>20337</v>
      </c>
      <c r="F3047" s="2">
        <v>27918</v>
      </c>
      <c r="G3047" s="3" t="str">
        <f>HYPERLINK("https://cloud.oebiotech.com/#/lm/network/27918", "https://cloud.oebiotech.com/#/lm/network/27918")</f>
        <v>https://cloud.oebiotech.com/#/lm/network/27918</v>
      </c>
      <c r="H3047" s="2"/>
      <c r="I3047" s="2"/>
      <c r="J3047" s="2" t="s">
        <v>20338</v>
      </c>
      <c r="K3047" s="2">
        <v>134812375</v>
      </c>
      <c r="L3047" s="2"/>
      <c r="M3047" s="2"/>
      <c r="N3047" s="2"/>
      <c r="O3047" s="2"/>
      <c r="P3047" s="2"/>
      <c r="Q3047" s="2"/>
      <c r="R3047" s="2"/>
      <c r="S3047" s="2" t="s">
        <v>20339</v>
      </c>
      <c r="T3047" s="2" t="s">
        <v>20340</v>
      </c>
      <c r="U3047" s="2" t="s">
        <v>56</v>
      </c>
      <c r="V3047" s="2" t="s">
        <v>57</v>
      </c>
      <c r="W3047" s="2" t="s">
        <v>155</v>
      </c>
      <c r="X3047" s="2" t="s">
        <v>147</v>
      </c>
      <c r="Y3047" s="2">
        <v>37.1</v>
      </c>
      <c r="Z3047" s="2">
        <v>0</v>
      </c>
      <c r="AA3047" s="2" t="s">
        <v>11323</v>
      </c>
      <c r="AB3047" s="2" t="s">
        <v>20341</v>
      </c>
      <c r="AC3047" s="2">
        <v>0.39968485921282099</v>
      </c>
      <c r="AD3047" s="2"/>
      <c r="AE3047" s="2">
        <v>0.19666241876925</v>
      </c>
      <c r="AF3047" s="2">
        <v>7773.1258545323799</v>
      </c>
      <c r="AG3047" s="2">
        <v>6438.3470460791495</v>
      </c>
      <c r="AH3047" s="5">
        <v>1.20731700215913</v>
      </c>
      <c r="AI3047" s="5">
        <v>0.271804530605536</v>
      </c>
      <c r="AJ3047" s="5" t="s">
        <v>139</v>
      </c>
      <c r="AK3047" s="2">
        <v>0.39261099270323702</v>
      </c>
      <c r="AL3047" s="2">
        <v>0.66541006670828395</v>
      </c>
      <c r="AM3047" s="2">
        <v>14161.280159466</v>
      </c>
      <c r="AN3047" s="2">
        <v>7209.5647831045899</v>
      </c>
      <c r="AO3047" s="2">
        <v>5628.7180154665102</v>
      </c>
      <c r="AP3047" s="2">
        <v>4331.99824111409</v>
      </c>
      <c r="AQ3047" s="2">
        <v>5959.2908309610302</v>
      </c>
      <c r="AR3047" s="2">
        <v>9347.9030970820495</v>
      </c>
      <c r="AS3047" s="2">
        <v>6815.0240148469502</v>
      </c>
      <c r="AT3047" s="2">
        <v>5079.3295994950904</v>
      </c>
      <c r="AU3047" s="2">
        <v>6279.4052317240003</v>
      </c>
      <c r="AV3047" s="2">
        <v>5937.4645036072998</v>
      </c>
      <c r="AW3047" s="2">
        <v>7324.5453740461799</v>
      </c>
      <c r="AX3047" s="2">
        <v>7194.3135527553604</v>
      </c>
    </row>
    <row r="3048" spans="1:50" x14ac:dyDescent="0.25">
      <c r="A3048" s="2" t="s">
        <v>20342</v>
      </c>
      <c r="B3048" s="2">
        <v>329.18775839428798</v>
      </c>
      <c r="C3048" s="2">
        <v>4.7497999999999996</v>
      </c>
      <c r="D3048" s="2" t="s">
        <v>51</v>
      </c>
      <c r="E3048" s="2" t="s">
        <v>20343</v>
      </c>
      <c r="F3048" s="2">
        <v>44890</v>
      </c>
      <c r="G3048" s="3" t="str">
        <f>HYPERLINK("https://cloud.oebiotech.com/#/lm/network/44890", "https://cloud.oebiotech.com/#/lm/network/44890")</f>
        <v>https://cloud.oebiotech.com/#/lm/network/44890</v>
      </c>
      <c r="H3048" s="2" t="s">
        <v>20344</v>
      </c>
      <c r="I3048" s="2">
        <v>2797</v>
      </c>
      <c r="J3048" s="2" t="s">
        <v>20345</v>
      </c>
      <c r="K3048" s="2">
        <v>5879</v>
      </c>
      <c r="L3048" s="2" t="s">
        <v>20346</v>
      </c>
      <c r="M3048" s="2" t="s">
        <v>2681</v>
      </c>
      <c r="N3048" s="2" t="s">
        <v>2682</v>
      </c>
      <c r="O3048" s="2">
        <v>16032</v>
      </c>
      <c r="P3048" s="2"/>
      <c r="Q3048" s="2"/>
      <c r="R3048" s="2" t="s">
        <v>20347</v>
      </c>
      <c r="S3048" s="2" t="s">
        <v>20348</v>
      </c>
      <c r="T3048" s="2" t="s">
        <v>20349</v>
      </c>
      <c r="U3048" s="2" t="s">
        <v>56</v>
      </c>
      <c r="V3048" s="2" t="s">
        <v>283</v>
      </c>
      <c r="W3048" s="2" t="s">
        <v>284</v>
      </c>
      <c r="X3048" s="2" t="s">
        <v>147</v>
      </c>
      <c r="Y3048" s="2">
        <v>37.1</v>
      </c>
      <c r="Z3048" s="2">
        <v>0</v>
      </c>
      <c r="AA3048" s="2" t="s">
        <v>395</v>
      </c>
      <c r="AB3048" s="2" t="s">
        <v>15605</v>
      </c>
      <c r="AC3048" s="2">
        <v>6.9301739374375296E-2</v>
      </c>
      <c r="AD3048" s="2"/>
      <c r="AE3048" s="2">
        <v>0.19664112130139499</v>
      </c>
      <c r="AF3048" s="2">
        <v>3428.4201501744701</v>
      </c>
      <c r="AG3048" s="2">
        <v>2037.49380711139</v>
      </c>
      <c r="AH3048" s="5">
        <v>1.6826653107893501</v>
      </c>
      <c r="AI3048" s="5">
        <v>0.750748247088452</v>
      </c>
      <c r="AJ3048" s="5" t="s">
        <v>139</v>
      </c>
      <c r="AK3048" s="2">
        <v>0.122013179637491</v>
      </c>
      <c r="AL3048" s="2">
        <v>0.43955840261394802</v>
      </c>
      <c r="AM3048" s="2">
        <v>2117.92697921019</v>
      </c>
      <c r="AN3048" s="2">
        <v>2149.6895157131798</v>
      </c>
      <c r="AO3048" s="2">
        <v>6469.0961726323003</v>
      </c>
      <c r="AP3048" s="2">
        <v>3068.23196592876</v>
      </c>
      <c r="AQ3048" s="2">
        <v>4420.1108374510704</v>
      </c>
      <c r="AR3048" s="2">
        <v>2345.4654301113201</v>
      </c>
      <c r="AS3048" s="2">
        <v>2041.9179888553001</v>
      </c>
      <c r="AT3048" s="2">
        <v>4042.5582757574998</v>
      </c>
      <c r="AU3048" s="2">
        <v>1253.0735303563499</v>
      </c>
      <c r="AV3048" s="2">
        <v>1291.17620576831</v>
      </c>
      <c r="AW3048" s="2">
        <v>1530.8907376171901</v>
      </c>
      <c r="AX3048" s="2">
        <v>2065.3461043136899</v>
      </c>
    </row>
    <row r="3049" spans="1:50" x14ac:dyDescent="0.25">
      <c r="A3049" s="2" t="s">
        <v>20350</v>
      </c>
      <c r="B3049" s="2">
        <v>688.30878593785906</v>
      </c>
      <c r="C3049" s="2">
        <v>7.4982666666666704</v>
      </c>
      <c r="D3049" s="2" t="s">
        <v>51</v>
      </c>
      <c r="E3049" s="2" t="s">
        <v>20351</v>
      </c>
      <c r="F3049" s="2">
        <v>4127</v>
      </c>
      <c r="G3049" s="3" t="str">
        <f>HYPERLINK("https://cloud.oebiotech.com/#/lm/network/4127", "https://cloud.oebiotech.com/#/lm/network/4127")</f>
        <v>https://cloud.oebiotech.com/#/lm/network/4127</v>
      </c>
      <c r="H3049" s="2"/>
      <c r="I3049" s="2">
        <v>75057</v>
      </c>
      <c r="J3049" s="2" t="s">
        <v>20352</v>
      </c>
      <c r="K3049" s="2">
        <v>52921902</v>
      </c>
      <c r="L3049" s="2"/>
      <c r="M3049" s="2"/>
      <c r="N3049" s="2"/>
      <c r="O3049" s="2">
        <v>132883</v>
      </c>
      <c r="P3049" s="2"/>
      <c r="Q3049" s="2"/>
      <c r="R3049" s="2"/>
      <c r="S3049" s="2" t="s">
        <v>20353</v>
      </c>
      <c r="T3049" s="2" t="s">
        <v>20354</v>
      </c>
      <c r="U3049" s="2" t="s">
        <v>103</v>
      </c>
      <c r="V3049" s="2" t="s">
        <v>104</v>
      </c>
      <c r="W3049" s="2" t="s">
        <v>105</v>
      </c>
      <c r="X3049" s="2" t="s">
        <v>83</v>
      </c>
      <c r="Y3049" s="2">
        <v>42</v>
      </c>
      <c r="Z3049" s="2">
        <v>0</v>
      </c>
      <c r="AA3049" s="2" t="s">
        <v>218</v>
      </c>
      <c r="AB3049" s="2" t="s">
        <v>20355</v>
      </c>
      <c r="AC3049" s="2">
        <v>-5.1028179954390502</v>
      </c>
      <c r="AD3049" s="2"/>
      <c r="AE3049" s="2">
        <v>0.19652026379827001</v>
      </c>
      <c r="AF3049" s="2">
        <v>2180.2983423067599</v>
      </c>
      <c r="AG3049" s="2">
        <v>1052.74556908809</v>
      </c>
      <c r="AH3049" s="5">
        <v>2.07105914888378</v>
      </c>
      <c r="AI3049" s="5">
        <v>1.0503687571232401</v>
      </c>
      <c r="AJ3049" s="5" t="s">
        <v>139</v>
      </c>
      <c r="AK3049" s="2">
        <v>0.142393527023355</v>
      </c>
      <c r="AL3049" s="2">
        <v>0.46475556346215502</v>
      </c>
      <c r="AM3049" s="2">
        <v>3616.3764094887201</v>
      </c>
      <c r="AN3049" s="2">
        <v>2696.5621727466901</v>
      </c>
      <c r="AO3049" s="2">
        <v>853.73849034111004</v>
      </c>
      <c r="AP3049" s="2">
        <v>1526.1832470881</v>
      </c>
      <c r="AQ3049" s="2">
        <v>1401.33496532817</v>
      </c>
      <c r="AR3049" s="2">
        <v>2987.59476884776</v>
      </c>
      <c r="AS3049" s="2">
        <v>388.24571177589002</v>
      </c>
      <c r="AT3049" s="2">
        <v>364.49349484786802</v>
      </c>
      <c r="AU3049" s="2">
        <v>2502.4165294476402</v>
      </c>
      <c r="AV3049" s="2">
        <v>8.559877937157E-6</v>
      </c>
      <c r="AW3049" s="2">
        <v>8.559877937157E-6</v>
      </c>
      <c r="AX3049" s="2">
        <v>3061.3176613373998</v>
      </c>
    </row>
    <row r="3050" spans="1:50" x14ac:dyDescent="0.25">
      <c r="A3050" s="2" t="s">
        <v>20356</v>
      </c>
      <c r="B3050" s="2">
        <v>305.02286692798702</v>
      </c>
      <c r="C3050" s="2">
        <v>11.7921333333333</v>
      </c>
      <c r="D3050" s="2" t="s">
        <v>51</v>
      </c>
      <c r="E3050" s="2" t="s">
        <v>20357</v>
      </c>
      <c r="F3050" s="2">
        <v>201962</v>
      </c>
      <c r="G3050" s="3" t="str">
        <f>HYPERLINK("https://cloud.oebiotech.com/#/lm/network/201962", "https://cloud.oebiotech.com/#/lm/network/201962")</f>
        <v>https://cloud.oebiotech.com/#/lm/network/201962</v>
      </c>
      <c r="H3050" s="2" t="s">
        <v>20358</v>
      </c>
      <c r="I3050" s="2"/>
      <c r="J3050" s="2"/>
      <c r="K3050" s="2"/>
      <c r="L3050" s="2"/>
      <c r="M3050" s="2"/>
      <c r="N3050" s="2"/>
      <c r="O3050" s="2"/>
      <c r="P3050" s="2"/>
      <c r="Q3050" s="2"/>
      <c r="R3050" s="2"/>
      <c r="S3050" s="2" t="s">
        <v>20359</v>
      </c>
      <c r="T3050" s="2" t="s">
        <v>20360</v>
      </c>
      <c r="U3050" s="2" t="s">
        <v>610</v>
      </c>
      <c r="V3050" s="2" t="s">
        <v>611</v>
      </c>
      <c r="W3050" s="2" t="s">
        <v>4746</v>
      </c>
      <c r="X3050" s="2" t="s">
        <v>147</v>
      </c>
      <c r="Y3050" s="2">
        <v>36.5</v>
      </c>
      <c r="Z3050" s="2">
        <v>0</v>
      </c>
      <c r="AA3050" s="2" t="s">
        <v>379</v>
      </c>
      <c r="AB3050" s="2" t="s">
        <v>20361</v>
      </c>
      <c r="AC3050" s="2">
        <v>-2.7745320156534601</v>
      </c>
      <c r="AD3050" s="2"/>
      <c r="AE3050" s="2">
        <v>0.19640695049904899</v>
      </c>
      <c r="AF3050" s="2">
        <v>5572.0182371127703</v>
      </c>
      <c r="AG3050" s="2">
        <v>6532.6596687466399</v>
      </c>
      <c r="AH3050" s="4">
        <v>0.852947883351442</v>
      </c>
      <c r="AI3050" s="4">
        <v>-0.22947050191056101</v>
      </c>
      <c r="AJ3050" s="4" t="s">
        <v>62</v>
      </c>
      <c r="AK3050" s="2">
        <v>1.37350490187179E-2</v>
      </c>
      <c r="AL3050" s="2">
        <v>0.18660179868221499</v>
      </c>
      <c r="AM3050" s="2">
        <v>5621.2077137809401</v>
      </c>
      <c r="AN3050" s="2">
        <v>5501.5694271081202</v>
      </c>
      <c r="AO3050" s="2">
        <v>5691.3223681014097</v>
      </c>
      <c r="AP3050" s="2">
        <v>5390.1408162307798</v>
      </c>
      <c r="AQ3050" s="2">
        <v>5700.2801928415302</v>
      </c>
      <c r="AR3050" s="2">
        <v>5527.58890461387</v>
      </c>
      <c r="AS3050" s="2">
        <v>7716.3452119923204</v>
      </c>
      <c r="AT3050" s="2">
        <v>6997.8145039323499</v>
      </c>
      <c r="AU3050" s="2">
        <v>5452.1505794330096</v>
      </c>
      <c r="AV3050" s="2">
        <v>6650.6875920265302</v>
      </c>
      <c r="AW3050" s="2">
        <v>6231.3945720966803</v>
      </c>
      <c r="AX3050" s="2">
        <v>6147.5655529989199</v>
      </c>
    </row>
    <row r="3051" spans="1:50" x14ac:dyDescent="0.25">
      <c r="A3051" s="2" t="s">
        <v>20362</v>
      </c>
      <c r="B3051" s="2">
        <v>277.07364754532603</v>
      </c>
      <c r="C3051" s="2">
        <v>0.89354999999999996</v>
      </c>
      <c r="D3051" s="2" t="s">
        <v>51</v>
      </c>
      <c r="E3051" s="2" t="s">
        <v>20363</v>
      </c>
      <c r="F3051" s="2">
        <v>201217</v>
      </c>
      <c r="G3051" s="3" t="str">
        <f>HYPERLINK("https://cloud.oebiotech.com/#/lm/network/201217", "https://cloud.oebiotech.com/#/lm/network/201217")</f>
        <v>https://cloud.oebiotech.com/#/lm/network/201217</v>
      </c>
      <c r="H3051" s="2" t="s">
        <v>20364</v>
      </c>
      <c r="I3051" s="2">
        <v>417853</v>
      </c>
      <c r="J3051" s="2"/>
      <c r="K3051" s="2">
        <v>97587</v>
      </c>
      <c r="L3051" s="2"/>
      <c r="M3051" s="2"/>
      <c r="N3051" s="2"/>
      <c r="O3051" s="2">
        <v>142993</v>
      </c>
      <c r="P3051" s="2"/>
      <c r="Q3051" s="2"/>
      <c r="R3051" s="2"/>
      <c r="S3051" s="2" t="s">
        <v>20365</v>
      </c>
      <c r="T3051" s="2" t="s">
        <v>20366</v>
      </c>
      <c r="U3051" s="2" t="s">
        <v>103</v>
      </c>
      <c r="V3051" s="2" t="s">
        <v>9072</v>
      </c>
      <c r="W3051" s="2" t="s">
        <v>13533</v>
      </c>
      <c r="X3051" s="2" t="s">
        <v>147</v>
      </c>
      <c r="Y3051" s="2">
        <v>38.1</v>
      </c>
      <c r="Z3051" s="2">
        <v>0</v>
      </c>
      <c r="AA3051" s="2" t="s">
        <v>478</v>
      </c>
      <c r="AB3051" s="2" t="s">
        <v>20367</v>
      </c>
      <c r="AC3051" s="2">
        <v>4.5467150212948901</v>
      </c>
      <c r="AD3051" s="2"/>
      <c r="AE3051" s="2">
        <v>0.196392055274248</v>
      </c>
      <c r="AF3051" s="2">
        <v>1657.2377605827401</v>
      </c>
      <c r="AG3051" s="2">
        <v>3222.8211819743401</v>
      </c>
      <c r="AH3051" s="4">
        <v>0.51421958185327998</v>
      </c>
      <c r="AI3051" s="4">
        <v>-0.95954354479998505</v>
      </c>
      <c r="AJ3051" s="4" t="s">
        <v>62</v>
      </c>
      <c r="AK3051" s="2">
        <v>0.420376038096206</v>
      </c>
      <c r="AL3051" s="2">
        <v>0.68097477167180798</v>
      </c>
      <c r="AM3051" s="2">
        <v>8.559877937157E-6</v>
      </c>
      <c r="AN3051" s="2">
        <v>2994.5282410221998</v>
      </c>
      <c r="AO3051" s="2">
        <v>725.26159605837699</v>
      </c>
      <c r="AP3051" s="2">
        <v>8.559877937157E-6</v>
      </c>
      <c r="AQ3051" s="2">
        <v>1100.6843881883599</v>
      </c>
      <c r="AR3051" s="2">
        <v>5122.9523211077303</v>
      </c>
      <c r="AS3051" s="2">
        <v>5725.0296947604402</v>
      </c>
      <c r="AT3051" s="2">
        <v>952.35087397198197</v>
      </c>
      <c r="AU3051" s="2">
        <v>8.559877937157E-6</v>
      </c>
      <c r="AV3051" s="2">
        <v>10407.5536005801</v>
      </c>
      <c r="AW3051" s="2">
        <v>274.73185290086201</v>
      </c>
      <c r="AX3051" s="2">
        <v>1977.26106107277</v>
      </c>
    </row>
    <row r="3052" spans="1:50" x14ac:dyDescent="0.25">
      <c r="A3052" s="2" t="s">
        <v>20368</v>
      </c>
      <c r="B3052" s="2">
        <v>219.063415283273</v>
      </c>
      <c r="C3052" s="2">
        <v>5.2853833333333302</v>
      </c>
      <c r="D3052" s="2" t="s">
        <v>51</v>
      </c>
      <c r="E3052" s="2" t="s">
        <v>20369</v>
      </c>
      <c r="F3052" s="2">
        <v>209313</v>
      </c>
      <c r="G3052" s="3" t="str">
        <f>HYPERLINK("https://cloud.oebiotech.com/#/lm/network/209313", "https://cloud.oebiotech.com/#/lm/network/209313")</f>
        <v>https://cloud.oebiotech.com/#/lm/network/209313</v>
      </c>
      <c r="H3052" s="2" t="s">
        <v>20370</v>
      </c>
      <c r="I3052" s="2">
        <v>825115</v>
      </c>
      <c r="J3052" s="2"/>
      <c r="K3052" s="2">
        <v>136051299</v>
      </c>
      <c r="L3052" s="2"/>
      <c r="M3052" s="2"/>
      <c r="N3052" s="2"/>
      <c r="O3052" s="2"/>
      <c r="P3052" s="2"/>
      <c r="Q3052" s="2"/>
      <c r="R3052" s="2"/>
      <c r="S3052" s="2" t="s">
        <v>20371</v>
      </c>
      <c r="T3052" s="2" t="s">
        <v>20372</v>
      </c>
      <c r="U3052" s="2" t="s">
        <v>266</v>
      </c>
      <c r="V3052" s="2" t="s">
        <v>2772</v>
      </c>
      <c r="W3052" s="2" t="s">
        <v>2773</v>
      </c>
      <c r="X3052" s="2" t="s">
        <v>147</v>
      </c>
      <c r="Y3052" s="2">
        <v>40.9</v>
      </c>
      <c r="Z3052" s="2">
        <v>10.199999999999999</v>
      </c>
      <c r="AA3052" s="2" t="s">
        <v>379</v>
      </c>
      <c r="AB3052" s="2" t="s">
        <v>20373</v>
      </c>
      <c r="AC3052" s="2">
        <v>-0.76362487082863595</v>
      </c>
      <c r="AD3052" s="2"/>
      <c r="AE3052" s="2">
        <v>0.19598646764738301</v>
      </c>
      <c r="AF3052" s="2">
        <v>1981.4230911316599</v>
      </c>
      <c r="AG3052" s="2">
        <v>1055.66888255356</v>
      </c>
      <c r="AH3052" s="5">
        <v>1.87693615287664</v>
      </c>
      <c r="AI3052" s="5">
        <v>0.90837957531801194</v>
      </c>
      <c r="AJ3052" s="5" t="s">
        <v>139</v>
      </c>
      <c r="AK3052" s="2">
        <v>3.8713566349053603E-2</v>
      </c>
      <c r="AL3052" s="2">
        <v>0.28874678820895799</v>
      </c>
      <c r="AM3052" s="2">
        <v>2527.8499172500801</v>
      </c>
      <c r="AN3052" s="2">
        <v>2918.1101231979201</v>
      </c>
      <c r="AO3052" s="2">
        <v>1971.3530283013899</v>
      </c>
      <c r="AP3052" s="2">
        <v>872.82911383573196</v>
      </c>
      <c r="AQ3052" s="2">
        <v>1327.99850583701</v>
      </c>
      <c r="AR3052" s="2">
        <v>2270.3978583678299</v>
      </c>
      <c r="AS3052" s="2">
        <v>1951.1395949780399</v>
      </c>
      <c r="AT3052" s="2">
        <v>665.81760845874396</v>
      </c>
      <c r="AU3052" s="2">
        <v>1058.75525378149</v>
      </c>
      <c r="AV3052" s="2">
        <v>684.58900347522001</v>
      </c>
      <c r="AW3052" s="2">
        <v>472.90736217424802</v>
      </c>
      <c r="AX3052" s="2">
        <v>1500.8044724536301</v>
      </c>
    </row>
    <row r="3053" spans="1:50" x14ac:dyDescent="0.25">
      <c r="A3053" s="2" t="s">
        <v>20374</v>
      </c>
      <c r="B3053" s="2">
        <v>202.107884972904</v>
      </c>
      <c r="C3053" s="2">
        <v>1.2974333333333301</v>
      </c>
      <c r="D3053" s="2" t="s">
        <v>51</v>
      </c>
      <c r="E3053" s="2" t="s">
        <v>20375</v>
      </c>
      <c r="F3053" s="2">
        <v>199466</v>
      </c>
      <c r="G3053" s="3" t="str">
        <f>HYPERLINK("https://cloud.oebiotech.com/#/lm/network/199466", "https://cloud.oebiotech.com/#/lm/network/199466")</f>
        <v>https://cloud.oebiotech.com/#/lm/network/199466</v>
      </c>
      <c r="H3053" s="2" t="s">
        <v>20376</v>
      </c>
      <c r="I3053" s="2">
        <v>359004</v>
      </c>
      <c r="J3053" s="2"/>
      <c r="K3053" s="2">
        <v>151427</v>
      </c>
      <c r="L3053" s="2"/>
      <c r="M3053" s="2"/>
      <c r="N3053" s="2"/>
      <c r="O3053" s="2"/>
      <c r="P3053" s="2"/>
      <c r="Q3053" s="2"/>
      <c r="R3053" s="2"/>
      <c r="S3053" s="2" t="s">
        <v>20377</v>
      </c>
      <c r="T3053" s="2" t="s">
        <v>20378</v>
      </c>
      <c r="U3053" s="2" t="s">
        <v>266</v>
      </c>
      <c r="V3053" s="2" t="s">
        <v>1742</v>
      </c>
      <c r="W3053" s="2" t="s">
        <v>240</v>
      </c>
      <c r="X3053" s="2" t="s">
        <v>83</v>
      </c>
      <c r="Y3053" s="2">
        <v>39.700000000000003</v>
      </c>
      <c r="Z3053" s="2">
        <v>0</v>
      </c>
      <c r="AA3053" s="2" t="s">
        <v>218</v>
      </c>
      <c r="AB3053" s="2" t="s">
        <v>13916</v>
      </c>
      <c r="AC3053" s="2">
        <v>-3.7974731577744598</v>
      </c>
      <c r="AD3053" s="2"/>
      <c r="AE3053" s="2">
        <v>0.19571981216827999</v>
      </c>
      <c r="AF3053" s="2">
        <v>1504.2095655389601</v>
      </c>
      <c r="AG3053" s="2">
        <v>2596.0904170066001</v>
      </c>
      <c r="AH3053" s="4">
        <v>0.57941339626890698</v>
      </c>
      <c r="AI3053" s="4">
        <v>-0.78733505420846295</v>
      </c>
      <c r="AJ3053" s="4" t="s">
        <v>62</v>
      </c>
      <c r="AK3053" s="2">
        <v>0.18995339614467199</v>
      </c>
      <c r="AL3053" s="2">
        <v>0.51378283048333295</v>
      </c>
      <c r="AM3053" s="2">
        <v>8.559877937157E-6</v>
      </c>
      <c r="AN3053" s="2">
        <v>2614.0223581938199</v>
      </c>
      <c r="AO3053" s="2">
        <v>1874.6573997176699</v>
      </c>
      <c r="AP3053" s="2">
        <v>338.37386235407098</v>
      </c>
      <c r="AQ3053" s="2">
        <v>1412.19944726208</v>
      </c>
      <c r="AR3053" s="2">
        <v>2786.0043171462298</v>
      </c>
      <c r="AS3053" s="2">
        <v>3504.43291516311</v>
      </c>
      <c r="AT3053" s="2">
        <v>1340.67379384731</v>
      </c>
      <c r="AU3053" s="2">
        <v>414.08300979814697</v>
      </c>
      <c r="AV3053" s="2">
        <v>4490.6486405118903</v>
      </c>
      <c r="AW3053" s="2">
        <v>2417.9544092164101</v>
      </c>
      <c r="AX3053" s="2">
        <v>3408.7497335027501</v>
      </c>
    </row>
    <row r="3054" spans="1:50" x14ac:dyDescent="0.25">
      <c r="A3054" s="2" t="s">
        <v>20379</v>
      </c>
      <c r="B3054" s="2">
        <v>402.21281256295401</v>
      </c>
      <c r="C3054" s="2">
        <v>3.88018333333333</v>
      </c>
      <c r="D3054" s="2" t="s">
        <v>51</v>
      </c>
      <c r="E3054" s="2" t="s">
        <v>20380</v>
      </c>
      <c r="F3054" s="2">
        <v>208023</v>
      </c>
      <c r="G3054" s="3" t="str">
        <f>HYPERLINK("https://cloud.oebiotech.com/#/lm/network/208023", "https://cloud.oebiotech.com/#/lm/network/208023")</f>
        <v>https://cloud.oebiotech.com/#/lm/network/208023</v>
      </c>
      <c r="H3054" s="2" t="s">
        <v>20381</v>
      </c>
      <c r="I3054" s="2"/>
      <c r="J3054" s="2"/>
      <c r="K3054" s="2">
        <v>198792</v>
      </c>
      <c r="L3054" s="2"/>
      <c r="M3054" s="2"/>
      <c r="N3054" s="2"/>
      <c r="O3054" s="2"/>
      <c r="P3054" s="2"/>
      <c r="Q3054" s="2"/>
      <c r="R3054" s="2"/>
      <c r="S3054" s="2" t="s">
        <v>20382</v>
      </c>
      <c r="T3054" s="2" t="s">
        <v>20383</v>
      </c>
      <c r="U3054" s="2" t="s">
        <v>266</v>
      </c>
      <c r="V3054" s="2" t="s">
        <v>2772</v>
      </c>
      <c r="W3054" s="2" t="s">
        <v>2773</v>
      </c>
      <c r="X3054" s="2" t="s">
        <v>147</v>
      </c>
      <c r="Y3054" s="2">
        <v>38.6</v>
      </c>
      <c r="Z3054" s="2">
        <v>11.6</v>
      </c>
      <c r="AA3054" s="2" t="s">
        <v>512</v>
      </c>
      <c r="AB3054" s="2" t="s">
        <v>20384</v>
      </c>
      <c r="AC3054" s="2">
        <v>-1.9996737339388</v>
      </c>
      <c r="AD3054" s="2"/>
      <c r="AE3054" s="2">
        <v>0.19561012490680901</v>
      </c>
      <c r="AF3054" s="2">
        <v>813.54902229140998</v>
      </c>
      <c r="AG3054" s="2">
        <v>2944.6887318968802</v>
      </c>
      <c r="AH3054" s="4">
        <v>0.276276746495834</v>
      </c>
      <c r="AI3054" s="4">
        <v>-1.8558139555633</v>
      </c>
      <c r="AJ3054" s="4" t="s">
        <v>62</v>
      </c>
      <c r="AK3054" s="2">
        <v>0.44080892470441502</v>
      </c>
      <c r="AL3054" s="2">
        <v>0.69764292881434498</v>
      </c>
      <c r="AM3054" s="2">
        <v>1468.6817578913301</v>
      </c>
      <c r="AN3054" s="2">
        <v>183.30694727232699</v>
      </c>
      <c r="AO3054" s="2">
        <v>1234.74203776284</v>
      </c>
      <c r="AP3054" s="2">
        <v>8.559877937157E-6</v>
      </c>
      <c r="AQ3054" s="2">
        <v>8.559877937157E-6</v>
      </c>
      <c r="AR3054" s="2">
        <v>1994.5633737022099</v>
      </c>
      <c r="AS3054" s="2">
        <v>8.559877937157E-6</v>
      </c>
      <c r="AT3054" s="2">
        <v>396.09856959821798</v>
      </c>
      <c r="AU3054" s="2">
        <v>654.01020719528901</v>
      </c>
      <c r="AV3054" s="2">
        <v>16092.7301855841</v>
      </c>
      <c r="AW3054" s="2">
        <v>73.054203824729598</v>
      </c>
      <c r="AX3054" s="2">
        <v>452.23921661903597</v>
      </c>
    </row>
    <row r="3055" spans="1:50" x14ac:dyDescent="0.25">
      <c r="A3055" s="2" t="s">
        <v>20385</v>
      </c>
      <c r="B3055" s="2">
        <v>370.17751636908798</v>
      </c>
      <c r="C3055" s="2">
        <v>4.8125</v>
      </c>
      <c r="D3055" s="2" t="s">
        <v>51</v>
      </c>
      <c r="E3055" s="2" t="s">
        <v>20386</v>
      </c>
      <c r="F3055" s="2">
        <v>206405</v>
      </c>
      <c r="G3055" s="3" t="str">
        <f>HYPERLINK("https://cloud.oebiotech.com/#/lm/network/206405", "https://cloud.oebiotech.com/#/lm/network/206405")</f>
        <v>https://cloud.oebiotech.com/#/lm/network/206405</v>
      </c>
      <c r="H3055" s="2" t="s">
        <v>20387</v>
      </c>
      <c r="I3055" s="2">
        <v>69210</v>
      </c>
      <c r="J3055" s="2"/>
      <c r="K3055" s="2">
        <v>72014</v>
      </c>
      <c r="L3055" s="2" t="s">
        <v>20388</v>
      </c>
      <c r="M3055" s="2"/>
      <c r="N3055" s="2"/>
      <c r="O3055" s="2"/>
      <c r="P3055" s="2"/>
      <c r="Q3055" s="2"/>
      <c r="R3055" s="2" t="s">
        <v>20389</v>
      </c>
      <c r="S3055" s="2" t="s">
        <v>20390</v>
      </c>
      <c r="T3055" s="2" t="s">
        <v>20391</v>
      </c>
      <c r="U3055" s="2" t="s">
        <v>610</v>
      </c>
      <c r="V3055" s="2" t="s">
        <v>4556</v>
      </c>
      <c r="W3055" s="2" t="s">
        <v>240</v>
      </c>
      <c r="X3055" s="2" t="s">
        <v>147</v>
      </c>
      <c r="Y3055" s="2">
        <v>39.700000000000003</v>
      </c>
      <c r="Z3055" s="2">
        <v>7.71</v>
      </c>
      <c r="AA3055" s="2" t="s">
        <v>259</v>
      </c>
      <c r="AB3055" s="2" t="s">
        <v>20392</v>
      </c>
      <c r="AC3055" s="2">
        <v>3.74816784945323</v>
      </c>
      <c r="AD3055" s="2"/>
      <c r="AE3055" s="2">
        <v>0.19543158632388999</v>
      </c>
      <c r="AF3055" s="2">
        <v>4310.2960252084004</v>
      </c>
      <c r="AG3055" s="2">
        <v>1980.59871933874</v>
      </c>
      <c r="AH3055" s="5">
        <v>2.1762591195895902</v>
      </c>
      <c r="AI3055" s="5">
        <v>1.1218503434865399</v>
      </c>
      <c r="AJ3055" s="5" t="s">
        <v>139</v>
      </c>
      <c r="AK3055" s="2">
        <v>0.24867204103566201</v>
      </c>
      <c r="AL3055" s="2">
        <v>0.57191113874481303</v>
      </c>
      <c r="AM3055" s="2">
        <v>1053.1216361311299</v>
      </c>
      <c r="AN3055" s="2">
        <v>436.99139786256001</v>
      </c>
      <c r="AO3055" s="2">
        <v>5600.01902721023</v>
      </c>
      <c r="AP3055" s="2">
        <v>666.87138369491504</v>
      </c>
      <c r="AQ3055" s="2">
        <v>8739.9708257830698</v>
      </c>
      <c r="AR3055" s="2">
        <v>9364.8018805685206</v>
      </c>
      <c r="AS3055" s="2">
        <v>3618.5814451583401</v>
      </c>
      <c r="AT3055" s="2">
        <v>5376.5287003194699</v>
      </c>
      <c r="AU3055" s="2">
        <v>222.63781259379601</v>
      </c>
      <c r="AV3055" s="2">
        <v>1996.1483385087799</v>
      </c>
      <c r="AW3055" s="2">
        <v>141.796188879954</v>
      </c>
      <c r="AX3055" s="2">
        <v>527.89983057212896</v>
      </c>
    </row>
    <row r="3056" spans="1:50" x14ac:dyDescent="0.25">
      <c r="A3056" s="2" t="s">
        <v>20393</v>
      </c>
      <c r="B3056" s="2">
        <v>331.19189857704401</v>
      </c>
      <c r="C3056" s="2">
        <v>9.31598333333333</v>
      </c>
      <c r="D3056" s="2" t="s">
        <v>51</v>
      </c>
      <c r="E3056" s="2" t="s">
        <v>20394</v>
      </c>
      <c r="F3056" s="2">
        <v>3800</v>
      </c>
      <c r="G3056" s="3" t="str">
        <f>HYPERLINK("https://cloud.oebiotech.com/#/lm/network/3800", "https://cloud.oebiotech.com/#/lm/network/3800")</f>
        <v>https://cloud.oebiotech.com/#/lm/network/3800</v>
      </c>
      <c r="H3056" s="2"/>
      <c r="I3056" s="2">
        <v>45954</v>
      </c>
      <c r="J3056" s="2" t="s">
        <v>20395</v>
      </c>
      <c r="K3056" s="2">
        <v>15612696</v>
      </c>
      <c r="L3056" s="2"/>
      <c r="M3056" s="2"/>
      <c r="N3056" s="2"/>
      <c r="O3056" s="2"/>
      <c r="P3056" s="2"/>
      <c r="Q3056" s="2"/>
      <c r="R3056" s="2"/>
      <c r="S3056" s="2" t="s">
        <v>20396</v>
      </c>
      <c r="T3056" s="2" t="s">
        <v>20397</v>
      </c>
      <c r="U3056" s="2" t="s">
        <v>56</v>
      </c>
      <c r="V3056" s="2" t="s">
        <v>145</v>
      </c>
      <c r="W3056" s="2" t="s">
        <v>187</v>
      </c>
      <c r="X3056" s="2" t="s">
        <v>83</v>
      </c>
      <c r="Y3056" s="2">
        <v>49.7</v>
      </c>
      <c r="Z3056" s="2">
        <v>0</v>
      </c>
      <c r="AA3056" s="2" t="s">
        <v>163</v>
      </c>
      <c r="AB3056" s="2" t="s">
        <v>1500</v>
      </c>
      <c r="AC3056" s="2">
        <v>1.2511571220392701</v>
      </c>
      <c r="AD3056" s="2"/>
      <c r="AE3056" s="2">
        <v>0.19541069570265901</v>
      </c>
      <c r="AF3056" s="2">
        <v>2101.5242922779098</v>
      </c>
      <c r="AG3056" s="2">
        <v>1107.4751691703</v>
      </c>
      <c r="AH3056" s="5">
        <v>1.8975814092990899</v>
      </c>
      <c r="AI3056" s="5">
        <v>0.92416178090960299</v>
      </c>
      <c r="AJ3056" s="5" t="s">
        <v>139</v>
      </c>
      <c r="AK3056" s="2">
        <v>0.218287142039197</v>
      </c>
      <c r="AL3056" s="2">
        <v>0.54429297740929605</v>
      </c>
      <c r="AM3056" s="2">
        <v>5026.4711899852</v>
      </c>
      <c r="AN3056" s="2">
        <v>2908.8667019637901</v>
      </c>
      <c r="AO3056" s="2">
        <v>1235.2826324748601</v>
      </c>
      <c r="AP3056" s="2">
        <v>1439.1520452888999</v>
      </c>
      <c r="AQ3056" s="2">
        <v>752.85959471968999</v>
      </c>
      <c r="AR3056" s="2">
        <v>1246.5135892350299</v>
      </c>
      <c r="AS3056" s="2">
        <v>1557.3264162446901</v>
      </c>
      <c r="AT3056" s="2">
        <v>176.543205441439</v>
      </c>
      <c r="AU3056" s="2">
        <v>2665.8587912593098</v>
      </c>
      <c r="AV3056" s="2">
        <v>755.87146132324995</v>
      </c>
      <c r="AW3056" s="2">
        <v>328.537388626802</v>
      </c>
      <c r="AX3056" s="2">
        <v>1160.71375212628</v>
      </c>
    </row>
    <row r="3057" spans="1:50" x14ac:dyDescent="0.25">
      <c r="A3057" s="2" t="s">
        <v>20398</v>
      </c>
      <c r="B3057" s="2">
        <v>681.347114104512</v>
      </c>
      <c r="C3057" s="2">
        <v>7.0694833333333298</v>
      </c>
      <c r="D3057" s="2" t="s">
        <v>51</v>
      </c>
      <c r="E3057" s="2" t="s">
        <v>20399</v>
      </c>
      <c r="F3057" s="2">
        <v>44836</v>
      </c>
      <c r="G3057" s="3" t="str">
        <f>HYPERLINK("https://cloud.oebiotech.com/#/lm/network/44836", "https://cloud.oebiotech.com/#/lm/network/44836")</f>
        <v>https://cloud.oebiotech.com/#/lm/network/44836</v>
      </c>
      <c r="H3057" s="2"/>
      <c r="I3057" s="2"/>
      <c r="J3057" s="2" t="s">
        <v>20400</v>
      </c>
      <c r="K3057" s="2">
        <v>14825632</v>
      </c>
      <c r="L3057" s="2"/>
      <c r="M3057" s="2"/>
      <c r="N3057" s="2"/>
      <c r="O3057" s="2"/>
      <c r="P3057" s="2"/>
      <c r="Q3057" s="2"/>
      <c r="R3057" s="2"/>
      <c r="S3057" s="2" t="s">
        <v>20401</v>
      </c>
      <c r="T3057" s="2" t="s">
        <v>20402</v>
      </c>
      <c r="U3057" s="2" t="s">
        <v>56</v>
      </c>
      <c r="V3057" s="2" t="s">
        <v>283</v>
      </c>
      <c r="W3057" s="2" t="s">
        <v>1338</v>
      </c>
      <c r="X3057" s="2" t="s">
        <v>147</v>
      </c>
      <c r="Y3057" s="2">
        <v>42.5</v>
      </c>
      <c r="Z3057" s="2">
        <v>28.3</v>
      </c>
      <c r="AA3057" s="2" t="s">
        <v>218</v>
      </c>
      <c r="AB3057" s="2" t="s">
        <v>20403</v>
      </c>
      <c r="AC3057" s="2">
        <v>-3.22345436461752</v>
      </c>
      <c r="AD3057" s="2"/>
      <c r="AE3057" s="2">
        <v>0.195350201329585</v>
      </c>
      <c r="AF3057" s="2">
        <v>2594.2030283841</v>
      </c>
      <c r="AG3057" s="2">
        <v>4928.7464193798896</v>
      </c>
      <c r="AH3057" s="4">
        <v>0.52634134679432099</v>
      </c>
      <c r="AI3057" s="4">
        <v>-0.92592936455957398</v>
      </c>
      <c r="AJ3057" s="4" t="s">
        <v>62</v>
      </c>
      <c r="AK3057" s="2">
        <v>0.19179224316892399</v>
      </c>
      <c r="AL3057" s="2">
        <v>0.51663817953443703</v>
      </c>
      <c r="AM3057" s="2">
        <v>2121.2261735468701</v>
      </c>
      <c r="AN3057" s="2">
        <v>2386.5704929911899</v>
      </c>
      <c r="AO3057" s="2">
        <v>1550.17735829394</v>
      </c>
      <c r="AP3057" s="2">
        <v>3117.2160196206601</v>
      </c>
      <c r="AQ3057" s="2">
        <v>2773.6010958617499</v>
      </c>
      <c r="AR3057" s="2">
        <v>3616.42702999017</v>
      </c>
      <c r="AS3057" s="2">
        <v>2775.3619826402401</v>
      </c>
      <c r="AT3057" s="2">
        <v>12778.7320772889</v>
      </c>
      <c r="AU3057" s="2">
        <v>2845.8964561326702</v>
      </c>
      <c r="AV3057" s="2">
        <v>1834.22088348067</v>
      </c>
      <c r="AW3057" s="2">
        <v>4213.6975797661698</v>
      </c>
      <c r="AX3057" s="2">
        <v>5124.56953697066</v>
      </c>
    </row>
    <row r="3058" spans="1:50" x14ac:dyDescent="0.25">
      <c r="A3058" s="2" t="s">
        <v>20404</v>
      </c>
      <c r="B3058" s="2">
        <v>425.11729963728101</v>
      </c>
      <c r="C3058" s="2">
        <v>7.1716333333333298</v>
      </c>
      <c r="D3058" s="2" t="s">
        <v>51</v>
      </c>
      <c r="E3058" s="2" t="s">
        <v>20405</v>
      </c>
      <c r="F3058" s="2">
        <v>208387</v>
      </c>
      <c r="G3058" s="3" t="str">
        <f>HYPERLINK("https://cloud.oebiotech.com/#/lm/network/208387", "https://cloud.oebiotech.com/#/lm/network/208387")</f>
        <v>https://cloud.oebiotech.com/#/lm/network/208387</v>
      </c>
      <c r="H3058" s="2" t="s">
        <v>20406</v>
      </c>
      <c r="I3058" s="2"/>
      <c r="J3058" s="2"/>
      <c r="K3058" s="2">
        <v>43678</v>
      </c>
      <c r="L3058" s="2"/>
      <c r="M3058" s="2"/>
      <c r="N3058" s="2"/>
      <c r="O3058" s="2"/>
      <c r="P3058" s="2"/>
      <c r="Q3058" s="2"/>
      <c r="R3058" s="2"/>
      <c r="S3058" s="2" t="s">
        <v>20407</v>
      </c>
      <c r="T3058" s="2" t="s">
        <v>20408</v>
      </c>
      <c r="U3058" s="2" t="s">
        <v>610</v>
      </c>
      <c r="V3058" s="2" t="s">
        <v>4556</v>
      </c>
      <c r="W3058" s="2" t="s">
        <v>240</v>
      </c>
      <c r="X3058" s="2" t="s">
        <v>83</v>
      </c>
      <c r="Y3058" s="2">
        <v>36.700000000000003</v>
      </c>
      <c r="Z3058" s="2">
        <v>0</v>
      </c>
      <c r="AA3058" s="2" t="s">
        <v>379</v>
      </c>
      <c r="AB3058" s="2" t="s">
        <v>20409</v>
      </c>
      <c r="AC3058" s="2">
        <v>-4.9457452104132997</v>
      </c>
      <c r="AD3058" s="2"/>
      <c r="AE3058" s="2">
        <v>0.195265816686473</v>
      </c>
      <c r="AF3058" s="2">
        <v>8241.8122871403102</v>
      </c>
      <c r="AG3058" s="2">
        <v>11306.101075561201</v>
      </c>
      <c r="AH3058" s="4">
        <v>0.72897033487127605</v>
      </c>
      <c r="AI3058" s="4">
        <v>-0.45606798898384998</v>
      </c>
      <c r="AJ3058" s="4" t="s">
        <v>62</v>
      </c>
      <c r="AK3058" s="2">
        <v>0.63926103185680505</v>
      </c>
      <c r="AL3058" s="2">
        <v>0.82381001652568997</v>
      </c>
      <c r="AM3058" s="2">
        <v>926.61476988882396</v>
      </c>
      <c r="AN3058" s="2">
        <v>4593.2831080209198</v>
      </c>
      <c r="AO3058" s="2">
        <v>26958.5727440177</v>
      </c>
      <c r="AP3058" s="2">
        <v>12781.479162506201</v>
      </c>
      <c r="AQ3058" s="2">
        <v>4063.4681388007202</v>
      </c>
      <c r="AR3058" s="2">
        <v>127.455799607521</v>
      </c>
      <c r="AS3058" s="2">
        <v>4928.6543193487296</v>
      </c>
      <c r="AT3058" s="2">
        <v>9911.0024364806195</v>
      </c>
      <c r="AU3058" s="2">
        <v>8950.9842600854809</v>
      </c>
      <c r="AV3058" s="2">
        <v>34684.321275950599</v>
      </c>
      <c r="AW3058" s="2">
        <v>3621.60095140365</v>
      </c>
      <c r="AX3058" s="2">
        <v>5740.0432100978496</v>
      </c>
    </row>
    <row r="3059" spans="1:50" x14ac:dyDescent="0.25">
      <c r="A3059" s="2" t="s">
        <v>20410</v>
      </c>
      <c r="B3059" s="2">
        <v>551.24045389169703</v>
      </c>
      <c r="C3059" s="2">
        <v>10.5512333333333</v>
      </c>
      <c r="D3059" s="2" t="s">
        <v>51</v>
      </c>
      <c r="E3059" s="2" t="s">
        <v>20411</v>
      </c>
      <c r="F3059" s="2">
        <v>36082</v>
      </c>
      <c r="G3059" s="3" t="str">
        <f>HYPERLINK("https://cloud.oebiotech.com/#/lm/network/36082", "https://cloud.oebiotech.com/#/lm/network/36082")</f>
        <v>https://cloud.oebiotech.com/#/lm/network/36082</v>
      </c>
      <c r="H3059" s="2"/>
      <c r="I3059" s="2">
        <v>53688</v>
      </c>
      <c r="J3059" s="2" t="s">
        <v>20412</v>
      </c>
      <c r="K3059" s="2">
        <v>643665</v>
      </c>
      <c r="L3059" s="2" t="s">
        <v>20413</v>
      </c>
      <c r="M3059" s="2"/>
      <c r="N3059" s="2"/>
      <c r="O3059" s="2">
        <v>743</v>
      </c>
      <c r="P3059" s="2"/>
      <c r="Q3059" s="2"/>
      <c r="R3059" s="2"/>
      <c r="S3059" s="2" t="s">
        <v>20414</v>
      </c>
      <c r="T3059" s="2" t="s">
        <v>20415</v>
      </c>
      <c r="U3059" s="2" t="s">
        <v>56</v>
      </c>
      <c r="V3059" s="2" t="s">
        <v>177</v>
      </c>
      <c r="W3059" s="2" t="s">
        <v>178</v>
      </c>
      <c r="X3059" s="2" t="s">
        <v>147</v>
      </c>
      <c r="Y3059" s="2">
        <v>36.1</v>
      </c>
      <c r="Z3059" s="2">
        <v>0</v>
      </c>
      <c r="AA3059" s="2" t="s">
        <v>395</v>
      </c>
      <c r="AB3059" s="2" t="s">
        <v>20416</v>
      </c>
      <c r="AC3059" s="2">
        <v>-0.21044852244978299</v>
      </c>
      <c r="AD3059" s="2"/>
      <c r="AE3059" s="2">
        <v>0.195248302257096</v>
      </c>
      <c r="AF3059" s="2">
        <v>6079.3401812844304</v>
      </c>
      <c r="AG3059" s="2">
        <v>9206.3368742606399</v>
      </c>
      <c r="AH3059" s="4">
        <v>0.66034300768215803</v>
      </c>
      <c r="AI3059" s="4">
        <v>-0.59871248414923395</v>
      </c>
      <c r="AJ3059" s="4" t="s">
        <v>62</v>
      </c>
      <c r="AK3059" s="2">
        <v>0.15336088278399199</v>
      </c>
      <c r="AL3059" s="2">
        <v>0.47471509962907299</v>
      </c>
      <c r="AM3059" s="2">
        <v>14276.8395074523</v>
      </c>
      <c r="AN3059" s="2">
        <v>5705.6906055858799</v>
      </c>
      <c r="AO3059" s="2">
        <v>4858.6318390397</v>
      </c>
      <c r="AP3059" s="2">
        <v>4822.3473002882101</v>
      </c>
      <c r="AQ3059" s="2">
        <v>2958.90699434316</v>
      </c>
      <c r="AR3059" s="2">
        <v>3853.62484099734</v>
      </c>
      <c r="AS3059" s="2">
        <v>4866.1851761859198</v>
      </c>
      <c r="AT3059" s="2">
        <v>9421.5818231836001</v>
      </c>
      <c r="AU3059" s="2">
        <v>10347.886460629499</v>
      </c>
      <c r="AV3059" s="2">
        <v>8340.7365244064804</v>
      </c>
      <c r="AW3059" s="2">
        <v>8958.7846601949495</v>
      </c>
      <c r="AX3059" s="2">
        <v>13302.846600963399</v>
      </c>
    </row>
    <row r="3060" spans="1:50" x14ac:dyDescent="0.25">
      <c r="A3060" s="2" t="s">
        <v>20417</v>
      </c>
      <c r="B3060" s="2">
        <v>279.23249969685702</v>
      </c>
      <c r="C3060" s="2">
        <v>10.9667166666667</v>
      </c>
      <c r="D3060" s="2" t="s">
        <v>51</v>
      </c>
      <c r="E3060" s="2" t="s">
        <v>20418</v>
      </c>
      <c r="F3060" s="2">
        <v>200007</v>
      </c>
      <c r="G3060" s="3" t="str">
        <f>HYPERLINK("https://cloud.oebiotech.com/#/lm/network/200007", "https://cloud.oebiotech.com/#/lm/network/200007")</f>
        <v>https://cloud.oebiotech.com/#/lm/network/200007</v>
      </c>
      <c r="H3060" s="2" t="s">
        <v>20419</v>
      </c>
      <c r="I3060" s="2"/>
      <c r="J3060" s="2"/>
      <c r="K3060" s="2">
        <v>125660</v>
      </c>
      <c r="L3060" s="2"/>
      <c r="M3060" s="2"/>
      <c r="N3060" s="2"/>
      <c r="O3060" s="2"/>
      <c r="P3060" s="2"/>
      <c r="Q3060" s="2"/>
      <c r="R3060" s="2"/>
      <c r="S3060" s="2" t="s">
        <v>20420</v>
      </c>
      <c r="T3060" s="2" t="s">
        <v>20421</v>
      </c>
      <c r="U3060" s="2" t="s">
        <v>56</v>
      </c>
      <c r="V3060" s="2" t="s">
        <v>145</v>
      </c>
      <c r="W3060" s="2" t="s">
        <v>203</v>
      </c>
      <c r="X3060" s="2" t="s">
        <v>83</v>
      </c>
      <c r="Y3060" s="2">
        <v>41.4</v>
      </c>
      <c r="Z3060" s="2">
        <v>0</v>
      </c>
      <c r="AA3060" s="2" t="s">
        <v>156</v>
      </c>
      <c r="AB3060" s="2" t="s">
        <v>1772</v>
      </c>
      <c r="AC3060" s="2">
        <v>2.1707820560867699</v>
      </c>
      <c r="AD3060" s="2"/>
      <c r="AE3060" s="2">
        <v>0.19498968091896901</v>
      </c>
      <c r="AF3060" s="2">
        <v>7277.1342226319803</v>
      </c>
      <c r="AG3060" s="2">
        <v>8692.4433202945493</v>
      </c>
      <c r="AH3060" s="4">
        <v>0.83717936999851394</v>
      </c>
      <c r="AI3060" s="4">
        <v>-0.25639133413887299</v>
      </c>
      <c r="AJ3060" s="4" t="s">
        <v>62</v>
      </c>
      <c r="AK3060" s="2">
        <v>0.12288200253732</v>
      </c>
      <c r="AL3060" s="2">
        <v>0.44047290513653697</v>
      </c>
      <c r="AM3060" s="2">
        <v>5012.2129690418997</v>
      </c>
      <c r="AN3060" s="2">
        <v>7994.8691419809602</v>
      </c>
      <c r="AO3060" s="2">
        <v>8711.4450172986399</v>
      </c>
      <c r="AP3060" s="2">
        <v>6611.4699136863601</v>
      </c>
      <c r="AQ3060" s="2">
        <v>8606.7547231242806</v>
      </c>
      <c r="AR3060" s="2">
        <v>6726.0535706597702</v>
      </c>
      <c r="AS3060" s="2">
        <v>8381.0494374188893</v>
      </c>
      <c r="AT3060" s="2">
        <v>7446.6295458964596</v>
      </c>
      <c r="AU3060" s="2">
        <v>11303.967565933001</v>
      </c>
      <c r="AV3060" s="2">
        <v>7797.2415123478004</v>
      </c>
      <c r="AW3060" s="2">
        <v>7700.70460255733</v>
      </c>
      <c r="AX3060" s="2">
        <v>9525.0672576138204</v>
      </c>
    </row>
    <row r="3061" spans="1:50" x14ac:dyDescent="0.25">
      <c r="A3061" s="2" t="s">
        <v>20422</v>
      </c>
      <c r="B3061" s="2">
        <v>553.22911511870996</v>
      </c>
      <c r="C3061" s="2">
        <v>6.6691500000000001</v>
      </c>
      <c r="D3061" s="2" t="s">
        <v>51</v>
      </c>
      <c r="E3061" s="2" t="s">
        <v>20423</v>
      </c>
      <c r="F3061" s="2">
        <v>52798</v>
      </c>
      <c r="G3061" s="3" t="str">
        <f>HYPERLINK("https://cloud.oebiotech.com/#/lm/network/52798", "https://cloud.oebiotech.com/#/lm/network/52798")</f>
        <v>https://cloud.oebiotech.com/#/lm/network/52798</v>
      </c>
      <c r="H3061" s="2" t="s">
        <v>20424</v>
      </c>
      <c r="I3061" s="2">
        <v>85383</v>
      </c>
      <c r="J3061" s="2"/>
      <c r="K3061" s="2">
        <v>153941</v>
      </c>
      <c r="L3061" s="2"/>
      <c r="M3061" s="2"/>
      <c r="N3061" s="2"/>
      <c r="O3061" s="2">
        <v>473990</v>
      </c>
      <c r="P3061" s="2"/>
      <c r="Q3061" s="2"/>
      <c r="R3061" s="2" t="s">
        <v>20425</v>
      </c>
      <c r="S3061" s="2" t="s">
        <v>20426</v>
      </c>
      <c r="T3061" s="2" t="s">
        <v>20427</v>
      </c>
      <c r="U3061" s="2" t="s">
        <v>295</v>
      </c>
      <c r="V3061" s="2" t="s">
        <v>5645</v>
      </c>
      <c r="W3061" s="2" t="s">
        <v>240</v>
      </c>
      <c r="X3061" s="2" t="s">
        <v>147</v>
      </c>
      <c r="Y3061" s="2">
        <v>38.6</v>
      </c>
      <c r="Z3061" s="2">
        <v>0</v>
      </c>
      <c r="AA3061" s="2" t="s">
        <v>478</v>
      </c>
      <c r="AB3061" s="2" t="s">
        <v>20428</v>
      </c>
      <c r="AC3061" s="2">
        <v>2.5491412559768998</v>
      </c>
      <c r="AD3061" s="2"/>
      <c r="AE3061" s="2">
        <v>0.19492814743971101</v>
      </c>
      <c r="AF3061" s="2">
        <v>1194.52627861051</v>
      </c>
      <c r="AG3061" s="2">
        <v>121.503398723839</v>
      </c>
      <c r="AH3061" s="5">
        <v>9.8312169960406504</v>
      </c>
      <c r="AI3061" s="5">
        <v>3.29737001732645</v>
      </c>
      <c r="AJ3061" s="5" t="s">
        <v>139</v>
      </c>
      <c r="AK3061" s="2">
        <v>0.14948278480325899</v>
      </c>
      <c r="AL3061" s="2">
        <v>0.47031936617444198</v>
      </c>
      <c r="AM3061" s="2">
        <v>3981.56169745737</v>
      </c>
      <c r="AN3061" s="2">
        <v>701.18789661624999</v>
      </c>
      <c r="AO3061" s="2">
        <v>8.559877937157E-6</v>
      </c>
      <c r="AP3061" s="2">
        <v>8.559877937157E-6</v>
      </c>
      <c r="AQ3061" s="2">
        <v>8.559877937157E-6</v>
      </c>
      <c r="AR3061" s="2">
        <v>2484.4080519098002</v>
      </c>
      <c r="AS3061" s="2">
        <v>232.62896711681</v>
      </c>
      <c r="AT3061" s="2">
        <v>8.559877937157E-6</v>
      </c>
      <c r="AU3061" s="2">
        <v>8.559877937157E-6</v>
      </c>
      <c r="AV3061" s="2">
        <v>8.559877937157E-6</v>
      </c>
      <c r="AW3061" s="2">
        <v>496.391390986712</v>
      </c>
      <c r="AX3061" s="2">
        <v>8.559877937157E-6</v>
      </c>
    </row>
    <row r="3062" spans="1:50" x14ac:dyDescent="0.25">
      <c r="A3062" s="2" t="s">
        <v>20429</v>
      </c>
      <c r="B3062" s="2">
        <v>459.24647303870103</v>
      </c>
      <c r="C3062" s="2">
        <v>3.9009</v>
      </c>
      <c r="D3062" s="2" t="s">
        <v>51</v>
      </c>
      <c r="E3062" s="2" t="s">
        <v>20430</v>
      </c>
      <c r="F3062" s="2">
        <v>22438</v>
      </c>
      <c r="G3062" s="3" t="str">
        <f>HYPERLINK("https://cloud.oebiotech.com/#/lm/network/22438", "https://cloud.oebiotech.com/#/lm/network/22438")</f>
        <v>https://cloud.oebiotech.com/#/lm/network/22438</v>
      </c>
      <c r="H3062" s="2"/>
      <c r="I3062" s="2">
        <v>78835</v>
      </c>
      <c r="J3062" s="2" t="s">
        <v>20431</v>
      </c>
      <c r="K3062" s="2">
        <v>52926276</v>
      </c>
      <c r="L3062" s="2"/>
      <c r="M3062" s="2"/>
      <c r="N3062" s="2"/>
      <c r="O3062" s="2"/>
      <c r="P3062" s="2"/>
      <c r="Q3062" s="2"/>
      <c r="R3062" s="2"/>
      <c r="S3062" s="2" t="s">
        <v>20432</v>
      </c>
      <c r="T3062" s="2" t="s">
        <v>20433</v>
      </c>
      <c r="U3062" s="2" t="s">
        <v>56</v>
      </c>
      <c r="V3062" s="2" t="s">
        <v>57</v>
      </c>
      <c r="W3062" s="2" t="s">
        <v>82</v>
      </c>
      <c r="X3062" s="2" t="s">
        <v>147</v>
      </c>
      <c r="Y3062" s="2">
        <v>39.299999999999997</v>
      </c>
      <c r="Z3062" s="2">
        <v>1.08</v>
      </c>
      <c r="AA3062" s="2" t="s">
        <v>512</v>
      </c>
      <c r="AB3062" s="2" t="s">
        <v>20434</v>
      </c>
      <c r="AC3062" s="2">
        <v>-0.27391922334123298</v>
      </c>
      <c r="AD3062" s="2"/>
      <c r="AE3062" s="2">
        <v>0.194909605761931</v>
      </c>
      <c r="AF3062" s="2">
        <v>7983.0811743215399</v>
      </c>
      <c r="AG3062" s="2">
        <v>6221.6181476883103</v>
      </c>
      <c r="AH3062" s="5">
        <v>1.2831197583682801</v>
      </c>
      <c r="AI3062" s="5">
        <v>0.35965582883828601</v>
      </c>
      <c r="AJ3062" s="5" t="s">
        <v>139</v>
      </c>
      <c r="AK3062" s="2">
        <v>0.63978327723489303</v>
      </c>
      <c r="AL3062" s="2">
        <v>0.824125258612185</v>
      </c>
      <c r="AM3062" s="2">
        <v>14648.3250080123</v>
      </c>
      <c r="AN3062" s="2">
        <v>3510.67128887524</v>
      </c>
      <c r="AO3062" s="2">
        <v>9908.4445973782094</v>
      </c>
      <c r="AP3062" s="2">
        <v>5380.1180153364203</v>
      </c>
      <c r="AQ3062" s="2">
        <v>6415.5445233946903</v>
      </c>
      <c r="AR3062" s="2">
        <v>8035.38361293239</v>
      </c>
      <c r="AS3062" s="2">
        <v>8.559877937157E-6</v>
      </c>
      <c r="AT3062" s="2">
        <v>828.08298952300095</v>
      </c>
      <c r="AU3062" s="2">
        <v>20931.697097811499</v>
      </c>
      <c r="AV3062" s="2">
        <v>10011.902226844601</v>
      </c>
      <c r="AW3062" s="2">
        <v>2967.0311158198201</v>
      </c>
      <c r="AX3062" s="2">
        <v>2590.9954475710401</v>
      </c>
    </row>
    <row r="3063" spans="1:50" x14ac:dyDescent="0.25">
      <c r="A3063" s="2" t="s">
        <v>20435</v>
      </c>
      <c r="B3063" s="2">
        <v>373.214120726619</v>
      </c>
      <c r="C3063" s="2">
        <v>9.5210666666666697</v>
      </c>
      <c r="D3063" s="2" t="s">
        <v>51</v>
      </c>
      <c r="E3063" s="2" t="s">
        <v>20436</v>
      </c>
      <c r="F3063" s="2">
        <v>18145</v>
      </c>
      <c r="G3063" s="3" t="str">
        <f>HYPERLINK("https://cloud.oebiotech.com/#/lm/network/18145", "https://cloud.oebiotech.com/#/lm/network/18145")</f>
        <v>https://cloud.oebiotech.com/#/lm/network/18145</v>
      </c>
      <c r="H3063" s="2" t="s">
        <v>20437</v>
      </c>
      <c r="I3063" s="2">
        <v>75590</v>
      </c>
      <c r="J3063" s="2" t="s">
        <v>20438</v>
      </c>
      <c r="K3063" s="2">
        <v>24779563</v>
      </c>
      <c r="L3063" s="2"/>
      <c r="M3063" s="2"/>
      <c r="N3063" s="2"/>
      <c r="O3063" s="2"/>
      <c r="P3063" s="2"/>
      <c r="Q3063" s="2"/>
      <c r="R3063" s="2"/>
      <c r="S3063" s="2" t="s">
        <v>20439</v>
      </c>
      <c r="T3063" s="2" t="s">
        <v>20440</v>
      </c>
      <c r="U3063" s="2" t="s">
        <v>56</v>
      </c>
      <c r="V3063" s="2" t="s">
        <v>57</v>
      </c>
      <c r="W3063" s="2" t="s">
        <v>702</v>
      </c>
      <c r="X3063" s="2" t="s">
        <v>147</v>
      </c>
      <c r="Y3063" s="2">
        <v>37.1</v>
      </c>
      <c r="Z3063" s="2">
        <v>0</v>
      </c>
      <c r="AA3063" s="2" t="s">
        <v>379</v>
      </c>
      <c r="AB3063" s="2" t="s">
        <v>20441</v>
      </c>
      <c r="AC3063" s="2">
        <v>-2.0745011176674701</v>
      </c>
      <c r="AD3063" s="2"/>
      <c r="AE3063" s="2">
        <v>0.19487892665527501</v>
      </c>
      <c r="AF3063" s="2">
        <v>2045.17994677354</v>
      </c>
      <c r="AG3063" s="2">
        <v>949.26156086150195</v>
      </c>
      <c r="AH3063" s="5">
        <v>2.1544956954935</v>
      </c>
      <c r="AI3063" s="5">
        <v>1.1073502160642701</v>
      </c>
      <c r="AJ3063" s="5" t="s">
        <v>139</v>
      </c>
      <c r="AK3063" s="2">
        <v>0.29720405326356403</v>
      </c>
      <c r="AL3063" s="2">
        <v>0.60851020272258705</v>
      </c>
      <c r="AM3063" s="2">
        <v>6051.7747928108502</v>
      </c>
      <c r="AN3063" s="2">
        <v>942.09087990638704</v>
      </c>
      <c r="AO3063" s="2">
        <v>555.371045293978</v>
      </c>
      <c r="AP3063" s="2">
        <v>1010.9476224339199</v>
      </c>
      <c r="AQ3063" s="2">
        <v>2354.5862355486802</v>
      </c>
      <c r="AR3063" s="2">
        <v>1356.3091046474501</v>
      </c>
      <c r="AS3063" s="2">
        <v>21.334698486854101</v>
      </c>
      <c r="AT3063" s="2">
        <v>58.989858711430998</v>
      </c>
      <c r="AU3063" s="2">
        <v>3552.7335866255498</v>
      </c>
      <c r="AV3063" s="2">
        <v>667.99811879043102</v>
      </c>
      <c r="AW3063" s="2">
        <v>588.65268446029404</v>
      </c>
      <c r="AX3063" s="2">
        <v>805.86041809445305</v>
      </c>
    </row>
    <row r="3064" spans="1:50" x14ac:dyDescent="0.25">
      <c r="A3064" s="2" t="s">
        <v>20442</v>
      </c>
      <c r="B3064" s="2">
        <v>98.048134720044501</v>
      </c>
      <c r="C3064" s="2">
        <v>3.0969500000000001</v>
      </c>
      <c r="D3064" s="2" t="s">
        <v>51</v>
      </c>
      <c r="E3064" s="2" t="s">
        <v>20443</v>
      </c>
      <c r="F3064" s="2">
        <v>300037</v>
      </c>
      <c r="G3064" s="3" t="str">
        <f>HYPERLINK("https://cloud.oebiotech.com/#/lm/network/300037", "https://cloud.oebiotech.com/#/lm/network/300037")</f>
        <v>https://cloud.oebiotech.com/#/lm/network/300037</v>
      </c>
      <c r="H3064" s="2"/>
      <c r="I3064" s="2">
        <v>325191</v>
      </c>
      <c r="J3064" s="2"/>
      <c r="K3064" s="2">
        <v>7920</v>
      </c>
      <c r="L3064" s="2"/>
      <c r="M3064" s="2"/>
      <c r="N3064" s="2"/>
      <c r="O3064" s="2"/>
      <c r="P3064" s="2"/>
      <c r="Q3064" s="2"/>
      <c r="R3064" s="2"/>
      <c r="S3064" s="2" t="s">
        <v>20444</v>
      </c>
      <c r="T3064" s="2" t="s">
        <v>20445</v>
      </c>
      <c r="U3064" s="2" t="s">
        <v>266</v>
      </c>
      <c r="V3064" s="2" t="s">
        <v>10308</v>
      </c>
      <c r="W3064" s="2" t="s">
        <v>10309</v>
      </c>
      <c r="X3064" s="2" t="s">
        <v>147</v>
      </c>
      <c r="Y3064" s="2">
        <v>38.700000000000003</v>
      </c>
      <c r="Z3064" s="2">
        <v>0</v>
      </c>
      <c r="AA3064" s="2" t="s">
        <v>122</v>
      </c>
      <c r="AB3064" s="2" t="s">
        <v>20446</v>
      </c>
      <c r="AC3064" s="2">
        <v>1.2422328711387101</v>
      </c>
      <c r="AD3064" s="2"/>
      <c r="AE3064" s="2">
        <v>0.194760217037696</v>
      </c>
      <c r="AF3064" s="2">
        <v>8.559877937157E-6</v>
      </c>
      <c r="AG3064" s="2">
        <v>1521.53454156469</v>
      </c>
      <c r="AH3064" s="4">
        <v>5.6258190026723596E-9</v>
      </c>
      <c r="AI3064" s="4">
        <v>-27.405289715863901</v>
      </c>
      <c r="AJ3064" s="4" t="s">
        <v>62</v>
      </c>
      <c r="AK3064" s="2">
        <v>7.7244180986162106E-2</v>
      </c>
      <c r="AL3064" s="2">
        <v>0.36167090103694299</v>
      </c>
      <c r="AM3064" s="2">
        <v>8.559877937157E-6</v>
      </c>
      <c r="AN3064" s="2">
        <v>8.559877937157E-6</v>
      </c>
      <c r="AO3064" s="2">
        <v>8.559877937157E-6</v>
      </c>
      <c r="AP3064" s="2">
        <v>8.559877937157E-6</v>
      </c>
      <c r="AQ3064" s="2">
        <v>8.559877937157E-6</v>
      </c>
      <c r="AR3064" s="2">
        <v>8.559877937157E-6</v>
      </c>
      <c r="AS3064" s="2">
        <v>2143.7516578836999</v>
      </c>
      <c r="AT3064" s="2">
        <v>4677.3015701086197</v>
      </c>
      <c r="AU3064" s="2">
        <v>8.559877937157E-6</v>
      </c>
      <c r="AV3064" s="2">
        <v>2308.1539957161699</v>
      </c>
      <c r="AW3064" s="2">
        <v>8.559877937157E-6</v>
      </c>
      <c r="AX3064" s="2">
        <v>8.559877937157E-6</v>
      </c>
    </row>
    <row r="3065" spans="1:50" x14ac:dyDescent="0.25">
      <c r="A3065" s="2" t="s">
        <v>20447</v>
      </c>
      <c r="B3065" s="2">
        <v>270.095984564829</v>
      </c>
      <c r="C3065" s="2">
        <v>4.7055833333333297</v>
      </c>
      <c r="D3065" s="2" t="s">
        <v>51</v>
      </c>
      <c r="E3065" s="2" t="s">
        <v>20448</v>
      </c>
      <c r="F3065" s="2">
        <v>257212</v>
      </c>
      <c r="G3065" s="3" t="str">
        <f>HYPERLINK("https://cloud.oebiotech.com/#/lm/network/257212", "https://cloud.oebiotech.com/#/lm/network/257212")</f>
        <v>https://cloud.oebiotech.com/#/lm/network/257212</v>
      </c>
      <c r="H3065" s="2" t="s">
        <v>20449</v>
      </c>
      <c r="I3065" s="2"/>
      <c r="J3065" s="2"/>
      <c r="K3065" s="2"/>
      <c r="L3065" s="2"/>
      <c r="M3065" s="2"/>
      <c r="N3065" s="2"/>
      <c r="O3065" s="2"/>
      <c r="P3065" s="2"/>
      <c r="Q3065" s="2"/>
      <c r="R3065" s="2"/>
      <c r="S3065" s="2" t="s">
        <v>20450</v>
      </c>
      <c r="T3065" s="2" t="s">
        <v>20451</v>
      </c>
      <c r="U3065" s="2" t="s">
        <v>103</v>
      </c>
      <c r="V3065" s="2" t="s">
        <v>104</v>
      </c>
      <c r="W3065" s="2" t="s">
        <v>105</v>
      </c>
      <c r="X3065" s="2" t="s">
        <v>147</v>
      </c>
      <c r="Y3065" s="2">
        <v>38</v>
      </c>
      <c r="Z3065" s="2">
        <v>0</v>
      </c>
      <c r="AA3065" s="2" t="s">
        <v>379</v>
      </c>
      <c r="AB3065" s="2" t="s">
        <v>20452</v>
      </c>
      <c r="AC3065" s="2">
        <v>-3.4020980219560899</v>
      </c>
      <c r="AD3065" s="2"/>
      <c r="AE3065" s="2">
        <v>0.194743779425885</v>
      </c>
      <c r="AF3065" s="2">
        <v>3917.0537935663601</v>
      </c>
      <c r="AG3065" s="2">
        <v>2547.6464269593898</v>
      </c>
      <c r="AH3065" s="5">
        <v>1.5375186101634</v>
      </c>
      <c r="AI3065" s="5">
        <v>0.620603872974129</v>
      </c>
      <c r="AJ3065" s="5" t="s">
        <v>139</v>
      </c>
      <c r="AK3065" s="2">
        <v>0.47102767915590599</v>
      </c>
      <c r="AL3065" s="2">
        <v>0.71796953302916999</v>
      </c>
      <c r="AM3065" s="2">
        <v>11671.740340254801</v>
      </c>
      <c r="AN3065" s="2">
        <v>1054.67845511166</v>
      </c>
      <c r="AO3065" s="2">
        <v>2831.1270080587101</v>
      </c>
      <c r="AP3065" s="2">
        <v>4484.0703718634304</v>
      </c>
      <c r="AQ3065" s="2">
        <v>2860.49220292171</v>
      </c>
      <c r="AR3065" s="2">
        <v>600.21438318785499</v>
      </c>
      <c r="AS3065" s="2">
        <v>818.30094203570002</v>
      </c>
      <c r="AT3065" s="2">
        <v>1739.97625825411</v>
      </c>
      <c r="AU3065" s="2">
        <v>5006.9605095075704</v>
      </c>
      <c r="AV3065" s="2">
        <v>2224.1295028988302</v>
      </c>
      <c r="AW3065" s="2">
        <v>4800.2563647224897</v>
      </c>
      <c r="AX3065" s="2">
        <v>696.25498433764096</v>
      </c>
    </row>
    <row r="3066" spans="1:50" x14ac:dyDescent="0.25">
      <c r="A3066" s="2" t="s">
        <v>20453</v>
      </c>
      <c r="B3066" s="2">
        <v>219.10959645302799</v>
      </c>
      <c r="C3066" s="2">
        <v>9.5639333333333294</v>
      </c>
      <c r="D3066" s="2" t="s">
        <v>51</v>
      </c>
      <c r="E3066" s="2" t="s">
        <v>20454</v>
      </c>
      <c r="F3066" s="2">
        <v>208831</v>
      </c>
      <c r="G3066" s="3" t="str">
        <f>HYPERLINK("https://cloud.oebiotech.com/#/lm/network/208831", "https://cloud.oebiotech.com/#/lm/network/208831")</f>
        <v>https://cloud.oebiotech.com/#/lm/network/208831</v>
      </c>
      <c r="H3066" s="2" t="s">
        <v>20455</v>
      </c>
      <c r="I3066" s="2"/>
      <c r="J3066" s="2"/>
      <c r="K3066" s="2">
        <v>26105</v>
      </c>
      <c r="L3066" s="2"/>
      <c r="M3066" s="2"/>
      <c r="N3066" s="2"/>
      <c r="O3066" s="2"/>
      <c r="P3066" s="2"/>
      <c r="Q3066" s="2"/>
      <c r="R3066" s="2"/>
      <c r="S3066" s="2" t="s">
        <v>20456</v>
      </c>
      <c r="T3066" s="2" t="s">
        <v>20457</v>
      </c>
      <c r="U3066" s="2" t="s">
        <v>3062</v>
      </c>
      <c r="V3066" s="2" t="s">
        <v>3063</v>
      </c>
      <c r="W3066" s="2" t="s">
        <v>3064</v>
      </c>
      <c r="X3066" s="2" t="s">
        <v>147</v>
      </c>
      <c r="Y3066" s="2">
        <v>37.200000000000003</v>
      </c>
      <c r="Z3066" s="2">
        <v>0</v>
      </c>
      <c r="AA3066" s="2" t="s">
        <v>512</v>
      </c>
      <c r="AB3066" s="2" t="s">
        <v>20458</v>
      </c>
      <c r="AC3066" s="2">
        <v>4.0536008786408297</v>
      </c>
      <c r="AD3066" s="2"/>
      <c r="AE3066" s="2">
        <v>0.19470312376941101</v>
      </c>
      <c r="AF3066" s="2">
        <v>1159.70552097273</v>
      </c>
      <c r="AG3066" s="2">
        <v>300.01214819272599</v>
      </c>
      <c r="AH3066" s="5">
        <v>3.8655285392901702</v>
      </c>
      <c r="AI3066" s="5">
        <v>1.9506656894101899</v>
      </c>
      <c r="AJ3066" s="5" t="s">
        <v>139</v>
      </c>
      <c r="AK3066" s="2">
        <v>7.6578863954045104E-3</v>
      </c>
      <c r="AL3066" s="2">
        <v>0.145710627008557</v>
      </c>
      <c r="AM3066" s="2">
        <v>893.43735800274806</v>
      </c>
      <c r="AN3066" s="2">
        <v>2206.0409155648699</v>
      </c>
      <c r="AO3066" s="2">
        <v>1402.06443498455</v>
      </c>
      <c r="AP3066" s="2">
        <v>673.28676684193499</v>
      </c>
      <c r="AQ3066" s="2">
        <v>738.01950705494698</v>
      </c>
      <c r="AR3066" s="2">
        <v>1045.3841433873399</v>
      </c>
      <c r="AS3066" s="2">
        <v>673.810400203781</v>
      </c>
      <c r="AT3066" s="2">
        <v>151.48384096300799</v>
      </c>
      <c r="AU3066" s="2">
        <v>300.86391806764902</v>
      </c>
      <c r="AV3066" s="2">
        <v>8.559877937157E-6</v>
      </c>
      <c r="AW3066" s="2">
        <v>117.00324384191801</v>
      </c>
      <c r="AX3066" s="2">
        <v>556.91147752012</v>
      </c>
    </row>
    <row r="3067" spans="1:50" x14ac:dyDescent="0.25">
      <c r="A3067" s="2" t="s">
        <v>20459</v>
      </c>
      <c r="B3067" s="2">
        <v>314.23349487269797</v>
      </c>
      <c r="C3067" s="2">
        <v>6.8290333333333297</v>
      </c>
      <c r="D3067" s="2" t="s">
        <v>51</v>
      </c>
      <c r="E3067" s="2" t="s">
        <v>20460</v>
      </c>
      <c r="F3067" s="2">
        <v>197623</v>
      </c>
      <c r="G3067" s="3" t="str">
        <f>HYPERLINK("https://cloud.oebiotech.com/#/lm/network/197623", "https://cloud.oebiotech.com/#/lm/network/197623")</f>
        <v>https://cloud.oebiotech.com/#/lm/network/197623</v>
      </c>
      <c r="H3067" s="2" t="s">
        <v>20461</v>
      </c>
      <c r="I3067" s="2"/>
      <c r="J3067" s="2"/>
      <c r="K3067" s="2"/>
      <c r="L3067" s="2"/>
      <c r="M3067" s="2"/>
      <c r="N3067" s="2"/>
      <c r="O3067" s="2"/>
      <c r="P3067" s="2"/>
      <c r="Q3067" s="2"/>
      <c r="R3067" s="2"/>
      <c r="S3067" s="2" t="s">
        <v>20462</v>
      </c>
      <c r="T3067" s="2" t="s">
        <v>20463</v>
      </c>
      <c r="U3067" s="2" t="s">
        <v>56</v>
      </c>
      <c r="V3067" s="2" t="s">
        <v>145</v>
      </c>
      <c r="W3067" s="2" t="s">
        <v>1188</v>
      </c>
      <c r="X3067" s="2" t="s">
        <v>69</v>
      </c>
      <c r="Y3067" s="2">
        <v>65.8</v>
      </c>
      <c r="Z3067" s="2">
        <v>82.8</v>
      </c>
      <c r="AA3067" s="2" t="s">
        <v>259</v>
      </c>
      <c r="AB3067" s="2" t="s">
        <v>20464</v>
      </c>
      <c r="AC3067" s="2">
        <v>2.9051403666565601</v>
      </c>
      <c r="AD3067" s="2"/>
      <c r="AE3067" s="2">
        <v>0.19463859536665501</v>
      </c>
      <c r="AF3067" s="2">
        <v>30446.419378443399</v>
      </c>
      <c r="AG3067" s="2">
        <v>24029.340653902</v>
      </c>
      <c r="AH3067" s="5">
        <v>1.26705180208511</v>
      </c>
      <c r="AI3067" s="5">
        <v>0.34147550875934302</v>
      </c>
      <c r="AJ3067" s="5" t="s">
        <v>139</v>
      </c>
      <c r="AK3067" s="2">
        <v>0.533003864545321</v>
      </c>
      <c r="AL3067" s="2">
        <v>0.75995291637981999</v>
      </c>
      <c r="AM3067" s="2">
        <v>20479.0542413273</v>
      </c>
      <c r="AN3067" s="2">
        <v>39388.6317917661</v>
      </c>
      <c r="AO3067" s="2">
        <v>27534.360027330498</v>
      </c>
      <c r="AP3067" s="2">
        <v>35951.925145025103</v>
      </c>
      <c r="AQ3067" s="2">
        <v>21102.531413376601</v>
      </c>
      <c r="AR3067" s="2">
        <v>38222.013651834903</v>
      </c>
      <c r="AS3067" s="2">
        <v>19719.086395630799</v>
      </c>
      <c r="AT3067" s="2">
        <v>25674.2249001446</v>
      </c>
      <c r="AU3067" s="2">
        <v>9446.08840980471</v>
      </c>
      <c r="AV3067" s="2">
        <v>8284.5635295444008</v>
      </c>
      <c r="AW3067" s="2">
        <v>68552.214783675707</v>
      </c>
      <c r="AX3067" s="2">
        <v>12499.865904611701</v>
      </c>
    </row>
    <row r="3068" spans="1:50" x14ac:dyDescent="0.25">
      <c r="A3068" s="2" t="s">
        <v>20465</v>
      </c>
      <c r="B3068" s="2">
        <v>304.115156762921</v>
      </c>
      <c r="C3068" s="2">
        <v>4.3825500000000002</v>
      </c>
      <c r="D3068" s="2" t="s">
        <v>51</v>
      </c>
      <c r="E3068" s="2" t="s">
        <v>20466</v>
      </c>
      <c r="F3068" s="2">
        <v>53834</v>
      </c>
      <c r="G3068" s="3" t="str">
        <f>HYPERLINK("https://cloud.oebiotech.com/#/lm/network/53834", "https://cloud.oebiotech.com/#/lm/network/53834")</f>
        <v>https://cloud.oebiotech.com/#/lm/network/53834</v>
      </c>
      <c r="H3068" s="2" t="s">
        <v>20467</v>
      </c>
      <c r="I3068" s="2"/>
      <c r="J3068" s="2"/>
      <c r="K3068" s="2">
        <v>69040781</v>
      </c>
      <c r="L3068" s="2"/>
      <c r="M3068" s="2"/>
      <c r="N3068" s="2"/>
      <c r="O3068" s="2"/>
      <c r="P3068" s="2"/>
      <c r="Q3068" s="2"/>
      <c r="R3068" s="2"/>
      <c r="S3068" s="2" t="s">
        <v>20468</v>
      </c>
      <c r="T3068" s="2" t="s">
        <v>20469</v>
      </c>
      <c r="U3068" s="2" t="s">
        <v>103</v>
      </c>
      <c r="V3068" s="2" t="s">
        <v>104</v>
      </c>
      <c r="W3068" s="2" t="s">
        <v>105</v>
      </c>
      <c r="X3068" s="2" t="s">
        <v>147</v>
      </c>
      <c r="Y3068" s="2">
        <v>38.6</v>
      </c>
      <c r="Z3068" s="2">
        <v>6.83E-2</v>
      </c>
      <c r="AA3068" s="2" t="s">
        <v>218</v>
      </c>
      <c r="AB3068" s="2" t="s">
        <v>17867</v>
      </c>
      <c r="AC3068" s="2">
        <v>0.51419097676174597</v>
      </c>
      <c r="AD3068" s="2"/>
      <c r="AE3068" s="2">
        <v>0.194518155236686</v>
      </c>
      <c r="AF3068" s="2">
        <v>557.03483085779101</v>
      </c>
      <c r="AG3068" s="2">
        <v>1922.685282639</v>
      </c>
      <c r="AH3068" s="4">
        <v>0.28971711381346199</v>
      </c>
      <c r="AI3068" s="4">
        <v>-1.78728318665264</v>
      </c>
      <c r="AJ3068" s="4" t="s">
        <v>62</v>
      </c>
      <c r="AK3068" s="2">
        <v>0.13281968668521801</v>
      </c>
      <c r="AL3068" s="2">
        <v>0.45326287063707099</v>
      </c>
      <c r="AM3068" s="2">
        <v>979.47335296082201</v>
      </c>
      <c r="AN3068" s="2">
        <v>659.61667051293205</v>
      </c>
      <c r="AO3068" s="2">
        <v>134.21421060678699</v>
      </c>
      <c r="AP3068" s="2">
        <v>815.22793216442005</v>
      </c>
      <c r="AQ3068" s="2">
        <v>335.826001049978</v>
      </c>
      <c r="AR3068" s="2">
        <v>417.85081785180898</v>
      </c>
      <c r="AS3068" s="2">
        <v>8.559877937157E-6</v>
      </c>
      <c r="AT3068" s="2">
        <v>90.272364438018201</v>
      </c>
      <c r="AU3068" s="2">
        <v>2820.1823116352002</v>
      </c>
      <c r="AV3068" s="2">
        <v>1887.10397605294</v>
      </c>
      <c r="AW3068" s="2">
        <v>5412.2282112757403</v>
      </c>
      <c r="AX3068" s="2">
        <v>1326.3248238722099</v>
      </c>
    </row>
    <row r="3069" spans="1:50" x14ac:dyDescent="0.25">
      <c r="A3069" s="2" t="s">
        <v>20470</v>
      </c>
      <c r="B3069" s="2">
        <v>329.27058024315801</v>
      </c>
      <c r="C3069" s="2">
        <v>10.7341</v>
      </c>
      <c r="D3069" s="2" t="s">
        <v>51</v>
      </c>
      <c r="E3069" s="2" t="s">
        <v>20471</v>
      </c>
      <c r="F3069" s="2">
        <v>201492</v>
      </c>
      <c r="G3069" s="3" t="str">
        <f>HYPERLINK("https://cloud.oebiotech.com/#/lm/network/201492", "https://cloud.oebiotech.com/#/lm/network/201492")</f>
        <v>https://cloud.oebiotech.com/#/lm/network/201492</v>
      </c>
      <c r="H3069" s="2" t="s">
        <v>20472</v>
      </c>
      <c r="I3069" s="2"/>
      <c r="J3069" s="2"/>
      <c r="K3069" s="2">
        <v>11131285</v>
      </c>
      <c r="L3069" s="2"/>
      <c r="M3069" s="2"/>
      <c r="N3069" s="2"/>
      <c r="O3069" s="2"/>
      <c r="P3069" s="2"/>
      <c r="Q3069" s="2"/>
      <c r="R3069" s="2"/>
      <c r="S3069" s="2" t="s">
        <v>20473</v>
      </c>
      <c r="T3069" s="2" t="s">
        <v>20474</v>
      </c>
      <c r="U3069" s="2" t="s">
        <v>56</v>
      </c>
      <c r="V3069" s="2" t="s">
        <v>145</v>
      </c>
      <c r="W3069" s="2" t="s">
        <v>146</v>
      </c>
      <c r="X3069" s="2" t="s">
        <v>83</v>
      </c>
      <c r="Y3069" s="2">
        <v>47.6</v>
      </c>
      <c r="Z3069" s="2">
        <v>0</v>
      </c>
      <c r="AA3069" s="2" t="s">
        <v>259</v>
      </c>
      <c r="AB3069" s="2" t="s">
        <v>20475</v>
      </c>
      <c r="AC3069" s="2">
        <v>5.9226538271504996</v>
      </c>
      <c r="AD3069" s="2"/>
      <c r="AE3069" s="2">
        <v>0.19450907504406101</v>
      </c>
      <c r="AF3069" s="2">
        <v>2271.7451966952099</v>
      </c>
      <c r="AG3069" s="2">
        <v>1110.52296045711</v>
      </c>
      <c r="AH3069" s="5">
        <v>2.0456535142327299</v>
      </c>
      <c r="AI3069" s="5">
        <v>1.03256180704356</v>
      </c>
      <c r="AJ3069" s="5" t="s">
        <v>139</v>
      </c>
      <c r="AK3069" s="2">
        <v>7.2587961837706202E-2</v>
      </c>
      <c r="AL3069" s="2">
        <v>0.353750068837479</v>
      </c>
      <c r="AM3069" s="2">
        <v>2352.9588220513701</v>
      </c>
      <c r="AN3069" s="2">
        <v>2162.21845247387</v>
      </c>
      <c r="AO3069" s="2">
        <v>3754.4673119345198</v>
      </c>
      <c r="AP3069" s="2">
        <v>3036.75051456458</v>
      </c>
      <c r="AQ3069" s="2">
        <v>2127.5587894273999</v>
      </c>
      <c r="AR3069" s="2">
        <v>196.517289719546</v>
      </c>
      <c r="AS3069" s="2">
        <v>8.559877937157E-6</v>
      </c>
      <c r="AT3069" s="2">
        <v>1641.2079498448099</v>
      </c>
      <c r="AU3069" s="2">
        <v>557.40144968059599</v>
      </c>
      <c r="AV3069" s="2">
        <v>820.67147391999902</v>
      </c>
      <c r="AW3069" s="2">
        <v>1836.1872019627101</v>
      </c>
      <c r="AX3069" s="2">
        <v>1807.66967877464</v>
      </c>
    </row>
    <row r="3070" spans="1:50" x14ac:dyDescent="0.25">
      <c r="A3070" s="2" t="s">
        <v>20476</v>
      </c>
      <c r="B3070" s="2">
        <v>197.08132595117101</v>
      </c>
      <c r="C3070" s="2">
        <v>5.2656166666666699</v>
      </c>
      <c r="D3070" s="2" t="s">
        <v>51</v>
      </c>
      <c r="E3070" s="2" t="s">
        <v>20477</v>
      </c>
      <c r="F3070" s="2">
        <v>58202</v>
      </c>
      <c r="G3070" s="3" t="str">
        <f>HYPERLINK("https://cloud.oebiotech.com/#/lm/network/58202", "https://cloud.oebiotech.com/#/lm/network/58202")</f>
        <v>https://cloud.oebiotech.com/#/lm/network/58202</v>
      </c>
      <c r="H3070" s="2" t="s">
        <v>20478</v>
      </c>
      <c r="I3070" s="2">
        <v>89716</v>
      </c>
      <c r="J3070" s="2"/>
      <c r="K3070" s="2">
        <v>10954516</v>
      </c>
      <c r="L3070" s="2"/>
      <c r="M3070" s="2"/>
      <c r="N3070" s="2"/>
      <c r="O3070" s="2">
        <v>173995</v>
      </c>
      <c r="P3070" s="2"/>
      <c r="Q3070" s="2"/>
      <c r="R3070" s="2" t="s">
        <v>20479</v>
      </c>
      <c r="S3070" s="2" t="s">
        <v>20480</v>
      </c>
      <c r="T3070" s="2" t="s">
        <v>20481</v>
      </c>
      <c r="U3070" s="2" t="s">
        <v>56</v>
      </c>
      <c r="V3070" s="2" t="s">
        <v>145</v>
      </c>
      <c r="W3070" s="2" t="s">
        <v>231</v>
      </c>
      <c r="X3070" s="2" t="s">
        <v>83</v>
      </c>
      <c r="Y3070" s="2">
        <v>44.7</v>
      </c>
      <c r="Z3070" s="2">
        <v>0</v>
      </c>
      <c r="AA3070" s="2" t="s">
        <v>163</v>
      </c>
      <c r="AB3070" s="2" t="s">
        <v>15887</v>
      </c>
      <c r="AC3070" s="2">
        <v>-3.06197421017345</v>
      </c>
      <c r="AD3070" s="2"/>
      <c r="AE3070" s="2">
        <v>0.19450882763364999</v>
      </c>
      <c r="AF3070" s="2">
        <v>3388.0599360164101</v>
      </c>
      <c r="AG3070" s="2">
        <v>2342.6074581643002</v>
      </c>
      <c r="AH3070" s="5">
        <v>1.44627727714627</v>
      </c>
      <c r="AI3070" s="5">
        <v>0.53234416917377003</v>
      </c>
      <c r="AJ3070" s="5" t="s">
        <v>139</v>
      </c>
      <c r="AK3070" s="2">
        <v>0.11898012416919</v>
      </c>
      <c r="AL3070" s="2">
        <v>0.43739009114085597</v>
      </c>
      <c r="AM3070" s="2">
        <v>4511.1760368215</v>
      </c>
      <c r="AN3070" s="2">
        <v>4526.2884585878701</v>
      </c>
      <c r="AO3070" s="2">
        <v>3653.1152690640902</v>
      </c>
      <c r="AP3070" s="2">
        <v>1775.20407721279</v>
      </c>
      <c r="AQ3070" s="2">
        <v>2415.0108227512301</v>
      </c>
      <c r="AR3070" s="2">
        <v>3447.5649516609601</v>
      </c>
      <c r="AS3070" s="2">
        <v>3991.2694721236498</v>
      </c>
      <c r="AT3070" s="2">
        <v>2083.0124628891099</v>
      </c>
      <c r="AU3070" s="2">
        <v>1825.5943779083</v>
      </c>
      <c r="AV3070" s="2">
        <v>1637.88774550424</v>
      </c>
      <c r="AW3070" s="2">
        <v>1382.88710453565</v>
      </c>
      <c r="AX3070" s="2">
        <v>3134.9935860248302</v>
      </c>
    </row>
    <row r="3071" spans="1:50" x14ac:dyDescent="0.25">
      <c r="A3071" s="2" t="s">
        <v>20482</v>
      </c>
      <c r="B3071" s="2">
        <v>303.16024663048398</v>
      </c>
      <c r="C3071" s="2">
        <v>7.3533833333333298</v>
      </c>
      <c r="D3071" s="2" t="s">
        <v>51</v>
      </c>
      <c r="E3071" s="2" t="s">
        <v>20483</v>
      </c>
      <c r="F3071" s="2">
        <v>213458</v>
      </c>
      <c r="G3071" s="3" t="str">
        <f>HYPERLINK("https://cloud.oebiotech.com/#/lm/network/213458", "https://cloud.oebiotech.com/#/lm/network/213458")</f>
        <v>https://cloud.oebiotech.com/#/lm/network/213458</v>
      </c>
      <c r="H3071" s="2" t="s">
        <v>20484</v>
      </c>
      <c r="I3071" s="2"/>
      <c r="J3071" s="2"/>
      <c r="K3071" s="2">
        <v>10041802</v>
      </c>
      <c r="L3071" s="2"/>
      <c r="M3071" s="2"/>
      <c r="N3071" s="2"/>
      <c r="O3071" s="2"/>
      <c r="P3071" s="2"/>
      <c r="Q3071" s="2"/>
      <c r="R3071" s="2"/>
      <c r="S3071" s="2" t="s">
        <v>20485</v>
      </c>
      <c r="T3071" s="2" t="s">
        <v>20486</v>
      </c>
      <c r="U3071" s="2" t="s">
        <v>266</v>
      </c>
      <c r="V3071" s="2" t="s">
        <v>2772</v>
      </c>
      <c r="W3071" s="2" t="s">
        <v>2773</v>
      </c>
      <c r="X3071" s="2" t="s">
        <v>83</v>
      </c>
      <c r="Y3071" s="2">
        <v>47.2</v>
      </c>
      <c r="Z3071" s="2">
        <v>0</v>
      </c>
      <c r="AA3071" s="2" t="s">
        <v>379</v>
      </c>
      <c r="AB3071" s="2" t="s">
        <v>20487</v>
      </c>
      <c r="AC3071" s="2">
        <v>-7.5003465898664397</v>
      </c>
      <c r="AD3071" s="2"/>
      <c r="AE3071" s="2">
        <v>0.19440050812298099</v>
      </c>
      <c r="AF3071" s="2">
        <v>1285.0846775295599</v>
      </c>
      <c r="AG3071" s="2">
        <v>549.26176493270304</v>
      </c>
      <c r="AH3071" s="5">
        <v>2.33965799109831</v>
      </c>
      <c r="AI3071" s="5">
        <v>1.22629765348044</v>
      </c>
      <c r="AJ3071" s="5" t="s">
        <v>139</v>
      </c>
      <c r="AK3071" s="2">
        <v>7.4196438910109101E-3</v>
      </c>
      <c r="AL3071" s="2">
        <v>0.14489874833036501</v>
      </c>
      <c r="AM3071" s="2">
        <v>2131.1809022184998</v>
      </c>
      <c r="AN3071" s="2">
        <v>1027.8261306978</v>
      </c>
      <c r="AO3071" s="2">
        <v>1433.0200289704701</v>
      </c>
      <c r="AP3071" s="2">
        <v>810.26821204528403</v>
      </c>
      <c r="AQ3071" s="2">
        <v>872.98904907236999</v>
      </c>
      <c r="AR3071" s="2">
        <v>1435.2237421729501</v>
      </c>
      <c r="AS3071" s="2">
        <v>865.92785473890797</v>
      </c>
      <c r="AT3071" s="2">
        <v>521.29099398313099</v>
      </c>
      <c r="AU3071" s="2">
        <v>696.09791720437102</v>
      </c>
      <c r="AV3071" s="2">
        <v>265.37954616525298</v>
      </c>
      <c r="AW3071" s="2">
        <v>559.08523008554903</v>
      </c>
      <c r="AX3071" s="2">
        <v>387.78904741900499</v>
      </c>
    </row>
    <row r="3072" spans="1:50" x14ac:dyDescent="0.25">
      <c r="A3072" s="2" t="s">
        <v>20488</v>
      </c>
      <c r="B3072" s="2">
        <v>449.32748190654098</v>
      </c>
      <c r="C3072" s="2">
        <v>11.96875</v>
      </c>
      <c r="D3072" s="2" t="s">
        <v>51</v>
      </c>
      <c r="E3072" s="2" t="s">
        <v>20489</v>
      </c>
      <c r="F3072" s="2">
        <v>212622</v>
      </c>
      <c r="G3072" s="3" t="str">
        <f>HYPERLINK("https://cloud.oebiotech.com/#/lm/network/212622", "https://cloud.oebiotech.com/#/lm/network/212622")</f>
        <v>https://cloud.oebiotech.com/#/lm/network/212622</v>
      </c>
      <c r="H3072" s="2" t="s">
        <v>20490</v>
      </c>
      <c r="I3072" s="2"/>
      <c r="J3072" s="2"/>
      <c r="K3072" s="2"/>
      <c r="L3072" s="2"/>
      <c r="M3072" s="2"/>
      <c r="N3072" s="2"/>
      <c r="O3072" s="2"/>
      <c r="P3072" s="2"/>
      <c r="Q3072" s="2"/>
      <c r="R3072" s="2"/>
      <c r="S3072" s="2" t="s">
        <v>20491</v>
      </c>
      <c r="T3072" s="2" t="s">
        <v>20492</v>
      </c>
      <c r="U3072" s="2" t="s">
        <v>56</v>
      </c>
      <c r="V3072" s="2" t="s">
        <v>283</v>
      </c>
      <c r="W3072" s="2" t="s">
        <v>2042</v>
      </c>
      <c r="X3072" s="2" t="s">
        <v>83</v>
      </c>
      <c r="Y3072" s="2">
        <v>46.6</v>
      </c>
      <c r="Z3072" s="2">
        <v>0</v>
      </c>
      <c r="AA3072" s="2" t="s">
        <v>163</v>
      </c>
      <c r="AB3072" s="2" t="s">
        <v>17240</v>
      </c>
      <c r="AC3072" s="2">
        <v>0.51909304713482796</v>
      </c>
      <c r="AD3072" s="2"/>
      <c r="AE3072" s="2">
        <v>0.194313630207678</v>
      </c>
      <c r="AF3072" s="2">
        <v>11886.4210820975</v>
      </c>
      <c r="AG3072" s="2">
        <v>9283.1147448484098</v>
      </c>
      <c r="AH3072" s="5">
        <v>1.28043457490319</v>
      </c>
      <c r="AI3072" s="5">
        <v>0.35663353885954502</v>
      </c>
      <c r="AJ3072" s="5" t="s">
        <v>139</v>
      </c>
      <c r="AK3072" s="2">
        <v>0.316659752008636</v>
      </c>
      <c r="AL3072" s="2">
        <v>0.62493710099121003</v>
      </c>
      <c r="AM3072" s="2">
        <v>6675.9044464015396</v>
      </c>
      <c r="AN3072" s="2">
        <v>16864.627006108301</v>
      </c>
      <c r="AO3072" s="2">
        <v>10975.963612163399</v>
      </c>
      <c r="AP3072" s="2">
        <v>16528.1013048403</v>
      </c>
      <c r="AQ3072" s="2">
        <v>11225.5541105178</v>
      </c>
      <c r="AR3072" s="2">
        <v>9048.3760125538793</v>
      </c>
      <c r="AS3072" s="2">
        <v>6934.5135375785603</v>
      </c>
      <c r="AT3072" s="2">
        <v>12615.8305330396</v>
      </c>
      <c r="AU3072" s="2">
        <v>8184.3805935277396</v>
      </c>
      <c r="AV3072" s="2">
        <v>2385.16646745034</v>
      </c>
      <c r="AW3072" s="2">
        <v>15047.787498809799</v>
      </c>
      <c r="AX3072" s="2">
        <v>10531.0098386844</v>
      </c>
    </row>
    <row r="3073" spans="1:50" x14ac:dyDescent="0.25">
      <c r="A3073" s="2" t="s">
        <v>20493</v>
      </c>
      <c r="B3073" s="2">
        <v>209.11776586177999</v>
      </c>
      <c r="C3073" s="2">
        <v>7.8136999999999999</v>
      </c>
      <c r="D3073" s="2" t="s">
        <v>51</v>
      </c>
      <c r="E3073" s="2" t="s">
        <v>20494</v>
      </c>
      <c r="F3073" s="2">
        <v>57138</v>
      </c>
      <c r="G3073" s="3" t="str">
        <f>HYPERLINK("https://cloud.oebiotech.com/#/lm/network/57138", "https://cloud.oebiotech.com/#/lm/network/57138")</f>
        <v>https://cloud.oebiotech.com/#/lm/network/57138</v>
      </c>
      <c r="H3073" s="2" t="s">
        <v>20495</v>
      </c>
      <c r="I3073" s="2">
        <v>88787</v>
      </c>
      <c r="J3073" s="2"/>
      <c r="K3073" s="2">
        <v>12367058</v>
      </c>
      <c r="L3073" s="2"/>
      <c r="M3073" s="2"/>
      <c r="N3073" s="2"/>
      <c r="O3073" s="2">
        <v>142275</v>
      </c>
      <c r="P3073" s="2"/>
      <c r="Q3073" s="2"/>
      <c r="R3073" s="2" t="s">
        <v>20496</v>
      </c>
      <c r="S3073" s="2" t="s">
        <v>20497</v>
      </c>
      <c r="T3073" s="2" t="s">
        <v>20498</v>
      </c>
      <c r="U3073" s="2" t="s">
        <v>103</v>
      </c>
      <c r="V3073" s="2" t="s">
        <v>2602</v>
      </c>
      <c r="W3073" s="2" t="s">
        <v>3042</v>
      </c>
      <c r="X3073" s="2" t="s">
        <v>83</v>
      </c>
      <c r="Y3073" s="2">
        <v>50.6</v>
      </c>
      <c r="Z3073" s="2">
        <v>0</v>
      </c>
      <c r="AA3073" s="2" t="s">
        <v>163</v>
      </c>
      <c r="AB3073" s="2" t="s">
        <v>20499</v>
      </c>
      <c r="AC3073" s="2">
        <v>-2.6276768488365398</v>
      </c>
      <c r="AD3073" s="2"/>
      <c r="AE3073" s="2">
        <v>0.19427547715796201</v>
      </c>
      <c r="AF3073" s="2">
        <v>2377.04254472312</v>
      </c>
      <c r="AG3073" s="2">
        <v>1463.6466686947599</v>
      </c>
      <c r="AH3073" s="5">
        <v>1.62405490038309</v>
      </c>
      <c r="AI3073" s="5">
        <v>0.69960040294899795</v>
      </c>
      <c r="AJ3073" s="5" t="s">
        <v>139</v>
      </c>
      <c r="AK3073" s="2">
        <v>8.0821747320173706E-2</v>
      </c>
      <c r="AL3073" s="2">
        <v>0.36825687938593399</v>
      </c>
      <c r="AM3073" s="2">
        <v>4523.6865167092701</v>
      </c>
      <c r="AN3073" s="2">
        <v>2232.8669857509299</v>
      </c>
      <c r="AO3073" s="2">
        <v>1942.3236101437001</v>
      </c>
      <c r="AP3073" s="2">
        <v>2123.7236485448998</v>
      </c>
      <c r="AQ3073" s="2">
        <v>1382.8392534627701</v>
      </c>
      <c r="AR3073" s="2">
        <v>2056.8152537271199</v>
      </c>
      <c r="AS3073" s="2">
        <v>1738.1173392232599</v>
      </c>
      <c r="AT3073" s="2">
        <v>1238.9659697417901</v>
      </c>
      <c r="AU3073" s="2">
        <v>1375.59231510124</v>
      </c>
      <c r="AV3073" s="2">
        <v>976.25800842391197</v>
      </c>
      <c r="AW3073" s="2">
        <v>1448.3455938771899</v>
      </c>
      <c r="AX3073" s="2">
        <v>2004.6007858011901</v>
      </c>
    </row>
    <row r="3074" spans="1:50" x14ac:dyDescent="0.25">
      <c r="A3074" s="2" t="s">
        <v>20500</v>
      </c>
      <c r="B3074" s="2">
        <v>202.21721431042599</v>
      </c>
      <c r="C3074" s="2">
        <v>6.4570166666666697</v>
      </c>
      <c r="D3074" s="2" t="s">
        <v>51</v>
      </c>
      <c r="E3074" s="2" t="s">
        <v>20501</v>
      </c>
      <c r="F3074" s="2">
        <v>6536</v>
      </c>
      <c r="G3074" s="3" t="str">
        <f>HYPERLINK("https://cloud.oebiotech.com/#/lm/network/6536", "https://cloud.oebiotech.com/#/lm/network/6536")</f>
        <v>https://cloud.oebiotech.com/#/lm/network/6536</v>
      </c>
      <c r="H3074" s="2" t="s">
        <v>20502</v>
      </c>
      <c r="I3074" s="2">
        <v>36591</v>
      </c>
      <c r="J3074" s="2" t="s">
        <v>20503</v>
      </c>
      <c r="K3074" s="2">
        <v>8194</v>
      </c>
      <c r="L3074" s="2" t="s">
        <v>20504</v>
      </c>
      <c r="M3074" s="2"/>
      <c r="N3074" s="2"/>
      <c r="O3074" s="2">
        <v>27836</v>
      </c>
      <c r="P3074" s="2"/>
      <c r="Q3074" s="2"/>
      <c r="R3074" s="2" t="s">
        <v>20505</v>
      </c>
      <c r="S3074" s="2" t="s">
        <v>20506</v>
      </c>
      <c r="T3074" s="2" t="s">
        <v>20507</v>
      </c>
      <c r="U3074" s="2" t="s">
        <v>331</v>
      </c>
      <c r="V3074" s="2" t="s">
        <v>332</v>
      </c>
      <c r="W3074" s="2" t="s">
        <v>1207</v>
      </c>
      <c r="X3074" s="2" t="s">
        <v>147</v>
      </c>
      <c r="Y3074" s="2">
        <v>38.4</v>
      </c>
      <c r="Z3074" s="2">
        <v>0</v>
      </c>
      <c r="AA3074" s="2" t="s">
        <v>512</v>
      </c>
      <c r="AB3074" s="2" t="s">
        <v>20508</v>
      </c>
      <c r="AC3074" s="2">
        <v>3.65610412877139</v>
      </c>
      <c r="AD3074" s="2"/>
      <c r="AE3074" s="2">
        <v>0.19427089300306999</v>
      </c>
      <c r="AF3074" s="2">
        <v>418.86589761245898</v>
      </c>
      <c r="AG3074" s="2">
        <v>2209.0837691634401</v>
      </c>
      <c r="AH3074" s="4">
        <v>0.189610689942772</v>
      </c>
      <c r="AI3074" s="4">
        <v>-2.3988877915548099</v>
      </c>
      <c r="AJ3074" s="4" t="s">
        <v>62</v>
      </c>
      <c r="AK3074" s="2">
        <v>0.117434516886015</v>
      </c>
      <c r="AL3074" s="2">
        <v>0.436261987215596</v>
      </c>
      <c r="AM3074" s="2">
        <v>8.559877937157E-6</v>
      </c>
      <c r="AN3074" s="2">
        <v>8.559877937157E-6</v>
      </c>
      <c r="AO3074" s="2">
        <v>1284.69884371291</v>
      </c>
      <c r="AP3074" s="2">
        <v>405.18482497295901</v>
      </c>
      <c r="AQ3074" s="2">
        <v>787.47508266191301</v>
      </c>
      <c r="AR3074" s="2">
        <v>35.836617207215198</v>
      </c>
      <c r="AS3074" s="2">
        <v>2595.4664136876199</v>
      </c>
      <c r="AT3074" s="2">
        <v>6241.7552719232599</v>
      </c>
      <c r="AU3074" s="2">
        <v>596.27082344230905</v>
      </c>
      <c r="AV3074" s="2">
        <v>8.559877937157E-6</v>
      </c>
      <c r="AW3074" s="2">
        <v>8.559877937157E-6</v>
      </c>
      <c r="AX3074" s="2">
        <v>3821.01008880769</v>
      </c>
    </row>
    <row r="3075" spans="1:50" x14ac:dyDescent="0.25">
      <c r="A3075" s="2" t="s">
        <v>20509</v>
      </c>
      <c r="B3075" s="2">
        <v>265.14448970879499</v>
      </c>
      <c r="C3075" s="2">
        <v>8.8328666666666695</v>
      </c>
      <c r="D3075" s="2" t="s">
        <v>51</v>
      </c>
      <c r="E3075" s="2" t="s">
        <v>20510</v>
      </c>
      <c r="F3075" s="2">
        <v>2599</v>
      </c>
      <c r="G3075" s="3" t="str">
        <f>HYPERLINK("https://cloud.oebiotech.com/#/lm/network/2599", "https://cloud.oebiotech.com/#/lm/network/2599")</f>
        <v>https://cloud.oebiotech.com/#/lm/network/2599</v>
      </c>
      <c r="H3075" s="2"/>
      <c r="I3075" s="2"/>
      <c r="J3075" s="2" t="s">
        <v>20511</v>
      </c>
      <c r="K3075" s="2">
        <v>137323821</v>
      </c>
      <c r="L3075" s="2"/>
      <c r="M3075" s="2"/>
      <c r="N3075" s="2"/>
      <c r="O3075" s="2"/>
      <c r="P3075" s="2"/>
      <c r="Q3075" s="2"/>
      <c r="R3075" s="2"/>
      <c r="S3075" s="2" t="s">
        <v>20512</v>
      </c>
      <c r="T3075" s="2" t="s">
        <v>20513</v>
      </c>
      <c r="U3075" s="2" t="s">
        <v>103</v>
      </c>
      <c r="V3075" s="2" t="s">
        <v>104</v>
      </c>
      <c r="W3075" s="2" t="s">
        <v>7932</v>
      </c>
      <c r="X3075" s="2" t="s">
        <v>83</v>
      </c>
      <c r="Y3075" s="2">
        <v>45.4</v>
      </c>
      <c r="Z3075" s="2">
        <v>0</v>
      </c>
      <c r="AA3075" s="2" t="s">
        <v>218</v>
      </c>
      <c r="AB3075" s="2" t="s">
        <v>7554</v>
      </c>
      <c r="AC3075" s="2">
        <v>-0.195514162010125</v>
      </c>
      <c r="AD3075" s="2"/>
      <c r="AE3075" s="2">
        <v>0.194260441528564</v>
      </c>
      <c r="AF3075" s="2">
        <v>2507.4907965407201</v>
      </c>
      <c r="AG3075" s="2">
        <v>1480.3632988555601</v>
      </c>
      <c r="AH3075" s="5">
        <v>1.69383474886145</v>
      </c>
      <c r="AI3075" s="5">
        <v>0.76029313167882195</v>
      </c>
      <c r="AJ3075" s="5" t="s">
        <v>139</v>
      </c>
      <c r="AK3075" s="2">
        <v>0.164200947160938</v>
      </c>
      <c r="AL3075" s="2">
        <v>0.485005484226115</v>
      </c>
      <c r="AM3075" s="2">
        <v>4226.2905818509598</v>
      </c>
      <c r="AN3075" s="2">
        <v>2751.66455734903</v>
      </c>
      <c r="AO3075" s="2">
        <v>1864.25049088837</v>
      </c>
      <c r="AP3075" s="2">
        <v>2495.9519392051802</v>
      </c>
      <c r="AQ3075" s="2">
        <v>1070.7443909272699</v>
      </c>
      <c r="AR3075" s="2">
        <v>2636.0428190234802</v>
      </c>
      <c r="AS3075" s="2">
        <v>1400.3040205513</v>
      </c>
      <c r="AT3075" s="2">
        <v>660.88612521955099</v>
      </c>
      <c r="AU3075" s="2">
        <v>4002.0035753593802</v>
      </c>
      <c r="AV3075" s="2">
        <v>371.21390177056298</v>
      </c>
      <c r="AW3075" s="2">
        <v>962.10004726711804</v>
      </c>
      <c r="AX3075" s="2">
        <v>1485.6721229654399</v>
      </c>
    </row>
    <row r="3076" spans="1:50" x14ac:dyDescent="0.25">
      <c r="A3076" s="2" t="s">
        <v>20514</v>
      </c>
      <c r="B3076" s="2">
        <v>537.30965754954502</v>
      </c>
      <c r="C3076" s="2">
        <v>11.0676166666667</v>
      </c>
      <c r="D3076" s="2" t="s">
        <v>51</v>
      </c>
      <c r="E3076" s="2" t="s">
        <v>20515</v>
      </c>
      <c r="F3076" s="2">
        <v>27905</v>
      </c>
      <c r="G3076" s="3" t="str">
        <f>HYPERLINK("https://cloud.oebiotech.com/#/lm/network/27905", "https://cloud.oebiotech.com/#/lm/network/27905")</f>
        <v>https://cloud.oebiotech.com/#/lm/network/27905</v>
      </c>
      <c r="H3076" s="2"/>
      <c r="I3076" s="2"/>
      <c r="J3076" s="2" t="s">
        <v>20516</v>
      </c>
      <c r="K3076" s="2">
        <v>134812362</v>
      </c>
      <c r="L3076" s="2"/>
      <c r="M3076" s="2"/>
      <c r="N3076" s="2"/>
      <c r="O3076" s="2"/>
      <c r="P3076" s="2"/>
      <c r="Q3076" s="2"/>
      <c r="R3076" s="2"/>
      <c r="S3076" s="2" t="s">
        <v>20517</v>
      </c>
      <c r="T3076" s="2" t="s">
        <v>20518</v>
      </c>
      <c r="U3076" s="2" t="s">
        <v>56</v>
      </c>
      <c r="V3076" s="2" t="s">
        <v>57</v>
      </c>
      <c r="W3076" s="2" t="s">
        <v>155</v>
      </c>
      <c r="X3076" s="2" t="s">
        <v>83</v>
      </c>
      <c r="Y3076" s="2">
        <v>48.4</v>
      </c>
      <c r="Z3076" s="2">
        <v>0</v>
      </c>
      <c r="AA3076" s="2" t="s">
        <v>122</v>
      </c>
      <c r="AB3076" s="2" t="s">
        <v>20519</v>
      </c>
      <c r="AC3076" s="2">
        <v>5.5623715818532498</v>
      </c>
      <c r="AD3076" s="2"/>
      <c r="AE3076" s="2">
        <v>0.193980109293065</v>
      </c>
      <c r="AF3076" s="2">
        <v>14120.8187488042</v>
      </c>
      <c r="AG3076" s="2">
        <v>12038.818198954799</v>
      </c>
      <c r="AH3076" s="5">
        <v>1.1729406089071199</v>
      </c>
      <c r="AI3076" s="5">
        <v>0.23012996528083901</v>
      </c>
      <c r="AJ3076" s="5" t="s">
        <v>139</v>
      </c>
      <c r="AK3076" s="2">
        <v>0.72029127183545305</v>
      </c>
      <c r="AL3076" s="2">
        <v>0.87041914937656994</v>
      </c>
      <c r="AM3076" s="2">
        <v>33702.8520764161</v>
      </c>
      <c r="AN3076" s="2">
        <v>16471.972988066402</v>
      </c>
      <c r="AO3076" s="2">
        <v>10276.6083574451</v>
      </c>
      <c r="AP3076" s="2">
        <v>13225.405193233701</v>
      </c>
      <c r="AQ3076" s="2">
        <v>2723.4193615089998</v>
      </c>
      <c r="AR3076" s="2">
        <v>8324.6545161548802</v>
      </c>
      <c r="AS3076" s="2">
        <v>1896.26235455201</v>
      </c>
      <c r="AT3076" s="2">
        <v>8.559877937157E-6</v>
      </c>
      <c r="AU3076" s="2">
        <v>18152.424871423402</v>
      </c>
      <c r="AV3076" s="2">
        <v>18938.732473867702</v>
      </c>
      <c r="AW3076" s="2">
        <v>19412.534948208599</v>
      </c>
      <c r="AX3076" s="2">
        <v>13832.954537117201</v>
      </c>
    </row>
    <row r="3077" spans="1:50" x14ac:dyDescent="0.25">
      <c r="A3077" s="2" t="s">
        <v>20520</v>
      </c>
      <c r="B3077" s="2">
        <v>366.20389240199802</v>
      </c>
      <c r="C3077" s="2">
        <v>4.0481166666666697</v>
      </c>
      <c r="D3077" s="2" t="s">
        <v>51</v>
      </c>
      <c r="E3077" s="2" t="s">
        <v>20521</v>
      </c>
      <c r="F3077" s="2">
        <v>264522</v>
      </c>
      <c r="G3077" s="3" t="str">
        <f>HYPERLINK("https://cloud.oebiotech.com/#/lm/network/264522", "https://cloud.oebiotech.com/#/lm/network/264522")</f>
        <v>https://cloud.oebiotech.com/#/lm/network/264522</v>
      </c>
      <c r="H3077" s="2"/>
      <c r="I3077" s="2">
        <v>21983</v>
      </c>
      <c r="J3077" s="2"/>
      <c r="K3077" s="2">
        <v>9951003</v>
      </c>
      <c r="L3077" s="2"/>
      <c r="M3077" s="2"/>
      <c r="N3077" s="2"/>
      <c r="O3077" s="2"/>
      <c r="P3077" s="2"/>
      <c r="Q3077" s="2"/>
      <c r="R3077" s="2"/>
      <c r="S3077" s="2" t="s">
        <v>20522</v>
      </c>
      <c r="T3077" s="2" t="s">
        <v>20523</v>
      </c>
      <c r="U3077" s="2" t="s">
        <v>103</v>
      </c>
      <c r="V3077" s="2" t="s">
        <v>104</v>
      </c>
      <c r="W3077" s="2" t="s">
        <v>105</v>
      </c>
      <c r="X3077" s="2" t="s">
        <v>83</v>
      </c>
      <c r="Y3077" s="2">
        <v>46</v>
      </c>
      <c r="Z3077" s="2">
        <v>0</v>
      </c>
      <c r="AA3077" s="2" t="s">
        <v>259</v>
      </c>
      <c r="AB3077" s="2" t="s">
        <v>20524</v>
      </c>
      <c r="AC3077" s="2">
        <v>4.2305935387921503</v>
      </c>
      <c r="AD3077" s="2"/>
      <c r="AE3077" s="2">
        <v>0.19389533570730499</v>
      </c>
      <c r="AF3077" s="2">
        <v>263.98297994322598</v>
      </c>
      <c r="AG3077" s="2">
        <v>2207.6298551409</v>
      </c>
      <c r="AH3077" s="4">
        <v>0.11957755478278601</v>
      </c>
      <c r="AI3077" s="4">
        <v>-3.0639814799538398</v>
      </c>
      <c r="AJ3077" s="4" t="s">
        <v>62</v>
      </c>
      <c r="AK3077" s="2">
        <v>0.1888726509234</v>
      </c>
      <c r="AL3077" s="2">
        <v>0.51296291332672606</v>
      </c>
      <c r="AM3077" s="2">
        <v>443.19897419496601</v>
      </c>
      <c r="AN3077" s="2">
        <v>8.559877937157E-6</v>
      </c>
      <c r="AO3077" s="2">
        <v>8.559877937157E-6</v>
      </c>
      <c r="AP3077" s="2">
        <v>8.559877937157E-6</v>
      </c>
      <c r="AQ3077" s="2">
        <v>580.89456987193705</v>
      </c>
      <c r="AR3077" s="2">
        <v>559.80430991281798</v>
      </c>
      <c r="AS3077" s="2">
        <v>8.559877937157E-6</v>
      </c>
      <c r="AT3077" s="2">
        <v>8.559877937157E-6</v>
      </c>
      <c r="AU3077" s="2">
        <v>7287.4703324964503</v>
      </c>
      <c r="AV3077" s="2">
        <v>244.253868993997</v>
      </c>
      <c r="AW3077" s="2">
        <v>5714.05490367532</v>
      </c>
      <c r="AX3077" s="2">
        <v>8.559877937157E-6</v>
      </c>
    </row>
    <row r="3078" spans="1:50" x14ac:dyDescent="0.25">
      <c r="A3078" s="2" t="s">
        <v>20525</v>
      </c>
      <c r="B3078" s="2">
        <v>191.031738838834</v>
      </c>
      <c r="C3078" s="2">
        <v>4.5548999999999999</v>
      </c>
      <c r="D3078" s="2" t="s">
        <v>51</v>
      </c>
      <c r="E3078" s="2" t="s">
        <v>20526</v>
      </c>
      <c r="F3078" s="2">
        <v>55794</v>
      </c>
      <c r="G3078" s="3" t="str">
        <f>HYPERLINK("https://cloud.oebiotech.com/#/lm/network/55794", "https://cloud.oebiotech.com/#/lm/network/55794")</f>
        <v>https://cloud.oebiotech.com/#/lm/network/55794</v>
      </c>
      <c r="H3078" s="2" t="s">
        <v>20527</v>
      </c>
      <c r="I3078" s="2">
        <v>87478</v>
      </c>
      <c r="J3078" s="2"/>
      <c r="K3078" s="2">
        <v>54779</v>
      </c>
      <c r="L3078" s="2"/>
      <c r="M3078" s="2"/>
      <c r="N3078" s="2"/>
      <c r="O3078" s="2"/>
      <c r="P3078" s="2"/>
      <c r="Q3078" s="2"/>
      <c r="R3078" s="2" t="s">
        <v>20528</v>
      </c>
      <c r="S3078" s="2" t="s">
        <v>20529</v>
      </c>
      <c r="T3078" s="2" t="s">
        <v>20530</v>
      </c>
      <c r="U3078" s="2" t="s">
        <v>266</v>
      </c>
      <c r="V3078" s="2" t="s">
        <v>20531</v>
      </c>
      <c r="W3078" s="2" t="s">
        <v>20532</v>
      </c>
      <c r="X3078" s="2" t="s">
        <v>147</v>
      </c>
      <c r="Y3078" s="2">
        <v>38.4</v>
      </c>
      <c r="Z3078" s="2">
        <v>0</v>
      </c>
      <c r="AA3078" s="2" t="s">
        <v>163</v>
      </c>
      <c r="AB3078" s="2" t="s">
        <v>20533</v>
      </c>
      <c r="AC3078" s="2">
        <v>-0.46731714145563102</v>
      </c>
      <c r="AD3078" s="2"/>
      <c r="AE3078" s="2">
        <v>0.19377863894970199</v>
      </c>
      <c r="AF3078" s="2">
        <v>1906.9561621098801</v>
      </c>
      <c r="AG3078" s="2">
        <v>929.71994696586398</v>
      </c>
      <c r="AH3078" s="5">
        <v>2.0511081517969201</v>
      </c>
      <c r="AI3078" s="5">
        <v>1.0364035649271699</v>
      </c>
      <c r="AJ3078" s="5" t="s">
        <v>139</v>
      </c>
      <c r="AK3078" s="2">
        <v>0.116217857670549</v>
      </c>
      <c r="AL3078" s="2">
        <v>0.43347552466100298</v>
      </c>
      <c r="AM3078" s="2">
        <v>3382.3502239355698</v>
      </c>
      <c r="AN3078" s="2">
        <v>2954.9832733747298</v>
      </c>
      <c r="AO3078" s="2">
        <v>889.61266479122298</v>
      </c>
      <c r="AP3078" s="2">
        <v>677.04461025079604</v>
      </c>
      <c r="AQ3078" s="2">
        <v>915.49426310599597</v>
      </c>
      <c r="AR3078" s="2">
        <v>2622.2519372009801</v>
      </c>
      <c r="AS3078" s="2">
        <v>2051.6356389597599</v>
      </c>
      <c r="AT3078" s="2">
        <v>1216.69052928056</v>
      </c>
      <c r="AU3078" s="2">
        <v>706.583646715594</v>
      </c>
      <c r="AV3078" s="2">
        <v>235.644312008974</v>
      </c>
      <c r="AW3078" s="2">
        <v>250.28151676007801</v>
      </c>
      <c r="AX3078" s="2">
        <v>1117.4840380702201</v>
      </c>
    </row>
    <row r="3079" spans="1:50" x14ac:dyDescent="0.25">
      <c r="A3079" s="2" t="s">
        <v>20534</v>
      </c>
      <c r="B3079" s="2">
        <v>271.070066679896</v>
      </c>
      <c r="C3079" s="2">
        <v>3.6124666666666698</v>
      </c>
      <c r="D3079" s="2" t="s">
        <v>51</v>
      </c>
      <c r="E3079" s="2" t="s">
        <v>20535</v>
      </c>
      <c r="F3079" s="2">
        <v>201137</v>
      </c>
      <c r="G3079" s="3" t="str">
        <f>HYPERLINK("https://cloud.oebiotech.com/#/lm/network/201137", "https://cloud.oebiotech.com/#/lm/network/201137")</f>
        <v>https://cloud.oebiotech.com/#/lm/network/201137</v>
      </c>
      <c r="H3079" s="2" t="s">
        <v>20536</v>
      </c>
      <c r="I3079" s="2"/>
      <c r="J3079" s="2"/>
      <c r="K3079" s="2">
        <v>168833</v>
      </c>
      <c r="L3079" s="2"/>
      <c r="M3079" s="2"/>
      <c r="N3079" s="2"/>
      <c r="O3079" s="2"/>
      <c r="P3079" s="2"/>
      <c r="Q3079" s="2"/>
      <c r="R3079" s="2"/>
      <c r="S3079" s="2" t="s">
        <v>20537</v>
      </c>
      <c r="T3079" s="2" t="s">
        <v>20538</v>
      </c>
      <c r="U3079" s="2" t="s">
        <v>610</v>
      </c>
      <c r="V3079" s="2" t="s">
        <v>611</v>
      </c>
      <c r="W3079" s="2" t="s">
        <v>977</v>
      </c>
      <c r="X3079" s="2" t="s">
        <v>83</v>
      </c>
      <c r="Y3079" s="2">
        <v>40.799999999999997</v>
      </c>
      <c r="Z3079" s="2">
        <v>0</v>
      </c>
      <c r="AA3079" s="2" t="s">
        <v>241</v>
      </c>
      <c r="AB3079" s="2" t="s">
        <v>20539</v>
      </c>
      <c r="AC3079" s="2">
        <v>7.3383918843440803</v>
      </c>
      <c r="AD3079" s="2"/>
      <c r="AE3079" s="2">
        <v>0.19321870163733301</v>
      </c>
      <c r="AF3079" s="2">
        <v>144823.52622855699</v>
      </c>
      <c r="AG3079" s="2">
        <v>152466.67911790201</v>
      </c>
      <c r="AH3079" s="4">
        <v>0.94987001137845495</v>
      </c>
      <c r="AI3079" s="4">
        <v>-7.4197999097453005E-2</v>
      </c>
      <c r="AJ3079" s="4" t="s">
        <v>62</v>
      </c>
      <c r="AK3079" s="2">
        <v>0.79614030744266495</v>
      </c>
      <c r="AL3079" s="2">
        <v>0.90954932814260703</v>
      </c>
      <c r="AM3079" s="2">
        <v>117283.872589733</v>
      </c>
      <c r="AN3079" s="2">
        <v>164972.94224719401</v>
      </c>
      <c r="AO3079" s="2">
        <v>117400.434829718</v>
      </c>
      <c r="AP3079" s="2">
        <v>202000.77284006201</v>
      </c>
      <c r="AQ3079" s="2">
        <v>156541.127568386</v>
      </c>
      <c r="AR3079" s="2">
        <v>110742.007296247</v>
      </c>
      <c r="AS3079" s="2">
        <v>163969.347628863</v>
      </c>
      <c r="AT3079" s="2">
        <v>219940.68444045199</v>
      </c>
      <c r="AU3079" s="2">
        <v>127692.33989480601</v>
      </c>
      <c r="AV3079" s="2">
        <v>64551.783678196298</v>
      </c>
      <c r="AW3079" s="2">
        <v>120270.999250122</v>
      </c>
      <c r="AX3079" s="2">
        <v>218374.919814972</v>
      </c>
    </row>
    <row r="3080" spans="1:50" x14ac:dyDescent="0.25">
      <c r="A3080" s="2" t="s">
        <v>20540</v>
      </c>
      <c r="B3080" s="2">
        <v>272.07115070406201</v>
      </c>
      <c r="C3080" s="2">
        <v>5.3845499999999999</v>
      </c>
      <c r="D3080" s="2" t="s">
        <v>51</v>
      </c>
      <c r="E3080" s="2" t="s">
        <v>20541</v>
      </c>
      <c r="F3080" s="2">
        <v>279815</v>
      </c>
      <c r="G3080" s="3" t="str">
        <f>HYPERLINK("https://cloud.oebiotech.com/#/lm/network/279815", "https://cloud.oebiotech.com/#/lm/network/279815")</f>
        <v>https://cloud.oebiotech.com/#/lm/network/279815</v>
      </c>
      <c r="H3080" s="2"/>
      <c r="I3080" s="2">
        <v>72631</v>
      </c>
      <c r="J3080" s="2"/>
      <c r="K3080" s="2">
        <v>8594</v>
      </c>
      <c r="L3080" s="2" t="s">
        <v>20542</v>
      </c>
      <c r="M3080" s="2"/>
      <c r="N3080" s="2"/>
      <c r="O3080" s="2"/>
      <c r="P3080" s="2"/>
      <c r="Q3080" s="2"/>
      <c r="R3080" s="2" t="s">
        <v>20543</v>
      </c>
      <c r="S3080" s="2" t="s">
        <v>20544</v>
      </c>
      <c r="T3080" s="2" t="s">
        <v>20545</v>
      </c>
      <c r="U3080" s="2" t="s">
        <v>610</v>
      </c>
      <c r="V3080" s="2" t="s">
        <v>813</v>
      </c>
      <c r="W3080" s="2" t="s">
        <v>240</v>
      </c>
      <c r="X3080" s="2" t="s">
        <v>147</v>
      </c>
      <c r="Y3080" s="2">
        <v>36</v>
      </c>
      <c r="Z3080" s="2">
        <v>0</v>
      </c>
      <c r="AA3080" s="2" t="s">
        <v>379</v>
      </c>
      <c r="AB3080" s="2" t="s">
        <v>20546</v>
      </c>
      <c r="AC3080" s="2">
        <v>-1.8944559883846299</v>
      </c>
      <c r="AD3080" s="2"/>
      <c r="AE3080" s="2">
        <v>0.19321590248765799</v>
      </c>
      <c r="AF3080" s="2">
        <v>1939.07722156163</v>
      </c>
      <c r="AG3080" s="2">
        <v>3422.9170251938499</v>
      </c>
      <c r="AH3080" s="4">
        <v>0.56649845943952204</v>
      </c>
      <c r="AI3080" s="4">
        <v>-0.819856062163697</v>
      </c>
      <c r="AJ3080" s="4" t="s">
        <v>62</v>
      </c>
      <c r="AK3080" s="2">
        <v>0.254518184332931</v>
      </c>
      <c r="AL3080" s="2">
        <v>0.57740713044883996</v>
      </c>
      <c r="AM3080" s="2">
        <v>815.51470697091804</v>
      </c>
      <c r="AN3080" s="2">
        <v>3315.1344650943802</v>
      </c>
      <c r="AO3080" s="2">
        <v>2612.9335460806401</v>
      </c>
      <c r="AP3080" s="2">
        <v>3746.6265927513</v>
      </c>
      <c r="AQ3080" s="2">
        <v>748.81861419647396</v>
      </c>
      <c r="AR3080" s="2">
        <v>395.43540427606001</v>
      </c>
      <c r="AS3080" s="2">
        <v>4678.1186648232097</v>
      </c>
      <c r="AT3080" s="2">
        <v>4380.38471104359</v>
      </c>
      <c r="AU3080" s="2">
        <v>1055.5742188381701</v>
      </c>
      <c r="AV3080" s="2">
        <v>7644.2905323239502</v>
      </c>
      <c r="AW3080" s="2">
        <v>1800.1170591872401</v>
      </c>
      <c r="AX3080" s="2">
        <v>979.01696494695705</v>
      </c>
    </row>
    <row r="3081" spans="1:50" x14ac:dyDescent="0.25">
      <c r="A3081" s="2" t="s">
        <v>20547</v>
      </c>
      <c r="B3081" s="2">
        <v>224.12656620708799</v>
      </c>
      <c r="C3081" s="2">
        <v>4.3206499999999997</v>
      </c>
      <c r="D3081" s="2" t="s">
        <v>51</v>
      </c>
      <c r="E3081" s="2" t="s">
        <v>20548</v>
      </c>
      <c r="F3081" s="2">
        <v>201136</v>
      </c>
      <c r="G3081" s="3" t="str">
        <f>HYPERLINK("https://cloud.oebiotech.com/#/lm/network/201136", "https://cloud.oebiotech.com/#/lm/network/201136")</f>
        <v>https://cloud.oebiotech.com/#/lm/network/201136</v>
      </c>
      <c r="H3081" s="2" t="s">
        <v>20549</v>
      </c>
      <c r="I3081" s="2"/>
      <c r="J3081" s="2"/>
      <c r="K3081" s="2">
        <v>20977</v>
      </c>
      <c r="L3081" s="2"/>
      <c r="M3081" s="2"/>
      <c r="N3081" s="2"/>
      <c r="O3081" s="2"/>
      <c r="P3081" s="2"/>
      <c r="Q3081" s="2"/>
      <c r="R3081" s="2"/>
      <c r="S3081" s="2" t="s">
        <v>20550</v>
      </c>
      <c r="T3081" s="2" t="s">
        <v>20551</v>
      </c>
      <c r="U3081" s="2" t="s">
        <v>119</v>
      </c>
      <c r="V3081" s="2" t="s">
        <v>120</v>
      </c>
      <c r="W3081" s="2" t="s">
        <v>3243</v>
      </c>
      <c r="X3081" s="2" t="s">
        <v>147</v>
      </c>
      <c r="Y3081" s="2">
        <v>38.6</v>
      </c>
      <c r="Z3081" s="2">
        <v>0</v>
      </c>
      <c r="AA3081" s="2" t="s">
        <v>395</v>
      </c>
      <c r="AB3081" s="2" t="s">
        <v>20552</v>
      </c>
      <c r="AC3081" s="2">
        <v>-3.4429267306729998</v>
      </c>
      <c r="AD3081" s="2"/>
      <c r="AE3081" s="2">
        <v>0.193185327517091</v>
      </c>
      <c r="AF3081" s="2">
        <v>2277.3096679970299</v>
      </c>
      <c r="AG3081" s="2">
        <v>69.260782970435002</v>
      </c>
      <c r="AH3081" s="5">
        <v>32.880218362087099</v>
      </c>
      <c r="AI3081" s="5">
        <v>5.0391479750764896</v>
      </c>
      <c r="AJ3081" s="5" t="s">
        <v>139</v>
      </c>
      <c r="AK3081" s="2">
        <v>0.23779316428109401</v>
      </c>
      <c r="AL3081" s="2">
        <v>0.56163755472588195</v>
      </c>
      <c r="AM3081" s="2">
        <v>220.70792753254099</v>
      </c>
      <c r="AN3081" s="2">
        <v>12.063267541517</v>
      </c>
      <c r="AO3081" s="2">
        <v>2502.8562412308102</v>
      </c>
      <c r="AP3081" s="2">
        <v>8.559877937157E-6</v>
      </c>
      <c r="AQ3081" s="2">
        <v>10836.603367972401</v>
      </c>
      <c r="AR3081" s="2">
        <v>91.627195145023904</v>
      </c>
      <c r="AS3081" s="2">
        <v>403.19967022986998</v>
      </c>
      <c r="AT3081" s="2">
        <v>8.559877937157E-6</v>
      </c>
      <c r="AU3081" s="2">
        <v>12.364993353228099</v>
      </c>
      <c r="AV3081" s="2">
        <v>8.559877937157E-6</v>
      </c>
      <c r="AW3081" s="2">
        <v>8.559877937157E-6</v>
      </c>
      <c r="AX3081" s="2">
        <v>8.559877937157E-6</v>
      </c>
    </row>
    <row r="3082" spans="1:50" x14ac:dyDescent="0.25">
      <c r="A3082" s="2" t="s">
        <v>20553</v>
      </c>
      <c r="B3082" s="2">
        <v>464.962434627123</v>
      </c>
      <c r="C3082" s="2">
        <v>5.4322166666666698</v>
      </c>
      <c r="D3082" s="2" t="s">
        <v>51</v>
      </c>
      <c r="E3082" s="2" t="s">
        <v>20554</v>
      </c>
      <c r="F3082" s="2">
        <v>210936</v>
      </c>
      <c r="G3082" s="3" t="str">
        <f>HYPERLINK("https://cloud.oebiotech.com/#/lm/network/210936", "https://cloud.oebiotech.com/#/lm/network/210936")</f>
        <v>https://cloud.oebiotech.com/#/lm/network/210936</v>
      </c>
      <c r="H3082" s="2" t="s">
        <v>20555</v>
      </c>
      <c r="I3082" s="2"/>
      <c r="J3082" s="2"/>
      <c r="K3082" s="2">
        <v>3348128</v>
      </c>
      <c r="L3082" s="2"/>
      <c r="M3082" s="2"/>
      <c r="N3082" s="2"/>
      <c r="O3082" s="2"/>
      <c r="P3082" s="2"/>
      <c r="Q3082" s="2"/>
      <c r="R3082" s="2"/>
      <c r="S3082" s="2" t="s">
        <v>20556</v>
      </c>
      <c r="T3082" s="2" t="s">
        <v>20557</v>
      </c>
      <c r="U3082" s="2" t="s">
        <v>295</v>
      </c>
      <c r="V3082" s="2" t="s">
        <v>20558</v>
      </c>
      <c r="W3082" s="2" t="s">
        <v>240</v>
      </c>
      <c r="X3082" s="2" t="s">
        <v>147</v>
      </c>
      <c r="Y3082" s="2">
        <v>37.200000000000003</v>
      </c>
      <c r="Z3082" s="2">
        <v>0</v>
      </c>
      <c r="AA3082" s="2" t="s">
        <v>379</v>
      </c>
      <c r="AB3082" s="2" t="s">
        <v>20559</v>
      </c>
      <c r="AC3082" s="2">
        <v>1.0634391639265799</v>
      </c>
      <c r="AD3082" s="2"/>
      <c r="AE3082" s="2">
        <v>0.193131097007955</v>
      </c>
      <c r="AF3082" s="2">
        <v>1668.44971333175</v>
      </c>
      <c r="AG3082" s="2">
        <v>3097.4397702177698</v>
      </c>
      <c r="AH3082" s="4">
        <v>0.53865444919190397</v>
      </c>
      <c r="AI3082" s="4">
        <v>-0.89256802470473595</v>
      </c>
      <c r="AJ3082" s="4" t="s">
        <v>62</v>
      </c>
      <c r="AK3082" s="2">
        <v>4.0716082972880499E-2</v>
      </c>
      <c r="AL3082" s="2">
        <v>0.29155452793099101</v>
      </c>
      <c r="AM3082" s="2">
        <v>1932.7004382671801</v>
      </c>
      <c r="AN3082" s="2">
        <v>1551.2493130861501</v>
      </c>
      <c r="AO3082" s="2">
        <v>1966.60215892985</v>
      </c>
      <c r="AP3082" s="2">
        <v>1725.7987447744999</v>
      </c>
      <c r="AQ3082" s="2">
        <v>548.73287947097106</v>
      </c>
      <c r="AR3082" s="2">
        <v>2285.6147454618599</v>
      </c>
      <c r="AS3082" s="2">
        <v>3056.74916401152</v>
      </c>
      <c r="AT3082" s="2">
        <v>5707.5032146643698</v>
      </c>
      <c r="AU3082" s="2">
        <v>2142.8750168798801</v>
      </c>
      <c r="AV3082" s="2">
        <v>2068.2763883466901</v>
      </c>
      <c r="AW3082" s="2">
        <v>2394.2577670307001</v>
      </c>
      <c r="AX3082" s="2">
        <v>3214.9770703734898</v>
      </c>
    </row>
    <row r="3083" spans="1:50" x14ac:dyDescent="0.25">
      <c r="A3083" s="2" t="s">
        <v>20560</v>
      </c>
      <c r="B3083" s="2">
        <v>484.32245727209198</v>
      </c>
      <c r="C3083" s="2">
        <v>9.5024499999999996</v>
      </c>
      <c r="D3083" s="2" t="s">
        <v>51</v>
      </c>
      <c r="E3083" s="2" t="s">
        <v>20561</v>
      </c>
      <c r="F3083" s="2">
        <v>257744</v>
      </c>
      <c r="G3083" s="3" t="str">
        <f>HYPERLINK("https://cloud.oebiotech.com/#/lm/network/257744", "https://cloud.oebiotech.com/#/lm/network/257744")</f>
        <v>https://cloud.oebiotech.com/#/lm/network/257744</v>
      </c>
      <c r="H3083" s="2" t="s">
        <v>20562</v>
      </c>
      <c r="I3083" s="2">
        <v>427</v>
      </c>
      <c r="J3083" s="2"/>
      <c r="K3083" s="2">
        <v>22833541</v>
      </c>
      <c r="L3083" s="2" t="s">
        <v>20563</v>
      </c>
      <c r="M3083" s="2" t="s">
        <v>2204</v>
      </c>
      <c r="N3083" s="2" t="s">
        <v>2205</v>
      </c>
      <c r="O3083" s="2"/>
      <c r="P3083" s="2"/>
      <c r="Q3083" s="2"/>
      <c r="R3083" s="2" t="s">
        <v>20564</v>
      </c>
      <c r="S3083" s="2" t="s">
        <v>20565</v>
      </c>
      <c r="T3083" s="2" t="s">
        <v>20566</v>
      </c>
      <c r="U3083" s="2" t="s">
        <v>56</v>
      </c>
      <c r="V3083" s="2" t="s">
        <v>344</v>
      </c>
      <c r="W3083" s="2" t="s">
        <v>345</v>
      </c>
      <c r="X3083" s="2" t="s">
        <v>147</v>
      </c>
      <c r="Y3083" s="2">
        <v>36.6</v>
      </c>
      <c r="Z3083" s="2">
        <v>0</v>
      </c>
      <c r="AA3083" s="2" t="s">
        <v>95</v>
      </c>
      <c r="AB3083" s="2" t="s">
        <v>20567</v>
      </c>
      <c r="AC3083" s="2">
        <v>-4.3704809154092104</v>
      </c>
      <c r="AD3083" s="2"/>
      <c r="AE3083" s="2">
        <v>0.19305533743962799</v>
      </c>
      <c r="AF3083" s="2">
        <v>2538.0209527993102</v>
      </c>
      <c r="AG3083" s="2">
        <v>4195.9784327946199</v>
      </c>
      <c r="AH3083" s="4">
        <v>0.60486987563206596</v>
      </c>
      <c r="AI3083" s="4">
        <v>-0.72530328303206804</v>
      </c>
      <c r="AJ3083" s="4" t="s">
        <v>62</v>
      </c>
      <c r="AK3083" s="2">
        <v>4.8179893401487102E-2</v>
      </c>
      <c r="AL3083" s="2">
        <v>0.30691247078395001</v>
      </c>
      <c r="AM3083" s="2">
        <v>4379.6734440139198</v>
      </c>
      <c r="AN3083" s="2">
        <v>2895.5002653701599</v>
      </c>
      <c r="AO3083" s="2">
        <v>1963.8203219822001</v>
      </c>
      <c r="AP3083" s="2">
        <v>2599.16415021579</v>
      </c>
      <c r="AQ3083" s="2">
        <v>1562.97663305735</v>
      </c>
      <c r="AR3083" s="2">
        <v>1826.9909021564599</v>
      </c>
      <c r="AS3083" s="2">
        <v>4213.1455928075902</v>
      </c>
      <c r="AT3083" s="2">
        <v>5073.77620527829</v>
      </c>
      <c r="AU3083" s="2">
        <v>4755.0947652248997</v>
      </c>
      <c r="AV3083" s="2">
        <v>1729.68485659003</v>
      </c>
      <c r="AW3083" s="2">
        <v>5986.9666048343997</v>
      </c>
      <c r="AX3083" s="2">
        <v>3417.2025720325</v>
      </c>
    </row>
    <row r="3084" spans="1:50" x14ac:dyDescent="0.25">
      <c r="A3084" s="2" t="s">
        <v>20568</v>
      </c>
      <c r="B3084" s="2">
        <v>229.070561597774</v>
      </c>
      <c r="C3084" s="2">
        <v>2.4178666666666699</v>
      </c>
      <c r="D3084" s="2" t="s">
        <v>51</v>
      </c>
      <c r="E3084" s="2" t="s">
        <v>20569</v>
      </c>
      <c r="F3084" s="2">
        <v>47624</v>
      </c>
      <c r="G3084" s="3" t="str">
        <f>HYPERLINK("https://cloud.oebiotech.com/#/lm/network/47624", "https://cloud.oebiotech.com/#/lm/network/47624")</f>
        <v>https://cloud.oebiotech.com/#/lm/network/47624</v>
      </c>
      <c r="H3084" s="2" t="s">
        <v>20570</v>
      </c>
      <c r="I3084" s="2">
        <v>326</v>
      </c>
      <c r="J3084" s="2"/>
      <c r="K3084" s="2">
        <v>587</v>
      </c>
      <c r="L3084" s="2" t="s">
        <v>20571</v>
      </c>
      <c r="M3084" s="2" t="s">
        <v>1194</v>
      </c>
      <c r="N3084" s="2" t="s">
        <v>1195</v>
      </c>
      <c r="O3084" s="2">
        <v>17287</v>
      </c>
      <c r="P3084" s="2"/>
      <c r="Q3084" s="2"/>
      <c r="R3084" s="2" t="s">
        <v>20572</v>
      </c>
      <c r="S3084" s="2" t="s">
        <v>20573</v>
      </c>
      <c r="T3084" s="2" t="s">
        <v>20574</v>
      </c>
      <c r="U3084" s="2" t="s">
        <v>103</v>
      </c>
      <c r="V3084" s="2" t="s">
        <v>104</v>
      </c>
      <c r="W3084" s="2" t="s">
        <v>105</v>
      </c>
      <c r="X3084" s="2" t="s">
        <v>147</v>
      </c>
      <c r="Y3084" s="2">
        <v>38.700000000000003</v>
      </c>
      <c r="Z3084" s="2">
        <v>0</v>
      </c>
      <c r="AA3084" s="2" t="s">
        <v>512</v>
      </c>
      <c r="AB3084" s="2" t="s">
        <v>20575</v>
      </c>
      <c r="AC3084" s="2">
        <v>4.4021196543938101</v>
      </c>
      <c r="AD3084" s="2"/>
      <c r="AE3084" s="2">
        <v>0.19304355537488799</v>
      </c>
      <c r="AF3084" s="2">
        <v>26.272920676568901</v>
      </c>
      <c r="AG3084" s="2">
        <v>1950.8016753235499</v>
      </c>
      <c r="AH3084" s="4">
        <v>1.34677558507896E-2</v>
      </c>
      <c r="AI3084" s="4">
        <v>-6.2143467170492297</v>
      </c>
      <c r="AJ3084" s="4" t="s">
        <v>62</v>
      </c>
      <c r="AK3084" s="2">
        <v>0.34550728273477599</v>
      </c>
      <c r="AL3084" s="2">
        <v>0.63919755662431299</v>
      </c>
      <c r="AM3084" s="2">
        <v>8.559877937157E-6</v>
      </c>
      <c r="AN3084" s="2">
        <v>58.175685679521699</v>
      </c>
      <c r="AO3084" s="2">
        <v>77.955076453927106</v>
      </c>
      <c r="AP3084" s="2">
        <v>8.559877937157E-6</v>
      </c>
      <c r="AQ3084" s="2">
        <v>8.559877937157E-6</v>
      </c>
      <c r="AR3084" s="2">
        <v>21.506736246330501</v>
      </c>
      <c r="AS3084" s="2">
        <v>8.559877937157E-6</v>
      </c>
      <c r="AT3084" s="2">
        <v>8.559877937157E-6</v>
      </c>
      <c r="AU3084" s="2">
        <v>8.559877937157E-6</v>
      </c>
      <c r="AV3084" s="2">
        <v>34.796069923862298</v>
      </c>
      <c r="AW3084" s="2">
        <v>8.559877937157E-6</v>
      </c>
      <c r="AX3084" s="2">
        <v>11670.013947777899</v>
      </c>
    </row>
    <row r="3085" spans="1:50" x14ac:dyDescent="0.25">
      <c r="A3085" s="2" t="s">
        <v>20576</v>
      </c>
      <c r="B3085" s="2">
        <v>419.35302336144201</v>
      </c>
      <c r="C3085" s="2">
        <v>13.710283333333299</v>
      </c>
      <c r="D3085" s="2" t="s">
        <v>51</v>
      </c>
      <c r="E3085" s="2" t="s">
        <v>20577</v>
      </c>
      <c r="F3085" s="2">
        <v>46376</v>
      </c>
      <c r="G3085" s="3" t="str">
        <f>HYPERLINK("https://cloud.oebiotech.com/#/lm/network/46376", "https://cloud.oebiotech.com/#/lm/network/46376")</f>
        <v>https://cloud.oebiotech.com/#/lm/network/46376</v>
      </c>
      <c r="H3085" s="2"/>
      <c r="I3085" s="2">
        <v>84798</v>
      </c>
      <c r="J3085" s="2" t="s">
        <v>20578</v>
      </c>
      <c r="K3085" s="2">
        <v>5284226</v>
      </c>
      <c r="L3085" s="2"/>
      <c r="M3085" s="2"/>
      <c r="N3085" s="2"/>
      <c r="O3085" s="2"/>
      <c r="P3085" s="2"/>
      <c r="Q3085" s="2"/>
      <c r="R3085" s="2"/>
      <c r="S3085" s="2" t="s">
        <v>20579</v>
      </c>
      <c r="T3085" s="2" t="s">
        <v>20580</v>
      </c>
      <c r="U3085" s="2" t="s">
        <v>56</v>
      </c>
      <c r="V3085" s="2" t="s">
        <v>283</v>
      </c>
      <c r="W3085" s="2" t="s">
        <v>2042</v>
      </c>
      <c r="X3085" s="2" t="s">
        <v>83</v>
      </c>
      <c r="Y3085" s="2">
        <v>41.1</v>
      </c>
      <c r="Z3085" s="2">
        <v>0</v>
      </c>
      <c r="AA3085" s="2" t="s">
        <v>259</v>
      </c>
      <c r="AB3085" s="2" t="s">
        <v>9651</v>
      </c>
      <c r="AC3085" s="2">
        <v>2.5137059308728098</v>
      </c>
      <c r="AD3085" s="2"/>
      <c r="AE3085" s="2">
        <v>0.19299336034689299</v>
      </c>
      <c r="AF3085" s="2">
        <v>12356.2752746354</v>
      </c>
      <c r="AG3085" s="2">
        <v>10186.8812251994</v>
      </c>
      <c r="AH3085" s="5">
        <v>1.2129595900332599</v>
      </c>
      <c r="AI3085" s="5">
        <v>0.27853148761445901</v>
      </c>
      <c r="AJ3085" s="5" t="s">
        <v>139</v>
      </c>
      <c r="AK3085" s="2">
        <v>0.51113312338602301</v>
      </c>
      <c r="AL3085" s="2">
        <v>0.74486925712882102</v>
      </c>
      <c r="AM3085" s="2">
        <v>15991.5070970448</v>
      </c>
      <c r="AN3085" s="2">
        <v>12768.3900862314</v>
      </c>
      <c r="AO3085" s="2">
        <v>13928.014827569899</v>
      </c>
      <c r="AP3085" s="2">
        <v>16556.142715164598</v>
      </c>
      <c r="AQ3085" s="2">
        <v>7382.1905872451898</v>
      </c>
      <c r="AR3085" s="2">
        <v>7511.40633455642</v>
      </c>
      <c r="AS3085" s="2">
        <v>2182.6733521760698</v>
      </c>
      <c r="AT3085" s="2">
        <v>15688.726196408999</v>
      </c>
      <c r="AU3085" s="2">
        <v>5584.1575540936601</v>
      </c>
      <c r="AV3085" s="2">
        <v>17292.154553159398</v>
      </c>
      <c r="AW3085" s="2">
        <v>4874.8875540137897</v>
      </c>
      <c r="AX3085" s="2">
        <v>15498.688141344401</v>
      </c>
    </row>
    <row r="3086" spans="1:50" x14ac:dyDescent="0.25">
      <c r="A3086" s="2" t="s">
        <v>20581</v>
      </c>
      <c r="B3086" s="2">
        <v>249.14919904765699</v>
      </c>
      <c r="C3086" s="2">
        <v>6.0442833333333299</v>
      </c>
      <c r="D3086" s="2" t="s">
        <v>51</v>
      </c>
      <c r="E3086" s="2" t="s">
        <v>20582</v>
      </c>
      <c r="F3086" s="2">
        <v>35499</v>
      </c>
      <c r="G3086" s="3" t="str">
        <f>HYPERLINK("https://cloud.oebiotech.com/#/lm/network/35499", "https://cloud.oebiotech.com/#/lm/network/35499")</f>
        <v>https://cloud.oebiotech.com/#/lm/network/35499</v>
      </c>
      <c r="H3086" s="2" t="s">
        <v>20583</v>
      </c>
      <c r="I3086" s="2">
        <v>53367</v>
      </c>
      <c r="J3086" s="2" t="s">
        <v>20584</v>
      </c>
      <c r="K3086" s="2">
        <v>5282224</v>
      </c>
      <c r="L3086" s="2" t="s">
        <v>20585</v>
      </c>
      <c r="M3086" s="2"/>
      <c r="N3086" s="2"/>
      <c r="O3086" s="2">
        <v>31157</v>
      </c>
      <c r="P3086" s="2"/>
      <c r="Q3086" s="2"/>
      <c r="R3086" s="2"/>
      <c r="S3086" s="2" t="s">
        <v>20586</v>
      </c>
      <c r="T3086" s="2" t="s">
        <v>20587</v>
      </c>
      <c r="U3086" s="2" t="s">
        <v>56</v>
      </c>
      <c r="V3086" s="2" t="s">
        <v>177</v>
      </c>
      <c r="W3086" s="2" t="s">
        <v>1996</v>
      </c>
      <c r="X3086" s="2" t="s">
        <v>83</v>
      </c>
      <c r="Y3086" s="2">
        <v>53.6</v>
      </c>
      <c r="Z3086" s="2">
        <v>31.2</v>
      </c>
      <c r="AA3086" s="2" t="s">
        <v>259</v>
      </c>
      <c r="AB3086" s="2" t="s">
        <v>18001</v>
      </c>
      <c r="AC3086" s="2">
        <v>2.7327805897128599</v>
      </c>
      <c r="AD3086" s="2"/>
      <c r="AE3086" s="2">
        <v>0.19298700149196399</v>
      </c>
      <c r="AF3086" s="2">
        <v>2759.61478894626</v>
      </c>
      <c r="AG3086" s="2">
        <v>1848.9184750499501</v>
      </c>
      <c r="AH3086" s="5">
        <v>1.49255623013433</v>
      </c>
      <c r="AI3086" s="5">
        <v>0.57778528419214004</v>
      </c>
      <c r="AJ3086" s="5" t="s">
        <v>139</v>
      </c>
      <c r="AK3086" s="2">
        <v>4.5565356456373399E-2</v>
      </c>
      <c r="AL3086" s="2">
        <v>0.302258682996077</v>
      </c>
      <c r="AM3086" s="2">
        <v>2916.4172852327401</v>
      </c>
      <c r="AN3086" s="2">
        <v>4425.0036339081698</v>
      </c>
      <c r="AO3086" s="2">
        <v>2281.9723916677099</v>
      </c>
      <c r="AP3086" s="2">
        <v>2354.8453982759902</v>
      </c>
      <c r="AQ3086" s="2">
        <v>2282.4182036359298</v>
      </c>
      <c r="AR3086" s="2">
        <v>2297.0318209570401</v>
      </c>
      <c r="AS3086" s="2">
        <v>2356.7361582531998</v>
      </c>
      <c r="AT3086" s="2">
        <v>1736.0425598064901</v>
      </c>
      <c r="AU3086" s="2">
        <v>2247.1631067583698</v>
      </c>
      <c r="AV3086" s="2">
        <v>1315.6829611140799</v>
      </c>
      <c r="AW3086" s="2">
        <v>1274.3854841196601</v>
      </c>
      <c r="AX3086" s="2">
        <v>2163.50058024789</v>
      </c>
    </row>
    <row r="3087" spans="1:50" x14ac:dyDescent="0.25">
      <c r="A3087" s="2" t="s">
        <v>20588</v>
      </c>
      <c r="B3087" s="2">
        <v>277.21689622895201</v>
      </c>
      <c r="C3087" s="2">
        <v>11.920066666666701</v>
      </c>
      <c r="D3087" s="2" t="s">
        <v>51</v>
      </c>
      <c r="E3087" s="2" t="s">
        <v>20589</v>
      </c>
      <c r="F3087" s="2">
        <v>1421</v>
      </c>
      <c r="G3087" s="3" t="str">
        <f>HYPERLINK("https://cloud.oebiotech.com/#/lm/network/1421", "https://cloud.oebiotech.com/#/lm/network/1421")</f>
        <v>https://cloud.oebiotech.com/#/lm/network/1421</v>
      </c>
      <c r="H3087" s="2"/>
      <c r="I3087" s="2"/>
      <c r="J3087" s="2" t="s">
        <v>20590</v>
      </c>
      <c r="K3087" s="2">
        <v>102095959</v>
      </c>
      <c r="L3087" s="2"/>
      <c r="M3087" s="2"/>
      <c r="N3087" s="2"/>
      <c r="O3087" s="2"/>
      <c r="P3087" s="2"/>
      <c r="Q3087" s="2"/>
      <c r="R3087" s="2"/>
      <c r="S3087" s="2" t="s">
        <v>20591</v>
      </c>
      <c r="T3087" s="2" t="s">
        <v>20592</v>
      </c>
      <c r="U3087" s="2" t="s">
        <v>56</v>
      </c>
      <c r="V3087" s="2" t="s">
        <v>145</v>
      </c>
      <c r="W3087" s="2" t="s">
        <v>231</v>
      </c>
      <c r="X3087" s="2" t="s">
        <v>83</v>
      </c>
      <c r="Y3087" s="2">
        <v>55.3</v>
      </c>
      <c r="Z3087" s="2">
        <v>0</v>
      </c>
      <c r="AA3087" s="2" t="s">
        <v>259</v>
      </c>
      <c r="AB3087" s="2" t="s">
        <v>6435</v>
      </c>
      <c r="AC3087" s="2">
        <v>2.4968775340535601</v>
      </c>
      <c r="AD3087" s="2"/>
      <c r="AE3087" s="2">
        <v>0.192871666546306</v>
      </c>
      <c r="AF3087" s="2">
        <v>2724.8760579745499</v>
      </c>
      <c r="AG3087" s="2">
        <v>1474.4793308217099</v>
      </c>
      <c r="AH3087" s="5">
        <v>1.8480259444911999</v>
      </c>
      <c r="AI3087" s="5">
        <v>0.88598501093473303</v>
      </c>
      <c r="AJ3087" s="5" t="s">
        <v>139</v>
      </c>
      <c r="AK3087" s="2">
        <v>4.0406913996756999E-2</v>
      </c>
      <c r="AL3087" s="2">
        <v>0.29155452793099101</v>
      </c>
      <c r="AM3087" s="2">
        <v>1938.5581370612399</v>
      </c>
      <c r="AN3087" s="2">
        <v>4195.9749089885299</v>
      </c>
      <c r="AO3087" s="2">
        <v>1970.2634849624301</v>
      </c>
      <c r="AP3087" s="2">
        <v>3045.58114307387</v>
      </c>
      <c r="AQ3087" s="2">
        <v>3435.31617272535</v>
      </c>
      <c r="AR3087" s="2">
        <v>1763.5625010358799</v>
      </c>
      <c r="AS3087" s="2">
        <v>758.04315225759501</v>
      </c>
      <c r="AT3087" s="2">
        <v>1673.9205296241801</v>
      </c>
      <c r="AU3087" s="2">
        <v>613.71323058867495</v>
      </c>
      <c r="AV3087" s="2">
        <v>882.53438446052701</v>
      </c>
      <c r="AW3087" s="2">
        <v>2483.70363910882</v>
      </c>
      <c r="AX3087" s="2">
        <v>2434.96104889049</v>
      </c>
    </row>
    <row r="3088" spans="1:50" x14ac:dyDescent="0.25">
      <c r="A3088" s="2" t="s">
        <v>20593</v>
      </c>
      <c r="B3088" s="2">
        <v>389.26904148815601</v>
      </c>
      <c r="C3088" s="2">
        <v>12.698066666666699</v>
      </c>
      <c r="D3088" s="2" t="s">
        <v>51</v>
      </c>
      <c r="E3088" s="2" t="s">
        <v>20594</v>
      </c>
      <c r="F3088" s="2">
        <v>35036</v>
      </c>
      <c r="G3088" s="3" t="str">
        <f>HYPERLINK("https://cloud.oebiotech.com/#/lm/network/35036", "https://cloud.oebiotech.com/#/lm/network/35036")</f>
        <v>https://cloud.oebiotech.com/#/lm/network/35036</v>
      </c>
      <c r="H3088" s="2"/>
      <c r="I3088" s="2"/>
      <c r="J3088" s="2" t="s">
        <v>20595</v>
      </c>
      <c r="K3088" s="2">
        <v>132555863</v>
      </c>
      <c r="L3088" s="2"/>
      <c r="M3088" s="2"/>
      <c r="N3088" s="2"/>
      <c r="O3088" s="2"/>
      <c r="P3088" s="2"/>
      <c r="Q3088" s="2"/>
      <c r="R3088" s="2"/>
      <c r="S3088" s="2" t="s">
        <v>20596</v>
      </c>
      <c r="T3088" s="2" t="s">
        <v>20597</v>
      </c>
      <c r="U3088" s="2" t="s">
        <v>331</v>
      </c>
      <c r="V3088" s="2" t="s">
        <v>332</v>
      </c>
      <c r="W3088" s="2" t="s">
        <v>1207</v>
      </c>
      <c r="X3088" s="2" t="s">
        <v>83</v>
      </c>
      <c r="Y3088" s="2">
        <v>56.2</v>
      </c>
      <c r="Z3088" s="2">
        <v>0</v>
      </c>
      <c r="AA3088" s="2" t="s">
        <v>259</v>
      </c>
      <c r="AB3088" s="2" t="s">
        <v>5435</v>
      </c>
      <c r="AC3088" s="2">
        <v>1.0442022779272899</v>
      </c>
      <c r="AD3088" s="2"/>
      <c r="AE3088" s="2">
        <v>0.192860369100153</v>
      </c>
      <c r="AF3088" s="2">
        <v>13208.1804180456</v>
      </c>
      <c r="AG3088" s="2">
        <v>15675.306945800499</v>
      </c>
      <c r="AH3088" s="4">
        <v>0.84261064001583896</v>
      </c>
      <c r="AI3088" s="4">
        <v>-0.24706196132618499</v>
      </c>
      <c r="AJ3088" s="4" t="s">
        <v>62</v>
      </c>
      <c r="AK3088" s="2">
        <v>0.50562846787638305</v>
      </c>
      <c r="AL3088" s="2">
        <v>0.74196312845079004</v>
      </c>
      <c r="AM3088" s="2">
        <v>9958.6252337257192</v>
      </c>
      <c r="AN3088" s="2">
        <v>15390.885206397599</v>
      </c>
      <c r="AO3088" s="2">
        <v>6381.5901266495403</v>
      </c>
      <c r="AP3088" s="2">
        <v>18381.939263302502</v>
      </c>
      <c r="AQ3088" s="2">
        <v>14023.467781384799</v>
      </c>
      <c r="AR3088" s="2">
        <v>15112.5748968137</v>
      </c>
      <c r="AS3088" s="2">
        <v>8986.9723122096893</v>
      </c>
      <c r="AT3088" s="2">
        <v>26748.513104252401</v>
      </c>
      <c r="AU3088" s="2">
        <v>6638.9510599209598</v>
      </c>
      <c r="AV3088" s="2">
        <v>14096.9511737417</v>
      </c>
      <c r="AW3088" s="2">
        <v>15694.763919294301</v>
      </c>
      <c r="AX3088" s="2">
        <v>21885.690105383699</v>
      </c>
    </row>
    <row r="3089" spans="1:50" x14ac:dyDescent="0.25">
      <c r="A3089" s="2" t="s">
        <v>20598</v>
      </c>
      <c r="B3089" s="2">
        <v>301.12699065098502</v>
      </c>
      <c r="C3089" s="2">
        <v>5.0589333333333304</v>
      </c>
      <c r="D3089" s="2" t="s">
        <v>51</v>
      </c>
      <c r="E3089" s="2" t="s">
        <v>20599</v>
      </c>
      <c r="F3089" s="2">
        <v>61719</v>
      </c>
      <c r="G3089" s="3" t="str">
        <f>HYPERLINK("https://cloud.oebiotech.com/#/lm/network/61719", "https://cloud.oebiotech.com/#/lm/network/61719")</f>
        <v>https://cloud.oebiotech.com/#/lm/network/61719</v>
      </c>
      <c r="H3089" s="2" t="s">
        <v>20600</v>
      </c>
      <c r="I3089" s="2"/>
      <c r="J3089" s="2"/>
      <c r="K3089" s="2">
        <v>14917396</v>
      </c>
      <c r="L3089" s="2"/>
      <c r="M3089" s="2"/>
      <c r="N3089" s="2"/>
      <c r="O3089" s="2"/>
      <c r="P3089" s="2"/>
      <c r="Q3089" s="2"/>
      <c r="R3089" s="2" t="s">
        <v>20601</v>
      </c>
      <c r="S3089" s="2" t="s">
        <v>20602</v>
      </c>
      <c r="T3089" s="2" t="s">
        <v>20603</v>
      </c>
      <c r="U3089" s="2" t="s">
        <v>540</v>
      </c>
      <c r="V3089" s="2" t="s">
        <v>9490</v>
      </c>
      <c r="W3089" s="2" t="s">
        <v>240</v>
      </c>
      <c r="X3089" s="2" t="s">
        <v>147</v>
      </c>
      <c r="Y3089" s="2">
        <v>39.700000000000003</v>
      </c>
      <c r="Z3089" s="2">
        <v>5.57</v>
      </c>
      <c r="AA3089" s="2" t="s">
        <v>218</v>
      </c>
      <c r="AB3089" s="2" t="s">
        <v>20604</v>
      </c>
      <c r="AC3089" s="2">
        <v>1.5592976151452</v>
      </c>
      <c r="AD3089" s="2"/>
      <c r="AE3089" s="2">
        <v>0.192680649019039</v>
      </c>
      <c r="AF3089" s="2">
        <v>1936.02821891757</v>
      </c>
      <c r="AG3089" s="2">
        <v>1015.38696818633</v>
      </c>
      <c r="AH3089" s="5">
        <v>1.90669003993194</v>
      </c>
      <c r="AI3089" s="5">
        <v>0.93107033174783005</v>
      </c>
      <c r="AJ3089" s="5" t="s">
        <v>139</v>
      </c>
      <c r="AK3089" s="2">
        <v>7.8538098720907099E-2</v>
      </c>
      <c r="AL3089" s="2">
        <v>0.36259246282337698</v>
      </c>
      <c r="AM3089" s="2">
        <v>2511.1774532949498</v>
      </c>
      <c r="AN3089" s="2">
        <v>3639.2510252731699</v>
      </c>
      <c r="AO3089" s="2">
        <v>960.71941816664605</v>
      </c>
      <c r="AP3089" s="2">
        <v>1141.6029259183099</v>
      </c>
      <c r="AQ3089" s="2">
        <v>1485.4770846465899</v>
      </c>
      <c r="AR3089" s="2">
        <v>1877.9414062057499</v>
      </c>
      <c r="AS3089" s="2">
        <v>1513.99203123077</v>
      </c>
      <c r="AT3089" s="2">
        <v>813.10434338904304</v>
      </c>
      <c r="AU3089" s="2">
        <v>1879.6270327592499</v>
      </c>
      <c r="AV3089" s="2">
        <v>460.42276072967798</v>
      </c>
      <c r="AW3089" s="2">
        <v>907.49504646119397</v>
      </c>
      <c r="AX3089" s="2">
        <v>517.68059454806598</v>
      </c>
    </row>
    <row r="3090" spans="1:50" x14ac:dyDescent="0.25">
      <c r="A3090" s="2" t="s">
        <v>20605</v>
      </c>
      <c r="B3090" s="2">
        <v>385.19125346095097</v>
      </c>
      <c r="C3090" s="2">
        <v>12.363666666666701</v>
      </c>
      <c r="D3090" s="2" t="s">
        <v>51</v>
      </c>
      <c r="E3090" s="2" t="s">
        <v>20606</v>
      </c>
      <c r="F3090" s="2">
        <v>204427</v>
      </c>
      <c r="G3090" s="3" t="str">
        <f>HYPERLINK("https://cloud.oebiotech.com/#/lm/network/204427", "https://cloud.oebiotech.com/#/lm/network/204427")</f>
        <v>https://cloud.oebiotech.com/#/lm/network/204427</v>
      </c>
      <c r="H3090" s="2" t="s">
        <v>20607</v>
      </c>
      <c r="I3090" s="2"/>
      <c r="J3090" s="2"/>
      <c r="K3090" s="2"/>
      <c r="L3090" s="2"/>
      <c r="M3090" s="2"/>
      <c r="N3090" s="2"/>
      <c r="O3090" s="2"/>
      <c r="P3090" s="2"/>
      <c r="Q3090" s="2"/>
      <c r="R3090" s="2"/>
      <c r="S3090" s="2" t="s">
        <v>20608</v>
      </c>
      <c r="T3090" s="2" t="s">
        <v>20609</v>
      </c>
      <c r="U3090" s="2" t="s">
        <v>119</v>
      </c>
      <c r="V3090" s="2" t="s">
        <v>120</v>
      </c>
      <c r="W3090" s="2" t="s">
        <v>1887</v>
      </c>
      <c r="X3090" s="2" t="s">
        <v>147</v>
      </c>
      <c r="Y3090" s="2">
        <v>37.299999999999997</v>
      </c>
      <c r="Z3090" s="2">
        <v>0</v>
      </c>
      <c r="AA3090" s="2" t="s">
        <v>163</v>
      </c>
      <c r="AB3090" s="2" t="s">
        <v>20610</v>
      </c>
      <c r="AC3090" s="2">
        <v>-0.63844477026222302</v>
      </c>
      <c r="AD3090" s="2"/>
      <c r="AE3090" s="2">
        <v>0.192610210083134</v>
      </c>
      <c r="AF3090" s="2">
        <v>958.33849901871895</v>
      </c>
      <c r="AG3090" s="2">
        <v>1986.3618053088701</v>
      </c>
      <c r="AH3090" s="4">
        <v>0.48245918566164803</v>
      </c>
      <c r="AI3090" s="4">
        <v>-1.05152119423535</v>
      </c>
      <c r="AJ3090" s="4" t="s">
        <v>62</v>
      </c>
      <c r="AK3090" s="2">
        <v>5.42751627949331E-2</v>
      </c>
      <c r="AL3090" s="2">
        <v>0.31944806275085003</v>
      </c>
      <c r="AM3090" s="2">
        <v>1608.5567093755401</v>
      </c>
      <c r="AN3090" s="2">
        <v>768.44219641487996</v>
      </c>
      <c r="AO3090" s="2">
        <v>296.37615183819099</v>
      </c>
      <c r="AP3090" s="2">
        <v>946.13839415447296</v>
      </c>
      <c r="AQ3090" s="2">
        <v>1338.7458035923901</v>
      </c>
      <c r="AR3090" s="2">
        <v>791.77173873683898</v>
      </c>
      <c r="AS3090" s="2">
        <v>1374.4483191561201</v>
      </c>
      <c r="AT3090" s="2">
        <v>1084.48781663419</v>
      </c>
      <c r="AU3090" s="2">
        <v>1265.4043346957999</v>
      </c>
      <c r="AV3090" s="2">
        <v>1876.1054667309299</v>
      </c>
      <c r="AW3090" s="2">
        <v>3911.99910329163</v>
      </c>
      <c r="AX3090" s="2">
        <v>2405.7257913445501</v>
      </c>
    </row>
    <row r="3091" spans="1:50" x14ac:dyDescent="0.25">
      <c r="A3091" s="2" t="s">
        <v>20611</v>
      </c>
      <c r="B3091" s="2">
        <v>178.07154393287499</v>
      </c>
      <c r="C3091" s="2">
        <v>0.71519999999999995</v>
      </c>
      <c r="D3091" s="2" t="s">
        <v>51</v>
      </c>
      <c r="E3091" s="2" t="s">
        <v>20612</v>
      </c>
      <c r="F3091" s="2">
        <v>205480</v>
      </c>
      <c r="G3091" s="3" t="str">
        <f>HYPERLINK("https://cloud.oebiotech.com/#/lm/network/205480", "https://cloud.oebiotech.com/#/lm/network/205480")</f>
        <v>https://cloud.oebiotech.com/#/lm/network/205480</v>
      </c>
      <c r="H3091" s="2" t="s">
        <v>20613</v>
      </c>
      <c r="I3091" s="2"/>
      <c r="J3091" s="2"/>
      <c r="K3091" s="2">
        <v>235915</v>
      </c>
      <c r="L3091" s="2"/>
      <c r="M3091" s="2"/>
      <c r="N3091" s="2"/>
      <c r="O3091" s="2"/>
      <c r="P3091" s="2"/>
      <c r="Q3091" s="2"/>
      <c r="R3091" s="2"/>
      <c r="S3091" s="2" t="s">
        <v>20614</v>
      </c>
      <c r="T3091" s="2" t="s">
        <v>20615</v>
      </c>
      <c r="U3091" s="2" t="s">
        <v>103</v>
      </c>
      <c r="V3091" s="2" t="s">
        <v>104</v>
      </c>
      <c r="W3091" s="2" t="s">
        <v>105</v>
      </c>
      <c r="X3091" s="2" t="s">
        <v>83</v>
      </c>
      <c r="Y3091" s="2">
        <v>45.8</v>
      </c>
      <c r="Z3091" s="2">
        <v>0</v>
      </c>
      <c r="AA3091" s="2" t="s">
        <v>156</v>
      </c>
      <c r="AB3091" s="2" t="s">
        <v>20616</v>
      </c>
      <c r="AC3091" s="2">
        <v>2.7940320225012898</v>
      </c>
      <c r="AD3091" s="2"/>
      <c r="AE3091" s="2">
        <v>0.192575771796242</v>
      </c>
      <c r="AF3091" s="2">
        <v>411.35262885854002</v>
      </c>
      <c r="AG3091" s="2">
        <v>4937.0098241654596</v>
      </c>
      <c r="AH3091" s="4">
        <v>8.3320196537805105E-2</v>
      </c>
      <c r="AI3091" s="4">
        <v>-3.58518994732629</v>
      </c>
      <c r="AJ3091" s="4" t="s">
        <v>62</v>
      </c>
      <c r="AK3091" s="2">
        <v>0.37597489774383402</v>
      </c>
      <c r="AL3091" s="2">
        <v>0.65729180444792201</v>
      </c>
      <c r="AM3091" s="2">
        <v>2041.3983062693501</v>
      </c>
      <c r="AN3091" s="2">
        <v>8.559877937157E-6</v>
      </c>
      <c r="AO3091" s="2">
        <v>8.559877937157E-6</v>
      </c>
      <c r="AP3091" s="2">
        <v>426.71743264238103</v>
      </c>
      <c r="AQ3091" s="2">
        <v>8.559877937157E-6</v>
      </c>
      <c r="AR3091" s="2">
        <v>8.559877937157E-6</v>
      </c>
      <c r="AS3091" s="2">
        <v>1.2333417138994101</v>
      </c>
      <c r="AT3091" s="2">
        <v>8.559877937157E-6</v>
      </c>
      <c r="AU3091" s="2">
        <v>29300.446643755298</v>
      </c>
      <c r="AV3091" s="2">
        <v>8.559877937157E-6</v>
      </c>
      <c r="AW3091" s="2">
        <v>320.378933843916</v>
      </c>
      <c r="AX3091" s="2">
        <v>8.559877937157E-6</v>
      </c>
    </row>
    <row r="3092" spans="1:50" x14ac:dyDescent="0.25">
      <c r="A3092" s="2" t="s">
        <v>20617</v>
      </c>
      <c r="B3092" s="2">
        <v>430.20853957332201</v>
      </c>
      <c r="C3092" s="2">
        <v>6.6032999999999999</v>
      </c>
      <c r="D3092" s="2" t="s">
        <v>51</v>
      </c>
      <c r="E3092" s="2" t="s">
        <v>20618</v>
      </c>
      <c r="F3092" s="2">
        <v>202758</v>
      </c>
      <c r="G3092" s="3" t="str">
        <f>HYPERLINK("https://cloud.oebiotech.com/#/lm/network/202758", "https://cloud.oebiotech.com/#/lm/network/202758")</f>
        <v>https://cloud.oebiotech.com/#/lm/network/202758</v>
      </c>
      <c r="H3092" s="2" t="s">
        <v>20619</v>
      </c>
      <c r="I3092" s="2"/>
      <c r="J3092" s="2"/>
      <c r="K3092" s="2">
        <v>10022985</v>
      </c>
      <c r="L3092" s="2"/>
      <c r="M3092" s="2"/>
      <c r="N3092" s="2"/>
      <c r="O3092" s="2"/>
      <c r="P3092" s="2"/>
      <c r="Q3092" s="2"/>
      <c r="R3092" s="2"/>
      <c r="S3092" s="2" t="s">
        <v>20620</v>
      </c>
      <c r="T3092" s="2" t="s">
        <v>20621</v>
      </c>
      <c r="U3092" s="2" t="s">
        <v>266</v>
      </c>
      <c r="V3092" s="2" t="s">
        <v>1393</v>
      </c>
      <c r="W3092" s="2" t="s">
        <v>19215</v>
      </c>
      <c r="X3092" s="2" t="s">
        <v>147</v>
      </c>
      <c r="Y3092" s="2">
        <v>40.700000000000003</v>
      </c>
      <c r="Z3092" s="2">
        <v>17.5</v>
      </c>
      <c r="AA3092" s="2" t="s">
        <v>218</v>
      </c>
      <c r="AB3092" s="2" t="s">
        <v>20622</v>
      </c>
      <c r="AC3092" s="2">
        <v>-2.7336814965024701</v>
      </c>
      <c r="AD3092" s="2"/>
      <c r="AE3092" s="2">
        <v>0.19251515452635001</v>
      </c>
      <c r="AF3092" s="2">
        <v>2196.51542452898</v>
      </c>
      <c r="AG3092" s="2">
        <v>1177.7356233361299</v>
      </c>
      <c r="AH3092" s="5">
        <v>1.8650326788171601</v>
      </c>
      <c r="AI3092" s="5">
        <v>0.89920090938368902</v>
      </c>
      <c r="AJ3092" s="5" t="s">
        <v>139</v>
      </c>
      <c r="AK3092" s="2">
        <v>6.1996216367811399E-2</v>
      </c>
      <c r="AL3092" s="2">
        <v>0.33514216909343297</v>
      </c>
      <c r="AM3092" s="2">
        <v>2390.0336082469798</v>
      </c>
      <c r="AN3092" s="2">
        <v>3344.3901223624398</v>
      </c>
      <c r="AO3092" s="2">
        <v>2223.1965723297999</v>
      </c>
      <c r="AP3092" s="2">
        <v>2348.3149944842498</v>
      </c>
      <c r="AQ3092" s="2">
        <v>1209.0133575349801</v>
      </c>
      <c r="AR3092" s="2">
        <v>1664.14389221541</v>
      </c>
      <c r="AS3092" s="2">
        <v>2431.9739455429199</v>
      </c>
      <c r="AT3092" s="2">
        <v>636.88679203242395</v>
      </c>
      <c r="AU3092" s="2">
        <v>2150.2749116755299</v>
      </c>
      <c r="AV3092" s="2">
        <v>8.559877937157E-6</v>
      </c>
      <c r="AW3092" s="2">
        <v>711.09517673457196</v>
      </c>
      <c r="AX3092" s="2">
        <v>1136.1829054714301</v>
      </c>
    </row>
    <row r="3093" spans="1:50" x14ac:dyDescent="0.25">
      <c r="A3093" s="2" t="s">
        <v>20623</v>
      </c>
      <c r="B3093" s="2">
        <v>209.08144729562099</v>
      </c>
      <c r="C3093" s="2">
        <v>5.8543500000000002</v>
      </c>
      <c r="D3093" s="2" t="s">
        <v>51</v>
      </c>
      <c r="E3093" s="2" t="s">
        <v>20624</v>
      </c>
      <c r="F3093" s="2">
        <v>295917</v>
      </c>
      <c r="G3093" s="3" t="str">
        <f>HYPERLINK("https://cloud.oebiotech.com/#/lm/network/295917", "https://cloud.oebiotech.com/#/lm/network/295917")</f>
        <v>https://cloud.oebiotech.com/#/lm/network/295917</v>
      </c>
      <c r="H3093" s="2"/>
      <c r="I3093" s="2">
        <v>320248</v>
      </c>
      <c r="J3093" s="2"/>
      <c r="K3093" s="2">
        <v>10194</v>
      </c>
      <c r="L3093" s="2"/>
      <c r="M3093" s="2"/>
      <c r="N3093" s="2"/>
      <c r="O3093" s="2"/>
      <c r="P3093" s="2"/>
      <c r="Q3093" s="2"/>
      <c r="R3093" s="2"/>
      <c r="S3093" s="2" t="s">
        <v>20625</v>
      </c>
      <c r="T3093" s="2" t="s">
        <v>20626</v>
      </c>
      <c r="U3093" s="2" t="s">
        <v>610</v>
      </c>
      <c r="V3093" s="2" t="s">
        <v>611</v>
      </c>
      <c r="W3093" s="2" t="s">
        <v>1122</v>
      </c>
      <c r="X3093" s="2" t="s">
        <v>147</v>
      </c>
      <c r="Y3093" s="2">
        <v>38.799999999999997</v>
      </c>
      <c r="Z3093" s="2">
        <v>0</v>
      </c>
      <c r="AA3093" s="2" t="s">
        <v>218</v>
      </c>
      <c r="AB3093" s="2" t="s">
        <v>20627</v>
      </c>
      <c r="AC3093" s="2">
        <v>-2.9570167646556298</v>
      </c>
      <c r="AD3093" s="2"/>
      <c r="AE3093" s="2">
        <v>0.19245686776124399</v>
      </c>
      <c r="AF3093" s="2">
        <v>1584.5055706708999</v>
      </c>
      <c r="AG3093" s="2">
        <v>630.20136632814899</v>
      </c>
      <c r="AH3093" s="5">
        <v>2.5142845689195901</v>
      </c>
      <c r="AI3093" s="5">
        <v>1.3301479444820501</v>
      </c>
      <c r="AJ3093" s="5" t="s">
        <v>139</v>
      </c>
      <c r="AK3093" s="2">
        <v>6.6072690129524603E-2</v>
      </c>
      <c r="AL3093" s="2">
        <v>0.34192828169447498</v>
      </c>
      <c r="AM3093" s="2">
        <v>1944.38634010442</v>
      </c>
      <c r="AN3093" s="2">
        <v>3554.5051143972701</v>
      </c>
      <c r="AO3093" s="2">
        <v>1032.4261006271799</v>
      </c>
      <c r="AP3093" s="2">
        <v>336.73125078943099</v>
      </c>
      <c r="AQ3093" s="2">
        <v>1032.5553622564701</v>
      </c>
      <c r="AR3093" s="2">
        <v>1606.42925585065</v>
      </c>
      <c r="AS3093" s="2">
        <v>991.70626455983597</v>
      </c>
      <c r="AT3093" s="2">
        <v>337.51999414505002</v>
      </c>
      <c r="AU3093" s="2">
        <v>622.85456255575798</v>
      </c>
      <c r="AV3093" s="2">
        <v>733.97382537701799</v>
      </c>
      <c r="AW3093" s="2">
        <v>513.19678657372003</v>
      </c>
      <c r="AX3093" s="2">
        <v>581.95676475750997</v>
      </c>
    </row>
    <row r="3094" spans="1:50" x14ac:dyDescent="0.25">
      <c r="A3094" s="2" t="s">
        <v>20628</v>
      </c>
      <c r="B3094" s="2">
        <v>239.164681144572</v>
      </c>
      <c r="C3094" s="2">
        <v>10.571666666666699</v>
      </c>
      <c r="D3094" s="2" t="s">
        <v>51</v>
      </c>
      <c r="E3094" s="2" t="s">
        <v>20629</v>
      </c>
      <c r="F3094" s="2">
        <v>1541</v>
      </c>
      <c r="G3094" s="3" t="str">
        <f>HYPERLINK("https://cloud.oebiotech.com/#/lm/network/1541", "https://cloud.oebiotech.com/#/lm/network/1541")</f>
        <v>https://cloud.oebiotech.com/#/lm/network/1541</v>
      </c>
      <c r="H3094" s="2"/>
      <c r="I3094" s="2"/>
      <c r="J3094" s="2" t="s">
        <v>20630</v>
      </c>
      <c r="K3094" s="2"/>
      <c r="L3094" s="2"/>
      <c r="M3094" s="2"/>
      <c r="N3094" s="2"/>
      <c r="O3094" s="2"/>
      <c r="P3094" s="2"/>
      <c r="Q3094" s="2"/>
      <c r="R3094" s="2"/>
      <c r="S3094" s="2" t="s">
        <v>20631</v>
      </c>
      <c r="T3094" s="2" t="s">
        <v>20632</v>
      </c>
      <c r="U3094" s="2" t="s">
        <v>56</v>
      </c>
      <c r="V3094" s="2" t="s">
        <v>145</v>
      </c>
      <c r="W3094" s="2" t="s">
        <v>231</v>
      </c>
      <c r="X3094" s="2" t="s">
        <v>59</v>
      </c>
      <c r="Y3094" s="2">
        <v>49.5</v>
      </c>
      <c r="Z3094" s="2">
        <v>55.9</v>
      </c>
      <c r="AA3094" s="2" t="s">
        <v>259</v>
      </c>
      <c r="AB3094" s="2" t="s">
        <v>10230</v>
      </c>
      <c r="AC3094" s="2">
        <v>2.1420683760746502</v>
      </c>
      <c r="AD3094" s="2"/>
      <c r="AE3094" s="2">
        <v>0.19243275785880201</v>
      </c>
      <c r="AF3094" s="2">
        <v>4773.0485629233399</v>
      </c>
      <c r="AG3094" s="2">
        <v>6282.8349360965103</v>
      </c>
      <c r="AH3094" s="4">
        <v>0.759696635590559</v>
      </c>
      <c r="AI3094" s="4">
        <v>-0.39650466278086399</v>
      </c>
      <c r="AJ3094" s="4" t="s">
        <v>62</v>
      </c>
      <c r="AK3094" s="2">
        <v>0.39255110678455002</v>
      </c>
      <c r="AL3094" s="2">
        <v>0.66541006670828395</v>
      </c>
      <c r="AM3094" s="2">
        <v>4432.8976877613604</v>
      </c>
      <c r="AN3094" s="2">
        <v>4211.8362950726096</v>
      </c>
      <c r="AO3094" s="2">
        <v>6137.3662312527504</v>
      </c>
      <c r="AP3094" s="2">
        <v>3512.6308694937102</v>
      </c>
      <c r="AQ3094" s="2">
        <v>5263.3194281121396</v>
      </c>
      <c r="AR3094" s="2">
        <v>5080.2408658474797</v>
      </c>
      <c r="AS3094" s="2">
        <v>4571.0646581894398</v>
      </c>
      <c r="AT3094" s="2">
        <v>2984.3827298799301</v>
      </c>
      <c r="AU3094" s="2">
        <v>3503.0526720324201</v>
      </c>
      <c r="AV3094" s="2">
        <v>11901.897561301999</v>
      </c>
      <c r="AW3094" s="2">
        <v>10971.181807851401</v>
      </c>
      <c r="AX3094" s="2">
        <v>3765.4301873238701</v>
      </c>
    </row>
    <row r="3095" spans="1:50" x14ac:dyDescent="0.25">
      <c r="A3095" s="2" t="s">
        <v>20633</v>
      </c>
      <c r="B3095" s="2">
        <v>102.03</v>
      </c>
      <c r="C3095" s="2">
        <v>9.2870000000000008</v>
      </c>
      <c r="D3095" s="2" t="s">
        <v>125</v>
      </c>
      <c r="E3095" s="2" t="s">
        <v>20634</v>
      </c>
      <c r="F3095" s="2">
        <v>2496</v>
      </c>
      <c r="G3095" s="3" t="str">
        <f>HYPERLINK("https://cloud.oebiotech.com/#/lm/network/2496", "https://cloud.oebiotech.com/#/lm/network/2496")</f>
        <v>https://cloud.oebiotech.com/#/lm/network/2496</v>
      </c>
      <c r="H3095" s="2" t="s">
        <v>20635</v>
      </c>
      <c r="I3095" s="2">
        <v>5472</v>
      </c>
      <c r="J3095" s="2" t="s">
        <v>20636</v>
      </c>
      <c r="K3095" s="2">
        <v>64956</v>
      </c>
      <c r="L3095" s="2" t="s">
        <v>20637</v>
      </c>
      <c r="M3095" s="2"/>
      <c r="N3095" s="2"/>
      <c r="O3095" s="2">
        <v>27389</v>
      </c>
      <c r="P3095" s="2"/>
      <c r="Q3095" s="2"/>
      <c r="R3095" s="2" t="s">
        <v>20638</v>
      </c>
      <c r="S3095" s="2" t="s">
        <v>20639</v>
      </c>
      <c r="T3095" s="2" t="s">
        <v>20640</v>
      </c>
      <c r="U3095" s="2" t="s">
        <v>103</v>
      </c>
      <c r="V3095" s="2" t="s">
        <v>104</v>
      </c>
      <c r="W3095" s="2" t="s">
        <v>105</v>
      </c>
      <c r="X3095" s="2" t="s">
        <v>83</v>
      </c>
      <c r="Y3095" s="2">
        <v>82</v>
      </c>
      <c r="Z3095" s="2">
        <v>70.099999999999994</v>
      </c>
      <c r="AA3095" s="2"/>
      <c r="AB3095" s="2" t="s">
        <v>12676</v>
      </c>
      <c r="AC3095" s="2"/>
      <c r="AD3095" s="2">
        <v>312992.67338470701</v>
      </c>
      <c r="AE3095" s="2">
        <v>0.19237683150776699</v>
      </c>
      <c r="AF3095" s="2">
        <v>130374.50224602</v>
      </c>
      <c r="AG3095" s="2">
        <v>158991.88231101001</v>
      </c>
      <c r="AH3095" s="4">
        <v>0.82000728811418</v>
      </c>
      <c r="AI3095" s="4">
        <v>-0.28629136262071497</v>
      </c>
      <c r="AJ3095" s="4" t="s">
        <v>62</v>
      </c>
      <c r="AK3095" s="2">
        <v>0.54769869727599196</v>
      </c>
      <c r="AL3095" s="2">
        <v>0.77054320949467303</v>
      </c>
      <c r="AM3095" s="2">
        <v>34528.957228065898</v>
      </c>
      <c r="AN3095" s="2">
        <v>104365.294368585</v>
      </c>
      <c r="AO3095" s="2">
        <v>139167.341952555</v>
      </c>
      <c r="AP3095" s="2">
        <v>233510.72508662401</v>
      </c>
      <c r="AQ3095" s="2">
        <v>169379.14042242401</v>
      </c>
      <c r="AR3095" s="2">
        <v>101295.554417867</v>
      </c>
      <c r="AS3095" s="2">
        <v>175628.30133454001</v>
      </c>
      <c r="AT3095" s="2">
        <v>238221.55168565101</v>
      </c>
      <c r="AU3095" s="2">
        <v>34851.785259923097</v>
      </c>
      <c r="AV3095" s="2">
        <v>61868.019844433198</v>
      </c>
      <c r="AW3095" s="2">
        <v>196718.36689169699</v>
      </c>
      <c r="AX3095" s="2">
        <v>246663.26884981501</v>
      </c>
    </row>
    <row r="3096" spans="1:50" x14ac:dyDescent="0.25">
      <c r="A3096" s="2" t="s">
        <v>20641</v>
      </c>
      <c r="B3096" s="2">
        <v>554.30237685523798</v>
      </c>
      <c r="C3096" s="2">
        <v>10.2658666666667</v>
      </c>
      <c r="D3096" s="2" t="s">
        <v>51</v>
      </c>
      <c r="E3096" s="2" t="s">
        <v>20642</v>
      </c>
      <c r="F3096" s="2">
        <v>61295</v>
      </c>
      <c r="G3096" s="3" t="str">
        <f>HYPERLINK("https://cloud.oebiotech.com/#/lm/network/61295", "https://cloud.oebiotech.com/#/lm/network/61295")</f>
        <v>https://cloud.oebiotech.com/#/lm/network/61295</v>
      </c>
      <c r="H3096" s="2" t="s">
        <v>20643</v>
      </c>
      <c r="I3096" s="2">
        <v>92615</v>
      </c>
      <c r="J3096" s="2"/>
      <c r="K3096" s="2">
        <v>135414248</v>
      </c>
      <c r="L3096" s="2"/>
      <c r="M3096" s="2"/>
      <c r="N3096" s="2"/>
      <c r="O3096" s="2"/>
      <c r="P3096" s="2"/>
      <c r="Q3096" s="2"/>
      <c r="R3096" s="2" t="s">
        <v>20644</v>
      </c>
      <c r="S3096" s="2" t="s">
        <v>20645</v>
      </c>
      <c r="T3096" s="2" t="s">
        <v>20646</v>
      </c>
      <c r="U3096" s="2" t="s">
        <v>610</v>
      </c>
      <c r="V3096" s="2" t="s">
        <v>4556</v>
      </c>
      <c r="W3096" s="2" t="s">
        <v>240</v>
      </c>
      <c r="X3096" s="2" t="s">
        <v>147</v>
      </c>
      <c r="Y3096" s="2">
        <v>36.9</v>
      </c>
      <c r="Z3096" s="2">
        <v>0</v>
      </c>
      <c r="AA3096" s="2" t="s">
        <v>218</v>
      </c>
      <c r="AB3096" s="2" t="s">
        <v>20647</v>
      </c>
      <c r="AC3096" s="2">
        <v>-0.10508259973708001</v>
      </c>
      <c r="AD3096" s="2"/>
      <c r="AE3096" s="2">
        <v>0.192327269765068</v>
      </c>
      <c r="AF3096" s="2">
        <v>26814.7347033515</v>
      </c>
      <c r="AG3096" s="2">
        <v>29213.388606066201</v>
      </c>
      <c r="AH3096" s="4">
        <v>0.917891966075562</v>
      </c>
      <c r="AI3096" s="4">
        <v>-0.12360373338212401</v>
      </c>
      <c r="AJ3096" s="4" t="s">
        <v>62</v>
      </c>
      <c r="AK3096" s="2">
        <v>0.396578281215483</v>
      </c>
      <c r="AL3096" s="2">
        <v>0.66752996494649497</v>
      </c>
      <c r="AM3096" s="2">
        <v>26220.023594664999</v>
      </c>
      <c r="AN3096" s="2">
        <v>29101.885077845</v>
      </c>
      <c r="AO3096" s="2">
        <v>33934.133291870603</v>
      </c>
      <c r="AP3096" s="2">
        <v>22805.648158497301</v>
      </c>
      <c r="AQ3096" s="2">
        <v>25716.471086976198</v>
      </c>
      <c r="AR3096" s="2">
        <v>23110.247010255</v>
      </c>
      <c r="AS3096" s="2">
        <v>25545.919949773099</v>
      </c>
      <c r="AT3096" s="2">
        <v>21159.465642070802</v>
      </c>
      <c r="AU3096" s="2">
        <v>30691.847571344701</v>
      </c>
      <c r="AV3096" s="2">
        <v>34690.233160923897</v>
      </c>
      <c r="AW3096" s="2">
        <v>33931.274641139396</v>
      </c>
      <c r="AX3096" s="2">
        <v>29261.590671145201</v>
      </c>
    </row>
    <row r="3097" spans="1:50" x14ac:dyDescent="0.25">
      <c r="A3097" s="2" t="s">
        <v>20648</v>
      </c>
      <c r="B3097" s="2">
        <v>419.31693666818398</v>
      </c>
      <c r="C3097" s="2">
        <v>12.6872166666667</v>
      </c>
      <c r="D3097" s="2" t="s">
        <v>51</v>
      </c>
      <c r="E3097" s="2" t="s">
        <v>20649</v>
      </c>
      <c r="F3097" s="2">
        <v>35184</v>
      </c>
      <c r="G3097" s="3" t="str">
        <f>HYPERLINK("https://cloud.oebiotech.com/#/lm/network/35184", "https://cloud.oebiotech.com/#/lm/network/35184")</f>
        <v>https://cloud.oebiotech.com/#/lm/network/35184</v>
      </c>
      <c r="H3097" s="2"/>
      <c r="I3097" s="2"/>
      <c r="J3097" s="2" t="s">
        <v>20650</v>
      </c>
      <c r="K3097" s="2">
        <v>126457710</v>
      </c>
      <c r="L3097" s="2"/>
      <c r="M3097" s="2"/>
      <c r="N3097" s="2"/>
      <c r="O3097" s="2"/>
      <c r="P3097" s="2"/>
      <c r="Q3097" s="2"/>
      <c r="R3097" s="2"/>
      <c r="S3097" s="2" t="s">
        <v>20651</v>
      </c>
      <c r="T3097" s="2" t="s">
        <v>20652</v>
      </c>
      <c r="U3097" s="2" t="s">
        <v>610</v>
      </c>
      <c r="V3097" s="2" t="s">
        <v>895</v>
      </c>
      <c r="W3097" s="2" t="s">
        <v>5219</v>
      </c>
      <c r="X3097" s="2" t="s">
        <v>147</v>
      </c>
      <c r="Y3097" s="2">
        <v>38.4</v>
      </c>
      <c r="Z3097" s="2">
        <v>0</v>
      </c>
      <c r="AA3097" s="2" t="s">
        <v>218</v>
      </c>
      <c r="AB3097" s="2" t="s">
        <v>20653</v>
      </c>
      <c r="AC3097" s="2">
        <v>0.67646172119595804</v>
      </c>
      <c r="AD3097" s="2"/>
      <c r="AE3097" s="2">
        <v>0.192210857974044</v>
      </c>
      <c r="AF3097" s="2">
        <v>22515.471712305902</v>
      </c>
      <c r="AG3097" s="2">
        <v>19374.886987026999</v>
      </c>
      <c r="AH3097" s="5">
        <v>1.16209564099041</v>
      </c>
      <c r="AI3097" s="5">
        <v>0.216728808075031</v>
      </c>
      <c r="AJ3097" s="5" t="s">
        <v>139</v>
      </c>
      <c r="AK3097" s="2">
        <v>0.56862758255559498</v>
      </c>
      <c r="AL3097" s="2">
        <v>0.78311574344879098</v>
      </c>
      <c r="AM3097" s="2">
        <v>10010.301350014801</v>
      </c>
      <c r="AN3097" s="2">
        <v>23440.890807408301</v>
      </c>
      <c r="AO3097" s="2">
        <v>34717.766502474202</v>
      </c>
      <c r="AP3097" s="2">
        <v>26146.6036546777</v>
      </c>
      <c r="AQ3097" s="2">
        <v>29554.454274067699</v>
      </c>
      <c r="AR3097" s="2">
        <v>11222.813685192499</v>
      </c>
      <c r="AS3097" s="2">
        <v>14049.3982876137</v>
      </c>
      <c r="AT3097" s="2">
        <v>20537.987575377501</v>
      </c>
      <c r="AU3097" s="2">
        <v>33855.5443918163</v>
      </c>
      <c r="AV3097" s="2">
        <v>8782.3077235759301</v>
      </c>
      <c r="AW3097" s="2">
        <v>20844.785346036799</v>
      </c>
      <c r="AX3097" s="2">
        <v>18179.298597741999</v>
      </c>
    </row>
    <row r="3098" spans="1:50" x14ac:dyDescent="0.25">
      <c r="A3098" s="2" t="s">
        <v>20654</v>
      </c>
      <c r="B3098" s="2">
        <v>168.94818818881299</v>
      </c>
      <c r="C3098" s="2">
        <v>0.92595000000000005</v>
      </c>
      <c r="D3098" s="2" t="s">
        <v>51</v>
      </c>
      <c r="E3098" s="2" t="s">
        <v>20655</v>
      </c>
      <c r="F3098" s="2">
        <v>51952</v>
      </c>
      <c r="G3098" s="3" t="str">
        <f>HYPERLINK("https://cloud.oebiotech.com/#/lm/network/51952", "https://cloud.oebiotech.com/#/lm/network/51952")</f>
        <v>https://cloud.oebiotech.com/#/lm/network/51952</v>
      </c>
      <c r="H3098" s="2" t="s">
        <v>20656</v>
      </c>
      <c r="I3098" s="2">
        <v>62895</v>
      </c>
      <c r="J3098" s="2"/>
      <c r="K3098" s="2">
        <v>161491</v>
      </c>
      <c r="L3098" s="2" t="s">
        <v>20657</v>
      </c>
      <c r="M3098" s="2" t="s">
        <v>16965</v>
      </c>
      <c r="N3098" s="2" t="s">
        <v>16966</v>
      </c>
      <c r="O3098" s="2">
        <v>17826</v>
      </c>
      <c r="P3098" s="2" t="s">
        <v>16967</v>
      </c>
      <c r="Q3098" s="2" t="s">
        <v>16968</v>
      </c>
      <c r="R3098" s="2" t="s">
        <v>20658</v>
      </c>
      <c r="S3098" s="2" t="s">
        <v>20659</v>
      </c>
      <c r="T3098" s="2" t="s">
        <v>20660</v>
      </c>
      <c r="U3098" s="2" t="s">
        <v>16972</v>
      </c>
      <c r="V3098" s="2" t="s">
        <v>16973</v>
      </c>
      <c r="W3098" s="2" t="s">
        <v>16974</v>
      </c>
      <c r="X3098" s="2" t="s">
        <v>147</v>
      </c>
      <c r="Y3098" s="2">
        <v>39.700000000000003</v>
      </c>
      <c r="Z3098" s="2">
        <v>5.43</v>
      </c>
      <c r="AA3098" s="2" t="s">
        <v>218</v>
      </c>
      <c r="AB3098" s="2" t="s">
        <v>20661</v>
      </c>
      <c r="AC3098" s="2">
        <v>-4.56295395756272</v>
      </c>
      <c r="AD3098" s="2"/>
      <c r="AE3098" s="2">
        <v>0.19219322792833199</v>
      </c>
      <c r="AF3098" s="2">
        <v>2108.4022250723401</v>
      </c>
      <c r="AG3098" s="2">
        <v>3219.0977843863402</v>
      </c>
      <c r="AH3098" s="4">
        <v>0.65496681563970005</v>
      </c>
      <c r="AI3098" s="4">
        <v>-0.61050628155762199</v>
      </c>
      <c r="AJ3098" s="4" t="s">
        <v>62</v>
      </c>
      <c r="AK3098" s="2">
        <v>0.213715607742754</v>
      </c>
      <c r="AL3098" s="2">
        <v>0.53768212145991301</v>
      </c>
      <c r="AM3098" s="2">
        <v>277.189329501288</v>
      </c>
      <c r="AN3098" s="2">
        <v>2867.3801868212799</v>
      </c>
      <c r="AO3098" s="2">
        <v>1648.3796040127099</v>
      </c>
      <c r="AP3098" s="2">
        <v>849.65678553910595</v>
      </c>
      <c r="AQ3098" s="2">
        <v>2705.4642416010101</v>
      </c>
      <c r="AR3098" s="2">
        <v>4302.3432029586302</v>
      </c>
      <c r="AS3098" s="2">
        <v>5487.1544027342197</v>
      </c>
      <c r="AT3098" s="2">
        <v>2837.64285162838</v>
      </c>
      <c r="AU3098" s="2">
        <v>1284.1453245633099</v>
      </c>
      <c r="AV3098" s="2">
        <v>3599.80211753907</v>
      </c>
      <c r="AW3098" s="2">
        <v>2397.70708043881</v>
      </c>
      <c r="AX3098" s="2">
        <v>3708.1349294142801</v>
      </c>
    </row>
    <row r="3099" spans="1:50" x14ac:dyDescent="0.25">
      <c r="A3099" s="2" t="s">
        <v>20662</v>
      </c>
      <c r="B3099" s="2">
        <v>397.31127057812603</v>
      </c>
      <c r="C3099" s="2">
        <v>10.4500166666667</v>
      </c>
      <c r="D3099" s="2" t="s">
        <v>51</v>
      </c>
      <c r="E3099" s="2" t="s">
        <v>20663</v>
      </c>
      <c r="F3099" s="2">
        <v>64662</v>
      </c>
      <c r="G3099" s="3" t="str">
        <f>HYPERLINK("https://cloud.oebiotech.com/#/lm/network/64662", "https://cloud.oebiotech.com/#/lm/network/64662")</f>
        <v>https://cloud.oebiotech.com/#/lm/network/64662</v>
      </c>
      <c r="H3099" s="2" t="s">
        <v>20664</v>
      </c>
      <c r="I3099" s="2"/>
      <c r="J3099" s="2"/>
      <c r="K3099" s="2">
        <v>131753169</v>
      </c>
      <c r="L3099" s="2"/>
      <c r="M3099" s="2"/>
      <c r="N3099" s="2"/>
      <c r="O3099" s="2"/>
      <c r="P3099" s="2"/>
      <c r="Q3099" s="2"/>
      <c r="R3099" s="2" t="s">
        <v>20665</v>
      </c>
      <c r="S3099" s="2" t="s">
        <v>20666</v>
      </c>
      <c r="T3099" s="2" t="s">
        <v>20667</v>
      </c>
      <c r="U3099" s="2" t="s">
        <v>56</v>
      </c>
      <c r="V3099" s="2" t="s">
        <v>283</v>
      </c>
      <c r="W3099" s="2" t="s">
        <v>492</v>
      </c>
      <c r="X3099" s="2" t="s">
        <v>83</v>
      </c>
      <c r="Y3099" s="2">
        <v>57</v>
      </c>
      <c r="Z3099" s="2">
        <v>0</v>
      </c>
      <c r="AA3099" s="2" t="s">
        <v>156</v>
      </c>
      <c r="AB3099" s="2" t="s">
        <v>20668</v>
      </c>
      <c r="AC3099" s="2">
        <v>2.8085563235968301</v>
      </c>
      <c r="AD3099" s="2"/>
      <c r="AE3099" s="2">
        <v>0.19211598887144099</v>
      </c>
      <c r="AF3099" s="2">
        <v>6951.9747313582202</v>
      </c>
      <c r="AG3099" s="2">
        <v>4834.9875715647804</v>
      </c>
      <c r="AH3099" s="5">
        <v>1.4378474873945299</v>
      </c>
      <c r="AI3099" s="5">
        <v>0.52391065710654094</v>
      </c>
      <c r="AJ3099" s="5" t="s">
        <v>139</v>
      </c>
      <c r="AK3099" s="2">
        <v>0.32626415135964398</v>
      </c>
      <c r="AL3099" s="2">
        <v>0.62992073899545697</v>
      </c>
      <c r="AM3099" s="2">
        <v>2879.9733482541901</v>
      </c>
      <c r="AN3099" s="2">
        <v>3488.9297081555501</v>
      </c>
      <c r="AO3099" s="2">
        <v>9786.3678390534806</v>
      </c>
      <c r="AP3099" s="2">
        <v>7708.1717399631798</v>
      </c>
      <c r="AQ3099" s="2">
        <v>12326.423394076201</v>
      </c>
      <c r="AR3099" s="2">
        <v>5521.9823586467401</v>
      </c>
      <c r="AS3099" s="2">
        <v>3213.6493408148699</v>
      </c>
      <c r="AT3099" s="2">
        <v>9502.4839677744803</v>
      </c>
      <c r="AU3099" s="2">
        <v>7348.8163849877701</v>
      </c>
      <c r="AV3099" s="2">
        <v>1157.1307221526399</v>
      </c>
      <c r="AW3099" s="2">
        <v>6346.8200439556604</v>
      </c>
      <c r="AX3099" s="2">
        <v>1441.02496970329</v>
      </c>
    </row>
    <row r="3100" spans="1:50" x14ac:dyDescent="0.25">
      <c r="A3100" s="2" t="s">
        <v>20669</v>
      </c>
      <c r="B3100" s="2">
        <v>259.076693393619</v>
      </c>
      <c r="C3100" s="2">
        <v>5.0589333333333304</v>
      </c>
      <c r="D3100" s="2" t="s">
        <v>51</v>
      </c>
      <c r="E3100" s="2" t="s">
        <v>20670</v>
      </c>
      <c r="F3100" s="2">
        <v>274583</v>
      </c>
      <c r="G3100" s="3" t="str">
        <f>HYPERLINK("https://cloud.oebiotech.com/#/lm/network/274583", "https://cloud.oebiotech.com/#/lm/network/274583")</f>
        <v>https://cloud.oebiotech.com/#/lm/network/274583</v>
      </c>
      <c r="H3100" s="2"/>
      <c r="I3100" s="2">
        <v>64659</v>
      </c>
      <c r="J3100" s="2"/>
      <c r="K3100" s="2">
        <v>11630507</v>
      </c>
      <c r="L3100" s="2"/>
      <c r="M3100" s="2"/>
      <c r="N3100" s="2"/>
      <c r="O3100" s="2"/>
      <c r="P3100" s="2"/>
      <c r="Q3100" s="2"/>
      <c r="R3100" s="2"/>
      <c r="S3100" s="2" t="s">
        <v>20671</v>
      </c>
      <c r="T3100" s="2" t="s">
        <v>20672</v>
      </c>
      <c r="U3100" s="2" t="s">
        <v>610</v>
      </c>
      <c r="V3100" s="2" t="s">
        <v>611</v>
      </c>
      <c r="W3100" s="2" t="s">
        <v>20673</v>
      </c>
      <c r="X3100" s="2" t="s">
        <v>147</v>
      </c>
      <c r="Y3100" s="2">
        <v>39</v>
      </c>
      <c r="Z3100" s="2">
        <v>0</v>
      </c>
      <c r="AA3100" s="2" t="s">
        <v>379</v>
      </c>
      <c r="AB3100" s="2" t="s">
        <v>20674</v>
      </c>
      <c r="AC3100" s="2">
        <v>0.86375723443019403</v>
      </c>
      <c r="AD3100" s="2"/>
      <c r="AE3100" s="2">
        <v>0.19205196936163299</v>
      </c>
      <c r="AF3100" s="2">
        <v>2674.22516515288</v>
      </c>
      <c r="AG3100" s="2">
        <v>1463.7267705779</v>
      </c>
      <c r="AH3100" s="5">
        <v>1.8269975099909299</v>
      </c>
      <c r="AI3100" s="5">
        <v>0.86947466772227899</v>
      </c>
      <c r="AJ3100" s="5" t="s">
        <v>139</v>
      </c>
      <c r="AK3100" s="2">
        <v>4.9644160006265002E-2</v>
      </c>
      <c r="AL3100" s="2">
        <v>0.30959808608949102</v>
      </c>
      <c r="AM3100" s="2">
        <v>2537.3111803750598</v>
      </c>
      <c r="AN3100" s="2">
        <v>3369.0454739317702</v>
      </c>
      <c r="AO3100" s="2">
        <v>1261.6566427734599</v>
      </c>
      <c r="AP3100" s="2">
        <v>1768.70104441998</v>
      </c>
      <c r="AQ3100" s="2">
        <v>2463.2829174506901</v>
      </c>
      <c r="AR3100" s="2">
        <v>4645.3537319663401</v>
      </c>
      <c r="AS3100" s="2">
        <v>2143.6555381957801</v>
      </c>
      <c r="AT3100" s="2">
        <v>731.36800961732001</v>
      </c>
      <c r="AU3100" s="2">
        <v>2084.3662308148</v>
      </c>
      <c r="AV3100" s="2">
        <v>1066.1524704856099</v>
      </c>
      <c r="AW3100" s="2">
        <v>1473.2287689745399</v>
      </c>
      <c r="AX3100" s="2">
        <v>1283.5896053793299</v>
      </c>
    </row>
    <row r="3101" spans="1:50" x14ac:dyDescent="0.25">
      <c r="A3101" s="2" t="s">
        <v>20675</v>
      </c>
      <c r="B3101" s="2">
        <v>313.23845853778198</v>
      </c>
      <c r="C3101" s="2">
        <v>13.510733333333301</v>
      </c>
      <c r="D3101" s="2" t="s">
        <v>51</v>
      </c>
      <c r="E3101" s="2" t="s">
        <v>20676</v>
      </c>
      <c r="F3101" s="2">
        <v>7240</v>
      </c>
      <c r="G3101" s="3" t="str">
        <f>HYPERLINK("https://cloud.oebiotech.com/#/lm/network/7240", "https://cloud.oebiotech.com/#/lm/network/7240")</f>
        <v>https://cloud.oebiotech.com/#/lm/network/7240</v>
      </c>
      <c r="H3101" s="2"/>
      <c r="I3101" s="2">
        <v>97221</v>
      </c>
      <c r="J3101" s="2" t="s">
        <v>20677</v>
      </c>
      <c r="K3101" s="2">
        <v>643801</v>
      </c>
      <c r="L3101" s="2"/>
      <c r="M3101" s="2"/>
      <c r="N3101" s="2"/>
      <c r="O3101" s="2">
        <v>84156</v>
      </c>
      <c r="P3101" s="2"/>
      <c r="Q3101" s="2"/>
      <c r="R3101" s="2"/>
      <c r="S3101" s="2" t="s">
        <v>20678</v>
      </c>
      <c r="T3101" s="2" t="s">
        <v>20679</v>
      </c>
      <c r="U3101" s="2" t="s">
        <v>56</v>
      </c>
      <c r="V3101" s="2" t="s">
        <v>145</v>
      </c>
      <c r="W3101" s="2" t="s">
        <v>1188</v>
      </c>
      <c r="X3101" s="2" t="s">
        <v>83</v>
      </c>
      <c r="Y3101" s="2">
        <v>43.6</v>
      </c>
      <c r="Z3101" s="2">
        <v>0</v>
      </c>
      <c r="AA3101" s="2" t="s">
        <v>218</v>
      </c>
      <c r="AB3101" s="2" t="s">
        <v>20680</v>
      </c>
      <c r="AC3101" s="2">
        <v>9.4700269604483397E-2</v>
      </c>
      <c r="AD3101" s="2"/>
      <c r="AE3101" s="2">
        <v>0.19200618365945199</v>
      </c>
      <c r="AF3101" s="2">
        <v>1911.0652343280999</v>
      </c>
      <c r="AG3101" s="2">
        <v>3364.29881374041</v>
      </c>
      <c r="AH3101" s="4">
        <v>0.56804265617636696</v>
      </c>
      <c r="AI3101" s="4">
        <v>-0.81592882441191905</v>
      </c>
      <c r="AJ3101" s="4" t="s">
        <v>62</v>
      </c>
      <c r="AK3101" s="2">
        <v>0.121033999149684</v>
      </c>
      <c r="AL3101" s="2">
        <v>0.43807021464727303</v>
      </c>
      <c r="AM3101" s="2">
        <v>1967.7690222942399</v>
      </c>
      <c r="AN3101" s="2">
        <v>984.31755919742795</v>
      </c>
      <c r="AO3101" s="2">
        <v>2790.6258770621898</v>
      </c>
      <c r="AP3101" s="2">
        <v>1152.2946610480999</v>
      </c>
      <c r="AQ3101" s="2">
        <v>2726.7852722718098</v>
      </c>
      <c r="AR3101" s="2">
        <v>1844.59901409485</v>
      </c>
      <c r="AS3101" s="2">
        <v>1325.08031893357</v>
      </c>
      <c r="AT3101" s="2">
        <v>1374.3414088085599</v>
      </c>
      <c r="AU3101" s="2">
        <v>5905.7972206469803</v>
      </c>
      <c r="AV3101" s="2">
        <v>4959.5538219945702</v>
      </c>
      <c r="AW3101" s="2">
        <v>4324.4017974928602</v>
      </c>
      <c r="AX3101" s="2">
        <v>2296.6183145659102</v>
      </c>
    </row>
    <row r="3102" spans="1:50" x14ac:dyDescent="0.25">
      <c r="A3102" s="2" t="s">
        <v>20681</v>
      </c>
      <c r="B3102" s="2">
        <v>172.09707598832199</v>
      </c>
      <c r="C3102" s="2">
        <v>4.8599833333333304</v>
      </c>
      <c r="D3102" s="2" t="s">
        <v>51</v>
      </c>
      <c r="E3102" s="2" t="s">
        <v>20682</v>
      </c>
      <c r="F3102" s="2">
        <v>47168</v>
      </c>
      <c r="G3102" s="3" t="str">
        <f>HYPERLINK("https://cloud.oebiotech.com/#/lm/network/47168", "https://cloud.oebiotech.com/#/lm/network/47168")</f>
        <v>https://cloud.oebiotech.com/#/lm/network/47168</v>
      </c>
      <c r="H3102" s="2" t="s">
        <v>20683</v>
      </c>
      <c r="I3102" s="2">
        <v>5669</v>
      </c>
      <c r="J3102" s="2"/>
      <c r="K3102" s="2">
        <v>99463</v>
      </c>
      <c r="L3102" s="2"/>
      <c r="M3102" s="2"/>
      <c r="N3102" s="2"/>
      <c r="O3102" s="2">
        <v>64390</v>
      </c>
      <c r="P3102" s="2"/>
      <c r="Q3102" s="2"/>
      <c r="R3102" s="2" t="s">
        <v>20684</v>
      </c>
      <c r="S3102" s="2" t="s">
        <v>20685</v>
      </c>
      <c r="T3102" s="2" t="s">
        <v>20686</v>
      </c>
      <c r="U3102" s="2" t="s">
        <v>103</v>
      </c>
      <c r="V3102" s="2" t="s">
        <v>104</v>
      </c>
      <c r="W3102" s="2" t="s">
        <v>105</v>
      </c>
      <c r="X3102" s="2" t="s">
        <v>69</v>
      </c>
      <c r="Y3102" s="2">
        <v>51.3</v>
      </c>
      <c r="Z3102" s="2">
        <v>46.7</v>
      </c>
      <c r="AA3102" s="2" t="s">
        <v>163</v>
      </c>
      <c r="AB3102" s="2" t="s">
        <v>18232</v>
      </c>
      <c r="AC3102" s="2">
        <v>-4.8578797165622198</v>
      </c>
      <c r="AD3102" s="2"/>
      <c r="AE3102" s="2">
        <v>0.19183479907936801</v>
      </c>
      <c r="AF3102" s="2">
        <v>2509.6806918048401</v>
      </c>
      <c r="AG3102" s="2">
        <v>1546.39689046838</v>
      </c>
      <c r="AH3102" s="5">
        <v>1.6229214552059099</v>
      </c>
      <c r="AI3102" s="5">
        <v>0.69859317922848096</v>
      </c>
      <c r="AJ3102" s="5" t="s">
        <v>139</v>
      </c>
      <c r="AK3102" s="2">
        <v>9.8647658284418599E-2</v>
      </c>
      <c r="AL3102" s="2">
        <v>0.40061906568557099</v>
      </c>
      <c r="AM3102" s="2">
        <v>3530.4515571852999</v>
      </c>
      <c r="AN3102" s="2">
        <v>3961.3500266083302</v>
      </c>
      <c r="AO3102" s="2">
        <v>1591.2699132955199</v>
      </c>
      <c r="AP3102" s="2">
        <v>2449.3038054266399</v>
      </c>
      <c r="AQ3102" s="2">
        <v>1707.30232606606</v>
      </c>
      <c r="AR3102" s="2">
        <v>1818.40652224716</v>
      </c>
      <c r="AS3102" s="2">
        <v>1488.4903965866599</v>
      </c>
      <c r="AT3102" s="2">
        <v>775.61474272612804</v>
      </c>
      <c r="AU3102" s="2">
        <v>2832.3540955594199</v>
      </c>
      <c r="AV3102" s="2">
        <v>962.03260546649301</v>
      </c>
      <c r="AW3102" s="2">
        <v>1027.7912266388701</v>
      </c>
      <c r="AX3102" s="2">
        <v>2192.09827583269</v>
      </c>
    </row>
    <row r="3103" spans="1:50" x14ac:dyDescent="0.25">
      <c r="A3103" s="2" t="s">
        <v>20687</v>
      </c>
      <c r="B3103" s="2">
        <v>102.03749999999999</v>
      </c>
      <c r="C3103" s="2">
        <v>9.2360000000000007</v>
      </c>
      <c r="D3103" s="2" t="s">
        <v>125</v>
      </c>
      <c r="E3103" s="2" t="s">
        <v>20688</v>
      </c>
      <c r="F3103" s="2">
        <v>1881</v>
      </c>
      <c r="G3103" s="3" t="str">
        <f>HYPERLINK("https://cloud.oebiotech.com/#/lm/network/1881", "https://cloud.oebiotech.com/#/lm/network/1881")</f>
        <v>https://cloud.oebiotech.com/#/lm/network/1881</v>
      </c>
      <c r="H3103" s="2" t="s">
        <v>20689</v>
      </c>
      <c r="I3103" s="2">
        <v>3792</v>
      </c>
      <c r="J3103" s="2" t="s">
        <v>20690</v>
      </c>
      <c r="K3103" s="2">
        <v>69362</v>
      </c>
      <c r="L3103" s="2"/>
      <c r="M3103" s="2"/>
      <c r="N3103" s="2"/>
      <c r="O3103" s="2">
        <v>37084</v>
      </c>
      <c r="P3103" s="2"/>
      <c r="Q3103" s="2"/>
      <c r="R3103" s="2" t="s">
        <v>20691</v>
      </c>
      <c r="S3103" s="2" t="s">
        <v>20692</v>
      </c>
      <c r="T3103" s="2" t="s">
        <v>20693</v>
      </c>
      <c r="U3103" s="2" t="s">
        <v>56</v>
      </c>
      <c r="V3103" s="2" t="s">
        <v>145</v>
      </c>
      <c r="W3103" s="2" t="s">
        <v>231</v>
      </c>
      <c r="X3103" s="2" t="s">
        <v>83</v>
      </c>
      <c r="Y3103" s="2">
        <v>81.599999999999994</v>
      </c>
      <c r="Z3103" s="2">
        <v>72.400000000000006</v>
      </c>
      <c r="AA3103" s="2"/>
      <c r="AB3103" s="2" t="s">
        <v>1611</v>
      </c>
      <c r="AC3103" s="2"/>
      <c r="AD3103" s="2">
        <v>311154.61766449298</v>
      </c>
      <c r="AE3103" s="2">
        <v>0.19179447617763701</v>
      </c>
      <c r="AF3103" s="2">
        <v>131345.200549851</v>
      </c>
      <c r="AG3103" s="2">
        <v>157082.104107989</v>
      </c>
      <c r="AH3103" s="4">
        <v>0.83615636100440605</v>
      </c>
      <c r="AI3103" s="4">
        <v>-0.25815534378632998</v>
      </c>
      <c r="AJ3103" s="4" t="s">
        <v>62</v>
      </c>
      <c r="AK3103" s="2">
        <v>0.57334554050800202</v>
      </c>
      <c r="AL3103" s="2">
        <v>0.78504438975922697</v>
      </c>
      <c r="AM3103" s="2">
        <v>35226.040666517903</v>
      </c>
      <c r="AN3103" s="2">
        <v>103375.490229132</v>
      </c>
      <c r="AO3103" s="2">
        <v>147468.24150163899</v>
      </c>
      <c r="AP3103" s="2">
        <v>242052.77449828101</v>
      </c>
      <c r="AQ3103" s="2">
        <v>159031.56441797601</v>
      </c>
      <c r="AR3103" s="2">
        <v>100917.09198556301</v>
      </c>
      <c r="AS3103" s="2">
        <v>161321.091092491</v>
      </c>
      <c r="AT3103" s="2">
        <v>222795.64750515801</v>
      </c>
      <c r="AU3103" s="2">
        <v>34841.035729685202</v>
      </c>
      <c r="AV3103" s="2">
        <v>80752.515371429006</v>
      </c>
      <c r="AW3103" s="2">
        <v>198735.983302448</v>
      </c>
      <c r="AX3103" s="2">
        <v>244046.35164672401</v>
      </c>
    </row>
    <row r="3104" spans="1:50" x14ac:dyDescent="0.25">
      <c r="A3104" s="2" t="s">
        <v>20694</v>
      </c>
      <c r="B3104" s="2">
        <v>494.98878662804702</v>
      </c>
      <c r="C3104" s="2">
        <v>15.2399666666667</v>
      </c>
      <c r="D3104" s="2" t="s">
        <v>51</v>
      </c>
      <c r="E3104" s="2" t="s">
        <v>20695</v>
      </c>
      <c r="F3104" s="2">
        <v>144378</v>
      </c>
      <c r="G3104" s="3" t="str">
        <f>HYPERLINK("https://cloud.oebiotech.com/#/lm/network/144378", "https://cloud.oebiotech.com/#/lm/network/144378")</f>
        <v>https://cloud.oebiotech.com/#/lm/network/144378</v>
      </c>
      <c r="H3104" s="2" t="s">
        <v>20696</v>
      </c>
      <c r="I3104" s="2"/>
      <c r="J3104" s="2"/>
      <c r="K3104" s="2">
        <v>131831685</v>
      </c>
      <c r="L3104" s="2"/>
      <c r="M3104" s="2"/>
      <c r="N3104" s="2"/>
      <c r="O3104" s="2"/>
      <c r="P3104" s="2"/>
      <c r="Q3104" s="2"/>
      <c r="R3104" s="2"/>
      <c r="S3104" s="2" t="s">
        <v>20697</v>
      </c>
      <c r="T3104" s="2" t="s">
        <v>20698</v>
      </c>
      <c r="U3104" s="2" t="s">
        <v>103</v>
      </c>
      <c r="V3104" s="2" t="s">
        <v>4820</v>
      </c>
      <c r="W3104" s="2" t="s">
        <v>4821</v>
      </c>
      <c r="X3104" s="2" t="s">
        <v>147</v>
      </c>
      <c r="Y3104" s="2">
        <v>36.1</v>
      </c>
      <c r="Z3104" s="2">
        <v>0</v>
      </c>
      <c r="AA3104" s="2" t="s">
        <v>478</v>
      </c>
      <c r="AB3104" s="2" t="s">
        <v>20699</v>
      </c>
      <c r="AC3104" s="2">
        <v>-4.2018844715127601</v>
      </c>
      <c r="AD3104" s="2"/>
      <c r="AE3104" s="2">
        <v>0.19173811539826299</v>
      </c>
      <c r="AF3104" s="2">
        <v>2424.7882770248798</v>
      </c>
      <c r="AG3104" s="2">
        <v>3244.0502739326298</v>
      </c>
      <c r="AH3104" s="4">
        <v>0.74745705900710602</v>
      </c>
      <c r="AI3104" s="4">
        <v>-0.41993739522475798</v>
      </c>
      <c r="AJ3104" s="4" t="s">
        <v>62</v>
      </c>
      <c r="AK3104" s="2">
        <v>7.4505379938845599E-3</v>
      </c>
      <c r="AL3104" s="2">
        <v>0.14489874833036501</v>
      </c>
      <c r="AM3104" s="2">
        <v>1885.14057918137</v>
      </c>
      <c r="AN3104" s="2">
        <v>2693.2080541420801</v>
      </c>
      <c r="AO3104" s="2">
        <v>2972.1602566141601</v>
      </c>
      <c r="AP3104" s="2">
        <v>2006.7816773235299</v>
      </c>
      <c r="AQ3104" s="2">
        <v>2625.9076485259802</v>
      </c>
      <c r="AR3104" s="2">
        <v>2365.5314463621498</v>
      </c>
      <c r="AS3104" s="2">
        <v>3050.3918416644901</v>
      </c>
      <c r="AT3104" s="2">
        <v>3254.8848266734799</v>
      </c>
      <c r="AU3104" s="2">
        <v>2591.8002224622001</v>
      </c>
      <c r="AV3104" s="2">
        <v>3696.39626221551</v>
      </c>
      <c r="AW3104" s="2">
        <v>3734.6444257881599</v>
      </c>
      <c r="AX3104" s="2">
        <v>3136.1840647919298</v>
      </c>
    </row>
    <row r="3105" spans="1:50" x14ac:dyDescent="0.25">
      <c r="A3105" s="2" t="s">
        <v>20700</v>
      </c>
      <c r="B3105" s="2">
        <v>313.216849410956</v>
      </c>
      <c r="C3105" s="2">
        <v>8.5796666666666699</v>
      </c>
      <c r="D3105" s="2" t="s">
        <v>51</v>
      </c>
      <c r="E3105" s="2" t="s">
        <v>20701</v>
      </c>
      <c r="F3105" s="2">
        <v>208604</v>
      </c>
      <c r="G3105" s="3" t="str">
        <f>HYPERLINK("https://cloud.oebiotech.com/#/lm/network/208604", "https://cloud.oebiotech.com/#/lm/network/208604")</f>
        <v>https://cloud.oebiotech.com/#/lm/network/208604</v>
      </c>
      <c r="H3105" s="2" t="s">
        <v>20702</v>
      </c>
      <c r="I3105" s="2"/>
      <c r="J3105" s="2"/>
      <c r="K3105" s="2">
        <v>53462366</v>
      </c>
      <c r="L3105" s="2"/>
      <c r="M3105" s="2"/>
      <c r="N3105" s="2"/>
      <c r="O3105" s="2"/>
      <c r="P3105" s="2"/>
      <c r="Q3105" s="2"/>
      <c r="R3105" s="2"/>
      <c r="S3105" s="2" t="s">
        <v>20703</v>
      </c>
      <c r="T3105" s="2" t="s">
        <v>20704</v>
      </c>
      <c r="U3105" s="2" t="s">
        <v>56</v>
      </c>
      <c r="V3105" s="2" t="s">
        <v>283</v>
      </c>
      <c r="W3105" s="2" t="s">
        <v>492</v>
      </c>
      <c r="X3105" s="2" t="s">
        <v>69</v>
      </c>
      <c r="Y3105" s="2">
        <v>60</v>
      </c>
      <c r="Z3105" s="2">
        <v>89.6</v>
      </c>
      <c r="AA3105" s="2" t="s">
        <v>156</v>
      </c>
      <c r="AB3105" s="2" t="s">
        <v>16076</v>
      </c>
      <c r="AC3105" s="2">
        <v>1.94670570963085</v>
      </c>
      <c r="AD3105" s="2"/>
      <c r="AE3105" s="2">
        <v>0.191512565496676</v>
      </c>
      <c r="AF3105" s="2">
        <v>11635.260221443799</v>
      </c>
      <c r="AG3105" s="2">
        <v>12891.987548302901</v>
      </c>
      <c r="AH3105" s="4">
        <v>0.90251872939292999</v>
      </c>
      <c r="AI3105" s="4">
        <v>-0.14797122325107301</v>
      </c>
      <c r="AJ3105" s="4" t="s">
        <v>62</v>
      </c>
      <c r="AK3105" s="2">
        <v>0.16122657460408199</v>
      </c>
      <c r="AL3105" s="2">
        <v>0.48399353100485398</v>
      </c>
      <c r="AM3105" s="2">
        <v>9343.6357426493196</v>
      </c>
      <c r="AN3105" s="2">
        <v>12468.1835014754</v>
      </c>
      <c r="AO3105" s="2">
        <v>10961.927432693899</v>
      </c>
      <c r="AP3105" s="2">
        <v>12456.229745176401</v>
      </c>
      <c r="AQ3105" s="2">
        <v>12795.2164103579</v>
      </c>
      <c r="AR3105" s="2">
        <v>11786.3684963098</v>
      </c>
      <c r="AS3105" s="2">
        <v>13736.185876564799</v>
      </c>
      <c r="AT3105" s="2">
        <v>14849.0249971635</v>
      </c>
      <c r="AU3105" s="2">
        <v>11955.546775000101</v>
      </c>
      <c r="AV3105" s="2">
        <v>10853.198339835501</v>
      </c>
      <c r="AW3105" s="2">
        <v>11824.449830244999</v>
      </c>
      <c r="AX3105" s="2">
        <v>14133.5194710084</v>
      </c>
    </row>
    <row r="3106" spans="1:50" x14ac:dyDescent="0.25">
      <c r="A3106" s="2" t="s">
        <v>20705</v>
      </c>
      <c r="B3106" s="2">
        <v>604.32595252044905</v>
      </c>
      <c r="C3106" s="2">
        <v>8.1572999999999993</v>
      </c>
      <c r="D3106" s="2" t="s">
        <v>51</v>
      </c>
      <c r="E3106" s="2" t="s">
        <v>20706</v>
      </c>
      <c r="F3106" s="2">
        <v>27895</v>
      </c>
      <c r="G3106" s="3" t="str">
        <f>HYPERLINK("https://cloud.oebiotech.com/#/lm/network/27895", "https://cloud.oebiotech.com/#/lm/network/27895")</f>
        <v>https://cloud.oebiotech.com/#/lm/network/27895</v>
      </c>
      <c r="H3106" s="2"/>
      <c r="I3106" s="2"/>
      <c r="J3106" s="2" t="s">
        <v>20707</v>
      </c>
      <c r="K3106" s="2">
        <v>134812352</v>
      </c>
      <c r="L3106" s="2"/>
      <c r="M3106" s="2"/>
      <c r="N3106" s="2"/>
      <c r="O3106" s="2"/>
      <c r="P3106" s="2"/>
      <c r="Q3106" s="2"/>
      <c r="R3106" s="2"/>
      <c r="S3106" s="2" t="s">
        <v>20708</v>
      </c>
      <c r="T3106" s="2" t="s">
        <v>20709</v>
      </c>
      <c r="U3106" s="2" t="s">
        <v>56</v>
      </c>
      <c r="V3106" s="2" t="s">
        <v>57</v>
      </c>
      <c r="W3106" s="2" t="s">
        <v>155</v>
      </c>
      <c r="X3106" s="2" t="s">
        <v>147</v>
      </c>
      <c r="Y3106" s="2">
        <v>37.4</v>
      </c>
      <c r="Z3106" s="2">
        <v>0</v>
      </c>
      <c r="AA3106" s="2" t="s">
        <v>163</v>
      </c>
      <c r="AB3106" s="2" t="s">
        <v>20710</v>
      </c>
      <c r="AC3106" s="2">
        <v>0.57068502017213796</v>
      </c>
      <c r="AD3106" s="2"/>
      <c r="AE3106" s="2">
        <v>0.191438473060693</v>
      </c>
      <c r="AF3106" s="2">
        <v>4502.1529139670802</v>
      </c>
      <c r="AG3106" s="2">
        <v>2795.5067043634299</v>
      </c>
      <c r="AH3106" s="5">
        <v>1.61049619624943</v>
      </c>
      <c r="AI3106" s="5">
        <v>0.68750525329535195</v>
      </c>
      <c r="AJ3106" s="5" t="s">
        <v>139</v>
      </c>
      <c r="AK3106" s="2">
        <v>0.104488932632145</v>
      </c>
      <c r="AL3106" s="2">
        <v>0.41092409513035599</v>
      </c>
      <c r="AM3106" s="2">
        <v>3865.2261869224999</v>
      </c>
      <c r="AN3106" s="2">
        <v>4880.6854690740001</v>
      </c>
      <c r="AO3106" s="2">
        <v>2182.7038946136799</v>
      </c>
      <c r="AP3106" s="2">
        <v>4624.1167611871997</v>
      </c>
      <c r="AQ3106" s="2">
        <v>5512.9163331074496</v>
      </c>
      <c r="AR3106" s="2">
        <v>5947.2688388976803</v>
      </c>
      <c r="AS3106" s="2">
        <v>6068.4042560432299</v>
      </c>
      <c r="AT3106" s="2">
        <v>3120.0389718453498</v>
      </c>
      <c r="AU3106" s="2">
        <v>1432.5356638135499</v>
      </c>
      <c r="AV3106" s="2">
        <v>702.79697753576897</v>
      </c>
      <c r="AW3106" s="2">
        <v>1921.3023660858801</v>
      </c>
      <c r="AX3106" s="2">
        <v>3527.9619908568302</v>
      </c>
    </row>
    <row r="3107" spans="1:50" x14ac:dyDescent="0.25">
      <c r="A3107" s="2" t="s">
        <v>20711</v>
      </c>
      <c r="B3107" s="2">
        <v>331.091214369049</v>
      </c>
      <c r="C3107" s="2">
        <v>4.2136500000000003</v>
      </c>
      <c r="D3107" s="2" t="s">
        <v>51</v>
      </c>
      <c r="E3107" s="2" t="s">
        <v>20712</v>
      </c>
      <c r="F3107" s="2">
        <v>47694</v>
      </c>
      <c r="G3107" s="3" t="str">
        <f>HYPERLINK("https://cloud.oebiotech.com/#/lm/network/47694", "https://cloud.oebiotech.com/#/lm/network/47694")</f>
        <v>https://cloud.oebiotech.com/#/lm/network/47694</v>
      </c>
      <c r="H3107" s="2" t="s">
        <v>20713</v>
      </c>
      <c r="I3107" s="2">
        <v>2820</v>
      </c>
      <c r="J3107" s="2"/>
      <c r="K3107" s="2">
        <v>70639</v>
      </c>
      <c r="L3107" s="2" t="s">
        <v>20714</v>
      </c>
      <c r="M3107" s="2" t="s">
        <v>2767</v>
      </c>
      <c r="N3107" s="2" t="s">
        <v>2768</v>
      </c>
      <c r="O3107" s="2">
        <v>62207</v>
      </c>
      <c r="P3107" s="2"/>
      <c r="Q3107" s="2"/>
      <c r="R3107" s="2" t="s">
        <v>20715</v>
      </c>
      <c r="S3107" s="2" t="s">
        <v>20716</v>
      </c>
      <c r="T3107" s="2" t="s">
        <v>20717</v>
      </c>
      <c r="U3107" s="2" t="s">
        <v>266</v>
      </c>
      <c r="V3107" s="2" t="s">
        <v>2772</v>
      </c>
      <c r="W3107" s="2" t="s">
        <v>2773</v>
      </c>
      <c r="X3107" s="2" t="s">
        <v>147</v>
      </c>
      <c r="Y3107" s="2">
        <v>38.799999999999997</v>
      </c>
      <c r="Z3107" s="2">
        <v>0</v>
      </c>
      <c r="AA3107" s="2" t="s">
        <v>478</v>
      </c>
      <c r="AB3107" s="2" t="s">
        <v>20718</v>
      </c>
      <c r="AC3107" s="2">
        <v>1.0234913039228899</v>
      </c>
      <c r="AD3107" s="2"/>
      <c r="AE3107" s="2">
        <v>0.191438404301079</v>
      </c>
      <c r="AF3107" s="2">
        <v>10205.254595840401</v>
      </c>
      <c r="AG3107" s="2">
        <v>7255.0053352903697</v>
      </c>
      <c r="AH3107" s="5">
        <v>1.40665018483159</v>
      </c>
      <c r="AI3107" s="5">
        <v>0.49226359413474002</v>
      </c>
      <c r="AJ3107" s="5" t="s">
        <v>139</v>
      </c>
      <c r="AK3107" s="2">
        <v>0.35404219515062801</v>
      </c>
      <c r="AL3107" s="2">
        <v>0.644232435870006</v>
      </c>
      <c r="AM3107" s="2">
        <v>3283.7738301008899</v>
      </c>
      <c r="AN3107" s="2">
        <v>10987.059909035401</v>
      </c>
      <c r="AO3107" s="2">
        <v>9427.7289505867793</v>
      </c>
      <c r="AP3107" s="2">
        <v>10976.9161670592</v>
      </c>
      <c r="AQ3107" s="2">
        <v>5116.9913524656704</v>
      </c>
      <c r="AR3107" s="2">
        <v>21439.057365794299</v>
      </c>
      <c r="AS3107" s="2">
        <v>1341.66228201071</v>
      </c>
      <c r="AT3107" s="2">
        <v>11487.662214308901</v>
      </c>
      <c r="AU3107" s="2">
        <v>8450.6283493705905</v>
      </c>
      <c r="AV3107" s="2">
        <v>5623.9652704263399</v>
      </c>
      <c r="AW3107" s="2">
        <v>11091.7805015146</v>
      </c>
      <c r="AX3107" s="2">
        <v>5534.3333941110504</v>
      </c>
    </row>
    <row r="3108" spans="1:50" x14ac:dyDescent="0.25">
      <c r="A3108" s="2" t="s">
        <v>20719</v>
      </c>
      <c r="B3108" s="2">
        <v>466.195182192863</v>
      </c>
      <c r="C3108" s="2">
        <v>3.9009</v>
      </c>
      <c r="D3108" s="2" t="s">
        <v>51</v>
      </c>
      <c r="E3108" s="2" t="s">
        <v>20720</v>
      </c>
      <c r="F3108" s="2">
        <v>259522</v>
      </c>
      <c r="G3108" s="3" t="str">
        <f>HYPERLINK("https://cloud.oebiotech.com/#/lm/network/259522", "https://cloud.oebiotech.com/#/lm/network/259522")</f>
        <v>https://cloud.oebiotech.com/#/lm/network/259522</v>
      </c>
      <c r="H3108" s="2"/>
      <c r="I3108" s="2">
        <v>16734</v>
      </c>
      <c r="J3108" s="2"/>
      <c r="K3108" s="2">
        <v>142685979</v>
      </c>
      <c r="L3108" s="2"/>
      <c r="M3108" s="2"/>
      <c r="N3108" s="2"/>
      <c r="O3108" s="2"/>
      <c r="P3108" s="2"/>
      <c r="Q3108" s="2"/>
      <c r="R3108" s="2"/>
      <c r="S3108" s="2" t="s">
        <v>20721</v>
      </c>
      <c r="T3108" s="2" t="s">
        <v>20722</v>
      </c>
      <c r="U3108" s="2" t="s">
        <v>103</v>
      </c>
      <c r="V3108" s="2" t="s">
        <v>1372</v>
      </c>
      <c r="W3108" s="2" t="s">
        <v>1373</v>
      </c>
      <c r="X3108" s="2" t="s">
        <v>83</v>
      </c>
      <c r="Y3108" s="2">
        <v>45</v>
      </c>
      <c r="Z3108" s="2">
        <v>33.4</v>
      </c>
      <c r="AA3108" s="2" t="s">
        <v>512</v>
      </c>
      <c r="AB3108" s="2" t="s">
        <v>20723</v>
      </c>
      <c r="AC3108" s="2">
        <v>4.3353267677235401</v>
      </c>
      <c r="AD3108" s="2"/>
      <c r="AE3108" s="2">
        <v>0.19139072077407501</v>
      </c>
      <c r="AF3108" s="2">
        <v>365.041398267212</v>
      </c>
      <c r="AG3108" s="2">
        <v>2567.4921134776901</v>
      </c>
      <c r="AH3108" s="4">
        <v>0.14217819651751901</v>
      </c>
      <c r="AI3108" s="4">
        <v>-2.8142278548797401</v>
      </c>
      <c r="AJ3108" s="4" t="s">
        <v>62</v>
      </c>
      <c r="AK3108" s="2">
        <v>0.23070807544972399</v>
      </c>
      <c r="AL3108" s="2">
        <v>0.55506353641357498</v>
      </c>
      <c r="AM3108" s="2">
        <v>356.585493878021</v>
      </c>
      <c r="AN3108" s="2">
        <v>8.559877937157E-6</v>
      </c>
      <c r="AO3108" s="2">
        <v>8.559877937157E-6</v>
      </c>
      <c r="AP3108" s="2">
        <v>1692.8117295094401</v>
      </c>
      <c r="AQ3108" s="2">
        <v>140.85114053617801</v>
      </c>
      <c r="AR3108" s="2">
        <v>8.559877937157E-6</v>
      </c>
      <c r="AS3108" s="2">
        <v>8.559877937157E-6</v>
      </c>
      <c r="AT3108" s="2">
        <v>8.559877937157E-6</v>
      </c>
      <c r="AU3108" s="2">
        <v>10609.4985202557</v>
      </c>
      <c r="AV3108" s="2">
        <v>188.52144382844099</v>
      </c>
      <c r="AW3108" s="2">
        <v>3621.1173117511098</v>
      </c>
      <c r="AX3108" s="2">
        <v>985.81538791115497</v>
      </c>
    </row>
    <row r="3109" spans="1:50" x14ac:dyDescent="0.25">
      <c r="A3109" s="2" t="s">
        <v>20724</v>
      </c>
      <c r="B3109" s="2">
        <v>639.10856091488199</v>
      </c>
      <c r="C3109" s="2">
        <v>7.1716333333333298</v>
      </c>
      <c r="D3109" s="2" t="s">
        <v>51</v>
      </c>
      <c r="E3109" s="2" t="s">
        <v>20725</v>
      </c>
      <c r="F3109" s="2">
        <v>82729</v>
      </c>
      <c r="G3109" s="3" t="str">
        <f>HYPERLINK("https://cloud.oebiotech.com/#/lm/network/82729", "https://cloud.oebiotech.com/#/lm/network/82729")</f>
        <v>https://cloud.oebiotech.com/#/lm/network/82729</v>
      </c>
      <c r="H3109" s="2" t="s">
        <v>20726</v>
      </c>
      <c r="I3109" s="2">
        <v>983846</v>
      </c>
      <c r="J3109" s="2"/>
      <c r="K3109" s="2">
        <v>71752221</v>
      </c>
      <c r="L3109" s="2"/>
      <c r="M3109" s="2"/>
      <c r="N3109" s="2"/>
      <c r="O3109" s="2"/>
      <c r="P3109" s="2"/>
      <c r="Q3109" s="2"/>
      <c r="R3109" s="2"/>
      <c r="S3109" s="2" t="s">
        <v>20727</v>
      </c>
      <c r="T3109" s="2" t="s">
        <v>20728</v>
      </c>
      <c r="U3109" s="2" t="s">
        <v>331</v>
      </c>
      <c r="V3109" s="2" t="s">
        <v>332</v>
      </c>
      <c r="W3109" s="2" t="s">
        <v>333</v>
      </c>
      <c r="X3109" s="2" t="s">
        <v>147</v>
      </c>
      <c r="Y3109" s="2">
        <v>36.700000000000003</v>
      </c>
      <c r="Z3109" s="2">
        <v>24.1</v>
      </c>
      <c r="AA3109" s="2" t="s">
        <v>163</v>
      </c>
      <c r="AB3109" s="2" t="s">
        <v>20729</v>
      </c>
      <c r="AC3109" s="2">
        <v>-3.9889152924795201</v>
      </c>
      <c r="AD3109" s="2"/>
      <c r="AE3109" s="2">
        <v>0.191268099189803</v>
      </c>
      <c r="AF3109" s="2">
        <v>6674.5338364971503</v>
      </c>
      <c r="AG3109" s="2">
        <v>9414.3631376590292</v>
      </c>
      <c r="AH3109" s="4">
        <v>0.70897348433457996</v>
      </c>
      <c r="AI3109" s="4">
        <v>-0.496196423324335</v>
      </c>
      <c r="AJ3109" s="4" t="s">
        <v>62</v>
      </c>
      <c r="AK3109" s="2">
        <v>0.64089047320902104</v>
      </c>
      <c r="AL3109" s="2">
        <v>0.824370604399012</v>
      </c>
      <c r="AM3109" s="2">
        <v>282.51974995378299</v>
      </c>
      <c r="AN3109" s="2">
        <v>2971.6119612866</v>
      </c>
      <c r="AO3109" s="2">
        <v>23337.799975693699</v>
      </c>
      <c r="AP3109" s="2">
        <v>11014.887182907099</v>
      </c>
      <c r="AQ3109" s="2">
        <v>2440.3841405818398</v>
      </c>
      <c r="AR3109" s="2">
        <v>8.559877937157E-6</v>
      </c>
      <c r="AS3109" s="2">
        <v>3819.4792871151899</v>
      </c>
      <c r="AT3109" s="2">
        <v>8248.8247605078195</v>
      </c>
      <c r="AU3109" s="2">
        <v>5386.2344829042204</v>
      </c>
      <c r="AV3109" s="2">
        <v>30703.908479374699</v>
      </c>
      <c r="AW3109" s="2">
        <v>3004.09458128706</v>
      </c>
      <c r="AX3109" s="2">
        <v>5323.6372347652105</v>
      </c>
    </row>
    <row r="3110" spans="1:50" x14ac:dyDescent="0.25">
      <c r="A3110" s="2" t="s">
        <v>20730</v>
      </c>
      <c r="B3110" s="2">
        <v>374.19843139201498</v>
      </c>
      <c r="C3110" s="2">
        <v>5.91916666666667</v>
      </c>
      <c r="D3110" s="2" t="s">
        <v>51</v>
      </c>
      <c r="E3110" s="2" t="s">
        <v>20731</v>
      </c>
      <c r="F3110" s="2">
        <v>64492</v>
      </c>
      <c r="G3110" s="3" t="str">
        <f>HYPERLINK("https://cloud.oebiotech.com/#/lm/network/64492", "https://cloud.oebiotech.com/#/lm/network/64492")</f>
        <v>https://cloud.oebiotech.com/#/lm/network/64492</v>
      </c>
      <c r="H3110" s="2" t="s">
        <v>20732</v>
      </c>
      <c r="I3110" s="2">
        <v>95801</v>
      </c>
      <c r="J3110" s="2"/>
      <c r="K3110" s="2">
        <v>131753135</v>
      </c>
      <c r="L3110" s="2"/>
      <c r="M3110" s="2"/>
      <c r="N3110" s="2"/>
      <c r="O3110" s="2">
        <v>175584</v>
      </c>
      <c r="P3110" s="2"/>
      <c r="Q3110" s="2"/>
      <c r="R3110" s="2" t="s">
        <v>20733</v>
      </c>
      <c r="S3110" s="2" t="s">
        <v>20734</v>
      </c>
      <c r="T3110" s="2" t="s">
        <v>20735</v>
      </c>
      <c r="U3110" s="2" t="s">
        <v>610</v>
      </c>
      <c r="V3110" s="2" t="s">
        <v>9501</v>
      </c>
      <c r="W3110" s="2" t="s">
        <v>240</v>
      </c>
      <c r="X3110" s="2" t="s">
        <v>69</v>
      </c>
      <c r="Y3110" s="2">
        <v>58.9</v>
      </c>
      <c r="Z3110" s="2">
        <v>96.2</v>
      </c>
      <c r="AA3110" s="2" t="s">
        <v>512</v>
      </c>
      <c r="AB3110" s="2" t="s">
        <v>20736</v>
      </c>
      <c r="AC3110" s="2">
        <v>6.2667892464823796</v>
      </c>
      <c r="AD3110" s="2"/>
      <c r="AE3110" s="2">
        <v>0.19106926154196999</v>
      </c>
      <c r="AF3110" s="2">
        <v>1178.7768279534901</v>
      </c>
      <c r="AG3110" s="2">
        <v>288.32640230596098</v>
      </c>
      <c r="AH3110" s="5">
        <v>4.0883416105009101</v>
      </c>
      <c r="AI3110" s="5">
        <v>2.0315157489137099</v>
      </c>
      <c r="AJ3110" s="5" t="s">
        <v>139</v>
      </c>
      <c r="AK3110" s="2">
        <v>6.6468263244944994E-2</v>
      </c>
      <c r="AL3110" s="2">
        <v>0.34192828169447498</v>
      </c>
      <c r="AM3110" s="2">
        <v>3069.31023413816</v>
      </c>
      <c r="AN3110" s="2">
        <v>738.53938359314895</v>
      </c>
      <c r="AO3110" s="2">
        <v>498.97988295024197</v>
      </c>
      <c r="AP3110" s="2">
        <v>1485.09059822977</v>
      </c>
      <c r="AQ3110" s="2">
        <v>307.67729786941902</v>
      </c>
      <c r="AR3110" s="2">
        <v>973.06357094019404</v>
      </c>
      <c r="AS3110" s="2">
        <v>556.76975681237695</v>
      </c>
      <c r="AT3110" s="2">
        <v>197.51147141559301</v>
      </c>
      <c r="AU3110" s="2">
        <v>774.03839895144199</v>
      </c>
      <c r="AV3110" s="2">
        <v>0.143268871441008</v>
      </c>
      <c r="AW3110" s="2">
        <v>186.49916889664601</v>
      </c>
      <c r="AX3110" s="2">
        <v>14.9963488882701</v>
      </c>
    </row>
    <row r="3111" spans="1:50" x14ac:dyDescent="0.25">
      <c r="A3111" s="2" t="s">
        <v>20737</v>
      </c>
      <c r="B3111" s="2">
        <v>587.24605312327003</v>
      </c>
      <c r="C3111" s="2">
        <v>5.3695666666666702</v>
      </c>
      <c r="D3111" s="2" t="s">
        <v>51</v>
      </c>
      <c r="E3111" s="2" t="s">
        <v>20738</v>
      </c>
      <c r="F3111" s="2">
        <v>61094</v>
      </c>
      <c r="G3111" s="3" t="str">
        <f>HYPERLINK("https://cloud.oebiotech.com/#/lm/network/61094", "https://cloud.oebiotech.com/#/lm/network/61094")</f>
        <v>https://cloud.oebiotech.com/#/lm/network/61094</v>
      </c>
      <c r="H3111" s="2" t="s">
        <v>20739</v>
      </c>
      <c r="I3111" s="2">
        <v>92413</v>
      </c>
      <c r="J3111" s="2"/>
      <c r="K3111" s="2">
        <v>1153</v>
      </c>
      <c r="L3111" s="2" t="s">
        <v>20740</v>
      </c>
      <c r="M3111" s="2"/>
      <c r="N3111" s="2"/>
      <c r="O3111" s="2">
        <v>18186</v>
      </c>
      <c r="P3111" s="2"/>
      <c r="Q3111" s="2"/>
      <c r="R3111" s="2" t="s">
        <v>20741</v>
      </c>
      <c r="S3111" s="2" t="s">
        <v>20742</v>
      </c>
      <c r="T3111" s="2" t="s">
        <v>20743</v>
      </c>
      <c r="U3111" s="2" t="s">
        <v>103</v>
      </c>
      <c r="V3111" s="2" t="s">
        <v>104</v>
      </c>
      <c r="W3111" s="2" t="s">
        <v>4850</v>
      </c>
      <c r="X3111" s="2" t="s">
        <v>147</v>
      </c>
      <c r="Y3111" s="2">
        <v>41.9</v>
      </c>
      <c r="Z3111" s="2">
        <v>26.3</v>
      </c>
      <c r="AA3111" s="2" t="s">
        <v>156</v>
      </c>
      <c r="AB3111" s="2" t="s">
        <v>20744</v>
      </c>
      <c r="AC3111" s="2">
        <v>-4.3613332714428799</v>
      </c>
      <c r="AD3111" s="2"/>
      <c r="AE3111" s="2">
        <v>0.191068223872944</v>
      </c>
      <c r="AF3111" s="2">
        <v>538.57917809006801</v>
      </c>
      <c r="AG3111" s="2">
        <v>4185.8872524279604</v>
      </c>
      <c r="AH3111" s="4">
        <v>0.12866547654327601</v>
      </c>
      <c r="AI3111" s="4">
        <v>-2.9583030926207701</v>
      </c>
      <c r="AJ3111" s="4" t="s">
        <v>62</v>
      </c>
      <c r="AK3111" s="2">
        <v>0.29733671856126398</v>
      </c>
      <c r="AL3111" s="2">
        <v>0.60851020272258705</v>
      </c>
      <c r="AM3111" s="2">
        <v>203.04538924557099</v>
      </c>
      <c r="AN3111" s="2">
        <v>1397.2182230573701</v>
      </c>
      <c r="AO3111" s="2">
        <v>8.559877937157E-6</v>
      </c>
      <c r="AP3111" s="2">
        <v>552.58284340709201</v>
      </c>
      <c r="AQ3111" s="2">
        <v>8.559877937157E-6</v>
      </c>
      <c r="AR3111" s="2">
        <v>1078.6285957106199</v>
      </c>
      <c r="AS3111" s="2">
        <v>455.183898459327</v>
      </c>
      <c r="AT3111" s="2">
        <v>20666.2031858724</v>
      </c>
      <c r="AU3111" s="2">
        <v>667.13160728059495</v>
      </c>
      <c r="AV3111" s="2">
        <v>1285.8294121696899</v>
      </c>
      <c r="AW3111" s="2">
        <v>2040.9754022258501</v>
      </c>
      <c r="AX3111" s="2">
        <v>8.559877937157E-6</v>
      </c>
    </row>
    <row r="3112" spans="1:50" x14ac:dyDescent="0.25">
      <c r="A3112" s="2" t="s">
        <v>20745</v>
      </c>
      <c r="B3112" s="2">
        <v>571.23706968556905</v>
      </c>
      <c r="C3112" s="2">
        <v>3.4689333333333301</v>
      </c>
      <c r="D3112" s="2" t="s">
        <v>51</v>
      </c>
      <c r="E3112" s="2" t="s">
        <v>20746</v>
      </c>
      <c r="F3112" s="2">
        <v>208597</v>
      </c>
      <c r="G3112" s="3" t="str">
        <f>HYPERLINK("https://cloud.oebiotech.com/#/lm/network/208597", "https://cloud.oebiotech.com/#/lm/network/208597")</f>
        <v>https://cloud.oebiotech.com/#/lm/network/208597</v>
      </c>
      <c r="H3112" s="2" t="s">
        <v>20747</v>
      </c>
      <c r="I3112" s="2"/>
      <c r="J3112" s="2"/>
      <c r="K3112" s="2">
        <v>13876428</v>
      </c>
      <c r="L3112" s="2"/>
      <c r="M3112" s="2"/>
      <c r="N3112" s="2"/>
      <c r="O3112" s="2"/>
      <c r="P3112" s="2"/>
      <c r="Q3112" s="2"/>
      <c r="R3112" s="2"/>
      <c r="S3112" s="2" t="s">
        <v>20748</v>
      </c>
      <c r="T3112" s="2" t="s">
        <v>20749</v>
      </c>
      <c r="U3112" s="2" t="s">
        <v>103</v>
      </c>
      <c r="V3112" s="2" t="s">
        <v>104</v>
      </c>
      <c r="W3112" s="2" t="s">
        <v>105</v>
      </c>
      <c r="X3112" s="2" t="s">
        <v>59</v>
      </c>
      <c r="Y3112" s="2">
        <v>47.2</v>
      </c>
      <c r="Z3112" s="2">
        <v>58.2</v>
      </c>
      <c r="AA3112" s="2" t="s">
        <v>163</v>
      </c>
      <c r="AB3112" s="2" t="s">
        <v>20750</v>
      </c>
      <c r="AC3112" s="2">
        <v>4.6173092091582397</v>
      </c>
      <c r="AD3112" s="2"/>
      <c r="AE3112" s="2">
        <v>0.190838429655659</v>
      </c>
      <c r="AF3112" s="2">
        <v>6865.3303420250104</v>
      </c>
      <c r="AG3112" s="2">
        <v>9938.9893817678803</v>
      </c>
      <c r="AH3112" s="4">
        <v>0.690747326344748</v>
      </c>
      <c r="AI3112" s="4">
        <v>-0.53377002203582502</v>
      </c>
      <c r="AJ3112" s="4" t="s">
        <v>62</v>
      </c>
      <c r="AK3112" s="2">
        <v>0.74740663622062997</v>
      </c>
      <c r="AL3112" s="2">
        <v>0.884463464070536</v>
      </c>
      <c r="AM3112" s="2">
        <v>12031.2245433271</v>
      </c>
      <c r="AN3112" s="2">
        <v>8.559877937157E-6</v>
      </c>
      <c r="AO3112" s="2">
        <v>8.559877937157E-6</v>
      </c>
      <c r="AP3112" s="2">
        <v>8.559877937157E-6</v>
      </c>
      <c r="AQ3112" s="2">
        <v>15285.631740574099</v>
      </c>
      <c r="AR3112" s="2">
        <v>13875.1257425692</v>
      </c>
      <c r="AS3112" s="2">
        <v>8.559877937157E-6</v>
      </c>
      <c r="AT3112" s="2">
        <v>8.559877937157E-6</v>
      </c>
      <c r="AU3112" s="2">
        <v>412.40082742816998</v>
      </c>
      <c r="AV3112" s="2">
        <v>53535.048326307297</v>
      </c>
      <c r="AW3112" s="2">
        <v>888.09264911313096</v>
      </c>
      <c r="AX3112" s="2">
        <v>4798.3944706389402</v>
      </c>
    </row>
    <row r="3113" spans="1:50" x14ac:dyDescent="0.25">
      <c r="A3113" s="2" t="s">
        <v>20751</v>
      </c>
      <c r="B3113" s="2">
        <v>231.138639771123</v>
      </c>
      <c r="C3113" s="2">
        <v>7.8820833333333304</v>
      </c>
      <c r="D3113" s="2" t="s">
        <v>51</v>
      </c>
      <c r="E3113" s="2" t="s">
        <v>20752</v>
      </c>
      <c r="F3113" s="2">
        <v>59723</v>
      </c>
      <c r="G3113" s="3" t="str">
        <f>HYPERLINK("https://cloud.oebiotech.com/#/lm/network/59723", "https://cloud.oebiotech.com/#/lm/network/59723")</f>
        <v>https://cloud.oebiotech.com/#/lm/network/59723</v>
      </c>
      <c r="H3113" s="2" t="s">
        <v>20753</v>
      </c>
      <c r="I3113" s="2">
        <v>91106</v>
      </c>
      <c r="J3113" s="2"/>
      <c r="K3113" s="2">
        <v>21578749</v>
      </c>
      <c r="L3113" s="2"/>
      <c r="M3113" s="2"/>
      <c r="N3113" s="2"/>
      <c r="O3113" s="2"/>
      <c r="P3113" s="2"/>
      <c r="Q3113" s="2"/>
      <c r="R3113" s="2" t="s">
        <v>20754</v>
      </c>
      <c r="S3113" s="2" t="s">
        <v>20755</v>
      </c>
      <c r="T3113" s="2" t="s">
        <v>20756</v>
      </c>
      <c r="U3113" s="2" t="s">
        <v>266</v>
      </c>
      <c r="V3113" s="2" t="s">
        <v>1785</v>
      </c>
      <c r="W3113" s="2" t="s">
        <v>1786</v>
      </c>
      <c r="X3113" s="2" t="s">
        <v>69</v>
      </c>
      <c r="Y3113" s="2">
        <v>56.4</v>
      </c>
      <c r="Z3113" s="2">
        <v>55</v>
      </c>
      <c r="AA3113" s="2" t="s">
        <v>156</v>
      </c>
      <c r="AB3113" s="2" t="s">
        <v>18001</v>
      </c>
      <c r="AC3113" s="2">
        <v>2.7545644202626098</v>
      </c>
      <c r="AD3113" s="2"/>
      <c r="AE3113" s="2">
        <v>0.19083514485873199</v>
      </c>
      <c r="AF3113" s="2">
        <v>1781.3199581060801</v>
      </c>
      <c r="AG3113" s="2">
        <v>912.26433767992296</v>
      </c>
      <c r="AH3113" s="5">
        <v>1.9526357487966199</v>
      </c>
      <c r="AI3113" s="5">
        <v>0.96542284916515797</v>
      </c>
      <c r="AJ3113" s="5" t="s">
        <v>139</v>
      </c>
      <c r="AK3113" s="2">
        <v>8.6056312061017701E-2</v>
      </c>
      <c r="AL3113" s="2">
        <v>0.37845653681945302</v>
      </c>
      <c r="AM3113" s="2">
        <v>3824.0142548074</v>
      </c>
      <c r="AN3113" s="2">
        <v>1447.68016141812</v>
      </c>
      <c r="AO3113" s="2">
        <v>1245.9899870992199</v>
      </c>
      <c r="AP3113" s="2">
        <v>1412.1594064097001</v>
      </c>
      <c r="AQ3113" s="2">
        <v>1041.80978575995</v>
      </c>
      <c r="AR3113" s="2">
        <v>1716.2661531421199</v>
      </c>
      <c r="AS3113" s="2">
        <v>1542.78576720352</v>
      </c>
      <c r="AT3113" s="2">
        <v>1009.14091539925</v>
      </c>
      <c r="AU3113" s="2">
        <v>911.06177630518096</v>
      </c>
      <c r="AV3113" s="2">
        <v>303.064386792037</v>
      </c>
      <c r="AW3113" s="2">
        <v>531.73780608396999</v>
      </c>
      <c r="AX3113" s="2">
        <v>1175.7953742955799</v>
      </c>
    </row>
    <row r="3114" spans="1:50" x14ac:dyDescent="0.25">
      <c r="A3114" s="2" t="s">
        <v>20757</v>
      </c>
      <c r="B3114" s="2">
        <v>409.18809153657099</v>
      </c>
      <c r="C3114" s="2">
        <v>7.7465999999999999</v>
      </c>
      <c r="D3114" s="2" t="s">
        <v>51</v>
      </c>
      <c r="E3114" s="2" t="s">
        <v>20758</v>
      </c>
      <c r="F3114" s="2">
        <v>63889</v>
      </c>
      <c r="G3114" s="3" t="str">
        <f>HYPERLINK("https://cloud.oebiotech.com/#/lm/network/63889", "https://cloud.oebiotech.com/#/lm/network/63889")</f>
        <v>https://cloud.oebiotech.com/#/lm/network/63889</v>
      </c>
      <c r="H3114" s="2" t="s">
        <v>20759</v>
      </c>
      <c r="I3114" s="2">
        <v>95222</v>
      </c>
      <c r="J3114" s="2"/>
      <c r="K3114" s="2">
        <v>131752928</v>
      </c>
      <c r="L3114" s="2"/>
      <c r="M3114" s="2"/>
      <c r="N3114" s="2"/>
      <c r="O3114" s="2">
        <v>175673</v>
      </c>
      <c r="P3114" s="2"/>
      <c r="Q3114" s="2"/>
      <c r="R3114" s="2" t="s">
        <v>20760</v>
      </c>
      <c r="S3114" s="2" t="s">
        <v>20761</v>
      </c>
      <c r="T3114" s="2" t="s">
        <v>20762</v>
      </c>
      <c r="U3114" s="2" t="s">
        <v>56</v>
      </c>
      <c r="V3114" s="2" t="s">
        <v>177</v>
      </c>
      <c r="W3114" s="2" t="s">
        <v>806</v>
      </c>
      <c r="X3114" s="2" t="s">
        <v>83</v>
      </c>
      <c r="Y3114" s="2">
        <v>49</v>
      </c>
      <c r="Z3114" s="2">
        <v>0</v>
      </c>
      <c r="AA3114" s="2" t="s">
        <v>218</v>
      </c>
      <c r="AB3114" s="2" t="s">
        <v>15586</v>
      </c>
      <c r="AC3114" s="2">
        <v>3.5697198962852301</v>
      </c>
      <c r="AD3114" s="2"/>
      <c r="AE3114" s="2">
        <v>0.19082402241239499</v>
      </c>
      <c r="AF3114" s="2">
        <v>932.21802743513604</v>
      </c>
      <c r="AG3114" s="2">
        <v>126.241623575909</v>
      </c>
      <c r="AH3114" s="5">
        <v>7.3843951070115503</v>
      </c>
      <c r="AI3114" s="5">
        <v>2.8844797474143902</v>
      </c>
      <c r="AJ3114" s="5" t="s">
        <v>139</v>
      </c>
      <c r="AK3114" s="2">
        <v>2.87793905899149E-2</v>
      </c>
      <c r="AL3114" s="2">
        <v>0.258101573915898</v>
      </c>
      <c r="AM3114" s="2">
        <v>1050.6503191752799</v>
      </c>
      <c r="AN3114" s="2">
        <v>2367.3996679474899</v>
      </c>
      <c r="AO3114" s="2">
        <v>646.11361262734101</v>
      </c>
      <c r="AP3114" s="2">
        <v>286.79333889806799</v>
      </c>
      <c r="AQ3114" s="2">
        <v>686.31911084382602</v>
      </c>
      <c r="AR3114" s="2">
        <v>556.03211511881</v>
      </c>
      <c r="AS3114" s="2">
        <v>8.559877937157E-6</v>
      </c>
      <c r="AT3114" s="2">
        <v>42.942684539974103</v>
      </c>
      <c r="AU3114" s="2">
        <v>526.52846717638101</v>
      </c>
      <c r="AV3114" s="2">
        <v>8.559877937157E-6</v>
      </c>
      <c r="AW3114" s="2">
        <v>8.559877937157E-6</v>
      </c>
      <c r="AX3114" s="2">
        <v>187.97856405946499</v>
      </c>
    </row>
    <row r="3115" spans="1:50" x14ac:dyDescent="0.25">
      <c r="A3115" s="2" t="s">
        <v>20763</v>
      </c>
      <c r="B3115" s="2">
        <v>580.36224770792001</v>
      </c>
      <c r="C3115" s="2">
        <v>11.7921333333333</v>
      </c>
      <c r="D3115" s="2" t="s">
        <v>51</v>
      </c>
      <c r="E3115" s="2" t="s">
        <v>20764</v>
      </c>
      <c r="F3115" s="2">
        <v>19894</v>
      </c>
      <c r="G3115" s="3" t="str">
        <f>HYPERLINK("https://cloud.oebiotech.com/#/lm/network/19894", "https://cloud.oebiotech.com/#/lm/network/19894")</f>
        <v>https://cloud.oebiotech.com/#/lm/network/19894</v>
      </c>
      <c r="H3115" s="2"/>
      <c r="I3115" s="2"/>
      <c r="J3115" s="2" t="s">
        <v>20765</v>
      </c>
      <c r="K3115" s="2">
        <v>15515616</v>
      </c>
      <c r="L3115" s="2"/>
      <c r="M3115" s="2"/>
      <c r="N3115" s="2"/>
      <c r="O3115" s="2"/>
      <c r="P3115" s="2"/>
      <c r="Q3115" s="2"/>
      <c r="R3115" s="2"/>
      <c r="S3115" s="2" t="s">
        <v>20766</v>
      </c>
      <c r="T3115" s="2" t="s">
        <v>20767</v>
      </c>
      <c r="U3115" s="2" t="s">
        <v>56</v>
      </c>
      <c r="V3115" s="2" t="s">
        <v>57</v>
      </c>
      <c r="W3115" s="2" t="s">
        <v>58</v>
      </c>
      <c r="X3115" s="2" t="s">
        <v>59</v>
      </c>
      <c r="Y3115" s="2">
        <v>54.2</v>
      </c>
      <c r="Z3115" s="2">
        <v>78.2</v>
      </c>
      <c r="AA3115" s="2" t="s">
        <v>218</v>
      </c>
      <c r="AB3115" s="2" t="s">
        <v>4844</v>
      </c>
      <c r="AC3115" s="2">
        <v>0.47656271256641902</v>
      </c>
      <c r="AD3115" s="2"/>
      <c r="AE3115" s="2">
        <v>0.190820706413805</v>
      </c>
      <c r="AF3115" s="2">
        <v>20414.613954863398</v>
      </c>
      <c r="AG3115" s="2">
        <v>24312.8500088049</v>
      </c>
      <c r="AH3115" s="4">
        <v>0.83966355024072503</v>
      </c>
      <c r="AI3115" s="4">
        <v>-0.25211673322692302</v>
      </c>
      <c r="AJ3115" s="4" t="s">
        <v>62</v>
      </c>
      <c r="AK3115" s="2">
        <v>0.52676332855789598</v>
      </c>
      <c r="AL3115" s="2">
        <v>0.75541578468508697</v>
      </c>
      <c r="AM3115" s="2">
        <v>23107.125230309801</v>
      </c>
      <c r="AN3115" s="2">
        <v>23140.204509299201</v>
      </c>
      <c r="AO3115" s="2">
        <v>22242.688284650601</v>
      </c>
      <c r="AP3115" s="2">
        <v>13537.0856224334</v>
      </c>
      <c r="AQ3115" s="2">
        <v>23752.057245169599</v>
      </c>
      <c r="AR3115" s="2">
        <v>16708.522837317501</v>
      </c>
      <c r="AS3115" s="2">
        <v>12564.087359748</v>
      </c>
      <c r="AT3115" s="2">
        <v>5587.4225192467602</v>
      </c>
      <c r="AU3115" s="2">
        <v>41007.699427832697</v>
      </c>
      <c r="AV3115" s="2">
        <v>30197.905964408499</v>
      </c>
      <c r="AW3115" s="2">
        <v>36527.310250588802</v>
      </c>
      <c r="AX3115" s="2">
        <v>19992.674531004501</v>
      </c>
    </row>
    <row r="3116" spans="1:50" x14ac:dyDescent="0.25">
      <c r="A3116" s="2" t="s">
        <v>20768</v>
      </c>
      <c r="B3116" s="2">
        <v>193.00699681388301</v>
      </c>
      <c r="C3116" s="2">
        <v>4.5435833333333298</v>
      </c>
      <c r="D3116" s="2" t="s">
        <v>51</v>
      </c>
      <c r="E3116" s="2" t="s">
        <v>20769</v>
      </c>
      <c r="F3116" s="2">
        <v>53172</v>
      </c>
      <c r="G3116" s="3" t="str">
        <f>HYPERLINK("https://cloud.oebiotech.com/#/lm/network/53172", "https://cloud.oebiotech.com/#/lm/network/53172")</f>
        <v>https://cloud.oebiotech.com/#/lm/network/53172</v>
      </c>
      <c r="H3116" s="2" t="s">
        <v>20770</v>
      </c>
      <c r="I3116" s="2">
        <v>66666</v>
      </c>
      <c r="J3116" s="2"/>
      <c r="K3116" s="2">
        <v>5734</v>
      </c>
      <c r="L3116" s="2" t="s">
        <v>20771</v>
      </c>
      <c r="M3116" s="2"/>
      <c r="N3116" s="2"/>
      <c r="O3116" s="2">
        <v>10127</v>
      </c>
      <c r="P3116" s="2"/>
      <c r="Q3116" s="2"/>
      <c r="R3116" s="2" t="s">
        <v>20772</v>
      </c>
      <c r="S3116" s="2" t="s">
        <v>20773</v>
      </c>
      <c r="T3116" s="2" t="s">
        <v>20774</v>
      </c>
      <c r="U3116" s="2" t="s">
        <v>266</v>
      </c>
      <c r="V3116" s="2" t="s">
        <v>20775</v>
      </c>
      <c r="W3116" s="2" t="s">
        <v>240</v>
      </c>
      <c r="X3116" s="2" t="s">
        <v>147</v>
      </c>
      <c r="Y3116" s="2">
        <v>37.9</v>
      </c>
      <c r="Z3116" s="2">
        <v>0</v>
      </c>
      <c r="AA3116" s="2" t="s">
        <v>379</v>
      </c>
      <c r="AB3116" s="2" t="s">
        <v>20776</v>
      </c>
      <c r="AC3116" s="2">
        <v>-3.42029963952815</v>
      </c>
      <c r="AD3116" s="2"/>
      <c r="AE3116" s="2">
        <v>0.19081287089618201</v>
      </c>
      <c r="AF3116" s="2">
        <v>2734.6251610440399</v>
      </c>
      <c r="AG3116" s="2">
        <v>4020.2875575181602</v>
      </c>
      <c r="AH3116" s="4">
        <v>0.680206358853646</v>
      </c>
      <c r="AI3116" s="4">
        <v>-0.55595560186169002</v>
      </c>
      <c r="AJ3116" s="4" t="s">
        <v>62</v>
      </c>
      <c r="AK3116" s="2">
        <v>4.2454786585795899E-2</v>
      </c>
      <c r="AL3116" s="2">
        <v>0.29376930997653899</v>
      </c>
      <c r="AM3116" s="2">
        <v>1925.97387394462</v>
      </c>
      <c r="AN3116" s="2">
        <v>2806.21811596823</v>
      </c>
      <c r="AO3116" s="2">
        <v>2615.1744452850999</v>
      </c>
      <c r="AP3116" s="2">
        <v>2765.5669306222298</v>
      </c>
      <c r="AQ3116" s="2">
        <v>2830.8070500870099</v>
      </c>
      <c r="AR3116" s="2">
        <v>3464.0105503570699</v>
      </c>
      <c r="AS3116" s="2">
        <v>4279.4349172719503</v>
      </c>
      <c r="AT3116" s="2">
        <v>5862.5229545830398</v>
      </c>
      <c r="AU3116" s="2">
        <v>4582.6729254771799</v>
      </c>
      <c r="AV3116" s="2">
        <v>2298.7130434110099</v>
      </c>
      <c r="AW3116" s="2">
        <v>2925.5733540647202</v>
      </c>
      <c r="AX3116" s="2">
        <v>4172.8081503010399</v>
      </c>
    </row>
    <row r="3117" spans="1:50" x14ac:dyDescent="0.25">
      <c r="A3117" s="2" t="s">
        <v>20777</v>
      </c>
      <c r="B3117" s="2">
        <v>344.18678405324499</v>
      </c>
      <c r="C3117" s="2">
        <v>4.8526333333333298</v>
      </c>
      <c r="D3117" s="2" t="s">
        <v>51</v>
      </c>
      <c r="E3117" s="2" t="s">
        <v>20778</v>
      </c>
      <c r="F3117" s="2">
        <v>201433</v>
      </c>
      <c r="G3117" s="3" t="str">
        <f>HYPERLINK("https://cloud.oebiotech.com/#/lm/network/201433", "https://cloud.oebiotech.com/#/lm/network/201433")</f>
        <v>https://cloud.oebiotech.com/#/lm/network/201433</v>
      </c>
      <c r="H3117" s="2" t="s">
        <v>20779</v>
      </c>
      <c r="I3117" s="2"/>
      <c r="J3117" s="2"/>
      <c r="K3117" s="2">
        <v>10360080</v>
      </c>
      <c r="L3117" s="2"/>
      <c r="M3117" s="2"/>
      <c r="N3117" s="2"/>
      <c r="O3117" s="2"/>
      <c r="P3117" s="2"/>
      <c r="Q3117" s="2"/>
      <c r="R3117" s="2"/>
      <c r="S3117" s="2" t="s">
        <v>20780</v>
      </c>
      <c r="T3117" s="2" t="s">
        <v>20781</v>
      </c>
      <c r="U3117" s="2" t="s">
        <v>103</v>
      </c>
      <c r="V3117" s="2" t="s">
        <v>104</v>
      </c>
      <c r="W3117" s="2" t="s">
        <v>105</v>
      </c>
      <c r="X3117" s="2" t="s">
        <v>69</v>
      </c>
      <c r="Y3117" s="2">
        <v>51.5</v>
      </c>
      <c r="Z3117" s="2">
        <v>76.599999999999994</v>
      </c>
      <c r="AA3117" s="2" t="s">
        <v>259</v>
      </c>
      <c r="AB3117" s="2" t="s">
        <v>20782</v>
      </c>
      <c r="AC3117" s="2">
        <v>3.3490936323415101</v>
      </c>
      <c r="AD3117" s="2"/>
      <c r="AE3117" s="2">
        <v>0.19056946728190099</v>
      </c>
      <c r="AF3117" s="2">
        <v>3861.59925530279</v>
      </c>
      <c r="AG3117" s="2">
        <v>5485.5928889995002</v>
      </c>
      <c r="AH3117" s="4">
        <v>0.703952942451603</v>
      </c>
      <c r="AI3117" s="4">
        <v>-0.506449103469091</v>
      </c>
      <c r="AJ3117" s="4" t="s">
        <v>62</v>
      </c>
      <c r="AK3117" s="2">
        <v>0.57548110855083401</v>
      </c>
      <c r="AL3117" s="2">
        <v>0.78579377678617801</v>
      </c>
      <c r="AM3117" s="2">
        <v>1738.16372516408</v>
      </c>
      <c r="AN3117" s="2">
        <v>4078.0461383076299</v>
      </c>
      <c r="AO3117" s="2">
        <v>2596.6165227552101</v>
      </c>
      <c r="AP3117" s="2">
        <v>8809.1105915299395</v>
      </c>
      <c r="AQ3117" s="2">
        <v>1570.5272885873601</v>
      </c>
      <c r="AR3117" s="2">
        <v>4377.1312654725198</v>
      </c>
      <c r="AS3117" s="2">
        <v>18149.889237158401</v>
      </c>
      <c r="AT3117" s="2">
        <v>4317.70522159333</v>
      </c>
      <c r="AU3117" s="2">
        <v>1313.8277577840199</v>
      </c>
      <c r="AV3117" s="2">
        <v>4377.9611264738496</v>
      </c>
      <c r="AW3117" s="2">
        <v>2014.9882883868299</v>
      </c>
      <c r="AX3117" s="2">
        <v>2739.18570260057</v>
      </c>
    </row>
    <row r="3118" spans="1:50" x14ac:dyDescent="0.25">
      <c r="A3118" s="2" t="s">
        <v>20783</v>
      </c>
      <c r="B3118" s="2">
        <v>249.16065112127399</v>
      </c>
      <c r="C3118" s="2">
        <v>5.0793666666666697</v>
      </c>
      <c r="D3118" s="2" t="s">
        <v>51</v>
      </c>
      <c r="E3118" s="2" t="s">
        <v>20784</v>
      </c>
      <c r="F3118" s="2">
        <v>211381</v>
      </c>
      <c r="G3118" s="3" t="str">
        <f>HYPERLINK("https://cloud.oebiotech.com/#/lm/network/211381", "https://cloud.oebiotech.com/#/lm/network/211381")</f>
        <v>https://cloud.oebiotech.com/#/lm/network/211381</v>
      </c>
      <c r="H3118" s="2" t="s">
        <v>20785</v>
      </c>
      <c r="I3118" s="2"/>
      <c r="J3118" s="2"/>
      <c r="K3118" s="2">
        <v>117072346</v>
      </c>
      <c r="L3118" s="2"/>
      <c r="M3118" s="2"/>
      <c r="N3118" s="2"/>
      <c r="O3118" s="2"/>
      <c r="P3118" s="2"/>
      <c r="Q3118" s="2"/>
      <c r="R3118" s="2"/>
      <c r="S3118" s="2" t="s">
        <v>20786</v>
      </c>
      <c r="T3118" s="2" t="s">
        <v>20787</v>
      </c>
      <c r="U3118" s="2" t="s">
        <v>266</v>
      </c>
      <c r="V3118" s="2" t="s">
        <v>2143</v>
      </c>
      <c r="W3118" s="2" t="s">
        <v>18895</v>
      </c>
      <c r="X3118" s="2" t="s">
        <v>147</v>
      </c>
      <c r="Y3118" s="2">
        <v>37.9</v>
      </c>
      <c r="Z3118" s="2">
        <v>10.9</v>
      </c>
      <c r="AA3118" s="2" t="s">
        <v>156</v>
      </c>
      <c r="AB3118" s="2" t="s">
        <v>20788</v>
      </c>
      <c r="AC3118" s="2">
        <v>3.3693537800521001</v>
      </c>
      <c r="AD3118" s="2"/>
      <c r="AE3118" s="2">
        <v>0.19046997853775499</v>
      </c>
      <c r="AF3118" s="2">
        <v>2129.7828083258601</v>
      </c>
      <c r="AG3118" s="2">
        <v>4153.0699143462498</v>
      </c>
      <c r="AH3118" s="4">
        <v>0.51282132308170403</v>
      </c>
      <c r="AI3118" s="4">
        <v>-0.96347184450507095</v>
      </c>
      <c r="AJ3118" s="4" t="s">
        <v>62</v>
      </c>
      <c r="AK3118" s="2">
        <v>0.32593315954979402</v>
      </c>
      <c r="AL3118" s="2">
        <v>0.62992073899545697</v>
      </c>
      <c r="AM3118" s="2">
        <v>4221.0575065869698</v>
      </c>
      <c r="AN3118" s="2">
        <v>2221.3926309461699</v>
      </c>
      <c r="AO3118" s="2">
        <v>1430.6548000307</v>
      </c>
      <c r="AP3118" s="2">
        <v>2196.9640343547799</v>
      </c>
      <c r="AQ3118" s="2">
        <v>1430.63894098833</v>
      </c>
      <c r="AR3118" s="2">
        <v>1277.9889370482299</v>
      </c>
      <c r="AS3118" s="2">
        <v>4635.0615571255503</v>
      </c>
      <c r="AT3118" s="2">
        <v>1712.4925045294401</v>
      </c>
      <c r="AU3118" s="2">
        <v>1850.4211456359501</v>
      </c>
      <c r="AV3118" s="2">
        <v>1556.0891766637901</v>
      </c>
      <c r="AW3118" s="2">
        <v>1783.7286577187499</v>
      </c>
      <c r="AX3118" s="2">
        <v>13380.626444404001</v>
      </c>
    </row>
    <row r="3119" spans="1:50" x14ac:dyDescent="0.25">
      <c r="A3119" s="2" t="s">
        <v>20789</v>
      </c>
      <c r="B3119" s="2">
        <v>237.123760017287</v>
      </c>
      <c r="C3119" s="2">
        <v>3.62381666666667</v>
      </c>
      <c r="D3119" s="2" t="s">
        <v>51</v>
      </c>
      <c r="E3119" s="2" t="s">
        <v>20790</v>
      </c>
      <c r="F3119" s="2">
        <v>53734</v>
      </c>
      <c r="G3119" s="3" t="str">
        <f>HYPERLINK("https://cloud.oebiotech.com/#/lm/network/53734", "https://cloud.oebiotech.com/#/lm/network/53734")</f>
        <v>https://cloud.oebiotech.com/#/lm/network/53734</v>
      </c>
      <c r="H3119" s="2" t="s">
        <v>20791</v>
      </c>
      <c r="I3119" s="2"/>
      <c r="J3119" s="2"/>
      <c r="K3119" s="2">
        <v>96814</v>
      </c>
      <c r="L3119" s="2"/>
      <c r="M3119" s="2"/>
      <c r="N3119" s="2"/>
      <c r="O3119" s="2">
        <v>73807</v>
      </c>
      <c r="P3119" s="2"/>
      <c r="Q3119" s="2"/>
      <c r="R3119" s="2" t="s">
        <v>20792</v>
      </c>
      <c r="S3119" s="2" t="s">
        <v>20793</v>
      </c>
      <c r="T3119" s="2" t="s">
        <v>20794</v>
      </c>
      <c r="U3119" s="2" t="s">
        <v>103</v>
      </c>
      <c r="V3119" s="2" t="s">
        <v>104</v>
      </c>
      <c r="W3119" s="2" t="s">
        <v>105</v>
      </c>
      <c r="X3119" s="2" t="s">
        <v>69</v>
      </c>
      <c r="Y3119" s="2">
        <v>49.4</v>
      </c>
      <c r="Z3119" s="2">
        <v>45.7</v>
      </c>
      <c r="AA3119" s="2" t="s">
        <v>259</v>
      </c>
      <c r="AB3119" s="2" t="s">
        <v>13064</v>
      </c>
      <c r="AC3119" s="2">
        <v>1.6568285668423399</v>
      </c>
      <c r="AD3119" s="2"/>
      <c r="AE3119" s="2">
        <v>0.19040812649299399</v>
      </c>
      <c r="AF3119" s="2">
        <v>4078.4196793564502</v>
      </c>
      <c r="AG3119" s="2">
        <v>2171.99972913073</v>
      </c>
      <c r="AH3119" s="5">
        <v>1.8777256850711901</v>
      </c>
      <c r="AI3119" s="5">
        <v>0.90898631661598295</v>
      </c>
      <c r="AJ3119" s="5" t="s">
        <v>139</v>
      </c>
      <c r="AK3119" s="2">
        <v>0.20411707417362501</v>
      </c>
      <c r="AL3119" s="2">
        <v>0.52937915708753103</v>
      </c>
      <c r="AM3119" s="2">
        <v>4255.36376280271</v>
      </c>
      <c r="AN3119" s="2">
        <v>1167.10179102661</v>
      </c>
      <c r="AO3119" s="2">
        <v>2325.22642796124</v>
      </c>
      <c r="AP3119" s="2">
        <v>1517.9522730638801</v>
      </c>
      <c r="AQ3119" s="2">
        <v>9341.73534432413</v>
      </c>
      <c r="AR3119" s="2">
        <v>5863.13847696014</v>
      </c>
      <c r="AS3119" s="2">
        <v>1123.1650921830301</v>
      </c>
      <c r="AT3119" s="2">
        <v>2087.50834363883</v>
      </c>
      <c r="AU3119" s="2">
        <v>2022.94196111017</v>
      </c>
      <c r="AV3119" s="2">
        <v>4900.2764509618801</v>
      </c>
      <c r="AW3119" s="2">
        <v>1910.13973927589</v>
      </c>
      <c r="AX3119" s="2">
        <v>987.966787614591</v>
      </c>
    </row>
    <row r="3120" spans="1:50" x14ac:dyDescent="0.25">
      <c r="A3120" s="2" t="s">
        <v>20795</v>
      </c>
      <c r="B3120" s="2">
        <v>311.17269354939998</v>
      </c>
      <c r="C3120" s="2">
        <v>11.349600000000001</v>
      </c>
      <c r="D3120" s="2" t="s">
        <v>51</v>
      </c>
      <c r="E3120" s="2" t="s">
        <v>20796</v>
      </c>
      <c r="F3120" s="2">
        <v>54342</v>
      </c>
      <c r="G3120" s="3" t="str">
        <f>HYPERLINK("https://cloud.oebiotech.com/#/lm/network/54342", "https://cloud.oebiotech.com/#/lm/network/54342")</f>
        <v>https://cloud.oebiotech.com/#/lm/network/54342</v>
      </c>
      <c r="H3120" s="2" t="s">
        <v>20797</v>
      </c>
      <c r="I3120" s="2">
        <v>445667</v>
      </c>
      <c r="J3120" s="2"/>
      <c r="K3120" s="2">
        <v>89287</v>
      </c>
      <c r="L3120" s="2" t="s">
        <v>20798</v>
      </c>
      <c r="M3120" s="2"/>
      <c r="N3120" s="2"/>
      <c r="O3120" s="2">
        <v>16353</v>
      </c>
      <c r="P3120" s="2"/>
      <c r="Q3120" s="2"/>
      <c r="R3120" s="2" t="s">
        <v>20799</v>
      </c>
      <c r="S3120" s="2" t="s">
        <v>20800</v>
      </c>
      <c r="T3120" s="2" t="s">
        <v>20801</v>
      </c>
      <c r="U3120" s="2" t="s">
        <v>540</v>
      </c>
      <c r="V3120" s="2" t="s">
        <v>3291</v>
      </c>
      <c r="W3120" s="2" t="s">
        <v>3292</v>
      </c>
      <c r="X3120" s="2" t="s">
        <v>147</v>
      </c>
      <c r="Y3120" s="2">
        <v>38.700000000000003</v>
      </c>
      <c r="Z3120" s="2">
        <v>0</v>
      </c>
      <c r="AA3120" s="2" t="s">
        <v>259</v>
      </c>
      <c r="AB3120" s="2" t="s">
        <v>20802</v>
      </c>
      <c r="AC3120" s="2">
        <v>-9.9156371620433406E-2</v>
      </c>
      <c r="AD3120" s="2"/>
      <c r="AE3120" s="2">
        <v>0.19037657976974701</v>
      </c>
      <c r="AF3120" s="2">
        <v>5830.6452126264003</v>
      </c>
      <c r="AG3120" s="2">
        <v>4649.1832346320598</v>
      </c>
      <c r="AH3120" s="5">
        <v>1.2541224809539799</v>
      </c>
      <c r="AI3120" s="5">
        <v>0.32667825247488103</v>
      </c>
      <c r="AJ3120" s="5" t="s">
        <v>139</v>
      </c>
      <c r="AK3120" s="2">
        <v>0.49551454710986997</v>
      </c>
      <c r="AL3120" s="2">
        <v>0.73518516839452297</v>
      </c>
      <c r="AM3120" s="2">
        <v>11462.185590188999</v>
      </c>
      <c r="AN3120" s="2">
        <v>7558.7196120238104</v>
      </c>
      <c r="AO3120" s="2">
        <v>4562.7477924721697</v>
      </c>
      <c r="AP3120" s="2">
        <v>5233.0152745124196</v>
      </c>
      <c r="AQ3120" s="2">
        <v>2944.88563062806</v>
      </c>
      <c r="AR3120" s="2">
        <v>3222.3173759329602</v>
      </c>
      <c r="AS3120" s="2">
        <v>3756.1956298382502</v>
      </c>
      <c r="AT3120" s="2">
        <v>1950.9179635002599</v>
      </c>
      <c r="AU3120" s="2">
        <v>9050.3035175967598</v>
      </c>
      <c r="AV3120" s="2">
        <v>2911.90637044509</v>
      </c>
      <c r="AW3120" s="2">
        <v>4403.6829497376002</v>
      </c>
      <c r="AX3120" s="2">
        <v>5822.0929766743902</v>
      </c>
    </row>
    <row r="3121" spans="1:50" x14ac:dyDescent="0.25">
      <c r="A3121" s="2" t="s">
        <v>20803</v>
      </c>
      <c r="B3121" s="2">
        <v>591.28973531650001</v>
      </c>
      <c r="C3121" s="2">
        <v>4.6687166666666702</v>
      </c>
      <c r="D3121" s="2" t="s">
        <v>51</v>
      </c>
      <c r="E3121" s="2" t="s">
        <v>20804</v>
      </c>
      <c r="F3121" s="2">
        <v>200421</v>
      </c>
      <c r="G3121" s="3" t="str">
        <f>HYPERLINK("https://cloud.oebiotech.com/#/lm/network/200421", "https://cloud.oebiotech.com/#/lm/network/200421")</f>
        <v>https://cloud.oebiotech.com/#/lm/network/200421</v>
      </c>
      <c r="H3121" s="2" t="s">
        <v>20805</v>
      </c>
      <c r="I3121" s="2"/>
      <c r="J3121" s="2"/>
      <c r="K3121" s="2">
        <v>14130698</v>
      </c>
      <c r="L3121" s="2"/>
      <c r="M3121" s="2"/>
      <c r="N3121" s="2"/>
      <c r="O3121" s="2"/>
      <c r="P3121" s="2"/>
      <c r="Q3121" s="2"/>
      <c r="R3121" s="2"/>
      <c r="S3121" s="2" t="s">
        <v>20806</v>
      </c>
      <c r="T3121" s="2" t="s">
        <v>20807</v>
      </c>
      <c r="U3121" s="2" t="s">
        <v>103</v>
      </c>
      <c r="V3121" s="2" t="s">
        <v>104</v>
      </c>
      <c r="W3121" s="2" t="s">
        <v>105</v>
      </c>
      <c r="X3121" s="2" t="s">
        <v>59</v>
      </c>
      <c r="Y3121" s="2">
        <v>48.5</v>
      </c>
      <c r="Z3121" s="2">
        <v>51.9</v>
      </c>
      <c r="AA3121" s="2" t="s">
        <v>95</v>
      </c>
      <c r="AB3121" s="2" t="s">
        <v>20808</v>
      </c>
      <c r="AC3121" s="2">
        <v>-0.73621638683737001</v>
      </c>
      <c r="AD3121" s="2"/>
      <c r="AE3121" s="2">
        <v>0.19030878681111599</v>
      </c>
      <c r="AF3121" s="2">
        <v>15244.2284096645</v>
      </c>
      <c r="AG3121" s="2">
        <v>19027.084394993399</v>
      </c>
      <c r="AH3121" s="4">
        <v>0.80118572521156795</v>
      </c>
      <c r="AI3121" s="4">
        <v>-0.3197913781176</v>
      </c>
      <c r="AJ3121" s="4" t="s">
        <v>62</v>
      </c>
      <c r="AK3121" s="2">
        <v>0.57730544879796297</v>
      </c>
      <c r="AL3121" s="2">
        <v>0.78657023126793102</v>
      </c>
      <c r="AM3121" s="2">
        <v>21285.621616157499</v>
      </c>
      <c r="AN3121" s="2">
        <v>15272.5355643653</v>
      </c>
      <c r="AO3121" s="2">
        <v>13168.531487438</v>
      </c>
      <c r="AP3121" s="2">
        <v>14432.1514533929</v>
      </c>
      <c r="AQ3121" s="2">
        <v>12719.8722646472</v>
      </c>
      <c r="AR3121" s="2">
        <v>14586.6580719862</v>
      </c>
      <c r="AS3121" s="2">
        <v>839.30192015994101</v>
      </c>
      <c r="AT3121" s="2">
        <v>11126.0768270397</v>
      </c>
      <c r="AU3121" s="2">
        <v>22874.705266577101</v>
      </c>
      <c r="AV3121" s="2">
        <v>46512.663557763401</v>
      </c>
      <c r="AW3121" s="2">
        <v>22242.188915505802</v>
      </c>
      <c r="AX3121" s="2">
        <v>10567.5698829146</v>
      </c>
    </row>
    <row r="3122" spans="1:50" x14ac:dyDescent="0.25">
      <c r="A3122" s="2" t="s">
        <v>20809</v>
      </c>
      <c r="B3122" s="2">
        <v>547.43714762684999</v>
      </c>
      <c r="C3122" s="2">
        <v>13.3257833333333</v>
      </c>
      <c r="D3122" s="2" t="s">
        <v>51</v>
      </c>
      <c r="E3122" s="2" t="s">
        <v>20810</v>
      </c>
      <c r="F3122" s="2">
        <v>248034</v>
      </c>
      <c r="G3122" s="3" t="str">
        <f>HYPERLINK("https://cloud.oebiotech.com/#/lm/network/248034", "https://cloud.oebiotech.com/#/lm/network/248034")</f>
        <v>https://cloud.oebiotech.com/#/lm/network/248034</v>
      </c>
      <c r="H3122" s="2" t="s">
        <v>20811</v>
      </c>
      <c r="I3122" s="2"/>
      <c r="J3122" s="2"/>
      <c r="K3122" s="2"/>
      <c r="L3122" s="2"/>
      <c r="M3122" s="2"/>
      <c r="N3122" s="2"/>
      <c r="O3122" s="2"/>
      <c r="P3122" s="2"/>
      <c r="Q3122" s="2"/>
      <c r="R3122" s="2"/>
      <c r="S3122" s="2" t="s">
        <v>20812</v>
      </c>
      <c r="T3122" s="2" t="s">
        <v>20813</v>
      </c>
      <c r="U3122" s="2" t="s">
        <v>56</v>
      </c>
      <c r="V3122" s="2" t="s">
        <v>3215</v>
      </c>
      <c r="W3122" s="2" t="s">
        <v>3216</v>
      </c>
      <c r="X3122" s="2" t="s">
        <v>83</v>
      </c>
      <c r="Y3122" s="2">
        <v>49.9</v>
      </c>
      <c r="Z3122" s="2">
        <v>0</v>
      </c>
      <c r="AA3122" s="2" t="s">
        <v>379</v>
      </c>
      <c r="AB3122" s="2" t="s">
        <v>10985</v>
      </c>
      <c r="AC3122" s="2">
        <v>0.616185526189999</v>
      </c>
      <c r="AD3122" s="2"/>
      <c r="AE3122" s="2">
        <v>0.190289598844536</v>
      </c>
      <c r="AF3122" s="2">
        <v>6966.9487258703402</v>
      </c>
      <c r="AG3122" s="2">
        <v>3262.4615712059299</v>
      </c>
      <c r="AH3122" s="5">
        <v>2.13548836478558</v>
      </c>
      <c r="AI3122" s="5">
        <v>1.0945660374734401</v>
      </c>
      <c r="AJ3122" s="5" t="s">
        <v>139</v>
      </c>
      <c r="AK3122" s="2">
        <v>0.37108655481317399</v>
      </c>
      <c r="AL3122" s="2">
        <v>0.65386959575136905</v>
      </c>
      <c r="AM3122" s="2">
        <v>212.44825283442799</v>
      </c>
      <c r="AN3122" s="2">
        <v>2388.06246819029</v>
      </c>
      <c r="AO3122" s="2">
        <v>9136.9771830812006</v>
      </c>
      <c r="AP3122" s="2">
        <v>4085.3989525531501</v>
      </c>
      <c r="AQ3122" s="2">
        <v>24088.128548058601</v>
      </c>
      <c r="AR3122" s="2">
        <v>1890.6769505044001</v>
      </c>
      <c r="AS3122" s="2">
        <v>10147.684439116199</v>
      </c>
      <c r="AT3122" s="2">
        <v>4112.01919010649</v>
      </c>
      <c r="AU3122" s="2">
        <v>8.559877937157E-6</v>
      </c>
      <c r="AV3122" s="2">
        <v>8.559877937157E-6</v>
      </c>
      <c r="AW3122" s="2">
        <v>3281.7950080114301</v>
      </c>
      <c r="AX3122" s="2">
        <v>2033.2707728816999</v>
      </c>
    </row>
    <row r="3123" spans="1:50" x14ac:dyDescent="0.25">
      <c r="A3123" s="2" t="s">
        <v>20814</v>
      </c>
      <c r="B3123" s="2">
        <v>332.11412864392003</v>
      </c>
      <c r="C3123" s="2">
        <v>5.2849000000000004</v>
      </c>
      <c r="D3123" s="2" t="s">
        <v>51</v>
      </c>
      <c r="E3123" s="2" t="s">
        <v>20815</v>
      </c>
      <c r="F3123" s="2">
        <v>33836</v>
      </c>
      <c r="G3123" s="3" t="str">
        <f>HYPERLINK("https://cloud.oebiotech.com/#/lm/network/33836", "https://cloud.oebiotech.com/#/lm/network/33836")</f>
        <v>https://cloud.oebiotech.com/#/lm/network/33836</v>
      </c>
      <c r="H3123" s="2"/>
      <c r="I3123" s="2">
        <v>52149</v>
      </c>
      <c r="J3123" s="2" t="s">
        <v>20816</v>
      </c>
      <c r="K3123" s="2">
        <v>42607630</v>
      </c>
      <c r="L3123" s="2"/>
      <c r="M3123" s="2"/>
      <c r="N3123" s="2"/>
      <c r="O3123" s="2"/>
      <c r="P3123" s="2"/>
      <c r="Q3123" s="2"/>
      <c r="R3123" s="2"/>
      <c r="S3123" s="2" t="s">
        <v>20817</v>
      </c>
      <c r="T3123" s="2" t="s">
        <v>20818</v>
      </c>
      <c r="U3123" s="2" t="s">
        <v>540</v>
      </c>
      <c r="V3123" s="2" t="s">
        <v>10873</v>
      </c>
      <c r="W3123" s="2" t="s">
        <v>18007</v>
      </c>
      <c r="X3123" s="2" t="s">
        <v>147</v>
      </c>
      <c r="Y3123" s="2">
        <v>42.3</v>
      </c>
      <c r="Z3123" s="2">
        <v>24.1</v>
      </c>
      <c r="AA3123" s="2" t="s">
        <v>512</v>
      </c>
      <c r="AB3123" s="2" t="s">
        <v>16683</v>
      </c>
      <c r="AC3123" s="2">
        <v>4.0274817038710404</v>
      </c>
      <c r="AD3123" s="2"/>
      <c r="AE3123" s="2">
        <v>0.19007998289686001</v>
      </c>
      <c r="AF3123" s="2">
        <v>1652.82577530497</v>
      </c>
      <c r="AG3123" s="2">
        <v>2818.3630100738601</v>
      </c>
      <c r="AH3123" s="4">
        <v>0.58644886034806998</v>
      </c>
      <c r="AI3123" s="4">
        <v>-0.76992278738205699</v>
      </c>
      <c r="AJ3123" s="4" t="s">
        <v>62</v>
      </c>
      <c r="AK3123" s="2">
        <v>0.41863662486853898</v>
      </c>
      <c r="AL3123" s="2">
        <v>0.68056596326658203</v>
      </c>
      <c r="AM3123" s="2">
        <v>8.559877937157E-6</v>
      </c>
      <c r="AN3123" s="2">
        <v>2461.1795488726898</v>
      </c>
      <c r="AO3123" s="2">
        <v>8.559877937157E-6</v>
      </c>
      <c r="AP3123" s="2">
        <v>6409.6522780086198</v>
      </c>
      <c r="AQ3123" s="2">
        <v>363.69972980310501</v>
      </c>
      <c r="AR3123" s="2">
        <v>682.42307802565199</v>
      </c>
      <c r="AS3123" s="2">
        <v>1623.52195170759</v>
      </c>
      <c r="AT3123" s="2">
        <v>8.559877937157E-6</v>
      </c>
      <c r="AU3123" s="2">
        <v>2628.6536415650598</v>
      </c>
      <c r="AV3123" s="2">
        <v>2507.0011921737701</v>
      </c>
      <c r="AW3123" s="2">
        <v>6840.5522396343204</v>
      </c>
      <c r="AX3123" s="2">
        <v>3310.4490268025402</v>
      </c>
    </row>
    <row r="3124" spans="1:50" x14ac:dyDescent="0.25">
      <c r="A3124" s="2" t="s">
        <v>20819</v>
      </c>
      <c r="B3124" s="2">
        <v>349.00168388056602</v>
      </c>
      <c r="C3124" s="2">
        <v>1.4109499999999999</v>
      </c>
      <c r="D3124" s="2" t="s">
        <v>51</v>
      </c>
      <c r="E3124" s="2" t="s">
        <v>20820</v>
      </c>
      <c r="F3124" s="2">
        <v>30524</v>
      </c>
      <c r="G3124" s="3" t="str">
        <f>HYPERLINK("https://cloud.oebiotech.com/#/lm/network/30524", "https://cloud.oebiotech.com/#/lm/network/30524")</f>
        <v>https://cloud.oebiotech.com/#/lm/network/30524</v>
      </c>
      <c r="H3124" s="2" t="s">
        <v>20821</v>
      </c>
      <c r="I3124" s="2">
        <v>48862</v>
      </c>
      <c r="J3124" s="2" t="s">
        <v>20822</v>
      </c>
      <c r="K3124" s="2">
        <v>14016776</v>
      </c>
      <c r="L3124" s="2"/>
      <c r="M3124" s="2"/>
      <c r="N3124" s="2"/>
      <c r="O3124" s="2"/>
      <c r="P3124" s="2"/>
      <c r="Q3124" s="2"/>
      <c r="R3124" s="2" t="s">
        <v>20823</v>
      </c>
      <c r="S3124" s="2" t="s">
        <v>20824</v>
      </c>
      <c r="T3124" s="2" t="s">
        <v>20825</v>
      </c>
      <c r="U3124" s="2" t="s">
        <v>540</v>
      </c>
      <c r="V3124" s="2" t="s">
        <v>541</v>
      </c>
      <c r="W3124" s="2" t="s">
        <v>3377</v>
      </c>
      <c r="X3124" s="2" t="s">
        <v>147</v>
      </c>
      <c r="Y3124" s="2">
        <v>36.4</v>
      </c>
      <c r="Z3124" s="2">
        <v>5.23</v>
      </c>
      <c r="AA3124" s="2" t="s">
        <v>163</v>
      </c>
      <c r="AB3124" s="2" t="s">
        <v>20826</v>
      </c>
      <c r="AC3124" s="2">
        <v>-1.93698841508368</v>
      </c>
      <c r="AD3124" s="2"/>
      <c r="AE3124" s="2">
        <v>0.190022202112546</v>
      </c>
      <c r="AF3124" s="2">
        <v>7573.1181559197003</v>
      </c>
      <c r="AG3124" s="2">
        <v>5781.8693361578098</v>
      </c>
      <c r="AH3124" s="5">
        <v>1.3098044448289501</v>
      </c>
      <c r="AI3124" s="5">
        <v>0.38935143196475702</v>
      </c>
      <c r="AJ3124" s="5" t="s">
        <v>139</v>
      </c>
      <c r="AK3124" s="2">
        <v>0.54759410552848498</v>
      </c>
      <c r="AL3124" s="2">
        <v>0.77054320949467303</v>
      </c>
      <c r="AM3124" s="2">
        <v>9330.1724830624607</v>
      </c>
      <c r="AN3124" s="2">
        <v>6392.9559808530203</v>
      </c>
      <c r="AO3124" s="2">
        <v>6743.0829345489101</v>
      </c>
      <c r="AP3124" s="2">
        <v>11391.826225127999</v>
      </c>
      <c r="AQ3124" s="2">
        <v>6898.2809061197904</v>
      </c>
      <c r="AR3124" s="2">
        <v>4682.3904058060198</v>
      </c>
      <c r="AS3124" s="2">
        <v>183.51002520371401</v>
      </c>
      <c r="AT3124" s="2">
        <v>5665.87961169953</v>
      </c>
      <c r="AU3124" s="2">
        <v>18029.2555191059</v>
      </c>
      <c r="AV3124" s="2">
        <v>7326.1872062981502</v>
      </c>
      <c r="AW3124" s="2">
        <v>3073.7466046868399</v>
      </c>
      <c r="AX3124" s="2">
        <v>412.63704995274799</v>
      </c>
    </row>
    <row r="3125" spans="1:50" x14ac:dyDescent="0.25">
      <c r="A3125" s="2" t="s">
        <v>20827</v>
      </c>
      <c r="B3125" s="2">
        <v>352.05748590043601</v>
      </c>
      <c r="C3125" s="2">
        <v>7.05525</v>
      </c>
      <c r="D3125" s="2" t="s">
        <v>51</v>
      </c>
      <c r="E3125" s="2" t="s">
        <v>20828</v>
      </c>
      <c r="F3125" s="2">
        <v>62266</v>
      </c>
      <c r="G3125" s="3" t="str">
        <f>HYPERLINK("https://cloud.oebiotech.com/#/lm/network/62266", "https://cloud.oebiotech.com/#/lm/network/62266")</f>
        <v>https://cloud.oebiotech.com/#/lm/network/62266</v>
      </c>
      <c r="H3125" s="2" t="s">
        <v>20829</v>
      </c>
      <c r="I3125" s="2"/>
      <c r="J3125" s="2"/>
      <c r="K3125" s="2">
        <v>13041878</v>
      </c>
      <c r="L3125" s="2"/>
      <c r="M3125" s="2"/>
      <c r="N3125" s="2"/>
      <c r="O3125" s="2"/>
      <c r="P3125" s="2"/>
      <c r="Q3125" s="2"/>
      <c r="R3125" s="2" t="s">
        <v>20830</v>
      </c>
      <c r="S3125" s="2" t="s">
        <v>20831</v>
      </c>
      <c r="T3125" s="2" t="s">
        <v>20832</v>
      </c>
      <c r="U3125" s="2" t="s">
        <v>540</v>
      </c>
      <c r="V3125" s="2" t="s">
        <v>3291</v>
      </c>
      <c r="W3125" s="2" t="s">
        <v>3292</v>
      </c>
      <c r="X3125" s="2" t="s">
        <v>147</v>
      </c>
      <c r="Y3125" s="2">
        <v>43.4</v>
      </c>
      <c r="Z3125" s="2">
        <v>24.8</v>
      </c>
      <c r="AA3125" s="2" t="s">
        <v>395</v>
      </c>
      <c r="AB3125" s="2" t="s">
        <v>20833</v>
      </c>
      <c r="AC3125" s="2">
        <v>-2.2190171163012899</v>
      </c>
      <c r="AD3125" s="2"/>
      <c r="AE3125" s="2">
        <v>0.19000904739503</v>
      </c>
      <c r="AF3125" s="2">
        <v>1819.8310561307101</v>
      </c>
      <c r="AG3125" s="2">
        <v>597.00433565377102</v>
      </c>
      <c r="AH3125" s="5">
        <v>3.0482710885806799</v>
      </c>
      <c r="AI3125" s="5">
        <v>1.6079912101671701</v>
      </c>
      <c r="AJ3125" s="5" t="s">
        <v>139</v>
      </c>
      <c r="AK3125" s="2">
        <v>0.38107405399013999</v>
      </c>
      <c r="AL3125" s="2">
        <v>0.65913977412323299</v>
      </c>
      <c r="AM3125" s="2">
        <v>8069.7293586721198</v>
      </c>
      <c r="AN3125" s="2">
        <v>262.083304728641</v>
      </c>
      <c r="AO3125" s="2">
        <v>152.805232062523</v>
      </c>
      <c r="AP3125" s="2">
        <v>456.61274874460202</v>
      </c>
      <c r="AQ3125" s="2">
        <v>1643.11150356792</v>
      </c>
      <c r="AR3125" s="2">
        <v>334.64418900843202</v>
      </c>
      <c r="AS3125" s="2">
        <v>2631.25209219916</v>
      </c>
      <c r="AT3125" s="2">
        <v>129.429114790574</v>
      </c>
      <c r="AU3125" s="2">
        <v>372.45317686842498</v>
      </c>
      <c r="AV3125" s="2">
        <v>112.58262110838599</v>
      </c>
      <c r="AW3125" s="2">
        <v>8.559877937157E-6</v>
      </c>
      <c r="AX3125" s="2">
        <v>336.30900039620099</v>
      </c>
    </row>
    <row r="3126" spans="1:50" x14ac:dyDescent="0.25">
      <c r="A3126" s="2" t="s">
        <v>20834</v>
      </c>
      <c r="B3126" s="2">
        <v>281.19074953308098</v>
      </c>
      <c r="C3126" s="2">
        <v>9.5639333333333294</v>
      </c>
      <c r="D3126" s="2" t="s">
        <v>51</v>
      </c>
      <c r="E3126" s="2" t="s">
        <v>20835</v>
      </c>
      <c r="F3126" s="2">
        <v>203740</v>
      </c>
      <c r="G3126" s="3" t="str">
        <f>HYPERLINK("https://cloud.oebiotech.com/#/lm/network/203740", "https://cloud.oebiotech.com/#/lm/network/203740")</f>
        <v>https://cloud.oebiotech.com/#/lm/network/203740</v>
      </c>
      <c r="H3126" s="2" t="s">
        <v>20836</v>
      </c>
      <c r="I3126" s="2"/>
      <c r="J3126" s="2"/>
      <c r="K3126" s="2">
        <v>13371250</v>
      </c>
      <c r="L3126" s="2"/>
      <c r="M3126" s="2"/>
      <c r="N3126" s="2"/>
      <c r="O3126" s="2"/>
      <c r="P3126" s="2"/>
      <c r="Q3126" s="2"/>
      <c r="R3126" s="2"/>
      <c r="S3126" s="2" t="s">
        <v>20837</v>
      </c>
      <c r="T3126" s="2" t="s">
        <v>20838</v>
      </c>
      <c r="U3126" s="2" t="s">
        <v>56</v>
      </c>
      <c r="V3126" s="2" t="s">
        <v>283</v>
      </c>
      <c r="W3126" s="2" t="s">
        <v>284</v>
      </c>
      <c r="X3126" s="2" t="s">
        <v>83</v>
      </c>
      <c r="Y3126" s="2">
        <v>39.299999999999997</v>
      </c>
      <c r="Z3126" s="2">
        <v>0</v>
      </c>
      <c r="AA3126" s="2" t="s">
        <v>156</v>
      </c>
      <c r="AB3126" s="2" t="s">
        <v>5159</v>
      </c>
      <c r="AC3126" s="2">
        <v>2.54100340883973</v>
      </c>
      <c r="AD3126" s="2"/>
      <c r="AE3126" s="2">
        <v>0.18982062524062099</v>
      </c>
      <c r="AF3126" s="2">
        <v>927.78302533281305</v>
      </c>
      <c r="AG3126" s="2">
        <v>165.545142033952</v>
      </c>
      <c r="AH3126" s="5">
        <v>5.6044110623465597</v>
      </c>
      <c r="AI3126" s="5">
        <v>2.4865627758722</v>
      </c>
      <c r="AJ3126" s="5" t="s">
        <v>139</v>
      </c>
      <c r="AK3126" s="2">
        <v>3.9132119694272804E-3</v>
      </c>
      <c r="AL3126" s="2">
        <v>0.11375949301226</v>
      </c>
      <c r="AM3126" s="2">
        <v>943.08332981763704</v>
      </c>
      <c r="AN3126" s="2">
        <v>1777.2671642741</v>
      </c>
      <c r="AO3126" s="2">
        <v>924.16131986519497</v>
      </c>
      <c r="AP3126" s="2">
        <v>743.21919635382699</v>
      </c>
      <c r="AQ3126" s="2">
        <v>428.08211690499297</v>
      </c>
      <c r="AR3126" s="2">
        <v>750.88502478112503</v>
      </c>
      <c r="AS3126" s="2">
        <v>565.19590626399497</v>
      </c>
      <c r="AT3126" s="2">
        <v>140.57016901964599</v>
      </c>
      <c r="AU3126" s="2">
        <v>137.68998374446201</v>
      </c>
      <c r="AV3126" s="2">
        <v>8.559877937157E-6</v>
      </c>
      <c r="AW3126" s="2">
        <v>8.559877937157E-6</v>
      </c>
      <c r="AX3126" s="2">
        <v>149.814776055853</v>
      </c>
    </row>
    <row r="3127" spans="1:50" x14ac:dyDescent="0.25">
      <c r="A3127" s="2" t="s">
        <v>20839</v>
      </c>
      <c r="B3127" s="2">
        <v>476.26473394020502</v>
      </c>
      <c r="C3127" s="2">
        <v>9.6451499999999992</v>
      </c>
      <c r="D3127" s="2" t="s">
        <v>51</v>
      </c>
      <c r="E3127" s="2" t="s">
        <v>20840</v>
      </c>
      <c r="F3127" s="2">
        <v>266639</v>
      </c>
      <c r="G3127" s="3" t="str">
        <f>HYPERLINK("https://cloud.oebiotech.com/#/lm/network/266639", "https://cloud.oebiotech.com/#/lm/network/266639")</f>
        <v>https://cloud.oebiotech.com/#/lm/network/266639</v>
      </c>
      <c r="H3127" s="2"/>
      <c r="I3127" s="2">
        <v>43704</v>
      </c>
      <c r="J3127" s="2"/>
      <c r="K3127" s="2">
        <v>6708618</v>
      </c>
      <c r="L3127" s="2"/>
      <c r="M3127" s="2"/>
      <c r="N3127" s="2"/>
      <c r="O3127" s="2"/>
      <c r="P3127" s="2"/>
      <c r="Q3127" s="2"/>
      <c r="R3127" s="2"/>
      <c r="S3127" s="2" t="s">
        <v>20841</v>
      </c>
      <c r="T3127" s="2" t="s">
        <v>20842</v>
      </c>
      <c r="U3127" s="2" t="s">
        <v>266</v>
      </c>
      <c r="V3127" s="2" t="s">
        <v>1988</v>
      </c>
      <c r="W3127" s="2" t="s">
        <v>240</v>
      </c>
      <c r="X3127" s="2" t="s">
        <v>147</v>
      </c>
      <c r="Y3127" s="2">
        <v>38.200000000000003</v>
      </c>
      <c r="Z3127" s="2">
        <v>0</v>
      </c>
      <c r="AA3127" s="2" t="s">
        <v>512</v>
      </c>
      <c r="AB3127" s="2" t="s">
        <v>20843</v>
      </c>
      <c r="AC3127" s="2">
        <v>0.99291284987040096</v>
      </c>
      <c r="AD3127" s="2"/>
      <c r="AE3127" s="2">
        <v>0.18968787389877101</v>
      </c>
      <c r="AF3127" s="2">
        <v>1279.47740286763</v>
      </c>
      <c r="AG3127" s="2">
        <v>2811.4046342266201</v>
      </c>
      <c r="AH3127" s="4">
        <v>0.455102544575408</v>
      </c>
      <c r="AI3127" s="4">
        <v>-1.1357364421429801</v>
      </c>
      <c r="AJ3127" s="4" t="s">
        <v>62</v>
      </c>
      <c r="AK3127" s="2">
        <v>0.166531373885968</v>
      </c>
      <c r="AL3127" s="2">
        <v>0.48872801125110699</v>
      </c>
      <c r="AM3127" s="2">
        <v>179.16736569715201</v>
      </c>
      <c r="AN3127" s="2">
        <v>682.93884090319705</v>
      </c>
      <c r="AO3127" s="2">
        <v>2087.9320943344801</v>
      </c>
      <c r="AP3127" s="2">
        <v>804.52846211507097</v>
      </c>
      <c r="AQ3127" s="2">
        <v>3857.5103246364702</v>
      </c>
      <c r="AR3127" s="2">
        <v>64.787329519399805</v>
      </c>
      <c r="AS3127" s="2">
        <v>3981.8013862432099</v>
      </c>
      <c r="AT3127" s="2">
        <v>2779.39200476923</v>
      </c>
      <c r="AU3127" s="2">
        <v>3671.8097088480999</v>
      </c>
      <c r="AV3127" s="2">
        <v>543.87802733832302</v>
      </c>
      <c r="AW3127" s="2">
        <v>322.181657268712</v>
      </c>
      <c r="AX3127" s="2">
        <v>5569.3650208921399</v>
      </c>
    </row>
    <row r="3128" spans="1:50" x14ac:dyDescent="0.25">
      <c r="A3128" s="2" t="s">
        <v>20844</v>
      </c>
      <c r="B3128" s="2">
        <v>250.066273610823</v>
      </c>
      <c r="C3128" s="2">
        <v>6.1269833333333299</v>
      </c>
      <c r="D3128" s="2" t="s">
        <v>51</v>
      </c>
      <c r="E3128" s="2" t="s">
        <v>20845</v>
      </c>
      <c r="F3128" s="2">
        <v>56953</v>
      </c>
      <c r="G3128" s="3" t="str">
        <f>HYPERLINK("https://cloud.oebiotech.com/#/lm/network/56953", "https://cloud.oebiotech.com/#/lm/network/56953")</f>
        <v>https://cloud.oebiotech.com/#/lm/network/56953</v>
      </c>
      <c r="H3128" s="2" t="s">
        <v>20846</v>
      </c>
      <c r="I3128" s="2">
        <v>88611</v>
      </c>
      <c r="J3128" s="2"/>
      <c r="K3128" s="2">
        <v>14540702</v>
      </c>
      <c r="L3128" s="2"/>
      <c r="M3128" s="2"/>
      <c r="N3128" s="2"/>
      <c r="O3128" s="2">
        <v>174290</v>
      </c>
      <c r="P3128" s="2"/>
      <c r="Q3128" s="2"/>
      <c r="R3128" s="2"/>
      <c r="S3128" s="2" t="s">
        <v>20847</v>
      </c>
      <c r="T3128" s="2" t="s">
        <v>20848</v>
      </c>
      <c r="U3128" s="2" t="s">
        <v>331</v>
      </c>
      <c r="V3128" s="2" t="s">
        <v>332</v>
      </c>
      <c r="W3128" s="2" t="s">
        <v>511</v>
      </c>
      <c r="X3128" s="2" t="s">
        <v>147</v>
      </c>
      <c r="Y3128" s="2">
        <v>38.299999999999997</v>
      </c>
      <c r="Z3128" s="2">
        <v>0.78</v>
      </c>
      <c r="AA3128" s="2" t="s">
        <v>122</v>
      </c>
      <c r="AB3128" s="2" t="s">
        <v>20849</v>
      </c>
      <c r="AC3128" s="2">
        <v>-0.36708989945587001</v>
      </c>
      <c r="AD3128" s="2"/>
      <c r="AE3128" s="2">
        <v>0.18964304280130401</v>
      </c>
      <c r="AF3128" s="2">
        <v>4741.9076647088204</v>
      </c>
      <c r="AG3128" s="2">
        <v>761.27957665673205</v>
      </c>
      <c r="AH3128" s="5">
        <v>6.22886494017557</v>
      </c>
      <c r="AI3128" s="5">
        <v>2.6389692909583902</v>
      </c>
      <c r="AJ3128" s="5" t="s">
        <v>139</v>
      </c>
      <c r="AK3128" s="2">
        <v>0.419484881776444</v>
      </c>
      <c r="AL3128" s="2">
        <v>0.68072239494470299</v>
      </c>
      <c r="AM3128" s="2">
        <v>8.559877937157E-6</v>
      </c>
      <c r="AN3128" s="2">
        <v>8.559877937157E-6</v>
      </c>
      <c r="AO3128" s="2">
        <v>8.559877937157E-6</v>
      </c>
      <c r="AP3128" s="2">
        <v>8.559877937157E-6</v>
      </c>
      <c r="AQ3128" s="2">
        <v>150.57373919428099</v>
      </c>
      <c r="AR3128" s="2">
        <v>28300.872214819101</v>
      </c>
      <c r="AS3128" s="2">
        <v>8.559877937157E-6</v>
      </c>
      <c r="AT3128" s="2">
        <v>8.559877937157E-6</v>
      </c>
      <c r="AU3128" s="2">
        <v>1958.25148367015</v>
      </c>
      <c r="AV3128" s="2">
        <v>696.38986728355599</v>
      </c>
      <c r="AW3128" s="2">
        <v>1913.0360833070499</v>
      </c>
      <c r="AX3128" s="2">
        <v>8.559877937157E-6</v>
      </c>
    </row>
    <row r="3129" spans="1:50" x14ac:dyDescent="0.25">
      <c r="A3129" s="2" t="s">
        <v>20850</v>
      </c>
      <c r="B3129" s="2">
        <v>275.00967559374101</v>
      </c>
      <c r="C3129" s="2">
        <v>0.84268333333333301</v>
      </c>
      <c r="D3129" s="2" t="s">
        <v>51</v>
      </c>
      <c r="E3129" s="2" t="s">
        <v>20851</v>
      </c>
      <c r="F3129" s="2">
        <v>53808</v>
      </c>
      <c r="G3129" s="3" t="str">
        <f>HYPERLINK("https://cloud.oebiotech.com/#/lm/network/53808", "https://cloud.oebiotech.com/#/lm/network/53808")</f>
        <v>https://cloud.oebiotech.com/#/lm/network/53808</v>
      </c>
      <c r="H3129" s="2" t="s">
        <v>20852</v>
      </c>
      <c r="I3129" s="2">
        <v>85685</v>
      </c>
      <c r="J3129" s="2"/>
      <c r="K3129" s="2">
        <v>18218193</v>
      </c>
      <c r="L3129" s="2"/>
      <c r="M3129" s="2"/>
      <c r="N3129" s="2"/>
      <c r="O3129" s="2">
        <v>174210</v>
      </c>
      <c r="P3129" s="2"/>
      <c r="Q3129" s="2"/>
      <c r="R3129" s="2"/>
      <c r="S3129" s="2" t="s">
        <v>20853</v>
      </c>
      <c r="T3129" s="2" t="s">
        <v>20854</v>
      </c>
      <c r="U3129" s="2" t="s">
        <v>103</v>
      </c>
      <c r="V3129" s="2" t="s">
        <v>104</v>
      </c>
      <c r="W3129" s="2" t="s">
        <v>105</v>
      </c>
      <c r="X3129" s="2" t="s">
        <v>147</v>
      </c>
      <c r="Y3129" s="2">
        <v>39</v>
      </c>
      <c r="Z3129" s="2">
        <v>4.66</v>
      </c>
      <c r="AA3129" s="2" t="s">
        <v>395</v>
      </c>
      <c r="AB3129" s="2" t="s">
        <v>20855</v>
      </c>
      <c r="AC3129" s="2">
        <v>-0.74128765276387398</v>
      </c>
      <c r="AD3129" s="2"/>
      <c r="AE3129" s="2">
        <v>0.18943250602759901</v>
      </c>
      <c r="AF3129" s="2">
        <v>24335.7241901093</v>
      </c>
      <c r="AG3129" s="2">
        <v>22289.321209205398</v>
      </c>
      <c r="AH3129" s="5">
        <v>1.0918109152672999</v>
      </c>
      <c r="AI3129" s="5">
        <v>0.126723025464309</v>
      </c>
      <c r="AJ3129" s="5" t="s">
        <v>139</v>
      </c>
      <c r="AK3129" s="2">
        <v>0.602349070474403</v>
      </c>
      <c r="AL3129" s="2">
        <v>0.80146715181679296</v>
      </c>
      <c r="AM3129" s="2">
        <v>30906.687437793898</v>
      </c>
      <c r="AN3129" s="2">
        <v>23408.32548833</v>
      </c>
      <c r="AO3129" s="2">
        <v>24164.7473149465</v>
      </c>
      <c r="AP3129" s="2">
        <v>34594.169994812</v>
      </c>
      <c r="AQ3129" s="2">
        <v>20255.130921830601</v>
      </c>
      <c r="AR3129" s="2">
        <v>12685.283982942599</v>
      </c>
      <c r="AS3129" s="2">
        <v>18975.536585196001</v>
      </c>
      <c r="AT3129" s="2">
        <v>27403.707585110398</v>
      </c>
      <c r="AU3129" s="2">
        <v>24591.311895176899</v>
      </c>
      <c r="AV3129" s="2">
        <v>17539.393464553901</v>
      </c>
      <c r="AW3129" s="2">
        <v>28408.044614878301</v>
      </c>
      <c r="AX3129" s="2">
        <v>16817.933110316601</v>
      </c>
    </row>
    <row r="3130" spans="1:50" x14ac:dyDescent="0.25">
      <c r="A3130" s="2" t="s">
        <v>20856</v>
      </c>
      <c r="B3130" s="2">
        <v>467.24065372257598</v>
      </c>
      <c r="C3130" s="2">
        <v>3.7123833333333298</v>
      </c>
      <c r="D3130" s="2" t="s">
        <v>51</v>
      </c>
      <c r="E3130" s="2" t="s">
        <v>20857</v>
      </c>
      <c r="F3130" s="2">
        <v>57296</v>
      </c>
      <c r="G3130" s="3" t="str">
        <f>HYPERLINK("https://cloud.oebiotech.com/#/lm/network/57296", "https://cloud.oebiotech.com/#/lm/network/57296")</f>
        <v>https://cloud.oebiotech.com/#/lm/network/57296</v>
      </c>
      <c r="H3130" s="2" t="s">
        <v>20858</v>
      </c>
      <c r="I3130" s="2">
        <v>88926</v>
      </c>
      <c r="J3130" s="2"/>
      <c r="K3130" s="2">
        <v>131751364</v>
      </c>
      <c r="L3130" s="2"/>
      <c r="M3130" s="2"/>
      <c r="N3130" s="2"/>
      <c r="O3130" s="2">
        <v>141537</v>
      </c>
      <c r="P3130" s="2"/>
      <c r="Q3130" s="2"/>
      <c r="R3130" s="2"/>
      <c r="S3130" s="2" t="s">
        <v>20859</v>
      </c>
      <c r="T3130" s="2" t="s">
        <v>20860</v>
      </c>
      <c r="U3130" s="2" t="s">
        <v>610</v>
      </c>
      <c r="V3130" s="2" t="s">
        <v>895</v>
      </c>
      <c r="W3130" s="2" t="s">
        <v>20861</v>
      </c>
      <c r="X3130" s="2" t="s">
        <v>147</v>
      </c>
      <c r="Y3130" s="2">
        <v>38.9</v>
      </c>
      <c r="Z3130" s="2">
        <v>0.62</v>
      </c>
      <c r="AA3130" s="2" t="s">
        <v>95</v>
      </c>
      <c r="AB3130" s="2" t="s">
        <v>20862</v>
      </c>
      <c r="AC3130" s="2">
        <v>0.54962305565817904</v>
      </c>
      <c r="AD3130" s="2"/>
      <c r="AE3130" s="2">
        <v>0.18940478385244899</v>
      </c>
      <c r="AF3130" s="2">
        <v>6285.0329901185296</v>
      </c>
      <c r="AG3130" s="2">
        <v>7831.8534178132004</v>
      </c>
      <c r="AH3130" s="4">
        <v>0.802496248949643</v>
      </c>
      <c r="AI3130" s="4">
        <v>-0.31743344612207303</v>
      </c>
      <c r="AJ3130" s="4" t="s">
        <v>62</v>
      </c>
      <c r="AK3130" s="2">
        <v>0.79234778894385205</v>
      </c>
      <c r="AL3130" s="2">
        <v>0.90849146831974703</v>
      </c>
      <c r="AM3130" s="2">
        <v>9698.0483757296897</v>
      </c>
      <c r="AN3130" s="2">
        <v>8.559877937157E-6</v>
      </c>
      <c r="AO3130" s="2">
        <v>8.559877937157E-6</v>
      </c>
      <c r="AP3130" s="2">
        <v>28012.149530742001</v>
      </c>
      <c r="AQ3130" s="2">
        <v>8.559877937157E-6</v>
      </c>
      <c r="AR3130" s="2">
        <v>8.559877937157E-6</v>
      </c>
      <c r="AS3130" s="2">
        <v>15362.050382200499</v>
      </c>
      <c r="AT3130" s="2">
        <v>8.559877937157E-6</v>
      </c>
      <c r="AU3130" s="2">
        <v>8.559877937157E-6</v>
      </c>
      <c r="AV3130" s="2">
        <v>9071.3995032029197</v>
      </c>
      <c r="AW3130" s="2">
        <v>3054.3486013024099</v>
      </c>
      <c r="AX3130" s="2">
        <v>19503.322003053599</v>
      </c>
    </row>
    <row r="3131" spans="1:50" x14ac:dyDescent="0.25">
      <c r="A3131" s="2" t="s">
        <v>20863</v>
      </c>
      <c r="B3131" s="2">
        <v>189.10280679077999</v>
      </c>
      <c r="C3131" s="2">
        <v>4.7092833333333299</v>
      </c>
      <c r="D3131" s="2" t="s">
        <v>51</v>
      </c>
      <c r="E3131" s="2" t="s">
        <v>20864</v>
      </c>
      <c r="F3131" s="2">
        <v>302778</v>
      </c>
      <c r="G3131" s="3" t="str">
        <f>HYPERLINK("https://cloud.oebiotech.com/#/lm/network/302778", "https://cloud.oebiotech.com/#/lm/network/302778")</f>
        <v>https://cloud.oebiotech.com/#/lm/network/302778</v>
      </c>
      <c r="H3131" s="2"/>
      <c r="I3131" s="2">
        <v>328553</v>
      </c>
      <c r="J3131" s="2"/>
      <c r="K3131" s="2">
        <v>66591</v>
      </c>
      <c r="L3131" s="2"/>
      <c r="M3131" s="2"/>
      <c r="N3131" s="2"/>
      <c r="O3131" s="2"/>
      <c r="P3131" s="2"/>
      <c r="Q3131" s="2"/>
      <c r="R3131" s="2"/>
      <c r="S3131" s="2" t="s">
        <v>20865</v>
      </c>
      <c r="T3131" s="2" t="s">
        <v>20866</v>
      </c>
      <c r="U3131" s="2" t="s">
        <v>610</v>
      </c>
      <c r="V3131" s="2" t="s">
        <v>611</v>
      </c>
      <c r="W3131" s="2" t="s">
        <v>6372</v>
      </c>
      <c r="X3131" s="2" t="s">
        <v>147</v>
      </c>
      <c r="Y3131" s="2">
        <v>42.3</v>
      </c>
      <c r="Z3131" s="2">
        <v>19.3</v>
      </c>
      <c r="AA3131" s="2" t="s">
        <v>259</v>
      </c>
      <c r="AB3131" s="2" t="s">
        <v>20867</v>
      </c>
      <c r="AC3131" s="2">
        <v>3.01626779666447</v>
      </c>
      <c r="AD3131" s="2"/>
      <c r="AE3131" s="2">
        <v>0.18939963241104499</v>
      </c>
      <c r="AF3131" s="2">
        <v>7805.3208016099697</v>
      </c>
      <c r="AG3131" s="2">
        <v>4187.3228958772597</v>
      </c>
      <c r="AH3131" s="5">
        <v>1.8640360430037299</v>
      </c>
      <c r="AI3131" s="5">
        <v>0.89842975621537402</v>
      </c>
      <c r="AJ3131" s="5" t="s">
        <v>139</v>
      </c>
      <c r="AK3131" s="2">
        <v>0.67380673306642203</v>
      </c>
      <c r="AL3131" s="2">
        <v>0.84213013038863205</v>
      </c>
      <c r="AM3131" s="2">
        <v>578.603796873634</v>
      </c>
      <c r="AN3131" s="2">
        <v>44779.892361694998</v>
      </c>
      <c r="AO3131" s="2">
        <v>560.85120223282695</v>
      </c>
      <c r="AP3131" s="2">
        <v>460.51393501394102</v>
      </c>
      <c r="AQ3131" s="2">
        <v>170.386649033655</v>
      </c>
      <c r="AR3131" s="2">
        <v>281.676864810746</v>
      </c>
      <c r="AS3131" s="2">
        <v>313.660728771381</v>
      </c>
      <c r="AT3131" s="2">
        <v>408.70214646610702</v>
      </c>
      <c r="AU3131" s="2">
        <v>311.88262370203302</v>
      </c>
      <c r="AV3131" s="2">
        <v>8.559877937157E-6</v>
      </c>
      <c r="AW3131" s="2">
        <v>23513.211914240201</v>
      </c>
      <c r="AX3131" s="2">
        <v>576.47995352396401</v>
      </c>
    </row>
    <row r="3132" spans="1:50" x14ac:dyDescent="0.25">
      <c r="A3132" s="2" t="s">
        <v>20868</v>
      </c>
      <c r="B3132" s="2">
        <v>409.09566232096302</v>
      </c>
      <c r="C3132" s="2">
        <v>6.9113499999999997</v>
      </c>
      <c r="D3132" s="2" t="s">
        <v>51</v>
      </c>
      <c r="E3132" s="2" t="s">
        <v>20869</v>
      </c>
      <c r="F3132" s="2">
        <v>211964</v>
      </c>
      <c r="G3132" s="3" t="str">
        <f>HYPERLINK("https://cloud.oebiotech.com/#/lm/network/211964", "https://cloud.oebiotech.com/#/lm/network/211964")</f>
        <v>https://cloud.oebiotech.com/#/lm/network/211964</v>
      </c>
      <c r="H3132" s="2" t="s">
        <v>20870</v>
      </c>
      <c r="I3132" s="2"/>
      <c r="J3132" s="2"/>
      <c r="K3132" s="2">
        <v>128355</v>
      </c>
      <c r="L3132" s="2"/>
      <c r="M3132" s="2"/>
      <c r="N3132" s="2"/>
      <c r="O3132" s="2">
        <v>104023</v>
      </c>
      <c r="P3132" s="2" t="s">
        <v>20871</v>
      </c>
      <c r="Q3132" s="2" t="s">
        <v>20872</v>
      </c>
      <c r="R3132" s="2"/>
      <c r="S3132" s="2" t="s">
        <v>20873</v>
      </c>
      <c r="T3132" s="2" t="s">
        <v>20874</v>
      </c>
      <c r="U3132" s="2" t="s">
        <v>266</v>
      </c>
      <c r="V3132" s="2" t="s">
        <v>1393</v>
      </c>
      <c r="W3132" s="2" t="s">
        <v>240</v>
      </c>
      <c r="X3132" s="2" t="s">
        <v>147</v>
      </c>
      <c r="Y3132" s="2">
        <v>37.5</v>
      </c>
      <c r="Z3132" s="2">
        <v>0</v>
      </c>
      <c r="AA3132" s="2" t="s">
        <v>395</v>
      </c>
      <c r="AB3132" s="2" t="s">
        <v>20875</v>
      </c>
      <c r="AC3132" s="2">
        <v>2.0581737126908002</v>
      </c>
      <c r="AD3132" s="2"/>
      <c r="AE3132" s="2">
        <v>0.18921749859911899</v>
      </c>
      <c r="AF3132" s="2">
        <v>2381.1571518987698</v>
      </c>
      <c r="AG3132" s="2">
        <v>4024.2517570711202</v>
      </c>
      <c r="AH3132" s="4">
        <v>0.59170183568032797</v>
      </c>
      <c r="AI3132" s="4">
        <v>-0.75705772401306204</v>
      </c>
      <c r="AJ3132" s="4" t="s">
        <v>62</v>
      </c>
      <c r="AK3132" s="2">
        <v>0.28448776980429402</v>
      </c>
      <c r="AL3132" s="2">
        <v>0.60000138164408201</v>
      </c>
      <c r="AM3132" s="2">
        <v>1879.5014898040199</v>
      </c>
      <c r="AN3132" s="2">
        <v>1858.31442002735</v>
      </c>
      <c r="AO3132" s="2">
        <v>3788.0569552735301</v>
      </c>
      <c r="AP3132" s="2">
        <v>8.559877937157E-6</v>
      </c>
      <c r="AQ3132" s="2">
        <v>1476.84491170618</v>
      </c>
      <c r="AR3132" s="2">
        <v>5284.2251260216399</v>
      </c>
      <c r="AS3132" s="2">
        <v>2936.5108155745202</v>
      </c>
      <c r="AT3132" s="2">
        <v>1515.84529442793</v>
      </c>
      <c r="AU3132" s="2">
        <v>4881.1483043038297</v>
      </c>
      <c r="AV3132" s="2">
        <v>8920.7401187606101</v>
      </c>
      <c r="AW3132" s="2">
        <v>5332.6660645354596</v>
      </c>
      <c r="AX3132" s="2">
        <v>558.59994482438299</v>
      </c>
    </row>
    <row r="3133" spans="1:50" x14ac:dyDescent="0.25">
      <c r="A3133" s="2" t="s">
        <v>20876</v>
      </c>
      <c r="B3133" s="2">
        <v>520.26580666172504</v>
      </c>
      <c r="C3133" s="2">
        <v>10.3901166666667</v>
      </c>
      <c r="D3133" s="2" t="s">
        <v>51</v>
      </c>
      <c r="E3133" s="2" t="s">
        <v>20877</v>
      </c>
      <c r="F3133" s="2">
        <v>22441</v>
      </c>
      <c r="G3133" s="3" t="str">
        <f>HYPERLINK("https://cloud.oebiotech.com/#/lm/network/22441", "https://cloud.oebiotech.com/#/lm/network/22441")</f>
        <v>https://cloud.oebiotech.com/#/lm/network/22441</v>
      </c>
      <c r="H3133" s="2" t="s">
        <v>20878</v>
      </c>
      <c r="I3133" s="2">
        <v>78838</v>
      </c>
      <c r="J3133" s="2" t="s">
        <v>20879</v>
      </c>
      <c r="K3133" s="2">
        <v>52926279</v>
      </c>
      <c r="L3133" s="2"/>
      <c r="M3133" s="2"/>
      <c r="N3133" s="2"/>
      <c r="O3133" s="2"/>
      <c r="P3133" s="2"/>
      <c r="Q3133" s="2"/>
      <c r="R3133" s="2" t="s">
        <v>20880</v>
      </c>
      <c r="S3133" s="2" t="s">
        <v>20881</v>
      </c>
      <c r="T3133" s="2" t="s">
        <v>20882</v>
      </c>
      <c r="U3133" s="2" t="s">
        <v>56</v>
      </c>
      <c r="V3133" s="2" t="s">
        <v>57</v>
      </c>
      <c r="W3133" s="2" t="s">
        <v>82</v>
      </c>
      <c r="X3133" s="2" t="s">
        <v>83</v>
      </c>
      <c r="Y3133" s="2">
        <v>47.2</v>
      </c>
      <c r="Z3133" s="2">
        <v>9.4800000000000006E-3</v>
      </c>
      <c r="AA3133" s="2" t="s">
        <v>163</v>
      </c>
      <c r="AB3133" s="2" t="s">
        <v>20883</v>
      </c>
      <c r="AC3133" s="2">
        <v>-4.3844929820598599</v>
      </c>
      <c r="AD3133" s="2"/>
      <c r="AE3133" s="2">
        <v>0.189175758897001</v>
      </c>
      <c r="AF3133" s="2">
        <v>9847.8307889053594</v>
      </c>
      <c r="AG3133" s="2">
        <v>13171.6999171926</v>
      </c>
      <c r="AH3133" s="4">
        <v>0.74765070953759605</v>
      </c>
      <c r="AI3133" s="4">
        <v>-0.41956367144718898</v>
      </c>
      <c r="AJ3133" s="4" t="s">
        <v>62</v>
      </c>
      <c r="AK3133" s="2">
        <v>0.14004009039273699</v>
      </c>
      <c r="AL3133" s="2">
        <v>0.45960089367699303</v>
      </c>
      <c r="AM3133" s="2">
        <v>18033.350103035798</v>
      </c>
      <c r="AN3133" s="2">
        <v>8846.1899458087591</v>
      </c>
      <c r="AO3133" s="2">
        <v>9857.4511086643797</v>
      </c>
      <c r="AP3133" s="2">
        <v>7291.8837012866297</v>
      </c>
      <c r="AQ3133" s="2">
        <v>7710.05326785131</v>
      </c>
      <c r="AR3133" s="2">
        <v>7348.0566067853097</v>
      </c>
      <c r="AS3133" s="2">
        <v>7675.7444429890302</v>
      </c>
      <c r="AT3133" s="2">
        <v>14489.489877943401</v>
      </c>
      <c r="AU3133" s="2">
        <v>16301.668860444999</v>
      </c>
      <c r="AV3133" s="2">
        <v>13965.2676712008</v>
      </c>
      <c r="AW3133" s="2">
        <v>12510.3564659397</v>
      </c>
      <c r="AX3133" s="2">
        <v>14087.6721846378</v>
      </c>
    </row>
    <row r="3134" spans="1:50" x14ac:dyDescent="0.25">
      <c r="A3134" s="2" t="s">
        <v>20884</v>
      </c>
      <c r="B3134" s="2">
        <v>427.12980193281498</v>
      </c>
      <c r="C3134" s="2">
        <v>4.6687166666666702</v>
      </c>
      <c r="D3134" s="2" t="s">
        <v>51</v>
      </c>
      <c r="E3134" s="2" t="s">
        <v>20885</v>
      </c>
      <c r="F3134" s="2">
        <v>212232</v>
      </c>
      <c r="G3134" s="3" t="str">
        <f>HYPERLINK("https://cloud.oebiotech.com/#/lm/network/212232", "https://cloud.oebiotech.com/#/lm/network/212232")</f>
        <v>https://cloud.oebiotech.com/#/lm/network/212232</v>
      </c>
      <c r="H3134" s="2" t="s">
        <v>20886</v>
      </c>
      <c r="I3134" s="2"/>
      <c r="J3134" s="2"/>
      <c r="K3134" s="2"/>
      <c r="L3134" s="2"/>
      <c r="M3134" s="2"/>
      <c r="N3134" s="2"/>
      <c r="O3134" s="2"/>
      <c r="P3134" s="2"/>
      <c r="Q3134" s="2"/>
      <c r="R3134" s="2"/>
      <c r="S3134" s="2" t="s">
        <v>20887</v>
      </c>
      <c r="T3134" s="2" t="s">
        <v>20888</v>
      </c>
      <c r="U3134" s="2" t="s">
        <v>266</v>
      </c>
      <c r="V3134" s="2" t="s">
        <v>2143</v>
      </c>
      <c r="W3134" s="2" t="s">
        <v>2624</v>
      </c>
      <c r="X3134" s="2" t="s">
        <v>147</v>
      </c>
      <c r="Y3134" s="2">
        <v>36.1</v>
      </c>
      <c r="Z3134" s="2">
        <v>0</v>
      </c>
      <c r="AA3134" s="2" t="s">
        <v>512</v>
      </c>
      <c r="AB3134" s="2" t="s">
        <v>20889</v>
      </c>
      <c r="AC3134" s="2">
        <v>4.42271525822781</v>
      </c>
      <c r="AD3134" s="2"/>
      <c r="AE3134" s="2">
        <v>0.18881831028308099</v>
      </c>
      <c r="AF3134" s="2">
        <v>1269.5432672954601</v>
      </c>
      <c r="AG3134" s="2">
        <v>4451.6743763787599</v>
      </c>
      <c r="AH3134" s="4">
        <v>0.28518331754717802</v>
      </c>
      <c r="AI3134" s="4">
        <v>-1.8100385043955001</v>
      </c>
      <c r="AJ3134" s="4" t="s">
        <v>62</v>
      </c>
      <c r="AK3134" s="2">
        <v>0.32099156727284101</v>
      </c>
      <c r="AL3134" s="2">
        <v>0.62866285719097004</v>
      </c>
      <c r="AM3134" s="2">
        <v>209.636577704682</v>
      </c>
      <c r="AN3134" s="2">
        <v>913.04539518201</v>
      </c>
      <c r="AO3134" s="2">
        <v>2371.4422666199398</v>
      </c>
      <c r="AP3134" s="2">
        <v>663.67462039324198</v>
      </c>
      <c r="AQ3134" s="2">
        <v>1186.0086050851901</v>
      </c>
      <c r="AR3134" s="2">
        <v>2273.4521387876998</v>
      </c>
      <c r="AS3134" s="2">
        <v>615.95100726461897</v>
      </c>
      <c r="AT3134" s="2">
        <v>1222.70247906037</v>
      </c>
      <c r="AU3134" s="2">
        <v>18872.214546826599</v>
      </c>
      <c r="AV3134" s="2">
        <v>8.559877937157E-6</v>
      </c>
      <c r="AW3134" s="2">
        <v>28.876168600399701</v>
      </c>
      <c r="AX3134" s="2">
        <v>5970.3020479606803</v>
      </c>
    </row>
    <row r="3135" spans="1:50" x14ac:dyDescent="0.25">
      <c r="A3135" s="2" t="s">
        <v>20890</v>
      </c>
      <c r="B3135" s="2">
        <v>278.13978897645302</v>
      </c>
      <c r="C3135" s="2">
        <v>5.7914500000000002</v>
      </c>
      <c r="D3135" s="2" t="s">
        <v>51</v>
      </c>
      <c r="E3135" s="2" t="s">
        <v>20891</v>
      </c>
      <c r="F3135" s="2">
        <v>52781</v>
      </c>
      <c r="G3135" s="3" t="str">
        <f>HYPERLINK("https://cloud.oebiotech.com/#/lm/network/52781", "https://cloud.oebiotech.com/#/lm/network/52781")</f>
        <v>https://cloud.oebiotech.com/#/lm/network/52781</v>
      </c>
      <c r="H3135" s="2" t="s">
        <v>20892</v>
      </c>
      <c r="I3135" s="2">
        <v>1227</v>
      </c>
      <c r="J3135" s="2"/>
      <c r="K3135" s="2">
        <v>4158</v>
      </c>
      <c r="L3135" s="2" t="s">
        <v>20893</v>
      </c>
      <c r="M3135" s="2"/>
      <c r="N3135" s="2"/>
      <c r="O3135" s="2">
        <v>84276</v>
      </c>
      <c r="P3135" s="2"/>
      <c r="Q3135" s="2"/>
      <c r="R3135" s="2" t="s">
        <v>20894</v>
      </c>
      <c r="S3135" s="2" t="s">
        <v>20895</v>
      </c>
      <c r="T3135" s="2" t="s">
        <v>20896</v>
      </c>
      <c r="U3135" s="2" t="s">
        <v>119</v>
      </c>
      <c r="V3135" s="2" t="s">
        <v>120</v>
      </c>
      <c r="W3135" s="2" t="s">
        <v>1887</v>
      </c>
      <c r="X3135" s="2" t="s">
        <v>147</v>
      </c>
      <c r="Y3135" s="2">
        <v>38.5</v>
      </c>
      <c r="Z3135" s="2">
        <v>0</v>
      </c>
      <c r="AA3135" s="2" t="s">
        <v>218</v>
      </c>
      <c r="AB3135" s="2" t="s">
        <v>20897</v>
      </c>
      <c r="AC3135" s="2">
        <v>3.11107217828143E-2</v>
      </c>
      <c r="AD3135" s="2"/>
      <c r="AE3135" s="2">
        <v>0.18876493986999701</v>
      </c>
      <c r="AF3135" s="2">
        <v>1224.6408183352401</v>
      </c>
      <c r="AG3135" s="2">
        <v>392.77961631837098</v>
      </c>
      <c r="AH3135" s="5">
        <v>3.11788282145119</v>
      </c>
      <c r="AI3135" s="5">
        <v>1.64056670863609</v>
      </c>
      <c r="AJ3135" s="5" t="s">
        <v>139</v>
      </c>
      <c r="AK3135" s="2">
        <v>2.50158371633835E-2</v>
      </c>
      <c r="AL3135" s="2">
        <v>0.24527119295206001</v>
      </c>
      <c r="AM3135" s="2">
        <v>1643.9521406368201</v>
      </c>
      <c r="AN3135" s="2">
        <v>2352.8867635687602</v>
      </c>
      <c r="AO3135" s="2">
        <v>507.83148610877799</v>
      </c>
      <c r="AP3135" s="2">
        <v>565.37326309697505</v>
      </c>
      <c r="AQ3135" s="2">
        <v>1034.78655312247</v>
      </c>
      <c r="AR3135" s="2">
        <v>1243.0147034776201</v>
      </c>
      <c r="AS3135" s="2">
        <v>624.14538080873001</v>
      </c>
      <c r="AT3135" s="2">
        <v>93.133671801256</v>
      </c>
      <c r="AU3135" s="2">
        <v>542.04453176382401</v>
      </c>
      <c r="AV3135" s="2">
        <v>8.559877937157E-6</v>
      </c>
      <c r="AW3135" s="2">
        <v>239.24211716207799</v>
      </c>
      <c r="AX3135" s="2">
        <v>858.11198781446103</v>
      </c>
    </row>
    <row r="3136" spans="1:50" x14ac:dyDescent="0.25">
      <c r="A3136" s="2" t="s">
        <v>20898</v>
      </c>
      <c r="B3136" s="2">
        <v>417.19610246715303</v>
      </c>
      <c r="C3136" s="2">
        <v>5.0589333333333304</v>
      </c>
      <c r="D3136" s="2" t="s">
        <v>51</v>
      </c>
      <c r="E3136" s="2" t="s">
        <v>20899</v>
      </c>
      <c r="F3136" s="2">
        <v>203162</v>
      </c>
      <c r="G3136" s="3" t="str">
        <f>HYPERLINK("https://cloud.oebiotech.com/#/lm/network/203162", "https://cloud.oebiotech.com/#/lm/network/203162")</f>
        <v>https://cloud.oebiotech.com/#/lm/network/203162</v>
      </c>
      <c r="H3136" s="2" t="s">
        <v>20900</v>
      </c>
      <c r="I3136" s="2"/>
      <c r="J3136" s="2"/>
      <c r="K3136" s="2">
        <v>73744476</v>
      </c>
      <c r="L3136" s="2"/>
      <c r="M3136" s="2"/>
      <c r="N3136" s="2"/>
      <c r="O3136" s="2"/>
      <c r="P3136" s="2"/>
      <c r="Q3136" s="2"/>
      <c r="R3136" s="2"/>
      <c r="S3136" s="2" t="s">
        <v>20901</v>
      </c>
      <c r="T3136" s="2" t="s">
        <v>20902</v>
      </c>
      <c r="U3136" s="2" t="s">
        <v>56</v>
      </c>
      <c r="V3136" s="2" t="s">
        <v>283</v>
      </c>
      <c r="W3136" s="2" t="s">
        <v>2305</v>
      </c>
      <c r="X3136" s="2" t="s">
        <v>147</v>
      </c>
      <c r="Y3136" s="2">
        <v>38.700000000000003</v>
      </c>
      <c r="Z3136" s="2">
        <v>11.6</v>
      </c>
      <c r="AA3136" s="2" t="s">
        <v>218</v>
      </c>
      <c r="AB3136" s="2" t="s">
        <v>20903</v>
      </c>
      <c r="AC3136" s="2">
        <v>2.2957546928507</v>
      </c>
      <c r="AD3136" s="2"/>
      <c r="AE3136" s="2">
        <v>0.18871465244077801</v>
      </c>
      <c r="AF3136" s="2">
        <v>1665.42497206606</v>
      </c>
      <c r="AG3136" s="2">
        <v>486.90850770134398</v>
      </c>
      <c r="AH3136" s="5">
        <v>3.4204063920106802</v>
      </c>
      <c r="AI3136" s="5">
        <v>1.77416774759854</v>
      </c>
      <c r="AJ3136" s="5" t="s">
        <v>139</v>
      </c>
      <c r="AK3136" s="2">
        <v>9.7567018191582006E-2</v>
      </c>
      <c r="AL3136" s="2">
        <v>0.398113668043589</v>
      </c>
      <c r="AM3136" s="2">
        <v>599.80464025280105</v>
      </c>
      <c r="AN3136" s="2">
        <v>1810.85341252424</v>
      </c>
      <c r="AO3136" s="2">
        <v>4078.1512699883101</v>
      </c>
      <c r="AP3136" s="2">
        <v>1052.3921149515099</v>
      </c>
      <c r="AQ3136" s="2">
        <v>3.5225171749923798</v>
      </c>
      <c r="AR3136" s="2">
        <v>2447.8258775044901</v>
      </c>
      <c r="AS3136" s="2">
        <v>8.559877937157E-6</v>
      </c>
      <c r="AT3136" s="2">
        <v>624.86069217665897</v>
      </c>
      <c r="AU3136" s="2">
        <v>881.34067507263205</v>
      </c>
      <c r="AV3136" s="2">
        <v>8.559877937157E-6</v>
      </c>
      <c r="AW3136" s="2">
        <v>8.559877937157E-6</v>
      </c>
      <c r="AX3136" s="2">
        <v>1415.2496532791399</v>
      </c>
    </row>
    <row r="3137" spans="1:50" x14ac:dyDescent="0.25">
      <c r="A3137" s="2" t="s">
        <v>20904</v>
      </c>
      <c r="B3137" s="2">
        <v>245.11413667846799</v>
      </c>
      <c r="C3137" s="2">
        <v>1.85361666666667</v>
      </c>
      <c r="D3137" s="2" t="s">
        <v>51</v>
      </c>
      <c r="E3137" s="2" t="s">
        <v>20905</v>
      </c>
      <c r="F3137" s="2">
        <v>51190</v>
      </c>
      <c r="G3137" s="3" t="str">
        <f>HYPERLINK("https://cloud.oebiotech.com/#/lm/network/51190", "https://cloud.oebiotech.com/#/lm/network/51190")</f>
        <v>https://cloud.oebiotech.com/#/lm/network/51190</v>
      </c>
      <c r="H3137" s="2" t="s">
        <v>20906</v>
      </c>
      <c r="I3137" s="2">
        <v>62020</v>
      </c>
      <c r="J3137" s="2"/>
      <c r="K3137" s="2">
        <v>7015683</v>
      </c>
      <c r="L3137" s="2"/>
      <c r="M3137" s="2"/>
      <c r="N3137" s="2"/>
      <c r="O3137" s="2">
        <v>68848</v>
      </c>
      <c r="P3137" s="2"/>
      <c r="Q3137" s="2"/>
      <c r="R3137" s="2" t="s">
        <v>20907</v>
      </c>
      <c r="S3137" s="2" t="s">
        <v>20908</v>
      </c>
      <c r="T3137" s="2" t="s">
        <v>20909</v>
      </c>
      <c r="U3137" s="2" t="s">
        <v>103</v>
      </c>
      <c r="V3137" s="2" t="s">
        <v>104</v>
      </c>
      <c r="W3137" s="2" t="s">
        <v>105</v>
      </c>
      <c r="X3137" s="2" t="s">
        <v>69</v>
      </c>
      <c r="Y3137" s="2">
        <v>56.8</v>
      </c>
      <c r="Z3137" s="2">
        <v>78.8</v>
      </c>
      <c r="AA3137" s="2" t="s">
        <v>163</v>
      </c>
      <c r="AB3137" s="2" t="s">
        <v>14956</v>
      </c>
      <c r="AC3137" s="2">
        <v>-0.64429213218956805</v>
      </c>
      <c r="AD3137" s="2"/>
      <c r="AE3137" s="2">
        <v>0.18842923396428099</v>
      </c>
      <c r="AF3137" s="2">
        <v>30447.691865090899</v>
      </c>
      <c r="AG3137" s="2">
        <v>22351.0875608848</v>
      </c>
      <c r="AH3137" s="5">
        <v>1.36224654760762</v>
      </c>
      <c r="AI3137" s="5">
        <v>0.44598783464306702</v>
      </c>
      <c r="AJ3137" s="5" t="s">
        <v>139</v>
      </c>
      <c r="AK3137" s="2">
        <v>0.36868494242085498</v>
      </c>
      <c r="AL3137" s="2">
        <v>0.65222958973558298</v>
      </c>
      <c r="AM3137" s="2">
        <v>9416.2484146837196</v>
      </c>
      <c r="AN3137" s="2">
        <v>6794.8511281453902</v>
      </c>
      <c r="AO3137" s="2">
        <v>39462.122656125197</v>
      </c>
      <c r="AP3137" s="2">
        <v>49178.598927408697</v>
      </c>
      <c r="AQ3137" s="2">
        <v>29241.4826604558</v>
      </c>
      <c r="AR3137" s="2">
        <v>48592.847403726802</v>
      </c>
      <c r="AS3137" s="2">
        <v>25147.975148567901</v>
      </c>
      <c r="AT3137" s="2">
        <v>24900.999411811899</v>
      </c>
      <c r="AU3137" s="2">
        <v>12251.708480573499</v>
      </c>
      <c r="AV3137" s="2">
        <v>18701.7333406814</v>
      </c>
      <c r="AW3137" s="2">
        <v>14519.0591046513</v>
      </c>
      <c r="AX3137" s="2">
        <v>38585.049879022801</v>
      </c>
    </row>
    <row r="3138" spans="1:50" x14ac:dyDescent="0.25">
      <c r="A3138" s="2" t="s">
        <v>20910</v>
      </c>
      <c r="B3138" s="2">
        <v>591.46312039649695</v>
      </c>
      <c r="C3138" s="2">
        <v>12.708216666666701</v>
      </c>
      <c r="D3138" s="2" t="s">
        <v>51</v>
      </c>
      <c r="E3138" s="2" t="s">
        <v>20911</v>
      </c>
      <c r="F3138" s="2">
        <v>248472</v>
      </c>
      <c r="G3138" s="3" t="str">
        <f>HYPERLINK("https://cloud.oebiotech.com/#/lm/network/248472", "https://cloud.oebiotech.com/#/lm/network/248472")</f>
        <v>https://cloud.oebiotech.com/#/lm/network/248472</v>
      </c>
      <c r="H3138" s="2" t="s">
        <v>20912</v>
      </c>
      <c r="I3138" s="2"/>
      <c r="J3138" s="2"/>
      <c r="K3138" s="2"/>
      <c r="L3138" s="2"/>
      <c r="M3138" s="2"/>
      <c r="N3138" s="2"/>
      <c r="O3138" s="2"/>
      <c r="P3138" s="2"/>
      <c r="Q3138" s="2"/>
      <c r="R3138" s="2"/>
      <c r="S3138" s="2" t="s">
        <v>20913</v>
      </c>
      <c r="T3138" s="2" t="s">
        <v>20914</v>
      </c>
      <c r="U3138" s="2" t="s">
        <v>56</v>
      </c>
      <c r="V3138" s="2" t="s">
        <v>145</v>
      </c>
      <c r="W3138" s="2" t="s">
        <v>203</v>
      </c>
      <c r="X3138" s="2" t="s">
        <v>83</v>
      </c>
      <c r="Y3138" s="2">
        <v>49.4</v>
      </c>
      <c r="Z3138" s="2">
        <v>27.2</v>
      </c>
      <c r="AA3138" s="2" t="s">
        <v>163</v>
      </c>
      <c r="AB3138" s="2" t="s">
        <v>2231</v>
      </c>
      <c r="AC3138" s="2">
        <v>0.180698777041501</v>
      </c>
      <c r="AD3138" s="2"/>
      <c r="AE3138" s="2">
        <v>0.18819257004749201</v>
      </c>
      <c r="AF3138" s="2">
        <v>19908.570986403</v>
      </c>
      <c r="AG3138" s="2">
        <v>16124.198435898001</v>
      </c>
      <c r="AH3138" s="5">
        <v>1.23470143744199</v>
      </c>
      <c r="AI3138" s="5">
        <v>0.30416222659090703</v>
      </c>
      <c r="AJ3138" s="5" t="s">
        <v>139</v>
      </c>
      <c r="AK3138" s="2">
        <v>0.37312455662141197</v>
      </c>
      <c r="AL3138" s="2">
        <v>0.65472164164869395</v>
      </c>
      <c r="AM3138" s="2">
        <v>6805.6941240613796</v>
      </c>
      <c r="AN3138" s="2">
        <v>21998.720381729301</v>
      </c>
      <c r="AO3138" s="2">
        <v>29548.266824309801</v>
      </c>
      <c r="AP3138" s="2">
        <v>20089.5835912402</v>
      </c>
      <c r="AQ3138" s="2">
        <v>19880.300905549699</v>
      </c>
      <c r="AR3138" s="2">
        <v>21128.8600915278</v>
      </c>
      <c r="AS3138" s="2">
        <v>11636.703087645201</v>
      </c>
      <c r="AT3138" s="2">
        <v>10242.6483504638</v>
      </c>
      <c r="AU3138" s="2">
        <v>21386.0461750836</v>
      </c>
      <c r="AV3138" s="2">
        <v>8772.4115696580302</v>
      </c>
      <c r="AW3138" s="2">
        <v>24554.541572871</v>
      </c>
      <c r="AX3138" s="2">
        <v>20152.839859666099</v>
      </c>
    </row>
    <row r="3139" spans="1:50" x14ac:dyDescent="0.25">
      <c r="A3139" s="2" t="s">
        <v>20915</v>
      </c>
      <c r="B3139" s="2">
        <v>302.09620744013699</v>
      </c>
      <c r="C3139" s="2">
        <v>1.25183333333333</v>
      </c>
      <c r="D3139" s="2" t="s">
        <v>51</v>
      </c>
      <c r="E3139" s="2" t="s">
        <v>20916</v>
      </c>
      <c r="F3139" s="2">
        <v>212201</v>
      </c>
      <c r="G3139" s="3" t="str">
        <f>HYPERLINK("https://cloud.oebiotech.com/#/lm/network/212201", "https://cloud.oebiotech.com/#/lm/network/212201")</f>
        <v>https://cloud.oebiotech.com/#/lm/network/212201</v>
      </c>
      <c r="H3139" s="2" t="s">
        <v>20917</v>
      </c>
      <c r="I3139" s="2">
        <v>447634</v>
      </c>
      <c r="J3139" s="2"/>
      <c r="K3139" s="2">
        <v>29566</v>
      </c>
      <c r="L3139" s="2"/>
      <c r="M3139" s="2"/>
      <c r="N3139" s="2"/>
      <c r="O3139" s="2"/>
      <c r="P3139" s="2"/>
      <c r="Q3139" s="2"/>
      <c r="R3139" s="2"/>
      <c r="S3139" s="2" t="s">
        <v>20918</v>
      </c>
      <c r="T3139" s="2" t="s">
        <v>20919</v>
      </c>
      <c r="U3139" s="2" t="s">
        <v>266</v>
      </c>
      <c r="V3139" s="2" t="s">
        <v>20920</v>
      </c>
      <c r="W3139" s="2" t="s">
        <v>240</v>
      </c>
      <c r="X3139" s="2" t="s">
        <v>147</v>
      </c>
      <c r="Y3139" s="2">
        <v>36.4</v>
      </c>
      <c r="Z3139" s="2">
        <v>0</v>
      </c>
      <c r="AA3139" s="2" t="s">
        <v>512</v>
      </c>
      <c r="AB3139" s="2" t="s">
        <v>20921</v>
      </c>
      <c r="AC3139" s="2">
        <v>3.8192446081608402</v>
      </c>
      <c r="AD3139" s="2"/>
      <c r="AE3139" s="2">
        <v>0.18813381251486999</v>
      </c>
      <c r="AF3139" s="2">
        <v>3347.5289708853502</v>
      </c>
      <c r="AG3139" s="2">
        <v>5062.9482304727098</v>
      </c>
      <c r="AH3139" s="4">
        <v>0.66118174994114198</v>
      </c>
      <c r="AI3139" s="4">
        <v>-0.59688119123835004</v>
      </c>
      <c r="AJ3139" s="4" t="s">
        <v>62</v>
      </c>
      <c r="AK3139" s="2">
        <v>0.54179515014328705</v>
      </c>
      <c r="AL3139" s="2">
        <v>0.76659623603448401</v>
      </c>
      <c r="AM3139" s="2">
        <v>8.559877937157E-6</v>
      </c>
      <c r="AN3139" s="2">
        <v>1720.9911513290299</v>
      </c>
      <c r="AO3139" s="2">
        <v>11079.4523284562</v>
      </c>
      <c r="AP3139" s="2">
        <v>2342.0518565821899</v>
      </c>
      <c r="AQ3139" s="2">
        <v>3272.8105129584401</v>
      </c>
      <c r="AR3139" s="2">
        <v>1669.8679674263899</v>
      </c>
      <c r="AS3139" s="2">
        <v>445.82106153362298</v>
      </c>
      <c r="AT3139" s="2">
        <v>313.74378570849899</v>
      </c>
      <c r="AU3139" s="2">
        <v>1080.9200112691101</v>
      </c>
      <c r="AV3139" s="2">
        <v>8250.9920696299796</v>
      </c>
      <c r="AW3139" s="2">
        <v>13482.278422731601</v>
      </c>
      <c r="AX3139" s="2">
        <v>6803.9340319634302</v>
      </c>
    </row>
    <row r="3140" spans="1:50" x14ac:dyDescent="0.25">
      <c r="A3140" s="2" t="s">
        <v>20922</v>
      </c>
      <c r="B3140" s="2">
        <v>200.165153784772</v>
      </c>
      <c r="C3140" s="2">
        <v>6.1476333333333297</v>
      </c>
      <c r="D3140" s="2" t="s">
        <v>51</v>
      </c>
      <c r="E3140" s="2" t="s">
        <v>20923</v>
      </c>
      <c r="F3140" s="2">
        <v>7439</v>
      </c>
      <c r="G3140" s="3" t="str">
        <f>HYPERLINK("https://cloud.oebiotech.com/#/lm/network/7439", "https://cloud.oebiotech.com/#/lm/network/7439")</f>
        <v>https://cloud.oebiotech.com/#/lm/network/7439</v>
      </c>
      <c r="H3140" s="2" t="s">
        <v>20924</v>
      </c>
      <c r="I3140" s="2">
        <v>85232</v>
      </c>
      <c r="J3140" s="2" t="s">
        <v>20925</v>
      </c>
      <c r="K3140" s="2">
        <v>22155829</v>
      </c>
      <c r="L3140" s="2"/>
      <c r="M3140" s="2"/>
      <c r="N3140" s="2"/>
      <c r="O3140" s="2"/>
      <c r="P3140" s="2"/>
      <c r="Q3140" s="2"/>
      <c r="R3140" s="2"/>
      <c r="S3140" s="2" t="s">
        <v>20926</v>
      </c>
      <c r="T3140" s="2" t="s">
        <v>20927</v>
      </c>
      <c r="U3140" s="2" t="s">
        <v>119</v>
      </c>
      <c r="V3140" s="2" t="s">
        <v>120</v>
      </c>
      <c r="W3140" s="2" t="s">
        <v>121</v>
      </c>
      <c r="X3140" s="2" t="s">
        <v>147</v>
      </c>
      <c r="Y3140" s="2">
        <v>38.200000000000003</v>
      </c>
      <c r="Z3140" s="2">
        <v>0</v>
      </c>
      <c r="AA3140" s="2" t="s">
        <v>122</v>
      </c>
      <c r="AB3140" s="2" t="s">
        <v>20928</v>
      </c>
      <c r="AC3140" s="2">
        <v>0.498265354714995</v>
      </c>
      <c r="AD3140" s="2"/>
      <c r="AE3140" s="2">
        <v>0.188048685199003</v>
      </c>
      <c r="AF3140" s="2">
        <v>3636.3870110340499</v>
      </c>
      <c r="AG3140" s="2">
        <v>5374.2801395902397</v>
      </c>
      <c r="AH3140" s="4">
        <v>0.676627737405462</v>
      </c>
      <c r="AI3140" s="4">
        <v>-0.56356577528268104</v>
      </c>
      <c r="AJ3140" s="4" t="s">
        <v>62</v>
      </c>
      <c r="AK3140" s="2">
        <v>0.39999598522769297</v>
      </c>
      <c r="AL3140" s="2">
        <v>0.66855529949520398</v>
      </c>
      <c r="AM3140" s="2">
        <v>2711.9319675803799</v>
      </c>
      <c r="AN3140" s="2">
        <v>3183.1535777254298</v>
      </c>
      <c r="AO3140" s="2">
        <v>4972.4777657360301</v>
      </c>
      <c r="AP3140" s="2">
        <v>2543.7260677517102</v>
      </c>
      <c r="AQ3140" s="2">
        <v>5508.9263033306997</v>
      </c>
      <c r="AR3140" s="2">
        <v>2898.1063840800698</v>
      </c>
      <c r="AS3140" s="2">
        <v>14897.785927892901</v>
      </c>
      <c r="AT3140" s="2">
        <v>3714.7506406359398</v>
      </c>
      <c r="AU3140" s="2">
        <v>3248.1882608423398</v>
      </c>
      <c r="AV3140" s="2">
        <v>3548.8833906282798</v>
      </c>
      <c r="AW3140" s="2">
        <v>3097.5954601891499</v>
      </c>
      <c r="AX3140" s="2">
        <v>3738.4771573528301</v>
      </c>
    </row>
    <row r="3141" spans="1:50" x14ac:dyDescent="0.25">
      <c r="A3141" s="2" t="s">
        <v>20929</v>
      </c>
      <c r="B3141" s="2">
        <v>163.14849389212199</v>
      </c>
      <c r="C3141" s="2">
        <v>6.68445</v>
      </c>
      <c r="D3141" s="2" t="s">
        <v>51</v>
      </c>
      <c r="E3141" s="2" t="s">
        <v>20930</v>
      </c>
      <c r="F3141" s="2">
        <v>55791</v>
      </c>
      <c r="G3141" s="3" t="str">
        <f>HYPERLINK("https://cloud.oebiotech.com/#/lm/network/55791", "https://cloud.oebiotech.com/#/lm/network/55791")</f>
        <v>https://cloud.oebiotech.com/#/lm/network/55791</v>
      </c>
      <c r="H3141" s="2" t="s">
        <v>20931</v>
      </c>
      <c r="I3141" s="2">
        <v>87473</v>
      </c>
      <c r="J3141" s="2"/>
      <c r="K3141" s="2">
        <v>11137732</v>
      </c>
      <c r="L3141" s="2"/>
      <c r="M3141" s="2"/>
      <c r="N3141" s="2"/>
      <c r="O3141" s="2"/>
      <c r="P3141" s="2"/>
      <c r="Q3141" s="2"/>
      <c r="R3141" s="2" t="s">
        <v>20932</v>
      </c>
      <c r="S3141" s="2" t="s">
        <v>20933</v>
      </c>
      <c r="T3141" s="2" t="s">
        <v>20934</v>
      </c>
      <c r="U3141" s="2" t="s">
        <v>331</v>
      </c>
      <c r="V3141" s="2" t="s">
        <v>332</v>
      </c>
      <c r="W3141" s="2" t="s">
        <v>1207</v>
      </c>
      <c r="X3141" s="2" t="s">
        <v>147</v>
      </c>
      <c r="Y3141" s="2">
        <v>38.4</v>
      </c>
      <c r="Z3141" s="2">
        <v>0</v>
      </c>
      <c r="AA3141" s="2" t="s">
        <v>156</v>
      </c>
      <c r="AB3141" s="2" t="s">
        <v>8583</v>
      </c>
      <c r="AC3141" s="2">
        <v>2.0365155700011002</v>
      </c>
      <c r="AD3141" s="2"/>
      <c r="AE3141" s="2">
        <v>0.187915123241572</v>
      </c>
      <c r="AF3141" s="2">
        <v>1902.87289636526</v>
      </c>
      <c r="AG3141" s="2">
        <v>1159.91905341145</v>
      </c>
      <c r="AH3141" s="5">
        <v>1.64052214744528</v>
      </c>
      <c r="AI3141" s="5">
        <v>0.71415507071936102</v>
      </c>
      <c r="AJ3141" s="5" t="s">
        <v>139</v>
      </c>
      <c r="AK3141" s="2">
        <v>1.72687439472513E-3</v>
      </c>
      <c r="AL3141" s="2">
        <v>9.9661006488224596E-2</v>
      </c>
      <c r="AM3141" s="2">
        <v>1822.2167964211701</v>
      </c>
      <c r="AN3141" s="2">
        <v>2581.6127250556101</v>
      </c>
      <c r="AO3141" s="2">
        <v>1800.0266584072299</v>
      </c>
      <c r="AP3141" s="2">
        <v>1729.7326100194</v>
      </c>
      <c r="AQ3141" s="2">
        <v>1584.52382857779</v>
      </c>
      <c r="AR3141" s="2">
        <v>1899.12475971034</v>
      </c>
      <c r="AS3141" s="2">
        <v>1492.66487335187</v>
      </c>
      <c r="AT3141" s="2">
        <v>979.16975311462397</v>
      </c>
      <c r="AU3141" s="2">
        <v>1347.0506747218899</v>
      </c>
      <c r="AV3141" s="2">
        <v>942.66183948768798</v>
      </c>
      <c r="AW3141" s="2">
        <v>898.18514756099501</v>
      </c>
      <c r="AX3141" s="2">
        <v>1299.78203223165</v>
      </c>
    </row>
    <row r="3142" spans="1:50" x14ac:dyDescent="0.25">
      <c r="A3142" s="2" t="s">
        <v>20935</v>
      </c>
      <c r="B3142" s="2">
        <v>356.20552969788702</v>
      </c>
      <c r="C3142" s="2">
        <v>11.7151666666667</v>
      </c>
      <c r="D3142" s="2" t="s">
        <v>51</v>
      </c>
      <c r="E3142" s="2" t="s">
        <v>20936</v>
      </c>
      <c r="F3142" s="2">
        <v>267124</v>
      </c>
      <c r="G3142" s="3" t="str">
        <f>HYPERLINK("https://cloud.oebiotech.com/#/lm/network/267124", "https://cloud.oebiotech.com/#/lm/network/267124")</f>
        <v>https://cloud.oebiotech.com/#/lm/network/267124</v>
      </c>
      <c r="H3142" s="2"/>
      <c r="I3142" s="2">
        <v>44840</v>
      </c>
      <c r="J3142" s="2"/>
      <c r="K3142" s="2">
        <v>25187973</v>
      </c>
      <c r="L3142" s="2"/>
      <c r="M3142" s="2"/>
      <c r="N3142" s="2"/>
      <c r="O3142" s="2"/>
      <c r="P3142" s="2"/>
      <c r="Q3142" s="2"/>
      <c r="R3142" s="2" t="s">
        <v>20937</v>
      </c>
      <c r="S3142" s="2" t="s">
        <v>20938</v>
      </c>
      <c r="T3142" s="2" t="s">
        <v>20939</v>
      </c>
      <c r="U3142" s="2" t="s">
        <v>56</v>
      </c>
      <c r="V3142" s="2" t="s">
        <v>177</v>
      </c>
      <c r="W3142" s="2" t="s">
        <v>1996</v>
      </c>
      <c r="X3142" s="2" t="s">
        <v>147</v>
      </c>
      <c r="Y3142" s="2">
        <v>37.9</v>
      </c>
      <c r="Z3142" s="2">
        <v>0</v>
      </c>
      <c r="AA3142" s="2" t="s">
        <v>163</v>
      </c>
      <c r="AB3142" s="2" t="s">
        <v>20940</v>
      </c>
      <c r="AC3142" s="2">
        <v>0.47733853811546401</v>
      </c>
      <c r="AD3142" s="2"/>
      <c r="AE3142" s="2">
        <v>0.18778445993187901</v>
      </c>
      <c r="AF3142" s="2">
        <v>1631.26370081337</v>
      </c>
      <c r="AG3142" s="2">
        <v>780.18410110305695</v>
      </c>
      <c r="AH3142" s="5">
        <v>2.0908702170513598</v>
      </c>
      <c r="AI3142" s="5">
        <v>1.06410351480779</v>
      </c>
      <c r="AJ3142" s="5" t="s">
        <v>139</v>
      </c>
      <c r="AK3142" s="2">
        <v>1.6963106634422201E-2</v>
      </c>
      <c r="AL3142" s="2">
        <v>0.205950846806881</v>
      </c>
      <c r="AM3142" s="2">
        <v>2153.6942133530301</v>
      </c>
      <c r="AN3142" s="2">
        <v>1278.3338916438299</v>
      </c>
      <c r="AO3142" s="2">
        <v>1148.17030227429</v>
      </c>
      <c r="AP3142" s="2">
        <v>886.61818359708798</v>
      </c>
      <c r="AQ3142" s="2">
        <v>2527.6425466857099</v>
      </c>
      <c r="AR3142" s="2">
        <v>1793.1230673262501</v>
      </c>
      <c r="AS3142" s="2">
        <v>511.00584623872697</v>
      </c>
      <c r="AT3142" s="2">
        <v>455.42852795973602</v>
      </c>
      <c r="AU3142" s="2">
        <v>1159.37901548898</v>
      </c>
      <c r="AV3142" s="2">
        <v>415.64616299650902</v>
      </c>
      <c r="AW3142" s="2">
        <v>970.89328802507998</v>
      </c>
      <c r="AX3142" s="2">
        <v>1168.7517659093101</v>
      </c>
    </row>
    <row r="3143" spans="1:50" x14ac:dyDescent="0.25">
      <c r="A3143" s="2" t="s">
        <v>20941</v>
      </c>
      <c r="B3143" s="2">
        <v>235.169991619538</v>
      </c>
      <c r="C3143" s="2">
        <v>9.6451499999999992</v>
      </c>
      <c r="D3143" s="2" t="s">
        <v>51</v>
      </c>
      <c r="E3143" s="2" t="s">
        <v>20942</v>
      </c>
      <c r="F3143" s="2">
        <v>59094</v>
      </c>
      <c r="G3143" s="3" t="str">
        <f>HYPERLINK("https://cloud.oebiotech.com/#/lm/network/59094", "https://cloud.oebiotech.com/#/lm/network/59094")</f>
        <v>https://cloud.oebiotech.com/#/lm/network/59094</v>
      </c>
      <c r="H3143" s="2" t="s">
        <v>20943</v>
      </c>
      <c r="I3143" s="2">
        <v>90521</v>
      </c>
      <c r="J3143" s="2"/>
      <c r="K3143" s="2">
        <v>14165820</v>
      </c>
      <c r="L3143" s="2"/>
      <c r="M3143" s="2"/>
      <c r="N3143" s="2"/>
      <c r="O3143" s="2"/>
      <c r="P3143" s="2"/>
      <c r="Q3143" s="2"/>
      <c r="R3143" s="2" t="s">
        <v>20944</v>
      </c>
      <c r="S3143" s="2" t="s">
        <v>20945</v>
      </c>
      <c r="T3143" s="2" t="s">
        <v>20946</v>
      </c>
      <c r="U3143" s="2" t="s">
        <v>56</v>
      </c>
      <c r="V3143" s="2" t="s">
        <v>177</v>
      </c>
      <c r="W3143" s="2" t="s">
        <v>1996</v>
      </c>
      <c r="X3143" s="2" t="s">
        <v>83</v>
      </c>
      <c r="Y3143" s="2">
        <v>46.4</v>
      </c>
      <c r="Z3143" s="2">
        <v>15.6</v>
      </c>
      <c r="AA3143" s="2" t="s">
        <v>259</v>
      </c>
      <c r="AB3143" s="2" t="s">
        <v>4027</v>
      </c>
      <c r="AC3143" s="2">
        <v>3.1398900803454599</v>
      </c>
      <c r="AD3143" s="2"/>
      <c r="AE3143" s="2">
        <v>0.18774839923901601</v>
      </c>
      <c r="AF3143" s="2">
        <v>26391.2293401022</v>
      </c>
      <c r="AG3143" s="2">
        <v>25023.629937328998</v>
      </c>
      <c r="AH3143" s="5">
        <v>1.0546523188761301</v>
      </c>
      <c r="AI3143" s="5">
        <v>7.67674723887974E-2</v>
      </c>
      <c r="AJ3143" s="5" t="s">
        <v>139</v>
      </c>
      <c r="AK3143" s="2">
        <v>0.44380373849342603</v>
      </c>
      <c r="AL3143" s="2">
        <v>0.69908803275019105</v>
      </c>
      <c r="AM3143" s="2">
        <v>28391.758275903801</v>
      </c>
      <c r="AN3143" s="2">
        <v>29315.2289273893</v>
      </c>
      <c r="AO3143" s="2">
        <v>26096.200728788299</v>
      </c>
      <c r="AP3143" s="2">
        <v>25474.551210882601</v>
      </c>
      <c r="AQ3143" s="2">
        <v>25806.907744189601</v>
      </c>
      <c r="AR3143" s="2">
        <v>23262.729153459401</v>
      </c>
      <c r="AS3143" s="2">
        <v>30034.697845234601</v>
      </c>
      <c r="AT3143" s="2">
        <v>25789.6466975492</v>
      </c>
      <c r="AU3143" s="2">
        <v>26294.709806713501</v>
      </c>
      <c r="AV3143" s="2">
        <v>20096.505458971202</v>
      </c>
      <c r="AW3143" s="2">
        <v>21636.932227322399</v>
      </c>
      <c r="AX3143" s="2">
        <v>26289.287588183401</v>
      </c>
    </row>
    <row r="3144" spans="1:50" x14ac:dyDescent="0.25">
      <c r="A3144" s="2" t="s">
        <v>20947</v>
      </c>
      <c r="B3144" s="2">
        <v>488.301697126607</v>
      </c>
      <c r="C3144" s="2">
        <v>9.6638500000000001</v>
      </c>
      <c r="D3144" s="2" t="s">
        <v>51</v>
      </c>
      <c r="E3144" s="2" t="s">
        <v>20948</v>
      </c>
      <c r="F3144" s="2">
        <v>44807</v>
      </c>
      <c r="G3144" s="3" t="str">
        <f>HYPERLINK("https://cloud.oebiotech.com/#/lm/network/44807", "https://cloud.oebiotech.com/#/lm/network/44807")</f>
        <v>https://cloud.oebiotech.com/#/lm/network/44807</v>
      </c>
      <c r="H3144" s="2"/>
      <c r="I3144" s="2">
        <v>67219</v>
      </c>
      <c r="J3144" s="2" t="s">
        <v>20949</v>
      </c>
      <c r="K3144" s="2">
        <v>265237</v>
      </c>
      <c r="L3144" s="2" t="s">
        <v>20950</v>
      </c>
      <c r="M3144" s="2"/>
      <c r="N3144" s="2"/>
      <c r="O3144" s="2">
        <v>69120</v>
      </c>
      <c r="P3144" s="2"/>
      <c r="Q3144" s="2"/>
      <c r="R3144" s="2" t="s">
        <v>20951</v>
      </c>
      <c r="S3144" s="2" t="s">
        <v>20952</v>
      </c>
      <c r="T3144" s="2" t="s">
        <v>20953</v>
      </c>
      <c r="U3144" s="2" t="s">
        <v>56</v>
      </c>
      <c r="V3144" s="2" t="s">
        <v>283</v>
      </c>
      <c r="W3144" s="2" t="s">
        <v>1338</v>
      </c>
      <c r="X3144" s="2" t="s">
        <v>147</v>
      </c>
      <c r="Y3144" s="2">
        <v>38</v>
      </c>
      <c r="Z3144" s="2">
        <v>0</v>
      </c>
      <c r="AA3144" s="2" t="s">
        <v>512</v>
      </c>
      <c r="AB3144" s="2" t="s">
        <v>20954</v>
      </c>
      <c r="AC3144" s="2">
        <v>2.1959034777711501</v>
      </c>
      <c r="AD3144" s="2"/>
      <c r="AE3144" s="2">
        <v>0.18749264972514701</v>
      </c>
      <c r="AF3144" s="2">
        <v>6469.7136412105601</v>
      </c>
      <c r="AG3144" s="2">
        <v>9160.257629107</v>
      </c>
      <c r="AH3144" s="4">
        <v>0.706280751389878</v>
      </c>
      <c r="AI3144" s="4">
        <v>-0.501686316313813</v>
      </c>
      <c r="AJ3144" s="4" t="s">
        <v>62</v>
      </c>
      <c r="AK3144" s="2">
        <v>0.47428867529206398</v>
      </c>
      <c r="AL3144" s="2">
        <v>0.72071969931123103</v>
      </c>
      <c r="AM3144" s="2">
        <v>2443.6661098456698</v>
      </c>
      <c r="AN3144" s="2">
        <v>952.17140199780397</v>
      </c>
      <c r="AO3144" s="2">
        <v>13596.817799140499</v>
      </c>
      <c r="AP3144" s="2">
        <v>6340.8967426594099</v>
      </c>
      <c r="AQ3144" s="2">
        <v>14683.6289806075</v>
      </c>
      <c r="AR3144" s="2">
        <v>801.10081301247999</v>
      </c>
      <c r="AS3144" s="2">
        <v>16710.546491378602</v>
      </c>
      <c r="AT3144" s="2">
        <v>10513.772680012</v>
      </c>
      <c r="AU3144" s="2">
        <v>11651.997226772501</v>
      </c>
      <c r="AV3144" s="2">
        <v>1477.4396121628199</v>
      </c>
      <c r="AW3144" s="2">
        <v>1610.1987363682899</v>
      </c>
      <c r="AX3144" s="2">
        <v>12997.591027947799</v>
      </c>
    </row>
    <row r="3145" spans="1:50" x14ac:dyDescent="0.25">
      <c r="A3145" s="2" t="s">
        <v>20955</v>
      </c>
      <c r="B3145" s="2">
        <v>415.09631031954802</v>
      </c>
      <c r="C3145" s="2">
        <v>8.7284333333333297</v>
      </c>
      <c r="D3145" s="2" t="s">
        <v>51</v>
      </c>
      <c r="E3145" s="2" t="s">
        <v>20956</v>
      </c>
      <c r="F3145" s="2">
        <v>199581</v>
      </c>
      <c r="G3145" s="3" t="str">
        <f>HYPERLINK("https://cloud.oebiotech.com/#/lm/network/199581", "https://cloud.oebiotech.com/#/lm/network/199581")</f>
        <v>https://cloud.oebiotech.com/#/lm/network/199581</v>
      </c>
      <c r="H3145" s="2" t="s">
        <v>20957</v>
      </c>
      <c r="I3145" s="2"/>
      <c r="J3145" s="2"/>
      <c r="K3145" s="2">
        <v>101219</v>
      </c>
      <c r="L3145" s="2"/>
      <c r="M3145" s="2"/>
      <c r="N3145" s="2"/>
      <c r="O3145" s="2"/>
      <c r="P3145" s="2"/>
      <c r="Q3145" s="2"/>
      <c r="R3145" s="2"/>
      <c r="S3145" s="2" t="s">
        <v>20958</v>
      </c>
      <c r="T3145" s="2" t="s">
        <v>20959</v>
      </c>
      <c r="U3145" s="2" t="s">
        <v>610</v>
      </c>
      <c r="V3145" s="2" t="s">
        <v>9240</v>
      </c>
      <c r="W3145" s="2" t="s">
        <v>9633</v>
      </c>
      <c r="X3145" s="2" t="s">
        <v>147</v>
      </c>
      <c r="Y3145" s="2">
        <v>39.1</v>
      </c>
      <c r="Z3145" s="2">
        <v>3.14</v>
      </c>
      <c r="AA3145" s="2" t="s">
        <v>478</v>
      </c>
      <c r="AB3145" s="2" t="s">
        <v>20960</v>
      </c>
      <c r="AC3145" s="2">
        <v>-3.0574980916554102</v>
      </c>
      <c r="AD3145" s="2"/>
      <c r="AE3145" s="2">
        <v>0.18735623308378099</v>
      </c>
      <c r="AF3145" s="2">
        <v>1806.7288921100501</v>
      </c>
      <c r="AG3145" s="2">
        <v>951.03016568551902</v>
      </c>
      <c r="AH3145" s="5">
        <v>1.89975981551304</v>
      </c>
      <c r="AI3145" s="5">
        <v>0.92581703178151897</v>
      </c>
      <c r="AJ3145" s="5" t="s">
        <v>139</v>
      </c>
      <c r="AK3145" s="2">
        <v>4.4466721553190799E-2</v>
      </c>
      <c r="AL3145" s="2">
        <v>0.297793096711781</v>
      </c>
      <c r="AM3145" s="2">
        <v>2220.9312892091202</v>
      </c>
      <c r="AN3145" s="2">
        <v>2812.39972328765</v>
      </c>
      <c r="AO3145" s="2">
        <v>1179.34303953021</v>
      </c>
      <c r="AP3145" s="2">
        <v>977.79636627969398</v>
      </c>
      <c r="AQ3145" s="2">
        <v>1216.81144787926</v>
      </c>
      <c r="AR3145" s="2">
        <v>2433.09148647439</v>
      </c>
      <c r="AS3145" s="2">
        <v>969.96301611123602</v>
      </c>
      <c r="AT3145" s="2">
        <v>574.77836762244794</v>
      </c>
      <c r="AU3145" s="2">
        <v>1556.6487302129799</v>
      </c>
      <c r="AV3145" s="2">
        <v>264.87987869456703</v>
      </c>
      <c r="AW3145" s="2">
        <v>965.88641874914094</v>
      </c>
      <c r="AX3145" s="2">
        <v>1374.02458272274</v>
      </c>
    </row>
    <row r="3146" spans="1:50" x14ac:dyDescent="0.25">
      <c r="A3146" s="2" t="s">
        <v>20961</v>
      </c>
      <c r="B3146" s="2">
        <v>347.17168929854</v>
      </c>
      <c r="C3146" s="2">
        <v>11.2129333333333</v>
      </c>
      <c r="D3146" s="2" t="s">
        <v>51</v>
      </c>
      <c r="E3146" s="2" t="s">
        <v>20962</v>
      </c>
      <c r="F3146" s="2">
        <v>211432</v>
      </c>
      <c r="G3146" s="3" t="str">
        <f>HYPERLINK("https://cloud.oebiotech.com/#/lm/network/211432", "https://cloud.oebiotech.com/#/lm/network/211432")</f>
        <v>https://cloud.oebiotech.com/#/lm/network/211432</v>
      </c>
      <c r="H3146" s="2" t="s">
        <v>20963</v>
      </c>
      <c r="I3146" s="2"/>
      <c r="J3146" s="2"/>
      <c r="K3146" s="2">
        <v>23423985</v>
      </c>
      <c r="L3146" s="2"/>
      <c r="M3146" s="2"/>
      <c r="N3146" s="2"/>
      <c r="O3146" s="2"/>
      <c r="P3146" s="2"/>
      <c r="Q3146" s="2"/>
      <c r="R3146" s="2"/>
      <c r="S3146" s="2" t="s">
        <v>20964</v>
      </c>
      <c r="T3146" s="2" t="s">
        <v>20965</v>
      </c>
      <c r="U3146" s="2" t="s">
        <v>103</v>
      </c>
      <c r="V3146" s="2" t="s">
        <v>104</v>
      </c>
      <c r="W3146" s="2" t="s">
        <v>1139</v>
      </c>
      <c r="X3146" s="2" t="s">
        <v>83</v>
      </c>
      <c r="Y3146" s="2">
        <v>51.3</v>
      </c>
      <c r="Z3146" s="2">
        <v>0</v>
      </c>
      <c r="AA3146" s="2" t="s">
        <v>218</v>
      </c>
      <c r="AB3146" s="2" t="s">
        <v>20966</v>
      </c>
      <c r="AC3146" s="2">
        <v>1.81312516777138</v>
      </c>
      <c r="AD3146" s="2"/>
      <c r="AE3146" s="2">
        <v>0.18734262159933901</v>
      </c>
      <c r="AF3146" s="2">
        <v>380.242286257373</v>
      </c>
      <c r="AG3146" s="2">
        <v>2103.00416889908</v>
      </c>
      <c r="AH3146" s="4">
        <v>0.18080909770922099</v>
      </c>
      <c r="AI3146" s="4">
        <v>-2.46746082371744</v>
      </c>
      <c r="AJ3146" s="4" t="s">
        <v>62</v>
      </c>
      <c r="AK3146" s="2">
        <v>0.25793201011389999</v>
      </c>
      <c r="AL3146" s="2">
        <v>0.58014962627802602</v>
      </c>
      <c r="AM3146" s="2">
        <v>349.326113694247</v>
      </c>
      <c r="AN3146" s="2">
        <v>150.95579838766201</v>
      </c>
      <c r="AO3146" s="2">
        <v>402.64228463470897</v>
      </c>
      <c r="AP3146" s="2">
        <v>617.168421332751</v>
      </c>
      <c r="AQ3146" s="2">
        <v>545.49353762966996</v>
      </c>
      <c r="AR3146" s="2">
        <v>215.86756186519901</v>
      </c>
      <c r="AS3146" s="2">
        <v>356.88777222660701</v>
      </c>
      <c r="AT3146" s="2">
        <v>1668.33747449251</v>
      </c>
      <c r="AU3146" s="2">
        <v>1173.6489061663401</v>
      </c>
      <c r="AV3146" s="2">
        <v>140.544822178001</v>
      </c>
      <c r="AW3146" s="2">
        <v>117.89953362187801</v>
      </c>
      <c r="AX3146" s="2">
        <v>9160.7065047091692</v>
      </c>
    </row>
    <row r="3147" spans="1:50" x14ac:dyDescent="0.25">
      <c r="A3147" s="2" t="s">
        <v>20967</v>
      </c>
      <c r="B3147" s="2">
        <v>277.14452254485701</v>
      </c>
      <c r="C3147" s="2">
        <v>6.3703666666666701</v>
      </c>
      <c r="D3147" s="2" t="s">
        <v>51</v>
      </c>
      <c r="E3147" s="2" t="s">
        <v>20968</v>
      </c>
      <c r="F3147" s="2">
        <v>64633</v>
      </c>
      <c r="G3147" s="3" t="str">
        <f>HYPERLINK("https://cloud.oebiotech.com/#/lm/network/64633", "https://cloud.oebiotech.com/#/lm/network/64633")</f>
        <v>https://cloud.oebiotech.com/#/lm/network/64633</v>
      </c>
      <c r="H3147" s="2" t="s">
        <v>20969</v>
      </c>
      <c r="I3147" s="2">
        <v>95934</v>
      </c>
      <c r="J3147" s="2"/>
      <c r="K3147" s="2">
        <v>85265509</v>
      </c>
      <c r="L3147" s="2"/>
      <c r="M3147" s="2"/>
      <c r="N3147" s="2"/>
      <c r="O3147" s="2">
        <v>174828</v>
      </c>
      <c r="P3147" s="2"/>
      <c r="Q3147" s="2"/>
      <c r="R3147" s="2"/>
      <c r="S3147" s="2" t="s">
        <v>20970</v>
      </c>
      <c r="T3147" s="2" t="s">
        <v>20971</v>
      </c>
      <c r="U3147" s="2" t="s">
        <v>56</v>
      </c>
      <c r="V3147" s="2" t="s">
        <v>177</v>
      </c>
      <c r="W3147" s="2" t="s">
        <v>806</v>
      </c>
      <c r="X3147" s="2" t="s">
        <v>83</v>
      </c>
      <c r="Y3147" s="2">
        <v>48.9</v>
      </c>
      <c r="Z3147" s="2">
        <v>0</v>
      </c>
      <c r="AA3147" s="2" t="s">
        <v>379</v>
      </c>
      <c r="AB3147" s="2" t="s">
        <v>20972</v>
      </c>
      <c r="AC3147" s="2">
        <v>-3.4449424517605597E-2</v>
      </c>
      <c r="AD3147" s="2"/>
      <c r="AE3147" s="2">
        <v>0.18734158955608801</v>
      </c>
      <c r="AF3147" s="2">
        <v>4053.3462962661201</v>
      </c>
      <c r="AG3147" s="2">
        <v>2967.6533442605701</v>
      </c>
      <c r="AH3147" s="5">
        <v>1.3658422416840801</v>
      </c>
      <c r="AI3147" s="5">
        <v>0.449790858237405</v>
      </c>
      <c r="AJ3147" s="5" t="s">
        <v>139</v>
      </c>
      <c r="AK3147" s="2">
        <v>0.18646758313352699</v>
      </c>
      <c r="AL3147" s="2">
        <v>0.51040020334889302</v>
      </c>
      <c r="AM3147" s="2">
        <v>6919.8346165464</v>
      </c>
      <c r="AN3147" s="2">
        <v>4366.33847434974</v>
      </c>
      <c r="AO3147" s="2">
        <v>2764.5044517276801</v>
      </c>
      <c r="AP3147" s="2">
        <v>3533.9150225702801</v>
      </c>
      <c r="AQ3147" s="2">
        <v>2635.22454616606</v>
      </c>
      <c r="AR3147" s="2">
        <v>4100.2606662365297</v>
      </c>
      <c r="AS3147" s="2">
        <v>4469.6807903123599</v>
      </c>
      <c r="AT3147" s="2">
        <v>3061.0215073040699</v>
      </c>
      <c r="AU3147" s="2">
        <v>1953.2794351006601</v>
      </c>
      <c r="AV3147" s="2">
        <v>2451.5329673954502</v>
      </c>
      <c r="AW3147" s="2">
        <v>1998.5425625042899</v>
      </c>
      <c r="AX3147" s="2">
        <v>3871.8628029465699</v>
      </c>
    </row>
    <row r="3148" spans="1:50" x14ac:dyDescent="0.25">
      <c r="A3148" s="2" t="s">
        <v>20973</v>
      </c>
      <c r="B3148" s="2">
        <v>571.43707410566401</v>
      </c>
      <c r="C3148" s="2">
        <v>13.8829166666667</v>
      </c>
      <c r="D3148" s="2" t="s">
        <v>51</v>
      </c>
      <c r="E3148" s="2" t="s">
        <v>20974</v>
      </c>
      <c r="F3148" s="2">
        <v>250374</v>
      </c>
      <c r="G3148" s="3" t="str">
        <f>HYPERLINK("https://cloud.oebiotech.com/#/lm/network/250374", "https://cloud.oebiotech.com/#/lm/network/250374")</f>
        <v>https://cloud.oebiotech.com/#/lm/network/250374</v>
      </c>
      <c r="H3148" s="2" t="s">
        <v>20975</v>
      </c>
      <c r="I3148" s="2"/>
      <c r="J3148" s="2"/>
      <c r="K3148" s="2"/>
      <c r="L3148" s="2"/>
      <c r="M3148" s="2"/>
      <c r="N3148" s="2"/>
      <c r="O3148" s="2"/>
      <c r="P3148" s="2"/>
      <c r="Q3148" s="2"/>
      <c r="R3148" s="2"/>
      <c r="S3148" s="2" t="s">
        <v>20976</v>
      </c>
      <c r="T3148" s="2" t="s">
        <v>20977</v>
      </c>
      <c r="U3148" s="2" t="s">
        <v>56</v>
      </c>
      <c r="V3148" s="2" t="s">
        <v>3215</v>
      </c>
      <c r="W3148" s="2" t="s">
        <v>3216</v>
      </c>
      <c r="X3148" s="2" t="s">
        <v>83</v>
      </c>
      <c r="Y3148" s="2">
        <v>41</v>
      </c>
      <c r="Z3148" s="2">
        <v>0</v>
      </c>
      <c r="AA3148" s="2" t="s">
        <v>379</v>
      </c>
      <c r="AB3148" s="2" t="s">
        <v>8296</v>
      </c>
      <c r="AC3148" s="2">
        <v>0.46662342173976301</v>
      </c>
      <c r="AD3148" s="2"/>
      <c r="AE3148" s="2">
        <v>0.18727917291785001</v>
      </c>
      <c r="AF3148" s="2">
        <v>5922.3181422257603</v>
      </c>
      <c r="AG3148" s="2">
        <v>3784.1015127645701</v>
      </c>
      <c r="AH3148" s="5">
        <v>1.56505266104742</v>
      </c>
      <c r="AI3148" s="5">
        <v>0.64621120192068104</v>
      </c>
      <c r="AJ3148" s="5" t="s">
        <v>139</v>
      </c>
      <c r="AK3148" s="2">
        <v>0.14747029697772901</v>
      </c>
      <c r="AL3148" s="2">
        <v>0.46813495501649</v>
      </c>
      <c r="AM3148" s="2">
        <v>2026.7919455753399</v>
      </c>
      <c r="AN3148" s="2">
        <v>8268.6136202669895</v>
      </c>
      <c r="AO3148" s="2">
        <v>7280.7190540553502</v>
      </c>
      <c r="AP3148" s="2">
        <v>9927.4606392742407</v>
      </c>
      <c r="AQ3148" s="2">
        <v>2869.0194539037502</v>
      </c>
      <c r="AR3148" s="2">
        <v>5161.3041402788804</v>
      </c>
      <c r="AS3148" s="2">
        <v>3355.31604725642</v>
      </c>
      <c r="AT3148" s="2">
        <v>4778.4515142011096</v>
      </c>
      <c r="AU3148" s="2">
        <v>1780.91609458995</v>
      </c>
      <c r="AV3148" s="2">
        <v>3337.0417292462798</v>
      </c>
      <c r="AW3148" s="2">
        <v>4656.2339828999502</v>
      </c>
      <c r="AX3148" s="2">
        <v>4796.6497083936802</v>
      </c>
    </row>
    <row r="3149" spans="1:50" x14ac:dyDescent="0.25">
      <c r="A3149" s="2" t="s">
        <v>20978</v>
      </c>
      <c r="B3149" s="2">
        <v>423.34830704213903</v>
      </c>
      <c r="C3149" s="2">
        <v>13.3257833333333</v>
      </c>
      <c r="D3149" s="2" t="s">
        <v>51</v>
      </c>
      <c r="E3149" s="2" t="s">
        <v>20979</v>
      </c>
      <c r="F3149" s="2">
        <v>113742</v>
      </c>
      <c r="G3149" s="3" t="str">
        <f>HYPERLINK("https://cloud.oebiotech.com/#/lm/network/113742", "https://cloud.oebiotech.com/#/lm/network/113742")</f>
        <v>https://cloud.oebiotech.com/#/lm/network/113742</v>
      </c>
      <c r="H3149" s="2" t="s">
        <v>20980</v>
      </c>
      <c r="I3149" s="2"/>
      <c r="J3149" s="2"/>
      <c r="K3149" s="2">
        <v>131802091</v>
      </c>
      <c r="L3149" s="2"/>
      <c r="M3149" s="2"/>
      <c r="N3149" s="2"/>
      <c r="O3149" s="2"/>
      <c r="P3149" s="2"/>
      <c r="Q3149" s="2"/>
      <c r="R3149" s="2"/>
      <c r="S3149" s="2" t="s">
        <v>20981</v>
      </c>
      <c r="T3149" s="2" t="s">
        <v>20982</v>
      </c>
      <c r="U3149" s="2" t="s">
        <v>56</v>
      </c>
      <c r="V3149" s="2" t="s">
        <v>3215</v>
      </c>
      <c r="W3149" s="2" t="s">
        <v>3216</v>
      </c>
      <c r="X3149" s="2" t="s">
        <v>83</v>
      </c>
      <c r="Y3149" s="2">
        <v>55.1</v>
      </c>
      <c r="Z3149" s="2">
        <v>0</v>
      </c>
      <c r="AA3149" s="2" t="s">
        <v>379</v>
      </c>
      <c r="AB3149" s="2" t="s">
        <v>20983</v>
      </c>
      <c r="AC3149" s="2">
        <v>0.73120666453373695</v>
      </c>
      <c r="AD3149" s="2"/>
      <c r="AE3149" s="2">
        <v>0.18726295686998601</v>
      </c>
      <c r="AF3149" s="2">
        <v>20557.079843999101</v>
      </c>
      <c r="AG3149" s="2">
        <v>17387.775280377798</v>
      </c>
      <c r="AH3149" s="5">
        <v>1.18227199929354</v>
      </c>
      <c r="AI3149" s="5">
        <v>0.24156198719762401</v>
      </c>
      <c r="AJ3149" s="5" t="s">
        <v>139</v>
      </c>
      <c r="AK3149" s="2">
        <v>0.45956458479678802</v>
      </c>
      <c r="AL3149" s="2">
        <v>0.70979056710159505</v>
      </c>
      <c r="AM3149" s="2">
        <v>12025.775970041401</v>
      </c>
      <c r="AN3149" s="2">
        <v>24877.347475771199</v>
      </c>
      <c r="AO3149" s="2">
        <v>25164.923743424599</v>
      </c>
      <c r="AP3149" s="2">
        <v>27066.148756333401</v>
      </c>
      <c r="AQ3149" s="2">
        <v>22310.9651019878</v>
      </c>
      <c r="AR3149" s="2">
        <v>11897.3180164361</v>
      </c>
      <c r="AS3149" s="2">
        <v>8031.6399015953302</v>
      </c>
      <c r="AT3149" s="2">
        <v>21664.0105828548</v>
      </c>
      <c r="AU3149" s="2">
        <v>17074.968733093199</v>
      </c>
      <c r="AV3149" s="2">
        <v>9420.8664996136195</v>
      </c>
      <c r="AW3149" s="2">
        <v>27031.205248267001</v>
      </c>
      <c r="AX3149" s="2">
        <v>21103.960716843001</v>
      </c>
    </row>
    <row r="3150" spans="1:50" x14ac:dyDescent="0.25">
      <c r="A3150" s="2" t="s">
        <v>20984</v>
      </c>
      <c r="B3150" s="2">
        <v>423.19985155792</v>
      </c>
      <c r="C3150" s="2">
        <v>3.7524500000000001</v>
      </c>
      <c r="D3150" s="2" t="s">
        <v>51</v>
      </c>
      <c r="E3150" s="2" t="s">
        <v>20985</v>
      </c>
      <c r="F3150" s="2">
        <v>7908</v>
      </c>
      <c r="G3150" s="3" t="str">
        <f>HYPERLINK("https://cloud.oebiotech.com/#/lm/network/7908", "https://cloud.oebiotech.com/#/lm/network/7908")</f>
        <v>https://cloud.oebiotech.com/#/lm/network/7908</v>
      </c>
      <c r="H3150" s="2"/>
      <c r="I3150" s="2"/>
      <c r="J3150" s="2" t="s">
        <v>20986</v>
      </c>
      <c r="K3150" s="2">
        <v>132967555</v>
      </c>
      <c r="L3150" s="2"/>
      <c r="M3150" s="2"/>
      <c r="N3150" s="2"/>
      <c r="O3150" s="2"/>
      <c r="P3150" s="2"/>
      <c r="Q3150" s="2"/>
      <c r="R3150" s="2"/>
      <c r="S3150" s="2" t="s">
        <v>20987</v>
      </c>
      <c r="T3150" s="2" t="s">
        <v>20988</v>
      </c>
      <c r="U3150" s="2" t="s">
        <v>540</v>
      </c>
      <c r="V3150" s="2" t="s">
        <v>563</v>
      </c>
      <c r="W3150" s="2" t="s">
        <v>240</v>
      </c>
      <c r="X3150" s="2" t="s">
        <v>59</v>
      </c>
      <c r="Y3150" s="2">
        <v>48.9</v>
      </c>
      <c r="Z3150" s="2">
        <v>54</v>
      </c>
      <c r="AA3150" s="2" t="s">
        <v>95</v>
      </c>
      <c r="AB3150" s="2" t="s">
        <v>20989</v>
      </c>
      <c r="AC3150" s="2">
        <v>2.2810420599502801</v>
      </c>
      <c r="AD3150" s="2"/>
      <c r="AE3150" s="2">
        <v>0.187231676117352</v>
      </c>
      <c r="AF3150" s="2">
        <v>18678.171753779799</v>
      </c>
      <c r="AG3150" s="2">
        <v>14269.9808025293</v>
      </c>
      <c r="AH3150" s="5">
        <v>1.3089135866580299</v>
      </c>
      <c r="AI3150" s="5">
        <v>0.38836985494925103</v>
      </c>
      <c r="AJ3150" s="5" t="s">
        <v>139</v>
      </c>
      <c r="AK3150" s="2">
        <v>0.56918176390656094</v>
      </c>
      <c r="AL3150" s="2">
        <v>0.78311574344879098</v>
      </c>
      <c r="AM3150" s="2">
        <v>22873.6730571876</v>
      </c>
      <c r="AN3150" s="2">
        <v>9573.2877648850008</v>
      </c>
      <c r="AO3150" s="2">
        <v>24385.8711673377</v>
      </c>
      <c r="AP3150" s="2">
        <v>4772.5271487747004</v>
      </c>
      <c r="AQ3150" s="2">
        <v>7796.3408567104198</v>
      </c>
      <c r="AR3150" s="2">
        <v>42667.330527783401</v>
      </c>
      <c r="AS3150" s="2">
        <v>5218.5265941062798</v>
      </c>
      <c r="AT3150" s="2">
        <v>4284.0087556675899</v>
      </c>
      <c r="AU3150" s="2">
        <v>10772.7396749404</v>
      </c>
      <c r="AV3150" s="2">
        <v>35154.583026808199</v>
      </c>
      <c r="AW3150" s="2">
        <v>19025.9145405243</v>
      </c>
      <c r="AX3150" s="2">
        <v>11164.112223128899</v>
      </c>
    </row>
    <row r="3151" spans="1:50" x14ac:dyDescent="0.25">
      <c r="A3151" s="2" t="s">
        <v>20990</v>
      </c>
      <c r="B3151" s="2">
        <v>428.11510793992602</v>
      </c>
      <c r="C3151" s="2">
        <v>1.2974333333333301</v>
      </c>
      <c r="D3151" s="2" t="s">
        <v>51</v>
      </c>
      <c r="E3151" s="2" t="s">
        <v>20991</v>
      </c>
      <c r="F3151" s="2">
        <v>201117</v>
      </c>
      <c r="G3151" s="3" t="str">
        <f>HYPERLINK("https://cloud.oebiotech.com/#/lm/network/201117", "https://cloud.oebiotech.com/#/lm/network/201117")</f>
        <v>https://cloud.oebiotech.com/#/lm/network/201117</v>
      </c>
      <c r="H3151" s="2" t="s">
        <v>20992</v>
      </c>
      <c r="I3151" s="2">
        <v>346518</v>
      </c>
      <c r="J3151" s="2"/>
      <c r="K3151" s="2">
        <v>75883</v>
      </c>
      <c r="L3151" s="2"/>
      <c r="M3151" s="2"/>
      <c r="N3151" s="2"/>
      <c r="O3151" s="2"/>
      <c r="P3151" s="2"/>
      <c r="Q3151" s="2"/>
      <c r="R3151" s="2"/>
      <c r="S3151" s="2" t="s">
        <v>20993</v>
      </c>
      <c r="T3151" s="2" t="s">
        <v>20994</v>
      </c>
      <c r="U3151" s="2" t="s">
        <v>266</v>
      </c>
      <c r="V3151" s="2" t="s">
        <v>4611</v>
      </c>
      <c r="W3151" s="2" t="s">
        <v>20995</v>
      </c>
      <c r="X3151" s="2" t="s">
        <v>147</v>
      </c>
      <c r="Y3151" s="2">
        <v>36</v>
      </c>
      <c r="Z3151" s="2">
        <v>0</v>
      </c>
      <c r="AA3151" s="2" t="s">
        <v>218</v>
      </c>
      <c r="AB3151" s="2" t="s">
        <v>20996</v>
      </c>
      <c r="AC3151" s="2">
        <v>2.9939820313059</v>
      </c>
      <c r="AD3151" s="2"/>
      <c r="AE3151" s="2">
        <v>0.18708582626471401</v>
      </c>
      <c r="AF3151" s="2">
        <v>882.93570870412896</v>
      </c>
      <c r="AG3151" s="2">
        <v>1860.6618504959499</v>
      </c>
      <c r="AH3151" s="4">
        <v>0.47452776466007901</v>
      </c>
      <c r="AI3151" s="4">
        <v>-1.07543559296122</v>
      </c>
      <c r="AJ3151" s="4" t="s">
        <v>62</v>
      </c>
      <c r="AK3151" s="2">
        <v>0.14577454285813499</v>
      </c>
      <c r="AL3151" s="2">
        <v>0.46813495501649</v>
      </c>
      <c r="AM3151" s="2">
        <v>8.559877937157E-6</v>
      </c>
      <c r="AN3151" s="2">
        <v>1239.5777533473799</v>
      </c>
      <c r="AO3151" s="2">
        <v>1031.85765114572</v>
      </c>
      <c r="AP3151" s="2">
        <v>8.559877937157E-6</v>
      </c>
      <c r="AQ3151" s="2">
        <v>961.82274069598805</v>
      </c>
      <c r="AR3151" s="2">
        <v>2064.3560899159302</v>
      </c>
      <c r="AS3151" s="2">
        <v>3500.9099473609099</v>
      </c>
      <c r="AT3151" s="2">
        <v>1263.27946696914</v>
      </c>
      <c r="AU3151" s="2">
        <v>8.559877937157E-6</v>
      </c>
      <c r="AV3151" s="2">
        <v>2945.3295039844702</v>
      </c>
      <c r="AW3151" s="2">
        <v>1138.4321765257</v>
      </c>
      <c r="AX3151" s="2">
        <v>2316.0199995756002</v>
      </c>
    </row>
    <row r="3152" spans="1:50" x14ac:dyDescent="0.25">
      <c r="A3152" s="2" t="s">
        <v>20997</v>
      </c>
      <c r="B3152" s="2">
        <v>553.30104056482799</v>
      </c>
      <c r="C3152" s="2">
        <v>4.0250333333333304</v>
      </c>
      <c r="D3152" s="2" t="s">
        <v>51</v>
      </c>
      <c r="E3152" s="2" t="s">
        <v>20998</v>
      </c>
      <c r="F3152" s="2">
        <v>57999</v>
      </c>
      <c r="G3152" s="3" t="str">
        <f>HYPERLINK("https://cloud.oebiotech.com/#/lm/network/57999", "https://cloud.oebiotech.com/#/lm/network/57999")</f>
        <v>https://cloud.oebiotech.com/#/lm/network/57999</v>
      </c>
      <c r="H3152" s="2" t="s">
        <v>20999</v>
      </c>
      <c r="I3152" s="2">
        <v>89556</v>
      </c>
      <c r="J3152" s="2"/>
      <c r="K3152" s="2">
        <v>12309172</v>
      </c>
      <c r="L3152" s="2"/>
      <c r="M3152" s="2"/>
      <c r="N3152" s="2"/>
      <c r="O3152" s="2">
        <v>176019</v>
      </c>
      <c r="P3152" s="2"/>
      <c r="Q3152" s="2"/>
      <c r="R3152" s="2" t="s">
        <v>21000</v>
      </c>
      <c r="S3152" s="2" t="s">
        <v>21001</v>
      </c>
      <c r="T3152" s="2" t="s">
        <v>21002</v>
      </c>
      <c r="U3152" s="2" t="s">
        <v>56</v>
      </c>
      <c r="V3152" s="2" t="s">
        <v>283</v>
      </c>
      <c r="W3152" s="2" t="s">
        <v>1338</v>
      </c>
      <c r="X3152" s="2" t="s">
        <v>147</v>
      </c>
      <c r="Y3152" s="2">
        <v>39.9</v>
      </c>
      <c r="Z3152" s="2">
        <v>23.8</v>
      </c>
      <c r="AA3152" s="2" t="s">
        <v>60</v>
      </c>
      <c r="AB3152" s="2" t="s">
        <v>21003</v>
      </c>
      <c r="AC3152" s="2">
        <v>0.57311226295212303</v>
      </c>
      <c r="AD3152" s="2"/>
      <c r="AE3152" s="2">
        <v>0.18692542665523201</v>
      </c>
      <c r="AF3152" s="2">
        <v>17401.2305072091</v>
      </c>
      <c r="AG3152" s="2">
        <v>21232.981903431999</v>
      </c>
      <c r="AH3152" s="4">
        <v>0.81953776376536103</v>
      </c>
      <c r="AI3152" s="4">
        <v>-0.28711766558489199</v>
      </c>
      <c r="AJ3152" s="4" t="s">
        <v>62</v>
      </c>
      <c r="AK3152" s="2">
        <v>0.84335560919586094</v>
      </c>
      <c r="AL3152" s="2">
        <v>0.93063445423553803</v>
      </c>
      <c r="AM3152" s="2">
        <v>26400.8894156118</v>
      </c>
      <c r="AN3152" s="2">
        <v>6972.9881976765801</v>
      </c>
      <c r="AO3152" s="2">
        <v>11475.4161895325</v>
      </c>
      <c r="AP3152" s="2">
        <v>12.328320612921599</v>
      </c>
      <c r="AQ3152" s="2">
        <v>26091.075129749399</v>
      </c>
      <c r="AR3152" s="2">
        <v>33454.6857900713</v>
      </c>
      <c r="AS3152" s="2">
        <v>8.559877937157E-6</v>
      </c>
      <c r="AT3152" s="2">
        <v>6.1954493319825996</v>
      </c>
      <c r="AU3152" s="2">
        <v>3672.2930153321799</v>
      </c>
      <c r="AV3152" s="2">
        <v>111658.77584463901</v>
      </c>
      <c r="AW3152" s="2">
        <v>6246.78252107972</v>
      </c>
      <c r="AX3152" s="2">
        <v>5813.8445816494796</v>
      </c>
    </row>
    <row r="3153" spans="1:50" x14ac:dyDescent="0.25">
      <c r="A3153" s="2" t="s">
        <v>21004</v>
      </c>
      <c r="B3153" s="2">
        <v>321.05694296134902</v>
      </c>
      <c r="C3153" s="2">
        <v>6.1623999999999999</v>
      </c>
      <c r="D3153" s="2" t="s">
        <v>51</v>
      </c>
      <c r="E3153" s="2" t="s">
        <v>21005</v>
      </c>
      <c r="F3153" s="2">
        <v>203251</v>
      </c>
      <c r="G3153" s="3" t="str">
        <f>HYPERLINK("https://cloud.oebiotech.com/#/lm/network/203251", "https://cloud.oebiotech.com/#/lm/network/203251")</f>
        <v>https://cloud.oebiotech.com/#/lm/network/203251</v>
      </c>
      <c r="H3153" s="2" t="s">
        <v>21006</v>
      </c>
      <c r="I3153" s="2"/>
      <c r="J3153" s="2"/>
      <c r="K3153" s="2">
        <v>129631761</v>
      </c>
      <c r="L3153" s="2"/>
      <c r="M3153" s="2"/>
      <c r="N3153" s="2"/>
      <c r="O3153" s="2"/>
      <c r="P3153" s="2"/>
      <c r="Q3153" s="2"/>
      <c r="R3153" s="2"/>
      <c r="S3153" s="2" t="s">
        <v>21007</v>
      </c>
      <c r="T3153" s="2" t="s">
        <v>21008</v>
      </c>
      <c r="U3153" s="2" t="s">
        <v>103</v>
      </c>
      <c r="V3153" s="2" t="s">
        <v>104</v>
      </c>
      <c r="W3153" s="2" t="s">
        <v>105</v>
      </c>
      <c r="X3153" s="2" t="s">
        <v>147</v>
      </c>
      <c r="Y3153" s="2">
        <v>39</v>
      </c>
      <c r="Z3153" s="2">
        <v>0</v>
      </c>
      <c r="AA3153" s="2" t="s">
        <v>478</v>
      </c>
      <c r="AB3153" s="2" t="s">
        <v>21009</v>
      </c>
      <c r="AC3153" s="2">
        <v>-1.94141285856153</v>
      </c>
      <c r="AD3153" s="2"/>
      <c r="AE3153" s="2">
        <v>0.18675899764430401</v>
      </c>
      <c r="AF3153" s="2">
        <v>2531.9529982630402</v>
      </c>
      <c r="AG3153" s="2">
        <v>1514.14889996446</v>
      </c>
      <c r="AH3153" s="5">
        <v>1.67219551414162</v>
      </c>
      <c r="AI3153" s="5">
        <v>0.74174353808396098</v>
      </c>
      <c r="AJ3153" s="5" t="s">
        <v>139</v>
      </c>
      <c r="AK3153" s="2">
        <v>7.2698959356452902E-2</v>
      </c>
      <c r="AL3153" s="2">
        <v>0.35378173909775501</v>
      </c>
      <c r="AM3153" s="2">
        <v>2874.07839285512</v>
      </c>
      <c r="AN3153" s="2">
        <v>4603.4472879922096</v>
      </c>
      <c r="AO3153" s="2">
        <v>1863.8967351240101</v>
      </c>
      <c r="AP3153" s="2">
        <v>1870.5846454376399</v>
      </c>
      <c r="AQ3153" s="2">
        <v>1207.86625512505</v>
      </c>
      <c r="AR3153" s="2">
        <v>2771.8446730442301</v>
      </c>
      <c r="AS3153" s="2">
        <v>1485.9697056366899</v>
      </c>
      <c r="AT3153" s="2">
        <v>1116.92327687374</v>
      </c>
      <c r="AU3153" s="2">
        <v>1111.53909975993</v>
      </c>
      <c r="AV3153" s="2">
        <v>1580.8574593865301</v>
      </c>
      <c r="AW3153" s="2">
        <v>1831.03831845588</v>
      </c>
      <c r="AX3153" s="2">
        <v>1958.5655396740001</v>
      </c>
    </row>
    <row r="3154" spans="1:50" x14ac:dyDescent="0.25">
      <c r="A3154" s="2" t="s">
        <v>21010</v>
      </c>
      <c r="B3154" s="2">
        <v>469.25741923551902</v>
      </c>
      <c r="C3154" s="2">
        <v>10.1415333333333</v>
      </c>
      <c r="D3154" s="2" t="s">
        <v>51</v>
      </c>
      <c r="E3154" s="2" t="s">
        <v>21011</v>
      </c>
      <c r="F3154" s="2">
        <v>26100</v>
      </c>
      <c r="G3154" s="3" t="str">
        <f>HYPERLINK("https://cloud.oebiotech.com/#/lm/network/26100", "https://cloud.oebiotech.com/#/lm/network/26100")</f>
        <v>https://cloud.oebiotech.com/#/lm/network/26100</v>
      </c>
      <c r="H3154" s="2" t="s">
        <v>21012</v>
      </c>
      <c r="I3154" s="2">
        <v>82355</v>
      </c>
      <c r="J3154" s="2" t="s">
        <v>21013</v>
      </c>
      <c r="K3154" s="2">
        <v>44575057</v>
      </c>
      <c r="L3154" s="2"/>
      <c r="M3154" s="2"/>
      <c r="N3154" s="2"/>
      <c r="O3154" s="2">
        <v>74840</v>
      </c>
      <c r="P3154" s="2"/>
      <c r="Q3154" s="2"/>
      <c r="R3154" s="2"/>
      <c r="S3154" s="2" t="s">
        <v>21014</v>
      </c>
      <c r="T3154" s="2" t="s">
        <v>21015</v>
      </c>
      <c r="U3154" s="2" t="s">
        <v>56</v>
      </c>
      <c r="V3154" s="2" t="s">
        <v>57</v>
      </c>
      <c r="W3154" s="2" t="s">
        <v>702</v>
      </c>
      <c r="X3154" s="2" t="s">
        <v>147</v>
      </c>
      <c r="Y3154" s="2">
        <v>43.5</v>
      </c>
      <c r="Z3154" s="2">
        <v>26.1</v>
      </c>
      <c r="AA3154" s="2" t="s">
        <v>218</v>
      </c>
      <c r="AB3154" s="2" t="s">
        <v>21016</v>
      </c>
      <c r="AC3154" s="2">
        <v>0.53289083843870699</v>
      </c>
      <c r="AD3154" s="2"/>
      <c r="AE3154" s="2">
        <v>0.18662853902958501</v>
      </c>
      <c r="AF3154" s="2">
        <v>6752.1856357163797</v>
      </c>
      <c r="AG3154" s="2">
        <v>4391.4009632856296</v>
      </c>
      <c r="AH3154" s="5">
        <v>1.53759260249021</v>
      </c>
      <c r="AI3154" s="5">
        <v>0.62067330029274503</v>
      </c>
      <c r="AJ3154" s="5" t="s">
        <v>139</v>
      </c>
      <c r="AK3154" s="2">
        <v>0.47712927064510002</v>
      </c>
      <c r="AL3154" s="2">
        <v>0.72263175505611199</v>
      </c>
      <c r="AM3154" s="2">
        <v>3488.8027626313101</v>
      </c>
      <c r="AN3154" s="2">
        <v>6027.4038577809597</v>
      </c>
      <c r="AO3154" s="2">
        <v>3968.6538197650698</v>
      </c>
      <c r="AP3154" s="2">
        <v>4037.82447433689</v>
      </c>
      <c r="AQ3154" s="2">
        <v>19512.901348500702</v>
      </c>
      <c r="AR3154" s="2">
        <v>3477.52755128332</v>
      </c>
      <c r="AS3154" s="2">
        <v>1772.7316425041499</v>
      </c>
      <c r="AT3154" s="2">
        <v>13251.958528089601</v>
      </c>
      <c r="AU3154" s="2">
        <v>1789.0329223066601</v>
      </c>
      <c r="AV3154" s="2">
        <v>838.474426365054</v>
      </c>
      <c r="AW3154" s="2">
        <v>3379.5188865396699</v>
      </c>
      <c r="AX3154" s="2">
        <v>5316.6893739086699</v>
      </c>
    </row>
    <row r="3155" spans="1:50" x14ac:dyDescent="0.25">
      <c r="A3155" s="2" t="s">
        <v>21017</v>
      </c>
      <c r="B3155" s="2">
        <v>467.19249454613498</v>
      </c>
      <c r="C3155" s="2">
        <v>6.3084166666666697</v>
      </c>
      <c r="D3155" s="2" t="s">
        <v>51</v>
      </c>
      <c r="E3155" s="2" t="s">
        <v>21018</v>
      </c>
      <c r="F3155" s="2">
        <v>59453</v>
      </c>
      <c r="G3155" s="3" t="str">
        <f>HYPERLINK("https://cloud.oebiotech.com/#/lm/network/59453", "https://cloud.oebiotech.com/#/lm/network/59453")</f>
        <v>https://cloud.oebiotech.com/#/lm/network/59453</v>
      </c>
      <c r="H3155" s="2" t="s">
        <v>21019</v>
      </c>
      <c r="I3155" s="2">
        <v>90869</v>
      </c>
      <c r="J3155" s="2"/>
      <c r="K3155" s="2">
        <v>74105490</v>
      </c>
      <c r="L3155" s="2"/>
      <c r="M3155" s="2"/>
      <c r="N3155" s="2"/>
      <c r="O3155" s="2"/>
      <c r="P3155" s="2"/>
      <c r="Q3155" s="2"/>
      <c r="R3155" s="2" t="s">
        <v>21020</v>
      </c>
      <c r="S3155" s="2" t="s">
        <v>21021</v>
      </c>
      <c r="T3155" s="2" t="s">
        <v>21022</v>
      </c>
      <c r="U3155" s="2" t="s">
        <v>56</v>
      </c>
      <c r="V3155" s="2" t="s">
        <v>177</v>
      </c>
      <c r="W3155" s="2" t="s">
        <v>1996</v>
      </c>
      <c r="X3155" s="2" t="s">
        <v>147</v>
      </c>
      <c r="Y3155" s="2">
        <v>39.9</v>
      </c>
      <c r="Z3155" s="2">
        <v>11.1</v>
      </c>
      <c r="AA3155" s="2" t="s">
        <v>379</v>
      </c>
      <c r="AB3155" s="2" t="s">
        <v>21023</v>
      </c>
      <c r="AC3155" s="2">
        <v>0.46021378341283498</v>
      </c>
      <c r="AD3155" s="2"/>
      <c r="AE3155" s="2">
        <v>0.18657479348648301</v>
      </c>
      <c r="AF3155" s="2">
        <v>3360.1727710712398</v>
      </c>
      <c r="AG3155" s="2">
        <v>4910.6805061795003</v>
      </c>
      <c r="AH3155" s="4">
        <v>0.68425807112534998</v>
      </c>
      <c r="AI3155" s="4">
        <v>-0.54738754797328404</v>
      </c>
      <c r="AJ3155" s="4" t="s">
        <v>62</v>
      </c>
      <c r="AK3155" s="2">
        <v>0.41825616496538798</v>
      </c>
      <c r="AL3155" s="2">
        <v>0.68013882536278003</v>
      </c>
      <c r="AM3155" s="2">
        <v>1511.47375116852</v>
      </c>
      <c r="AN3155" s="2">
        <v>3831.4136186790101</v>
      </c>
      <c r="AO3155" s="2">
        <v>2235.7376139036801</v>
      </c>
      <c r="AP3155" s="2">
        <v>2482.1709629561501</v>
      </c>
      <c r="AQ3155" s="2">
        <v>1044.64031628527</v>
      </c>
      <c r="AR3155" s="2">
        <v>9055.6003634348308</v>
      </c>
      <c r="AS3155" s="2">
        <v>1622.30322502077</v>
      </c>
      <c r="AT3155" s="2">
        <v>2352.9659306400199</v>
      </c>
      <c r="AU3155" s="2">
        <v>5295.1045664706398</v>
      </c>
      <c r="AV3155" s="2">
        <v>8241.4710892240491</v>
      </c>
      <c r="AW3155" s="2">
        <v>9639.4315182806204</v>
      </c>
      <c r="AX3155" s="2">
        <v>2312.80670744093</v>
      </c>
    </row>
    <row r="3156" spans="1:50" x14ac:dyDescent="0.25">
      <c r="A3156" s="2" t="s">
        <v>21024</v>
      </c>
      <c r="B3156" s="2">
        <v>298.07205031976702</v>
      </c>
      <c r="C3156" s="2">
        <v>5.0792999999999999</v>
      </c>
      <c r="D3156" s="2" t="s">
        <v>51</v>
      </c>
      <c r="E3156" s="2" t="s">
        <v>21025</v>
      </c>
      <c r="F3156" s="2">
        <v>64247</v>
      </c>
      <c r="G3156" s="3" t="str">
        <f>HYPERLINK("https://cloud.oebiotech.com/#/lm/network/64247", "https://cloud.oebiotech.com/#/lm/network/64247")</f>
        <v>https://cloud.oebiotech.com/#/lm/network/64247</v>
      </c>
      <c r="H3156" s="2" t="s">
        <v>21026</v>
      </c>
      <c r="I3156" s="2">
        <v>95569</v>
      </c>
      <c r="J3156" s="2"/>
      <c r="K3156" s="2">
        <v>131753041</v>
      </c>
      <c r="L3156" s="2"/>
      <c r="M3156" s="2"/>
      <c r="N3156" s="2"/>
      <c r="O3156" s="2"/>
      <c r="P3156" s="2"/>
      <c r="Q3156" s="2"/>
      <c r="R3156" s="2" t="s">
        <v>21027</v>
      </c>
      <c r="S3156" s="2" t="s">
        <v>21028</v>
      </c>
      <c r="T3156" s="2" t="s">
        <v>21029</v>
      </c>
      <c r="U3156" s="2" t="s">
        <v>266</v>
      </c>
      <c r="V3156" s="2" t="s">
        <v>1393</v>
      </c>
      <c r="W3156" s="2" t="s">
        <v>1394</v>
      </c>
      <c r="X3156" s="2" t="s">
        <v>147</v>
      </c>
      <c r="Y3156" s="2">
        <v>44</v>
      </c>
      <c r="Z3156" s="2">
        <v>23.9</v>
      </c>
      <c r="AA3156" s="2" t="s">
        <v>163</v>
      </c>
      <c r="AB3156" s="2" t="s">
        <v>21030</v>
      </c>
      <c r="AC3156" s="2">
        <v>-0.15302875049876999</v>
      </c>
      <c r="AD3156" s="2"/>
      <c r="AE3156" s="2">
        <v>0.186410243750875</v>
      </c>
      <c r="AF3156" s="2">
        <v>2951.7335463045401</v>
      </c>
      <c r="AG3156" s="2">
        <v>790.79914703804502</v>
      </c>
      <c r="AH3156" s="5">
        <v>3.7325957638678799</v>
      </c>
      <c r="AI3156" s="5">
        <v>1.9001792747697199</v>
      </c>
      <c r="AJ3156" s="5" t="s">
        <v>139</v>
      </c>
      <c r="AK3156" s="2">
        <v>0.47909688105801002</v>
      </c>
      <c r="AL3156" s="2">
        <v>0.72414606708131002</v>
      </c>
      <c r="AM3156" s="2">
        <v>57.956524858025404</v>
      </c>
      <c r="AN3156" s="2">
        <v>17115.772406324701</v>
      </c>
      <c r="AO3156" s="2">
        <v>8.559877937157E-6</v>
      </c>
      <c r="AP3156" s="2">
        <v>8.559877937157E-6</v>
      </c>
      <c r="AQ3156" s="2">
        <v>106.81405908084299</v>
      </c>
      <c r="AR3156" s="2">
        <v>429.85827044390902</v>
      </c>
      <c r="AS3156" s="2">
        <v>8.559877937157E-6</v>
      </c>
      <c r="AT3156" s="2">
        <v>8.559877937157E-6</v>
      </c>
      <c r="AU3156" s="2">
        <v>49.905376397376401</v>
      </c>
      <c r="AV3156" s="2">
        <v>8.559877937157E-6</v>
      </c>
      <c r="AW3156" s="2">
        <v>4694.8894715913802</v>
      </c>
      <c r="AX3156" s="2">
        <v>8.559877937157E-6</v>
      </c>
    </row>
    <row r="3157" spans="1:50" x14ac:dyDescent="0.25">
      <c r="A3157" s="2" t="s">
        <v>21031</v>
      </c>
      <c r="B3157" s="2">
        <v>642.42920244148797</v>
      </c>
      <c r="C3157" s="2">
        <v>9.6834500000000006</v>
      </c>
      <c r="D3157" s="2" t="s">
        <v>51</v>
      </c>
      <c r="E3157" s="2" t="s">
        <v>21032</v>
      </c>
      <c r="F3157" s="2">
        <v>25180</v>
      </c>
      <c r="G3157" s="3" t="str">
        <f>HYPERLINK("https://cloud.oebiotech.com/#/lm/network/25180", "https://cloud.oebiotech.com/#/lm/network/25180")</f>
        <v>https://cloud.oebiotech.com/#/lm/network/25180</v>
      </c>
      <c r="H3157" s="2"/>
      <c r="I3157" s="2">
        <v>81447</v>
      </c>
      <c r="J3157" s="2" t="s">
        <v>21033</v>
      </c>
      <c r="K3157" s="2">
        <v>52928874</v>
      </c>
      <c r="L3157" s="2"/>
      <c r="M3157" s="2"/>
      <c r="N3157" s="2"/>
      <c r="O3157" s="2"/>
      <c r="P3157" s="2"/>
      <c r="Q3157" s="2"/>
      <c r="R3157" s="2"/>
      <c r="S3157" s="2" t="s">
        <v>21034</v>
      </c>
      <c r="T3157" s="2" t="s">
        <v>21035</v>
      </c>
      <c r="U3157" s="2" t="s">
        <v>56</v>
      </c>
      <c r="V3157" s="2" t="s">
        <v>57</v>
      </c>
      <c r="W3157" s="2" t="s">
        <v>702</v>
      </c>
      <c r="X3157" s="2" t="s">
        <v>147</v>
      </c>
      <c r="Y3157" s="2">
        <v>37.1</v>
      </c>
      <c r="Z3157" s="2">
        <v>0</v>
      </c>
      <c r="AA3157" s="2" t="s">
        <v>122</v>
      </c>
      <c r="AB3157" s="2" t="s">
        <v>21036</v>
      </c>
      <c r="AC3157" s="2">
        <v>4.8982051247749601</v>
      </c>
      <c r="AD3157" s="2"/>
      <c r="AE3157" s="2">
        <v>0.18638089699937299</v>
      </c>
      <c r="AF3157" s="2">
        <v>3633.8899338057099</v>
      </c>
      <c r="AG3157" s="2">
        <v>2406.08206836524</v>
      </c>
      <c r="AH3157" s="5">
        <v>1.5102934274701101</v>
      </c>
      <c r="AI3157" s="5">
        <v>0.59482887089494596</v>
      </c>
      <c r="AJ3157" s="5" t="s">
        <v>139</v>
      </c>
      <c r="AK3157" s="2">
        <v>6.4422129397536998E-2</v>
      </c>
      <c r="AL3157" s="2">
        <v>0.33760062831983101</v>
      </c>
      <c r="AM3157" s="2">
        <v>3976.8785471385099</v>
      </c>
      <c r="AN3157" s="2">
        <v>2934.1053677346999</v>
      </c>
      <c r="AO3157" s="2">
        <v>2401.5856632002801</v>
      </c>
      <c r="AP3157" s="2">
        <v>5788.2439285710998</v>
      </c>
      <c r="AQ3157" s="2">
        <v>3378.3328638773501</v>
      </c>
      <c r="AR3157" s="2">
        <v>3324.1932323123501</v>
      </c>
      <c r="AS3157" s="2">
        <v>2721.22207433619</v>
      </c>
      <c r="AT3157" s="2">
        <v>2726.25460390731</v>
      </c>
      <c r="AU3157" s="2">
        <v>3437.8914873562098</v>
      </c>
      <c r="AV3157" s="2">
        <v>1911.7507017959599</v>
      </c>
      <c r="AW3157" s="2">
        <v>2640.4672144780602</v>
      </c>
      <c r="AX3157" s="2">
        <v>998.90632831769301</v>
      </c>
    </row>
    <row r="3158" spans="1:50" x14ac:dyDescent="0.25">
      <c r="A3158" s="2" t="s">
        <v>21037</v>
      </c>
      <c r="B3158" s="2">
        <v>240.232818942487</v>
      </c>
      <c r="C3158" s="2">
        <v>12.6645</v>
      </c>
      <c r="D3158" s="2" t="s">
        <v>51</v>
      </c>
      <c r="E3158" s="2" t="s">
        <v>21038</v>
      </c>
      <c r="F3158" s="2">
        <v>55650</v>
      </c>
      <c r="G3158" s="3" t="str">
        <f>HYPERLINK("https://cloud.oebiotech.com/#/lm/network/55650", "https://cloud.oebiotech.com/#/lm/network/55650")</f>
        <v>https://cloud.oebiotech.com/#/lm/network/55650</v>
      </c>
      <c r="H3158" s="2" t="s">
        <v>21039</v>
      </c>
      <c r="I3158" s="2">
        <v>87302</v>
      </c>
      <c r="J3158" s="2"/>
      <c r="K3158" s="2">
        <v>131751102</v>
      </c>
      <c r="L3158" s="2"/>
      <c r="M3158" s="2"/>
      <c r="N3158" s="2"/>
      <c r="O3158" s="2">
        <v>172312</v>
      </c>
      <c r="P3158" s="2"/>
      <c r="Q3158" s="2"/>
      <c r="R3158" s="2" t="s">
        <v>21040</v>
      </c>
      <c r="S3158" s="2" t="s">
        <v>21041</v>
      </c>
      <c r="T3158" s="2" t="s">
        <v>21042</v>
      </c>
      <c r="U3158" s="2" t="s">
        <v>56</v>
      </c>
      <c r="V3158" s="2" t="s">
        <v>145</v>
      </c>
      <c r="W3158" s="2" t="s">
        <v>1543</v>
      </c>
      <c r="X3158" s="2" t="s">
        <v>69</v>
      </c>
      <c r="Y3158" s="2">
        <v>74.400000000000006</v>
      </c>
      <c r="Z3158" s="2">
        <v>94.9</v>
      </c>
      <c r="AA3158" s="2" t="s">
        <v>512</v>
      </c>
      <c r="AB3158" s="2" t="s">
        <v>16236</v>
      </c>
      <c r="AC3158" s="2">
        <v>2.8261193795333499</v>
      </c>
      <c r="AD3158" s="2"/>
      <c r="AE3158" s="2">
        <v>0.18632691394648601</v>
      </c>
      <c r="AF3158" s="2">
        <v>25960.467532055001</v>
      </c>
      <c r="AG3158" s="2">
        <v>32802.406180990802</v>
      </c>
      <c r="AH3158" s="4">
        <v>0.79141961076926304</v>
      </c>
      <c r="AI3158" s="4">
        <v>-0.33748528026030999</v>
      </c>
      <c r="AJ3158" s="4" t="s">
        <v>62</v>
      </c>
      <c r="AK3158" s="2">
        <v>0.79845642437078901</v>
      </c>
      <c r="AL3158" s="2">
        <v>0.90954932814260703</v>
      </c>
      <c r="AM3158" s="2">
        <v>417.00190281726202</v>
      </c>
      <c r="AN3158" s="2">
        <v>8.559877937157E-6</v>
      </c>
      <c r="AO3158" s="2">
        <v>67965.533655820793</v>
      </c>
      <c r="AP3158" s="2">
        <v>916.328826363291</v>
      </c>
      <c r="AQ3158" s="2">
        <v>84728.068712141001</v>
      </c>
      <c r="AR3158" s="2">
        <v>1735.8720866280601</v>
      </c>
      <c r="AS3158" s="2">
        <v>106354.753039171</v>
      </c>
      <c r="AT3158" s="2">
        <v>282.07670249078399</v>
      </c>
      <c r="AU3158" s="2">
        <v>88336.221343885001</v>
      </c>
      <c r="AV3158" s="2">
        <v>1841.3859832785399</v>
      </c>
      <c r="AW3158" s="2">
        <v>8.559877937157E-6</v>
      </c>
      <c r="AX3158" s="2">
        <v>8.559877937157E-6</v>
      </c>
    </row>
    <row r="3159" spans="1:50" x14ac:dyDescent="0.25">
      <c r="A3159" s="2" t="s">
        <v>21043</v>
      </c>
      <c r="B3159" s="2">
        <v>280.13005969749003</v>
      </c>
      <c r="C3159" s="2">
        <v>5.3466166666666703</v>
      </c>
      <c r="D3159" s="2" t="s">
        <v>51</v>
      </c>
      <c r="E3159" s="2" t="s">
        <v>21044</v>
      </c>
      <c r="F3159" s="2">
        <v>59478</v>
      </c>
      <c r="G3159" s="3" t="str">
        <f>HYPERLINK("https://cloud.oebiotech.com/#/lm/network/59478", "https://cloud.oebiotech.com/#/lm/network/59478")</f>
        <v>https://cloud.oebiotech.com/#/lm/network/59478</v>
      </c>
      <c r="H3159" s="2" t="s">
        <v>21045</v>
      </c>
      <c r="I3159" s="2"/>
      <c r="J3159" s="2"/>
      <c r="K3159" s="2">
        <v>74039602</v>
      </c>
      <c r="L3159" s="2"/>
      <c r="M3159" s="2"/>
      <c r="N3159" s="2"/>
      <c r="O3159" s="2"/>
      <c r="P3159" s="2"/>
      <c r="Q3159" s="2"/>
      <c r="R3159" s="2" t="s">
        <v>21046</v>
      </c>
      <c r="S3159" s="2" t="s">
        <v>21047</v>
      </c>
      <c r="T3159" s="2" t="s">
        <v>21048</v>
      </c>
      <c r="U3159" s="2" t="s">
        <v>266</v>
      </c>
      <c r="V3159" s="2" t="s">
        <v>3994</v>
      </c>
      <c r="W3159" s="2" t="s">
        <v>3995</v>
      </c>
      <c r="X3159" s="2" t="s">
        <v>83</v>
      </c>
      <c r="Y3159" s="2">
        <v>48</v>
      </c>
      <c r="Z3159" s="2">
        <v>0</v>
      </c>
      <c r="AA3159" s="2" t="s">
        <v>122</v>
      </c>
      <c r="AB3159" s="2" t="s">
        <v>21049</v>
      </c>
      <c r="AC3159" s="2">
        <v>-3.62023997191951</v>
      </c>
      <c r="AD3159" s="2"/>
      <c r="AE3159" s="2">
        <v>0.186294252259045</v>
      </c>
      <c r="AF3159" s="2">
        <v>268.43757084684501</v>
      </c>
      <c r="AG3159" s="2">
        <v>1470.2345351460001</v>
      </c>
      <c r="AH3159" s="4">
        <v>0.182581461957149</v>
      </c>
      <c r="AI3159" s="4">
        <v>-2.45338780327925</v>
      </c>
      <c r="AJ3159" s="4" t="s">
        <v>62</v>
      </c>
      <c r="AK3159" s="2">
        <v>0.130805923590054</v>
      </c>
      <c r="AL3159" s="2">
        <v>0.45075891870540802</v>
      </c>
      <c r="AM3159" s="2">
        <v>328.78260069240201</v>
      </c>
      <c r="AN3159" s="2">
        <v>8.559877937157E-6</v>
      </c>
      <c r="AO3159" s="2">
        <v>355.52693060669202</v>
      </c>
      <c r="AP3159" s="2">
        <v>8.559877937157E-6</v>
      </c>
      <c r="AQ3159" s="2">
        <v>8.559877937157E-6</v>
      </c>
      <c r="AR3159" s="2">
        <v>926.31586810234398</v>
      </c>
      <c r="AS3159" s="2">
        <v>362.76811594105402</v>
      </c>
      <c r="AT3159" s="2">
        <v>528.39710311465603</v>
      </c>
      <c r="AU3159" s="2">
        <v>1547.7411129524801</v>
      </c>
      <c r="AV3159" s="2">
        <v>1589.7776767878099</v>
      </c>
      <c r="AW3159" s="2">
        <v>4792.7231935200998</v>
      </c>
      <c r="AX3159" s="2">
        <v>8.559877937157E-6</v>
      </c>
    </row>
    <row r="3160" spans="1:50" x14ac:dyDescent="0.25">
      <c r="A3160" s="2" t="s">
        <v>21050</v>
      </c>
      <c r="B3160" s="2">
        <v>301.21315310382403</v>
      </c>
      <c r="C3160" s="2">
        <v>4.6064833333333297</v>
      </c>
      <c r="D3160" s="2" t="s">
        <v>51</v>
      </c>
      <c r="E3160" s="2" t="s">
        <v>21051</v>
      </c>
      <c r="F3160" s="2">
        <v>210081</v>
      </c>
      <c r="G3160" s="3" t="str">
        <f>HYPERLINK("https://cloud.oebiotech.com/#/lm/network/210081", "https://cloud.oebiotech.com/#/lm/network/210081")</f>
        <v>https://cloud.oebiotech.com/#/lm/network/210081</v>
      </c>
      <c r="H3160" s="2" t="s">
        <v>21052</v>
      </c>
      <c r="I3160" s="2"/>
      <c r="J3160" s="2"/>
      <c r="K3160" s="2"/>
      <c r="L3160" s="2"/>
      <c r="M3160" s="2"/>
      <c r="N3160" s="2"/>
      <c r="O3160" s="2"/>
      <c r="P3160" s="2"/>
      <c r="Q3160" s="2"/>
      <c r="R3160" s="2"/>
      <c r="S3160" s="2" t="s">
        <v>21053</v>
      </c>
      <c r="T3160" s="2" t="s">
        <v>21054</v>
      </c>
      <c r="U3160" s="2" t="s">
        <v>240</v>
      </c>
      <c r="V3160" s="2" t="s">
        <v>240</v>
      </c>
      <c r="W3160" s="2" t="s">
        <v>240</v>
      </c>
      <c r="X3160" s="2" t="s">
        <v>147</v>
      </c>
      <c r="Y3160" s="2">
        <v>37.200000000000003</v>
      </c>
      <c r="Z3160" s="2">
        <v>0</v>
      </c>
      <c r="AA3160" s="2" t="s">
        <v>156</v>
      </c>
      <c r="AB3160" s="2" t="s">
        <v>21055</v>
      </c>
      <c r="AC3160" s="2">
        <v>3.0459999878940498</v>
      </c>
      <c r="AD3160" s="2"/>
      <c r="AE3160" s="2">
        <v>0.186288964013583</v>
      </c>
      <c r="AF3160" s="2">
        <v>2229.0455406065698</v>
      </c>
      <c r="AG3160" s="2">
        <v>1200.2453121343899</v>
      </c>
      <c r="AH3160" s="5">
        <v>1.8571582976172301</v>
      </c>
      <c r="AI3160" s="5">
        <v>0.89309679074675496</v>
      </c>
      <c r="AJ3160" s="5" t="s">
        <v>139</v>
      </c>
      <c r="AK3160" s="2">
        <v>2.7527957542050199E-2</v>
      </c>
      <c r="AL3160" s="2">
        <v>0.25505404741882998</v>
      </c>
      <c r="AM3160" s="2">
        <v>1906.62981206974</v>
      </c>
      <c r="AN3160" s="2">
        <v>2328.2543742963899</v>
      </c>
      <c r="AO3160" s="2">
        <v>2497.6204722133298</v>
      </c>
      <c r="AP3160" s="2">
        <v>3437.5091196957701</v>
      </c>
      <c r="AQ3160" s="2">
        <v>1726.4662006999999</v>
      </c>
      <c r="AR3160" s="2">
        <v>1477.79326466421</v>
      </c>
      <c r="AS3160" s="2">
        <v>443.95352219412598</v>
      </c>
      <c r="AT3160" s="2">
        <v>1023.8546593578</v>
      </c>
      <c r="AU3160" s="2">
        <v>1784.5678556933799</v>
      </c>
      <c r="AV3160" s="2">
        <v>637.19713090114794</v>
      </c>
      <c r="AW3160" s="2">
        <v>1090.7514955505101</v>
      </c>
      <c r="AX3160" s="2">
        <v>2221.1472091093901</v>
      </c>
    </row>
    <row r="3161" spans="1:50" x14ac:dyDescent="0.25">
      <c r="A3161" s="2" t="s">
        <v>21056</v>
      </c>
      <c r="B3161" s="2">
        <v>350.98867465388997</v>
      </c>
      <c r="C3161" s="2">
        <v>15.174433333333299</v>
      </c>
      <c r="D3161" s="2" t="s">
        <v>51</v>
      </c>
      <c r="E3161" s="2" t="s">
        <v>21057</v>
      </c>
      <c r="F3161" s="2">
        <v>82209</v>
      </c>
      <c r="G3161" s="3" t="str">
        <f>HYPERLINK("https://cloud.oebiotech.com/#/lm/network/82209", "https://cloud.oebiotech.com/#/lm/network/82209")</f>
        <v>https://cloud.oebiotech.com/#/lm/network/82209</v>
      </c>
      <c r="H3161" s="2" t="s">
        <v>21058</v>
      </c>
      <c r="I3161" s="2">
        <v>156</v>
      </c>
      <c r="J3161" s="2"/>
      <c r="K3161" s="2">
        <v>164735</v>
      </c>
      <c r="L3161" s="2" t="s">
        <v>21059</v>
      </c>
      <c r="M3161" s="2"/>
      <c r="N3161" s="2"/>
      <c r="O3161" s="2">
        <v>17969</v>
      </c>
      <c r="P3161" s="2"/>
      <c r="Q3161" s="2"/>
      <c r="R3161" s="2" t="s">
        <v>21060</v>
      </c>
      <c r="S3161" s="2" t="s">
        <v>21061</v>
      </c>
      <c r="T3161" s="2" t="s">
        <v>21062</v>
      </c>
      <c r="U3161" s="2" t="s">
        <v>331</v>
      </c>
      <c r="V3161" s="2" t="s">
        <v>332</v>
      </c>
      <c r="W3161" s="2" t="s">
        <v>333</v>
      </c>
      <c r="X3161" s="2" t="s">
        <v>147</v>
      </c>
      <c r="Y3161" s="2">
        <v>38.700000000000003</v>
      </c>
      <c r="Z3161" s="2">
        <v>0</v>
      </c>
      <c r="AA3161" s="2" t="s">
        <v>379</v>
      </c>
      <c r="AB3161" s="2" t="s">
        <v>21063</v>
      </c>
      <c r="AC3161" s="2">
        <v>-0.265004750818779</v>
      </c>
      <c r="AD3161" s="2"/>
      <c r="AE3161" s="2">
        <v>0.18622336167252701</v>
      </c>
      <c r="AF3161" s="2">
        <v>2476.1317848486101</v>
      </c>
      <c r="AG3161" s="2">
        <v>3332.1371747553399</v>
      </c>
      <c r="AH3161" s="4">
        <v>0.74310619731026295</v>
      </c>
      <c r="AI3161" s="4">
        <v>-0.42835969383451999</v>
      </c>
      <c r="AJ3161" s="4" t="s">
        <v>62</v>
      </c>
      <c r="AK3161" s="2">
        <v>1.7373901234466801E-2</v>
      </c>
      <c r="AL3161" s="2">
        <v>0.207961394413366</v>
      </c>
      <c r="AM3161" s="2">
        <v>1935.36345679345</v>
      </c>
      <c r="AN3161" s="2">
        <v>2528.8523389636798</v>
      </c>
      <c r="AO3161" s="2">
        <v>3190.68095626575</v>
      </c>
      <c r="AP3161" s="2">
        <v>2182.7806101563601</v>
      </c>
      <c r="AQ3161" s="2">
        <v>2677.5868682526402</v>
      </c>
      <c r="AR3161" s="2">
        <v>2341.52647865975</v>
      </c>
      <c r="AS3161" s="2">
        <v>3492.2129008806</v>
      </c>
      <c r="AT3161" s="2">
        <v>3718.4945188484799</v>
      </c>
      <c r="AU3161" s="2">
        <v>2598.0526098331402</v>
      </c>
      <c r="AV3161" s="2">
        <v>3954.2866760786601</v>
      </c>
      <c r="AW3161" s="2">
        <v>3648.0414460881102</v>
      </c>
      <c r="AX3161" s="2">
        <v>2581.7348968030701</v>
      </c>
    </row>
    <row r="3162" spans="1:50" x14ac:dyDescent="0.25">
      <c r="A3162" s="2" t="s">
        <v>21064</v>
      </c>
      <c r="B3162" s="2">
        <v>365.20949745150301</v>
      </c>
      <c r="C3162" s="2">
        <v>7.0694833333333298</v>
      </c>
      <c r="D3162" s="2" t="s">
        <v>51</v>
      </c>
      <c r="E3162" s="2" t="s">
        <v>21065</v>
      </c>
      <c r="F3162" s="2">
        <v>63300</v>
      </c>
      <c r="G3162" s="3" t="str">
        <f>HYPERLINK("https://cloud.oebiotech.com/#/lm/network/63300", "https://cloud.oebiotech.com/#/lm/network/63300")</f>
        <v>https://cloud.oebiotech.com/#/lm/network/63300</v>
      </c>
      <c r="H3162" s="2" t="s">
        <v>21066</v>
      </c>
      <c r="I3162" s="2">
        <v>94608</v>
      </c>
      <c r="J3162" s="2"/>
      <c r="K3162" s="2">
        <v>17827946</v>
      </c>
      <c r="L3162" s="2"/>
      <c r="M3162" s="2"/>
      <c r="N3162" s="2"/>
      <c r="O3162" s="2"/>
      <c r="P3162" s="2"/>
      <c r="Q3162" s="2"/>
      <c r="R3162" s="2" t="s">
        <v>21067</v>
      </c>
      <c r="S3162" s="2" t="s">
        <v>21068</v>
      </c>
      <c r="T3162" s="2" t="s">
        <v>21069</v>
      </c>
      <c r="U3162" s="2" t="s">
        <v>266</v>
      </c>
      <c r="V3162" s="2" t="s">
        <v>1585</v>
      </c>
      <c r="W3162" s="2" t="s">
        <v>12356</v>
      </c>
      <c r="X3162" s="2" t="s">
        <v>147</v>
      </c>
      <c r="Y3162" s="2">
        <v>38.4</v>
      </c>
      <c r="Z3162" s="2">
        <v>0</v>
      </c>
      <c r="AA3162" s="2" t="s">
        <v>478</v>
      </c>
      <c r="AB3162" s="2" t="s">
        <v>21070</v>
      </c>
      <c r="AC3162" s="2">
        <v>1.18177010392013</v>
      </c>
      <c r="AD3162" s="2"/>
      <c r="AE3162" s="2">
        <v>0.18622091921071701</v>
      </c>
      <c r="AF3162" s="2">
        <v>3224.7937647701501</v>
      </c>
      <c r="AG3162" s="2">
        <v>1959.2971378217801</v>
      </c>
      <c r="AH3162" s="5">
        <v>1.64589316368586</v>
      </c>
      <c r="AI3162" s="5">
        <v>0.71887069224622702</v>
      </c>
      <c r="AJ3162" s="5" t="s">
        <v>139</v>
      </c>
      <c r="AK3162" s="2">
        <v>0.21828641550355801</v>
      </c>
      <c r="AL3162" s="2">
        <v>0.54429297740929605</v>
      </c>
      <c r="AM3162" s="2">
        <v>2406.5668948033699</v>
      </c>
      <c r="AN3162" s="2">
        <v>6398.7469633481996</v>
      </c>
      <c r="AO3162" s="2">
        <v>3394.3469254921501</v>
      </c>
      <c r="AP3162" s="2">
        <v>1283.19785702339</v>
      </c>
      <c r="AQ3162" s="2">
        <v>3101.81282749498</v>
      </c>
      <c r="AR3162" s="2">
        <v>2764.0911204588101</v>
      </c>
      <c r="AS3162" s="2">
        <v>1043.5462100632799</v>
      </c>
      <c r="AT3162" s="2">
        <v>610.17066827810095</v>
      </c>
      <c r="AU3162" s="2">
        <v>3921.90136125156</v>
      </c>
      <c r="AV3162" s="2">
        <v>541.33117293903001</v>
      </c>
      <c r="AW3162" s="2">
        <v>4058.0868114045202</v>
      </c>
      <c r="AX3162" s="2">
        <v>1580.74660299421</v>
      </c>
    </row>
    <row r="3163" spans="1:50" x14ac:dyDescent="0.25">
      <c r="A3163" s="2" t="s">
        <v>21071</v>
      </c>
      <c r="B3163" s="2">
        <v>98.984764935922499</v>
      </c>
      <c r="C3163" s="2">
        <v>10.6119166666667</v>
      </c>
      <c r="D3163" s="2" t="s">
        <v>51</v>
      </c>
      <c r="E3163" s="2" t="s">
        <v>21072</v>
      </c>
      <c r="F3163" s="2">
        <v>256411</v>
      </c>
      <c r="G3163" s="3" t="str">
        <f>HYPERLINK("https://cloud.oebiotech.com/#/lm/network/256411", "https://cloud.oebiotech.com/#/lm/network/256411")</f>
        <v>https://cloud.oebiotech.com/#/lm/network/256411</v>
      </c>
      <c r="H3163" s="2" t="s">
        <v>21073</v>
      </c>
      <c r="I3163" s="2">
        <v>69454</v>
      </c>
      <c r="J3163" s="2"/>
      <c r="K3163" s="2">
        <v>517044</v>
      </c>
      <c r="L3163" s="2" t="s">
        <v>21074</v>
      </c>
      <c r="M3163" s="2"/>
      <c r="N3163" s="2"/>
      <c r="O3163" s="2">
        <v>32029</v>
      </c>
      <c r="P3163" s="2"/>
      <c r="Q3163" s="2"/>
      <c r="R3163" s="2" t="s">
        <v>21075</v>
      </c>
      <c r="S3163" s="2" t="s">
        <v>21076</v>
      </c>
      <c r="T3163" s="2" t="s">
        <v>21077</v>
      </c>
      <c r="U3163" s="2" t="s">
        <v>103</v>
      </c>
      <c r="V3163" s="2" t="s">
        <v>104</v>
      </c>
      <c r="W3163" s="2" t="s">
        <v>9173</v>
      </c>
      <c r="X3163" s="2" t="s">
        <v>147</v>
      </c>
      <c r="Y3163" s="2">
        <v>37</v>
      </c>
      <c r="Z3163" s="2">
        <v>0</v>
      </c>
      <c r="AA3163" s="2" t="s">
        <v>259</v>
      </c>
      <c r="AB3163" s="2" t="s">
        <v>21078</v>
      </c>
      <c r="AC3163" s="2">
        <v>4.8734758037681303</v>
      </c>
      <c r="AD3163" s="2"/>
      <c r="AE3163" s="2">
        <v>0.18621194424965901</v>
      </c>
      <c r="AF3163" s="2">
        <v>2658.2680574977499</v>
      </c>
      <c r="AG3163" s="2">
        <v>3733.4247309134898</v>
      </c>
      <c r="AH3163" s="4">
        <v>0.71201865554882504</v>
      </c>
      <c r="AI3163" s="4">
        <v>-0.49001305325301697</v>
      </c>
      <c r="AJ3163" s="4" t="s">
        <v>62</v>
      </c>
      <c r="AK3163" s="2">
        <v>7.97218699569998E-2</v>
      </c>
      <c r="AL3163" s="2">
        <v>0.36520736260394099</v>
      </c>
      <c r="AM3163" s="2">
        <v>3250.2357661329502</v>
      </c>
      <c r="AN3163" s="2">
        <v>2771.2474946424099</v>
      </c>
      <c r="AO3163" s="2">
        <v>2515.5516981494702</v>
      </c>
      <c r="AP3163" s="2">
        <v>2479.4240474189501</v>
      </c>
      <c r="AQ3163" s="2">
        <v>2508.1125269808899</v>
      </c>
      <c r="AR3163" s="2">
        <v>2425.0368116618602</v>
      </c>
      <c r="AS3163" s="2">
        <v>2447.64445626308</v>
      </c>
      <c r="AT3163" s="2">
        <v>1938.16183052423</v>
      </c>
      <c r="AU3163" s="2">
        <v>3824.4985862164699</v>
      </c>
      <c r="AV3163" s="2">
        <v>4639.1835386358498</v>
      </c>
      <c r="AW3163" s="2">
        <v>5387.4111034002699</v>
      </c>
      <c r="AX3163" s="2">
        <v>4163.6488704410203</v>
      </c>
    </row>
    <row r="3164" spans="1:50" x14ac:dyDescent="0.25">
      <c r="A3164" s="2" t="s">
        <v>21079</v>
      </c>
      <c r="B3164" s="2">
        <v>291.16019967333199</v>
      </c>
      <c r="C3164" s="2">
        <v>10.840299999999999</v>
      </c>
      <c r="D3164" s="2" t="s">
        <v>51</v>
      </c>
      <c r="E3164" s="2" t="s">
        <v>21080</v>
      </c>
      <c r="F3164" s="2">
        <v>199841</v>
      </c>
      <c r="G3164" s="3" t="str">
        <f>HYPERLINK("https://cloud.oebiotech.com/#/lm/network/199841", "https://cloud.oebiotech.com/#/lm/network/199841")</f>
        <v>https://cloud.oebiotech.com/#/lm/network/199841</v>
      </c>
      <c r="H3164" s="2" t="s">
        <v>21081</v>
      </c>
      <c r="I3164" s="2"/>
      <c r="J3164" s="2"/>
      <c r="K3164" s="2"/>
      <c r="L3164" s="2"/>
      <c r="M3164" s="2"/>
      <c r="N3164" s="2"/>
      <c r="O3164" s="2">
        <v>132593</v>
      </c>
      <c r="P3164" s="2"/>
      <c r="Q3164" s="2"/>
      <c r="R3164" s="2"/>
      <c r="S3164" s="2" t="s">
        <v>21082</v>
      </c>
      <c r="T3164" s="2" t="s">
        <v>21083</v>
      </c>
      <c r="U3164" s="2" t="s">
        <v>610</v>
      </c>
      <c r="V3164" s="2" t="s">
        <v>611</v>
      </c>
      <c r="W3164" s="2" t="s">
        <v>1122</v>
      </c>
      <c r="X3164" s="2" t="s">
        <v>83</v>
      </c>
      <c r="Y3164" s="2">
        <v>49.9</v>
      </c>
      <c r="Z3164" s="2">
        <v>0</v>
      </c>
      <c r="AA3164" s="2" t="s">
        <v>163</v>
      </c>
      <c r="AB3164" s="2" t="s">
        <v>6322</v>
      </c>
      <c r="AC3164" s="2">
        <v>5.76977734694991E-2</v>
      </c>
      <c r="AD3164" s="2"/>
      <c r="AE3164" s="2">
        <v>0.18603885062549599</v>
      </c>
      <c r="AF3164" s="2">
        <v>6083.3480709989899</v>
      </c>
      <c r="AG3164" s="2">
        <v>7310.4046036010304</v>
      </c>
      <c r="AH3164" s="4">
        <v>0.83214929964374196</v>
      </c>
      <c r="AI3164" s="4">
        <v>-0.265085702900697</v>
      </c>
      <c r="AJ3164" s="4" t="s">
        <v>62</v>
      </c>
      <c r="AK3164" s="2">
        <v>0.201495811455248</v>
      </c>
      <c r="AL3164" s="2">
        <v>0.524812102806965</v>
      </c>
      <c r="AM3164" s="2">
        <v>6723.1551334014503</v>
      </c>
      <c r="AN3164" s="2">
        <v>5480.55838326717</v>
      </c>
      <c r="AO3164" s="2">
        <v>6256.53948239494</v>
      </c>
      <c r="AP3164" s="2">
        <v>6018.3834016987403</v>
      </c>
      <c r="AQ3164" s="2">
        <v>4516.1250207309604</v>
      </c>
      <c r="AR3164" s="2">
        <v>7505.3270045006502</v>
      </c>
      <c r="AS3164" s="2">
        <v>5528.3995197882195</v>
      </c>
      <c r="AT3164" s="2">
        <v>5484.4937838770902</v>
      </c>
      <c r="AU3164" s="2">
        <v>6313.6561263212197</v>
      </c>
      <c r="AV3164" s="2">
        <v>10539.979956258099</v>
      </c>
      <c r="AW3164" s="2">
        <v>7999.6057876413197</v>
      </c>
      <c r="AX3164" s="2">
        <v>7996.2924477202396</v>
      </c>
    </row>
    <row r="3165" spans="1:50" x14ac:dyDescent="0.25">
      <c r="A3165" s="2" t="s">
        <v>21084</v>
      </c>
      <c r="B3165" s="2">
        <v>441.18904627568202</v>
      </c>
      <c r="C3165" s="2">
        <v>4.2766000000000002</v>
      </c>
      <c r="D3165" s="2" t="s">
        <v>51</v>
      </c>
      <c r="E3165" s="2" t="s">
        <v>21085</v>
      </c>
      <c r="F3165" s="2">
        <v>200301</v>
      </c>
      <c r="G3165" s="3" t="str">
        <f>HYPERLINK("https://cloud.oebiotech.com/#/lm/network/200301", "https://cloud.oebiotech.com/#/lm/network/200301")</f>
        <v>https://cloud.oebiotech.com/#/lm/network/200301</v>
      </c>
      <c r="H3165" s="2" t="s">
        <v>21086</v>
      </c>
      <c r="I3165" s="2"/>
      <c r="J3165" s="2"/>
      <c r="K3165" s="2">
        <v>5328127</v>
      </c>
      <c r="L3165" s="2"/>
      <c r="M3165" s="2"/>
      <c r="N3165" s="2"/>
      <c r="O3165" s="2">
        <v>156259</v>
      </c>
      <c r="P3165" s="2"/>
      <c r="Q3165" s="2"/>
      <c r="R3165" s="2"/>
      <c r="S3165" s="2" t="s">
        <v>21087</v>
      </c>
      <c r="T3165" s="2" t="s">
        <v>21088</v>
      </c>
      <c r="U3165" s="2" t="s">
        <v>266</v>
      </c>
      <c r="V3165" s="2" t="s">
        <v>2143</v>
      </c>
      <c r="W3165" s="2" t="s">
        <v>2144</v>
      </c>
      <c r="X3165" s="2" t="s">
        <v>147</v>
      </c>
      <c r="Y3165" s="2">
        <v>39.299999999999997</v>
      </c>
      <c r="Z3165" s="2">
        <v>15.5</v>
      </c>
      <c r="AA3165" s="2" t="s">
        <v>218</v>
      </c>
      <c r="AB3165" s="2" t="s">
        <v>21089</v>
      </c>
      <c r="AC3165" s="2">
        <v>-0.366619843968572</v>
      </c>
      <c r="AD3165" s="2"/>
      <c r="AE3165" s="2">
        <v>0.18582828086728001</v>
      </c>
      <c r="AF3165" s="2">
        <v>2427.7396526979501</v>
      </c>
      <c r="AG3165" s="2">
        <v>951.66952414946002</v>
      </c>
      <c r="AH3165" s="5">
        <v>2.5510322555171698</v>
      </c>
      <c r="AI3165" s="5">
        <v>1.3510811406418599</v>
      </c>
      <c r="AJ3165" s="5" t="s">
        <v>139</v>
      </c>
      <c r="AK3165" s="2">
        <v>9.95162641927759E-2</v>
      </c>
      <c r="AL3165" s="2">
        <v>0.40172900346892498</v>
      </c>
      <c r="AM3165" s="2">
        <v>1167.22268411916</v>
      </c>
      <c r="AN3165" s="2">
        <v>1121.0308387341499</v>
      </c>
      <c r="AO3165" s="2">
        <v>5075.1713967511796</v>
      </c>
      <c r="AP3165" s="2">
        <v>2122.3036560784999</v>
      </c>
      <c r="AQ3165" s="2">
        <v>1666.8662352915201</v>
      </c>
      <c r="AR3165" s="2">
        <v>3413.8431052132</v>
      </c>
      <c r="AS3165" s="2">
        <v>8.559877937157E-6</v>
      </c>
      <c r="AT3165" s="2">
        <v>626.11076721015502</v>
      </c>
      <c r="AU3165" s="2">
        <v>406.13589796530903</v>
      </c>
      <c r="AV3165" s="2">
        <v>1385.2600524366801</v>
      </c>
      <c r="AW3165" s="2">
        <v>8.559877937157E-6</v>
      </c>
      <c r="AX3165" s="2">
        <v>3292.5104101648599</v>
      </c>
    </row>
    <row r="3166" spans="1:50" x14ac:dyDescent="0.25">
      <c r="A3166" s="2" t="s">
        <v>21090</v>
      </c>
      <c r="B3166" s="2">
        <v>413.14335270492199</v>
      </c>
      <c r="C3166" s="2">
        <v>9.5426500000000001</v>
      </c>
      <c r="D3166" s="2" t="s">
        <v>51</v>
      </c>
      <c r="E3166" s="2" t="s">
        <v>21091</v>
      </c>
      <c r="F3166" s="2">
        <v>64597</v>
      </c>
      <c r="G3166" s="3" t="str">
        <f>HYPERLINK("https://cloud.oebiotech.com/#/lm/network/64597", "https://cloud.oebiotech.com/#/lm/network/64597")</f>
        <v>https://cloud.oebiotech.com/#/lm/network/64597</v>
      </c>
      <c r="H3166" s="2" t="s">
        <v>21092</v>
      </c>
      <c r="I3166" s="2">
        <v>95899</v>
      </c>
      <c r="J3166" s="2"/>
      <c r="K3166" s="2">
        <v>4155678</v>
      </c>
      <c r="L3166" s="2"/>
      <c r="M3166" s="2"/>
      <c r="N3166" s="2"/>
      <c r="O3166" s="2"/>
      <c r="P3166" s="2"/>
      <c r="Q3166" s="2"/>
      <c r="R3166" s="2" t="s">
        <v>21093</v>
      </c>
      <c r="S3166" s="2" t="s">
        <v>21094</v>
      </c>
      <c r="T3166" s="2" t="s">
        <v>21095</v>
      </c>
      <c r="U3166" s="2" t="s">
        <v>331</v>
      </c>
      <c r="V3166" s="2" t="s">
        <v>332</v>
      </c>
      <c r="W3166" s="2" t="s">
        <v>333</v>
      </c>
      <c r="X3166" s="2" t="s">
        <v>147</v>
      </c>
      <c r="Y3166" s="2">
        <v>38.299999999999997</v>
      </c>
      <c r="Z3166" s="2">
        <v>1.83</v>
      </c>
      <c r="AA3166" s="2" t="s">
        <v>11323</v>
      </c>
      <c r="AB3166" s="2" t="s">
        <v>5037</v>
      </c>
      <c r="AC3166" s="2">
        <v>-4.5535769173957803</v>
      </c>
      <c r="AD3166" s="2"/>
      <c r="AE3166" s="2">
        <v>0.185712075553915</v>
      </c>
      <c r="AF3166" s="2">
        <v>1340.6162720996799</v>
      </c>
      <c r="AG3166" s="2">
        <v>7596.8972278147703</v>
      </c>
      <c r="AH3166" s="4">
        <v>0.17646892302178799</v>
      </c>
      <c r="AI3166" s="4">
        <v>-2.5025139541665999</v>
      </c>
      <c r="AJ3166" s="4" t="s">
        <v>62</v>
      </c>
      <c r="AK3166" s="2">
        <v>0.39891225368287098</v>
      </c>
      <c r="AL3166" s="2">
        <v>0.66807956279695502</v>
      </c>
      <c r="AM3166" s="2">
        <v>4259.03634360656</v>
      </c>
      <c r="AN3166" s="2">
        <v>814.15679891445905</v>
      </c>
      <c r="AO3166" s="2">
        <v>781.04269194473204</v>
      </c>
      <c r="AP3166" s="2">
        <v>915.90813413046703</v>
      </c>
      <c r="AQ3166" s="2">
        <v>288.04741312124901</v>
      </c>
      <c r="AR3166" s="2">
        <v>985.50625088059996</v>
      </c>
      <c r="AS3166" s="2">
        <v>8.559877937157E-6</v>
      </c>
      <c r="AT3166" s="2">
        <v>42938.033623383599</v>
      </c>
      <c r="AU3166" s="2">
        <v>1989.7164740037499</v>
      </c>
      <c r="AV3166" s="2">
        <v>8.559877937157E-6</v>
      </c>
      <c r="AW3166" s="2">
        <v>8.559877937157E-6</v>
      </c>
      <c r="AX3166" s="2">
        <v>653.63324382164399</v>
      </c>
    </row>
    <row r="3167" spans="1:50" x14ac:dyDescent="0.25">
      <c r="A3167" s="2" t="s">
        <v>21096</v>
      </c>
      <c r="B3167" s="2">
        <v>270.98514206507298</v>
      </c>
      <c r="C3167" s="2">
        <v>1.4109499999999999</v>
      </c>
      <c r="D3167" s="2" t="s">
        <v>51</v>
      </c>
      <c r="E3167" s="2" t="s">
        <v>21097</v>
      </c>
      <c r="F3167" s="2">
        <v>207538</v>
      </c>
      <c r="G3167" s="3" t="str">
        <f>HYPERLINK("https://cloud.oebiotech.com/#/lm/network/207538", "https://cloud.oebiotech.com/#/lm/network/207538")</f>
        <v>https://cloud.oebiotech.com/#/lm/network/207538</v>
      </c>
      <c r="H3167" s="2" t="s">
        <v>21098</v>
      </c>
      <c r="I3167" s="2"/>
      <c r="J3167" s="2"/>
      <c r="K3167" s="2">
        <v>129627923</v>
      </c>
      <c r="L3167" s="2"/>
      <c r="M3167" s="2"/>
      <c r="N3167" s="2"/>
      <c r="O3167" s="2"/>
      <c r="P3167" s="2"/>
      <c r="Q3167" s="2"/>
      <c r="R3167" s="2"/>
      <c r="S3167" s="2" t="s">
        <v>21099</v>
      </c>
      <c r="T3167" s="2" t="s">
        <v>21100</v>
      </c>
      <c r="U3167" s="2" t="s">
        <v>331</v>
      </c>
      <c r="V3167" s="2" t="s">
        <v>332</v>
      </c>
      <c r="W3167" s="2" t="s">
        <v>333</v>
      </c>
      <c r="X3167" s="2" t="s">
        <v>147</v>
      </c>
      <c r="Y3167" s="2">
        <v>37.799999999999997</v>
      </c>
      <c r="Z3167" s="2">
        <v>0</v>
      </c>
      <c r="AA3167" s="2" t="s">
        <v>163</v>
      </c>
      <c r="AB3167" s="2" t="s">
        <v>21101</v>
      </c>
      <c r="AC3167" s="2">
        <v>-3.36264549824836</v>
      </c>
      <c r="AD3167" s="2"/>
      <c r="AE3167" s="2">
        <v>0.185674900424663</v>
      </c>
      <c r="AF3167" s="2">
        <v>6158.4710128172001</v>
      </c>
      <c r="AG3167" s="2">
        <v>4625.8584491648799</v>
      </c>
      <c r="AH3167" s="5">
        <v>1.3313141940019799</v>
      </c>
      <c r="AI3167" s="5">
        <v>0.41285109163741501</v>
      </c>
      <c r="AJ3167" s="5" t="s">
        <v>139</v>
      </c>
      <c r="AK3167" s="2">
        <v>0.50388082226991904</v>
      </c>
      <c r="AL3167" s="2">
        <v>0.74084706335228001</v>
      </c>
      <c r="AM3167" s="2">
        <v>8461.4354422493998</v>
      </c>
      <c r="AN3167" s="2">
        <v>4340.7533713624198</v>
      </c>
      <c r="AO3167" s="2">
        <v>5368.8466027805898</v>
      </c>
      <c r="AP3167" s="2">
        <v>8491.8637201979709</v>
      </c>
      <c r="AQ3167" s="2">
        <v>6200.8700043342296</v>
      </c>
      <c r="AR3167" s="2">
        <v>4087.05693597859</v>
      </c>
      <c r="AS3167" s="2">
        <v>443.57192558860498</v>
      </c>
      <c r="AT3167" s="2">
        <v>4568.9713274244596</v>
      </c>
      <c r="AU3167" s="2">
        <v>13996.3908830338</v>
      </c>
      <c r="AV3167" s="2">
        <v>5716.1038995930503</v>
      </c>
      <c r="AW3167" s="2">
        <v>2456.62319489734</v>
      </c>
      <c r="AX3167" s="2">
        <v>573.48946445202796</v>
      </c>
    </row>
    <row r="3168" spans="1:50" x14ac:dyDescent="0.25">
      <c r="A3168" s="2" t="s">
        <v>21102</v>
      </c>
      <c r="B3168" s="2">
        <v>186.071158328894</v>
      </c>
      <c r="C3168" s="2">
        <v>4.9764666666666697</v>
      </c>
      <c r="D3168" s="2" t="s">
        <v>51</v>
      </c>
      <c r="E3168" s="2" t="s">
        <v>21103</v>
      </c>
      <c r="F3168" s="2">
        <v>200983</v>
      </c>
      <c r="G3168" s="3" t="str">
        <f>HYPERLINK("https://cloud.oebiotech.com/#/lm/network/200983", "https://cloud.oebiotech.com/#/lm/network/200983")</f>
        <v>https://cloud.oebiotech.com/#/lm/network/200983</v>
      </c>
      <c r="H3168" s="2" t="s">
        <v>21104</v>
      </c>
      <c r="I3168" s="2"/>
      <c r="J3168" s="2"/>
      <c r="K3168" s="2"/>
      <c r="L3168" s="2"/>
      <c r="M3168" s="2"/>
      <c r="N3168" s="2"/>
      <c r="O3168" s="2"/>
      <c r="P3168" s="2"/>
      <c r="Q3168" s="2"/>
      <c r="R3168" s="2"/>
      <c r="S3168" s="2" t="s">
        <v>21105</v>
      </c>
      <c r="T3168" s="2" t="s">
        <v>21106</v>
      </c>
      <c r="U3168" s="2" t="s">
        <v>266</v>
      </c>
      <c r="V3168" s="2" t="s">
        <v>2143</v>
      </c>
      <c r="W3168" s="2" t="s">
        <v>6504</v>
      </c>
      <c r="X3168" s="2" t="s">
        <v>147</v>
      </c>
      <c r="Y3168" s="2">
        <v>38.9</v>
      </c>
      <c r="Z3168" s="2">
        <v>0</v>
      </c>
      <c r="AA3168" s="2" t="s">
        <v>156</v>
      </c>
      <c r="AB3168" s="2" t="s">
        <v>21107</v>
      </c>
      <c r="AC3168" s="2">
        <v>-0.96312451380227304</v>
      </c>
      <c r="AD3168" s="2"/>
      <c r="AE3168" s="2">
        <v>0.18565620331053001</v>
      </c>
      <c r="AF3168" s="2">
        <v>2149.5730285770601</v>
      </c>
      <c r="AG3168" s="2">
        <v>1325.5811442281199</v>
      </c>
      <c r="AH3168" s="5">
        <v>1.6216080305131</v>
      </c>
      <c r="AI3168" s="5">
        <v>0.69742513843689602</v>
      </c>
      <c r="AJ3168" s="5" t="s">
        <v>139</v>
      </c>
      <c r="AK3168" s="2">
        <v>1.59113548840248E-2</v>
      </c>
      <c r="AL3168" s="2">
        <v>0.199280416991126</v>
      </c>
      <c r="AM3168" s="2">
        <v>2971.2876290275999</v>
      </c>
      <c r="AN3168" s="2">
        <v>1491.27275692332</v>
      </c>
      <c r="AO3168" s="2">
        <v>1593.69814051086</v>
      </c>
      <c r="AP3168" s="2">
        <v>2354.9220986320602</v>
      </c>
      <c r="AQ3168" s="2">
        <v>2653.6679320827898</v>
      </c>
      <c r="AR3168" s="2">
        <v>1832.58961428575</v>
      </c>
      <c r="AS3168" s="2">
        <v>1236.24972934272</v>
      </c>
      <c r="AT3168" s="2">
        <v>1887.7800174711599</v>
      </c>
      <c r="AU3168" s="2">
        <v>992.29765357257304</v>
      </c>
      <c r="AV3168" s="2">
        <v>972.94715619439705</v>
      </c>
      <c r="AW3168" s="2">
        <v>1309.0890885922799</v>
      </c>
      <c r="AX3168" s="2">
        <v>1555.1232201956</v>
      </c>
    </row>
    <row r="3169" spans="1:50" x14ac:dyDescent="0.25">
      <c r="A3169" s="2" t="s">
        <v>21108</v>
      </c>
      <c r="B3169" s="2">
        <v>448.343303040244</v>
      </c>
      <c r="C3169" s="2">
        <v>9.8909166666666692</v>
      </c>
      <c r="D3169" s="2" t="s">
        <v>51</v>
      </c>
      <c r="E3169" s="2" t="s">
        <v>21109</v>
      </c>
      <c r="F3169" s="2">
        <v>48712</v>
      </c>
      <c r="G3169" s="3" t="str">
        <f>HYPERLINK("https://cloud.oebiotech.com/#/lm/network/48712", "https://cloud.oebiotech.com/#/lm/network/48712")</f>
        <v>https://cloud.oebiotech.com/#/lm/network/48712</v>
      </c>
      <c r="H3169" s="2" t="s">
        <v>21110</v>
      </c>
      <c r="I3169" s="2"/>
      <c r="J3169" s="2"/>
      <c r="K3169" s="2">
        <v>53477830</v>
      </c>
      <c r="L3169" s="2"/>
      <c r="M3169" s="2"/>
      <c r="N3169" s="2"/>
      <c r="O3169" s="2">
        <v>136372</v>
      </c>
      <c r="P3169" s="2"/>
      <c r="Q3169" s="2"/>
      <c r="R3169" s="2"/>
      <c r="S3169" s="2" t="s">
        <v>21111</v>
      </c>
      <c r="T3169" s="2" t="s">
        <v>21112</v>
      </c>
      <c r="U3169" s="2" t="s">
        <v>56</v>
      </c>
      <c r="V3169" s="2" t="s">
        <v>145</v>
      </c>
      <c r="W3169" s="2" t="s">
        <v>1188</v>
      </c>
      <c r="X3169" s="2" t="s">
        <v>69</v>
      </c>
      <c r="Y3169" s="2">
        <v>49.3</v>
      </c>
      <c r="Z3169" s="2">
        <v>46.3</v>
      </c>
      <c r="AA3169" s="2" t="s">
        <v>95</v>
      </c>
      <c r="AB3169" s="2" t="s">
        <v>11768</v>
      </c>
      <c r="AC3169" s="2">
        <v>8.4010006772095593</v>
      </c>
      <c r="AD3169" s="2"/>
      <c r="AE3169" s="2">
        <v>0.185581476793404</v>
      </c>
      <c r="AF3169" s="2">
        <v>68013.716248077995</v>
      </c>
      <c r="AG3169" s="2">
        <v>63474.157418706098</v>
      </c>
      <c r="AH3169" s="5">
        <v>1.0715182211782199</v>
      </c>
      <c r="AI3169" s="5">
        <v>9.9656383266853305E-2</v>
      </c>
      <c r="AJ3169" s="5" t="s">
        <v>139</v>
      </c>
      <c r="AK3169" s="2">
        <v>0.86973773210368099</v>
      </c>
      <c r="AL3169" s="2">
        <v>0.94347394765202897</v>
      </c>
      <c r="AM3169" s="2">
        <v>124809.88131534299</v>
      </c>
      <c r="AN3169" s="2">
        <v>34391.596103203199</v>
      </c>
      <c r="AO3169" s="2">
        <v>81016.414597614203</v>
      </c>
      <c r="AP3169" s="2">
        <v>115928.67860141001</v>
      </c>
      <c r="AQ3169" s="2">
        <v>30367.215926908299</v>
      </c>
      <c r="AR3169" s="2">
        <v>21568.510943989499</v>
      </c>
      <c r="AS3169" s="2">
        <v>40929.545389517203</v>
      </c>
      <c r="AT3169" s="2">
        <v>29552.989790256001</v>
      </c>
      <c r="AU3169" s="2">
        <v>108493.756394032</v>
      </c>
      <c r="AV3169" s="2">
        <v>55552.435032473702</v>
      </c>
      <c r="AW3169" s="2">
        <v>134422.59566876199</v>
      </c>
      <c r="AX3169" s="2">
        <v>11893.622237195999</v>
      </c>
    </row>
    <row r="3170" spans="1:50" x14ac:dyDescent="0.25">
      <c r="A3170" s="2" t="s">
        <v>21113</v>
      </c>
      <c r="B3170" s="2">
        <v>531.00998815243304</v>
      </c>
      <c r="C3170" s="2">
        <v>8.5905500000000004</v>
      </c>
      <c r="D3170" s="2" t="s">
        <v>51</v>
      </c>
      <c r="E3170" s="2" t="s">
        <v>21114</v>
      </c>
      <c r="F3170" s="2">
        <v>197103</v>
      </c>
      <c r="G3170" s="3" t="str">
        <f>HYPERLINK("https://cloud.oebiotech.com/#/lm/network/197103", "https://cloud.oebiotech.com/#/lm/network/197103")</f>
        <v>https://cloud.oebiotech.com/#/lm/network/197103</v>
      </c>
      <c r="H3170" s="2" t="s">
        <v>21115</v>
      </c>
      <c r="I3170" s="2"/>
      <c r="J3170" s="2"/>
      <c r="K3170" s="2"/>
      <c r="L3170" s="2"/>
      <c r="M3170" s="2"/>
      <c r="N3170" s="2"/>
      <c r="O3170" s="2"/>
      <c r="P3170" s="2"/>
      <c r="Q3170" s="2"/>
      <c r="R3170" s="2"/>
      <c r="S3170" s="2" t="s">
        <v>21116</v>
      </c>
      <c r="T3170" s="2" t="s">
        <v>21117</v>
      </c>
      <c r="U3170" s="2" t="s">
        <v>103</v>
      </c>
      <c r="V3170" s="2" t="s">
        <v>4820</v>
      </c>
      <c r="W3170" s="2" t="s">
        <v>10925</v>
      </c>
      <c r="X3170" s="2" t="s">
        <v>147</v>
      </c>
      <c r="Y3170" s="2">
        <v>36.200000000000003</v>
      </c>
      <c r="Z3170" s="2">
        <v>0</v>
      </c>
      <c r="AA3170" s="2" t="s">
        <v>478</v>
      </c>
      <c r="AB3170" s="2" t="s">
        <v>21118</v>
      </c>
      <c r="AC3170" s="2">
        <v>-3.7817613296173702</v>
      </c>
      <c r="AD3170" s="2"/>
      <c r="AE3170" s="2">
        <v>0.18551006078672899</v>
      </c>
      <c r="AF3170" s="2">
        <v>9247.3478555658603</v>
      </c>
      <c r="AG3170" s="2">
        <v>10288.762408439899</v>
      </c>
      <c r="AH3170" s="4">
        <v>0.89878135858013897</v>
      </c>
      <c r="AI3170" s="4">
        <v>-0.153957892669148</v>
      </c>
      <c r="AJ3170" s="4" t="s">
        <v>62</v>
      </c>
      <c r="AK3170" s="2">
        <v>9.5381400803597194E-2</v>
      </c>
      <c r="AL3170" s="2">
        <v>0.39518270427574997</v>
      </c>
      <c r="AM3170" s="2">
        <v>8073.06116271475</v>
      </c>
      <c r="AN3170" s="2">
        <v>8594.0738254994194</v>
      </c>
      <c r="AO3170" s="2">
        <v>11264.1181495726</v>
      </c>
      <c r="AP3170" s="2">
        <v>9656.0149259952104</v>
      </c>
      <c r="AQ3170" s="2">
        <v>8657.5979018788894</v>
      </c>
      <c r="AR3170" s="2">
        <v>9239.2211677343093</v>
      </c>
      <c r="AS3170" s="2">
        <v>9605.9615054296301</v>
      </c>
      <c r="AT3170" s="2">
        <v>10631.670383328699</v>
      </c>
      <c r="AU3170" s="2">
        <v>9871.4041121473292</v>
      </c>
      <c r="AV3170" s="2">
        <v>11767.0111212351</v>
      </c>
      <c r="AW3170" s="2">
        <v>9880.1564508460306</v>
      </c>
      <c r="AX3170" s="2">
        <v>9976.3708776524909</v>
      </c>
    </row>
    <row r="3171" spans="1:50" x14ac:dyDescent="0.25">
      <c r="A3171" s="2" t="s">
        <v>21119</v>
      </c>
      <c r="B3171" s="2">
        <v>318.20311308219698</v>
      </c>
      <c r="C3171" s="2">
        <v>4.0687333333333298</v>
      </c>
      <c r="D3171" s="2" t="s">
        <v>51</v>
      </c>
      <c r="E3171" s="2" t="s">
        <v>21120</v>
      </c>
      <c r="F3171" s="2">
        <v>262867</v>
      </c>
      <c r="G3171" s="3" t="str">
        <f>HYPERLINK("https://cloud.oebiotech.com/#/lm/network/262867", "https://cloud.oebiotech.com/#/lm/network/262867")</f>
        <v>https://cloud.oebiotech.com/#/lm/network/262867</v>
      </c>
      <c r="H3171" s="2"/>
      <c r="I3171" s="2">
        <v>20253</v>
      </c>
      <c r="J3171" s="2"/>
      <c r="K3171" s="2">
        <v>145457934</v>
      </c>
      <c r="L3171" s="2"/>
      <c r="M3171" s="2"/>
      <c r="N3171" s="2"/>
      <c r="O3171" s="2"/>
      <c r="P3171" s="2"/>
      <c r="Q3171" s="2"/>
      <c r="R3171" s="2"/>
      <c r="S3171" s="2" t="s">
        <v>21121</v>
      </c>
      <c r="T3171" s="2" t="s">
        <v>21122</v>
      </c>
      <c r="U3171" s="2" t="s">
        <v>103</v>
      </c>
      <c r="V3171" s="2" t="s">
        <v>104</v>
      </c>
      <c r="W3171" s="2" t="s">
        <v>105</v>
      </c>
      <c r="X3171" s="2" t="s">
        <v>69</v>
      </c>
      <c r="Y3171" s="2">
        <v>54.9</v>
      </c>
      <c r="Z3171" s="2">
        <v>68.900000000000006</v>
      </c>
      <c r="AA3171" s="2" t="s">
        <v>259</v>
      </c>
      <c r="AB3171" s="2" t="s">
        <v>21123</v>
      </c>
      <c r="AC3171" s="2">
        <v>2.4138839997647299</v>
      </c>
      <c r="AD3171" s="2"/>
      <c r="AE3171" s="2">
        <v>0.185487022978293</v>
      </c>
      <c r="AF3171" s="2">
        <v>2688.9255293115898</v>
      </c>
      <c r="AG3171" s="2">
        <v>923.25972681959195</v>
      </c>
      <c r="AH3171" s="5">
        <v>2.9124258875390199</v>
      </c>
      <c r="AI3171" s="5">
        <v>1.54222133799342</v>
      </c>
      <c r="AJ3171" s="5" t="s">
        <v>139</v>
      </c>
      <c r="AK3171" s="2">
        <v>0.19103827605958901</v>
      </c>
      <c r="AL3171" s="2">
        <v>0.51577728284028301</v>
      </c>
      <c r="AM3171" s="2">
        <v>1918.1257453548501</v>
      </c>
      <c r="AN3171" s="2">
        <v>360.56756487768598</v>
      </c>
      <c r="AO3171" s="2">
        <v>1674.1591058138699</v>
      </c>
      <c r="AP3171" s="2">
        <v>414.82405463331799</v>
      </c>
      <c r="AQ3171" s="2">
        <v>8337.0216458544292</v>
      </c>
      <c r="AR3171" s="2">
        <v>3428.8550593353598</v>
      </c>
      <c r="AS3171" s="2">
        <v>251.97989577530899</v>
      </c>
      <c r="AT3171" s="2">
        <v>360.11569653278502</v>
      </c>
      <c r="AU3171" s="2">
        <v>1926.44638526208</v>
      </c>
      <c r="AV3171" s="2">
        <v>1845.0109917940799</v>
      </c>
      <c r="AW3171" s="2">
        <v>679.03232110427098</v>
      </c>
      <c r="AX3171" s="2">
        <v>476.973070449028</v>
      </c>
    </row>
    <row r="3172" spans="1:50" x14ac:dyDescent="0.25">
      <c r="A3172" s="2" t="s">
        <v>21124</v>
      </c>
      <c r="B3172" s="2">
        <v>279.16032167547598</v>
      </c>
      <c r="C3172" s="2">
        <v>9.97441666666667</v>
      </c>
      <c r="D3172" s="2" t="s">
        <v>51</v>
      </c>
      <c r="E3172" s="2" t="s">
        <v>21125</v>
      </c>
      <c r="F3172" s="2">
        <v>1990</v>
      </c>
      <c r="G3172" s="3" t="str">
        <f>HYPERLINK("https://cloud.oebiotech.com/#/lm/network/1990", "https://cloud.oebiotech.com/#/lm/network/1990")</f>
        <v>https://cloud.oebiotech.com/#/lm/network/1990</v>
      </c>
      <c r="H3172" s="2"/>
      <c r="I3172" s="2"/>
      <c r="J3172" s="2" t="s">
        <v>21126</v>
      </c>
      <c r="K3172" s="2">
        <v>131839782</v>
      </c>
      <c r="L3172" s="2"/>
      <c r="M3172" s="2"/>
      <c r="N3172" s="2"/>
      <c r="O3172" s="2"/>
      <c r="P3172" s="2"/>
      <c r="Q3172" s="2"/>
      <c r="R3172" s="2"/>
      <c r="S3172" s="2" t="s">
        <v>21127</v>
      </c>
      <c r="T3172" s="2" t="s">
        <v>21128</v>
      </c>
      <c r="U3172" s="2" t="s">
        <v>56</v>
      </c>
      <c r="V3172" s="2" t="s">
        <v>145</v>
      </c>
      <c r="W3172" s="2" t="s">
        <v>231</v>
      </c>
      <c r="X3172" s="2" t="s">
        <v>83</v>
      </c>
      <c r="Y3172" s="2">
        <v>52.3</v>
      </c>
      <c r="Z3172" s="2">
        <v>0</v>
      </c>
      <c r="AA3172" s="2" t="s">
        <v>163</v>
      </c>
      <c r="AB3172" s="2" t="s">
        <v>21129</v>
      </c>
      <c r="AC3172" s="2">
        <v>0.495630564728677</v>
      </c>
      <c r="AD3172" s="2"/>
      <c r="AE3172" s="2">
        <v>0.185372527541252</v>
      </c>
      <c r="AF3172" s="2">
        <v>1548.3518792835</v>
      </c>
      <c r="AG3172" s="2">
        <v>2196.1007559833402</v>
      </c>
      <c r="AH3172" s="4">
        <v>0.70504592062316196</v>
      </c>
      <c r="AI3172" s="4">
        <v>-0.50421086957762795</v>
      </c>
      <c r="AJ3172" s="4" t="s">
        <v>62</v>
      </c>
      <c r="AK3172" s="2">
        <v>1.8749480873176401E-3</v>
      </c>
      <c r="AL3172" s="2">
        <v>0.10025137111515001</v>
      </c>
      <c r="AM3172" s="2">
        <v>1338.3851238996799</v>
      </c>
      <c r="AN3172" s="2">
        <v>1542.68532602083</v>
      </c>
      <c r="AO3172" s="2">
        <v>1221.19952705986</v>
      </c>
      <c r="AP3172" s="2">
        <v>1602.05763219047</v>
      </c>
      <c r="AQ3172" s="2">
        <v>2045.26344269933</v>
      </c>
      <c r="AR3172" s="2">
        <v>1540.5202238308</v>
      </c>
      <c r="AS3172" s="2">
        <v>2158.05292618152</v>
      </c>
      <c r="AT3172" s="2">
        <v>1797.1718514054701</v>
      </c>
      <c r="AU3172" s="2">
        <v>2154.0559297632499</v>
      </c>
      <c r="AV3172" s="2">
        <v>2356.25593597133</v>
      </c>
      <c r="AW3172" s="2">
        <v>2156.68247157121</v>
      </c>
      <c r="AX3172" s="2">
        <v>2554.38542100725</v>
      </c>
    </row>
    <row r="3173" spans="1:50" x14ac:dyDescent="0.25">
      <c r="A3173" s="2" t="s">
        <v>21130</v>
      </c>
      <c r="B3173" s="2">
        <v>573.41657229812699</v>
      </c>
      <c r="C3173" s="2">
        <v>14.0270666666667</v>
      </c>
      <c r="D3173" s="2" t="s">
        <v>51</v>
      </c>
      <c r="E3173" s="2" t="s">
        <v>21131</v>
      </c>
      <c r="F3173" s="2">
        <v>1993</v>
      </c>
      <c r="G3173" s="3" t="str">
        <f>HYPERLINK("https://cloud.oebiotech.com/#/lm/network/1993", "https://cloud.oebiotech.com/#/lm/network/1993")</f>
        <v>https://cloud.oebiotech.com/#/lm/network/1993</v>
      </c>
      <c r="H3173" s="2"/>
      <c r="I3173" s="2"/>
      <c r="J3173" s="2" t="s">
        <v>21132</v>
      </c>
      <c r="K3173" s="2">
        <v>122490529</v>
      </c>
      <c r="L3173" s="2"/>
      <c r="M3173" s="2"/>
      <c r="N3173" s="2"/>
      <c r="O3173" s="2"/>
      <c r="P3173" s="2"/>
      <c r="Q3173" s="2"/>
      <c r="R3173" s="2"/>
      <c r="S3173" s="2" t="s">
        <v>21133</v>
      </c>
      <c r="T3173" s="2" t="s">
        <v>21134</v>
      </c>
      <c r="U3173" s="2" t="s">
        <v>56</v>
      </c>
      <c r="V3173" s="2" t="s">
        <v>145</v>
      </c>
      <c r="W3173" s="2" t="s">
        <v>231</v>
      </c>
      <c r="X3173" s="2" t="s">
        <v>147</v>
      </c>
      <c r="Y3173" s="2">
        <v>36.799999999999997</v>
      </c>
      <c r="Z3173" s="2">
        <v>0</v>
      </c>
      <c r="AA3173" s="2" t="s">
        <v>218</v>
      </c>
      <c r="AB3173" s="2" t="s">
        <v>21135</v>
      </c>
      <c r="AC3173" s="2">
        <v>0.96354420562139398</v>
      </c>
      <c r="AD3173" s="2"/>
      <c r="AE3173" s="2">
        <v>0.185208680925768</v>
      </c>
      <c r="AF3173" s="2">
        <v>4479.7554688952296</v>
      </c>
      <c r="AG3173" s="2">
        <v>3277.7216475283199</v>
      </c>
      <c r="AH3173" s="5">
        <v>1.3667284628251899</v>
      </c>
      <c r="AI3173" s="5">
        <v>0.45072664144559299</v>
      </c>
      <c r="AJ3173" s="5" t="s">
        <v>139</v>
      </c>
      <c r="AK3173" s="2">
        <v>0.65532109607038203</v>
      </c>
      <c r="AL3173" s="2">
        <v>0.83240942988891198</v>
      </c>
      <c r="AM3173" s="2">
        <v>12741.813408014301</v>
      </c>
      <c r="AN3173" s="2">
        <v>10270.2405613673</v>
      </c>
      <c r="AO3173" s="2">
        <v>8.559877937157E-6</v>
      </c>
      <c r="AP3173" s="2">
        <v>608.22158855889597</v>
      </c>
      <c r="AQ3173" s="2">
        <v>2107.9063994890598</v>
      </c>
      <c r="AR3173" s="2">
        <v>1150.3508473819199</v>
      </c>
      <c r="AS3173" s="2">
        <v>5945.25162334368</v>
      </c>
      <c r="AT3173" s="2">
        <v>8.559877937157E-6</v>
      </c>
      <c r="AU3173" s="2">
        <v>7628.2921119150496</v>
      </c>
      <c r="AV3173" s="2">
        <v>8.559877937157E-6</v>
      </c>
      <c r="AW3173" s="2">
        <v>4390.14099131495</v>
      </c>
      <c r="AX3173" s="2">
        <v>1702.6451414764799</v>
      </c>
    </row>
    <row r="3174" spans="1:50" x14ac:dyDescent="0.25">
      <c r="A3174" s="2" t="s">
        <v>21136</v>
      </c>
      <c r="B3174" s="2">
        <v>414.30168796086798</v>
      </c>
      <c r="C3174" s="2">
        <v>5.8986166666666699</v>
      </c>
      <c r="D3174" s="2" t="s">
        <v>51</v>
      </c>
      <c r="E3174" s="2" t="s">
        <v>21137</v>
      </c>
      <c r="F3174" s="2">
        <v>201047</v>
      </c>
      <c r="G3174" s="3" t="str">
        <f>HYPERLINK("https://cloud.oebiotech.com/#/lm/network/201047", "https://cloud.oebiotech.com/#/lm/network/201047")</f>
        <v>https://cloud.oebiotech.com/#/lm/network/201047</v>
      </c>
      <c r="H3174" s="2" t="s">
        <v>21138</v>
      </c>
      <c r="I3174" s="2">
        <v>455920</v>
      </c>
      <c r="J3174" s="2"/>
      <c r="K3174" s="2">
        <v>92176</v>
      </c>
      <c r="L3174" s="2"/>
      <c r="M3174" s="2"/>
      <c r="N3174" s="2"/>
      <c r="O3174" s="2"/>
      <c r="P3174" s="2"/>
      <c r="Q3174" s="2"/>
      <c r="R3174" s="2"/>
      <c r="S3174" s="2" t="s">
        <v>21139</v>
      </c>
      <c r="T3174" s="2" t="s">
        <v>21140</v>
      </c>
      <c r="U3174" s="2" t="s">
        <v>103</v>
      </c>
      <c r="V3174" s="2" t="s">
        <v>12842</v>
      </c>
      <c r="W3174" s="2" t="s">
        <v>12843</v>
      </c>
      <c r="X3174" s="2" t="s">
        <v>147</v>
      </c>
      <c r="Y3174" s="2">
        <v>37.5</v>
      </c>
      <c r="Z3174" s="2">
        <v>0</v>
      </c>
      <c r="AA3174" s="2" t="s">
        <v>95</v>
      </c>
      <c r="AB3174" s="2" t="s">
        <v>21141</v>
      </c>
      <c r="AC3174" s="2">
        <v>1.1550226424271901</v>
      </c>
      <c r="AD3174" s="2"/>
      <c r="AE3174" s="2">
        <v>0.18516116654852999</v>
      </c>
      <c r="AF3174" s="2">
        <v>521.97862026659504</v>
      </c>
      <c r="AG3174" s="2">
        <v>1424.16054578491</v>
      </c>
      <c r="AH3174" s="4">
        <v>0.36651669772168199</v>
      </c>
      <c r="AI3174" s="4">
        <v>-1.44804916891158</v>
      </c>
      <c r="AJ3174" s="4" t="s">
        <v>62</v>
      </c>
      <c r="AK3174" s="2">
        <v>4.9889287897203698E-2</v>
      </c>
      <c r="AL3174" s="2">
        <v>0.310474530655869</v>
      </c>
      <c r="AM3174" s="2">
        <v>286.49929099955</v>
      </c>
      <c r="AN3174" s="2">
        <v>332.66919821207301</v>
      </c>
      <c r="AO3174" s="2">
        <v>8.559877937157E-6</v>
      </c>
      <c r="AP3174" s="2">
        <v>202.358698411349</v>
      </c>
      <c r="AQ3174" s="2">
        <v>392.04677835434899</v>
      </c>
      <c r="AR3174" s="2">
        <v>1918.29774706237</v>
      </c>
      <c r="AS3174" s="2">
        <v>2806.2265997883401</v>
      </c>
      <c r="AT3174" s="2">
        <v>1256.9129899806801</v>
      </c>
      <c r="AU3174" s="2">
        <v>1148.49504655903</v>
      </c>
      <c r="AV3174" s="2">
        <v>1406.4737905278</v>
      </c>
      <c r="AW3174" s="2">
        <v>819.87100985145105</v>
      </c>
      <c r="AX3174" s="2">
        <v>1106.9838380021699</v>
      </c>
    </row>
    <row r="3175" spans="1:50" x14ac:dyDescent="0.25">
      <c r="A3175" s="2" t="s">
        <v>21142</v>
      </c>
      <c r="B3175" s="2">
        <v>479.22688374876998</v>
      </c>
      <c r="C3175" s="2">
        <v>7.5096166666666697</v>
      </c>
      <c r="D3175" s="2" t="s">
        <v>51</v>
      </c>
      <c r="E3175" s="2" t="s">
        <v>21143</v>
      </c>
      <c r="F3175" s="2">
        <v>209478</v>
      </c>
      <c r="G3175" s="3" t="str">
        <f>HYPERLINK("https://cloud.oebiotech.com/#/lm/network/209478", "https://cloud.oebiotech.com/#/lm/network/209478")</f>
        <v>https://cloud.oebiotech.com/#/lm/network/209478</v>
      </c>
      <c r="H3175" s="2" t="s">
        <v>21144</v>
      </c>
      <c r="I3175" s="2"/>
      <c r="J3175" s="2"/>
      <c r="K3175" s="2">
        <v>11421987</v>
      </c>
      <c r="L3175" s="2"/>
      <c r="M3175" s="2"/>
      <c r="N3175" s="2"/>
      <c r="O3175" s="2"/>
      <c r="P3175" s="2"/>
      <c r="Q3175" s="2"/>
      <c r="R3175" s="2"/>
      <c r="S3175" s="2" t="s">
        <v>21145</v>
      </c>
      <c r="T3175" s="2" t="s">
        <v>21146</v>
      </c>
      <c r="U3175" s="2" t="s">
        <v>103</v>
      </c>
      <c r="V3175" s="2" t="s">
        <v>104</v>
      </c>
      <c r="W3175" s="2" t="s">
        <v>105</v>
      </c>
      <c r="X3175" s="2" t="s">
        <v>147</v>
      </c>
      <c r="Y3175" s="2">
        <v>38.5</v>
      </c>
      <c r="Z3175" s="2">
        <v>0</v>
      </c>
      <c r="AA3175" s="2" t="s">
        <v>122</v>
      </c>
      <c r="AB3175" s="2" t="s">
        <v>21147</v>
      </c>
      <c r="AC3175" s="2">
        <v>0.24752286171736201</v>
      </c>
      <c r="AD3175" s="2"/>
      <c r="AE3175" s="2">
        <v>0.185138794628007</v>
      </c>
      <c r="AF3175" s="2">
        <v>532.46148381338605</v>
      </c>
      <c r="AG3175" s="2">
        <v>1717.8431248853101</v>
      </c>
      <c r="AH3175" s="4">
        <v>0.30995931822874401</v>
      </c>
      <c r="AI3175" s="4">
        <v>-1.6898492188751499</v>
      </c>
      <c r="AJ3175" s="4" t="s">
        <v>62</v>
      </c>
      <c r="AK3175" s="2">
        <v>0.194754167862176</v>
      </c>
      <c r="AL3175" s="2">
        <v>0.51850022179270805</v>
      </c>
      <c r="AM3175" s="2">
        <v>994.97213656267002</v>
      </c>
      <c r="AN3175" s="2">
        <v>954.93270618292104</v>
      </c>
      <c r="AO3175" s="2">
        <v>8.559877937157E-6</v>
      </c>
      <c r="AP3175" s="2">
        <v>8.559877937157E-6</v>
      </c>
      <c r="AQ3175" s="2">
        <v>8.559877937157E-6</v>
      </c>
      <c r="AR3175" s="2">
        <v>1244.8640344550899</v>
      </c>
      <c r="AS3175" s="2">
        <v>8.559877937157E-6</v>
      </c>
      <c r="AT3175" s="2">
        <v>143.03006199909001</v>
      </c>
      <c r="AU3175" s="2">
        <v>8.559877937157E-6</v>
      </c>
      <c r="AV3175" s="2">
        <v>4358.8215578360296</v>
      </c>
      <c r="AW3175" s="2">
        <v>3879.77524772475</v>
      </c>
      <c r="AX3175" s="2">
        <v>1925.4318646322199</v>
      </c>
    </row>
    <row r="3176" spans="1:50" x14ac:dyDescent="0.25">
      <c r="A3176" s="2" t="s">
        <v>21148</v>
      </c>
      <c r="B3176" s="2">
        <v>251.163173583776</v>
      </c>
      <c r="C3176" s="2">
        <v>5.68976666666667</v>
      </c>
      <c r="D3176" s="2" t="s">
        <v>51</v>
      </c>
      <c r="E3176" s="2" t="s">
        <v>21149</v>
      </c>
      <c r="F3176" s="2">
        <v>289942</v>
      </c>
      <c r="G3176" s="3" t="str">
        <f>HYPERLINK("https://cloud.oebiotech.com/#/lm/network/289942", "https://cloud.oebiotech.com/#/lm/network/289942")</f>
        <v>https://cloud.oebiotech.com/#/lm/network/289942</v>
      </c>
      <c r="H3176" s="2"/>
      <c r="I3176" s="2">
        <v>985361</v>
      </c>
      <c r="J3176" s="2"/>
      <c r="K3176" s="2">
        <v>60208893</v>
      </c>
      <c r="L3176" s="2"/>
      <c r="M3176" s="2"/>
      <c r="N3176" s="2"/>
      <c r="O3176" s="2"/>
      <c r="P3176" s="2"/>
      <c r="Q3176" s="2"/>
      <c r="R3176" s="2"/>
      <c r="S3176" s="2" t="s">
        <v>21150</v>
      </c>
      <c r="T3176" s="2" t="s">
        <v>21151</v>
      </c>
      <c r="U3176" s="2" t="s">
        <v>56</v>
      </c>
      <c r="V3176" s="2" t="s">
        <v>177</v>
      </c>
      <c r="W3176" s="2" t="s">
        <v>1996</v>
      </c>
      <c r="X3176" s="2" t="s">
        <v>147</v>
      </c>
      <c r="Y3176" s="2">
        <v>41.8</v>
      </c>
      <c r="Z3176" s="2">
        <v>23.1</v>
      </c>
      <c r="AA3176" s="2" t="s">
        <v>259</v>
      </c>
      <c r="AB3176" s="2" t="s">
        <v>8328</v>
      </c>
      <c r="AC3176" s="2">
        <v>-3.9871475300710202</v>
      </c>
      <c r="AD3176" s="2"/>
      <c r="AE3176" s="2">
        <v>0.18500275435162</v>
      </c>
      <c r="AF3176" s="2">
        <v>4535.1609170717302</v>
      </c>
      <c r="AG3176" s="2">
        <v>5517.5839781760096</v>
      </c>
      <c r="AH3176" s="4">
        <v>0.82194687656950705</v>
      </c>
      <c r="AI3176" s="4">
        <v>-0.28288294110980999</v>
      </c>
      <c r="AJ3176" s="4" t="s">
        <v>62</v>
      </c>
      <c r="AK3176" s="2">
        <v>3.4116379976004599E-2</v>
      </c>
      <c r="AL3176" s="2">
        <v>0.27081853690800001</v>
      </c>
      <c r="AM3176" s="2">
        <v>4088.6583921700799</v>
      </c>
      <c r="AN3176" s="2">
        <v>4725.2518601875399</v>
      </c>
      <c r="AO3176" s="2">
        <v>4334.1927645136102</v>
      </c>
      <c r="AP3176" s="2">
        <v>4937.5839182568398</v>
      </c>
      <c r="AQ3176" s="2">
        <v>5412.1862541446899</v>
      </c>
      <c r="AR3176" s="2">
        <v>3713.0923131576101</v>
      </c>
      <c r="AS3176" s="2">
        <v>5152.3288395683403</v>
      </c>
      <c r="AT3176" s="2">
        <v>6705.5058296459902</v>
      </c>
      <c r="AU3176" s="2">
        <v>4595.7650604749597</v>
      </c>
      <c r="AV3176" s="2">
        <v>5413.3142384732801</v>
      </c>
      <c r="AW3176" s="2">
        <v>5116.5136045384097</v>
      </c>
      <c r="AX3176" s="2">
        <v>6122.0762963550997</v>
      </c>
    </row>
    <row r="3177" spans="1:50" x14ac:dyDescent="0.25">
      <c r="A3177" s="2" t="s">
        <v>21152</v>
      </c>
      <c r="B3177" s="2">
        <v>297.13205463537702</v>
      </c>
      <c r="C3177" s="2">
        <v>7.0215666666666703</v>
      </c>
      <c r="D3177" s="2" t="s">
        <v>51</v>
      </c>
      <c r="E3177" s="2" t="s">
        <v>21153</v>
      </c>
      <c r="F3177" s="2">
        <v>273623</v>
      </c>
      <c r="G3177" s="3" t="str">
        <f>HYPERLINK("https://cloud.oebiotech.com/#/lm/network/273623", "https://cloud.oebiotech.com/#/lm/network/273623")</f>
        <v>https://cloud.oebiotech.com/#/lm/network/273623</v>
      </c>
      <c r="H3177" s="2" t="s">
        <v>21154</v>
      </c>
      <c r="I3177" s="2">
        <v>62375</v>
      </c>
      <c r="J3177" s="2"/>
      <c r="K3177" s="2">
        <v>135398661</v>
      </c>
      <c r="L3177" s="2" t="s">
        <v>21155</v>
      </c>
      <c r="M3177" s="2"/>
      <c r="N3177" s="2"/>
      <c r="O3177" s="2"/>
      <c r="P3177" s="2"/>
      <c r="Q3177" s="2"/>
      <c r="R3177" s="2" t="s">
        <v>21156</v>
      </c>
      <c r="S3177" s="2" t="s">
        <v>21157</v>
      </c>
      <c r="T3177" s="2" t="s">
        <v>21158</v>
      </c>
      <c r="U3177" s="2" t="s">
        <v>266</v>
      </c>
      <c r="V3177" s="2" t="s">
        <v>2772</v>
      </c>
      <c r="W3177" s="2" t="s">
        <v>2773</v>
      </c>
      <c r="X3177" s="2" t="s">
        <v>147</v>
      </c>
      <c r="Y3177" s="2">
        <v>38.9</v>
      </c>
      <c r="Z3177" s="2">
        <v>0</v>
      </c>
      <c r="AA3177" s="2" t="s">
        <v>478</v>
      </c>
      <c r="AB3177" s="2" t="s">
        <v>21159</v>
      </c>
      <c r="AC3177" s="2">
        <v>-3.2180474552534299</v>
      </c>
      <c r="AD3177" s="2"/>
      <c r="AE3177" s="2">
        <v>0.184982143371757</v>
      </c>
      <c r="AF3177" s="2">
        <v>1967.04640355532</v>
      </c>
      <c r="AG3177" s="2">
        <v>1076.6274615442101</v>
      </c>
      <c r="AH3177" s="5">
        <v>1.8270446127521001</v>
      </c>
      <c r="AI3177" s="5">
        <v>0.86951186210464604</v>
      </c>
      <c r="AJ3177" s="5" t="s">
        <v>139</v>
      </c>
      <c r="AK3177" s="2">
        <v>8.3425076200723897E-2</v>
      </c>
      <c r="AL3177" s="2">
        <v>0.37324391665689399</v>
      </c>
      <c r="AM3177" s="2">
        <v>2614.46307268382</v>
      </c>
      <c r="AN3177" s="2">
        <v>3367.5935972604998</v>
      </c>
      <c r="AO3177" s="2">
        <v>950.806933492589</v>
      </c>
      <c r="AP3177" s="2">
        <v>1077.5395519101901</v>
      </c>
      <c r="AQ3177" s="2">
        <v>1229.71617341358</v>
      </c>
      <c r="AR3177" s="2">
        <v>2562.1590925712198</v>
      </c>
      <c r="AS3177" s="2">
        <v>1471.6900811651401</v>
      </c>
      <c r="AT3177" s="2">
        <v>931.41195634781297</v>
      </c>
      <c r="AU3177" s="2">
        <v>1490.00449281485</v>
      </c>
      <c r="AV3177" s="2">
        <v>562.05085795949401</v>
      </c>
      <c r="AW3177" s="2">
        <v>407.64814484261598</v>
      </c>
      <c r="AX3177" s="2">
        <v>1596.95923613536</v>
      </c>
    </row>
    <row r="3178" spans="1:50" x14ac:dyDescent="0.25">
      <c r="A3178" s="2" t="s">
        <v>21160</v>
      </c>
      <c r="B3178" s="2">
        <v>248.12</v>
      </c>
      <c r="C3178" s="2">
        <v>15.930999999999999</v>
      </c>
      <c r="D3178" s="2" t="s">
        <v>125</v>
      </c>
      <c r="E3178" s="2" t="s">
        <v>21161</v>
      </c>
      <c r="F3178" s="2">
        <v>47317</v>
      </c>
      <c r="G3178" s="3" t="str">
        <f>HYPERLINK("https://cloud.oebiotech.com/#/lm/network/47317", "https://cloud.oebiotech.com/#/lm/network/47317")</f>
        <v>https://cloud.oebiotech.com/#/lm/network/47317</v>
      </c>
      <c r="H3178" s="2" t="s">
        <v>21162</v>
      </c>
      <c r="I3178" s="2">
        <v>4197</v>
      </c>
      <c r="J3178" s="2"/>
      <c r="K3178" s="2">
        <v>444305</v>
      </c>
      <c r="L3178" s="2" t="s">
        <v>21163</v>
      </c>
      <c r="M3178" s="2" t="s">
        <v>1135</v>
      </c>
      <c r="N3178" s="2" t="s">
        <v>1136</v>
      </c>
      <c r="O3178" s="2">
        <v>15671</v>
      </c>
      <c r="P3178" s="2"/>
      <c r="Q3178" s="2"/>
      <c r="R3178" s="2" t="s">
        <v>21164</v>
      </c>
      <c r="S3178" s="2" t="s">
        <v>21165</v>
      </c>
      <c r="T3178" s="2" t="s">
        <v>21166</v>
      </c>
      <c r="U3178" s="2" t="s">
        <v>331</v>
      </c>
      <c r="V3178" s="2" t="s">
        <v>332</v>
      </c>
      <c r="W3178" s="2" t="s">
        <v>333</v>
      </c>
      <c r="X3178" s="2" t="s">
        <v>59</v>
      </c>
      <c r="Y3178" s="2">
        <v>74.2</v>
      </c>
      <c r="Z3178" s="2">
        <v>57.7</v>
      </c>
      <c r="AA3178" s="2"/>
      <c r="AB3178" s="2" t="s">
        <v>21167</v>
      </c>
      <c r="AC3178" s="2"/>
      <c r="AD3178" s="2">
        <v>535635.28674698796</v>
      </c>
      <c r="AE3178" s="2">
        <v>0.18492704524214601</v>
      </c>
      <c r="AF3178" s="2">
        <v>29062.236008240601</v>
      </c>
      <c r="AG3178" s="2">
        <v>9611.8558161870897</v>
      </c>
      <c r="AH3178" s="5">
        <v>3.0235821847532902</v>
      </c>
      <c r="AI3178" s="5">
        <v>1.59625879378179</v>
      </c>
      <c r="AJ3178" s="5" t="s">
        <v>139</v>
      </c>
      <c r="AK3178" s="2">
        <v>0.39870705335763501</v>
      </c>
      <c r="AL3178" s="2">
        <v>0.66807956279695502</v>
      </c>
      <c r="AM3178" s="2">
        <v>8359.7297591830793</v>
      </c>
      <c r="AN3178" s="2">
        <v>5492.3255153740502</v>
      </c>
      <c r="AO3178" s="2">
        <v>5138.5059029063495</v>
      </c>
      <c r="AP3178" s="2">
        <v>11232.678880035401</v>
      </c>
      <c r="AQ3178" s="2">
        <v>138832.88626028999</v>
      </c>
      <c r="AR3178" s="2">
        <v>5317.2897316546496</v>
      </c>
      <c r="AS3178" s="2">
        <v>2299.8352172700202</v>
      </c>
      <c r="AT3178" s="2">
        <v>6505.8871082167498</v>
      </c>
      <c r="AU3178" s="2">
        <v>15847.4705741978</v>
      </c>
      <c r="AV3178" s="2">
        <v>13220.0959322037</v>
      </c>
      <c r="AW3178" s="2">
        <v>10608.598332027799</v>
      </c>
      <c r="AX3178" s="2">
        <v>9189.2477332064609</v>
      </c>
    </row>
    <row r="3179" spans="1:50" x14ac:dyDescent="0.25">
      <c r="A3179" s="2" t="s">
        <v>21168</v>
      </c>
      <c r="B3179" s="2">
        <v>381.23186464641299</v>
      </c>
      <c r="C3179" s="2">
        <v>14.152233333333299</v>
      </c>
      <c r="D3179" s="2" t="s">
        <v>51</v>
      </c>
      <c r="E3179" s="2" t="s">
        <v>21169</v>
      </c>
      <c r="F3179" s="2">
        <v>212369</v>
      </c>
      <c r="G3179" s="3" t="str">
        <f>HYPERLINK("https://cloud.oebiotech.com/#/lm/network/212369", "https://cloud.oebiotech.com/#/lm/network/212369")</f>
        <v>https://cloud.oebiotech.com/#/lm/network/212369</v>
      </c>
      <c r="H3179" s="2" t="s">
        <v>21170</v>
      </c>
      <c r="I3179" s="2">
        <v>415178</v>
      </c>
      <c r="J3179" s="2"/>
      <c r="K3179" s="2">
        <v>4274</v>
      </c>
      <c r="L3179" s="2"/>
      <c r="M3179" s="2"/>
      <c r="N3179" s="2"/>
      <c r="O3179" s="2"/>
      <c r="P3179" s="2"/>
      <c r="Q3179" s="2"/>
      <c r="R3179" s="2"/>
      <c r="S3179" s="2" t="s">
        <v>21171</v>
      </c>
      <c r="T3179" s="2" t="s">
        <v>21172</v>
      </c>
      <c r="U3179" s="2" t="s">
        <v>21173</v>
      </c>
      <c r="V3179" s="2" t="s">
        <v>21174</v>
      </c>
      <c r="W3179" s="2" t="s">
        <v>240</v>
      </c>
      <c r="X3179" s="2" t="s">
        <v>147</v>
      </c>
      <c r="Y3179" s="2">
        <v>38.4</v>
      </c>
      <c r="Z3179" s="2">
        <v>0</v>
      </c>
      <c r="AA3179" s="2" t="s">
        <v>163</v>
      </c>
      <c r="AB3179" s="2" t="s">
        <v>21175</v>
      </c>
      <c r="AC3179" s="2">
        <v>-2.7258845954807298</v>
      </c>
      <c r="AD3179" s="2"/>
      <c r="AE3179" s="2">
        <v>0.184773204318053</v>
      </c>
      <c r="AF3179" s="2">
        <v>16615.480663012899</v>
      </c>
      <c r="AG3179" s="2">
        <v>19181.1916448253</v>
      </c>
      <c r="AH3179" s="4">
        <v>0.86623818637959804</v>
      </c>
      <c r="AI3179" s="4">
        <v>-0.20716432275183899</v>
      </c>
      <c r="AJ3179" s="4" t="s">
        <v>62</v>
      </c>
      <c r="AK3179" s="2">
        <v>0.22352480268783501</v>
      </c>
      <c r="AL3179" s="2">
        <v>0.54906776954273495</v>
      </c>
      <c r="AM3179" s="2">
        <v>16240.8122908884</v>
      </c>
      <c r="AN3179" s="2">
        <v>19219.146540323502</v>
      </c>
      <c r="AO3179" s="2">
        <v>15007.421895874601</v>
      </c>
      <c r="AP3179" s="2">
        <v>16545.478748511501</v>
      </c>
      <c r="AQ3179" s="2">
        <v>19134.7552730807</v>
      </c>
      <c r="AR3179" s="2">
        <v>13545.269229399</v>
      </c>
      <c r="AS3179" s="2">
        <v>21767.160408039599</v>
      </c>
      <c r="AT3179" s="2">
        <v>24545.655471566501</v>
      </c>
      <c r="AU3179" s="2">
        <v>21193.933156486801</v>
      </c>
      <c r="AV3179" s="2">
        <v>19194.505611655401</v>
      </c>
      <c r="AW3179" s="2">
        <v>13029.808188380401</v>
      </c>
      <c r="AX3179" s="2">
        <v>15356.087032822999</v>
      </c>
    </row>
    <row r="3180" spans="1:50" x14ac:dyDescent="0.25">
      <c r="A3180" s="2" t="s">
        <v>21176</v>
      </c>
      <c r="B3180" s="2">
        <v>171.06541249389301</v>
      </c>
      <c r="C3180" s="2">
        <v>4.5102333333333302</v>
      </c>
      <c r="D3180" s="2" t="s">
        <v>51</v>
      </c>
      <c r="E3180" s="2" t="s">
        <v>21177</v>
      </c>
      <c r="F3180" s="2">
        <v>52244</v>
      </c>
      <c r="G3180" s="3" t="str">
        <f>HYPERLINK("https://cloud.oebiotech.com/#/lm/network/52244", "https://cloud.oebiotech.com/#/lm/network/52244")</f>
        <v>https://cloud.oebiotech.com/#/lm/network/52244</v>
      </c>
      <c r="H3180" s="2" t="s">
        <v>21178</v>
      </c>
      <c r="I3180" s="2"/>
      <c r="J3180" s="2"/>
      <c r="K3180" s="2">
        <v>22495178</v>
      </c>
      <c r="L3180" s="2"/>
      <c r="M3180" s="2"/>
      <c r="N3180" s="2"/>
      <c r="O3180" s="2">
        <v>173786</v>
      </c>
      <c r="P3180" s="2"/>
      <c r="Q3180" s="2"/>
      <c r="R3180" s="2"/>
      <c r="S3180" s="2" t="s">
        <v>21179</v>
      </c>
      <c r="T3180" s="2" t="s">
        <v>21180</v>
      </c>
      <c r="U3180" s="2" t="s">
        <v>56</v>
      </c>
      <c r="V3180" s="2" t="s">
        <v>145</v>
      </c>
      <c r="W3180" s="2" t="s">
        <v>231</v>
      </c>
      <c r="X3180" s="2" t="s">
        <v>69</v>
      </c>
      <c r="Y3180" s="2">
        <v>55</v>
      </c>
      <c r="Z3180" s="2">
        <v>52.7</v>
      </c>
      <c r="AA3180" s="2" t="s">
        <v>163</v>
      </c>
      <c r="AB3180" s="2" t="s">
        <v>21181</v>
      </c>
      <c r="AC3180" s="2">
        <v>-5.0556122235092298</v>
      </c>
      <c r="AD3180" s="2"/>
      <c r="AE3180" s="2">
        <v>0.184676559120629</v>
      </c>
      <c r="AF3180" s="2">
        <v>12534.652799095</v>
      </c>
      <c r="AG3180" s="2">
        <v>11090.532741231</v>
      </c>
      <c r="AH3180" s="5">
        <v>1.13021196470529</v>
      </c>
      <c r="AI3180" s="5">
        <v>0.17659336711110801</v>
      </c>
      <c r="AJ3180" s="5" t="s">
        <v>139</v>
      </c>
      <c r="AK3180" s="2">
        <v>0.39066584602224302</v>
      </c>
      <c r="AL3180" s="2">
        <v>0.66528673878009803</v>
      </c>
      <c r="AM3180" s="2">
        <v>11437.905912854099</v>
      </c>
      <c r="AN3180" s="2">
        <v>16666.651235969901</v>
      </c>
      <c r="AO3180" s="2">
        <v>12248.236406661999</v>
      </c>
      <c r="AP3180" s="2">
        <v>11997.5389760013</v>
      </c>
      <c r="AQ3180" s="2">
        <v>10073.9419091047</v>
      </c>
      <c r="AR3180" s="2">
        <v>12783.642353978101</v>
      </c>
      <c r="AS3180" s="2">
        <v>14721.8067755312</v>
      </c>
      <c r="AT3180" s="2">
        <v>13741.9277056547</v>
      </c>
      <c r="AU3180" s="2">
        <v>12133.6619425345</v>
      </c>
      <c r="AV3180" s="2">
        <v>6917.0913100893504</v>
      </c>
      <c r="AW3180" s="2">
        <v>7362.9954020958503</v>
      </c>
      <c r="AX3180" s="2">
        <v>11665.7133114801</v>
      </c>
    </row>
    <row r="3181" spans="1:50" x14ac:dyDescent="0.25">
      <c r="A3181" s="2" t="s">
        <v>21182</v>
      </c>
      <c r="B3181" s="2">
        <v>147.02000000000001</v>
      </c>
      <c r="C3181" s="2">
        <v>9.3379999999999992</v>
      </c>
      <c r="D3181" s="2" t="s">
        <v>125</v>
      </c>
      <c r="E3181" s="2" t="s">
        <v>21183</v>
      </c>
      <c r="F3181" s="2">
        <v>1653</v>
      </c>
      <c r="G3181" s="3" t="str">
        <f>HYPERLINK("https://cloud.oebiotech.com/#/lm/network/1653", "https://cloud.oebiotech.com/#/lm/network/1653")</f>
        <v>https://cloud.oebiotech.com/#/lm/network/1653</v>
      </c>
      <c r="H3181" s="2" t="s">
        <v>21184</v>
      </c>
      <c r="I3181" s="2">
        <v>74489</v>
      </c>
      <c r="J3181" s="2" t="s">
        <v>21185</v>
      </c>
      <c r="K3181" s="2">
        <v>98009</v>
      </c>
      <c r="L3181" s="2"/>
      <c r="M3181" s="2"/>
      <c r="N3181" s="2"/>
      <c r="O3181" s="2">
        <v>60647</v>
      </c>
      <c r="P3181" s="2"/>
      <c r="Q3181" s="2"/>
      <c r="R3181" s="2" t="s">
        <v>21186</v>
      </c>
      <c r="S3181" s="2" t="s">
        <v>21187</v>
      </c>
      <c r="T3181" s="2" t="s">
        <v>21188</v>
      </c>
      <c r="U3181" s="2" t="s">
        <v>56</v>
      </c>
      <c r="V3181" s="2" t="s">
        <v>145</v>
      </c>
      <c r="W3181" s="2" t="s">
        <v>231</v>
      </c>
      <c r="X3181" s="2" t="s">
        <v>59</v>
      </c>
      <c r="Y3181" s="2">
        <v>75.2</v>
      </c>
      <c r="Z3181" s="2">
        <v>59.9</v>
      </c>
      <c r="AA3181" s="2"/>
      <c r="AB3181" s="2" t="s">
        <v>1611</v>
      </c>
      <c r="AC3181" s="2"/>
      <c r="AD3181" s="2">
        <v>314830.72910492</v>
      </c>
      <c r="AE3181" s="2">
        <v>0.184673463549238</v>
      </c>
      <c r="AF3181" s="2">
        <v>483959.33702746301</v>
      </c>
      <c r="AG3181" s="2">
        <v>497829.06139047298</v>
      </c>
      <c r="AH3181" s="4">
        <v>0.97213958477178697</v>
      </c>
      <c r="AI3181" s="4">
        <v>-4.0764616653128902E-2</v>
      </c>
      <c r="AJ3181" s="4" t="s">
        <v>62</v>
      </c>
      <c r="AK3181" s="2">
        <v>0.89906804818917796</v>
      </c>
      <c r="AL3181" s="2">
        <v>0.95779059790043997</v>
      </c>
      <c r="AM3181" s="2">
        <v>284669.37283104402</v>
      </c>
      <c r="AN3181" s="2">
        <v>490469.421042234</v>
      </c>
      <c r="AO3181" s="2">
        <v>644508.67833971302</v>
      </c>
      <c r="AP3181" s="2">
        <v>810884.23030156596</v>
      </c>
      <c r="AQ3181" s="2">
        <v>281253.72795787</v>
      </c>
      <c r="AR3181" s="2">
        <v>391970.59169234999</v>
      </c>
      <c r="AS3181" s="2">
        <v>313224.54571130802</v>
      </c>
      <c r="AT3181" s="2">
        <v>508742.336381523</v>
      </c>
      <c r="AU3181" s="2">
        <v>339658.42036122701</v>
      </c>
      <c r="AV3181" s="2">
        <v>485910.13689804397</v>
      </c>
      <c r="AW3181" s="2">
        <v>653160.59979671903</v>
      </c>
      <c r="AX3181" s="2">
        <v>686278.32919401804</v>
      </c>
    </row>
    <row r="3182" spans="1:50" x14ac:dyDescent="0.25">
      <c r="A3182" s="2" t="s">
        <v>21189</v>
      </c>
      <c r="B3182" s="2">
        <v>320.10085661493798</v>
      </c>
      <c r="C3182" s="2">
        <v>1.1703666666666701</v>
      </c>
      <c r="D3182" s="2" t="s">
        <v>51</v>
      </c>
      <c r="E3182" s="2" t="s">
        <v>21190</v>
      </c>
      <c r="F3182" s="2">
        <v>10232</v>
      </c>
      <c r="G3182" s="3" t="str">
        <f>HYPERLINK("https://cloud.oebiotech.com/#/lm/network/10232", "https://cloud.oebiotech.com/#/lm/network/10232")</f>
        <v>https://cloud.oebiotech.com/#/lm/network/10232</v>
      </c>
      <c r="H3182" s="2"/>
      <c r="I3182" s="2"/>
      <c r="J3182" s="2" t="s">
        <v>21191</v>
      </c>
      <c r="K3182" s="2">
        <v>57339291</v>
      </c>
      <c r="L3182" s="2"/>
      <c r="M3182" s="2"/>
      <c r="N3182" s="2"/>
      <c r="O3182" s="2">
        <v>64882</v>
      </c>
      <c r="P3182" s="2"/>
      <c r="Q3182" s="2"/>
      <c r="R3182" s="2"/>
      <c r="S3182" s="2" t="s">
        <v>21192</v>
      </c>
      <c r="T3182" s="2" t="s">
        <v>21193</v>
      </c>
      <c r="U3182" s="2" t="s">
        <v>331</v>
      </c>
      <c r="V3182" s="2" t="s">
        <v>332</v>
      </c>
      <c r="W3182" s="2" t="s">
        <v>333</v>
      </c>
      <c r="X3182" s="2" t="s">
        <v>83</v>
      </c>
      <c r="Y3182" s="2">
        <v>39.4</v>
      </c>
      <c r="Z3182" s="2">
        <v>0</v>
      </c>
      <c r="AA3182" s="2" t="s">
        <v>156</v>
      </c>
      <c r="AB3182" s="2" t="s">
        <v>21194</v>
      </c>
      <c r="AC3182" s="2">
        <v>9.6382277474249793</v>
      </c>
      <c r="AD3182" s="2"/>
      <c r="AE3182" s="2">
        <v>0.184672422345625</v>
      </c>
      <c r="AF3182" s="2">
        <v>4751.6986721458698</v>
      </c>
      <c r="AG3182" s="2">
        <v>5686.3409569752503</v>
      </c>
      <c r="AH3182" s="4">
        <v>0.83563379475462496</v>
      </c>
      <c r="AI3182" s="4">
        <v>-0.25905725573867799</v>
      </c>
      <c r="AJ3182" s="4" t="s">
        <v>62</v>
      </c>
      <c r="AK3182" s="2">
        <v>0.29986774024301599</v>
      </c>
      <c r="AL3182" s="2">
        <v>0.61037838979491599</v>
      </c>
      <c r="AM3182" s="2">
        <v>2820.5762452816102</v>
      </c>
      <c r="AN3182" s="2">
        <v>4110.1957335054303</v>
      </c>
      <c r="AO3182" s="2">
        <v>5814.0439891575797</v>
      </c>
      <c r="AP3182" s="2">
        <v>5930.3550287820899</v>
      </c>
      <c r="AQ3182" s="2">
        <v>5100.54340733155</v>
      </c>
      <c r="AR3182" s="2">
        <v>4734.4776288169696</v>
      </c>
      <c r="AS3182" s="2">
        <v>3968.8377860178798</v>
      </c>
      <c r="AT3182" s="2">
        <v>4073.5537974083099</v>
      </c>
      <c r="AU3182" s="2">
        <v>4409.5688086446899</v>
      </c>
      <c r="AV3182" s="2">
        <v>7011.9174095315602</v>
      </c>
      <c r="AW3182" s="2">
        <v>6687.2106505644297</v>
      </c>
      <c r="AX3182" s="2">
        <v>7966.9572896846303</v>
      </c>
    </row>
    <row r="3183" spans="1:50" x14ac:dyDescent="0.25">
      <c r="A3183" s="2" t="s">
        <v>21195</v>
      </c>
      <c r="B3183" s="2">
        <v>171.07654575135501</v>
      </c>
      <c r="C3183" s="2">
        <v>0.74113333333333298</v>
      </c>
      <c r="D3183" s="2" t="s">
        <v>51</v>
      </c>
      <c r="E3183" s="2" t="s">
        <v>21196</v>
      </c>
      <c r="F3183" s="2">
        <v>62512</v>
      </c>
      <c r="G3183" s="3" t="str">
        <f>HYPERLINK("https://cloud.oebiotech.com/#/lm/network/62512", "https://cloud.oebiotech.com/#/lm/network/62512")</f>
        <v>https://cloud.oebiotech.com/#/lm/network/62512</v>
      </c>
      <c r="H3183" s="2" t="s">
        <v>21197</v>
      </c>
      <c r="I3183" s="2">
        <v>93813</v>
      </c>
      <c r="J3183" s="2"/>
      <c r="K3183" s="2">
        <v>10198007</v>
      </c>
      <c r="L3183" s="2"/>
      <c r="M3183" s="2"/>
      <c r="N3183" s="2"/>
      <c r="O3183" s="2"/>
      <c r="P3183" s="2"/>
      <c r="Q3183" s="2"/>
      <c r="R3183" s="2" t="s">
        <v>21198</v>
      </c>
      <c r="S3183" s="2" t="s">
        <v>21199</v>
      </c>
      <c r="T3183" s="2" t="s">
        <v>21200</v>
      </c>
      <c r="U3183" s="2" t="s">
        <v>103</v>
      </c>
      <c r="V3183" s="2" t="s">
        <v>104</v>
      </c>
      <c r="W3183" s="2" t="s">
        <v>105</v>
      </c>
      <c r="X3183" s="2" t="s">
        <v>83</v>
      </c>
      <c r="Y3183" s="2">
        <v>41.7</v>
      </c>
      <c r="Z3183" s="2">
        <v>0.89600000000000002</v>
      </c>
      <c r="AA3183" s="2" t="s">
        <v>379</v>
      </c>
      <c r="AB3183" s="2" t="s">
        <v>9676</v>
      </c>
      <c r="AC3183" s="2">
        <v>-5.1030466017502203</v>
      </c>
      <c r="AD3183" s="2"/>
      <c r="AE3183" s="2">
        <v>0.18456532799202099</v>
      </c>
      <c r="AF3183" s="2">
        <v>6755.9412873437104</v>
      </c>
      <c r="AG3183" s="2">
        <v>9118.5359243369294</v>
      </c>
      <c r="AH3183" s="4">
        <v>0.74090197630437904</v>
      </c>
      <c r="AI3183" s="4">
        <v>-0.432645412888231</v>
      </c>
      <c r="AJ3183" s="4" t="s">
        <v>62</v>
      </c>
      <c r="AK3183" s="2">
        <v>0.78297576847389505</v>
      </c>
      <c r="AL3183" s="2">
        <v>0.90491086965729295</v>
      </c>
      <c r="AM3183" s="2">
        <v>6311.7047737759403</v>
      </c>
      <c r="AN3183" s="2">
        <v>8.559877937157E-6</v>
      </c>
      <c r="AO3183" s="2">
        <v>8.559877937157E-6</v>
      </c>
      <c r="AP3183" s="2">
        <v>8.559877937157E-6</v>
      </c>
      <c r="AQ3183" s="2">
        <v>23114.5125633018</v>
      </c>
      <c r="AR3183" s="2">
        <v>11109.4303613049</v>
      </c>
      <c r="AS3183" s="2">
        <v>8.559877937157E-6</v>
      </c>
      <c r="AT3183" s="2">
        <v>8.559877937157E-6</v>
      </c>
      <c r="AU3183" s="2">
        <v>192.777394588231</v>
      </c>
      <c r="AV3183" s="2">
        <v>45704.356218535198</v>
      </c>
      <c r="AW3183" s="2">
        <v>8.559877937157E-6</v>
      </c>
      <c r="AX3183" s="2">
        <v>8814.0819072185404</v>
      </c>
    </row>
    <row r="3184" spans="1:50" x14ac:dyDescent="0.25">
      <c r="A3184" s="2" t="s">
        <v>21201</v>
      </c>
      <c r="B3184" s="2">
        <v>352.94317485280601</v>
      </c>
      <c r="C3184" s="2">
        <v>0.92595000000000005</v>
      </c>
      <c r="D3184" s="2" t="s">
        <v>51</v>
      </c>
      <c r="E3184" s="2" t="s">
        <v>21202</v>
      </c>
      <c r="F3184" s="2">
        <v>200966</v>
      </c>
      <c r="G3184" s="3" t="str">
        <f>HYPERLINK("https://cloud.oebiotech.com/#/lm/network/200966", "https://cloud.oebiotech.com/#/lm/network/200966")</f>
        <v>https://cloud.oebiotech.com/#/lm/network/200966</v>
      </c>
      <c r="H3184" s="2" t="s">
        <v>21203</v>
      </c>
      <c r="I3184" s="2"/>
      <c r="J3184" s="2"/>
      <c r="K3184" s="2">
        <v>386483</v>
      </c>
      <c r="L3184" s="2"/>
      <c r="M3184" s="2"/>
      <c r="N3184" s="2"/>
      <c r="O3184" s="2"/>
      <c r="P3184" s="2"/>
      <c r="Q3184" s="2"/>
      <c r="R3184" s="2"/>
      <c r="S3184" s="2" t="s">
        <v>21204</v>
      </c>
      <c r="T3184" s="2" t="s">
        <v>21205</v>
      </c>
      <c r="U3184" s="2" t="s">
        <v>295</v>
      </c>
      <c r="V3184" s="2" t="s">
        <v>1818</v>
      </c>
      <c r="W3184" s="2" t="s">
        <v>1819</v>
      </c>
      <c r="X3184" s="2" t="s">
        <v>147</v>
      </c>
      <c r="Y3184" s="2">
        <v>37.299999999999997</v>
      </c>
      <c r="Z3184" s="2">
        <v>0</v>
      </c>
      <c r="AA3184" s="2" t="s">
        <v>379</v>
      </c>
      <c r="AB3184" s="2" t="s">
        <v>21206</v>
      </c>
      <c r="AC3184" s="2">
        <v>-2.2359155910202202</v>
      </c>
      <c r="AD3184" s="2"/>
      <c r="AE3184" s="2">
        <v>0.18453487870080101</v>
      </c>
      <c r="AF3184" s="2">
        <v>4530.9594010806604</v>
      </c>
      <c r="AG3184" s="2">
        <v>5590.4860140534502</v>
      </c>
      <c r="AH3184" s="4">
        <v>0.81047683326470399</v>
      </c>
      <c r="AI3184" s="4">
        <v>-0.30315714666681098</v>
      </c>
      <c r="AJ3184" s="4" t="s">
        <v>62</v>
      </c>
      <c r="AK3184" s="2">
        <v>5.8335286252263301E-2</v>
      </c>
      <c r="AL3184" s="2">
        <v>0.32837652512840398</v>
      </c>
      <c r="AM3184" s="2">
        <v>3867.2815103751</v>
      </c>
      <c r="AN3184" s="2">
        <v>4351.7924742504401</v>
      </c>
      <c r="AO3184" s="2">
        <v>4525.8851306077604</v>
      </c>
      <c r="AP3184" s="2">
        <v>3647.7866856885698</v>
      </c>
      <c r="AQ3184" s="2">
        <v>4930.3275952698004</v>
      </c>
      <c r="AR3184" s="2">
        <v>5862.6830102923004</v>
      </c>
      <c r="AS3184" s="2">
        <v>6513.6665019889097</v>
      </c>
      <c r="AT3184" s="2">
        <v>6484.2126809134497</v>
      </c>
      <c r="AU3184" s="2">
        <v>5292.7265763920605</v>
      </c>
      <c r="AV3184" s="2">
        <v>5920.8405163813004</v>
      </c>
      <c r="AW3184" s="2">
        <v>5227.10820832024</v>
      </c>
      <c r="AX3184" s="2">
        <v>4104.3616003247598</v>
      </c>
    </row>
    <row r="3185" spans="1:50" x14ac:dyDescent="0.25">
      <c r="A3185" s="2" t="s">
        <v>21207</v>
      </c>
      <c r="B3185" s="2">
        <v>628.31075635678599</v>
      </c>
      <c r="C3185" s="2">
        <v>6.8797833333333296</v>
      </c>
      <c r="D3185" s="2" t="s">
        <v>51</v>
      </c>
      <c r="E3185" s="2" t="s">
        <v>21208</v>
      </c>
      <c r="F3185" s="2">
        <v>212206</v>
      </c>
      <c r="G3185" s="3" t="str">
        <f>HYPERLINK("https://cloud.oebiotech.com/#/lm/network/212206", "https://cloud.oebiotech.com/#/lm/network/212206")</f>
        <v>https://cloud.oebiotech.com/#/lm/network/212206</v>
      </c>
      <c r="H3185" s="2" t="s">
        <v>21209</v>
      </c>
      <c r="I3185" s="2">
        <v>73474</v>
      </c>
      <c r="J3185" s="2"/>
      <c r="K3185" s="2">
        <v>121443</v>
      </c>
      <c r="L3185" s="2" t="s">
        <v>21210</v>
      </c>
      <c r="M3185" s="2"/>
      <c r="N3185" s="2"/>
      <c r="O3185" s="2"/>
      <c r="P3185" s="2"/>
      <c r="Q3185" s="2"/>
      <c r="R3185" s="2" t="s">
        <v>21211</v>
      </c>
      <c r="S3185" s="2" t="s">
        <v>21212</v>
      </c>
      <c r="T3185" s="2" t="s">
        <v>21213</v>
      </c>
      <c r="U3185" s="2" t="s">
        <v>56</v>
      </c>
      <c r="V3185" s="2" t="s">
        <v>177</v>
      </c>
      <c r="W3185" s="2" t="s">
        <v>178</v>
      </c>
      <c r="X3185" s="2" t="s">
        <v>147</v>
      </c>
      <c r="Y3185" s="2">
        <v>36</v>
      </c>
      <c r="Z3185" s="2">
        <v>0</v>
      </c>
      <c r="AA3185" s="2" t="s">
        <v>218</v>
      </c>
      <c r="AB3185" s="2" t="s">
        <v>21214</v>
      </c>
      <c r="AC3185" s="2">
        <v>-3.3668245605228</v>
      </c>
      <c r="AD3185" s="2"/>
      <c r="AE3185" s="2">
        <v>0.18432414971254199</v>
      </c>
      <c r="AF3185" s="2">
        <v>1904.5632445659201</v>
      </c>
      <c r="AG3185" s="2">
        <v>4696.3385894233897</v>
      </c>
      <c r="AH3185" s="4">
        <v>0.40554214912339898</v>
      </c>
      <c r="AI3185" s="4">
        <v>-1.3020762293444299</v>
      </c>
      <c r="AJ3185" s="4" t="s">
        <v>62</v>
      </c>
      <c r="AK3185" s="2">
        <v>0.32652953991185901</v>
      </c>
      <c r="AL3185" s="2">
        <v>0.62992073899545697</v>
      </c>
      <c r="AM3185" s="2">
        <v>315.33590965303398</v>
      </c>
      <c r="AN3185" s="2">
        <v>3085.1681097116202</v>
      </c>
      <c r="AO3185" s="2">
        <v>380.787025939324</v>
      </c>
      <c r="AP3185" s="2">
        <v>2404.7802164342302</v>
      </c>
      <c r="AQ3185" s="2">
        <v>1165.89050224109</v>
      </c>
      <c r="AR3185" s="2">
        <v>4075.4177034161999</v>
      </c>
      <c r="AS3185" s="2">
        <v>4363.3107873631197</v>
      </c>
      <c r="AT3185" s="2">
        <v>17343.585661250399</v>
      </c>
      <c r="AU3185" s="2">
        <v>345.90168763117202</v>
      </c>
      <c r="AV3185" s="2">
        <v>1055.39059646651</v>
      </c>
      <c r="AW3185" s="2">
        <v>4315.7005655337498</v>
      </c>
      <c r="AX3185" s="2">
        <v>754.14223829539696</v>
      </c>
    </row>
    <row r="3186" spans="1:50" x14ac:dyDescent="0.25">
      <c r="A3186" s="2" t="s">
        <v>21215</v>
      </c>
      <c r="B3186" s="2">
        <v>201.16430733384399</v>
      </c>
      <c r="C3186" s="2">
        <v>9.6251166666666705</v>
      </c>
      <c r="D3186" s="2" t="s">
        <v>51</v>
      </c>
      <c r="E3186" s="2" t="s">
        <v>21216</v>
      </c>
      <c r="F3186" s="2">
        <v>201110</v>
      </c>
      <c r="G3186" s="3" t="str">
        <f>HYPERLINK("https://cloud.oebiotech.com/#/lm/network/201110", "https://cloud.oebiotech.com/#/lm/network/201110")</f>
        <v>https://cloud.oebiotech.com/#/lm/network/201110</v>
      </c>
      <c r="H3186" s="2" t="s">
        <v>21217</v>
      </c>
      <c r="I3186" s="2">
        <v>462299</v>
      </c>
      <c r="J3186" s="2"/>
      <c r="K3186" s="2">
        <v>107736</v>
      </c>
      <c r="L3186" s="2"/>
      <c r="M3186" s="2"/>
      <c r="N3186" s="2"/>
      <c r="O3186" s="2"/>
      <c r="P3186" s="2"/>
      <c r="Q3186" s="2"/>
      <c r="R3186" s="2"/>
      <c r="S3186" s="2" t="s">
        <v>21218</v>
      </c>
      <c r="T3186" s="2" t="s">
        <v>21219</v>
      </c>
      <c r="U3186" s="2" t="s">
        <v>56</v>
      </c>
      <c r="V3186" s="2" t="s">
        <v>177</v>
      </c>
      <c r="W3186" s="2" t="s">
        <v>584</v>
      </c>
      <c r="X3186" s="2" t="s">
        <v>83</v>
      </c>
      <c r="Y3186" s="2">
        <v>41</v>
      </c>
      <c r="Z3186" s="2">
        <v>0</v>
      </c>
      <c r="AA3186" s="2" t="s">
        <v>156</v>
      </c>
      <c r="AB3186" s="2" t="s">
        <v>16120</v>
      </c>
      <c r="AC3186" s="2">
        <v>2.4305169198346901</v>
      </c>
      <c r="AD3186" s="2"/>
      <c r="AE3186" s="2">
        <v>0.18418617471408699</v>
      </c>
      <c r="AF3186" s="2">
        <v>2450.8120557010202</v>
      </c>
      <c r="AG3186" s="2">
        <v>1637.6998670548701</v>
      </c>
      <c r="AH3186" s="5">
        <v>1.49649646128897</v>
      </c>
      <c r="AI3186" s="5">
        <v>0.58158886735129001</v>
      </c>
      <c r="AJ3186" s="5" t="s">
        <v>139</v>
      </c>
      <c r="AK3186" s="2">
        <v>8.3092869016737098E-2</v>
      </c>
      <c r="AL3186" s="2">
        <v>0.37259997232052</v>
      </c>
      <c r="AM3186" s="2">
        <v>4243.8286133069896</v>
      </c>
      <c r="AN3186" s="2">
        <v>2137.8967608038702</v>
      </c>
      <c r="AO3186" s="2">
        <v>2186.3366205875</v>
      </c>
      <c r="AP3186" s="2">
        <v>2276.9773839341201</v>
      </c>
      <c r="AQ3186" s="2">
        <v>1772.53634300249</v>
      </c>
      <c r="AR3186" s="2">
        <v>2087.29661257117</v>
      </c>
      <c r="AS3186" s="2">
        <v>2514.1634942638202</v>
      </c>
      <c r="AT3186" s="2">
        <v>1569.2740769946799</v>
      </c>
      <c r="AU3186" s="2">
        <v>1923.3835789928701</v>
      </c>
      <c r="AV3186" s="2">
        <v>1024.05210862593</v>
      </c>
      <c r="AW3186" s="2">
        <v>1400.4570107465199</v>
      </c>
      <c r="AX3186" s="2">
        <v>1394.8689327053701</v>
      </c>
    </row>
    <row r="3187" spans="1:50" x14ac:dyDescent="0.25">
      <c r="A3187" s="2" t="s">
        <v>21220</v>
      </c>
      <c r="B3187" s="2">
        <v>245.13929767468099</v>
      </c>
      <c r="C3187" s="2">
        <v>6.4717333333333302</v>
      </c>
      <c r="D3187" s="2" t="s">
        <v>51</v>
      </c>
      <c r="E3187" s="2" t="s">
        <v>21221</v>
      </c>
      <c r="F3187" s="2">
        <v>7763</v>
      </c>
      <c r="G3187" s="3" t="str">
        <f>HYPERLINK("https://cloud.oebiotech.com/#/lm/network/7763", "https://cloud.oebiotech.com/#/lm/network/7763")</f>
        <v>https://cloud.oebiotech.com/#/lm/network/7763</v>
      </c>
      <c r="H3187" s="2"/>
      <c r="I3187" s="2">
        <v>97381</v>
      </c>
      <c r="J3187" s="2" t="s">
        <v>21222</v>
      </c>
      <c r="K3187" s="2">
        <v>15931710</v>
      </c>
      <c r="L3187" s="2"/>
      <c r="M3187" s="2"/>
      <c r="N3187" s="2"/>
      <c r="O3187" s="2"/>
      <c r="P3187" s="2"/>
      <c r="Q3187" s="2"/>
      <c r="R3187" s="2"/>
      <c r="S3187" s="2" t="s">
        <v>21223</v>
      </c>
      <c r="T3187" s="2" t="s">
        <v>21224</v>
      </c>
      <c r="U3187" s="2" t="s">
        <v>56</v>
      </c>
      <c r="V3187" s="2" t="s">
        <v>145</v>
      </c>
      <c r="W3187" s="2" t="s">
        <v>146</v>
      </c>
      <c r="X3187" s="2" t="s">
        <v>147</v>
      </c>
      <c r="Y3187" s="2">
        <v>39</v>
      </c>
      <c r="Z3187" s="2">
        <v>0</v>
      </c>
      <c r="AA3187" s="2" t="s">
        <v>218</v>
      </c>
      <c r="AB3187" s="2" t="s">
        <v>21225</v>
      </c>
      <c r="AC3187" s="2">
        <v>-0.74794877455748099</v>
      </c>
      <c r="AD3187" s="2"/>
      <c r="AE3187" s="2">
        <v>0.18407892206698201</v>
      </c>
      <c r="AF3187" s="2">
        <v>1601.9511497804599</v>
      </c>
      <c r="AG3187" s="2">
        <v>759.35174856899198</v>
      </c>
      <c r="AH3187" s="5">
        <v>2.1096298952354502</v>
      </c>
      <c r="AI3187" s="5">
        <v>1.07698992066586</v>
      </c>
      <c r="AJ3187" s="5" t="s">
        <v>139</v>
      </c>
      <c r="AK3187" s="2">
        <v>5.9719406007943301E-2</v>
      </c>
      <c r="AL3187" s="2">
        <v>0.32920530498529199</v>
      </c>
      <c r="AM3187" s="2">
        <v>2306.7284400961298</v>
      </c>
      <c r="AN3187" s="2">
        <v>2755.98959789017</v>
      </c>
      <c r="AO3187" s="2">
        <v>968.37736291952695</v>
      </c>
      <c r="AP3187" s="2">
        <v>1058.9292437816</v>
      </c>
      <c r="AQ3187" s="2">
        <v>1014.9682942867501</v>
      </c>
      <c r="AR3187" s="2">
        <v>1506.71395970857</v>
      </c>
      <c r="AS3187" s="2">
        <v>1133.81625572556</v>
      </c>
      <c r="AT3187" s="2">
        <v>305.54719914396202</v>
      </c>
      <c r="AU3187" s="2">
        <v>1169.5230511083601</v>
      </c>
      <c r="AV3187" s="2">
        <v>68.193098445873204</v>
      </c>
      <c r="AW3187" s="2">
        <v>310.96622493372797</v>
      </c>
      <c r="AX3187" s="2">
        <v>1568.0646620564701</v>
      </c>
    </row>
    <row r="3188" spans="1:50" x14ac:dyDescent="0.25">
      <c r="A3188" s="2" t="s">
        <v>21226</v>
      </c>
      <c r="B3188" s="2">
        <v>449.32837823667398</v>
      </c>
      <c r="C3188" s="2">
        <v>9.0727166666666701</v>
      </c>
      <c r="D3188" s="2" t="s">
        <v>51</v>
      </c>
      <c r="E3188" s="2" t="s">
        <v>21227</v>
      </c>
      <c r="F3188" s="2">
        <v>46367</v>
      </c>
      <c r="G3188" s="3" t="str">
        <f>HYPERLINK("https://cloud.oebiotech.com/#/lm/network/46367", "https://cloud.oebiotech.com/#/lm/network/46367")</f>
        <v>https://cloud.oebiotech.com/#/lm/network/46367</v>
      </c>
      <c r="H3188" s="2"/>
      <c r="I3188" s="2">
        <v>84789</v>
      </c>
      <c r="J3188" s="2" t="s">
        <v>21228</v>
      </c>
      <c r="K3188" s="2">
        <v>5284217</v>
      </c>
      <c r="L3188" s="2"/>
      <c r="M3188" s="2"/>
      <c r="N3188" s="2"/>
      <c r="O3188" s="2"/>
      <c r="P3188" s="2"/>
      <c r="Q3188" s="2"/>
      <c r="R3188" s="2"/>
      <c r="S3188" s="2" t="s">
        <v>21229</v>
      </c>
      <c r="T3188" s="2" t="s">
        <v>21230</v>
      </c>
      <c r="U3188" s="2" t="s">
        <v>56</v>
      </c>
      <c r="V3188" s="2" t="s">
        <v>283</v>
      </c>
      <c r="W3188" s="2" t="s">
        <v>2042</v>
      </c>
      <c r="X3188" s="2" t="s">
        <v>83</v>
      </c>
      <c r="Y3188" s="2">
        <v>40</v>
      </c>
      <c r="Z3188" s="2">
        <v>0</v>
      </c>
      <c r="AA3188" s="2" t="s">
        <v>156</v>
      </c>
      <c r="AB3188" s="2" t="s">
        <v>21231</v>
      </c>
      <c r="AC3188" s="2">
        <v>4.7762245035785202</v>
      </c>
      <c r="AD3188" s="2"/>
      <c r="AE3188" s="2">
        <v>0.18395761089078699</v>
      </c>
      <c r="AF3188" s="2">
        <v>4094.0504696635298</v>
      </c>
      <c r="AG3188" s="2">
        <v>3088.0820101170798</v>
      </c>
      <c r="AH3188" s="5">
        <v>1.3257583368093</v>
      </c>
      <c r="AI3188" s="5">
        <v>0.40681782065336097</v>
      </c>
      <c r="AJ3188" s="5" t="s">
        <v>139</v>
      </c>
      <c r="AK3188" s="2">
        <v>6.5866244696740406E-2</v>
      </c>
      <c r="AL3188" s="2">
        <v>0.34192828169447498</v>
      </c>
      <c r="AM3188" s="2">
        <v>3667.2760455738398</v>
      </c>
      <c r="AN3188" s="2">
        <v>4169.5311804671901</v>
      </c>
      <c r="AO3188" s="2">
        <v>3379.8572698610401</v>
      </c>
      <c r="AP3188" s="2">
        <v>3474.11746073632</v>
      </c>
      <c r="AQ3188" s="2">
        <v>4358.4762635986999</v>
      </c>
      <c r="AR3188" s="2">
        <v>5515.0445977441004</v>
      </c>
      <c r="AS3188" s="2">
        <v>2219.5685179023299</v>
      </c>
      <c r="AT3188" s="2">
        <v>4176.9274584705399</v>
      </c>
      <c r="AU3188" s="2">
        <v>3598.3270743386902</v>
      </c>
      <c r="AV3188" s="2">
        <v>2685.5414780168398</v>
      </c>
      <c r="AW3188" s="2">
        <v>3799.8791036821499</v>
      </c>
      <c r="AX3188" s="2">
        <v>2048.2484282919499</v>
      </c>
    </row>
    <row r="3189" spans="1:50" x14ac:dyDescent="0.25">
      <c r="A3189" s="2" t="s">
        <v>21232</v>
      </c>
      <c r="B3189" s="2">
        <v>231.123474427671</v>
      </c>
      <c r="C3189" s="2">
        <v>5.0332333333333299</v>
      </c>
      <c r="D3189" s="2" t="s">
        <v>51</v>
      </c>
      <c r="E3189" s="2" t="s">
        <v>21233</v>
      </c>
      <c r="F3189" s="2">
        <v>62295</v>
      </c>
      <c r="G3189" s="3" t="str">
        <f>HYPERLINK("https://cloud.oebiotech.com/#/lm/network/62295", "https://cloud.oebiotech.com/#/lm/network/62295")</f>
        <v>https://cloud.oebiotech.com/#/lm/network/62295</v>
      </c>
      <c r="H3189" s="2" t="s">
        <v>21234</v>
      </c>
      <c r="I3189" s="2">
        <v>93586</v>
      </c>
      <c r="J3189" s="2"/>
      <c r="K3189" s="2">
        <v>85408483</v>
      </c>
      <c r="L3189" s="2"/>
      <c r="M3189" s="2"/>
      <c r="N3189" s="2"/>
      <c r="O3189" s="2">
        <v>138751</v>
      </c>
      <c r="P3189" s="2"/>
      <c r="Q3189" s="2"/>
      <c r="R3189" s="2" t="s">
        <v>21235</v>
      </c>
      <c r="S3189" s="2" t="s">
        <v>21236</v>
      </c>
      <c r="T3189" s="2" t="s">
        <v>21237</v>
      </c>
      <c r="U3189" s="2" t="s">
        <v>56</v>
      </c>
      <c r="V3189" s="2" t="s">
        <v>177</v>
      </c>
      <c r="W3189" s="2" t="s">
        <v>584</v>
      </c>
      <c r="X3189" s="2" t="s">
        <v>83</v>
      </c>
      <c r="Y3189" s="2">
        <v>61.8</v>
      </c>
      <c r="Z3189" s="2">
        <v>32.6</v>
      </c>
      <c r="AA3189" s="2" t="s">
        <v>218</v>
      </c>
      <c r="AB3189" s="2" t="s">
        <v>5454</v>
      </c>
      <c r="AC3189" s="2">
        <v>-1.7347333143200701</v>
      </c>
      <c r="AD3189" s="2"/>
      <c r="AE3189" s="2">
        <v>0.18384557557154699</v>
      </c>
      <c r="AF3189" s="2">
        <v>2993.9330462027401</v>
      </c>
      <c r="AG3189" s="2">
        <v>1974.4926439660801</v>
      </c>
      <c r="AH3189" s="5">
        <v>1.51630498870279</v>
      </c>
      <c r="AI3189" s="5">
        <v>0.60055996553725899</v>
      </c>
      <c r="AJ3189" s="5" t="s">
        <v>139</v>
      </c>
      <c r="AK3189" s="2">
        <v>8.9850256740741402E-2</v>
      </c>
      <c r="AL3189" s="2">
        <v>0.38464800449143299</v>
      </c>
      <c r="AM3189" s="2">
        <v>2515.7729054924998</v>
      </c>
      <c r="AN3189" s="2">
        <v>4059.2313757757001</v>
      </c>
      <c r="AO3189" s="2">
        <v>3894.3269955974001</v>
      </c>
      <c r="AP3189" s="2">
        <v>1598.0838636614601</v>
      </c>
      <c r="AQ3189" s="2">
        <v>2666.2442576244898</v>
      </c>
      <c r="AR3189" s="2">
        <v>3229.93887906487</v>
      </c>
      <c r="AS3189" s="2">
        <v>2165.6948054606301</v>
      </c>
      <c r="AT3189" s="2">
        <v>830.79616598470898</v>
      </c>
      <c r="AU3189" s="2">
        <v>3178.3557511346298</v>
      </c>
      <c r="AV3189" s="2">
        <v>866.60663386388001</v>
      </c>
      <c r="AW3189" s="2">
        <v>2112.7091703671599</v>
      </c>
      <c r="AX3189" s="2">
        <v>2692.79333698549</v>
      </c>
    </row>
    <row r="3190" spans="1:50" x14ac:dyDescent="0.25">
      <c r="A3190" s="2" t="s">
        <v>21238</v>
      </c>
      <c r="B3190" s="2">
        <v>272.29564218655997</v>
      </c>
      <c r="C3190" s="2">
        <v>9.4228166666666695</v>
      </c>
      <c r="D3190" s="2" t="s">
        <v>51</v>
      </c>
      <c r="E3190" s="2" t="s">
        <v>21239</v>
      </c>
      <c r="F3190" s="2">
        <v>6273</v>
      </c>
      <c r="G3190" s="3" t="str">
        <f>HYPERLINK("https://cloud.oebiotech.com/#/lm/network/6273", "https://cloud.oebiotech.com/#/lm/network/6273")</f>
        <v>https://cloud.oebiotech.com/#/lm/network/6273</v>
      </c>
      <c r="H3190" s="2"/>
      <c r="I3190" s="2">
        <v>97006</v>
      </c>
      <c r="J3190" s="2" t="s">
        <v>21240</v>
      </c>
      <c r="K3190" s="2">
        <v>56935894</v>
      </c>
      <c r="L3190" s="2"/>
      <c r="M3190" s="2"/>
      <c r="N3190" s="2"/>
      <c r="O3190" s="2"/>
      <c r="P3190" s="2"/>
      <c r="Q3190" s="2"/>
      <c r="R3190" s="2"/>
      <c r="S3190" s="2" t="s">
        <v>21241</v>
      </c>
      <c r="T3190" s="2" t="s">
        <v>21242</v>
      </c>
      <c r="U3190" s="2" t="s">
        <v>56</v>
      </c>
      <c r="V3190" s="2" t="s">
        <v>145</v>
      </c>
      <c r="W3190" s="2" t="s">
        <v>146</v>
      </c>
      <c r="X3190" s="2" t="s">
        <v>147</v>
      </c>
      <c r="Y3190" s="2">
        <v>41.9</v>
      </c>
      <c r="Z3190" s="2">
        <v>16.8</v>
      </c>
      <c r="AA3190" s="2" t="s">
        <v>512</v>
      </c>
      <c r="AB3190" s="2" t="s">
        <v>6379</v>
      </c>
      <c r="AC3190" s="2">
        <v>3.34674501576229</v>
      </c>
      <c r="AD3190" s="2"/>
      <c r="AE3190" s="2">
        <v>0.18381171585780501</v>
      </c>
      <c r="AF3190" s="2">
        <v>27765.574783736702</v>
      </c>
      <c r="AG3190" s="2">
        <v>31291.7273266825</v>
      </c>
      <c r="AH3190" s="4">
        <v>0.88731358591575504</v>
      </c>
      <c r="AI3190" s="4">
        <v>-0.17248403670474299</v>
      </c>
      <c r="AJ3190" s="4" t="s">
        <v>62</v>
      </c>
      <c r="AK3190" s="2">
        <v>0.64427245875214201</v>
      </c>
      <c r="AL3190" s="2">
        <v>0.82614375542364304</v>
      </c>
      <c r="AM3190" s="2">
        <v>36542.161248619901</v>
      </c>
      <c r="AN3190" s="2">
        <v>28074.698161671899</v>
      </c>
      <c r="AO3190" s="2">
        <v>19915.460373620099</v>
      </c>
      <c r="AP3190" s="2">
        <v>24923.970405947101</v>
      </c>
      <c r="AQ3190" s="2">
        <v>40326.760635422899</v>
      </c>
      <c r="AR3190" s="2">
        <v>16810.397877137999</v>
      </c>
      <c r="AS3190" s="2">
        <v>16266.7066842246</v>
      </c>
      <c r="AT3190" s="2">
        <v>28563.215283945701</v>
      </c>
      <c r="AU3190" s="2">
        <v>19711.045237520801</v>
      </c>
      <c r="AV3190" s="2">
        <v>48126.339925799199</v>
      </c>
      <c r="AW3190" s="2">
        <v>53234.558204924499</v>
      </c>
      <c r="AX3190" s="2">
        <v>21848.498623680101</v>
      </c>
    </row>
    <row r="3191" spans="1:50" x14ac:dyDescent="0.25">
      <c r="A3191" s="2" t="s">
        <v>21243</v>
      </c>
      <c r="B3191" s="2">
        <v>581.24098444330002</v>
      </c>
      <c r="C3191" s="2">
        <v>8.7284333333333297</v>
      </c>
      <c r="D3191" s="2" t="s">
        <v>51</v>
      </c>
      <c r="E3191" s="2" t="s">
        <v>21244</v>
      </c>
      <c r="F3191" s="2">
        <v>256806</v>
      </c>
      <c r="G3191" s="3" t="str">
        <f>HYPERLINK("https://cloud.oebiotech.com/#/lm/network/256806", "https://cloud.oebiotech.com/#/lm/network/256806")</f>
        <v>https://cloud.oebiotech.com/#/lm/network/256806</v>
      </c>
      <c r="H3191" s="2" t="s">
        <v>21245</v>
      </c>
      <c r="I3191" s="2"/>
      <c r="J3191" s="2"/>
      <c r="K3191" s="2"/>
      <c r="L3191" s="2"/>
      <c r="M3191" s="2"/>
      <c r="N3191" s="2"/>
      <c r="O3191" s="2"/>
      <c r="P3191" s="2"/>
      <c r="Q3191" s="2"/>
      <c r="R3191" s="2"/>
      <c r="S3191" s="2" t="s">
        <v>21246</v>
      </c>
      <c r="T3191" s="2" t="s">
        <v>21247</v>
      </c>
      <c r="U3191" s="2" t="s">
        <v>266</v>
      </c>
      <c r="V3191" s="2" t="s">
        <v>2271</v>
      </c>
      <c r="W3191" s="2" t="s">
        <v>2452</v>
      </c>
      <c r="X3191" s="2" t="s">
        <v>59</v>
      </c>
      <c r="Y3191" s="2">
        <v>49.5</v>
      </c>
      <c r="Z3191" s="2">
        <v>53.6</v>
      </c>
      <c r="AA3191" s="2" t="s">
        <v>163</v>
      </c>
      <c r="AB3191" s="2" t="s">
        <v>21248</v>
      </c>
      <c r="AC3191" s="2">
        <v>0.73173026006451503</v>
      </c>
      <c r="AD3191" s="2"/>
      <c r="AE3191" s="2">
        <v>0.18367304093363701</v>
      </c>
      <c r="AF3191" s="2">
        <v>26267.070635519602</v>
      </c>
      <c r="AG3191" s="2">
        <v>29089.9731322187</v>
      </c>
      <c r="AH3191" s="4">
        <v>0.902959604539043</v>
      </c>
      <c r="AI3191" s="4">
        <v>-0.14726664719758401</v>
      </c>
      <c r="AJ3191" s="4" t="s">
        <v>62</v>
      </c>
      <c r="AK3191" s="2">
        <v>0.78591107597628096</v>
      </c>
      <c r="AL3191" s="2">
        <v>0.90577508306915799</v>
      </c>
      <c r="AM3191" s="2">
        <v>13244.448032889301</v>
      </c>
      <c r="AN3191" s="2">
        <v>23674.7200372148</v>
      </c>
      <c r="AO3191" s="2">
        <v>39965.3137898899</v>
      </c>
      <c r="AP3191" s="2">
        <v>33057.562392715503</v>
      </c>
      <c r="AQ3191" s="2">
        <v>24382.705274999698</v>
      </c>
      <c r="AR3191" s="2">
        <v>23277.6742854082</v>
      </c>
      <c r="AS3191" s="2">
        <v>62562.185542525898</v>
      </c>
      <c r="AT3191" s="2">
        <v>49202.841079676102</v>
      </c>
      <c r="AU3191" s="2">
        <v>699.55567394107595</v>
      </c>
      <c r="AV3191" s="2">
        <v>27646.44416988</v>
      </c>
      <c r="AW3191" s="2">
        <v>21276.648565126801</v>
      </c>
      <c r="AX3191" s="2">
        <v>13152.163762162199</v>
      </c>
    </row>
    <row r="3192" spans="1:50" x14ac:dyDescent="0.25">
      <c r="A3192" s="2" t="s">
        <v>21249</v>
      </c>
      <c r="B3192" s="2">
        <v>219.045032202599</v>
      </c>
      <c r="C3192" s="2">
        <v>1.57118333333333</v>
      </c>
      <c r="D3192" s="2" t="s">
        <v>51</v>
      </c>
      <c r="E3192" s="2" t="s">
        <v>21250</v>
      </c>
      <c r="F3192" s="2">
        <v>199422</v>
      </c>
      <c r="G3192" s="3" t="str">
        <f>HYPERLINK("https://cloud.oebiotech.com/#/lm/network/199422", "https://cloud.oebiotech.com/#/lm/network/199422")</f>
        <v>https://cloud.oebiotech.com/#/lm/network/199422</v>
      </c>
      <c r="H3192" s="2" t="s">
        <v>21251</v>
      </c>
      <c r="I3192" s="2"/>
      <c r="J3192" s="2"/>
      <c r="K3192" s="2">
        <v>89829</v>
      </c>
      <c r="L3192" s="2"/>
      <c r="M3192" s="2"/>
      <c r="N3192" s="2"/>
      <c r="O3192" s="2"/>
      <c r="P3192" s="2"/>
      <c r="Q3192" s="2"/>
      <c r="R3192" s="2"/>
      <c r="S3192" s="2" t="s">
        <v>21252</v>
      </c>
      <c r="T3192" s="2" t="s">
        <v>21253</v>
      </c>
      <c r="U3192" s="2" t="s">
        <v>103</v>
      </c>
      <c r="V3192" s="2" t="s">
        <v>12842</v>
      </c>
      <c r="W3192" s="2" t="s">
        <v>12843</v>
      </c>
      <c r="X3192" s="2" t="s">
        <v>147</v>
      </c>
      <c r="Y3192" s="2">
        <v>38.9</v>
      </c>
      <c r="Z3192" s="2">
        <v>4.96</v>
      </c>
      <c r="AA3192" s="2" t="s">
        <v>395</v>
      </c>
      <c r="AB3192" s="2" t="s">
        <v>21254</v>
      </c>
      <c r="AC3192" s="2">
        <v>-0.784360397523584</v>
      </c>
      <c r="AD3192" s="2"/>
      <c r="AE3192" s="2">
        <v>0.18367296117231299</v>
      </c>
      <c r="AF3192" s="2">
        <v>3038.1236566775901</v>
      </c>
      <c r="AG3192" s="2">
        <v>2002.35020659829</v>
      </c>
      <c r="AH3192" s="5">
        <v>1.5172788689341901</v>
      </c>
      <c r="AI3192" s="5">
        <v>0.60148627072244998</v>
      </c>
      <c r="AJ3192" s="5" t="s">
        <v>139</v>
      </c>
      <c r="AK3192" s="2">
        <v>3.4596859077239403E-2</v>
      </c>
      <c r="AL3192" s="2">
        <v>0.271975767980906</v>
      </c>
      <c r="AM3192" s="2">
        <v>3131.71176118108</v>
      </c>
      <c r="AN3192" s="2">
        <v>3185.0063028425302</v>
      </c>
      <c r="AO3192" s="2">
        <v>3475.8978849475898</v>
      </c>
      <c r="AP3192" s="2">
        <v>4495.6294855511296</v>
      </c>
      <c r="AQ3192" s="2">
        <v>1601.01936021451</v>
      </c>
      <c r="AR3192" s="2">
        <v>2339.4771453286899</v>
      </c>
      <c r="AS3192" s="2">
        <v>1888.8362474140699</v>
      </c>
      <c r="AT3192" s="2">
        <v>1941.88033971137</v>
      </c>
      <c r="AU3192" s="2">
        <v>1938.6939600789599</v>
      </c>
      <c r="AV3192" s="2">
        <v>2095.8636680612599</v>
      </c>
      <c r="AW3192" s="2">
        <v>1601.24377676532</v>
      </c>
      <c r="AX3192" s="2">
        <v>2547.5832475587599</v>
      </c>
    </row>
    <row r="3193" spans="1:50" x14ac:dyDescent="0.25">
      <c r="A3193" s="2" t="s">
        <v>21255</v>
      </c>
      <c r="B3193" s="2">
        <v>127.039472263314</v>
      </c>
      <c r="C3193" s="2">
        <v>0.73424999999999996</v>
      </c>
      <c r="D3193" s="2" t="s">
        <v>51</v>
      </c>
      <c r="E3193" s="2" t="s">
        <v>21256</v>
      </c>
      <c r="F3193" s="2">
        <v>257170</v>
      </c>
      <c r="G3193" s="3" t="str">
        <f>HYPERLINK("https://cloud.oebiotech.com/#/lm/network/257170", "https://cloud.oebiotech.com/#/lm/network/257170")</f>
        <v>https://cloud.oebiotech.com/#/lm/network/257170</v>
      </c>
      <c r="H3193" s="2" t="s">
        <v>21257</v>
      </c>
      <c r="I3193" s="2"/>
      <c r="J3193" s="2"/>
      <c r="K3193" s="2">
        <v>25200937</v>
      </c>
      <c r="L3193" s="2"/>
      <c r="M3193" s="2"/>
      <c r="N3193" s="2"/>
      <c r="O3193" s="2"/>
      <c r="P3193" s="2"/>
      <c r="Q3193" s="2"/>
      <c r="R3193" s="2"/>
      <c r="S3193" s="2" t="s">
        <v>21258</v>
      </c>
      <c r="T3193" s="2" t="s">
        <v>21259</v>
      </c>
      <c r="U3193" s="2" t="s">
        <v>266</v>
      </c>
      <c r="V3193" s="2" t="s">
        <v>10648</v>
      </c>
      <c r="W3193" s="2" t="s">
        <v>10649</v>
      </c>
      <c r="X3193" s="2" t="s">
        <v>147</v>
      </c>
      <c r="Y3193" s="2">
        <v>38.9</v>
      </c>
      <c r="Z3193" s="2">
        <v>0</v>
      </c>
      <c r="AA3193" s="2" t="s">
        <v>122</v>
      </c>
      <c r="AB3193" s="2" t="s">
        <v>21260</v>
      </c>
      <c r="AC3193" s="2">
        <v>-0.36933276059966602</v>
      </c>
      <c r="AD3193" s="2"/>
      <c r="AE3193" s="2">
        <v>0.18365889753255299</v>
      </c>
      <c r="AF3193" s="2">
        <v>1273.61981397722</v>
      </c>
      <c r="AG3193" s="2">
        <v>2438.6808027976199</v>
      </c>
      <c r="AH3193" s="4">
        <v>0.52225769461757399</v>
      </c>
      <c r="AI3193" s="4">
        <v>-0.93716625167379697</v>
      </c>
      <c r="AJ3193" s="4" t="s">
        <v>62</v>
      </c>
      <c r="AK3193" s="2">
        <v>0.18424850307089899</v>
      </c>
      <c r="AL3193" s="2">
        <v>0.50878295941019802</v>
      </c>
      <c r="AM3193" s="2">
        <v>266.28523963761199</v>
      </c>
      <c r="AN3193" s="2">
        <v>1185.39200123914</v>
      </c>
      <c r="AO3193" s="2">
        <v>1320.5333942046</v>
      </c>
      <c r="AP3193" s="2">
        <v>728.67331306603899</v>
      </c>
      <c r="AQ3193" s="2">
        <v>1591.6634996479199</v>
      </c>
      <c r="AR3193" s="2">
        <v>2549.1714360680098</v>
      </c>
      <c r="AS3193" s="2">
        <v>5764.9466764625904</v>
      </c>
      <c r="AT3193" s="2">
        <v>3188.6104356071</v>
      </c>
      <c r="AU3193" s="2">
        <v>669.28384390573103</v>
      </c>
      <c r="AV3193" s="2">
        <v>1668.95050637248</v>
      </c>
      <c r="AW3193" s="2">
        <v>1203.0830391224799</v>
      </c>
      <c r="AX3193" s="2">
        <v>2137.2103153153498</v>
      </c>
    </row>
    <row r="3194" spans="1:50" x14ac:dyDescent="0.25">
      <c r="A3194" s="2" t="s">
        <v>21261</v>
      </c>
      <c r="B3194" s="2">
        <v>120.081264427715</v>
      </c>
      <c r="C3194" s="2">
        <v>2.0634666666666699</v>
      </c>
      <c r="D3194" s="2" t="s">
        <v>51</v>
      </c>
      <c r="E3194" s="2" t="s">
        <v>21262</v>
      </c>
      <c r="F3194" s="2">
        <v>47375</v>
      </c>
      <c r="G3194" s="3" t="str">
        <f>HYPERLINK("https://cloud.oebiotech.com/#/lm/network/47375", "https://cloud.oebiotech.com/#/lm/network/47375")</f>
        <v>https://cloud.oebiotech.com/#/lm/network/47375</v>
      </c>
      <c r="H3194" s="2" t="s">
        <v>21263</v>
      </c>
      <c r="I3194" s="2">
        <v>59</v>
      </c>
      <c r="J3194" s="2"/>
      <c r="K3194" s="2">
        <v>1000</v>
      </c>
      <c r="L3194" s="2" t="s">
        <v>21264</v>
      </c>
      <c r="M3194" s="2"/>
      <c r="N3194" s="2"/>
      <c r="O3194" s="2">
        <v>16343</v>
      </c>
      <c r="P3194" s="2"/>
      <c r="Q3194" s="2"/>
      <c r="R3194" s="2" t="s">
        <v>21265</v>
      </c>
      <c r="S3194" s="2" t="s">
        <v>21266</v>
      </c>
      <c r="T3194" s="2" t="s">
        <v>21267</v>
      </c>
      <c r="U3194" s="2" t="s">
        <v>119</v>
      </c>
      <c r="V3194" s="2" t="s">
        <v>120</v>
      </c>
      <c r="W3194" s="2" t="s">
        <v>1887</v>
      </c>
      <c r="X3194" s="2" t="s">
        <v>83</v>
      </c>
      <c r="Y3194" s="2">
        <v>45.8</v>
      </c>
      <c r="Z3194" s="2">
        <v>38.299999999999997</v>
      </c>
      <c r="AA3194" s="2" t="s">
        <v>156</v>
      </c>
      <c r="AB3194" s="2" t="s">
        <v>21268</v>
      </c>
      <c r="AC3194" s="2">
        <v>3.5649700714444399</v>
      </c>
      <c r="AD3194" s="2"/>
      <c r="AE3194" s="2">
        <v>0.18363437457749199</v>
      </c>
      <c r="AF3194" s="2">
        <v>1509483.9375736499</v>
      </c>
      <c r="AG3194" s="2">
        <v>1534810.99949632</v>
      </c>
      <c r="AH3194" s="4">
        <v>0.98349825357585796</v>
      </c>
      <c r="AI3194" s="4">
        <v>-2.4005604213435401E-2</v>
      </c>
      <c r="AJ3194" s="4" t="s">
        <v>62</v>
      </c>
      <c r="AK3194" s="2">
        <v>0.90877195205901995</v>
      </c>
      <c r="AL3194" s="2">
        <v>0.96242937555733199</v>
      </c>
      <c r="AM3194" s="2">
        <v>1644908.2865035101</v>
      </c>
      <c r="AN3194" s="2">
        <v>1566035.75809144</v>
      </c>
      <c r="AO3194" s="2">
        <v>1212396.7569250299</v>
      </c>
      <c r="AP3194" s="2">
        <v>1925985.9972731101</v>
      </c>
      <c r="AQ3194" s="2">
        <v>1698269.8272651201</v>
      </c>
      <c r="AR3194" s="2">
        <v>1009306.9993836801</v>
      </c>
      <c r="AS3194" s="2">
        <v>1196430.0302471099</v>
      </c>
      <c r="AT3194" s="2">
        <v>1486601.5244382401</v>
      </c>
      <c r="AU3194" s="2">
        <v>1631416.7280069599</v>
      </c>
      <c r="AV3194" s="2">
        <v>1191831.35310518</v>
      </c>
      <c r="AW3194" s="2">
        <v>1415359.2784625399</v>
      </c>
      <c r="AX3194" s="2">
        <v>2287227.0827178899</v>
      </c>
    </row>
    <row r="3195" spans="1:50" x14ac:dyDescent="0.25">
      <c r="A3195" s="2" t="s">
        <v>21269</v>
      </c>
      <c r="B3195" s="2">
        <v>237.14919575355799</v>
      </c>
      <c r="C3195" s="2">
        <v>8.0870666666666704</v>
      </c>
      <c r="D3195" s="2" t="s">
        <v>51</v>
      </c>
      <c r="E3195" s="2" t="s">
        <v>21270</v>
      </c>
      <c r="F3195" s="2">
        <v>2035</v>
      </c>
      <c r="G3195" s="3" t="str">
        <f>HYPERLINK("https://cloud.oebiotech.com/#/lm/network/2035", "https://cloud.oebiotech.com/#/lm/network/2035")</f>
        <v>https://cloud.oebiotech.com/#/lm/network/2035</v>
      </c>
      <c r="H3195" s="2"/>
      <c r="I3195" s="2"/>
      <c r="J3195" s="2" t="s">
        <v>21271</v>
      </c>
      <c r="K3195" s="2"/>
      <c r="L3195" s="2"/>
      <c r="M3195" s="2"/>
      <c r="N3195" s="2"/>
      <c r="O3195" s="2"/>
      <c r="P3195" s="2"/>
      <c r="Q3195" s="2"/>
      <c r="R3195" s="2"/>
      <c r="S3195" s="2" t="s">
        <v>21272</v>
      </c>
      <c r="T3195" s="2" t="s">
        <v>21273</v>
      </c>
      <c r="U3195" s="2" t="s">
        <v>56</v>
      </c>
      <c r="V3195" s="2" t="s">
        <v>145</v>
      </c>
      <c r="W3195" s="2" t="s">
        <v>231</v>
      </c>
      <c r="X3195" s="2" t="s">
        <v>83</v>
      </c>
      <c r="Y3195" s="2">
        <v>45.6</v>
      </c>
      <c r="Z3195" s="2">
        <v>27.8</v>
      </c>
      <c r="AA3195" s="2" t="s">
        <v>259</v>
      </c>
      <c r="AB3195" s="2" t="s">
        <v>21274</v>
      </c>
      <c r="AC3195" s="2">
        <v>2.8577027234696701</v>
      </c>
      <c r="AD3195" s="2"/>
      <c r="AE3195" s="2">
        <v>0.183596255655366</v>
      </c>
      <c r="AF3195" s="2">
        <v>3425.0462978392002</v>
      </c>
      <c r="AG3195" s="2">
        <v>2488.8681799206402</v>
      </c>
      <c r="AH3195" s="5">
        <v>1.3761461235558099</v>
      </c>
      <c r="AI3195" s="5">
        <v>0.46063366810440398</v>
      </c>
      <c r="AJ3195" s="5" t="s">
        <v>139</v>
      </c>
      <c r="AK3195" s="2">
        <v>6.7294662037712796E-2</v>
      </c>
      <c r="AL3195" s="2">
        <v>0.34235510584224599</v>
      </c>
      <c r="AM3195" s="2">
        <v>2967.1210341207702</v>
      </c>
      <c r="AN3195" s="2">
        <v>4207.3639588452797</v>
      </c>
      <c r="AO3195" s="2">
        <v>2926.44741417762</v>
      </c>
      <c r="AP3195" s="2">
        <v>3185.5432514958902</v>
      </c>
      <c r="AQ3195" s="2">
        <v>4327.3396260967302</v>
      </c>
      <c r="AR3195" s="2">
        <v>2936.4625022988998</v>
      </c>
      <c r="AS3195" s="2">
        <v>2303.7262547171599</v>
      </c>
      <c r="AT3195" s="2">
        <v>2669.3256109744698</v>
      </c>
      <c r="AU3195" s="2">
        <v>4059.0248706941602</v>
      </c>
      <c r="AV3195" s="2">
        <v>2216.57499206178</v>
      </c>
      <c r="AW3195" s="2">
        <v>2399.90085778501</v>
      </c>
      <c r="AX3195" s="2">
        <v>1284.6564932912399</v>
      </c>
    </row>
    <row r="3196" spans="1:50" x14ac:dyDescent="0.25">
      <c r="A3196" s="2" t="s">
        <v>21275</v>
      </c>
      <c r="B3196" s="2">
        <v>441.358715829549</v>
      </c>
      <c r="C3196" s="2">
        <v>11.925333333333301</v>
      </c>
      <c r="D3196" s="2" t="s">
        <v>51</v>
      </c>
      <c r="E3196" s="2" t="s">
        <v>21276</v>
      </c>
      <c r="F3196" s="2">
        <v>28234</v>
      </c>
      <c r="G3196" s="3" t="str">
        <f>HYPERLINK("https://cloud.oebiotech.com/#/lm/network/28234", "https://cloud.oebiotech.com/#/lm/network/28234")</f>
        <v>https://cloud.oebiotech.com/#/lm/network/28234</v>
      </c>
      <c r="H3196" s="2"/>
      <c r="I3196" s="2"/>
      <c r="J3196" s="2" t="s">
        <v>21277</v>
      </c>
      <c r="K3196" s="2">
        <v>155566481</v>
      </c>
      <c r="L3196" s="2"/>
      <c r="M3196" s="2"/>
      <c r="N3196" s="2"/>
      <c r="O3196" s="2"/>
      <c r="P3196" s="2"/>
      <c r="Q3196" s="2"/>
      <c r="R3196" s="2"/>
      <c r="S3196" s="2" t="s">
        <v>21278</v>
      </c>
      <c r="T3196" s="2" t="s">
        <v>21279</v>
      </c>
      <c r="U3196" s="2" t="s">
        <v>266</v>
      </c>
      <c r="V3196" s="2" t="s">
        <v>3994</v>
      </c>
      <c r="W3196" s="2" t="s">
        <v>3995</v>
      </c>
      <c r="X3196" s="2" t="s">
        <v>147</v>
      </c>
      <c r="Y3196" s="2">
        <v>39</v>
      </c>
      <c r="Z3196" s="2">
        <v>0</v>
      </c>
      <c r="AA3196" s="2" t="s">
        <v>218</v>
      </c>
      <c r="AB3196" s="2" t="s">
        <v>21280</v>
      </c>
      <c r="AC3196" s="2">
        <v>0.42275043611147001</v>
      </c>
      <c r="AD3196" s="2"/>
      <c r="AE3196" s="2">
        <v>0.18344827670734301</v>
      </c>
      <c r="AF3196" s="2">
        <v>8215.4350724288706</v>
      </c>
      <c r="AG3196" s="2">
        <v>5860.3128768882998</v>
      </c>
      <c r="AH3196" s="5">
        <v>1.4018765286114001</v>
      </c>
      <c r="AI3196" s="5">
        <v>0.48735928843246501</v>
      </c>
      <c r="AJ3196" s="5" t="s">
        <v>139</v>
      </c>
      <c r="AK3196" s="2">
        <v>0.37075845038661098</v>
      </c>
      <c r="AL3196" s="2">
        <v>0.65356084321416597</v>
      </c>
      <c r="AM3196" s="2">
        <v>10494.039182538099</v>
      </c>
      <c r="AN3196" s="2">
        <v>4025.7000332315702</v>
      </c>
      <c r="AO3196" s="2">
        <v>8025.0797400711799</v>
      </c>
      <c r="AP3196" s="2">
        <v>15925.8936104432</v>
      </c>
      <c r="AQ3196" s="2">
        <v>6836.6911657098599</v>
      </c>
      <c r="AR3196" s="2">
        <v>3985.2067025792999</v>
      </c>
      <c r="AS3196" s="2">
        <v>3306.4050459352502</v>
      </c>
      <c r="AT3196" s="2">
        <v>8707.4834936745792</v>
      </c>
      <c r="AU3196" s="2">
        <v>4563.2548412481101</v>
      </c>
      <c r="AV3196" s="2">
        <v>2058.3741579912198</v>
      </c>
      <c r="AW3196" s="2">
        <v>13012.8924849995</v>
      </c>
      <c r="AX3196" s="2">
        <v>3513.4672374811598</v>
      </c>
    </row>
    <row r="3197" spans="1:50" x14ac:dyDescent="0.25">
      <c r="A3197" s="2" t="s">
        <v>21281</v>
      </c>
      <c r="B3197" s="2">
        <v>243.098262361927</v>
      </c>
      <c r="C3197" s="2">
        <v>0.74113333333333298</v>
      </c>
      <c r="D3197" s="2" t="s">
        <v>51</v>
      </c>
      <c r="E3197" s="2" t="s">
        <v>21282</v>
      </c>
      <c r="F3197" s="2">
        <v>54033</v>
      </c>
      <c r="G3197" s="3" t="str">
        <f>HYPERLINK("https://cloud.oebiotech.com/#/lm/network/54033", "https://cloud.oebiotech.com/#/lm/network/54033")</f>
        <v>https://cloud.oebiotech.com/#/lm/network/54033</v>
      </c>
      <c r="H3197" s="2" t="s">
        <v>21283</v>
      </c>
      <c r="I3197" s="2"/>
      <c r="J3197" s="2"/>
      <c r="K3197" s="2">
        <v>3563697</v>
      </c>
      <c r="L3197" s="2"/>
      <c r="M3197" s="2"/>
      <c r="N3197" s="2"/>
      <c r="O3197" s="2"/>
      <c r="P3197" s="2"/>
      <c r="Q3197" s="2"/>
      <c r="R3197" s="2"/>
      <c r="S3197" s="2" t="s">
        <v>21284</v>
      </c>
      <c r="T3197" s="2" t="s">
        <v>21285</v>
      </c>
      <c r="U3197" s="2" t="s">
        <v>103</v>
      </c>
      <c r="V3197" s="2" t="s">
        <v>104</v>
      </c>
      <c r="W3197" s="2" t="s">
        <v>105</v>
      </c>
      <c r="X3197" s="2" t="s">
        <v>83</v>
      </c>
      <c r="Y3197" s="2">
        <v>40.700000000000003</v>
      </c>
      <c r="Z3197" s="2">
        <v>0</v>
      </c>
      <c r="AA3197" s="2" t="s">
        <v>163</v>
      </c>
      <c r="AB3197" s="2" t="s">
        <v>21286</v>
      </c>
      <c r="AC3197" s="2">
        <v>-1.5682806471280399</v>
      </c>
      <c r="AD3197" s="2"/>
      <c r="AE3197" s="2">
        <v>0.18325240360251399</v>
      </c>
      <c r="AF3197" s="2">
        <v>7681.7710755113103</v>
      </c>
      <c r="AG3197" s="2">
        <v>5276.8066356874797</v>
      </c>
      <c r="AH3197" s="5">
        <v>1.4557613355696699</v>
      </c>
      <c r="AI3197" s="5">
        <v>0.54177385264288902</v>
      </c>
      <c r="AJ3197" s="5" t="s">
        <v>139</v>
      </c>
      <c r="AK3197" s="2">
        <v>0.39614502052527401</v>
      </c>
      <c r="AL3197" s="2">
        <v>0.66752996494649497</v>
      </c>
      <c r="AM3197" s="2">
        <v>6194.1363772697896</v>
      </c>
      <c r="AN3197" s="2">
        <v>7924.7972572539802</v>
      </c>
      <c r="AO3197" s="2">
        <v>5887.6582718303798</v>
      </c>
      <c r="AP3197" s="2">
        <v>2715.9037869484</v>
      </c>
      <c r="AQ3197" s="2">
        <v>14497.500284142399</v>
      </c>
      <c r="AR3197" s="2">
        <v>8870.6304756229292</v>
      </c>
      <c r="AS3197" s="2">
        <v>1271.4849776843</v>
      </c>
      <c r="AT3197" s="2">
        <v>2712.2540206511298</v>
      </c>
      <c r="AU3197" s="2">
        <v>7863.357357936</v>
      </c>
      <c r="AV3197" s="2">
        <v>14944.942071392999</v>
      </c>
      <c r="AW3197" s="2">
        <v>1054.15803912465</v>
      </c>
      <c r="AX3197" s="2">
        <v>3814.6433473358102</v>
      </c>
    </row>
    <row r="3198" spans="1:50" x14ac:dyDescent="0.25">
      <c r="A3198" s="2" t="s">
        <v>21287</v>
      </c>
      <c r="B3198" s="2">
        <v>330.11461031129102</v>
      </c>
      <c r="C3198" s="2">
        <v>4.9422166666666696</v>
      </c>
      <c r="D3198" s="2" t="s">
        <v>51</v>
      </c>
      <c r="E3198" s="2" t="s">
        <v>21288</v>
      </c>
      <c r="F3198" s="2">
        <v>204164</v>
      </c>
      <c r="G3198" s="3" t="str">
        <f>HYPERLINK("https://cloud.oebiotech.com/#/lm/network/204164", "https://cloud.oebiotech.com/#/lm/network/204164")</f>
        <v>https://cloud.oebiotech.com/#/lm/network/204164</v>
      </c>
      <c r="H3198" s="2" t="s">
        <v>21289</v>
      </c>
      <c r="I3198" s="2"/>
      <c r="J3198" s="2"/>
      <c r="K3198" s="2">
        <v>53440640</v>
      </c>
      <c r="L3198" s="2"/>
      <c r="M3198" s="2"/>
      <c r="N3198" s="2"/>
      <c r="O3198" s="2">
        <v>94985</v>
      </c>
      <c r="P3198" s="2"/>
      <c r="Q3198" s="2"/>
      <c r="R3198" s="2"/>
      <c r="S3198" s="2" t="s">
        <v>21290</v>
      </c>
      <c r="T3198" s="2" t="s">
        <v>21291</v>
      </c>
      <c r="U3198" s="2" t="s">
        <v>610</v>
      </c>
      <c r="V3198" s="2" t="s">
        <v>611</v>
      </c>
      <c r="W3198" s="2" t="s">
        <v>1122</v>
      </c>
      <c r="X3198" s="2" t="s">
        <v>147</v>
      </c>
      <c r="Y3198" s="2">
        <v>36.1</v>
      </c>
      <c r="Z3198" s="2">
        <v>3</v>
      </c>
      <c r="AA3198" s="2" t="s">
        <v>163</v>
      </c>
      <c r="AB3198" s="2" t="s">
        <v>21292</v>
      </c>
      <c r="AC3198" s="2">
        <v>3.1509179858552399</v>
      </c>
      <c r="AD3198" s="2"/>
      <c r="AE3198" s="2">
        <v>0.182929756924163</v>
      </c>
      <c r="AF3198" s="2">
        <v>182.954835277162</v>
      </c>
      <c r="AG3198" s="2">
        <v>1150.42536500748</v>
      </c>
      <c r="AH3198" s="4">
        <v>0.15903233781356399</v>
      </c>
      <c r="AI3198" s="4">
        <v>-2.6526079403233802</v>
      </c>
      <c r="AJ3198" s="4" t="s">
        <v>62</v>
      </c>
      <c r="AK3198" s="2">
        <v>0.120401932381573</v>
      </c>
      <c r="AL3198" s="2">
        <v>0.43792729332499802</v>
      </c>
      <c r="AM3198" s="2">
        <v>210.27560111561601</v>
      </c>
      <c r="AN3198" s="2">
        <v>257.844695831217</v>
      </c>
      <c r="AO3198" s="2">
        <v>8.559877937157E-6</v>
      </c>
      <c r="AP3198" s="2">
        <v>295.285705358602</v>
      </c>
      <c r="AQ3198" s="2">
        <v>97.824769104233198</v>
      </c>
      <c r="AR3198" s="2">
        <v>236.49823169342801</v>
      </c>
      <c r="AS3198" s="2">
        <v>447.751528496525</v>
      </c>
      <c r="AT3198" s="2">
        <v>8.559877937157E-6</v>
      </c>
      <c r="AU3198" s="2">
        <v>8.559877937157E-6</v>
      </c>
      <c r="AV3198" s="2">
        <v>682.39457582102705</v>
      </c>
      <c r="AW3198" s="2">
        <v>3269.4567634290602</v>
      </c>
      <c r="AX3198" s="2">
        <v>2502.9493051785098</v>
      </c>
    </row>
    <row r="3199" spans="1:50" x14ac:dyDescent="0.25">
      <c r="A3199" s="2" t="s">
        <v>21293</v>
      </c>
      <c r="B3199" s="2">
        <v>296.11151345731798</v>
      </c>
      <c r="C3199" s="2">
        <v>8.74888333333333</v>
      </c>
      <c r="D3199" s="2" t="s">
        <v>51</v>
      </c>
      <c r="E3199" s="2" t="s">
        <v>21294</v>
      </c>
      <c r="F3199" s="2">
        <v>57874</v>
      </c>
      <c r="G3199" s="3" t="str">
        <f>HYPERLINK("https://cloud.oebiotech.com/#/lm/network/57874", "https://cloud.oebiotech.com/#/lm/network/57874")</f>
        <v>https://cloud.oebiotech.com/#/lm/network/57874</v>
      </c>
      <c r="H3199" s="2" t="s">
        <v>21295</v>
      </c>
      <c r="I3199" s="2">
        <v>89461</v>
      </c>
      <c r="J3199" s="2"/>
      <c r="K3199" s="2">
        <v>75039120</v>
      </c>
      <c r="L3199" s="2"/>
      <c r="M3199" s="2"/>
      <c r="N3199" s="2"/>
      <c r="O3199" s="2">
        <v>174292</v>
      </c>
      <c r="P3199" s="2"/>
      <c r="Q3199" s="2"/>
      <c r="R3199" s="2" t="s">
        <v>21296</v>
      </c>
      <c r="S3199" s="2" t="s">
        <v>21297</v>
      </c>
      <c r="T3199" s="2" t="s">
        <v>21298</v>
      </c>
      <c r="U3199" s="2" t="s">
        <v>540</v>
      </c>
      <c r="V3199" s="2" t="s">
        <v>9490</v>
      </c>
      <c r="W3199" s="2" t="s">
        <v>240</v>
      </c>
      <c r="X3199" s="2" t="s">
        <v>147</v>
      </c>
      <c r="Y3199" s="2">
        <v>38.299999999999997</v>
      </c>
      <c r="Z3199" s="2">
        <v>0</v>
      </c>
      <c r="AA3199" s="2" t="s">
        <v>379</v>
      </c>
      <c r="AB3199" s="2" t="s">
        <v>9491</v>
      </c>
      <c r="AC3199" s="2">
        <v>0.75493096468315701</v>
      </c>
      <c r="AD3199" s="2"/>
      <c r="AE3199" s="2">
        <v>0.182925761266506</v>
      </c>
      <c r="AF3199" s="2">
        <v>1695.0810330867801</v>
      </c>
      <c r="AG3199" s="2">
        <v>809.94700855176904</v>
      </c>
      <c r="AH3199" s="5">
        <v>2.0928295495747098</v>
      </c>
      <c r="AI3199" s="5">
        <v>1.0654548161339901</v>
      </c>
      <c r="AJ3199" s="5" t="s">
        <v>139</v>
      </c>
      <c r="AK3199" s="2">
        <v>4.83166296069205E-2</v>
      </c>
      <c r="AL3199" s="2">
        <v>0.30691247078395001</v>
      </c>
      <c r="AM3199" s="2">
        <v>2009.1688218737099</v>
      </c>
      <c r="AN3199" s="2">
        <v>2952.6234949916802</v>
      </c>
      <c r="AO3199" s="2">
        <v>917.65414508035497</v>
      </c>
      <c r="AP3199" s="2">
        <v>918.05556028646504</v>
      </c>
      <c r="AQ3199" s="2">
        <v>1122.7456651167799</v>
      </c>
      <c r="AR3199" s="2">
        <v>2250.2385111716799</v>
      </c>
      <c r="AS3199" s="2">
        <v>1300.4157703102101</v>
      </c>
      <c r="AT3199" s="2">
        <v>366.216469060968</v>
      </c>
      <c r="AU3199" s="2">
        <v>1105.6573017083999</v>
      </c>
      <c r="AV3199" s="2">
        <v>310.621001149427</v>
      </c>
      <c r="AW3199" s="2">
        <v>476.60676195371798</v>
      </c>
      <c r="AX3199" s="2">
        <v>1300.16474712789</v>
      </c>
    </row>
    <row r="3200" spans="1:50" x14ac:dyDescent="0.25">
      <c r="A3200" s="2" t="s">
        <v>21299</v>
      </c>
      <c r="B3200" s="2">
        <v>243.16001505294599</v>
      </c>
      <c r="C3200" s="2">
        <v>8.3100500000000004</v>
      </c>
      <c r="D3200" s="2" t="s">
        <v>51</v>
      </c>
      <c r="E3200" s="2" t="s">
        <v>21300</v>
      </c>
      <c r="F3200" s="2">
        <v>2829</v>
      </c>
      <c r="G3200" s="3" t="str">
        <f>HYPERLINK("https://cloud.oebiotech.com/#/lm/network/2829", "https://cloud.oebiotech.com/#/lm/network/2829")</f>
        <v>https://cloud.oebiotech.com/#/lm/network/2829</v>
      </c>
      <c r="H3200" s="2" t="s">
        <v>21301</v>
      </c>
      <c r="I3200" s="2">
        <v>6622</v>
      </c>
      <c r="J3200" s="2" t="s">
        <v>21302</v>
      </c>
      <c r="K3200" s="2">
        <v>10458</v>
      </c>
      <c r="L3200" s="2"/>
      <c r="M3200" s="2"/>
      <c r="N3200" s="2"/>
      <c r="O3200" s="2">
        <v>73718</v>
      </c>
      <c r="P3200" s="2"/>
      <c r="Q3200" s="2"/>
      <c r="R3200" s="2" t="s">
        <v>21303</v>
      </c>
      <c r="S3200" s="2" t="s">
        <v>21304</v>
      </c>
      <c r="T3200" s="2" t="s">
        <v>21305</v>
      </c>
      <c r="U3200" s="2" t="s">
        <v>56</v>
      </c>
      <c r="V3200" s="2" t="s">
        <v>145</v>
      </c>
      <c r="W3200" s="2" t="s">
        <v>231</v>
      </c>
      <c r="X3200" s="2" t="s">
        <v>147</v>
      </c>
      <c r="Y3200" s="2">
        <v>47.3</v>
      </c>
      <c r="Z3200" s="2">
        <v>43.3</v>
      </c>
      <c r="AA3200" s="2" t="s">
        <v>163</v>
      </c>
      <c r="AB3200" s="2" t="s">
        <v>21306</v>
      </c>
      <c r="AC3200" s="2">
        <v>-0.68708162330106404</v>
      </c>
      <c r="AD3200" s="2"/>
      <c r="AE3200" s="2">
        <v>0.18288394493273599</v>
      </c>
      <c r="AF3200" s="2">
        <v>5487.16296272007</v>
      </c>
      <c r="AG3200" s="2">
        <v>4558.6378693839497</v>
      </c>
      <c r="AH3200" s="5">
        <v>1.20368476723544</v>
      </c>
      <c r="AI3200" s="5">
        <v>0.26745761444586702</v>
      </c>
      <c r="AJ3200" s="5" t="s">
        <v>139</v>
      </c>
      <c r="AK3200" s="2">
        <v>5.8682726331714702E-2</v>
      </c>
      <c r="AL3200" s="2">
        <v>0.32837652512840398</v>
      </c>
      <c r="AM3200" s="2">
        <v>5311.1967920200505</v>
      </c>
      <c r="AN3200" s="2">
        <v>5397.2079321760702</v>
      </c>
      <c r="AO3200" s="2">
        <v>7054.7158914053998</v>
      </c>
      <c r="AP3200" s="2">
        <v>5414.6092245258696</v>
      </c>
      <c r="AQ3200" s="2">
        <v>5122.79897861878</v>
      </c>
      <c r="AR3200" s="2">
        <v>4622.44895757425</v>
      </c>
      <c r="AS3200" s="2">
        <v>4512.1677576334496</v>
      </c>
      <c r="AT3200" s="2">
        <v>5395.0804303938903</v>
      </c>
      <c r="AU3200" s="2">
        <v>3909.9199284532301</v>
      </c>
      <c r="AV3200" s="2">
        <v>4174.4221165497202</v>
      </c>
      <c r="AW3200" s="2">
        <v>3972.67818045382</v>
      </c>
      <c r="AX3200" s="2">
        <v>5387.5588028195698</v>
      </c>
    </row>
    <row r="3201" spans="1:50" x14ac:dyDescent="0.25">
      <c r="A3201" s="2" t="s">
        <v>21307</v>
      </c>
      <c r="B3201" s="2">
        <v>217.04774764751801</v>
      </c>
      <c r="C3201" s="2">
        <v>5.3058500000000004</v>
      </c>
      <c r="D3201" s="2" t="s">
        <v>51</v>
      </c>
      <c r="E3201" s="2" t="s">
        <v>21308</v>
      </c>
      <c r="F3201" s="2">
        <v>207761</v>
      </c>
      <c r="G3201" s="3" t="str">
        <f>HYPERLINK("https://cloud.oebiotech.com/#/lm/network/207761", "https://cloud.oebiotech.com/#/lm/network/207761")</f>
        <v>https://cloud.oebiotech.com/#/lm/network/207761</v>
      </c>
      <c r="H3201" s="2" t="s">
        <v>21309</v>
      </c>
      <c r="I3201" s="2"/>
      <c r="J3201" s="2"/>
      <c r="K3201" s="2">
        <v>66624294</v>
      </c>
      <c r="L3201" s="2"/>
      <c r="M3201" s="2"/>
      <c r="N3201" s="2"/>
      <c r="O3201" s="2"/>
      <c r="P3201" s="2"/>
      <c r="Q3201" s="2"/>
      <c r="R3201" s="2"/>
      <c r="S3201" s="2" t="s">
        <v>21310</v>
      </c>
      <c r="T3201" s="2" t="s">
        <v>21311</v>
      </c>
      <c r="U3201" s="2" t="s">
        <v>266</v>
      </c>
      <c r="V3201" s="2" t="s">
        <v>10308</v>
      </c>
      <c r="W3201" s="2" t="s">
        <v>21312</v>
      </c>
      <c r="X3201" s="2" t="s">
        <v>147</v>
      </c>
      <c r="Y3201" s="2">
        <v>39.5</v>
      </c>
      <c r="Z3201" s="2">
        <v>0</v>
      </c>
      <c r="AA3201" s="2" t="s">
        <v>478</v>
      </c>
      <c r="AB3201" s="2" t="s">
        <v>21313</v>
      </c>
      <c r="AC3201" s="2">
        <v>-0.91435930097899099</v>
      </c>
      <c r="AD3201" s="2"/>
      <c r="AE3201" s="2">
        <v>0.182858477329364</v>
      </c>
      <c r="AF3201" s="2">
        <v>1472.53295044333</v>
      </c>
      <c r="AG3201" s="2">
        <v>667.616369836422</v>
      </c>
      <c r="AH3201" s="5">
        <v>2.2056573460056499</v>
      </c>
      <c r="AI3201" s="5">
        <v>1.14120868230951</v>
      </c>
      <c r="AJ3201" s="5" t="s">
        <v>139</v>
      </c>
      <c r="AK3201" s="2">
        <v>7.8474511471383304E-2</v>
      </c>
      <c r="AL3201" s="2">
        <v>0.36259246282337698</v>
      </c>
      <c r="AM3201" s="2">
        <v>2937.3348992226101</v>
      </c>
      <c r="AN3201" s="2">
        <v>1900.6800926230701</v>
      </c>
      <c r="AO3201" s="2">
        <v>1145.3897612297801</v>
      </c>
      <c r="AP3201" s="2">
        <v>527.21796121381306</v>
      </c>
      <c r="AQ3201" s="2">
        <v>841.42394047233302</v>
      </c>
      <c r="AR3201" s="2">
        <v>1483.15104789836</v>
      </c>
      <c r="AS3201" s="2">
        <v>1455.7398644745099</v>
      </c>
      <c r="AT3201" s="2">
        <v>839.696317177114</v>
      </c>
      <c r="AU3201" s="2">
        <v>86.656588860827796</v>
      </c>
      <c r="AV3201" s="2">
        <v>851.32048175924695</v>
      </c>
      <c r="AW3201" s="2">
        <v>109.936236777845</v>
      </c>
      <c r="AX3201" s="2">
        <v>662.34872996898901</v>
      </c>
    </row>
    <row r="3202" spans="1:50" x14ac:dyDescent="0.25">
      <c r="A3202" s="2" t="s">
        <v>21314</v>
      </c>
      <c r="B3202" s="2">
        <v>476.37463086829501</v>
      </c>
      <c r="C3202" s="2">
        <v>10.2727</v>
      </c>
      <c r="D3202" s="2" t="s">
        <v>51</v>
      </c>
      <c r="E3202" s="2" t="s">
        <v>21315</v>
      </c>
      <c r="F3202" s="2">
        <v>198663</v>
      </c>
      <c r="G3202" s="3" t="str">
        <f>HYPERLINK("https://cloud.oebiotech.com/#/lm/network/198663", "https://cloud.oebiotech.com/#/lm/network/198663")</f>
        <v>https://cloud.oebiotech.com/#/lm/network/198663</v>
      </c>
      <c r="H3202" s="2" t="s">
        <v>21316</v>
      </c>
      <c r="I3202" s="2"/>
      <c r="J3202" s="2"/>
      <c r="K3202" s="2">
        <v>142470752</v>
      </c>
      <c r="L3202" s="2"/>
      <c r="M3202" s="2"/>
      <c r="N3202" s="2"/>
      <c r="O3202" s="2"/>
      <c r="P3202" s="2"/>
      <c r="Q3202" s="2"/>
      <c r="R3202" s="2"/>
      <c r="S3202" s="2" t="s">
        <v>21317</v>
      </c>
      <c r="T3202" s="2" t="s">
        <v>21318</v>
      </c>
      <c r="U3202" s="2" t="s">
        <v>56</v>
      </c>
      <c r="V3202" s="2" t="s">
        <v>145</v>
      </c>
      <c r="W3202" s="2" t="s">
        <v>231</v>
      </c>
      <c r="X3202" s="2" t="s">
        <v>83</v>
      </c>
      <c r="Y3202" s="2">
        <v>43.1</v>
      </c>
      <c r="Z3202" s="2">
        <v>0</v>
      </c>
      <c r="AA3202" s="2" t="s">
        <v>259</v>
      </c>
      <c r="AB3202" s="2" t="s">
        <v>21319</v>
      </c>
      <c r="AC3202" s="2">
        <v>2.5146548653448</v>
      </c>
      <c r="AD3202" s="2"/>
      <c r="AE3202" s="2">
        <v>0.18278274131175601</v>
      </c>
      <c r="AF3202" s="2">
        <v>7925.3274284602403</v>
      </c>
      <c r="AG3202" s="2">
        <v>5684.2078241921699</v>
      </c>
      <c r="AH3202" s="5">
        <v>1.3942712289177399</v>
      </c>
      <c r="AI3202" s="5">
        <v>0.47951123735558798</v>
      </c>
      <c r="AJ3202" s="5" t="s">
        <v>139</v>
      </c>
      <c r="AK3202" s="2">
        <v>0.46079736294300799</v>
      </c>
      <c r="AL3202" s="2">
        <v>0.71040092022659995</v>
      </c>
      <c r="AM3202" s="2">
        <v>14418.300211326999</v>
      </c>
      <c r="AN3202" s="2">
        <v>3899.0877008000298</v>
      </c>
      <c r="AO3202" s="2">
        <v>8678.7872667958709</v>
      </c>
      <c r="AP3202" s="2">
        <v>14899.627407437099</v>
      </c>
      <c r="AQ3202" s="2">
        <v>3602.3052824281899</v>
      </c>
      <c r="AR3202" s="2">
        <v>2053.85670197324</v>
      </c>
      <c r="AS3202" s="2">
        <v>3355.6758260432298</v>
      </c>
      <c r="AT3202" s="2">
        <v>2370.7018243778898</v>
      </c>
      <c r="AU3202" s="2">
        <v>8664.2810509658593</v>
      </c>
      <c r="AV3202" s="2">
        <v>5198.6764877342302</v>
      </c>
      <c r="AW3202" s="2">
        <v>12954.7984428621</v>
      </c>
      <c r="AX3202" s="2">
        <v>1561.1133131696999</v>
      </c>
    </row>
    <row r="3203" spans="1:50" x14ac:dyDescent="0.25">
      <c r="A3203" s="2" t="s">
        <v>21320</v>
      </c>
      <c r="B3203" s="2">
        <v>329.15050958328197</v>
      </c>
      <c r="C3203" s="2">
        <v>4.23708333333333</v>
      </c>
      <c r="D3203" s="2" t="s">
        <v>51</v>
      </c>
      <c r="E3203" s="2" t="s">
        <v>21321</v>
      </c>
      <c r="F3203" s="2">
        <v>54123</v>
      </c>
      <c r="G3203" s="3" t="str">
        <f>HYPERLINK("https://cloud.oebiotech.com/#/lm/network/54123", "https://cloud.oebiotech.com/#/lm/network/54123")</f>
        <v>https://cloud.oebiotech.com/#/lm/network/54123</v>
      </c>
      <c r="H3203" s="2" t="s">
        <v>21322</v>
      </c>
      <c r="I3203" s="2">
        <v>23970</v>
      </c>
      <c r="J3203" s="2"/>
      <c r="K3203" s="2">
        <v>3421919</v>
      </c>
      <c r="L3203" s="2"/>
      <c r="M3203" s="2"/>
      <c r="N3203" s="2"/>
      <c r="O3203" s="2"/>
      <c r="P3203" s="2"/>
      <c r="Q3203" s="2"/>
      <c r="R3203" s="2"/>
      <c r="S3203" s="2" t="s">
        <v>21323</v>
      </c>
      <c r="T3203" s="2" t="s">
        <v>21324</v>
      </c>
      <c r="U3203" s="2" t="s">
        <v>103</v>
      </c>
      <c r="V3203" s="2" t="s">
        <v>104</v>
      </c>
      <c r="W3203" s="2" t="s">
        <v>105</v>
      </c>
      <c r="X3203" s="2" t="s">
        <v>83</v>
      </c>
      <c r="Y3203" s="2">
        <v>47.5</v>
      </c>
      <c r="Z3203" s="2">
        <v>34.200000000000003</v>
      </c>
      <c r="AA3203" s="2" t="s">
        <v>259</v>
      </c>
      <c r="AB3203" s="2" t="s">
        <v>21325</v>
      </c>
      <c r="AC3203" s="2">
        <v>2.82201356351879</v>
      </c>
      <c r="AD3203" s="2"/>
      <c r="AE3203" s="2">
        <v>0.18267392996857601</v>
      </c>
      <c r="AF3203" s="2">
        <v>6612.5596177303196</v>
      </c>
      <c r="AG3203" s="2">
        <v>4948.4934075319698</v>
      </c>
      <c r="AH3203" s="5">
        <v>1.33627734204223</v>
      </c>
      <c r="AI3203" s="5">
        <v>0.418219467740093</v>
      </c>
      <c r="AJ3203" s="5" t="s">
        <v>139</v>
      </c>
      <c r="AK3203" s="2">
        <v>0.58029083151920902</v>
      </c>
      <c r="AL3203" s="2">
        <v>0.788322492623872</v>
      </c>
      <c r="AM3203" s="2">
        <v>8021.2873868976003</v>
      </c>
      <c r="AN3203" s="2">
        <v>7908.3895119584004</v>
      </c>
      <c r="AO3203" s="2">
        <v>2113.14603793064</v>
      </c>
      <c r="AP3203" s="2">
        <v>5026.7094397429801</v>
      </c>
      <c r="AQ3203" s="2">
        <v>10516.5380867652</v>
      </c>
      <c r="AR3203" s="2">
        <v>6089.2872430870802</v>
      </c>
      <c r="AS3203" s="2">
        <v>5058.06044007318</v>
      </c>
      <c r="AT3203" s="2">
        <v>2564.28138306554</v>
      </c>
      <c r="AU3203" s="2">
        <v>17839.181229072001</v>
      </c>
      <c r="AV3203" s="2">
        <v>1038.4842542997101</v>
      </c>
      <c r="AW3203" s="2">
        <v>414.72938006221301</v>
      </c>
      <c r="AX3203" s="2">
        <v>2776.22375861915</v>
      </c>
    </row>
    <row r="3204" spans="1:50" x14ac:dyDescent="0.25">
      <c r="A3204" s="2" t="s">
        <v>21326</v>
      </c>
      <c r="B3204" s="2">
        <v>395.207937464314</v>
      </c>
      <c r="C3204" s="2">
        <v>8.4894499999999997</v>
      </c>
      <c r="D3204" s="2" t="s">
        <v>51</v>
      </c>
      <c r="E3204" s="2" t="s">
        <v>21327</v>
      </c>
      <c r="F3204" s="2">
        <v>61128</v>
      </c>
      <c r="G3204" s="3" t="str">
        <f>HYPERLINK("https://cloud.oebiotech.com/#/lm/network/61128", "https://cloud.oebiotech.com/#/lm/network/61128")</f>
        <v>https://cloud.oebiotech.com/#/lm/network/61128</v>
      </c>
      <c r="H3204" s="2" t="s">
        <v>21328</v>
      </c>
      <c r="I3204" s="2">
        <v>92440</v>
      </c>
      <c r="J3204" s="2"/>
      <c r="K3204" s="2">
        <v>131752211</v>
      </c>
      <c r="L3204" s="2"/>
      <c r="M3204" s="2"/>
      <c r="N3204" s="2"/>
      <c r="O3204" s="2"/>
      <c r="P3204" s="2"/>
      <c r="Q3204" s="2"/>
      <c r="R3204" s="2" t="s">
        <v>21329</v>
      </c>
      <c r="S3204" s="2" t="s">
        <v>21330</v>
      </c>
      <c r="T3204" s="2" t="s">
        <v>21331</v>
      </c>
      <c r="U3204" s="2" t="s">
        <v>266</v>
      </c>
      <c r="V3204" s="2" t="s">
        <v>2128</v>
      </c>
      <c r="W3204" s="2" t="s">
        <v>240</v>
      </c>
      <c r="X3204" s="2" t="s">
        <v>83</v>
      </c>
      <c r="Y3204" s="2">
        <v>53.1</v>
      </c>
      <c r="Z3204" s="2">
        <v>0</v>
      </c>
      <c r="AA3204" s="2" t="s">
        <v>218</v>
      </c>
      <c r="AB3204" s="2" t="s">
        <v>950</v>
      </c>
      <c r="AC3204" s="2">
        <v>1.1722543795887701</v>
      </c>
      <c r="AD3204" s="2"/>
      <c r="AE3204" s="2">
        <v>0.18263583409228801</v>
      </c>
      <c r="AF3204" s="2">
        <v>2004.56357384033</v>
      </c>
      <c r="AG3204" s="2">
        <v>913.24257659905902</v>
      </c>
      <c r="AH3204" s="5">
        <v>2.1949957494375498</v>
      </c>
      <c r="AI3204" s="5">
        <v>1.1342181460151699</v>
      </c>
      <c r="AJ3204" s="5" t="s">
        <v>139</v>
      </c>
      <c r="AK3204" s="2">
        <v>5.69738426692738E-2</v>
      </c>
      <c r="AL3204" s="2">
        <v>0.325203556477003</v>
      </c>
      <c r="AM3204" s="2">
        <v>1438.5506541980601</v>
      </c>
      <c r="AN3204" s="2">
        <v>3384.1122812551598</v>
      </c>
      <c r="AO3204" s="2">
        <v>2407.16838604639</v>
      </c>
      <c r="AP3204" s="2">
        <v>996.13828691229696</v>
      </c>
      <c r="AQ3204" s="2">
        <v>1501.44515868454</v>
      </c>
      <c r="AR3204" s="2">
        <v>2299.9666759455399</v>
      </c>
      <c r="AS3204" s="2">
        <v>2317.8105150287201</v>
      </c>
      <c r="AT3204" s="2">
        <v>8.559877937157E-6</v>
      </c>
      <c r="AU3204" s="2">
        <v>980.57478429592095</v>
      </c>
      <c r="AV3204" s="2">
        <v>225.05269572760699</v>
      </c>
      <c r="AW3204" s="2">
        <v>1563.8475618151899</v>
      </c>
      <c r="AX3204" s="2">
        <v>392.16989416703598</v>
      </c>
    </row>
    <row r="3205" spans="1:50" x14ac:dyDescent="0.25">
      <c r="A3205" s="2" t="s">
        <v>21332</v>
      </c>
      <c r="B3205" s="2">
        <v>317.11681374963803</v>
      </c>
      <c r="C3205" s="2">
        <v>6.9113499999999997</v>
      </c>
      <c r="D3205" s="2" t="s">
        <v>51</v>
      </c>
      <c r="E3205" s="2" t="s">
        <v>21333</v>
      </c>
      <c r="F3205" s="2">
        <v>35607</v>
      </c>
      <c r="G3205" s="3" t="str">
        <f>HYPERLINK("https://cloud.oebiotech.com/#/lm/network/35607", "https://cloud.oebiotech.com/#/lm/network/35607")</f>
        <v>https://cloud.oebiotech.com/#/lm/network/35607</v>
      </c>
      <c r="H3205" s="2"/>
      <c r="I3205" s="2">
        <v>53414</v>
      </c>
      <c r="J3205" s="2" t="s">
        <v>21334</v>
      </c>
      <c r="K3205" s="2">
        <v>42608142</v>
      </c>
      <c r="L3205" s="2"/>
      <c r="M3205" s="2"/>
      <c r="N3205" s="2"/>
      <c r="O3205" s="2"/>
      <c r="P3205" s="2"/>
      <c r="Q3205" s="2"/>
      <c r="R3205" s="2"/>
      <c r="S3205" s="2" t="s">
        <v>21335</v>
      </c>
      <c r="T3205" s="2" t="s">
        <v>21336</v>
      </c>
      <c r="U3205" s="2" t="s">
        <v>610</v>
      </c>
      <c r="V3205" s="2" t="s">
        <v>9501</v>
      </c>
      <c r="W3205" s="2" t="s">
        <v>240</v>
      </c>
      <c r="X3205" s="2" t="s">
        <v>83</v>
      </c>
      <c r="Y3205" s="2">
        <v>39.6</v>
      </c>
      <c r="Z3205" s="2">
        <v>0</v>
      </c>
      <c r="AA3205" s="2" t="s">
        <v>395</v>
      </c>
      <c r="AB3205" s="2" t="s">
        <v>16354</v>
      </c>
      <c r="AC3205" s="2">
        <v>6.6384103814246096</v>
      </c>
      <c r="AD3205" s="2"/>
      <c r="AE3205" s="2">
        <v>0.182282582296664</v>
      </c>
      <c r="AF3205" s="2">
        <v>1689.71074264259</v>
      </c>
      <c r="AG3205" s="2">
        <v>3030.9095427055599</v>
      </c>
      <c r="AH3205" s="4">
        <v>0.55749296336117704</v>
      </c>
      <c r="AI3205" s="4">
        <v>-0.84297449933962298</v>
      </c>
      <c r="AJ3205" s="4" t="s">
        <v>62</v>
      </c>
      <c r="AK3205" s="2">
        <v>0.16895884718013299</v>
      </c>
      <c r="AL3205" s="2">
        <v>0.49098458663462602</v>
      </c>
      <c r="AM3205" s="2">
        <v>1471.5323952414301</v>
      </c>
      <c r="AN3205" s="2">
        <v>1267.07603481879</v>
      </c>
      <c r="AO3205" s="2">
        <v>2829.3641121157002</v>
      </c>
      <c r="AP3205" s="2">
        <v>8.559877937157E-6</v>
      </c>
      <c r="AQ3205" s="2">
        <v>977.26012456598903</v>
      </c>
      <c r="AR3205" s="2">
        <v>3593.0317805537602</v>
      </c>
      <c r="AS3205" s="2">
        <v>1941.61718439271</v>
      </c>
      <c r="AT3205" s="2">
        <v>2115.6765491167498</v>
      </c>
      <c r="AU3205" s="2">
        <v>3218.61364249594</v>
      </c>
      <c r="AV3205" s="2">
        <v>5529.1664245885504</v>
      </c>
      <c r="AW3205" s="2">
        <v>4627.0234105338704</v>
      </c>
      <c r="AX3205" s="2">
        <v>753.36004510551197</v>
      </c>
    </row>
    <row r="3206" spans="1:50" x14ac:dyDescent="0.25">
      <c r="A3206" s="2" t="s">
        <v>21337</v>
      </c>
      <c r="B3206" s="2">
        <v>425.194558502973</v>
      </c>
      <c r="C3206" s="2">
        <v>10.246033333333299</v>
      </c>
      <c r="D3206" s="2" t="s">
        <v>51</v>
      </c>
      <c r="E3206" s="2" t="s">
        <v>21338</v>
      </c>
      <c r="F3206" s="2">
        <v>266479</v>
      </c>
      <c r="G3206" s="3" t="str">
        <f>HYPERLINK("https://cloud.oebiotech.com/#/lm/network/266479", "https://cloud.oebiotech.com/#/lm/network/266479")</f>
        <v>https://cloud.oebiotech.com/#/lm/network/266479</v>
      </c>
      <c r="H3206" s="2"/>
      <c r="I3206" s="2">
        <v>43304</v>
      </c>
      <c r="J3206" s="2"/>
      <c r="K3206" s="2">
        <v>4756</v>
      </c>
      <c r="L3206" s="2" t="s">
        <v>21339</v>
      </c>
      <c r="M3206" s="2"/>
      <c r="N3206" s="2"/>
      <c r="O3206" s="2"/>
      <c r="P3206" s="2"/>
      <c r="Q3206" s="2"/>
      <c r="R3206" s="2"/>
      <c r="S3206" s="2" t="s">
        <v>21340</v>
      </c>
      <c r="T3206" s="2" t="s">
        <v>21341</v>
      </c>
      <c r="U3206" s="2" t="s">
        <v>266</v>
      </c>
      <c r="V3206" s="2" t="s">
        <v>2143</v>
      </c>
      <c r="W3206" s="2" t="s">
        <v>16388</v>
      </c>
      <c r="X3206" s="2" t="s">
        <v>147</v>
      </c>
      <c r="Y3206" s="2">
        <v>39</v>
      </c>
      <c r="Z3206" s="2">
        <v>0</v>
      </c>
      <c r="AA3206" s="2" t="s">
        <v>478</v>
      </c>
      <c r="AB3206" s="2" t="s">
        <v>21342</v>
      </c>
      <c r="AC3206" s="2">
        <v>-2.4772674941609498</v>
      </c>
      <c r="AD3206" s="2"/>
      <c r="AE3206" s="2">
        <v>0.18218562966322799</v>
      </c>
      <c r="AF3206" s="2">
        <v>1764.89818573247</v>
      </c>
      <c r="AG3206" s="2">
        <v>876.51215391333596</v>
      </c>
      <c r="AH3206" s="5">
        <v>2.01354673503702</v>
      </c>
      <c r="AI3206" s="5">
        <v>1.00973895806647</v>
      </c>
      <c r="AJ3206" s="5" t="s">
        <v>139</v>
      </c>
      <c r="AK3206" s="2">
        <v>0.185898632156062</v>
      </c>
      <c r="AL3206" s="2">
        <v>0.51040020334889302</v>
      </c>
      <c r="AM3206" s="2">
        <v>4806.4254502210997</v>
      </c>
      <c r="AN3206" s="2">
        <v>1153.1566683252299</v>
      </c>
      <c r="AO3206" s="2">
        <v>1071.4264268392401</v>
      </c>
      <c r="AP3206" s="2">
        <v>1255.0866267886099</v>
      </c>
      <c r="AQ3206" s="2">
        <v>808.73986366017596</v>
      </c>
      <c r="AR3206" s="2">
        <v>1494.5540785604401</v>
      </c>
      <c r="AS3206" s="2">
        <v>1004.67906665417</v>
      </c>
      <c r="AT3206" s="2">
        <v>577.84672885411999</v>
      </c>
      <c r="AU3206" s="2">
        <v>1094.9795714552599</v>
      </c>
      <c r="AV3206" s="2">
        <v>763.97021778839496</v>
      </c>
      <c r="AW3206" s="2">
        <v>582.08413589162103</v>
      </c>
      <c r="AX3206" s="2">
        <v>1235.5132028364501</v>
      </c>
    </row>
    <row r="3207" spans="1:50" x14ac:dyDescent="0.25">
      <c r="A3207" s="2" t="s">
        <v>21343</v>
      </c>
      <c r="B3207" s="2">
        <v>372.201589971857</v>
      </c>
      <c r="C3207" s="2">
        <v>4.2797999999999998</v>
      </c>
      <c r="D3207" s="2" t="s">
        <v>51</v>
      </c>
      <c r="E3207" s="2" t="s">
        <v>21344</v>
      </c>
      <c r="F3207" s="2">
        <v>207707</v>
      </c>
      <c r="G3207" s="3" t="str">
        <f>HYPERLINK("https://cloud.oebiotech.com/#/lm/network/207707", "https://cloud.oebiotech.com/#/lm/network/207707")</f>
        <v>https://cloud.oebiotech.com/#/lm/network/207707</v>
      </c>
      <c r="H3207" s="2" t="s">
        <v>21345</v>
      </c>
      <c r="I3207" s="2"/>
      <c r="J3207" s="2"/>
      <c r="K3207" s="2"/>
      <c r="L3207" s="2"/>
      <c r="M3207" s="2"/>
      <c r="N3207" s="2"/>
      <c r="O3207" s="2">
        <v>131751</v>
      </c>
      <c r="P3207" s="2"/>
      <c r="Q3207" s="2"/>
      <c r="R3207" s="2"/>
      <c r="S3207" s="2" t="s">
        <v>21346</v>
      </c>
      <c r="T3207" s="2" t="s">
        <v>21347</v>
      </c>
      <c r="U3207" s="2" t="s">
        <v>266</v>
      </c>
      <c r="V3207" s="2" t="s">
        <v>1785</v>
      </c>
      <c r="W3207" s="2" t="s">
        <v>1786</v>
      </c>
      <c r="X3207" s="2" t="s">
        <v>147</v>
      </c>
      <c r="Y3207" s="2">
        <v>42</v>
      </c>
      <c r="Z3207" s="2">
        <v>29.9</v>
      </c>
      <c r="AA3207" s="2" t="s">
        <v>512</v>
      </c>
      <c r="AB3207" s="2" t="s">
        <v>21348</v>
      </c>
      <c r="AC3207" s="2">
        <v>-4.0267239518158098</v>
      </c>
      <c r="AD3207" s="2"/>
      <c r="AE3207" s="2">
        <v>0.18217699948543201</v>
      </c>
      <c r="AF3207" s="2">
        <v>3469.7745646339099</v>
      </c>
      <c r="AG3207" s="2">
        <v>1880.1158962211</v>
      </c>
      <c r="AH3207" s="5">
        <v>1.8455109983421301</v>
      </c>
      <c r="AI3207" s="5">
        <v>0.88402033536535496</v>
      </c>
      <c r="AJ3207" s="5" t="s">
        <v>139</v>
      </c>
      <c r="AK3207" s="2">
        <v>0.169021065053473</v>
      </c>
      <c r="AL3207" s="2">
        <v>0.49098458663462602</v>
      </c>
      <c r="AM3207" s="2">
        <v>3520.0967295345299</v>
      </c>
      <c r="AN3207" s="2">
        <v>1644.8331096874999</v>
      </c>
      <c r="AO3207" s="2">
        <v>6640.0495470733104</v>
      </c>
      <c r="AP3207" s="2">
        <v>2870.9675937594302</v>
      </c>
      <c r="AQ3207" s="2">
        <v>967.09141065604797</v>
      </c>
      <c r="AR3207" s="2">
        <v>5175.6089970926596</v>
      </c>
      <c r="AS3207" s="2">
        <v>242.463812256311</v>
      </c>
      <c r="AT3207" s="2">
        <v>194.562691488577</v>
      </c>
      <c r="AU3207" s="2">
        <v>1523.9960784780101</v>
      </c>
      <c r="AV3207" s="2">
        <v>3804.4897643320101</v>
      </c>
      <c r="AW3207" s="2">
        <v>2172.2133062072098</v>
      </c>
      <c r="AX3207" s="2">
        <v>3342.9697245644702</v>
      </c>
    </row>
    <row r="3208" spans="1:50" x14ac:dyDescent="0.25">
      <c r="A3208" s="2" t="s">
        <v>21349</v>
      </c>
      <c r="B3208" s="2">
        <v>532.386593752777</v>
      </c>
      <c r="C3208" s="2">
        <v>10.926</v>
      </c>
      <c r="D3208" s="2" t="s">
        <v>51</v>
      </c>
      <c r="E3208" s="2" t="s">
        <v>21350</v>
      </c>
      <c r="F3208" s="2">
        <v>8808</v>
      </c>
      <c r="G3208" s="3" t="str">
        <f>HYPERLINK("https://cloud.oebiotech.com/#/lm/network/8808", "https://cloud.oebiotech.com/#/lm/network/8808")</f>
        <v>https://cloud.oebiotech.com/#/lm/network/8808</v>
      </c>
      <c r="H3208" s="2"/>
      <c r="I3208" s="2"/>
      <c r="J3208" s="2" t="s">
        <v>21351</v>
      </c>
      <c r="K3208" s="2">
        <v>145453486</v>
      </c>
      <c r="L3208" s="2"/>
      <c r="M3208" s="2"/>
      <c r="N3208" s="2"/>
      <c r="O3208" s="2"/>
      <c r="P3208" s="2"/>
      <c r="Q3208" s="2"/>
      <c r="R3208" s="2"/>
      <c r="S3208" s="2" t="s">
        <v>21352</v>
      </c>
      <c r="T3208" s="2" t="s">
        <v>21353</v>
      </c>
      <c r="U3208" s="2" t="s">
        <v>56</v>
      </c>
      <c r="V3208" s="2" t="s">
        <v>145</v>
      </c>
      <c r="W3208" s="2" t="s">
        <v>1617</v>
      </c>
      <c r="X3208" s="2" t="s">
        <v>147</v>
      </c>
      <c r="Y3208" s="2">
        <v>37.299999999999997</v>
      </c>
      <c r="Z3208" s="2">
        <v>0</v>
      </c>
      <c r="AA3208" s="2" t="s">
        <v>395</v>
      </c>
      <c r="AB3208" s="2" t="s">
        <v>21354</v>
      </c>
      <c r="AC3208" s="2">
        <v>-1.8381017607322101</v>
      </c>
      <c r="AD3208" s="2"/>
      <c r="AE3208" s="2">
        <v>0.18213276625097</v>
      </c>
      <c r="AF3208" s="2">
        <v>5399.6499721518403</v>
      </c>
      <c r="AG3208" s="2">
        <v>4097.9955740641699</v>
      </c>
      <c r="AH3208" s="5">
        <v>1.31763196776632</v>
      </c>
      <c r="AI3208" s="5">
        <v>0.39794746258921998</v>
      </c>
      <c r="AJ3208" s="5" t="s">
        <v>139</v>
      </c>
      <c r="AK3208" s="2">
        <v>8.4542835950441597E-2</v>
      </c>
      <c r="AL3208" s="2">
        <v>0.37683388396156398</v>
      </c>
      <c r="AM3208" s="2">
        <v>6058.7288101310096</v>
      </c>
      <c r="AN3208" s="2">
        <v>5102.4289170409502</v>
      </c>
      <c r="AO3208" s="2">
        <v>4536.1212912151304</v>
      </c>
      <c r="AP3208" s="2">
        <v>5895.0018872356104</v>
      </c>
      <c r="AQ3208" s="2">
        <v>5388.8074039993799</v>
      </c>
      <c r="AR3208" s="2">
        <v>5416.8115232889804</v>
      </c>
      <c r="AS3208" s="2">
        <v>6423.4526046773699</v>
      </c>
      <c r="AT3208" s="2">
        <v>3529.8210337867899</v>
      </c>
      <c r="AU3208" s="2">
        <v>3284.9209943389801</v>
      </c>
      <c r="AV3208" s="2">
        <v>2391.1516047688301</v>
      </c>
      <c r="AW3208" s="2">
        <v>3305.7712534000002</v>
      </c>
      <c r="AX3208" s="2">
        <v>5652.85595341306</v>
      </c>
    </row>
    <row r="3209" spans="1:50" x14ac:dyDescent="0.25">
      <c r="A3209" s="2" t="s">
        <v>21355</v>
      </c>
      <c r="B3209" s="2">
        <v>217.12</v>
      </c>
      <c r="C3209" s="2">
        <v>17.463999999999999</v>
      </c>
      <c r="D3209" s="2" t="s">
        <v>125</v>
      </c>
      <c r="E3209" s="2" t="s">
        <v>21356</v>
      </c>
      <c r="F3209" s="2">
        <v>47307</v>
      </c>
      <c r="G3209" s="3" t="str">
        <f>HYPERLINK("https://cloud.oebiotech.com/#/lm/network/47307", "https://cloud.oebiotech.com/#/lm/network/47307")</f>
        <v>https://cloud.oebiotech.com/#/lm/network/47307</v>
      </c>
      <c r="H3209" s="2" t="s">
        <v>21357</v>
      </c>
      <c r="I3209" s="2">
        <v>5884</v>
      </c>
      <c r="J3209" s="2"/>
      <c r="K3209" s="2">
        <v>17473</v>
      </c>
      <c r="L3209" s="2" t="s">
        <v>21358</v>
      </c>
      <c r="M3209" s="2" t="s">
        <v>15195</v>
      </c>
      <c r="N3209" s="2" t="s">
        <v>15196</v>
      </c>
      <c r="O3209" s="2">
        <v>17200</v>
      </c>
      <c r="P3209" s="2"/>
      <c r="Q3209" s="2"/>
      <c r="R3209" s="2" t="s">
        <v>21359</v>
      </c>
      <c r="S3209" s="2" t="s">
        <v>21360</v>
      </c>
      <c r="T3209" s="2" t="s">
        <v>21361</v>
      </c>
      <c r="U3209" s="2" t="s">
        <v>295</v>
      </c>
      <c r="V3209" s="2" t="s">
        <v>296</v>
      </c>
      <c r="W3209" s="2" t="s">
        <v>297</v>
      </c>
      <c r="X3209" s="2" t="s">
        <v>83</v>
      </c>
      <c r="Y3209" s="2">
        <v>84.6</v>
      </c>
      <c r="Z3209" s="2">
        <v>78.099999999999994</v>
      </c>
      <c r="AA3209" s="2"/>
      <c r="AB3209" s="2" t="s">
        <v>299</v>
      </c>
      <c r="AC3209" s="2"/>
      <c r="AD3209" s="2">
        <v>586571.36907057499</v>
      </c>
      <c r="AE3209" s="2">
        <v>0.18212248952211399</v>
      </c>
      <c r="AF3209" s="2">
        <v>4530.6956763724602</v>
      </c>
      <c r="AG3209" s="2">
        <v>15450.1837951385</v>
      </c>
      <c r="AH3209" s="4">
        <v>0.29324542260772701</v>
      </c>
      <c r="AI3209" s="4">
        <v>-1.7698195060970801</v>
      </c>
      <c r="AJ3209" s="4" t="s">
        <v>62</v>
      </c>
      <c r="AK3209" s="2">
        <v>4.6465906702535198E-2</v>
      </c>
      <c r="AL3209" s="2">
        <v>0.303077969035141</v>
      </c>
      <c r="AM3209" s="2">
        <v>2299.8352172700202</v>
      </c>
      <c r="AN3209" s="2">
        <v>5255.0032484005897</v>
      </c>
      <c r="AO3209" s="2">
        <v>5770.0927652610098</v>
      </c>
      <c r="AP3209" s="2">
        <v>5678.5895588823196</v>
      </c>
      <c r="AQ3209" s="2">
        <v>2299.8352172700202</v>
      </c>
      <c r="AR3209" s="2">
        <v>5880.8180511507799</v>
      </c>
      <c r="AS3209" s="2">
        <v>24869.9206921189</v>
      </c>
      <c r="AT3209" s="2">
        <v>25516.748167121299</v>
      </c>
      <c r="AU3209" s="2">
        <v>6060.3062195665798</v>
      </c>
      <c r="AV3209" s="2">
        <v>6432.3028893465998</v>
      </c>
      <c r="AW3209" s="2">
        <v>27521.989585407799</v>
      </c>
      <c r="AX3209" s="2">
        <v>2299.8352172700202</v>
      </c>
    </row>
    <row r="3210" spans="1:50" x14ac:dyDescent="0.25">
      <c r="A3210" s="2" t="s">
        <v>21362</v>
      </c>
      <c r="B3210" s="2">
        <v>383.328231931414</v>
      </c>
      <c r="C3210" s="2">
        <v>10.1415333333333</v>
      </c>
      <c r="D3210" s="2" t="s">
        <v>51</v>
      </c>
      <c r="E3210" s="2" t="s">
        <v>21363</v>
      </c>
      <c r="F3210" s="2">
        <v>198447</v>
      </c>
      <c r="G3210" s="3" t="str">
        <f>HYPERLINK("https://cloud.oebiotech.com/#/lm/network/198447", "https://cloud.oebiotech.com/#/lm/network/198447")</f>
        <v>https://cloud.oebiotech.com/#/lm/network/198447</v>
      </c>
      <c r="H3210" s="2" t="s">
        <v>21364</v>
      </c>
      <c r="I3210" s="2"/>
      <c r="J3210" s="2"/>
      <c r="K3210" s="2">
        <v>9821462</v>
      </c>
      <c r="L3210" s="2"/>
      <c r="M3210" s="2"/>
      <c r="N3210" s="2"/>
      <c r="O3210" s="2"/>
      <c r="P3210" s="2"/>
      <c r="Q3210" s="2"/>
      <c r="R3210" s="2"/>
      <c r="S3210" s="2" t="s">
        <v>21365</v>
      </c>
      <c r="T3210" s="2" t="s">
        <v>21366</v>
      </c>
      <c r="U3210" s="2" t="s">
        <v>103</v>
      </c>
      <c r="V3210" s="2" t="s">
        <v>104</v>
      </c>
      <c r="W3210" s="2" t="s">
        <v>105</v>
      </c>
      <c r="X3210" s="2" t="s">
        <v>83</v>
      </c>
      <c r="Y3210" s="2">
        <v>43.1</v>
      </c>
      <c r="Z3210" s="2">
        <v>0</v>
      </c>
      <c r="AA3210" s="2" t="s">
        <v>163</v>
      </c>
      <c r="AB3210" s="2" t="s">
        <v>21367</v>
      </c>
      <c r="AC3210" s="2">
        <v>0.81981577388414595</v>
      </c>
      <c r="AD3210" s="2"/>
      <c r="AE3210" s="2">
        <v>0.182025718795986</v>
      </c>
      <c r="AF3210" s="2">
        <v>195.15511152207</v>
      </c>
      <c r="AG3210" s="2">
        <v>1641.9542783739701</v>
      </c>
      <c r="AH3210" s="4">
        <v>0.118855387200753</v>
      </c>
      <c r="AI3210" s="4">
        <v>-3.0727207989972598</v>
      </c>
      <c r="AJ3210" s="4" t="s">
        <v>62</v>
      </c>
      <c r="AK3210" s="2">
        <v>0.131660198432102</v>
      </c>
      <c r="AL3210" s="2">
        <v>0.45156938075759101</v>
      </c>
      <c r="AM3210" s="2">
        <v>8.559877937157E-6</v>
      </c>
      <c r="AN3210" s="2">
        <v>206.818374748867</v>
      </c>
      <c r="AO3210" s="2">
        <v>8.559877937157E-6</v>
      </c>
      <c r="AP3210" s="2">
        <v>8.559877937157E-6</v>
      </c>
      <c r="AQ3210" s="2">
        <v>779.89711120175002</v>
      </c>
      <c r="AR3210" s="2">
        <v>184.215157502171</v>
      </c>
      <c r="AS3210" s="2">
        <v>8.559877937157E-6</v>
      </c>
      <c r="AT3210" s="2">
        <v>8.559877937157E-6</v>
      </c>
      <c r="AU3210" s="2">
        <v>5224.8774240412604</v>
      </c>
      <c r="AV3210" s="2">
        <v>1000.59304724305</v>
      </c>
      <c r="AW3210" s="2">
        <v>3251.9867961480099</v>
      </c>
      <c r="AX3210" s="2">
        <v>374.26838569172799</v>
      </c>
    </row>
    <row r="3211" spans="1:50" x14ac:dyDescent="0.25">
      <c r="A3211" s="2" t="s">
        <v>21368</v>
      </c>
      <c r="B3211" s="2">
        <v>665.49687133952705</v>
      </c>
      <c r="C3211" s="2">
        <v>14.20445</v>
      </c>
      <c r="D3211" s="2" t="s">
        <v>51</v>
      </c>
      <c r="E3211" s="2" t="s">
        <v>21369</v>
      </c>
      <c r="F3211" s="2">
        <v>252298</v>
      </c>
      <c r="G3211" s="3" t="str">
        <f>HYPERLINK("https://cloud.oebiotech.com/#/lm/network/252298", "https://cloud.oebiotech.com/#/lm/network/252298")</f>
        <v>https://cloud.oebiotech.com/#/lm/network/252298</v>
      </c>
      <c r="H3211" s="2" t="s">
        <v>21370</v>
      </c>
      <c r="I3211" s="2"/>
      <c r="J3211" s="2"/>
      <c r="K3211" s="2"/>
      <c r="L3211" s="2"/>
      <c r="M3211" s="2"/>
      <c r="N3211" s="2"/>
      <c r="O3211" s="2"/>
      <c r="P3211" s="2"/>
      <c r="Q3211" s="2"/>
      <c r="R3211" s="2"/>
      <c r="S3211" s="2" t="s">
        <v>21371</v>
      </c>
      <c r="T3211" s="2" t="s">
        <v>21372</v>
      </c>
      <c r="U3211" s="2" t="s">
        <v>56</v>
      </c>
      <c r="V3211" s="2" t="s">
        <v>145</v>
      </c>
      <c r="W3211" s="2" t="s">
        <v>187</v>
      </c>
      <c r="X3211" s="2" t="s">
        <v>147</v>
      </c>
      <c r="Y3211" s="2">
        <v>39.5</v>
      </c>
      <c r="Z3211" s="2">
        <v>12.8</v>
      </c>
      <c r="AA3211" s="2" t="s">
        <v>156</v>
      </c>
      <c r="AB3211" s="2" t="s">
        <v>21373</v>
      </c>
      <c r="AC3211" s="2">
        <v>-2.6728587695392401</v>
      </c>
      <c r="AD3211" s="2"/>
      <c r="AE3211" s="2">
        <v>0.182019146026209</v>
      </c>
      <c r="AF3211" s="2">
        <v>44163.943790376703</v>
      </c>
      <c r="AG3211" s="2">
        <v>46465.456895634001</v>
      </c>
      <c r="AH3211" s="4">
        <v>0.950468299269568</v>
      </c>
      <c r="AI3211" s="4">
        <v>-7.3289585056421094E-2</v>
      </c>
      <c r="AJ3211" s="4" t="s">
        <v>62</v>
      </c>
      <c r="AK3211" s="2">
        <v>0.90200960909874495</v>
      </c>
      <c r="AL3211" s="2">
        <v>0.95948789763074704</v>
      </c>
      <c r="AM3211" s="2">
        <v>99251.275574949104</v>
      </c>
      <c r="AN3211" s="2">
        <v>52540.068957408897</v>
      </c>
      <c r="AO3211" s="2">
        <v>26332.728942872898</v>
      </c>
      <c r="AP3211" s="2">
        <v>45380.0583088645</v>
      </c>
      <c r="AQ3211" s="2">
        <v>19097.9974167808</v>
      </c>
      <c r="AR3211" s="2">
        <v>22381.5335413838</v>
      </c>
      <c r="AS3211" s="2">
        <v>5393.62322901675</v>
      </c>
      <c r="AT3211" s="2">
        <v>37238.610636518402</v>
      </c>
      <c r="AU3211" s="2">
        <v>105181.62009866499</v>
      </c>
      <c r="AV3211" s="2">
        <v>32286.8519340038</v>
      </c>
      <c r="AW3211" s="2">
        <v>49543.727444019503</v>
      </c>
      <c r="AX3211" s="2">
        <v>49148.308031580404</v>
      </c>
    </row>
    <row r="3212" spans="1:50" x14ac:dyDescent="0.25">
      <c r="A3212" s="2" t="s">
        <v>21374</v>
      </c>
      <c r="B3212" s="2">
        <v>215.091987788827</v>
      </c>
      <c r="C3212" s="2">
        <v>4.9830666666666703</v>
      </c>
      <c r="D3212" s="2" t="s">
        <v>51</v>
      </c>
      <c r="E3212" s="2" t="s">
        <v>21375</v>
      </c>
      <c r="F3212" s="2">
        <v>254899</v>
      </c>
      <c r="G3212" s="3" t="str">
        <f>HYPERLINK("https://cloud.oebiotech.com/#/lm/network/254899", "https://cloud.oebiotech.com/#/lm/network/254899")</f>
        <v>https://cloud.oebiotech.com/#/lm/network/254899</v>
      </c>
      <c r="H3212" s="2" t="s">
        <v>21376</v>
      </c>
      <c r="I3212" s="2"/>
      <c r="J3212" s="2"/>
      <c r="K3212" s="2"/>
      <c r="L3212" s="2"/>
      <c r="M3212" s="2"/>
      <c r="N3212" s="2"/>
      <c r="O3212" s="2"/>
      <c r="P3212" s="2"/>
      <c r="Q3212" s="2"/>
      <c r="R3212" s="2"/>
      <c r="S3212" s="2" t="s">
        <v>21377</v>
      </c>
      <c r="T3212" s="2" t="s">
        <v>21378</v>
      </c>
      <c r="U3212" s="2" t="s">
        <v>56</v>
      </c>
      <c r="V3212" s="2" t="s">
        <v>145</v>
      </c>
      <c r="W3212" s="2" t="s">
        <v>231</v>
      </c>
      <c r="X3212" s="2" t="s">
        <v>83</v>
      </c>
      <c r="Y3212" s="2">
        <v>47.2</v>
      </c>
      <c r="Z3212" s="2">
        <v>33.200000000000003</v>
      </c>
      <c r="AA3212" s="2" t="s">
        <v>163</v>
      </c>
      <c r="AB3212" s="2" t="s">
        <v>21379</v>
      </c>
      <c r="AC3212" s="2">
        <v>-2.35719864217325</v>
      </c>
      <c r="AD3212" s="2"/>
      <c r="AE3212" s="2">
        <v>0.181935759171274</v>
      </c>
      <c r="AF3212" s="2">
        <v>1209.57037634261</v>
      </c>
      <c r="AG3212" s="2">
        <v>549.95114867744303</v>
      </c>
      <c r="AH3212" s="5">
        <v>2.1994142193383102</v>
      </c>
      <c r="AI3212" s="5">
        <v>1.1371193349381901</v>
      </c>
      <c r="AJ3212" s="5" t="s">
        <v>139</v>
      </c>
      <c r="AK3212" s="2">
        <v>1.35309744233178E-2</v>
      </c>
      <c r="AL3212" s="2">
        <v>0.18425090631017799</v>
      </c>
      <c r="AM3212" s="2">
        <v>1689.4631303236099</v>
      </c>
      <c r="AN3212" s="2">
        <v>1832.1540831372299</v>
      </c>
      <c r="AO3212" s="2">
        <v>1087.86699009126</v>
      </c>
      <c r="AP3212" s="2">
        <v>509.63923702968498</v>
      </c>
      <c r="AQ3212" s="2">
        <v>1136.7304146947799</v>
      </c>
      <c r="AR3212" s="2">
        <v>1001.56840277908</v>
      </c>
      <c r="AS3212" s="2">
        <v>523.83321253274801</v>
      </c>
      <c r="AT3212" s="2">
        <v>306.00982807354501</v>
      </c>
      <c r="AU3212" s="2">
        <v>797.47607916936101</v>
      </c>
      <c r="AV3212" s="2">
        <v>281.62915132303198</v>
      </c>
      <c r="AW3212" s="2">
        <v>535.22670231113796</v>
      </c>
      <c r="AX3212" s="2">
        <v>855.53191865483404</v>
      </c>
    </row>
    <row r="3213" spans="1:50" x14ac:dyDescent="0.25">
      <c r="A3213" s="2" t="s">
        <v>21380</v>
      </c>
      <c r="B3213" s="2">
        <v>529.42420564559404</v>
      </c>
      <c r="C3213" s="2">
        <v>12.4242833333333</v>
      </c>
      <c r="D3213" s="2" t="s">
        <v>51</v>
      </c>
      <c r="E3213" s="2" t="s">
        <v>21381</v>
      </c>
      <c r="F3213" s="2">
        <v>202833</v>
      </c>
      <c r="G3213" s="3" t="str">
        <f>HYPERLINK("https://cloud.oebiotech.com/#/lm/network/202833", "https://cloud.oebiotech.com/#/lm/network/202833")</f>
        <v>https://cloud.oebiotech.com/#/lm/network/202833</v>
      </c>
      <c r="H3213" s="2" t="s">
        <v>21382</v>
      </c>
      <c r="I3213" s="2"/>
      <c r="J3213" s="2"/>
      <c r="K3213" s="2">
        <v>7026</v>
      </c>
      <c r="L3213" s="2"/>
      <c r="M3213" s="2"/>
      <c r="N3213" s="2"/>
      <c r="O3213" s="2"/>
      <c r="P3213" s="2"/>
      <c r="Q3213" s="2"/>
      <c r="R3213" s="2"/>
      <c r="S3213" s="2" t="s">
        <v>21383</v>
      </c>
      <c r="T3213" s="2" t="s">
        <v>21384</v>
      </c>
      <c r="U3213" s="2" t="s">
        <v>610</v>
      </c>
      <c r="V3213" s="2" t="s">
        <v>611</v>
      </c>
      <c r="W3213" s="2" t="s">
        <v>21385</v>
      </c>
      <c r="X3213" s="2" t="s">
        <v>147</v>
      </c>
      <c r="Y3213" s="2">
        <v>37.6</v>
      </c>
      <c r="Z3213" s="2">
        <v>0</v>
      </c>
      <c r="AA3213" s="2" t="s">
        <v>478</v>
      </c>
      <c r="AB3213" s="2" t="s">
        <v>21386</v>
      </c>
      <c r="AC3213" s="2">
        <v>1.2387626501843101</v>
      </c>
      <c r="AD3213" s="2"/>
      <c r="AE3213" s="2">
        <v>0.18185793334769601</v>
      </c>
      <c r="AF3213" s="2">
        <v>4158.61155233096</v>
      </c>
      <c r="AG3213" s="2">
        <v>7532.2732712788702</v>
      </c>
      <c r="AH3213" s="4">
        <v>0.552105772395176</v>
      </c>
      <c r="AI3213" s="4">
        <v>-0.85698340996406797</v>
      </c>
      <c r="AJ3213" s="4" t="s">
        <v>62</v>
      </c>
      <c r="AK3213" s="2">
        <v>0.43338057342694503</v>
      </c>
      <c r="AL3213" s="2">
        <v>0.69097008915867497</v>
      </c>
      <c r="AM3213" s="2">
        <v>3090.9221368405201</v>
      </c>
      <c r="AN3213" s="2">
        <v>1083.1532774085399</v>
      </c>
      <c r="AO3213" s="2">
        <v>6009.5626450718401</v>
      </c>
      <c r="AP3213" s="2">
        <v>1230.6664846608201</v>
      </c>
      <c r="AQ3213" s="2">
        <v>9578.7866323824692</v>
      </c>
      <c r="AR3213" s="2">
        <v>3958.57813762157</v>
      </c>
      <c r="AS3213" s="2">
        <v>4347.6192973516299</v>
      </c>
      <c r="AT3213" s="2">
        <v>280.13878995197899</v>
      </c>
      <c r="AU3213" s="2">
        <v>26553.8227925766</v>
      </c>
      <c r="AV3213" s="2">
        <v>5496.1867893291201</v>
      </c>
      <c r="AW3213" s="2">
        <v>6532.3036728751404</v>
      </c>
      <c r="AX3213" s="2">
        <v>1983.5682855887601</v>
      </c>
    </row>
    <row r="3214" spans="1:50" x14ac:dyDescent="0.25">
      <c r="A3214" s="2" t="s">
        <v>21387</v>
      </c>
      <c r="B3214" s="2">
        <v>804.36357662671696</v>
      </c>
      <c r="C3214" s="2">
        <v>4.8329666666666702</v>
      </c>
      <c r="D3214" s="2" t="s">
        <v>51</v>
      </c>
      <c r="E3214" s="2" t="s">
        <v>21388</v>
      </c>
      <c r="F3214" s="2">
        <v>204205</v>
      </c>
      <c r="G3214" s="3" t="str">
        <f>HYPERLINK("https://cloud.oebiotech.com/#/lm/network/204205", "https://cloud.oebiotech.com/#/lm/network/204205")</f>
        <v>https://cloud.oebiotech.com/#/lm/network/204205</v>
      </c>
      <c r="H3214" s="2" t="s">
        <v>21389</v>
      </c>
      <c r="I3214" s="2">
        <v>330512</v>
      </c>
      <c r="J3214" s="2"/>
      <c r="K3214" s="2">
        <v>3085227</v>
      </c>
      <c r="L3214" s="2"/>
      <c r="M3214" s="2"/>
      <c r="N3214" s="2"/>
      <c r="O3214" s="2"/>
      <c r="P3214" s="2"/>
      <c r="Q3214" s="2"/>
      <c r="R3214" s="2"/>
      <c r="S3214" s="2" t="s">
        <v>21390</v>
      </c>
      <c r="T3214" s="2" t="s">
        <v>21391</v>
      </c>
      <c r="U3214" s="2" t="s">
        <v>610</v>
      </c>
      <c r="V3214" s="2" t="s">
        <v>611</v>
      </c>
      <c r="W3214" s="2" t="s">
        <v>2327</v>
      </c>
      <c r="X3214" s="2" t="s">
        <v>147</v>
      </c>
      <c r="Y3214" s="2">
        <v>37</v>
      </c>
      <c r="Z3214" s="2">
        <v>0</v>
      </c>
      <c r="AA3214" s="2" t="s">
        <v>395</v>
      </c>
      <c r="AB3214" s="2" t="s">
        <v>21392</v>
      </c>
      <c r="AC3214" s="2">
        <v>1.96343626375616</v>
      </c>
      <c r="AD3214" s="2"/>
      <c r="AE3214" s="2">
        <v>0.181392428445597</v>
      </c>
      <c r="AF3214" s="2">
        <v>14563.5301514971</v>
      </c>
      <c r="AG3214" s="2">
        <v>17245.9657248435</v>
      </c>
      <c r="AH3214" s="4">
        <v>0.84446011222889605</v>
      </c>
      <c r="AI3214" s="4">
        <v>-0.24389881543515099</v>
      </c>
      <c r="AJ3214" s="4" t="s">
        <v>62</v>
      </c>
      <c r="AK3214" s="2">
        <v>0.76318421357166299</v>
      </c>
      <c r="AL3214" s="2">
        <v>0.89228528475284796</v>
      </c>
      <c r="AM3214" s="2">
        <v>14175.351154415201</v>
      </c>
      <c r="AN3214" s="2">
        <v>8723.6534778674504</v>
      </c>
      <c r="AO3214" s="2">
        <v>21872.8546687159</v>
      </c>
      <c r="AP3214" s="2">
        <v>14085.272091385301</v>
      </c>
      <c r="AQ3214" s="2">
        <v>19119.156890968501</v>
      </c>
      <c r="AR3214" s="2">
        <v>9404.8926256300401</v>
      </c>
      <c r="AS3214" s="2">
        <v>1138.50930205651</v>
      </c>
      <c r="AT3214" s="2">
        <v>5502.2755802532101</v>
      </c>
      <c r="AU3214" s="2">
        <v>4750.0955105425801</v>
      </c>
      <c r="AV3214" s="2">
        <v>39592.8446687045</v>
      </c>
      <c r="AW3214" s="2">
        <v>5019.0644947506598</v>
      </c>
      <c r="AX3214" s="2">
        <v>47473.004792753803</v>
      </c>
    </row>
    <row r="3215" spans="1:50" x14ac:dyDescent="0.25">
      <c r="A3215" s="2" t="s">
        <v>21393</v>
      </c>
      <c r="B3215" s="2">
        <v>363.19933173937198</v>
      </c>
      <c r="C3215" s="2">
        <v>13.710283333333299</v>
      </c>
      <c r="D3215" s="2" t="s">
        <v>51</v>
      </c>
      <c r="E3215" s="2" t="s">
        <v>21394</v>
      </c>
      <c r="F3215" s="2">
        <v>200311</v>
      </c>
      <c r="G3215" s="3" t="str">
        <f>HYPERLINK("https://cloud.oebiotech.com/#/lm/network/200311", "https://cloud.oebiotech.com/#/lm/network/200311")</f>
        <v>https://cloud.oebiotech.com/#/lm/network/200311</v>
      </c>
      <c r="H3215" s="2" t="s">
        <v>21395</v>
      </c>
      <c r="I3215" s="2"/>
      <c r="J3215" s="2"/>
      <c r="K3215" s="2">
        <v>204104</v>
      </c>
      <c r="L3215" s="2"/>
      <c r="M3215" s="2"/>
      <c r="N3215" s="2"/>
      <c r="O3215" s="2"/>
      <c r="P3215" s="2"/>
      <c r="Q3215" s="2"/>
      <c r="R3215" s="2"/>
      <c r="S3215" s="2" t="s">
        <v>21396</v>
      </c>
      <c r="T3215" s="2" t="s">
        <v>21397</v>
      </c>
      <c r="U3215" s="2" t="s">
        <v>266</v>
      </c>
      <c r="V3215" s="2" t="s">
        <v>4187</v>
      </c>
      <c r="W3215" s="2" t="s">
        <v>240</v>
      </c>
      <c r="X3215" s="2" t="s">
        <v>147</v>
      </c>
      <c r="Y3215" s="2">
        <v>40.5</v>
      </c>
      <c r="Z3215" s="2">
        <v>18.100000000000001</v>
      </c>
      <c r="AA3215" s="2" t="s">
        <v>259</v>
      </c>
      <c r="AB3215" s="2" t="s">
        <v>21398</v>
      </c>
      <c r="AC3215" s="2">
        <v>3.8110604643813901</v>
      </c>
      <c r="AD3215" s="2"/>
      <c r="AE3215" s="2">
        <v>0.181323797827042</v>
      </c>
      <c r="AF3215" s="2">
        <v>5135.2110436452103</v>
      </c>
      <c r="AG3215" s="2">
        <v>4208.2876604548701</v>
      </c>
      <c r="AH3215" s="5">
        <v>1.2202614122367601</v>
      </c>
      <c r="AI3215" s="5">
        <v>0.28719024429492102</v>
      </c>
      <c r="AJ3215" s="5" t="s">
        <v>139</v>
      </c>
      <c r="AK3215" s="2">
        <v>0.23562931162554601</v>
      </c>
      <c r="AL3215" s="2">
        <v>0.56083325745832202</v>
      </c>
      <c r="AM3215" s="2">
        <v>6839.4861164764197</v>
      </c>
      <c r="AN3215" s="2">
        <v>4934.0724868582301</v>
      </c>
      <c r="AO3215" s="2">
        <v>6102.2394665115198</v>
      </c>
      <c r="AP3215" s="2">
        <v>4085.8466600176498</v>
      </c>
      <c r="AQ3215" s="2">
        <v>4980.9633678269802</v>
      </c>
      <c r="AR3215" s="2">
        <v>3868.6581641804801</v>
      </c>
      <c r="AS3215" s="2">
        <v>1701.84853956442</v>
      </c>
      <c r="AT3215" s="2">
        <v>3793.66654450135</v>
      </c>
      <c r="AU3215" s="2">
        <v>5611.9526357866498</v>
      </c>
      <c r="AV3215" s="2">
        <v>4993.6014426596203</v>
      </c>
      <c r="AW3215" s="2">
        <v>4940.9628411127596</v>
      </c>
      <c r="AX3215" s="2">
        <v>4207.6939591044302</v>
      </c>
    </row>
    <row r="3216" spans="1:50" x14ac:dyDescent="0.25">
      <c r="A3216" s="2" t="s">
        <v>21399</v>
      </c>
      <c r="B3216" s="2">
        <v>262.97594154180302</v>
      </c>
      <c r="C3216" s="2">
        <v>0.91341666666666699</v>
      </c>
      <c r="D3216" s="2" t="s">
        <v>51</v>
      </c>
      <c r="E3216" s="2" t="s">
        <v>21400</v>
      </c>
      <c r="F3216" s="2">
        <v>210197</v>
      </c>
      <c r="G3216" s="3" t="str">
        <f>HYPERLINK("https://cloud.oebiotech.com/#/lm/network/210197", "https://cloud.oebiotech.com/#/lm/network/210197")</f>
        <v>https://cloud.oebiotech.com/#/lm/network/210197</v>
      </c>
      <c r="H3216" s="2" t="s">
        <v>21401</v>
      </c>
      <c r="I3216" s="2">
        <v>346583</v>
      </c>
      <c r="J3216" s="2"/>
      <c r="K3216" s="2">
        <v>75921</v>
      </c>
      <c r="L3216" s="2"/>
      <c r="M3216" s="2"/>
      <c r="N3216" s="2"/>
      <c r="O3216" s="2">
        <v>83491</v>
      </c>
      <c r="P3216" s="2"/>
      <c r="Q3216" s="2"/>
      <c r="R3216" s="2"/>
      <c r="S3216" s="2" t="s">
        <v>21402</v>
      </c>
      <c r="T3216" s="2" t="s">
        <v>21403</v>
      </c>
      <c r="U3216" s="2" t="s">
        <v>1357</v>
      </c>
      <c r="V3216" s="2" t="s">
        <v>4878</v>
      </c>
      <c r="W3216" s="2" t="s">
        <v>4879</v>
      </c>
      <c r="X3216" s="2" t="s">
        <v>147</v>
      </c>
      <c r="Y3216" s="2">
        <v>40.200000000000003</v>
      </c>
      <c r="Z3216" s="2">
        <v>5.34</v>
      </c>
      <c r="AA3216" s="2" t="s">
        <v>163</v>
      </c>
      <c r="AB3216" s="2" t="s">
        <v>21404</v>
      </c>
      <c r="AC3216" s="2">
        <v>-0.247278486481121</v>
      </c>
      <c r="AD3216" s="2"/>
      <c r="AE3216" s="2">
        <v>0.18115615723898401</v>
      </c>
      <c r="AF3216" s="2">
        <v>12251.2408696359</v>
      </c>
      <c r="AG3216" s="2">
        <v>13358.298823962699</v>
      </c>
      <c r="AH3216" s="4">
        <v>0.91712582800282105</v>
      </c>
      <c r="AI3216" s="4">
        <v>-0.124808412340519</v>
      </c>
      <c r="AJ3216" s="4" t="s">
        <v>62</v>
      </c>
      <c r="AK3216" s="2">
        <v>0.47381423061533301</v>
      </c>
      <c r="AL3216" s="2">
        <v>0.72036749991376003</v>
      </c>
      <c r="AM3216" s="2">
        <v>8106.7875116657196</v>
      </c>
      <c r="AN3216" s="2">
        <v>13151.821669491401</v>
      </c>
      <c r="AO3216" s="2">
        <v>11645.9426334539</v>
      </c>
      <c r="AP3216" s="2">
        <v>11758.2281833449</v>
      </c>
      <c r="AQ3216" s="2">
        <v>12190.0572685923</v>
      </c>
      <c r="AR3216" s="2">
        <v>16654.607951267099</v>
      </c>
      <c r="AS3216" s="2">
        <v>14738.8961158646</v>
      </c>
      <c r="AT3216" s="2">
        <v>13718.3657044269</v>
      </c>
      <c r="AU3216" s="2">
        <v>10093.2254882943</v>
      </c>
      <c r="AV3216" s="2">
        <v>17017.6675158937</v>
      </c>
      <c r="AW3216" s="2">
        <v>12361.0480771988</v>
      </c>
      <c r="AX3216" s="2">
        <v>12220.5900420978</v>
      </c>
    </row>
    <row r="3217" spans="1:50" x14ac:dyDescent="0.25">
      <c r="A3217" s="2" t="s">
        <v>21405</v>
      </c>
      <c r="B3217" s="2">
        <v>354.98423399457499</v>
      </c>
      <c r="C3217" s="2">
        <v>7.8025333333333302</v>
      </c>
      <c r="D3217" s="2" t="s">
        <v>51</v>
      </c>
      <c r="E3217" s="2" t="s">
        <v>21406</v>
      </c>
      <c r="F3217" s="2">
        <v>257137</v>
      </c>
      <c r="G3217" s="3" t="str">
        <f>HYPERLINK("https://cloud.oebiotech.com/#/lm/network/257137", "https://cloud.oebiotech.com/#/lm/network/257137")</f>
        <v>https://cloud.oebiotech.com/#/lm/network/257137</v>
      </c>
      <c r="H3217" s="2" t="s">
        <v>21407</v>
      </c>
      <c r="I3217" s="2">
        <v>377</v>
      </c>
      <c r="J3217" s="2"/>
      <c r="K3217" s="2">
        <v>123658</v>
      </c>
      <c r="L3217" s="2" t="s">
        <v>21408</v>
      </c>
      <c r="M3217" s="2" t="s">
        <v>21409</v>
      </c>
      <c r="N3217" s="2" t="s">
        <v>21410</v>
      </c>
      <c r="O3217" s="2">
        <v>16710</v>
      </c>
      <c r="P3217" s="2"/>
      <c r="Q3217" s="2"/>
      <c r="R3217" s="2" t="s">
        <v>21411</v>
      </c>
      <c r="S3217" s="2" t="s">
        <v>21412</v>
      </c>
      <c r="T3217" s="2" t="s">
        <v>21413</v>
      </c>
      <c r="U3217" s="2" t="s">
        <v>331</v>
      </c>
      <c r="V3217" s="2" t="s">
        <v>332</v>
      </c>
      <c r="W3217" s="2" t="s">
        <v>333</v>
      </c>
      <c r="X3217" s="2" t="s">
        <v>147</v>
      </c>
      <c r="Y3217" s="2">
        <v>38.4</v>
      </c>
      <c r="Z3217" s="2">
        <v>0</v>
      </c>
      <c r="AA3217" s="2" t="s">
        <v>218</v>
      </c>
      <c r="AB3217" s="2" t="s">
        <v>21414</v>
      </c>
      <c r="AC3217" s="2">
        <v>1.7635166874071699</v>
      </c>
      <c r="AD3217" s="2"/>
      <c r="AE3217" s="2">
        <v>0.18109773413302999</v>
      </c>
      <c r="AF3217" s="2">
        <v>7244.95711709226</v>
      </c>
      <c r="AG3217" s="2">
        <v>8349.1156229621392</v>
      </c>
      <c r="AH3217" s="4">
        <v>0.86775144150199801</v>
      </c>
      <c r="AI3217" s="4">
        <v>-0.20464623823758199</v>
      </c>
      <c r="AJ3217" s="4" t="s">
        <v>62</v>
      </c>
      <c r="AK3217" s="2">
        <v>0.110999000289872</v>
      </c>
      <c r="AL3217" s="2">
        <v>0.42261842103963698</v>
      </c>
      <c r="AM3217" s="2">
        <v>6784.6576442812702</v>
      </c>
      <c r="AN3217" s="2">
        <v>5767.4607154386904</v>
      </c>
      <c r="AO3217" s="2">
        <v>8650.5967008590596</v>
      </c>
      <c r="AP3217" s="2">
        <v>7403.5435225267402</v>
      </c>
      <c r="AQ3217" s="2">
        <v>8493.2099556445592</v>
      </c>
      <c r="AR3217" s="2">
        <v>6370.2741638032103</v>
      </c>
      <c r="AS3217" s="2">
        <v>8012.0291632087901</v>
      </c>
      <c r="AT3217" s="2">
        <v>9550.0290093518997</v>
      </c>
      <c r="AU3217" s="2">
        <v>6921.5828379407803</v>
      </c>
      <c r="AV3217" s="2">
        <v>9156.6470942836695</v>
      </c>
      <c r="AW3217" s="2">
        <v>7529.8683465699696</v>
      </c>
      <c r="AX3217" s="2">
        <v>8924.5372864177607</v>
      </c>
    </row>
    <row r="3218" spans="1:50" x14ac:dyDescent="0.25">
      <c r="A3218" s="2" t="s">
        <v>21415</v>
      </c>
      <c r="B3218" s="2">
        <v>262.14484370487702</v>
      </c>
      <c r="C3218" s="2">
        <v>7.65811666666667</v>
      </c>
      <c r="D3218" s="2" t="s">
        <v>51</v>
      </c>
      <c r="E3218" s="2" t="s">
        <v>21416</v>
      </c>
      <c r="F3218" s="2">
        <v>62801</v>
      </c>
      <c r="G3218" s="3" t="str">
        <f>HYPERLINK("https://cloud.oebiotech.com/#/lm/network/62801", "https://cloud.oebiotech.com/#/lm/network/62801")</f>
        <v>https://cloud.oebiotech.com/#/lm/network/62801</v>
      </c>
      <c r="H3218" s="2" t="s">
        <v>21417</v>
      </c>
      <c r="I3218" s="2">
        <v>44287</v>
      </c>
      <c r="J3218" s="2"/>
      <c r="K3218" s="2">
        <v>3293</v>
      </c>
      <c r="L3218" s="2" t="s">
        <v>21418</v>
      </c>
      <c r="M3218" s="2"/>
      <c r="N3218" s="2"/>
      <c r="O3218" s="2">
        <v>77323</v>
      </c>
      <c r="P3218" s="2"/>
      <c r="Q3218" s="2"/>
      <c r="R3218" s="2" t="s">
        <v>21419</v>
      </c>
      <c r="S3218" s="2" t="s">
        <v>21420</v>
      </c>
      <c r="T3218" s="2" t="s">
        <v>21421</v>
      </c>
      <c r="U3218" s="2" t="s">
        <v>266</v>
      </c>
      <c r="V3218" s="2" t="s">
        <v>1393</v>
      </c>
      <c r="W3218" s="2" t="s">
        <v>19215</v>
      </c>
      <c r="X3218" s="2" t="s">
        <v>83</v>
      </c>
      <c r="Y3218" s="2">
        <v>41.5</v>
      </c>
      <c r="Z3218" s="2">
        <v>0</v>
      </c>
      <c r="AA3218" s="2" t="s">
        <v>218</v>
      </c>
      <c r="AB3218" s="2" t="s">
        <v>21422</v>
      </c>
      <c r="AC3218" s="2">
        <v>-0.107755803768898</v>
      </c>
      <c r="AD3218" s="2"/>
      <c r="AE3218" s="2">
        <v>0.18108835760435099</v>
      </c>
      <c r="AF3218" s="2">
        <v>3919.7110113212102</v>
      </c>
      <c r="AG3218" s="2">
        <v>2674.0380174126999</v>
      </c>
      <c r="AH3218" s="5">
        <v>1.4658396723595499</v>
      </c>
      <c r="AI3218" s="5">
        <v>0.55172731592678703</v>
      </c>
      <c r="AJ3218" s="5" t="s">
        <v>139</v>
      </c>
      <c r="AK3218" s="2">
        <v>0.26098818980871102</v>
      </c>
      <c r="AL3218" s="2">
        <v>0.58317157805582098</v>
      </c>
      <c r="AM3218" s="2">
        <v>5581.9381665097899</v>
      </c>
      <c r="AN3218" s="2">
        <v>6169.3458361135499</v>
      </c>
      <c r="AO3218" s="2">
        <v>2083.0940198722001</v>
      </c>
      <c r="AP3218" s="2">
        <v>2547.2748194240498</v>
      </c>
      <c r="AQ3218" s="2">
        <v>3476.3884568111698</v>
      </c>
      <c r="AR3218" s="2">
        <v>3660.2247691964899</v>
      </c>
      <c r="AS3218" s="2">
        <v>2407.0176506580701</v>
      </c>
      <c r="AT3218" s="2">
        <v>1086.2670423908801</v>
      </c>
      <c r="AU3218" s="2">
        <v>3132.2801980047702</v>
      </c>
      <c r="AV3218" s="2">
        <v>534.01592600880497</v>
      </c>
      <c r="AW3218" s="2">
        <v>2737.50595809374</v>
      </c>
      <c r="AX3218" s="2">
        <v>6147.1413293199303</v>
      </c>
    </row>
    <row r="3219" spans="1:50" x14ac:dyDescent="0.25">
      <c r="A3219" s="2" t="s">
        <v>21423</v>
      </c>
      <c r="B3219" s="2">
        <v>435.29500197406202</v>
      </c>
      <c r="C3219" s="2">
        <v>10.6505166666667</v>
      </c>
      <c r="D3219" s="2" t="s">
        <v>51</v>
      </c>
      <c r="E3219" s="2" t="s">
        <v>21424</v>
      </c>
      <c r="F3219" s="2">
        <v>60815</v>
      </c>
      <c r="G3219" s="3" t="str">
        <f>HYPERLINK("https://cloud.oebiotech.com/#/lm/network/60815", "https://cloud.oebiotech.com/#/lm/network/60815")</f>
        <v>https://cloud.oebiotech.com/#/lm/network/60815</v>
      </c>
      <c r="H3219" s="2" t="s">
        <v>21425</v>
      </c>
      <c r="I3219" s="2">
        <v>92151</v>
      </c>
      <c r="J3219" s="2"/>
      <c r="K3219" s="2">
        <v>22833389</v>
      </c>
      <c r="L3219" s="2"/>
      <c r="M3219" s="2"/>
      <c r="N3219" s="2"/>
      <c r="O3219" s="2">
        <v>53425</v>
      </c>
      <c r="P3219" s="2"/>
      <c r="Q3219" s="2"/>
      <c r="R3219" s="2" t="s">
        <v>21426</v>
      </c>
      <c r="S3219" s="2" t="s">
        <v>21427</v>
      </c>
      <c r="T3219" s="2" t="s">
        <v>21428</v>
      </c>
      <c r="U3219" s="2" t="s">
        <v>56</v>
      </c>
      <c r="V3219" s="2" t="s">
        <v>145</v>
      </c>
      <c r="W3219" s="2" t="s">
        <v>1188</v>
      </c>
      <c r="X3219" s="2" t="s">
        <v>147</v>
      </c>
      <c r="Y3219" s="2">
        <v>36.4</v>
      </c>
      <c r="Z3219" s="2">
        <v>0</v>
      </c>
      <c r="AA3219" s="2" t="s">
        <v>259</v>
      </c>
      <c r="AB3219" s="2" t="s">
        <v>21429</v>
      </c>
      <c r="AC3219" s="2">
        <v>-0.55898706897438899</v>
      </c>
      <c r="AD3219" s="2"/>
      <c r="AE3219" s="2">
        <v>0.181079081979551</v>
      </c>
      <c r="AF3219" s="2">
        <v>4568.9381100824403</v>
      </c>
      <c r="AG3219" s="2">
        <v>5924.5744448903597</v>
      </c>
      <c r="AH3219" s="4">
        <v>0.77118418421139301</v>
      </c>
      <c r="AI3219" s="4">
        <v>-0.37485263044833</v>
      </c>
      <c r="AJ3219" s="4" t="s">
        <v>62</v>
      </c>
      <c r="AK3219" s="2">
        <v>0.218825295900412</v>
      </c>
      <c r="AL3219" s="2">
        <v>0.54464727805593904</v>
      </c>
      <c r="AM3219" s="2">
        <v>3444.98557928228</v>
      </c>
      <c r="AN3219" s="2">
        <v>3059.64529070853</v>
      </c>
      <c r="AO3219" s="2">
        <v>5891.2894972875602</v>
      </c>
      <c r="AP3219" s="2">
        <v>6703.8253221962595</v>
      </c>
      <c r="AQ3219" s="2">
        <v>3439.97896077723</v>
      </c>
      <c r="AR3219" s="2">
        <v>4873.9040102427698</v>
      </c>
      <c r="AS3219" s="2">
        <v>8067.2760613752398</v>
      </c>
      <c r="AT3219" s="2">
        <v>8381.4571577611205</v>
      </c>
      <c r="AU3219" s="2">
        <v>5121.7046896821403</v>
      </c>
      <c r="AV3219" s="2">
        <v>3310.15691744077</v>
      </c>
      <c r="AW3219" s="2">
        <v>6334.8019399861196</v>
      </c>
      <c r="AX3219" s="2">
        <v>4332.0499030967503</v>
      </c>
    </row>
    <row r="3220" spans="1:50" x14ac:dyDescent="0.25">
      <c r="A3220" s="2" t="s">
        <v>21430</v>
      </c>
      <c r="B3220" s="2">
        <v>183.13824941238499</v>
      </c>
      <c r="C3220" s="2">
        <v>7.9598333333333304</v>
      </c>
      <c r="D3220" s="2" t="s">
        <v>51</v>
      </c>
      <c r="E3220" s="2" t="s">
        <v>21431</v>
      </c>
      <c r="F3220" s="2">
        <v>1842</v>
      </c>
      <c r="G3220" s="3" t="str">
        <f>HYPERLINK("https://cloud.oebiotech.com/#/lm/network/1842", "https://cloud.oebiotech.com/#/lm/network/1842")</f>
        <v>https://cloud.oebiotech.com/#/lm/network/1842</v>
      </c>
      <c r="H3220" s="2"/>
      <c r="I3220" s="2">
        <v>35680</v>
      </c>
      <c r="J3220" s="2" t="s">
        <v>21432</v>
      </c>
      <c r="K3220" s="2">
        <v>5312873</v>
      </c>
      <c r="L3220" s="2"/>
      <c r="M3220" s="2"/>
      <c r="N3220" s="2"/>
      <c r="O3220" s="2"/>
      <c r="P3220" s="2"/>
      <c r="Q3220" s="2"/>
      <c r="R3220" s="2"/>
      <c r="S3220" s="2" t="s">
        <v>21433</v>
      </c>
      <c r="T3220" s="2" t="s">
        <v>21434</v>
      </c>
      <c r="U3220" s="2" t="s">
        <v>103</v>
      </c>
      <c r="V3220" s="2" t="s">
        <v>377</v>
      </c>
      <c r="W3220" s="2" t="s">
        <v>378</v>
      </c>
      <c r="X3220" s="2" t="s">
        <v>147</v>
      </c>
      <c r="Y3220" s="2">
        <v>38.4</v>
      </c>
      <c r="Z3220" s="2">
        <v>0.33400000000000002</v>
      </c>
      <c r="AA3220" s="2" t="s">
        <v>379</v>
      </c>
      <c r="AB3220" s="2" t="s">
        <v>21435</v>
      </c>
      <c r="AC3220" s="2">
        <v>-3.9772664515016198</v>
      </c>
      <c r="AD3220" s="2"/>
      <c r="AE3220" s="2">
        <v>0.1808079620884</v>
      </c>
      <c r="AF3220" s="2">
        <v>3221.2213658760202</v>
      </c>
      <c r="AG3220" s="2">
        <v>1602.0144314031299</v>
      </c>
      <c r="AH3220" s="5">
        <v>2.01073180286815</v>
      </c>
      <c r="AI3220" s="5">
        <v>1.0077206637041101</v>
      </c>
      <c r="AJ3220" s="5" t="s">
        <v>139</v>
      </c>
      <c r="AK3220" s="2">
        <v>0.107791364695613</v>
      </c>
      <c r="AL3220" s="2">
        <v>0.41864763420363699</v>
      </c>
      <c r="AM3220" s="2">
        <v>1330.8598815443299</v>
      </c>
      <c r="AN3220" s="2">
        <v>2393.2124133044399</v>
      </c>
      <c r="AO3220" s="2">
        <v>3619.2625860268799</v>
      </c>
      <c r="AP3220" s="2">
        <v>1960.0614724710199</v>
      </c>
      <c r="AQ3220" s="2">
        <v>2962.9113744359502</v>
      </c>
      <c r="AR3220" s="2">
        <v>7061.0204674734996</v>
      </c>
      <c r="AS3220" s="2">
        <v>3257.5874953320599</v>
      </c>
      <c r="AT3220" s="2">
        <v>1505.8260967624201</v>
      </c>
      <c r="AU3220" s="2">
        <v>1088.32874553789</v>
      </c>
      <c r="AV3220" s="2">
        <v>517.59787525408899</v>
      </c>
      <c r="AW3220" s="2">
        <v>1304.4685148465701</v>
      </c>
      <c r="AX3220" s="2">
        <v>1938.2778606857701</v>
      </c>
    </row>
    <row r="3221" spans="1:50" x14ac:dyDescent="0.25">
      <c r="A3221" s="2" t="s">
        <v>21436</v>
      </c>
      <c r="B3221" s="2">
        <v>375.05718270790101</v>
      </c>
      <c r="C3221" s="2">
        <v>4.8730833333333301</v>
      </c>
      <c r="D3221" s="2" t="s">
        <v>51</v>
      </c>
      <c r="E3221" s="2" t="s">
        <v>21437</v>
      </c>
      <c r="F3221" s="2">
        <v>207856</v>
      </c>
      <c r="G3221" s="3" t="str">
        <f>HYPERLINK("https://cloud.oebiotech.com/#/lm/network/207856", "https://cloud.oebiotech.com/#/lm/network/207856")</f>
        <v>https://cloud.oebiotech.com/#/lm/network/207856</v>
      </c>
      <c r="H3221" s="2" t="s">
        <v>21438</v>
      </c>
      <c r="I3221" s="2"/>
      <c r="J3221" s="2"/>
      <c r="K3221" s="2">
        <v>49789084</v>
      </c>
      <c r="L3221" s="2"/>
      <c r="M3221" s="2"/>
      <c r="N3221" s="2"/>
      <c r="O3221" s="2"/>
      <c r="P3221" s="2"/>
      <c r="Q3221" s="2"/>
      <c r="R3221" s="2"/>
      <c r="S3221" s="2" t="s">
        <v>21439</v>
      </c>
      <c r="T3221" s="2" t="s">
        <v>21440</v>
      </c>
      <c r="U3221" s="2" t="s">
        <v>266</v>
      </c>
      <c r="V3221" s="2" t="s">
        <v>445</v>
      </c>
      <c r="W3221" s="2" t="s">
        <v>446</v>
      </c>
      <c r="X3221" s="2" t="s">
        <v>147</v>
      </c>
      <c r="Y3221" s="2">
        <v>39.200000000000003</v>
      </c>
      <c r="Z3221" s="2">
        <v>0</v>
      </c>
      <c r="AA3221" s="2" t="s">
        <v>259</v>
      </c>
      <c r="AB3221" s="2" t="s">
        <v>21441</v>
      </c>
      <c r="AC3221" s="2">
        <v>2.0864046912098799</v>
      </c>
      <c r="AD3221" s="2"/>
      <c r="AE3221" s="2">
        <v>0.180770139721042</v>
      </c>
      <c r="AF3221" s="2">
        <v>2236.0868746579999</v>
      </c>
      <c r="AG3221" s="2">
        <v>429.96238842124399</v>
      </c>
      <c r="AH3221" s="5">
        <v>5.2006569292457501</v>
      </c>
      <c r="AI3221" s="5">
        <v>2.3786938710814902</v>
      </c>
      <c r="AJ3221" s="5" t="s">
        <v>139</v>
      </c>
      <c r="AK3221" s="2">
        <v>0.42017470151563802</v>
      </c>
      <c r="AL3221" s="2">
        <v>0.68083438943732</v>
      </c>
      <c r="AM3221" s="2">
        <v>8.559877937157E-6</v>
      </c>
      <c r="AN3221" s="2">
        <v>12785.936723683801</v>
      </c>
      <c r="AO3221" s="2">
        <v>143.610818009529</v>
      </c>
      <c r="AP3221" s="2">
        <v>8.559877937157E-6</v>
      </c>
      <c r="AQ3221" s="2">
        <v>181.21789026924799</v>
      </c>
      <c r="AR3221" s="2">
        <v>305.75579886564998</v>
      </c>
      <c r="AS3221" s="2">
        <v>144.20180074485401</v>
      </c>
      <c r="AT3221" s="2">
        <v>8.559877937157E-6</v>
      </c>
      <c r="AU3221" s="2">
        <v>8.559877937157E-6</v>
      </c>
      <c r="AV3221" s="2">
        <v>8.559877937157E-6</v>
      </c>
      <c r="AW3221" s="2">
        <v>2435.5724955431001</v>
      </c>
      <c r="AX3221" s="2">
        <v>8.559877937157E-6</v>
      </c>
    </row>
    <row r="3222" spans="1:50" x14ac:dyDescent="0.25">
      <c r="A3222" s="2" t="s">
        <v>21442</v>
      </c>
      <c r="B3222" s="2">
        <v>157.035</v>
      </c>
      <c r="C3222" s="2">
        <v>18.821999999999999</v>
      </c>
      <c r="D3222" s="2" t="s">
        <v>125</v>
      </c>
      <c r="E3222" s="2" t="s">
        <v>21443</v>
      </c>
      <c r="F3222" s="2">
        <v>37557</v>
      </c>
      <c r="G3222" s="3" t="str">
        <f>HYPERLINK("https://cloud.oebiotech.com/#/lm/network/37557", "https://cloud.oebiotech.com/#/lm/network/37557")</f>
        <v>https://cloud.oebiotech.com/#/lm/network/37557</v>
      </c>
      <c r="H3222" s="2" t="s">
        <v>21444</v>
      </c>
      <c r="I3222" s="2">
        <v>5281</v>
      </c>
      <c r="J3222" s="2" t="s">
        <v>21445</v>
      </c>
      <c r="K3222" s="2">
        <v>445675</v>
      </c>
      <c r="L3222" s="2" t="s">
        <v>21446</v>
      </c>
      <c r="M3222" s="2" t="s">
        <v>21447</v>
      </c>
      <c r="N3222" s="2" t="s">
        <v>21448</v>
      </c>
      <c r="O3222" s="2">
        <v>16264</v>
      </c>
      <c r="P3222" s="2"/>
      <c r="Q3222" s="2"/>
      <c r="R3222" s="2" t="s">
        <v>21449</v>
      </c>
      <c r="S3222" s="2" t="s">
        <v>21450</v>
      </c>
      <c r="T3222" s="2" t="s">
        <v>21451</v>
      </c>
      <c r="U3222" s="2" t="s">
        <v>295</v>
      </c>
      <c r="V3222" s="2" t="s">
        <v>296</v>
      </c>
      <c r="W3222" s="2" t="s">
        <v>297</v>
      </c>
      <c r="X3222" s="2" t="s">
        <v>69</v>
      </c>
      <c r="Y3222" s="2">
        <v>86</v>
      </c>
      <c r="Z3222" s="2">
        <v>76.7</v>
      </c>
      <c r="AA3222" s="2"/>
      <c r="AB3222" s="2" t="s">
        <v>21452</v>
      </c>
      <c r="AC3222" s="2"/>
      <c r="AD3222" s="2">
        <v>631663.463170073</v>
      </c>
      <c r="AE3222" s="2">
        <v>0.18069530472391901</v>
      </c>
      <c r="AF3222" s="2">
        <v>33773.527807810497</v>
      </c>
      <c r="AG3222" s="2">
        <v>54249.806345456796</v>
      </c>
      <c r="AH3222" s="4">
        <v>0.622555730295966</v>
      </c>
      <c r="AI3222" s="4">
        <v>-0.68372510393510699</v>
      </c>
      <c r="AJ3222" s="4" t="s">
        <v>62</v>
      </c>
      <c r="AK3222" s="2">
        <v>0.34970606583963898</v>
      </c>
      <c r="AL3222" s="2">
        <v>0.64258895477868705</v>
      </c>
      <c r="AM3222" s="2">
        <v>23665.4837516884</v>
      </c>
      <c r="AN3222" s="2">
        <v>29409.6001666921</v>
      </c>
      <c r="AO3222" s="2">
        <v>21614.5926098411</v>
      </c>
      <c r="AP3222" s="2">
        <v>9181.9893691413799</v>
      </c>
      <c r="AQ3222" s="2">
        <v>53343.177942726797</v>
      </c>
      <c r="AR3222" s="2">
        <v>65426.323006773498</v>
      </c>
      <c r="AS3222" s="2">
        <v>147488.85196821901</v>
      </c>
      <c r="AT3222" s="2">
        <v>48390.196300991804</v>
      </c>
      <c r="AU3222" s="2">
        <v>33956.788388562803</v>
      </c>
      <c r="AV3222" s="2">
        <v>36888.942502478501</v>
      </c>
      <c r="AW3222" s="2">
        <v>21235.979686535899</v>
      </c>
      <c r="AX3222" s="2">
        <v>37538.079225952497</v>
      </c>
    </row>
    <row r="3223" spans="1:50" x14ac:dyDescent="0.25">
      <c r="A3223" s="2" t="s">
        <v>21453</v>
      </c>
      <c r="B3223" s="2">
        <v>146.11791602004899</v>
      </c>
      <c r="C3223" s="2">
        <v>0.71519999999999995</v>
      </c>
      <c r="D3223" s="2" t="s">
        <v>51</v>
      </c>
      <c r="E3223" s="2" t="s">
        <v>21454</v>
      </c>
      <c r="F3223" s="2">
        <v>47422</v>
      </c>
      <c r="G3223" s="3" t="str">
        <f>HYPERLINK("https://cloud.oebiotech.com/#/lm/network/47422", "https://cloud.oebiotech.com/#/lm/network/47422")</f>
        <v>https://cloud.oebiotech.com/#/lm/network/47422</v>
      </c>
      <c r="H3223" s="2" t="s">
        <v>21455</v>
      </c>
      <c r="I3223" s="2"/>
      <c r="J3223" s="2"/>
      <c r="K3223" s="2">
        <v>725</v>
      </c>
      <c r="L3223" s="2" t="s">
        <v>21456</v>
      </c>
      <c r="M3223" s="2" t="s">
        <v>6725</v>
      </c>
      <c r="N3223" s="2" t="s">
        <v>6726</v>
      </c>
      <c r="O3223" s="2">
        <v>16244</v>
      </c>
      <c r="P3223" s="2" t="s">
        <v>21457</v>
      </c>
      <c r="Q3223" s="2" t="s">
        <v>21458</v>
      </c>
      <c r="R3223" s="2" t="s">
        <v>21459</v>
      </c>
      <c r="S3223" s="2" t="s">
        <v>21460</v>
      </c>
      <c r="T3223" s="2" t="s">
        <v>21461</v>
      </c>
      <c r="U3223" s="2" t="s">
        <v>56</v>
      </c>
      <c r="V3223" s="2" t="s">
        <v>145</v>
      </c>
      <c r="W3223" s="2" t="s">
        <v>231</v>
      </c>
      <c r="X3223" s="2" t="s">
        <v>69</v>
      </c>
      <c r="Y3223" s="2">
        <v>51.9</v>
      </c>
      <c r="Z3223" s="2">
        <v>59.5</v>
      </c>
      <c r="AA3223" s="2" t="s">
        <v>259</v>
      </c>
      <c r="AB3223" s="2" t="s">
        <v>21462</v>
      </c>
      <c r="AC3223" s="2">
        <v>2.4868195553171701</v>
      </c>
      <c r="AD3223" s="2"/>
      <c r="AE3223" s="2">
        <v>0.18064785227338101</v>
      </c>
      <c r="AF3223" s="2">
        <v>127824.800273559</v>
      </c>
      <c r="AG3223" s="2">
        <v>144073.09951350599</v>
      </c>
      <c r="AH3223" s="4">
        <v>0.887221838810902</v>
      </c>
      <c r="AI3223" s="4">
        <v>-0.17263321726373401</v>
      </c>
      <c r="AJ3223" s="4" t="s">
        <v>62</v>
      </c>
      <c r="AK3223" s="2">
        <v>0.79015532002325495</v>
      </c>
      <c r="AL3223" s="2">
        <v>0.90720404853569203</v>
      </c>
      <c r="AM3223" s="2">
        <v>76732.675561985496</v>
      </c>
      <c r="AN3223" s="2">
        <v>139612.65787809101</v>
      </c>
      <c r="AO3223" s="2">
        <v>171994.956304477</v>
      </c>
      <c r="AP3223" s="2">
        <v>134069.86999856</v>
      </c>
      <c r="AQ3223" s="2">
        <v>129302.136565334</v>
      </c>
      <c r="AR3223" s="2">
        <v>115236.50533290399</v>
      </c>
      <c r="AS3223" s="2">
        <v>296405.45856759202</v>
      </c>
      <c r="AT3223" s="2">
        <v>353597.40813664999</v>
      </c>
      <c r="AU3223" s="2">
        <v>45403.211530310997</v>
      </c>
      <c r="AV3223" s="2">
        <v>33535.944528737302</v>
      </c>
      <c r="AW3223" s="2">
        <v>53666.592098766603</v>
      </c>
      <c r="AX3223" s="2">
        <v>81829.982218977297</v>
      </c>
    </row>
    <row r="3224" spans="1:50" x14ac:dyDescent="0.25">
      <c r="A3224" s="2" t="s">
        <v>21463</v>
      </c>
      <c r="B3224" s="2">
        <v>439.16118489070197</v>
      </c>
      <c r="C3224" s="2">
        <v>5.2225333333333301</v>
      </c>
      <c r="D3224" s="2" t="s">
        <v>51</v>
      </c>
      <c r="E3224" s="2" t="s">
        <v>21464</v>
      </c>
      <c r="F3224" s="2">
        <v>58964</v>
      </c>
      <c r="G3224" s="3" t="str">
        <f>HYPERLINK("https://cloud.oebiotech.com/#/lm/network/58964", "https://cloud.oebiotech.com/#/lm/network/58964")</f>
        <v>https://cloud.oebiotech.com/#/lm/network/58964</v>
      </c>
      <c r="H3224" s="2" t="s">
        <v>21465</v>
      </c>
      <c r="I3224" s="2"/>
      <c r="J3224" s="2"/>
      <c r="K3224" s="2">
        <v>21596346</v>
      </c>
      <c r="L3224" s="2"/>
      <c r="M3224" s="2"/>
      <c r="N3224" s="2"/>
      <c r="O3224" s="2"/>
      <c r="P3224" s="2"/>
      <c r="Q3224" s="2"/>
      <c r="R3224" s="2" t="s">
        <v>21466</v>
      </c>
      <c r="S3224" s="2" t="s">
        <v>21467</v>
      </c>
      <c r="T3224" s="2" t="s">
        <v>21468</v>
      </c>
      <c r="U3224" s="2" t="s">
        <v>56</v>
      </c>
      <c r="V3224" s="2" t="s">
        <v>177</v>
      </c>
      <c r="W3224" s="2" t="s">
        <v>178</v>
      </c>
      <c r="X3224" s="2" t="s">
        <v>83</v>
      </c>
      <c r="Y3224" s="2">
        <v>55.6</v>
      </c>
      <c r="Z3224" s="2">
        <v>22.4</v>
      </c>
      <c r="AA3224" s="2" t="s">
        <v>218</v>
      </c>
      <c r="AB3224" s="2" t="s">
        <v>21469</v>
      </c>
      <c r="AC3224" s="2">
        <v>0.54350745413020995</v>
      </c>
      <c r="AD3224" s="2"/>
      <c r="AE3224" s="2">
        <v>0.18044126775153599</v>
      </c>
      <c r="AF3224" s="2">
        <v>2043.1277467934301</v>
      </c>
      <c r="AG3224" s="2">
        <v>3361.2890359366202</v>
      </c>
      <c r="AH3224" s="4">
        <v>0.607840541217879</v>
      </c>
      <c r="AI3224" s="4">
        <v>-0.71823519320347795</v>
      </c>
      <c r="AJ3224" s="4" t="s">
        <v>62</v>
      </c>
      <c r="AK3224" s="2">
        <v>0.34181073416539898</v>
      </c>
      <c r="AL3224" s="2">
        <v>0.63815037094278604</v>
      </c>
      <c r="AM3224" s="2">
        <v>1199.0549280161799</v>
      </c>
      <c r="AN3224" s="2">
        <v>2758.7046520881099</v>
      </c>
      <c r="AO3224" s="2">
        <v>568.83973305323502</v>
      </c>
      <c r="AP3224" s="2">
        <v>1066.5570147987501</v>
      </c>
      <c r="AQ3224" s="2">
        <v>332.286884038805</v>
      </c>
      <c r="AR3224" s="2">
        <v>6333.32326876553</v>
      </c>
      <c r="AS3224" s="2">
        <v>2168.2614694121498</v>
      </c>
      <c r="AT3224" s="2">
        <v>2250.4249268011899</v>
      </c>
      <c r="AU3224" s="2">
        <v>1864.32822181186</v>
      </c>
      <c r="AV3224" s="2">
        <v>4824.8433297155498</v>
      </c>
      <c r="AW3224" s="2">
        <v>7434.9638222903905</v>
      </c>
      <c r="AX3224" s="2">
        <v>1624.9124455885601</v>
      </c>
    </row>
    <row r="3225" spans="1:50" x14ac:dyDescent="0.25">
      <c r="A3225" s="2" t="s">
        <v>21470</v>
      </c>
      <c r="B3225" s="2">
        <v>626.30590709539797</v>
      </c>
      <c r="C3225" s="2">
        <v>7.8820833333333304</v>
      </c>
      <c r="D3225" s="2" t="s">
        <v>51</v>
      </c>
      <c r="E3225" s="2" t="s">
        <v>21471</v>
      </c>
      <c r="F3225" s="2">
        <v>3842</v>
      </c>
      <c r="G3225" s="3" t="str">
        <f>HYPERLINK("https://cloud.oebiotech.com/#/lm/network/3842", "https://cloud.oebiotech.com/#/lm/network/3842")</f>
        <v>https://cloud.oebiotech.com/#/lm/network/3842</v>
      </c>
      <c r="H3225" s="2" t="s">
        <v>21472</v>
      </c>
      <c r="I3225" s="2">
        <v>3681</v>
      </c>
      <c r="J3225" s="2" t="s">
        <v>21473</v>
      </c>
      <c r="K3225" s="2">
        <v>5280493</v>
      </c>
      <c r="L3225" s="2" t="s">
        <v>21474</v>
      </c>
      <c r="M3225" s="2" t="s">
        <v>21475</v>
      </c>
      <c r="N3225" s="2" t="s">
        <v>21476</v>
      </c>
      <c r="O3225" s="2">
        <v>16978</v>
      </c>
      <c r="P3225" s="2" t="s">
        <v>21477</v>
      </c>
      <c r="Q3225" s="2" t="s">
        <v>21478</v>
      </c>
      <c r="R3225" s="2" t="s">
        <v>21479</v>
      </c>
      <c r="S3225" s="2" t="s">
        <v>21480</v>
      </c>
      <c r="T3225" s="2" t="s">
        <v>21481</v>
      </c>
      <c r="U3225" s="2" t="s">
        <v>103</v>
      </c>
      <c r="V3225" s="2" t="s">
        <v>104</v>
      </c>
      <c r="W3225" s="2" t="s">
        <v>105</v>
      </c>
      <c r="X3225" s="2" t="s">
        <v>83</v>
      </c>
      <c r="Y3225" s="2">
        <v>37</v>
      </c>
      <c r="Z3225" s="2">
        <v>0</v>
      </c>
      <c r="AA3225" s="2" t="s">
        <v>259</v>
      </c>
      <c r="AB3225" s="2" t="s">
        <v>21482</v>
      </c>
      <c r="AC3225" s="2">
        <v>-7.4690703281082502</v>
      </c>
      <c r="AD3225" s="2"/>
      <c r="AE3225" s="2">
        <v>0.18035274633901599</v>
      </c>
      <c r="AF3225" s="2">
        <v>3869.1416630905901</v>
      </c>
      <c r="AG3225" s="2">
        <v>2212.9593110148198</v>
      </c>
      <c r="AH3225" s="5">
        <v>1.74840162845844</v>
      </c>
      <c r="AI3225" s="5">
        <v>0.80603662696066902</v>
      </c>
      <c r="AJ3225" s="5" t="s">
        <v>139</v>
      </c>
      <c r="AK3225" s="2">
        <v>0.250229430654131</v>
      </c>
      <c r="AL3225" s="2">
        <v>0.57332209668232303</v>
      </c>
      <c r="AM3225" s="2">
        <v>3122.1346510272201</v>
      </c>
      <c r="AN3225" s="2">
        <v>7486.5624655011898</v>
      </c>
      <c r="AO3225" s="2">
        <v>1768.4912439499999</v>
      </c>
      <c r="AP3225" s="2">
        <v>1492.56379483758</v>
      </c>
      <c r="AQ3225" s="2">
        <v>2717.3496737509299</v>
      </c>
      <c r="AR3225" s="2">
        <v>6627.7481494766398</v>
      </c>
      <c r="AS3225" s="2">
        <v>5554.7086377241503</v>
      </c>
      <c r="AT3225" s="2">
        <v>2190.2236379582</v>
      </c>
      <c r="AU3225" s="2">
        <v>381.34814478942297</v>
      </c>
      <c r="AV3225" s="2">
        <v>879.13627008449305</v>
      </c>
      <c r="AW3225" s="2">
        <v>364.81931680483302</v>
      </c>
      <c r="AX3225" s="2">
        <v>3907.5198587278401</v>
      </c>
    </row>
    <row r="3226" spans="1:50" x14ac:dyDescent="0.25">
      <c r="A3226" s="2" t="s">
        <v>21483</v>
      </c>
      <c r="B3226" s="2">
        <v>217.11250000000001</v>
      </c>
      <c r="C3226" s="2">
        <v>23.292999999999999</v>
      </c>
      <c r="D3226" s="2" t="s">
        <v>125</v>
      </c>
      <c r="E3226" s="2" t="s">
        <v>21484</v>
      </c>
      <c r="F3226" s="2">
        <v>47211</v>
      </c>
      <c r="G3226" s="3" t="str">
        <f>HYPERLINK("https://cloud.oebiotech.com/#/lm/network/47211", "https://cloud.oebiotech.com/#/lm/network/47211")</f>
        <v>https://cloud.oebiotech.com/#/lm/network/47211</v>
      </c>
      <c r="H3226" s="2" t="s">
        <v>21485</v>
      </c>
      <c r="I3226" s="2">
        <v>5734</v>
      </c>
      <c r="J3226" s="2"/>
      <c r="K3226" s="2">
        <v>15047</v>
      </c>
      <c r="L3226" s="2" t="s">
        <v>21486</v>
      </c>
      <c r="M3226" s="2" t="s">
        <v>3456</v>
      </c>
      <c r="N3226" s="2" t="s">
        <v>3457</v>
      </c>
      <c r="O3226" s="2">
        <v>17802</v>
      </c>
      <c r="P3226" s="2" t="s">
        <v>21487</v>
      </c>
      <c r="Q3226" s="2" t="s">
        <v>21488</v>
      </c>
      <c r="R3226" s="2" t="s">
        <v>21489</v>
      </c>
      <c r="S3226" s="2" t="s">
        <v>21490</v>
      </c>
      <c r="T3226" s="2" t="s">
        <v>21491</v>
      </c>
      <c r="U3226" s="2" t="s">
        <v>295</v>
      </c>
      <c r="V3226" s="2" t="s">
        <v>5645</v>
      </c>
      <c r="W3226" s="2" t="s">
        <v>240</v>
      </c>
      <c r="X3226" s="2" t="s">
        <v>83</v>
      </c>
      <c r="Y3226" s="2">
        <v>84.9</v>
      </c>
      <c r="Z3226" s="2">
        <v>75.5</v>
      </c>
      <c r="AA3226" s="2"/>
      <c r="AB3226" s="2" t="s">
        <v>13553</v>
      </c>
      <c r="AC3226" s="2"/>
      <c r="AD3226" s="2">
        <v>818001.38586956495</v>
      </c>
      <c r="AE3226" s="2">
        <v>0.18022552320517399</v>
      </c>
      <c r="AF3226" s="2">
        <v>21875.170291037801</v>
      </c>
      <c r="AG3226" s="2">
        <v>36109.699111292197</v>
      </c>
      <c r="AH3226" s="4">
        <v>0.60579763413749999</v>
      </c>
      <c r="AI3226" s="4">
        <v>-0.723092150997658</v>
      </c>
      <c r="AJ3226" s="4" t="s">
        <v>62</v>
      </c>
      <c r="AK3226" s="2">
        <v>0.23414182194020999</v>
      </c>
      <c r="AL3226" s="2">
        <v>0.55962157683535596</v>
      </c>
      <c r="AM3226" s="2">
        <v>43126.769918715298</v>
      </c>
      <c r="AN3226" s="2">
        <v>14826.130015178</v>
      </c>
      <c r="AO3226" s="2">
        <v>9973.4681137954994</v>
      </c>
      <c r="AP3226" s="2">
        <v>2299.8352172700202</v>
      </c>
      <c r="AQ3226" s="2">
        <v>14512.346763064799</v>
      </c>
      <c r="AR3226" s="2">
        <v>46512.471718203</v>
      </c>
      <c r="AS3226" s="2">
        <v>16238.107570722899</v>
      </c>
      <c r="AT3226" s="2">
        <v>29644.405714114899</v>
      </c>
      <c r="AU3226" s="2">
        <v>71698.252490224404</v>
      </c>
      <c r="AV3226" s="2">
        <v>48543.9772042353</v>
      </c>
      <c r="AW3226" s="2">
        <v>22913.046542558499</v>
      </c>
      <c r="AX3226" s="2">
        <v>27620.405145896901</v>
      </c>
    </row>
    <row r="3227" spans="1:50" x14ac:dyDescent="0.25">
      <c r="A3227" s="2" t="s">
        <v>21492</v>
      </c>
      <c r="B3227" s="2">
        <v>431.28393673321699</v>
      </c>
      <c r="C3227" s="2">
        <v>7.3238666666666701</v>
      </c>
      <c r="D3227" s="2" t="s">
        <v>51</v>
      </c>
      <c r="E3227" s="2" t="s">
        <v>21493</v>
      </c>
      <c r="F3227" s="2">
        <v>203216</v>
      </c>
      <c r="G3227" s="3" t="str">
        <f>HYPERLINK("https://cloud.oebiotech.com/#/lm/network/203216", "https://cloud.oebiotech.com/#/lm/network/203216")</f>
        <v>https://cloud.oebiotech.com/#/lm/network/203216</v>
      </c>
      <c r="H3227" s="2" t="s">
        <v>21494</v>
      </c>
      <c r="I3227" s="2"/>
      <c r="J3227" s="2"/>
      <c r="K3227" s="2">
        <v>72727599</v>
      </c>
      <c r="L3227" s="2"/>
      <c r="M3227" s="2"/>
      <c r="N3227" s="2"/>
      <c r="O3227" s="2"/>
      <c r="P3227" s="2"/>
      <c r="Q3227" s="2"/>
      <c r="R3227" s="2"/>
      <c r="S3227" s="2" t="s">
        <v>21495</v>
      </c>
      <c r="T3227" s="2" t="s">
        <v>21496</v>
      </c>
      <c r="U3227" s="2" t="s">
        <v>56</v>
      </c>
      <c r="V3227" s="2" t="s">
        <v>283</v>
      </c>
      <c r="W3227" s="2" t="s">
        <v>5158</v>
      </c>
      <c r="X3227" s="2" t="s">
        <v>147</v>
      </c>
      <c r="Y3227" s="2">
        <v>37.700000000000003</v>
      </c>
      <c r="Z3227" s="2">
        <v>0</v>
      </c>
      <c r="AA3227" s="2" t="s">
        <v>122</v>
      </c>
      <c r="AB3227" s="2" t="s">
        <v>21497</v>
      </c>
      <c r="AC3227" s="2">
        <v>3.4947000009357398</v>
      </c>
      <c r="AD3227" s="2"/>
      <c r="AE3227" s="2">
        <v>0.18020716358837499</v>
      </c>
      <c r="AF3227" s="2">
        <v>5068.0395541151001</v>
      </c>
      <c r="AG3227" s="2">
        <v>3815.9839668371201</v>
      </c>
      <c r="AH3227" s="5">
        <v>1.32810818865042</v>
      </c>
      <c r="AI3227" s="5">
        <v>0.40937267444985898</v>
      </c>
      <c r="AJ3227" s="5" t="s">
        <v>139</v>
      </c>
      <c r="AK3227" s="2">
        <v>5.34865503424925E-2</v>
      </c>
      <c r="AL3227" s="2">
        <v>0.31830539157865101</v>
      </c>
      <c r="AM3227" s="2">
        <v>4234.1479084991597</v>
      </c>
      <c r="AN3227" s="2">
        <v>4419.4876425021803</v>
      </c>
      <c r="AO3227" s="2">
        <v>4167.7543068290597</v>
      </c>
      <c r="AP3227" s="2">
        <v>4599.1860224003003</v>
      </c>
      <c r="AQ3227" s="2">
        <v>5345.6123585921296</v>
      </c>
      <c r="AR3227" s="2">
        <v>7642.0490858677904</v>
      </c>
      <c r="AS3227" s="2">
        <v>4470.8343212871596</v>
      </c>
      <c r="AT3227" s="2">
        <v>4151.9956549435901</v>
      </c>
      <c r="AU3227" s="2">
        <v>3901.2065359921598</v>
      </c>
      <c r="AV3227" s="2">
        <v>3590.4841583423799</v>
      </c>
      <c r="AW3227" s="2">
        <v>3462.0608850301601</v>
      </c>
      <c r="AX3227" s="2">
        <v>3319.32224542725</v>
      </c>
    </row>
    <row r="3228" spans="1:50" x14ac:dyDescent="0.25">
      <c r="A3228" s="2" t="s">
        <v>21498</v>
      </c>
      <c r="B3228" s="2">
        <v>342.26505781658</v>
      </c>
      <c r="C3228" s="2">
        <v>10.1823833333333</v>
      </c>
      <c r="D3228" s="2" t="s">
        <v>51</v>
      </c>
      <c r="E3228" s="2" t="s">
        <v>21499</v>
      </c>
      <c r="F3228" s="2">
        <v>38922</v>
      </c>
      <c r="G3228" s="3" t="str">
        <f>HYPERLINK("https://cloud.oebiotech.com/#/lm/network/38922", "https://cloud.oebiotech.com/#/lm/network/38922")</f>
        <v>https://cloud.oebiotech.com/#/lm/network/38922</v>
      </c>
      <c r="H3228" s="2"/>
      <c r="I3228" s="2">
        <v>43208</v>
      </c>
      <c r="J3228" s="2" t="s">
        <v>21500</v>
      </c>
      <c r="K3228" s="2">
        <v>9839212</v>
      </c>
      <c r="L3228" s="2" t="s">
        <v>21501</v>
      </c>
      <c r="M3228" s="2"/>
      <c r="N3228" s="2"/>
      <c r="O3228" s="2">
        <v>20096</v>
      </c>
      <c r="P3228" s="2"/>
      <c r="Q3228" s="2"/>
      <c r="R3228" s="2"/>
      <c r="S3228" s="2" t="s">
        <v>21502</v>
      </c>
      <c r="T3228" s="2" t="s">
        <v>21503</v>
      </c>
      <c r="U3228" s="2" t="s">
        <v>331</v>
      </c>
      <c r="V3228" s="2" t="s">
        <v>332</v>
      </c>
      <c r="W3228" s="2" t="s">
        <v>1207</v>
      </c>
      <c r="X3228" s="2" t="s">
        <v>147</v>
      </c>
      <c r="Y3228" s="2">
        <v>39.200000000000003</v>
      </c>
      <c r="Z3228" s="2">
        <v>0</v>
      </c>
      <c r="AA3228" s="2" t="s">
        <v>218</v>
      </c>
      <c r="AB3228" s="2" t="s">
        <v>1889</v>
      </c>
      <c r="AC3228" s="2">
        <v>0.25425044326166402</v>
      </c>
      <c r="AD3228" s="2"/>
      <c r="AE3228" s="2">
        <v>0.18019590873807101</v>
      </c>
      <c r="AF3228" s="2">
        <v>2120.7992923428501</v>
      </c>
      <c r="AG3228" s="2">
        <v>378.81155393526598</v>
      </c>
      <c r="AH3228" s="5">
        <v>5.5985602083965604</v>
      </c>
      <c r="AI3228" s="5">
        <v>2.4850558544417898</v>
      </c>
      <c r="AJ3228" s="5" t="s">
        <v>139</v>
      </c>
      <c r="AK3228" s="2">
        <v>0.24154175918681001</v>
      </c>
      <c r="AL3228" s="2">
        <v>0.56524770370204702</v>
      </c>
      <c r="AM3228" s="2">
        <v>118.051681479875</v>
      </c>
      <c r="AN3228" s="2">
        <v>8.559877937157E-6</v>
      </c>
      <c r="AO3228" s="2">
        <v>4811.7942933757404</v>
      </c>
      <c r="AP3228" s="2">
        <v>8.559877937157E-6</v>
      </c>
      <c r="AQ3228" s="2">
        <v>7794.9497535218297</v>
      </c>
      <c r="AR3228" s="2">
        <v>8.559877937157E-6</v>
      </c>
      <c r="AS3228" s="2">
        <v>943.27749585224501</v>
      </c>
      <c r="AT3228" s="2">
        <v>8.559877937157E-6</v>
      </c>
      <c r="AU3228" s="2">
        <v>1329.5917935198399</v>
      </c>
      <c r="AV3228" s="2">
        <v>8.559877937157E-6</v>
      </c>
      <c r="AW3228" s="2">
        <v>8.559877937157E-6</v>
      </c>
      <c r="AX3228" s="2">
        <v>8.559877937157E-6</v>
      </c>
    </row>
    <row r="3229" spans="1:50" x14ac:dyDescent="0.25">
      <c r="A3229" s="2" t="s">
        <v>21504</v>
      </c>
      <c r="B3229" s="2">
        <v>207.124653068047</v>
      </c>
      <c r="C3229" s="2">
        <v>13.100099999999999</v>
      </c>
      <c r="D3229" s="2" t="s">
        <v>51</v>
      </c>
      <c r="E3229" s="2" t="s">
        <v>21505</v>
      </c>
      <c r="F3229" s="2">
        <v>209215</v>
      </c>
      <c r="G3229" s="3" t="str">
        <f>HYPERLINK("https://cloud.oebiotech.com/#/lm/network/209215", "https://cloud.oebiotech.com/#/lm/network/209215")</f>
        <v>https://cloud.oebiotech.com/#/lm/network/209215</v>
      </c>
      <c r="H3229" s="2" t="s">
        <v>21506</v>
      </c>
      <c r="I3229" s="2"/>
      <c r="J3229" s="2"/>
      <c r="K3229" s="2">
        <v>528366</v>
      </c>
      <c r="L3229" s="2"/>
      <c r="M3229" s="2"/>
      <c r="N3229" s="2"/>
      <c r="O3229" s="2"/>
      <c r="P3229" s="2"/>
      <c r="Q3229" s="2"/>
      <c r="R3229" s="2"/>
      <c r="S3229" s="2" t="s">
        <v>21507</v>
      </c>
      <c r="T3229" s="2" t="s">
        <v>21508</v>
      </c>
      <c r="U3229" s="2" t="s">
        <v>266</v>
      </c>
      <c r="V3229" s="2" t="s">
        <v>2143</v>
      </c>
      <c r="W3229" s="2" t="s">
        <v>6504</v>
      </c>
      <c r="X3229" s="2" t="s">
        <v>147</v>
      </c>
      <c r="Y3229" s="2">
        <v>37.700000000000003</v>
      </c>
      <c r="Z3229" s="2">
        <v>0</v>
      </c>
      <c r="AA3229" s="2" t="s">
        <v>512</v>
      </c>
      <c r="AB3229" s="2" t="s">
        <v>21509</v>
      </c>
      <c r="AC3229" s="2">
        <v>3.2553314652705998</v>
      </c>
      <c r="AD3229" s="2"/>
      <c r="AE3229" s="2">
        <v>0.18009193515870001</v>
      </c>
      <c r="AF3229" s="2">
        <v>5391.3534032877797</v>
      </c>
      <c r="AG3229" s="2">
        <v>6209.1867011036802</v>
      </c>
      <c r="AH3229" s="4">
        <v>0.86828656679456495</v>
      </c>
      <c r="AI3229" s="4">
        <v>-0.20375683071700701</v>
      </c>
      <c r="AJ3229" s="4" t="s">
        <v>62</v>
      </c>
      <c r="AK3229" s="2">
        <v>3.0092404045235999E-2</v>
      </c>
      <c r="AL3229" s="2">
        <v>0.259678201768265</v>
      </c>
      <c r="AM3229" s="2">
        <v>4943.7660209505202</v>
      </c>
      <c r="AN3229" s="2">
        <v>6095.3524120090897</v>
      </c>
      <c r="AO3229" s="2">
        <v>5459.9740786672401</v>
      </c>
      <c r="AP3229" s="2">
        <v>5806.5836135994396</v>
      </c>
      <c r="AQ3229" s="2">
        <v>4788.7813058747997</v>
      </c>
      <c r="AR3229" s="2">
        <v>5253.6629886256096</v>
      </c>
      <c r="AS3229" s="2">
        <v>6402.4781677250503</v>
      </c>
      <c r="AT3229" s="2">
        <v>6475.3458779474204</v>
      </c>
      <c r="AU3229" s="2">
        <v>5180.7037119954502</v>
      </c>
      <c r="AV3229" s="2">
        <v>5879.5031512920696</v>
      </c>
      <c r="AW3229" s="2">
        <v>6333.0714745900896</v>
      </c>
      <c r="AX3229" s="2">
        <v>6984.0178230720003</v>
      </c>
    </row>
    <row r="3230" spans="1:50" x14ac:dyDescent="0.25">
      <c r="A3230" s="2" t="s">
        <v>21510</v>
      </c>
      <c r="B3230" s="2">
        <v>130.05000000000001</v>
      </c>
      <c r="C3230" s="2">
        <v>8.9529999999999994</v>
      </c>
      <c r="D3230" s="2" t="s">
        <v>125</v>
      </c>
      <c r="E3230" s="2" t="s">
        <v>21511</v>
      </c>
      <c r="F3230" s="2">
        <v>2495</v>
      </c>
      <c r="G3230" s="3" t="str">
        <f>HYPERLINK("https://cloud.oebiotech.com/#/lm/network/2495", "https://cloud.oebiotech.com/#/lm/network/2495")</f>
        <v>https://cloud.oebiotech.com/#/lm/network/2495</v>
      </c>
      <c r="H3230" s="2" t="s">
        <v>21512</v>
      </c>
      <c r="I3230" s="2">
        <v>37</v>
      </c>
      <c r="J3230" s="2" t="s">
        <v>21513</v>
      </c>
      <c r="K3230" s="2">
        <v>6119</v>
      </c>
      <c r="L3230" s="2" t="s">
        <v>21514</v>
      </c>
      <c r="M3230" s="2"/>
      <c r="N3230" s="2"/>
      <c r="O3230" s="2">
        <v>27971</v>
      </c>
      <c r="P3230" s="2"/>
      <c r="Q3230" s="2"/>
      <c r="R3230" s="2" t="s">
        <v>21515</v>
      </c>
      <c r="S3230" s="2" t="s">
        <v>21516</v>
      </c>
      <c r="T3230" s="2" t="s">
        <v>21517</v>
      </c>
      <c r="U3230" s="2" t="s">
        <v>103</v>
      </c>
      <c r="V3230" s="2" t="s">
        <v>104</v>
      </c>
      <c r="W3230" s="2" t="s">
        <v>105</v>
      </c>
      <c r="X3230" s="2" t="s">
        <v>69</v>
      </c>
      <c r="Y3230" s="2">
        <v>91.6</v>
      </c>
      <c r="Z3230" s="2">
        <v>86.1</v>
      </c>
      <c r="AA3230" s="2"/>
      <c r="AB3230" s="2" t="s">
        <v>12676</v>
      </c>
      <c r="AC3230" s="2"/>
      <c r="AD3230" s="2">
        <v>300955.21043272101</v>
      </c>
      <c r="AE3230" s="2">
        <v>0.179908685527012</v>
      </c>
      <c r="AF3230" s="2">
        <v>6764.6714802854203</v>
      </c>
      <c r="AG3230" s="2">
        <v>18593.794415078399</v>
      </c>
      <c r="AH3230" s="4">
        <v>0.363813395441207</v>
      </c>
      <c r="AI3230" s="4">
        <v>-1.45872943155487</v>
      </c>
      <c r="AJ3230" s="4" t="s">
        <v>62</v>
      </c>
      <c r="AK3230" s="2">
        <v>0.275855045655516</v>
      </c>
      <c r="AL3230" s="2">
        <v>0.59597940540640404</v>
      </c>
      <c r="AM3230" s="2">
        <v>2299.8352172700202</v>
      </c>
      <c r="AN3230" s="2">
        <v>2299.8352172700202</v>
      </c>
      <c r="AO3230" s="2">
        <v>8499.2303138067691</v>
      </c>
      <c r="AP3230" s="2">
        <v>22889.457698825699</v>
      </c>
      <c r="AQ3230" s="2">
        <v>2299.8352172700202</v>
      </c>
      <c r="AR3230" s="2">
        <v>2299.8352172700202</v>
      </c>
      <c r="AS3230" s="2">
        <v>36294.803051330498</v>
      </c>
      <c r="AT3230" s="2">
        <v>5470.4087648295399</v>
      </c>
      <c r="AU3230" s="2">
        <v>2299.8352172700202</v>
      </c>
      <c r="AV3230" s="2">
        <v>2299.8352172700202</v>
      </c>
      <c r="AW3230" s="2">
        <v>6066.8333905905001</v>
      </c>
      <c r="AX3230" s="2">
        <v>59131.050849179701</v>
      </c>
    </row>
    <row r="3231" spans="1:50" x14ac:dyDescent="0.25">
      <c r="A3231" s="2" t="s">
        <v>21518</v>
      </c>
      <c r="B3231" s="2">
        <v>417.17008015061498</v>
      </c>
      <c r="C3231" s="2">
        <v>4.6486833333333299</v>
      </c>
      <c r="D3231" s="2" t="s">
        <v>51</v>
      </c>
      <c r="E3231" s="2" t="s">
        <v>21519</v>
      </c>
      <c r="F3231" s="2">
        <v>200200</v>
      </c>
      <c r="G3231" s="3" t="str">
        <f>HYPERLINK("https://cloud.oebiotech.com/#/lm/network/200200", "https://cloud.oebiotech.com/#/lm/network/200200")</f>
        <v>https://cloud.oebiotech.com/#/lm/network/200200</v>
      </c>
      <c r="H3231" s="2" t="s">
        <v>21520</v>
      </c>
      <c r="I3231" s="2"/>
      <c r="J3231" s="2"/>
      <c r="K3231" s="2"/>
      <c r="L3231" s="2"/>
      <c r="M3231" s="2"/>
      <c r="N3231" s="2"/>
      <c r="O3231" s="2"/>
      <c r="P3231" s="2"/>
      <c r="Q3231" s="2"/>
      <c r="R3231" s="2"/>
      <c r="S3231" s="2" t="s">
        <v>21521</v>
      </c>
      <c r="T3231" s="2" t="s">
        <v>21522</v>
      </c>
      <c r="U3231" s="2" t="s">
        <v>56</v>
      </c>
      <c r="V3231" s="2" t="s">
        <v>283</v>
      </c>
      <c r="W3231" s="2" t="s">
        <v>2305</v>
      </c>
      <c r="X3231" s="2" t="s">
        <v>147</v>
      </c>
      <c r="Y3231" s="2">
        <v>42.5</v>
      </c>
      <c r="Z3231" s="2">
        <v>26.7</v>
      </c>
      <c r="AA3231" s="2" t="s">
        <v>95</v>
      </c>
      <c r="AB3231" s="2" t="s">
        <v>21523</v>
      </c>
      <c r="AC3231" s="2">
        <v>-1.35873811308418</v>
      </c>
      <c r="AD3231" s="2"/>
      <c r="AE3231" s="2">
        <v>0.179763642118698</v>
      </c>
      <c r="AF3231" s="2">
        <v>2504.3162258761699</v>
      </c>
      <c r="AG3231" s="2">
        <v>1053.84131769037</v>
      </c>
      <c r="AH3231" s="5">
        <v>2.3763693677950402</v>
      </c>
      <c r="AI3231" s="5">
        <v>1.2487590969425</v>
      </c>
      <c r="AJ3231" s="5" t="s">
        <v>139</v>
      </c>
      <c r="AK3231" s="2">
        <v>0.466039199036066</v>
      </c>
      <c r="AL3231" s="2">
        <v>0.71329029553543499</v>
      </c>
      <c r="AM3231" s="2">
        <v>11127.677287097</v>
      </c>
      <c r="AN3231" s="2">
        <v>8.559877937157E-6</v>
      </c>
      <c r="AO3231" s="2">
        <v>8.559877937157E-6</v>
      </c>
      <c r="AP3231" s="2">
        <v>3871.2333570149899</v>
      </c>
      <c r="AQ3231" s="2">
        <v>8.559877937157E-6</v>
      </c>
      <c r="AR3231" s="2">
        <v>26.9866854653865</v>
      </c>
      <c r="AS3231" s="2">
        <v>3336.3733525446401</v>
      </c>
      <c r="AT3231" s="2">
        <v>8.559877937157E-6</v>
      </c>
      <c r="AU3231" s="2">
        <v>145.39018485354501</v>
      </c>
      <c r="AV3231" s="2">
        <v>8.559877937157E-6</v>
      </c>
      <c r="AW3231" s="2">
        <v>1109.67627099981</v>
      </c>
      <c r="AX3231" s="2">
        <v>1731.60808062449</v>
      </c>
    </row>
    <row r="3232" spans="1:50" x14ac:dyDescent="0.25">
      <c r="A3232" s="2" t="s">
        <v>21524</v>
      </c>
      <c r="B3232" s="2">
        <v>444.33338415475299</v>
      </c>
      <c r="C3232" s="2">
        <v>10.09835</v>
      </c>
      <c r="D3232" s="2" t="s">
        <v>51</v>
      </c>
      <c r="E3232" s="2" t="s">
        <v>21525</v>
      </c>
      <c r="F3232" s="2">
        <v>197408</v>
      </c>
      <c r="G3232" s="3" t="str">
        <f>HYPERLINK("https://cloud.oebiotech.com/#/lm/network/197408", "https://cloud.oebiotech.com/#/lm/network/197408")</f>
        <v>https://cloud.oebiotech.com/#/lm/network/197408</v>
      </c>
      <c r="H3232" s="2" t="s">
        <v>21526</v>
      </c>
      <c r="I3232" s="2"/>
      <c r="J3232" s="2"/>
      <c r="K3232" s="2"/>
      <c r="L3232" s="2"/>
      <c r="M3232" s="2"/>
      <c r="N3232" s="2"/>
      <c r="O3232" s="2"/>
      <c r="P3232" s="2"/>
      <c r="Q3232" s="2"/>
      <c r="R3232" s="2"/>
      <c r="S3232" s="2" t="s">
        <v>21527</v>
      </c>
      <c r="T3232" s="2" t="s">
        <v>21528</v>
      </c>
      <c r="U3232" s="2" t="s">
        <v>56</v>
      </c>
      <c r="V3232" s="2" t="s">
        <v>145</v>
      </c>
      <c r="W3232" s="2" t="s">
        <v>1188</v>
      </c>
      <c r="X3232" s="2" t="s">
        <v>83</v>
      </c>
      <c r="Y3232" s="2">
        <v>40.5</v>
      </c>
      <c r="Z3232" s="2">
        <v>0</v>
      </c>
      <c r="AA3232" s="2" t="s">
        <v>218</v>
      </c>
      <c r="AB3232" s="2" t="s">
        <v>5023</v>
      </c>
      <c r="AC3232" s="2">
        <v>0.80723872625521897</v>
      </c>
      <c r="AD3232" s="2"/>
      <c r="AE3232" s="2">
        <v>0.17975334056933001</v>
      </c>
      <c r="AF3232" s="2">
        <v>4946.1445809625102</v>
      </c>
      <c r="AG3232" s="2">
        <v>3748.0372272690902</v>
      </c>
      <c r="AH3232" s="5">
        <v>1.31966260766476</v>
      </c>
      <c r="AI3232" s="5">
        <v>0.40016912923013098</v>
      </c>
      <c r="AJ3232" s="5" t="s">
        <v>139</v>
      </c>
      <c r="AK3232" s="2">
        <v>0.48967048436060301</v>
      </c>
      <c r="AL3232" s="2">
        <v>0.73154848154225005</v>
      </c>
      <c r="AM3232" s="2">
        <v>11431.674747920501</v>
      </c>
      <c r="AN3232" s="2">
        <v>2559.43432682706</v>
      </c>
      <c r="AO3232" s="2">
        <v>5276.8083440702403</v>
      </c>
      <c r="AP3232" s="2">
        <v>5662.0340396309302</v>
      </c>
      <c r="AQ3232" s="2">
        <v>2630.3672733093599</v>
      </c>
      <c r="AR3232" s="2">
        <v>2116.5487540169602</v>
      </c>
      <c r="AS3232" s="2">
        <v>2098.6714143355498</v>
      </c>
      <c r="AT3232" s="2">
        <v>2048.2142105646099</v>
      </c>
      <c r="AU3232" s="2">
        <v>7005.9501942325196</v>
      </c>
      <c r="AV3232" s="2">
        <v>3189.2382943890302</v>
      </c>
      <c r="AW3232" s="2">
        <v>5689.5574717181898</v>
      </c>
      <c r="AX3232" s="2">
        <v>2456.5917783746499</v>
      </c>
    </row>
    <row r="3233" spans="1:50" x14ac:dyDescent="0.25">
      <c r="A3233" s="2" t="s">
        <v>21529</v>
      </c>
      <c r="B3233" s="2">
        <v>204.10230000000001</v>
      </c>
      <c r="C3233" s="2">
        <v>20.292000000000002</v>
      </c>
      <c r="D3233" s="2" t="s">
        <v>125</v>
      </c>
      <c r="E3233" s="2" t="s">
        <v>21530</v>
      </c>
      <c r="F3233" s="2">
        <v>83782</v>
      </c>
      <c r="G3233" s="3" t="str">
        <f>HYPERLINK("https://cloud.oebiotech.com/#/lm/network/83782", "https://cloud.oebiotech.com/#/lm/network/83782")</f>
        <v>https://cloud.oebiotech.com/#/lm/network/83782</v>
      </c>
      <c r="H3233" s="2" t="s">
        <v>21531</v>
      </c>
      <c r="I3233" s="2"/>
      <c r="J3233" s="2"/>
      <c r="K3233" s="2">
        <v>152867</v>
      </c>
      <c r="L3233" s="2"/>
      <c r="M3233" s="2"/>
      <c r="N3233" s="2"/>
      <c r="O3233" s="2"/>
      <c r="P3233" s="2"/>
      <c r="Q3233" s="2"/>
      <c r="R3233" s="2"/>
      <c r="S3233" s="2" t="s">
        <v>21532</v>
      </c>
      <c r="T3233" s="2" t="s">
        <v>21533</v>
      </c>
      <c r="U3233" s="2" t="s">
        <v>331</v>
      </c>
      <c r="V3233" s="2" t="s">
        <v>332</v>
      </c>
      <c r="W3233" s="2" t="s">
        <v>333</v>
      </c>
      <c r="X3233" s="2" t="s">
        <v>59</v>
      </c>
      <c r="Y3233" s="2">
        <v>79.599999999999994</v>
      </c>
      <c r="Z3233" s="2">
        <v>66.099999999999994</v>
      </c>
      <c r="AA3233" s="2"/>
      <c r="AB3233" s="2" t="s">
        <v>15384</v>
      </c>
      <c r="AC3233" s="2"/>
      <c r="AD3233" s="2">
        <v>683260.60542797495</v>
      </c>
      <c r="AE3233" s="2">
        <v>0.179708668013734</v>
      </c>
      <c r="AF3233" s="2">
        <v>24771.501346076999</v>
      </c>
      <c r="AG3233" s="2">
        <v>37013.317202432903</v>
      </c>
      <c r="AH3233" s="4">
        <v>0.66925915368776301</v>
      </c>
      <c r="AI3233" s="4">
        <v>-0.57936312864980399</v>
      </c>
      <c r="AJ3233" s="4" t="s">
        <v>62</v>
      </c>
      <c r="AK3233" s="2">
        <v>0.13921699845472099</v>
      </c>
      <c r="AL3233" s="2">
        <v>0.45923352345858398</v>
      </c>
      <c r="AM3233" s="2">
        <v>29401.0383246479</v>
      </c>
      <c r="AN3233" s="2">
        <v>26881.253981799498</v>
      </c>
      <c r="AO3233" s="2">
        <v>21535.9263106092</v>
      </c>
      <c r="AP3233" s="2">
        <v>12946.889829694401</v>
      </c>
      <c r="AQ3233" s="2">
        <v>6987.6923286031897</v>
      </c>
      <c r="AR3233" s="2">
        <v>50876.207301107803</v>
      </c>
      <c r="AS3233" s="2">
        <v>54550.291382869902</v>
      </c>
      <c r="AT3233" s="2">
        <v>38929.192254595197</v>
      </c>
      <c r="AU3233" s="2">
        <v>38149.353146924397</v>
      </c>
      <c r="AV3233" s="2">
        <v>38251.596098447102</v>
      </c>
      <c r="AW3233" s="2">
        <v>23307.043837994701</v>
      </c>
      <c r="AX3233" s="2">
        <v>28892.426493766401</v>
      </c>
    </row>
    <row r="3234" spans="1:50" x14ac:dyDescent="0.25">
      <c r="A3234" s="2" t="s">
        <v>21534</v>
      </c>
      <c r="B3234" s="2">
        <v>367.13747243562</v>
      </c>
      <c r="C3234" s="2">
        <v>7.2826500000000003</v>
      </c>
      <c r="D3234" s="2" t="s">
        <v>51</v>
      </c>
      <c r="E3234" s="2" t="s">
        <v>21535</v>
      </c>
      <c r="F3234" s="2">
        <v>64591</v>
      </c>
      <c r="G3234" s="3" t="str">
        <f>HYPERLINK("https://cloud.oebiotech.com/#/lm/network/64591", "https://cloud.oebiotech.com/#/lm/network/64591")</f>
        <v>https://cloud.oebiotech.com/#/lm/network/64591</v>
      </c>
      <c r="H3234" s="2" t="s">
        <v>21536</v>
      </c>
      <c r="I3234" s="2"/>
      <c r="J3234" s="2"/>
      <c r="K3234" s="2">
        <v>14427335</v>
      </c>
      <c r="L3234" s="2"/>
      <c r="M3234" s="2"/>
      <c r="N3234" s="2"/>
      <c r="O3234" s="2"/>
      <c r="P3234" s="2"/>
      <c r="Q3234" s="2"/>
      <c r="R3234" s="2" t="s">
        <v>21537</v>
      </c>
      <c r="S3234" s="2" t="s">
        <v>21538</v>
      </c>
      <c r="T3234" s="2" t="s">
        <v>21539</v>
      </c>
      <c r="U3234" s="2" t="s">
        <v>331</v>
      </c>
      <c r="V3234" s="2" t="s">
        <v>332</v>
      </c>
      <c r="W3234" s="2" t="s">
        <v>333</v>
      </c>
      <c r="X3234" s="2" t="s">
        <v>147</v>
      </c>
      <c r="Y3234" s="2">
        <v>38</v>
      </c>
      <c r="Z3234" s="2">
        <v>0.81799999999999995</v>
      </c>
      <c r="AA3234" s="2" t="s">
        <v>95</v>
      </c>
      <c r="AB3234" s="2" t="s">
        <v>21540</v>
      </c>
      <c r="AC3234" s="2">
        <v>3.2951880200873198</v>
      </c>
      <c r="AD3234" s="2"/>
      <c r="AE3234" s="2">
        <v>0.17968581024227701</v>
      </c>
      <c r="AF3234" s="2">
        <v>6813.59374496893</v>
      </c>
      <c r="AG3234" s="2">
        <v>7748.3505637625103</v>
      </c>
      <c r="AH3234" s="4">
        <v>0.87936054117565998</v>
      </c>
      <c r="AI3234" s="4">
        <v>-0.18547329775572</v>
      </c>
      <c r="AJ3234" s="4" t="s">
        <v>62</v>
      </c>
      <c r="AK3234" s="2">
        <v>2.5586641551443599E-2</v>
      </c>
      <c r="AL3234" s="2">
        <v>0.24580564869081001</v>
      </c>
      <c r="AM3234" s="2">
        <v>6200.9607375672304</v>
      </c>
      <c r="AN3234" s="2">
        <v>7984.5737375934696</v>
      </c>
      <c r="AO3234" s="2">
        <v>6654.9564806152403</v>
      </c>
      <c r="AP3234" s="2">
        <v>7232.8636360620303</v>
      </c>
      <c r="AQ3234" s="2">
        <v>6195.5976434782397</v>
      </c>
      <c r="AR3234" s="2">
        <v>6612.6102344973597</v>
      </c>
      <c r="AS3234" s="2">
        <v>7946.0653283658403</v>
      </c>
      <c r="AT3234" s="2">
        <v>8420.1339024645495</v>
      </c>
      <c r="AU3234" s="2">
        <v>7415.8439174431996</v>
      </c>
      <c r="AV3234" s="2">
        <v>6993.1736747319001</v>
      </c>
      <c r="AW3234" s="2">
        <v>7501.6699009856802</v>
      </c>
      <c r="AX3234" s="2">
        <v>8213.2166585838695</v>
      </c>
    </row>
    <row r="3235" spans="1:50" x14ac:dyDescent="0.25">
      <c r="A3235" s="2" t="s">
        <v>21541</v>
      </c>
      <c r="B3235" s="2">
        <v>273.08551851822398</v>
      </c>
      <c r="C3235" s="2">
        <v>5.2022000000000004</v>
      </c>
      <c r="D3235" s="2" t="s">
        <v>51</v>
      </c>
      <c r="E3235" s="2" t="s">
        <v>21542</v>
      </c>
      <c r="F3235" s="2">
        <v>197063</v>
      </c>
      <c r="G3235" s="3" t="str">
        <f>HYPERLINK("https://cloud.oebiotech.com/#/lm/network/197063", "https://cloud.oebiotech.com/#/lm/network/197063")</f>
        <v>https://cloud.oebiotech.com/#/lm/network/197063</v>
      </c>
      <c r="H3235" s="2" t="s">
        <v>21543</v>
      </c>
      <c r="I3235" s="2"/>
      <c r="J3235" s="2"/>
      <c r="K3235" s="2">
        <v>54201144</v>
      </c>
      <c r="L3235" s="2"/>
      <c r="M3235" s="2"/>
      <c r="N3235" s="2"/>
      <c r="O3235" s="2"/>
      <c r="P3235" s="2"/>
      <c r="Q3235" s="2"/>
      <c r="R3235" s="2" t="s">
        <v>21544</v>
      </c>
      <c r="S3235" s="2" t="s">
        <v>21545</v>
      </c>
      <c r="T3235" s="2" t="s">
        <v>21546</v>
      </c>
      <c r="U3235" s="2" t="s">
        <v>331</v>
      </c>
      <c r="V3235" s="2" t="s">
        <v>332</v>
      </c>
      <c r="W3235" s="2" t="s">
        <v>1207</v>
      </c>
      <c r="X3235" s="2" t="s">
        <v>147</v>
      </c>
      <c r="Y3235" s="2">
        <v>41.7</v>
      </c>
      <c r="Z3235" s="2">
        <v>15.9</v>
      </c>
      <c r="AA3235" s="2" t="s">
        <v>106</v>
      </c>
      <c r="AB3235" s="2" t="s">
        <v>21547</v>
      </c>
      <c r="AC3235" s="2">
        <v>3.76217062141296</v>
      </c>
      <c r="AD3235" s="2"/>
      <c r="AE3235" s="2">
        <v>0.179683750349524</v>
      </c>
      <c r="AF3235" s="2">
        <v>28716.9047117263</v>
      </c>
      <c r="AG3235" s="2">
        <v>29693.9471998638</v>
      </c>
      <c r="AH3235" s="4">
        <v>0.96709624080755596</v>
      </c>
      <c r="AI3235" s="4">
        <v>-4.8268627908193598E-2</v>
      </c>
      <c r="AJ3235" s="4" t="s">
        <v>62</v>
      </c>
      <c r="AK3235" s="2">
        <v>0.940417873880667</v>
      </c>
      <c r="AL3235" s="2">
        <v>0.97473130538224795</v>
      </c>
      <c r="AM3235" s="2">
        <v>44665.793512489698</v>
      </c>
      <c r="AN3235" s="2">
        <v>30538.328954727702</v>
      </c>
      <c r="AO3235" s="2">
        <v>14705.647871036501</v>
      </c>
      <c r="AP3235" s="2">
        <v>34543.924700436699</v>
      </c>
      <c r="AQ3235" s="2">
        <v>36569.3333757043</v>
      </c>
      <c r="AR3235" s="2">
        <v>11278.3998559628</v>
      </c>
      <c r="AS3235" s="2">
        <v>7423.40091466376</v>
      </c>
      <c r="AT3235" s="2">
        <v>75675.256053663994</v>
      </c>
      <c r="AU3235" s="2">
        <v>54529.271864291703</v>
      </c>
      <c r="AV3235" s="2">
        <v>15676.1761885057</v>
      </c>
      <c r="AW3235" s="2">
        <v>11502.406493942401</v>
      </c>
      <c r="AX3235" s="2">
        <v>13357.171684114999</v>
      </c>
    </row>
    <row r="3236" spans="1:50" x14ac:dyDescent="0.25">
      <c r="A3236" s="2" t="s">
        <v>21548</v>
      </c>
      <c r="B3236" s="2">
        <v>1018.49251003412</v>
      </c>
      <c r="C3236" s="2">
        <v>4.0333666666666703</v>
      </c>
      <c r="D3236" s="2" t="s">
        <v>51</v>
      </c>
      <c r="E3236" s="2" t="s">
        <v>21549</v>
      </c>
      <c r="F3236" s="2">
        <v>226468</v>
      </c>
      <c r="G3236" s="3" t="str">
        <f>HYPERLINK("https://cloud.oebiotech.com/#/lm/network/226468", "https://cloud.oebiotech.com/#/lm/network/226468")</f>
        <v>https://cloud.oebiotech.com/#/lm/network/226468</v>
      </c>
      <c r="H3236" s="2" t="s">
        <v>21550</v>
      </c>
      <c r="I3236" s="2"/>
      <c r="J3236" s="2"/>
      <c r="K3236" s="2"/>
      <c r="L3236" s="2"/>
      <c r="M3236" s="2"/>
      <c r="N3236" s="2"/>
      <c r="O3236" s="2"/>
      <c r="P3236" s="2"/>
      <c r="Q3236" s="2"/>
      <c r="R3236" s="2"/>
      <c r="S3236" s="2" t="s">
        <v>21551</v>
      </c>
      <c r="T3236" s="2" t="s">
        <v>21552</v>
      </c>
      <c r="U3236" s="2" t="s">
        <v>56</v>
      </c>
      <c r="V3236" s="2" t="s">
        <v>145</v>
      </c>
      <c r="W3236" s="2" t="s">
        <v>187</v>
      </c>
      <c r="X3236" s="2" t="s">
        <v>147</v>
      </c>
      <c r="Y3236" s="2">
        <v>41.9</v>
      </c>
      <c r="Z3236" s="2">
        <v>30.3</v>
      </c>
      <c r="AA3236" s="2" t="s">
        <v>379</v>
      </c>
      <c r="AB3236" s="2" t="s">
        <v>21553</v>
      </c>
      <c r="AC3236" s="2">
        <v>3.7794950454029701</v>
      </c>
      <c r="AD3236" s="2"/>
      <c r="AE3236" s="2">
        <v>0.17964253045636</v>
      </c>
      <c r="AF3236" s="2">
        <v>5795.7059981791699</v>
      </c>
      <c r="AG3236" s="2">
        <v>3347.6968176414998</v>
      </c>
      <c r="AH3236" s="5">
        <v>1.7312517572192601</v>
      </c>
      <c r="AI3236" s="5">
        <v>0.79181553549697403</v>
      </c>
      <c r="AJ3236" s="5" t="s">
        <v>139</v>
      </c>
      <c r="AK3236" s="2">
        <v>0.460716759242211</v>
      </c>
      <c r="AL3236" s="2">
        <v>0.71040092022659995</v>
      </c>
      <c r="AM3236" s="2">
        <v>7638.1575629297904</v>
      </c>
      <c r="AN3236" s="2">
        <v>6533.7388021463103</v>
      </c>
      <c r="AO3236" s="2">
        <v>8194.3883478299704</v>
      </c>
      <c r="AP3236" s="2">
        <v>8.559877937157E-6</v>
      </c>
      <c r="AQ3236" s="2">
        <v>1127.7253138885801</v>
      </c>
      <c r="AR3236" s="2">
        <v>11280.225953720499</v>
      </c>
      <c r="AS3236" s="2">
        <v>8.559877937157E-6</v>
      </c>
      <c r="AT3236" s="2">
        <v>8.559877937157E-6</v>
      </c>
      <c r="AU3236" s="2">
        <v>855.12251326405897</v>
      </c>
      <c r="AV3236" s="2">
        <v>16526.455372684501</v>
      </c>
      <c r="AW3236" s="2">
        <v>1516.6026181376701</v>
      </c>
      <c r="AX3236" s="2">
        <v>1188.00038464302</v>
      </c>
    </row>
    <row r="3237" spans="1:50" x14ac:dyDescent="0.25">
      <c r="A3237" s="2" t="s">
        <v>21554</v>
      </c>
      <c r="B3237" s="2">
        <v>511.00184984020098</v>
      </c>
      <c r="C3237" s="2">
        <v>14.6727166666667</v>
      </c>
      <c r="D3237" s="2" t="s">
        <v>51</v>
      </c>
      <c r="E3237" s="2" t="s">
        <v>21555</v>
      </c>
      <c r="F3237" s="2">
        <v>197124</v>
      </c>
      <c r="G3237" s="3" t="str">
        <f>HYPERLINK("https://cloud.oebiotech.com/#/lm/network/197124", "https://cloud.oebiotech.com/#/lm/network/197124")</f>
        <v>https://cloud.oebiotech.com/#/lm/network/197124</v>
      </c>
      <c r="H3237" s="2" t="s">
        <v>21556</v>
      </c>
      <c r="I3237" s="2">
        <v>4083</v>
      </c>
      <c r="J3237" s="2"/>
      <c r="K3237" s="2">
        <v>84843</v>
      </c>
      <c r="L3237" s="2" t="s">
        <v>21557</v>
      </c>
      <c r="M3237" s="2"/>
      <c r="N3237" s="2"/>
      <c r="O3237" s="2">
        <v>1905</v>
      </c>
      <c r="P3237" s="2"/>
      <c r="Q3237" s="2"/>
      <c r="R3237" s="2" t="s">
        <v>21558</v>
      </c>
      <c r="S3237" s="2" t="s">
        <v>21559</v>
      </c>
      <c r="T3237" s="2" t="s">
        <v>21560</v>
      </c>
      <c r="U3237" s="2" t="s">
        <v>540</v>
      </c>
      <c r="V3237" s="2" t="s">
        <v>1826</v>
      </c>
      <c r="W3237" s="2" t="s">
        <v>240</v>
      </c>
      <c r="X3237" s="2" t="s">
        <v>147</v>
      </c>
      <c r="Y3237" s="2">
        <v>37.1</v>
      </c>
      <c r="Z3237" s="2">
        <v>0</v>
      </c>
      <c r="AA3237" s="2" t="s">
        <v>478</v>
      </c>
      <c r="AB3237" s="2" t="s">
        <v>21561</v>
      </c>
      <c r="AC3237" s="2">
        <v>1.5787328702799299</v>
      </c>
      <c r="AD3237" s="2"/>
      <c r="AE3237" s="2">
        <v>0.17938708893104199</v>
      </c>
      <c r="AF3237" s="2">
        <v>7090.4045308874101</v>
      </c>
      <c r="AG3237" s="2">
        <v>8092.8280437215999</v>
      </c>
      <c r="AH3237" s="4">
        <v>0.87613433679566799</v>
      </c>
      <c r="AI3237" s="4">
        <v>-0.19077600112251</v>
      </c>
      <c r="AJ3237" s="4" t="s">
        <v>62</v>
      </c>
      <c r="AK3237" s="2">
        <v>6.0626545182266602E-2</v>
      </c>
      <c r="AL3237" s="2">
        <v>0.33204778482206299</v>
      </c>
      <c r="AM3237" s="2">
        <v>6574.5967339589597</v>
      </c>
      <c r="AN3237" s="2">
        <v>7183.1645785255296</v>
      </c>
      <c r="AO3237" s="2">
        <v>6880.8686615735496</v>
      </c>
      <c r="AP3237" s="2">
        <v>7228.7276725832598</v>
      </c>
      <c r="AQ3237" s="2">
        <v>7021.0239942674898</v>
      </c>
      <c r="AR3237" s="2">
        <v>7654.0455444156796</v>
      </c>
      <c r="AS3237" s="2">
        <v>9227.46146619299</v>
      </c>
      <c r="AT3237" s="2">
        <v>9218.3647324407993</v>
      </c>
      <c r="AU3237" s="2">
        <v>7322.7543273733199</v>
      </c>
      <c r="AV3237" s="2">
        <v>7524.8608967124601</v>
      </c>
      <c r="AW3237" s="2">
        <v>6585.3620073018701</v>
      </c>
      <c r="AX3237" s="2">
        <v>8678.1648323081699</v>
      </c>
    </row>
    <row r="3238" spans="1:50" x14ac:dyDescent="0.25">
      <c r="A3238" s="2" t="s">
        <v>21562</v>
      </c>
      <c r="B3238" s="2">
        <v>244.05414150750201</v>
      </c>
      <c r="C3238" s="2">
        <v>1.27196666666667</v>
      </c>
      <c r="D3238" s="2" t="s">
        <v>51</v>
      </c>
      <c r="E3238" s="2" t="s">
        <v>21563</v>
      </c>
      <c r="F3238" s="2">
        <v>202751</v>
      </c>
      <c r="G3238" s="3" t="str">
        <f>HYPERLINK("https://cloud.oebiotech.com/#/lm/network/202751", "https://cloud.oebiotech.com/#/lm/network/202751")</f>
        <v>https://cloud.oebiotech.com/#/lm/network/202751</v>
      </c>
      <c r="H3238" s="2" t="s">
        <v>21564</v>
      </c>
      <c r="I3238" s="2">
        <v>829362</v>
      </c>
      <c r="J3238" s="2"/>
      <c r="K3238" s="2">
        <v>53471774</v>
      </c>
      <c r="L3238" s="2"/>
      <c r="M3238" s="2"/>
      <c r="N3238" s="2"/>
      <c r="O3238" s="2"/>
      <c r="P3238" s="2"/>
      <c r="Q3238" s="2"/>
      <c r="R3238" s="2"/>
      <c r="S3238" s="2" t="s">
        <v>21565</v>
      </c>
      <c r="T3238" s="2" t="s">
        <v>21566</v>
      </c>
      <c r="U3238" s="2" t="s">
        <v>119</v>
      </c>
      <c r="V3238" s="2" t="s">
        <v>120</v>
      </c>
      <c r="W3238" s="2" t="s">
        <v>3243</v>
      </c>
      <c r="X3238" s="2" t="s">
        <v>147</v>
      </c>
      <c r="Y3238" s="2">
        <v>36.6</v>
      </c>
      <c r="Z3238" s="2">
        <v>0</v>
      </c>
      <c r="AA3238" s="2" t="s">
        <v>95</v>
      </c>
      <c r="AB3238" s="2" t="s">
        <v>21567</v>
      </c>
      <c r="AC3238" s="2">
        <v>-3.31705759891745</v>
      </c>
      <c r="AD3238" s="2"/>
      <c r="AE3238" s="2">
        <v>0.179134294215433</v>
      </c>
      <c r="AF3238" s="2">
        <v>6399.2716282029696</v>
      </c>
      <c r="AG3238" s="2">
        <v>7585.0828692855202</v>
      </c>
      <c r="AH3238" s="4">
        <v>0.84366535454948199</v>
      </c>
      <c r="AI3238" s="4">
        <v>-0.245257237033635</v>
      </c>
      <c r="AJ3238" s="4" t="s">
        <v>62</v>
      </c>
      <c r="AK3238" s="2">
        <v>0.26799279858675701</v>
      </c>
      <c r="AL3238" s="2">
        <v>0.58906821370217599</v>
      </c>
      <c r="AM3238" s="2">
        <v>5927.1887555426501</v>
      </c>
      <c r="AN3238" s="2">
        <v>6773.9678222074599</v>
      </c>
      <c r="AO3238" s="2">
        <v>4701.4289937109297</v>
      </c>
      <c r="AP3238" s="2">
        <v>8013.84361808214</v>
      </c>
      <c r="AQ3238" s="2">
        <v>6173.3999738651401</v>
      </c>
      <c r="AR3238" s="2">
        <v>6805.8006058094797</v>
      </c>
      <c r="AS3238" s="2">
        <v>6178.1341394532901</v>
      </c>
      <c r="AT3238" s="2">
        <v>6225.6081429302503</v>
      </c>
      <c r="AU3238" s="2">
        <v>7911.0148489212197</v>
      </c>
      <c r="AV3238" s="2">
        <v>5836.3660462697298</v>
      </c>
      <c r="AW3238" s="2">
        <v>11780.288562792701</v>
      </c>
      <c r="AX3238" s="2">
        <v>7579.0854753459198</v>
      </c>
    </row>
    <row r="3239" spans="1:50" x14ac:dyDescent="0.25">
      <c r="A3239" s="2" t="s">
        <v>21568</v>
      </c>
      <c r="B3239" s="2">
        <v>323.25846371184502</v>
      </c>
      <c r="C3239" s="2">
        <v>11.0279666666667</v>
      </c>
      <c r="D3239" s="2" t="s">
        <v>51</v>
      </c>
      <c r="E3239" s="2" t="s">
        <v>21569</v>
      </c>
      <c r="F3239" s="2">
        <v>206597</v>
      </c>
      <c r="G3239" s="3" t="str">
        <f>HYPERLINK("https://cloud.oebiotech.com/#/lm/network/206597", "https://cloud.oebiotech.com/#/lm/network/206597")</f>
        <v>https://cloud.oebiotech.com/#/lm/network/206597</v>
      </c>
      <c r="H3239" s="2" t="s">
        <v>21570</v>
      </c>
      <c r="I3239" s="2"/>
      <c r="J3239" s="2"/>
      <c r="K3239" s="2">
        <v>3084042</v>
      </c>
      <c r="L3239" s="2"/>
      <c r="M3239" s="2"/>
      <c r="N3239" s="2"/>
      <c r="O3239" s="2"/>
      <c r="P3239" s="2"/>
      <c r="Q3239" s="2"/>
      <c r="R3239" s="2"/>
      <c r="S3239" s="2" t="s">
        <v>21571</v>
      </c>
      <c r="T3239" s="2" t="s">
        <v>21572</v>
      </c>
      <c r="U3239" s="2" t="s">
        <v>56</v>
      </c>
      <c r="V3239" s="2" t="s">
        <v>145</v>
      </c>
      <c r="W3239" s="2" t="s">
        <v>146</v>
      </c>
      <c r="X3239" s="2" t="s">
        <v>83</v>
      </c>
      <c r="Y3239" s="2">
        <v>44.8</v>
      </c>
      <c r="Z3239" s="2">
        <v>0</v>
      </c>
      <c r="AA3239" s="2" t="s">
        <v>379</v>
      </c>
      <c r="AB3239" s="2" t="s">
        <v>21573</v>
      </c>
      <c r="AC3239" s="2">
        <v>-2.05934092967115</v>
      </c>
      <c r="AD3239" s="2"/>
      <c r="AE3239" s="2">
        <v>0.17903969752302301</v>
      </c>
      <c r="AF3239" s="2">
        <v>4973.7287979560897</v>
      </c>
      <c r="AG3239" s="2">
        <v>3881.9565819742902</v>
      </c>
      <c r="AH3239" s="5">
        <v>1.28124276841513</v>
      </c>
      <c r="AI3239" s="5">
        <v>0.35754386178798397</v>
      </c>
      <c r="AJ3239" s="5" t="s">
        <v>139</v>
      </c>
      <c r="AK3239" s="2">
        <v>0.466115799215298</v>
      </c>
      <c r="AL3239" s="2">
        <v>0.71329029553543499</v>
      </c>
      <c r="AM3239" s="2">
        <v>9249.1806009368192</v>
      </c>
      <c r="AN3239" s="2">
        <v>4957.4612566435899</v>
      </c>
      <c r="AO3239" s="2">
        <v>3055.7364841479598</v>
      </c>
      <c r="AP3239" s="2">
        <v>3324.4816090384002</v>
      </c>
      <c r="AQ3239" s="2">
        <v>4303.0177967711397</v>
      </c>
      <c r="AR3239" s="2">
        <v>4952.4950401986298</v>
      </c>
      <c r="AS3239" s="2">
        <v>2374.65659830401</v>
      </c>
      <c r="AT3239" s="2">
        <v>1517.53604933822</v>
      </c>
      <c r="AU3239" s="2">
        <v>9023.0865921845198</v>
      </c>
      <c r="AV3239" s="2">
        <v>3106.6204108861298</v>
      </c>
      <c r="AW3239" s="2">
        <v>2600.0452006309101</v>
      </c>
      <c r="AX3239" s="2">
        <v>4669.7946405019302</v>
      </c>
    </row>
    <row r="3240" spans="1:50" x14ac:dyDescent="0.25">
      <c r="A3240" s="2" t="s">
        <v>21574</v>
      </c>
      <c r="B3240" s="2">
        <v>260.99368793139303</v>
      </c>
      <c r="C3240" s="2">
        <v>0.84924999999999995</v>
      </c>
      <c r="D3240" s="2" t="s">
        <v>51</v>
      </c>
      <c r="E3240" s="2" t="s">
        <v>21575</v>
      </c>
      <c r="F3240" s="2">
        <v>35239</v>
      </c>
      <c r="G3240" s="3" t="str">
        <f>HYPERLINK("https://cloud.oebiotech.com/#/lm/network/35239", "https://cloud.oebiotech.com/#/lm/network/35239")</f>
        <v>https://cloud.oebiotech.com/#/lm/network/35239</v>
      </c>
      <c r="H3240" s="2"/>
      <c r="I3240" s="2">
        <v>53272</v>
      </c>
      <c r="J3240" s="2" t="s">
        <v>21576</v>
      </c>
      <c r="K3240" s="2">
        <v>5281976</v>
      </c>
      <c r="L3240" s="2" t="s">
        <v>21577</v>
      </c>
      <c r="M3240" s="2" t="s">
        <v>1563</v>
      </c>
      <c r="N3240" s="2" t="s">
        <v>1564</v>
      </c>
      <c r="O3240" s="2">
        <v>15664</v>
      </c>
      <c r="P3240" s="2"/>
      <c r="Q3240" s="2"/>
      <c r="R3240" s="2"/>
      <c r="S3240" s="2" t="s">
        <v>21578</v>
      </c>
      <c r="T3240" s="2" t="s">
        <v>21579</v>
      </c>
      <c r="U3240" s="2" t="s">
        <v>56</v>
      </c>
      <c r="V3240" s="2" t="s">
        <v>177</v>
      </c>
      <c r="W3240" s="2" t="s">
        <v>18489</v>
      </c>
      <c r="X3240" s="2" t="s">
        <v>147</v>
      </c>
      <c r="Y3240" s="2">
        <v>38.4</v>
      </c>
      <c r="Z3240" s="2">
        <v>0</v>
      </c>
      <c r="AA3240" s="2" t="s">
        <v>163</v>
      </c>
      <c r="AB3240" s="2" t="s">
        <v>21580</v>
      </c>
      <c r="AC3240" s="2">
        <v>0.85405130024688203</v>
      </c>
      <c r="AD3240" s="2"/>
      <c r="AE3240" s="2">
        <v>0.17902890580497399</v>
      </c>
      <c r="AF3240" s="2">
        <v>7273.2876987677701</v>
      </c>
      <c r="AG3240" s="2">
        <v>6318.1465790715501</v>
      </c>
      <c r="AH3240" s="5">
        <v>1.1511742577894699</v>
      </c>
      <c r="AI3240" s="5">
        <v>0.20310623644145101</v>
      </c>
      <c r="AJ3240" s="5" t="s">
        <v>139</v>
      </c>
      <c r="AK3240" s="2">
        <v>0.29250211475670101</v>
      </c>
      <c r="AL3240" s="2">
        <v>0.60553329689908297</v>
      </c>
      <c r="AM3240" s="2">
        <v>8753.8560342560795</v>
      </c>
      <c r="AN3240" s="2">
        <v>9648.8639382683396</v>
      </c>
      <c r="AO3240" s="2">
        <v>7155.2180465743104</v>
      </c>
      <c r="AP3240" s="2">
        <v>7747.0834738414096</v>
      </c>
      <c r="AQ3240" s="2">
        <v>5593.1885693750901</v>
      </c>
      <c r="AR3240" s="2">
        <v>4741.5161302914003</v>
      </c>
      <c r="AS3240" s="2">
        <v>5582.2208607146504</v>
      </c>
      <c r="AT3240" s="2">
        <v>7019.7071026068797</v>
      </c>
      <c r="AU3240" s="2">
        <v>7161.8050242745303</v>
      </c>
      <c r="AV3240" s="2">
        <v>6006.2774325816399</v>
      </c>
      <c r="AW3240" s="2">
        <v>7272.3358024516201</v>
      </c>
      <c r="AX3240" s="2">
        <v>4866.5332518000096</v>
      </c>
    </row>
    <row r="3241" spans="1:50" x14ac:dyDescent="0.25">
      <c r="A3241" s="2" t="s">
        <v>21581</v>
      </c>
      <c r="B3241" s="2">
        <v>323.22264574351698</v>
      </c>
      <c r="C3241" s="2">
        <v>10.5959</v>
      </c>
      <c r="D3241" s="2" t="s">
        <v>51</v>
      </c>
      <c r="E3241" s="2" t="s">
        <v>21582</v>
      </c>
      <c r="F3241" s="2">
        <v>6329</v>
      </c>
      <c r="G3241" s="3" t="str">
        <f>HYPERLINK("https://cloud.oebiotech.com/#/lm/network/6329", "https://cloud.oebiotech.com/#/lm/network/6329")</f>
        <v>https://cloud.oebiotech.com/#/lm/network/6329</v>
      </c>
      <c r="H3241" s="2" t="s">
        <v>21583</v>
      </c>
      <c r="I3241" s="2">
        <v>43724</v>
      </c>
      <c r="J3241" s="2" t="s">
        <v>21584</v>
      </c>
      <c r="K3241" s="2">
        <v>6710762</v>
      </c>
      <c r="L3241" s="2"/>
      <c r="M3241" s="2"/>
      <c r="N3241" s="2"/>
      <c r="O3241" s="2"/>
      <c r="P3241" s="2"/>
      <c r="Q3241" s="2"/>
      <c r="R3241" s="2" t="s">
        <v>21585</v>
      </c>
      <c r="S3241" s="2" t="s">
        <v>21586</v>
      </c>
      <c r="T3241" s="2" t="s">
        <v>21587</v>
      </c>
      <c r="U3241" s="2" t="s">
        <v>56</v>
      </c>
      <c r="V3241" s="2" t="s">
        <v>145</v>
      </c>
      <c r="W3241" s="2" t="s">
        <v>146</v>
      </c>
      <c r="X3241" s="2" t="s">
        <v>83</v>
      </c>
      <c r="Y3241" s="2">
        <v>57.6</v>
      </c>
      <c r="Z3241" s="2">
        <v>0</v>
      </c>
      <c r="AA3241" s="2" t="s">
        <v>163</v>
      </c>
      <c r="AB3241" s="2" t="s">
        <v>12164</v>
      </c>
      <c r="AC3241" s="2">
        <v>-0.423554074239468</v>
      </c>
      <c r="AD3241" s="2"/>
      <c r="AE3241" s="2">
        <v>0.178845738617287</v>
      </c>
      <c r="AF3241" s="2">
        <v>7348.2115536300198</v>
      </c>
      <c r="AG3241" s="2">
        <v>5172.8841767776003</v>
      </c>
      <c r="AH3241" s="5">
        <v>1.4205250499553099</v>
      </c>
      <c r="AI3241" s="5">
        <v>0.50642427265919998</v>
      </c>
      <c r="AJ3241" s="5" t="s">
        <v>139</v>
      </c>
      <c r="AK3241" s="2">
        <v>0.28094856092287901</v>
      </c>
      <c r="AL3241" s="2">
        <v>0.59978920543246905</v>
      </c>
      <c r="AM3241" s="2">
        <v>3355.69603417398</v>
      </c>
      <c r="AN3241" s="2">
        <v>8491.4662405951094</v>
      </c>
      <c r="AO3241" s="2">
        <v>14120.576611312201</v>
      </c>
      <c r="AP3241" s="2">
        <v>9737.80240606396</v>
      </c>
      <c r="AQ3241" s="2">
        <v>4323.3589120418701</v>
      </c>
      <c r="AR3241" s="2">
        <v>4060.3691175929698</v>
      </c>
      <c r="AS3241" s="2">
        <v>8079.4338263875898</v>
      </c>
      <c r="AT3241" s="2">
        <v>3261.4157280602699</v>
      </c>
      <c r="AU3241" s="2">
        <v>5911.6640384674502</v>
      </c>
      <c r="AV3241" s="2">
        <v>2708.5043185280201</v>
      </c>
      <c r="AW3241" s="2">
        <v>6407.1597819148001</v>
      </c>
      <c r="AX3241" s="2">
        <v>4669.1273673074802</v>
      </c>
    </row>
    <row r="3242" spans="1:50" x14ac:dyDescent="0.25">
      <c r="A3242" s="2" t="s">
        <v>21588</v>
      </c>
      <c r="B3242" s="2">
        <v>180.06579977552099</v>
      </c>
      <c r="C3242" s="2">
        <v>4.2455333333333298</v>
      </c>
      <c r="D3242" s="2" t="s">
        <v>51</v>
      </c>
      <c r="E3242" s="2" t="s">
        <v>21589</v>
      </c>
      <c r="F3242" s="2">
        <v>51144</v>
      </c>
      <c r="G3242" s="3" t="str">
        <f>HYPERLINK("https://cloud.oebiotech.com/#/lm/network/51144", "https://cloud.oebiotech.com/#/lm/network/51144")</f>
        <v>https://cloud.oebiotech.com/#/lm/network/51144</v>
      </c>
      <c r="H3242" s="2" t="s">
        <v>21590</v>
      </c>
      <c r="I3242" s="2">
        <v>3260</v>
      </c>
      <c r="J3242" s="2"/>
      <c r="K3242" s="2">
        <v>7680</v>
      </c>
      <c r="L3242" s="2" t="s">
        <v>21591</v>
      </c>
      <c r="M3242" s="2" t="s">
        <v>5698</v>
      </c>
      <c r="N3242" s="2" t="s">
        <v>5699</v>
      </c>
      <c r="O3242" s="2">
        <v>16562</v>
      </c>
      <c r="P3242" s="2"/>
      <c r="Q3242" s="2"/>
      <c r="R3242" s="2" t="s">
        <v>21592</v>
      </c>
      <c r="S3242" s="2" t="s">
        <v>21593</v>
      </c>
      <c r="T3242" s="2" t="s">
        <v>21594</v>
      </c>
      <c r="U3242" s="2" t="s">
        <v>610</v>
      </c>
      <c r="V3242" s="2" t="s">
        <v>611</v>
      </c>
      <c r="W3242" s="2" t="s">
        <v>21595</v>
      </c>
      <c r="X3242" s="2" t="s">
        <v>83</v>
      </c>
      <c r="Y3242" s="2">
        <v>39.6</v>
      </c>
      <c r="Z3242" s="2">
        <v>0</v>
      </c>
      <c r="AA3242" s="2" t="s">
        <v>218</v>
      </c>
      <c r="AB3242" s="2" t="s">
        <v>21596</v>
      </c>
      <c r="AC3242" s="2">
        <v>-6.0488418047901797</v>
      </c>
      <c r="AD3242" s="2"/>
      <c r="AE3242" s="2">
        <v>0.178687221486589</v>
      </c>
      <c r="AF3242" s="2">
        <v>210.83959156552601</v>
      </c>
      <c r="AG3242" s="2">
        <v>1029.8636114629101</v>
      </c>
      <c r="AH3242" s="4">
        <v>0.204725741563032</v>
      </c>
      <c r="AI3242" s="4">
        <v>-2.2882355812389101</v>
      </c>
      <c r="AJ3242" s="4" t="s">
        <v>62</v>
      </c>
      <c r="AK3242" s="2">
        <v>4.63105022274738E-2</v>
      </c>
      <c r="AL3242" s="2">
        <v>0.303077969035141</v>
      </c>
      <c r="AM3242" s="2">
        <v>52.696126619249398</v>
      </c>
      <c r="AN3242" s="2">
        <v>255.287357168733</v>
      </c>
      <c r="AO3242" s="2">
        <v>8.559877937157E-6</v>
      </c>
      <c r="AP3242" s="2">
        <v>642.66874237323395</v>
      </c>
      <c r="AQ3242" s="2">
        <v>124.434972507368</v>
      </c>
      <c r="AR3242" s="2">
        <v>189.95034216469199</v>
      </c>
      <c r="AS3242" s="2">
        <v>1012.59807487173</v>
      </c>
      <c r="AT3242" s="2">
        <v>8.559877937157E-6</v>
      </c>
      <c r="AU3242" s="2">
        <v>1608.1557225696899</v>
      </c>
      <c r="AV3242" s="2">
        <v>2342.8409370074201</v>
      </c>
      <c r="AW3242" s="2">
        <v>331.46988206031699</v>
      </c>
      <c r="AX3242" s="2">
        <v>884.11704370839698</v>
      </c>
    </row>
    <row r="3243" spans="1:50" x14ac:dyDescent="0.25">
      <c r="A3243" s="2" t="s">
        <v>21597</v>
      </c>
      <c r="B3243" s="2">
        <v>218.13933482629801</v>
      </c>
      <c r="C3243" s="2">
        <v>4.23708333333333</v>
      </c>
      <c r="D3243" s="2" t="s">
        <v>51</v>
      </c>
      <c r="E3243" s="2" t="s">
        <v>21598</v>
      </c>
      <c r="F3243" s="2">
        <v>55678</v>
      </c>
      <c r="G3243" s="3" t="str">
        <f>HYPERLINK("https://cloud.oebiotech.com/#/lm/network/55678", "https://cloud.oebiotech.com/#/lm/network/55678")</f>
        <v>https://cloud.oebiotech.com/#/lm/network/55678</v>
      </c>
      <c r="H3243" s="2" t="s">
        <v>21599</v>
      </c>
      <c r="I3243" s="2">
        <v>87334</v>
      </c>
      <c r="J3243" s="2"/>
      <c r="K3243" s="2">
        <v>131751116</v>
      </c>
      <c r="L3243" s="2"/>
      <c r="M3243" s="2"/>
      <c r="N3243" s="2"/>
      <c r="O3243" s="2">
        <v>172085</v>
      </c>
      <c r="P3243" s="2"/>
      <c r="Q3243" s="2"/>
      <c r="R3243" s="2"/>
      <c r="S3243" s="2" t="s">
        <v>21600</v>
      </c>
      <c r="T3243" s="2" t="s">
        <v>21601</v>
      </c>
      <c r="U3243" s="2" t="s">
        <v>266</v>
      </c>
      <c r="V3243" s="2" t="s">
        <v>3994</v>
      </c>
      <c r="W3243" s="2" t="s">
        <v>8308</v>
      </c>
      <c r="X3243" s="2" t="s">
        <v>147</v>
      </c>
      <c r="Y3243" s="2">
        <v>43.4</v>
      </c>
      <c r="Z3243" s="2">
        <v>24</v>
      </c>
      <c r="AA3243" s="2" t="s">
        <v>512</v>
      </c>
      <c r="AB3243" s="2" t="s">
        <v>6355</v>
      </c>
      <c r="AC3243" s="2">
        <v>3.24982082408133</v>
      </c>
      <c r="AD3243" s="2"/>
      <c r="AE3243" s="2">
        <v>0.17868362657796699</v>
      </c>
      <c r="AF3243" s="2">
        <v>1578.7129884374101</v>
      </c>
      <c r="AG3243" s="2">
        <v>519.04483197396803</v>
      </c>
      <c r="AH3243" s="5">
        <v>3.0415734656936002</v>
      </c>
      <c r="AI3243" s="5">
        <v>1.6048178512629501</v>
      </c>
      <c r="AJ3243" s="5" t="s">
        <v>139</v>
      </c>
      <c r="AK3243" s="2">
        <v>6.3276338040521199E-2</v>
      </c>
      <c r="AL3243" s="2">
        <v>0.33601027492909402</v>
      </c>
      <c r="AM3243" s="2">
        <v>1275.8029949510101</v>
      </c>
      <c r="AN3243" s="2">
        <v>860.65186040130504</v>
      </c>
      <c r="AO3243" s="2">
        <v>1956.0064934919501</v>
      </c>
      <c r="AP3243" s="2">
        <v>927.84383752922497</v>
      </c>
      <c r="AQ3243" s="2">
        <v>3848.8165397791799</v>
      </c>
      <c r="AR3243" s="2">
        <v>603.15620447181902</v>
      </c>
      <c r="AS3243" s="2">
        <v>795.16297351577498</v>
      </c>
      <c r="AT3243" s="2">
        <v>376.73815572606799</v>
      </c>
      <c r="AU3243" s="2">
        <v>813.05062630750604</v>
      </c>
      <c r="AV3243" s="2">
        <v>92.842287356497494</v>
      </c>
      <c r="AW3243" s="2">
        <v>319.15615381953597</v>
      </c>
      <c r="AX3243" s="2">
        <v>717.31879511842396</v>
      </c>
    </row>
    <row r="3244" spans="1:50" x14ac:dyDescent="0.25">
      <c r="A3244" s="2" t="s">
        <v>21602</v>
      </c>
      <c r="B3244" s="2">
        <v>419.10417578046798</v>
      </c>
      <c r="C3244" s="2">
        <v>5.6952833333333297</v>
      </c>
      <c r="D3244" s="2" t="s">
        <v>51</v>
      </c>
      <c r="E3244" s="2" t="s">
        <v>21603</v>
      </c>
      <c r="F3244" s="2">
        <v>197053</v>
      </c>
      <c r="G3244" s="3" t="str">
        <f>HYPERLINK("https://cloud.oebiotech.com/#/lm/network/197053", "https://cloud.oebiotech.com/#/lm/network/197053")</f>
        <v>https://cloud.oebiotech.com/#/lm/network/197053</v>
      </c>
      <c r="H3244" s="2" t="s">
        <v>21604</v>
      </c>
      <c r="I3244" s="2">
        <v>837240</v>
      </c>
      <c r="J3244" s="2"/>
      <c r="K3244" s="2">
        <v>54478644</v>
      </c>
      <c r="L3244" s="2"/>
      <c r="M3244" s="2"/>
      <c r="N3244" s="2"/>
      <c r="O3244" s="2"/>
      <c r="P3244" s="2"/>
      <c r="Q3244" s="2"/>
      <c r="R3244" s="2" t="s">
        <v>21605</v>
      </c>
      <c r="S3244" s="2" t="s">
        <v>21606</v>
      </c>
      <c r="T3244" s="2" t="s">
        <v>21607</v>
      </c>
      <c r="U3244" s="2" t="s">
        <v>295</v>
      </c>
      <c r="V3244" s="2" t="s">
        <v>20014</v>
      </c>
      <c r="W3244" s="2" t="s">
        <v>20015</v>
      </c>
      <c r="X3244" s="2" t="s">
        <v>147</v>
      </c>
      <c r="Y3244" s="2">
        <v>37.200000000000003</v>
      </c>
      <c r="Z3244" s="2">
        <v>0</v>
      </c>
      <c r="AA3244" s="2" t="s">
        <v>218</v>
      </c>
      <c r="AB3244" s="2" t="s">
        <v>21608</v>
      </c>
      <c r="AC3244" s="2">
        <v>-3.75630664849592</v>
      </c>
      <c r="AD3244" s="2"/>
      <c r="AE3244" s="2">
        <v>0.17866823117924199</v>
      </c>
      <c r="AF3244" s="2">
        <v>645.55335883995394</v>
      </c>
      <c r="AG3244" s="2">
        <v>1565.69938056603</v>
      </c>
      <c r="AH3244" s="4">
        <v>0.41230990243259602</v>
      </c>
      <c r="AI3244" s="4">
        <v>-1.2781989840886401</v>
      </c>
      <c r="AJ3244" s="4" t="s">
        <v>62</v>
      </c>
      <c r="AK3244" s="2">
        <v>0.185643517209516</v>
      </c>
      <c r="AL3244" s="2">
        <v>0.51040020334889302</v>
      </c>
      <c r="AM3244" s="2">
        <v>517.26404161265998</v>
      </c>
      <c r="AN3244" s="2">
        <v>683.24264631073902</v>
      </c>
      <c r="AO3244" s="2">
        <v>310.135730494207</v>
      </c>
      <c r="AP3244" s="2">
        <v>642.042014956853</v>
      </c>
      <c r="AQ3244" s="2">
        <v>517.86006773630595</v>
      </c>
      <c r="AR3244" s="2">
        <v>1202.7756519289601</v>
      </c>
      <c r="AS3244" s="2">
        <v>3466.5423607382199</v>
      </c>
      <c r="AT3244" s="2">
        <v>180.06050663649901</v>
      </c>
      <c r="AU3244" s="2">
        <v>393.33356516135501</v>
      </c>
      <c r="AV3244" s="2">
        <v>1804.6168764566301</v>
      </c>
      <c r="AW3244" s="2">
        <v>3365.9752238098199</v>
      </c>
      <c r="AX3244" s="2">
        <v>183.667750593634</v>
      </c>
    </row>
    <row r="3245" spans="1:50" x14ac:dyDescent="0.25">
      <c r="A3245" s="2" t="s">
        <v>21609</v>
      </c>
      <c r="B3245" s="2">
        <v>201.07625184813199</v>
      </c>
      <c r="C3245" s="2">
        <v>4.1837666666666697</v>
      </c>
      <c r="D3245" s="2" t="s">
        <v>51</v>
      </c>
      <c r="E3245" s="2" t="s">
        <v>21610</v>
      </c>
      <c r="F3245" s="2">
        <v>1430</v>
      </c>
      <c r="G3245" s="3" t="str">
        <f>HYPERLINK("https://cloud.oebiotech.com/#/lm/network/1430", "https://cloud.oebiotech.com/#/lm/network/1430")</f>
        <v>https://cloud.oebiotech.com/#/lm/network/1430</v>
      </c>
      <c r="H3245" s="2" t="s">
        <v>21611</v>
      </c>
      <c r="I3245" s="2">
        <v>87408</v>
      </c>
      <c r="J3245" s="2" t="s">
        <v>21612</v>
      </c>
      <c r="K3245" s="2">
        <v>54042244</v>
      </c>
      <c r="L3245" s="2"/>
      <c r="M3245" s="2"/>
      <c r="N3245" s="2"/>
      <c r="O3245" s="2"/>
      <c r="P3245" s="2"/>
      <c r="Q3245" s="2"/>
      <c r="R3245" s="2"/>
      <c r="S3245" s="2" t="s">
        <v>21613</v>
      </c>
      <c r="T3245" s="2" t="s">
        <v>21614</v>
      </c>
      <c r="U3245" s="2" t="s">
        <v>103</v>
      </c>
      <c r="V3245" s="2" t="s">
        <v>377</v>
      </c>
      <c r="W3245" s="2" t="s">
        <v>378</v>
      </c>
      <c r="X3245" s="2" t="s">
        <v>147</v>
      </c>
      <c r="Y3245" s="2">
        <v>41.6</v>
      </c>
      <c r="Z3245" s="2">
        <v>19.3</v>
      </c>
      <c r="AA3245" s="2" t="s">
        <v>218</v>
      </c>
      <c r="AB3245" s="2" t="s">
        <v>21615</v>
      </c>
      <c r="AC3245" s="2">
        <v>-3.8138810788018702</v>
      </c>
      <c r="AD3245" s="2"/>
      <c r="AE3245" s="2">
        <v>0.178657200237617</v>
      </c>
      <c r="AF3245" s="2">
        <v>3520.86046680755</v>
      </c>
      <c r="AG3245" s="2">
        <v>2482.09091221169</v>
      </c>
      <c r="AH3245" s="5">
        <v>1.4185058450056001</v>
      </c>
      <c r="AI3245" s="5">
        <v>0.50437209530258797</v>
      </c>
      <c r="AJ3245" s="5" t="s">
        <v>139</v>
      </c>
      <c r="AK3245" s="2">
        <v>0.11319735723483999</v>
      </c>
      <c r="AL3245" s="2">
        <v>0.42719152086759299</v>
      </c>
      <c r="AM3245" s="2">
        <v>3213.4328528494302</v>
      </c>
      <c r="AN3245" s="2">
        <v>5792.8008770997503</v>
      </c>
      <c r="AO3245" s="2">
        <v>3222.4345538450798</v>
      </c>
      <c r="AP3245" s="2">
        <v>3284.2468542960601</v>
      </c>
      <c r="AQ3245" s="2">
        <v>2862.0645640949301</v>
      </c>
      <c r="AR3245" s="2">
        <v>2750.1830986600698</v>
      </c>
      <c r="AS3245" s="2">
        <v>4089.0912794199799</v>
      </c>
      <c r="AT3245" s="2">
        <v>2230.2128192855398</v>
      </c>
      <c r="AU3245" s="2">
        <v>2738.3552376897701</v>
      </c>
      <c r="AV3245" s="2">
        <v>1329.75497382047</v>
      </c>
      <c r="AW3245" s="2">
        <v>1964.2448235603799</v>
      </c>
      <c r="AX3245" s="2">
        <v>2540.8863394939999</v>
      </c>
    </row>
    <row r="3246" spans="1:50" x14ac:dyDescent="0.25">
      <c r="A3246" s="2" t="s">
        <v>21616</v>
      </c>
      <c r="B3246" s="2">
        <v>241.14428788327899</v>
      </c>
      <c r="C3246" s="2">
        <v>7.9783833333333298</v>
      </c>
      <c r="D3246" s="2" t="s">
        <v>51</v>
      </c>
      <c r="E3246" s="2" t="s">
        <v>21617</v>
      </c>
      <c r="F3246" s="2">
        <v>62096</v>
      </c>
      <c r="G3246" s="3" t="str">
        <f>HYPERLINK("https://cloud.oebiotech.com/#/lm/network/62096", "https://cloud.oebiotech.com/#/lm/network/62096")</f>
        <v>https://cloud.oebiotech.com/#/lm/network/62096</v>
      </c>
      <c r="H3246" s="2" t="s">
        <v>21618</v>
      </c>
      <c r="I3246" s="2">
        <v>93389</v>
      </c>
      <c r="J3246" s="2"/>
      <c r="K3246" s="2">
        <v>51136538</v>
      </c>
      <c r="L3246" s="2"/>
      <c r="M3246" s="2"/>
      <c r="N3246" s="2"/>
      <c r="O3246" s="2">
        <v>168487</v>
      </c>
      <c r="P3246" s="2"/>
      <c r="Q3246" s="2"/>
      <c r="R3246" s="2"/>
      <c r="S3246" s="2" t="s">
        <v>21619</v>
      </c>
      <c r="T3246" s="2" t="s">
        <v>21620</v>
      </c>
      <c r="U3246" s="2" t="s">
        <v>56</v>
      </c>
      <c r="V3246" s="2" t="s">
        <v>177</v>
      </c>
      <c r="W3246" s="2" t="s">
        <v>1996</v>
      </c>
      <c r="X3246" s="2" t="s">
        <v>147</v>
      </c>
      <c r="Y3246" s="2">
        <v>40.4</v>
      </c>
      <c r="Z3246" s="2">
        <v>8.4700000000000006</v>
      </c>
      <c r="AA3246" s="2" t="s">
        <v>298</v>
      </c>
      <c r="AB3246" s="2" t="s">
        <v>21621</v>
      </c>
      <c r="AC3246" s="2">
        <v>-1.0112189616988401</v>
      </c>
      <c r="AD3246" s="2"/>
      <c r="AE3246" s="2">
        <v>0.178568850820023</v>
      </c>
      <c r="AF3246" s="2">
        <v>11136.929244171301</v>
      </c>
      <c r="AG3246" s="2">
        <v>9713.2903882556693</v>
      </c>
      <c r="AH3246" s="5">
        <v>1.1465660758620899</v>
      </c>
      <c r="AI3246" s="5">
        <v>0.197319498897497</v>
      </c>
      <c r="AJ3246" s="5" t="s">
        <v>139</v>
      </c>
      <c r="AK3246" s="2">
        <v>0.3090053308222</v>
      </c>
      <c r="AL3246" s="2">
        <v>0.61915782959547905</v>
      </c>
      <c r="AM3246" s="2">
        <v>10317.4242765458</v>
      </c>
      <c r="AN3246" s="2">
        <v>13433.659955883</v>
      </c>
      <c r="AO3246" s="2">
        <v>7843.5209648726104</v>
      </c>
      <c r="AP3246" s="2">
        <v>11555.6396441541</v>
      </c>
      <c r="AQ3246" s="2">
        <v>9682.7982614567409</v>
      </c>
      <c r="AR3246" s="2">
        <v>13988.5323621154</v>
      </c>
      <c r="AS3246" s="2">
        <v>6029.8139166357896</v>
      </c>
      <c r="AT3246" s="2">
        <v>11571.9939058327</v>
      </c>
      <c r="AU3246" s="2">
        <v>12366.244350319301</v>
      </c>
      <c r="AV3246" s="2">
        <v>10412.6428501346</v>
      </c>
      <c r="AW3246" s="2">
        <v>8940.1669350416596</v>
      </c>
      <c r="AX3246" s="2">
        <v>8958.8803715699596</v>
      </c>
    </row>
    <row r="3247" spans="1:50" x14ac:dyDescent="0.25">
      <c r="A3247" s="2" t="s">
        <v>21622</v>
      </c>
      <c r="B3247" s="2">
        <v>333.04830372607898</v>
      </c>
      <c r="C3247" s="2">
        <v>7.8615000000000004</v>
      </c>
      <c r="D3247" s="2" t="s">
        <v>51</v>
      </c>
      <c r="E3247" s="2" t="s">
        <v>21623</v>
      </c>
      <c r="F3247" s="2">
        <v>258347</v>
      </c>
      <c r="G3247" s="3" t="str">
        <f>HYPERLINK("https://cloud.oebiotech.com/#/lm/network/258347", "https://cloud.oebiotech.com/#/lm/network/258347")</f>
        <v>https://cloud.oebiotech.com/#/lm/network/258347</v>
      </c>
      <c r="H3247" s="2" t="s">
        <v>21624</v>
      </c>
      <c r="I3247" s="2">
        <v>4167</v>
      </c>
      <c r="J3247" s="2"/>
      <c r="K3247" s="2">
        <v>14180</v>
      </c>
      <c r="L3247" s="2" t="s">
        <v>21625</v>
      </c>
      <c r="M3247" s="2" t="s">
        <v>7772</v>
      </c>
      <c r="N3247" s="2" t="s">
        <v>7773</v>
      </c>
      <c r="O3247" s="2"/>
      <c r="P3247" s="2"/>
      <c r="Q3247" s="2"/>
      <c r="R3247" s="2" t="s">
        <v>21626</v>
      </c>
      <c r="S3247" s="2" t="s">
        <v>21627</v>
      </c>
      <c r="T3247" s="2" t="s">
        <v>21628</v>
      </c>
      <c r="U3247" s="2" t="s">
        <v>295</v>
      </c>
      <c r="V3247" s="2" t="s">
        <v>21629</v>
      </c>
      <c r="W3247" s="2" t="s">
        <v>21630</v>
      </c>
      <c r="X3247" s="2" t="s">
        <v>147</v>
      </c>
      <c r="Y3247" s="2">
        <v>38.4</v>
      </c>
      <c r="Z3247" s="2">
        <v>0</v>
      </c>
      <c r="AA3247" s="2" t="s">
        <v>163</v>
      </c>
      <c r="AB3247" s="2" t="s">
        <v>21631</v>
      </c>
      <c r="AC3247" s="2">
        <v>-3.0591194559408099</v>
      </c>
      <c r="AD3247" s="2"/>
      <c r="AE3247" s="2">
        <v>0.178445570403376</v>
      </c>
      <c r="AF3247" s="2">
        <v>1340.3526803372299</v>
      </c>
      <c r="AG3247" s="2">
        <v>2742.6090174352198</v>
      </c>
      <c r="AH3247" s="4">
        <v>0.48871445831920701</v>
      </c>
      <c r="AI3247" s="4">
        <v>-1.03293630841846</v>
      </c>
      <c r="AJ3247" s="4" t="s">
        <v>62</v>
      </c>
      <c r="AK3247" s="2">
        <v>6.4095225365973799E-2</v>
      </c>
      <c r="AL3247" s="2">
        <v>0.33728528666748298</v>
      </c>
      <c r="AM3247" s="2">
        <v>3140.5080956914398</v>
      </c>
      <c r="AN3247" s="2">
        <v>234.679715902563</v>
      </c>
      <c r="AO3247" s="2">
        <v>2190.9683306207498</v>
      </c>
      <c r="AP3247" s="2">
        <v>8.559877937157E-6</v>
      </c>
      <c r="AQ3247" s="2">
        <v>444.10548210688302</v>
      </c>
      <c r="AR3247" s="2">
        <v>2031.85444914184</v>
      </c>
      <c r="AS3247" s="2">
        <v>3354.8701184690199</v>
      </c>
      <c r="AT3247" s="2">
        <v>1681.62088215055</v>
      </c>
      <c r="AU3247" s="2">
        <v>4085.6695844712499</v>
      </c>
      <c r="AV3247" s="2">
        <v>1906.7451029303299</v>
      </c>
      <c r="AW3247" s="2">
        <v>3535.86693581502</v>
      </c>
      <c r="AX3247" s="2">
        <v>1890.8814807751601</v>
      </c>
    </row>
    <row r="3248" spans="1:50" x14ac:dyDescent="0.25">
      <c r="A3248" s="2" t="s">
        <v>21632</v>
      </c>
      <c r="B3248" s="2">
        <v>413.23148283314799</v>
      </c>
      <c r="C3248" s="2">
        <v>8.5398833333333304</v>
      </c>
      <c r="D3248" s="2" t="s">
        <v>51</v>
      </c>
      <c r="E3248" s="2" t="s">
        <v>21633</v>
      </c>
      <c r="F3248" s="2">
        <v>200254</v>
      </c>
      <c r="G3248" s="3" t="str">
        <f>HYPERLINK("https://cloud.oebiotech.com/#/lm/network/200254", "https://cloud.oebiotech.com/#/lm/network/200254")</f>
        <v>https://cloud.oebiotech.com/#/lm/network/200254</v>
      </c>
      <c r="H3248" s="2" t="s">
        <v>21634</v>
      </c>
      <c r="I3248" s="2">
        <v>824657</v>
      </c>
      <c r="J3248" s="2"/>
      <c r="K3248" s="2">
        <v>46781189</v>
      </c>
      <c r="L3248" s="2"/>
      <c r="M3248" s="2"/>
      <c r="N3248" s="2"/>
      <c r="O3248" s="2"/>
      <c r="P3248" s="2"/>
      <c r="Q3248" s="2"/>
      <c r="R3248" s="2"/>
      <c r="S3248" s="2" t="s">
        <v>21635</v>
      </c>
      <c r="T3248" s="2" t="s">
        <v>21636</v>
      </c>
      <c r="U3248" s="2" t="s">
        <v>103</v>
      </c>
      <c r="V3248" s="2" t="s">
        <v>104</v>
      </c>
      <c r="W3248" s="2" t="s">
        <v>105</v>
      </c>
      <c r="X3248" s="2" t="s">
        <v>147</v>
      </c>
      <c r="Y3248" s="2">
        <v>37.9</v>
      </c>
      <c r="Z3248" s="2">
        <v>0</v>
      </c>
      <c r="AA3248" s="2" t="s">
        <v>122</v>
      </c>
      <c r="AB3248" s="2" t="s">
        <v>21637</v>
      </c>
      <c r="AC3248" s="2">
        <v>6.3514859181300204E-2</v>
      </c>
      <c r="AD3248" s="2"/>
      <c r="AE3248" s="2">
        <v>0.17832821362988399</v>
      </c>
      <c r="AF3248" s="2">
        <v>15412.408711406</v>
      </c>
      <c r="AG3248" s="2">
        <v>13561.837691193499</v>
      </c>
      <c r="AH3248" s="5">
        <v>1.1364542964125099</v>
      </c>
      <c r="AI3248" s="5">
        <v>0.18453966597287499</v>
      </c>
      <c r="AJ3248" s="5" t="s">
        <v>139</v>
      </c>
      <c r="AK3248" s="2">
        <v>0.79074342513301699</v>
      </c>
      <c r="AL3248" s="2">
        <v>0.90752826503280903</v>
      </c>
      <c r="AM3248" s="2">
        <v>33495.481129364001</v>
      </c>
      <c r="AN3248" s="2">
        <v>12953.5069635812</v>
      </c>
      <c r="AO3248" s="2">
        <v>7079.7526640422802</v>
      </c>
      <c r="AP3248" s="2">
        <v>20247.467272748701</v>
      </c>
      <c r="AQ3248" s="2">
        <v>3117.4489538112498</v>
      </c>
      <c r="AR3248" s="2">
        <v>15580.7952848885</v>
      </c>
      <c r="AS3248" s="2">
        <v>25210.1052617655</v>
      </c>
      <c r="AT3248" s="2">
        <v>28739.195244620201</v>
      </c>
      <c r="AU3248" s="2">
        <v>2957.17481957566</v>
      </c>
      <c r="AV3248" s="2">
        <v>1405.818192169</v>
      </c>
      <c r="AW3248" s="2">
        <v>2269.9534757327701</v>
      </c>
      <c r="AX3248" s="2">
        <v>20788.779153297899</v>
      </c>
    </row>
    <row r="3249" spans="1:50" x14ac:dyDescent="0.25">
      <c r="A3249" s="2" t="s">
        <v>21638</v>
      </c>
      <c r="B3249" s="2">
        <v>173.12890096504299</v>
      </c>
      <c r="C3249" s="2">
        <v>4.4844999999999997</v>
      </c>
      <c r="D3249" s="2" t="s">
        <v>51</v>
      </c>
      <c r="E3249" s="2" t="s">
        <v>21639</v>
      </c>
      <c r="F3249" s="2">
        <v>55172</v>
      </c>
      <c r="G3249" s="3" t="str">
        <f>HYPERLINK("https://cloud.oebiotech.com/#/lm/network/55172", "https://cloud.oebiotech.com/#/lm/network/55172")</f>
        <v>https://cloud.oebiotech.com/#/lm/network/55172</v>
      </c>
      <c r="H3249" s="2" t="s">
        <v>21640</v>
      </c>
      <c r="I3249" s="2">
        <v>43570</v>
      </c>
      <c r="J3249" s="2"/>
      <c r="K3249" s="2">
        <v>2230</v>
      </c>
      <c r="L3249" s="2" t="s">
        <v>21641</v>
      </c>
      <c r="M3249" s="2"/>
      <c r="N3249" s="2"/>
      <c r="O3249" s="2">
        <v>2814</v>
      </c>
      <c r="P3249" s="2"/>
      <c r="Q3249" s="2"/>
      <c r="R3249" s="2" t="s">
        <v>21642</v>
      </c>
      <c r="S3249" s="2" t="s">
        <v>21643</v>
      </c>
      <c r="T3249" s="2" t="s">
        <v>21644</v>
      </c>
      <c r="U3249" s="2" t="s">
        <v>238</v>
      </c>
      <c r="V3249" s="2" t="s">
        <v>240</v>
      </c>
      <c r="W3249" s="2" t="s">
        <v>240</v>
      </c>
      <c r="X3249" s="2" t="s">
        <v>147</v>
      </c>
      <c r="Y3249" s="2">
        <v>38.200000000000003</v>
      </c>
      <c r="Z3249" s="2">
        <v>0</v>
      </c>
      <c r="AA3249" s="2" t="s">
        <v>512</v>
      </c>
      <c r="AB3249" s="2" t="s">
        <v>21645</v>
      </c>
      <c r="AC3249" s="2">
        <v>2.8806556185449099</v>
      </c>
      <c r="AD3249" s="2"/>
      <c r="AE3249" s="2">
        <v>0.178327801725257</v>
      </c>
      <c r="AF3249" s="2">
        <v>1590.4117992782899</v>
      </c>
      <c r="AG3249" s="2">
        <v>525.24335745391602</v>
      </c>
      <c r="AH3249" s="5">
        <v>3.0279522372024199</v>
      </c>
      <c r="AI3249" s="5">
        <v>1.5983424484892099</v>
      </c>
      <c r="AJ3249" s="5" t="s">
        <v>139</v>
      </c>
      <c r="AK3249" s="2">
        <v>7.9721115275273202E-2</v>
      </c>
      <c r="AL3249" s="2">
        <v>0.36520736260394099</v>
      </c>
      <c r="AM3249" s="2">
        <v>1574.97552331304</v>
      </c>
      <c r="AN3249" s="2">
        <v>346.69286581539097</v>
      </c>
      <c r="AO3249" s="2">
        <v>1989.44261221428</v>
      </c>
      <c r="AP3249" s="2">
        <v>123.743419284773</v>
      </c>
      <c r="AQ3249" s="2">
        <v>1912.62431108295</v>
      </c>
      <c r="AR3249" s="2">
        <v>3594.9920639593302</v>
      </c>
      <c r="AS3249" s="2">
        <v>1176.52017698196</v>
      </c>
      <c r="AT3249" s="2">
        <v>830.981875099886</v>
      </c>
      <c r="AU3249" s="2">
        <v>572.84697122580405</v>
      </c>
      <c r="AV3249" s="2">
        <v>462.73044131299599</v>
      </c>
      <c r="AW3249" s="2">
        <v>88.025294263882003</v>
      </c>
      <c r="AX3249" s="2">
        <v>20.355385838965901</v>
      </c>
    </row>
    <row r="3250" spans="1:50" x14ac:dyDescent="0.25">
      <c r="A3250" s="2" t="s">
        <v>21646</v>
      </c>
      <c r="B3250" s="2">
        <v>266.18723846032901</v>
      </c>
      <c r="C3250" s="2">
        <v>4.6280333333333301</v>
      </c>
      <c r="D3250" s="2" t="s">
        <v>51</v>
      </c>
      <c r="E3250" s="2" t="s">
        <v>21647</v>
      </c>
      <c r="F3250" s="2">
        <v>53213</v>
      </c>
      <c r="G3250" s="3" t="str">
        <f>HYPERLINK("https://cloud.oebiotech.com/#/lm/network/53213", "https://cloud.oebiotech.com/#/lm/network/53213")</f>
        <v>https://cloud.oebiotech.com/#/lm/network/53213</v>
      </c>
      <c r="H3250" s="2" t="s">
        <v>21648</v>
      </c>
      <c r="I3250" s="2">
        <v>1943</v>
      </c>
      <c r="J3250" s="2"/>
      <c r="K3250" s="2">
        <v>4828</v>
      </c>
      <c r="L3250" s="2" t="s">
        <v>21649</v>
      </c>
      <c r="M3250" s="2"/>
      <c r="N3250" s="2"/>
      <c r="O3250" s="2">
        <v>8214</v>
      </c>
      <c r="P3250" s="2" t="s">
        <v>21650</v>
      </c>
      <c r="Q3250" s="2" t="s">
        <v>21651</v>
      </c>
      <c r="R3250" s="2" t="s">
        <v>21652</v>
      </c>
      <c r="S3250" s="2" t="s">
        <v>21653</v>
      </c>
      <c r="T3250" s="2" t="s">
        <v>21654</v>
      </c>
      <c r="U3250" s="2" t="s">
        <v>266</v>
      </c>
      <c r="V3250" s="2" t="s">
        <v>445</v>
      </c>
      <c r="W3250" s="2" t="s">
        <v>446</v>
      </c>
      <c r="X3250" s="2" t="s">
        <v>147</v>
      </c>
      <c r="Y3250" s="2">
        <v>39.6</v>
      </c>
      <c r="Z3250" s="2">
        <v>9.19</v>
      </c>
      <c r="AA3250" s="2" t="s">
        <v>512</v>
      </c>
      <c r="AB3250" s="2" t="s">
        <v>11107</v>
      </c>
      <c r="AC3250" s="2">
        <v>3.7680067383006</v>
      </c>
      <c r="AD3250" s="2"/>
      <c r="AE3250" s="2">
        <v>0.17830034364938099</v>
      </c>
      <c r="AF3250" s="2">
        <v>1995.4194392070499</v>
      </c>
      <c r="AG3250" s="2">
        <v>3340.3983094002401</v>
      </c>
      <c r="AH3250" s="4">
        <v>0.59735973209893101</v>
      </c>
      <c r="AI3250" s="4">
        <v>-0.74332810574752695</v>
      </c>
      <c r="AJ3250" s="4" t="s">
        <v>62</v>
      </c>
      <c r="AK3250" s="2">
        <v>0.57607562989990302</v>
      </c>
      <c r="AL3250" s="2">
        <v>0.78623206437481696</v>
      </c>
      <c r="AM3250" s="2">
        <v>1757.91973659681</v>
      </c>
      <c r="AN3250" s="2">
        <v>195.43554560752699</v>
      </c>
      <c r="AO3250" s="2">
        <v>1174.72219092193</v>
      </c>
      <c r="AP3250" s="2">
        <v>8235.1238336420192</v>
      </c>
      <c r="AQ3250" s="2">
        <v>445.15841771121001</v>
      </c>
      <c r="AR3250" s="2">
        <v>164.156910762813</v>
      </c>
      <c r="AS3250" s="2">
        <v>11021.364458463901</v>
      </c>
      <c r="AT3250" s="2">
        <v>309.952155712273</v>
      </c>
      <c r="AU3250" s="2">
        <v>150.32360877399</v>
      </c>
      <c r="AV3250" s="2">
        <v>257.19506323582698</v>
      </c>
      <c r="AW3250" s="2">
        <v>642.88188956035901</v>
      </c>
      <c r="AX3250" s="2">
        <v>7660.6726806551096</v>
      </c>
    </row>
    <row r="3251" spans="1:50" x14ac:dyDescent="0.25">
      <c r="A3251" s="2" t="s">
        <v>21655</v>
      </c>
      <c r="B3251" s="2">
        <v>129.05501760720699</v>
      </c>
      <c r="C3251" s="2">
        <v>11.0279666666667</v>
      </c>
      <c r="D3251" s="2" t="s">
        <v>51</v>
      </c>
      <c r="E3251" s="2" t="s">
        <v>21656</v>
      </c>
      <c r="F3251" s="2">
        <v>63739</v>
      </c>
      <c r="G3251" s="3" t="str">
        <f>HYPERLINK("https://cloud.oebiotech.com/#/lm/network/63739", "https://cloud.oebiotech.com/#/lm/network/63739")</f>
        <v>https://cloud.oebiotech.com/#/lm/network/63739</v>
      </c>
      <c r="H3251" s="2" t="s">
        <v>21657</v>
      </c>
      <c r="I3251" s="2">
        <v>95077</v>
      </c>
      <c r="J3251" s="2"/>
      <c r="K3251" s="2">
        <v>19309</v>
      </c>
      <c r="L3251" s="2"/>
      <c r="M3251" s="2"/>
      <c r="N3251" s="2"/>
      <c r="O3251" s="2">
        <v>76247</v>
      </c>
      <c r="P3251" s="2"/>
      <c r="Q3251" s="2"/>
      <c r="R3251" s="2"/>
      <c r="S3251" s="2" t="s">
        <v>21658</v>
      </c>
      <c r="T3251" s="2" t="s">
        <v>21659</v>
      </c>
      <c r="U3251" s="2" t="s">
        <v>266</v>
      </c>
      <c r="V3251" s="2" t="s">
        <v>10648</v>
      </c>
      <c r="W3251" s="2" t="s">
        <v>10649</v>
      </c>
      <c r="X3251" s="2" t="s">
        <v>147</v>
      </c>
      <c r="Y3251" s="2">
        <v>38</v>
      </c>
      <c r="Z3251" s="2">
        <v>0</v>
      </c>
      <c r="AA3251" s="2" t="s">
        <v>179</v>
      </c>
      <c r="AB3251" s="2" t="s">
        <v>21660</v>
      </c>
      <c r="AC3251" s="2">
        <v>3.10088405001712</v>
      </c>
      <c r="AD3251" s="2"/>
      <c r="AE3251" s="2">
        <v>0.17821753858157399</v>
      </c>
      <c r="AF3251" s="2">
        <v>2272.7990297146498</v>
      </c>
      <c r="AG3251" s="2">
        <v>1140.4691667315101</v>
      </c>
      <c r="AH3251" s="5">
        <v>1.9928631970194399</v>
      </c>
      <c r="AI3251" s="5">
        <v>0.99484267768540902</v>
      </c>
      <c r="AJ3251" s="5" t="s">
        <v>139</v>
      </c>
      <c r="AK3251" s="2">
        <v>3.5241988676827998E-2</v>
      </c>
      <c r="AL3251" s="2">
        <v>0.27355205673594801</v>
      </c>
      <c r="AM3251" s="2">
        <v>1081.7157290221701</v>
      </c>
      <c r="AN3251" s="2">
        <v>1643.41447669332</v>
      </c>
      <c r="AO3251" s="2">
        <v>2240.26734495136</v>
      </c>
      <c r="AP3251" s="2">
        <v>1482.95980594767</v>
      </c>
      <c r="AQ3251" s="2">
        <v>3411.5925426560698</v>
      </c>
      <c r="AR3251" s="2">
        <v>3776.8442790173199</v>
      </c>
      <c r="AS3251" s="2">
        <v>775.28542446350605</v>
      </c>
      <c r="AT3251" s="2">
        <v>1606.0871139307101</v>
      </c>
      <c r="AU3251" s="2">
        <v>952.22422822800297</v>
      </c>
      <c r="AV3251" s="2">
        <v>1339.2281017160699</v>
      </c>
      <c r="AW3251" s="2">
        <v>903.73461749887997</v>
      </c>
      <c r="AX3251" s="2">
        <v>1266.25551455189</v>
      </c>
    </row>
    <row r="3252" spans="1:50" x14ac:dyDescent="0.25">
      <c r="A3252" s="2" t="s">
        <v>21661</v>
      </c>
      <c r="B3252" s="2">
        <v>328.09697480059702</v>
      </c>
      <c r="C3252" s="2">
        <v>3.77301666666667</v>
      </c>
      <c r="D3252" s="2" t="s">
        <v>51</v>
      </c>
      <c r="E3252" s="2" t="s">
        <v>21662</v>
      </c>
      <c r="F3252" s="2">
        <v>211004</v>
      </c>
      <c r="G3252" s="3" t="str">
        <f>HYPERLINK("https://cloud.oebiotech.com/#/lm/network/211004", "https://cloud.oebiotech.com/#/lm/network/211004")</f>
        <v>https://cloud.oebiotech.com/#/lm/network/211004</v>
      </c>
      <c r="H3252" s="2" t="s">
        <v>21663</v>
      </c>
      <c r="I3252" s="2">
        <v>454551</v>
      </c>
      <c r="J3252" s="2"/>
      <c r="K3252" s="2">
        <v>6433107</v>
      </c>
      <c r="L3252" s="2"/>
      <c r="M3252" s="2"/>
      <c r="N3252" s="2"/>
      <c r="O3252" s="2">
        <v>76269</v>
      </c>
      <c r="P3252" s="2"/>
      <c r="Q3252" s="2"/>
      <c r="R3252" s="2"/>
      <c r="S3252" s="2" t="s">
        <v>21664</v>
      </c>
      <c r="T3252" s="2" t="s">
        <v>21665</v>
      </c>
      <c r="U3252" s="2" t="s">
        <v>610</v>
      </c>
      <c r="V3252" s="2" t="s">
        <v>611</v>
      </c>
      <c r="W3252" s="2" t="s">
        <v>977</v>
      </c>
      <c r="X3252" s="2" t="s">
        <v>147</v>
      </c>
      <c r="Y3252" s="2">
        <v>41</v>
      </c>
      <c r="Z3252" s="2">
        <v>15.9</v>
      </c>
      <c r="AA3252" s="2" t="s">
        <v>259</v>
      </c>
      <c r="AB3252" s="2" t="s">
        <v>21666</v>
      </c>
      <c r="AC3252" s="2">
        <v>4.4539288840051396</v>
      </c>
      <c r="AD3252" s="2"/>
      <c r="AE3252" s="2">
        <v>0.178153229100767</v>
      </c>
      <c r="AF3252" s="2">
        <v>264.85917373267802</v>
      </c>
      <c r="AG3252" s="2">
        <v>3532.8130125297398</v>
      </c>
      <c r="AH3252" s="4">
        <v>7.4971183811118197E-2</v>
      </c>
      <c r="AI3252" s="4">
        <v>-3.7375200069840901</v>
      </c>
      <c r="AJ3252" s="4" t="s">
        <v>62</v>
      </c>
      <c r="AK3252" s="2">
        <v>0.35162627890313802</v>
      </c>
      <c r="AL3252" s="2">
        <v>0.64273559662805702</v>
      </c>
      <c r="AM3252" s="2">
        <v>8.559877937157E-6</v>
      </c>
      <c r="AN3252" s="2">
        <v>8.559877937157E-6</v>
      </c>
      <c r="AO3252" s="2">
        <v>823.92444337745098</v>
      </c>
      <c r="AP3252" s="2">
        <v>612.736965928014</v>
      </c>
      <c r="AQ3252" s="2">
        <v>10.6816631470184</v>
      </c>
      <c r="AR3252" s="2">
        <v>141.811952823827</v>
      </c>
      <c r="AS3252" s="2">
        <v>136.86074271958</v>
      </c>
      <c r="AT3252" s="2">
        <v>237.44665180505999</v>
      </c>
      <c r="AU3252" s="2">
        <v>20235.621582231499</v>
      </c>
      <c r="AV3252" s="2">
        <v>8.559877937157E-6</v>
      </c>
      <c r="AW3252" s="2">
        <v>8.559877937157E-6</v>
      </c>
      <c r="AX3252" s="2">
        <v>586.94908130256897</v>
      </c>
    </row>
    <row r="3253" spans="1:50" x14ac:dyDescent="0.25">
      <c r="A3253" s="2" t="s">
        <v>21667</v>
      </c>
      <c r="B3253" s="2">
        <v>289.192176359163</v>
      </c>
      <c r="C3253" s="2">
        <v>4.5257666666666703</v>
      </c>
      <c r="D3253" s="2" t="s">
        <v>51</v>
      </c>
      <c r="E3253" s="2" t="s">
        <v>21668</v>
      </c>
      <c r="F3253" s="2">
        <v>211030</v>
      </c>
      <c r="G3253" s="3" t="str">
        <f>HYPERLINK("https://cloud.oebiotech.com/#/lm/network/211030", "https://cloud.oebiotech.com/#/lm/network/211030")</f>
        <v>https://cloud.oebiotech.com/#/lm/network/211030</v>
      </c>
      <c r="H3253" s="2" t="s">
        <v>21669</v>
      </c>
      <c r="I3253" s="2"/>
      <c r="J3253" s="2"/>
      <c r="K3253" s="2"/>
      <c r="L3253" s="2"/>
      <c r="M3253" s="2"/>
      <c r="N3253" s="2"/>
      <c r="O3253" s="2"/>
      <c r="P3253" s="2"/>
      <c r="Q3253" s="2"/>
      <c r="R3253" s="2"/>
      <c r="S3253" s="2" t="s">
        <v>21670</v>
      </c>
      <c r="T3253" s="2" t="s">
        <v>21671</v>
      </c>
      <c r="U3253" s="2" t="s">
        <v>266</v>
      </c>
      <c r="V3253" s="2" t="s">
        <v>1742</v>
      </c>
      <c r="W3253" s="2" t="s">
        <v>21672</v>
      </c>
      <c r="X3253" s="2" t="s">
        <v>83</v>
      </c>
      <c r="Y3253" s="2">
        <v>43</v>
      </c>
      <c r="Z3253" s="2">
        <v>0</v>
      </c>
      <c r="AA3253" s="2" t="s">
        <v>156</v>
      </c>
      <c r="AB3253" s="2" t="s">
        <v>4188</v>
      </c>
      <c r="AC3253" s="2">
        <v>3.6640358979411198</v>
      </c>
      <c r="AD3253" s="2"/>
      <c r="AE3253" s="2">
        <v>0.178110789023979</v>
      </c>
      <c r="AF3253" s="2">
        <v>1250.5718917117699</v>
      </c>
      <c r="AG3253" s="2">
        <v>3518.3322197686398</v>
      </c>
      <c r="AH3253" s="4">
        <v>0.35544451563872098</v>
      </c>
      <c r="AI3253" s="4">
        <v>-1.49230372002199</v>
      </c>
      <c r="AJ3253" s="4" t="s">
        <v>62</v>
      </c>
      <c r="AK3253" s="2">
        <v>0.449136036433469</v>
      </c>
      <c r="AL3253" s="2">
        <v>0.70338186449630802</v>
      </c>
      <c r="AM3253" s="2">
        <v>3392.33613456382</v>
      </c>
      <c r="AN3253" s="2">
        <v>885.39370008629101</v>
      </c>
      <c r="AO3253" s="2">
        <v>572.71312819802495</v>
      </c>
      <c r="AP3253" s="2">
        <v>1531.91816661654</v>
      </c>
      <c r="AQ3253" s="2">
        <v>759.53165907633195</v>
      </c>
      <c r="AR3253" s="2">
        <v>361.53856172960798</v>
      </c>
      <c r="AS3253" s="2">
        <v>967.83676872552996</v>
      </c>
      <c r="AT3253" s="2">
        <v>723.99690500981706</v>
      </c>
      <c r="AU3253" s="2">
        <v>983.16535423641005</v>
      </c>
      <c r="AV3253" s="2">
        <v>564.396978860883</v>
      </c>
      <c r="AW3253" s="2">
        <v>154.50139676618599</v>
      </c>
      <c r="AX3253" s="2">
        <v>17716.095915013</v>
      </c>
    </row>
    <row r="3254" spans="1:50" x14ac:dyDescent="0.25">
      <c r="A3254" s="2" t="s">
        <v>21673</v>
      </c>
      <c r="B3254" s="2">
        <v>230.13950099629901</v>
      </c>
      <c r="C3254" s="2">
        <v>4.4732000000000003</v>
      </c>
      <c r="D3254" s="2" t="s">
        <v>51</v>
      </c>
      <c r="E3254" s="2" t="s">
        <v>21674</v>
      </c>
      <c r="F3254" s="2">
        <v>534662</v>
      </c>
      <c r="G3254" s="3" t="str">
        <f>HYPERLINK("https://cloud.oebiotech.com/#/lm/network/534662", "https://cloud.oebiotech.com/#/lm/network/534662")</f>
        <v>https://cloud.oebiotech.com/#/lm/network/534662</v>
      </c>
      <c r="H3254" s="2"/>
      <c r="I3254" s="2">
        <v>984920</v>
      </c>
      <c r="J3254" s="2"/>
      <c r="K3254" s="2">
        <v>136664235</v>
      </c>
      <c r="L3254" s="2"/>
      <c r="M3254" s="2"/>
      <c r="N3254" s="2"/>
      <c r="O3254" s="2"/>
      <c r="P3254" s="2"/>
      <c r="Q3254" s="2"/>
      <c r="R3254" s="2"/>
      <c r="S3254" s="2" t="s">
        <v>21675</v>
      </c>
      <c r="T3254" s="2" t="s">
        <v>21676</v>
      </c>
      <c r="U3254" s="2" t="s">
        <v>103</v>
      </c>
      <c r="V3254" s="2" t="s">
        <v>104</v>
      </c>
      <c r="W3254" s="2" t="s">
        <v>105</v>
      </c>
      <c r="X3254" s="2" t="s">
        <v>147</v>
      </c>
      <c r="Y3254" s="2">
        <v>40.700000000000003</v>
      </c>
      <c r="Z3254" s="2">
        <v>10.8</v>
      </c>
      <c r="AA3254" s="2" t="s">
        <v>163</v>
      </c>
      <c r="AB3254" s="2" t="s">
        <v>13403</v>
      </c>
      <c r="AC3254" s="2">
        <v>-1.2145004709135001</v>
      </c>
      <c r="AD3254" s="2"/>
      <c r="AE3254" s="2">
        <v>0.17808625767393599</v>
      </c>
      <c r="AF3254" s="2">
        <v>2054.11312225353</v>
      </c>
      <c r="AG3254" s="2">
        <v>378.70545483878499</v>
      </c>
      <c r="AH3254" s="5">
        <v>5.4240389094156596</v>
      </c>
      <c r="AI3254" s="5">
        <v>2.43936752770355</v>
      </c>
      <c r="AJ3254" s="5" t="s">
        <v>139</v>
      </c>
      <c r="AK3254" s="2">
        <v>0.23851507576515299</v>
      </c>
      <c r="AL3254" s="2">
        <v>0.56258760860868195</v>
      </c>
      <c r="AM3254" s="2">
        <v>331.789186373164</v>
      </c>
      <c r="AN3254" s="2">
        <v>98.1749002991005</v>
      </c>
      <c r="AO3254" s="2">
        <v>3261.5814956700501</v>
      </c>
      <c r="AP3254" s="2">
        <v>266.42974750304398</v>
      </c>
      <c r="AQ3254" s="2">
        <v>8052.87752983471</v>
      </c>
      <c r="AR3254" s="2">
        <v>313.82587384109303</v>
      </c>
      <c r="AS3254" s="2">
        <v>218.04268959088901</v>
      </c>
      <c r="AT3254" s="2">
        <v>1.64372209008176</v>
      </c>
      <c r="AU3254" s="2">
        <v>1984.14401370018</v>
      </c>
      <c r="AV3254" s="2">
        <v>3.9656874721564497E-2</v>
      </c>
      <c r="AW3254" s="2">
        <v>5.7599023744067099E-2</v>
      </c>
      <c r="AX3254" s="2">
        <v>68.305047753096204</v>
      </c>
    </row>
    <row r="3255" spans="1:50" x14ac:dyDescent="0.25">
      <c r="A3255" s="2" t="s">
        <v>21677</v>
      </c>
      <c r="B3255" s="2">
        <v>482.17244528450999</v>
      </c>
      <c r="C3255" s="2">
        <v>4.3824333333333296</v>
      </c>
      <c r="D3255" s="2" t="s">
        <v>51</v>
      </c>
      <c r="E3255" s="2" t="s">
        <v>21678</v>
      </c>
      <c r="F3255" s="2">
        <v>260301</v>
      </c>
      <c r="G3255" s="3" t="str">
        <f>HYPERLINK("https://cloud.oebiotech.com/#/lm/network/260301", "https://cloud.oebiotech.com/#/lm/network/260301")</f>
        <v>https://cloud.oebiotech.com/#/lm/network/260301</v>
      </c>
      <c r="H3255" s="2"/>
      <c r="I3255" s="2">
        <v>17551</v>
      </c>
      <c r="J3255" s="2"/>
      <c r="K3255" s="2">
        <v>145459081</v>
      </c>
      <c r="L3255" s="2"/>
      <c r="M3255" s="2"/>
      <c r="N3255" s="2"/>
      <c r="O3255" s="2"/>
      <c r="P3255" s="2"/>
      <c r="Q3255" s="2"/>
      <c r="R3255" s="2"/>
      <c r="S3255" s="2" t="s">
        <v>21679</v>
      </c>
      <c r="T3255" s="2" t="s">
        <v>21680</v>
      </c>
      <c r="U3255" s="2" t="s">
        <v>103</v>
      </c>
      <c r="V3255" s="2" t="s">
        <v>104</v>
      </c>
      <c r="W3255" s="2" t="s">
        <v>105</v>
      </c>
      <c r="X3255" s="2" t="s">
        <v>83</v>
      </c>
      <c r="Y3255" s="2">
        <v>38</v>
      </c>
      <c r="Z3255" s="2">
        <v>0.20200000000000001</v>
      </c>
      <c r="AA3255" s="2" t="s">
        <v>395</v>
      </c>
      <c r="AB3255" s="2" t="s">
        <v>21681</v>
      </c>
      <c r="AC3255" s="2">
        <v>8.2389356676365093</v>
      </c>
      <c r="AD3255" s="2"/>
      <c r="AE3255" s="2">
        <v>0.17804574093884101</v>
      </c>
      <c r="AF3255" s="2">
        <v>16665.400547469399</v>
      </c>
      <c r="AG3255" s="2">
        <v>17732.6376989768</v>
      </c>
      <c r="AH3255" s="4">
        <v>0.93981509295884202</v>
      </c>
      <c r="AI3255" s="4">
        <v>-8.9551158003803699E-2</v>
      </c>
      <c r="AJ3255" s="4" t="s">
        <v>62</v>
      </c>
      <c r="AK3255" s="2">
        <v>0.95778908047504596</v>
      </c>
      <c r="AL3255" s="2">
        <v>0.98245377088014596</v>
      </c>
      <c r="AM3255" s="2">
        <v>8.559877937157E-6</v>
      </c>
      <c r="AN3255" s="2">
        <v>8.559877937157E-6</v>
      </c>
      <c r="AO3255" s="2">
        <v>8.559877937157E-6</v>
      </c>
      <c r="AP3255" s="2">
        <v>8.559877937157E-6</v>
      </c>
      <c r="AQ3255" s="2">
        <v>62021.780661981102</v>
      </c>
      <c r="AR3255" s="2">
        <v>37970.622588595499</v>
      </c>
      <c r="AS3255" s="2">
        <v>3078.44275860984</v>
      </c>
      <c r="AT3255" s="2">
        <v>8.559877937157E-6</v>
      </c>
      <c r="AU3255" s="2">
        <v>206.487374496325</v>
      </c>
      <c r="AV3255" s="2">
        <v>578.96379174086906</v>
      </c>
      <c r="AW3255" s="2">
        <v>99225.225118579096</v>
      </c>
      <c r="AX3255" s="2">
        <v>3306.7071418747601</v>
      </c>
    </row>
    <row r="3256" spans="1:50" x14ac:dyDescent="0.25">
      <c r="A3256" s="2" t="s">
        <v>21682</v>
      </c>
      <c r="B3256" s="2">
        <v>262.16581514783599</v>
      </c>
      <c r="C3256" s="2">
        <v>4.23708333333333</v>
      </c>
      <c r="D3256" s="2" t="s">
        <v>51</v>
      </c>
      <c r="E3256" s="2" t="s">
        <v>21683</v>
      </c>
      <c r="F3256" s="2">
        <v>198180</v>
      </c>
      <c r="G3256" s="3" t="str">
        <f>HYPERLINK("https://cloud.oebiotech.com/#/lm/network/198180", "https://cloud.oebiotech.com/#/lm/network/198180")</f>
        <v>https://cloud.oebiotech.com/#/lm/network/198180</v>
      </c>
      <c r="H3256" s="2" t="s">
        <v>21684</v>
      </c>
      <c r="I3256" s="2"/>
      <c r="J3256" s="2"/>
      <c r="K3256" s="2">
        <v>87087938</v>
      </c>
      <c r="L3256" s="2"/>
      <c r="M3256" s="2"/>
      <c r="N3256" s="2"/>
      <c r="O3256" s="2"/>
      <c r="P3256" s="2"/>
      <c r="Q3256" s="2"/>
      <c r="R3256" s="2"/>
      <c r="S3256" s="2" t="s">
        <v>21685</v>
      </c>
      <c r="T3256" s="2" t="s">
        <v>21686</v>
      </c>
      <c r="U3256" s="2" t="s">
        <v>56</v>
      </c>
      <c r="V3256" s="2" t="s">
        <v>145</v>
      </c>
      <c r="W3256" s="2" t="s">
        <v>1188</v>
      </c>
      <c r="X3256" s="2" t="s">
        <v>147</v>
      </c>
      <c r="Y3256" s="2">
        <v>37.4</v>
      </c>
      <c r="Z3256" s="2">
        <v>4.71</v>
      </c>
      <c r="AA3256" s="2" t="s">
        <v>259</v>
      </c>
      <c r="AB3256" s="2" t="s">
        <v>21687</v>
      </c>
      <c r="AC3256" s="2">
        <v>3.5069840797051302</v>
      </c>
      <c r="AD3256" s="2"/>
      <c r="AE3256" s="2">
        <v>0.17798450183509101</v>
      </c>
      <c r="AF3256" s="2">
        <v>2041.3162601883901</v>
      </c>
      <c r="AG3256" s="2">
        <v>1290.5870159742999</v>
      </c>
      <c r="AH3256" s="5">
        <v>1.5816959530212999</v>
      </c>
      <c r="AI3256" s="5">
        <v>0.66147229941506902</v>
      </c>
      <c r="AJ3256" s="5" t="s">
        <v>139</v>
      </c>
      <c r="AK3256" s="2">
        <v>8.1055630080224206E-2</v>
      </c>
      <c r="AL3256" s="2">
        <v>0.36864413848896399</v>
      </c>
      <c r="AM3256" s="2">
        <v>2801.42979788003</v>
      </c>
      <c r="AN3256" s="2">
        <v>3105.1058392874602</v>
      </c>
      <c r="AO3256" s="2">
        <v>1536.15200195893</v>
      </c>
      <c r="AP3256" s="2">
        <v>1832.66669356951</v>
      </c>
      <c r="AQ3256" s="2">
        <v>1293.45655195672</v>
      </c>
      <c r="AR3256" s="2">
        <v>1679.0866764776799</v>
      </c>
      <c r="AS3256" s="2">
        <v>1559.8322488952899</v>
      </c>
      <c r="AT3256" s="2">
        <v>1304.54044892927</v>
      </c>
      <c r="AU3256" s="2">
        <v>1850.25784500132</v>
      </c>
      <c r="AV3256" s="2">
        <v>203.05514800409301</v>
      </c>
      <c r="AW3256" s="2">
        <v>1101.177914951</v>
      </c>
      <c r="AX3256" s="2">
        <v>1724.65849006485</v>
      </c>
    </row>
    <row r="3257" spans="1:50" x14ac:dyDescent="0.25">
      <c r="A3257" s="2" t="s">
        <v>21688</v>
      </c>
      <c r="B3257" s="2">
        <v>461.21598205740702</v>
      </c>
      <c r="C3257" s="2">
        <v>7.8025333333333302</v>
      </c>
      <c r="D3257" s="2" t="s">
        <v>51</v>
      </c>
      <c r="E3257" s="2" t="s">
        <v>21689</v>
      </c>
      <c r="F3257" s="2">
        <v>266715</v>
      </c>
      <c r="G3257" s="3" t="str">
        <f>HYPERLINK("https://cloud.oebiotech.com/#/lm/network/266715", "https://cloud.oebiotech.com/#/lm/network/266715")</f>
        <v>https://cloud.oebiotech.com/#/lm/network/266715</v>
      </c>
      <c r="H3257" s="2"/>
      <c r="I3257" s="2">
        <v>43826</v>
      </c>
      <c r="J3257" s="2"/>
      <c r="K3257" s="2">
        <v>6708787</v>
      </c>
      <c r="L3257" s="2"/>
      <c r="M3257" s="2"/>
      <c r="N3257" s="2"/>
      <c r="O3257" s="2"/>
      <c r="P3257" s="2"/>
      <c r="Q3257" s="2"/>
      <c r="R3257" s="2"/>
      <c r="S3257" s="2" t="s">
        <v>21690</v>
      </c>
      <c r="T3257" s="2" t="s">
        <v>21691</v>
      </c>
      <c r="U3257" s="2" t="s">
        <v>331</v>
      </c>
      <c r="V3257" s="2" t="s">
        <v>332</v>
      </c>
      <c r="W3257" s="2" t="s">
        <v>511</v>
      </c>
      <c r="X3257" s="2" t="s">
        <v>147</v>
      </c>
      <c r="Y3257" s="2">
        <v>38.5</v>
      </c>
      <c r="Z3257" s="2">
        <v>0</v>
      </c>
      <c r="AA3257" s="2" t="s">
        <v>478</v>
      </c>
      <c r="AB3257" s="2" t="s">
        <v>21692</v>
      </c>
      <c r="AC3257" s="2">
        <v>4.1391291136197301</v>
      </c>
      <c r="AD3257" s="2"/>
      <c r="AE3257" s="2">
        <v>0.17771027449228799</v>
      </c>
      <c r="AF3257" s="2">
        <v>1601.1006777902801</v>
      </c>
      <c r="AG3257" s="2">
        <v>775.06751477335104</v>
      </c>
      <c r="AH3257" s="5">
        <v>2.06575639834226</v>
      </c>
      <c r="AI3257" s="5">
        <v>1.04667013628212</v>
      </c>
      <c r="AJ3257" s="5" t="s">
        <v>139</v>
      </c>
      <c r="AK3257" s="2">
        <v>4.3494078874414997E-2</v>
      </c>
      <c r="AL3257" s="2">
        <v>0.29749348649470297</v>
      </c>
      <c r="AM3257" s="2">
        <v>3006.7160174575902</v>
      </c>
      <c r="AN3257" s="2">
        <v>1249.2620810697999</v>
      </c>
      <c r="AO3257" s="2">
        <v>1649.80406317701</v>
      </c>
      <c r="AP3257" s="2">
        <v>1380.19347894832</v>
      </c>
      <c r="AQ3257" s="2">
        <v>731.71088758058602</v>
      </c>
      <c r="AR3257" s="2">
        <v>1588.91753850839</v>
      </c>
      <c r="AS3257" s="2">
        <v>1153.4607609229299</v>
      </c>
      <c r="AT3257" s="2">
        <v>8.559877937157E-6</v>
      </c>
      <c r="AU3257" s="2">
        <v>752.66906928039703</v>
      </c>
      <c r="AV3257" s="2">
        <v>823.38839152272305</v>
      </c>
      <c r="AW3257" s="2">
        <v>1198.5014787641101</v>
      </c>
      <c r="AX3257" s="2">
        <v>722.38537959006999</v>
      </c>
    </row>
    <row r="3258" spans="1:50" x14ac:dyDescent="0.25">
      <c r="A3258" s="2" t="s">
        <v>21693</v>
      </c>
      <c r="B3258" s="2">
        <v>279.12372827954698</v>
      </c>
      <c r="C3258" s="2">
        <v>6.0845833333333301</v>
      </c>
      <c r="D3258" s="2" t="s">
        <v>51</v>
      </c>
      <c r="E3258" s="2" t="s">
        <v>21694</v>
      </c>
      <c r="F3258" s="2">
        <v>276271</v>
      </c>
      <c r="G3258" s="3" t="str">
        <f>HYPERLINK("https://cloud.oebiotech.com/#/lm/network/276271", "https://cloud.oebiotech.com/#/lm/network/276271")</f>
        <v>https://cloud.oebiotech.com/#/lm/network/276271</v>
      </c>
      <c r="H3258" s="2"/>
      <c r="I3258" s="2">
        <v>67739</v>
      </c>
      <c r="J3258" s="2"/>
      <c r="K3258" s="2">
        <v>155585</v>
      </c>
      <c r="L3258" s="2" t="s">
        <v>21695</v>
      </c>
      <c r="M3258" s="2"/>
      <c r="N3258" s="2"/>
      <c r="O3258" s="2"/>
      <c r="P3258" s="2"/>
      <c r="Q3258" s="2"/>
      <c r="R3258" s="2" t="s">
        <v>21696</v>
      </c>
      <c r="S3258" s="2" t="s">
        <v>21697</v>
      </c>
      <c r="T3258" s="2" t="s">
        <v>21698</v>
      </c>
      <c r="U3258" s="2" t="s">
        <v>56</v>
      </c>
      <c r="V3258" s="2" t="s">
        <v>177</v>
      </c>
      <c r="W3258" s="2" t="s">
        <v>806</v>
      </c>
      <c r="X3258" s="2" t="s">
        <v>69</v>
      </c>
      <c r="Y3258" s="2">
        <v>58.2</v>
      </c>
      <c r="Z3258" s="2">
        <v>81.900000000000006</v>
      </c>
      <c r="AA3258" s="2" t="s">
        <v>60</v>
      </c>
      <c r="AB3258" s="2" t="s">
        <v>21699</v>
      </c>
      <c r="AC3258" s="2">
        <v>3.6969272436222602</v>
      </c>
      <c r="AD3258" s="2"/>
      <c r="AE3258" s="2">
        <v>0.17764012199519499</v>
      </c>
      <c r="AF3258" s="2">
        <v>4447.0894752160202</v>
      </c>
      <c r="AG3258" s="2">
        <v>6039.9449168194396</v>
      </c>
      <c r="AH3258" s="4">
        <v>0.73627980659760695</v>
      </c>
      <c r="AI3258" s="4">
        <v>-0.44167396056548502</v>
      </c>
      <c r="AJ3258" s="4" t="s">
        <v>62</v>
      </c>
      <c r="AK3258" s="2">
        <v>0.25651345124948599</v>
      </c>
      <c r="AL3258" s="2">
        <v>0.57898146204444401</v>
      </c>
      <c r="AM3258" s="2">
        <v>4817.6704790820404</v>
      </c>
      <c r="AN3258" s="2">
        <v>4263.8535542875998</v>
      </c>
      <c r="AO3258" s="2">
        <v>1509.6094803943299</v>
      </c>
      <c r="AP3258" s="2">
        <v>3579.9652944699701</v>
      </c>
      <c r="AQ3258" s="2">
        <v>2497.0501806307602</v>
      </c>
      <c r="AR3258" s="2">
        <v>10014.3878624314</v>
      </c>
      <c r="AS3258" s="2">
        <v>5267.2701999146102</v>
      </c>
      <c r="AT3258" s="2">
        <v>7133.6095101481997</v>
      </c>
      <c r="AU3258" s="2">
        <v>6168.6169723249805</v>
      </c>
      <c r="AV3258" s="2">
        <v>4989.4231021303603</v>
      </c>
      <c r="AW3258" s="2">
        <v>7939.0593856130899</v>
      </c>
      <c r="AX3258" s="2">
        <v>4741.6903307854</v>
      </c>
    </row>
    <row r="3259" spans="1:50" x14ac:dyDescent="0.25">
      <c r="A3259" s="2" t="s">
        <v>21700</v>
      </c>
      <c r="B3259" s="2">
        <v>410.98898575814297</v>
      </c>
      <c r="C3259" s="2">
        <v>15.174433333333299</v>
      </c>
      <c r="D3259" s="2" t="s">
        <v>51</v>
      </c>
      <c r="E3259" s="2" t="s">
        <v>21701</v>
      </c>
      <c r="F3259" s="2">
        <v>206043</v>
      </c>
      <c r="G3259" s="3" t="str">
        <f>HYPERLINK("https://cloud.oebiotech.com/#/lm/network/206043", "https://cloud.oebiotech.com/#/lm/network/206043")</f>
        <v>https://cloud.oebiotech.com/#/lm/network/206043</v>
      </c>
      <c r="H3259" s="2" t="s">
        <v>21702</v>
      </c>
      <c r="I3259" s="2"/>
      <c r="J3259" s="2"/>
      <c r="K3259" s="2">
        <v>54456193</v>
      </c>
      <c r="L3259" s="2"/>
      <c r="M3259" s="2"/>
      <c r="N3259" s="2"/>
      <c r="O3259" s="2"/>
      <c r="P3259" s="2"/>
      <c r="Q3259" s="2"/>
      <c r="R3259" s="2"/>
      <c r="S3259" s="2" t="s">
        <v>21703</v>
      </c>
      <c r="T3259" s="2" t="s">
        <v>21704</v>
      </c>
      <c r="U3259" s="2" t="s">
        <v>1231</v>
      </c>
      <c r="V3259" s="2" t="s">
        <v>15569</v>
      </c>
      <c r="W3259" s="2" t="s">
        <v>18047</v>
      </c>
      <c r="X3259" s="2" t="s">
        <v>147</v>
      </c>
      <c r="Y3259" s="2">
        <v>36</v>
      </c>
      <c r="Z3259" s="2">
        <v>0</v>
      </c>
      <c r="AA3259" s="2" t="s">
        <v>218</v>
      </c>
      <c r="AB3259" s="2" t="s">
        <v>21705</v>
      </c>
      <c r="AC3259" s="2">
        <v>0.40634931366108901</v>
      </c>
      <c r="AD3259" s="2"/>
      <c r="AE3259" s="2">
        <v>0.177501364688331</v>
      </c>
      <c r="AF3259" s="2">
        <v>2372.3905975288399</v>
      </c>
      <c r="AG3259" s="2">
        <v>3175.72038042543</v>
      </c>
      <c r="AH3259" s="4">
        <v>0.74704013997952301</v>
      </c>
      <c r="AI3259" s="4">
        <v>-0.42074233086405899</v>
      </c>
      <c r="AJ3259" s="4" t="s">
        <v>62</v>
      </c>
      <c r="AK3259" s="2">
        <v>1.60830554326509E-3</v>
      </c>
      <c r="AL3259" s="2">
        <v>9.8160839002130199E-2</v>
      </c>
      <c r="AM3259" s="2">
        <v>2473.04446970147</v>
      </c>
      <c r="AN3259" s="2">
        <v>2547.17168788154</v>
      </c>
      <c r="AO3259" s="2">
        <v>2549.8264986842901</v>
      </c>
      <c r="AP3259" s="2">
        <v>2401.7358426573501</v>
      </c>
      <c r="AQ3259" s="2">
        <v>2317.5910732262901</v>
      </c>
      <c r="AR3259" s="2">
        <v>1944.97401302208</v>
      </c>
      <c r="AS3259" s="2">
        <v>2953.75182550404</v>
      </c>
      <c r="AT3259" s="2">
        <v>3881.79965428174</v>
      </c>
      <c r="AU3259" s="2">
        <v>2773.7296921591801</v>
      </c>
      <c r="AV3259" s="2">
        <v>3342.5022478967098</v>
      </c>
      <c r="AW3259" s="2">
        <v>3172.4099577413399</v>
      </c>
      <c r="AX3259" s="2">
        <v>2930.1289049695702</v>
      </c>
    </row>
    <row r="3260" spans="1:50" x14ac:dyDescent="0.25">
      <c r="A3260" s="2" t="s">
        <v>21706</v>
      </c>
      <c r="B3260" s="2">
        <v>229.119231684607</v>
      </c>
      <c r="C3260" s="2">
        <v>1.0683</v>
      </c>
      <c r="D3260" s="2" t="s">
        <v>51</v>
      </c>
      <c r="E3260" s="2" t="s">
        <v>21707</v>
      </c>
      <c r="F3260" s="2">
        <v>48836</v>
      </c>
      <c r="G3260" s="3" t="str">
        <f>HYPERLINK("https://cloud.oebiotech.com/#/lm/network/48836", "https://cloud.oebiotech.com/#/lm/network/48836")</f>
        <v>https://cloud.oebiotech.com/#/lm/network/48836</v>
      </c>
      <c r="H3260" s="2" t="s">
        <v>21708</v>
      </c>
      <c r="I3260" s="2">
        <v>58518</v>
      </c>
      <c r="J3260" s="2"/>
      <c r="K3260" s="2">
        <v>11902892</v>
      </c>
      <c r="L3260" s="2"/>
      <c r="M3260" s="2"/>
      <c r="N3260" s="2"/>
      <c r="O3260" s="2">
        <v>74767</v>
      </c>
      <c r="P3260" s="2"/>
      <c r="Q3260" s="2"/>
      <c r="R3260" s="2" t="s">
        <v>21709</v>
      </c>
      <c r="S3260" s="2" t="s">
        <v>21710</v>
      </c>
      <c r="T3260" s="2" t="s">
        <v>21711</v>
      </c>
      <c r="U3260" s="2" t="s">
        <v>103</v>
      </c>
      <c r="V3260" s="2" t="s">
        <v>104</v>
      </c>
      <c r="W3260" s="2" t="s">
        <v>105</v>
      </c>
      <c r="X3260" s="2" t="s">
        <v>83</v>
      </c>
      <c r="Y3260" s="2">
        <v>56.7</v>
      </c>
      <c r="Z3260" s="2">
        <v>24.5</v>
      </c>
      <c r="AA3260" s="2" t="s">
        <v>60</v>
      </c>
      <c r="AB3260" s="2" t="s">
        <v>4907</v>
      </c>
      <c r="AC3260" s="2">
        <v>4.15697453538501</v>
      </c>
      <c r="AD3260" s="2"/>
      <c r="AE3260" s="2">
        <v>0.17733318671692899</v>
      </c>
      <c r="AF3260" s="2">
        <v>4873.66787873454</v>
      </c>
      <c r="AG3260" s="2">
        <v>7610.2394255387198</v>
      </c>
      <c r="AH3260" s="4">
        <v>0.640409270486196</v>
      </c>
      <c r="AI3260" s="4">
        <v>-0.64293390260524497</v>
      </c>
      <c r="AJ3260" s="4" t="s">
        <v>62</v>
      </c>
      <c r="AK3260" s="2">
        <v>0.68113679536024396</v>
      </c>
      <c r="AL3260" s="2">
        <v>0.84600609917442804</v>
      </c>
      <c r="AM3260" s="2">
        <v>10585.7913561801</v>
      </c>
      <c r="AN3260" s="2">
        <v>639.16240895297994</v>
      </c>
      <c r="AO3260" s="2">
        <v>340.67702656919499</v>
      </c>
      <c r="AP3260" s="2">
        <v>664.01767515072197</v>
      </c>
      <c r="AQ3260" s="2">
        <v>10830.1397994529</v>
      </c>
      <c r="AR3260" s="2">
        <v>6182.2190061013398</v>
      </c>
      <c r="AS3260" s="2">
        <v>422.59537912402402</v>
      </c>
      <c r="AT3260" s="2">
        <v>149.98450670662999</v>
      </c>
      <c r="AU3260" s="2">
        <v>1388.2608518684699</v>
      </c>
      <c r="AV3260" s="2">
        <v>37961.635983520697</v>
      </c>
      <c r="AW3260" s="2">
        <v>8.559877937157E-6</v>
      </c>
      <c r="AX3260" s="2">
        <v>5738.9598234526302</v>
      </c>
    </row>
    <row r="3261" spans="1:50" x14ac:dyDescent="0.25">
      <c r="A3261" s="2" t="s">
        <v>21712</v>
      </c>
      <c r="B3261" s="2">
        <v>265.15561539254298</v>
      </c>
      <c r="C3261" s="2">
        <v>4.0687333333333298</v>
      </c>
      <c r="D3261" s="2" t="s">
        <v>51</v>
      </c>
      <c r="E3261" s="2" t="s">
        <v>21713</v>
      </c>
      <c r="F3261" s="2">
        <v>54145</v>
      </c>
      <c r="G3261" s="3" t="str">
        <f>HYPERLINK("https://cloud.oebiotech.com/#/lm/network/54145", "https://cloud.oebiotech.com/#/lm/network/54145")</f>
        <v>https://cloud.oebiotech.com/#/lm/network/54145</v>
      </c>
      <c r="H3261" s="2" t="s">
        <v>21714</v>
      </c>
      <c r="I3261" s="2">
        <v>24009</v>
      </c>
      <c r="J3261" s="2"/>
      <c r="K3261" s="2">
        <v>6993119</v>
      </c>
      <c r="L3261" s="2"/>
      <c r="M3261" s="2"/>
      <c r="N3261" s="2"/>
      <c r="O3261" s="2">
        <v>75016</v>
      </c>
      <c r="P3261" s="2"/>
      <c r="Q3261" s="2"/>
      <c r="R3261" s="2" t="s">
        <v>21715</v>
      </c>
      <c r="S3261" s="2" t="s">
        <v>21716</v>
      </c>
      <c r="T3261" s="2" t="s">
        <v>21717</v>
      </c>
      <c r="U3261" s="2" t="s">
        <v>103</v>
      </c>
      <c r="V3261" s="2" t="s">
        <v>104</v>
      </c>
      <c r="W3261" s="2" t="s">
        <v>105</v>
      </c>
      <c r="X3261" s="2" t="s">
        <v>69</v>
      </c>
      <c r="Y3261" s="2">
        <v>54.6</v>
      </c>
      <c r="Z3261" s="2">
        <v>70.099999999999994</v>
      </c>
      <c r="AA3261" s="2" t="s">
        <v>60</v>
      </c>
      <c r="AB3261" s="2" t="s">
        <v>11718</v>
      </c>
      <c r="AC3261" s="2">
        <v>3.58304071642665</v>
      </c>
      <c r="AD3261" s="2"/>
      <c r="AE3261" s="2">
        <v>0.177069062377915</v>
      </c>
      <c r="AF3261" s="2">
        <v>38464.316605073698</v>
      </c>
      <c r="AG3261" s="2">
        <v>35432.670626274601</v>
      </c>
      <c r="AH3261" s="5">
        <v>1.08556075297782</v>
      </c>
      <c r="AI3261" s="5">
        <v>0.11844046806929701</v>
      </c>
      <c r="AJ3261" s="5" t="s">
        <v>139</v>
      </c>
      <c r="AK3261" s="2">
        <v>0.79933965787523797</v>
      </c>
      <c r="AL3261" s="2">
        <v>0.90954932814260703</v>
      </c>
      <c r="AM3261" s="2">
        <v>20328.3181322688</v>
      </c>
      <c r="AN3261" s="2">
        <v>28831.336696638798</v>
      </c>
      <c r="AO3261" s="2">
        <v>39289.156193959898</v>
      </c>
      <c r="AP3261" s="2">
        <v>24202.466889163701</v>
      </c>
      <c r="AQ3261" s="2">
        <v>63224.962985822298</v>
      </c>
      <c r="AR3261" s="2">
        <v>54909.658732588599</v>
      </c>
      <c r="AS3261" s="2">
        <v>10070.9951212914</v>
      </c>
      <c r="AT3261" s="2">
        <v>52449.391210674301</v>
      </c>
      <c r="AU3261" s="2">
        <v>68299.695809587502</v>
      </c>
      <c r="AV3261" s="2">
        <v>16622.454518044899</v>
      </c>
      <c r="AW3261" s="2">
        <v>41325.292184349099</v>
      </c>
      <c r="AX3261" s="2">
        <v>23828.194913700499</v>
      </c>
    </row>
    <row r="3262" spans="1:50" x14ac:dyDescent="0.25">
      <c r="A3262" s="2" t="s">
        <v>21718</v>
      </c>
      <c r="B3262" s="2">
        <v>391.26128559290299</v>
      </c>
      <c r="C3262" s="2">
        <v>14.7086166666667</v>
      </c>
      <c r="D3262" s="2" t="s">
        <v>51</v>
      </c>
      <c r="E3262" s="2" t="s">
        <v>21719</v>
      </c>
      <c r="F3262" s="2">
        <v>267140</v>
      </c>
      <c r="G3262" s="3" t="str">
        <f>HYPERLINK("https://cloud.oebiotech.com/#/lm/network/267140", "https://cloud.oebiotech.com/#/lm/network/267140")</f>
        <v>https://cloud.oebiotech.com/#/lm/network/267140</v>
      </c>
      <c r="H3262" s="2"/>
      <c r="I3262" s="2">
        <v>44867</v>
      </c>
      <c r="J3262" s="2"/>
      <c r="K3262" s="2">
        <v>10178491</v>
      </c>
      <c r="L3262" s="2"/>
      <c r="M3262" s="2"/>
      <c r="N3262" s="2"/>
      <c r="O3262" s="2"/>
      <c r="P3262" s="2"/>
      <c r="Q3262" s="2"/>
      <c r="R3262" s="2" t="s">
        <v>21720</v>
      </c>
      <c r="S3262" s="2" t="s">
        <v>21721</v>
      </c>
      <c r="T3262" s="2" t="s">
        <v>21722</v>
      </c>
      <c r="U3262" s="2" t="s">
        <v>56</v>
      </c>
      <c r="V3262" s="2" t="s">
        <v>145</v>
      </c>
      <c r="W3262" s="2" t="s">
        <v>1188</v>
      </c>
      <c r="X3262" s="2" t="s">
        <v>147</v>
      </c>
      <c r="Y3262" s="2">
        <v>38.700000000000003</v>
      </c>
      <c r="Z3262" s="2">
        <v>0</v>
      </c>
      <c r="AA3262" s="2" t="s">
        <v>259</v>
      </c>
      <c r="AB3262" s="2" t="s">
        <v>21723</v>
      </c>
      <c r="AC3262" s="2">
        <v>1.2765608986258199</v>
      </c>
      <c r="AD3262" s="2"/>
      <c r="AE3262" s="2">
        <v>0.17689372707496201</v>
      </c>
      <c r="AF3262" s="2">
        <v>1865.5822049364201</v>
      </c>
      <c r="AG3262" s="2">
        <v>1156.4735022753</v>
      </c>
      <c r="AH3262" s="5">
        <v>1.6131646780198501</v>
      </c>
      <c r="AI3262" s="5">
        <v>0.68989372183864195</v>
      </c>
      <c r="AJ3262" s="5" t="s">
        <v>139</v>
      </c>
      <c r="AK3262" s="2">
        <v>2.5484759437286301E-3</v>
      </c>
      <c r="AL3262" s="2">
        <v>0.10427243461803801</v>
      </c>
      <c r="AM3262" s="2">
        <v>2313.6880263810299</v>
      </c>
      <c r="AN3262" s="2">
        <v>1836.5385275041799</v>
      </c>
      <c r="AO3262" s="2">
        <v>1850.10978640596</v>
      </c>
      <c r="AP3262" s="2">
        <v>1660.7731743664899</v>
      </c>
      <c r="AQ3262" s="2">
        <v>2025.3493516415101</v>
      </c>
      <c r="AR3262" s="2">
        <v>1507.0343633193399</v>
      </c>
      <c r="AS3262" s="2">
        <v>1278.3978773491301</v>
      </c>
      <c r="AT3262" s="2">
        <v>1047.2208691303299</v>
      </c>
      <c r="AU3262" s="2">
        <v>534.44210671338897</v>
      </c>
      <c r="AV3262" s="2">
        <v>1279.8347124781401</v>
      </c>
      <c r="AW3262" s="2">
        <v>1425.46654984417</v>
      </c>
      <c r="AX3262" s="2">
        <v>1373.47889813662</v>
      </c>
    </row>
    <row r="3263" spans="1:50" x14ac:dyDescent="0.25">
      <c r="A3263" s="2" t="s">
        <v>21724</v>
      </c>
      <c r="B3263" s="2">
        <v>186.05531059247201</v>
      </c>
      <c r="C3263" s="2">
        <v>3.9604499999999998</v>
      </c>
      <c r="D3263" s="2" t="s">
        <v>51</v>
      </c>
      <c r="E3263" s="2" t="s">
        <v>21725</v>
      </c>
      <c r="F3263" s="2">
        <v>266267</v>
      </c>
      <c r="G3263" s="3" t="str">
        <f>HYPERLINK("https://cloud.oebiotech.com/#/lm/network/266267", "https://cloud.oebiotech.com/#/lm/network/266267")</f>
        <v>https://cloud.oebiotech.com/#/lm/network/266267</v>
      </c>
      <c r="H3263" s="2"/>
      <c r="I3263" s="2">
        <v>34509</v>
      </c>
      <c r="J3263" s="2"/>
      <c r="K3263" s="2">
        <v>22244</v>
      </c>
      <c r="L3263" s="2"/>
      <c r="M3263" s="2"/>
      <c r="N3263" s="2"/>
      <c r="O3263" s="2"/>
      <c r="P3263" s="2"/>
      <c r="Q3263" s="2"/>
      <c r="R3263" s="2" t="s">
        <v>21726</v>
      </c>
      <c r="S3263" s="2" t="s">
        <v>21727</v>
      </c>
      <c r="T3263" s="2" t="s">
        <v>21728</v>
      </c>
      <c r="U3263" s="2" t="s">
        <v>610</v>
      </c>
      <c r="V3263" s="2" t="s">
        <v>813</v>
      </c>
      <c r="W3263" s="2" t="s">
        <v>10937</v>
      </c>
      <c r="X3263" s="2" t="s">
        <v>59</v>
      </c>
      <c r="Y3263" s="2">
        <v>56.1</v>
      </c>
      <c r="Z3263" s="2">
        <v>87.1</v>
      </c>
      <c r="AA3263" s="2" t="s">
        <v>163</v>
      </c>
      <c r="AB3263" s="2" t="s">
        <v>21729</v>
      </c>
      <c r="AC3263" s="2">
        <v>-3.9639414319200101</v>
      </c>
      <c r="AD3263" s="2"/>
      <c r="AE3263" s="2">
        <v>0.176755273882299</v>
      </c>
      <c r="AF3263" s="2">
        <v>8702.9969480040199</v>
      </c>
      <c r="AG3263" s="2">
        <v>6121.8584625130197</v>
      </c>
      <c r="AH3263" s="5">
        <v>1.42162661899103</v>
      </c>
      <c r="AI3263" s="5">
        <v>0.50754260021503195</v>
      </c>
      <c r="AJ3263" s="5" t="s">
        <v>139</v>
      </c>
      <c r="AK3263" s="2">
        <v>0.44897940531080299</v>
      </c>
      <c r="AL3263" s="2">
        <v>0.70332209217156605</v>
      </c>
      <c r="AM3263" s="2">
        <v>1469.97128041001</v>
      </c>
      <c r="AN3263" s="2">
        <v>20998.944645897202</v>
      </c>
      <c r="AO3263" s="2">
        <v>11638.089510940799</v>
      </c>
      <c r="AP3263" s="2">
        <v>12037.624416441</v>
      </c>
      <c r="AQ3263" s="2">
        <v>1271.4869940527001</v>
      </c>
      <c r="AR3263" s="2">
        <v>4801.8648402823901</v>
      </c>
      <c r="AS3263" s="2">
        <v>8131.1309694154697</v>
      </c>
      <c r="AT3263" s="2">
        <v>5585.2803143368301</v>
      </c>
      <c r="AU3263" s="2">
        <v>7331.9411447726497</v>
      </c>
      <c r="AV3263" s="2">
        <v>6168.8203388084303</v>
      </c>
      <c r="AW3263" s="2">
        <v>7813.41182902939</v>
      </c>
      <c r="AX3263" s="2">
        <v>1700.5661787153199</v>
      </c>
    </row>
    <row r="3264" spans="1:50" x14ac:dyDescent="0.25">
      <c r="A3264" s="2" t="s">
        <v>21730</v>
      </c>
      <c r="B3264" s="2">
        <v>103</v>
      </c>
      <c r="C3264" s="2">
        <v>17.786000000000001</v>
      </c>
      <c r="D3264" s="2" t="s">
        <v>125</v>
      </c>
      <c r="E3264" s="2" t="s">
        <v>21731</v>
      </c>
      <c r="F3264" s="2">
        <v>546164</v>
      </c>
      <c r="G3264" s="3" t="str">
        <f>HYPERLINK("https://cloud.oebiotech.com/#/lm/network/546164", "https://cloud.oebiotech.com/#/lm/network/546164")</f>
        <v>https://cloud.oebiotech.com/#/lm/network/546164</v>
      </c>
      <c r="H3264" s="2"/>
      <c r="I3264" s="2"/>
      <c r="J3264" s="2"/>
      <c r="K3264" s="2">
        <v>42953</v>
      </c>
      <c r="L3264" s="2"/>
      <c r="M3264" s="2"/>
      <c r="N3264" s="2"/>
      <c r="O3264" s="2"/>
      <c r="P3264" s="2"/>
      <c r="Q3264" s="2"/>
      <c r="R3264" s="2"/>
      <c r="S3264" s="2" t="s">
        <v>21732</v>
      </c>
      <c r="T3264" s="2" t="s">
        <v>21733</v>
      </c>
      <c r="U3264" s="2" t="s">
        <v>56</v>
      </c>
      <c r="V3264" s="2" t="s">
        <v>3215</v>
      </c>
      <c r="W3264" s="2" t="s">
        <v>4174</v>
      </c>
      <c r="X3264" s="2" t="s">
        <v>69</v>
      </c>
      <c r="Y3264" s="2">
        <v>91.9</v>
      </c>
      <c r="Z3264" s="2">
        <v>86.7</v>
      </c>
      <c r="AA3264" s="2"/>
      <c r="AB3264" s="2" t="s">
        <v>21734</v>
      </c>
      <c r="AC3264" s="2"/>
      <c r="AD3264" s="2">
        <v>597263.30890860001</v>
      </c>
      <c r="AE3264" s="2">
        <v>0.176628009545682</v>
      </c>
      <c r="AF3264" s="2">
        <v>20153.5175986627</v>
      </c>
      <c r="AG3264" s="2">
        <v>29662.036699677199</v>
      </c>
      <c r="AH3264" s="4">
        <v>0.67943809127854204</v>
      </c>
      <c r="AI3264" s="4">
        <v>-0.55758599271649301</v>
      </c>
      <c r="AJ3264" s="4" t="s">
        <v>62</v>
      </c>
      <c r="AK3264" s="2">
        <v>0.10946479571836799</v>
      </c>
      <c r="AL3264" s="2">
        <v>0.42146076016857897</v>
      </c>
      <c r="AM3264" s="2">
        <v>22963.3031013363</v>
      </c>
      <c r="AN3264" s="2">
        <v>24260.152748762499</v>
      </c>
      <c r="AO3264" s="2">
        <v>6116.5096828505202</v>
      </c>
      <c r="AP3264" s="2">
        <v>28329.0640967951</v>
      </c>
      <c r="AQ3264" s="2">
        <v>17904.9647111267</v>
      </c>
      <c r="AR3264" s="2">
        <v>21347.1112511051</v>
      </c>
      <c r="AS3264" s="2">
        <v>14599.911517595699</v>
      </c>
      <c r="AT3264" s="2">
        <v>19965.648602052301</v>
      </c>
      <c r="AU3264" s="2">
        <v>36557.9498044293</v>
      </c>
      <c r="AV3264" s="2">
        <v>38617.492291474999</v>
      </c>
      <c r="AW3264" s="2">
        <v>41021.079315570802</v>
      </c>
      <c r="AX3264" s="2">
        <v>27210.138666939802</v>
      </c>
    </row>
    <row r="3265" spans="1:50" x14ac:dyDescent="0.25">
      <c r="A3265" s="2" t="s">
        <v>21735</v>
      </c>
      <c r="B3265" s="2">
        <v>247.11519999999999</v>
      </c>
      <c r="C3265" s="2">
        <v>15.129</v>
      </c>
      <c r="D3265" s="2" t="s">
        <v>125</v>
      </c>
      <c r="E3265" s="2" t="s">
        <v>21736</v>
      </c>
      <c r="F3265" s="2">
        <v>1949</v>
      </c>
      <c r="G3265" s="3" t="str">
        <f>HYPERLINK("https://cloud.oebiotech.com/#/lm/network/1949", "https://cloud.oebiotech.com/#/lm/network/1949")</f>
        <v>https://cloud.oebiotech.com/#/lm/network/1949</v>
      </c>
      <c r="H3265" s="2" t="s">
        <v>21737</v>
      </c>
      <c r="I3265" s="2">
        <v>63268</v>
      </c>
      <c r="J3265" s="2" t="s">
        <v>21738</v>
      </c>
      <c r="K3265" s="2">
        <v>43</v>
      </c>
      <c r="L3265" s="2" t="s">
        <v>21739</v>
      </c>
      <c r="M3265" s="2" t="s">
        <v>21740</v>
      </c>
      <c r="N3265" s="2" t="s">
        <v>21741</v>
      </c>
      <c r="O3265" s="2">
        <v>17084</v>
      </c>
      <c r="P3265" s="2"/>
      <c r="Q3265" s="2"/>
      <c r="R3265" s="2" t="s">
        <v>21742</v>
      </c>
      <c r="S3265" s="2" t="s">
        <v>21743</v>
      </c>
      <c r="T3265" s="2" t="s">
        <v>21744</v>
      </c>
      <c r="U3265" s="2" t="s">
        <v>103</v>
      </c>
      <c r="V3265" s="2" t="s">
        <v>377</v>
      </c>
      <c r="W3265" s="2" t="s">
        <v>21745</v>
      </c>
      <c r="X3265" s="2" t="s">
        <v>69</v>
      </c>
      <c r="Y3265" s="2">
        <v>95.3</v>
      </c>
      <c r="Z3265" s="2">
        <v>95.5</v>
      </c>
      <c r="AA3265" s="2"/>
      <c r="AB3265" s="2" t="s">
        <v>21746</v>
      </c>
      <c r="AC3265" s="2"/>
      <c r="AD3265" s="2">
        <v>508986.24853700498</v>
      </c>
      <c r="AE3265" s="2">
        <v>0.17656075326669601</v>
      </c>
      <c r="AF3265" s="2">
        <v>16033.779728493</v>
      </c>
      <c r="AG3265" s="2">
        <v>9344.0218092713294</v>
      </c>
      <c r="AH3265" s="5">
        <v>1.7159398871034299</v>
      </c>
      <c r="AI3265" s="5">
        <v>0.77899901315399001</v>
      </c>
      <c r="AJ3265" s="5" t="s">
        <v>139</v>
      </c>
      <c r="AK3265" s="2">
        <v>7.8283844971263096E-3</v>
      </c>
      <c r="AL3265" s="2">
        <v>0.14717613000678501</v>
      </c>
      <c r="AM3265" s="2">
        <v>14469.536021150399</v>
      </c>
      <c r="AN3265" s="2">
        <v>15320.815240387599</v>
      </c>
      <c r="AO3265" s="2">
        <v>13718.1074845405</v>
      </c>
      <c r="AP3265" s="2">
        <v>24142.468636731799</v>
      </c>
      <c r="AQ3265" s="2">
        <v>18058.703950320501</v>
      </c>
      <c r="AR3265" s="2">
        <v>10493.0470378272</v>
      </c>
      <c r="AS3265" s="2">
        <v>12314.8401432304</v>
      </c>
      <c r="AT3265" s="2">
        <v>8866.0689779381501</v>
      </c>
      <c r="AU3265" s="2">
        <v>9690.0306114049599</v>
      </c>
      <c r="AV3265" s="2">
        <v>8709.9591977765303</v>
      </c>
      <c r="AW3265" s="2">
        <v>9073.2885661194705</v>
      </c>
      <c r="AX3265" s="2">
        <v>7409.9433591584602</v>
      </c>
    </row>
    <row r="3266" spans="1:50" x14ac:dyDescent="0.25">
      <c r="A3266" s="2" t="s">
        <v>21747</v>
      </c>
      <c r="B3266" s="2">
        <v>327.23256925162099</v>
      </c>
      <c r="C3266" s="2">
        <v>10.926</v>
      </c>
      <c r="D3266" s="2" t="s">
        <v>51</v>
      </c>
      <c r="E3266" s="2" t="s">
        <v>21748</v>
      </c>
      <c r="F3266" s="2">
        <v>4870</v>
      </c>
      <c r="G3266" s="3" t="str">
        <f>HYPERLINK("https://cloud.oebiotech.com/#/lm/network/4870", "https://cloud.oebiotech.com/#/lm/network/4870")</f>
        <v>https://cloud.oebiotech.com/#/lm/network/4870</v>
      </c>
      <c r="H3266" s="2"/>
      <c r="I3266" s="2">
        <v>75219</v>
      </c>
      <c r="J3266" s="2" t="s">
        <v>21749</v>
      </c>
      <c r="K3266" s="2">
        <v>52922000</v>
      </c>
      <c r="L3266" s="2"/>
      <c r="M3266" s="2"/>
      <c r="N3266" s="2"/>
      <c r="O3266" s="2">
        <v>132325</v>
      </c>
      <c r="P3266" s="2"/>
      <c r="Q3266" s="2"/>
      <c r="R3266" s="2"/>
      <c r="S3266" s="2" t="s">
        <v>21750</v>
      </c>
      <c r="T3266" s="2" t="s">
        <v>21751</v>
      </c>
      <c r="U3266" s="2" t="s">
        <v>56</v>
      </c>
      <c r="V3266" s="2" t="s">
        <v>145</v>
      </c>
      <c r="W3266" s="2" t="s">
        <v>231</v>
      </c>
      <c r="X3266" s="2" t="s">
        <v>69</v>
      </c>
      <c r="Y3266" s="2">
        <v>67.099999999999994</v>
      </c>
      <c r="Z3266" s="2">
        <v>74.2</v>
      </c>
      <c r="AA3266" s="2" t="s">
        <v>156</v>
      </c>
      <c r="AB3266" s="2" t="s">
        <v>2918</v>
      </c>
      <c r="AC3266" s="2">
        <v>2.0701451069088499</v>
      </c>
      <c r="AD3266" s="2"/>
      <c r="AE3266" s="2">
        <v>0.17651409014063399</v>
      </c>
      <c r="AF3266" s="2">
        <v>80681.609144395698</v>
      </c>
      <c r="AG3266" s="2">
        <v>77385.903920657904</v>
      </c>
      <c r="AH3266" s="5">
        <v>1.04258792695782</v>
      </c>
      <c r="AI3266" s="5">
        <v>6.0169058909090099E-2</v>
      </c>
      <c r="AJ3266" s="5" t="s">
        <v>139</v>
      </c>
      <c r="AK3266" s="2">
        <v>0.83921963522842702</v>
      </c>
      <c r="AL3266" s="2">
        <v>0.92909683994561798</v>
      </c>
      <c r="AM3266" s="2">
        <v>136456.88162042</v>
      </c>
      <c r="AN3266" s="2">
        <v>54719.902198279902</v>
      </c>
      <c r="AO3266" s="2">
        <v>67055.274860636098</v>
      </c>
      <c r="AP3266" s="2">
        <v>59634.163628128299</v>
      </c>
      <c r="AQ3266" s="2">
        <v>93297.486144089402</v>
      </c>
      <c r="AR3266" s="2">
        <v>72925.946414820704</v>
      </c>
      <c r="AS3266" s="2">
        <v>56776.306782799104</v>
      </c>
      <c r="AT3266" s="2">
        <v>55644.218691404501</v>
      </c>
      <c r="AU3266" s="2">
        <v>64748.966637397702</v>
      </c>
      <c r="AV3266" s="2">
        <v>98972.381754917005</v>
      </c>
      <c r="AW3266" s="2">
        <v>114090.38316107501</v>
      </c>
      <c r="AX3266" s="2">
        <v>74083.166496354199</v>
      </c>
    </row>
    <row r="3267" spans="1:50" x14ac:dyDescent="0.25">
      <c r="A3267" s="2" t="s">
        <v>21752</v>
      </c>
      <c r="B3267" s="2">
        <v>381.22836337865903</v>
      </c>
      <c r="C3267" s="2">
        <v>9.4395166666666697</v>
      </c>
      <c r="D3267" s="2" t="s">
        <v>51</v>
      </c>
      <c r="E3267" s="2" t="s">
        <v>21753</v>
      </c>
      <c r="F3267" s="2">
        <v>4180</v>
      </c>
      <c r="G3267" s="3" t="str">
        <f>HYPERLINK("https://cloud.oebiotech.com/#/lm/network/4180", "https://cloud.oebiotech.com/#/lm/network/4180")</f>
        <v>https://cloud.oebiotech.com/#/lm/network/4180</v>
      </c>
      <c r="H3267" s="2" t="s">
        <v>21754</v>
      </c>
      <c r="I3267" s="2">
        <v>36382</v>
      </c>
      <c r="J3267" s="2" t="s">
        <v>21755</v>
      </c>
      <c r="K3267" s="2">
        <v>6473771</v>
      </c>
      <c r="L3267" s="2"/>
      <c r="M3267" s="2"/>
      <c r="N3267" s="2"/>
      <c r="O3267" s="2"/>
      <c r="P3267" s="2"/>
      <c r="Q3267" s="2"/>
      <c r="R3267" s="2" t="s">
        <v>21756</v>
      </c>
      <c r="S3267" s="2" t="s">
        <v>21757</v>
      </c>
      <c r="T3267" s="2" t="s">
        <v>21758</v>
      </c>
      <c r="U3267" s="2" t="s">
        <v>56</v>
      </c>
      <c r="V3267" s="2" t="s">
        <v>145</v>
      </c>
      <c r="W3267" s="2" t="s">
        <v>187</v>
      </c>
      <c r="X3267" s="2" t="s">
        <v>83</v>
      </c>
      <c r="Y3267" s="2">
        <v>51.4</v>
      </c>
      <c r="Z3267" s="2">
        <v>0</v>
      </c>
      <c r="AA3267" s="2" t="s">
        <v>218</v>
      </c>
      <c r="AB3267" s="2" t="s">
        <v>188</v>
      </c>
      <c r="AC3267" s="2">
        <v>0.30040199004127199</v>
      </c>
      <c r="AD3267" s="2"/>
      <c r="AE3267" s="2">
        <v>0.17633656838620901</v>
      </c>
      <c r="AF3267" s="2">
        <v>3360.2036945077798</v>
      </c>
      <c r="AG3267" s="2">
        <v>2265.8267849802901</v>
      </c>
      <c r="AH3267" s="5">
        <v>1.4829923084950301</v>
      </c>
      <c r="AI3267" s="5">
        <v>0.56851111530781195</v>
      </c>
      <c r="AJ3267" s="5" t="s">
        <v>139</v>
      </c>
      <c r="AK3267" s="2">
        <v>0.19313846517453401</v>
      </c>
      <c r="AL3267" s="2">
        <v>0.51702050946451295</v>
      </c>
      <c r="AM3267" s="2">
        <v>4450.4722724331596</v>
      </c>
      <c r="AN3267" s="2">
        <v>2635.8943273544801</v>
      </c>
      <c r="AO3267" s="2">
        <v>2752.6254420830301</v>
      </c>
      <c r="AP3267" s="2">
        <v>4353.4088882491997</v>
      </c>
      <c r="AQ3267" s="2">
        <v>1993.9879416890001</v>
      </c>
      <c r="AR3267" s="2">
        <v>3974.83329523784</v>
      </c>
      <c r="AS3267" s="2">
        <v>2517.0414280755399</v>
      </c>
      <c r="AT3267" s="2">
        <v>1451.18598600673</v>
      </c>
      <c r="AU3267" s="2">
        <v>5399.8234829613502</v>
      </c>
      <c r="AV3267" s="2">
        <v>917.30721751231602</v>
      </c>
      <c r="AW3267" s="2">
        <v>1773.81342395963</v>
      </c>
      <c r="AX3267" s="2">
        <v>1535.78917136617</v>
      </c>
    </row>
    <row r="3268" spans="1:50" x14ac:dyDescent="0.25">
      <c r="A3268" s="2" t="s">
        <v>21759</v>
      </c>
      <c r="B3268" s="2">
        <v>185.081237387746</v>
      </c>
      <c r="C3268" s="2">
        <v>8.4484666666666701</v>
      </c>
      <c r="D3268" s="2" t="s">
        <v>51</v>
      </c>
      <c r="E3268" s="2" t="s">
        <v>21760</v>
      </c>
      <c r="F3268" s="2">
        <v>55676</v>
      </c>
      <c r="G3268" s="3" t="str">
        <f>HYPERLINK("https://cloud.oebiotech.com/#/lm/network/55676", "https://cloud.oebiotech.com/#/lm/network/55676")</f>
        <v>https://cloud.oebiotech.com/#/lm/network/55676</v>
      </c>
      <c r="H3268" s="2" t="s">
        <v>21761</v>
      </c>
      <c r="I3268" s="2">
        <v>87332</v>
      </c>
      <c r="J3268" s="2"/>
      <c r="K3268" s="2">
        <v>131751114</v>
      </c>
      <c r="L3268" s="2"/>
      <c r="M3268" s="2"/>
      <c r="N3268" s="2"/>
      <c r="O3268" s="2">
        <v>168964</v>
      </c>
      <c r="P3268" s="2"/>
      <c r="Q3268" s="2"/>
      <c r="R3268" s="2"/>
      <c r="S3268" s="2" t="s">
        <v>21762</v>
      </c>
      <c r="T3268" s="2" t="s">
        <v>21763</v>
      </c>
      <c r="U3268" s="2" t="s">
        <v>266</v>
      </c>
      <c r="V3268" s="2" t="s">
        <v>3994</v>
      </c>
      <c r="W3268" s="2" t="s">
        <v>3995</v>
      </c>
      <c r="X3268" s="2" t="s">
        <v>147</v>
      </c>
      <c r="Y3268" s="2">
        <v>41.3</v>
      </c>
      <c r="Z3268" s="2">
        <v>14.1</v>
      </c>
      <c r="AA3268" s="2" t="s">
        <v>163</v>
      </c>
      <c r="AB3268" s="2" t="s">
        <v>14975</v>
      </c>
      <c r="AC3268" s="2">
        <v>-3.73534541759977</v>
      </c>
      <c r="AD3268" s="2"/>
      <c r="AE3268" s="2">
        <v>0.176297527688451</v>
      </c>
      <c r="AF3268" s="2">
        <v>1492.4851087222301</v>
      </c>
      <c r="AG3268" s="2">
        <v>4621.1782287792503</v>
      </c>
      <c r="AH3268" s="4">
        <v>0.32296635940754198</v>
      </c>
      <c r="AI3268" s="4">
        <v>-1.63054419511819</v>
      </c>
      <c r="AJ3268" s="4" t="s">
        <v>62</v>
      </c>
      <c r="AK3268" s="2">
        <v>0.29329348661385302</v>
      </c>
      <c r="AL3268" s="2">
        <v>0.60629539475051897</v>
      </c>
      <c r="AM3268" s="2">
        <v>1412.90654835445</v>
      </c>
      <c r="AN3268" s="2">
        <v>1681.593314687</v>
      </c>
      <c r="AO3268" s="2">
        <v>1476.6683250599999</v>
      </c>
      <c r="AP3268" s="2">
        <v>1511.3517485636</v>
      </c>
      <c r="AQ3268" s="2">
        <v>1530.0271772249901</v>
      </c>
      <c r="AR3268" s="2">
        <v>1342.3635384433301</v>
      </c>
      <c r="AS3268" s="2">
        <v>1592.2056566506701</v>
      </c>
      <c r="AT3268" s="2">
        <v>18712.5011566746</v>
      </c>
      <c r="AU3268" s="2">
        <v>1511.33321867274</v>
      </c>
      <c r="AV3268" s="2">
        <v>1734.9928796668901</v>
      </c>
      <c r="AW3268" s="2">
        <v>1962.1773725166699</v>
      </c>
      <c r="AX3268" s="2">
        <v>2213.8590884939299</v>
      </c>
    </row>
    <row r="3269" spans="1:50" x14ac:dyDescent="0.25">
      <c r="A3269" s="2" t="s">
        <v>21764</v>
      </c>
      <c r="B3269" s="2">
        <v>229.045609404234</v>
      </c>
      <c r="C3269" s="2">
        <v>4.9764666666666697</v>
      </c>
      <c r="D3269" s="2" t="s">
        <v>51</v>
      </c>
      <c r="E3269" s="2" t="s">
        <v>21765</v>
      </c>
      <c r="F3269" s="2">
        <v>279588</v>
      </c>
      <c r="G3269" s="3" t="str">
        <f>HYPERLINK("https://cloud.oebiotech.com/#/lm/network/279588", "https://cloud.oebiotech.com/#/lm/network/279588")</f>
        <v>https://cloud.oebiotech.com/#/lm/network/279588</v>
      </c>
      <c r="H3269" s="2"/>
      <c r="I3269" s="2">
        <v>72269</v>
      </c>
      <c r="J3269" s="2"/>
      <c r="K3269" s="2">
        <v>9834513</v>
      </c>
      <c r="L3269" s="2" t="s">
        <v>21766</v>
      </c>
      <c r="M3269" s="2"/>
      <c r="N3269" s="2"/>
      <c r="O3269" s="2"/>
      <c r="P3269" s="2"/>
      <c r="Q3269" s="2"/>
      <c r="R3269" s="2" t="s">
        <v>21767</v>
      </c>
      <c r="S3269" s="2" t="s">
        <v>21768</v>
      </c>
      <c r="T3269" s="2" t="s">
        <v>21769</v>
      </c>
      <c r="U3269" s="2" t="s">
        <v>266</v>
      </c>
      <c r="V3269" s="2" t="s">
        <v>2143</v>
      </c>
      <c r="W3269" s="2" t="s">
        <v>2624</v>
      </c>
      <c r="X3269" s="2" t="s">
        <v>147</v>
      </c>
      <c r="Y3269" s="2">
        <v>38.4</v>
      </c>
      <c r="Z3269" s="2">
        <v>0</v>
      </c>
      <c r="AA3269" s="2" t="s">
        <v>122</v>
      </c>
      <c r="AB3269" s="2" t="s">
        <v>21770</v>
      </c>
      <c r="AC3269" s="2">
        <v>-3.00018885579704</v>
      </c>
      <c r="AD3269" s="2"/>
      <c r="AE3269" s="2">
        <v>0.17623217630424401</v>
      </c>
      <c r="AF3269" s="2">
        <v>1402.4315727958301</v>
      </c>
      <c r="AG3269" s="2">
        <v>514.63550491445199</v>
      </c>
      <c r="AH3269" s="5">
        <v>2.72509681007912</v>
      </c>
      <c r="AI3269" s="5">
        <v>1.44630748307861</v>
      </c>
      <c r="AJ3269" s="5" t="s">
        <v>139</v>
      </c>
      <c r="AK3269" s="2">
        <v>8.0423060199614205E-2</v>
      </c>
      <c r="AL3269" s="2">
        <v>0.36727539740551102</v>
      </c>
      <c r="AM3269" s="2">
        <v>1373.60218887462</v>
      </c>
      <c r="AN3269" s="2">
        <v>3413.1382642513199</v>
      </c>
      <c r="AO3269" s="2">
        <v>785.22736181620905</v>
      </c>
      <c r="AP3269" s="2">
        <v>585.51959631951604</v>
      </c>
      <c r="AQ3269" s="2">
        <v>827.61142884237699</v>
      </c>
      <c r="AR3269" s="2">
        <v>1429.49059667096</v>
      </c>
      <c r="AS3269" s="2">
        <v>1076.4875379202099</v>
      </c>
      <c r="AT3269" s="2">
        <v>334.17096553203697</v>
      </c>
      <c r="AU3269" s="2">
        <v>500.30061258332398</v>
      </c>
      <c r="AV3269" s="2">
        <v>111.881506173478</v>
      </c>
      <c r="AW3269" s="2">
        <v>134.721938415625</v>
      </c>
      <c r="AX3269" s="2">
        <v>930.25046886204098</v>
      </c>
    </row>
    <row r="3270" spans="1:50" x14ac:dyDescent="0.25">
      <c r="A3270" s="2" t="s">
        <v>21771</v>
      </c>
      <c r="B3270" s="2">
        <v>260.99905150653899</v>
      </c>
      <c r="C3270" s="2">
        <v>6.1247166666666697</v>
      </c>
      <c r="D3270" s="2" t="s">
        <v>51</v>
      </c>
      <c r="E3270" s="2" t="s">
        <v>21772</v>
      </c>
      <c r="F3270" s="2">
        <v>206379</v>
      </c>
      <c r="G3270" s="3" t="str">
        <f>HYPERLINK("https://cloud.oebiotech.com/#/lm/network/206379", "https://cloud.oebiotech.com/#/lm/network/206379")</f>
        <v>https://cloud.oebiotech.com/#/lm/network/206379</v>
      </c>
      <c r="H3270" s="2" t="s">
        <v>21773</v>
      </c>
      <c r="I3270" s="2">
        <v>72741</v>
      </c>
      <c r="J3270" s="2"/>
      <c r="K3270" s="2">
        <v>17717</v>
      </c>
      <c r="L3270" s="2" t="s">
        <v>21774</v>
      </c>
      <c r="M3270" s="2"/>
      <c r="N3270" s="2"/>
      <c r="O3270" s="2"/>
      <c r="P3270" s="2"/>
      <c r="Q3270" s="2"/>
      <c r="R3270" s="2" t="s">
        <v>21775</v>
      </c>
      <c r="S3270" s="2" t="s">
        <v>21776</v>
      </c>
      <c r="T3270" s="2" t="s">
        <v>21777</v>
      </c>
      <c r="U3270" s="2" t="s">
        <v>266</v>
      </c>
      <c r="V3270" s="2" t="s">
        <v>11698</v>
      </c>
      <c r="W3270" s="2" t="s">
        <v>11699</v>
      </c>
      <c r="X3270" s="2" t="s">
        <v>147</v>
      </c>
      <c r="Y3270" s="2">
        <v>36.799999999999997</v>
      </c>
      <c r="Z3270" s="2">
        <v>0</v>
      </c>
      <c r="AA3270" s="2" t="s">
        <v>379</v>
      </c>
      <c r="AB3270" s="2" t="s">
        <v>21778</v>
      </c>
      <c r="AC3270" s="2">
        <v>-0.54688717416677901</v>
      </c>
      <c r="AD3270" s="2"/>
      <c r="AE3270" s="2">
        <v>0.176050876818552</v>
      </c>
      <c r="AF3270" s="2">
        <v>2579.3091514759099</v>
      </c>
      <c r="AG3270" s="2">
        <v>3323.7017540135698</v>
      </c>
      <c r="AH3270" s="4">
        <v>0.77603507846672504</v>
      </c>
      <c r="AI3270" s="4">
        <v>-0.36580622805977497</v>
      </c>
      <c r="AJ3270" s="4" t="s">
        <v>62</v>
      </c>
      <c r="AK3270" s="2">
        <v>6.5566413834931602E-3</v>
      </c>
      <c r="AL3270" s="2">
        <v>0.13578099011431899</v>
      </c>
      <c r="AM3270" s="2">
        <v>2447.0923604015602</v>
      </c>
      <c r="AN3270" s="2">
        <v>2651.3154356324299</v>
      </c>
      <c r="AO3270" s="2">
        <v>2421.11046681074</v>
      </c>
      <c r="AP3270" s="2">
        <v>2967.0841034996001</v>
      </c>
      <c r="AQ3270" s="2">
        <v>2363.5593472849901</v>
      </c>
      <c r="AR3270" s="2">
        <v>2625.6931952261698</v>
      </c>
      <c r="AS3270" s="2">
        <v>3111.1544664808898</v>
      </c>
      <c r="AT3270" s="2">
        <v>3796.29329177506</v>
      </c>
      <c r="AU3270" s="2">
        <v>3117.1713140029601</v>
      </c>
      <c r="AV3270" s="2">
        <v>3949.87574721084</v>
      </c>
      <c r="AW3270" s="2">
        <v>2636.7716932298899</v>
      </c>
      <c r="AX3270" s="2">
        <v>3330.94401138181</v>
      </c>
    </row>
    <row r="3271" spans="1:50" x14ac:dyDescent="0.25">
      <c r="A3271" s="2" t="s">
        <v>21779</v>
      </c>
      <c r="B3271" s="2">
        <v>888.57031184428399</v>
      </c>
      <c r="C3271" s="2">
        <v>12.698066666666699</v>
      </c>
      <c r="D3271" s="2" t="s">
        <v>51</v>
      </c>
      <c r="E3271" s="2" t="s">
        <v>21780</v>
      </c>
      <c r="F3271" s="2">
        <v>136413</v>
      </c>
      <c r="G3271" s="3" t="str">
        <f>HYPERLINK("https://cloud.oebiotech.com/#/lm/network/136413", "https://cloud.oebiotech.com/#/lm/network/136413")</f>
        <v>https://cloud.oebiotech.com/#/lm/network/136413</v>
      </c>
      <c r="H3271" s="2" t="s">
        <v>21781</v>
      </c>
      <c r="I3271" s="2"/>
      <c r="J3271" s="2"/>
      <c r="K3271" s="2">
        <v>131823391</v>
      </c>
      <c r="L3271" s="2"/>
      <c r="M3271" s="2"/>
      <c r="N3271" s="2"/>
      <c r="O3271" s="2"/>
      <c r="P3271" s="2"/>
      <c r="Q3271" s="2"/>
      <c r="R3271" s="2"/>
      <c r="S3271" s="2" t="s">
        <v>21782</v>
      </c>
      <c r="T3271" s="2" t="s">
        <v>21783</v>
      </c>
      <c r="U3271" s="2" t="s">
        <v>56</v>
      </c>
      <c r="V3271" s="2" t="s">
        <v>57</v>
      </c>
      <c r="W3271" s="2" t="s">
        <v>82</v>
      </c>
      <c r="X3271" s="2" t="s">
        <v>83</v>
      </c>
      <c r="Y3271" s="2">
        <v>48.6</v>
      </c>
      <c r="Z3271" s="2">
        <v>0</v>
      </c>
      <c r="AA3271" s="2" t="s">
        <v>95</v>
      </c>
      <c r="AB3271" s="2" t="s">
        <v>21784</v>
      </c>
      <c r="AC3271" s="2">
        <v>-2.5339675974578402</v>
      </c>
      <c r="AD3271" s="2"/>
      <c r="AE3271" s="2">
        <v>0.17601879913305701</v>
      </c>
      <c r="AF3271" s="2">
        <v>17547.171484883798</v>
      </c>
      <c r="AG3271" s="2">
        <v>15160.210758555901</v>
      </c>
      <c r="AH3271" s="5">
        <v>1.15744904634527</v>
      </c>
      <c r="AI3271" s="5">
        <v>0.21094868402285599</v>
      </c>
      <c r="AJ3271" s="5" t="s">
        <v>139</v>
      </c>
      <c r="AK3271" s="2">
        <v>0.73045671890070796</v>
      </c>
      <c r="AL3271" s="2">
        <v>0.87592840640547398</v>
      </c>
      <c r="AM3271" s="2">
        <v>14207.9224098257</v>
      </c>
      <c r="AN3271" s="2">
        <v>40848.384962739998</v>
      </c>
      <c r="AO3271" s="2">
        <v>9445.5961497569297</v>
      </c>
      <c r="AP3271" s="2">
        <v>17786.875434969599</v>
      </c>
      <c r="AQ3271" s="2">
        <v>10648.6967852339</v>
      </c>
      <c r="AR3271" s="2">
        <v>12345.553166776899</v>
      </c>
      <c r="AS3271" s="2">
        <v>3331.9656116681999</v>
      </c>
      <c r="AT3271" s="2">
        <v>33679.811193981201</v>
      </c>
      <c r="AU3271" s="2">
        <v>2187.5413705985502</v>
      </c>
      <c r="AV3271" s="2">
        <v>16257.513262583399</v>
      </c>
      <c r="AW3271" s="2">
        <v>18545.595984731801</v>
      </c>
      <c r="AX3271" s="2">
        <v>16958.8371277722</v>
      </c>
    </row>
    <row r="3272" spans="1:50" x14ac:dyDescent="0.25">
      <c r="A3272" s="2" t="s">
        <v>21785</v>
      </c>
      <c r="B3272" s="2">
        <v>265.14443949149302</v>
      </c>
      <c r="C3272" s="2">
        <v>6.9397333333333302</v>
      </c>
      <c r="D3272" s="2" t="s">
        <v>51</v>
      </c>
      <c r="E3272" s="2" t="s">
        <v>21786</v>
      </c>
      <c r="F3272" s="2">
        <v>59590</v>
      </c>
      <c r="G3272" s="3" t="str">
        <f>HYPERLINK("https://cloud.oebiotech.com/#/lm/network/59590", "https://cloud.oebiotech.com/#/lm/network/59590")</f>
        <v>https://cloud.oebiotech.com/#/lm/network/59590</v>
      </c>
      <c r="H3272" s="2" t="s">
        <v>21787</v>
      </c>
      <c r="I3272" s="2">
        <v>90994</v>
      </c>
      <c r="J3272" s="2"/>
      <c r="K3272" s="2">
        <v>131751858</v>
      </c>
      <c r="L3272" s="2"/>
      <c r="M3272" s="2"/>
      <c r="N3272" s="2"/>
      <c r="O3272" s="2">
        <v>174499</v>
      </c>
      <c r="P3272" s="2"/>
      <c r="Q3272" s="2"/>
      <c r="R3272" s="2" t="s">
        <v>21788</v>
      </c>
      <c r="S3272" s="2" t="s">
        <v>21789</v>
      </c>
      <c r="T3272" s="2" t="s">
        <v>21790</v>
      </c>
      <c r="U3272" s="2" t="s">
        <v>56</v>
      </c>
      <c r="V3272" s="2" t="s">
        <v>177</v>
      </c>
      <c r="W3272" s="2" t="s">
        <v>806</v>
      </c>
      <c r="X3272" s="2" t="s">
        <v>83</v>
      </c>
      <c r="Y3272" s="2">
        <v>43.9</v>
      </c>
      <c r="Z3272" s="2">
        <v>0</v>
      </c>
      <c r="AA3272" s="2" t="s">
        <v>163</v>
      </c>
      <c r="AB3272" s="2" t="s">
        <v>15678</v>
      </c>
      <c r="AC3272" s="2">
        <v>-0.350402605193401</v>
      </c>
      <c r="AD3272" s="2"/>
      <c r="AE3272" s="2">
        <v>0.17581700542776099</v>
      </c>
      <c r="AF3272" s="2">
        <v>1476.2442195333699</v>
      </c>
      <c r="AG3272" s="2">
        <v>660.21847429419904</v>
      </c>
      <c r="AH3272" s="5">
        <v>2.23599350368307</v>
      </c>
      <c r="AI3272" s="5">
        <v>1.1609159966704401</v>
      </c>
      <c r="AJ3272" s="5" t="s">
        <v>139</v>
      </c>
      <c r="AK3272" s="2">
        <v>0.154454501206962</v>
      </c>
      <c r="AL3272" s="2">
        <v>0.47517092828514201</v>
      </c>
      <c r="AM3272" s="2">
        <v>3676.47238397313</v>
      </c>
      <c r="AN3272" s="2">
        <v>1556.29504083656</v>
      </c>
      <c r="AO3272" s="2">
        <v>648.61349433670296</v>
      </c>
      <c r="AP3272" s="2">
        <v>768.36673629516304</v>
      </c>
      <c r="AQ3272" s="2">
        <v>627.20183143419104</v>
      </c>
      <c r="AR3272" s="2">
        <v>1580.5158303245</v>
      </c>
      <c r="AS3272" s="2">
        <v>845.17994065289395</v>
      </c>
      <c r="AT3272" s="2">
        <v>369.24468724656703</v>
      </c>
      <c r="AU3272" s="2">
        <v>759.44044028556402</v>
      </c>
      <c r="AV3272" s="2">
        <v>194.802601306274</v>
      </c>
      <c r="AW3272" s="2">
        <v>123.166868857137</v>
      </c>
      <c r="AX3272" s="2">
        <v>1669.4763074167599</v>
      </c>
    </row>
    <row r="3273" spans="1:50" x14ac:dyDescent="0.25">
      <c r="A3273" s="2" t="s">
        <v>21791</v>
      </c>
      <c r="B3273" s="2">
        <v>816.29322211128999</v>
      </c>
      <c r="C3273" s="2">
        <v>10.3696</v>
      </c>
      <c r="D3273" s="2" t="s">
        <v>51</v>
      </c>
      <c r="E3273" s="2" t="s">
        <v>21792</v>
      </c>
      <c r="F3273" s="2">
        <v>59724</v>
      </c>
      <c r="G3273" s="3" t="str">
        <f>HYPERLINK("https://cloud.oebiotech.com/#/lm/network/59724", "https://cloud.oebiotech.com/#/lm/network/59724")</f>
        <v>https://cloud.oebiotech.com/#/lm/network/59724</v>
      </c>
      <c r="H3273" s="2" t="s">
        <v>21793</v>
      </c>
      <c r="I3273" s="2">
        <v>91107</v>
      </c>
      <c r="J3273" s="2"/>
      <c r="K3273" s="2">
        <v>85165781</v>
      </c>
      <c r="L3273" s="2"/>
      <c r="M3273" s="2"/>
      <c r="N3273" s="2"/>
      <c r="O3273" s="2"/>
      <c r="P3273" s="2"/>
      <c r="Q3273" s="2"/>
      <c r="R3273" s="2" t="s">
        <v>21794</v>
      </c>
      <c r="S3273" s="2" t="s">
        <v>21795</v>
      </c>
      <c r="T3273" s="2" t="s">
        <v>21796</v>
      </c>
      <c r="U3273" s="2" t="s">
        <v>331</v>
      </c>
      <c r="V3273" s="2" t="s">
        <v>332</v>
      </c>
      <c r="W3273" s="2" t="s">
        <v>333</v>
      </c>
      <c r="X3273" s="2" t="s">
        <v>147</v>
      </c>
      <c r="Y3273" s="2">
        <v>37</v>
      </c>
      <c r="Z3273" s="2">
        <v>0</v>
      </c>
      <c r="AA3273" s="2" t="s">
        <v>218</v>
      </c>
      <c r="AB3273" s="2" t="s">
        <v>21797</v>
      </c>
      <c r="AC3273" s="2">
        <v>7.1973736607617994E-2</v>
      </c>
      <c r="AD3273" s="2"/>
      <c r="AE3273" s="2">
        <v>0.17580910938045699</v>
      </c>
      <c r="AF3273" s="2">
        <v>2775.6284579819398</v>
      </c>
      <c r="AG3273" s="2">
        <v>4207.3245910797696</v>
      </c>
      <c r="AH3273" s="4">
        <v>0.65971341119407401</v>
      </c>
      <c r="AI3273" s="4">
        <v>-0.60008866138985095</v>
      </c>
      <c r="AJ3273" s="4" t="s">
        <v>62</v>
      </c>
      <c r="AK3273" s="2">
        <v>0.29261527953876798</v>
      </c>
      <c r="AL3273" s="2">
        <v>0.60553329689908297</v>
      </c>
      <c r="AM3273" s="2">
        <v>5843.4518842192801</v>
      </c>
      <c r="AN3273" s="2">
        <v>1423.97905496113</v>
      </c>
      <c r="AO3273" s="2">
        <v>1406.6816385449499</v>
      </c>
      <c r="AP3273" s="2">
        <v>4023.46497798376</v>
      </c>
      <c r="AQ3273" s="2">
        <v>1122.79230747681</v>
      </c>
      <c r="AR3273" s="2">
        <v>2833.4008847057298</v>
      </c>
      <c r="AS3273" s="2">
        <v>1596.63828429312</v>
      </c>
      <c r="AT3273" s="2">
        <v>2420.2659822736</v>
      </c>
      <c r="AU3273" s="2">
        <v>1759.6123722212501</v>
      </c>
      <c r="AV3273" s="2">
        <v>6629.9830233031898</v>
      </c>
      <c r="AW3273" s="2">
        <v>5796.4653322187596</v>
      </c>
      <c r="AX3273" s="2">
        <v>7040.9825521686698</v>
      </c>
    </row>
    <row r="3274" spans="1:50" x14ac:dyDescent="0.25">
      <c r="A3274" s="2" t="s">
        <v>21798</v>
      </c>
      <c r="B3274" s="2">
        <v>223.16986024564301</v>
      </c>
      <c r="C3274" s="2">
        <v>11.940049999999999</v>
      </c>
      <c r="D3274" s="2" t="s">
        <v>51</v>
      </c>
      <c r="E3274" s="2" t="s">
        <v>21799</v>
      </c>
      <c r="F3274" s="2">
        <v>3356</v>
      </c>
      <c r="G3274" s="3" t="str">
        <f>HYPERLINK("https://cloud.oebiotech.com/#/lm/network/3356", "https://cloud.oebiotech.com/#/lm/network/3356")</f>
        <v>https://cloud.oebiotech.com/#/lm/network/3356</v>
      </c>
      <c r="H3274" s="2"/>
      <c r="I3274" s="2">
        <v>74961</v>
      </c>
      <c r="J3274" s="2" t="s">
        <v>21800</v>
      </c>
      <c r="K3274" s="2">
        <v>16061081</v>
      </c>
      <c r="L3274" s="2"/>
      <c r="M3274" s="2"/>
      <c r="N3274" s="2"/>
      <c r="O3274" s="2"/>
      <c r="P3274" s="2"/>
      <c r="Q3274" s="2"/>
      <c r="R3274" s="2"/>
      <c r="S3274" s="2" t="s">
        <v>21801</v>
      </c>
      <c r="T3274" s="2" t="s">
        <v>21802</v>
      </c>
      <c r="U3274" s="2" t="s">
        <v>56</v>
      </c>
      <c r="V3274" s="2" t="s">
        <v>145</v>
      </c>
      <c r="W3274" s="2" t="s">
        <v>231</v>
      </c>
      <c r="X3274" s="2" t="s">
        <v>147</v>
      </c>
      <c r="Y3274" s="2">
        <v>38.4</v>
      </c>
      <c r="Z3274" s="2">
        <v>0</v>
      </c>
      <c r="AA3274" s="2" t="s">
        <v>156</v>
      </c>
      <c r="AB3274" s="2" t="s">
        <v>18888</v>
      </c>
      <c r="AC3274" s="2">
        <v>2.5143060520987901</v>
      </c>
      <c r="AD3274" s="2"/>
      <c r="AE3274" s="2">
        <v>0.17577042733579501</v>
      </c>
      <c r="AF3274" s="2">
        <v>3019.8022905930602</v>
      </c>
      <c r="AG3274" s="2">
        <v>1909.7024169014901</v>
      </c>
      <c r="AH3274" s="5">
        <v>1.5812946896159401</v>
      </c>
      <c r="AI3274" s="5">
        <v>0.66110625297768899</v>
      </c>
      <c r="AJ3274" s="5" t="s">
        <v>139</v>
      </c>
      <c r="AK3274" s="2">
        <v>8.4175971566854704E-2</v>
      </c>
      <c r="AL3274" s="2">
        <v>0.37603667659324003</v>
      </c>
      <c r="AM3274" s="2">
        <v>2247.2808294949</v>
      </c>
      <c r="AN3274" s="2">
        <v>4310.8137294300504</v>
      </c>
      <c r="AO3274" s="2">
        <v>2823.3008787559702</v>
      </c>
      <c r="AP3274" s="2">
        <v>2968.0026901431302</v>
      </c>
      <c r="AQ3274" s="2">
        <v>3648.2188369912201</v>
      </c>
      <c r="AR3274" s="2">
        <v>2121.1967787431099</v>
      </c>
      <c r="AS3274" s="2">
        <v>1476.21440901456</v>
      </c>
      <c r="AT3274" s="2">
        <v>2406.5218662577599</v>
      </c>
      <c r="AU3274" s="2">
        <v>887.41196905527397</v>
      </c>
      <c r="AV3274" s="2">
        <v>662.80091108754402</v>
      </c>
      <c r="AW3274" s="2">
        <v>2277.2240213497098</v>
      </c>
      <c r="AX3274" s="2">
        <v>3748.0413246441199</v>
      </c>
    </row>
    <row r="3275" spans="1:50" x14ac:dyDescent="0.25">
      <c r="A3275" s="2" t="s">
        <v>21803</v>
      </c>
      <c r="B3275" s="2">
        <v>470.08449534088197</v>
      </c>
      <c r="C3275" s="2">
        <v>3.62381666666667</v>
      </c>
      <c r="D3275" s="2" t="s">
        <v>51</v>
      </c>
      <c r="E3275" s="2" t="s">
        <v>21804</v>
      </c>
      <c r="F3275" s="2">
        <v>82048</v>
      </c>
      <c r="G3275" s="3" t="str">
        <f>HYPERLINK("https://cloud.oebiotech.com/#/lm/network/82048", "https://cloud.oebiotech.com/#/lm/network/82048")</f>
        <v>https://cloud.oebiotech.com/#/lm/network/82048</v>
      </c>
      <c r="H3275" s="2" t="s">
        <v>21805</v>
      </c>
      <c r="I3275" s="2"/>
      <c r="J3275" s="2"/>
      <c r="K3275" s="2">
        <v>131769799</v>
      </c>
      <c r="L3275" s="2"/>
      <c r="M3275" s="2"/>
      <c r="N3275" s="2"/>
      <c r="O3275" s="2"/>
      <c r="P3275" s="2"/>
      <c r="Q3275" s="2"/>
      <c r="R3275" s="2"/>
      <c r="S3275" s="2" t="s">
        <v>21806</v>
      </c>
      <c r="T3275" s="2" t="s">
        <v>21807</v>
      </c>
      <c r="U3275" s="2" t="s">
        <v>331</v>
      </c>
      <c r="V3275" s="2" t="s">
        <v>332</v>
      </c>
      <c r="W3275" s="2" t="s">
        <v>333</v>
      </c>
      <c r="X3275" s="2" t="s">
        <v>147</v>
      </c>
      <c r="Y3275" s="2">
        <v>36.6</v>
      </c>
      <c r="Z3275" s="2">
        <v>8.18</v>
      </c>
      <c r="AA3275" s="2" t="s">
        <v>259</v>
      </c>
      <c r="AB3275" s="2" t="s">
        <v>21808</v>
      </c>
      <c r="AC3275" s="2">
        <v>-0.75602190013272397</v>
      </c>
      <c r="AD3275" s="2"/>
      <c r="AE3275" s="2">
        <v>0.17575902963831799</v>
      </c>
      <c r="AF3275" s="2">
        <v>9512.5971195866496</v>
      </c>
      <c r="AG3275" s="2">
        <v>11408.5285203367</v>
      </c>
      <c r="AH3275" s="4">
        <v>0.83381455396544601</v>
      </c>
      <c r="AI3275" s="4">
        <v>-0.26220154074234903</v>
      </c>
      <c r="AJ3275" s="4" t="s">
        <v>62</v>
      </c>
      <c r="AK3275" s="2">
        <v>0.52778586405149697</v>
      </c>
      <c r="AL3275" s="2">
        <v>0.75541578468508697</v>
      </c>
      <c r="AM3275" s="2">
        <v>4152.8907834442198</v>
      </c>
      <c r="AN3275" s="2">
        <v>11196.7872433951</v>
      </c>
      <c r="AO3275" s="2">
        <v>11357.292558462401</v>
      </c>
      <c r="AP3275" s="2">
        <v>13207.865318804999</v>
      </c>
      <c r="AQ3275" s="2">
        <v>9817.8490746694206</v>
      </c>
      <c r="AR3275" s="2">
        <v>7342.8977387437599</v>
      </c>
      <c r="AS3275" s="2">
        <v>11956.5353708616</v>
      </c>
      <c r="AT3275" s="2">
        <v>16468.260291334002</v>
      </c>
      <c r="AU3275" s="2">
        <v>6099.23864462645</v>
      </c>
      <c r="AV3275" s="2">
        <v>1704.54001221619</v>
      </c>
      <c r="AW3275" s="2">
        <v>17859.6322316972</v>
      </c>
      <c r="AX3275" s="2">
        <v>14362.964571285</v>
      </c>
    </row>
    <row r="3276" spans="1:50" x14ac:dyDescent="0.25">
      <c r="A3276" s="2" t="s">
        <v>21809</v>
      </c>
      <c r="B3276" s="2">
        <v>512.32043096468203</v>
      </c>
      <c r="C3276" s="2">
        <v>10.09835</v>
      </c>
      <c r="D3276" s="2" t="s">
        <v>51</v>
      </c>
      <c r="E3276" s="2" t="s">
        <v>21810</v>
      </c>
      <c r="F3276" s="2">
        <v>53621</v>
      </c>
      <c r="G3276" s="3" t="str">
        <f>HYPERLINK("https://cloud.oebiotech.com/#/lm/network/53621", "https://cloud.oebiotech.com/#/lm/network/53621")</f>
        <v>https://cloud.oebiotech.com/#/lm/network/53621</v>
      </c>
      <c r="H3276" s="2" t="s">
        <v>21811</v>
      </c>
      <c r="I3276" s="2">
        <v>85537</v>
      </c>
      <c r="J3276" s="2"/>
      <c r="K3276" s="2">
        <v>3002977</v>
      </c>
      <c r="L3276" s="2"/>
      <c r="M3276" s="2"/>
      <c r="N3276" s="2"/>
      <c r="O3276" s="2"/>
      <c r="P3276" s="2"/>
      <c r="Q3276" s="2"/>
      <c r="R3276" s="2" t="s">
        <v>21812</v>
      </c>
      <c r="S3276" s="2" t="s">
        <v>21813</v>
      </c>
      <c r="T3276" s="2" t="s">
        <v>21814</v>
      </c>
      <c r="U3276" s="2" t="s">
        <v>238</v>
      </c>
      <c r="V3276" s="2" t="s">
        <v>21815</v>
      </c>
      <c r="W3276" s="2" t="s">
        <v>240</v>
      </c>
      <c r="X3276" s="2" t="s">
        <v>147</v>
      </c>
      <c r="Y3276" s="2">
        <v>36.700000000000003</v>
      </c>
      <c r="Z3276" s="2">
        <v>0</v>
      </c>
      <c r="AA3276" s="2" t="s">
        <v>163</v>
      </c>
      <c r="AB3276" s="2" t="s">
        <v>21816</v>
      </c>
      <c r="AC3276" s="2">
        <v>-0.40909862977373901</v>
      </c>
      <c r="AD3276" s="2"/>
      <c r="AE3276" s="2">
        <v>0.175701810561842</v>
      </c>
      <c r="AF3276" s="2">
        <v>2104.2800309153699</v>
      </c>
      <c r="AG3276" s="2">
        <v>1213.13074574402</v>
      </c>
      <c r="AH3276" s="5">
        <v>1.7345863488315101</v>
      </c>
      <c r="AI3276" s="5">
        <v>0.79459166070514597</v>
      </c>
      <c r="AJ3276" s="5" t="s">
        <v>139</v>
      </c>
      <c r="AK3276" s="2">
        <v>0.378179952050121</v>
      </c>
      <c r="AL3276" s="2">
        <v>0.65844593389412398</v>
      </c>
      <c r="AM3276" s="2">
        <v>6338.00708897397</v>
      </c>
      <c r="AN3276" s="2">
        <v>1074.94621523808</v>
      </c>
      <c r="AO3276" s="2">
        <v>2361.05585243221</v>
      </c>
      <c r="AP3276" s="2">
        <v>1904.04807373023</v>
      </c>
      <c r="AQ3276" s="2">
        <v>404.86005482448002</v>
      </c>
      <c r="AR3276" s="2">
        <v>542.76290029324298</v>
      </c>
      <c r="AS3276" s="2">
        <v>457.88517769967598</v>
      </c>
      <c r="AT3276" s="2">
        <v>878.78502455981004</v>
      </c>
      <c r="AU3276" s="2">
        <v>2695.8918747923899</v>
      </c>
      <c r="AV3276" s="2">
        <v>1438.5661541040199</v>
      </c>
      <c r="AW3276" s="2">
        <v>1393.6071571299001</v>
      </c>
      <c r="AX3276" s="2">
        <v>414.04908617835099</v>
      </c>
    </row>
    <row r="3277" spans="1:50" x14ac:dyDescent="0.25">
      <c r="A3277" s="2" t="s">
        <v>21817</v>
      </c>
      <c r="B3277" s="2">
        <v>289.135858402971</v>
      </c>
      <c r="C3277" s="2">
        <v>10.252599999999999</v>
      </c>
      <c r="D3277" s="2" t="s">
        <v>51</v>
      </c>
      <c r="E3277" s="2" t="s">
        <v>21818</v>
      </c>
      <c r="F3277" s="2">
        <v>209056</v>
      </c>
      <c r="G3277" s="3" t="str">
        <f>HYPERLINK("https://cloud.oebiotech.com/#/lm/network/209056", "https://cloud.oebiotech.com/#/lm/network/209056")</f>
        <v>https://cloud.oebiotech.com/#/lm/network/209056</v>
      </c>
      <c r="H3277" s="2" t="s">
        <v>21819</v>
      </c>
      <c r="I3277" s="2"/>
      <c r="J3277" s="2"/>
      <c r="K3277" s="2">
        <v>4314</v>
      </c>
      <c r="L3277" s="2"/>
      <c r="M3277" s="2"/>
      <c r="N3277" s="2"/>
      <c r="O3277" s="2"/>
      <c r="P3277" s="2"/>
      <c r="Q3277" s="2"/>
      <c r="R3277" s="2"/>
      <c r="S3277" s="2" t="s">
        <v>21820</v>
      </c>
      <c r="T3277" s="2" t="s">
        <v>21821</v>
      </c>
      <c r="U3277" s="2" t="s">
        <v>610</v>
      </c>
      <c r="V3277" s="2" t="s">
        <v>813</v>
      </c>
      <c r="W3277" s="2" t="s">
        <v>814</v>
      </c>
      <c r="X3277" s="2" t="s">
        <v>147</v>
      </c>
      <c r="Y3277" s="2">
        <v>37.299999999999997</v>
      </c>
      <c r="Z3277" s="2">
        <v>0</v>
      </c>
      <c r="AA3277" s="2" t="s">
        <v>156</v>
      </c>
      <c r="AB3277" s="2" t="s">
        <v>21822</v>
      </c>
      <c r="AC3277" s="2">
        <v>-3.4373182386921499</v>
      </c>
      <c r="AD3277" s="2"/>
      <c r="AE3277" s="2">
        <v>0.17569574639473101</v>
      </c>
      <c r="AF3277" s="2">
        <v>13522.4780035687</v>
      </c>
      <c r="AG3277" s="2">
        <v>12242.861188248</v>
      </c>
      <c r="AH3277" s="5">
        <v>1.10451942529161</v>
      </c>
      <c r="AI3277" s="5">
        <v>0.14341879173568001</v>
      </c>
      <c r="AJ3277" s="5" t="s">
        <v>139</v>
      </c>
      <c r="AK3277" s="2">
        <v>0.498396817022559</v>
      </c>
      <c r="AL3277" s="2">
        <v>0.73671083391796099</v>
      </c>
      <c r="AM3277" s="2">
        <v>17595.043965917601</v>
      </c>
      <c r="AN3277" s="2">
        <v>18092.003747577601</v>
      </c>
      <c r="AO3277" s="2">
        <v>14274.265058757601</v>
      </c>
      <c r="AP3277" s="2">
        <v>9389.0014662815902</v>
      </c>
      <c r="AQ3277" s="2">
        <v>9985.2480052217397</v>
      </c>
      <c r="AR3277" s="2">
        <v>11799.3057776558</v>
      </c>
      <c r="AS3277" s="2">
        <v>10481.380027528199</v>
      </c>
      <c r="AT3277" s="2">
        <v>9571.8148277789896</v>
      </c>
      <c r="AU3277" s="2">
        <v>11304.2933696419</v>
      </c>
      <c r="AV3277" s="2">
        <v>16225.5492784618</v>
      </c>
      <c r="AW3277" s="2">
        <v>12230.9706418967</v>
      </c>
      <c r="AX3277" s="2">
        <v>13643.1589841806</v>
      </c>
    </row>
    <row r="3278" spans="1:50" x14ac:dyDescent="0.25">
      <c r="A3278" s="2" t="s">
        <v>21823</v>
      </c>
      <c r="B3278" s="2">
        <v>292.07212606096499</v>
      </c>
      <c r="C3278" s="2">
        <v>0.72640000000000005</v>
      </c>
      <c r="D3278" s="2" t="s">
        <v>51</v>
      </c>
      <c r="E3278" s="2" t="s">
        <v>21824</v>
      </c>
      <c r="F3278" s="2">
        <v>206515</v>
      </c>
      <c r="G3278" s="3" t="str">
        <f>HYPERLINK("https://cloud.oebiotech.com/#/lm/network/206515", "https://cloud.oebiotech.com/#/lm/network/206515")</f>
        <v>https://cloud.oebiotech.com/#/lm/network/206515</v>
      </c>
      <c r="H3278" s="2" t="s">
        <v>21825</v>
      </c>
      <c r="I3278" s="2"/>
      <c r="J3278" s="2"/>
      <c r="K3278" s="2">
        <v>9819685</v>
      </c>
      <c r="L3278" s="2"/>
      <c r="M3278" s="2"/>
      <c r="N3278" s="2"/>
      <c r="O3278" s="2"/>
      <c r="P3278" s="2"/>
      <c r="Q3278" s="2"/>
      <c r="R3278" s="2"/>
      <c r="S3278" s="2" t="s">
        <v>21826</v>
      </c>
      <c r="T3278" s="2" t="s">
        <v>21827</v>
      </c>
      <c r="U3278" s="2" t="s">
        <v>266</v>
      </c>
      <c r="V3278" s="2" t="s">
        <v>1785</v>
      </c>
      <c r="W3278" s="2" t="s">
        <v>1786</v>
      </c>
      <c r="X3278" s="2" t="s">
        <v>147</v>
      </c>
      <c r="Y3278" s="2">
        <v>37</v>
      </c>
      <c r="Z3278" s="2">
        <v>5.97</v>
      </c>
      <c r="AA3278" s="2" t="s">
        <v>379</v>
      </c>
      <c r="AB3278" s="2" t="s">
        <v>21828</v>
      </c>
      <c r="AC3278" s="2">
        <v>-1.3577212885007</v>
      </c>
      <c r="AD3278" s="2"/>
      <c r="AE3278" s="2">
        <v>0.175654788736023</v>
      </c>
      <c r="AF3278" s="2">
        <v>14261.498854813801</v>
      </c>
      <c r="AG3278" s="2">
        <v>17312.215902747401</v>
      </c>
      <c r="AH3278" s="4">
        <v>0.82378240514841194</v>
      </c>
      <c r="AI3278" s="4">
        <v>-0.27966478232068398</v>
      </c>
      <c r="AJ3278" s="4" t="s">
        <v>62</v>
      </c>
      <c r="AK3278" s="2">
        <v>0.50128117868619704</v>
      </c>
      <c r="AL3278" s="2">
        <v>0.73848792999006296</v>
      </c>
      <c r="AM3278" s="2">
        <v>23530.380660431201</v>
      </c>
      <c r="AN3278" s="2">
        <v>13158.9839559829</v>
      </c>
      <c r="AO3278" s="2">
        <v>15215.817165913</v>
      </c>
      <c r="AP3278" s="2">
        <v>16671.749105299099</v>
      </c>
      <c r="AQ3278" s="2">
        <v>9781.6098562236202</v>
      </c>
      <c r="AR3278" s="2">
        <v>7210.4523850330297</v>
      </c>
      <c r="AS3278" s="2">
        <v>9133.0188274271095</v>
      </c>
      <c r="AT3278" s="2">
        <v>8367.0099680808707</v>
      </c>
      <c r="AU3278" s="2">
        <v>15744.624991527</v>
      </c>
      <c r="AV3278" s="2">
        <v>17658.182333920799</v>
      </c>
      <c r="AW3278" s="2">
        <v>19695.477099868302</v>
      </c>
      <c r="AX3278" s="2">
        <v>33274.982195660101</v>
      </c>
    </row>
    <row r="3279" spans="1:50" x14ac:dyDescent="0.25">
      <c r="A3279" s="2" t="s">
        <v>21829</v>
      </c>
      <c r="B3279" s="2">
        <v>218.09744679640099</v>
      </c>
      <c r="C3279" s="2">
        <v>6.1879499999999998</v>
      </c>
      <c r="D3279" s="2" t="s">
        <v>51</v>
      </c>
      <c r="E3279" s="2" t="s">
        <v>21830</v>
      </c>
      <c r="F3279" s="2">
        <v>64847</v>
      </c>
      <c r="G3279" s="3" t="str">
        <f>HYPERLINK("https://cloud.oebiotech.com/#/lm/network/64847", "https://cloud.oebiotech.com/#/lm/network/64847")</f>
        <v>https://cloud.oebiotech.com/#/lm/network/64847</v>
      </c>
      <c r="H3279" s="2" t="s">
        <v>21831</v>
      </c>
      <c r="I3279" s="2">
        <v>96142</v>
      </c>
      <c r="J3279" s="2"/>
      <c r="K3279" s="2">
        <v>15352</v>
      </c>
      <c r="L3279" s="2"/>
      <c r="M3279" s="2"/>
      <c r="N3279" s="2"/>
      <c r="O3279" s="2"/>
      <c r="P3279" s="2"/>
      <c r="Q3279" s="2"/>
      <c r="R3279" s="2" t="s">
        <v>21832</v>
      </c>
      <c r="S3279" s="2" t="s">
        <v>21833</v>
      </c>
      <c r="T3279" s="2" t="s">
        <v>21834</v>
      </c>
      <c r="U3279" s="2" t="s">
        <v>610</v>
      </c>
      <c r="V3279" s="2" t="s">
        <v>15860</v>
      </c>
      <c r="W3279" s="2" t="s">
        <v>240</v>
      </c>
      <c r="X3279" s="2" t="s">
        <v>147</v>
      </c>
      <c r="Y3279" s="2">
        <v>36.4</v>
      </c>
      <c r="Z3279" s="2">
        <v>0</v>
      </c>
      <c r="AA3279" s="2" t="s">
        <v>179</v>
      </c>
      <c r="AB3279" s="2" t="s">
        <v>21835</v>
      </c>
      <c r="AC3279" s="2">
        <v>4.7031684187350002</v>
      </c>
      <c r="AD3279" s="2"/>
      <c r="AE3279" s="2">
        <v>0.17549653469127999</v>
      </c>
      <c r="AF3279" s="2">
        <v>2628.8332735689701</v>
      </c>
      <c r="AG3279" s="2">
        <v>1810.45318203793</v>
      </c>
      <c r="AH3279" s="5">
        <v>1.45203051901615</v>
      </c>
      <c r="AI3279" s="5">
        <v>0.53807177645386595</v>
      </c>
      <c r="AJ3279" s="5" t="s">
        <v>139</v>
      </c>
      <c r="AK3279" s="2">
        <v>0.120463269267878</v>
      </c>
      <c r="AL3279" s="2">
        <v>0.43792729332499802</v>
      </c>
      <c r="AM3279" s="2">
        <v>3457.8039792805598</v>
      </c>
      <c r="AN3279" s="2">
        <v>3450.5416398064699</v>
      </c>
      <c r="AO3279" s="2">
        <v>1811.7620171798501</v>
      </c>
      <c r="AP3279" s="2">
        <v>2177.4084332726602</v>
      </c>
      <c r="AQ3279" s="2">
        <v>2092.2798638316899</v>
      </c>
      <c r="AR3279" s="2">
        <v>2783.2037080426098</v>
      </c>
      <c r="AS3279" s="2">
        <v>1591.91864872821</v>
      </c>
      <c r="AT3279" s="2">
        <v>1081.41256391502</v>
      </c>
      <c r="AU3279" s="2">
        <v>3565.61929193174</v>
      </c>
      <c r="AV3279" s="2">
        <v>959.29831880152506</v>
      </c>
      <c r="AW3279" s="2">
        <v>1686.3307360297799</v>
      </c>
      <c r="AX3279" s="2">
        <v>1978.13953282132</v>
      </c>
    </row>
    <row r="3280" spans="1:50" x14ac:dyDescent="0.25">
      <c r="A3280" s="2" t="s">
        <v>21836</v>
      </c>
      <c r="B3280" s="2">
        <v>479.22875979986998</v>
      </c>
      <c r="C3280" s="2">
        <v>5.8543500000000002</v>
      </c>
      <c r="D3280" s="2" t="s">
        <v>51</v>
      </c>
      <c r="E3280" s="2" t="s">
        <v>21837</v>
      </c>
      <c r="F3280" s="2">
        <v>44740</v>
      </c>
      <c r="G3280" s="3" t="str">
        <f>HYPERLINK("https://cloud.oebiotech.com/#/lm/network/44740", "https://cloud.oebiotech.com/#/lm/network/44740")</f>
        <v>https://cloud.oebiotech.com/#/lm/network/44740</v>
      </c>
      <c r="H3280" s="2"/>
      <c r="I3280" s="2"/>
      <c r="J3280" s="2" t="s">
        <v>21838</v>
      </c>
      <c r="K3280" s="2"/>
      <c r="L3280" s="2"/>
      <c r="M3280" s="2"/>
      <c r="N3280" s="2"/>
      <c r="O3280" s="2"/>
      <c r="P3280" s="2"/>
      <c r="Q3280" s="2"/>
      <c r="R3280" s="2"/>
      <c r="S3280" s="2" t="s">
        <v>21839</v>
      </c>
      <c r="T3280" s="2" t="s">
        <v>21840</v>
      </c>
      <c r="U3280" s="2" t="s">
        <v>56</v>
      </c>
      <c r="V3280" s="2" t="s">
        <v>283</v>
      </c>
      <c r="W3280" s="2" t="s">
        <v>1338</v>
      </c>
      <c r="X3280" s="2" t="s">
        <v>147</v>
      </c>
      <c r="Y3280" s="2">
        <v>37.299999999999997</v>
      </c>
      <c r="Z3280" s="2">
        <v>0</v>
      </c>
      <c r="AA3280" s="2" t="s">
        <v>218</v>
      </c>
      <c r="AB3280" s="2" t="s">
        <v>21841</v>
      </c>
      <c r="AC3280" s="2">
        <v>0.238358616415489</v>
      </c>
      <c r="AD3280" s="2"/>
      <c r="AE3280" s="2">
        <v>0.175084908657995</v>
      </c>
      <c r="AF3280" s="2">
        <v>879.47763490766204</v>
      </c>
      <c r="AG3280" s="2">
        <v>2076.3058625069398</v>
      </c>
      <c r="AH3280" s="4">
        <v>0.423578072377919</v>
      </c>
      <c r="AI3280" s="4">
        <v>-1.23930018849019</v>
      </c>
      <c r="AJ3280" s="4" t="s">
        <v>62</v>
      </c>
      <c r="AK3280" s="2">
        <v>4.0614638948493001E-2</v>
      </c>
      <c r="AL3280" s="2">
        <v>0.29155452793099101</v>
      </c>
      <c r="AM3280" s="2">
        <v>1277.3328288878099</v>
      </c>
      <c r="AN3280" s="2">
        <v>2709.2169285688801</v>
      </c>
      <c r="AO3280" s="2">
        <v>284.95565000863502</v>
      </c>
      <c r="AP3280" s="2">
        <v>8.559877937157E-6</v>
      </c>
      <c r="AQ3280" s="2">
        <v>740.66224122984102</v>
      </c>
      <c r="AR3280" s="2">
        <v>264.69815219092902</v>
      </c>
      <c r="AS3280" s="2">
        <v>1632.3766191168299</v>
      </c>
      <c r="AT3280" s="2">
        <v>2795.4626574088202</v>
      </c>
      <c r="AU3280" s="2">
        <v>1418.6615391662201</v>
      </c>
      <c r="AV3280" s="2">
        <v>3212.1983634394101</v>
      </c>
      <c r="AW3280" s="2">
        <v>1582.3145373050299</v>
      </c>
      <c r="AX3280" s="2">
        <v>1816.82145860532</v>
      </c>
    </row>
    <row r="3281" spans="1:50" x14ac:dyDescent="0.25">
      <c r="A3281" s="2" t="s">
        <v>21842</v>
      </c>
      <c r="B3281" s="2">
        <v>252.023686093847</v>
      </c>
      <c r="C3281" s="2">
        <v>1.92258333333333</v>
      </c>
      <c r="D3281" s="2" t="s">
        <v>51</v>
      </c>
      <c r="E3281" s="2" t="s">
        <v>21843</v>
      </c>
      <c r="F3281" s="2">
        <v>203457</v>
      </c>
      <c r="G3281" s="3" t="str">
        <f>HYPERLINK("https://cloud.oebiotech.com/#/lm/network/203457", "https://cloud.oebiotech.com/#/lm/network/203457")</f>
        <v>https://cloud.oebiotech.com/#/lm/network/203457</v>
      </c>
      <c r="H3281" s="2" t="s">
        <v>21844</v>
      </c>
      <c r="I3281" s="2">
        <v>462746</v>
      </c>
      <c r="J3281" s="2"/>
      <c r="K3281" s="2">
        <v>33488</v>
      </c>
      <c r="L3281" s="2"/>
      <c r="M3281" s="2"/>
      <c r="N3281" s="2"/>
      <c r="O3281" s="2">
        <v>38944</v>
      </c>
      <c r="P3281" s="2"/>
      <c r="Q3281" s="2"/>
      <c r="R3281" s="2"/>
      <c r="S3281" s="2" t="s">
        <v>21845</v>
      </c>
      <c r="T3281" s="2" t="s">
        <v>21846</v>
      </c>
      <c r="U3281" s="2" t="s">
        <v>610</v>
      </c>
      <c r="V3281" s="2" t="s">
        <v>611</v>
      </c>
      <c r="W3281" s="2" t="s">
        <v>8369</v>
      </c>
      <c r="X3281" s="2" t="s">
        <v>147</v>
      </c>
      <c r="Y3281" s="2">
        <v>37.6</v>
      </c>
      <c r="Z3281" s="2">
        <v>6.85</v>
      </c>
      <c r="AA3281" s="2" t="s">
        <v>379</v>
      </c>
      <c r="AB3281" s="2" t="s">
        <v>21847</v>
      </c>
      <c r="AC3281" s="2">
        <v>-7.50006887779925E-2</v>
      </c>
      <c r="AD3281" s="2"/>
      <c r="AE3281" s="2">
        <v>0.17504474476003001</v>
      </c>
      <c r="AF3281" s="2">
        <v>8.559877937157E-6</v>
      </c>
      <c r="AG3281" s="2">
        <v>1172.3355226321501</v>
      </c>
      <c r="AH3281" s="4">
        <v>7.3015598110839498E-9</v>
      </c>
      <c r="AI3281" s="4">
        <v>-27.029148158304199</v>
      </c>
      <c r="AJ3281" s="4" t="s">
        <v>62</v>
      </c>
      <c r="AK3281" s="2">
        <v>7.5944016566637601E-2</v>
      </c>
      <c r="AL3281" s="2">
        <v>0.35970690181898002</v>
      </c>
      <c r="AM3281" s="2">
        <v>8.559877937157E-6</v>
      </c>
      <c r="AN3281" s="2">
        <v>8.559877937157E-6</v>
      </c>
      <c r="AO3281" s="2">
        <v>8.559877937157E-6</v>
      </c>
      <c r="AP3281" s="2">
        <v>8.559877937157E-6</v>
      </c>
      <c r="AQ3281" s="2">
        <v>8.559877937157E-6</v>
      </c>
      <c r="AR3281" s="2">
        <v>8.559877937157E-6</v>
      </c>
      <c r="AS3281" s="2">
        <v>1190.80958700879</v>
      </c>
      <c r="AT3281" s="2">
        <v>3295.60660051491</v>
      </c>
      <c r="AU3281" s="2">
        <v>8.559877937157E-6</v>
      </c>
      <c r="AV3281" s="2">
        <v>2547.5969225895601</v>
      </c>
      <c r="AW3281" s="2">
        <v>8.559877937157E-6</v>
      </c>
      <c r="AX3281" s="2">
        <v>8.559877937157E-6</v>
      </c>
    </row>
    <row r="3282" spans="1:50" x14ac:dyDescent="0.25">
      <c r="A3282" s="2" t="s">
        <v>21848</v>
      </c>
      <c r="B3282" s="2">
        <v>594.28982907349496</v>
      </c>
      <c r="C3282" s="2">
        <v>4.0687333333333298</v>
      </c>
      <c r="D3282" s="2" t="s">
        <v>51</v>
      </c>
      <c r="E3282" s="2" t="s">
        <v>21849</v>
      </c>
      <c r="F3282" s="2">
        <v>196974</v>
      </c>
      <c r="G3282" s="3" t="str">
        <f>HYPERLINK("https://cloud.oebiotech.com/#/lm/network/196974", "https://cloud.oebiotech.com/#/lm/network/196974")</f>
        <v>https://cloud.oebiotech.com/#/lm/network/196974</v>
      </c>
      <c r="H3282" s="2" t="s">
        <v>21850</v>
      </c>
      <c r="I3282" s="2"/>
      <c r="J3282" s="2"/>
      <c r="K3282" s="2">
        <v>11387605</v>
      </c>
      <c r="L3282" s="2"/>
      <c r="M3282" s="2"/>
      <c r="N3282" s="2"/>
      <c r="O3282" s="2"/>
      <c r="P3282" s="2"/>
      <c r="Q3282" s="2"/>
      <c r="R3282" s="2" t="s">
        <v>21851</v>
      </c>
      <c r="S3282" s="2" t="s">
        <v>21852</v>
      </c>
      <c r="T3282" s="2" t="s">
        <v>21853</v>
      </c>
      <c r="U3282" s="2" t="s">
        <v>610</v>
      </c>
      <c r="V3282" s="2" t="s">
        <v>611</v>
      </c>
      <c r="W3282" s="2" t="s">
        <v>1267</v>
      </c>
      <c r="X3282" s="2" t="s">
        <v>147</v>
      </c>
      <c r="Y3282" s="2">
        <v>41.3</v>
      </c>
      <c r="Z3282" s="2">
        <v>28.3</v>
      </c>
      <c r="AA3282" s="2" t="s">
        <v>512</v>
      </c>
      <c r="AB3282" s="2" t="s">
        <v>21854</v>
      </c>
      <c r="AC3282" s="2">
        <v>-2.2364465532267599</v>
      </c>
      <c r="AD3282" s="2"/>
      <c r="AE3282" s="2">
        <v>0.175036590638183</v>
      </c>
      <c r="AF3282" s="2">
        <v>5150.5630649877903</v>
      </c>
      <c r="AG3282" s="2">
        <v>2736.8369672212898</v>
      </c>
      <c r="AH3282" s="5">
        <v>1.8819400375964499</v>
      </c>
      <c r="AI3282" s="5">
        <v>0.912220661626294</v>
      </c>
      <c r="AJ3282" s="5" t="s">
        <v>139</v>
      </c>
      <c r="AK3282" s="2">
        <v>0.32240614156860298</v>
      </c>
      <c r="AL3282" s="2">
        <v>0.62992073899545697</v>
      </c>
      <c r="AM3282" s="2">
        <v>821.41486176372803</v>
      </c>
      <c r="AN3282" s="2">
        <v>10063.5425490828</v>
      </c>
      <c r="AO3282" s="2">
        <v>6695.8397599084201</v>
      </c>
      <c r="AP3282" s="2">
        <v>10443.5621824522</v>
      </c>
      <c r="AQ3282" s="2">
        <v>2518.5303353752702</v>
      </c>
      <c r="AR3282" s="2">
        <v>360.48870134432298</v>
      </c>
      <c r="AS3282" s="2">
        <v>1042.8365037107001</v>
      </c>
      <c r="AT3282" s="2">
        <v>2586.2101364333698</v>
      </c>
      <c r="AU3282" s="2">
        <v>2531.0349201608201</v>
      </c>
      <c r="AV3282" s="2">
        <v>9388.3047701306605</v>
      </c>
      <c r="AW3282" s="2">
        <v>8.559877937157E-6</v>
      </c>
      <c r="AX3282" s="2">
        <v>872.63546433228805</v>
      </c>
    </row>
    <row r="3283" spans="1:50" x14ac:dyDescent="0.25">
      <c r="A3283" s="2" t="s">
        <v>21855</v>
      </c>
      <c r="B3283" s="2">
        <v>233.11387543769001</v>
      </c>
      <c r="C3283" s="2">
        <v>0.74455000000000005</v>
      </c>
      <c r="D3283" s="2" t="s">
        <v>51</v>
      </c>
      <c r="E3283" s="2" t="s">
        <v>21856</v>
      </c>
      <c r="F3283" s="2">
        <v>51876</v>
      </c>
      <c r="G3283" s="3" t="str">
        <f>HYPERLINK("https://cloud.oebiotech.com/#/lm/network/51876", "https://cloud.oebiotech.com/#/lm/network/51876")</f>
        <v>https://cloud.oebiotech.com/#/lm/network/51876</v>
      </c>
      <c r="H3283" s="2" t="s">
        <v>21857</v>
      </c>
      <c r="I3283" s="2">
        <v>62824</v>
      </c>
      <c r="J3283" s="2"/>
      <c r="K3283" s="2">
        <v>23724570</v>
      </c>
      <c r="L3283" s="2" t="s">
        <v>21858</v>
      </c>
      <c r="M3283" s="2" t="s">
        <v>1194</v>
      </c>
      <c r="N3283" s="2" t="s">
        <v>1195</v>
      </c>
      <c r="O3283" s="2">
        <v>49260</v>
      </c>
      <c r="P3283" s="2"/>
      <c r="Q3283" s="2"/>
      <c r="R3283" s="2" t="s">
        <v>21859</v>
      </c>
      <c r="S3283" s="2" t="s">
        <v>21860</v>
      </c>
      <c r="T3283" s="2" t="s">
        <v>21861</v>
      </c>
      <c r="U3283" s="2" t="s">
        <v>103</v>
      </c>
      <c r="V3283" s="2" t="s">
        <v>104</v>
      </c>
      <c r="W3283" s="2" t="s">
        <v>105</v>
      </c>
      <c r="X3283" s="2" t="s">
        <v>69</v>
      </c>
      <c r="Y3283" s="2">
        <v>48.7</v>
      </c>
      <c r="Z3283" s="2">
        <v>50.2</v>
      </c>
      <c r="AA3283" s="2" t="s">
        <v>196</v>
      </c>
      <c r="AB3283" s="2" t="s">
        <v>21862</v>
      </c>
      <c r="AC3283" s="2">
        <v>2.9184312263043299</v>
      </c>
      <c r="AD3283" s="2"/>
      <c r="AE3283" s="2">
        <v>0.174953915657729</v>
      </c>
      <c r="AF3283" s="2">
        <v>24836.748705568702</v>
      </c>
      <c r="AG3283" s="2">
        <v>21055.044450978101</v>
      </c>
      <c r="AH3283" s="5">
        <v>1.17961036669362</v>
      </c>
      <c r="AI3283" s="5">
        <v>0.238310406311673</v>
      </c>
      <c r="AJ3283" s="5" t="s">
        <v>139</v>
      </c>
      <c r="AK3283" s="2">
        <v>0.65652714910131704</v>
      </c>
      <c r="AL3283" s="2">
        <v>0.83263445021276405</v>
      </c>
      <c r="AM3283" s="2">
        <v>25450.435176718998</v>
      </c>
      <c r="AN3283" s="2">
        <v>35805.300968225602</v>
      </c>
      <c r="AO3283" s="2">
        <v>18260.1633235074</v>
      </c>
      <c r="AP3283" s="2">
        <v>14946.1914908335</v>
      </c>
      <c r="AQ3283" s="2">
        <v>30695.462268754502</v>
      </c>
      <c r="AR3283" s="2">
        <v>23862.939005372398</v>
      </c>
      <c r="AS3283" s="2">
        <v>2146.5196272970902</v>
      </c>
      <c r="AT3283" s="2">
        <v>4515.4973265188301</v>
      </c>
      <c r="AU3283" s="2">
        <v>29680.504717668198</v>
      </c>
      <c r="AV3283" s="2">
        <v>51111.477783788599</v>
      </c>
      <c r="AW3283" s="2">
        <v>11331.849736780399</v>
      </c>
      <c r="AX3283" s="2">
        <v>27544.417513815599</v>
      </c>
    </row>
    <row r="3284" spans="1:50" x14ac:dyDescent="0.25">
      <c r="A3284" s="2" t="s">
        <v>21863</v>
      </c>
      <c r="B3284" s="2">
        <v>227.10332860608401</v>
      </c>
      <c r="C3284" s="2">
        <v>1.00901666666667</v>
      </c>
      <c r="D3284" s="2" t="s">
        <v>51</v>
      </c>
      <c r="E3284" s="2" t="s">
        <v>21864</v>
      </c>
      <c r="F3284" s="2">
        <v>54160</v>
      </c>
      <c r="G3284" s="3" t="str">
        <f>HYPERLINK("https://cloud.oebiotech.com/#/lm/network/54160", "https://cloud.oebiotech.com/#/lm/network/54160")</f>
        <v>https://cloud.oebiotech.com/#/lm/network/54160</v>
      </c>
      <c r="H3284" s="2" t="s">
        <v>21865</v>
      </c>
      <c r="I3284" s="2"/>
      <c r="J3284" s="2"/>
      <c r="K3284" s="2">
        <v>9856242</v>
      </c>
      <c r="L3284" s="2"/>
      <c r="M3284" s="2"/>
      <c r="N3284" s="2"/>
      <c r="O3284" s="2"/>
      <c r="P3284" s="2"/>
      <c r="Q3284" s="2"/>
      <c r="R3284" s="2" t="s">
        <v>21866</v>
      </c>
      <c r="S3284" s="2" t="s">
        <v>21867</v>
      </c>
      <c r="T3284" s="2" t="s">
        <v>21868</v>
      </c>
      <c r="U3284" s="2" t="s">
        <v>103</v>
      </c>
      <c r="V3284" s="2" t="s">
        <v>104</v>
      </c>
      <c r="W3284" s="2" t="s">
        <v>105</v>
      </c>
      <c r="X3284" s="2" t="s">
        <v>83</v>
      </c>
      <c r="Y3284" s="2">
        <v>42.9</v>
      </c>
      <c r="Z3284" s="2">
        <v>18.5</v>
      </c>
      <c r="AA3284" s="2" t="s">
        <v>179</v>
      </c>
      <c r="AB3284" s="2" t="s">
        <v>21286</v>
      </c>
      <c r="AC3284" s="2">
        <v>2.84808971265611</v>
      </c>
      <c r="AD3284" s="2"/>
      <c r="AE3284" s="2">
        <v>0.17471397591057</v>
      </c>
      <c r="AF3284" s="2">
        <v>14135.301873000801</v>
      </c>
      <c r="AG3284" s="2">
        <v>11171.576981914201</v>
      </c>
      <c r="AH3284" s="5">
        <v>1.2652915426250499</v>
      </c>
      <c r="AI3284" s="5">
        <v>0.33946984234130601</v>
      </c>
      <c r="AJ3284" s="5" t="s">
        <v>139</v>
      </c>
      <c r="AK3284" s="2">
        <v>0.58476047807024401</v>
      </c>
      <c r="AL3284" s="2">
        <v>0.79113001819417295</v>
      </c>
      <c r="AM3284" s="2">
        <v>13560.9502267269</v>
      </c>
      <c r="AN3284" s="2">
        <v>12670.4713963594</v>
      </c>
      <c r="AO3284" s="2">
        <v>11378.541561034201</v>
      </c>
      <c r="AP3284" s="2">
        <v>6361.08284793852</v>
      </c>
      <c r="AQ3284" s="2">
        <v>21239.2649087793</v>
      </c>
      <c r="AR3284" s="2">
        <v>19601.5002971664</v>
      </c>
      <c r="AS3284" s="2">
        <v>2111.9311508779001</v>
      </c>
      <c r="AT3284" s="2">
        <v>3983.7634257377099</v>
      </c>
      <c r="AU3284" s="2">
        <v>22082.995416966402</v>
      </c>
      <c r="AV3284" s="2">
        <v>29535.046525821999</v>
      </c>
      <c r="AW3284" s="2">
        <v>4031.6273394805798</v>
      </c>
      <c r="AX3284" s="2">
        <v>5284.0980326008403</v>
      </c>
    </row>
    <row r="3285" spans="1:50" x14ac:dyDescent="0.25">
      <c r="A3285" s="2" t="s">
        <v>21869</v>
      </c>
      <c r="B3285" s="2">
        <v>463.204956798593</v>
      </c>
      <c r="C3285" s="2">
        <v>3.7524500000000001</v>
      </c>
      <c r="D3285" s="2" t="s">
        <v>51</v>
      </c>
      <c r="E3285" s="2" t="s">
        <v>21870</v>
      </c>
      <c r="F3285" s="2">
        <v>205029</v>
      </c>
      <c r="G3285" s="3" t="str">
        <f>HYPERLINK("https://cloud.oebiotech.com/#/lm/network/205029", "https://cloud.oebiotech.com/#/lm/network/205029")</f>
        <v>https://cloud.oebiotech.com/#/lm/network/205029</v>
      </c>
      <c r="H3285" s="2" t="s">
        <v>21871</v>
      </c>
      <c r="I3285" s="2"/>
      <c r="J3285" s="2"/>
      <c r="K3285" s="2">
        <v>11705303</v>
      </c>
      <c r="L3285" s="2"/>
      <c r="M3285" s="2"/>
      <c r="N3285" s="2"/>
      <c r="O3285" s="2"/>
      <c r="P3285" s="2"/>
      <c r="Q3285" s="2"/>
      <c r="R3285" s="2"/>
      <c r="S3285" s="2" t="s">
        <v>21872</v>
      </c>
      <c r="T3285" s="2" t="s">
        <v>21873</v>
      </c>
      <c r="U3285" s="2" t="s">
        <v>103</v>
      </c>
      <c r="V3285" s="2" t="s">
        <v>104</v>
      </c>
      <c r="W3285" s="2" t="s">
        <v>105</v>
      </c>
      <c r="X3285" s="2" t="s">
        <v>147</v>
      </c>
      <c r="Y3285" s="2">
        <v>41.8</v>
      </c>
      <c r="Z3285" s="2">
        <v>17.2</v>
      </c>
      <c r="AA3285" s="2" t="s">
        <v>60</v>
      </c>
      <c r="AB3285" s="2" t="s">
        <v>21874</v>
      </c>
      <c r="AC3285" s="2">
        <v>0.32405411850043597</v>
      </c>
      <c r="AD3285" s="2"/>
      <c r="AE3285" s="2">
        <v>0.17468768207225999</v>
      </c>
      <c r="AF3285" s="2">
        <v>6660.6379905887197</v>
      </c>
      <c r="AG3285" s="2">
        <v>5360.7573671173504</v>
      </c>
      <c r="AH3285" s="5">
        <v>1.24248077919825</v>
      </c>
      <c r="AI3285" s="5">
        <v>0.31322353390438001</v>
      </c>
      <c r="AJ3285" s="5" t="s">
        <v>139</v>
      </c>
      <c r="AK3285" s="2">
        <v>0.75866669449916002</v>
      </c>
      <c r="AL3285" s="2">
        <v>0.89152062866139503</v>
      </c>
      <c r="AM3285" s="2">
        <v>19006.623744734199</v>
      </c>
      <c r="AN3285" s="2">
        <v>943.01369195488496</v>
      </c>
      <c r="AO3285" s="2">
        <v>6352.8272174702497</v>
      </c>
      <c r="AP3285" s="2">
        <v>1811.2289311310401</v>
      </c>
      <c r="AQ3285" s="2">
        <v>1335.34272070013</v>
      </c>
      <c r="AR3285" s="2">
        <v>10514.791637541801</v>
      </c>
      <c r="AS3285" s="2">
        <v>8.559877937157E-6</v>
      </c>
      <c r="AT3285" s="2">
        <v>8.559877937157E-6</v>
      </c>
      <c r="AU3285" s="2">
        <v>17875.7093716294</v>
      </c>
      <c r="AV3285" s="2">
        <v>9921.5147617900893</v>
      </c>
      <c r="AW3285" s="2">
        <v>3002.5259090659201</v>
      </c>
      <c r="AX3285" s="2">
        <v>1364.7941430989499</v>
      </c>
    </row>
    <row r="3286" spans="1:50" x14ac:dyDescent="0.25">
      <c r="A3286" s="2" t="s">
        <v>21875</v>
      </c>
      <c r="B3286" s="2">
        <v>233.05411967536901</v>
      </c>
      <c r="C3286" s="2">
        <v>2.9428000000000001</v>
      </c>
      <c r="D3286" s="2" t="s">
        <v>51</v>
      </c>
      <c r="E3286" s="2" t="s">
        <v>21876</v>
      </c>
      <c r="F3286" s="2">
        <v>211527</v>
      </c>
      <c r="G3286" s="3" t="str">
        <f>HYPERLINK("https://cloud.oebiotech.com/#/lm/network/211527", "https://cloud.oebiotech.com/#/lm/network/211527")</f>
        <v>https://cloud.oebiotech.com/#/lm/network/211527</v>
      </c>
      <c r="H3286" s="2" t="s">
        <v>21877</v>
      </c>
      <c r="I3286" s="2"/>
      <c r="J3286" s="2"/>
      <c r="K3286" s="2"/>
      <c r="L3286" s="2"/>
      <c r="M3286" s="2"/>
      <c r="N3286" s="2"/>
      <c r="O3286" s="2"/>
      <c r="P3286" s="2"/>
      <c r="Q3286" s="2"/>
      <c r="R3286" s="2"/>
      <c r="S3286" s="2" t="s">
        <v>21878</v>
      </c>
      <c r="T3286" s="2" t="s">
        <v>21879</v>
      </c>
      <c r="U3286" s="2" t="s">
        <v>103</v>
      </c>
      <c r="V3286" s="2" t="s">
        <v>104</v>
      </c>
      <c r="W3286" s="2" t="s">
        <v>105</v>
      </c>
      <c r="X3286" s="2" t="s">
        <v>147</v>
      </c>
      <c r="Y3286" s="2">
        <v>38.799999999999997</v>
      </c>
      <c r="Z3286" s="2">
        <v>0</v>
      </c>
      <c r="AA3286" s="2" t="s">
        <v>122</v>
      </c>
      <c r="AB3286" s="2" t="s">
        <v>21880</v>
      </c>
      <c r="AC3286" s="2">
        <v>2.4366969501442202</v>
      </c>
      <c r="AD3286" s="2"/>
      <c r="AE3286" s="2">
        <v>0.174649120336903</v>
      </c>
      <c r="AF3286" s="2">
        <v>766.13759924234705</v>
      </c>
      <c r="AG3286" s="2">
        <v>5011.4226593303802</v>
      </c>
      <c r="AH3286" s="4">
        <v>0.152878264581403</v>
      </c>
      <c r="AI3286" s="4">
        <v>-2.7095447883171202</v>
      </c>
      <c r="AJ3286" s="4" t="s">
        <v>62</v>
      </c>
      <c r="AK3286" s="2">
        <v>0.41874809900839199</v>
      </c>
      <c r="AL3286" s="2">
        <v>0.68056596326658203</v>
      </c>
      <c r="AM3286" s="2">
        <v>3.0555615516771</v>
      </c>
      <c r="AN3286" s="2">
        <v>1669.7205062012099</v>
      </c>
      <c r="AO3286" s="2">
        <v>2921.1302795288998</v>
      </c>
      <c r="AP3286" s="2">
        <v>8.559877937157E-6</v>
      </c>
      <c r="AQ3286" s="2">
        <v>2.9192310525391898</v>
      </c>
      <c r="AR3286" s="2">
        <v>8.559877937157E-6</v>
      </c>
      <c r="AS3286" s="2">
        <v>5.4101619414343904</v>
      </c>
      <c r="AT3286" s="2">
        <v>11.995436940815299</v>
      </c>
      <c r="AU3286" s="2">
        <v>30051.130331420401</v>
      </c>
      <c r="AV3286" s="2">
        <v>8.559877937157E-6</v>
      </c>
      <c r="AW3286" s="2">
        <v>8.559877937157E-6</v>
      </c>
      <c r="AX3286" s="2">
        <v>8.559877937157E-6</v>
      </c>
    </row>
    <row r="3287" spans="1:50" x14ac:dyDescent="0.25">
      <c r="A3287" s="2" t="s">
        <v>21881</v>
      </c>
      <c r="B3287" s="2">
        <v>424.303881088808</v>
      </c>
      <c r="C3287" s="2">
        <v>10.6505166666667</v>
      </c>
      <c r="D3287" s="2" t="s">
        <v>51</v>
      </c>
      <c r="E3287" s="2" t="s">
        <v>21882</v>
      </c>
      <c r="F3287" s="2">
        <v>197979</v>
      </c>
      <c r="G3287" s="3" t="str">
        <f>HYPERLINK("https://cloud.oebiotech.com/#/lm/network/197979", "https://cloud.oebiotech.com/#/lm/network/197979")</f>
        <v>https://cloud.oebiotech.com/#/lm/network/197979</v>
      </c>
      <c r="H3287" s="2" t="s">
        <v>21883</v>
      </c>
      <c r="I3287" s="2"/>
      <c r="J3287" s="2"/>
      <c r="K3287" s="2"/>
      <c r="L3287" s="2"/>
      <c r="M3287" s="2"/>
      <c r="N3287" s="2"/>
      <c r="O3287" s="2"/>
      <c r="P3287" s="2"/>
      <c r="Q3287" s="2"/>
      <c r="R3287" s="2"/>
      <c r="S3287" s="2" t="s">
        <v>21884</v>
      </c>
      <c r="T3287" s="2" t="s">
        <v>21885</v>
      </c>
      <c r="U3287" s="2" t="s">
        <v>56</v>
      </c>
      <c r="V3287" s="2" t="s">
        <v>145</v>
      </c>
      <c r="W3287" s="2" t="s">
        <v>1188</v>
      </c>
      <c r="X3287" s="2" t="s">
        <v>147</v>
      </c>
      <c r="Y3287" s="2">
        <v>36.9</v>
      </c>
      <c r="Z3287" s="2">
        <v>0</v>
      </c>
      <c r="AA3287" s="2" t="s">
        <v>95</v>
      </c>
      <c r="AB3287" s="2" t="s">
        <v>21886</v>
      </c>
      <c r="AC3287" s="2">
        <v>1.3379225053367201</v>
      </c>
      <c r="AD3287" s="2"/>
      <c r="AE3287" s="2">
        <v>0.174621945213389</v>
      </c>
      <c r="AF3287" s="2">
        <v>7921.7336238217604</v>
      </c>
      <c r="AG3287" s="2">
        <v>6269.3345885548097</v>
      </c>
      <c r="AH3287" s="5">
        <v>1.26356848752076</v>
      </c>
      <c r="AI3287" s="5">
        <v>0.337503862880842</v>
      </c>
      <c r="AJ3287" s="5" t="s">
        <v>139</v>
      </c>
      <c r="AK3287" s="2">
        <v>0.23653267066730799</v>
      </c>
      <c r="AL3287" s="2">
        <v>0.56083325745832202</v>
      </c>
      <c r="AM3287" s="2">
        <v>5839.7251780044398</v>
      </c>
      <c r="AN3287" s="2">
        <v>5592.9326557385202</v>
      </c>
      <c r="AO3287" s="2">
        <v>8561.5617298001198</v>
      </c>
      <c r="AP3287" s="2">
        <v>7462.3515991832701</v>
      </c>
      <c r="AQ3287" s="2">
        <v>11664.7790721324</v>
      </c>
      <c r="AR3287" s="2">
        <v>8409.0515080718305</v>
      </c>
      <c r="AS3287" s="2">
        <v>6215.6953234696803</v>
      </c>
      <c r="AT3287" s="2">
        <v>9699.6618865171295</v>
      </c>
      <c r="AU3287" s="2">
        <v>4883.6518228825698</v>
      </c>
      <c r="AV3287" s="2">
        <v>2776.3944048747799</v>
      </c>
      <c r="AW3287" s="2">
        <v>6948.7925982326597</v>
      </c>
      <c r="AX3287" s="2">
        <v>7091.8114953520399</v>
      </c>
    </row>
    <row r="3288" spans="1:50" x14ac:dyDescent="0.25">
      <c r="A3288" s="2" t="s">
        <v>21887</v>
      </c>
      <c r="B3288" s="2">
        <v>444.20048036421002</v>
      </c>
      <c r="C3288" s="2">
        <v>9.9108499999999999</v>
      </c>
      <c r="D3288" s="2" t="s">
        <v>51</v>
      </c>
      <c r="E3288" s="2" t="s">
        <v>21888</v>
      </c>
      <c r="F3288" s="2">
        <v>10405</v>
      </c>
      <c r="G3288" s="3" t="str">
        <f>HYPERLINK("https://cloud.oebiotech.com/#/lm/network/10405", "https://cloud.oebiotech.com/#/lm/network/10405")</f>
        <v>https://cloud.oebiotech.com/#/lm/network/10405</v>
      </c>
      <c r="H3288" s="2"/>
      <c r="I3288" s="2"/>
      <c r="J3288" s="2" t="s">
        <v>21889</v>
      </c>
      <c r="K3288" s="2">
        <v>86289896</v>
      </c>
      <c r="L3288" s="2"/>
      <c r="M3288" s="2"/>
      <c r="N3288" s="2"/>
      <c r="O3288" s="2">
        <v>79370</v>
      </c>
      <c r="P3288" s="2"/>
      <c r="Q3288" s="2"/>
      <c r="R3288" s="2"/>
      <c r="S3288" s="2" t="s">
        <v>21890</v>
      </c>
      <c r="T3288" s="2" t="s">
        <v>21891</v>
      </c>
      <c r="U3288" s="2" t="s">
        <v>266</v>
      </c>
      <c r="V3288" s="2" t="s">
        <v>445</v>
      </c>
      <c r="W3288" s="2" t="s">
        <v>5555</v>
      </c>
      <c r="X3288" s="2" t="s">
        <v>147</v>
      </c>
      <c r="Y3288" s="2">
        <v>37.299999999999997</v>
      </c>
      <c r="Z3288" s="2">
        <v>4.99</v>
      </c>
      <c r="AA3288" s="2" t="s">
        <v>379</v>
      </c>
      <c r="AB3288" s="2" t="s">
        <v>21892</v>
      </c>
      <c r="AC3288" s="2">
        <v>-4.9555984684480503</v>
      </c>
      <c r="AD3288" s="2"/>
      <c r="AE3288" s="2">
        <v>0.174418959727102</v>
      </c>
      <c r="AF3288" s="2">
        <v>2992.3907413413299</v>
      </c>
      <c r="AG3288" s="2">
        <v>1973.2929066985701</v>
      </c>
      <c r="AH3288" s="5">
        <v>1.5164452936425801</v>
      </c>
      <c r="AI3288" s="5">
        <v>0.60069345311265399</v>
      </c>
      <c r="AJ3288" s="5" t="s">
        <v>139</v>
      </c>
      <c r="AK3288" s="2">
        <v>0.55230659563002205</v>
      </c>
      <c r="AL3288" s="2">
        <v>0.77281269343753001</v>
      </c>
      <c r="AM3288" s="2">
        <v>10772.0564775413</v>
      </c>
      <c r="AN3288" s="2">
        <v>829.583724440536</v>
      </c>
      <c r="AO3288" s="2">
        <v>1043.00593363238</v>
      </c>
      <c r="AP3288" s="2">
        <v>2275.3248246541002</v>
      </c>
      <c r="AQ3288" s="2">
        <v>954.8951742708</v>
      </c>
      <c r="AR3288" s="2">
        <v>2079.4783135088801</v>
      </c>
      <c r="AS3288" s="2">
        <v>1517.9223140439799</v>
      </c>
      <c r="AT3288" s="2">
        <v>1249.5501830051801</v>
      </c>
      <c r="AU3288" s="2">
        <v>4391.3134175456398</v>
      </c>
      <c r="AV3288" s="2">
        <v>1261.4276032396699</v>
      </c>
      <c r="AW3288" s="2">
        <v>2283.84203499973</v>
      </c>
      <c r="AX3288" s="2">
        <v>1135.7018873572399</v>
      </c>
    </row>
    <row r="3289" spans="1:50" x14ac:dyDescent="0.25">
      <c r="A3289" s="2" t="s">
        <v>21893</v>
      </c>
      <c r="B3289" s="2">
        <v>259.12988636551302</v>
      </c>
      <c r="C3289" s="2">
        <v>2.4463333333333299</v>
      </c>
      <c r="D3289" s="2" t="s">
        <v>51</v>
      </c>
      <c r="E3289" s="2" t="s">
        <v>21894</v>
      </c>
      <c r="F3289" s="2">
        <v>54146</v>
      </c>
      <c r="G3289" s="3" t="str">
        <f>HYPERLINK("https://cloud.oebiotech.com/#/lm/network/54146", "https://cloud.oebiotech.com/#/lm/network/54146")</f>
        <v>https://cloud.oebiotech.com/#/lm/network/54146</v>
      </c>
      <c r="H3289" s="2" t="s">
        <v>21895</v>
      </c>
      <c r="I3289" s="2">
        <v>23715</v>
      </c>
      <c r="J3289" s="2"/>
      <c r="K3289" s="2">
        <v>9837272</v>
      </c>
      <c r="L3289" s="2"/>
      <c r="M3289" s="2"/>
      <c r="N3289" s="2"/>
      <c r="O3289" s="2">
        <v>73701</v>
      </c>
      <c r="P3289" s="2"/>
      <c r="Q3289" s="2"/>
      <c r="R3289" s="2" t="s">
        <v>21896</v>
      </c>
      <c r="S3289" s="2" t="s">
        <v>21897</v>
      </c>
      <c r="T3289" s="2" t="s">
        <v>21898</v>
      </c>
      <c r="U3289" s="2" t="s">
        <v>103</v>
      </c>
      <c r="V3289" s="2" t="s">
        <v>104</v>
      </c>
      <c r="W3289" s="2" t="s">
        <v>105</v>
      </c>
      <c r="X3289" s="2" t="s">
        <v>83</v>
      </c>
      <c r="Y3289" s="2">
        <v>39.700000000000003</v>
      </c>
      <c r="Z3289" s="2">
        <v>0</v>
      </c>
      <c r="AA3289" s="2" t="s">
        <v>218</v>
      </c>
      <c r="AB3289" s="2" t="s">
        <v>19899</v>
      </c>
      <c r="AC3289" s="2">
        <v>-0.27529793891722698</v>
      </c>
      <c r="AD3289" s="2"/>
      <c r="AE3289" s="2">
        <v>0.174318269556858</v>
      </c>
      <c r="AF3289" s="2">
        <v>5910.9488786809998</v>
      </c>
      <c r="AG3289" s="2">
        <v>4373.7848742673696</v>
      </c>
      <c r="AH3289" s="5">
        <v>1.3514493850525999</v>
      </c>
      <c r="AI3289" s="5">
        <v>0.43450748057330002</v>
      </c>
      <c r="AJ3289" s="5" t="s">
        <v>139</v>
      </c>
      <c r="AK3289" s="2">
        <v>0.51334657034158504</v>
      </c>
      <c r="AL3289" s="2">
        <v>0.74666402190782999</v>
      </c>
      <c r="AM3289" s="2">
        <v>6715.6925271809996</v>
      </c>
      <c r="AN3289" s="2">
        <v>4671.4726101166498</v>
      </c>
      <c r="AO3289" s="2">
        <v>5996.2372389017601</v>
      </c>
      <c r="AP3289" s="2">
        <v>7828.7906968920297</v>
      </c>
      <c r="AQ3289" s="2">
        <v>6950.1856041867804</v>
      </c>
      <c r="AR3289" s="2">
        <v>3303.3145948077999</v>
      </c>
      <c r="AS3289" s="2">
        <v>3553.8522011495002</v>
      </c>
      <c r="AT3289" s="2">
        <v>2569.41320762746</v>
      </c>
      <c r="AU3289" s="2">
        <v>14998.363387761499</v>
      </c>
      <c r="AV3289" s="2">
        <v>1734.91688384393</v>
      </c>
      <c r="AW3289" s="2">
        <v>2801.2856130181499</v>
      </c>
      <c r="AX3289" s="2">
        <v>584.87795220370697</v>
      </c>
    </row>
    <row r="3290" spans="1:50" x14ac:dyDescent="0.25">
      <c r="A3290" s="2" t="s">
        <v>21899</v>
      </c>
      <c r="B3290" s="2">
        <v>153.015829474447</v>
      </c>
      <c r="C3290" s="2">
        <v>1.78063333333333</v>
      </c>
      <c r="D3290" s="2" t="s">
        <v>51</v>
      </c>
      <c r="E3290" s="2" t="s">
        <v>21900</v>
      </c>
      <c r="F3290" s="2">
        <v>208693</v>
      </c>
      <c r="G3290" s="3" t="str">
        <f>HYPERLINK("https://cloud.oebiotech.com/#/lm/network/208693", "https://cloud.oebiotech.com/#/lm/network/208693")</f>
        <v>https://cloud.oebiotech.com/#/lm/network/208693</v>
      </c>
      <c r="H3290" s="2" t="s">
        <v>21901</v>
      </c>
      <c r="I3290" s="2"/>
      <c r="J3290" s="2"/>
      <c r="K3290" s="2"/>
      <c r="L3290" s="2"/>
      <c r="M3290" s="2"/>
      <c r="N3290" s="2"/>
      <c r="O3290" s="2"/>
      <c r="P3290" s="2"/>
      <c r="Q3290" s="2"/>
      <c r="R3290" s="2"/>
      <c r="S3290" s="2" t="s">
        <v>21902</v>
      </c>
      <c r="T3290" s="2" t="s">
        <v>21903</v>
      </c>
      <c r="U3290" s="2" t="s">
        <v>331</v>
      </c>
      <c r="V3290" s="2" t="s">
        <v>1284</v>
      </c>
      <c r="W3290" s="2" t="s">
        <v>1285</v>
      </c>
      <c r="X3290" s="2" t="s">
        <v>147</v>
      </c>
      <c r="Y3290" s="2">
        <v>39</v>
      </c>
      <c r="Z3290" s="2">
        <v>0</v>
      </c>
      <c r="AA3290" s="2" t="s">
        <v>478</v>
      </c>
      <c r="AB3290" s="2" t="s">
        <v>21904</v>
      </c>
      <c r="AC3290" s="2">
        <v>3.3760442584593102</v>
      </c>
      <c r="AD3290" s="2"/>
      <c r="AE3290" s="2">
        <v>0.17430473592951101</v>
      </c>
      <c r="AF3290" s="2">
        <v>1208.54350262495</v>
      </c>
      <c r="AG3290" s="2">
        <v>497.62624505556499</v>
      </c>
      <c r="AH3290" s="5">
        <v>2.4286168879416801</v>
      </c>
      <c r="AI3290" s="5">
        <v>1.2801349241197599</v>
      </c>
      <c r="AJ3290" s="5" t="s">
        <v>139</v>
      </c>
      <c r="AK3290" s="2">
        <v>5.7600710597172098E-3</v>
      </c>
      <c r="AL3290" s="2">
        <v>0.12769622484368501</v>
      </c>
      <c r="AM3290" s="2">
        <v>1008.18322524551</v>
      </c>
      <c r="AN3290" s="2">
        <v>1844.68884112353</v>
      </c>
      <c r="AO3290" s="2">
        <v>828.977483566008</v>
      </c>
      <c r="AP3290" s="2">
        <v>713.44040042469499</v>
      </c>
      <c r="AQ3290" s="2">
        <v>1470.80799089369</v>
      </c>
      <c r="AR3290" s="2">
        <v>1385.1630744962499</v>
      </c>
      <c r="AS3290" s="2">
        <v>847.479876430486</v>
      </c>
      <c r="AT3290" s="2">
        <v>372.22391481749702</v>
      </c>
      <c r="AU3290" s="2">
        <v>627.68983003738094</v>
      </c>
      <c r="AV3290" s="2">
        <v>188.44466162116399</v>
      </c>
      <c r="AW3290" s="2">
        <v>309.82371055985402</v>
      </c>
      <c r="AX3290" s="2">
        <v>640.09547686700603</v>
      </c>
    </row>
    <row r="3291" spans="1:50" x14ac:dyDescent="0.25">
      <c r="A3291" s="2" t="s">
        <v>21905</v>
      </c>
      <c r="B3291" s="2">
        <v>891.76658298780103</v>
      </c>
      <c r="C3291" s="2">
        <v>14.465633333333299</v>
      </c>
      <c r="D3291" s="2" t="s">
        <v>51</v>
      </c>
      <c r="E3291" s="2" t="s">
        <v>21906</v>
      </c>
      <c r="F3291" s="2">
        <v>14091</v>
      </c>
      <c r="G3291" s="3" t="str">
        <f>HYPERLINK("https://cloud.oebiotech.com/#/lm/network/14091", "https://cloud.oebiotech.com/#/lm/network/14091")</f>
        <v>https://cloud.oebiotech.com/#/lm/network/14091</v>
      </c>
      <c r="H3291" s="2"/>
      <c r="I3291" s="2">
        <v>98840</v>
      </c>
      <c r="J3291" s="2" t="s">
        <v>21907</v>
      </c>
      <c r="K3291" s="2">
        <v>56936775</v>
      </c>
      <c r="L3291" s="2"/>
      <c r="M3291" s="2"/>
      <c r="N3291" s="2"/>
      <c r="O3291" s="2"/>
      <c r="P3291" s="2"/>
      <c r="Q3291" s="2"/>
      <c r="R3291" s="2"/>
      <c r="S3291" s="2" t="s">
        <v>21908</v>
      </c>
      <c r="T3291" s="2" t="s">
        <v>21909</v>
      </c>
      <c r="U3291" s="2" t="s">
        <v>56</v>
      </c>
      <c r="V3291" s="2" t="s">
        <v>3215</v>
      </c>
      <c r="W3291" s="2" t="s">
        <v>12389</v>
      </c>
      <c r="X3291" s="2" t="s">
        <v>147</v>
      </c>
      <c r="Y3291" s="2">
        <v>38</v>
      </c>
      <c r="Z3291" s="2">
        <v>11.1</v>
      </c>
      <c r="AA3291" s="2" t="s">
        <v>218</v>
      </c>
      <c r="AB3291" s="2" t="s">
        <v>21910</v>
      </c>
      <c r="AC3291" s="2">
        <v>0.87288326284430395</v>
      </c>
      <c r="AD3291" s="2"/>
      <c r="AE3291" s="2">
        <v>0.17429790936651199</v>
      </c>
      <c r="AF3291" s="2">
        <v>3658.6741912584198</v>
      </c>
      <c r="AG3291" s="2">
        <v>7109.5001135595403</v>
      </c>
      <c r="AH3291" s="4">
        <v>0.51461764298736701</v>
      </c>
      <c r="AI3291" s="4">
        <v>-0.95842717607049499</v>
      </c>
      <c r="AJ3291" s="4" t="s">
        <v>62</v>
      </c>
      <c r="AK3291" s="2">
        <v>0.25670162054212797</v>
      </c>
      <c r="AL3291" s="2">
        <v>0.57898146204444401</v>
      </c>
      <c r="AM3291" s="2">
        <v>12337.187740627</v>
      </c>
      <c r="AN3291" s="2">
        <v>2761.91533749168</v>
      </c>
      <c r="AO3291" s="2">
        <v>1077.8158461453299</v>
      </c>
      <c r="AP3291" s="2">
        <v>719.10140667468795</v>
      </c>
      <c r="AQ3291" s="2">
        <v>8.559877937157E-6</v>
      </c>
      <c r="AR3291" s="2">
        <v>5056.0248080519696</v>
      </c>
      <c r="AS3291" s="2">
        <v>1192.3491555466901</v>
      </c>
      <c r="AT3291" s="2">
        <v>4282.7737807130497</v>
      </c>
      <c r="AU3291" s="2">
        <v>15228.553591664</v>
      </c>
      <c r="AV3291" s="2">
        <v>5361.4754580096396</v>
      </c>
      <c r="AW3291" s="2">
        <v>4738.0526744668396</v>
      </c>
      <c r="AX3291" s="2">
        <v>11853.796020956999</v>
      </c>
    </row>
    <row r="3292" spans="1:50" x14ac:dyDescent="0.25">
      <c r="A3292" s="2" t="s">
        <v>21911</v>
      </c>
      <c r="B3292" s="2">
        <v>253.107959253502</v>
      </c>
      <c r="C3292" s="2">
        <v>5.21498333333333</v>
      </c>
      <c r="D3292" s="2" t="s">
        <v>51</v>
      </c>
      <c r="E3292" s="2" t="s">
        <v>21912</v>
      </c>
      <c r="F3292" s="2">
        <v>54981</v>
      </c>
      <c r="G3292" s="3" t="str">
        <f>HYPERLINK("https://cloud.oebiotech.com/#/lm/network/54981", "https://cloud.oebiotech.com/#/lm/network/54981")</f>
        <v>https://cloud.oebiotech.com/#/lm/network/54981</v>
      </c>
      <c r="H3292" s="2" t="s">
        <v>21913</v>
      </c>
      <c r="I3292" s="2">
        <v>86758</v>
      </c>
      <c r="J3292" s="2"/>
      <c r="K3292" s="2">
        <v>21134279</v>
      </c>
      <c r="L3292" s="2"/>
      <c r="M3292" s="2"/>
      <c r="N3292" s="2"/>
      <c r="O3292" s="2">
        <v>173593</v>
      </c>
      <c r="P3292" s="2"/>
      <c r="Q3292" s="2"/>
      <c r="R3292" s="2" t="s">
        <v>21914</v>
      </c>
      <c r="S3292" s="2" t="s">
        <v>21915</v>
      </c>
      <c r="T3292" s="2" t="s">
        <v>21916</v>
      </c>
      <c r="U3292" s="2" t="s">
        <v>266</v>
      </c>
      <c r="V3292" s="2" t="s">
        <v>12936</v>
      </c>
      <c r="W3292" s="2" t="s">
        <v>240</v>
      </c>
      <c r="X3292" s="2" t="s">
        <v>147</v>
      </c>
      <c r="Y3292" s="2">
        <v>41.6</v>
      </c>
      <c r="Z3292" s="2">
        <v>16.399999999999999</v>
      </c>
      <c r="AA3292" s="2" t="s">
        <v>218</v>
      </c>
      <c r="AB3292" s="2" t="s">
        <v>2604</v>
      </c>
      <c r="AC3292" s="2">
        <v>-0.90331242453944605</v>
      </c>
      <c r="AD3292" s="2"/>
      <c r="AE3292" s="2">
        <v>0.174264506764539</v>
      </c>
      <c r="AF3292" s="2">
        <v>1735.1879730189801</v>
      </c>
      <c r="AG3292" s="2">
        <v>956.08101707782998</v>
      </c>
      <c r="AH3292" s="5">
        <v>1.8148963759602801</v>
      </c>
      <c r="AI3292" s="5">
        <v>0.85988717788712599</v>
      </c>
      <c r="AJ3292" s="5" t="s">
        <v>139</v>
      </c>
      <c r="AK3292" s="2">
        <v>0.13252261654203601</v>
      </c>
      <c r="AL3292" s="2">
        <v>0.45321818802423203</v>
      </c>
      <c r="AM3292" s="2">
        <v>3667.5899208385199</v>
      </c>
      <c r="AN3292" s="2">
        <v>1835.68391408713</v>
      </c>
      <c r="AO3292" s="2">
        <v>1573.2036411538199</v>
      </c>
      <c r="AP3292" s="2">
        <v>993.76226723809702</v>
      </c>
      <c r="AQ3292" s="2">
        <v>739.57728320674596</v>
      </c>
      <c r="AR3292" s="2">
        <v>1601.31081158954</v>
      </c>
      <c r="AS3292" s="2">
        <v>1930.5468737195599</v>
      </c>
      <c r="AT3292" s="2">
        <v>518.70025633386695</v>
      </c>
      <c r="AU3292" s="2">
        <v>1068.8445893450901</v>
      </c>
      <c r="AV3292" s="2">
        <v>660.99814391892301</v>
      </c>
      <c r="AW3292" s="2">
        <v>498.91622346013799</v>
      </c>
      <c r="AX3292" s="2">
        <v>1058.4800156894</v>
      </c>
    </row>
    <row r="3293" spans="1:50" x14ac:dyDescent="0.25">
      <c r="A3293" s="2" t="s">
        <v>21917</v>
      </c>
      <c r="B3293" s="2">
        <v>174.02254991441501</v>
      </c>
      <c r="C3293" s="2">
        <v>4.6687166666666702</v>
      </c>
      <c r="D3293" s="2" t="s">
        <v>51</v>
      </c>
      <c r="E3293" s="2" t="s">
        <v>21918</v>
      </c>
      <c r="F3293" s="2">
        <v>58012</v>
      </c>
      <c r="G3293" s="3" t="str">
        <f>HYPERLINK("https://cloud.oebiotech.com/#/lm/network/58012", "https://cloud.oebiotech.com/#/lm/network/58012")</f>
        <v>https://cloud.oebiotech.com/#/lm/network/58012</v>
      </c>
      <c r="H3293" s="2" t="s">
        <v>21919</v>
      </c>
      <c r="I3293" s="2"/>
      <c r="J3293" s="2"/>
      <c r="K3293" s="2">
        <v>131751496</v>
      </c>
      <c r="L3293" s="2"/>
      <c r="M3293" s="2"/>
      <c r="N3293" s="2"/>
      <c r="O3293" s="2"/>
      <c r="P3293" s="2"/>
      <c r="Q3293" s="2"/>
      <c r="R3293" s="2" t="s">
        <v>21920</v>
      </c>
      <c r="S3293" s="2" t="s">
        <v>21921</v>
      </c>
      <c r="T3293" s="2" t="s">
        <v>21922</v>
      </c>
      <c r="U3293" s="2" t="s">
        <v>266</v>
      </c>
      <c r="V3293" s="2" t="s">
        <v>2432</v>
      </c>
      <c r="W3293" s="2" t="s">
        <v>2433</v>
      </c>
      <c r="X3293" s="2" t="s">
        <v>147</v>
      </c>
      <c r="Y3293" s="2">
        <v>38.799999999999997</v>
      </c>
      <c r="Z3293" s="2">
        <v>1.5</v>
      </c>
      <c r="AA3293" s="2" t="s">
        <v>179</v>
      </c>
      <c r="AB3293" s="2" t="s">
        <v>21923</v>
      </c>
      <c r="AC3293" s="2">
        <v>-3.83600832038718</v>
      </c>
      <c r="AD3293" s="2"/>
      <c r="AE3293" s="2">
        <v>0.17417560345042701</v>
      </c>
      <c r="AF3293" s="2">
        <v>43.856598744247002</v>
      </c>
      <c r="AG3293" s="2">
        <v>3173.5637149634199</v>
      </c>
      <c r="AH3293" s="4">
        <v>1.3819353472395201E-2</v>
      </c>
      <c r="AI3293" s="4">
        <v>-6.1771660678247997</v>
      </c>
      <c r="AJ3293" s="4" t="s">
        <v>62</v>
      </c>
      <c r="AK3293" s="2">
        <v>0.34612248430315401</v>
      </c>
      <c r="AL3293" s="2">
        <v>0.63975307233741396</v>
      </c>
      <c r="AM3293" s="2">
        <v>8.559877937157E-6</v>
      </c>
      <c r="AN3293" s="2">
        <v>8.559877937157E-6</v>
      </c>
      <c r="AO3293" s="2">
        <v>263.13954966609202</v>
      </c>
      <c r="AP3293" s="2">
        <v>8.559877937157E-6</v>
      </c>
      <c r="AQ3293" s="2">
        <v>8.559877937157E-6</v>
      </c>
      <c r="AR3293" s="2">
        <v>8.559877937157E-6</v>
      </c>
      <c r="AS3293" s="2">
        <v>8.559877937157E-6</v>
      </c>
      <c r="AT3293" s="2">
        <v>8.559877937157E-6</v>
      </c>
      <c r="AU3293" s="2">
        <v>18999.176896950001</v>
      </c>
      <c r="AV3293" s="2">
        <v>42.205358590983899</v>
      </c>
      <c r="AW3293" s="2">
        <v>8.559877937157E-6</v>
      </c>
      <c r="AX3293" s="2">
        <v>8.559877937157E-6</v>
      </c>
    </row>
    <row r="3294" spans="1:50" x14ac:dyDescent="0.25">
      <c r="A3294" s="2" t="s">
        <v>21924</v>
      </c>
      <c r="B3294" s="2">
        <v>491.312499009676</v>
      </c>
      <c r="C3294" s="2">
        <v>13.038600000000001</v>
      </c>
      <c r="D3294" s="2" t="s">
        <v>51</v>
      </c>
      <c r="E3294" s="2" t="s">
        <v>21925</v>
      </c>
      <c r="F3294" s="2">
        <v>134854</v>
      </c>
      <c r="G3294" s="3" t="str">
        <f>HYPERLINK("https://cloud.oebiotech.com/#/lm/network/134854", "https://cloud.oebiotech.com/#/lm/network/134854")</f>
        <v>https://cloud.oebiotech.com/#/lm/network/134854</v>
      </c>
      <c r="H3294" s="2" t="s">
        <v>21926</v>
      </c>
      <c r="I3294" s="2"/>
      <c r="J3294" s="2"/>
      <c r="K3294" s="2">
        <v>131821851</v>
      </c>
      <c r="L3294" s="2"/>
      <c r="M3294" s="2"/>
      <c r="N3294" s="2"/>
      <c r="O3294" s="2"/>
      <c r="P3294" s="2"/>
      <c r="Q3294" s="2"/>
      <c r="R3294" s="2"/>
      <c r="S3294" s="2" t="s">
        <v>21927</v>
      </c>
      <c r="T3294" s="2" t="s">
        <v>21928</v>
      </c>
      <c r="U3294" s="2" t="s">
        <v>56</v>
      </c>
      <c r="V3294" s="2" t="s">
        <v>57</v>
      </c>
      <c r="W3294" s="2" t="s">
        <v>702</v>
      </c>
      <c r="X3294" s="2" t="s">
        <v>147</v>
      </c>
      <c r="Y3294" s="2">
        <v>37.5</v>
      </c>
      <c r="Z3294" s="2">
        <v>0</v>
      </c>
      <c r="AA3294" s="2" t="s">
        <v>259</v>
      </c>
      <c r="AB3294" s="2" t="s">
        <v>21929</v>
      </c>
      <c r="AC3294" s="2">
        <v>-1.4641807796358901</v>
      </c>
      <c r="AD3294" s="2"/>
      <c r="AE3294" s="2">
        <v>0.174098417798285</v>
      </c>
      <c r="AF3294" s="2">
        <v>4105.1269628278596</v>
      </c>
      <c r="AG3294" s="2">
        <v>2246.3177662570602</v>
      </c>
      <c r="AH3294" s="5">
        <v>1.8274916507774599</v>
      </c>
      <c r="AI3294" s="5">
        <v>0.869864814982382</v>
      </c>
      <c r="AJ3294" s="5" t="s">
        <v>139</v>
      </c>
      <c r="AK3294" s="2">
        <v>0.23196211473228501</v>
      </c>
      <c r="AL3294" s="2">
        <v>0.55620318059999097</v>
      </c>
      <c r="AM3294" s="2">
        <v>2397.79641113959</v>
      </c>
      <c r="AN3294" s="2">
        <v>5288.2545677984299</v>
      </c>
      <c r="AO3294" s="2">
        <v>5390.5076467061099</v>
      </c>
      <c r="AP3294" s="2">
        <v>7744.3338881918899</v>
      </c>
      <c r="AQ3294" s="2">
        <v>3809.8692545712402</v>
      </c>
      <c r="AR3294" s="2">
        <v>8.559877937157E-6</v>
      </c>
      <c r="AS3294" s="2">
        <v>514.48968616560899</v>
      </c>
      <c r="AT3294" s="2">
        <v>2930.19994203946</v>
      </c>
      <c r="AU3294" s="2">
        <v>8.559877937157E-6</v>
      </c>
      <c r="AV3294" s="2">
        <v>542.994159418815</v>
      </c>
      <c r="AW3294" s="2">
        <v>3338.9062741852399</v>
      </c>
      <c r="AX3294" s="2">
        <v>6151.3165271733596</v>
      </c>
    </row>
    <row r="3295" spans="1:50" x14ac:dyDescent="0.25">
      <c r="A3295" s="2" t="s">
        <v>21930</v>
      </c>
      <c r="B3295" s="2">
        <v>233.113941367492</v>
      </c>
      <c r="C3295" s="2">
        <v>1.25183333333333</v>
      </c>
      <c r="D3295" s="2" t="s">
        <v>51</v>
      </c>
      <c r="E3295" s="2" t="s">
        <v>21931</v>
      </c>
      <c r="F3295" s="2">
        <v>266224</v>
      </c>
      <c r="G3295" s="3" t="str">
        <f>HYPERLINK("https://cloud.oebiotech.com/#/lm/network/266224", "https://cloud.oebiotech.com/#/lm/network/266224")</f>
        <v>https://cloud.oebiotech.com/#/lm/network/266224</v>
      </c>
      <c r="H3295" s="2"/>
      <c r="I3295" s="2">
        <v>23991</v>
      </c>
      <c r="J3295" s="2"/>
      <c r="K3295" s="2">
        <v>7009616</v>
      </c>
      <c r="L3295" s="2"/>
      <c r="M3295" s="2"/>
      <c r="N3295" s="2"/>
      <c r="O3295" s="2"/>
      <c r="P3295" s="2"/>
      <c r="Q3295" s="2"/>
      <c r="R3295" s="2"/>
      <c r="S3295" s="2" t="s">
        <v>21932</v>
      </c>
      <c r="T3295" s="2" t="s">
        <v>21933</v>
      </c>
      <c r="U3295" s="2" t="s">
        <v>103</v>
      </c>
      <c r="V3295" s="2" t="s">
        <v>104</v>
      </c>
      <c r="W3295" s="2" t="s">
        <v>105</v>
      </c>
      <c r="X3295" s="2" t="s">
        <v>69</v>
      </c>
      <c r="Y3295" s="2">
        <v>53.4</v>
      </c>
      <c r="Z3295" s="2">
        <v>72.8</v>
      </c>
      <c r="AA3295" s="2" t="s">
        <v>259</v>
      </c>
      <c r="AB3295" s="2" t="s">
        <v>21862</v>
      </c>
      <c r="AC3295" s="2">
        <v>3.2024817230426801</v>
      </c>
      <c r="AD3295" s="2"/>
      <c r="AE3295" s="2">
        <v>0.174094248112342</v>
      </c>
      <c r="AF3295" s="2">
        <v>6870.0164208696697</v>
      </c>
      <c r="AG3295" s="2">
        <v>5208.2798600678798</v>
      </c>
      <c r="AH3295" s="5">
        <v>1.3190566953865901</v>
      </c>
      <c r="AI3295" s="5">
        <v>0.39950657550319701</v>
      </c>
      <c r="AJ3295" s="5" t="s">
        <v>139</v>
      </c>
      <c r="AK3295" s="2">
        <v>0.482041561810443</v>
      </c>
      <c r="AL3295" s="2">
        <v>0.72655007678816896</v>
      </c>
      <c r="AM3295" s="2">
        <v>6208.2446740019204</v>
      </c>
      <c r="AN3295" s="2">
        <v>8582.6234846187708</v>
      </c>
      <c r="AO3295" s="2">
        <v>6663.12726238913</v>
      </c>
      <c r="AP3295" s="2">
        <v>7411.3302129763097</v>
      </c>
      <c r="AQ3295" s="2">
        <v>7484.2160890924897</v>
      </c>
      <c r="AR3295" s="2">
        <v>4870.5568021394001</v>
      </c>
      <c r="AS3295" s="2">
        <v>961.02693476810202</v>
      </c>
      <c r="AT3295" s="2">
        <v>1519.11629141566</v>
      </c>
      <c r="AU3295" s="2">
        <v>15523.1693619949</v>
      </c>
      <c r="AV3295" s="2">
        <v>6148.9043835672201</v>
      </c>
      <c r="AW3295" s="2">
        <v>4744.6088666967698</v>
      </c>
      <c r="AX3295" s="2">
        <v>2352.8533219646001</v>
      </c>
    </row>
    <row r="3296" spans="1:50" x14ac:dyDescent="0.25">
      <c r="A3296" s="2" t="s">
        <v>21934</v>
      </c>
      <c r="B3296" s="2">
        <v>301.15540921704797</v>
      </c>
      <c r="C3296" s="2">
        <v>4.8730833333333301</v>
      </c>
      <c r="D3296" s="2" t="s">
        <v>51</v>
      </c>
      <c r="E3296" s="2" t="s">
        <v>21935</v>
      </c>
      <c r="F3296" s="2">
        <v>48134</v>
      </c>
      <c r="G3296" s="3" t="str">
        <f>HYPERLINK("https://cloud.oebiotech.com/#/lm/network/48134", "https://cloud.oebiotech.com/#/lm/network/48134")</f>
        <v>https://cloud.oebiotech.com/#/lm/network/48134</v>
      </c>
      <c r="H3296" s="2" t="s">
        <v>21936</v>
      </c>
      <c r="I3296" s="2">
        <v>6955</v>
      </c>
      <c r="J3296" s="2"/>
      <c r="K3296" s="2">
        <v>5459823</v>
      </c>
      <c r="L3296" s="2" t="s">
        <v>21937</v>
      </c>
      <c r="M3296" s="2"/>
      <c r="N3296" s="2"/>
      <c r="O3296" s="2">
        <v>16315</v>
      </c>
      <c r="P3296" s="2"/>
      <c r="Q3296" s="2"/>
      <c r="R3296" s="2" t="s">
        <v>21938</v>
      </c>
      <c r="S3296" s="2" t="s">
        <v>21939</v>
      </c>
      <c r="T3296" s="2" t="s">
        <v>21940</v>
      </c>
      <c r="U3296" s="2" t="s">
        <v>238</v>
      </c>
      <c r="V3296" s="2" t="s">
        <v>15139</v>
      </c>
      <c r="W3296" s="2" t="s">
        <v>240</v>
      </c>
      <c r="X3296" s="2" t="s">
        <v>147</v>
      </c>
      <c r="Y3296" s="2">
        <v>41</v>
      </c>
      <c r="Z3296" s="2">
        <v>12.9</v>
      </c>
      <c r="AA3296" s="2" t="s">
        <v>512</v>
      </c>
      <c r="AB3296" s="2" t="s">
        <v>8474</v>
      </c>
      <c r="AC3296" s="2">
        <v>2.6147081535163799</v>
      </c>
      <c r="AD3296" s="2"/>
      <c r="AE3296" s="2">
        <v>0.17406092166979301</v>
      </c>
      <c r="AF3296" s="2">
        <v>3596.0656846473898</v>
      </c>
      <c r="AG3296" s="2">
        <v>2473.6172587466999</v>
      </c>
      <c r="AH3296" s="5">
        <v>1.45376802815057</v>
      </c>
      <c r="AI3296" s="5">
        <v>0.53979708264408099</v>
      </c>
      <c r="AJ3296" s="5" t="s">
        <v>139</v>
      </c>
      <c r="AK3296" s="2">
        <v>0.27647406720015599</v>
      </c>
      <c r="AL3296" s="2">
        <v>0.59599669755941997</v>
      </c>
      <c r="AM3296" s="2">
        <v>5363.9308694844904</v>
      </c>
      <c r="AN3296" s="2">
        <v>5433.7915316990802</v>
      </c>
      <c r="AO3296" s="2">
        <v>3478.99496884362</v>
      </c>
      <c r="AP3296" s="2">
        <v>2721.2887404360599</v>
      </c>
      <c r="AQ3296" s="2">
        <v>2868.81607057472</v>
      </c>
      <c r="AR3296" s="2">
        <v>1709.5719268463899</v>
      </c>
      <c r="AS3296" s="2">
        <v>6144.8755019908704</v>
      </c>
      <c r="AT3296" s="2">
        <v>2253.9025914496001</v>
      </c>
      <c r="AU3296" s="2">
        <v>1816.1918905335699</v>
      </c>
      <c r="AV3296" s="2">
        <v>1476.75997995801</v>
      </c>
      <c r="AW3296" s="2">
        <v>2117.60635196463</v>
      </c>
      <c r="AX3296" s="2">
        <v>1032.3672365835</v>
      </c>
    </row>
    <row r="3297" spans="1:50" x14ac:dyDescent="0.25">
      <c r="A3297" s="2" t="s">
        <v>21941</v>
      </c>
      <c r="B3297" s="2">
        <v>267.134798915727</v>
      </c>
      <c r="C3297" s="2">
        <v>3.64313333333333</v>
      </c>
      <c r="D3297" s="2" t="s">
        <v>51</v>
      </c>
      <c r="E3297" s="2" t="s">
        <v>21942</v>
      </c>
      <c r="F3297" s="2">
        <v>54079</v>
      </c>
      <c r="G3297" s="3" t="str">
        <f>HYPERLINK("https://cloud.oebiotech.com/#/lm/network/54079", "https://cloud.oebiotech.com/#/lm/network/54079")</f>
        <v>https://cloud.oebiotech.com/#/lm/network/54079</v>
      </c>
      <c r="H3297" s="2" t="s">
        <v>21943</v>
      </c>
      <c r="I3297" s="2">
        <v>85961</v>
      </c>
      <c r="J3297" s="2"/>
      <c r="K3297" s="2">
        <v>7010579</v>
      </c>
      <c r="L3297" s="2"/>
      <c r="M3297" s="2"/>
      <c r="N3297" s="2"/>
      <c r="O3297" s="2">
        <v>74862</v>
      </c>
      <c r="P3297" s="2"/>
      <c r="Q3297" s="2"/>
      <c r="R3297" s="2" t="s">
        <v>21944</v>
      </c>
      <c r="S3297" s="2" t="s">
        <v>21945</v>
      </c>
      <c r="T3297" s="2" t="s">
        <v>21946</v>
      </c>
      <c r="U3297" s="2" t="s">
        <v>103</v>
      </c>
      <c r="V3297" s="2" t="s">
        <v>104</v>
      </c>
      <c r="W3297" s="2" t="s">
        <v>105</v>
      </c>
      <c r="X3297" s="2" t="s">
        <v>69</v>
      </c>
      <c r="Y3297" s="2">
        <v>51.9</v>
      </c>
      <c r="Z3297" s="2">
        <v>57.8</v>
      </c>
      <c r="AA3297" s="2" t="s">
        <v>60</v>
      </c>
      <c r="AB3297" s="2" t="s">
        <v>21947</v>
      </c>
      <c r="AC3297" s="2">
        <v>3.2519050743040299</v>
      </c>
      <c r="AD3297" s="2"/>
      <c r="AE3297" s="2">
        <v>0.17361604903137701</v>
      </c>
      <c r="AF3297" s="2">
        <v>123159.88949299</v>
      </c>
      <c r="AG3297" s="2">
        <v>119382.11779706601</v>
      </c>
      <c r="AH3297" s="5">
        <v>1.03164436823232</v>
      </c>
      <c r="AI3297" s="5">
        <v>4.4945725983342601E-2</v>
      </c>
      <c r="AJ3297" s="5" t="s">
        <v>139</v>
      </c>
      <c r="AK3297" s="2">
        <v>0.92948182279653602</v>
      </c>
      <c r="AL3297" s="2">
        <v>0.97000062962612699</v>
      </c>
      <c r="AM3297" s="2">
        <v>52439.284133792004</v>
      </c>
      <c r="AN3297" s="2">
        <v>144911.32822016301</v>
      </c>
      <c r="AO3297" s="2">
        <v>138688.05230041099</v>
      </c>
      <c r="AP3297" s="2">
        <v>109026.121364812</v>
      </c>
      <c r="AQ3297" s="2">
        <v>158932.30012920499</v>
      </c>
      <c r="AR3297" s="2">
        <v>134962.25080956001</v>
      </c>
      <c r="AS3297" s="2">
        <v>56467.957829703497</v>
      </c>
      <c r="AT3297" s="2">
        <v>157608.921393208</v>
      </c>
      <c r="AU3297" s="2">
        <v>200454.68146806001</v>
      </c>
      <c r="AV3297" s="2">
        <v>25695.5767339542</v>
      </c>
      <c r="AW3297" s="2">
        <v>30362.201904925802</v>
      </c>
      <c r="AX3297" s="2">
        <v>245703.367452545</v>
      </c>
    </row>
    <row r="3298" spans="1:50" x14ac:dyDescent="0.25">
      <c r="A3298" s="2" t="s">
        <v>21948</v>
      </c>
      <c r="B3298" s="2">
        <v>395.29381072872701</v>
      </c>
      <c r="C3298" s="2">
        <v>9.4429666666666705</v>
      </c>
      <c r="D3298" s="2" t="s">
        <v>51</v>
      </c>
      <c r="E3298" s="2" t="s">
        <v>21949</v>
      </c>
      <c r="F3298" s="2">
        <v>8821</v>
      </c>
      <c r="G3298" s="3" t="str">
        <f>HYPERLINK("https://cloud.oebiotech.com/#/lm/network/8821", "https://cloud.oebiotech.com/#/lm/network/8821")</f>
        <v>https://cloud.oebiotech.com/#/lm/network/8821</v>
      </c>
      <c r="H3298" s="2"/>
      <c r="I3298" s="2"/>
      <c r="J3298" s="2" t="s">
        <v>21950</v>
      </c>
      <c r="K3298" s="2">
        <v>20455404</v>
      </c>
      <c r="L3298" s="2"/>
      <c r="M3298" s="2"/>
      <c r="N3298" s="2"/>
      <c r="O3298" s="2"/>
      <c r="P3298" s="2"/>
      <c r="Q3298" s="2"/>
      <c r="R3298" s="2"/>
      <c r="S3298" s="2" t="s">
        <v>21951</v>
      </c>
      <c r="T3298" s="2" t="s">
        <v>21952</v>
      </c>
      <c r="U3298" s="2" t="s">
        <v>56</v>
      </c>
      <c r="V3298" s="2" t="s">
        <v>145</v>
      </c>
      <c r="W3298" s="2" t="s">
        <v>1617</v>
      </c>
      <c r="X3298" s="2" t="s">
        <v>147</v>
      </c>
      <c r="Y3298" s="2">
        <v>36.799999999999997</v>
      </c>
      <c r="Z3298" s="2">
        <v>0</v>
      </c>
      <c r="AA3298" s="2" t="s">
        <v>526</v>
      </c>
      <c r="AB3298" s="2" t="s">
        <v>21953</v>
      </c>
      <c r="AC3298" s="2">
        <v>1.44859173106408E-2</v>
      </c>
      <c r="AD3298" s="2"/>
      <c r="AE3298" s="2">
        <v>0.17358091006853499</v>
      </c>
      <c r="AF3298" s="2">
        <v>11541.1249144991</v>
      </c>
      <c r="AG3298" s="2">
        <v>12574.9185363901</v>
      </c>
      <c r="AH3298" s="4">
        <v>0.91778923903965504</v>
      </c>
      <c r="AI3298" s="4">
        <v>-0.12376520345112101</v>
      </c>
      <c r="AJ3298" s="4" t="s">
        <v>62</v>
      </c>
      <c r="AK3298" s="2">
        <v>0.53357729075250104</v>
      </c>
      <c r="AL3298" s="2">
        <v>0.76040527489140697</v>
      </c>
      <c r="AM3298" s="2">
        <v>8430.2422761685793</v>
      </c>
      <c r="AN3298" s="2">
        <v>12813.206146222101</v>
      </c>
      <c r="AO3298" s="2">
        <v>12843.391975861099</v>
      </c>
      <c r="AP3298" s="2">
        <v>10879.5186577484</v>
      </c>
      <c r="AQ3298" s="2">
        <v>12444.161881310099</v>
      </c>
      <c r="AR3298" s="2">
        <v>11836.2285496844</v>
      </c>
      <c r="AS3298" s="2">
        <v>12047.154897643501</v>
      </c>
      <c r="AT3298" s="2">
        <v>8352.2191067634194</v>
      </c>
      <c r="AU3298" s="2">
        <v>9347.4910010741205</v>
      </c>
      <c r="AV3298" s="2">
        <v>12450.078915244199</v>
      </c>
      <c r="AW3298" s="2">
        <v>17468.166849459401</v>
      </c>
      <c r="AX3298" s="2">
        <v>15784.4004481559</v>
      </c>
    </row>
    <row r="3299" spans="1:50" x14ac:dyDescent="0.25">
      <c r="A3299" s="2" t="s">
        <v>21954</v>
      </c>
      <c r="B3299" s="2">
        <v>233.154362436854</v>
      </c>
      <c r="C3299" s="2">
        <v>8.0458666666666705</v>
      </c>
      <c r="D3299" s="2" t="s">
        <v>51</v>
      </c>
      <c r="E3299" s="2" t="s">
        <v>21955</v>
      </c>
      <c r="F3299" s="2">
        <v>59050</v>
      </c>
      <c r="G3299" s="3" t="str">
        <f>HYPERLINK("https://cloud.oebiotech.com/#/lm/network/59050", "https://cloud.oebiotech.com/#/lm/network/59050")</f>
        <v>https://cloud.oebiotech.com/#/lm/network/59050</v>
      </c>
      <c r="H3299" s="2" t="s">
        <v>21956</v>
      </c>
      <c r="I3299" s="2">
        <v>90484</v>
      </c>
      <c r="J3299" s="2"/>
      <c r="K3299" s="2">
        <v>14866156</v>
      </c>
      <c r="L3299" s="2"/>
      <c r="M3299" s="2"/>
      <c r="N3299" s="2"/>
      <c r="O3299" s="2">
        <v>174300</v>
      </c>
      <c r="P3299" s="2"/>
      <c r="Q3299" s="2"/>
      <c r="R3299" s="2" t="s">
        <v>21957</v>
      </c>
      <c r="S3299" s="2" t="s">
        <v>21958</v>
      </c>
      <c r="T3299" s="2" t="s">
        <v>21959</v>
      </c>
      <c r="U3299" s="2" t="s">
        <v>56</v>
      </c>
      <c r="V3299" s="2" t="s">
        <v>177</v>
      </c>
      <c r="W3299" s="2" t="s">
        <v>806</v>
      </c>
      <c r="X3299" s="2" t="s">
        <v>83</v>
      </c>
      <c r="Y3299" s="2">
        <v>39.9</v>
      </c>
      <c r="Z3299" s="2">
        <v>0</v>
      </c>
      <c r="AA3299" s="2" t="s">
        <v>156</v>
      </c>
      <c r="AB3299" s="2" t="s">
        <v>8328</v>
      </c>
      <c r="AC3299" s="2">
        <v>3.0225936223675198</v>
      </c>
      <c r="AD3299" s="2"/>
      <c r="AE3299" s="2">
        <v>0.17356311754093401</v>
      </c>
      <c r="AF3299" s="2">
        <v>3032.6531384457298</v>
      </c>
      <c r="AG3299" s="2">
        <v>2372.8302005778701</v>
      </c>
      <c r="AH3299" s="5">
        <v>1.2780742329169501</v>
      </c>
      <c r="AI3299" s="5">
        <v>0.35397163311663099</v>
      </c>
      <c r="AJ3299" s="5" t="s">
        <v>139</v>
      </c>
      <c r="AK3299" s="2">
        <v>5.9146199515761E-2</v>
      </c>
      <c r="AL3299" s="2">
        <v>0.32837652512840398</v>
      </c>
      <c r="AM3299" s="2">
        <v>4181.9645803290196</v>
      </c>
      <c r="AN3299" s="2">
        <v>3366.9525034858998</v>
      </c>
      <c r="AO3299" s="2">
        <v>2547.9094613340199</v>
      </c>
      <c r="AP3299" s="2">
        <v>2993.3262585922098</v>
      </c>
      <c r="AQ3299" s="2">
        <v>2502.7053982293401</v>
      </c>
      <c r="AR3299" s="2">
        <v>2603.06062870387</v>
      </c>
      <c r="AS3299" s="2">
        <v>2590.5717153009</v>
      </c>
      <c r="AT3299" s="2">
        <v>2224.50504986944</v>
      </c>
      <c r="AU3299" s="2">
        <v>3030.3541129897399</v>
      </c>
      <c r="AV3299" s="2">
        <v>1979.08056905034</v>
      </c>
      <c r="AW3299" s="2">
        <v>2073.2963942981601</v>
      </c>
      <c r="AX3299" s="2">
        <v>2339.1733619586098</v>
      </c>
    </row>
    <row r="3300" spans="1:50" x14ac:dyDescent="0.25">
      <c r="A3300" s="2" t="s">
        <v>21960</v>
      </c>
      <c r="B3300" s="2">
        <v>224.01229179834201</v>
      </c>
      <c r="C3300" s="2">
        <v>13.6285833333333</v>
      </c>
      <c r="D3300" s="2" t="s">
        <v>51</v>
      </c>
      <c r="E3300" s="2" t="s">
        <v>21961</v>
      </c>
      <c r="F3300" s="2">
        <v>202343</v>
      </c>
      <c r="G3300" s="3" t="str">
        <f>HYPERLINK("https://cloud.oebiotech.com/#/lm/network/202343", "https://cloud.oebiotech.com/#/lm/network/202343")</f>
        <v>https://cloud.oebiotech.com/#/lm/network/202343</v>
      </c>
      <c r="H3300" s="2" t="s">
        <v>21962</v>
      </c>
      <c r="I3300" s="2"/>
      <c r="J3300" s="2"/>
      <c r="K3300" s="2">
        <v>3080803</v>
      </c>
      <c r="L3300" s="2"/>
      <c r="M3300" s="2"/>
      <c r="N3300" s="2"/>
      <c r="O3300" s="2"/>
      <c r="P3300" s="2"/>
      <c r="Q3300" s="2"/>
      <c r="R3300" s="2"/>
      <c r="S3300" s="2" t="s">
        <v>21963</v>
      </c>
      <c r="T3300" s="2" t="s">
        <v>21964</v>
      </c>
      <c r="U3300" s="2" t="s">
        <v>266</v>
      </c>
      <c r="V3300" s="2" t="s">
        <v>2143</v>
      </c>
      <c r="W3300" s="2" t="s">
        <v>21965</v>
      </c>
      <c r="X3300" s="2" t="s">
        <v>147</v>
      </c>
      <c r="Y3300" s="2">
        <v>38.4</v>
      </c>
      <c r="Z3300" s="2">
        <v>0</v>
      </c>
      <c r="AA3300" s="2" t="s">
        <v>395</v>
      </c>
      <c r="AB3300" s="2" t="s">
        <v>21966</v>
      </c>
      <c r="AC3300" s="2">
        <v>1.6880858777516301</v>
      </c>
      <c r="AD3300" s="2"/>
      <c r="AE3300" s="2">
        <v>0.17356225170540901</v>
      </c>
      <c r="AF3300" s="2">
        <v>24965.651799192001</v>
      </c>
      <c r="AG3300" s="2">
        <v>23031.295023363899</v>
      </c>
      <c r="AH3300" s="5">
        <v>1.08398818971602</v>
      </c>
      <c r="AI3300" s="5">
        <v>0.116349038305306</v>
      </c>
      <c r="AJ3300" s="5" t="s">
        <v>139</v>
      </c>
      <c r="AK3300" s="2">
        <v>0.45342770809267002</v>
      </c>
      <c r="AL3300" s="2">
        <v>0.70619105533740301</v>
      </c>
      <c r="AM3300" s="2">
        <v>22291.400516316</v>
      </c>
      <c r="AN3300" s="2">
        <v>27163.554177902799</v>
      </c>
      <c r="AO3300" s="2">
        <v>28345.740928220101</v>
      </c>
      <c r="AP3300" s="2">
        <v>26594.186806342099</v>
      </c>
      <c r="AQ3300" s="2">
        <v>24251.404405235899</v>
      </c>
      <c r="AR3300" s="2">
        <v>21147.623961134901</v>
      </c>
      <c r="AS3300" s="2">
        <v>28598.7561655385</v>
      </c>
      <c r="AT3300" s="2">
        <v>30343.296665026999</v>
      </c>
      <c r="AU3300" s="2">
        <v>18077.324866701299</v>
      </c>
      <c r="AV3300" s="2">
        <v>19666.4021733216</v>
      </c>
      <c r="AW3300" s="2">
        <v>18240.372514311701</v>
      </c>
      <c r="AX3300" s="2">
        <v>23261.617755283602</v>
      </c>
    </row>
    <row r="3301" spans="1:50" x14ac:dyDescent="0.25">
      <c r="A3301" s="2" t="s">
        <v>21967</v>
      </c>
      <c r="B3301" s="2">
        <v>761.085155594649</v>
      </c>
      <c r="C3301" s="2">
        <v>6.9221166666666702</v>
      </c>
      <c r="D3301" s="2" t="s">
        <v>51</v>
      </c>
      <c r="E3301" s="2" t="s">
        <v>21968</v>
      </c>
      <c r="F3301" s="2">
        <v>60869</v>
      </c>
      <c r="G3301" s="3" t="str">
        <f>HYPERLINK("https://cloud.oebiotech.com/#/lm/network/60869", "https://cloud.oebiotech.com/#/lm/network/60869")</f>
        <v>https://cloud.oebiotech.com/#/lm/network/60869</v>
      </c>
      <c r="H3301" s="2" t="s">
        <v>21969</v>
      </c>
      <c r="I3301" s="2"/>
      <c r="J3301" s="2"/>
      <c r="K3301" s="2">
        <v>21124076</v>
      </c>
      <c r="L3301" s="2"/>
      <c r="M3301" s="2"/>
      <c r="N3301" s="2"/>
      <c r="O3301" s="2"/>
      <c r="P3301" s="2"/>
      <c r="Q3301" s="2"/>
      <c r="R3301" s="2" t="s">
        <v>21970</v>
      </c>
      <c r="S3301" s="2" t="s">
        <v>21971</v>
      </c>
      <c r="T3301" s="2" t="s">
        <v>21972</v>
      </c>
      <c r="U3301" s="2" t="s">
        <v>266</v>
      </c>
      <c r="V3301" s="2" t="s">
        <v>267</v>
      </c>
      <c r="W3301" s="2" t="s">
        <v>268</v>
      </c>
      <c r="X3301" s="2" t="s">
        <v>147</v>
      </c>
      <c r="Y3301" s="2">
        <v>37</v>
      </c>
      <c r="Z3301" s="2">
        <v>0</v>
      </c>
      <c r="AA3301" s="2" t="s">
        <v>478</v>
      </c>
      <c r="AB3301" s="2" t="s">
        <v>21973</v>
      </c>
      <c r="AC3301" s="2">
        <v>2.3708993247780898</v>
      </c>
      <c r="AD3301" s="2"/>
      <c r="AE3301" s="2">
        <v>0.17347636089847199</v>
      </c>
      <c r="AF3301" s="2">
        <v>4796.3318315323204</v>
      </c>
      <c r="AG3301" s="2">
        <v>6829.1032858820899</v>
      </c>
      <c r="AH3301" s="4">
        <v>0.70233698785137</v>
      </c>
      <c r="AI3301" s="4">
        <v>-0.50976467967272698</v>
      </c>
      <c r="AJ3301" s="4" t="s">
        <v>62</v>
      </c>
      <c r="AK3301" s="2">
        <v>0.26274429011122202</v>
      </c>
      <c r="AL3301" s="2">
        <v>0.58533315211644399</v>
      </c>
      <c r="AM3301" s="2">
        <v>4106.47856586946</v>
      </c>
      <c r="AN3301" s="2">
        <v>4810.0768860888002</v>
      </c>
      <c r="AO3301" s="2">
        <v>6870.6368632977901</v>
      </c>
      <c r="AP3301" s="2">
        <v>342.29631368917597</v>
      </c>
      <c r="AQ3301" s="2">
        <v>6281.2197230704496</v>
      </c>
      <c r="AR3301" s="2">
        <v>6367.2826371782503</v>
      </c>
      <c r="AS3301" s="2">
        <v>10593.8848712157</v>
      </c>
      <c r="AT3301" s="2">
        <v>11484.113906582101</v>
      </c>
      <c r="AU3301" s="2">
        <v>3122.4760587565002</v>
      </c>
      <c r="AV3301" s="2">
        <v>4201.9783166551997</v>
      </c>
      <c r="AW3301" s="2">
        <v>5603.8092390248503</v>
      </c>
      <c r="AX3301" s="2">
        <v>5968.3573230581896</v>
      </c>
    </row>
    <row r="3302" spans="1:50" x14ac:dyDescent="0.25">
      <c r="A3302" s="2" t="s">
        <v>21974</v>
      </c>
      <c r="B3302" s="2">
        <v>246.14578854945199</v>
      </c>
      <c r="C3302" s="2">
        <v>2.4178666666666699</v>
      </c>
      <c r="D3302" s="2" t="s">
        <v>51</v>
      </c>
      <c r="E3302" s="2" t="s">
        <v>21975</v>
      </c>
      <c r="F3302" s="2">
        <v>53773</v>
      </c>
      <c r="G3302" s="3" t="str">
        <f>HYPERLINK("https://cloud.oebiotech.com/#/lm/network/53773", "https://cloud.oebiotech.com/#/lm/network/53773")</f>
        <v>https://cloud.oebiotech.com/#/lm/network/53773</v>
      </c>
      <c r="H3302" s="2" t="s">
        <v>21976</v>
      </c>
      <c r="I3302" s="2">
        <v>85649</v>
      </c>
      <c r="J3302" s="2"/>
      <c r="K3302" s="2">
        <v>56991460</v>
      </c>
      <c r="L3302" s="2"/>
      <c r="M3302" s="2"/>
      <c r="N3302" s="2"/>
      <c r="O3302" s="2">
        <v>141421</v>
      </c>
      <c r="P3302" s="2"/>
      <c r="Q3302" s="2"/>
      <c r="R3302" s="2" t="s">
        <v>21977</v>
      </c>
      <c r="S3302" s="2" t="s">
        <v>21978</v>
      </c>
      <c r="T3302" s="2" t="s">
        <v>21979</v>
      </c>
      <c r="U3302" s="2" t="s">
        <v>103</v>
      </c>
      <c r="V3302" s="2" t="s">
        <v>104</v>
      </c>
      <c r="W3302" s="2" t="s">
        <v>105</v>
      </c>
      <c r="X3302" s="2" t="s">
        <v>69</v>
      </c>
      <c r="Y3302" s="2">
        <v>54.5</v>
      </c>
      <c r="Z3302" s="2">
        <v>74.3</v>
      </c>
      <c r="AA3302" s="2" t="s">
        <v>259</v>
      </c>
      <c r="AB3302" s="2" t="s">
        <v>21980</v>
      </c>
      <c r="AC3302" s="2">
        <v>3.8999143858863698</v>
      </c>
      <c r="AD3302" s="2"/>
      <c r="AE3302" s="2">
        <v>0.17339897757345199</v>
      </c>
      <c r="AF3302" s="2">
        <v>4705.5668725762598</v>
      </c>
      <c r="AG3302" s="2">
        <v>6853.1954201921299</v>
      </c>
      <c r="AH3302" s="4">
        <v>0.68662376950639203</v>
      </c>
      <c r="AI3302" s="4">
        <v>-0.54240829358487097</v>
      </c>
      <c r="AJ3302" s="4" t="s">
        <v>62</v>
      </c>
      <c r="AK3302" s="2">
        <v>0.22892529877602699</v>
      </c>
      <c r="AL3302" s="2">
        <v>0.55425453586297302</v>
      </c>
      <c r="AM3302" s="2">
        <v>4357.8257640342599</v>
      </c>
      <c r="AN3302" s="2">
        <v>3321.5279535793902</v>
      </c>
      <c r="AO3302" s="2">
        <v>5107.9723255339004</v>
      </c>
      <c r="AP3302" s="2">
        <v>4588.2087597743403</v>
      </c>
      <c r="AQ3302" s="2">
        <v>5228.5361530036798</v>
      </c>
      <c r="AR3302" s="2">
        <v>5629.3302795319796</v>
      </c>
      <c r="AS3302" s="2">
        <v>143.988655656882</v>
      </c>
      <c r="AT3302" s="2">
        <v>9838.5356618303194</v>
      </c>
      <c r="AU3302" s="2">
        <v>10331.8070392435</v>
      </c>
      <c r="AV3302" s="2">
        <v>3787.8209861251098</v>
      </c>
      <c r="AW3302" s="2">
        <v>8435.9108364060594</v>
      </c>
      <c r="AX3302" s="2">
        <v>8581.1093418908895</v>
      </c>
    </row>
    <row r="3303" spans="1:50" x14ac:dyDescent="0.25">
      <c r="A3303" s="2" t="s">
        <v>21981</v>
      </c>
      <c r="B3303" s="2">
        <v>413.23110630513401</v>
      </c>
      <c r="C3303" s="2">
        <v>11.528283333333301</v>
      </c>
      <c r="D3303" s="2" t="s">
        <v>51</v>
      </c>
      <c r="E3303" s="2" t="s">
        <v>21982</v>
      </c>
      <c r="F3303" s="2">
        <v>209206</v>
      </c>
      <c r="G3303" s="3" t="str">
        <f>HYPERLINK("https://cloud.oebiotech.com/#/lm/network/209206", "https://cloud.oebiotech.com/#/lm/network/209206")</f>
        <v>https://cloud.oebiotech.com/#/lm/network/209206</v>
      </c>
      <c r="H3303" s="2" t="s">
        <v>21983</v>
      </c>
      <c r="I3303" s="2"/>
      <c r="J3303" s="2"/>
      <c r="K3303" s="2">
        <v>21121697</v>
      </c>
      <c r="L3303" s="2"/>
      <c r="M3303" s="2"/>
      <c r="N3303" s="2"/>
      <c r="O3303" s="2"/>
      <c r="P3303" s="2"/>
      <c r="Q3303" s="2"/>
      <c r="R3303" s="2"/>
      <c r="S3303" s="2" t="s">
        <v>21984</v>
      </c>
      <c r="T3303" s="2" t="s">
        <v>21985</v>
      </c>
      <c r="U3303" s="2" t="s">
        <v>103</v>
      </c>
      <c r="V3303" s="2" t="s">
        <v>104</v>
      </c>
      <c r="W3303" s="2" t="s">
        <v>105</v>
      </c>
      <c r="X3303" s="2" t="s">
        <v>147</v>
      </c>
      <c r="Y3303" s="2">
        <v>38.799999999999997</v>
      </c>
      <c r="Z3303" s="2">
        <v>6.5600000000000006E-2</v>
      </c>
      <c r="AA3303" s="2" t="s">
        <v>379</v>
      </c>
      <c r="AB3303" s="2" t="s">
        <v>21986</v>
      </c>
      <c r="AC3303" s="2">
        <v>1.02693670428213</v>
      </c>
      <c r="AD3303" s="2"/>
      <c r="AE3303" s="2">
        <v>0.17338546621821499</v>
      </c>
      <c r="AF3303" s="2">
        <v>10939.115621378</v>
      </c>
      <c r="AG3303" s="2">
        <v>8772.8069731232208</v>
      </c>
      <c r="AH3303" s="5">
        <v>1.24693449370214</v>
      </c>
      <c r="AI3303" s="5">
        <v>0.31838567680077901</v>
      </c>
      <c r="AJ3303" s="5" t="s">
        <v>139</v>
      </c>
      <c r="AK3303" s="2">
        <v>0.55135007756543897</v>
      </c>
      <c r="AL3303" s="2">
        <v>0.77238447628740203</v>
      </c>
      <c r="AM3303" s="2">
        <v>20558.081081619501</v>
      </c>
      <c r="AN3303" s="2">
        <v>4709.03831887263</v>
      </c>
      <c r="AO3303" s="2">
        <v>3014.1840600989999</v>
      </c>
      <c r="AP3303" s="2">
        <v>8868.0392847944604</v>
      </c>
      <c r="AQ3303" s="2">
        <v>11934.4882693704</v>
      </c>
      <c r="AR3303" s="2">
        <v>16550.8627135118</v>
      </c>
      <c r="AS3303" s="2">
        <v>4405.7129325109199</v>
      </c>
      <c r="AT3303" s="2">
        <v>2368.69108117722</v>
      </c>
      <c r="AU3303" s="2">
        <v>15600.056450916099</v>
      </c>
      <c r="AV3303" s="2">
        <v>11696.6215034203</v>
      </c>
      <c r="AW3303" s="2">
        <v>12729.6485253173</v>
      </c>
      <c r="AX3303" s="2">
        <v>5836.1113453974604</v>
      </c>
    </row>
    <row r="3304" spans="1:50" x14ac:dyDescent="0.25">
      <c r="A3304" s="2" t="s">
        <v>21987</v>
      </c>
      <c r="B3304" s="2">
        <v>203.180117713371</v>
      </c>
      <c r="C3304" s="2">
        <v>9.0105500000000003</v>
      </c>
      <c r="D3304" s="2" t="s">
        <v>51</v>
      </c>
      <c r="E3304" s="2" t="s">
        <v>21988</v>
      </c>
      <c r="F3304" s="2">
        <v>81907</v>
      </c>
      <c r="G3304" s="3" t="str">
        <f>HYPERLINK("https://cloud.oebiotech.com/#/lm/network/81907", "https://cloud.oebiotech.com/#/lm/network/81907")</f>
        <v>https://cloud.oebiotech.com/#/lm/network/81907</v>
      </c>
      <c r="H3304" s="2" t="s">
        <v>21989</v>
      </c>
      <c r="I3304" s="2">
        <v>53385</v>
      </c>
      <c r="J3304" s="2"/>
      <c r="K3304" s="2">
        <v>92139</v>
      </c>
      <c r="L3304" s="2" t="s">
        <v>21990</v>
      </c>
      <c r="M3304" s="2"/>
      <c r="N3304" s="2"/>
      <c r="O3304" s="2">
        <v>62757</v>
      </c>
      <c r="P3304" s="2"/>
      <c r="Q3304" s="2"/>
      <c r="R3304" s="2"/>
      <c r="S3304" s="2" t="s">
        <v>21991</v>
      </c>
      <c r="T3304" s="2" t="s">
        <v>21992</v>
      </c>
      <c r="U3304" s="2" t="s">
        <v>56</v>
      </c>
      <c r="V3304" s="2" t="s">
        <v>177</v>
      </c>
      <c r="W3304" s="2" t="s">
        <v>1996</v>
      </c>
      <c r="X3304" s="2" t="s">
        <v>147</v>
      </c>
      <c r="Y3304" s="2">
        <v>42.1</v>
      </c>
      <c r="Z3304" s="2">
        <v>19.7</v>
      </c>
      <c r="AA3304" s="2" t="s">
        <v>259</v>
      </c>
      <c r="AB3304" s="2" t="s">
        <v>21993</v>
      </c>
      <c r="AC3304" s="2">
        <v>3.4157811947165402</v>
      </c>
      <c r="AD3304" s="2"/>
      <c r="AE3304" s="2">
        <v>0.17329926442971899</v>
      </c>
      <c r="AF3304" s="2">
        <v>2053.1841003047398</v>
      </c>
      <c r="AG3304" s="2">
        <v>1334.46767124545</v>
      </c>
      <c r="AH3304" s="5">
        <v>1.5385791237554101</v>
      </c>
      <c r="AI3304" s="5">
        <v>0.62159863835087903</v>
      </c>
      <c r="AJ3304" s="5" t="s">
        <v>139</v>
      </c>
      <c r="AK3304" s="2">
        <v>2.53012461454858E-2</v>
      </c>
      <c r="AL3304" s="2">
        <v>0.245411442075921</v>
      </c>
      <c r="AM3304" s="2">
        <v>2527.41255279393</v>
      </c>
      <c r="AN3304" s="2">
        <v>2229.06042870585</v>
      </c>
      <c r="AO3304" s="2">
        <v>1618.2298553120199</v>
      </c>
      <c r="AP3304" s="2">
        <v>2097.0032659387298</v>
      </c>
      <c r="AQ3304" s="2">
        <v>1731.67376605715</v>
      </c>
      <c r="AR3304" s="2">
        <v>2115.7247330207601</v>
      </c>
      <c r="AS3304" s="2">
        <v>2274.6423601442698</v>
      </c>
      <c r="AT3304" s="2">
        <v>1668.98045875601</v>
      </c>
      <c r="AU3304" s="2">
        <v>1398.7238918272201</v>
      </c>
      <c r="AV3304" s="2">
        <v>705.26939474968503</v>
      </c>
      <c r="AW3304" s="2">
        <v>831.35107314816298</v>
      </c>
      <c r="AX3304" s="2">
        <v>1127.8388488473299</v>
      </c>
    </row>
    <row r="3305" spans="1:50" x14ac:dyDescent="0.25">
      <c r="A3305" s="2" t="s">
        <v>21994</v>
      </c>
      <c r="B3305" s="2">
        <v>241.144217138268</v>
      </c>
      <c r="C3305" s="2">
        <v>8.6046999999999993</v>
      </c>
      <c r="D3305" s="2" t="s">
        <v>51</v>
      </c>
      <c r="E3305" s="2" t="s">
        <v>21995</v>
      </c>
      <c r="F3305" s="2">
        <v>7770</v>
      </c>
      <c r="G3305" s="3" t="str">
        <f>HYPERLINK("https://cloud.oebiotech.com/#/lm/network/7770", "https://cloud.oebiotech.com/#/lm/network/7770")</f>
        <v>https://cloud.oebiotech.com/#/lm/network/7770</v>
      </c>
      <c r="H3305" s="2"/>
      <c r="I3305" s="2">
        <v>97387</v>
      </c>
      <c r="J3305" s="2" t="s">
        <v>21996</v>
      </c>
      <c r="K3305" s="2">
        <v>56936043</v>
      </c>
      <c r="L3305" s="2"/>
      <c r="M3305" s="2"/>
      <c r="N3305" s="2"/>
      <c r="O3305" s="2"/>
      <c r="P3305" s="2"/>
      <c r="Q3305" s="2"/>
      <c r="R3305" s="2"/>
      <c r="S3305" s="2" t="s">
        <v>21997</v>
      </c>
      <c r="T3305" s="2" t="s">
        <v>21998</v>
      </c>
      <c r="U3305" s="2" t="s">
        <v>266</v>
      </c>
      <c r="V3305" s="2" t="s">
        <v>3994</v>
      </c>
      <c r="W3305" s="2" t="s">
        <v>3995</v>
      </c>
      <c r="X3305" s="2" t="s">
        <v>147</v>
      </c>
      <c r="Y3305" s="2">
        <v>40</v>
      </c>
      <c r="Z3305" s="2">
        <v>14.4</v>
      </c>
      <c r="AA3305" s="2" t="s">
        <v>218</v>
      </c>
      <c r="AB3305" s="2" t="s">
        <v>7868</v>
      </c>
      <c r="AC3305" s="2">
        <v>-1.60906529260579</v>
      </c>
      <c r="AD3305" s="2"/>
      <c r="AE3305" s="2">
        <v>0.17322942626030299</v>
      </c>
      <c r="AF3305" s="2">
        <v>3509.9478015456498</v>
      </c>
      <c r="AG3305" s="2">
        <v>4261.4070297684602</v>
      </c>
      <c r="AH3305" s="4">
        <v>0.82365936345122204</v>
      </c>
      <c r="AI3305" s="4">
        <v>-0.279880282073176</v>
      </c>
      <c r="AJ3305" s="4" t="s">
        <v>62</v>
      </c>
      <c r="AK3305" s="2">
        <v>3.6662566204743899E-3</v>
      </c>
      <c r="AL3305" s="2">
        <v>0.1120315017845</v>
      </c>
      <c r="AM3305" s="2">
        <v>3137.27162161143</v>
      </c>
      <c r="AN3305" s="2">
        <v>3508.3278280148402</v>
      </c>
      <c r="AO3305" s="2">
        <v>3937.4626141655599</v>
      </c>
      <c r="AP3305" s="2">
        <v>3133.7748886402101</v>
      </c>
      <c r="AQ3305" s="2">
        <v>3737.9093980960502</v>
      </c>
      <c r="AR3305" s="2">
        <v>3604.9404587458098</v>
      </c>
      <c r="AS3305" s="2">
        <v>4046.4402639755199</v>
      </c>
      <c r="AT3305" s="2">
        <v>4050.9702713638098</v>
      </c>
      <c r="AU3305" s="2">
        <v>4981.6040114425296</v>
      </c>
      <c r="AV3305" s="2">
        <v>4022.57114657381</v>
      </c>
      <c r="AW3305" s="2">
        <v>4217.9251106150896</v>
      </c>
      <c r="AX3305" s="2">
        <v>4248.9313746399903</v>
      </c>
    </row>
    <row r="3306" spans="1:50" x14ac:dyDescent="0.25">
      <c r="A3306" s="2" t="s">
        <v>21999</v>
      </c>
      <c r="B3306" s="2">
        <v>446.29733071544399</v>
      </c>
      <c r="C3306" s="2">
        <v>4.5462333333333298</v>
      </c>
      <c r="D3306" s="2" t="s">
        <v>51</v>
      </c>
      <c r="E3306" s="2" t="s">
        <v>22000</v>
      </c>
      <c r="F3306" s="2">
        <v>52111</v>
      </c>
      <c r="G3306" s="3" t="str">
        <f>HYPERLINK("https://cloud.oebiotech.com/#/lm/network/52111", "https://cloud.oebiotech.com/#/lm/network/52111")</f>
        <v>https://cloud.oebiotech.com/#/lm/network/52111</v>
      </c>
      <c r="H3306" s="2" t="s">
        <v>22001</v>
      </c>
      <c r="I3306" s="2"/>
      <c r="J3306" s="2"/>
      <c r="K3306" s="2">
        <v>53481556</v>
      </c>
      <c r="L3306" s="2"/>
      <c r="M3306" s="2"/>
      <c r="N3306" s="2"/>
      <c r="O3306" s="2">
        <v>169592</v>
      </c>
      <c r="P3306" s="2"/>
      <c r="Q3306" s="2"/>
      <c r="R3306" s="2"/>
      <c r="S3306" s="2" t="s">
        <v>22002</v>
      </c>
      <c r="T3306" s="2" t="s">
        <v>22003</v>
      </c>
      <c r="U3306" s="2" t="s">
        <v>103</v>
      </c>
      <c r="V3306" s="2" t="s">
        <v>104</v>
      </c>
      <c r="W3306" s="2" t="s">
        <v>105</v>
      </c>
      <c r="X3306" s="2" t="s">
        <v>147</v>
      </c>
      <c r="Y3306" s="2">
        <v>38.5</v>
      </c>
      <c r="Z3306" s="2">
        <v>0</v>
      </c>
      <c r="AA3306" s="2" t="s">
        <v>259</v>
      </c>
      <c r="AB3306" s="2" t="s">
        <v>22004</v>
      </c>
      <c r="AC3306" s="2">
        <v>4.5568848324201203E-2</v>
      </c>
      <c r="AD3306" s="2"/>
      <c r="AE3306" s="2">
        <v>0.17308335245805501</v>
      </c>
      <c r="AF3306" s="2">
        <v>2258.1305253154801</v>
      </c>
      <c r="AG3306" s="2">
        <v>1311.7971727146701</v>
      </c>
      <c r="AH3306" s="5">
        <v>1.7214021895187099</v>
      </c>
      <c r="AI3306" s="5">
        <v>0.78358420896173397</v>
      </c>
      <c r="AJ3306" s="5" t="s">
        <v>139</v>
      </c>
      <c r="AK3306" s="2">
        <v>8.9103786276792094E-2</v>
      </c>
      <c r="AL3306" s="2">
        <v>0.38306240342166198</v>
      </c>
      <c r="AM3306" s="2">
        <v>2031.7417460285801</v>
      </c>
      <c r="AN3306" s="2">
        <v>1579.93946466534</v>
      </c>
      <c r="AO3306" s="2">
        <v>3993.6686979894798</v>
      </c>
      <c r="AP3306" s="2">
        <v>1334.532712706</v>
      </c>
      <c r="AQ3306" s="2">
        <v>1273.7694883404199</v>
      </c>
      <c r="AR3306" s="2">
        <v>3335.1310421630801</v>
      </c>
      <c r="AS3306" s="2">
        <v>1440.0412266016799</v>
      </c>
      <c r="AT3306" s="2">
        <v>1871.9543969791901</v>
      </c>
      <c r="AU3306" s="2">
        <v>1001.78062784111</v>
      </c>
      <c r="AV3306" s="2">
        <v>749.43515841710303</v>
      </c>
      <c r="AW3306" s="2">
        <v>1799.7827885489601</v>
      </c>
      <c r="AX3306" s="2">
        <v>1007.78883789997</v>
      </c>
    </row>
    <row r="3307" spans="1:50" x14ac:dyDescent="0.25">
      <c r="A3307" s="2" t="s">
        <v>22005</v>
      </c>
      <c r="B3307" s="2">
        <v>382.99854533779899</v>
      </c>
      <c r="C3307" s="2">
        <v>0.78368333333333295</v>
      </c>
      <c r="D3307" s="2" t="s">
        <v>51</v>
      </c>
      <c r="E3307" s="2" t="s">
        <v>22006</v>
      </c>
      <c r="F3307" s="2">
        <v>206975</v>
      </c>
      <c r="G3307" s="3" t="str">
        <f>HYPERLINK("https://cloud.oebiotech.com/#/lm/network/206975", "https://cloud.oebiotech.com/#/lm/network/206975")</f>
        <v>https://cloud.oebiotech.com/#/lm/network/206975</v>
      </c>
      <c r="H3307" s="2" t="s">
        <v>22007</v>
      </c>
      <c r="I3307" s="2"/>
      <c r="J3307" s="2"/>
      <c r="K3307" s="2"/>
      <c r="L3307" s="2"/>
      <c r="M3307" s="2"/>
      <c r="N3307" s="2"/>
      <c r="O3307" s="2"/>
      <c r="P3307" s="2"/>
      <c r="Q3307" s="2"/>
      <c r="R3307" s="2"/>
      <c r="S3307" s="2" t="s">
        <v>22008</v>
      </c>
      <c r="T3307" s="2" t="s">
        <v>22009</v>
      </c>
      <c r="U3307" s="2" t="s">
        <v>331</v>
      </c>
      <c r="V3307" s="2" t="s">
        <v>332</v>
      </c>
      <c r="W3307" s="2" t="s">
        <v>333</v>
      </c>
      <c r="X3307" s="2" t="s">
        <v>147</v>
      </c>
      <c r="Y3307" s="2">
        <v>39</v>
      </c>
      <c r="Z3307" s="2">
        <v>0</v>
      </c>
      <c r="AA3307" s="2" t="s">
        <v>95</v>
      </c>
      <c r="AB3307" s="2" t="s">
        <v>22010</v>
      </c>
      <c r="AC3307" s="2">
        <v>-0.14567229119497299</v>
      </c>
      <c r="AD3307" s="2"/>
      <c r="AE3307" s="2">
        <v>0.17307351235893001</v>
      </c>
      <c r="AF3307" s="2">
        <v>5857.87837393891</v>
      </c>
      <c r="AG3307" s="2">
        <v>7337.6956078659496</v>
      </c>
      <c r="AH3307" s="4">
        <v>0.798326707319299</v>
      </c>
      <c r="AI3307" s="4">
        <v>-0.32494881890240501</v>
      </c>
      <c r="AJ3307" s="4" t="s">
        <v>62</v>
      </c>
      <c r="AK3307" s="2">
        <v>0.45828359703149102</v>
      </c>
      <c r="AL3307" s="2">
        <v>0.70873397123624904</v>
      </c>
      <c r="AM3307" s="2">
        <v>4210.8691946991503</v>
      </c>
      <c r="AN3307" s="2">
        <v>3281.5397146908899</v>
      </c>
      <c r="AO3307" s="2">
        <v>9315.2752842212794</v>
      </c>
      <c r="AP3307" s="2">
        <v>5987.4954536797904</v>
      </c>
      <c r="AQ3307" s="2">
        <v>4794.9789026687604</v>
      </c>
      <c r="AR3307" s="2">
        <v>7557.1116936735598</v>
      </c>
      <c r="AS3307" s="2">
        <v>9707.06827392993</v>
      </c>
      <c r="AT3307" s="2">
        <v>4929.2339534254297</v>
      </c>
      <c r="AU3307" s="2">
        <v>5954.7764715042204</v>
      </c>
      <c r="AV3307" s="2">
        <v>1741.94971442102</v>
      </c>
      <c r="AW3307" s="2">
        <v>8037.0021436691204</v>
      </c>
      <c r="AX3307" s="2">
        <v>13656.143090246</v>
      </c>
    </row>
    <row r="3308" spans="1:50" x14ac:dyDescent="0.25">
      <c r="A3308" s="2" t="s">
        <v>22011</v>
      </c>
      <c r="B3308" s="2">
        <v>314.34269492623901</v>
      </c>
      <c r="C3308" s="2">
        <v>10.37285</v>
      </c>
      <c r="D3308" s="2" t="s">
        <v>51</v>
      </c>
      <c r="E3308" s="2" t="s">
        <v>22012</v>
      </c>
      <c r="F3308" s="2">
        <v>35825</v>
      </c>
      <c r="G3308" s="3" t="str">
        <f>HYPERLINK("https://cloud.oebiotech.com/#/lm/network/35825", "https://cloud.oebiotech.com/#/lm/network/35825")</f>
        <v>https://cloud.oebiotech.com/#/lm/network/35825</v>
      </c>
      <c r="H3308" s="2" t="s">
        <v>22013</v>
      </c>
      <c r="I3308" s="2">
        <v>391</v>
      </c>
      <c r="J3308" s="2" t="s">
        <v>22014</v>
      </c>
      <c r="K3308" s="2">
        <v>5280435</v>
      </c>
      <c r="L3308" s="2" t="s">
        <v>22015</v>
      </c>
      <c r="M3308" s="2"/>
      <c r="N3308" s="2"/>
      <c r="O3308" s="2">
        <v>17327</v>
      </c>
      <c r="P3308" s="2"/>
      <c r="Q3308" s="2"/>
      <c r="R3308" s="2" t="s">
        <v>22016</v>
      </c>
      <c r="S3308" s="2" t="s">
        <v>22017</v>
      </c>
      <c r="T3308" s="2" t="s">
        <v>22018</v>
      </c>
      <c r="U3308" s="2" t="s">
        <v>56</v>
      </c>
      <c r="V3308" s="2" t="s">
        <v>177</v>
      </c>
      <c r="W3308" s="2" t="s">
        <v>178</v>
      </c>
      <c r="X3308" s="2" t="s">
        <v>147</v>
      </c>
      <c r="Y3308" s="2">
        <v>37.700000000000003</v>
      </c>
      <c r="Z3308" s="2">
        <v>0</v>
      </c>
      <c r="AA3308" s="2" t="s">
        <v>512</v>
      </c>
      <c r="AB3308" s="2" t="s">
        <v>22019</v>
      </c>
      <c r="AC3308" s="2">
        <v>3.21791564776071</v>
      </c>
      <c r="AD3308" s="2"/>
      <c r="AE3308" s="2">
        <v>0.17303392992031399</v>
      </c>
      <c r="AF3308" s="2">
        <v>2938.92077824628</v>
      </c>
      <c r="AG3308" s="2">
        <v>4230.3299337707303</v>
      </c>
      <c r="AH3308" s="4">
        <v>0.69472613821084495</v>
      </c>
      <c r="AI3308" s="4">
        <v>-0.52548371692043405</v>
      </c>
      <c r="AJ3308" s="4" t="s">
        <v>62</v>
      </c>
      <c r="AK3308" s="2">
        <v>7.1811135614984797E-2</v>
      </c>
      <c r="AL3308" s="2">
        <v>0.35360520412149099</v>
      </c>
      <c r="AM3308" s="2">
        <v>2963.1652822750998</v>
      </c>
      <c r="AN3308" s="2">
        <v>2255.48708086027</v>
      </c>
      <c r="AO3308" s="2">
        <v>3469.7259156558498</v>
      </c>
      <c r="AP3308" s="2">
        <v>2553.5611268399798</v>
      </c>
      <c r="AQ3308" s="2">
        <v>3607.3385211640798</v>
      </c>
      <c r="AR3308" s="2">
        <v>2784.24674268238</v>
      </c>
      <c r="AS3308" s="2">
        <v>4614.7950236437</v>
      </c>
      <c r="AT3308" s="2">
        <v>6822.8643531576199</v>
      </c>
      <c r="AU3308" s="2">
        <v>3637.5656835175701</v>
      </c>
      <c r="AV3308" s="2">
        <v>4224.3103555770604</v>
      </c>
      <c r="AW3308" s="2">
        <v>2359.4502276200901</v>
      </c>
      <c r="AX3308" s="2">
        <v>3722.9939591083198</v>
      </c>
    </row>
    <row r="3309" spans="1:50" x14ac:dyDescent="0.25">
      <c r="A3309" s="2" t="s">
        <v>22020</v>
      </c>
      <c r="B3309" s="2">
        <v>393.22859011341001</v>
      </c>
      <c r="C3309" s="2">
        <v>9.3362833333333306</v>
      </c>
      <c r="D3309" s="2" t="s">
        <v>51</v>
      </c>
      <c r="E3309" s="2" t="s">
        <v>22021</v>
      </c>
      <c r="F3309" s="2">
        <v>267402</v>
      </c>
      <c r="G3309" s="3" t="str">
        <f>HYPERLINK("https://cloud.oebiotech.com/#/lm/network/267402", "https://cloud.oebiotech.com/#/lm/network/267402")</f>
        <v>https://cloud.oebiotech.com/#/lm/network/267402</v>
      </c>
      <c r="H3309" s="2"/>
      <c r="I3309" s="2">
        <v>45405</v>
      </c>
      <c r="J3309" s="2"/>
      <c r="K3309" s="2">
        <v>35020910</v>
      </c>
      <c r="L3309" s="2"/>
      <c r="M3309" s="2"/>
      <c r="N3309" s="2"/>
      <c r="O3309" s="2"/>
      <c r="P3309" s="2"/>
      <c r="Q3309" s="2"/>
      <c r="R3309" s="2"/>
      <c r="S3309" s="2" t="s">
        <v>22022</v>
      </c>
      <c r="T3309" s="2" t="s">
        <v>22023</v>
      </c>
      <c r="U3309" s="2" t="s">
        <v>56</v>
      </c>
      <c r="V3309" s="2" t="s">
        <v>145</v>
      </c>
      <c r="W3309" s="2" t="s">
        <v>187</v>
      </c>
      <c r="X3309" s="2" t="s">
        <v>147</v>
      </c>
      <c r="Y3309" s="2">
        <v>36.299999999999997</v>
      </c>
      <c r="Z3309" s="2">
        <v>0</v>
      </c>
      <c r="AA3309" s="2" t="s">
        <v>218</v>
      </c>
      <c r="AB3309" s="2" t="s">
        <v>1252</v>
      </c>
      <c r="AC3309" s="2">
        <v>0.941156345824117</v>
      </c>
      <c r="AD3309" s="2"/>
      <c r="AE3309" s="2">
        <v>0.17293154533598101</v>
      </c>
      <c r="AF3309" s="2">
        <v>1328.0340920035801</v>
      </c>
      <c r="AG3309" s="2">
        <v>660.84055056166596</v>
      </c>
      <c r="AH3309" s="5">
        <v>2.0096135003744</v>
      </c>
      <c r="AI3309" s="5">
        <v>1.00691806124991</v>
      </c>
      <c r="AJ3309" s="5" t="s">
        <v>139</v>
      </c>
      <c r="AK3309" s="2">
        <v>4.7461403388048502E-2</v>
      </c>
      <c r="AL3309" s="2">
        <v>0.30528532168455502</v>
      </c>
      <c r="AM3309" s="2">
        <v>2178.9595648381001</v>
      </c>
      <c r="AN3309" s="2">
        <v>2104.4475432139302</v>
      </c>
      <c r="AO3309" s="2">
        <v>792.23887298221803</v>
      </c>
      <c r="AP3309" s="2">
        <v>863.37149249550305</v>
      </c>
      <c r="AQ3309" s="2">
        <v>755.36827892874601</v>
      </c>
      <c r="AR3309" s="2">
        <v>1273.8187995629601</v>
      </c>
      <c r="AS3309" s="2">
        <v>560.46562920681504</v>
      </c>
      <c r="AT3309" s="2">
        <v>678.93972773589599</v>
      </c>
      <c r="AU3309" s="2">
        <v>745.18312324710405</v>
      </c>
      <c r="AV3309" s="2">
        <v>333.02492693044002</v>
      </c>
      <c r="AW3309" s="2">
        <v>1196.86868917428</v>
      </c>
      <c r="AX3309" s="2">
        <v>450.56120707546103</v>
      </c>
    </row>
    <row r="3310" spans="1:50" x14ac:dyDescent="0.25">
      <c r="A3310" s="2" t="s">
        <v>22024</v>
      </c>
      <c r="B3310" s="2">
        <v>192.065954880319</v>
      </c>
      <c r="C3310" s="2">
        <v>4.7222</v>
      </c>
      <c r="D3310" s="2" t="s">
        <v>51</v>
      </c>
      <c r="E3310" s="2" t="s">
        <v>22025</v>
      </c>
      <c r="F3310" s="2">
        <v>51495</v>
      </c>
      <c r="G3310" s="3" t="str">
        <f>HYPERLINK("https://cloud.oebiotech.com/#/lm/network/51495", "https://cloud.oebiotech.com/#/lm/network/51495")</f>
        <v>https://cloud.oebiotech.com/#/lm/network/51495</v>
      </c>
      <c r="H3310" s="2" t="s">
        <v>22026</v>
      </c>
      <c r="I3310" s="2">
        <v>24085</v>
      </c>
      <c r="J3310" s="2"/>
      <c r="K3310" s="2">
        <v>91637</v>
      </c>
      <c r="L3310" s="2" t="s">
        <v>9782</v>
      </c>
      <c r="M3310" s="2"/>
      <c r="N3310" s="2"/>
      <c r="O3310" s="2">
        <v>68455</v>
      </c>
      <c r="P3310" s="2"/>
      <c r="Q3310" s="2"/>
      <c r="R3310" s="2" t="s">
        <v>22027</v>
      </c>
      <c r="S3310" s="2" t="s">
        <v>22028</v>
      </c>
      <c r="T3310" s="2" t="s">
        <v>22029</v>
      </c>
      <c r="U3310" s="2" t="s">
        <v>610</v>
      </c>
      <c r="V3310" s="2" t="s">
        <v>611</v>
      </c>
      <c r="W3310" s="2" t="s">
        <v>1122</v>
      </c>
      <c r="X3310" s="2" t="s">
        <v>83</v>
      </c>
      <c r="Y3310" s="2">
        <v>50.2</v>
      </c>
      <c r="Z3310" s="2">
        <v>34.5</v>
      </c>
      <c r="AA3310" s="2" t="s">
        <v>163</v>
      </c>
      <c r="AB3310" s="2" t="s">
        <v>22030</v>
      </c>
      <c r="AC3310" s="2">
        <v>-3.4282414891133599</v>
      </c>
      <c r="AD3310" s="2"/>
      <c r="AE3310" s="2">
        <v>0.17287214535515699</v>
      </c>
      <c r="AF3310" s="2">
        <v>6962.6907461586097</v>
      </c>
      <c r="AG3310" s="2">
        <v>6026.5451156793497</v>
      </c>
      <c r="AH3310" s="5">
        <v>1.15533703183333</v>
      </c>
      <c r="AI3310" s="5">
        <v>0.208313772183498</v>
      </c>
      <c r="AJ3310" s="5" t="s">
        <v>139</v>
      </c>
      <c r="AK3310" s="2">
        <v>0.54769956949090803</v>
      </c>
      <c r="AL3310" s="2">
        <v>0.77054320949467303</v>
      </c>
      <c r="AM3310" s="2">
        <v>11926.605653184801</v>
      </c>
      <c r="AN3310" s="2">
        <v>8633.6557563432998</v>
      </c>
      <c r="AO3310" s="2">
        <v>5440.5379027459003</v>
      </c>
      <c r="AP3310" s="2">
        <v>5066.9111011671903</v>
      </c>
      <c r="AQ3310" s="2">
        <v>4887.5381305322198</v>
      </c>
      <c r="AR3310" s="2">
        <v>5820.8959329782501</v>
      </c>
      <c r="AS3310" s="2">
        <v>5543.63722880982</v>
      </c>
      <c r="AT3310" s="2">
        <v>3602.61906529617</v>
      </c>
      <c r="AU3310" s="2">
        <v>10626.1859564019</v>
      </c>
      <c r="AV3310" s="2">
        <v>5193.7009988938598</v>
      </c>
      <c r="AW3310" s="2">
        <v>5040.6017950887799</v>
      </c>
      <c r="AX3310" s="2">
        <v>6152.5256495855501</v>
      </c>
    </row>
    <row r="3311" spans="1:50" x14ac:dyDescent="0.25">
      <c r="A3311" s="2" t="s">
        <v>22031</v>
      </c>
      <c r="B3311" s="2">
        <v>255.12356989724199</v>
      </c>
      <c r="C3311" s="2">
        <v>4.9422166666666696</v>
      </c>
      <c r="D3311" s="2" t="s">
        <v>51</v>
      </c>
      <c r="E3311" s="2" t="s">
        <v>22032</v>
      </c>
      <c r="F3311" s="2">
        <v>7851</v>
      </c>
      <c r="G3311" s="3" t="str">
        <f>HYPERLINK("https://cloud.oebiotech.com/#/lm/network/7851", "https://cloud.oebiotech.com/#/lm/network/7851")</f>
        <v>https://cloud.oebiotech.com/#/lm/network/7851</v>
      </c>
      <c r="H3311" s="2"/>
      <c r="I3311" s="2"/>
      <c r="J3311" s="2" t="s">
        <v>22033</v>
      </c>
      <c r="K3311" s="2">
        <v>53387505</v>
      </c>
      <c r="L3311" s="2"/>
      <c r="M3311" s="2"/>
      <c r="N3311" s="2"/>
      <c r="O3311" s="2">
        <v>69906</v>
      </c>
      <c r="P3311" s="2"/>
      <c r="Q3311" s="2"/>
      <c r="R3311" s="2"/>
      <c r="S3311" s="2" t="s">
        <v>22034</v>
      </c>
      <c r="T3311" s="2" t="s">
        <v>22035</v>
      </c>
      <c r="U3311" s="2" t="s">
        <v>266</v>
      </c>
      <c r="V3311" s="2" t="s">
        <v>3994</v>
      </c>
      <c r="W3311" s="2" t="s">
        <v>8308</v>
      </c>
      <c r="X3311" s="2" t="s">
        <v>147</v>
      </c>
      <c r="Y3311" s="2">
        <v>42.1</v>
      </c>
      <c r="Z3311" s="2">
        <v>24.7</v>
      </c>
      <c r="AA3311" s="2" t="s">
        <v>218</v>
      </c>
      <c r="AB3311" s="2" t="s">
        <v>20499</v>
      </c>
      <c r="AC3311" s="2">
        <v>-1.0822513000573399</v>
      </c>
      <c r="AD3311" s="2"/>
      <c r="AE3311" s="2">
        <v>0.17284064627724899</v>
      </c>
      <c r="AF3311" s="2">
        <v>969.00921050490797</v>
      </c>
      <c r="AG3311" s="2">
        <v>313.16718906666199</v>
      </c>
      <c r="AH3311" s="5">
        <v>3.0942232913762902</v>
      </c>
      <c r="AI3311" s="5">
        <v>1.6295773111170999</v>
      </c>
      <c r="AJ3311" s="5" t="s">
        <v>139</v>
      </c>
      <c r="AK3311" s="2">
        <v>4.0751719127125198E-2</v>
      </c>
      <c r="AL3311" s="2">
        <v>0.29155452793099101</v>
      </c>
      <c r="AM3311" s="2">
        <v>2212.2648977307499</v>
      </c>
      <c r="AN3311" s="2">
        <v>1156.2143091882999</v>
      </c>
      <c r="AO3311" s="2">
        <v>423.68434987145002</v>
      </c>
      <c r="AP3311" s="2">
        <v>700.49648533916297</v>
      </c>
      <c r="AQ3311" s="2">
        <v>516.12930540482398</v>
      </c>
      <c r="AR3311" s="2">
        <v>805.265915494963</v>
      </c>
      <c r="AS3311" s="2">
        <v>244.28348493213301</v>
      </c>
      <c r="AT3311" s="2">
        <v>297.44957393013999</v>
      </c>
      <c r="AU3311" s="2">
        <v>210.251883035351</v>
      </c>
      <c r="AV3311" s="2">
        <v>244.24510960609899</v>
      </c>
      <c r="AW3311" s="2">
        <v>212.85972013352901</v>
      </c>
      <c r="AX3311" s="2">
        <v>669.91336276271898</v>
      </c>
    </row>
    <row r="3312" spans="1:50" x14ac:dyDescent="0.25">
      <c r="A3312" s="2" t="s">
        <v>22036</v>
      </c>
      <c r="B3312" s="2">
        <v>402.16354414970698</v>
      </c>
      <c r="C3312" s="2">
        <v>14.465633333333299</v>
      </c>
      <c r="D3312" s="2" t="s">
        <v>51</v>
      </c>
      <c r="E3312" s="2" t="s">
        <v>22037</v>
      </c>
      <c r="F3312" s="2">
        <v>201809</v>
      </c>
      <c r="G3312" s="3" t="str">
        <f>HYPERLINK("https://cloud.oebiotech.com/#/lm/network/201809", "https://cloud.oebiotech.com/#/lm/network/201809")</f>
        <v>https://cloud.oebiotech.com/#/lm/network/201809</v>
      </c>
      <c r="H3312" s="2" t="s">
        <v>22038</v>
      </c>
      <c r="I3312" s="2"/>
      <c r="J3312" s="2"/>
      <c r="K3312" s="2">
        <v>119169</v>
      </c>
      <c r="L3312" s="2"/>
      <c r="M3312" s="2"/>
      <c r="N3312" s="2"/>
      <c r="O3312" s="2"/>
      <c r="P3312" s="2"/>
      <c r="Q3312" s="2"/>
      <c r="R3312" s="2"/>
      <c r="S3312" s="2" t="s">
        <v>22039</v>
      </c>
      <c r="T3312" s="2" t="s">
        <v>22040</v>
      </c>
      <c r="U3312" s="2" t="s">
        <v>540</v>
      </c>
      <c r="V3312" s="2" t="s">
        <v>7590</v>
      </c>
      <c r="W3312" s="2" t="s">
        <v>240</v>
      </c>
      <c r="X3312" s="2" t="s">
        <v>147</v>
      </c>
      <c r="Y3312" s="2">
        <v>41.5</v>
      </c>
      <c r="Z3312" s="2">
        <v>16</v>
      </c>
      <c r="AA3312" s="2" t="s">
        <v>379</v>
      </c>
      <c r="AB3312" s="2" t="s">
        <v>22041</v>
      </c>
      <c r="AC3312" s="2">
        <v>1.2546340101522999</v>
      </c>
      <c r="AD3312" s="2"/>
      <c r="AE3312" s="2">
        <v>0.17278988942280701</v>
      </c>
      <c r="AF3312" s="2">
        <v>22663.0867421769</v>
      </c>
      <c r="AG3312" s="2">
        <v>25027.561836212801</v>
      </c>
      <c r="AH3312" s="4">
        <v>0.90552515224976304</v>
      </c>
      <c r="AI3312" s="4">
        <v>-0.14317338024749801</v>
      </c>
      <c r="AJ3312" s="4" t="s">
        <v>62</v>
      </c>
      <c r="AK3312" s="2">
        <v>0.26845717418816201</v>
      </c>
      <c r="AL3312" s="2">
        <v>0.58943426152186396</v>
      </c>
      <c r="AM3312" s="2">
        <v>23940.7276607733</v>
      </c>
      <c r="AN3312" s="2">
        <v>18519.233919906001</v>
      </c>
      <c r="AO3312" s="2">
        <v>28195.138867363101</v>
      </c>
      <c r="AP3312" s="2">
        <v>15218.162171620699</v>
      </c>
      <c r="AQ3312" s="2">
        <v>26316.455277941801</v>
      </c>
      <c r="AR3312" s="2">
        <v>23788.802555456699</v>
      </c>
      <c r="AS3312" s="2">
        <v>24804.8943653022</v>
      </c>
      <c r="AT3312" s="2">
        <v>25286.156786244799</v>
      </c>
      <c r="AU3312" s="2">
        <v>25909.132298029599</v>
      </c>
      <c r="AV3312" s="2">
        <v>24665.738671057101</v>
      </c>
      <c r="AW3312" s="2">
        <v>25624.234187449201</v>
      </c>
      <c r="AX3312" s="2">
        <v>23875.214709193799</v>
      </c>
    </row>
    <row r="3313" spans="1:50" x14ac:dyDescent="0.25">
      <c r="A3313" s="2" t="s">
        <v>22042</v>
      </c>
      <c r="B3313" s="2">
        <v>325.13507956521602</v>
      </c>
      <c r="C3313" s="2">
        <v>6.1052666666666697</v>
      </c>
      <c r="D3313" s="2" t="s">
        <v>51</v>
      </c>
      <c r="E3313" s="2" t="s">
        <v>22043</v>
      </c>
      <c r="F3313" s="2">
        <v>54405</v>
      </c>
      <c r="G3313" s="3" t="str">
        <f>HYPERLINK("https://cloud.oebiotech.com/#/lm/network/54405", "https://cloud.oebiotech.com/#/lm/network/54405")</f>
        <v>https://cloud.oebiotech.com/#/lm/network/54405</v>
      </c>
      <c r="H3313" s="2" t="s">
        <v>22044</v>
      </c>
      <c r="I3313" s="2">
        <v>86277</v>
      </c>
      <c r="J3313" s="2"/>
      <c r="K3313" s="2">
        <v>10267199</v>
      </c>
      <c r="L3313" s="2"/>
      <c r="M3313" s="2"/>
      <c r="N3313" s="2"/>
      <c r="O3313" s="2"/>
      <c r="P3313" s="2"/>
      <c r="Q3313" s="2"/>
      <c r="R3313" s="2" t="s">
        <v>22045</v>
      </c>
      <c r="S3313" s="2" t="s">
        <v>22046</v>
      </c>
      <c r="T3313" s="2" t="s">
        <v>22047</v>
      </c>
      <c r="U3313" s="2" t="s">
        <v>103</v>
      </c>
      <c r="V3313" s="2" t="s">
        <v>104</v>
      </c>
      <c r="W3313" s="2" t="s">
        <v>105</v>
      </c>
      <c r="X3313" s="2" t="s">
        <v>147</v>
      </c>
      <c r="Y3313" s="2">
        <v>37.1</v>
      </c>
      <c r="Z3313" s="2">
        <v>0</v>
      </c>
      <c r="AA3313" s="2" t="s">
        <v>512</v>
      </c>
      <c r="AB3313" s="2" t="s">
        <v>22048</v>
      </c>
      <c r="AC3313" s="2">
        <v>-1.0110038161470301</v>
      </c>
      <c r="AD3313" s="2"/>
      <c r="AE3313" s="2">
        <v>0.17266900888887099</v>
      </c>
      <c r="AF3313" s="2">
        <v>1241.6557898010001</v>
      </c>
      <c r="AG3313" s="2">
        <v>559.985760307747</v>
      </c>
      <c r="AH3313" s="5">
        <v>2.2172988633115098</v>
      </c>
      <c r="AI3313" s="5">
        <v>1.14880324001042</v>
      </c>
      <c r="AJ3313" s="5" t="s">
        <v>139</v>
      </c>
      <c r="AK3313" s="2">
        <v>2.9629217612105799E-2</v>
      </c>
      <c r="AL3313" s="2">
        <v>0.25908320162100301</v>
      </c>
      <c r="AM3313" s="2">
        <v>1539.5336939173801</v>
      </c>
      <c r="AN3313" s="2">
        <v>2225.7882066253501</v>
      </c>
      <c r="AO3313" s="2">
        <v>642.61678902451399</v>
      </c>
      <c r="AP3313" s="2">
        <v>1027.4846778920501</v>
      </c>
      <c r="AQ3313" s="2">
        <v>880.02639717474301</v>
      </c>
      <c r="AR3313" s="2">
        <v>1134.48497417197</v>
      </c>
      <c r="AS3313" s="2">
        <v>612.67862729421995</v>
      </c>
      <c r="AT3313" s="2">
        <v>379.24400945923799</v>
      </c>
      <c r="AU3313" s="2">
        <v>1138.5170142616601</v>
      </c>
      <c r="AV3313" s="2">
        <v>118.704262699381</v>
      </c>
      <c r="AW3313" s="2">
        <v>572.37531869373197</v>
      </c>
      <c r="AX3313" s="2">
        <v>538.39532943825202</v>
      </c>
    </row>
    <row r="3314" spans="1:50" x14ac:dyDescent="0.25">
      <c r="A3314" s="2" t="s">
        <v>22049</v>
      </c>
      <c r="B3314" s="2">
        <v>204.175366795424</v>
      </c>
      <c r="C3314" s="2">
        <v>9.8077500000000004</v>
      </c>
      <c r="D3314" s="2" t="s">
        <v>51</v>
      </c>
      <c r="E3314" s="2" t="s">
        <v>22050</v>
      </c>
      <c r="F3314" s="2">
        <v>62187</v>
      </c>
      <c r="G3314" s="3" t="str">
        <f>HYPERLINK("https://cloud.oebiotech.com/#/lm/network/62187", "https://cloud.oebiotech.com/#/lm/network/62187")</f>
        <v>https://cloud.oebiotech.com/#/lm/network/62187</v>
      </c>
      <c r="H3314" s="2" t="s">
        <v>22051</v>
      </c>
      <c r="I3314" s="2">
        <v>93475</v>
      </c>
      <c r="J3314" s="2"/>
      <c r="K3314" s="2">
        <v>46935132</v>
      </c>
      <c r="L3314" s="2"/>
      <c r="M3314" s="2"/>
      <c r="N3314" s="2"/>
      <c r="O3314" s="2"/>
      <c r="P3314" s="2"/>
      <c r="Q3314" s="2"/>
      <c r="R3314" s="2" t="s">
        <v>22052</v>
      </c>
      <c r="S3314" s="2" t="s">
        <v>22053</v>
      </c>
      <c r="T3314" s="2" t="s">
        <v>22054</v>
      </c>
      <c r="U3314" s="2" t="s">
        <v>266</v>
      </c>
      <c r="V3314" s="2" t="s">
        <v>2432</v>
      </c>
      <c r="W3314" s="2" t="s">
        <v>22055</v>
      </c>
      <c r="X3314" s="2" t="s">
        <v>147</v>
      </c>
      <c r="Y3314" s="2">
        <v>38.799999999999997</v>
      </c>
      <c r="Z3314" s="2">
        <v>3.76</v>
      </c>
      <c r="AA3314" s="2" t="s">
        <v>156</v>
      </c>
      <c r="AB3314" s="2" t="s">
        <v>22056</v>
      </c>
      <c r="AC3314" s="2">
        <v>3.1227498450476698</v>
      </c>
      <c r="AD3314" s="2"/>
      <c r="AE3314" s="2">
        <v>0.17258629438612799</v>
      </c>
      <c r="AF3314" s="2">
        <v>309.65576664131498</v>
      </c>
      <c r="AG3314" s="2">
        <v>1423.03743768814</v>
      </c>
      <c r="AH3314" s="4">
        <v>0.217601981817415</v>
      </c>
      <c r="AI3314" s="4">
        <v>-2.2002363988453602</v>
      </c>
      <c r="AJ3314" s="4" t="s">
        <v>62</v>
      </c>
      <c r="AK3314" s="2">
        <v>0.208891294674873</v>
      </c>
      <c r="AL3314" s="2">
        <v>0.53408340129961396</v>
      </c>
      <c r="AM3314" s="2">
        <v>1091.79637873758</v>
      </c>
      <c r="AN3314" s="2">
        <v>8.559877937157E-6</v>
      </c>
      <c r="AO3314" s="2">
        <v>594.78288691589603</v>
      </c>
      <c r="AP3314" s="2">
        <v>171.355308514781</v>
      </c>
      <c r="AQ3314" s="2">
        <v>8.559877937157E-6</v>
      </c>
      <c r="AR3314" s="2">
        <v>8.559877937157E-6</v>
      </c>
      <c r="AS3314" s="2">
        <v>3214.2343897444498</v>
      </c>
      <c r="AT3314" s="2">
        <v>8.559877937157E-6</v>
      </c>
      <c r="AU3314" s="2">
        <v>8.559877937157E-6</v>
      </c>
      <c r="AV3314" s="2">
        <v>245.63237017871501</v>
      </c>
      <c r="AW3314" s="2">
        <v>4597.8028484604502</v>
      </c>
      <c r="AX3314" s="2">
        <v>480.55500062546201</v>
      </c>
    </row>
    <row r="3315" spans="1:50" x14ac:dyDescent="0.25">
      <c r="A3315" s="2" t="s">
        <v>22057</v>
      </c>
      <c r="B3315" s="2">
        <v>211.133443536058</v>
      </c>
      <c r="C3315" s="2">
        <v>9.8698333333333306</v>
      </c>
      <c r="D3315" s="2" t="s">
        <v>51</v>
      </c>
      <c r="E3315" s="2" t="s">
        <v>22058</v>
      </c>
      <c r="F3315" s="2">
        <v>59979</v>
      </c>
      <c r="G3315" s="3" t="str">
        <f>HYPERLINK("https://cloud.oebiotech.com/#/lm/network/59979", "https://cloud.oebiotech.com/#/lm/network/59979")</f>
        <v>https://cloud.oebiotech.com/#/lm/network/59979</v>
      </c>
      <c r="H3315" s="2" t="s">
        <v>22059</v>
      </c>
      <c r="I3315" s="2">
        <v>91339</v>
      </c>
      <c r="J3315" s="2"/>
      <c r="K3315" s="2">
        <v>19603</v>
      </c>
      <c r="L3315" s="2"/>
      <c r="M3315" s="2"/>
      <c r="N3315" s="2"/>
      <c r="O3315" s="2">
        <v>167091</v>
      </c>
      <c r="P3315" s="2"/>
      <c r="Q3315" s="2"/>
      <c r="R3315" s="2" t="s">
        <v>22060</v>
      </c>
      <c r="S3315" s="2" t="s">
        <v>22061</v>
      </c>
      <c r="T3315" s="2" t="s">
        <v>22062</v>
      </c>
      <c r="U3315" s="2" t="s">
        <v>266</v>
      </c>
      <c r="V3315" s="2" t="s">
        <v>7754</v>
      </c>
      <c r="W3315" s="2" t="s">
        <v>240</v>
      </c>
      <c r="X3315" s="2" t="s">
        <v>147</v>
      </c>
      <c r="Y3315" s="2">
        <v>39.299999999999997</v>
      </c>
      <c r="Z3315" s="2">
        <v>4.6500000000000004</v>
      </c>
      <c r="AA3315" s="2" t="s">
        <v>218</v>
      </c>
      <c r="AB3315" s="2" t="s">
        <v>5409</v>
      </c>
      <c r="AC3315" s="2">
        <v>-3.1572416753883399</v>
      </c>
      <c r="AD3315" s="2"/>
      <c r="AE3315" s="2">
        <v>0.17257221143944201</v>
      </c>
      <c r="AF3315" s="2">
        <v>1196.1400860384499</v>
      </c>
      <c r="AG3315" s="2">
        <v>407.58765409120502</v>
      </c>
      <c r="AH3315" s="5">
        <v>2.9346818384513602</v>
      </c>
      <c r="AI3315" s="5">
        <v>1.55320410300512</v>
      </c>
      <c r="AJ3315" s="5" t="s">
        <v>139</v>
      </c>
      <c r="AK3315" s="2">
        <v>4.30834462055689E-2</v>
      </c>
      <c r="AL3315" s="2">
        <v>0.29570276191127698</v>
      </c>
      <c r="AM3315" s="2">
        <v>1158.43547594762</v>
      </c>
      <c r="AN3315" s="2">
        <v>2587.9230624997799</v>
      </c>
      <c r="AO3315" s="2">
        <v>609.23152842684601</v>
      </c>
      <c r="AP3315" s="2">
        <v>509.02300030477102</v>
      </c>
      <c r="AQ3315" s="2">
        <v>646.85099463770405</v>
      </c>
      <c r="AR3315" s="2">
        <v>1665.3764544139999</v>
      </c>
      <c r="AS3315" s="2">
        <v>763.63071553028897</v>
      </c>
      <c r="AT3315" s="2">
        <v>329.30285118712999</v>
      </c>
      <c r="AU3315" s="2">
        <v>461.29618818687902</v>
      </c>
      <c r="AV3315" s="2">
        <v>277.30274866613303</v>
      </c>
      <c r="AW3315" s="2">
        <v>187.43681301503</v>
      </c>
      <c r="AX3315" s="2">
        <v>426.55660796177102</v>
      </c>
    </row>
    <row r="3316" spans="1:50" x14ac:dyDescent="0.25">
      <c r="A3316" s="2" t="s">
        <v>22063</v>
      </c>
      <c r="B3316" s="2">
        <v>268.08328488476002</v>
      </c>
      <c r="C3316" s="2">
        <v>11.472666666666701</v>
      </c>
      <c r="D3316" s="2" t="s">
        <v>51</v>
      </c>
      <c r="E3316" s="2" t="s">
        <v>22064</v>
      </c>
      <c r="F3316" s="2">
        <v>200572</v>
      </c>
      <c r="G3316" s="3" t="str">
        <f>HYPERLINK("https://cloud.oebiotech.com/#/lm/network/200572", "https://cloud.oebiotech.com/#/lm/network/200572")</f>
        <v>https://cloud.oebiotech.com/#/lm/network/200572</v>
      </c>
      <c r="H3316" s="2" t="s">
        <v>22065</v>
      </c>
      <c r="I3316" s="2"/>
      <c r="J3316" s="2"/>
      <c r="K3316" s="2">
        <v>3367</v>
      </c>
      <c r="L3316" s="2"/>
      <c r="M3316" s="2"/>
      <c r="N3316" s="2"/>
      <c r="O3316" s="2"/>
      <c r="P3316" s="2"/>
      <c r="Q3316" s="2"/>
      <c r="R3316" s="2"/>
      <c r="S3316" s="2" t="s">
        <v>22066</v>
      </c>
      <c r="T3316" s="2" t="s">
        <v>22067</v>
      </c>
      <c r="U3316" s="2" t="s">
        <v>295</v>
      </c>
      <c r="V3316" s="2" t="s">
        <v>5395</v>
      </c>
      <c r="W3316" s="2" t="s">
        <v>240</v>
      </c>
      <c r="X3316" s="2" t="s">
        <v>147</v>
      </c>
      <c r="Y3316" s="2">
        <v>36.799999999999997</v>
      </c>
      <c r="Z3316" s="2">
        <v>0</v>
      </c>
      <c r="AA3316" s="2" t="s">
        <v>156</v>
      </c>
      <c r="AB3316" s="2" t="s">
        <v>22068</v>
      </c>
      <c r="AC3316" s="2">
        <v>-2.6622449851338401</v>
      </c>
      <c r="AD3316" s="2"/>
      <c r="AE3316" s="2">
        <v>0.17248364206394301</v>
      </c>
      <c r="AF3316" s="2">
        <v>2018.1229654635399</v>
      </c>
      <c r="AG3316" s="2">
        <v>2742.4039502474602</v>
      </c>
      <c r="AH3316" s="4">
        <v>0.73589558725709703</v>
      </c>
      <c r="AI3316" s="4">
        <v>-0.44242701125776801</v>
      </c>
      <c r="AJ3316" s="4" t="s">
        <v>62</v>
      </c>
      <c r="AK3316" s="2">
        <v>4.1252118943933401E-2</v>
      </c>
      <c r="AL3316" s="2">
        <v>0.29213774394777098</v>
      </c>
      <c r="AM3316" s="2">
        <v>1431.35831940967</v>
      </c>
      <c r="AN3316" s="2">
        <v>1509.32088758756</v>
      </c>
      <c r="AO3316" s="2">
        <v>2541.2451875808902</v>
      </c>
      <c r="AP3316" s="2">
        <v>2001.46332505089</v>
      </c>
      <c r="AQ3316" s="2">
        <v>2730.9588070662599</v>
      </c>
      <c r="AR3316" s="2">
        <v>1894.3912660859601</v>
      </c>
      <c r="AS3316" s="2">
        <v>2296.1385876218801</v>
      </c>
      <c r="AT3316" s="2">
        <v>2915.7930500140201</v>
      </c>
      <c r="AU3316" s="2">
        <v>2015.7918654958401</v>
      </c>
      <c r="AV3316" s="2">
        <v>3121.1910413577202</v>
      </c>
      <c r="AW3316" s="2">
        <v>2618.4643876290602</v>
      </c>
      <c r="AX3316" s="2">
        <v>3487.04476936625</v>
      </c>
    </row>
    <row r="3317" spans="1:50" x14ac:dyDescent="0.25">
      <c r="A3317" s="2" t="s">
        <v>22069</v>
      </c>
      <c r="B3317" s="2">
        <v>327.126987876096</v>
      </c>
      <c r="C3317" s="2">
        <v>12.1956333333333</v>
      </c>
      <c r="D3317" s="2" t="s">
        <v>51</v>
      </c>
      <c r="E3317" s="2" t="s">
        <v>22070</v>
      </c>
      <c r="F3317" s="2">
        <v>82825</v>
      </c>
      <c r="G3317" s="3" t="str">
        <f>HYPERLINK("https://cloud.oebiotech.com/#/lm/network/82825", "https://cloud.oebiotech.com/#/lm/network/82825")</f>
        <v>https://cloud.oebiotech.com/#/lm/network/82825</v>
      </c>
      <c r="H3317" s="2" t="s">
        <v>22071</v>
      </c>
      <c r="I3317" s="2"/>
      <c r="J3317" s="2"/>
      <c r="K3317" s="2">
        <v>71549171</v>
      </c>
      <c r="L3317" s="2"/>
      <c r="M3317" s="2"/>
      <c r="N3317" s="2"/>
      <c r="O3317" s="2"/>
      <c r="P3317" s="2"/>
      <c r="Q3317" s="2"/>
      <c r="R3317" s="2"/>
      <c r="S3317" s="2" t="s">
        <v>22072</v>
      </c>
      <c r="T3317" s="2" t="s">
        <v>22073</v>
      </c>
      <c r="U3317" s="2" t="s">
        <v>266</v>
      </c>
      <c r="V3317" s="2" t="s">
        <v>4415</v>
      </c>
      <c r="W3317" s="2" t="s">
        <v>240</v>
      </c>
      <c r="X3317" s="2" t="s">
        <v>147</v>
      </c>
      <c r="Y3317" s="2">
        <v>37.5</v>
      </c>
      <c r="Z3317" s="2">
        <v>0</v>
      </c>
      <c r="AA3317" s="2" t="s">
        <v>163</v>
      </c>
      <c r="AB3317" s="2" t="s">
        <v>22074</v>
      </c>
      <c r="AC3317" s="2">
        <v>-4.6260485628913202</v>
      </c>
      <c r="AD3317" s="2"/>
      <c r="AE3317" s="2">
        <v>0.172473057281961</v>
      </c>
      <c r="AF3317" s="2">
        <v>6797.3459717673604</v>
      </c>
      <c r="AG3317" s="2">
        <v>12492.7294390389</v>
      </c>
      <c r="AH3317" s="4">
        <v>0.54410415313455396</v>
      </c>
      <c r="AI3317" s="4">
        <v>-0.87804525438932801</v>
      </c>
      <c r="AJ3317" s="4" t="s">
        <v>62</v>
      </c>
      <c r="AK3317" s="2">
        <v>0.427615805706347</v>
      </c>
      <c r="AL3317" s="2">
        <v>0.68606977764313104</v>
      </c>
      <c r="AM3317" s="2">
        <v>16368.959987272599</v>
      </c>
      <c r="AN3317" s="2">
        <v>3992.4175416019302</v>
      </c>
      <c r="AO3317" s="2">
        <v>4921.2816108035504</v>
      </c>
      <c r="AP3317" s="2">
        <v>3459.27140677331</v>
      </c>
      <c r="AQ3317" s="2">
        <v>6581.7573182370697</v>
      </c>
      <c r="AR3317" s="2">
        <v>5460.3879659157201</v>
      </c>
      <c r="AS3317" s="2">
        <v>3597.0311130923601</v>
      </c>
      <c r="AT3317" s="2">
        <v>4591.5574742768804</v>
      </c>
      <c r="AU3317" s="2">
        <v>45039.310535358301</v>
      </c>
      <c r="AV3317" s="2">
        <v>7882.3506241765699</v>
      </c>
      <c r="AW3317" s="2">
        <v>10333.9200534719</v>
      </c>
      <c r="AX3317" s="2">
        <v>3512.2068338573499</v>
      </c>
    </row>
    <row r="3318" spans="1:50" x14ac:dyDescent="0.25">
      <c r="A3318" s="2" t="s">
        <v>22075</v>
      </c>
      <c r="B3318" s="2">
        <v>411.20309638630403</v>
      </c>
      <c r="C3318" s="2">
        <v>9.5006666666666693</v>
      </c>
      <c r="D3318" s="2" t="s">
        <v>51</v>
      </c>
      <c r="E3318" s="2" t="s">
        <v>22076</v>
      </c>
      <c r="F3318" s="2">
        <v>210265</v>
      </c>
      <c r="G3318" s="3" t="str">
        <f>HYPERLINK("https://cloud.oebiotech.com/#/lm/network/210265", "https://cloud.oebiotech.com/#/lm/network/210265")</f>
        <v>https://cloud.oebiotech.com/#/lm/network/210265</v>
      </c>
      <c r="H3318" s="2" t="s">
        <v>22077</v>
      </c>
      <c r="I3318" s="2">
        <v>69458</v>
      </c>
      <c r="J3318" s="2"/>
      <c r="K3318" s="2">
        <v>72060</v>
      </c>
      <c r="L3318" s="2" t="s">
        <v>22078</v>
      </c>
      <c r="M3318" s="2"/>
      <c r="N3318" s="2"/>
      <c r="O3318" s="2"/>
      <c r="P3318" s="2"/>
      <c r="Q3318" s="2"/>
      <c r="R3318" s="2" t="s">
        <v>22079</v>
      </c>
      <c r="S3318" s="2" t="s">
        <v>22080</v>
      </c>
      <c r="T3318" s="2" t="s">
        <v>22081</v>
      </c>
      <c r="U3318" s="2" t="s">
        <v>610</v>
      </c>
      <c r="V3318" s="2" t="s">
        <v>611</v>
      </c>
      <c r="W3318" s="2" t="s">
        <v>2744</v>
      </c>
      <c r="X3318" s="2" t="s">
        <v>147</v>
      </c>
      <c r="Y3318" s="2">
        <v>39.299999999999997</v>
      </c>
      <c r="Z3318" s="2">
        <v>0</v>
      </c>
      <c r="AA3318" s="2" t="s">
        <v>478</v>
      </c>
      <c r="AB3318" s="2" t="s">
        <v>22082</v>
      </c>
      <c r="AC3318" s="2">
        <v>-1.6558922596519201</v>
      </c>
      <c r="AD3318" s="2"/>
      <c r="AE3318" s="2">
        <v>0.17239836975596301</v>
      </c>
      <c r="AF3318" s="2">
        <v>2597.2102737687601</v>
      </c>
      <c r="AG3318" s="2">
        <v>1237.44670398475</v>
      </c>
      <c r="AH3318" s="5">
        <v>2.0988461688130702</v>
      </c>
      <c r="AI3318" s="5">
        <v>1.0695964307447201</v>
      </c>
      <c r="AJ3318" s="5" t="s">
        <v>139</v>
      </c>
      <c r="AK3318" s="2">
        <v>0.13350647103034499</v>
      </c>
      <c r="AL3318" s="2">
        <v>0.45370802433151702</v>
      </c>
      <c r="AM3318" s="2">
        <v>1600.2444532670499</v>
      </c>
      <c r="AN3318" s="2">
        <v>2733.44720556317</v>
      </c>
      <c r="AO3318" s="2">
        <v>2256.3828227109102</v>
      </c>
      <c r="AP3318" s="2">
        <v>5032.4079563520199</v>
      </c>
      <c r="AQ3318" s="2">
        <v>854.99407750023704</v>
      </c>
      <c r="AR3318" s="2">
        <v>3105.7851272191601</v>
      </c>
      <c r="AS3318" s="2">
        <v>2093.6292877744199</v>
      </c>
      <c r="AT3318" s="2">
        <v>3653.65269262734</v>
      </c>
      <c r="AU3318" s="2">
        <v>8.559877937157E-6</v>
      </c>
      <c r="AV3318" s="2">
        <v>8.559877937157E-6</v>
      </c>
      <c r="AW3318" s="2">
        <v>1336.0504191305599</v>
      </c>
      <c r="AX3318" s="2">
        <v>341.34780725642503</v>
      </c>
    </row>
    <row r="3319" spans="1:50" x14ac:dyDescent="0.25">
      <c r="A3319" s="2" t="s">
        <v>22083</v>
      </c>
      <c r="B3319" s="2">
        <v>260.03555452299901</v>
      </c>
      <c r="C3319" s="2">
        <v>1.0339</v>
      </c>
      <c r="D3319" s="2" t="s">
        <v>51</v>
      </c>
      <c r="E3319" s="2" t="s">
        <v>22084</v>
      </c>
      <c r="F3319" s="2">
        <v>212058</v>
      </c>
      <c r="G3319" s="3" t="str">
        <f>HYPERLINK("https://cloud.oebiotech.com/#/lm/network/212058", "https://cloud.oebiotech.com/#/lm/network/212058")</f>
        <v>https://cloud.oebiotech.com/#/lm/network/212058</v>
      </c>
      <c r="H3319" s="2" t="s">
        <v>22085</v>
      </c>
      <c r="I3319" s="2">
        <v>314968</v>
      </c>
      <c r="J3319" s="2"/>
      <c r="K3319" s="2">
        <v>11033</v>
      </c>
      <c r="L3319" s="2"/>
      <c r="M3319" s="2"/>
      <c r="N3319" s="2"/>
      <c r="O3319" s="2"/>
      <c r="P3319" s="2"/>
      <c r="Q3319" s="2"/>
      <c r="R3319" s="2"/>
      <c r="S3319" s="2" t="s">
        <v>22086</v>
      </c>
      <c r="T3319" s="2" t="s">
        <v>22087</v>
      </c>
      <c r="U3319" s="2" t="s">
        <v>610</v>
      </c>
      <c r="V3319" s="2" t="s">
        <v>611</v>
      </c>
      <c r="W3319" s="2" t="s">
        <v>5656</v>
      </c>
      <c r="X3319" s="2" t="s">
        <v>147</v>
      </c>
      <c r="Y3319" s="2">
        <v>36.299999999999997</v>
      </c>
      <c r="Z3319" s="2">
        <v>0</v>
      </c>
      <c r="AA3319" s="2" t="s">
        <v>218</v>
      </c>
      <c r="AB3319" s="2" t="s">
        <v>22088</v>
      </c>
      <c r="AC3319" s="2">
        <v>4.1364672763061296</v>
      </c>
      <c r="AD3319" s="2"/>
      <c r="AE3319" s="2">
        <v>0.17239579749702699</v>
      </c>
      <c r="AF3319" s="2">
        <v>2841.0977810449799</v>
      </c>
      <c r="AG3319" s="2">
        <v>1916.15205030895</v>
      </c>
      <c r="AH3319" s="5">
        <v>1.4827099867084701</v>
      </c>
      <c r="AI3319" s="5">
        <v>0.56823643888914599</v>
      </c>
      <c r="AJ3319" s="5" t="s">
        <v>139</v>
      </c>
      <c r="AK3319" s="2">
        <v>0.24649630908259501</v>
      </c>
      <c r="AL3319" s="2">
        <v>0.57119796911972998</v>
      </c>
      <c r="AM3319" s="2">
        <v>5625.8375821730197</v>
      </c>
      <c r="AN3319" s="2">
        <v>773.47162884812803</v>
      </c>
      <c r="AO3319" s="2">
        <v>3003.0791773829801</v>
      </c>
      <c r="AP3319" s="2">
        <v>3505.4803632497901</v>
      </c>
      <c r="AQ3319" s="2">
        <v>2896.3747773708201</v>
      </c>
      <c r="AR3319" s="2">
        <v>1242.34315724516</v>
      </c>
      <c r="AS3319" s="2">
        <v>1083.64774053925</v>
      </c>
      <c r="AT3319" s="2">
        <v>2589.6718917049998</v>
      </c>
      <c r="AU3319" s="2">
        <v>2500.2625814028502</v>
      </c>
      <c r="AV3319" s="2">
        <v>2243.7509180310499</v>
      </c>
      <c r="AW3319" s="2">
        <v>1504.5972764038499</v>
      </c>
      <c r="AX3319" s="2">
        <v>1574.9818937717</v>
      </c>
    </row>
    <row r="3320" spans="1:50" x14ac:dyDescent="0.25">
      <c r="A3320" s="2" t="s">
        <v>22089</v>
      </c>
      <c r="B3320" s="2">
        <v>295.18910836419099</v>
      </c>
      <c r="C3320" s="2">
        <v>12.1956333333333</v>
      </c>
      <c r="D3320" s="2" t="s">
        <v>51</v>
      </c>
      <c r="E3320" s="2" t="s">
        <v>22090</v>
      </c>
      <c r="F3320" s="2">
        <v>256178</v>
      </c>
      <c r="G3320" s="3" t="str">
        <f>HYPERLINK("https://cloud.oebiotech.com/#/lm/network/256178", "https://cloud.oebiotech.com/#/lm/network/256178")</f>
        <v>https://cloud.oebiotech.com/#/lm/network/256178</v>
      </c>
      <c r="H3320" s="2" t="s">
        <v>22091</v>
      </c>
      <c r="I3320" s="2"/>
      <c r="J3320" s="2"/>
      <c r="K3320" s="2">
        <v>61223</v>
      </c>
      <c r="L3320" s="2"/>
      <c r="M3320" s="2"/>
      <c r="N3320" s="2"/>
      <c r="O3320" s="2"/>
      <c r="P3320" s="2"/>
      <c r="Q3320" s="2"/>
      <c r="R3320" s="2"/>
      <c r="S3320" s="2" t="s">
        <v>22092</v>
      </c>
      <c r="T3320" s="2" t="s">
        <v>22093</v>
      </c>
      <c r="U3320" s="2" t="s">
        <v>56</v>
      </c>
      <c r="V3320" s="2" t="s">
        <v>145</v>
      </c>
      <c r="W3320" s="2" t="s">
        <v>231</v>
      </c>
      <c r="X3320" s="2" t="s">
        <v>147</v>
      </c>
      <c r="Y3320" s="2">
        <v>39.299999999999997</v>
      </c>
      <c r="Z3320" s="2">
        <v>0</v>
      </c>
      <c r="AA3320" s="2" t="s">
        <v>218</v>
      </c>
      <c r="AB3320" s="2" t="s">
        <v>22094</v>
      </c>
      <c r="AC3320" s="2">
        <v>0.12433819235158799</v>
      </c>
      <c r="AD3320" s="2"/>
      <c r="AE3320" s="2">
        <v>0.172306595649029</v>
      </c>
      <c r="AF3320" s="2">
        <v>2712.6046984346999</v>
      </c>
      <c r="AG3320" s="2">
        <v>5455.74855871195</v>
      </c>
      <c r="AH3320" s="4">
        <v>0.49720119416117697</v>
      </c>
      <c r="AI3320" s="4">
        <v>-1.0080983334761699</v>
      </c>
      <c r="AJ3320" s="4" t="s">
        <v>62</v>
      </c>
      <c r="AK3320" s="2">
        <v>0.27223135664129799</v>
      </c>
      <c r="AL3320" s="2">
        <v>0.59187658046137204</v>
      </c>
      <c r="AM3320" s="2">
        <v>5957.5758337330299</v>
      </c>
      <c r="AN3320" s="2">
        <v>1204.6771242001601</v>
      </c>
      <c r="AO3320" s="2">
        <v>2024.93842724607</v>
      </c>
      <c r="AP3320" s="2">
        <v>1452.73140587169</v>
      </c>
      <c r="AQ3320" s="2">
        <v>3224.65785992358</v>
      </c>
      <c r="AR3320" s="2">
        <v>2411.0475396336701</v>
      </c>
      <c r="AS3320" s="2">
        <v>1588.8848046159801</v>
      </c>
      <c r="AT3320" s="2">
        <v>2330.6311029552498</v>
      </c>
      <c r="AU3320" s="2">
        <v>16269.6443067902</v>
      </c>
      <c r="AV3320" s="2">
        <v>5397.2878358877697</v>
      </c>
      <c r="AW3320" s="2">
        <v>4846.1645336085503</v>
      </c>
      <c r="AX3320" s="2">
        <v>2301.8787684139402</v>
      </c>
    </row>
    <row r="3321" spans="1:50" x14ac:dyDescent="0.25">
      <c r="A3321" s="2" t="s">
        <v>22095</v>
      </c>
      <c r="B3321" s="2">
        <v>235.09236282691799</v>
      </c>
      <c r="C3321" s="2">
        <v>5.0586333333333302</v>
      </c>
      <c r="D3321" s="2" t="s">
        <v>51</v>
      </c>
      <c r="E3321" s="2" t="s">
        <v>22096</v>
      </c>
      <c r="F3321" s="2">
        <v>54068</v>
      </c>
      <c r="G3321" s="3" t="str">
        <f>HYPERLINK("https://cloud.oebiotech.com/#/lm/network/54068", "https://cloud.oebiotech.com/#/lm/network/54068")</f>
        <v>https://cloud.oebiotech.com/#/lm/network/54068</v>
      </c>
      <c r="H3321" s="2" t="s">
        <v>22097</v>
      </c>
      <c r="I3321" s="2">
        <v>23653</v>
      </c>
      <c r="J3321" s="2"/>
      <c r="K3321" s="2">
        <v>7016067</v>
      </c>
      <c r="L3321" s="2"/>
      <c r="M3321" s="2"/>
      <c r="N3321" s="2"/>
      <c r="O3321" s="2">
        <v>74854</v>
      </c>
      <c r="P3321" s="2"/>
      <c r="Q3321" s="2"/>
      <c r="R3321" s="2" t="s">
        <v>22098</v>
      </c>
      <c r="S3321" s="2" t="s">
        <v>22099</v>
      </c>
      <c r="T3321" s="2" t="s">
        <v>22100</v>
      </c>
      <c r="U3321" s="2" t="s">
        <v>103</v>
      </c>
      <c r="V3321" s="2" t="s">
        <v>104</v>
      </c>
      <c r="W3321" s="2" t="s">
        <v>105</v>
      </c>
      <c r="X3321" s="2" t="s">
        <v>147</v>
      </c>
      <c r="Y3321" s="2">
        <v>46.1</v>
      </c>
      <c r="Z3321" s="2">
        <v>35.6</v>
      </c>
      <c r="AA3321" s="2" t="s">
        <v>259</v>
      </c>
      <c r="AB3321" s="2" t="s">
        <v>22101</v>
      </c>
      <c r="AC3321" s="2">
        <v>-0.42625944872258997</v>
      </c>
      <c r="AD3321" s="2"/>
      <c r="AE3321" s="2">
        <v>0.17229510595310801</v>
      </c>
      <c r="AF3321" s="2">
        <v>5143.9959350675299</v>
      </c>
      <c r="AG3321" s="2">
        <v>3914.4177439691798</v>
      </c>
      <c r="AH3321" s="5">
        <v>1.3141152200714199</v>
      </c>
      <c r="AI3321" s="5">
        <v>0.39409177500432202</v>
      </c>
      <c r="AJ3321" s="5" t="s">
        <v>139</v>
      </c>
      <c r="AK3321" s="2">
        <v>0.24034492375452901</v>
      </c>
      <c r="AL3321" s="2">
        <v>0.56463581304765598</v>
      </c>
      <c r="AM3321" s="2">
        <v>4592.7096042274297</v>
      </c>
      <c r="AN3321" s="2">
        <v>8718.0341031165699</v>
      </c>
      <c r="AO3321" s="2">
        <v>3450.3056272326799</v>
      </c>
      <c r="AP3321" s="2">
        <v>4295.4486852304099</v>
      </c>
      <c r="AQ3321" s="2">
        <v>4251.7534903817104</v>
      </c>
      <c r="AR3321" s="2">
        <v>5555.7241002163701</v>
      </c>
      <c r="AS3321" s="2">
        <v>5251.2066404932402</v>
      </c>
      <c r="AT3321" s="2">
        <v>2597.3422600136</v>
      </c>
      <c r="AU3321" s="2">
        <v>5870.7748795197804</v>
      </c>
      <c r="AV3321" s="2">
        <v>1907.18018702311</v>
      </c>
      <c r="AW3321" s="2">
        <v>3712.1518086792398</v>
      </c>
      <c r="AX3321" s="2">
        <v>4147.8506880861296</v>
      </c>
    </row>
    <row r="3322" spans="1:50" x14ac:dyDescent="0.25">
      <c r="A3322" s="2" t="s">
        <v>22102</v>
      </c>
      <c r="B3322" s="2">
        <v>239.091638320914</v>
      </c>
      <c r="C3322" s="2">
        <v>6.1322666666666699</v>
      </c>
      <c r="D3322" s="2" t="s">
        <v>51</v>
      </c>
      <c r="E3322" s="2" t="s">
        <v>22103</v>
      </c>
      <c r="F3322" s="2">
        <v>81959</v>
      </c>
      <c r="G3322" s="3" t="str">
        <f>HYPERLINK("https://cloud.oebiotech.com/#/lm/network/81959", "https://cloud.oebiotech.com/#/lm/network/81959")</f>
        <v>https://cloud.oebiotech.com/#/lm/network/81959</v>
      </c>
      <c r="H3322" s="2" t="s">
        <v>22104</v>
      </c>
      <c r="I3322" s="2"/>
      <c r="J3322" s="2"/>
      <c r="K3322" s="2">
        <v>55250550</v>
      </c>
      <c r="L3322" s="2"/>
      <c r="M3322" s="2"/>
      <c r="N3322" s="2"/>
      <c r="O3322" s="2"/>
      <c r="P3322" s="2"/>
      <c r="Q3322" s="2"/>
      <c r="R3322" s="2"/>
      <c r="S3322" s="2" t="s">
        <v>22105</v>
      </c>
      <c r="T3322" s="2" t="s">
        <v>22106</v>
      </c>
      <c r="U3322" s="2" t="s">
        <v>610</v>
      </c>
      <c r="V3322" s="2" t="s">
        <v>611</v>
      </c>
      <c r="W3322" s="2" t="s">
        <v>6372</v>
      </c>
      <c r="X3322" s="2" t="s">
        <v>83</v>
      </c>
      <c r="Y3322" s="2">
        <v>43.4</v>
      </c>
      <c r="Z3322" s="2">
        <v>0</v>
      </c>
      <c r="AA3322" s="2" t="s">
        <v>218</v>
      </c>
      <c r="AB3322" s="2" t="s">
        <v>2402</v>
      </c>
      <c r="AC3322" s="2">
        <v>-4.4249458704658498</v>
      </c>
      <c r="AD3322" s="2"/>
      <c r="AE3322" s="2">
        <v>0.17202420825979201</v>
      </c>
      <c r="AF3322" s="2">
        <v>2825.8266371361701</v>
      </c>
      <c r="AG3322" s="2">
        <v>3668.0098780787098</v>
      </c>
      <c r="AH3322" s="4">
        <v>0.77039777183378799</v>
      </c>
      <c r="AI3322" s="4">
        <v>-0.376324564303332</v>
      </c>
      <c r="AJ3322" s="4" t="s">
        <v>62</v>
      </c>
      <c r="AK3322" s="2">
        <v>1.4047405417284499E-2</v>
      </c>
      <c r="AL3322" s="2">
        <v>0.18868652932673799</v>
      </c>
      <c r="AM3322" s="2">
        <v>2896.64708089639</v>
      </c>
      <c r="AN3322" s="2">
        <v>2982.9302624639799</v>
      </c>
      <c r="AO3322" s="2">
        <v>2441.1283198823498</v>
      </c>
      <c r="AP3322" s="2">
        <v>2682.6106486160402</v>
      </c>
      <c r="AQ3322" s="2">
        <v>2705.5018726569201</v>
      </c>
      <c r="AR3322" s="2">
        <v>3246.1416383013202</v>
      </c>
      <c r="AS3322" s="2">
        <v>3628.2558875715599</v>
      </c>
      <c r="AT3322" s="2">
        <v>4318.9566309675101</v>
      </c>
      <c r="AU3322" s="2">
        <v>3398.6381861200298</v>
      </c>
      <c r="AV3322" s="2">
        <v>4354.8843916435499</v>
      </c>
      <c r="AW3322" s="2">
        <v>2641.6891884394799</v>
      </c>
      <c r="AX3322" s="2">
        <v>3665.63498373015</v>
      </c>
    </row>
    <row r="3323" spans="1:50" x14ac:dyDescent="0.25">
      <c r="A3323" s="2" t="s">
        <v>22107</v>
      </c>
      <c r="B3323" s="2">
        <v>123.11728304717199</v>
      </c>
      <c r="C3323" s="2">
        <v>10.4500166666667</v>
      </c>
      <c r="D3323" s="2" t="s">
        <v>51</v>
      </c>
      <c r="E3323" s="2" t="s">
        <v>22108</v>
      </c>
      <c r="F3323" s="2">
        <v>6508</v>
      </c>
      <c r="G3323" s="3" t="str">
        <f>HYPERLINK("https://cloud.oebiotech.com/#/lm/network/6508", "https://cloud.oebiotech.com/#/lm/network/6508")</f>
        <v>https://cloud.oebiotech.com/#/lm/network/6508</v>
      </c>
      <c r="H3323" s="2" t="s">
        <v>22109</v>
      </c>
      <c r="I3323" s="2">
        <v>75322</v>
      </c>
      <c r="J3323" s="2" t="s">
        <v>22110</v>
      </c>
      <c r="K3323" s="2">
        <v>5283337</v>
      </c>
      <c r="L3323" s="2"/>
      <c r="M3323" s="2"/>
      <c r="N3323" s="2"/>
      <c r="O3323" s="2"/>
      <c r="P3323" s="2"/>
      <c r="Q3323" s="2"/>
      <c r="R3323" s="2" t="s">
        <v>22111</v>
      </c>
      <c r="S3323" s="2" t="s">
        <v>22112</v>
      </c>
      <c r="T3323" s="2" t="s">
        <v>22113</v>
      </c>
      <c r="U3323" s="2" t="s">
        <v>331</v>
      </c>
      <c r="V3323" s="2" t="s">
        <v>332</v>
      </c>
      <c r="W3323" s="2" t="s">
        <v>1207</v>
      </c>
      <c r="X3323" s="2" t="s">
        <v>83</v>
      </c>
      <c r="Y3323" s="2">
        <v>40.299999999999997</v>
      </c>
      <c r="Z3323" s="2">
        <v>0</v>
      </c>
      <c r="AA3323" s="2" t="s">
        <v>156</v>
      </c>
      <c r="AB3323" s="2" t="s">
        <v>18750</v>
      </c>
      <c r="AC3323" s="2">
        <v>3.25552466971968</v>
      </c>
      <c r="AD3323" s="2"/>
      <c r="AE3323" s="2">
        <v>0.172018882822293</v>
      </c>
      <c r="AF3323" s="2">
        <v>3573.66817873644</v>
      </c>
      <c r="AG3323" s="2">
        <v>2245.86579424413</v>
      </c>
      <c r="AH3323" s="5">
        <v>1.5912207167032399</v>
      </c>
      <c r="AI3323" s="5">
        <v>0.67013396439796202</v>
      </c>
      <c r="AJ3323" s="5" t="s">
        <v>139</v>
      </c>
      <c r="AK3323" s="2">
        <v>0.13854707232632099</v>
      </c>
      <c r="AL3323" s="2">
        <v>0.45923352345858398</v>
      </c>
      <c r="AM3323" s="2">
        <v>2304.86716627744</v>
      </c>
      <c r="AN3323" s="2">
        <v>2419.0133079145098</v>
      </c>
      <c r="AO3323" s="2">
        <v>4878.3099649251699</v>
      </c>
      <c r="AP3323" s="2">
        <v>2627.3241237912898</v>
      </c>
      <c r="AQ3323" s="2">
        <v>6958.0230004261102</v>
      </c>
      <c r="AR3323" s="2">
        <v>2254.47150908409</v>
      </c>
      <c r="AS3323" s="2">
        <v>3175.6719538556899</v>
      </c>
      <c r="AT3323" s="2">
        <v>2077.3572093891498</v>
      </c>
      <c r="AU3323" s="2">
        <v>2615.5930410749002</v>
      </c>
      <c r="AV3323" s="2">
        <v>1616.07154286488</v>
      </c>
      <c r="AW3323" s="2">
        <v>2246.7260844369498</v>
      </c>
      <c r="AX3323" s="2">
        <v>1743.7749338432</v>
      </c>
    </row>
    <row r="3324" spans="1:50" x14ac:dyDescent="0.25">
      <c r="A3324" s="2" t="s">
        <v>22114</v>
      </c>
      <c r="B3324" s="2">
        <v>257.17390341664401</v>
      </c>
      <c r="C3324" s="2">
        <v>7.0755166666666698</v>
      </c>
      <c r="D3324" s="2" t="s">
        <v>51</v>
      </c>
      <c r="E3324" s="2" t="s">
        <v>22115</v>
      </c>
      <c r="F3324" s="2">
        <v>2905</v>
      </c>
      <c r="G3324" s="3" t="str">
        <f>HYPERLINK("https://cloud.oebiotech.com/#/lm/network/2905", "https://cloud.oebiotech.com/#/lm/network/2905")</f>
        <v>https://cloud.oebiotech.com/#/lm/network/2905</v>
      </c>
      <c r="H3324" s="2" t="s">
        <v>22116</v>
      </c>
      <c r="I3324" s="2">
        <v>5383</v>
      </c>
      <c r="J3324" s="2" t="s">
        <v>22117</v>
      </c>
      <c r="K3324" s="2">
        <v>20848956</v>
      </c>
      <c r="L3324" s="2"/>
      <c r="M3324" s="2"/>
      <c r="N3324" s="2"/>
      <c r="O3324" s="2"/>
      <c r="P3324" s="2"/>
      <c r="Q3324" s="2"/>
      <c r="R3324" s="2" t="s">
        <v>22118</v>
      </c>
      <c r="S3324" s="2" t="s">
        <v>22119</v>
      </c>
      <c r="T3324" s="2" t="s">
        <v>22120</v>
      </c>
      <c r="U3324" s="2" t="s">
        <v>56</v>
      </c>
      <c r="V3324" s="2" t="s">
        <v>145</v>
      </c>
      <c r="W3324" s="2" t="s">
        <v>231</v>
      </c>
      <c r="X3324" s="2" t="s">
        <v>83</v>
      </c>
      <c r="Y3324" s="2">
        <v>39.5</v>
      </c>
      <c r="Z3324" s="2">
        <v>0</v>
      </c>
      <c r="AA3324" s="2" t="s">
        <v>156</v>
      </c>
      <c r="AB3324" s="2" t="s">
        <v>22121</v>
      </c>
      <c r="AC3324" s="2">
        <v>-3.0354911899094601</v>
      </c>
      <c r="AD3324" s="2"/>
      <c r="AE3324" s="2">
        <v>0.17198582529131901</v>
      </c>
      <c r="AF3324" s="2">
        <v>2246.1031783049202</v>
      </c>
      <c r="AG3324" s="2">
        <v>1589.90338455349</v>
      </c>
      <c r="AH3324" s="5">
        <v>1.4127293520641899</v>
      </c>
      <c r="AI3324" s="5">
        <v>0.498485103439406</v>
      </c>
      <c r="AJ3324" s="5" t="s">
        <v>139</v>
      </c>
      <c r="AK3324" s="2">
        <v>4.1794559061072399E-2</v>
      </c>
      <c r="AL3324" s="2">
        <v>0.29293759539812297</v>
      </c>
      <c r="AM3324" s="2">
        <v>2960.0255916953001</v>
      </c>
      <c r="AN3324" s="2">
        <v>2054.7351253860502</v>
      </c>
      <c r="AO3324" s="2">
        <v>1995.6629519939499</v>
      </c>
      <c r="AP3324" s="2">
        <v>2425.5397458955199</v>
      </c>
      <c r="AQ3324" s="2">
        <v>2250.0620683342499</v>
      </c>
      <c r="AR3324" s="2">
        <v>1790.5935865244201</v>
      </c>
      <c r="AS3324" s="2">
        <v>1538.09067920546</v>
      </c>
      <c r="AT3324" s="2">
        <v>2287.6885883162199</v>
      </c>
      <c r="AU3324" s="2">
        <v>1910.1154046747199</v>
      </c>
      <c r="AV3324" s="2">
        <v>1048.83070161154</v>
      </c>
      <c r="AW3324" s="2">
        <v>1900.89883050804</v>
      </c>
      <c r="AX3324" s="2">
        <v>853.79610300495904</v>
      </c>
    </row>
    <row r="3325" spans="1:50" x14ac:dyDescent="0.25">
      <c r="A3325" s="2" t="s">
        <v>22122</v>
      </c>
      <c r="B3325" s="2">
        <v>215.128377862251</v>
      </c>
      <c r="C3325" s="2">
        <v>5.4735666666666702</v>
      </c>
      <c r="D3325" s="2" t="s">
        <v>51</v>
      </c>
      <c r="E3325" s="2" t="s">
        <v>22123</v>
      </c>
      <c r="F3325" s="2">
        <v>60672</v>
      </c>
      <c r="G3325" s="3" t="str">
        <f>HYPERLINK("https://cloud.oebiotech.com/#/lm/network/60672", "https://cloud.oebiotech.com/#/lm/network/60672")</f>
        <v>https://cloud.oebiotech.com/#/lm/network/60672</v>
      </c>
      <c r="H3325" s="2" t="s">
        <v>22124</v>
      </c>
      <c r="I3325" s="2">
        <v>92004</v>
      </c>
      <c r="J3325" s="2"/>
      <c r="K3325" s="2">
        <v>300085</v>
      </c>
      <c r="L3325" s="2"/>
      <c r="M3325" s="2"/>
      <c r="N3325" s="2"/>
      <c r="O3325" s="2"/>
      <c r="P3325" s="2"/>
      <c r="Q3325" s="2"/>
      <c r="R3325" s="2" t="s">
        <v>22125</v>
      </c>
      <c r="S3325" s="2" t="s">
        <v>22126</v>
      </c>
      <c r="T3325" s="2" t="s">
        <v>22127</v>
      </c>
      <c r="U3325" s="2" t="s">
        <v>56</v>
      </c>
      <c r="V3325" s="2" t="s">
        <v>177</v>
      </c>
      <c r="W3325" s="2" t="s">
        <v>584</v>
      </c>
      <c r="X3325" s="2" t="s">
        <v>83</v>
      </c>
      <c r="Y3325" s="2">
        <v>41.5</v>
      </c>
      <c r="Z3325" s="2">
        <v>4.7</v>
      </c>
      <c r="AA3325" s="2" t="s">
        <v>218</v>
      </c>
      <c r="AB3325" s="2" t="s">
        <v>22128</v>
      </c>
      <c r="AC3325" s="2">
        <v>-2.9672727440019102</v>
      </c>
      <c r="AD3325" s="2"/>
      <c r="AE3325" s="2">
        <v>0.17174474160136499</v>
      </c>
      <c r="AF3325" s="2">
        <v>1654.1469745136701</v>
      </c>
      <c r="AG3325" s="2">
        <v>933.36663143513601</v>
      </c>
      <c r="AH3325" s="5">
        <v>1.77223710255237</v>
      </c>
      <c r="AI3325" s="5">
        <v>0.82557163086437901</v>
      </c>
      <c r="AJ3325" s="5" t="s">
        <v>139</v>
      </c>
      <c r="AK3325" s="2">
        <v>5.2461552281664103E-2</v>
      </c>
      <c r="AL3325" s="2">
        <v>0.31653622285434502</v>
      </c>
      <c r="AM3325" s="2">
        <v>2425.0049629476898</v>
      </c>
      <c r="AN3325" s="2">
        <v>2410.8225541826901</v>
      </c>
      <c r="AO3325" s="2">
        <v>1460.4774927333799</v>
      </c>
      <c r="AP3325" s="2">
        <v>940.68232047609399</v>
      </c>
      <c r="AQ3325" s="2">
        <v>994.57350549639796</v>
      </c>
      <c r="AR3325" s="2">
        <v>1693.32101124579</v>
      </c>
      <c r="AS3325" s="2">
        <v>1505.6446856775899</v>
      </c>
      <c r="AT3325" s="2">
        <v>571.84971132124099</v>
      </c>
      <c r="AU3325" s="2">
        <v>827.44096647384401</v>
      </c>
      <c r="AV3325" s="2">
        <v>374.083817734577</v>
      </c>
      <c r="AW3325" s="2">
        <v>856.04083758173704</v>
      </c>
      <c r="AX3325" s="2">
        <v>1465.13976982183</v>
      </c>
    </row>
    <row r="3326" spans="1:50" x14ac:dyDescent="0.25">
      <c r="A3326" s="2" t="s">
        <v>22129</v>
      </c>
      <c r="B3326" s="2">
        <v>224.979248010969</v>
      </c>
      <c r="C3326" s="2">
        <v>0.74113333333333298</v>
      </c>
      <c r="D3326" s="2" t="s">
        <v>51</v>
      </c>
      <c r="E3326" s="2" t="s">
        <v>22130</v>
      </c>
      <c r="F3326" s="2">
        <v>212453</v>
      </c>
      <c r="G3326" s="3" t="str">
        <f>HYPERLINK("https://cloud.oebiotech.com/#/lm/network/212453", "https://cloud.oebiotech.com/#/lm/network/212453")</f>
        <v>https://cloud.oebiotech.com/#/lm/network/212453</v>
      </c>
      <c r="H3326" s="2" t="s">
        <v>22131</v>
      </c>
      <c r="I3326" s="2"/>
      <c r="J3326" s="2"/>
      <c r="K3326" s="2">
        <v>19436883</v>
      </c>
      <c r="L3326" s="2"/>
      <c r="M3326" s="2"/>
      <c r="N3326" s="2"/>
      <c r="O3326" s="2"/>
      <c r="P3326" s="2"/>
      <c r="Q3326" s="2"/>
      <c r="R3326" s="2"/>
      <c r="S3326" s="2" t="s">
        <v>22132</v>
      </c>
      <c r="T3326" s="2" t="s">
        <v>22133</v>
      </c>
      <c r="U3326" s="2" t="s">
        <v>266</v>
      </c>
      <c r="V3326" s="2" t="s">
        <v>7754</v>
      </c>
      <c r="W3326" s="2" t="s">
        <v>240</v>
      </c>
      <c r="X3326" s="2" t="s">
        <v>147</v>
      </c>
      <c r="Y3326" s="2">
        <v>39.1</v>
      </c>
      <c r="Z3326" s="2">
        <v>4.0599999999999996</v>
      </c>
      <c r="AA3326" s="2" t="s">
        <v>478</v>
      </c>
      <c r="AB3326" s="2" t="s">
        <v>22134</v>
      </c>
      <c r="AC3326" s="2">
        <v>-2.4116343129070499</v>
      </c>
      <c r="AD3326" s="2"/>
      <c r="AE3326" s="2">
        <v>0.171620225066106</v>
      </c>
      <c r="AF3326" s="2">
        <v>225329.77152425001</v>
      </c>
      <c r="AG3326" s="2">
        <v>191469.63742034</v>
      </c>
      <c r="AH3326" s="5">
        <v>1.1768433604414099</v>
      </c>
      <c r="AI3326" s="5">
        <v>0.234922308351664</v>
      </c>
      <c r="AJ3326" s="5" t="s">
        <v>139</v>
      </c>
      <c r="AK3326" s="2">
        <v>0.65484053531295305</v>
      </c>
      <c r="AL3326" s="2">
        <v>0.83240942988891198</v>
      </c>
      <c r="AM3326" s="2">
        <v>18785.757185674702</v>
      </c>
      <c r="AN3326" s="2">
        <v>380764.69175257703</v>
      </c>
      <c r="AO3326" s="2">
        <v>337041.41220276803</v>
      </c>
      <c r="AP3326" s="2">
        <v>315184.83723160502</v>
      </c>
      <c r="AQ3326" s="2">
        <v>113675.52864006</v>
      </c>
      <c r="AR3326" s="2">
        <v>186526.40213281501</v>
      </c>
      <c r="AS3326" s="2">
        <v>224407.31047846799</v>
      </c>
      <c r="AT3326" s="2">
        <v>144734.37719617199</v>
      </c>
      <c r="AU3326" s="2">
        <v>50194.825922089498</v>
      </c>
      <c r="AV3326" s="2">
        <v>108372.598829729</v>
      </c>
      <c r="AW3326" s="2">
        <v>343597.180417658</v>
      </c>
      <c r="AX3326" s="2">
        <v>277511.53167792101</v>
      </c>
    </row>
    <row r="3327" spans="1:50" x14ac:dyDescent="0.25">
      <c r="A3327" s="2" t="s">
        <v>22135</v>
      </c>
      <c r="B3327" s="2">
        <v>651.31440805854595</v>
      </c>
      <c r="C3327" s="2">
        <v>10.09835</v>
      </c>
      <c r="D3327" s="2" t="s">
        <v>51</v>
      </c>
      <c r="E3327" s="2" t="s">
        <v>22136</v>
      </c>
      <c r="F3327" s="2">
        <v>219733</v>
      </c>
      <c r="G3327" s="3" t="str">
        <f>HYPERLINK("https://cloud.oebiotech.com/#/lm/network/219733", "https://cloud.oebiotech.com/#/lm/network/219733")</f>
        <v>https://cloud.oebiotech.com/#/lm/network/219733</v>
      </c>
      <c r="H3327" s="2" t="s">
        <v>22137</v>
      </c>
      <c r="I3327" s="2"/>
      <c r="J3327" s="2"/>
      <c r="K3327" s="2"/>
      <c r="L3327" s="2"/>
      <c r="M3327" s="2"/>
      <c r="N3327" s="2"/>
      <c r="O3327" s="2"/>
      <c r="P3327" s="2"/>
      <c r="Q3327" s="2"/>
      <c r="R3327" s="2"/>
      <c r="S3327" s="2" t="s">
        <v>22138</v>
      </c>
      <c r="T3327" s="2" t="s">
        <v>22139</v>
      </c>
      <c r="U3327" s="2" t="s">
        <v>56</v>
      </c>
      <c r="V3327" s="2" t="s">
        <v>145</v>
      </c>
      <c r="W3327" s="2" t="s">
        <v>187</v>
      </c>
      <c r="X3327" s="2" t="s">
        <v>147</v>
      </c>
      <c r="Y3327" s="2">
        <v>36.299999999999997</v>
      </c>
      <c r="Z3327" s="2">
        <v>0</v>
      </c>
      <c r="AA3327" s="2" t="s">
        <v>218</v>
      </c>
      <c r="AB3327" s="2" t="s">
        <v>22140</v>
      </c>
      <c r="AC3327" s="2">
        <v>-1.1444381390793701</v>
      </c>
      <c r="AD3327" s="2"/>
      <c r="AE3327" s="2">
        <v>0.17154507184788101</v>
      </c>
      <c r="AF3327" s="2">
        <v>2527.64282640384</v>
      </c>
      <c r="AG3327" s="2">
        <v>3536.33450886131</v>
      </c>
      <c r="AH3327" s="4">
        <v>0.71476349877821399</v>
      </c>
      <c r="AI3327" s="4">
        <v>-0.48446213353012701</v>
      </c>
      <c r="AJ3327" s="4" t="s">
        <v>62</v>
      </c>
      <c r="AK3327" s="2">
        <v>9.0397474696967697E-2</v>
      </c>
      <c r="AL3327" s="2">
        <v>0.386027550791123</v>
      </c>
      <c r="AM3327" s="2">
        <v>1921.32116019111</v>
      </c>
      <c r="AN3327" s="2">
        <v>2676.7575759798601</v>
      </c>
      <c r="AO3327" s="2">
        <v>2661.0569491821998</v>
      </c>
      <c r="AP3327" s="2">
        <v>2001.66338885095</v>
      </c>
      <c r="AQ3327" s="2">
        <v>2542.0902666660199</v>
      </c>
      <c r="AR3327" s="2">
        <v>3362.9676175529298</v>
      </c>
      <c r="AS3327" s="2">
        <v>4418.1682471884296</v>
      </c>
      <c r="AT3327" s="2">
        <v>5114.0905367773003</v>
      </c>
      <c r="AU3327" s="2">
        <v>1858.74135773221</v>
      </c>
      <c r="AV3327" s="2">
        <v>2504.1143594956502</v>
      </c>
      <c r="AW3327" s="2">
        <v>3406.13489842938</v>
      </c>
      <c r="AX3327" s="2">
        <v>3916.7576535448602</v>
      </c>
    </row>
    <row r="3328" spans="1:50" x14ac:dyDescent="0.25">
      <c r="A3328" s="2" t="s">
        <v>22141</v>
      </c>
      <c r="B3328" s="2">
        <v>447.11517682149702</v>
      </c>
      <c r="C3328" s="2">
        <v>4.6271666666666702</v>
      </c>
      <c r="D3328" s="2" t="s">
        <v>51</v>
      </c>
      <c r="E3328" s="2" t="s">
        <v>22142</v>
      </c>
      <c r="F3328" s="2">
        <v>81988</v>
      </c>
      <c r="G3328" s="3" t="str">
        <f>HYPERLINK("https://cloud.oebiotech.com/#/lm/network/81988", "https://cloud.oebiotech.com/#/lm/network/81988")</f>
        <v>https://cloud.oebiotech.com/#/lm/network/81988</v>
      </c>
      <c r="H3328" s="2" t="s">
        <v>22143</v>
      </c>
      <c r="I3328" s="2"/>
      <c r="J3328" s="2"/>
      <c r="K3328" s="2">
        <v>124202073</v>
      </c>
      <c r="L3328" s="2"/>
      <c r="M3328" s="2"/>
      <c r="N3328" s="2"/>
      <c r="O3328" s="2">
        <v>88691</v>
      </c>
      <c r="P3328" s="2"/>
      <c r="Q3328" s="2"/>
      <c r="R3328" s="2"/>
      <c r="S3328" s="2" t="s">
        <v>22144</v>
      </c>
      <c r="T3328" s="2" t="s">
        <v>22145</v>
      </c>
      <c r="U3328" s="2" t="s">
        <v>331</v>
      </c>
      <c r="V3328" s="2" t="s">
        <v>332</v>
      </c>
      <c r="W3328" s="2" t="s">
        <v>333</v>
      </c>
      <c r="X3328" s="2" t="s">
        <v>147</v>
      </c>
      <c r="Y3328" s="2">
        <v>40.799999999999997</v>
      </c>
      <c r="Z3328" s="2">
        <v>9.1300000000000008</v>
      </c>
      <c r="AA3328" s="2" t="s">
        <v>163</v>
      </c>
      <c r="AB3328" s="2" t="s">
        <v>22146</v>
      </c>
      <c r="AC3328" s="2">
        <v>1.7013894938518199</v>
      </c>
      <c r="AD3328" s="2"/>
      <c r="AE3328" s="2">
        <v>0.17150361982183299</v>
      </c>
      <c r="AF3328" s="2">
        <v>25092.882725649</v>
      </c>
      <c r="AG3328" s="2">
        <v>20058.047336598102</v>
      </c>
      <c r="AH3328" s="5">
        <v>1.25101323695973</v>
      </c>
      <c r="AI3328" s="5">
        <v>0.32309705472765199</v>
      </c>
      <c r="AJ3328" s="5" t="s">
        <v>139</v>
      </c>
      <c r="AK3328" s="2">
        <v>0.59423323628296898</v>
      </c>
      <c r="AL3328" s="2">
        <v>0.79530268796482995</v>
      </c>
      <c r="AM3328" s="2">
        <v>9234.8224186554908</v>
      </c>
      <c r="AN3328" s="2">
        <v>28949.553460867301</v>
      </c>
      <c r="AO3328" s="2">
        <v>29445.347481688201</v>
      </c>
      <c r="AP3328" s="2">
        <v>17738.7471621724</v>
      </c>
      <c r="AQ3328" s="2">
        <v>25685.926023229898</v>
      </c>
      <c r="AR3328" s="2">
        <v>39502.899807280803</v>
      </c>
      <c r="AS3328" s="2">
        <v>26872.963083512401</v>
      </c>
      <c r="AT3328" s="2">
        <v>25185.144589506701</v>
      </c>
      <c r="AU3328" s="2">
        <v>6779.2724112722299</v>
      </c>
      <c r="AV3328" s="2">
        <v>3872.5662083471402</v>
      </c>
      <c r="AW3328" s="2">
        <v>3324.8479464226698</v>
      </c>
      <c r="AX3328" s="2">
        <v>54313.489780527401</v>
      </c>
    </row>
    <row r="3329" spans="1:50" x14ac:dyDescent="0.25">
      <c r="A3329" s="2" t="s">
        <v>22147</v>
      </c>
      <c r="B3329" s="2">
        <v>329.24831911329102</v>
      </c>
      <c r="C3329" s="2">
        <v>10.926</v>
      </c>
      <c r="D3329" s="2" t="s">
        <v>51</v>
      </c>
      <c r="E3329" s="2" t="s">
        <v>22148</v>
      </c>
      <c r="F3329" s="2">
        <v>4902</v>
      </c>
      <c r="G3329" s="3" t="str">
        <f>HYPERLINK("https://cloud.oebiotech.com/#/lm/network/4902", "https://cloud.oebiotech.com/#/lm/network/4902")</f>
        <v>https://cloud.oebiotech.com/#/lm/network/4902</v>
      </c>
      <c r="H3329" s="2"/>
      <c r="I3329" s="2"/>
      <c r="J3329" s="2" t="s">
        <v>22149</v>
      </c>
      <c r="K3329" s="2">
        <v>14211702</v>
      </c>
      <c r="L3329" s="2"/>
      <c r="M3329" s="2"/>
      <c r="N3329" s="2"/>
      <c r="O3329" s="2"/>
      <c r="P3329" s="2"/>
      <c r="Q3329" s="2"/>
      <c r="R3329" s="2"/>
      <c r="S3329" s="2" t="s">
        <v>22150</v>
      </c>
      <c r="T3329" s="2" t="s">
        <v>22151</v>
      </c>
      <c r="U3329" s="2" t="s">
        <v>56</v>
      </c>
      <c r="V3329" s="2" t="s">
        <v>145</v>
      </c>
      <c r="W3329" s="2" t="s">
        <v>231</v>
      </c>
      <c r="X3329" s="2" t="s">
        <v>69</v>
      </c>
      <c r="Y3329" s="2">
        <v>67.5</v>
      </c>
      <c r="Z3329" s="2">
        <v>56.9</v>
      </c>
      <c r="AA3329" s="2" t="s">
        <v>156</v>
      </c>
      <c r="AB3329" s="2" t="s">
        <v>7389</v>
      </c>
      <c r="AC3329" s="2">
        <v>2.3463173032740898</v>
      </c>
      <c r="AD3329" s="2"/>
      <c r="AE3329" s="2">
        <v>0.17142548768812499</v>
      </c>
      <c r="AF3329" s="2">
        <v>68282.9630520668</v>
      </c>
      <c r="AG3329" s="2">
        <v>66966.958719813003</v>
      </c>
      <c r="AH3329" s="5">
        <v>1.0196515469331699</v>
      </c>
      <c r="AI3329" s="5">
        <v>2.8076213569924E-2</v>
      </c>
      <c r="AJ3329" s="5" t="s">
        <v>139</v>
      </c>
      <c r="AK3329" s="2">
        <v>0.92891934859440894</v>
      </c>
      <c r="AL3329" s="2">
        <v>0.96975455822138401</v>
      </c>
      <c r="AM3329" s="2">
        <v>97717.295047506806</v>
      </c>
      <c r="AN3329" s="2">
        <v>79899.976430456503</v>
      </c>
      <c r="AO3329" s="2">
        <v>57503.454880507998</v>
      </c>
      <c r="AP3329" s="2">
        <v>43275.247522938203</v>
      </c>
      <c r="AQ3329" s="2">
        <v>69902.818026991095</v>
      </c>
      <c r="AR3329" s="2">
        <v>61398.986403999901</v>
      </c>
      <c r="AS3329" s="2">
        <v>51131.289901234399</v>
      </c>
      <c r="AT3329" s="2">
        <v>27160.131571042701</v>
      </c>
      <c r="AU3329" s="2">
        <v>110982.473495452</v>
      </c>
      <c r="AV3329" s="2">
        <v>70654.539747239702</v>
      </c>
      <c r="AW3329" s="2">
        <v>88227.794253632499</v>
      </c>
      <c r="AX3329" s="2">
        <v>53645.523350276701</v>
      </c>
    </row>
    <row r="3330" spans="1:50" x14ac:dyDescent="0.25">
      <c r="A3330" s="2" t="s">
        <v>22152</v>
      </c>
      <c r="B3330" s="2">
        <v>529.25893464812896</v>
      </c>
      <c r="C3330" s="2">
        <v>9.5639333333333294</v>
      </c>
      <c r="D3330" s="2" t="s">
        <v>51</v>
      </c>
      <c r="E3330" s="2" t="s">
        <v>22153</v>
      </c>
      <c r="F3330" s="2">
        <v>44296</v>
      </c>
      <c r="G3330" s="3" t="str">
        <f>HYPERLINK("https://cloud.oebiotech.com/#/lm/network/44296", "https://cloud.oebiotech.com/#/lm/network/44296")</f>
        <v>https://cloud.oebiotech.com/#/lm/network/44296</v>
      </c>
      <c r="H3330" s="2"/>
      <c r="I3330" s="2">
        <v>84129</v>
      </c>
      <c r="J3330" s="2" t="s">
        <v>22154</v>
      </c>
      <c r="K3330" s="2">
        <v>44254699</v>
      </c>
      <c r="L3330" s="2"/>
      <c r="M3330" s="2"/>
      <c r="N3330" s="2"/>
      <c r="O3330" s="2"/>
      <c r="P3330" s="2"/>
      <c r="Q3330" s="2"/>
      <c r="R3330" s="2"/>
      <c r="S3330" s="2" t="s">
        <v>22155</v>
      </c>
      <c r="T3330" s="2" t="s">
        <v>22156</v>
      </c>
      <c r="U3330" s="2" t="s">
        <v>56</v>
      </c>
      <c r="V3330" s="2" t="s">
        <v>283</v>
      </c>
      <c r="W3330" s="2" t="s">
        <v>1108</v>
      </c>
      <c r="X3330" s="2" t="s">
        <v>147</v>
      </c>
      <c r="Y3330" s="2">
        <v>36</v>
      </c>
      <c r="Z3330" s="2">
        <v>0</v>
      </c>
      <c r="AA3330" s="2" t="s">
        <v>95</v>
      </c>
      <c r="AB3330" s="2" t="s">
        <v>22157</v>
      </c>
      <c r="AC3330" s="2">
        <v>-0.979903934840194</v>
      </c>
      <c r="AD3330" s="2"/>
      <c r="AE3330" s="2">
        <v>0.171345847865505</v>
      </c>
      <c r="AF3330" s="2">
        <v>2942.2281103216301</v>
      </c>
      <c r="AG3330" s="2">
        <v>516.42314428050304</v>
      </c>
      <c r="AH3330" s="5">
        <v>5.6973203910541796</v>
      </c>
      <c r="AI3330" s="5">
        <v>2.5102835390132099</v>
      </c>
      <c r="AJ3330" s="5" t="s">
        <v>139</v>
      </c>
      <c r="AK3330" s="2">
        <v>0.35930595164923101</v>
      </c>
      <c r="AL3330" s="2">
        <v>0.64449606579735297</v>
      </c>
      <c r="AM3330" s="2">
        <v>8.559877937157E-6</v>
      </c>
      <c r="AN3330" s="2">
        <v>8.559877937157E-6</v>
      </c>
      <c r="AO3330" s="2">
        <v>8.559877937157E-6</v>
      </c>
      <c r="AP3330" s="2">
        <v>8.559877937157E-6</v>
      </c>
      <c r="AQ3330" s="2">
        <v>15247.9769648947</v>
      </c>
      <c r="AR3330" s="2">
        <v>2405.39166279554</v>
      </c>
      <c r="AS3330" s="2">
        <v>50.950183807043103</v>
      </c>
      <c r="AT3330" s="2">
        <v>8.559877937157E-6</v>
      </c>
      <c r="AU3330" s="2">
        <v>2482.9934234757202</v>
      </c>
      <c r="AV3330" s="2">
        <v>564.59523272061904</v>
      </c>
      <c r="AW3330" s="2">
        <v>8.559877937157E-6</v>
      </c>
      <c r="AX3330" s="2">
        <v>8.559877937157E-6</v>
      </c>
    </row>
    <row r="3331" spans="1:50" x14ac:dyDescent="0.25">
      <c r="A3331" s="2" t="s">
        <v>22158</v>
      </c>
      <c r="B3331" s="2">
        <v>359.01376733764602</v>
      </c>
      <c r="C3331" s="2">
        <v>9.3578499999999991</v>
      </c>
      <c r="D3331" s="2" t="s">
        <v>51</v>
      </c>
      <c r="E3331" s="2" t="s">
        <v>22159</v>
      </c>
      <c r="F3331" s="2">
        <v>256011</v>
      </c>
      <c r="G3331" s="3" t="str">
        <f>HYPERLINK("https://cloud.oebiotech.com/#/lm/network/256011", "https://cloud.oebiotech.com/#/lm/network/256011")</f>
        <v>https://cloud.oebiotech.com/#/lm/network/256011</v>
      </c>
      <c r="H3331" s="2" t="s">
        <v>22160</v>
      </c>
      <c r="I3331" s="2"/>
      <c r="J3331" s="2"/>
      <c r="K3331" s="2">
        <v>6431294</v>
      </c>
      <c r="L3331" s="2"/>
      <c r="M3331" s="2"/>
      <c r="N3331" s="2"/>
      <c r="O3331" s="2"/>
      <c r="P3331" s="2"/>
      <c r="Q3331" s="2"/>
      <c r="R3331" s="2"/>
      <c r="S3331" s="2" t="s">
        <v>22161</v>
      </c>
      <c r="T3331" s="2" t="s">
        <v>22162</v>
      </c>
      <c r="U3331" s="2" t="s">
        <v>266</v>
      </c>
      <c r="V3331" s="2" t="s">
        <v>22163</v>
      </c>
      <c r="W3331" s="2" t="s">
        <v>240</v>
      </c>
      <c r="X3331" s="2" t="s">
        <v>83</v>
      </c>
      <c r="Y3331" s="2">
        <v>38</v>
      </c>
      <c r="Z3331" s="2">
        <v>0</v>
      </c>
      <c r="AA3331" s="2" t="s">
        <v>478</v>
      </c>
      <c r="AB3331" s="2" t="s">
        <v>22164</v>
      </c>
      <c r="AC3331" s="2">
        <v>2.2693168460759701</v>
      </c>
      <c r="AD3331" s="2"/>
      <c r="AE3331" s="2">
        <v>0.17134127557020401</v>
      </c>
      <c r="AF3331" s="2">
        <v>6962.3266528393997</v>
      </c>
      <c r="AG3331" s="2">
        <v>7918.6933590014696</v>
      </c>
      <c r="AH3331" s="4">
        <v>0.87922670284044702</v>
      </c>
      <c r="AI3331" s="4">
        <v>-0.18569289209603199</v>
      </c>
      <c r="AJ3331" s="4" t="s">
        <v>62</v>
      </c>
      <c r="AK3331" s="2">
        <v>0.37036626349138702</v>
      </c>
      <c r="AL3331" s="2">
        <v>0.65343886725755396</v>
      </c>
      <c r="AM3331" s="2">
        <v>5253.9156971734401</v>
      </c>
      <c r="AN3331" s="2">
        <v>6242.3925196106802</v>
      </c>
      <c r="AO3331" s="2">
        <v>6766.0849881004597</v>
      </c>
      <c r="AP3331" s="2">
        <v>9011.7695560060693</v>
      </c>
      <c r="AQ3331" s="2">
        <v>7192.7582347871803</v>
      </c>
      <c r="AR3331" s="2">
        <v>7307.0389213585804</v>
      </c>
      <c r="AS3331" s="2">
        <v>9894.0546232333199</v>
      </c>
      <c r="AT3331" s="2">
        <v>9933.6541848925299</v>
      </c>
      <c r="AU3331" s="2">
        <v>4117.4263329902196</v>
      </c>
      <c r="AV3331" s="2">
        <v>8475.76288591911</v>
      </c>
      <c r="AW3331" s="2">
        <v>7958.5503218292197</v>
      </c>
      <c r="AX3331" s="2">
        <v>7132.7118051444004</v>
      </c>
    </row>
    <row r="3332" spans="1:50" x14ac:dyDescent="0.25">
      <c r="A3332" s="2" t="s">
        <v>22165</v>
      </c>
      <c r="B3332" s="2">
        <v>172.13360884975</v>
      </c>
      <c r="C3332" s="2">
        <v>11.0279666666667</v>
      </c>
      <c r="D3332" s="2" t="s">
        <v>51</v>
      </c>
      <c r="E3332" s="2" t="s">
        <v>22166</v>
      </c>
      <c r="F3332" s="2">
        <v>48453</v>
      </c>
      <c r="G3332" s="3" t="str">
        <f>HYPERLINK("https://cloud.oebiotech.com/#/lm/network/48453", "https://cloud.oebiotech.com/#/lm/network/48453")</f>
        <v>https://cloud.oebiotech.com/#/lm/network/48453</v>
      </c>
      <c r="H3332" s="2" t="s">
        <v>22167</v>
      </c>
      <c r="I3332" s="2">
        <v>2989</v>
      </c>
      <c r="J3332" s="2"/>
      <c r="K3332" s="2">
        <v>3446</v>
      </c>
      <c r="L3332" s="2" t="s">
        <v>22168</v>
      </c>
      <c r="M3332" s="2"/>
      <c r="N3332" s="2"/>
      <c r="O3332" s="2">
        <v>42797</v>
      </c>
      <c r="P3332" s="2"/>
      <c r="Q3332" s="2"/>
      <c r="R3332" s="2" t="s">
        <v>22169</v>
      </c>
      <c r="S3332" s="2" t="s">
        <v>22170</v>
      </c>
      <c r="T3332" s="2" t="s">
        <v>22171</v>
      </c>
      <c r="U3332" s="2" t="s">
        <v>103</v>
      </c>
      <c r="V3332" s="2" t="s">
        <v>104</v>
      </c>
      <c r="W3332" s="2" t="s">
        <v>105</v>
      </c>
      <c r="X3332" s="2" t="s">
        <v>147</v>
      </c>
      <c r="Y3332" s="2">
        <v>47.5</v>
      </c>
      <c r="Z3332" s="2">
        <v>44.6</v>
      </c>
      <c r="AA3332" s="2" t="s">
        <v>259</v>
      </c>
      <c r="AB3332" s="2" t="s">
        <v>22172</v>
      </c>
      <c r="AC3332" s="2">
        <v>2.3586644234060699</v>
      </c>
      <c r="AD3332" s="2"/>
      <c r="AE3332" s="2">
        <v>0.171267274838385</v>
      </c>
      <c r="AF3332" s="2">
        <v>4197.4694365985197</v>
      </c>
      <c r="AG3332" s="2">
        <v>1920.8313727637501</v>
      </c>
      <c r="AH3332" s="5">
        <v>2.18523577661015</v>
      </c>
      <c r="AI3332" s="5">
        <v>1.1277889480989001</v>
      </c>
      <c r="AJ3332" s="5" t="s">
        <v>139</v>
      </c>
      <c r="AK3332" s="2">
        <v>0.35827199418919897</v>
      </c>
      <c r="AL3332" s="2">
        <v>0.64449606579735297</v>
      </c>
      <c r="AM3332" s="2">
        <v>565.73386668226703</v>
      </c>
      <c r="AN3332" s="2">
        <v>339.15164973842502</v>
      </c>
      <c r="AO3332" s="2">
        <v>7593.40489258035</v>
      </c>
      <c r="AP3332" s="2">
        <v>567.75236632308099</v>
      </c>
      <c r="AQ3332" s="2">
        <v>14514.0624768082</v>
      </c>
      <c r="AR3332" s="2">
        <v>1604.7113674587999</v>
      </c>
      <c r="AS3332" s="2">
        <v>2581.2095842328399</v>
      </c>
      <c r="AT3332" s="2">
        <v>1485.48633701481</v>
      </c>
      <c r="AU3332" s="2">
        <v>2588.6820316153498</v>
      </c>
      <c r="AV3332" s="2">
        <v>1916.1059998143301</v>
      </c>
      <c r="AW3332" s="2">
        <v>1103.72228531972</v>
      </c>
      <c r="AX3332" s="2">
        <v>1849.7819985854401</v>
      </c>
    </row>
    <row r="3333" spans="1:50" x14ac:dyDescent="0.25">
      <c r="A3333" s="2" t="s">
        <v>22173</v>
      </c>
      <c r="B3333" s="2">
        <v>435.18261074537998</v>
      </c>
      <c r="C3333" s="2">
        <v>9.97441666666667</v>
      </c>
      <c r="D3333" s="2" t="s">
        <v>51</v>
      </c>
      <c r="E3333" s="2" t="s">
        <v>22174</v>
      </c>
      <c r="F3333" s="2">
        <v>266795</v>
      </c>
      <c r="G3333" s="3" t="str">
        <f>HYPERLINK("https://cloud.oebiotech.com/#/lm/network/266795", "https://cloud.oebiotech.com/#/lm/network/266795")</f>
        <v>https://cloud.oebiotech.com/#/lm/network/266795</v>
      </c>
      <c r="H3333" s="2"/>
      <c r="I3333" s="2">
        <v>43992</v>
      </c>
      <c r="J3333" s="2"/>
      <c r="K3333" s="2">
        <v>100768</v>
      </c>
      <c r="L3333" s="2" t="s">
        <v>22175</v>
      </c>
      <c r="M3333" s="2"/>
      <c r="N3333" s="2"/>
      <c r="O3333" s="2"/>
      <c r="P3333" s="2"/>
      <c r="Q3333" s="2"/>
      <c r="R3333" s="2" t="s">
        <v>22176</v>
      </c>
      <c r="S3333" s="2" t="s">
        <v>22177</v>
      </c>
      <c r="T3333" s="2" t="s">
        <v>22178</v>
      </c>
      <c r="U3333" s="2" t="s">
        <v>266</v>
      </c>
      <c r="V3333" s="2" t="s">
        <v>1785</v>
      </c>
      <c r="W3333" s="2" t="s">
        <v>1786</v>
      </c>
      <c r="X3333" s="2" t="s">
        <v>147</v>
      </c>
      <c r="Y3333" s="2">
        <v>38.6</v>
      </c>
      <c r="Z3333" s="2">
        <v>0</v>
      </c>
      <c r="AA3333" s="2" t="s">
        <v>478</v>
      </c>
      <c r="AB3333" s="2" t="s">
        <v>22179</v>
      </c>
      <c r="AC3333" s="2">
        <v>2.9770656415725201</v>
      </c>
      <c r="AD3333" s="2"/>
      <c r="AE3333" s="2">
        <v>0.17111938969902099</v>
      </c>
      <c r="AF3333" s="2">
        <v>2568.2247324201198</v>
      </c>
      <c r="AG3333" s="2">
        <v>1262.30623987795</v>
      </c>
      <c r="AH3333" s="5">
        <v>2.03454966099862</v>
      </c>
      <c r="AI3333" s="5">
        <v>1.0247094953548701</v>
      </c>
      <c r="AJ3333" s="5" t="s">
        <v>139</v>
      </c>
      <c r="AK3333" s="2">
        <v>0.153815133774972</v>
      </c>
      <c r="AL3333" s="2">
        <v>0.47517092828514201</v>
      </c>
      <c r="AM3333" s="2">
        <v>789.19967060053705</v>
      </c>
      <c r="AN3333" s="2">
        <v>1421.1840747824699</v>
      </c>
      <c r="AO3333" s="2">
        <v>6098.6625958680097</v>
      </c>
      <c r="AP3333" s="2">
        <v>1054.4922177334399</v>
      </c>
      <c r="AQ3333" s="2">
        <v>2808.6415175419602</v>
      </c>
      <c r="AR3333" s="2">
        <v>3237.1683179942802</v>
      </c>
      <c r="AS3333" s="2">
        <v>753.517327058202</v>
      </c>
      <c r="AT3333" s="2">
        <v>1158.6736985181899</v>
      </c>
      <c r="AU3333" s="2">
        <v>1150.2661873495699</v>
      </c>
      <c r="AV3333" s="2">
        <v>587.46932968060105</v>
      </c>
      <c r="AW3333" s="2">
        <v>1847.5884604498401</v>
      </c>
      <c r="AX3333" s="2">
        <v>2076.3224362112701</v>
      </c>
    </row>
    <row r="3334" spans="1:50" x14ac:dyDescent="0.25">
      <c r="A3334" s="2" t="s">
        <v>22180</v>
      </c>
      <c r="B3334" s="2">
        <v>350.21300801581901</v>
      </c>
      <c r="C3334" s="2">
        <v>9.8909166666666692</v>
      </c>
      <c r="D3334" s="2" t="s">
        <v>51</v>
      </c>
      <c r="E3334" s="2" t="s">
        <v>22181</v>
      </c>
      <c r="F3334" s="2">
        <v>55064</v>
      </c>
      <c r="G3334" s="3" t="str">
        <f>HYPERLINK("https://cloud.oebiotech.com/#/lm/network/55064", "https://cloud.oebiotech.com/#/lm/network/55064")</f>
        <v>https://cloud.oebiotech.com/#/lm/network/55064</v>
      </c>
      <c r="H3334" s="2" t="s">
        <v>22182</v>
      </c>
      <c r="I3334" s="2">
        <v>86826</v>
      </c>
      <c r="J3334" s="2"/>
      <c r="K3334" s="2">
        <v>44453654</v>
      </c>
      <c r="L3334" s="2"/>
      <c r="M3334" s="2"/>
      <c r="N3334" s="2"/>
      <c r="O3334" s="2">
        <v>534775</v>
      </c>
      <c r="P3334" s="2"/>
      <c r="Q3334" s="2"/>
      <c r="R3334" s="2" t="s">
        <v>22183</v>
      </c>
      <c r="S3334" s="2" t="s">
        <v>22184</v>
      </c>
      <c r="T3334" s="2" t="s">
        <v>22185</v>
      </c>
      <c r="U3334" s="2" t="s">
        <v>266</v>
      </c>
      <c r="V3334" s="2" t="s">
        <v>4740</v>
      </c>
      <c r="W3334" s="2" t="s">
        <v>240</v>
      </c>
      <c r="X3334" s="2" t="s">
        <v>147</v>
      </c>
      <c r="Y3334" s="2">
        <v>38.200000000000003</v>
      </c>
      <c r="Z3334" s="2">
        <v>6.4</v>
      </c>
      <c r="AA3334" s="2" t="s">
        <v>156</v>
      </c>
      <c r="AB3334" s="2" t="s">
        <v>22186</v>
      </c>
      <c r="AC3334" s="2">
        <v>4.2276960149273402</v>
      </c>
      <c r="AD3334" s="2"/>
      <c r="AE3334" s="2">
        <v>0.17106080724099401</v>
      </c>
      <c r="AF3334" s="2">
        <v>5040.6982155288297</v>
      </c>
      <c r="AG3334" s="2">
        <v>3273.48277986216</v>
      </c>
      <c r="AH3334" s="5">
        <v>1.53985786836523</v>
      </c>
      <c r="AI3334" s="5">
        <v>0.62279719373335596</v>
      </c>
      <c r="AJ3334" s="5" t="s">
        <v>139</v>
      </c>
      <c r="AK3334" s="2">
        <v>0.54215990284972704</v>
      </c>
      <c r="AL3334" s="2">
        <v>0.76675382935693703</v>
      </c>
      <c r="AM3334" s="2">
        <v>1997.4118031072201</v>
      </c>
      <c r="AN3334" s="2">
        <v>3831.5375496584702</v>
      </c>
      <c r="AO3334" s="2">
        <v>9235.2768757590693</v>
      </c>
      <c r="AP3334" s="2">
        <v>2555.4612267993498</v>
      </c>
      <c r="AQ3334" s="2">
        <v>10526.002671186199</v>
      </c>
      <c r="AR3334" s="2">
        <v>2098.4991666626902</v>
      </c>
      <c r="AS3334" s="2">
        <v>1167.1151305413</v>
      </c>
      <c r="AT3334" s="2">
        <v>635.92431092228799</v>
      </c>
      <c r="AU3334" s="2">
        <v>14847.876474628099</v>
      </c>
      <c r="AV3334" s="2">
        <v>1826.1310894845201</v>
      </c>
      <c r="AW3334" s="2">
        <v>791.55869022455397</v>
      </c>
      <c r="AX3334" s="2">
        <v>372.29098337217698</v>
      </c>
    </row>
    <row r="3335" spans="1:50" x14ac:dyDescent="0.25">
      <c r="A3335" s="2" t="s">
        <v>22187</v>
      </c>
      <c r="B3335" s="2">
        <v>489.358741842048</v>
      </c>
      <c r="C3335" s="2">
        <v>12.403833333333299</v>
      </c>
      <c r="D3335" s="2" t="s">
        <v>51</v>
      </c>
      <c r="E3335" s="2" t="s">
        <v>22188</v>
      </c>
      <c r="F3335" s="2">
        <v>57845</v>
      </c>
      <c r="G3335" s="3" t="str">
        <f>HYPERLINK("https://cloud.oebiotech.com/#/lm/network/57845", "https://cloud.oebiotech.com/#/lm/network/57845")</f>
        <v>https://cloud.oebiotech.com/#/lm/network/57845</v>
      </c>
      <c r="H3335" s="2" t="s">
        <v>22189</v>
      </c>
      <c r="I3335" s="2">
        <v>89433</v>
      </c>
      <c r="J3335" s="2"/>
      <c r="K3335" s="2">
        <v>131751467</v>
      </c>
      <c r="L3335" s="2"/>
      <c r="M3335" s="2"/>
      <c r="N3335" s="2"/>
      <c r="O3335" s="2"/>
      <c r="P3335" s="2"/>
      <c r="Q3335" s="2"/>
      <c r="R3335" s="2" t="s">
        <v>22190</v>
      </c>
      <c r="S3335" s="2" t="s">
        <v>22191</v>
      </c>
      <c r="T3335" s="2" t="s">
        <v>22192</v>
      </c>
      <c r="U3335" s="2" t="s">
        <v>56</v>
      </c>
      <c r="V3335" s="2" t="s">
        <v>283</v>
      </c>
      <c r="W3335" s="2" t="s">
        <v>1215</v>
      </c>
      <c r="X3335" s="2" t="s">
        <v>83</v>
      </c>
      <c r="Y3335" s="2">
        <v>49.6</v>
      </c>
      <c r="Z3335" s="2">
        <v>0</v>
      </c>
      <c r="AA3335" s="2" t="s">
        <v>218</v>
      </c>
      <c r="AB3335" s="2" t="s">
        <v>11505</v>
      </c>
      <c r="AC3335" s="2">
        <v>0.43562394850587999</v>
      </c>
      <c r="AD3335" s="2"/>
      <c r="AE3335" s="2">
        <v>0.17100282737889799</v>
      </c>
      <c r="AF3335" s="2">
        <v>40150.831583831801</v>
      </c>
      <c r="AG3335" s="2">
        <v>34945.862266141499</v>
      </c>
      <c r="AH3335" s="5">
        <v>1.1489437942051699</v>
      </c>
      <c r="AI3335" s="5">
        <v>0.20030822374135199</v>
      </c>
      <c r="AJ3335" s="5" t="s">
        <v>139</v>
      </c>
      <c r="AK3335" s="2">
        <v>0.53888345313021502</v>
      </c>
      <c r="AL3335" s="2">
        <v>0.76464258930367401</v>
      </c>
      <c r="AM3335" s="2">
        <v>25637.022861076399</v>
      </c>
      <c r="AN3335" s="2">
        <v>45895.046343457398</v>
      </c>
      <c r="AO3335" s="2">
        <v>41291.5594640462</v>
      </c>
      <c r="AP3335" s="2">
        <v>55346.619194956802</v>
      </c>
      <c r="AQ3335" s="2">
        <v>45140.993725845598</v>
      </c>
      <c r="AR3335" s="2">
        <v>27593.747913608098</v>
      </c>
      <c r="AS3335" s="2">
        <v>25511.2486889352</v>
      </c>
      <c r="AT3335" s="2">
        <v>42592.034449761697</v>
      </c>
      <c r="AU3335" s="2">
        <v>21810.810891087101</v>
      </c>
      <c r="AV3335" s="2">
        <v>16562.765129953499</v>
      </c>
      <c r="AW3335" s="2">
        <v>43338.660449029499</v>
      </c>
      <c r="AX3335" s="2">
        <v>59859.653988081896</v>
      </c>
    </row>
    <row r="3336" spans="1:50" x14ac:dyDescent="0.25">
      <c r="A3336" s="2" t="s">
        <v>22193</v>
      </c>
      <c r="B3336" s="2">
        <v>417.33727870156599</v>
      </c>
      <c r="C3336" s="2">
        <v>11.147883333333301</v>
      </c>
      <c r="D3336" s="2" t="s">
        <v>51</v>
      </c>
      <c r="E3336" s="2" t="s">
        <v>22194</v>
      </c>
      <c r="F3336" s="2">
        <v>46469</v>
      </c>
      <c r="G3336" s="3" t="str">
        <f>HYPERLINK("https://cloud.oebiotech.com/#/lm/network/46469", "https://cloud.oebiotech.com/#/lm/network/46469")</f>
        <v>https://cloud.oebiotech.com/#/lm/network/46469</v>
      </c>
      <c r="H3336" s="2" t="s">
        <v>22195</v>
      </c>
      <c r="I3336" s="2">
        <v>57925</v>
      </c>
      <c r="J3336" s="2" t="s">
        <v>22196</v>
      </c>
      <c r="K3336" s="2">
        <v>5281104</v>
      </c>
      <c r="L3336" s="2" t="s">
        <v>22197</v>
      </c>
      <c r="M3336" s="2"/>
      <c r="N3336" s="2"/>
      <c r="O3336" s="2">
        <v>7931</v>
      </c>
      <c r="P3336" s="2" t="s">
        <v>22198</v>
      </c>
      <c r="Q3336" s="2" t="s">
        <v>22199</v>
      </c>
      <c r="R3336" s="2" t="s">
        <v>22200</v>
      </c>
      <c r="S3336" s="2" t="s">
        <v>22201</v>
      </c>
      <c r="T3336" s="2" t="s">
        <v>22202</v>
      </c>
      <c r="U3336" s="2" t="s">
        <v>56</v>
      </c>
      <c r="V3336" s="2" t="s">
        <v>283</v>
      </c>
      <c r="W3336" s="2" t="s">
        <v>420</v>
      </c>
      <c r="X3336" s="2" t="s">
        <v>83</v>
      </c>
      <c r="Y3336" s="2">
        <v>54.6</v>
      </c>
      <c r="Z3336" s="2">
        <v>0</v>
      </c>
      <c r="AA3336" s="2" t="s">
        <v>259</v>
      </c>
      <c r="AB3336" s="2" t="s">
        <v>12916</v>
      </c>
      <c r="AC3336" s="2">
        <v>2.2986621202172199</v>
      </c>
      <c r="AD3336" s="2"/>
      <c r="AE3336" s="2">
        <v>0.17092162168235001</v>
      </c>
      <c r="AF3336" s="2">
        <v>1824.7020506761401</v>
      </c>
      <c r="AG3336" s="2">
        <v>802.22234524972703</v>
      </c>
      <c r="AH3336" s="5">
        <v>2.2745589941254001</v>
      </c>
      <c r="AI3336" s="5">
        <v>1.1855868535912799</v>
      </c>
      <c r="AJ3336" s="5" t="s">
        <v>139</v>
      </c>
      <c r="AK3336" s="2">
        <v>9.2811935092935796E-2</v>
      </c>
      <c r="AL3336" s="2">
        <v>0.39171747207476998</v>
      </c>
      <c r="AM3336" s="2">
        <v>711.74735441112</v>
      </c>
      <c r="AN3336" s="2">
        <v>2794.2772210252801</v>
      </c>
      <c r="AO3336" s="2">
        <v>1423.25738563202</v>
      </c>
      <c r="AP3336" s="2">
        <v>1351.75718148393</v>
      </c>
      <c r="AQ3336" s="2">
        <v>1810.8614801501201</v>
      </c>
      <c r="AR3336" s="2">
        <v>2856.3116813543702</v>
      </c>
      <c r="AS3336" s="2">
        <v>1595.62240434716</v>
      </c>
      <c r="AT3336" s="2">
        <v>2501.98664100112</v>
      </c>
      <c r="AU3336" s="2">
        <v>8.559877937157E-6</v>
      </c>
      <c r="AV3336" s="2">
        <v>8.559877937157E-6</v>
      </c>
      <c r="AW3336" s="2">
        <v>8.559877937157E-6</v>
      </c>
      <c r="AX3336" s="2">
        <v>715.725000470449</v>
      </c>
    </row>
    <row r="3337" spans="1:50" x14ac:dyDescent="0.25">
      <c r="A3337" s="2" t="s">
        <v>22203</v>
      </c>
      <c r="B3337" s="2">
        <v>187.13320575348899</v>
      </c>
      <c r="C3337" s="2">
        <v>8.5561666666666696</v>
      </c>
      <c r="D3337" s="2" t="s">
        <v>51</v>
      </c>
      <c r="E3337" s="2" t="s">
        <v>22204</v>
      </c>
      <c r="F3337" s="2">
        <v>6249</v>
      </c>
      <c r="G3337" s="3" t="str">
        <f>HYPERLINK("https://cloud.oebiotech.com/#/lm/network/6249", "https://cloud.oebiotech.com/#/lm/network/6249")</f>
        <v>https://cloud.oebiotech.com/#/lm/network/6249</v>
      </c>
      <c r="H3337" s="2" t="s">
        <v>22205</v>
      </c>
      <c r="I3337" s="2">
        <v>89743</v>
      </c>
      <c r="J3337" s="2" t="s">
        <v>22206</v>
      </c>
      <c r="K3337" s="2">
        <v>89560</v>
      </c>
      <c r="L3337" s="2"/>
      <c r="M3337" s="2"/>
      <c r="N3337" s="2"/>
      <c r="O3337" s="2"/>
      <c r="P3337" s="2"/>
      <c r="Q3337" s="2"/>
      <c r="R3337" s="2" t="s">
        <v>22207</v>
      </c>
      <c r="S3337" s="2" t="s">
        <v>22208</v>
      </c>
      <c r="T3337" s="2" t="s">
        <v>22209</v>
      </c>
      <c r="U3337" s="2" t="s">
        <v>56</v>
      </c>
      <c r="V3337" s="2" t="s">
        <v>145</v>
      </c>
      <c r="W3337" s="2" t="s">
        <v>146</v>
      </c>
      <c r="X3337" s="2" t="s">
        <v>83</v>
      </c>
      <c r="Y3337" s="2">
        <v>46.9</v>
      </c>
      <c r="Z3337" s="2">
        <v>33</v>
      </c>
      <c r="AA3337" s="2" t="s">
        <v>218</v>
      </c>
      <c r="AB3337" s="2" t="s">
        <v>22210</v>
      </c>
      <c r="AC3337" s="2">
        <v>-5.3632759483552199</v>
      </c>
      <c r="AD3337" s="2"/>
      <c r="AE3337" s="2">
        <v>0.17070905758192401</v>
      </c>
      <c r="AF3337" s="2">
        <v>3646.9026543641899</v>
      </c>
      <c r="AG3337" s="2">
        <v>5285.3710122017501</v>
      </c>
      <c r="AH3337" s="4">
        <v>0.68999936729985201</v>
      </c>
      <c r="AI3337" s="4">
        <v>-0.53533305588609803</v>
      </c>
      <c r="AJ3337" s="4" t="s">
        <v>62</v>
      </c>
      <c r="AK3337" s="2">
        <v>0.17031141954800599</v>
      </c>
      <c r="AL3337" s="2">
        <v>0.491550366774546</v>
      </c>
      <c r="AM3337" s="2">
        <v>2779.5918242154999</v>
      </c>
      <c r="AN3337" s="2">
        <v>3156.97379086314</v>
      </c>
      <c r="AO3337" s="2">
        <v>4511.5762677201701</v>
      </c>
      <c r="AP3337" s="2">
        <v>3564.6667584459501</v>
      </c>
      <c r="AQ3337" s="2">
        <v>5012.7853064659002</v>
      </c>
      <c r="AR3337" s="2">
        <v>2855.8219784744601</v>
      </c>
      <c r="AS3337" s="2">
        <v>4297.27307897219</v>
      </c>
      <c r="AT3337" s="2">
        <v>8773.4515422815093</v>
      </c>
      <c r="AU3337" s="2">
        <v>6081.3798443970099</v>
      </c>
      <c r="AV3337" s="2">
        <v>3416.23994296917</v>
      </c>
      <c r="AW3337" s="2">
        <v>7251.7680259305698</v>
      </c>
      <c r="AX3337" s="2">
        <v>1892.1136386600599</v>
      </c>
    </row>
    <row r="3338" spans="1:50" x14ac:dyDescent="0.25">
      <c r="A3338" s="2" t="s">
        <v>22211</v>
      </c>
      <c r="B3338" s="2">
        <v>307.14670000000001</v>
      </c>
      <c r="C3338" s="2">
        <v>16.361999999999998</v>
      </c>
      <c r="D3338" s="2" t="s">
        <v>125</v>
      </c>
      <c r="E3338" s="2" t="s">
        <v>22212</v>
      </c>
      <c r="F3338" s="2">
        <v>199022</v>
      </c>
      <c r="G3338" s="3" t="str">
        <f>HYPERLINK("https://cloud.oebiotech.com/#/lm/network/199022", "https://cloud.oebiotech.com/#/lm/network/199022")</f>
        <v>https://cloud.oebiotech.com/#/lm/network/199022</v>
      </c>
      <c r="H3338" s="2" t="s">
        <v>22213</v>
      </c>
      <c r="I3338" s="2"/>
      <c r="J3338" s="2"/>
      <c r="K3338" s="2">
        <v>854</v>
      </c>
      <c r="L3338" s="2"/>
      <c r="M3338" s="2"/>
      <c r="N3338" s="2"/>
      <c r="O3338" s="2"/>
      <c r="P3338" s="2"/>
      <c r="Q3338" s="2"/>
      <c r="R3338" s="2"/>
      <c r="S3338" s="2" t="s">
        <v>22214</v>
      </c>
      <c r="T3338" s="2" t="s">
        <v>22215</v>
      </c>
      <c r="U3338" s="2" t="s">
        <v>331</v>
      </c>
      <c r="V3338" s="2" t="s">
        <v>332</v>
      </c>
      <c r="W3338" s="2" t="s">
        <v>333</v>
      </c>
      <c r="X3338" s="2" t="s">
        <v>69</v>
      </c>
      <c r="Y3338" s="2">
        <v>92.4</v>
      </c>
      <c r="Z3338" s="2">
        <v>87.8</v>
      </c>
      <c r="AA3338" s="2"/>
      <c r="AB3338" s="2" t="s">
        <v>2762</v>
      </c>
      <c r="AC3338" s="2"/>
      <c r="AD3338" s="2">
        <v>549956.65266781405</v>
      </c>
      <c r="AE3338" s="2">
        <v>0.17070294753818899</v>
      </c>
      <c r="AF3338" s="2">
        <v>17957.9845554319</v>
      </c>
      <c r="AG3338" s="2">
        <v>26974.750198719099</v>
      </c>
      <c r="AH3338" s="4">
        <v>0.66573311793948198</v>
      </c>
      <c r="AI3338" s="4">
        <v>-0.58698415571553497</v>
      </c>
      <c r="AJ3338" s="4" t="s">
        <v>62</v>
      </c>
      <c r="AK3338" s="2">
        <v>3.9547790622731498E-2</v>
      </c>
      <c r="AL3338" s="2">
        <v>0.29135565991996598</v>
      </c>
      <c r="AM3338" s="2">
        <v>20144.299639675399</v>
      </c>
      <c r="AN3338" s="2">
        <v>19686.037250871599</v>
      </c>
      <c r="AO3338" s="2">
        <v>18201.886441139399</v>
      </c>
      <c r="AP3338" s="2">
        <v>16869.592956139499</v>
      </c>
      <c r="AQ3338" s="2">
        <v>16403.0424838578</v>
      </c>
      <c r="AR3338" s="2">
        <v>16443.048560907799</v>
      </c>
      <c r="AS3338" s="2">
        <v>21208.323564494</v>
      </c>
      <c r="AT3338" s="2">
        <v>31503.6159454273</v>
      </c>
      <c r="AU3338" s="2">
        <v>37046.146208407903</v>
      </c>
      <c r="AV3338" s="2">
        <v>35772.270815745498</v>
      </c>
      <c r="AW3338" s="2">
        <v>14037.9775782819</v>
      </c>
      <c r="AX3338" s="2">
        <v>22280.167079957901</v>
      </c>
    </row>
    <row r="3339" spans="1:50" x14ac:dyDescent="0.25">
      <c r="A3339" s="2" t="s">
        <v>22216</v>
      </c>
      <c r="B3339" s="2">
        <v>339.30164624526901</v>
      </c>
      <c r="C3339" s="2">
        <v>10.132949999999999</v>
      </c>
      <c r="D3339" s="2" t="s">
        <v>51</v>
      </c>
      <c r="E3339" s="2" t="s">
        <v>22217</v>
      </c>
      <c r="F3339" s="2">
        <v>8838</v>
      </c>
      <c r="G3339" s="3" t="str">
        <f>HYPERLINK("https://cloud.oebiotech.com/#/lm/network/8838", "https://cloud.oebiotech.com/#/lm/network/8838")</f>
        <v>https://cloud.oebiotech.com/#/lm/network/8838</v>
      </c>
      <c r="H3339" s="2"/>
      <c r="I3339" s="2"/>
      <c r="J3339" s="2" t="s">
        <v>22218</v>
      </c>
      <c r="K3339" s="2">
        <v>18606615</v>
      </c>
      <c r="L3339" s="2"/>
      <c r="M3339" s="2"/>
      <c r="N3339" s="2"/>
      <c r="O3339" s="2"/>
      <c r="P3339" s="2"/>
      <c r="Q3339" s="2"/>
      <c r="R3339" s="2"/>
      <c r="S3339" s="2" t="s">
        <v>22219</v>
      </c>
      <c r="T3339" s="2" t="s">
        <v>22220</v>
      </c>
      <c r="U3339" s="2" t="s">
        <v>103</v>
      </c>
      <c r="V3339" s="2" t="s">
        <v>104</v>
      </c>
      <c r="W3339" s="2" t="s">
        <v>105</v>
      </c>
      <c r="X3339" s="2" t="s">
        <v>59</v>
      </c>
      <c r="Y3339" s="2">
        <v>52.1</v>
      </c>
      <c r="Z3339" s="2">
        <v>69.900000000000006</v>
      </c>
      <c r="AA3339" s="2" t="s">
        <v>179</v>
      </c>
      <c r="AB3339" s="2" t="s">
        <v>22221</v>
      </c>
      <c r="AC3339" s="2">
        <v>2.9226292756782</v>
      </c>
      <c r="AD3339" s="2"/>
      <c r="AE3339" s="2">
        <v>0.170701489591119</v>
      </c>
      <c r="AF3339" s="2">
        <v>7582.5625525996802</v>
      </c>
      <c r="AG3339" s="2">
        <v>5164.5883098106096</v>
      </c>
      <c r="AH3339" s="5">
        <v>1.46818334739207</v>
      </c>
      <c r="AI3339" s="5">
        <v>0.55403214383253696</v>
      </c>
      <c r="AJ3339" s="5" t="s">
        <v>139</v>
      </c>
      <c r="AK3339" s="2">
        <v>0.72276484871551705</v>
      </c>
      <c r="AL3339" s="2">
        <v>0.87169361019068603</v>
      </c>
      <c r="AM3339" s="2">
        <v>155.90279175477099</v>
      </c>
      <c r="AN3339" s="2">
        <v>269.95647242340698</v>
      </c>
      <c r="AO3339" s="2">
        <v>24978.274318895001</v>
      </c>
      <c r="AP3339" s="2">
        <v>280.215079898412</v>
      </c>
      <c r="AQ3339" s="2">
        <v>19790.105827571198</v>
      </c>
      <c r="AR3339" s="2">
        <v>20.920825055316602</v>
      </c>
      <c r="AS3339" s="2">
        <v>2257.9391476543601</v>
      </c>
      <c r="AT3339" s="2">
        <v>8.559877937157E-6</v>
      </c>
      <c r="AU3339" s="2">
        <v>28305.0112027383</v>
      </c>
      <c r="AV3339" s="2">
        <v>48.358481157654197</v>
      </c>
      <c r="AW3339" s="2">
        <v>164.50618471454001</v>
      </c>
      <c r="AX3339" s="2">
        <v>211.714834038931</v>
      </c>
    </row>
    <row r="3340" spans="1:50" x14ac:dyDescent="0.25">
      <c r="A3340" s="2" t="s">
        <v>22222</v>
      </c>
      <c r="B3340" s="2">
        <v>387.225072995419</v>
      </c>
      <c r="C3340" s="2">
        <v>3.84053333333333</v>
      </c>
      <c r="D3340" s="2" t="s">
        <v>51</v>
      </c>
      <c r="E3340" s="2" t="s">
        <v>22223</v>
      </c>
      <c r="F3340" s="2">
        <v>115460</v>
      </c>
      <c r="G3340" s="3" t="str">
        <f>HYPERLINK("https://cloud.oebiotech.com/#/lm/network/115460", "https://cloud.oebiotech.com/#/lm/network/115460")</f>
        <v>https://cloud.oebiotech.com/#/lm/network/115460</v>
      </c>
      <c r="H3340" s="2" t="s">
        <v>22224</v>
      </c>
      <c r="I3340" s="2"/>
      <c r="J3340" s="2"/>
      <c r="K3340" s="2">
        <v>8200</v>
      </c>
      <c r="L3340" s="2"/>
      <c r="M3340" s="2"/>
      <c r="N3340" s="2"/>
      <c r="O3340" s="2">
        <v>44920</v>
      </c>
      <c r="P3340" s="2"/>
      <c r="Q3340" s="2"/>
      <c r="R3340" s="2"/>
      <c r="S3340" s="2" t="s">
        <v>22225</v>
      </c>
      <c r="T3340" s="2" t="s">
        <v>22226</v>
      </c>
      <c r="U3340" s="2" t="s">
        <v>331</v>
      </c>
      <c r="V3340" s="2" t="s">
        <v>332</v>
      </c>
      <c r="W3340" s="2" t="s">
        <v>511</v>
      </c>
      <c r="X3340" s="2" t="s">
        <v>147</v>
      </c>
      <c r="Y3340" s="2">
        <v>42.2</v>
      </c>
      <c r="Z3340" s="2">
        <v>21.3</v>
      </c>
      <c r="AA3340" s="2" t="s">
        <v>478</v>
      </c>
      <c r="AB3340" s="2" t="s">
        <v>22227</v>
      </c>
      <c r="AC3340" s="2">
        <v>3.8690312972032799</v>
      </c>
      <c r="AD3340" s="2"/>
      <c r="AE3340" s="2">
        <v>0.17068170933129601</v>
      </c>
      <c r="AF3340" s="2">
        <v>1003.84546201262</v>
      </c>
      <c r="AG3340" s="2">
        <v>2650.49946238742</v>
      </c>
      <c r="AH3340" s="4">
        <v>0.37873822509981497</v>
      </c>
      <c r="AI3340" s="4">
        <v>-1.40072705872203</v>
      </c>
      <c r="AJ3340" s="4" t="s">
        <v>62</v>
      </c>
      <c r="AK3340" s="2">
        <v>0.47159944445407298</v>
      </c>
      <c r="AL3340" s="2">
        <v>0.71828781470596004</v>
      </c>
      <c r="AM3340" s="2">
        <v>1873.2687025699599</v>
      </c>
      <c r="AN3340" s="2">
        <v>8.559877937157E-6</v>
      </c>
      <c r="AO3340" s="2">
        <v>8.559877937157E-6</v>
      </c>
      <c r="AP3340" s="2">
        <v>8.559877937157E-6</v>
      </c>
      <c r="AQ3340" s="2">
        <v>8.559877937157E-6</v>
      </c>
      <c r="AR3340" s="2">
        <v>4149.8040352662701</v>
      </c>
      <c r="AS3340" s="2">
        <v>8.559877937157E-6</v>
      </c>
      <c r="AT3340" s="2">
        <v>8.559877937157E-6</v>
      </c>
      <c r="AU3340" s="2">
        <v>1533.5469259377701</v>
      </c>
      <c r="AV3340" s="2">
        <v>13016.5671057002</v>
      </c>
      <c r="AW3340" s="2">
        <v>897.50340765609099</v>
      </c>
      <c r="AX3340" s="2">
        <v>455.37931791067803</v>
      </c>
    </row>
    <row r="3341" spans="1:50" x14ac:dyDescent="0.25">
      <c r="A3341" s="2" t="s">
        <v>22228</v>
      </c>
      <c r="B3341" s="2">
        <v>307.11640421605898</v>
      </c>
      <c r="C3341" s="2">
        <v>9.4598666666666702</v>
      </c>
      <c r="D3341" s="2" t="s">
        <v>51</v>
      </c>
      <c r="E3341" s="2" t="s">
        <v>22229</v>
      </c>
      <c r="F3341" s="2">
        <v>255424</v>
      </c>
      <c r="G3341" s="3" t="str">
        <f>HYPERLINK("https://cloud.oebiotech.com/#/lm/network/255424", "https://cloud.oebiotech.com/#/lm/network/255424")</f>
        <v>https://cloud.oebiotech.com/#/lm/network/255424</v>
      </c>
      <c r="H3341" s="2" t="s">
        <v>22230</v>
      </c>
      <c r="I3341" s="2"/>
      <c r="J3341" s="2"/>
      <c r="K3341" s="2">
        <v>45109789</v>
      </c>
      <c r="L3341" s="2"/>
      <c r="M3341" s="2"/>
      <c r="N3341" s="2"/>
      <c r="O3341" s="2"/>
      <c r="P3341" s="2"/>
      <c r="Q3341" s="2"/>
      <c r="R3341" s="2"/>
      <c r="S3341" s="2" t="s">
        <v>22231</v>
      </c>
      <c r="T3341" s="2" t="s">
        <v>22232</v>
      </c>
      <c r="U3341" s="2" t="s">
        <v>56</v>
      </c>
      <c r="V3341" s="2" t="s">
        <v>57</v>
      </c>
      <c r="W3341" s="2" t="s">
        <v>702</v>
      </c>
      <c r="X3341" s="2" t="s">
        <v>147</v>
      </c>
      <c r="Y3341" s="2">
        <v>39.6</v>
      </c>
      <c r="Z3341" s="2">
        <v>0</v>
      </c>
      <c r="AA3341" s="2" t="s">
        <v>218</v>
      </c>
      <c r="AB3341" s="2" t="s">
        <v>22233</v>
      </c>
      <c r="AC3341" s="2">
        <v>0.23516696937361301</v>
      </c>
      <c r="AD3341" s="2"/>
      <c r="AE3341" s="2">
        <v>0.170658877520246</v>
      </c>
      <c r="AF3341" s="2">
        <v>3872.2966505464901</v>
      </c>
      <c r="AG3341" s="2">
        <v>4563.9940254421999</v>
      </c>
      <c r="AH3341" s="4">
        <v>0.84844472384499003</v>
      </c>
      <c r="AI3341" s="4">
        <v>-0.237107423607817</v>
      </c>
      <c r="AJ3341" s="4" t="s">
        <v>62</v>
      </c>
      <c r="AK3341" s="2">
        <v>0.10932205731575501</v>
      </c>
      <c r="AL3341" s="2">
        <v>0.42118433113798698</v>
      </c>
      <c r="AM3341" s="2">
        <v>2822.65545951997</v>
      </c>
      <c r="AN3341" s="2">
        <v>3047.5407622908801</v>
      </c>
      <c r="AO3341" s="2">
        <v>3983.7910754210102</v>
      </c>
      <c r="AP3341" s="2">
        <v>4154.2271596154296</v>
      </c>
      <c r="AQ3341" s="2">
        <v>4689.4936932861601</v>
      </c>
      <c r="AR3341" s="2">
        <v>4536.0717531454702</v>
      </c>
      <c r="AS3341" s="2">
        <v>4226.37978060163</v>
      </c>
      <c r="AT3341" s="2">
        <v>4816.3728544536898</v>
      </c>
      <c r="AU3341" s="2">
        <v>3796.9401851980401</v>
      </c>
      <c r="AV3341" s="2">
        <v>5292.0534039406202</v>
      </c>
      <c r="AW3341" s="2">
        <v>4201.8072866566899</v>
      </c>
      <c r="AX3341" s="2">
        <v>5050.4106418025003</v>
      </c>
    </row>
    <row r="3342" spans="1:50" x14ac:dyDescent="0.25">
      <c r="A3342" s="2" t="s">
        <v>22234</v>
      </c>
      <c r="B3342" s="2">
        <v>268.19670000000002</v>
      </c>
      <c r="C3342" s="2">
        <v>14.638999999999999</v>
      </c>
      <c r="D3342" s="2" t="s">
        <v>125</v>
      </c>
      <c r="E3342" s="2" t="s">
        <v>22235</v>
      </c>
      <c r="F3342" s="2">
        <v>81763</v>
      </c>
      <c r="G3342" s="3" t="str">
        <f>HYPERLINK("https://cloud.oebiotech.com/#/lm/network/81763", "https://cloud.oebiotech.com/#/lm/network/81763")</f>
        <v>https://cloud.oebiotech.com/#/lm/network/81763</v>
      </c>
      <c r="H3342" s="2" t="s">
        <v>22236</v>
      </c>
      <c r="I3342" s="2">
        <v>63123</v>
      </c>
      <c r="J3342" s="2"/>
      <c r="K3342" s="2">
        <v>5146</v>
      </c>
      <c r="L3342" s="2" t="s">
        <v>22237</v>
      </c>
      <c r="M3342" s="2"/>
      <c r="N3342" s="2"/>
      <c r="O3342" s="2">
        <v>16464</v>
      </c>
      <c r="P3342" s="2"/>
      <c r="Q3342" s="2"/>
      <c r="R3342" s="2" t="s">
        <v>22238</v>
      </c>
      <c r="S3342" s="2" t="s">
        <v>22239</v>
      </c>
      <c r="T3342" s="2" t="s">
        <v>22240</v>
      </c>
      <c r="U3342" s="2" t="s">
        <v>610</v>
      </c>
      <c r="V3342" s="2" t="s">
        <v>611</v>
      </c>
      <c r="W3342" s="2" t="s">
        <v>22241</v>
      </c>
      <c r="X3342" s="2" t="s">
        <v>59</v>
      </c>
      <c r="Y3342" s="2">
        <v>74.599999999999994</v>
      </c>
      <c r="Z3342" s="2">
        <v>57.8</v>
      </c>
      <c r="AA3342" s="2"/>
      <c r="AB3342" s="2" t="s">
        <v>22242</v>
      </c>
      <c r="AC3342" s="2"/>
      <c r="AD3342" s="2">
        <v>492704.41721170401</v>
      </c>
      <c r="AE3342" s="2">
        <v>0.170622713331638</v>
      </c>
      <c r="AF3342" s="2">
        <v>17580.972072061399</v>
      </c>
      <c r="AG3342" s="2">
        <v>3379.5424389933701</v>
      </c>
      <c r="AH3342" s="5">
        <v>5.2021752617191703</v>
      </c>
      <c r="AI3342" s="5">
        <v>2.37911500461612</v>
      </c>
      <c r="AJ3342" s="5" t="s">
        <v>139</v>
      </c>
      <c r="AK3342" s="2">
        <v>0.33429161988681799</v>
      </c>
      <c r="AL3342" s="2">
        <v>0.635100591125773</v>
      </c>
      <c r="AM3342" s="2">
        <v>2299.8352172700202</v>
      </c>
      <c r="AN3342" s="2">
        <v>5037.4786369079102</v>
      </c>
      <c r="AO3342" s="2">
        <v>2299.8352172700202</v>
      </c>
      <c r="AP3342" s="2">
        <v>6135.2075332971099</v>
      </c>
      <c r="AQ3342" s="2">
        <v>87413.640610353294</v>
      </c>
      <c r="AR3342" s="2">
        <v>2299.8352172700202</v>
      </c>
      <c r="AS3342" s="2">
        <v>5592.86994205458</v>
      </c>
      <c r="AT3342" s="2">
        <v>2299.8352172700202</v>
      </c>
      <c r="AU3342" s="2">
        <v>2299.8352172700202</v>
      </c>
      <c r="AV3342" s="2">
        <v>2299.8352172700202</v>
      </c>
      <c r="AW3342" s="2">
        <v>5485.0438228255798</v>
      </c>
      <c r="AX3342" s="2">
        <v>2299.8352172700202</v>
      </c>
    </row>
    <row r="3343" spans="1:50" x14ac:dyDescent="0.25">
      <c r="A3343" s="2" t="s">
        <v>22243</v>
      </c>
      <c r="B3343" s="2">
        <v>372.24445643285299</v>
      </c>
      <c r="C3343" s="2">
        <v>9.1347333333333296</v>
      </c>
      <c r="D3343" s="2" t="s">
        <v>51</v>
      </c>
      <c r="E3343" s="2" t="s">
        <v>22244</v>
      </c>
      <c r="F3343" s="2">
        <v>516242</v>
      </c>
      <c r="G3343" s="3" t="str">
        <f>HYPERLINK("https://cloud.oebiotech.com/#/lm/network/516242", "https://cloud.oebiotech.com/#/lm/network/516242")</f>
        <v>https://cloud.oebiotech.com/#/lm/network/516242</v>
      </c>
      <c r="H3343" s="2"/>
      <c r="I3343" s="2">
        <v>96567</v>
      </c>
      <c r="J3343" s="2"/>
      <c r="K3343" s="2">
        <v>156593929</v>
      </c>
      <c r="L3343" s="2"/>
      <c r="M3343" s="2"/>
      <c r="N3343" s="2"/>
      <c r="O3343" s="2"/>
      <c r="P3343" s="2"/>
      <c r="Q3343" s="2"/>
      <c r="R3343" s="2"/>
      <c r="S3343" s="2" t="s">
        <v>22245</v>
      </c>
      <c r="T3343" s="2" t="s">
        <v>22246</v>
      </c>
      <c r="U3343" s="2" t="s">
        <v>56</v>
      </c>
      <c r="V3343" s="2" t="s">
        <v>145</v>
      </c>
      <c r="W3343" s="2" t="s">
        <v>187</v>
      </c>
      <c r="X3343" s="2" t="s">
        <v>147</v>
      </c>
      <c r="Y3343" s="2">
        <v>36.6</v>
      </c>
      <c r="Z3343" s="2">
        <v>0</v>
      </c>
      <c r="AA3343" s="2" t="s">
        <v>122</v>
      </c>
      <c r="AB3343" s="2" t="s">
        <v>22247</v>
      </c>
      <c r="AC3343" s="2">
        <v>-1.4490286581387199</v>
      </c>
      <c r="AD3343" s="2"/>
      <c r="AE3343" s="2">
        <v>0.170576086245039</v>
      </c>
      <c r="AF3343" s="2">
        <v>2804.2112238202799</v>
      </c>
      <c r="AG3343" s="2">
        <v>1726.64125241436</v>
      </c>
      <c r="AH3343" s="5">
        <v>1.6240844587137899</v>
      </c>
      <c r="AI3343" s="5">
        <v>0.69962666023195796</v>
      </c>
      <c r="AJ3343" s="5" t="s">
        <v>139</v>
      </c>
      <c r="AK3343" s="2">
        <v>0.57522362544193595</v>
      </c>
      <c r="AL3343" s="2">
        <v>0.78579377678617801</v>
      </c>
      <c r="AM3343" s="2">
        <v>11146.351933338199</v>
      </c>
      <c r="AN3343" s="2">
        <v>325.865438283836</v>
      </c>
      <c r="AO3343" s="2">
        <v>3260.5045751902799</v>
      </c>
      <c r="AP3343" s="2">
        <v>51.241300122559302</v>
      </c>
      <c r="AQ3343" s="2">
        <v>200.75518215845901</v>
      </c>
      <c r="AR3343" s="2">
        <v>1840.5489138283399</v>
      </c>
      <c r="AS3343" s="2">
        <v>2517.95092372915</v>
      </c>
      <c r="AT3343" s="2">
        <v>858.38826684343201</v>
      </c>
      <c r="AU3343" s="2">
        <v>676.82328346079203</v>
      </c>
      <c r="AV3343" s="2">
        <v>1826.37493411424</v>
      </c>
      <c r="AW3343" s="2">
        <v>53.1166068875755</v>
      </c>
      <c r="AX3343" s="2">
        <v>4427.1934994509702</v>
      </c>
    </row>
    <row r="3344" spans="1:50" x14ac:dyDescent="0.25">
      <c r="A3344" s="2" t="s">
        <v>22248</v>
      </c>
      <c r="B3344" s="2">
        <v>630.34233679504302</v>
      </c>
      <c r="C3344" s="2">
        <v>4.6280333333333301</v>
      </c>
      <c r="D3344" s="2" t="s">
        <v>51</v>
      </c>
      <c r="E3344" s="2" t="s">
        <v>22249</v>
      </c>
      <c r="F3344" s="2">
        <v>52612</v>
      </c>
      <c r="G3344" s="3" t="str">
        <f>HYPERLINK("https://cloud.oebiotech.com/#/lm/network/52612", "https://cloud.oebiotech.com/#/lm/network/52612")</f>
        <v>https://cloud.oebiotech.com/#/lm/network/52612</v>
      </c>
      <c r="H3344" s="2" t="s">
        <v>22250</v>
      </c>
      <c r="I3344" s="2"/>
      <c r="J3344" s="2"/>
      <c r="K3344" s="2">
        <v>5462340</v>
      </c>
      <c r="L3344" s="2" t="s">
        <v>22251</v>
      </c>
      <c r="M3344" s="2"/>
      <c r="N3344" s="2"/>
      <c r="O3344" s="2"/>
      <c r="P3344" s="2"/>
      <c r="Q3344" s="2"/>
      <c r="R3344" s="2" t="s">
        <v>22252</v>
      </c>
      <c r="S3344" s="2" t="s">
        <v>22253</v>
      </c>
      <c r="T3344" s="2" t="s">
        <v>22254</v>
      </c>
      <c r="U3344" s="2" t="s">
        <v>103</v>
      </c>
      <c r="V3344" s="2" t="s">
        <v>104</v>
      </c>
      <c r="W3344" s="2" t="s">
        <v>105</v>
      </c>
      <c r="X3344" s="2" t="s">
        <v>147</v>
      </c>
      <c r="Y3344" s="2">
        <v>37.6</v>
      </c>
      <c r="Z3344" s="2">
        <v>10</v>
      </c>
      <c r="AA3344" s="2" t="s">
        <v>22255</v>
      </c>
      <c r="AB3344" s="2" t="s">
        <v>22256</v>
      </c>
      <c r="AC3344" s="2">
        <v>-4.3938550306568498</v>
      </c>
      <c r="AD3344" s="2"/>
      <c r="AE3344" s="2">
        <v>0.17055726919525099</v>
      </c>
      <c r="AF3344" s="2">
        <v>20867.8234252154</v>
      </c>
      <c r="AG3344" s="2">
        <v>24032.326747613199</v>
      </c>
      <c r="AH3344" s="4">
        <v>0.86832305687121702</v>
      </c>
      <c r="AI3344" s="4">
        <v>-0.203696202177445</v>
      </c>
      <c r="AJ3344" s="4" t="s">
        <v>62</v>
      </c>
      <c r="AK3344" s="2">
        <v>0.84922473546274801</v>
      </c>
      <c r="AL3344" s="2">
        <v>0.93318515058070095</v>
      </c>
      <c r="AM3344" s="2">
        <v>36021.048905315001</v>
      </c>
      <c r="AN3344" s="2">
        <v>3438.6628123823898</v>
      </c>
      <c r="AO3344" s="2">
        <v>6444.8595314427503</v>
      </c>
      <c r="AP3344" s="2">
        <v>6398.3164809678801</v>
      </c>
      <c r="AQ3344" s="2">
        <v>51520.721484879898</v>
      </c>
      <c r="AR3344" s="2">
        <v>21383.331336304698</v>
      </c>
      <c r="AS3344" s="2">
        <v>229.111501165834</v>
      </c>
      <c r="AT3344" s="2">
        <v>5826.1866070399801</v>
      </c>
      <c r="AU3344" s="2">
        <v>3744.72196782744</v>
      </c>
      <c r="AV3344" s="2">
        <v>91804.032078765595</v>
      </c>
      <c r="AW3344" s="2">
        <v>14790.9406379418</v>
      </c>
      <c r="AX3344" s="2">
        <v>27798.967692938699</v>
      </c>
    </row>
    <row r="3345" spans="1:50" x14ac:dyDescent="0.25">
      <c r="A3345" s="2" t="s">
        <v>22257</v>
      </c>
      <c r="B3345" s="2">
        <v>282.119743873424</v>
      </c>
      <c r="C3345" s="2">
        <v>0.73424999999999996</v>
      </c>
      <c r="D3345" s="2" t="s">
        <v>51</v>
      </c>
      <c r="E3345" s="2" t="s">
        <v>22258</v>
      </c>
      <c r="F3345" s="2">
        <v>199469</v>
      </c>
      <c r="G3345" s="3" t="str">
        <f>HYPERLINK("https://cloud.oebiotech.com/#/lm/network/199469", "https://cloud.oebiotech.com/#/lm/network/199469")</f>
        <v>https://cloud.oebiotech.com/#/lm/network/199469</v>
      </c>
      <c r="H3345" s="2" t="s">
        <v>22259</v>
      </c>
      <c r="I3345" s="2"/>
      <c r="J3345" s="2"/>
      <c r="K3345" s="2">
        <v>260623</v>
      </c>
      <c r="L3345" s="2"/>
      <c r="M3345" s="2"/>
      <c r="N3345" s="2"/>
      <c r="O3345" s="2"/>
      <c r="P3345" s="2"/>
      <c r="Q3345" s="2"/>
      <c r="R3345" s="2"/>
      <c r="S3345" s="2" t="s">
        <v>22260</v>
      </c>
      <c r="T3345" s="2" t="s">
        <v>22261</v>
      </c>
      <c r="U3345" s="2" t="s">
        <v>295</v>
      </c>
      <c r="V3345" s="2" t="s">
        <v>5395</v>
      </c>
      <c r="W3345" s="2" t="s">
        <v>240</v>
      </c>
      <c r="X3345" s="2" t="s">
        <v>83</v>
      </c>
      <c r="Y3345" s="2">
        <v>46.5</v>
      </c>
      <c r="Z3345" s="2">
        <v>0</v>
      </c>
      <c r="AA3345" s="2" t="s">
        <v>259</v>
      </c>
      <c r="AB3345" s="2" t="s">
        <v>9047</v>
      </c>
      <c r="AC3345" s="2">
        <v>0.22573935975100101</v>
      </c>
      <c r="AD3345" s="2"/>
      <c r="AE3345" s="2">
        <v>0.17045108607781501</v>
      </c>
      <c r="AF3345" s="2">
        <v>8595.1348705248693</v>
      </c>
      <c r="AG3345" s="2">
        <v>11675.693581097399</v>
      </c>
      <c r="AH3345" s="4">
        <v>0.73615625579966704</v>
      </c>
      <c r="AI3345" s="4">
        <v>-0.441916071076707</v>
      </c>
      <c r="AJ3345" s="4" t="s">
        <v>62</v>
      </c>
      <c r="AK3345" s="2">
        <v>0.398689650132099</v>
      </c>
      <c r="AL3345" s="2">
        <v>0.66807956279695502</v>
      </c>
      <c r="AM3345" s="2">
        <v>2430.4487538426602</v>
      </c>
      <c r="AN3345" s="2">
        <v>17211.354281917698</v>
      </c>
      <c r="AO3345" s="2">
        <v>9407.9851196219297</v>
      </c>
      <c r="AP3345" s="2">
        <v>6295.15659034482</v>
      </c>
      <c r="AQ3345" s="2">
        <v>5041.20267485564</v>
      </c>
      <c r="AR3345" s="2">
        <v>11184.661802566499</v>
      </c>
      <c r="AS3345" s="2">
        <v>14915.0530811716</v>
      </c>
      <c r="AT3345" s="2">
        <v>23988.597671887801</v>
      </c>
      <c r="AU3345" s="2">
        <v>9515.6905824281293</v>
      </c>
      <c r="AV3345" s="2">
        <v>8178.2189807231898</v>
      </c>
      <c r="AW3345" s="2">
        <v>6087.4068907072997</v>
      </c>
      <c r="AX3345" s="2">
        <v>7369.1942796664498</v>
      </c>
    </row>
    <row r="3346" spans="1:50" x14ac:dyDescent="0.25">
      <c r="A3346" s="2" t="s">
        <v>22262</v>
      </c>
      <c r="B3346" s="2">
        <v>505.14883447035101</v>
      </c>
      <c r="C3346" s="2">
        <v>7.4161666666666699</v>
      </c>
      <c r="D3346" s="2" t="s">
        <v>51</v>
      </c>
      <c r="E3346" s="2" t="s">
        <v>22263</v>
      </c>
      <c r="F3346" s="2">
        <v>209092</v>
      </c>
      <c r="G3346" s="3" t="str">
        <f>HYPERLINK("https://cloud.oebiotech.com/#/lm/network/209092", "https://cloud.oebiotech.com/#/lm/network/209092")</f>
        <v>https://cloud.oebiotech.com/#/lm/network/209092</v>
      </c>
      <c r="H3346" s="2" t="s">
        <v>22264</v>
      </c>
      <c r="I3346" s="2"/>
      <c r="J3346" s="2"/>
      <c r="K3346" s="2">
        <v>561045</v>
      </c>
      <c r="L3346" s="2"/>
      <c r="M3346" s="2"/>
      <c r="N3346" s="2"/>
      <c r="O3346" s="2"/>
      <c r="P3346" s="2"/>
      <c r="Q3346" s="2"/>
      <c r="R3346" s="2"/>
      <c r="S3346" s="2" t="s">
        <v>22265</v>
      </c>
      <c r="T3346" s="2" t="s">
        <v>22266</v>
      </c>
      <c r="U3346" s="2" t="s">
        <v>103</v>
      </c>
      <c r="V3346" s="2" t="s">
        <v>104</v>
      </c>
      <c r="W3346" s="2" t="s">
        <v>105</v>
      </c>
      <c r="X3346" s="2" t="s">
        <v>147</v>
      </c>
      <c r="Y3346" s="2">
        <v>38.1</v>
      </c>
      <c r="Z3346" s="2">
        <v>0</v>
      </c>
      <c r="AA3346" s="2" t="s">
        <v>478</v>
      </c>
      <c r="AB3346" s="2" t="s">
        <v>22267</v>
      </c>
      <c r="AC3346" s="2">
        <v>3.1259490957626301</v>
      </c>
      <c r="AD3346" s="2"/>
      <c r="AE3346" s="2">
        <v>0.17034019122267099</v>
      </c>
      <c r="AF3346" s="2">
        <v>5192.4348380567299</v>
      </c>
      <c r="AG3346" s="2">
        <v>2200.9991154376698</v>
      </c>
      <c r="AH3346" s="5">
        <v>2.3591262720813102</v>
      </c>
      <c r="AI3346" s="5">
        <v>1.23825264080292</v>
      </c>
      <c r="AJ3346" s="5" t="s">
        <v>139</v>
      </c>
      <c r="AK3346" s="2">
        <v>0.365174916427084</v>
      </c>
      <c r="AL3346" s="2">
        <v>0.65028298705086895</v>
      </c>
      <c r="AM3346" s="2">
        <v>195.178668080677</v>
      </c>
      <c r="AN3346" s="2">
        <v>395.84829015586502</v>
      </c>
      <c r="AO3346" s="2">
        <v>13703.620137080299</v>
      </c>
      <c r="AP3346" s="2">
        <v>15992.6886823442</v>
      </c>
      <c r="AQ3346" s="2">
        <v>867.27324211946905</v>
      </c>
      <c r="AR3346" s="2">
        <v>8.559877937157E-6</v>
      </c>
      <c r="AS3346" s="2">
        <v>779.84142998118205</v>
      </c>
      <c r="AT3346" s="2">
        <v>3855.3154967507298</v>
      </c>
      <c r="AU3346" s="2">
        <v>2007.5249352840799</v>
      </c>
      <c r="AV3346" s="2">
        <v>4849.1635823344996</v>
      </c>
      <c r="AW3346" s="2">
        <v>559.98039089754695</v>
      </c>
      <c r="AX3346" s="2">
        <v>1154.16885737797</v>
      </c>
    </row>
    <row r="3347" spans="1:50" x14ac:dyDescent="0.25">
      <c r="A3347" s="2" t="s">
        <v>22268</v>
      </c>
      <c r="B3347" s="2">
        <v>425.17191091378902</v>
      </c>
      <c r="C3347" s="2">
        <v>6.3834666666666697</v>
      </c>
      <c r="D3347" s="2" t="s">
        <v>51</v>
      </c>
      <c r="E3347" s="2" t="s">
        <v>22269</v>
      </c>
      <c r="F3347" s="2">
        <v>267527</v>
      </c>
      <c r="G3347" s="3" t="str">
        <f>HYPERLINK("https://cloud.oebiotech.com/#/lm/network/267527", "https://cloud.oebiotech.com/#/lm/network/267527")</f>
        <v>https://cloud.oebiotech.com/#/lm/network/267527</v>
      </c>
      <c r="H3347" s="2"/>
      <c r="I3347" s="2">
        <v>45627</v>
      </c>
      <c r="J3347" s="2"/>
      <c r="K3347" s="2">
        <v>11715767</v>
      </c>
      <c r="L3347" s="2"/>
      <c r="M3347" s="2"/>
      <c r="N3347" s="2"/>
      <c r="O3347" s="2"/>
      <c r="P3347" s="2"/>
      <c r="Q3347" s="2"/>
      <c r="R3347" s="2" t="s">
        <v>22270</v>
      </c>
      <c r="S3347" s="2" t="s">
        <v>22271</v>
      </c>
      <c r="T3347" s="2" t="s">
        <v>22272</v>
      </c>
      <c r="U3347" s="2" t="s">
        <v>266</v>
      </c>
      <c r="V3347" s="2" t="s">
        <v>6065</v>
      </c>
      <c r="W3347" s="2" t="s">
        <v>240</v>
      </c>
      <c r="X3347" s="2" t="s">
        <v>147</v>
      </c>
      <c r="Y3347" s="2">
        <v>38.6</v>
      </c>
      <c r="Z3347" s="2">
        <v>0</v>
      </c>
      <c r="AA3347" s="2" t="s">
        <v>478</v>
      </c>
      <c r="AB3347" s="2" t="s">
        <v>18031</v>
      </c>
      <c r="AC3347" s="2">
        <v>-2.90165291844193</v>
      </c>
      <c r="AD3347" s="2"/>
      <c r="AE3347" s="2">
        <v>0.17028479139883301</v>
      </c>
      <c r="AF3347" s="2">
        <v>1827.1915795279299</v>
      </c>
      <c r="AG3347" s="2">
        <v>786.31868064088997</v>
      </c>
      <c r="AH3347" s="5">
        <v>2.3237290738644001</v>
      </c>
      <c r="AI3347" s="5">
        <v>1.21644187314132</v>
      </c>
      <c r="AJ3347" s="5" t="s">
        <v>139</v>
      </c>
      <c r="AK3347" s="2">
        <v>5.0488748013321899E-2</v>
      </c>
      <c r="AL3347" s="2">
        <v>0.31107379612992297</v>
      </c>
      <c r="AM3347" s="2">
        <v>781.12226125122504</v>
      </c>
      <c r="AN3347" s="2">
        <v>2315.0506953484301</v>
      </c>
      <c r="AO3347" s="2">
        <v>1560.3563656890001</v>
      </c>
      <c r="AP3347" s="2">
        <v>2750.1288025747199</v>
      </c>
      <c r="AQ3347" s="2">
        <v>880.14891234941501</v>
      </c>
      <c r="AR3347" s="2">
        <v>2676.3424399548198</v>
      </c>
      <c r="AS3347" s="2">
        <v>1221.4847833307001</v>
      </c>
      <c r="AT3347" s="2">
        <v>537.11544217033804</v>
      </c>
      <c r="AU3347" s="2">
        <v>2055.07614123032</v>
      </c>
      <c r="AV3347" s="2">
        <v>8.559877937157E-6</v>
      </c>
      <c r="AW3347" s="2">
        <v>499.95269500719797</v>
      </c>
      <c r="AX3347" s="2">
        <v>404.28301354690501</v>
      </c>
    </row>
    <row r="3348" spans="1:50" x14ac:dyDescent="0.25">
      <c r="A3348" s="2" t="s">
        <v>22273</v>
      </c>
      <c r="B3348" s="2">
        <v>375.27514994095498</v>
      </c>
      <c r="C3348" s="2">
        <v>12.4858833333333</v>
      </c>
      <c r="D3348" s="2" t="s">
        <v>51</v>
      </c>
      <c r="E3348" s="2" t="s">
        <v>22274</v>
      </c>
      <c r="F3348" s="2">
        <v>10431</v>
      </c>
      <c r="G3348" s="3" t="str">
        <f>HYPERLINK("https://cloud.oebiotech.com/#/lm/network/10431", "https://cloud.oebiotech.com/#/lm/network/10431")</f>
        <v>https://cloud.oebiotech.com/#/lm/network/10431</v>
      </c>
      <c r="H3348" s="2" t="s">
        <v>22275</v>
      </c>
      <c r="I3348" s="2">
        <v>24076</v>
      </c>
      <c r="J3348" s="2" t="s">
        <v>22276</v>
      </c>
      <c r="K3348" s="2">
        <v>14900</v>
      </c>
      <c r="L3348" s="2"/>
      <c r="M3348" s="2"/>
      <c r="N3348" s="2"/>
      <c r="O3348" s="2">
        <v>69081</v>
      </c>
      <c r="P3348" s="2"/>
      <c r="Q3348" s="2"/>
      <c r="R3348" s="2" t="s">
        <v>22277</v>
      </c>
      <c r="S3348" s="2" t="s">
        <v>22278</v>
      </c>
      <c r="T3348" s="2" t="s">
        <v>22279</v>
      </c>
      <c r="U3348" s="2" t="s">
        <v>56</v>
      </c>
      <c r="V3348" s="2" t="s">
        <v>3215</v>
      </c>
      <c r="W3348" s="2" t="s">
        <v>4174</v>
      </c>
      <c r="X3348" s="2" t="s">
        <v>83</v>
      </c>
      <c r="Y3348" s="2">
        <v>45.7</v>
      </c>
      <c r="Z3348" s="2">
        <v>0</v>
      </c>
      <c r="AA3348" s="2" t="s">
        <v>218</v>
      </c>
      <c r="AB3348" s="2" t="s">
        <v>16374</v>
      </c>
      <c r="AC3348" s="2">
        <v>-0.1896164211453</v>
      </c>
      <c r="AD3348" s="2"/>
      <c r="AE3348" s="2">
        <v>0.17006276251340399</v>
      </c>
      <c r="AF3348" s="2">
        <v>1076.45745459156</v>
      </c>
      <c r="AG3348" s="2">
        <v>2589.2023690066899</v>
      </c>
      <c r="AH3348" s="4">
        <v>0.41574867514296598</v>
      </c>
      <c r="AI3348" s="4">
        <v>-1.26621642877162</v>
      </c>
      <c r="AJ3348" s="4" t="s">
        <v>62</v>
      </c>
      <c r="AK3348" s="2">
        <v>0.135810157536258</v>
      </c>
      <c r="AL3348" s="2">
        <v>0.457070459966327</v>
      </c>
      <c r="AM3348" s="2">
        <v>1740.5152397106799</v>
      </c>
      <c r="AN3348" s="2">
        <v>875.97014101795901</v>
      </c>
      <c r="AO3348" s="2">
        <v>947.225758004456</v>
      </c>
      <c r="AP3348" s="2">
        <v>356.946600114695</v>
      </c>
      <c r="AQ3348" s="2">
        <v>1583.40493613696</v>
      </c>
      <c r="AR3348" s="2">
        <v>954.68205256461601</v>
      </c>
      <c r="AS3348" s="2">
        <v>1707.7240631477</v>
      </c>
      <c r="AT3348" s="2">
        <v>730.23271650215702</v>
      </c>
      <c r="AU3348" s="2">
        <v>6924.9869230652303</v>
      </c>
      <c r="AV3348" s="2">
        <v>2517.1402320236498</v>
      </c>
      <c r="AW3348" s="2">
        <v>2375.8578214310301</v>
      </c>
      <c r="AX3348" s="2">
        <v>1279.2724578704001</v>
      </c>
    </row>
    <row r="3349" spans="1:50" x14ac:dyDescent="0.25">
      <c r="A3349" s="2" t="s">
        <v>22280</v>
      </c>
      <c r="B3349" s="2">
        <v>582.26957896815702</v>
      </c>
      <c r="C3349" s="2">
        <v>4.0390499999999996</v>
      </c>
      <c r="D3349" s="2" t="s">
        <v>51</v>
      </c>
      <c r="E3349" s="2" t="s">
        <v>22281</v>
      </c>
      <c r="F3349" s="2">
        <v>28362</v>
      </c>
      <c r="G3349" s="3" t="str">
        <f>HYPERLINK("https://cloud.oebiotech.com/#/lm/network/28362", "https://cloud.oebiotech.com/#/lm/network/28362")</f>
        <v>https://cloud.oebiotech.com/#/lm/network/28362</v>
      </c>
      <c r="H3349" s="2"/>
      <c r="I3349" s="2"/>
      <c r="J3349" s="2" t="s">
        <v>22282</v>
      </c>
      <c r="K3349" s="2"/>
      <c r="L3349" s="2"/>
      <c r="M3349" s="2"/>
      <c r="N3349" s="2"/>
      <c r="O3349" s="2"/>
      <c r="P3349" s="2"/>
      <c r="Q3349" s="2"/>
      <c r="R3349" s="2"/>
      <c r="S3349" s="2" t="s">
        <v>22283</v>
      </c>
      <c r="T3349" s="2" t="s">
        <v>22284</v>
      </c>
      <c r="U3349" s="2" t="s">
        <v>266</v>
      </c>
      <c r="V3349" s="2" t="s">
        <v>984</v>
      </c>
      <c r="W3349" s="2" t="s">
        <v>240</v>
      </c>
      <c r="X3349" s="2" t="s">
        <v>147</v>
      </c>
      <c r="Y3349" s="2">
        <v>36.9</v>
      </c>
      <c r="Z3349" s="2">
        <v>0</v>
      </c>
      <c r="AA3349" s="2" t="s">
        <v>163</v>
      </c>
      <c r="AB3349" s="2" t="s">
        <v>22285</v>
      </c>
      <c r="AC3349" s="2">
        <v>-2.1884851897461499</v>
      </c>
      <c r="AD3349" s="2"/>
      <c r="AE3349" s="2">
        <v>0.170055751143318</v>
      </c>
      <c r="AF3349" s="2">
        <v>1127.7038495945101</v>
      </c>
      <c r="AG3349" s="2">
        <v>223.286680179858</v>
      </c>
      <c r="AH3349" s="5">
        <v>5.0504752396611297</v>
      </c>
      <c r="AI3349" s="5">
        <v>2.3364191489819199</v>
      </c>
      <c r="AJ3349" s="5" t="s">
        <v>139</v>
      </c>
      <c r="AK3349" s="2">
        <v>3.3667335176223799E-2</v>
      </c>
      <c r="AL3349" s="2">
        <v>0.27023848021491997</v>
      </c>
      <c r="AM3349" s="2">
        <v>732.91007310375903</v>
      </c>
      <c r="AN3349" s="2">
        <v>475.892715441029</v>
      </c>
      <c r="AO3349" s="2">
        <v>2061.7847627668398</v>
      </c>
      <c r="AP3349" s="2">
        <v>8.559877937157E-6</v>
      </c>
      <c r="AQ3349" s="2">
        <v>1957.3340827547599</v>
      </c>
      <c r="AR3349" s="2">
        <v>1538.3014549407901</v>
      </c>
      <c r="AS3349" s="2">
        <v>785.09517452681598</v>
      </c>
      <c r="AT3349" s="2">
        <v>8.559877937157E-6</v>
      </c>
      <c r="AU3349" s="2">
        <v>8.559877937157E-6</v>
      </c>
      <c r="AV3349" s="2">
        <v>305.60019204236897</v>
      </c>
      <c r="AW3349" s="2">
        <v>8.559877937157E-6</v>
      </c>
      <c r="AX3349" s="2">
        <v>249.024688830332</v>
      </c>
    </row>
    <row r="3350" spans="1:50" x14ac:dyDescent="0.25">
      <c r="A3350" s="2" t="s">
        <v>22286</v>
      </c>
      <c r="B3350" s="2">
        <v>333.09346729410203</v>
      </c>
      <c r="C3350" s="2">
        <v>5.1832166666666701</v>
      </c>
      <c r="D3350" s="2" t="s">
        <v>51</v>
      </c>
      <c r="E3350" s="2" t="s">
        <v>22287</v>
      </c>
      <c r="F3350" s="2">
        <v>82497</v>
      </c>
      <c r="G3350" s="3" t="str">
        <f>HYPERLINK("https://cloud.oebiotech.com/#/lm/network/82497", "https://cloud.oebiotech.com/#/lm/network/82497")</f>
        <v>https://cloud.oebiotech.com/#/lm/network/82497</v>
      </c>
      <c r="H3350" s="2" t="s">
        <v>22288</v>
      </c>
      <c r="I3350" s="2"/>
      <c r="J3350" s="2"/>
      <c r="K3350" s="2">
        <v>98994</v>
      </c>
      <c r="L3350" s="2"/>
      <c r="M3350" s="2"/>
      <c r="N3350" s="2"/>
      <c r="O3350" s="2"/>
      <c r="P3350" s="2"/>
      <c r="Q3350" s="2"/>
      <c r="R3350" s="2"/>
      <c r="S3350" s="2" t="s">
        <v>22289</v>
      </c>
      <c r="T3350" s="2" t="s">
        <v>22290</v>
      </c>
      <c r="U3350" s="2" t="s">
        <v>103</v>
      </c>
      <c r="V3350" s="2" t="s">
        <v>104</v>
      </c>
      <c r="W3350" s="2" t="s">
        <v>105</v>
      </c>
      <c r="X3350" s="2" t="s">
        <v>83</v>
      </c>
      <c r="Y3350" s="2">
        <v>48.6</v>
      </c>
      <c r="Z3350" s="2">
        <v>0</v>
      </c>
      <c r="AA3350" s="2" t="s">
        <v>379</v>
      </c>
      <c r="AB3350" s="2" t="s">
        <v>22291</v>
      </c>
      <c r="AC3350" s="2">
        <v>5.7245444616836396</v>
      </c>
      <c r="AD3350" s="2"/>
      <c r="AE3350" s="2">
        <v>0.17002163154776401</v>
      </c>
      <c r="AF3350" s="2">
        <v>1238.44868233188</v>
      </c>
      <c r="AG3350" s="2">
        <v>553.66930034017003</v>
      </c>
      <c r="AH3350" s="5">
        <v>2.2368021517013701</v>
      </c>
      <c r="AI3350" s="5">
        <v>1.1614376536333</v>
      </c>
      <c r="AJ3350" s="5" t="s">
        <v>139</v>
      </c>
      <c r="AK3350" s="2">
        <v>5.7273848288172398E-2</v>
      </c>
      <c r="AL3350" s="2">
        <v>0.32619617973633502</v>
      </c>
      <c r="AM3350" s="2">
        <v>1601.99024808436</v>
      </c>
      <c r="AN3350" s="2">
        <v>2008.87056442421</v>
      </c>
      <c r="AO3350" s="2">
        <v>1441.62449484576</v>
      </c>
      <c r="AP3350" s="2">
        <v>370.48392461509098</v>
      </c>
      <c r="AQ3350" s="2">
        <v>1134.1391903081701</v>
      </c>
      <c r="AR3350" s="2">
        <v>873.58367171370605</v>
      </c>
      <c r="AS3350" s="2">
        <v>534.25798632409806</v>
      </c>
      <c r="AT3350" s="2">
        <v>8.559877937157E-6</v>
      </c>
      <c r="AU3350" s="2">
        <v>1109.16006856229</v>
      </c>
      <c r="AV3350" s="2">
        <v>8.559877937157E-6</v>
      </c>
      <c r="AW3350" s="2">
        <v>452.07469318431902</v>
      </c>
      <c r="AX3350" s="2">
        <v>1226.5230368505599</v>
      </c>
    </row>
    <row r="3351" spans="1:50" x14ac:dyDescent="0.25">
      <c r="A3351" s="2" t="s">
        <v>22292</v>
      </c>
      <c r="B3351" s="2">
        <v>313.11956011779802</v>
      </c>
      <c r="C3351" s="2">
        <v>8.3100500000000004</v>
      </c>
      <c r="D3351" s="2" t="s">
        <v>51</v>
      </c>
      <c r="E3351" s="2" t="s">
        <v>22293</v>
      </c>
      <c r="F3351" s="2">
        <v>213369</v>
      </c>
      <c r="G3351" s="3" t="str">
        <f>HYPERLINK("https://cloud.oebiotech.com/#/lm/network/213369", "https://cloud.oebiotech.com/#/lm/network/213369")</f>
        <v>https://cloud.oebiotech.com/#/lm/network/213369</v>
      </c>
      <c r="H3351" s="2" t="s">
        <v>22294</v>
      </c>
      <c r="I3351" s="2"/>
      <c r="J3351" s="2"/>
      <c r="K3351" s="2">
        <v>90994944</v>
      </c>
      <c r="L3351" s="2"/>
      <c r="M3351" s="2"/>
      <c r="N3351" s="2"/>
      <c r="O3351" s="2"/>
      <c r="P3351" s="2"/>
      <c r="Q3351" s="2"/>
      <c r="R3351" s="2"/>
      <c r="S3351" s="2" t="s">
        <v>22295</v>
      </c>
      <c r="T3351" s="2" t="s">
        <v>22296</v>
      </c>
      <c r="U3351" s="2" t="s">
        <v>610</v>
      </c>
      <c r="V3351" s="2" t="s">
        <v>611</v>
      </c>
      <c r="W3351" s="2" t="s">
        <v>22297</v>
      </c>
      <c r="X3351" s="2" t="s">
        <v>147</v>
      </c>
      <c r="Y3351" s="2">
        <v>39.5</v>
      </c>
      <c r="Z3351" s="2">
        <v>4.87</v>
      </c>
      <c r="AA3351" s="2" t="s">
        <v>218</v>
      </c>
      <c r="AB3351" s="2" t="s">
        <v>12599</v>
      </c>
      <c r="AC3351" s="2">
        <v>0.66942104030233596</v>
      </c>
      <c r="AD3351" s="2"/>
      <c r="AE3351" s="2">
        <v>0.16998984844355</v>
      </c>
      <c r="AF3351" s="2">
        <v>2483.7017862190501</v>
      </c>
      <c r="AG3351" s="2">
        <v>3152.7206166598899</v>
      </c>
      <c r="AH3351" s="4">
        <v>0.78779634741323101</v>
      </c>
      <c r="AI3351" s="4">
        <v>-0.34410536691869398</v>
      </c>
      <c r="AJ3351" s="4" t="s">
        <v>62</v>
      </c>
      <c r="AK3351" s="2">
        <v>8.5707506713823794E-2</v>
      </c>
      <c r="AL3351" s="2">
        <v>0.378105092551277</v>
      </c>
      <c r="AM3351" s="2">
        <v>1697.48255799307</v>
      </c>
      <c r="AN3351" s="2">
        <v>2525.0183044230298</v>
      </c>
      <c r="AO3351" s="2">
        <v>2596.5272054421898</v>
      </c>
      <c r="AP3351" s="2">
        <v>2391.1462131963399</v>
      </c>
      <c r="AQ3351" s="2">
        <v>2764.3496976725601</v>
      </c>
      <c r="AR3351" s="2">
        <v>2927.6867385871301</v>
      </c>
      <c r="AS3351" s="2">
        <v>3674.62134507978</v>
      </c>
      <c r="AT3351" s="2">
        <v>2232.68930589413</v>
      </c>
      <c r="AU3351" s="2">
        <v>2759.47502782635</v>
      </c>
      <c r="AV3351" s="2">
        <v>2500.56002151844</v>
      </c>
      <c r="AW3351" s="2">
        <v>4010.0548953174598</v>
      </c>
      <c r="AX3351" s="2">
        <v>3738.9231043231998</v>
      </c>
    </row>
    <row r="3352" spans="1:50" x14ac:dyDescent="0.25">
      <c r="A3352" s="2" t="s">
        <v>22298</v>
      </c>
      <c r="B3352" s="2">
        <v>381.19193475565299</v>
      </c>
      <c r="C3352" s="2">
        <v>4.6849833333333297</v>
      </c>
      <c r="D3352" s="2" t="s">
        <v>51</v>
      </c>
      <c r="E3352" s="2" t="s">
        <v>22299</v>
      </c>
      <c r="F3352" s="2">
        <v>264000</v>
      </c>
      <c r="G3352" s="3" t="str">
        <f>HYPERLINK("https://cloud.oebiotech.com/#/lm/network/264000", "https://cloud.oebiotech.com/#/lm/network/264000")</f>
        <v>https://cloud.oebiotech.com/#/lm/network/264000</v>
      </c>
      <c r="H3352" s="2"/>
      <c r="I3352" s="2">
        <v>21438</v>
      </c>
      <c r="J3352" s="2"/>
      <c r="K3352" s="2">
        <v>145457616</v>
      </c>
      <c r="L3352" s="2"/>
      <c r="M3352" s="2"/>
      <c r="N3352" s="2"/>
      <c r="O3352" s="2"/>
      <c r="P3352" s="2"/>
      <c r="Q3352" s="2"/>
      <c r="R3352" s="2"/>
      <c r="S3352" s="2" t="s">
        <v>22300</v>
      </c>
      <c r="T3352" s="2" t="s">
        <v>22301</v>
      </c>
      <c r="U3352" s="2" t="s">
        <v>103</v>
      </c>
      <c r="V3352" s="2" t="s">
        <v>104</v>
      </c>
      <c r="W3352" s="2" t="s">
        <v>105</v>
      </c>
      <c r="X3352" s="2" t="s">
        <v>83</v>
      </c>
      <c r="Y3352" s="2">
        <v>51.9</v>
      </c>
      <c r="Z3352" s="2">
        <v>0</v>
      </c>
      <c r="AA3352" s="2" t="s">
        <v>379</v>
      </c>
      <c r="AB3352" s="2" t="s">
        <v>22302</v>
      </c>
      <c r="AC3352" s="2">
        <v>-3.1971124488112399</v>
      </c>
      <c r="AD3352" s="2"/>
      <c r="AE3352" s="2">
        <v>0.16942690241288499</v>
      </c>
      <c r="AF3352" s="2">
        <v>1222.2232126706799</v>
      </c>
      <c r="AG3352" s="2">
        <v>494.192143314563</v>
      </c>
      <c r="AH3352" s="5">
        <v>2.4731741068831798</v>
      </c>
      <c r="AI3352" s="5">
        <v>1.30636380636567</v>
      </c>
      <c r="AJ3352" s="5" t="s">
        <v>139</v>
      </c>
      <c r="AK3352" s="2">
        <v>0.21556584335652501</v>
      </c>
      <c r="AL3352" s="2">
        <v>0.54069049936953395</v>
      </c>
      <c r="AM3352" s="2">
        <v>2839.4729279148701</v>
      </c>
      <c r="AN3352" s="2">
        <v>2116.5043239787001</v>
      </c>
      <c r="AO3352" s="2">
        <v>1172.2077770757401</v>
      </c>
      <c r="AP3352" s="2">
        <v>1205.1542299350201</v>
      </c>
      <c r="AQ3352" s="2">
        <v>8.559877937157E-6</v>
      </c>
      <c r="AR3352" s="2">
        <v>8.559877937157E-6</v>
      </c>
      <c r="AS3352" s="2">
        <v>650.05873777012505</v>
      </c>
      <c r="AT3352" s="2">
        <v>130.03205248040501</v>
      </c>
      <c r="AU3352" s="2">
        <v>1907.7975486179901</v>
      </c>
      <c r="AV3352" s="2">
        <v>8.559877937157E-6</v>
      </c>
      <c r="AW3352" s="2">
        <v>8.559877937157E-6</v>
      </c>
      <c r="AX3352" s="2">
        <v>277.26450389910298</v>
      </c>
    </row>
    <row r="3353" spans="1:50" x14ac:dyDescent="0.25">
      <c r="A3353" s="2" t="s">
        <v>22303</v>
      </c>
      <c r="B3353" s="2">
        <v>300.08527620658998</v>
      </c>
      <c r="C3353" s="2">
        <v>5.8581000000000003</v>
      </c>
      <c r="D3353" s="2" t="s">
        <v>51</v>
      </c>
      <c r="E3353" s="2" t="s">
        <v>22304</v>
      </c>
      <c r="F3353" s="2">
        <v>204107</v>
      </c>
      <c r="G3353" s="3" t="str">
        <f>HYPERLINK("https://cloud.oebiotech.com/#/lm/network/204107", "https://cloud.oebiotech.com/#/lm/network/204107")</f>
        <v>https://cloud.oebiotech.com/#/lm/network/204107</v>
      </c>
      <c r="H3353" s="2" t="s">
        <v>22305</v>
      </c>
      <c r="I3353" s="2"/>
      <c r="J3353" s="2"/>
      <c r="K3353" s="2">
        <v>5270766</v>
      </c>
      <c r="L3353" s="2"/>
      <c r="M3353" s="2"/>
      <c r="N3353" s="2"/>
      <c r="O3353" s="2"/>
      <c r="P3353" s="2"/>
      <c r="Q3353" s="2"/>
      <c r="R3353" s="2"/>
      <c r="S3353" s="2" t="s">
        <v>22306</v>
      </c>
      <c r="T3353" s="2" t="s">
        <v>22307</v>
      </c>
      <c r="U3353" s="2" t="s">
        <v>266</v>
      </c>
      <c r="V3353" s="2" t="s">
        <v>2772</v>
      </c>
      <c r="W3353" s="2" t="s">
        <v>2773</v>
      </c>
      <c r="X3353" s="2" t="s">
        <v>147</v>
      </c>
      <c r="Y3353" s="2">
        <v>38.6</v>
      </c>
      <c r="Z3353" s="2">
        <v>0</v>
      </c>
      <c r="AA3353" s="2" t="s">
        <v>259</v>
      </c>
      <c r="AB3353" s="2" t="s">
        <v>22308</v>
      </c>
      <c r="AC3353" s="2">
        <v>-1.1395229405244101</v>
      </c>
      <c r="AD3353" s="2"/>
      <c r="AE3353" s="2">
        <v>0.16935776845219799</v>
      </c>
      <c r="AF3353" s="2">
        <v>3871.6319459226502</v>
      </c>
      <c r="AG3353" s="2">
        <v>4650.9260400922403</v>
      </c>
      <c r="AH3353" s="4">
        <v>0.83244324088324295</v>
      </c>
      <c r="AI3353" s="4">
        <v>-0.264576187733923</v>
      </c>
      <c r="AJ3353" s="4" t="s">
        <v>62</v>
      </c>
      <c r="AK3353" s="2">
        <v>5.3992068775654899E-2</v>
      </c>
      <c r="AL3353" s="2">
        <v>0.31917451919574003</v>
      </c>
      <c r="AM3353" s="2">
        <v>2921.21808261876</v>
      </c>
      <c r="AN3353" s="2">
        <v>4010.9802806348098</v>
      </c>
      <c r="AO3353" s="2">
        <v>4346.3585581553998</v>
      </c>
      <c r="AP3353" s="2">
        <v>4300.4367096211899</v>
      </c>
      <c r="AQ3353" s="2">
        <v>4293.1668961984997</v>
      </c>
      <c r="AR3353" s="2">
        <v>3357.63114830727</v>
      </c>
      <c r="AS3353" s="2">
        <v>4272.9719013423901</v>
      </c>
      <c r="AT3353" s="2">
        <v>5326.3423360757997</v>
      </c>
      <c r="AU3353" s="2">
        <v>3961.18136519988</v>
      </c>
      <c r="AV3353" s="2">
        <v>4697.3107462745202</v>
      </c>
      <c r="AW3353" s="2">
        <v>4148.1073591389704</v>
      </c>
      <c r="AX3353" s="2">
        <v>5499.6425325218997</v>
      </c>
    </row>
    <row r="3354" spans="1:50" x14ac:dyDescent="0.25">
      <c r="A3354" s="2" t="s">
        <v>22309</v>
      </c>
      <c r="B3354" s="2">
        <v>211.097073653666</v>
      </c>
      <c r="C3354" s="2">
        <v>4.9007166666666704</v>
      </c>
      <c r="D3354" s="2" t="s">
        <v>51</v>
      </c>
      <c r="E3354" s="2" t="s">
        <v>22310</v>
      </c>
      <c r="F3354" s="2">
        <v>534691</v>
      </c>
      <c r="G3354" s="3" t="str">
        <f>HYPERLINK("https://cloud.oebiotech.com/#/lm/network/534691", "https://cloud.oebiotech.com/#/lm/network/534691")</f>
        <v>https://cloud.oebiotech.com/#/lm/network/534691</v>
      </c>
      <c r="H3354" s="2"/>
      <c r="I3354" s="2">
        <v>985140</v>
      </c>
      <c r="J3354" s="2"/>
      <c r="K3354" s="2">
        <v>45359437</v>
      </c>
      <c r="L3354" s="2"/>
      <c r="M3354" s="2"/>
      <c r="N3354" s="2"/>
      <c r="O3354" s="2"/>
      <c r="P3354" s="2"/>
      <c r="Q3354" s="2"/>
      <c r="R3354" s="2"/>
      <c r="S3354" s="2" t="s">
        <v>22311</v>
      </c>
      <c r="T3354" s="2" t="s">
        <v>22312</v>
      </c>
      <c r="U3354" s="2" t="s">
        <v>266</v>
      </c>
      <c r="V3354" s="2" t="s">
        <v>10648</v>
      </c>
      <c r="W3354" s="2" t="s">
        <v>10649</v>
      </c>
      <c r="X3354" s="2" t="s">
        <v>147</v>
      </c>
      <c r="Y3354" s="2">
        <v>46</v>
      </c>
      <c r="Z3354" s="2">
        <v>37.700000000000003</v>
      </c>
      <c r="AA3354" s="2" t="s">
        <v>163</v>
      </c>
      <c r="AB3354" s="2" t="s">
        <v>17906</v>
      </c>
      <c r="AC3354" s="2">
        <v>-2.3993118159717102</v>
      </c>
      <c r="AD3354" s="2"/>
      <c r="AE3354" s="2">
        <v>0.169280888153124</v>
      </c>
      <c r="AF3354" s="2">
        <v>2117.393101655</v>
      </c>
      <c r="AG3354" s="2">
        <v>3283.2731701196399</v>
      </c>
      <c r="AH3354" s="4">
        <v>0.64490311708600301</v>
      </c>
      <c r="AI3354" s="4">
        <v>-0.63284565217776501</v>
      </c>
      <c r="AJ3354" s="4" t="s">
        <v>62</v>
      </c>
      <c r="AK3354" s="2">
        <v>9.4676385340988503E-2</v>
      </c>
      <c r="AL3354" s="2">
        <v>0.39518270427574997</v>
      </c>
      <c r="AM3354" s="2">
        <v>2883.28219132202</v>
      </c>
      <c r="AN3354" s="2">
        <v>1901.79509832952</v>
      </c>
      <c r="AO3354" s="2">
        <v>2864.1988320718801</v>
      </c>
      <c r="AP3354" s="2">
        <v>3177.9376531688199</v>
      </c>
      <c r="AQ3354" s="2">
        <v>656.16181186302299</v>
      </c>
      <c r="AR3354" s="2">
        <v>1220.9830231747501</v>
      </c>
      <c r="AS3354" s="2">
        <v>4679.1180742762699</v>
      </c>
      <c r="AT3354" s="2">
        <v>3934.2886621929601</v>
      </c>
      <c r="AU3354" s="2">
        <v>2598.2665764841499</v>
      </c>
      <c r="AV3354" s="2">
        <v>1620.3706800805101</v>
      </c>
      <c r="AW3354" s="2">
        <v>2705.36406755385</v>
      </c>
      <c r="AX3354" s="2">
        <v>4162.2309601301304</v>
      </c>
    </row>
    <row r="3355" spans="1:50" x14ac:dyDescent="0.25">
      <c r="A3355" s="2" t="s">
        <v>22313</v>
      </c>
      <c r="B3355" s="2">
        <v>232.170263406994</v>
      </c>
      <c r="C3355" s="2">
        <v>5.5685333333333302</v>
      </c>
      <c r="D3355" s="2" t="s">
        <v>51</v>
      </c>
      <c r="E3355" s="2" t="s">
        <v>22314</v>
      </c>
      <c r="F3355" s="2">
        <v>53137</v>
      </c>
      <c r="G3355" s="3" t="str">
        <f>HYPERLINK("https://cloud.oebiotech.com/#/lm/network/53137", "https://cloud.oebiotech.com/#/lm/network/53137")</f>
        <v>https://cloud.oebiotech.com/#/lm/network/53137</v>
      </c>
      <c r="H3355" s="2" t="s">
        <v>22315</v>
      </c>
      <c r="I3355" s="2">
        <v>44522</v>
      </c>
      <c r="J3355" s="2"/>
      <c r="K3355" s="2">
        <v>2119</v>
      </c>
      <c r="L3355" s="2"/>
      <c r="M3355" s="2"/>
      <c r="N3355" s="2"/>
      <c r="O3355" s="2">
        <v>51211</v>
      </c>
      <c r="P3355" s="2"/>
      <c r="Q3355" s="2"/>
      <c r="R3355" s="2" t="s">
        <v>22316</v>
      </c>
      <c r="S3355" s="2" t="s">
        <v>22317</v>
      </c>
      <c r="T3355" s="2" t="s">
        <v>22318</v>
      </c>
      <c r="U3355" s="2" t="s">
        <v>610</v>
      </c>
      <c r="V3355" s="2" t="s">
        <v>4556</v>
      </c>
      <c r="W3355" s="2" t="s">
        <v>240</v>
      </c>
      <c r="X3355" s="2" t="s">
        <v>83</v>
      </c>
      <c r="Y3355" s="2">
        <v>46.6</v>
      </c>
      <c r="Z3355" s="2">
        <v>12.5</v>
      </c>
      <c r="AA3355" s="2" t="s">
        <v>156</v>
      </c>
      <c r="AB3355" s="2" t="s">
        <v>22319</v>
      </c>
      <c r="AC3355" s="2">
        <v>2.6996335517020902</v>
      </c>
      <c r="AD3355" s="2"/>
      <c r="AE3355" s="2">
        <v>0.169211710403185</v>
      </c>
      <c r="AF3355" s="2">
        <v>2189.1691335259702</v>
      </c>
      <c r="AG3355" s="2">
        <v>1042.20081989302</v>
      </c>
      <c r="AH3355" s="5">
        <v>2.1005252459412702</v>
      </c>
      <c r="AI3355" s="5">
        <v>1.0707501254937499</v>
      </c>
      <c r="AJ3355" s="5" t="s">
        <v>139</v>
      </c>
      <c r="AK3355" s="2">
        <v>2.8259004197517298E-2</v>
      </c>
      <c r="AL3355" s="2">
        <v>0.25647995834418702</v>
      </c>
      <c r="AM3355" s="2">
        <v>1215.43981589535</v>
      </c>
      <c r="AN3355" s="2">
        <v>2791.6516491774701</v>
      </c>
      <c r="AO3355" s="2">
        <v>1475.6218893138</v>
      </c>
      <c r="AP3355" s="2">
        <v>3549.0347686731702</v>
      </c>
      <c r="AQ3355" s="2">
        <v>2123.4914457128898</v>
      </c>
      <c r="AR3355" s="2">
        <v>1979.7752323831601</v>
      </c>
      <c r="AS3355" s="2">
        <v>1529.7621802568999</v>
      </c>
      <c r="AT3355" s="2">
        <v>1127.5667367548001</v>
      </c>
      <c r="AU3355" s="2">
        <v>272.41170508394902</v>
      </c>
      <c r="AV3355" s="2">
        <v>265.09418755763198</v>
      </c>
      <c r="AW3355" s="2">
        <v>1963.6642352732499</v>
      </c>
      <c r="AX3355" s="2">
        <v>1094.70587443156</v>
      </c>
    </row>
    <row r="3356" spans="1:50" x14ac:dyDescent="0.25">
      <c r="A3356" s="2" t="s">
        <v>22320</v>
      </c>
      <c r="B3356" s="2">
        <v>229.15542949192999</v>
      </c>
      <c r="C3356" s="2">
        <v>3.7574999999999998</v>
      </c>
      <c r="D3356" s="2" t="s">
        <v>51</v>
      </c>
      <c r="E3356" s="2" t="s">
        <v>22321</v>
      </c>
      <c r="F3356" s="2">
        <v>53943</v>
      </c>
      <c r="G3356" s="3" t="str">
        <f>HYPERLINK("https://cloud.oebiotech.com/#/lm/network/53943", "https://cloud.oebiotech.com/#/lm/network/53943")</f>
        <v>https://cloud.oebiotech.com/#/lm/network/53943</v>
      </c>
      <c r="H3356" s="2" t="s">
        <v>22322</v>
      </c>
      <c r="I3356" s="2"/>
      <c r="J3356" s="2"/>
      <c r="K3356" s="2">
        <v>435949</v>
      </c>
      <c r="L3356" s="2"/>
      <c r="M3356" s="2"/>
      <c r="N3356" s="2"/>
      <c r="O3356" s="2"/>
      <c r="P3356" s="2"/>
      <c r="Q3356" s="2"/>
      <c r="R3356" s="2"/>
      <c r="S3356" s="2" t="s">
        <v>22323</v>
      </c>
      <c r="T3356" s="2" t="s">
        <v>22324</v>
      </c>
      <c r="U3356" s="2" t="s">
        <v>103</v>
      </c>
      <c r="V3356" s="2" t="s">
        <v>104</v>
      </c>
      <c r="W3356" s="2" t="s">
        <v>105</v>
      </c>
      <c r="X3356" s="2" t="s">
        <v>83</v>
      </c>
      <c r="Y3356" s="2">
        <v>64.099999999999994</v>
      </c>
      <c r="Z3356" s="2">
        <v>40</v>
      </c>
      <c r="AA3356" s="2" t="s">
        <v>163</v>
      </c>
      <c r="AB3356" s="2" t="s">
        <v>5561</v>
      </c>
      <c r="AC3356" s="2">
        <v>-1.4626583242637501</v>
      </c>
      <c r="AD3356" s="2"/>
      <c r="AE3356" s="2">
        <v>0.16919747988589101</v>
      </c>
      <c r="AF3356" s="2">
        <v>18390.9942798144</v>
      </c>
      <c r="AG3356" s="2">
        <v>16109.844212989499</v>
      </c>
      <c r="AH3356" s="5">
        <v>1.1415997595423999</v>
      </c>
      <c r="AI3356" s="5">
        <v>0.19105693604840801</v>
      </c>
      <c r="AJ3356" s="5" t="s">
        <v>139</v>
      </c>
      <c r="AK3356" s="2">
        <v>0.63885481111856901</v>
      </c>
      <c r="AL3356" s="2">
        <v>0.82368076196457995</v>
      </c>
      <c r="AM3356" s="2">
        <v>22531.4972236744</v>
      </c>
      <c r="AN3356" s="2">
        <v>22844.537788809299</v>
      </c>
      <c r="AO3356" s="2">
        <v>12248.9108039027</v>
      </c>
      <c r="AP3356" s="2">
        <v>13185.424755419301</v>
      </c>
      <c r="AQ3356" s="2">
        <v>17692.9215814401</v>
      </c>
      <c r="AR3356" s="2">
        <v>21842.673525640501</v>
      </c>
      <c r="AS3356" s="2">
        <v>4522.9322295640504</v>
      </c>
      <c r="AT3356" s="2">
        <v>7533.8512807966899</v>
      </c>
      <c r="AU3356" s="2">
        <v>25962.151259495298</v>
      </c>
      <c r="AV3356" s="2">
        <v>31051.604470994102</v>
      </c>
      <c r="AW3356" s="2">
        <v>11193.308677258699</v>
      </c>
      <c r="AX3356" s="2">
        <v>16395.217359827999</v>
      </c>
    </row>
    <row r="3357" spans="1:50" x14ac:dyDescent="0.25">
      <c r="A3357" s="2" t="s">
        <v>22325</v>
      </c>
      <c r="B3357" s="2">
        <v>187.108069524548</v>
      </c>
      <c r="C3357" s="2">
        <v>2.6773166666666701</v>
      </c>
      <c r="D3357" s="2" t="s">
        <v>51</v>
      </c>
      <c r="E3357" s="2" t="s">
        <v>22326</v>
      </c>
      <c r="F3357" s="2">
        <v>47205</v>
      </c>
      <c r="G3357" s="3" t="str">
        <f>HYPERLINK("https://cloud.oebiotech.com/#/lm/network/47205", "https://cloud.oebiotech.com/#/lm/network/47205")</f>
        <v>https://cloud.oebiotech.com/#/lm/network/47205</v>
      </c>
      <c r="H3357" s="2" t="s">
        <v>22327</v>
      </c>
      <c r="I3357" s="2">
        <v>5727</v>
      </c>
      <c r="J3357" s="2"/>
      <c r="K3357" s="2">
        <v>92843</v>
      </c>
      <c r="L3357" s="2" t="s">
        <v>22328</v>
      </c>
      <c r="M3357" s="2"/>
      <c r="N3357" s="2"/>
      <c r="O3357" s="2">
        <v>73514</v>
      </c>
      <c r="P3357" s="2"/>
      <c r="Q3357" s="2"/>
      <c r="R3357" s="2" t="s">
        <v>22329</v>
      </c>
      <c r="S3357" s="2" t="s">
        <v>22330</v>
      </c>
      <c r="T3357" s="2" t="s">
        <v>22331</v>
      </c>
      <c r="U3357" s="2" t="s">
        <v>103</v>
      </c>
      <c r="V3357" s="2" t="s">
        <v>104</v>
      </c>
      <c r="W3357" s="2" t="s">
        <v>105</v>
      </c>
      <c r="X3357" s="2" t="s">
        <v>83</v>
      </c>
      <c r="Y3357" s="2">
        <v>42.2</v>
      </c>
      <c r="Z3357" s="2">
        <v>0</v>
      </c>
      <c r="AA3357" s="2" t="s">
        <v>163</v>
      </c>
      <c r="AB3357" s="2" t="s">
        <v>14061</v>
      </c>
      <c r="AC3357" s="2">
        <v>-3.9678947314148099</v>
      </c>
      <c r="AD3357" s="2"/>
      <c r="AE3357" s="2">
        <v>0.16919274095220799</v>
      </c>
      <c r="AF3357" s="2">
        <v>11729.852878191799</v>
      </c>
      <c r="AG3357" s="2">
        <v>15454.852966921</v>
      </c>
      <c r="AH3357" s="4">
        <v>0.75897537836807305</v>
      </c>
      <c r="AI3357" s="4">
        <v>-0.39787501040925999</v>
      </c>
      <c r="AJ3357" s="4" t="s">
        <v>62</v>
      </c>
      <c r="AK3357" s="2">
        <v>0.73214605591007698</v>
      </c>
      <c r="AL3357" s="2">
        <v>0.87636111571333197</v>
      </c>
      <c r="AM3357" s="2">
        <v>21249.549760590999</v>
      </c>
      <c r="AN3357" s="2">
        <v>2683.7698123833202</v>
      </c>
      <c r="AO3357" s="2">
        <v>3611.8237586343498</v>
      </c>
      <c r="AP3357" s="2">
        <v>4338.6401597392296</v>
      </c>
      <c r="AQ3357" s="2">
        <v>19960.067986289399</v>
      </c>
      <c r="AR3357" s="2">
        <v>18535.265791513499</v>
      </c>
      <c r="AS3357" s="2">
        <v>1389.4169672594601</v>
      </c>
      <c r="AT3357" s="2">
        <v>3300.8356582511301</v>
      </c>
      <c r="AU3357" s="2">
        <v>19113.464620005401</v>
      </c>
      <c r="AV3357" s="2">
        <v>63112.294132852199</v>
      </c>
      <c r="AW3357" s="2">
        <v>963.56929942368697</v>
      </c>
      <c r="AX3357" s="2">
        <v>4849.5371237340696</v>
      </c>
    </row>
    <row r="3358" spans="1:50" x14ac:dyDescent="0.25">
      <c r="A3358" s="2" t="s">
        <v>22332</v>
      </c>
      <c r="B3358" s="2">
        <v>203.107286469347</v>
      </c>
      <c r="C3358" s="2">
        <v>5.1612</v>
      </c>
      <c r="D3358" s="2" t="s">
        <v>51</v>
      </c>
      <c r="E3358" s="2" t="s">
        <v>22333</v>
      </c>
      <c r="F3358" s="2">
        <v>83435</v>
      </c>
      <c r="G3358" s="3" t="str">
        <f>HYPERLINK("https://cloud.oebiotech.com/#/lm/network/83435", "https://cloud.oebiotech.com/#/lm/network/83435")</f>
        <v>https://cloud.oebiotech.com/#/lm/network/83435</v>
      </c>
      <c r="H3358" s="2" t="s">
        <v>22334</v>
      </c>
      <c r="I3358" s="2"/>
      <c r="J3358" s="2"/>
      <c r="K3358" s="2">
        <v>5371102</v>
      </c>
      <c r="L3358" s="2"/>
      <c r="M3358" s="2"/>
      <c r="N3358" s="2"/>
      <c r="O3358" s="2"/>
      <c r="P3358" s="2"/>
      <c r="Q3358" s="2"/>
      <c r="R3358" s="2"/>
      <c r="S3358" s="2" t="s">
        <v>22335</v>
      </c>
      <c r="T3358" s="2" t="s">
        <v>22336</v>
      </c>
      <c r="U3358" s="2" t="s">
        <v>610</v>
      </c>
      <c r="V3358" s="2" t="s">
        <v>611</v>
      </c>
      <c r="W3358" s="2" t="s">
        <v>1122</v>
      </c>
      <c r="X3358" s="2" t="s">
        <v>147</v>
      </c>
      <c r="Y3358" s="2">
        <v>38.1</v>
      </c>
      <c r="Z3358" s="2">
        <v>0</v>
      </c>
      <c r="AA3358" s="2" t="s">
        <v>156</v>
      </c>
      <c r="AB3358" s="2" t="s">
        <v>22337</v>
      </c>
      <c r="AC3358" s="2">
        <v>2.8637849546409502</v>
      </c>
      <c r="AD3358" s="2"/>
      <c r="AE3358" s="2">
        <v>0.16918727984072299</v>
      </c>
      <c r="AF3358" s="2">
        <v>1604.59953184142</v>
      </c>
      <c r="AG3358" s="2">
        <v>935.56111025919597</v>
      </c>
      <c r="AH3358" s="5">
        <v>1.7151199576870699</v>
      </c>
      <c r="AI3358" s="5">
        <v>0.77830948386631604</v>
      </c>
      <c r="AJ3358" s="5" t="s">
        <v>139</v>
      </c>
      <c r="AK3358" s="2">
        <v>2.2748390009590801E-2</v>
      </c>
      <c r="AL3358" s="2">
        <v>0.23406792285431699</v>
      </c>
      <c r="AM3358" s="2">
        <v>1880.33440763415</v>
      </c>
      <c r="AN3358" s="2">
        <v>2166.98092660983</v>
      </c>
      <c r="AO3358" s="2">
        <v>1318.4586772180701</v>
      </c>
      <c r="AP3358" s="2">
        <v>1609.7840620315901</v>
      </c>
      <c r="AQ3358" s="2">
        <v>1079.29686104706</v>
      </c>
      <c r="AR3358" s="2">
        <v>1572.74225650783</v>
      </c>
      <c r="AS3358" s="2">
        <v>1628.7498382613801</v>
      </c>
      <c r="AT3358" s="2">
        <v>1065.7862361242301</v>
      </c>
      <c r="AU3358" s="2">
        <v>1080.0366984121699</v>
      </c>
      <c r="AV3358" s="2">
        <v>259.58612660776299</v>
      </c>
      <c r="AW3358" s="2">
        <v>579.34780559165404</v>
      </c>
      <c r="AX3358" s="2">
        <v>999.85995655797899</v>
      </c>
    </row>
    <row r="3359" spans="1:50" x14ac:dyDescent="0.25">
      <c r="A3359" s="2" t="s">
        <v>22338</v>
      </c>
      <c r="B3359" s="2">
        <v>274.20255866376698</v>
      </c>
      <c r="C3359" s="2">
        <v>4.9764666666666697</v>
      </c>
      <c r="D3359" s="2" t="s">
        <v>51</v>
      </c>
      <c r="E3359" s="2" t="s">
        <v>22339</v>
      </c>
      <c r="F3359" s="2">
        <v>197592</v>
      </c>
      <c r="G3359" s="3" t="str">
        <f>HYPERLINK("https://cloud.oebiotech.com/#/lm/network/197592", "https://cloud.oebiotech.com/#/lm/network/197592")</f>
        <v>https://cloud.oebiotech.com/#/lm/network/197592</v>
      </c>
      <c r="H3359" s="2" t="s">
        <v>22340</v>
      </c>
      <c r="I3359" s="2"/>
      <c r="J3359" s="2"/>
      <c r="K3359" s="2"/>
      <c r="L3359" s="2"/>
      <c r="M3359" s="2"/>
      <c r="N3359" s="2"/>
      <c r="O3359" s="2"/>
      <c r="P3359" s="2"/>
      <c r="Q3359" s="2"/>
      <c r="R3359" s="2"/>
      <c r="S3359" s="2" t="s">
        <v>22341</v>
      </c>
      <c r="T3359" s="2" t="s">
        <v>22342</v>
      </c>
      <c r="U3359" s="2" t="s">
        <v>56</v>
      </c>
      <c r="V3359" s="2" t="s">
        <v>145</v>
      </c>
      <c r="W3359" s="2" t="s">
        <v>1188</v>
      </c>
      <c r="X3359" s="2" t="s">
        <v>147</v>
      </c>
      <c r="Y3359" s="2">
        <v>39.1</v>
      </c>
      <c r="Z3359" s="2">
        <v>16.5</v>
      </c>
      <c r="AA3359" s="2" t="s">
        <v>259</v>
      </c>
      <c r="AB3359" s="2" t="s">
        <v>22343</v>
      </c>
      <c r="AC3359" s="2">
        <v>4.6629237759722102</v>
      </c>
      <c r="AD3359" s="2"/>
      <c r="AE3359" s="2">
        <v>0.16914016792171799</v>
      </c>
      <c r="AF3359" s="2">
        <v>3382.6079827839399</v>
      </c>
      <c r="AG3359" s="2">
        <v>2292.3876861055701</v>
      </c>
      <c r="AH3359" s="5">
        <v>1.4755828620465601</v>
      </c>
      <c r="AI3359" s="5">
        <v>0.56128493826029002</v>
      </c>
      <c r="AJ3359" s="5" t="s">
        <v>139</v>
      </c>
      <c r="AK3359" s="2">
        <v>6.2591056955475496E-2</v>
      </c>
      <c r="AL3359" s="2">
        <v>0.33601027492909402</v>
      </c>
      <c r="AM3359" s="2">
        <v>2095.8493667744701</v>
      </c>
      <c r="AN3359" s="2">
        <v>3610.29070151922</v>
      </c>
      <c r="AO3359" s="2">
        <v>3515.9967408970101</v>
      </c>
      <c r="AP3359" s="2">
        <v>3051.33341776011</v>
      </c>
      <c r="AQ3359" s="2">
        <v>5329.9879556536498</v>
      </c>
      <c r="AR3359" s="2">
        <v>2692.18971409919</v>
      </c>
      <c r="AS3359" s="2">
        <v>2030.89835562858</v>
      </c>
      <c r="AT3359" s="2">
        <v>2269.60606996365</v>
      </c>
      <c r="AU3359" s="2">
        <v>2293.83577987019</v>
      </c>
      <c r="AV3359" s="2">
        <v>1256.6191700425099</v>
      </c>
      <c r="AW3359" s="2">
        <v>2887.10585620026</v>
      </c>
      <c r="AX3359" s="2">
        <v>3016.2608849282201</v>
      </c>
    </row>
    <row r="3360" spans="1:50" x14ac:dyDescent="0.25">
      <c r="A3360" s="2" t="s">
        <v>22344</v>
      </c>
      <c r="B3360" s="2">
        <v>297.243274252069</v>
      </c>
      <c r="C3360" s="2">
        <v>14.4369666666667</v>
      </c>
      <c r="D3360" s="2" t="s">
        <v>51</v>
      </c>
      <c r="E3360" s="2" t="s">
        <v>22345</v>
      </c>
      <c r="F3360" s="2">
        <v>3071</v>
      </c>
      <c r="G3360" s="3" t="str">
        <f>HYPERLINK("https://cloud.oebiotech.com/#/lm/network/3071", "https://cloud.oebiotech.com/#/lm/network/3071")</f>
        <v>https://cloud.oebiotech.com/#/lm/network/3071</v>
      </c>
      <c r="H3360" s="2"/>
      <c r="I3360" s="2">
        <v>74486</v>
      </c>
      <c r="J3360" s="2" t="s">
        <v>22346</v>
      </c>
      <c r="K3360" s="2">
        <v>13926388</v>
      </c>
      <c r="L3360" s="2"/>
      <c r="M3360" s="2"/>
      <c r="N3360" s="2"/>
      <c r="O3360" s="2">
        <v>85587</v>
      </c>
      <c r="P3360" s="2"/>
      <c r="Q3360" s="2"/>
      <c r="R3360" s="2"/>
      <c r="S3360" s="2" t="s">
        <v>22347</v>
      </c>
      <c r="T3360" s="2" t="s">
        <v>22348</v>
      </c>
      <c r="U3360" s="2" t="s">
        <v>56</v>
      </c>
      <c r="V3360" s="2" t="s">
        <v>145</v>
      </c>
      <c r="W3360" s="2" t="s">
        <v>231</v>
      </c>
      <c r="X3360" s="2" t="s">
        <v>147</v>
      </c>
      <c r="Y3360" s="2">
        <v>46</v>
      </c>
      <c r="Z3360" s="2">
        <v>37.6</v>
      </c>
      <c r="AA3360" s="2" t="s">
        <v>179</v>
      </c>
      <c r="AB3360" s="2" t="s">
        <v>6470</v>
      </c>
      <c r="AC3360" s="2">
        <v>2.7142246431819301</v>
      </c>
      <c r="AD3360" s="2"/>
      <c r="AE3360" s="2">
        <v>0.16913685521878899</v>
      </c>
      <c r="AF3360" s="2">
        <v>77070.652086189803</v>
      </c>
      <c r="AG3360" s="2">
        <v>69300.168991004597</v>
      </c>
      <c r="AH3360" s="5">
        <v>1.1121279097630199</v>
      </c>
      <c r="AI3360" s="5">
        <v>0.153322727061762</v>
      </c>
      <c r="AJ3360" s="5" t="s">
        <v>139</v>
      </c>
      <c r="AK3360" s="2">
        <v>0.67124912276282001</v>
      </c>
      <c r="AL3360" s="2">
        <v>0.84135965593549</v>
      </c>
      <c r="AM3360" s="2">
        <v>27200.498007174701</v>
      </c>
      <c r="AN3360" s="2">
        <v>90445.907273652105</v>
      </c>
      <c r="AO3360" s="2">
        <v>111767.91782152699</v>
      </c>
      <c r="AP3360" s="2">
        <v>103628.824648555</v>
      </c>
      <c r="AQ3360" s="2">
        <v>63096.8105277707</v>
      </c>
      <c r="AR3360" s="2">
        <v>66283.954238459395</v>
      </c>
      <c r="AS3360" s="2">
        <v>37727.137196084601</v>
      </c>
      <c r="AT3360" s="2">
        <v>108070.23138326</v>
      </c>
      <c r="AU3360" s="2">
        <v>40119.135790392596</v>
      </c>
      <c r="AV3360" s="2">
        <v>54547.190452624302</v>
      </c>
      <c r="AW3360" s="2">
        <v>74525.755725862298</v>
      </c>
      <c r="AX3360" s="2">
        <v>100811.563397804</v>
      </c>
    </row>
    <row r="3361" spans="1:50" x14ac:dyDescent="0.25">
      <c r="A3361" s="2" t="s">
        <v>22349</v>
      </c>
      <c r="B3361" s="2">
        <v>358.26011905857399</v>
      </c>
      <c r="C3361" s="2">
        <v>6.5805166666666697</v>
      </c>
      <c r="D3361" s="2" t="s">
        <v>51</v>
      </c>
      <c r="E3361" s="2" t="s">
        <v>22350</v>
      </c>
      <c r="F3361" s="2">
        <v>197771</v>
      </c>
      <c r="G3361" s="3" t="str">
        <f>HYPERLINK("https://cloud.oebiotech.com/#/lm/network/197771", "https://cloud.oebiotech.com/#/lm/network/197771")</f>
        <v>https://cloud.oebiotech.com/#/lm/network/197771</v>
      </c>
      <c r="H3361" s="2" t="s">
        <v>22351</v>
      </c>
      <c r="I3361" s="2"/>
      <c r="J3361" s="2"/>
      <c r="K3361" s="2"/>
      <c r="L3361" s="2"/>
      <c r="M3361" s="2"/>
      <c r="N3361" s="2"/>
      <c r="O3361" s="2"/>
      <c r="P3361" s="2"/>
      <c r="Q3361" s="2"/>
      <c r="R3361" s="2"/>
      <c r="S3361" s="2" t="s">
        <v>22352</v>
      </c>
      <c r="T3361" s="2" t="s">
        <v>22353</v>
      </c>
      <c r="U3361" s="2" t="s">
        <v>56</v>
      </c>
      <c r="V3361" s="2" t="s">
        <v>145</v>
      </c>
      <c r="W3361" s="2" t="s">
        <v>1188</v>
      </c>
      <c r="X3361" s="2" t="s">
        <v>69</v>
      </c>
      <c r="Y3361" s="2">
        <v>50.6</v>
      </c>
      <c r="Z3361" s="2">
        <v>48.8</v>
      </c>
      <c r="AA3361" s="2" t="s">
        <v>259</v>
      </c>
      <c r="AB3361" s="2" t="s">
        <v>22354</v>
      </c>
      <c r="AC3361" s="2">
        <v>3.6932005548657498</v>
      </c>
      <c r="AD3361" s="2"/>
      <c r="AE3361" s="2">
        <v>0.169031381683652</v>
      </c>
      <c r="AF3361" s="2">
        <v>5858.9683797489497</v>
      </c>
      <c r="AG3361" s="2">
        <v>3129.35860830293</v>
      </c>
      <c r="AH3361" s="5">
        <v>1.87225854020173</v>
      </c>
      <c r="AI3361" s="5">
        <v>0.90477967045138996</v>
      </c>
      <c r="AJ3361" s="5" t="s">
        <v>139</v>
      </c>
      <c r="AK3361" s="2">
        <v>0.27199677838786401</v>
      </c>
      <c r="AL3361" s="2">
        <v>0.59187658046137204</v>
      </c>
      <c r="AM3361" s="2">
        <v>1502.3929696971099</v>
      </c>
      <c r="AN3361" s="2">
        <v>2349.1012158631802</v>
      </c>
      <c r="AO3361" s="2">
        <v>3682.2570209311698</v>
      </c>
      <c r="AP3361" s="2">
        <v>4248.7463176551801</v>
      </c>
      <c r="AQ3361" s="2">
        <v>15727.5209345945</v>
      </c>
      <c r="AR3361" s="2">
        <v>7643.7918197525596</v>
      </c>
      <c r="AS3361" s="2">
        <v>2363.4748964827299</v>
      </c>
      <c r="AT3361" s="2">
        <v>3538.1754774476199</v>
      </c>
      <c r="AU3361" s="2">
        <v>999.459712512225</v>
      </c>
      <c r="AV3361" s="2">
        <v>2383.8626743744899</v>
      </c>
      <c r="AW3361" s="2">
        <v>7493.8689398718398</v>
      </c>
      <c r="AX3361" s="2">
        <v>1997.30994912868</v>
      </c>
    </row>
    <row r="3362" spans="1:50" x14ac:dyDescent="0.25">
      <c r="A3362" s="2" t="s">
        <v>22355</v>
      </c>
      <c r="B3362" s="2">
        <v>459.30512275595299</v>
      </c>
      <c r="C3362" s="2">
        <v>5.0177166666666704</v>
      </c>
      <c r="D3362" s="2" t="s">
        <v>51</v>
      </c>
      <c r="E3362" s="2" t="s">
        <v>22356</v>
      </c>
      <c r="F3362" s="2">
        <v>45309</v>
      </c>
      <c r="G3362" s="3" t="str">
        <f>HYPERLINK("https://cloud.oebiotech.com/#/lm/network/45309", "https://cloud.oebiotech.com/#/lm/network/45309")</f>
        <v>https://cloud.oebiotech.com/#/lm/network/45309</v>
      </c>
      <c r="H3362" s="2"/>
      <c r="I3362" s="2"/>
      <c r="J3362" s="2" t="s">
        <v>22357</v>
      </c>
      <c r="K3362" s="2">
        <v>9547382</v>
      </c>
      <c r="L3362" s="2"/>
      <c r="M3362" s="2"/>
      <c r="N3362" s="2"/>
      <c r="O3362" s="2"/>
      <c r="P3362" s="2"/>
      <c r="Q3362" s="2"/>
      <c r="R3362" s="2"/>
      <c r="S3362" s="2" t="s">
        <v>22358</v>
      </c>
      <c r="T3362" s="2" t="s">
        <v>22359</v>
      </c>
      <c r="U3362" s="2" t="s">
        <v>56</v>
      </c>
      <c r="V3362" s="2" t="s">
        <v>283</v>
      </c>
      <c r="W3362" s="2" t="s">
        <v>420</v>
      </c>
      <c r="X3362" s="2" t="s">
        <v>147</v>
      </c>
      <c r="Y3362" s="2">
        <v>36.5</v>
      </c>
      <c r="Z3362" s="2">
        <v>0</v>
      </c>
      <c r="AA3362" s="2" t="s">
        <v>95</v>
      </c>
      <c r="AB3362" s="2" t="s">
        <v>22360</v>
      </c>
      <c r="AC3362" s="2">
        <v>1.40964552722235</v>
      </c>
      <c r="AD3362" s="2"/>
      <c r="AE3362" s="2">
        <v>0.168979650418593</v>
      </c>
      <c r="AF3362" s="2">
        <v>3859.6063530901201</v>
      </c>
      <c r="AG3362" s="2">
        <v>1884.9553370615799</v>
      </c>
      <c r="AH3362" s="5">
        <v>2.0475850420449699</v>
      </c>
      <c r="AI3362" s="5">
        <v>1.0339233723491601</v>
      </c>
      <c r="AJ3362" s="5" t="s">
        <v>139</v>
      </c>
      <c r="AK3362" s="2">
        <v>0.51505562914509995</v>
      </c>
      <c r="AL3362" s="2">
        <v>0.74801498782643305</v>
      </c>
      <c r="AM3362" s="2">
        <v>227.71904754287101</v>
      </c>
      <c r="AN3362" s="2">
        <v>8.559877937157E-6</v>
      </c>
      <c r="AO3362" s="2">
        <v>17551.551082981499</v>
      </c>
      <c r="AP3362" s="2">
        <v>3744.0425523774102</v>
      </c>
      <c r="AQ3362" s="2">
        <v>1025.1770933723899</v>
      </c>
      <c r="AR3362" s="2">
        <v>609.14833370666202</v>
      </c>
      <c r="AS3362" s="2">
        <v>828.06960491476002</v>
      </c>
      <c r="AT3362" s="2">
        <v>6215.0308341029804</v>
      </c>
      <c r="AU3362" s="2">
        <v>893.89186104618705</v>
      </c>
      <c r="AV3362" s="2">
        <v>1331.50779522996</v>
      </c>
      <c r="AW3362" s="2">
        <v>925.769136996768</v>
      </c>
      <c r="AX3362" s="2">
        <v>1115.46279007881</v>
      </c>
    </row>
    <row r="3363" spans="1:50" x14ac:dyDescent="0.25">
      <c r="A3363" s="2" t="s">
        <v>22361</v>
      </c>
      <c r="B3363" s="2">
        <v>144.06560094229599</v>
      </c>
      <c r="C3363" s="2">
        <v>1.4308333333333301</v>
      </c>
      <c r="D3363" s="2" t="s">
        <v>51</v>
      </c>
      <c r="E3363" s="2" t="s">
        <v>22362</v>
      </c>
      <c r="F3363" s="2">
        <v>48158</v>
      </c>
      <c r="G3363" s="3" t="str">
        <f>HYPERLINK("https://cloud.oebiotech.com/#/lm/network/48158", "https://cloud.oebiotech.com/#/lm/network/48158")</f>
        <v>https://cloud.oebiotech.com/#/lm/network/48158</v>
      </c>
      <c r="H3363" s="2" t="s">
        <v>22363</v>
      </c>
      <c r="I3363" s="2">
        <v>44719</v>
      </c>
      <c r="J3363" s="2"/>
      <c r="K3363" s="2">
        <v>18189</v>
      </c>
      <c r="L3363" s="2" t="s">
        <v>22364</v>
      </c>
      <c r="M3363" s="2" t="s">
        <v>1194</v>
      </c>
      <c r="N3363" s="2" t="s">
        <v>1195</v>
      </c>
      <c r="O3363" s="2">
        <v>17645</v>
      </c>
      <c r="P3363" s="2"/>
      <c r="Q3363" s="2"/>
      <c r="R3363" s="2" t="s">
        <v>22365</v>
      </c>
      <c r="S3363" s="2" t="s">
        <v>22366</v>
      </c>
      <c r="T3363" s="2" t="s">
        <v>22367</v>
      </c>
      <c r="U3363" s="2" t="s">
        <v>103</v>
      </c>
      <c r="V3363" s="2" t="s">
        <v>104</v>
      </c>
      <c r="W3363" s="2" t="s">
        <v>105</v>
      </c>
      <c r="X3363" s="2" t="s">
        <v>83</v>
      </c>
      <c r="Y3363" s="2">
        <v>46.2</v>
      </c>
      <c r="Z3363" s="2">
        <v>37</v>
      </c>
      <c r="AA3363" s="2" t="s">
        <v>163</v>
      </c>
      <c r="AB3363" s="2" t="s">
        <v>20001</v>
      </c>
      <c r="AC3363" s="2">
        <v>-7.0022381817662298</v>
      </c>
      <c r="AD3363" s="2"/>
      <c r="AE3363" s="2">
        <v>0.168960306239408</v>
      </c>
      <c r="AF3363" s="2">
        <v>4092.3620854606902</v>
      </c>
      <c r="AG3363" s="2">
        <v>2904.31455016568</v>
      </c>
      <c r="AH3363" s="5">
        <v>1.4090629698588399</v>
      </c>
      <c r="AI3363" s="5">
        <v>0.49473608593648899</v>
      </c>
      <c r="AJ3363" s="5" t="s">
        <v>139</v>
      </c>
      <c r="AK3363" s="2">
        <v>9.51551418197564E-2</v>
      </c>
      <c r="AL3363" s="2">
        <v>0.39518270427574997</v>
      </c>
      <c r="AM3363" s="2">
        <v>4448.0556754347099</v>
      </c>
      <c r="AN3363" s="2">
        <v>2924.1938605534101</v>
      </c>
      <c r="AO3363" s="2">
        <v>2690.4033959541298</v>
      </c>
      <c r="AP3363" s="2">
        <v>4019.3288914834602</v>
      </c>
      <c r="AQ3363" s="2">
        <v>3778.7394819680399</v>
      </c>
      <c r="AR3363" s="2">
        <v>6693.45120737039</v>
      </c>
      <c r="AS3363" s="2">
        <v>2963.7163776428101</v>
      </c>
      <c r="AT3363" s="2">
        <v>3515.63074736825</v>
      </c>
      <c r="AU3363" s="2">
        <v>2196.06203302314</v>
      </c>
      <c r="AV3363" s="2">
        <v>2385.7054953002698</v>
      </c>
      <c r="AW3363" s="2">
        <v>3830.4803643096602</v>
      </c>
      <c r="AX3363" s="2">
        <v>2534.2922833499701</v>
      </c>
    </row>
    <row r="3364" spans="1:50" x14ac:dyDescent="0.25">
      <c r="A3364" s="2" t="s">
        <v>22368</v>
      </c>
      <c r="B3364" s="2">
        <v>325.20212477910701</v>
      </c>
      <c r="C3364" s="2">
        <v>7.21756666666667</v>
      </c>
      <c r="D3364" s="2" t="s">
        <v>51</v>
      </c>
      <c r="E3364" s="2" t="s">
        <v>22369</v>
      </c>
      <c r="F3364" s="2">
        <v>3770</v>
      </c>
      <c r="G3364" s="3" t="str">
        <f>HYPERLINK("https://cloud.oebiotech.com/#/lm/network/3770", "https://cloud.oebiotech.com/#/lm/network/3770")</f>
        <v>https://cloud.oebiotech.com/#/lm/network/3770</v>
      </c>
      <c r="H3364" s="2"/>
      <c r="I3364" s="2">
        <v>36216</v>
      </c>
      <c r="J3364" s="2" t="s">
        <v>22370</v>
      </c>
      <c r="K3364" s="2">
        <v>16061101</v>
      </c>
      <c r="L3364" s="2"/>
      <c r="M3364" s="2"/>
      <c r="N3364" s="2"/>
      <c r="O3364" s="2"/>
      <c r="P3364" s="2"/>
      <c r="Q3364" s="2"/>
      <c r="R3364" s="2"/>
      <c r="S3364" s="2" t="s">
        <v>22371</v>
      </c>
      <c r="T3364" s="2" t="s">
        <v>22372</v>
      </c>
      <c r="U3364" s="2" t="s">
        <v>56</v>
      </c>
      <c r="V3364" s="2" t="s">
        <v>145</v>
      </c>
      <c r="W3364" s="2" t="s">
        <v>187</v>
      </c>
      <c r="X3364" s="2" t="s">
        <v>83</v>
      </c>
      <c r="Y3364" s="2">
        <v>60.8</v>
      </c>
      <c r="Z3364" s="2">
        <v>15.9</v>
      </c>
      <c r="AA3364" s="2" t="s">
        <v>163</v>
      </c>
      <c r="AB3364" s="2" t="s">
        <v>12004</v>
      </c>
      <c r="AC3364" s="2">
        <v>0.23650828292727</v>
      </c>
      <c r="AD3364" s="2"/>
      <c r="AE3364" s="2">
        <v>0.16871524161495599</v>
      </c>
      <c r="AF3364" s="2">
        <v>6753.8132435693296</v>
      </c>
      <c r="AG3364" s="2">
        <v>5182.2967479982399</v>
      </c>
      <c r="AH3364" s="5">
        <v>1.3032471068311799</v>
      </c>
      <c r="AI3364" s="5">
        <v>0.38211065719849802</v>
      </c>
      <c r="AJ3364" s="5" t="s">
        <v>139</v>
      </c>
      <c r="AK3364" s="2">
        <v>0.65128225532669604</v>
      </c>
      <c r="AL3364" s="2">
        <v>0.83038202534685202</v>
      </c>
      <c r="AM3364" s="2">
        <v>3516.4733620197298</v>
      </c>
      <c r="AN3364" s="2">
        <v>14223.2840830196</v>
      </c>
      <c r="AO3364" s="2">
        <v>7152.8321633682699</v>
      </c>
      <c r="AP3364" s="2">
        <v>2523.2683303598401</v>
      </c>
      <c r="AQ3364" s="2">
        <v>8649.4305428132902</v>
      </c>
      <c r="AR3364" s="2">
        <v>4457.5909798352504</v>
      </c>
      <c r="AS3364" s="2">
        <v>2325.3758658751999</v>
      </c>
      <c r="AT3364" s="2">
        <v>856.68321112580998</v>
      </c>
      <c r="AU3364" s="2">
        <v>19428.317385285802</v>
      </c>
      <c r="AV3364" s="2">
        <v>1839.5041533344299</v>
      </c>
      <c r="AW3364" s="2">
        <v>2973.7571013268298</v>
      </c>
      <c r="AX3364" s="2">
        <v>3670.14277104138</v>
      </c>
    </row>
    <row r="3365" spans="1:50" x14ac:dyDescent="0.25">
      <c r="A3365" s="2" t="s">
        <v>22373</v>
      </c>
      <c r="B3365" s="2">
        <v>203.001487329192</v>
      </c>
      <c r="C3365" s="2">
        <v>4.0333666666666703</v>
      </c>
      <c r="D3365" s="2" t="s">
        <v>51</v>
      </c>
      <c r="E3365" s="2" t="s">
        <v>22374</v>
      </c>
      <c r="F3365" s="2">
        <v>198680</v>
      </c>
      <c r="G3365" s="3" t="str">
        <f>HYPERLINK("https://cloud.oebiotech.com/#/lm/network/198680", "https://cloud.oebiotech.com/#/lm/network/198680")</f>
        <v>https://cloud.oebiotech.com/#/lm/network/198680</v>
      </c>
      <c r="H3365" s="2" t="s">
        <v>22375</v>
      </c>
      <c r="I3365" s="2"/>
      <c r="J3365" s="2"/>
      <c r="K3365" s="2">
        <v>14199589</v>
      </c>
      <c r="L3365" s="2"/>
      <c r="M3365" s="2"/>
      <c r="N3365" s="2"/>
      <c r="O3365" s="2"/>
      <c r="P3365" s="2"/>
      <c r="Q3365" s="2"/>
      <c r="R3365" s="2"/>
      <c r="S3365" s="2" t="s">
        <v>22376</v>
      </c>
      <c r="T3365" s="2" t="s">
        <v>22377</v>
      </c>
      <c r="U3365" s="2" t="s">
        <v>103</v>
      </c>
      <c r="V3365" s="2" t="s">
        <v>4820</v>
      </c>
      <c r="W3365" s="2" t="s">
        <v>4821</v>
      </c>
      <c r="X3365" s="2" t="s">
        <v>83</v>
      </c>
      <c r="Y3365" s="2">
        <v>47.1</v>
      </c>
      <c r="Z3365" s="2">
        <v>32.200000000000003</v>
      </c>
      <c r="AA3365" s="2" t="s">
        <v>163</v>
      </c>
      <c r="AB3365" s="2" t="s">
        <v>4913</v>
      </c>
      <c r="AC3365" s="2">
        <v>-2.3557421089360502</v>
      </c>
      <c r="AD3365" s="2"/>
      <c r="AE3365" s="2">
        <v>0.16849791524007701</v>
      </c>
      <c r="AF3365" s="2">
        <v>42.938357365088798</v>
      </c>
      <c r="AG3365" s="2">
        <v>1287.15735735418</v>
      </c>
      <c r="AH3365" s="4">
        <v>3.3359058330949501E-2</v>
      </c>
      <c r="AI3365" s="4">
        <v>-4.9057776252260696</v>
      </c>
      <c r="AJ3365" s="4" t="s">
        <v>62</v>
      </c>
      <c r="AK3365" s="2">
        <v>0.31854177874967199</v>
      </c>
      <c r="AL3365" s="2">
        <v>0.62709448371193299</v>
      </c>
      <c r="AM3365" s="2">
        <v>12.4330778051447</v>
      </c>
      <c r="AN3365" s="2">
        <v>5.6648485972220204</v>
      </c>
      <c r="AO3365" s="2">
        <v>8.559877937157E-6</v>
      </c>
      <c r="AP3365" s="2">
        <v>8.559877937157E-6</v>
      </c>
      <c r="AQ3365" s="2">
        <v>15.054693903033501</v>
      </c>
      <c r="AR3365" s="2">
        <v>224.477506765377</v>
      </c>
      <c r="AS3365" s="2">
        <v>7.3949288422878299</v>
      </c>
      <c r="AT3365" s="2">
        <v>8.559877937157E-6</v>
      </c>
      <c r="AU3365" s="2">
        <v>135.04101547568999</v>
      </c>
      <c r="AV3365" s="2">
        <v>353.59018110614397</v>
      </c>
      <c r="AW3365" s="2">
        <v>7204.30827629747</v>
      </c>
      <c r="AX3365" s="2">
        <v>22.6097338436043</v>
      </c>
    </row>
    <row r="3366" spans="1:50" x14ac:dyDescent="0.25">
      <c r="A3366" s="2" t="s">
        <v>22378</v>
      </c>
      <c r="B3366" s="2">
        <v>236.09257119161401</v>
      </c>
      <c r="C3366" s="2">
        <v>2.0478833333333299</v>
      </c>
      <c r="D3366" s="2" t="s">
        <v>51</v>
      </c>
      <c r="E3366" s="2" t="s">
        <v>22379</v>
      </c>
      <c r="F3366" s="2">
        <v>47702</v>
      </c>
      <c r="G3366" s="3" t="str">
        <f>HYPERLINK("https://cloud.oebiotech.com/#/lm/network/47702", "https://cloud.oebiotech.com/#/lm/network/47702")</f>
        <v>https://cloud.oebiotech.com/#/lm/network/47702</v>
      </c>
      <c r="H3366" s="2" t="s">
        <v>22380</v>
      </c>
      <c r="I3366" s="2">
        <v>58062</v>
      </c>
      <c r="J3366" s="2"/>
      <c r="K3366" s="2">
        <v>12835</v>
      </c>
      <c r="L3366" s="2"/>
      <c r="M3366" s="2"/>
      <c r="N3366" s="2"/>
      <c r="O3366" s="2">
        <v>114833</v>
      </c>
      <c r="P3366" s="2"/>
      <c r="Q3366" s="2"/>
      <c r="R3366" s="2" t="s">
        <v>22381</v>
      </c>
      <c r="S3366" s="2" t="s">
        <v>22382</v>
      </c>
      <c r="T3366" s="2" t="s">
        <v>22383</v>
      </c>
      <c r="U3366" s="2" t="s">
        <v>266</v>
      </c>
      <c r="V3366" s="2" t="s">
        <v>445</v>
      </c>
      <c r="W3366" s="2" t="s">
        <v>446</v>
      </c>
      <c r="X3366" s="2" t="s">
        <v>147</v>
      </c>
      <c r="Y3366" s="2">
        <v>39</v>
      </c>
      <c r="Z3366" s="2">
        <v>0</v>
      </c>
      <c r="AA3366" s="2" t="s">
        <v>218</v>
      </c>
      <c r="AB3366" s="2" t="s">
        <v>22384</v>
      </c>
      <c r="AC3366" s="2">
        <v>-1.36235758135351</v>
      </c>
      <c r="AD3366" s="2"/>
      <c r="AE3366" s="2">
        <v>0.16849564587285901</v>
      </c>
      <c r="AF3366" s="2">
        <v>1094.4055627299299</v>
      </c>
      <c r="AG3366" s="2">
        <v>1902.74780601578</v>
      </c>
      <c r="AH3366" s="4">
        <v>0.57517110742150002</v>
      </c>
      <c r="AI3366" s="4">
        <v>-0.79793688821070496</v>
      </c>
      <c r="AJ3366" s="4" t="s">
        <v>62</v>
      </c>
      <c r="AK3366" s="2">
        <v>0.16384562823335799</v>
      </c>
      <c r="AL3366" s="2">
        <v>0.484889968085291</v>
      </c>
      <c r="AM3366" s="2">
        <v>8.559877937157E-6</v>
      </c>
      <c r="AN3366" s="2">
        <v>1463.4985313679899</v>
      </c>
      <c r="AO3366" s="2">
        <v>998.66534178974496</v>
      </c>
      <c r="AP3366" s="2">
        <v>153.25137922882101</v>
      </c>
      <c r="AQ3366" s="2">
        <v>1382.16299357505</v>
      </c>
      <c r="AR3366" s="2">
        <v>2568.8551218580901</v>
      </c>
      <c r="AS3366" s="2">
        <v>2645.03887688141</v>
      </c>
      <c r="AT3366" s="2">
        <v>1778.1254453531801</v>
      </c>
      <c r="AU3366" s="2">
        <v>337.59758916147899</v>
      </c>
      <c r="AV3366" s="2">
        <v>2918.8595857518499</v>
      </c>
      <c r="AW3366" s="2">
        <v>1598.85714929399</v>
      </c>
      <c r="AX3366" s="2">
        <v>2138.0081896528</v>
      </c>
    </row>
    <row r="3367" spans="1:50" x14ac:dyDescent="0.25">
      <c r="A3367" s="2" t="s">
        <v>22385</v>
      </c>
      <c r="B3367" s="2">
        <v>376.172705156414</v>
      </c>
      <c r="C3367" s="2">
        <v>3.6634166666666701</v>
      </c>
      <c r="D3367" s="2" t="s">
        <v>51</v>
      </c>
      <c r="E3367" s="2" t="s">
        <v>22386</v>
      </c>
      <c r="F3367" s="2">
        <v>262879</v>
      </c>
      <c r="G3367" s="3" t="str">
        <f>HYPERLINK("https://cloud.oebiotech.com/#/lm/network/262879", "https://cloud.oebiotech.com/#/lm/network/262879")</f>
        <v>https://cloud.oebiotech.com/#/lm/network/262879</v>
      </c>
      <c r="H3367" s="2"/>
      <c r="I3367" s="2">
        <v>20266</v>
      </c>
      <c r="J3367" s="2"/>
      <c r="K3367" s="2">
        <v>145457296</v>
      </c>
      <c r="L3367" s="2"/>
      <c r="M3367" s="2"/>
      <c r="N3367" s="2"/>
      <c r="O3367" s="2"/>
      <c r="P3367" s="2"/>
      <c r="Q3367" s="2"/>
      <c r="R3367" s="2"/>
      <c r="S3367" s="2" t="s">
        <v>22387</v>
      </c>
      <c r="T3367" s="2" t="s">
        <v>22388</v>
      </c>
      <c r="U3367" s="2" t="s">
        <v>103</v>
      </c>
      <c r="V3367" s="2" t="s">
        <v>104</v>
      </c>
      <c r="W3367" s="2" t="s">
        <v>105</v>
      </c>
      <c r="X3367" s="2" t="s">
        <v>83</v>
      </c>
      <c r="Y3367" s="2">
        <v>39.4</v>
      </c>
      <c r="Z3367" s="2">
        <v>2.92</v>
      </c>
      <c r="AA3367" s="2" t="s">
        <v>122</v>
      </c>
      <c r="AB3367" s="2" t="s">
        <v>22389</v>
      </c>
      <c r="AC3367" s="2">
        <v>-5.2231859925436801</v>
      </c>
      <c r="AD3367" s="2"/>
      <c r="AE3367" s="2">
        <v>0.16833962760252799</v>
      </c>
      <c r="AF3367" s="2">
        <v>23584.3315221228</v>
      </c>
      <c r="AG3367" s="2">
        <v>25099.175263782101</v>
      </c>
      <c r="AH3367" s="4">
        <v>0.93964567657148601</v>
      </c>
      <c r="AI3367" s="4">
        <v>-8.9811249820041003E-2</v>
      </c>
      <c r="AJ3367" s="4" t="s">
        <v>62</v>
      </c>
      <c r="AK3367" s="2">
        <v>0.94279102436808504</v>
      </c>
      <c r="AL3367" s="2">
        <v>0.97589327031342099</v>
      </c>
      <c r="AM3367" s="2">
        <v>45807.363713552098</v>
      </c>
      <c r="AN3367" s="2">
        <v>35311.829346183098</v>
      </c>
      <c r="AO3367" s="2">
        <v>18464.8312259224</v>
      </c>
      <c r="AP3367" s="2">
        <v>9825.3000533620798</v>
      </c>
      <c r="AQ3367" s="2">
        <v>10911.456514417199</v>
      </c>
      <c r="AR3367" s="2">
        <v>21185.208279300201</v>
      </c>
      <c r="AS3367" s="2">
        <v>391.19072067324498</v>
      </c>
      <c r="AT3367" s="2">
        <v>2262.6617938034301</v>
      </c>
      <c r="AU3367" s="2">
        <v>123539.626987182</v>
      </c>
      <c r="AV3367" s="2">
        <v>8601.0576308305008</v>
      </c>
      <c r="AW3367" s="2">
        <v>10546.1071950511</v>
      </c>
      <c r="AX3367" s="2">
        <v>5254.4072551524496</v>
      </c>
    </row>
    <row r="3368" spans="1:50" x14ac:dyDescent="0.25">
      <c r="A3368" s="2" t="s">
        <v>22390</v>
      </c>
      <c r="B3368" s="2">
        <v>357.301130279294</v>
      </c>
      <c r="C3368" s="2">
        <v>12.898350000000001</v>
      </c>
      <c r="D3368" s="2" t="s">
        <v>51</v>
      </c>
      <c r="E3368" s="2" t="s">
        <v>22391</v>
      </c>
      <c r="F3368" s="2">
        <v>51382</v>
      </c>
      <c r="G3368" s="3" t="str">
        <f>HYPERLINK("https://cloud.oebiotech.com/#/lm/network/51382", "https://cloud.oebiotech.com/#/lm/network/51382")</f>
        <v>https://cloud.oebiotech.com/#/lm/network/51382</v>
      </c>
      <c r="H3368" s="2" t="s">
        <v>22392</v>
      </c>
      <c r="I3368" s="2">
        <v>62349</v>
      </c>
      <c r="J3368" s="2"/>
      <c r="K3368" s="2">
        <v>12178130</v>
      </c>
      <c r="L3368" s="2"/>
      <c r="M3368" s="2"/>
      <c r="N3368" s="2"/>
      <c r="O3368" s="2">
        <v>75757</v>
      </c>
      <c r="P3368" s="2"/>
      <c r="Q3368" s="2"/>
      <c r="R3368" s="2" t="s">
        <v>22393</v>
      </c>
      <c r="S3368" s="2" t="s">
        <v>22394</v>
      </c>
      <c r="T3368" s="2" t="s">
        <v>22395</v>
      </c>
      <c r="U3368" s="2" t="s">
        <v>56</v>
      </c>
      <c r="V3368" s="2" t="s">
        <v>3215</v>
      </c>
      <c r="W3368" s="2" t="s">
        <v>4174</v>
      </c>
      <c r="X3368" s="2" t="s">
        <v>69</v>
      </c>
      <c r="Y3368" s="2">
        <v>61.7</v>
      </c>
      <c r="Z3368" s="2">
        <v>50</v>
      </c>
      <c r="AA3368" s="2" t="s">
        <v>179</v>
      </c>
      <c r="AB3368" s="2" t="s">
        <v>11866</v>
      </c>
      <c r="AC3368" s="2">
        <v>3.3514197432988402</v>
      </c>
      <c r="AD3368" s="2"/>
      <c r="AE3368" s="2">
        <v>0.16833549279100099</v>
      </c>
      <c r="AF3368" s="2">
        <v>7152.1733594447196</v>
      </c>
      <c r="AG3368" s="2">
        <v>10290.3040433554</v>
      </c>
      <c r="AH3368" s="4">
        <v>0.69504004248183304</v>
      </c>
      <c r="AI3368" s="4">
        <v>-0.52483199845287998</v>
      </c>
      <c r="AJ3368" s="4" t="s">
        <v>62</v>
      </c>
      <c r="AK3368" s="2">
        <v>0.22754645275827901</v>
      </c>
      <c r="AL3368" s="2">
        <v>0.55318612061801498</v>
      </c>
      <c r="AM3368" s="2">
        <v>13715.292926616699</v>
      </c>
      <c r="AN3368" s="2">
        <v>5260.4117926548997</v>
      </c>
      <c r="AO3368" s="2">
        <v>3418.1054943474901</v>
      </c>
      <c r="AP3368" s="2">
        <v>7587.36114052823</v>
      </c>
      <c r="AQ3368" s="2">
        <v>5739.9914180423002</v>
      </c>
      <c r="AR3368" s="2">
        <v>7191.8773844786901</v>
      </c>
      <c r="AS3368" s="2">
        <v>3299.8736530321498</v>
      </c>
      <c r="AT3368" s="2">
        <v>13566.384972708</v>
      </c>
      <c r="AU3368" s="2">
        <v>17389.230909325601</v>
      </c>
      <c r="AV3368" s="2">
        <v>8124.4834859603397</v>
      </c>
      <c r="AW3368" s="2">
        <v>10198.597930153101</v>
      </c>
      <c r="AX3368" s="2">
        <v>9163.2533089531807</v>
      </c>
    </row>
    <row r="3369" spans="1:50" x14ac:dyDescent="0.25">
      <c r="A3369" s="2" t="s">
        <v>22396</v>
      </c>
      <c r="B3369" s="2">
        <v>313.189823312952</v>
      </c>
      <c r="C3369" s="2">
        <v>4.1329500000000001</v>
      </c>
      <c r="D3369" s="2" t="s">
        <v>51</v>
      </c>
      <c r="E3369" s="2" t="s">
        <v>22397</v>
      </c>
      <c r="F3369" s="2">
        <v>207099</v>
      </c>
      <c r="G3369" s="3" t="str">
        <f>HYPERLINK("https://cloud.oebiotech.com/#/lm/network/207099", "https://cloud.oebiotech.com/#/lm/network/207099")</f>
        <v>https://cloud.oebiotech.com/#/lm/network/207099</v>
      </c>
      <c r="H3369" s="2" t="s">
        <v>22398</v>
      </c>
      <c r="I3369" s="2"/>
      <c r="J3369" s="2"/>
      <c r="K3369" s="2">
        <v>44592366</v>
      </c>
      <c r="L3369" s="2"/>
      <c r="M3369" s="2"/>
      <c r="N3369" s="2"/>
      <c r="O3369" s="2"/>
      <c r="P3369" s="2"/>
      <c r="Q3369" s="2"/>
      <c r="R3369" s="2"/>
      <c r="S3369" s="2" t="s">
        <v>22399</v>
      </c>
      <c r="T3369" s="2" t="s">
        <v>22400</v>
      </c>
      <c r="U3369" s="2" t="s">
        <v>266</v>
      </c>
      <c r="V3369" s="2" t="s">
        <v>1393</v>
      </c>
      <c r="W3369" s="2" t="s">
        <v>22401</v>
      </c>
      <c r="X3369" s="2" t="s">
        <v>147</v>
      </c>
      <c r="Y3369" s="2">
        <v>42</v>
      </c>
      <c r="Z3369" s="2">
        <v>15.2</v>
      </c>
      <c r="AA3369" s="2" t="s">
        <v>122</v>
      </c>
      <c r="AB3369" s="2" t="s">
        <v>22402</v>
      </c>
      <c r="AC3369" s="2">
        <v>-1.39585508655819</v>
      </c>
      <c r="AD3369" s="2"/>
      <c r="AE3369" s="2">
        <v>0.168280073573261</v>
      </c>
      <c r="AF3369" s="2">
        <v>589.26267031325699</v>
      </c>
      <c r="AG3369" s="2">
        <v>2098.0335060921302</v>
      </c>
      <c r="AH3369" s="4">
        <v>0.28086428009952902</v>
      </c>
      <c r="AI3369" s="4">
        <v>-1.83205493856143</v>
      </c>
      <c r="AJ3369" s="4" t="s">
        <v>62</v>
      </c>
      <c r="AK3369" s="2">
        <v>0.41978604901226402</v>
      </c>
      <c r="AL3369" s="2">
        <v>0.68072239494470299</v>
      </c>
      <c r="AM3369" s="2">
        <v>1303.1199551725399</v>
      </c>
      <c r="AN3369" s="2">
        <v>2.60468924903084</v>
      </c>
      <c r="AO3369" s="2">
        <v>8.559877937157E-6</v>
      </c>
      <c r="AP3369" s="2">
        <v>2221.8745338660801</v>
      </c>
      <c r="AQ3369" s="2">
        <v>7.9768264721374704</v>
      </c>
      <c r="AR3369" s="2">
        <v>8.559877937157E-6</v>
      </c>
      <c r="AS3369" s="2">
        <v>451.00113595544298</v>
      </c>
      <c r="AT3369" s="2">
        <v>4.0253938341003099</v>
      </c>
      <c r="AU3369" s="2">
        <v>8.559877937157E-6</v>
      </c>
      <c r="AV3369" s="2">
        <v>8.559877937157E-6</v>
      </c>
      <c r="AW3369" s="2">
        <v>1349.03496545189</v>
      </c>
      <c r="AX3369" s="2">
        <v>10784.1395241916</v>
      </c>
    </row>
    <row r="3370" spans="1:50" x14ac:dyDescent="0.25">
      <c r="A3370" s="2" t="s">
        <v>22403</v>
      </c>
      <c r="B3370" s="2">
        <v>571.17498913104305</v>
      </c>
      <c r="C3370" s="2">
        <v>6.6032999999999999</v>
      </c>
      <c r="D3370" s="2" t="s">
        <v>51</v>
      </c>
      <c r="E3370" s="2" t="s">
        <v>22404</v>
      </c>
      <c r="F3370" s="2">
        <v>206757</v>
      </c>
      <c r="G3370" s="3" t="str">
        <f>HYPERLINK("https://cloud.oebiotech.com/#/lm/network/206757", "https://cloud.oebiotech.com/#/lm/network/206757")</f>
        <v>https://cloud.oebiotech.com/#/lm/network/206757</v>
      </c>
      <c r="H3370" s="2" t="s">
        <v>22405</v>
      </c>
      <c r="I3370" s="2"/>
      <c r="J3370" s="2"/>
      <c r="K3370" s="2">
        <v>4322</v>
      </c>
      <c r="L3370" s="2"/>
      <c r="M3370" s="2"/>
      <c r="N3370" s="2"/>
      <c r="O3370" s="2"/>
      <c r="P3370" s="2"/>
      <c r="Q3370" s="2"/>
      <c r="R3370" s="2"/>
      <c r="S3370" s="2" t="s">
        <v>22406</v>
      </c>
      <c r="T3370" s="2" t="s">
        <v>22407</v>
      </c>
      <c r="U3370" s="2" t="s">
        <v>331</v>
      </c>
      <c r="V3370" s="2" t="s">
        <v>332</v>
      </c>
      <c r="W3370" s="2" t="s">
        <v>511</v>
      </c>
      <c r="X3370" s="2" t="s">
        <v>147</v>
      </c>
      <c r="Y3370" s="2">
        <v>39.299999999999997</v>
      </c>
      <c r="Z3370" s="2">
        <v>14.3</v>
      </c>
      <c r="AA3370" s="2" t="s">
        <v>218</v>
      </c>
      <c r="AB3370" s="2" t="s">
        <v>22408</v>
      </c>
      <c r="AC3370" s="2">
        <v>-1.5927610715109699</v>
      </c>
      <c r="AD3370" s="2"/>
      <c r="AE3370" s="2">
        <v>0.168194293897618</v>
      </c>
      <c r="AF3370" s="2">
        <v>2944.2709180536999</v>
      </c>
      <c r="AG3370" s="2">
        <v>1827.14222177529</v>
      </c>
      <c r="AH3370" s="5">
        <v>1.61140763043228</v>
      </c>
      <c r="AI3370" s="5">
        <v>0.68832149219105299</v>
      </c>
      <c r="AJ3370" s="5" t="s">
        <v>139</v>
      </c>
      <c r="AK3370" s="2">
        <v>0.13756254160075301</v>
      </c>
      <c r="AL3370" s="2">
        <v>0.458819266663407</v>
      </c>
      <c r="AM3370" s="2">
        <v>2541.4787366893202</v>
      </c>
      <c r="AN3370" s="2">
        <v>4215.0840159776699</v>
      </c>
      <c r="AO3370" s="2">
        <v>2945.9035146582401</v>
      </c>
      <c r="AP3370" s="2">
        <v>3151.0821053284099</v>
      </c>
      <c r="AQ3370" s="2">
        <v>1116.04590388047</v>
      </c>
      <c r="AR3370" s="2">
        <v>3696.0312317880798</v>
      </c>
      <c r="AS3370" s="2">
        <v>3995.4201825749201</v>
      </c>
      <c r="AT3370" s="2">
        <v>1239.9374480615199</v>
      </c>
      <c r="AU3370" s="2">
        <v>2404.5352562281701</v>
      </c>
      <c r="AV3370" s="2">
        <v>310.63249541338098</v>
      </c>
      <c r="AW3370" s="2">
        <v>891.39443208317596</v>
      </c>
      <c r="AX3370" s="2">
        <v>2120.9335162906</v>
      </c>
    </row>
    <row r="3371" spans="1:50" x14ac:dyDescent="0.25">
      <c r="A3371" s="2" t="s">
        <v>22409</v>
      </c>
      <c r="B3371" s="2">
        <v>341.30619506833102</v>
      </c>
      <c r="C3371" s="2">
        <v>13.159000000000001</v>
      </c>
      <c r="D3371" s="2" t="s">
        <v>51</v>
      </c>
      <c r="E3371" s="2" t="s">
        <v>22410</v>
      </c>
      <c r="F3371" s="2">
        <v>1703</v>
      </c>
      <c r="G3371" s="3" t="str">
        <f>HYPERLINK("https://cloud.oebiotech.com/#/lm/network/1703", "https://cloud.oebiotech.com/#/lm/network/1703")</f>
        <v>https://cloud.oebiotech.com/#/lm/network/1703</v>
      </c>
      <c r="H3371" s="2"/>
      <c r="I3371" s="2">
        <v>24089</v>
      </c>
      <c r="J3371" s="2" t="s">
        <v>22411</v>
      </c>
      <c r="K3371" s="2">
        <v>5282920</v>
      </c>
      <c r="L3371" s="2"/>
      <c r="M3371" s="2"/>
      <c r="N3371" s="2"/>
      <c r="O3371" s="2">
        <v>79195</v>
      </c>
      <c r="P3371" s="2"/>
      <c r="Q3371" s="2"/>
      <c r="R3371" s="2"/>
      <c r="S3371" s="2" t="s">
        <v>22412</v>
      </c>
      <c r="T3371" s="2" t="s">
        <v>22413</v>
      </c>
      <c r="U3371" s="2" t="s">
        <v>56</v>
      </c>
      <c r="V3371" s="2" t="s">
        <v>145</v>
      </c>
      <c r="W3371" s="2" t="s">
        <v>231</v>
      </c>
      <c r="X3371" s="2" t="s">
        <v>83</v>
      </c>
      <c r="Y3371" s="2">
        <v>57.8</v>
      </c>
      <c r="Z3371" s="2">
        <v>0</v>
      </c>
      <c r="AA3371" s="2" t="s">
        <v>163</v>
      </c>
      <c r="AB3371" s="2" t="s">
        <v>22414</v>
      </c>
      <c r="AC3371" s="2">
        <v>0.222879712330179</v>
      </c>
      <c r="AD3371" s="2"/>
      <c r="AE3371" s="2">
        <v>0.16815745051216899</v>
      </c>
      <c r="AF3371" s="2">
        <v>10822.7377502002</v>
      </c>
      <c r="AG3371" s="2">
        <v>9685.1408957415206</v>
      </c>
      <c r="AH3371" s="5">
        <v>1.11745795613142</v>
      </c>
      <c r="AI3371" s="5">
        <v>0.16022055165756799</v>
      </c>
      <c r="AJ3371" s="5" t="s">
        <v>139</v>
      </c>
      <c r="AK3371" s="2">
        <v>0.69816045005569805</v>
      </c>
      <c r="AL3371" s="2">
        <v>0.85481101092610401</v>
      </c>
      <c r="AM3371" s="2">
        <v>17938.554843559799</v>
      </c>
      <c r="AN3371" s="2">
        <v>16162.1798916894</v>
      </c>
      <c r="AO3371" s="2">
        <v>7023.9822230964501</v>
      </c>
      <c r="AP3371" s="2">
        <v>5329.4477195364498</v>
      </c>
      <c r="AQ3371" s="2">
        <v>5565.0544492138697</v>
      </c>
      <c r="AR3371" s="2">
        <v>12917.207374105001</v>
      </c>
      <c r="AS3371" s="2">
        <v>7150.2601579842903</v>
      </c>
      <c r="AT3371" s="2">
        <v>5608.1271118978402</v>
      </c>
      <c r="AU3371" s="2">
        <v>14894.7450967804</v>
      </c>
      <c r="AV3371" s="2">
        <v>5702.4484733084701</v>
      </c>
      <c r="AW3371" s="2">
        <v>14292.155832242601</v>
      </c>
      <c r="AX3371" s="2">
        <v>10463.1087022355</v>
      </c>
    </row>
    <row r="3372" spans="1:50" x14ac:dyDescent="0.25">
      <c r="A3372" s="2" t="s">
        <v>22415</v>
      </c>
      <c r="B3372" s="2">
        <v>421.18650713174401</v>
      </c>
      <c r="C3372" s="2">
        <v>6.1681833333333298</v>
      </c>
      <c r="D3372" s="2" t="s">
        <v>51</v>
      </c>
      <c r="E3372" s="2" t="s">
        <v>22416</v>
      </c>
      <c r="F3372" s="2">
        <v>62823</v>
      </c>
      <c r="G3372" s="3" t="str">
        <f>HYPERLINK("https://cloud.oebiotech.com/#/lm/network/62823", "https://cloud.oebiotech.com/#/lm/network/62823")</f>
        <v>https://cloud.oebiotech.com/#/lm/network/62823</v>
      </c>
      <c r="H3372" s="2" t="s">
        <v>22417</v>
      </c>
      <c r="I3372" s="2">
        <v>94116</v>
      </c>
      <c r="J3372" s="2"/>
      <c r="K3372" s="2">
        <v>73081379</v>
      </c>
      <c r="L3372" s="2"/>
      <c r="M3372" s="2"/>
      <c r="N3372" s="2"/>
      <c r="O3372" s="2"/>
      <c r="P3372" s="2"/>
      <c r="Q3372" s="2"/>
      <c r="R3372" s="2"/>
      <c r="S3372" s="2" t="s">
        <v>22418</v>
      </c>
      <c r="T3372" s="2" t="s">
        <v>22419</v>
      </c>
      <c r="U3372" s="2" t="s">
        <v>56</v>
      </c>
      <c r="V3372" s="2" t="s">
        <v>177</v>
      </c>
      <c r="W3372" s="2" t="s">
        <v>806</v>
      </c>
      <c r="X3372" s="2" t="s">
        <v>83</v>
      </c>
      <c r="Y3372" s="2">
        <v>38.4</v>
      </c>
      <c r="Z3372" s="2">
        <v>0</v>
      </c>
      <c r="AA3372" s="2" t="s">
        <v>218</v>
      </c>
      <c r="AB3372" s="2" t="s">
        <v>12728</v>
      </c>
      <c r="AC3372" s="2">
        <v>-0.75588038783651601</v>
      </c>
      <c r="AD3372" s="2"/>
      <c r="AE3372" s="2">
        <v>0.16814282905525901</v>
      </c>
      <c r="AF3372" s="2">
        <v>1013.39191438206</v>
      </c>
      <c r="AG3372" s="2">
        <v>333.590248944834</v>
      </c>
      <c r="AH3372" s="5">
        <v>3.0378343419433902</v>
      </c>
      <c r="AI3372" s="5">
        <v>1.60304319947364</v>
      </c>
      <c r="AJ3372" s="5" t="s">
        <v>139</v>
      </c>
      <c r="AK3372" s="2">
        <v>9.2230798626020696E-2</v>
      </c>
      <c r="AL3372" s="2">
        <v>0.39077178500044701</v>
      </c>
      <c r="AM3372" s="2">
        <v>1991.87551696179</v>
      </c>
      <c r="AN3372" s="2">
        <v>2128.9654734608998</v>
      </c>
      <c r="AO3372" s="2">
        <v>494.727828964678</v>
      </c>
      <c r="AP3372" s="2">
        <v>755.19878085415303</v>
      </c>
      <c r="AQ3372" s="2">
        <v>186.777285836689</v>
      </c>
      <c r="AR3372" s="2">
        <v>522.80660021415997</v>
      </c>
      <c r="AS3372" s="2">
        <v>191.97661975706799</v>
      </c>
      <c r="AT3372" s="2">
        <v>8.559877937157E-6</v>
      </c>
      <c r="AU3372" s="2">
        <v>829.79415445258098</v>
      </c>
      <c r="AV3372" s="2">
        <v>8.559877937157E-6</v>
      </c>
      <c r="AW3372" s="2">
        <v>494.32525329612002</v>
      </c>
      <c r="AX3372" s="2">
        <v>485.44544904347998</v>
      </c>
    </row>
    <row r="3373" spans="1:50" x14ac:dyDescent="0.25">
      <c r="A3373" s="2" t="s">
        <v>22420</v>
      </c>
      <c r="B3373" s="2">
        <v>207.13865507719501</v>
      </c>
      <c r="C3373" s="2">
        <v>9.7054500000000008</v>
      </c>
      <c r="D3373" s="2" t="s">
        <v>51</v>
      </c>
      <c r="E3373" s="2" t="s">
        <v>22421</v>
      </c>
      <c r="F3373" s="2">
        <v>256742</v>
      </c>
      <c r="G3373" s="3" t="str">
        <f>HYPERLINK("https://cloud.oebiotech.com/#/lm/network/256742", "https://cloud.oebiotech.com/#/lm/network/256742")</f>
        <v>https://cloud.oebiotech.com/#/lm/network/256742</v>
      </c>
      <c r="H3373" s="2" t="s">
        <v>22422</v>
      </c>
      <c r="I3373" s="2"/>
      <c r="J3373" s="2"/>
      <c r="K3373" s="2">
        <v>5363876</v>
      </c>
      <c r="L3373" s="2"/>
      <c r="M3373" s="2"/>
      <c r="N3373" s="2"/>
      <c r="O3373" s="2"/>
      <c r="P3373" s="2"/>
      <c r="Q3373" s="2"/>
      <c r="R3373" s="2"/>
      <c r="S3373" s="2" t="s">
        <v>22423</v>
      </c>
      <c r="T3373" s="2" t="s">
        <v>22424</v>
      </c>
      <c r="U3373" s="2" t="s">
        <v>56</v>
      </c>
      <c r="V3373" s="2" t="s">
        <v>177</v>
      </c>
      <c r="W3373" s="2" t="s">
        <v>1996</v>
      </c>
      <c r="X3373" s="2" t="s">
        <v>83</v>
      </c>
      <c r="Y3373" s="2">
        <v>41.6</v>
      </c>
      <c r="Z3373" s="2">
        <v>0</v>
      </c>
      <c r="AA3373" s="2" t="s">
        <v>259</v>
      </c>
      <c r="AB3373" s="2" t="s">
        <v>9137</v>
      </c>
      <c r="AC3373" s="2">
        <v>3.3902222375923099</v>
      </c>
      <c r="AD3373" s="2"/>
      <c r="AE3373" s="2">
        <v>0.168119077518988</v>
      </c>
      <c r="AF3373" s="2">
        <v>2683.8039064121699</v>
      </c>
      <c r="AG3373" s="2">
        <v>2090.4572668291398</v>
      </c>
      <c r="AH3373" s="5">
        <v>1.2838358138184001</v>
      </c>
      <c r="AI3373" s="5">
        <v>0.36046071201185598</v>
      </c>
      <c r="AJ3373" s="5" t="s">
        <v>139</v>
      </c>
      <c r="AK3373" s="2">
        <v>2.00284548548137E-2</v>
      </c>
      <c r="AL3373" s="2">
        <v>0.22102032801678201</v>
      </c>
      <c r="AM3373" s="2">
        <v>3340.4892144345199</v>
      </c>
      <c r="AN3373" s="2">
        <v>2662.73206291117</v>
      </c>
      <c r="AO3373" s="2">
        <v>2652.6276677862702</v>
      </c>
      <c r="AP3373" s="2">
        <v>2822.3274952268898</v>
      </c>
      <c r="AQ3373" s="2">
        <v>2506.9650069394302</v>
      </c>
      <c r="AR3373" s="2">
        <v>2117.6819911747202</v>
      </c>
      <c r="AS3373" s="2">
        <v>2383.8570327328798</v>
      </c>
      <c r="AT3373" s="2">
        <v>2076.5966740652302</v>
      </c>
      <c r="AU3373" s="2">
        <v>2503.5006163614598</v>
      </c>
      <c r="AV3373" s="2">
        <v>1561.6097845332599</v>
      </c>
      <c r="AW3373" s="2">
        <v>1886.15708787416</v>
      </c>
      <c r="AX3373" s="2">
        <v>2131.0224054078299</v>
      </c>
    </row>
    <row r="3374" spans="1:50" x14ac:dyDescent="0.25">
      <c r="A3374" s="2" t="s">
        <v>22425</v>
      </c>
      <c r="B3374" s="2">
        <v>342.16726761426298</v>
      </c>
      <c r="C3374" s="2">
        <v>3.49711666666667</v>
      </c>
      <c r="D3374" s="2" t="s">
        <v>51</v>
      </c>
      <c r="E3374" s="2" t="s">
        <v>22426</v>
      </c>
      <c r="F3374" s="2">
        <v>262183</v>
      </c>
      <c r="G3374" s="3" t="str">
        <f>HYPERLINK("https://cloud.oebiotech.com/#/lm/network/262183", "https://cloud.oebiotech.com/#/lm/network/262183")</f>
        <v>https://cloud.oebiotech.com/#/lm/network/262183</v>
      </c>
      <c r="H3374" s="2"/>
      <c r="I3374" s="2">
        <v>19535</v>
      </c>
      <c r="J3374" s="2"/>
      <c r="K3374" s="2">
        <v>145457468</v>
      </c>
      <c r="L3374" s="2"/>
      <c r="M3374" s="2"/>
      <c r="N3374" s="2"/>
      <c r="O3374" s="2"/>
      <c r="P3374" s="2"/>
      <c r="Q3374" s="2"/>
      <c r="R3374" s="2"/>
      <c r="S3374" s="2" t="s">
        <v>22427</v>
      </c>
      <c r="T3374" s="2" t="s">
        <v>22428</v>
      </c>
      <c r="U3374" s="2" t="s">
        <v>103</v>
      </c>
      <c r="V3374" s="2" t="s">
        <v>104</v>
      </c>
      <c r="W3374" s="2" t="s">
        <v>105</v>
      </c>
      <c r="X3374" s="2" t="s">
        <v>83</v>
      </c>
      <c r="Y3374" s="2">
        <v>53.6</v>
      </c>
      <c r="Z3374" s="2">
        <v>0</v>
      </c>
      <c r="AA3374" s="2" t="s">
        <v>163</v>
      </c>
      <c r="AB3374" s="2" t="s">
        <v>12921</v>
      </c>
      <c r="AC3374" s="2">
        <v>0.60760007831908502</v>
      </c>
      <c r="AD3374" s="2"/>
      <c r="AE3374" s="2">
        <v>0.16798223207722801</v>
      </c>
      <c r="AF3374" s="2">
        <v>125.118438140127</v>
      </c>
      <c r="AG3374" s="2">
        <v>1156.48534571547</v>
      </c>
      <c r="AH3374" s="4">
        <v>0.10818852016038399</v>
      </c>
      <c r="AI3374" s="4">
        <v>-3.20838067138199</v>
      </c>
      <c r="AJ3374" s="4" t="s">
        <v>62</v>
      </c>
      <c r="AK3374" s="2">
        <v>0.12825238398803901</v>
      </c>
      <c r="AL3374" s="2">
        <v>0.44691449469275901</v>
      </c>
      <c r="AM3374" s="2">
        <v>367.84710784503</v>
      </c>
      <c r="AN3374" s="2">
        <v>8.559877937157E-6</v>
      </c>
      <c r="AO3374" s="2">
        <v>8.559877937157E-6</v>
      </c>
      <c r="AP3374" s="2">
        <v>382.863486756219</v>
      </c>
      <c r="AQ3374" s="2">
        <v>8.559877937157E-6</v>
      </c>
      <c r="AR3374" s="2">
        <v>8.559877937157E-6</v>
      </c>
      <c r="AS3374" s="2">
        <v>8.559877937157E-6</v>
      </c>
      <c r="AT3374" s="2">
        <v>125.1072437479</v>
      </c>
      <c r="AU3374" s="2">
        <v>1263.7582146745301</v>
      </c>
      <c r="AV3374" s="2">
        <v>8.559877937157E-6</v>
      </c>
      <c r="AW3374" s="2">
        <v>1673.39565981891</v>
      </c>
      <c r="AX3374" s="2">
        <v>3876.6509389317298</v>
      </c>
    </row>
    <row r="3375" spans="1:50" x14ac:dyDescent="0.25">
      <c r="A3375" s="2" t="s">
        <v>22429</v>
      </c>
      <c r="B3375" s="2">
        <v>337.27459341480198</v>
      </c>
      <c r="C3375" s="2">
        <v>12.11665</v>
      </c>
      <c r="D3375" s="2" t="s">
        <v>51</v>
      </c>
      <c r="E3375" s="2" t="s">
        <v>22430</v>
      </c>
      <c r="F3375" s="2">
        <v>51383</v>
      </c>
      <c r="G3375" s="3" t="str">
        <f>HYPERLINK("https://cloud.oebiotech.com/#/lm/network/51383", "https://cloud.oebiotech.com/#/lm/network/51383")</f>
        <v>https://cloud.oebiotech.com/#/lm/network/51383</v>
      </c>
      <c r="H3375" s="2" t="s">
        <v>22431</v>
      </c>
      <c r="I3375" s="2">
        <v>62350</v>
      </c>
      <c r="J3375" s="2"/>
      <c r="K3375" s="2">
        <v>6436630</v>
      </c>
      <c r="L3375" s="2"/>
      <c r="M3375" s="2"/>
      <c r="N3375" s="2"/>
      <c r="O3375" s="2">
        <v>75561</v>
      </c>
      <c r="P3375" s="2"/>
      <c r="Q3375" s="2"/>
      <c r="R3375" s="2" t="s">
        <v>22432</v>
      </c>
      <c r="S3375" s="2" t="s">
        <v>22433</v>
      </c>
      <c r="T3375" s="2" t="s">
        <v>22434</v>
      </c>
      <c r="U3375" s="2" t="s">
        <v>56</v>
      </c>
      <c r="V3375" s="2" t="s">
        <v>145</v>
      </c>
      <c r="W3375" s="2" t="s">
        <v>203</v>
      </c>
      <c r="X3375" s="2" t="s">
        <v>83</v>
      </c>
      <c r="Y3375" s="2">
        <v>45.3</v>
      </c>
      <c r="Z3375" s="2">
        <v>0</v>
      </c>
      <c r="AA3375" s="2" t="s">
        <v>156</v>
      </c>
      <c r="AB3375" s="2" t="s">
        <v>22435</v>
      </c>
      <c r="AC3375" s="2">
        <v>2.4612601964077698</v>
      </c>
      <c r="AD3375" s="2"/>
      <c r="AE3375" s="2">
        <v>0.16786398164781099</v>
      </c>
      <c r="AF3375" s="2">
        <v>3038.0876132601702</v>
      </c>
      <c r="AG3375" s="2">
        <v>4879.3842445754799</v>
      </c>
      <c r="AH3375" s="4">
        <v>0.62263750116373295</v>
      </c>
      <c r="AI3375" s="4">
        <v>-0.68353562261990797</v>
      </c>
      <c r="AJ3375" s="4" t="s">
        <v>62</v>
      </c>
      <c r="AK3375" s="2">
        <v>0.191957709360082</v>
      </c>
      <c r="AL3375" s="2">
        <v>0.51684939703891497</v>
      </c>
      <c r="AM3375" s="2">
        <v>4117.39489634451</v>
      </c>
      <c r="AN3375" s="2">
        <v>3646.6482209124201</v>
      </c>
      <c r="AO3375" s="2">
        <v>2446.6893379714802</v>
      </c>
      <c r="AP3375" s="2">
        <v>2717.9197342544398</v>
      </c>
      <c r="AQ3375" s="2">
        <v>2681.5949997351399</v>
      </c>
      <c r="AR3375" s="2">
        <v>2618.2784903430202</v>
      </c>
      <c r="AS3375" s="2">
        <v>8.559877937157E-6</v>
      </c>
      <c r="AT3375" s="2">
        <v>9003.4600621076097</v>
      </c>
      <c r="AU3375" s="2">
        <v>3047.36076200562</v>
      </c>
      <c r="AV3375" s="2">
        <v>5067.17137216829</v>
      </c>
      <c r="AW3375" s="2">
        <v>7211.59029497963</v>
      </c>
      <c r="AX3375" s="2">
        <v>4946.7229676318802</v>
      </c>
    </row>
    <row r="3376" spans="1:50" x14ac:dyDescent="0.25">
      <c r="A3376" s="2" t="s">
        <v>22436</v>
      </c>
      <c r="B3376" s="2">
        <v>307.19160234094102</v>
      </c>
      <c r="C3376" s="2">
        <v>9.7466666666666697</v>
      </c>
      <c r="D3376" s="2" t="s">
        <v>51</v>
      </c>
      <c r="E3376" s="2" t="s">
        <v>22437</v>
      </c>
      <c r="F3376" s="2">
        <v>3597</v>
      </c>
      <c r="G3376" s="3" t="str">
        <f>HYPERLINK("https://cloud.oebiotech.com/#/lm/network/3597", "https://cloud.oebiotech.com/#/lm/network/3597")</f>
        <v>https://cloud.oebiotech.com/#/lm/network/3597</v>
      </c>
      <c r="H3376" s="2"/>
      <c r="I3376" s="2"/>
      <c r="J3376" s="2" t="s">
        <v>22438</v>
      </c>
      <c r="K3376" s="2">
        <v>126457315</v>
      </c>
      <c r="L3376" s="2"/>
      <c r="M3376" s="2"/>
      <c r="N3376" s="2"/>
      <c r="O3376" s="2"/>
      <c r="P3376" s="2"/>
      <c r="Q3376" s="2"/>
      <c r="R3376" s="2"/>
      <c r="S3376" s="2" t="s">
        <v>22439</v>
      </c>
      <c r="T3376" s="2" t="s">
        <v>22440</v>
      </c>
      <c r="U3376" s="2" t="s">
        <v>56</v>
      </c>
      <c r="V3376" s="2" t="s">
        <v>145</v>
      </c>
      <c r="W3376" s="2" t="s">
        <v>231</v>
      </c>
      <c r="X3376" s="2" t="s">
        <v>83</v>
      </c>
      <c r="Y3376" s="2">
        <v>54</v>
      </c>
      <c r="Z3376" s="2">
        <v>9.18</v>
      </c>
      <c r="AA3376" s="2" t="s">
        <v>379</v>
      </c>
      <c r="AB3376" s="2" t="s">
        <v>12004</v>
      </c>
      <c r="AC3376" s="2">
        <v>0.36602583839550901</v>
      </c>
      <c r="AD3376" s="2"/>
      <c r="AE3376" s="2">
        <v>0.16770311767353399</v>
      </c>
      <c r="AF3376" s="2">
        <v>12009.5957173811</v>
      </c>
      <c r="AG3376" s="2">
        <v>9405.1675090231201</v>
      </c>
      <c r="AH3376" s="5">
        <v>1.2769146010275001</v>
      </c>
      <c r="AI3376" s="5">
        <v>0.35266204203833501</v>
      </c>
      <c r="AJ3376" s="5" t="s">
        <v>139</v>
      </c>
      <c r="AK3376" s="2">
        <v>0.44750374836927098</v>
      </c>
      <c r="AL3376" s="2">
        <v>0.70214849250196898</v>
      </c>
      <c r="AM3376" s="2">
        <v>9440.3166029475997</v>
      </c>
      <c r="AN3376" s="2">
        <v>17229.281810769298</v>
      </c>
      <c r="AO3376" s="2">
        <v>17216.9970165216</v>
      </c>
      <c r="AP3376" s="2">
        <v>9427.0105222988695</v>
      </c>
      <c r="AQ3376" s="2">
        <v>6501.1878878877596</v>
      </c>
      <c r="AR3376" s="2">
        <v>12242.7804638614</v>
      </c>
      <c r="AS3376" s="2">
        <v>22621.295774186699</v>
      </c>
      <c r="AT3376" s="2">
        <v>3467.3634983383299</v>
      </c>
      <c r="AU3376" s="2">
        <v>8047.8339794844096</v>
      </c>
      <c r="AV3376" s="2">
        <v>6767.5092259404501</v>
      </c>
      <c r="AW3376" s="2">
        <v>6461.1995089434404</v>
      </c>
      <c r="AX3376" s="2">
        <v>9065.8030672453806</v>
      </c>
    </row>
    <row r="3377" spans="1:50" x14ac:dyDescent="0.25">
      <c r="A3377" s="2" t="s">
        <v>22441</v>
      </c>
      <c r="B3377" s="2">
        <v>494.28722385174302</v>
      </c>
      <c r="C3377" s="2">
        <v>9.0315999999999992</v>
      </c>
      <c r="D3377" s="2" t="s">
        <v>51</v>
      </c>
      <c r="E3377" s="2" t="s">
        <v>22442</v>
      </c>
      <c r="F3377" s="2">
        <v>22475</v>
      </c>
      <c r="G3377" s="3" t="str">
        <f>HYPERLINK("https://cloud.oebiotech.com/#/lm/network/22475", "https://cloud.oebiotech.com/#/lm/network/22475")</f>
        <v>https://cloud.oebiotech.com/#/lm/network/22475</v>
      </c>
      <c r="H3377" s="2"/>
      <c r="I3377" s="2"/>
      <c r="J3377" s="2" t="s">
        <v>22443</v>
      </c>
      <c r="K3377" s="2">
        <v>137323948</v>
      </c>
      <c r="L3377" s="2"/>
      <c r="M3377" s="2"/>
      <c r="N3377" s="2"/>
      <c r="O3377" s="2"/>
      <c r="P3377" s="2"/>
      <c r="Q3377" s="2"/>
      <c r="R3377" s="2"/>
      <c r="S3377" s="2" t="s">
        <v>22444</v>
      </c>
      <c r="T3377" s="2" t="s">
        <v>22445</v>
      </c>
      <c r="U3377" s="2" t="s">
        <v>56</v>
      </c>
      <c r="V3377" s="2" t="s">
        <v>57</v>
      </c>
      <c r="W3377" s="2" t="s">
        <v>82</v>
      </c>
      <c r="X3377" s="2" t="s">
        <v>83</v>
      </c>
      <c r="Y3377" s="2">
        <v>44</v>
      </c>
      <c r="Z3377" s="2">
        <v>0</v>
      </c>
      <c r="AA3377" s="2" t="s">
        <v>156</v>
      </c>
      <c r="AB3377" s="2" t="s">
        <v>22446</v>
      </c>
      <c r="AC3377" s="2">
        <v>-0.99079447657400999</v>
      </c>
      <c r="AD3377" s="2"/>
      <c r="AE3377" s="2">
        <v>0.167671445202558</v>
      </c>
      <c r="AF3377" s="2">
        <v>58.616683786785899</v>
      </c>
      <c r="AG3377" s="2">
        <v>914.15216949824503</v>
      </c>
      <c r="AH3377" s="4">
        <v>6.4121363753869495E-2</v>
      </c>
      <c r="AI3377" s="4">
        <v>-3.9630510802519798</v>
      </c>
      <c r="AJ3377" s="4" t="s">
        <v>62</v>
      </c>
      <c r="AK3377" s="2">
        <v>2.5989153804342E-2</v>
      </c>
      <c r="AL3377" s="2">
        <v>0.24798394490570699</v>
      </c>
      <c r="AM3377" s="2">
        <v>8.559877937157E-6</v>
      </c>
      <c r="AN3377" s="2">
        <v>351.70005992132599</v>
      </c>
      <c r="AO3377" s="2">
        <v>8.559877937157E-6</v>
      </c>
      <c r="AP3377" s="2">
        <v>8.559877937157E-6</v>
      </c>
      <c r="AQ3377" s="2">
        <v>8.559877937157E-6</v>
      </c>
      <c r="AR3377" s="2">
        <v>8.559877937157E-6</v>
      </c>
      <c r="AS3377" s="2">
        <v>8.559877937157E-6</v>
      </c>
      <c r="AT3377" s="2">
        <v>1910.4041242010901</v>
      </c>
      <c r="AU3377" s="2">
        <v>8.559877937157E-6</v>
      </c>
      <c r="AV3377" s="2">
        <v>1343.76298664455</v>
      </c>
      <c r="AW3377" s="2">
        <v>808.72044428667402</v>
      </c>
      <c r="AX3377" s="2">
        <v>1422.0254447374</v>
      </c>
    </row>
    <row r="3378" spans="1:50" x14ac:dyDescent="0.25">
      <c r="A3378" s="2" t="s">
        <v>22447</v>
      </c>
      <c r="B3378" s="2">
        <v>351.20168701886502</v>
      </c>
      <c r="C3378" s="2">
        <v>4.8125</v>
      </c>
      <c r="D3378" s="2" t="s">
        <v>51</v>
      </c>
      <c r="E3378" s="2" t="s">
        <v>22448</v>
      </c>
      <c r="F3378" s="2">
        <v>10237</v>
      </c>
      <c r="G3378" s="3" t="str">
        <f>HYPERLINK("https://cloud.oebiotech.com/#/lm/network/10237", "https://cloud.oebiotech.com/#/lm/network/10237")</f>
        <v>https://cloud.oebiotech.com/#/lm/network/10237</v>
      </c>
      <c r="H3378" s="2"/>
      <c r="I3378" s="2"/>
      <c r="J3378" s="2" t="s">
        <v>22449</v>
      </c>
      <c r="K3378" s="2">
        <v>56927796</v>
      </c>
      <c r="L3378" s="2"/>
      <c r="M3378" s="2"/>
      <c r="N3378" s="2"/>
      <c r="O3378" s="2">
        <v>63176</v>
      </c>
      <c r="P3378" s="2"/>
      <c r="Q3378" s="2"/>
      <c r="R3378" s="2"/>
      <c r="S3378" s="2" t="s">
        <v>22450</v>
      </c>
      <c r="T3378" s="2" t="s">
        <v>22451</v>
      </c>
      <c r="U3378" s="2" t="s">
        <v>56</v>
      </c>
      <c r="V3378" s="2" t="s">
        <v>145</v>
      </c>
      <c r="W3378" s="2" t="s">
        <v>3263</v>
      </c>
      <c r="X3378" s="2" t="s">
        <v>147</v>
      </c>
      <c r="Y3378" s="2">
        <v>38.799999999999997</v>
      </c>
      <c r="Z3378" s="2">
        <v>6.92</v>
      </c>
      <c r="AA3378" s="2" t="s">
        <v>259</v>
      </c>
      <c r="AB3378" s="2" t="s">
        <v>22452</v>
      </c>
      <c r="AC3378" s="2">
        <v>0.97850968013506401</v>
      </c>
      <c r="AD3378" s="2"/>
      <c r="AE3378" s="2">
        <v>0.16757474929601399</v>
      </c>
      <c r="AF3378" s="2">
        <v>3269.2775935833301</v>
      </c>
      <c r="AG3378" s="2">
        <v>1819.37208860634</v>
      </c>
      <c r="AH3378" s="5">
        <v>1.7969263209306701</v>
      </c>
      <c r="AI3378" s="5">
        <v>0.84553125547716002</v>
      </c>
      <c r="AJ3378" s="5" t="s">
        <v>139</v>
      </c>
      <c r="AK3378" s="2">
        <v>0.33609291331760199</v>
      </c>
      <c r="AL3378" s="2">
        <v>0.63709566614514901</v>
      </c>
      <c r="AM3378" s="2">
        <v>702.23514922541005</v>
      </c>
      <c r="AN3378" s="2">
        <v>1263.1687529118899</v>
      </c>
      <c r="AO3378" s="2">
        <v>9385.9876827222906</v>
      </c>
      <c r="AP3378" s="2">
        <v>2507.0229897160498</v>
      </c>
      <c r="AQ3378" s="2">
        <v>3985.1171986159502</v>
      </c>
      <c r="AR3378" s="2">
        <v>1772.13378830841</v>
      </c>
      <c r="AS3378" s="2">
        <v>427.07109663306397</v>
      </c>
      <c r="AT3378" s="2">
        <v>4636.8178696841896</v>
      </c>
      <c r="AU3378" s="2">
        <v>1542.3653333971399</v>
      </c>
      <c r="AV3378" s="2">
        <v>1515.48858731262</v>
      </c>
      <c r="AW3378" s="2">
        <v>1419.41183411932</v>
      </c>
      <c r="AX3378" s="2">
        <v>1375.0778104916899</v>
      </c>
    </row>
    <row r="3379" spans="1:50" x14ac:dyDescent="0.25">
      <c r="A3379" s="2" t="s">
        <v>22453</v>
      </c>
      <c r="B3379" s="2">
        <v>461.21634142750798</v>
      </c>
      <c r="C3379" s="2">
        <v>6.6691500000000001</v>
      </c>
      <c r="D3379" s="2" t="s">
        <v>51</v>
      </c>
      <c r="E3379" s="2" t="s">
        <v>22454</v>
      </c>
      <c r="F3379" s="2">
        <v>207609</v>
      </c>
      <c r="G3379" s="3" t="str">
        <f>HYPERLINK("https://cloud.oebiotech.com/#/lm/network/207609", "https://cloud.oebiotech.com/#/lm/network/207609")</f>
        <v>https://cloud.oebiotech.com/#/lm/network/207609</v>
      </c>
      <c r="H3379" s="2" t="s">
        <v>22455</v>
      </c>
      <c r="I3379" s="2"/>
      <c r="J3379" s="2"/>
      <c r="K3379" s="2">
        <v>3643</v>
      </c>
      <c r="L3379" s="2"/>
      <c r="M3379" s="2"/>
      <c r="N3379" s="2"/>
      <c r="O3379" s="2"/>
      <c r="P3379" s="2"/>
      <c r="Q3379" s="2"/>
      <c r="R3379" s="2"/>
      <c r="S3379" s="2" t="s">
        <v>22456</v>
      </c>
      <c r="T3379" s="2" t="s">
        <v>22457</v>
      </c>
      <c r="U3379" s="2" t="s">
        <v>56</v>
      </c>
      <c r="V3379" s="2" t="s">
        <v>283</v>
      </c>
      <c r="W3379" s="2" t="s">
        <v>3686</v>
      </c>
      <c r="X3379" s="2" t="s">
        <v>83</v>
      </c>
      <c r="Y3379" s="2">
        <v>41.1</v>
      </c>
      <c r="Z3379" s="2">
        <v>0</v>
      </c>
      <c r="AA3379" s="2" t="s">
        <v>163</v>
      </c>
      <c r="AB3379" s="2" t="s">
        <v>3463</v>
      </c>
      <c r="AC3379" s="2">
        <v>-3.7864372501719799</v>
      </c>
      <c r="AD3379" s="2"/>
      <c r="AE3379" s="2">
        <v>0.16754248805449001</v>
      </c>
      <c r="AF3379" s="2">
        <v>3554.7258429839799</v>
      </c>
      <c r="AG3379" s="2">
        <v>2594.2259128097198</v>
      </c>
      <c r="AH3379" s="5">
        <v>1.3702452918350401</v>
      </c>
      <c r="AI3379" s="5">
        <v>0.45443417759266602</v>
      </c>
      <c r="AJ3379" s="5" t="s">
        <v>139</v>
      </c>
      <c r="AK3379" s="2">
        <v>0.27206373772339298</v>
      </c>
      <c r="AL3379" s="2">
        <v>0.59187658046137204</v>
      </c>
      <c r="AM3379" s="2">
        <v>6697.9576787533397</v>
      </c>
      <c r="AN3379" s="2">
        <v>3094.2681129472799</v>
      </c>
      <c r="AO3379" s="2">
        <v>3123.8440045631701</v>
      </c>
      <c r="AP3379" s="2">
        <v>3462.04355323136</v>
      </c>
      <c r="AQ3379" s="2">
        <v>1922.19747065465</v>
      </c>
      <c r="AR3379" s="2">
        <v>3028.0442377541099</v>
      </c>
      <c r="AS3379" s="2">
        <v>3659.90279055978</v>
      </c>
      <c r="AT3379" s="2">
        <v>1382.6518833988</v>
      </c>
      <c r="AU3379" s="2">
        <v>3419.32912860843</v>
      </c>
      <c r="AV3379" s="2">
        <v>1202.2132363687999</v>
      </c>
      <c r="AW3379" s="2">
        <v>3893.6957258310699</v>
      </c>
      <c r="AX3379" s="2">
        <v>2007.5627120914401</v>
      </c>
    </row>
    <row r="3380" spans="1:50" x14ac:dyDescent="0.25">
      <c r="A3380" s="2" t="s">
        <v>22458</v>
      </c>
      <c r="B3380" s="2">
        <v>215.128352171979</v>
      </c>
      <c r="C3380" s="2">
        <v>6.8021833333333301</v>
      </c>
      <c r="D3380" s="2" t="s">
        <v>51</v>
      </c>
      <c r="E3380" s="2" t="s">
        <v>22459</v>
      </c>
      <c r="F3380" s="2">
        <v>2822</v>
      </c>
      <c r="G3380" s="3" t="str">
        <f>HYPERLINK("https://cloud.oebiotech.com/#/lm/network/2822", "https://cloud.oebiotech.com/#/lm/network/2822")</f>
        <v>https://cloud.oebiotech.com/#/lm/network/2822</v>
      </c>
      <c r="H3380" s="2" t="s">
        <v>22460</v>
      </c>
      <c r="I3380" s="2">
        <v>5846</v>
      </c>
      <c r="J3380" s="2" t="s">
        <v>22461</v>
      </c>
      <c r="K3380" s="2">
        <v>15816</v>
      </c>
      <c r="L3380" s="2"/>
      <c r="M3380" s="2"/>
      <c r="N3380" s="2"/>
      <c r="O3380" s="2">
        <v>73713</v>
      </c>
      <c r="P3380" s="2"/>
      <c r="Q3380" s="2"/>
      <c r="R3380" s="2" t="s">
        <v>22462</v>
      </c>
      <c r="S3380" s="2" t="s">
        <v>22463</v>
      </c>
      <c r="T3380" s="2" t="s">
        <v>22464</v>
      </c>
      <c r="U3380" s="2" t="s">
        <v>56</v>
      </c>
      <c r="V3380" s="2" t="s">
        <v>145</v>
      </c>
      <c r="W3380" s="2" t="s">
        <v>231</v>
      </c>
      <c r="X3380" s="2" t="s">
        <v>83</v>
      </c>
      <c r="Y3380" s="2">
        <v>55</v>
      </c>
      <c r="Z3380" s="2">
        <v>28.5</v>
      </c>
      <c r="AA3380" s="2" t="s">
        <v>163</v>
      </c>
      <c r="AB3380" s="2" t="s">
        <v>22465</v>
      </c>
      <c r="AC3380" s="2">
        <v>-2.4545437623368702</v>
      </c>
      <c r="AD3380" s="2"/>
      <c r="AE3380" s="2">
        <v>0.16752505517652999</v>
      </c>
      <c r="AF3380" s="2">
        <v>2734.6851512426801</v>
      </c>
      <c r="AG3380" s="2">
        <v>2016.8451870402801</v>
      </c>
      <c r="AH3380" s="5">
        <v>1.3559221941352</v>
      </c>
      <c r="AI3380" s="5">
        <v>0.43927439576347399</v>
      </c>
      <c r="AJ3380" s="5" t="s">
        <v>139</v>
      </c>
      <c r="AK3380" s="2">
        <v>0.124150667958306</v>
      </c>
      <c r="AL3380" s="2">
        <v>0.44128813217080598</v>
      </c>
      <c r="AM3380" s="2">
        <v>3823.7982064586399</v>
      </c>
      <c r="AN3380" s="2">
        <v>3462.4978885608898</v>
      </c>
      <c r="AO3380" s="2">
        <v>2024.2960980099599</v>
      </c>
      <c r="AP3380" s="2">
        <v>2184.13712880917</v>
      </c>
      <c r="AQ3380" s="2">
        <v>2035.5592309518299</v>
      </c>
      <c r="AR3380" s="2">
        <v>2877.82235466558</v>
      </c>
      <c r="AS3380" s="2">
        <v>2361.00461062863</v>
      </c>
      <c r="AT3380" s="2">
        <v>1787.21222233301</v>
      </c>
      <c r="AU3380" s="2">
        <v>2656.1828304165401</v>
      </c>
      <c r="AV3380" s="2">
        <v>978.01678647405902</v>
      </c>
      <c r="AW3380" s="2">
        <v>1545.5029822314</v>
      </c>
      <c r="AX3380" s="2">
        <v>2773.1516901580699</v>
      </c>
    </row>
    <row r="3381" spans="1:50" x14ac:dyDescent="0.25">
      <c r="A3381" s="2" t="s">
        <v>22466</v>
      </c>
      <c r="B3381" s="2">
        <v>469.20510395275301</v>
      </c>
      <c r="C3381" s="2">
        <v>3.6683166666666698</v>
      </c>
      <c r="D3381" s="2" t="s">
        <v>51</v>
      </c>
      <c r="E3381" s="2" t="s">
        <v>22467</v>
      </c>
      <c r="F3381" s="2">
        <v>200978</v>
      </c>
      <c r="G3381" s="3" t="str">
        <f>HYPERLINK("https://cloud.oebiotech.com/#/lm/network/200978", "https://cloud.oebiotech.com/#/lm/network/200978")</f>
        <v>https://cloud.oebiotech.com/#/lm/network/200978</v>
      </c>
      <c r="H3381" s="2" t="s">
        <v>22468</v>
      </c>
      <c r="I3381" s="2"/>
      <c r="J3381" s="2"/>
      <c r="K3381" s="2">
        <v>3044</v>
      </c>
      <c r="L3381" s="2"/>
      <c r="M3381" s="2"/>
      <c r="N3381" s="2"/>
      <c r="O3381" s="2">
        <v>93820</v>
      </c>
      <c r="P3381" s="2"/>
      <c r="Q3381" s="2"/>
      <c r="R3381" s="2"/>
      <c r="S3381" s="2" t="s">
        <v>22469</v>
      </c>
      <c r="T3381" s="2" t="s">
        <v>22470</v>
      </c>
      <c r="U3381" s="2" t="s">
        <v>295</v>
      </c>
      <c r="V3381" s="2" t="s">
        <v>22471</v>
      </c>
      <c r="W3381" s="2" t="s">
        <v>240</v>
      </c>
      <c r="X3381" s="2" t="s">
        <v>147</v>
      </c>
      <c r="Y3381" s="2">
        <v>38.700000000000003</v>
      </c>
      <c r="Z3381" s="2">
        <v>0</v>
      </c>
      <c r="AA3381" s="2" t="s">
        <v>478</v>
      </c>
      <c r="AB3381" s="2" t="s">
        <v>22472</v>
      </c>
      <c r="AC3381" s="2">
        <v>-3.12405793540829</v>
      </c>
      <c r="AD3381" s="2"/>
      <c r="AE3381" s="2">
        <v>0.16750525607341701</v>
      </c>
      <c r="AF3381" s="2">
        <v>1027.5453829738799</v>
      </c>
      <c r="AG3381" s="2">
        <v>232.33167417878201</v>
      </c>
      <c r="AH3381" s="5">
        <v>4.4227520272727396</v>
      </c>
      <c r="AI3381" s="5">
        <v>2.1449443561744501</v>
      </c>
      <c r="AJ3381" s="5" t="s">
        <v>139</v>
      </c>
      <c r="AK3381" s="2">
        <v>0.108653677311128</v>
      </c>
      <c r="AL3381" s="2">
        <v>0.420407201347063</v>
      </c>
      <c r="AM3381" s="2">
        <v>2707.1878971340102</v>
      </c>
      <c r="AN3381" s="2">
        <v>8.559877937157E-6</v>
      </c>
      <c r="AO3381" s="2">
        <v>1275.14075194817</v>
      </c>
      <c r="AP3381" s="2">
        <v>395.10485869222799</v>
      </c>
      <c r="AQ3381" s="2">
        <v>172.76530019353601</v>
      </c>
      <c r="AR3381" s="2">
        <v>1615.0734813154399</v>
      </c>
      <c r="AS3381" s="2">
        <v>8.559877937157E-6</v>
      </c>
      <c r="AT3381" s="2">
        <v>8.559877937157E-6</v>
      </c>
      <c r="AU3381" s="2">
        <v>168.222508926655</v>
      </c>
      <c r="AV3381" s="2">
        <v>962.65957264756798</v>
      </c>
      <c r="AW3381" s="2">
        <v>263.10793781883302</v>
      </c>
      <c r="AX3381" s="2">
        <v>8.559877937157E-6</v>
      </c>
    </row>
    <row r="3382" spans="1:50" x14ac:dyDescent="0.25">
      <c r="A3382" s="2" t="s">
        <v>22473</v>
      </c>
      <c r="B3382" s="2">
        <v>429.12019141803103</v>
      </c>
      <c r="C3382" s="2">
        <v>5.7733833333333298</v>
      </c>
      <c r="D3382" s="2" t="s">
        <v>51</v>
      </c>
      <c r="E3382" s="2" t="s">
        <v>22474</v>
      </c>
      <c r="F3382" s="2">
        <v>204747</v>
      </c>
      <c r="G3382" s="3" t="str">
        <f>HYPERLINK("https://cloud.oebiotech.com/#/lm/network/204747", "https://cloud.oebiotech.com/#/lm/network/204747")</f>
        <v>https://cloud.oebiotech.com/#/lm/network/204747</v>
      </c>
      <c r="H3382" s="2" t="s">
        <v>22475</v>
      </c>
      <c r="I3382" s="2"/>
      <c r="J3382" s="2"/>
      <c r="K3382" s="2">
        <v>9866029</v>
      </c>
      <c r="L3382" s="2"/>
      <c r="M3382" s="2"/>
      <c r="N3382" s="2"/>
      <c r="O3382" s="2"/>
      <c r="P3382" s="2"/>
      <c r="Q3382" s="2"/>
      <c r="R3382" s="2"/>
      <c r="S3382" s="2" t="s">
        <v>22476</v>
      </c>
      <c r="T3382" s="2" t="s">
        <v>22477</v>
      </c>
      <c r="U3382" s="2" t="s">
        <v>103</v>
      </c>
      <c r="V3382" s="2" t="s">
        <v>1372</v>
      </c>
      <c r="W3382" s="2" t="s">
        <v>1373</v>
      </c>
      <c r="X3382" s="2" t="s">
        <v>147</v>
      </c>
      <c r="Y3382" s="2">
        <v>37.6</v>
      </c>
      <c r="Z3382" s="2">
        <v>0</v>
      </c>
      <c r="AA3382" s="2" t="s">
        <v>60</v>
      </c>
      <c r="AB3382" s="2" t="s">
        <v>22478</v>
      </c>
      <c r="AC3382" s="2">
        <v>3.9338288887682702</v>
      </c>
      <c r="AD3382" s="2"/>
      <c r="AE3382" s="2">
        <v>0.16749863093864301</v>
      </c>
      <c r="AF3382" s="2">
        <v>2042.81368404311</v>
      </c>
      <c r="AG3382" s="2">
        <v>3562.7340623610999</v>
      </c>
      <c r="AH3382" s="4">
        <v>0.57338371270105204</v>
      </c>
      <c r="AI3382" s="4">
        <v>-0.80242717032139399</v>
      </c>
      <c r="AJ3382" s="4" t="s">
        <v>62</v>
      </c>
      <c r="AK3382" s="2">
        <v>0.68949866236834401</v>
      </c>
      <c r="AL3382" s="2">
        <v>0.85093129324780503</v>
      </c>
      <c r="AM3382" s="2">
        <v>930.06342304723103</v>
      </c>
      <c r="AN3382" s="2">
        <v>8.559877937157E-6</v>
      </c>
      <c r="AO3382" s="2">
        <v>8.559877937157E-6</v>
      </c>
      <c r="AP3382" s="2">
        <v>5017.2753044195697</v>
      </c>
      <c r="AQ3382" s="2">
        <v>5612.66193344972</v>
      </c>
      <c r="AR3382" s="2">
        <v>696.88142622238104</v>
      </c>
      <c r="AS3382" s="2">
        <v>8.559877937157E-6</v>
      </c>
      <c r="AT3382" s="2">
        <v>8.559877937157E-6</v>
      </c>
      <c r="AU3382" s="2">
        <v>39.145480378651797</v>
      </c>
      <c r="AV3382" s="2">
        <v>21278.226919437799</v>
      </c>
      <c r="AW3382" s="2">
        <v>59.031948670506701</v>
      </c>
      <c r="AX3382" s="2">
        <v>8.559877937157E-6</v>
      </c>
    </row>
    <row r="3383" spans="1:50" x14ac:dyDescent="0.25">
      <c r="A3383" s="2" t="s">
        <v>22479</v>
      </c>
      <c r="B3383" s="2">
        <v>481.25434507307602</v>
      </c>
      <c r="C3383" s="2">
        <v>4.6064833333333297</v>
      </c>
      <c r="D3383" s="2" t="s">
        <v>51</v>
      </c>
      <c r="E3383" s="2" t="s">
        <v>22480</v>
      </c>
      <c r="F3383" s="2">
        <v>61143</v>
      </c>
      <c r="G3383" s="3" t="str">
        <f>HYPERLINK("https://cloud.oebiotech.com/#/lm/network/61143", "https://cloud.oebiotech.com/#/lm/network/61143")</f>
        <v>https://cloud.oebiotech.com/#/lm/network/61143</v>
      </c>
      <c r="H3383" s="2" t="s">
        <v>22481</v>
      </c>
      <c r="I3383" s="2"/>
      <c r="J3383" s="2"/>
      <c r="K3383" s="2">
        <v>85288059</v>
      </c>
      <c r="L3383" s="2"/>
      <c r="M3383" s="2"/>
      <c r="N3383" s="2"/>
      <c r="O3383" s="2"/>
      <c r="P3383" s="2"/>
      <c r="Q3383" s="2"/>
      <c r="R3383" s="2" t="s">
        <v>22482</v>
      </c>
      <c r="S3383" s="2" t="s">
        <v>22483</v>
      </c>
      <c r="T3383" s="2" t="s">
        <v>22484</v>
      </c>
      <c r="U3383" s="2" t="s">
        <v>56</v>
      </c>
      <c r="V3383" s="2" t="s">
        <v>177</v>
      </c>
      <c r="W3383" s="2" t="s">
        <v>3270</v>
      </c>
      <c r="X3383" s="2" t="s">
        <v>147</v>
      </c>
      <c r="Y3383" s="2">
        <v>42.9</v>
      </c>
      <c r="Z3383" s="2">
        <v>36.799999999999997</v>
      </c>
      <c r="AA3383" s="2" t="s">
        <v>95</v>
      </c>
      <c r="AB3383" s="2" t="s">
        <v>22485</v>
      </c>
      <c r="AC3383" s="2">
        <v>-3.7413637611114599</v>
      </c>
      <c r="AD3383" s="2"/>
      <c r="AE3383" s="2">
        <v>0.167480772914124</v>
      </c>
      <c r="AF3383" s="2">
        <v>6223.7588131032498</v>
      </c>
      <c r="AG3383" s="2">
        <v>8581.3917261782608</v>
      </c>
      <c r="AH3383" s="4">
        <v>0.72526217328095499</v>
      </c>
      <c r="AI3383" s="4">
        <v>-0.46342548911121201</v>
      </c>
      <c r="AJ3383" s="4" t="s">
        <v>62</v>
      </c>
      <c r="AK3383" s="2">
        <v>0.61539926095183195</v>
      </c>
      <c r="AL3383" s="2">
        <v>0.80921936041440201</v>
      </c>
      <c r="AM3383" s="2">
        <v>8469.7332423385506</v>
      </c>
      <c r="AN3383" s="2">
        <v>578.70391193082196</v>
      </c>
      <c r="AO3383" s="2">
        <v>5977.9523809719803</v>
      </c>
      <c r="AP3383" s="2">
        <v>3580.0853478361601</v>
      </c>
      <c r="AQ3383" s="2">
        <v>5901.8067731116698</v>
      </c>
      <c r="AR3383" s="2">
        <v>12834.2712224303</v>
      </c>
      <c r="AS3383" s="2">
        <v>481.350050595749</v>
      </c>
      <c r="AT3383" s="2">
        <v>7507.2804458087803</v>
      </c>
      <c r="AU3383" s="2">
        <v>5536.1873739774201</v>
      </c>
      <c r="AV3383" s="2">
        <v>29115.491422920601</v>
      </c>
      <c r="AW3383" s="2">
        <v>4802.6727479778601</v>
      </c>
      <c r="AX3383" s="2">
        <v>4045.3683157891401</v>
      </c>
    </row>
    <row r="3384" spans="1:50" x14ac:dyDescent="0.25">
      <c r="A3384" s="2" t="s">
        <v>22486</v>
      </c>
      <c r="B3384" s="2">
        <v>246.185936814028</v>
      </c>
      <c r="C3384" s="2">
        <v>9.4819833333333303</v>
      </c>
      <c r="D3384" s="2" t="s">
        <v>51</v>
      </c>
      <c r="E3384" s="2" t="s">
        <v>22487</v>
      </c>
      <c r="F3384" s="2">
        <v>53674</v>
      </c>
      <c r="G3384" s="3" t="str">
        <f>HYPERLINK("https://cloud.oebiotech.com/#/lm/network/53674", "https://cloud.oebiotech.com/#/lm/network/53674")</f>
        <v>https://cloud.oebiotech.com/#/lm/network/53674</v>
      </c>
      <c r="H3384" s="2" t="s">
        <v>22488</v>
      </c>
      <c r="I3384" s="2">
        <v>3006</v>
      </c>
      <c r="J3384" s="2"/>
      <c r="K3384" s="2">
        <v>125017</v>
      </c>
      <c r="L3384" s="2"/>
      <c r="M3384" s="2"/>
      <c r="N3384" s="2"/>
      <c r="O3384" s="2">
        <v>83527</v>
      </c>
      <c r="P3384" s="2"/>
      <c r="Q3384" s="2"/>
      <c r="R3384" s="2" t="s">
        <v>22489</v>
      </c>
      <c r="S3384" s="2" t="s">
        <v>22490</v>
      </c>
      <c r="T3384" s="2" t="s">
        <v>22491</v>
      </c>
      <c r="U3384" s="2" t="s">
        <v>331</v>
      </c>
      <c r="V3384" s="2" t="s">
        <v>332</v>
      </c>
      <c r="W3384" s="2" t="s">
        <v>519</v>
      </c>
      <c r="X3384" s="2" t="s">
        <v>147</v>
      </c>
      <c r="Y3384" s="2">
        <v>38.5</v>
      </c>
      <c r="Z3384" s="2">
        <v>0</v>
      </c>
      <c r="AA3384" s="2" t="s">
        <v>156</v>
      </c>
      <c r="AB3384" s="2" t="s">
        <v>22492</v>
      </c>
      <c r="AC3384" s="2">
        <v>2.6445619063354</v>
      </c>
      <c r="AD3384" s="2"/>
      <c r="AE3384" s="2">
        <v>0.16740017155762499</v>
      </c>
      <c r="AF3384" s="2">
        <v>1698.72414717321</v>
      </c>
      <c r="AG3384" s="2">
        <v>884.08218741890801</v>
      </c>
      <c r="AH3384" s="5">
        <v>1.92145500876187</v>
      </c>
      <c r="AI3384" s="5">
        <v>0.94219919581468903</v>
      </c>
      <c r="AJ3384" s="5" t="s">
        <v>139</v>
      </c>
      <c r="AK3384" s="2">
        <v>0.220633689333679</v>
      </c>
      <c r="AL3384" s="2">
        <v>0.54602009736308899</v>
      </c>
      <c r="AM3384" s="2">
        <v>3649.39044450962</v>
      </c>
      <c r="AN3384" s="2">
        <v>1324.9355932113299</v>
      </c>
      <c r="AO3384" s="2">
        <v>790.83361251429596</v>
      </c>
      <c r="AP3384" s="2">
        <v>1869.4855525369001</v>
      </c>
      <c r="AQ3384" s="2">
        <v>680.18855251274101</v>
      </c>
      <c r="AR3384" s="2">
        <v>1877.5111277543899</v>
      </c>
      <c r="AS3384" s="2">
        <v>775.81334722382098</v>
      </c>
      <c r="AT3384" s="2">
        <v>390.63036646439798</v>
      </c>
      <c r="AU3384" s="2">
        <v>3037.5389812205399</v>
      </c>
      <c r="AV3384" s="2">
        <v>384.94540369222301</v>
      </c>
      <c r="AW3384" s="2">
        <v>133.63053839420201</v>
      </c>
      <c r="AX3384" s="2">
        <v>581.934487518266</v>
      </c>
    </row>
    <row r="3385" spans="1:50" x14ac:dyDescent="0.25">
      <c r="A3385" s="2" t="s">
        <v>22493</v>
      </c>
      <c r="B3385" s="2">
        <v>301.01111561331601</v>
      </c>
      <c r="C3385" s="2">
        <v>12.708216666666701</v>
      </c>
      <c r="D3385" s="2" t="s">
        <v>51</v>
      </c>
      <c r="E3385" s="2" t="s">
        <v>22494</v>
      </c>
      <c r="F3385" s="2">
        <v>204058</v>
      </c>
      <c r="G3385" s="3" t="str">
        <f>HYPERLINK("https://cloud.oebiotech.com/#/lm/network/204058", "https://cloud.oebiotech.com/#/lm/network/204058")</f>
        <v>https://cloud.oebiotech.com/#/lm/network/204058</v>
      </c>
      <c r="H3385" s="2" t="s">
        <v>22495</v>
      </c>
      <c r="I3385" s="2">
        <v>341971</v>
      </c>
      <c r="J3385" s="2"/>
      <c r="K3385" s="2">
        <v>13625</v>
      </c>
      <c r="L3385" s="2"/>
      <c r="M3385" s="2"/>
      <c r="N3385" s="2"/>
      <c r="O3385" s="2">
        <v>115196</v>
      </c>
      <c r="P3385" s="2"/>
      <c r="Q3385" s="2"/>
      <c r="R3385" s="2"/>
      <c r="S3385" s="2" t="s">
        <v>22496</v>
      </c>
      <c r="T3385" s="2" t="s">
        <v>22497</v>
      </c>
      <c r="U3385" s="2" t="s">
        <v>266</v>
      </c>
      <c r="V3385" s="2" t="s">
        <v>9065</v>
      </c>
      <c r="W3385" s="2" t="s">
        <v>240</v>
      </c>
      <c r="X3385" s="2" t="s">
        <v>147</v>
      </c>
      <c r="Y3385" s="2">
        <v>37.700000000000003</v>
      </c>
      <c r="Z3385" s="2">
        <v>0</v>
      </c>
      <c r="AA3385" s="2" t="s">
        <v>478</v>
      </c>
      <c r="AB3385" s="2" t="s">
        <v>16441</v>
      </c>
      <c r="AC3385" s="2">
        <v>7.4418969496884799E-2</v>
      </c>
      <c r="AD3385" s="2"/>
      <c r="AE3385" s="2">
        <v>0.167322282406385</v>
      </c>
      <c r="AF3385" s="2">
        <v>5498.4755030719898</v>
      </c>
      <c r="AG3385" s="2">
        <v>6229.57664810602</v>
      </c>
      <c r="AH3385" s="4">
        <v>0.88264031629560102</v>
      </c>
      <c r="AI3385" s="4">
        <v>-0.18010244819511301</v>
      </c>
      <c r="AJ3385" s="4" t="s">
        <v>62</v>
      </c>
      <c r="AK3385" s="2">
        <v>0.139297767384644</v>
      </c>
      <c r="AL3385" s="2">
        <v>0.45923352345858398</v>
      </c>
      <c r="AM3385" s="2">
        <v>4423.5502658361002</v>
      </c>
      <c r="AN3385" s="2">
        <v>5404.0535519513596</v>
      </c>
      <c r="AO3385" s="2">
        <v>5842.1781501064397</v>
      </c>
      <c r="AP3385" s="2">
        <v>5326.5748698597199</v>
      </c>
      <c r="AQ3385" s="2">
        <v>6722.3902991660798</v>
      </c>
      <c r="AR3385" s="2">
        <v>5272.1058815122296</v>
      </c>
      <c r="AS3385" s="2">
        <v>6858.4828378497104</v>
      </c>
      <c r="AT3385" s="2">
        <v>6430.5671153803196</v>
      </c>
      <c r="AU3385" s="2">
        <v>4628.5030292389802</v>
      </c>
      <c r="AV3385" s="2">
        <v>6809.12947176747</v>
      </c>
      <c r="AW3385" s="2">
        <v>6315.39317384681</v>
      </c>
      <c r="AX3385" s="2">
        <v>6335.3842605528298</v>
      </c>
    </row>
    <row r="3386" spans="1:50" x14ac:dyDescent="0.25">
      <c r="A3386" s="2" t="s">
        <v>22498</v>
      </c>
      <c r="B3386" s="2">
        <v>166.016963457451</v>
      </c>
      <c r="C3386" s="2">
        <v>0.74113333333333298</v>
      </c>
      <c r="D3386" s="2" t="s">
        <v>51</v>
      </c>
      <c r="E3386" s="2" t="s">
        <v>22499</v>
      </c>
      <c r="F3386" s="2">
        <v>47101</v>
      </c>
      <c r="G3386" s="3" t="str">
        <f>HYPERLINK("https://cloud.oebiotech.com/#/lm/network/47101", "https://cloud.oebiotech.com/#/lm/network/47101")</f>
        <v>https://cloud.oebiotech.com/#/lm/network/47101</v>
      </c>
      <c r="H3386" s="2" t="s">
        <v>22500</v>
      </c>
      <c r="I3386" s="2">
        <v>63299</v>
      </c>
      <c r="J3386" s="2"/>
      <c r="K3386" s="2">
        <v>5862</v>
      </c>
      <c r="L3386" s="2" t="s">
        <v>22501</v>
      </c>
      <c r="M3386" s="2" t="s">
        <v>22502</v>
      </c>
      <c r="N3386" s="2" t="s">
        <v>22503</v>
      </c>
      <c r="O3386" s="2">
        <v>17561</v>
      </c>
      <c r="P3386" s="2"/>
      <c r="Q3386" s="2"/>
      <c r="R3386" s="2" t="s">
        <v>22504</v>
      </c>
      <c r="S3386" s="2" t="s">
        <v>22505</v>
      </c>
      <c r="T3386" s="2" t="s">
        <v>22506</v>
      </c>
      <c r="U3386" s="2" t="s">
        <v>103</v>
      </c>
      <c r="V3386" s="2" t="s">
        <v>104</v>
      </c>
      <c r="W3386" s="2" t="s">
        <v>105</v>
      </c>
      <c r="X3386" s="2" t="s">
        <v>83</v>
      </c>
      <c r="Y3386" s="2">
        <v>38.799999999999997</v>
      </c>
      <c r="Z3386" s="2">
        <v>0</v>
      </c>
      <c r="AA3386" s="2" t="s">
        <v>218</v>
      </c>
      <c r="AB3386" s="2" t="s">
        <v>22507</v>
      </c>
      <c r="AC3386" s="2">
        <v>-8.1712362122633593</v>
      </c>
      <c r="AD3386" s="2"/>
      <c r="AE3386" s="2">
        <v>0.167220446874596</v>
      </c>
      <c r="AF3386" s="2">
        <v>5418.3309019953904</v>
      </c>
      <c r="AG3386" s="2">
        <v>3914.2351575799398</v>
      </c>
      <c r="AH3386" s="5">
        <v>1.3842630000149001</v>
      </c>
      <c r="AI3386" s="5">
        <v>0.46911807069905098</v>
      </c>
      <c r="AJ3386" s="5" t="s">
        <v>139</v>
      </c>
      <c r="AK3386" s="2">
        <v>0.22995778508224701</v>
      </c>
      <c r="AL3386" s="2">
        <v>0.55475797238248803</v>
      </c>
      <c r="AM3386" s="2">
        <v>6036.6074976252303</v>
      </c>
      <c r="AN3386" s="2">
        <v>3160.6506336141201</v>
      </c>
      <c r="AO3386" s="2">
        <v>2346.6403197112199</v>
      </c>
      <c r="AP3386" s="2">
        <v>5339.99559415771</v>
      </c>
      <c r="AQ3386" s="2">
        <v>10306.9142851575</v>
      </c>
      <c r="AR3386" s="2">
        <v>5319.1770817065699</v>
      </c>
      <c r="AS3386" s="2">
        <v>3918.1268175745499</v>
      </c>
      <c r="AT3386" s="2">
        <v>4182.4985863769598</v>
      </c>
      <c r="AU3386" s="2">
        <v>4661.3584255507603</v>
      </c>
      <c r="AV3386" s="2">
        <v>2653.3406947950102</v>
      </c>
      <c r="AW3386" s="2">
        <v>4506.7667222999598</v>
      </c>
      <c r="AX3386" s="2">
        <v>3563.3196988824102</v>
      </c>
    </row>
    <row r="3387" spans="1:50" x14ac:dyDescent="0.25">
      <c r="A3387" s="2" t="s">
        <v>22508</v>
      </c>
      <c r="B3387" s="2">
        <v>485.03540512473899</v>
      </c>
      <c r="C3387" s="2">
        <v>0.61688333333333301</v>
      </c>
      <c r="D3387" s="2" t="s">
        <v>51</v>
      </c>
      <c r="E3387" s="2" t="s">
        <v>22509</v>
      </c>
      <c r="F3387" s="2">
        <v>267210</v>
      </c>
      <c r="G3387" s="3" t="str">
        <f>HYPERLINK("https://cloud.oebiotech.com/#/lm/network/267210", "https://cloud.oebiotech.com/#/lm/network/267210")</f>
        <v>https://cloud.oebiotech.com/#/lm/network/267210</v>
      </c>
      <c r="H3387" s="2"/>
      <c r="I3387" s="2">
        <v>45011</v>
      </c>
      <c r="J3387" s="2"/>
      <c r="K3387" s="2">
        <v>11425048</v>
      </c>
      <c r="L3387" s="2"/>
      <c r="M3387" s="2"/>
      <c r="N3387" s="2"/>
      <c r="O3387" s="2"/>
      <c r="P3387" s="2"/>
      <c r="Q3387" s="2"/>
      <c r="R3387" s="2" t="s">
        <v>22510</v>
      </c>
      <c r="S3387" s="2" t="s">
        <v>22511</v>
      </c>
      <c r="T3387" s="2" t="s">
        <v>22512</v>
      </c>
      <c r="U3387" s="2" t="s">
        <v>610</v>
      </c>
      <c r="V3387" s="2" t="s">
        <v>611</v>
      </c>
      <c r="W3387" s="2" t="s">
        <v>5656</v>
      </c>
      <c r="X3387" s="2" t="s">
        <v>147</v>
      </c>
      <c r="Y3387" s="2">
        <v>37</v>
      </c>
      <c r="Z3387" s="2">
        <v>0</v>
      </c>
      <c r="AA3387" s="2" t="s">
        <v>478</v>
      </c>
      <c r="AB3387" s="2" t="s">
        <v>22513</v>
      </c>
      <c r="AC3387" s="2">
        <v>4.9271106625268599</v>
      </c>
      <c r="AD3387" s="2"/>
      <c r="AE3387" s="2">
        <v>0.16721372073762999</v>
      </c>
      <c r="AF3387" s="2">
        <v>12110.4628553572</v>
      </c>
      <c r="AG3387" s="2">
        <v>14398.805917739201</v>
      </c>
      <c r="AH3387" s="4">
        <v>0.84107410882156697</v>
      </c>
      <c r="AI3387" s="4">
        <v>-0.24969516988981399</v>
      </c>
      <c r="AJ3387" s="4" t="s">
        <v>62</v>
      </c>
      <c r="AK3387" s="2">
        <v>0.55177787408222601</v>
      </c>
      <c r="AL3387" s="2">
        <v>0.77261916000617403</v>
      </c>
      <c r="AM3387" s="2">
        <v>14099.5248214933</v>
      </c>
      <c r="AN3387" s="2">
        <v>11917.879029682799</v>
      </c>
      <c r="AO3387" s="2">
        <v>9234.4634950507607</v>
      </c>
      <c r="AP3387" s="2">
        <v>18710.8699449665</v>
      </c>
      <c r="AQ3387" s="2">
        <v>9912.9899778826402</v>
      </c>
      <c r="AR3387" s="2">
        <v>8787.0498630674192</v>
      </c>
      <c r="AS3387" s="2">
        <v>3381.18905956855</v>
      </c>
      <c r="AT3387" s="2">
        <v>7688.4646854033199</v>
      </c>
      <c r="AU3387" s="2">
        <v>21677.775481483801</v>
      </c>
      <c r="AV3387" s="2">
        <v>25180.950047456899</v>
      </c>
      <c r="AW3387" s="2">
        <v>12382.466315947</v>
      </c>
      <c r="AX3387" s="2">
        <v>16081.9899165759</v>
      </c>
    </row>
    <row r="3388" spans="1:50" x14ac:dyDescent="0.25">
      <c r="A3388" s="2" t="s">
        <v>22514</v>
      </c>
      <c r="B3388" s="2">
        <v>283.155199701328</v>
      </c>
      <c r="C3388" s="2">
        <v>5.9966833333333298</v>
      </c>
      <c r="D3388" s="2" t="s">
        <v>51</v>
      </c>
      <c r="E3388" s="2" t="s">
        <v>22515</v>
      </c>
      <c r="F3388" s="2">
        <v>7559</v>
      </c>
      <c r="G3388" s="3" t="str">
        <f>HYPERLINK("https://cloud.oebiotech.com/#/lm/network/7559", "https://cloud.oebiotech.com/#/lm/network/7559")</f>
        <v>https://cloud.oebiotech.com/#/lm/network/7559</v>
      </c>
      <c r="H3388" s="2" t="s">
        <v>22516</v>
      </c>
      <c r="I3388" s="2">
        <v>92981</v>
      </c>
      <c r="J3388" s="2" t="s">
        <v>22517</v>
      </c>
      <c r="K3388" s="2">
        <v>54611954</v>
      </c>
      <c r="L3388" s="2"/>
      <c r="M3388" s="2"/>
      <c r="N3388" s="2"/>
      <c r="O3388" s="2"/>
      <c r="P3388" s="2"/>
      <c r="Q3388" s="2"/>
      <c r="R3388" s="2" t="s">
        <v>22518</v>
      </c>
      <c r="S3388" s="2" t="s">
        <v>22519</v>
      </c>
      <c r="T3388" s="2" t="s">
        <v>22520</v>
      </c>
      <c r="U3388" s="2" t="s">
        <v>56</v>
      </c>
      <c r="V3388" s="2" t="s">
        <v>145</v>
      </c>
      <c r="W3388" s="2" t="s">
        <v>17251</v>
      </c>
      <c r="X3388" s="2" t="s">
        <v>147</v>
      </c>
      <c r="Y3388" s="2">
        <v>37.5</v>
      </c>
      <c r="Z3388" s="2">
        <v>2.8</v>
      </c>
      <c r="AA3388" s="2" t="s">
        <v>218</v>
      </c>
      <c r="AB3388" s="2" t="s">
        <v>10230</v>
      </c>
      <c r="AC3388" s="2">
        <v>0.42941065519064803</v>
      </c>
      <c r="AD3388" s="2"/>
      <c r="AE3388" s="2">
        <v>0.167206913977167</v>
      </c>
      <c r="AF3388" s="2">
        <v>1558.7052232890601</v>
      </c>
      <c r="AG3388" s="2">
        <v>840.91549390420903</v>
      </c>
      <c r="AH3388" s="5">
        <v>1.85358128680956</v>
      </c>
      <c r="AI3388" s="5">
        <v>0.89031538438047897</v>
      </c>
      <c r="AJ3388" s="5" t="s">
        <v>139</v>
      </c>
      <c r="AK3388" s="2">
        <v>0.119417495308438</v>
      </c>
      <c r="AL3388" s="2">
        <v>0.43766036031086097</v>
      </c>
      <c r="AM3388" s="2">
        <v>3048.1806839226001</v>
      </c>
      <c r="AN3388" s="2">
        <v>1788.42460527759</v>
      </c>
      <c r="AO3388" s="2">
        <v>504.114696760865</v>
      </c>
      <c r="AP3388" s="2">
        <v>1316.4070088133201</v>
      </c>
      <c r="AQ3388" s="2">
        <v>849.41893472074105</v>
      </c>
      <c r="AR3388" s="2">
        <v>1845.6854102392699</v>
      </c>
      <c r="AS3388" s="2">
        <v>844.28048469736302</v>
      </c>
      <c r="AT3388" s="2">
        <v>540.61808833653197</v>
      </c>
      <c r="AU3388" s="2">
        <v>1684.34765402059</v>
      </c>
      <c r="AV3388" s="2">
        <v>324.26897471757502</v>
      </c>
      <c r="AW3388" s="2">
        <v>484.12008967206498</v>
      </c>
      <c r="AX3388" s="2">
        <v>1167.8576719811299</v>
      </c>
    </row>
    <row r="3389" spans="1:50" x14ac:dyDescent="0.25">
      <c r="A3389" s="2" t="s">
        <v>22521</v>
      </c>
      <c r="B3389" s="2">
        <v>339.19169476491498</v>
      </c>
      <c r="C3389" s="2">
        <v>10.906883333333299</v>
      </c>
      <c r="D3389" s="2" t="s">
        <v>51</v>
      </c>
      <c r="E3389" s="2" t="s">
        <v>22522</v>
      </c>
      <c r="F3389" s="2">
        <v>51378</v>
      </c>
      <c r="G3389" s="3" t="str">
        <f>HYPERLINK("https://cloud.oebiotech.com/#/lm/network/51378", "https://cloud.oebiotech.com/#/lm/network/51378")</f>
        <v>https://cloud.oebiotech.com/#/lm/network/51378</v>
      </c>
      <c r="H3389" s="2" t="s">
        <v>22523</v>
      </c>
      <c r="I3389" s="2">
        <v>62345</v>
      </c>
      <c r="J3389" s="2"/>
      <c r="K3389" s="2">
        <v>53480975</v>
      </c>
      <c r="L3389" s="2"/>
      <c r="M3389" s="2"/>
      <c r="N3389" s="2"/>
      <c r="O3389" s="2"/>
      <c r="P3389" s="2"/>
      <c r="Q3389" s="2"/>
      <c r="R3389" s="2"/>
      <c r="S3389" s="2" t="s">
        <v>22524</v>
      </c>
      <c r="T3389" s="2" t="s">
        <v>22525</v>
      </c>
      <c r="U3389" s="2" t="s">
        <v>56</v>
      </c>
      <c r="V3389" s="2" t="s">
        <v>3215</v>
      </c>
      <c r="W3389" s="2" t="s">
        <v>4174</v>
      </c>
      <c r="X3389" s="2" t="s">
        <v>83</v>
      </c>
      <c r="Y3389" s="2">
        <v>49.9</v>
      </c>
      <c r="Z3389" s="2">
        <v>0</v>
      </c>
      <c r="AA3389" s="2" t="s">
        <v>395</v>
      </c>
      <c r="AB3389" s="2" t="s">
        <v>16700</v>
      </c>
      <c r="AC3389" s="2">
        <v>-5.0721755422093198</v>
      </c>
      <c r="AD3389" s="2"/>
      <c r="AE3389" s="2">
        <v>0.16690796417954201</v>
      </c>
      <c r="AF3389" s="2">
        <v>4438.3377743171304</v>
      </c>
      <c r="AG3389" s="2">
        <v>3093.7060777153301</v>
      </c>
      <c r="AH3389" s="5">
        <v>1.4346345977361901</v>
      </c>
      <c r="AI3389" s="5">
        <v>0.52068332842519804</v>
      </c>
      <c r="AJ3389" s="5" t="s">
        <v>139</v>
      </c>
      <c r="AK3389" s="2">
        <v>0.33025530785424201</v>
      </c>
      <c r="AL3389" s="2">
        <v>0.63269627709926801</v>
      </c>
      <c r="AM3389" s="2">
        <v>2262.7772924518699</v>
      </c>
      <c r="AN3389" s="2">
        <v>7967.6362332313602</v>
      </c>
      <c r="AO3389" s="2">
        <v>5652.8285192734602</v>
      </c>
      <c r="AP3389" s="2">
        <v>1422.94441202284</v>
      </c>
      <c r="AQ3389" s="2">
        <v>4623.5142252068799</v>
      </c>
      <c r="AR3389" s="2">
        <v>4700.3259637163801</v>
      </c>
      <c r="AS3389" s="2">
        <v>5141.915358448</v>
      </c>
      <c r="AT3389" s="2">
        <v>4708.7037758069</v>
      </c>
      <c r="AU3389" s="2">
        <v>1308.70552544108</v>
      </c>
      <c r="AV3389" s="2">
        <v>392.772856775734</v>
      </c>
      <c r="AW3389" s="2">
        <v>1728.80883466823</v>
      </c>
      <c r="AX3389" s="2">
        <v>5281.33011515201</v>
      </c>
    </row>
    <row r="3390" spans="1:50" x14ac:dyDescent="0.25">
      <c r="A3390" s="2" t="s">
        <v>22526</v>
      </c>
      <c r="B3390" s="2">
        <v>777.547506741299</v>
      </c>
      <c r="C3390" s="2">
        <v>11.0676166666667</v>
      </c>
      <c r="D3390" s="2" t="s">
        <v>51</v>
      </c>
      <c r="E3390" s="2" t="s">
        <v>22527</v>
      </c>
      <c r="F3390" s="2">
        <v>207065</v>
      </c>
      <c r="G3390" s="3" t="str">
        <f>HYPERLINK("https://cloud.oebiotech.com/#/lm/network/207065", "https://cloud.oebiotech.com/#/lm/network/207065")</f>
        <v>https://cloud.oebiotech.com/#/lm/network/207065</v>
      </c>
      <c r="H3390" s="2" t="s">
        <v>22528</v>
      </c>
      <c r="I3390" s="2"/>
      <c r="J3390" s="2"/>
      <c r="K3390" s="2">
        <v>74044983</v>
      </c>
      <c r="L3390" s="2"/>
      <c r="M3390" s="2"/>
      <c r="N3390" s="2"/>
      <c r="O3390" s="2"/>
      <c r="P3390" s="2"/>
      <c r="Q3390" s="2"/>
      <c r="R3390" s="2"/>
      <c r="S3390" s="2" t="s">
        <v>22529</v>
      </c>
      <c r="T3390" s="2" t="s">
        <v>22530</v>
      </c>
      <c r="U3390" s="2" t="s">
        <v>331</v>
      </c>
      <c r="V3390" s="2" t="s">
        <v>332</v>
      </c>
      <c r="W3390" s="2" t="s">
        <v>333</v>
      </c>
      <c r="X3390" s="2" t="s">
        <v>147</v>
      </c>
      <c r="Y3390" s="2">
        <v>37.9</v>
      </c>
      <c r="Z3390" s="2">
        <v>0</v>
      </c>
      <c r="AA3390" s="2" t="s">
        <v>259</v>
      </c>
      <c r="AB3390" s="2" t="s">
        <v>22531</v>
      </c>
      <c r="AC3390" s="2">
        <v>0.52080736385519599</v>
      </c>
      <c r="AD3390" s="2"/>
      <c r="AE3390" s="2">
        <v>0.16690445577030899</v>
      </c>
      <c r="AF3390" s="2">
        <v>55324.851745432497</v>
      </c>
      <c r="AG3390" s="2">
        <v>55339.202228117698</v>
      </c>
      <c r="AH3390" s="4">
        <v>0.99974068143183403</v>
      </c>
      <c r="AI3390" s="4">
        <v>-3.7416612851350002E-4</v>
      </c>
      <c r="AJ3390" s="4" t="s">
        <v>62</v>
      </c>
      <c r="AK3390" s="2">
        <v>0.99889433306592901</v>
      </c>
      <c r="AL3390" s="2">
        <v>0.99936598430801105</v>
      </c>
      <c r="AM3390" s="2">
        <v>16369.5583438506</v>
      </c>
      <c r="AN3390" s="2">
        <v>54768.902551468404</v>
      </c>
      <c r="AO3390" s="2">
        <v>68724.5323274205</v>
      </c>
      <c r="AP3390" s="2">
        <v>62600.731157329901</v>
      </c>
      <c r="AQ3390" s="2">
        <v>76615.264957634499</v>
      </c>
      <c r="AR3390" s="2">
        <v>52870.121134891</v>
      </c>
      <c r="AS3390" s="2">
        <v>70672.900963288004</v>
      </c>
      <c r="AT3390" s="2">
        <v>58568.130885865103</v>
      </c>
      <c r="AU3390" s="2">
        <v>41281.904438792</v>
      </c>
      <c r="AV3390" s="2">
        <v>49815.499446444301</v>
      </c>
      <c r="AW3390" s="2">
        <v>42122.640473391002</v>
      </c>
      <c r="AX3390" s="2">
        <v>69574.137160926097</v>
      </c>
    </row>
    <row r="3391" spans="1:50" x14ac:dyDescent="0.25">
      <c r="A3391" s="2" t="s">
        <v>22532</v>
      </c>
      <c r="B3391" s="2">
        <v>179.070587397179</v>
      </c>
      <c r="C3391" s="2">
        <v>6.4343000000000004</v>
      </c>
      <c r="D3391" s="2" t="s">
        <v>51</v>
      </c>
      <c r="E3391" s="2" t="s">
        <v>22533</v>
      </c>
      <c r="F3391" s="2">
        <v>48441</v>
      </c>
      <c r="G3391" s="3" t="str">
        <f>HYPERLINK("https://cloud.oebiotech.com/#/lm/network/48441", "https://cloud.oebiotech.com/#/lm/network/48441")</f>
        <v>https://cloud.oebiotech.com/#/lm/network/48441</v>
      </c>
      <c r="H3391" s="2" t="s">
        <v>22534</v>
      </c>
      <c r="I3391" s="2">
        <v>4057</v>
      </c>
      <c r="J3391" s="2"/>
      <c r="K3391" s="2">
        <v>3516</v>
      </c>
      <c r="L3391" s="2"/>
      <c r="M3391" s="2"/>
      <c r="N3391" s="2"/>
      <c r="O3391" s="2">
        <v>200157</v>
      </c>
      <c r="P3391" s="2"/>
      <c r="Q3391" s="2"/>
      <c r="R3391" s="2" t="s">
        <v>22535</v>
      </c>
      <c r="S3391" s="2" t="s">
        <v>22536</v>
      </c>
      <c r="T3391" s="2" t="s">
        <v>22537</v>
      </c>
      <c r="U3391" s="2" t="s">
        <v>610</v>
      </c>
      <c r="V3391" s="2" t="s">
        <v>4556</v>
      </c>
      <c r="W3391" s="2" t="s">
        <v>6949</v>
      </c>
      <c r="X3391" s="2" t="s">
        <v>147</v>
      </c>
      <c r="Y3391" s="2">
        <v>37.700000000000003</v>
      </c>
      <c r="Z3391" s="2">
        <v>0</v>
      </c>
      <c r="AA3391" s="2" t="s">
        <v>379</v>
      </c>
      <c r="AB3391" s="2" t="s">
        <v>15887</v>
      </c>
      <c r="AC3391" s="2">
        <v>-3.9396898281238499</v>
      </c>
      <c r="AD3391" s="2"/>
      <c r="AE3391" s="2">
        <v>0.16688536363679199</v>
      </c>
      <c r="AF3391" s="2">
        <v>673.08312392653397</v>
      </c>
      <c r="AG3391" s="2">
        <v>1247.5092459372299</v>
      </c>
      <c r="AH3391" s="4">
        <v>0.53954159147001601</v>
      </c>
      <c r="AI3391" s="4">
        <v>-0.89019391831636996</v>
      </c>
      <c r="AJ3391" s="4" t="s">
        <v>62</v>
      </c>
      <c r="AK3391" s="2">
        <v>3.0333142823316499E-3</v>
      </c>
      <c r="AL3391" s="2">
        <v>0.111517304639642</v>
      </c>
      <c r="AM3391" s="2">
        <v>440.65903946356701</v>
      </c>
      <c r="AN3391" s="2">
        <v>599.22565636737295</v>
      </c>
      <c r="AO3391" s="2">
        <v>800.22302600964304</v>
      </c>
      <c r="AP3391" s="2">
        <v>768.230619125408</v>
      </c>
      <c r="AQ3391" s="2">
        <v>789.64833184669305</v>
      </c>
      <c r="AR3391" s="2">
        <v>640.51207074652098</v>
      </c>
      <c r="AS3391" s="2">
        <v>873.53779927913399</v>
      </c>
      <c r="AT3391" s="2">
        <v>1255.4489250921799</v>
      </c>
      <c r="AU3391" s="2">
        <v>1014.8290051712499</v>
      </c>
      <c r="AV3391" s="2">
        <v>1736.90410415151</v>
      </c>
      <c r="AW3391" s="2">
        <v>1060.3867060059999</v>
      </c>
      <c r="AX3391" s="2">
        <v>1543.9489359233201</v>
      </c>
    </row>
    <row r="3392" spans="1:50" x14ac:dyDescent="0.25">
      <c r="A3392" s="2" t="s">
        <v>22538</v>
      </c>
      <c r="B3392" s="2">
        <v>222.085579814742</v>
      </c>
      <c r="C3392" s="2">
        <v>0.75593333333333301</v>
      </c>
      <c r="D3392" s="2" t="s">
        <v>51</v>
      </c>
      <c r="E3392" s="2" t="s">
        <v>22539</v>
      </c>
      <c r="F3392" s="2">
        <v>201169</v>
      </c>
      <c r="G3392" s="3" t="str">
        <f>HYPERLINK("https://cloud.oebiotech.com/#/lm/network/201169", "https://cloud.oebiotech.com/#/lm/network/201169")</f>
        <v>https://cloud.oebiotech.com/#/lm/network/201169</v>
      </c>
      <c r="H3392" s="2" t="s">
        <v>22540</v>
      </c>
      <c r="I3392" s="2"/>
      <c r="J3392" s="2"/>
      <c r="K3392" s="2">
        <v>21120587</v>
      </c>
      <c r="L3392" s="2"/>
      <c r="M3392" s="2"/>
      <c r="N3392" s="2"/>
      <c r="O3392" s="2"/>
      <c r="P3392" s="2"/>
      <c r="Q3392" s="2"/>
      <c r="R3392" s="2"/>
      <c r="S3392" s="2" t="s">
        <v>22541</v>
      </c>
      <c r="T3392" s="2" t="s">
        <v>22542</v>
      </c>
      <c r="U3392" s="2" t="s">
        <v>103</v>
      </c>
      <c r="V3392" s="2" t="s">
        <v>104</v>
      </c>
      <c r="W3392" s="2" t="s">
        <v>105</v>
      </c>
      <c r="X3392" s="2" t="s">
        <v>147</v>
      </c>
      <c r="Y3392" s="2">
        <v>40.4</v>
      </c>
      <c r="Z3392" s="2">
        <v>9.1999999999999993</v>
      </c>
      <c r="AA3392" s="2" t="s">
        <v>95</v>
      </c>
      <c r="AB3392" s="2" t="s">
        <v>22543</v>
      </c>
      <c r="AC3392" s="2">
        <v>3.3543907837366098</v>
      </c>
      <c r="AD3392" s="2"/>
      <c r="AE3392" s="2">
        <v>0.166870718086127</v>
      </c>
      <c r="AF3392" s="2">
        <v>20.9496096190488</v>
      </c>
      <c r="AG3392" s="2">
        <v>3445.7137295631001</v>
      </c>
      <c r="AH3392" s="4">
        <v>6.0799042704296601E-3</v>
      </c>
      <c r="AI3392" s="4">
        <v>-7.3617356763984301</v>
      </c>
      <c r="AJ3392" s="4" t="s">
        <v>62</v>
      </c>
      <c r="AK3392" s="2">
        <v>0.343705183107749</v>
      </c>
      <c r="AL3392" s="2">
        <v>0.63883639734105901</v>
      </c>
      <c r="AM3392" s="2">
        <v>44.6236229125292</v>
      </c>
      <c r="AN3392" s="2">
        <v>8.559877937157E-6</v>
      </c>
      <c r="AO3392" s="2">
        <v>64.543395964818004</v>
      </c>
      <c r="AP3392" s="2">
        <v>8.559877937157E-6</v>
      </c>
      <c r="AQ3392" s="2">
        <v>10.833427163808601</v>
      </c>
      <c r="AR3392" s="2">
        <v>5.6971945533811503</v>
      </c>
      <c r="AS3392" s="2">
        <v>8.559877937157E-6</v>
      </c>
      <c r="AT3392" s="2">
        <v>20674.282334579199</v>
      </c>
      <c r="AU3392" s="2">
        <v>8.559877937157E-6</v>
      </c>
      <c r="AV3392" s="2">
        <v>8.559877937157E-6</v>
      </c>
      <c r="AW3392" s="2">
        <v>8.559877937157E-6</v>
      </c>
      <c r="AX3392" s="2">
        <v>8.559877937157E-6</v>
      </c>
    </row>
    <row r="3393" spans="1:50" x14ac:dyDescent="0.25">
      <c r="A3393" s="2" t="s">
        <v>22544</v>
      </c>
      <c r="B3393" s="2">
        <v>407.24173857162998</v>
      </c>
      <c r="C3393" s="2">
        <v>11.337949999999999</v>
      </c>
      <c r="D3393" s="2" t="s">
        <v>51</v>
      </c>
      <c r="E3393" s="2" t="s">
        <v>22545</v>
      </c>
      <c r="F3393" s="2">
        <v>8332</v>
      </c>
      <c r="G3393" s="3" t="str">
        <f>HYPERLINK("https://cloud.oebiotech.com/#/lm/network/8332", "https://cloud.oebiotech.com/#/lm/network/8332")</f>
        <v>https://cloud.oebiotech.com/#/lm/network/8332</v>
      </c>
      <c r="H3393" s="2" t="s">
        <v>14393</v>
      </c>
      <c r="I3393" s="2">
        <v>956</v>
      </c>
      <c r="J3393" s="2" t="s">
        <v>22546</v>
      </c>
      <c r="K3393" s="2">
        <v>7045767</v>
      </c>
      <c r="L3393" s="2" t="s">
        <v>22547</v>
      </c>
      <c r="M3393" s="2" t="s">
        <v>22548</v>
      </c>
      <c r="N3393" s="2" t="s">
        <v>22549</v>
      </c>
      <c r="O3393" s="2">
        <v>57589</v>
      </c>
      <c r="P3393" s="2"/>
      <c r="Q3393" s="2"/>
      <c r="R3393" s="2" t="s">
        <v>22550</v>
      </c>
      <c r="S3393" s="2" t="s">
        <v>22551</v>
      </c>
      <c r="T3393" s="2" t="s">
        <v>22552</v>
      </c>
      <c r="U3393" s="2" t="s">
        <v>56</v>
      </c>
      <c r="V3393" s="2" t="s">
        <v>145</v>
      </c>
      <c r="W3393" s="2" t="s">
        <v>1188</v>
      </c>
      <c r="X3393" s="2" t="s">
        <v>147</v>
      </c>
      <c r="Y3393" s="2">
        <v>37</v>
      </c>
      <c r="Z3393" s="2">
        <v>0</v>
      </c>
      <c r="AA3393" s="2" t="s">
        <v>478</v>
      </c>
      <c r="AB3393" s="2" t="s">
        <v>14397</v>
      </c>
      <c r="AC3393" s="2">
        <v>4.5288324912577602</v>
      </c>
      <c r="AD3393" s="2"/>
      <c r="AE3393" s="2">
        <v>0.16680696190616601</v>
      </c>
      <c r="AF3393" s="2">
        <v>865.81406618003496</v>
      </c>
      <c r="AG3393" s="2">
        <v>310.34519495332</v>
      </c>
      <c r="AH3393" s="5">
        <v>2.7898420219145499</v>
      </c>
      <c r="AI3393" s="5">
        <v>1.48018343006404</v>
      </c>
      <c r="AJ3393" s="5" t="s">
        <v>139</v>
      </c>
      <c r="AK3393" s="2">
        <v>8.9028311583235695E-3</v>
      </c>
      <c r="AL3393" s="2">
        <v>0.15306555284881401</v>
      </c>
      <c r="AM3393" s="2">
        <v>1100.64733912617</v>
      </c>
      <c r="AN3393" s="2">
        <v>1013.71968651127</v>
      </c>
      <c r="AO3393" s="2">
        <v>1216.9657371076801</v>
      </c>
      <c r="AP3393" s="2">
        <v>342.90652136651102</v>
      </c>
      <c r="AQ3393" s="2">
        <v>812.28326506467602</v>
      </c>
      <c r="AR3393" s="2">
        <v>708.36184790390303</v>
      </c>
      <c r="AS3393" s="2">
        <v>142.14179691338799</v>
      </c>
      <c r="AT3393" s="2">
        <v>8.559877937157E-6</v>
      </c>
      <c r="AU3393" s="2">
        <v>807.02587568504896</v>
      </c>
      <c r="AV3393" s="2">
        <v>284.86015077494102</v>
      </c>
      <c r="AW3393" s="2">
        <v>383.21772751555301</v>
      </c>
      <c r="AX3393" s="2">
        <v>244.82561027111299</v>
      </c>
    </row>
    <row r="3394" spans="1:50" x14ac:dyDescent="0.25">
      <c r="A3394" s="2" t="s">
        <v>22553</v>
      </c>
      <c r="B3394" s="2">
        <v>254.03308889122999</v>
      </c>
      <c r="C3394" s="2">
        <v>0.69093333333333296</v>
      </c>
      <c r="D3394" s="2" t="s">
        <v>51</v>
      </c>
      <c r="E3394" s="2" t="s">
        <v>22554</v>
      </c>
      <c r="F3394" s="2">
        <v>213167</v>
      </c>
      <c r="G3394" s="3" t="str">
        <f>HYPERLINK("https://cloud.oebiotech.com/#/lm/network/213167", "https://cloud.oebiotech.com/#/lm/network/213167")</f>
        <v>https://cloud.oebiotech.com/#/lm/network/213167</v>
      </c>
      <c r="H3394" s="2" t="s">
        <v>22555</v>
      </c>
      <c r="I3394" s="2"/>
      <c r="J3394" s="2"/>
      <c r="K3394" s="2">
        <v>5486548</v>
      </c>
      <c r="L3394" s="2"/>
      <c r="M3394" s="2"/>
      <c r="N3394" s="2"/>
      <c r="O3394" s="2"/>
      <c r="P3394" s="2"/>
      <c r="Q3394" s="2"/>
      <c r="R3394" s="2"/>
      <c r="S3394" s="2" t="s">
        <v>22556</v>
      </c>
      <c r="T3394" s="2" t="s">
        <v>22557</v>
      </c>
      <c r="U3394" s="2" t="s">
        <v>266</v>
      </c>
      <c r="V3394" s="2" t="s">
        <v>6667</v>
      </c>
      <c r="W3394" s="2" t="s">
        <v>6668</v>
      </c>
      <c r="X3394" s="2" t="s">
        <v>147</v>
      </c>
      <c r="Y3394" s="2">
        <v>36.299999999999997</v>
      </c>
      <c r="Z3394" s="2">
        <v>0</v>
      </c>
      <c r="AA3394" s="2" t="s">
        <v>379</v>
      </c>
      <c r="AB3394" s="2" t="s">
        <v>22558</v>
      </c>
      <c r="AC3394" s="2">
        <v>4.1248317492868098</v>
      </c>
      <c r="AD3394" s="2"/>
      <c r="AE3394" s="2">
        <v>0.16679099272950301</v>
      </c>
      <c r="AF3394" s="2">
        <v>8339.2560560519305</v>
      </c>
      <c r="AG3394" s="2">
        <v>6525.8910899403099</v>
      </c>
      <c r="AH3394" s="5">
        <v>1.27787239184959</v>
      </c>
      <c r="AI3394" s="5">
        <v>0.353743776161625</v>
      </c>
      <c r="AJ3394" s="5" t="s">
        <v>139</v>
      </c>
      <c r="AK3394" s="2">
        <v>0.25634124294361799</v>
      </c>
      <c r="AL3394" s="2">
        <v>0.57898146204444401</v>
      </c>
      <c r="AM3394" s="2">
        <v>8429.5390351133192</v>
      </c>
      <c r="AN3394" s="2">
        <v>7661.5891719214696</v>
      </c>
      <c r="AO3394" s="2">
        <v>6891.0460836932498</v>
      </c>
      <c r="AP3394" s="2">
        <v>9805.0446433512407</v>
      </c>
      <c r="AQ3394" s="2">
        <v>7198.5447092864897</v>
      </c>
      <c r="AR3394" s="2">
        <v>10049.7726929458</v>
      </c>
      <c r="AS3394" s="2">
        <v>10583.9899893201</v>
      </c>
      <c r="AT3394" s="2">
        <v>6379.0365029629602</v>
      </c>
      <c r="AU3394" s="2">
        <v>5097.6878726024597</v>
      </c>
      <c r="AV3394" s="2">
        <v>640.73987523539199</v>
      </c>
      <c r="AW3394" s="2">
        <v>8516.6574426218594</v>
      </c>
      <c r="AX3394" s="2">
        <v>7937.2348568991101</v>
      </c>
    </row>
    <row r="3395" spans="1:50" x14ac:dyDescent="0.25">
      <c r="A3395" s="2" t="s">
        <v>22559</v>
      </c>
      <c r="B3395" s="2">
        <v>313.32158949275299</v>
      </c>
      <c r="C3395" s="2">
        <v>14.035883333333301</v>
      </c>
      <c r="D3395" s="2" t="s">
        <v>51</v>
      </c>
      <c r="E3395" s="2" t="s">
        <v>22560</v>
      </c>
      <c r="F3395" s="2">
        <v>209728</v>
      </c>
      <c r="G3395" s="3" t="str">
        <f>HYPERLINK("https://cloud.oebiotech.com/#/lm/network/209728", "https://cloud.oebiotech.com/#/lm/network/209728")</f>
        <v>https://cloud.oebiotech.com/#/lm/network/209728</v>
      </c>
      <c r="H3395" s="2" t="s">
        <v>22561</v>
      </c>
      <c r="I3395" s="2"/>
      <c r="J3395" s="2"/>
      <c r="K3395" s="2">
        <v>306065</v>
      </c>
      <c r="L3395" s="2"/>
      <c r="M3395" s="2"/>
      <c r="N3395" s="2"/>
      <c r="O3395" s="2"/>
      <c r="P3395" s="2"/>
      <c r="Q3395" s="2"/>
      <c r="R3395" s="2"/>
      <c r="S3395" s="2" t="s">
        <v>22562</v>
      </c>
      <c r="T3395" s="2" t="s">
        <v>22563</v>
      </c>
      <c r="U3395" s="2" t="s">
        <v>103</v>
      </c>
      <c r="V3395" s="2" t="s">
        <v>136</v>
      </c>
      <c r="W3395" s="2" t="s">
        <v>137</v>
      </c>
      <c r="X3395" s="2" t="s">
        <v>147</v>
      </c>
      <c r="Y3395" s="2">
        <v>37</v>
      </c>
      <c r="Z3395" s="2">
        <v>0</v>
      </c>
      <c r="AA3395" s="2" t="s">
        <v>259</v>
      </c>
      <c r="AB3395" s="2" t="s">
        <v>22564</v>
      </c>
      <c r="AC3395" s="2">
        <v>0.79775079695706697</v>
      </c>
      <c r="AD3395" s="2"/>
      <c r="AE3395" s="2">
        <v>0.166717166240412</v>
      </c>
      <c r="AF3395" s="2">
        <v>1545.77206846494</v>
      </c>
      <c r="AG3395" s="2">
        <v>2799.6142645210798</v>
      </c>
      <c r="AH3395" s="4">
        <v>0.55213751696231095</v>
      </c>
      <c r="AI3395" s="4">
        <v>-0.85690046134208497</v>
      </c>
      <c r="AJ3395" s="4" t="s">
        <v>62</v>
      </c>
      <c r="AK3395" s="2">
        <v>0.29260825758812498</v>
      </c>
      <c r="AL3395" s="2">
        <v>0.60553329689908297</v>
      </c>
      <c r="AM3395" s="2">
        <v>1571.08996553968</v>
      </c>
      <c r="AN3395" s="2">
        <v>2071.7519255166098</v>
      </c>
      <c r="AO3395" s="2">
        <v>1380.30985398332</v>
      </c>
      <c r="AP3395" s="2">
        <v>1468.49022257463</v>
      </c>
      <c r="AQ3395" s="2">
        <v>1683.9297959010901</v>
      </c>
      <c r="AR3395" s="2">
        <v>1099.06064727428</v>
      </c>
      <c r="AS3395" s="2">
        <v>8378.5035919932907</v>
      </c>
      <c r="AT3395" s="2">
        <v>2172.5535558514098</v>
      </c>
      <c r="AU3395" s="2">
        <v>1418.61381337273</v>
      </c>
      <c r="AV3395" s="2">
        <v>1701.65002991693</v>
      </c>
      <c r="AW3395" s="2">
        <v>1578.04201677126</v>
      </c>
      <c r="AX3395" s="2">
        <v>1548.32257922087</v>
      </c>
    </row>
    <row r="3396" spans="1:50" x14ac:dyDescent="0.25">
      <c r="A3396" s="2" t="s">
        <v>22565</v>
      </c>
      <c r="B3396" s="2">
        <v>361.1669</v>
      </c>
      <c r="C3396" s="2">
        <v>26.108000000000001</v>
      </c>
      <c r="D3396" s="2" t="s">
        <v>125</v>
      </c>
      <c r="E3396" s="2" t="s">
        <v>22566</v>
      </c>
      <c r="F3396" s="2">
        <v>48127</v>
      </c>
      <c r="G3396" s="3" t="str">
        <f>HYPERLINK("https://cloud.oebiotech.com/#/lm/network/48127", "https://cloud.oebiotech.com/#/lm/network/48127")</f>
        <v>https://cloud.oebiotech.com/#/lm/network/48127</v>
      </c>
      <c r="H3396" s="2" t="s">
        <v>22567</v>
      </c>
      <c r="I3396" s="2">
        <v>6945</v>
      </c>
      <c r="J3396" s="2"/>
      <c r="K3396" s="2">
        <v>22833608</v>
      </c>
      <c r="L3396" s="2" t="s">
        <v>22568</v>
      </c>
      <c r="M3396" s="2" t="s">
        <v>22569</v>
      </c>
      <c r="N3396" s="2" t="s">
        <v>22570</v>
      </c>
      <c r="O3396" s="2"/>
      <c r="P3396" s="2"/>
      <c r="Q3396" s="2"/>
      <c r="R3396" s="2" t="s">
        <v>22571</v>
      </c>
      <c r="S3396" s="2" t="s">
        <v>22572</v>
      </c>
      <c r="T3396" s="2" t="s">
        <v>22573</v>
      </c>
      <c r="U3396" s="2" t="s">
        <v>331</v>
      </c>
      <c r="V3396" s="2" t="s">
        <v>332</v>
      </c>
      <c r="W3396" s="2" t="s">
        <v>333</v>
      </c>
      <c r="X3396" s="2" t="s">
        <v>69</v>
      </c>
      <c r="Y3396" s="2">
        <v>91</v>
      </c>
      <c r="Z3396" s="2">
        <v>90</v>
      </c>
      <c r="AA3396" s="2"/>
      <c r="AB3396" s="2" t="s">
        <v>22574</v>
      </c>
      <c r="AC3396" s="2"/>
      <c r="AD3396" s="2">
        <v>989374.14534288598</v>
      </c>
      <c r="AE3396" s="2">
        <v>0.166611401893309</v>
      </c>
      <c r="AF3396" s="2">
        <v>10157.855836909001</v>
      </c>
      <c r="AG3396" s="2">
        <v>22900.507206258499</v>
      </c>
      <c r="AH3396" s="4">
        <v>0.44356466629407099</v>
      </c>
      <c r="AI3396" s="4">
        <v>-1.1727836477659901</v>
      </c>
      <c r="AJ3396" s="4" t="s">
        <v>62</v>
      </c>
      <c r="AK3396" s="2">
        <v>0.11094008326938</v>
      </c>
      <c r="AL3396" s="2">
        <v>0.42261842103963698</v>
      </c>
      <c r="AM3396" s="2">
        <v>7101.9660392072001</v>
      </c>
      <c r="AN3396" s="2">
        <v>7406.2454660409703</v>
      </c>
      <c r="AO3396" s="2">
        <v>7637.4616957315102</v>
      </c>
      <c r="AP3396" s="2">
        <v>2299.8352172700202</v>
      </c>
      <c r="AQ3396" s="2">
        <v>27107.977439109101</v>
      </c>
      <c r="AR3396" s="2">
        <v>9393.6491640952208</v>
      </c>
      <c r="AS3396" s="2">
        <v>40190.0838403331</v>
      </c>
      <c r="AT3396" s="2">
        <v>35305.376644533899</v>
      </c>
      <c r="AU3396" s="2">
        <v>27848.3403713675</v>
      </c>
      <c r="AV3396" s="2">
        <v>26369.739414203101</v>
      </c>
      <c r="AW3396" s="2">
        <v>2299.8352172700202</v>
      </c>
      <c r="AX3396" s="2">
        <v>5389.6677498433</v>
      </c>
    </row>
    <row r="3397" spans="1:50" x14ac:dyDescent="0.25">
      <c r="A3397" s="2" t="s">
        <v>22575</v>
      </c>
      <c r="B3397" s="2">
        <v>221.16561353599801</v>
      </c>
      <c r="C3397" s="2">
        <v>3.7954166666666702</v>
      </c>
      <c r="D3397" s="2" t="s">
        <v>51</v>
      </c>
      <c r="E3397" s="2" t="s">
        <v>22576</v>
      </c>
      <c r="F3397" s="2">
        <v>199999</v>
      </c>
      <c r="G3397" s="3" t="str">
        <f>HYPERLINK("https://cloud.oebiotech.com/#/lm/network/199999", "https://cloud.oebiotech.com/#/lm/network/199999")</f>
        <v>https://cloud.oebiotech.com/#/lm/network/199999</v>
      </c>
      <c r="H3397" s="2" t="s">
        <v>22577</v>
      </c>
      <c r="I3397" s="2"/>
      <c r="J3397" s="2"/>
      <c r="K3397" s="2">
        <v>17763396</v>
      </c>
      <c r="L3397" s="2"/>
      <c r="M3397" s="2"/>
      <c r="N3397" s="2"/>
      <c r="O3397" s="2"/>
      <c r="P3397" s="2"/>
      <c r="Q3397" s="2"/>
      <c r="R3397" s="2"/>
      <c r="S3397" s="2" t="s">
        <v>22578</v>
      </c>
      <c r="T3397" s="2" t="s">
        <v>22579</v>
      </c>
      <c r="U3397" s="2" t="s">
        <v>103</v>
      </c>
      <c r="V3397" s="2" t="s">
        <v>104</v>
      </c>
      <c r="W3397" s="2" t="s">
        <v>105</v>
      </c>
      <c r="X3397" s="2" t="s">
        <v>69</v>
      </c>
      <c r="Y3397" s="2">
        <v>48.5</v>
      </c>
      <c r="Z3397" s="2">
        <v>52.6</v>
      </c>
      <c r="AA3397" s="2" t="s">
        <v>259</v>
      </c>
      <c r="AB3397" s="2" t="s">
        <v>22580</v>
      </c>
      <c r="AC3397" s="2">
        <v>3.51490735185061</v>
      </c>
      <c r="AD3397" s="2"/>
      <c r="AE3397" s="2">
        <v>0.16643053304786201</v>
      </c>
      <c r="AF3397" s="2">
        <v>2358.4406787355701</v>
      </c>
      <c r="AG3397" s="2">
        <v>1126.19689310797</v>
      </c>
      <c r="AH3397" s="5">
        <v>2.09416372320739</v>
      </c>
      <c r="AI3397" s="5">
        <v>1.0663742376010501</v>
      </c>
      <c r="AJ3397" s="5" t="s">
        <v>139</v>
      </c>
      <c r="AK3397" s="2">
        <v>0.19846147935018499</v>
      </c>
      <c r="AL3397" s="2">
        <v>0.52204953606648197</v>
      </c>
      <c r="AM3397" s="2">
        <v>961.89023581827405</v>
      </c>
      <c r="AN3397" s="2">
        <v>1103.3269848621601</v>
      </c>
      <c r="AO3397" s="2">
        <v>5986.4222649882604</v>
      </c>
      <c r="AP3397" s="2">
        <v>1104.0781878140999</v>
      </c>
      <c r="AQ3397" s="2">
        <v>4114.4416520987397</v>
      </c>
      <c r="AR3397" s="2">
        <v>880.48474683191398</v>
      </c>
      <c r="AS3397" s="2">
        <v>1553.25063640537</v>
      </c>
      <c r="AT3397" s="2">
        <v>1458.7084898932601</v>
      </c>
      <c r="AU3397" s="2">
        <v>1023.05297998808</v>
      </c>
      <c r="AV3397" s="2">
        <v>752.78007156950605</v>
      </c>
      <c r="AW3397" s="2">
        <v>961.27619763596499</v>
      </c>
      <c r="AX3397" s="2">
        <v>1008.11298315563</v>
      </c>
    </row>
    <row r="3398" spans="1:50" x14ac:dyDescent="0.25">
      <c r="A3398" s="2" t="s">
        <v>22581</v>
      </c>
      <c r="B3398" s="2">
        <v>293.24819097060998</v>
      </c>
      <c r="C3398" s="2">
        <v>11.7985333333333</v>
      </c>
      <c r="D3398" s="2" t="s">
        <v>51</v>
      </c>
      <c r="E3398" s="2" t="s">
        <v>22582</v>
      </c>
      <c r="F3398" s="2">
        <v>267277</v>
      </c>
      <c r="G3398" s="3" t="str">
        <f>HYPERLINK("https://cloud.oebiotech.com/#/lm/network/267277", "https://cloud.oebiotech.com/#/lm/network/267277")</f>
        <v>https://cloud.oebiotech.com/#/lm/network/267277</v>
      </c>
      <c r="H3398" s="2"/>
      <c r="I3398" s="2">
        <v>45152</v>
      </c>
      <c r="J3398" s="2"/>
      <c r="K3398" s="2">
        <v>31868</v>
      </c>
      <c r="L3398" s="2"/>
      <c r="M3398" s="2"/>
      <c r="N3398" s="2"/>
      <c r="O3398" s="2"/>
      <c r="P3398" s="2"/>
      <c r="Q3398" s="2"/>
      <c r="R3398" s="2" t="s">
        <v>22583</v>
      </c>
      <c r="S3398" s="2" t="s">
        <v>22584</v>
      </c>
      <c r="T3398" s="2" t="s">
        <v>22585</v>
      </c>
      <c r="U3398" s="2" t="s">
        <v>56</v>
      </c>
      <c r="V3398" s="2" t="s">
        <v>145</v>
      </c>
      <c r="W3398" s="2" t="s">
        <v>203</v>
      </c>
      <c r="X3398" s="2" t="s">
        <v>69</v>
      </c>
      <c r="Y3398" s="2">
        <v>76.7</v>
      </c>
      <c r="Z3398" s="2">
        <v>98.9</v>
      </c>
      <c r="AA3398" s="2" t="s">
        <v>156</v>
      </c>
      <c r="AB3398" s="2" t="s">
        <v>7862</v>
      </c>
      <c r="AC3398" s="2">
        <v>2.2055432613940802</v>
      </c>
      <c r="AD3398" s="2"/>
      <c r="AE3398" s="2">
        <v>0.16639242840694399</v>
      </c>
      <c r="AF3398" s="2">
        <v>57380.005358103699</v>
      </c>
      <c r="AG3398" s="2">
        <v>62374.159212893901</v>
      </c>
      <c r="AH3398" s="4">
        <v>0.91993232585718199</v>
      </c>
      <c r="AI3398" s="4">
        <v>-0.120400360610437</v>
      </c>
      <c r="AJ3398" s="4" t="s">
        <v>62</v>
      </c>
      <c r="AK3398" s="2">
        <v>0.77659656055840598</v>
      </c>
      <c r="AL3398" s="2">
        <v>0.90070203511967495</v>
      </c>
      <c r="AM3398" s="2">
        <v>49266.898314055798</v>
      </c>
      <c r="AN3398" s="2">
        <v>100993.34531666699</v>
      </c>
      <c r="AO3398" s="2">
        <v>54854.996967231898</v>
      </c>
      <c r="AP3398" s="2">
        <v>53614.778726557801</v>
      </c>
      <c r="AQ3398" s="2">
        <v>33645.277018605397</v>
      </c>
      <c r="AR3398" s="2">
        <v>51904.735805504301</v>
      </c>
      <c r="AS3398" s="2">
        <v>61544.324594613499</v>
      </c>
      <c r="AT3398" s="2">
        <v>45990.533974835897</v>
      </c>
      <c r="AU3398" s="2">
        <v>44789.055111097601</v>
      </c>
      <c r="AV3398" s="2">
        <v>37099.3199791769</v>
      </c>
      <c r="AW3398" s="2">
        <v>52410.8765743037</v>
      </c>
      <c r="AX3398" s="2">
        <v>132410.84504333601</v>
      </c>
    </row>
    <row r="3399" spans="1:50" x14ac:dyDescent="0.25">
      <c r="A3399" s="2" t="s">
        <v>22586</v>
      </c>
      <c r="B3399" s="2">
        <v>269.21223660894498</v>
      </c>
      <c r="C3399" s="2">
        <v>10.7014833333333</v>
      </c>
      <c r="D3399" s="2" t="s">
        <v>51</v>
      </c>
      <c r="E3399" s="2" t="s">
        <v>22587</v>
      </c>
      <c r="F3399" s="2">
        <v>274751</v>
      </c>
      <c r="G3399" s="3" t="str">
        <f>HYPERLINK("https://cloud.oebiotech.com/#/lm/network/274751", "https://cloud.oebiotech.com/#/lm/network/274751")</f>
        <v>https://cloud.oebiotech.com/#/lm/network/274751</v>
      </c>
      <c r="H3399" s="2"/>
      <c r="I3399" s="2">
        <v>65417</v>
      </c>
      <c r="J3399" s="2"/>
      <c r="K3399" s="2">
        <v>155655</v>
      </c>
      <c r="L3399" s="2"/>
      <c r="M3399" s="2"/>
      <c r="N3399" s="2"/>
      <c r="O3399" s="2"/>
      <c r="P3399" s="2"/>
      <c r="Q3399" s="2"/>
      <c r="R3399" s="2"/>
      <c r="S3399" s="2" t="s">
        <v>22588</v>
      </c>
      <c r="T3399" s="2" t="s">
        <v>22589</v>
      </c>
      <c r="U3399" s="2" t="s">
        <v>56</v>
      </c>
      <c r="V3399" s="2" t="s">
        <v>145</v>
      </c>
      <c r="W3399" s="2" t="s">
        <v>146</v>
      </c>
      <c r="X3399" s="2" t="s">
        <v>83</v>
      </c>
      <c r="Y3399" s="2">
        <v>44.1</v>
      </c>
      <c r="Z3399" s="2">
        <v>0</v>
      </c>
      <c r="AA3399" s="2" t="s">
        <v>163</v>
      </c>
      <c r="AB3399" s="2" t="s">
        <v>18062</v>
      </c>
      <c r="AC3399" s="2">
        <v>6.7427278544821195E-2</v>
      </c>
      <c r="AD3399" s="2"/>
      <c r="AE3399" s="2">
        <v>0.166332631419424</v>
      </c>
      <c r="AF3399" s="2">
        <v>6550.8699079708804</v>
      </c>
      <c r="AG3399" s="2">
        <v>7470.4877349726303</v>
      </c>
      <c r="AH3399" s="4">
        <v>0.87689989467533602</v>
      </c>
      <c r="AI3399" s="4">
        <v>-0.18951593830468999</v>
      </c>
      <c r="AJ3399" s="4" t="s">
        <v>62</v>
      </c>
      <c r="AK3399" s="2">
        <v>0.105892954322622</v>
      </c>
      <c r="AL3399" s="2">
        <v>0.41360951961408099</v>
      </c>
      <c r="AM3399" s="2">
        <v>6535.6183528513202</v>
      </c>
      <c r="AN3399" s="2">
        <v>6368.1063655510097</v>
      </c>
      <c r="AO3399" s="2">
        <v>6193.0774792132897</v>
      </c>
      <c r="AP3399" s="2">
        <v>6411.79326663146</v>
      </c>
      <c r="AQ3399" s="2">
        <v>6419.9941834380998</v>
      </c>
      <c r="AR3399" s="2">
        <v>7376.6298001401301</v>
      </c>
      <c r="AS3399" s="2">
        <v>6066.3818863782799</v>
      </c>
      <c r="AT3399" s="2">
        <v>6643.8211521065596</v>
      </c>
      <c r="AU3399" s="2">
        <v>8029.6952089950501</v>
      </c>
      <c r="AV3399" s="2">
        <v>9404.4784846593993</v>
      </c>
      <c r="AW3399" s="2">
        <v>6886.7220064858702</v>
      </c>
      <c r="AX3399" s="2">
        <v>7791.8276712105999</v>
      </c>
    </row>
    <row r="3400" spans="1:50" x14ac:dyDescent="0.25">
      <c r="A3400" s="2" t="s">
        <v>22590</v>
      </c>
      <c r="B3400" s="2">
        <v>365.23125929535303</v>
      </c>
      <c r="C3400" s="2">
        <v>11.6313666666667</v>
      </c>
      <c r="D3400" s="2" t="s">
        <v>51</v>
      </c>
      <c r="E3400" s="2" t="s">
        <v>22591</v>
      </c>
      <c r="F3400" s="2">
        <v>3978</v>
      </c>
      <c r="G3400" s="3" t="str">
        <f>HYPERLINK("https://cloud.oebiotech.com/#/lm/network/3978", "https://cloud.oebiotech.com/#/lm/network/3978")</f>
        <v>https://cloud.oebiotech.com/#/lm/network/3978</v>
      </c>
      <c r="H3400" s="2"/>
      <c r="I3400" s="2">
        <v>36287</v>
      </c>
      <c r="J3400" s="2" t="s">
        <v>22592</v>
      </c>
      <c r="K3400" s="2">
        <v>5283164</v>
      </c>
      <c r="L3400" s="2"/>
      <c r="M3400" s="2"/>
      <c r="N3400" s="2"/>
      <c r="O3400" s="2"/>
      <c r="P3400" s="2"/>
      <c r="Q3400" s="2"/>
      <c r="R3400" s="2"/>
      <c r="S3400" s="2" t="s">
        <v>22593</v>
      </c>
      <c r="T3400" s="2" t="s">
        <v>22594</v>
      </c>
      <c r="U3400" s="2" t="s">
        <v>56</v>
      </c>
      <c r="V3400" s="2" t="s">
        <v>145</v>
      </c>
      <c r="W3400" s="2" t="s">
        <v>187</v>
      </c>
      <c r="X3400" s="2" t="s">
        <v>83</v>
      </c>
      <c r="Y3400" s="2">
        <v>59.8</v>
      </c>
      <c r="Z3400" s="2">
        <v>40.1</v>
      </c>
      <c r="AA3400" s="2" t="s">
        <v>218</v>
      </c>
      <c r="AB3400" s="2" t="s">
        <v>205</v>
      </c>
      <c r="AC3400" s="2">
        <v>-6.5216438622613602</v>
      </c>
      <c r="AD3400" s="2"/>
      <c r="AE3400" s="2">
        <v>0.16617470094501899</v>
      </c>
      <c r="AF3400" s="2">
        <v>2843.9310225654199</v>
      </c>
      <c r="AG3400" s="2">
        <v>1207.12825641015</v>
      </c>
      <c r="AH3400" s="5">
        <v>2.3559476861414299</v>
      </c>
      <c r="AI3400" s="5">
        <v>1.2363075044560401</v>
      </c>
      <c r="AJ3400" s="5" t="s">
        <v>139</v>
      </c>
      <c r="AK3400" s="2">
        <v>0.27210522596623998</v>
      </c>
      <c r="AL3400" s="2">
        <v>0.59187658046137204</v>
      </c>
      <c r="AM3400" s="2">
        <v>1668.4223793001499</v>
      </c>
      <c r="AN3400" s="2">
        <v>926.54312425579303</v>
      </c>
      <c r="AO3400" s="2">
        <v>979.70369918370397</v>
      </c>
      <c r="AP3400" s="2">
        <v>930.55874969094998</v>
      </c>
      <c r="AQ3400" s="2">
        <v>9321.9048577483009</v>
      </c>
      <c r="AR3400" s="2">
        <v>3236.4533252136198</v>
      </c>
      <c r="AS3400" s="2">
        <v>307.06196228283301</v>
      </c>
      <c r="AT3400" s="2">
        <v>819.72384523951803</v>
      </c>
      <c r="AU3400" s="2">
        <v>3215.6770187858401</v>
      </c>
      <c r="AV3400" s="2">
        <v>873.85799860027998</v>
      </c>
      <c r="AW3400" s="2">
        <v>981.592430681613</v>
      </c>
      <c r="AX3400" s="2">
        <v>1044.85628287079</v>
      </c>
    </row>
    <row r="3401" spans="1:50" x14ac:dyDescent="0.25">
      <c r="A3401" s="2" t="s">
        <v>22595</v>
      </c>
      <c r="B3401" s="2">
        <v>221.11789248706</v>
      </c>
      <c r="C3401" s="2">
        <v>5.08686666666667</v>
      </c>
      <c r="D3401" s="2" t="s">
        <v>51</v>
      </c>
      <c r="E3401" s="2" t="s">
        <v>22596</v>
      </c>
      <c r="F3401" s="2">
        <v>60492</v>
      </c>
      <c r="G3401" s="3" t="str">
        <f>HYPERLINK("https://cloud.oebiotech.com/#/lm/network/60492", "https://cloud.oebiotech.com/#/lm/network/60492")</f>
        <v>https://cloud.oebiotech.com/#/lm/network/60492</v>
      </c>
      <c r="H3401" s="2" t="s">
        <v>22597</v>
      </c>
      <c r="I3401" s="2">
        <v>91833</v>
      </c>
      <c r="J3401" s="2"/>
      <c r="K3401" s="2">
        <v>5280662</v>
      </c>
      <c r="L3401" s="2" t="s">
        <v>22598</v>
      </c>
      <c r="M3401" s="2"/>
      <c r="N3401" s="2"/>
      <c r="O3401" s="2">
        <v>18429</v>
      </c>
      <c r="P3401" s="2"/>
      <c r="Q3401" s="2"/>
      <c r="R3401" s="2" t="s">
        <v>22599</v>
      </c>
      <c r="S3401" s="2" t="s">
        <v>22600</v>
      </c>
      <c r="T3401" s="2" t="s">
        <v>22601</v>
      </c>
      <c r="U3401" s="2" t="s">
        <v>56</v>
      </c>
      <c r="V3401" s="2" t="s">
        <v>177</v>
      </c>
      <c r="W3401" s="2" t="s">
        <v>1996</v>
      </c>
      <c r="X3401" s="2" t="s">
        <v>83</v>
      </c>
      <c r="Y3401" s="2">
        <v>43.7</v>
      </c>
      <c r="Z3401" s="2">
        <v>0</v>
      </c>
      <c r="AA3401" s="2" t="s">
        <v>163</v>
      </c>
      <c r="AB3401" s="2" t="s">
        <v>10412</v>
      </c>
      <c r="AC3401" s="2">
        <v>-1.9156589371102699</v>
      </c>
      <c r="AD3401" s="2"/>
      <c r="AE3401" s="2">
        <v>0.16617099254171999</v>
      </c>
      <c r="AF3401" s="2">
        <v>811.55676061153497</v>
      </c>
      <c r="AG3401" s="2">
        <v>272.55969886589003</v>
      </c>
      <c r="AH3401" s="5">
        <v>2.9775376329970702</v>
      </c>
      <c r="AI3401" s="5">
        <v>1.57411974237827</v>
      </c>
      <c r="AJ3401" s="5" t="s">
        <v>139</v>
      </c>
      <c r="AK3401" s="2">
        <v>3.02098908413179E-3</v>
      </c>
      <c r="AL3401" s="2">
        <v>0.111517304639642</v>
      </c>
      <c r="AM3401" s="2">
        <v>1139.3893766767601</v>
      </c>
      <c r="AN3401" s="2">
        <v>1207.40473758961</v>
      </c>
      <c r="AO3401" s="2">
        <v>625.33812166694497</v>
      </c>
      <c r="AP3401" s="2">
        <v>654.43631135798705</v>
      </c>
      <c r="AQ3401" s="2">
        <v>605.06713454011003</v>
      </c>
      <c r="AR3401" s="2">
        <v>637.70488183780003</v>
      </c>
      <c r="AS3401" s="2">
        <v>481.53474400016302</v>
      </c>
      <c r="AT3401" s="2">
        <v>161.586065861733</v>
      </c>
      <c r="AU3401" s="2">
        <v>370.65011147375799</v>
      </c>
      <c r="AV3401" s="2">
        <v>97.9729918999072</v>
      </c>
      <c r="AW3401" s="2">
        <v>56.943130891766998</v>
      </c>
      <c r="AX3401" s="2">
        <v>466.67114906801203</v>
      </c>
    </row>
    <row r="3402" spans="1:50" x14ac:dyDescent="0.25">
      <c r="A3402" s="2" t="s">
        <v>22602</v>
      </c>
      <c r="B3402" s="2">
        <v>459.02656034596799</v>
      </c>
      <c r="C3402" s="2">
        <v>13.077016666666699</v>
      </c>
      <c r="D3402" s="2" t="s">
        <v>51</v>
      </c>
      <c r="E3402" s="2" t="s">
        <v>22603</v>
      </c>
      <c r="F3402" s="2">
        <v>257573</v>
      </c>
      <c r="G3402" s="3" t="str">
        <f>HYPERLINK("https://cloud.oebiotech.com/#/lm/network/257573", "https://cloud.oebiotech.com/#/lm/network/257573")</f>
        <v>https://cloud.oebiotech.com/#/lm/network/257573</v>
      </c>
      <c r="H3402" s="2" t="s">
        <v>22604</v>
      </c>
      <c r="I3402" s="2">
        <v>72500</v>
      </c>
      <c r="J3402" s="2"/>
      <c r="K3402" s="2">
        <v>8519</v>
      </c>
      <c r="L3402" s="2" t="s">
        <v>22605</v>
      </c>
      <c r="M3402" s="2"/>
      <c r="N3402" s="2"/>
      <c r="O3402" s="2"/>
      <c r="P3402" s="2"/>
      <c r="Q3402" s="2"/>
      <c r="R3402" s="2" t="s">
        <v>22606</v>
      </c>
      <c r="S3402" s="2" t="s">
        <v>22607</v>
      </c>
      <c r="T3402" s="2" t="s">
        <v>22608</v>
      </c>
      <c r="U3402" s="2" t="s">
        <v>103</v>
      </c>
      <c r="V3402" s="2" t="s">
        <v>104</v>
      </c>
      <c r="W3402" s="2" t="s">
        <v>3415</v>
      </c>
      <c r="X3402" s="2" t="s">
        <v>147</v>
      </c>
      <c r="Y3402" s="2">
        <v>39.299999999999997</v>
      </c>
      <c r="Z3402" s="2">
        <v>0</v>
      </c>
      <c r="AA3402" s="2" t="s">
        <v>478</v>
      </c>
      <c r="AB3402" s="2" t="s">
        <v>22609</v>
      </c>
      <c r="AC3402" s="2">
        <v>0.89764270691042503</v>
      </c>
      <c r="AD3402" s="2"/>
      <c r="AE3402" s="2">
        <v>0.166047069542855</v>
      </c>
      <c r="AF3402" s="2">
        <v>3137.7610645353602</v>
      </c>
      <c r="AG3402" s="2">
        <v>3913.9474328331098</v>
      </c>
      <c r="AH3402" s="4">
        <v>0.80168707382564097</v>
      </c>
      <c r="AI3402" s="4">
        <v>-0.318888882070126</v>
      </c>
      <c r="AJ3402" s="4" t="s">
        <v>62</v>
      </c>
      <c r="AK3402" s="2">
        <v>3.6427674763282302E-3</v>
      </c>
      <c r="AL3402" s="2">
        <v>0.1120315017845</v>
      </c>
      <c r="AM3402" s="2">
        <v>3066.0951194747299</v>
      </c>
      <c r="AN3402" s="2">
        <v>3052.27713341249</v>
      </c>
      <c r="AO3402" s="2">
        <v>3432.7426329837599</v>
      </c>
      <c r="AP3402" s="2">
        <v>3236.3911801906402</v>
      </c>
      <c r="AQ3402" s="2">
        <v>2839.4941994669798</v>
      </c>
      <c r="AR3402" s="2">
        <v>3199.5661216835401</v>
      </c>
      <c r="AS3402" s="2">
        <v>3679.6240101640801</v>
      </c>
      <c r="AT3402" s="2">
        <v>4648.2754685095997</v>
      </c>
      <c r="AU3402" s="2">
        <v>4175.6445490486103</v>
      </c>
      <c r="AV3402" s="2">
        <v>3288.4571614513302</v>
      </c>
      <c r="AW3402" s="2">
        <v>3892.9278032386801</v>
      </c>
      <c r="AX3402" s="2">
        <v>3798.7556045863698</v>
      </c>
    </row>
    <row r="3403" spans="1:50" x14ac:dyDescent="0.25">
      <c r="A3403" s="2" t="s">
        <v>22610</v>
      </c>
      <c r="B3403" s="2">
        <v>201.12119999999999</v>
      </c>
      <c r="C3403" s="2">
        <v>10.225</v>
      </c>
      <c r="D3403" s="2" t="s">
        <v>125</v>
      </c>
      <c r="E3403" s="2" t="s">
        <v>22611</v>
      </c>
      <c r="F3403" s="2">
        <v>55</v>
      </c>
      <c r="G3403" s="3" t="str">
        <f>HYPERLINK("https://cloud.oebiotech.com/#/lm/network/55", "https://cloud.oebiotech.com/#/lm/network/55")</f>
        <v>https://cloud.oebiotech.com/#/lm/network/55</v>
      </c>
      <c r="H3403" s="2" t="s">
        <v>22612</v>
      </c>
      <c r="I3403" s="2">
        <v>112</v>
      </c>
      <c r="J3403" s="2" t="s">
        <v>22613</v>
      </c>
      <c r="K3403" s="2">
        <v>379</v>
      </c>
      <c r="L3403" s="2" t="s">
        <v>22614</v>
      </c>
      <c r="M3403" s="2" t="s">
        <v>22615</v>
      </c>
      <c r="N3403" s="2" t="s">
        <v>22616</v>
      </c>
      <c r="O3403" s="2">
        <v>28837</v>
      </c>
      <c r="P3403" s="2" t="s">
        <v>22617</v>
      </c>
      <c r="Q3403" s="2" t="s">
        <v>22618</v>
      </c>
      <c r="R3403" s="2" t="s">
        <v>22619</v>
      </c>
      <c r="S3403" s="2" t="s">
        <v>22620</v>
      </c>
      <c r="T3403" s="2" t="s">
        <v>22621</v>
      </c>
      <c r="U3403" s="2" t="s">
        <v>56</v>
      </c>
      <c r="V3403" s="2" t="s">
        <v>145</v>
      </c>
      <c r="W3403" s="2" t="s">
        <v>231</v>
      </c>
      <c r="X3403" s="2" t="s">
        <v>69</v>
      </c>
      <c r="Y3403" s="2">
        <v>95.9</v>
      </c>
      <c r="Z3403" s="2">
        <v>96.3</v>
      </c>
      <c r="AA3403" s="2"/>
      <c r="AB3403" s="2" t="s">
        <v>1208</v>
      </c>
      <c r="AC3403" s="2"/>
      <c r="AD3403" s="2">
        <v>345695.84569732897</v>
      </c>
      <c r="AE3403" s="2">
        <v>0.16604612395423499</v>
      </c>
      <c r="AF3403" s="2">
        <v>47854.702211940297</v>
      </c>
      <c r="AG3403" s="2">
        <v>57370.822925951099</v>
      </c>
      <c r="AH3403" s="4">
        <v>0.83412961103428396</v>
      </c>
      <c r="AI3403" s="4">
        <v>-0.26165652096800301</v>
      </c>
      <c r="AJ3403" s="4" t="s">
        <v>62</v>
      </c>
      <c r="AK3403" s="2">
        <v>0.112811932074488</v>
      </c>
      <c r="AL3403" s="2">
        <v>0.42668564976798301</v>
      </c>
      <c r="AM3403" s="2">
        <v>37774.026814672303</v>
      </c>
      <c r="AN3403" s="2">
        <v>39246.100118008399</v>
      </c>
      <c r="AO3403" s="2">
        <v>44218.455743354702</v>
      </c>
      <c r="AP3403" s="2">
        <v>61824.348797756698</v>
      </c>
      <c r="AQ3403" s="2">
        <v>62944.560060036703</v>
      </c>
      <c r="AR3403" s="2">
        <v>41120.721737813197</v>
      </c>
      <c r="AS3403" s="2">
        <v>50114.729599483202</v>
      </c>
      <c r="AT3403" s="2">
        <v>68748.350697627393</v>
      </c>
      <c r="AU3403" s="2">
        <v>53216.265136681999</v>
      </c>
      <c r="AV3403" s="2">
        <v>56151.380221563697</v>
      </c>
      <c r="AW3403" s="2">
        <v>53503.433825755601</v>
      </c>
      <c r="AX3403" s="2">
        <v>62490.778074594498</v>
      </c>
    </row>
    <row r="3404" spans="1:50" x14ac:dyDescent="0.25">
      <c r="A3404" s="2" t="s">
        <v>22622</v>
      </c>
      <c r="B3404" s="2">
        <v>211.035515170515</v>
      </c>
      <c r="C3404" s="2">
        <v>9.3986833333333308</v>
      </c>
      <c r="D3404" s="2" t="s">
        <v>51</v>
      </c>
      <c r="E3404" s="2" t="s">
        <v>22623</v>
      </c>
      <c r="F3404" s="2">
        <v>201324</v>
      </c>
      <c r="G3404" s="3" t="str">
        <f>HYPERLINK("https://cloud.oebiotech.com/#/lm/network/201324", "https://cloud.oebiotech.com/#/lm/network/201324")</f>
        <v>https://cloud.oebiotech.com/#/lm/network/201324</v>
      </c>
      <c r="H3404" s="2" t="s">
        <v>22624</v>
      </c>
      <c r="I3404" s="2"/>
      <c r="J3404" s="2"/>
      <c r="K3404" s="2">
        <v>219132</v>
      </c>
      <c r="L3404" s="2"/>
      <c r="M3404" s="2"/>
      <c r="N3404" s="2"/>
      <c r="O3404" s="2"/>
      <c r="P3404" s="2"/>
      <c r="Q3404" s="2"/>
      <c r="R3404" s="2"/>
      <c r="S3404" s="2" t="s">
        <v>22625</v>
      </c>
      <c r="T3404" s="2" t="s">
        <v>22626</v>
      </c>
      <c r="U3404" s="2" t="s">
        <v>610</v>
      </c>
      <c r="V3404" s="2" t="s">
        <v>611</v>
      </c>
      <c r="W3404" s="2" t="s">
        <v>8369</v>
      </c>
      <c r="X3404" s="2" t="s">
        <v>147</v>
      </c>
      <c r="Y3404" s="2">
        <v>40.299999999999997</v>
      </c>
      <c r="Z3404" s="2">
        <v>9.65</v>
      </c>
      <c r="AA3404" s="2" t="s">
        <v>218</v>
      </c>
      <c r="AB3404" s="2" t="s">
        <v>22627</v>
      </c>
      <c r="AC3404" s="2">
        <v>-3.19059907427628</v>
      </c>
      <c r="AD3404" s="2"/>
      <c r="AE3404" s="2">
        <v>0.16592748825961601</v>
      </c>
      <c r="AF3404" s="2">
        <v>1279.34942205736</v>
      </c>
      <c r="AG3404" s="2">
        <v>2579.1424555685198</v>
      </c>
      <c r="AH3404" s="4">
        <v>0.49603674248204799</v>
      </c>
      <c r="AI3404" s="4">
        <v>-1.01148110686921</v>
      </c>
      <c r="AJ3404" s="4" t="s">
        <v>62</v>
      </c>
      <c r="AK3404" s="2">
        <v>0.16562206607699301</v>
      </c>
      <c r="AL3404" s="2">
        <v>0.487595310492695</v>
      </c>
      <c r="AM3404" s="2">
        <v>715.21762315553406</v>
      </c>
      <c r="AN3404" s="2">
        <v>583.83102155619304</v>
      </c>
      <c r="AO3404" s="2">
        <v>2008.0233988315399</v>
      </c>
      <c r="AP3404" s="2">
        <v>2122.41868276985</v>
      </c>
      <c r="AQ3404" s="2">
        <v>710.59814530311303</v>
      </c>
      <c r="AR3404" s="2">
        <v>1536.00766072791</v>
      </c>
      <c r="AS3404" s="2">
        <v>808.933354828554</v>
      </c>
      <c r="AT3404" s="2">
        <v>5158.1675708683697</v>
      </c>
      <c r="AU3404" s="2">
        <v>2422.44331904001</v>
      </c>
      <c r="AV3404" s="2">
        <v>1781.00278814275</v>
      </c>
      <c r="AW3404" s="2">
        <v>4862.0605474020203</v>
      </c>
      <c r="AX3404" s="2">
        <v>442.24715312939202</v>
      </c>
    </row>
    <row r="3405" spans="1:50" x14ac:dyDescent="0.25">
      <c r="A3405" s="2" t="s">
        <v>22628</v>
      </c>
      <c r="B3405" s="2">
        <v>235.11963933190799</v>
      </c>
      <c r="C3405" s="2">
        <v>1.00901666666667</v>
      </c>
      <c r="D3405" s="2" t="s">
        <v>51</v>
      </c>
      <c r="E3405" s="2" t="s">
        <v>22629</v>
      </c>
      <c r="F3405" s="2">
        <v>53917</v>
      </c>
      <c r="G3405" s="3" t="str">
        <f>HYPERLINK("https://cloud.oebiotech.com/#/lm/network/53917", "https://cloud.oebiotech.com/#/lm/network/53917")</f>
        <v>https://cloud.oebiotech.com/#/lm/network/53917</v>
      </c>
      <c r="H3405" s="2" t="s">
        <v>22630</v>
      </c>
      <c r="I3405" s="2">
        <v>85799</v>
      </c>
      <c r="J3405" s="2"/>
      <c r="K3405" s="2">
        <v>152322</v>
      </c>
      <c r="L3405" s="2"/>
      <c r="M3405" s="2"/>
      <c r="N3405" s="2"/>
      <c r="O3405" s="2">
        <v>74055</v>
      </c>
      <c r="P3405" s="2"/>
      <c r="Q3405" s="2"/>
      <c r="R3405" s="2" t="s">
        <v>22631</v>
      </c>
      <c r="S3405" s="2" t="s">
        <v>22632</v>
      </c>
      <c r="T3405" s="2" t="s">
        <v>22633</v>
      </c>
      <c r="U3405" s="2" t="s">
        <v>103</v>
      </c>
      <c r="V3405" s="2" t="s">
        <v>104</v>
      </c>
      <c r="W3405" s="2" t="s">
        <v>105</v>
      </c>
      <c r="X3405" s="2" t="s">
        <v>83</v>
      </c>
      <c r="Y3405" s="2">
        <v>39</v>
      </c>
      <c r="Z3405" s="2">
        <v>0</v>
      </c>
      <c r="AA3405" s="2" t="s">
        <v>156</v>
      </c>
      <c r="AB3405" s="2" t="s">
        <v>12319</v>
      </c>
      <c r="AC3405" s="2">
        <v>2.7256258993964102</v>
      </c>
      <c r="AD3405" s="2"/>
      <c r="AE3405" s="2">
        <v>0.165807238601549</v>
      </c>
      <c r="AF3405" s="2">
        <v>4311.7876211323501</v>
      </c>
      <c r="AG3405" s="2">
        <v>5751.9560975775603</v>
      </c>
      <c r="AH3405" s="4">
        <v>0.74962109376117503</v>
      </c>
      <c r="AI3405" s="4">
        <v>-0.41576654498995202</v>
      </c>
      <c r="AJ3405" s="4" t="s">
        <v>62</v>
      </c>
      <c r="AK3405" s="2">
        <v>0.393965259948171</v>
      </c>
      <c r="AL3405" s="2">
        <v>0.666522226182239</v>
      </c>
      <c r="AM3405" s="2">
        <v>5821.5932299876304</v>
      </c>
      <c r="AN3405" s="2">
        <v>4151.6738944787503</v>
      </c>
      <c r="AO3405" s="2">
        <v>1195.5732178744699</v>
      </c>
      <c r="AP3405" s="2">
        <v>4774.3328116437397</v>
      </c>
      <c r="AQ3405" s="2">
        <v>5312.3577015937899</v>
      </c>
      <c r="AR3405" s="2">
        <v>4615.19487121574</v>
      </c>
      <c r="AS3405" s="2">
        <v>5460.16921332939</v>
      </c>
      <c r="AT3405" s="2">
        <v>4314.6421118247899</v>
      </c>
      <c r="AU3405" s="2">
        <v>3222.4413433012801</v>
      </c>
      <c r="AV3405" s="2">
        <v>5712.9553672593602</v>
      </c>
      <c r="AW3405" s="2">
        <v>3037.40377756915</v>
      </c>
      <c r="AX3405" s="2">
        <v>12764.1247721814</v>
      </c>
    </row>
    <row r="3406" spans="1:50" x14ac:dyDescent="0.25">
      <c r="A3406" s="2" t="s">
        <v>22634</v>
      </c>
      <c r="B3406" s="2">
        <v>211.133537519199</v>
      </c>
      <c r="C3406" s="2">
        <v>9.9910499999999995</v>
      </c>
      <c r="D3406" s="2" t="s">
        <v>51</v>
      </c>
      <c r="E3406" s="2" t="s">
        <v>22635</v>
      </c>
      <c r="F3406" s="2">
        <v>61306</v>
      </c>
      <c r="G3406" s="3" t="str">
        <f>HYPERLINK("https://cloud.oebiotech.com/#/lm/network/61306", "https://cloud.oebiotech.com/#/lm/network/61306")</f>
        <v>https://cloud.oebiotech.com/#/lm/network/61306</v>
      </c>
      <c r="H3406" s="2" t="s">
        <v>22636</v>
      </c>
      <c r="I3406" s="2">
        <v>92627</v>
      </c>
      <c r="J3406" s="2"/>
      <c r="K3406" s="2">
        <v>5362721</v>
      </c>
      <c r="L3406" s="2"/>
      <c r="M3406" s="2"/>
      <c r="N3406" s="2"/>
      <c r="O3406" s="2"/>
      <c r="P3406" s="2"/>
      <c r="Q3406" s="2"/>
      <c r="R3406" s="2" t="s">
        <v>22637</v>
      </c>
      <c r="S3406" s="2" t="s">
        <v>22638</v>
      </c>
      <c r="T3406" s="2" t="s">
        <v>22639</v>
      </c>
      <c r="U3406" s="2" t="s">
        <v>103</v>
      </c>
      <c r="V3406" s="2" t="s">
        <v>104</v>
      </c>
      <c r="W3406" s="2" t="s">
        <v>3415</v>
      </c>
      <c r="X3406" s="2" t="s">
        <v>83</v>
      </c>
      <c r="Y3406" s="2">
        <v>43.8</v>
      </c>
      <c r="Z3406" s="2">
        <v>0</v>
      </c>
      <c r="AA3406" s="2" t="s">
        <v>259</v>
      </c>
      <c r="AB3406" s="2" t="s">
        <v>20499</v>
      </c>
      <c r="AC3406" s="2">
        <v>3.17263235290645</v>
      </c>
      <c r="AD3406" s="2"/>
      <c r="AE3406" s="2">
        <v>0.16580223635900099</v>
      </c>
      <c r="AF3406" s="2">
        <v>2523.5127017676</v>
      </c>
      <c r="AG3406" s="2">
        <v>1936.35466433397</v>
      </c>
      <c r="AH3406" s="5">
        <v>1.3032285604742799</v>
      </c>
      <c r="AI3406" s="5">
        <v>0.38209012622829602</v>
      </c>
      <c r="AJ3406" s="5" t="s">
        <v>139</v>
      </c>
      <c r="AK3406" s="2">
        <v>8.1420992685269401E-3</v>
      </c>
      <c r="AL3406" s="2">
        <v>0.14828111459277399</v>
      </c>
      <c r="AM3406" s="2">
        <v>2636.096667497</v>
      </c>
      <c r="AN3406" s="2">
        <v>3079.84578692996</v>
      </c>
      <c r="AO3406" s="2">
        <v>2362.8313645554699</v>
      </c>
      <c r="AP3406" s="2">
        <v>2509.1774928418099</v>
      </c>
      <c r="AQ3406" s="2">
        <v>2725.60591826874</v>
      </c>
      <c r="AR3406" s="2">
        <v>1827.5189805126499</v>
      </c>
      <c r="AS3406" s="2">
        <v>1855.7161380781799</v>
      </c>
      <c r="AT3406" s="2">
        <v>2157.3155252932202</v>
      </c>
      <c r="AU3406" s="2">
        <v>1870.7984618651101</v>
      </c>
      <c r="AV3406" s="2">
        <v>1799.6905836733999</v>
      </c>
      <c r="AW3406" s="2">
        <v>1994.8150489248901</v>
      </c>
      <c r="AX3406" s="2">
        <v>1939.7922281690001</v>
      </c>
    </row>
    <row r="3407" spans="1:50" x14ac:dyDescent="0.25">
      <c r="A3407" s="2" t="s">
        <v>22640</v>
      </c>
      <c r="B3407" s="2">
        <v>394.19861019043299</v>
      </c>
      <c r="C3407" s="2">
        <v>4.7092833333333299</v>
      </c>
      <c r="D3407" s="2" t="s">
        <v>51</v>
      </c>
      <c r="E3407" s="2" t="s">
        <v>22641</v>
      </c>
      <c r="F3407" s="2">
        <v>264480</v>
      </c>
      <c r="G3407" s="3" t="str">
        <f>HYPERLINK("https://cloud.oebiotech.com/#/lm/network/264480", "https://cloud.oebiotech.com/#/lm/network/264480")</f>
        <v>https://cloud.oebiotech.com/#/lm/network/264480</v>
      </c>
      <c r="H3407" s="2"/>
      <c r="I3407" s="2">
        <v>21941</v>
      </c>
      <c r="J3407" s="2"/>
      <c r="K3407" s="2">
        <v>145457161</v>
      </c>
      <c r="L3407" s="2"/>
      <c r="M3407" s="2"/>
      <c r="N3407" s="2"/>
      <c r="O3407" s="2"/>
      <c r="P3407" s="2"/>
      <c r="Q3407" s="2"/>
      <c r="R3407" s="2"/>
      <c r="S3407" s="2" t="s">
        <v>22642</v>
      </c>
      <c r="T3407" s="2" t="s">
        <v>22643</v>
      </c>
      <c r="U3407" s="2" t="s">
        <v>103</v>
      </c>
      <c r="V3407" s="2" t="s">
        <v>104</v>
      </c>
      <c r="W3407" s="2" t="s">
        <v>105</v>
      </c>
      <c r="X3407" s="2" t="s">
        <v>69</v>
      </c>
      <c r="Y3407" s="2">
        <v>53.1</v>
      </c>
      <c r="Z3407" s="2">
        <v>54</v>
      </c>
      <c r="AA3407" s="2" t="s">
        <v>259</v>
      </c>
      <c r="AB3407" s="2" t="s">
        <v>22644</v>
      </c>
      <c r="AC3407" s="2">
        <v>3.4287770081959801</v>
      </c>
      <c r="AD3407" s="2"/>
      <c r="AE3407" s="2">
        <v>0.16577237562105801</v>
      </c>
      <c r="AF3407" s="2">
        <v>5301.3445178779402</v>
      </c>
      <c r="AG3407" s="2">
        <v>6504.6106974483</v>
      </c>
      <c r="AH3407" s="4">
        <v>0.81501334429708605</v>
      </c>
      <c r="AI3407" s="4">
        <v>-0.29510441395637899</v>
      </c>
      <c r="AJ3407" s="4" t="s">
        <v>62</v>
      </c>
      <c r="AK3407" s="2">
        <v>0.522195293688694</v>
      </c>
      <c r="AL3407" s="2">
        <v>0.753042437774049</v>
      </c>
      <c r="AM3407" s="2">
        <v>2813.69186476301</v>
      </c>
      <c r="AN3407" s="2">
        <v>8125.5772744205697</v>
      </c>
      <c r="AO3407" s="2">
        <v>2610.5170183226701</v>
      </c>
      <c r="AP3407" s="2">
        <v>4241.07660464522</v>
      </c>
      <c r="AQ3407" s="2">
        <v>5565.53876824902</v>
      </c>
      <c r="AR3407" s="2">
        <v>8451.6655768671408</v>
      </c>
      <c r="AS3407" s="2">
        <v>7353.3486303300397</v>
      </c>
      <c r="AT3407" s="2">
        <v>1321.21757999377</v>
      </c>
      <c r="AU3407" s="2">
        <v>6967.32407876448</v>
      </c>
      <c r="AV3407" s="2">
        <v>3258.3938910858401</v>
      </c>
      <c r="AW3407" s="2">
        <v>11194.2014168968</v>
      </c>
      <c r="AX3407" s="2">
        <v>8933.1785876188605</v>
      </c>
    </row>
    <row r="3408" spans="1:50" x14ac:dyDescent="0.25">
      <c r="A3408" s="2" t="s">
        <v>22645</v>
      </c>
      <c r="B3408" s="2">
        <v>357.06198656373499</v>
      </c>
      <c r="C3408" s="2">
        <v>7.0490333333333304</v>
      </c>
      <c r="D3408" s="2" t="s">
        <v>51</v>
      </c>
      <c r="E3408" s="2" t="s">
        <v>22646</v>
      </c>
      <c r="F3408" s="2">
        <v>48769</v>
      </c>
      <c r="G3408" s="3" t="str">
        <f>HYPERLINK("https://cloud.oebiotech.com/#/lm/network/48769", "https://cloud.oebiotech.com/#/lm/network/48769")</f>
        <v>https://cloud.oebiotech.com/#/lm/network/48769</v>
      </c>
      <c r="H3408" s="2" t="s">
        <v>22647</v>
      </c>
      <c r="I3408" s="2">
        <v>41030</v>
      </c>
      <c r="J3408" s="2"/>
      <c r="K3408" s="2">
        <v>186907</v>
      </c>
      <c r="L3408" s="2" t="s">
        <v>22648</v>
      </c>
      <c r="M3408" s="2" t="s">
        <v>22649</v>
      </c>
      <c r="N3408" s="2" t="s">
        <v>22650</v>
      </c>
      <c r="O3408" s="2">
        <v>2504</v>
      </c>
      <c r="P3408" s="2" t="s">
        <v>22651</v>
      </c>
      <c r="Q3408" s="2" t="s">
        <v>22652</v>
      </c>
      <c r="R3408" s="2" t="s">
        <v>22653</v>
      </c>
      <c r="S3408" s="2" t="s">
        <v>22654</v>
      </c>
      <c r="T3408" s="2" t="s">
        <v>22655</v>
      </c>
      <c r="U3408" s="2" t="s">
        <v>540</v>
      </c>
      <c r="V3408" s="2" t="s">
        <v>1826</v>
      </c>
      <c r="W3408" s="2" t="s">
        <v>4829</v>
      </c>
      <c r="X3408" s="2" t="s">
        <v>147</v>
      </c>
      <c r="Y3408" s="2">
        <v>37.9</v>
      </c>
      <c r="Z3408" s="2">
        <v>0</v>
      </c>
      <c r="AA3408" s="2" t="s">
        <v>218</v>
      </c>
      <c r="AB3408" s="2" t="s">
        <v>7288</v>
      </c>
      <c r="AC3408" s="2">
        <v>1.26766403734899</v>
      </c>
      <c r="AD3408" s="2"/>
      <c r="AE3408" s="2">
        <v>0.16575717351977001</v>
      </c>
      <c r="AF3408" s="2">
        <v>3052.02307850437</v>
      </c>
      <c r="AG3408" s="2">
        <v>4000.0844461157399</v>
      </c>
      <c r="AH3408" s="4">
        <v>0.76298966174777105</v>
      </c>
      <c r="AI3408" s="4">
        <v>-0.39026458572567901</v>
      </c>
      <c r="AJ3408" s="4" t="s">
        <v>62</v>
      </c>
      <c r="AK3408" s="2">
        <v>0.147611728808138</v>
      </c>
      <c r="AL3408" s="2">
        <v>0.468146812998886</v>
      </c>
      <c r="AM3408" s="2">
        <v>1907.9445134264699</v>
      </c>
      <c r="AN3408" s="2">
        <v>3264.2110827707102</v>
      </c>
      <c r="AO3408" s="2">
        <v>3654.8016655482502</v>
      </c>
      <c r="AP3408" s="2">
        <v>3271.0412853627299</v>
      </c>
      <c r="AQ3408" s="2">
        <v>4028.7522105141302</v>
      </c>
      <c r="AR3408" s="2">
        <v>2185.3877134039399</v>
      </c>
      <c r="AS3408" s="2">
        <v>3821.8141955466899</v>
      </c>
      <c r="AT3408" s="2">
        <v>4875.8618921910202</v>
      </c>
      <c r="AU3408" s="2">
        <v>2749.7563742918701</v>
      </c>
      <c r="AV3408" s="2">
        <v>4708.2974562853697</v>
      </c>
      <c r="AW3408" s="2">
        <v>2405.67349253561</v>
      </c>
      <c r="AX3408" s="2">
        <v>5439.1032658438899</v>
      </c>
    </row>
    <row r="3409" spans="1:50" x14ac:dyDescent="0.25">
      <c r="A3409" s="2" t="s">
        <v>22656</v>
      </c>
      <c r="B3409" s="2">
        <v>177.10278282367699</v>
      </c>
      <c r="C3409" s="2">
        <v>2.8218000000000001</v>
      </c>
      <c r="D3409" s="2" t="s">
        <v>51</v>
      </c>
      <c r="E3409" s="2" t="s">
        <v>22657</v>
      </c>
      <c r="F3409" s="2">
        <v>201839</v>
      </c>
      <c r="G3409" s="3" t="str">
        <f>HYPERLINK("https://cloud.oebiotech.com/#/lm/network/201839", "https://cloud.oebiotech.com/#/lm/network/201839")</f>
        <v>https://cloud.oebiotech.com/#/lm/network/201839</v>
      </c>
      <c r="H3409" s="2" t="s">
        <v>22658</v>
      </c>
      <c r="I3409" s="2"/>
      <c r="J3409" s="2"/>
      <c r="K3409" s="2"/>
      <c r="L3409" s="2"/>
      <c r="M3409" s="2"/>
      <c r="N3409" s="2"/>
      <c r="O3409" s="2"/>
      <c r="P3409" s="2"/>
      <c r="Q3409" s="2"/>
      <c r="R3409" s="2"/>
      <c r="S3409" s="2" t="s">
        <v>22659</v>
      </c>
      <c r="T3409" s="2" t="s">
        <v>22660</v>
      </c>
      <c r="U3409" s="2" t="s">
        <v>610</v>
      </c>
      <c r="V3409" s="2" t="s">
        <v>611</v>
      </c>
      <c r="W3409" s="2" t="s">
        <v>240</v>
      </c>
      <c r="X3409" s="2" t="s">
        <v>83</v>
      </c>
      <c r="Y3409" s="2">
        <v>39.700000000000003</v>
      </c>
      <c r="Z3409" s="2">
        <v>2.5099999999999998</v>
      </c>
      <c r="AA3409" s="2" t="s">
        <v>259</v>
      </c>
      <c r="AB3409" s="2" t="s">
        <v>22661</v>
      </c>
      <c r="AC3409" s="2">
        <v>3.08570823057293</v>
      </c>
      <c r="AD3409" s="2"/>
      <c r="AE3409" s="2">
        <v>0.165730719738899</v>
      </c>
      <c r="AF3409" s="2">
        <v>4376.1799309313201</v>
      </c>
      <c r="AG3409" s="2">
        <v>5620.6664842686396</v>
      </c>
      <c r="AH3409" s="4">
        <v>0.77858736916334703</v>
      </c>
      <c r="AI3409" s="4">
        <v>-0.36106915450888299</v>
      </c>
      <c r="AJ3409" s="4" t="s">
        <v>62</v>
      </c>
      <c r="AK3409" s="2">
        <v>0.137276356607932</v>
      </c>
      <c r="AL3409" s="2">
        <v>0.45838567445516998</v>
      </c>
      <c r="AM3409" s="2">
        <v>4050.9020517225699</v>
      </c>
      <c r="AN3409" s="2">
        <v>4438.8180356482299</v>
      </c>
      <c r="AO3409" s="2">
        <v>4572.7025063769797</v>
      </c>
      <c r="AP3409" s="2">
        <v>4818.0029069776001</v>
      </c>
      <c r="AQ3409" s="2">
        <v>4750.7453150220399</v>
      </c>
      <c r="AR3409" s="2">
        <v>3625.9087698404901</v>
      </c>
      <c r="AS3409" s="2">
        <v>5344.55025719882</v>
      </c>
      <c r="AT3409" s="2">
        <v>8057.4631027023797</v>
      </c>
      <c r="AU3409" s="2">
        <v>4148.3008379684297</v>
      </c>
      <c r="AV3409" s="2">
        <v>3385.4347067160202</v>
      </c>
      <c r="AW3409" s="2">
        <v>5302.96048832615</v>
      </c>
      <c r="AX3409" s="2">
        <v>7485.2895127000202</v>
      </c>
    </row>
    <row r="3410" spans="1:50" x14ac:dyDescent="0.25">
      <c r="A3410" s="2" t="s">
        <v>22662</v>
      </c>
      <c r="B3410" s="2">
        <v>409.176662368481</v>
      </c>
      <c r="C3410" s="2">
        <v>9.3362833333333306</v>
      </c>
      <c r="D3410" s="2" t="s">
        <v>51</v>
      </c>
      <c r="E3410" s="2" t="s">
        <v>22663</v>
      </c>
      <c r="F3410" s="2">
        <v>203980</v>
      </c>
      <c r="G3410" s="3" t="str">
        <f>HYPERLINK("https://cloud.oebiotech.com/#/lm/network/203980", "https://cloud.oebiotech.com/#/lm/network/203980")</f>
        <v>https://cloud.oebiotech.com/#/lm/network/203980</v>
      </c>
      <c r="H3410" s="2" t="s">
        <v>22664</v>
      </c>
      <c r="I3410" s="2">
        <v>68816</v>
      </c>
      <c r="J3410" s="2"/>
      <c r="K3410" s="2">
        <v>54886</v>
      </c>
      <c r="L3410" s="2" t="s">
        <v>22665</v>
      </c>
      <c r="M3410" s="2"/>
      <c r="N3410" s="2"/>
      <c r="O3410" s="2">
        <v>3014</v>
      </c>
      <c r="P3410" s="2"/>
      <c r="Q3410" s="2"/>
      <c r="R3410" s="2" t="s">
        <v>22666</v>
      </c>
      <c r="S3410" s="2" t="s">
        <v>22667</v>
      </c>
      <c r="T3410" s="2" t="s">
        <v>22668</v>
      </c>
      <c r="U3410" s="2" t="s">
        <v>266</v>
      </c>
      <c r="V3410" s="2" t="s">
        <v>22669</v>
      </c>
      <c r="W3410" s="2" t="s">
        <v>240</v>
      </c>
      <c r="X3410" s="2" t="s">
        <v>83</v>
      </c>
      <c r="Y3410" s="2">
        <v>38.799999999999997</v>
      </c>
      <c r="Z3410" s="2">
        <v>0</v>
      </c>
      <c r="AA3410" s="2" t="s">
        <v>163</v>
      </c>
      <c r="AB3410" s="2" t="s">
        <v>22670</v>
      </c>
      <c r="AC3410" s="2">
        <v>-8.7868807329475906</v>
      </c>
      <c r="AD3410" s="2"/>
      <c r="AE3410" s="2">
        <v>0.16570345574574299</v>
      </c>
      <c r="AF3410" s="2">
        <v>886.492671215408</v>
      </c>
      <c r="AG3410" s="2">
        <v>189.54901487751499</v>
      </c>
      <c r="AH3410" s="5">
        <v>4.6768519044441001</v>
      </c>
      <c r="AI3410" s="5">
        <v>2.2255377456038001</v>
      </c>
      <c r="AJ3410" s="5" t="s">
        <v>139</v>
      </c>
      <c r="AK3410" s="2">
        <v>1.0566738116922899E-2</v>
      </c>
      <c r="AL3410" s="2">
        <v>0.165526976781455</v>
      </c>
      <c r="AM3410" s="2">
        <v>378.205436895726</v>
      </c>
      <c r="AN3410" s="2">
        <v>1334.4210107717199</v>
      </c>
      <c r="AO3410" s="2">
        <v>1645.39534039862</v>
      </c>
      <c r="AP3410" s="2">
        <v>446.75350963895301</v>
      </c>
      <c r="AQ3410" s="2">
        <v>535.40611072733202</v>
      </c>
      <c r="AR3410" s="2">
        <v>978.77461886009996</v>
      </c>
      <c r="AS3410" s="2">
        <v>373.68958510345499</v>
      </c>
      <c r="AT3410" s="2">
        <v>8.559877937157E-6</v>
      </c>
      <c r="AU3410" s="2">
        <v>279.11428453678798</v>
      </c>
      <c r="AV3410" s="2">
        <v>214.87236091562599</v>
      </c>
      <c r="AW3410" s="2">
        <v>269.617841589465</v>
      </c>
      <c r="AX3410" s="2">
        <v>8.559877937157E-6</v>
      </c>
    </row>
    <row r="3411" spans="1:50" x14ac:dyDescent="0.25">
      <c r="A3411" s="2" t="s">
        <v>22671</v>
      </c>
      <c r="B3411" s="2">
        <v>576.28655293098404</v>
      </c>
      <c r="C3411" s="2">
        <v>9.95386666666667</v>
      </c>
      <c r="D3411" s="2" t="s">
        <v>51</v>
      </c>
      <c r="E3411" s="2" t="s">
        <v>22672</v>
      </c>
      <c r="F3411" s="2">
        <v>212924</v>
      </c>
      <c r="G3411" s="3" t="str">
        <f>HYPERLINK("https://cloud.oebiotech.com/#/lm/network/212924", "https://cloud.oebiotech.com/#/lm/network/212924")</f>
        <v>https://cloud.oebiotech.com/#/lm/network/212924</v>
      </c>
      <c r="H3411" s="2" t="s">
        <v>22673</v>
      </c>
      <c r="I3411" s="2"/>
      <c r="J3411" s="2"/>
      <c r="K3411" s="2"/>
      <c r="L3411" s="2"/>
      <c r="M3411" s="2"/>
      <c r="N3411" s="2"/>
      <c r="O3411" s="2"/>
      <c r="P3411" s="2"/>
      <c r="Q3411" s="2"/>
      <c r="R3411" s="2"/>
      <c r="S3411" s="2" t="s">
        <v>22674</v>
      </c>
      <c r="T3411" s="2" t="s">
        <v>22675</v>
      </c>
      <c r="U3411" s="2" t="s">
        <v>266</v>
      </c>
      <c r="V3411" s="2" t="s">
        <v>445</v>
      </c>
      <c r="W3411" s="2" t="s">
        <v>12779</v>
      </c>
      <c r="X3411" s="2" t="s">
        <v>147</v>
      </c>
      <c r="Y3411" s="2">
        <v>37.299999999999997</v>
      </c>
      <c r="Z3411" s="2">
        <v>0</v>
      </c>
      <c r="AA3411" s="2" t="s">
        <v>218</v>
      </c>
      <c r="AB3411" s="2" t="s">
        <v>22676</v>
      </c>
      <c r="AC3411" s="2">
        <v>-0.42797668942046602</v>
      </c>
      <c r="AD3411" s="2"/>
      <c r="AE3411" s="2">
        <v>0.165696233649717</v>
      </c>
      <c r="AF3411" s="2">
        <v>1927.99603103714</v>
      </c>
      <c r="AG3411" s="2">
        <v>995.09814220207397</v>
      </c>
      <c r="AH3411" s="5">
        <v>1.9374933479130301</v>
      </c>
      <c r="AI3411" s="5">
        <v>0.95419135712269298</v>
      </c>
      <c r="AJ3411" s="5" t="s">
        <v>139</v>
      </c>
      <c r="AK3411" s="2">
        <v>0.41248259625258399</v>
      </c>
      <c r="AL3411" s="2">
        <v>0.67574756455617901</v>
      </c>
      <c r="AM3411" s="2">
        <v>6904.9762737629098</v>
      </c>
      <c r="AN3411" s="2">
        <v>1889.93781562756</v>
      </c>
      <c r="AO3411" s="2">
        <v>772.00242729537899</v>
      </c>
      <c r="AP3411" s="2">
        <v>1287.5792061327099</v>
      </c>
      <c r="AQ3411" s="2">
        <v>8.559877937157E-6</v>
      </c>
      <c r="AR3411" s="2">
        <v>713.48045484437296</v>
      </c>
      <c r="AS3411" s="2">
        <v>929.25715418712502</v>
      </c>
      <c r="AT3411" s="2">
        <v>8.559877937157E-6</v>
      </c>
      <c r="AU3411" s="2">
        <v>1077.9520984938399</v>
      </c>
      <c r="AV3411" s="2">
        <v>2145.1032673853001</v>
      </c>
      <c r="AW3411" s="2">
        <v>8.559877937157E-6</v>
      </c>
      <c r="AX3411" s="2">
        <v>1818.2763160264201</v>
      </c>
    </row>
    <row r="3412" spans="1:50" x14ac:dyDescent="0.25">
      <c r="A3412" s="2" t="s">
        <v>22677</v>
      </c>
      <c r="B3412" s="2">
        <v>147.06</v>
      </c>
      <c r="C3412" s="2">
        <v>23.391999999999999</v>
      </c>
      <c r="D3412" s="2" t="s">
        <v>125</v>
      </c>
      <c r="E3412" s="2" t="s">
        <v>22678</v>
      </c>
      <c r="F3412" s="2">
        <v>257127</v>
      </c>
      <c r="G3412" s="3" t="str">
        <f>HYPERLINK("https://cloud.oebiotech.com/#/lm/network/257127", "https://cloud.oebiotech.com/#/lm/network/257127")</f>
        <v>https://cloud.oebiotech.com/#/lm/network/257127</v>
      </c>
      <c r="H3412" s="2" t="s">
        <v>22679</v>
      </c>
      <c r="I3412" s="2"/>
      <c r="J3412" s="2"/>
      <c r="K3412" s="2">
        <v>65127</v>
      </c>
      <c r="L3412" s="2" t="s">
        <v>22680</v>
      </c>
      <c r="M3412" s="2" t="s">
        <v>22681</v>
      </c>
      <c r="N3412" s="2" t="s">
        <v>22682</v>
      </c>
      <c r="O3412" s="2">
        <v>48066</v>
      </c>
      <c r="P3412" s="2"/>
      <c r="Q3412" s="2"/>
      <c r="R3412" s="2"/>
      <c r="S3412" s="2" t="s">
        <v>22683</v>
      </c>
      <c r="T3412" s="2" t="s">
        <v>22684</v>
      </c>
      <c r="U3412" s="2" t="s">
        <v>331</v>
      </c>
      <c r="V3412" s="2" t="s">
        <v>332</v>
      </c>
      <c r="W3412" s="2" t="s">
        <v>333</v>
      </c>
      <c r="X3412" s="2" t="s">
        <v>59</v>
      </c>
      <c r="Y3412" s="2">
        <v>75.400000000000006</v>
      </c>
      <c r="Z3412" s="2">
        <v>61.2</v>
      </c>
      <c r="AA3412" s="2"/>
      <c r="AB3412" s="2" t="s">
        <v>22685</v>
      </c>
      <c r="AC3412" s="2"/>
      <c r="AD3412" s="2">
        <v>823405.95890411001</v>
      </c>
      <c r="AE3412" s="2">
        <v>0.165621228529129</v>
      </c>
      <c r="AF3412" s="2">
        <v>38998.2387703981</v>
      </c>
      <c r="AG3412" s="2">
        <v>20957.127012289198</v>
      </c>
      <c r="AH3412" s="5">
        <v>1.8608580626308999</v>
      </c>
      <c r="AI3412" s="5">
        <v>0.89596801770343304</v>
      </c>
      <c r="AJ3412" s="5" t="s">
        <v>139</v>
      </c>
      <c r="AK3412" s="2">
        <v>0.51112417788489595</v>
      </c>
      <c r="AL3412" s="2">
        <v>0.74486925712882102</v>
      </c>
      <c r="AM3412" s="2">
        <v>37937.126810632901</v>
      </c>
      <c r="AN3412" s="2">
        <v>8599.4263275231497</v>
      </c>
      <c r="AO3412" s="2">
        <v>8162.11865723541</v>
      </c>
      <c r="AP3412" s="2">
        <v>10016.589847810699</v>
      </c>
      <c r="AQ3412" s="2">
        <v>156844.883560841</v>
      </c>
      <c r="AR3412" s="2">
        <v>12429.287418345501</v>
      </c>
      <c r="AS3412" s="2">
        <v>7475.9478463798396</v>
      </c>
      <c r="AT3412" s="2">
        <v>7864.98359144797</v>
      </c>
      <c r="AU3412" s="2">
        <v>76495.503818524405</v>
      </c>
      <c r="AV3412" s="2">
        <v>10530.941062132801</v>
      </c>
      <c r="AW3412" s="2">
        <v>9988.2772231165909</v>
      </c>
      <c r="AX3412" s="2">
        <v>13387.108532133399</v>
      </c>
    </row>
    <row r="3413" spans="1:50" x14ac:dyDescent="0.25">
      <c r="A3413" s="2" t="s">
        <v>22686</v>
      </c>
      <c r="B3413" s="2">
        <v>171.05500000000001</v>
      </c>
      <c r="C3413" s="2">
        <v>11.475</v>
      </c>
      <c r="D3413" s="2" t="s">
        <v>125</v>
      </c>
      <c r="E3413" s="2" t="s">
        <v>22687</v>
      </c>
      <c r="F3413" s="2">
        <v>48152</v>
      </c>
      <c r="G3413" s="3" t="str">
        <f>HYPERLINK("https://cloud.oebiotech.com/#/lm/network/48152", "https://cloud.oebiotech.com/#/lm/network/48152")</f>
        <v>https://cloud.oebiotech.com/#/lm/network/48152</v>
      </c>
      <c r="H3413" s="2" t="s">
        <v>22688</v>
      </c>
      <c r="I3413" s="2">
        <v>58171</v>
      </c>
      <c r="J3413" s="2"/>
      <c r="K3413" s="2">
        <v>69217</v>
      </c>
      <c r="L3413" s="2" t="s">
        <v>22689</v>
      </c>
      <c r="M3413" s="2" t="s">
        <v>1194</v>
      </c>
      <c r="N3413" s="2" t="s">
        <v>1195</v>
      </c>
      <c r="O3413" s="2">
        <v>16354</v>
      </c>
      <c r="P3413" s="2"/>
      <c r="Q3413" s="2"/>
      <c r="R3413" s="2" t="s">
        <v>22690</v>
      </c>
      <c r="S3413" s="2" t="s">
        <v>22691</v>
      </c>
      <c r="T3413" s="2" t="s">
        <v>22692</v>
      </c>
      <c r="U3413" s="2" t="s">
        <v>266</v>
      </c>
      <c r="V3413" s="2" t="s">
        <v>10308</v>
      </c>
      <c r="W3413" s="2" t="s">
        <v>22693</v>
      </c>
      <c r="X3413" s="2" t="s">
        <v>59</v>
      </c>
      <c r="Y3413" s="2">
        <v>73.5</v>
      </c>
      <c r="Z3413" s="2">
        <v>56.1</v>
      </c>
      <c r="AA3413" s="2"/>
      <c r="AB3413" s="2" t="s">
        <v>22694</v>
      </c>
      <c r="AC3413" s="2"/>
      <c r="AD3413" s="2">
        <v>388339.10385942901</v>
      </c>
      <c r="AE3413" s="2">
        <v>0.165621002863369</v>
      </c>
      <c r="AF3413" s="2">
        <v>2299.8352172700202</v>
      </c>
      <c r="AG3413" s="2">
        <v>10151.5657997334</v>
      </c>
      <c r="AH3413" s="4">
        <v>0.22654980154198601</v>
      </c>
      <c r="AI3413" s="4">
        <v>-2.1420998678388301</v>
      </c>
      <c r="AJ3413" s="4" t="s">
        <v>62</v>
      </c>
      <c r="AK3413" s="2">
        <v>0.119608629556074</v>
      </c>
      <c r="AL3413" s="2">
        <v>0.43766036031086097</v>
      </c>
      <c r="AM3413" s="2">
        <v>2299.8352172700202</v>
      </c>
      <c r="AN3413" s="2">
        <v>2299.8352172700202</v>
      </c>
      <c r="AO3413" s="2">
        <v>2299.8352172700202</v>
      </c>
      <c r="AP3413" s="2">
        <v>2299.8352172700202</v>
      </c>
      <c r="AQ3413" s="2">
        <v>2299.8352172700202</v>
      </c>
      <c r="AR3413" s="2">
        <v>2299.8352172700202</v>
      </c>
      <c r="AS3413" s="2">
        <v>5418.5798137074598</v>
      </c>
      <c r="AT3413" s="2">
        <v>2299.8352172700202</v>
      </c>
      <c r="AU3413" s="2">
        <v>20352.8236785355</v>
      </c>
      <c r="AV3413" s="2">
        <v>28238.485654347602</v>
      </c>
      <c r="AW3413" s="2">
        <v>2299.8352172700202</v>
      </c>
      <c r="AX3413" s="2">
        <v>2299.8352172700202</v>
      </c>
    </row>
    <row r="3414" spans="1:50" x14ac:dyDescent="0.25">
      <c r="A3414" s="2" t="s">
        <v>22695</v>
      </c>
      <c r="B3414" s="2">
        <v>368.28114430274502</v>
      </c>
      <c r="C3414" s="2">
        <v>11.127649999999999</v>
      </c>
      <c r="D3414" s="2" t="s">
        <v>51</v>
      </c>
      <c r="E3414" s="2" t="s">
        <v>22696</v>
      </c>
      <c r="F3414" s="2">
        <v>51386</v>
      </c>
      <c r="G3414" s="3" t="str">
        <f>HYPERLINK("https://cloud.oebiotech.com/#/lm/network/51386", "https://cloud.oebiotech.com/#/lm/network/51386")</f>
        <v>https://cloud.oebiotech.com/#/lm/network/51386</v>
      </c>
      <c r="H3414" s="2" t="s">
        <v>22697</v>
      </c>
      <c r="I3414" s="2">
        <v>62353</v>
      </c>
      <c r="J3414" s="2"/>
      <c r="K3414" s="2">
        <v>53480980</v>
      </c>
      <c r="L3414" s="2"/>
      <c r="M3414" s="2"/>
      <c r="N3414" s="2"/>
      <c r="O3414" s="2"/>
      <c r="P3414" s="2"/>
      <c r="Q3414" s="2"/>
      <c r="R3414" s="2"/>
      <c r="S3414" s="2" t="s">
        <v>22698</v>
      </c>
      <c r="T3414" s="2" t="s">
        <v>22699</v>
      </c>
      <c r="U3414" s="2" t="s">
        <v>56</v>
      </c>
      <c r="V3414" s="2" t="s">
        <v>145</v>
      </c>
      <c r="W3414" s="2" t="s">
        <v>203</v>
      </c>
      <c r="X3414" s="2" t="s">
        <v>83</v>
      </c>
      <c r="Y3414" s="2">
        <v>50.1</v>
      </c>
      <c r="Z3414" s="2">
        <v>0</v>
      </c>
      <c r="AA3414" s="2" t="s">
        <v>512</v>
      </c>
      <c r="AB3414" s="2" t="s">
        <v>6539</v>
      </c>
      <c r="AC3414" s="2">
        <v>4.5945006076209101</v>
      </c>
      <c r="AD3414" s="2"/>
      <c r="AE3414" s="2">
        <v>0.16544314613046099</v>
      </c>
      <c r="AF3414" s="2">
        <v>2398.2793787814599</v>
      </c>
      <c r="AG3414" s="2">
        <v>3458.63664668924</v>
      </c>
      <c r="AH3414" s="4">
        <v>0.69341755835415697</v>
      </c>
      <c r="AI3414" s="4">
        <v>-0.52820372672020599</v>
      </c>
      <c r="AJ3414" s="4" t="s">
        <v>62</v>
      </c>
      <c r="AK3414" s="2">
        <v>0.23619267374870101</v>
      </c>
      <c r="AL3414" s="2">
        <v>0.56083325745832202</v>
      </c>
      <c r="AM3414" s="2">
        <v>2443.8695097309501</v>
      </c>
      <c r="AN3414" s="2">
        <v>1386.7544635510701</v>
      </c>
      <c r="AO3414" s="2">
        <v>2073.2299632117702</v>
      </c>
      <c r="AP3414" s="2">
        <v>2291.9759186403999</v>
      </c>
      <c r="AQ3414" s="2">
        <v>4370.4365128720601</v>
      </c>
      <c r="AR3414" s="2">
        <v>1823.4099046825399</v>
      </c>
      <c r="AS3414" s="2">
        <v>862.90056724445799</v>
      </c>
      <c r="AT3414" s="2">
        <v>2084.14220392168</v>
      </c>
      <c r="AU3414" s="2">
        <v>3434.6155888674998</v>
      </c>
      <c r="AV3414" s="2">
        <v>5396.2089070636703</v>
      </c>
      <c r="AW3414" s="2">
        <v>3656.6128706452</v>
      </c>
      <c r="AX3414" s="2">
        <v>5317.33974239295</v>
      </c>
    </row>
    <row r="3415" spans="1:50" x14ac:dyDescent="0.25">
      <c r="A3415" s="2" t="s">
        <v>22700</v>
      </c>
      <c r="B3415" s="2">
        <v>249.092135924487</v>
      </c>
      <c r="C3415" s="2">
        <v>5.2228500000000002</v>
      </c>
      <c r="D3415" s="2" t="s">
        <v>51</v>
      </c>
      <c r="E3415" s="2" t="s">
        <v>22701</v>
      </c>
      <c r="F3415" s="2">
        <v>64536</v>
      </c>
      <c r="G3415" s="3" t="str">
        <f>HYPERLINK("https://cloud.oebiotech.com/#/lm/network/64536", "https://cloud.oebiotech.com/#/lm/network/64536")</f>
        <v>https://cloud.oebiotech.com/#/lm/network/64536</v>
      </c>
      <c r="H3415" s="2" t="s">
        <v>22702</v>
      </c>
      <c r="I3415" s="2">
        <v>95843</v>
      </c>
      <c r="J3415" s="2"/>
      <c r="K3415" s="2">
        <v>131753147</v>
      </c>
      <c r="L3415" s="2"/>
      <c r="M3415" s="2"/>
      <c r="N3415" s="2"/>
      <c r="O3415" s="2">
        <v>174490</v>
      </c>
      <c r="P3415" s="2"/>
      <c r="Q3415" s="2"/>
      <c r="R3415" s="2" t="s">
        <v>22703</v>
      </c>
      <c r="S3415" s="2" t="s">
        <v>22704</v>
      </c>
      <c r="T3415" s="2" t="s">
        <v>22705</v>
      </c>
      <c r="U3415" s="2" t="s">
        <v>610</v>
      </c>
      <c r="V3415" s="2" t="s">
        <v>895</v>
      </c>
      <c r="W3415" s="2" t="s">
        <v>22706</v>
      </c>
      <c r="X3415" s="2" t="s">
        <v>147</v>
      </c>
      <c r="Y3415" s="2">
        <v>40.299999999999997</v>
      </c>
      <c r="Z3415" s="2">
        <v>18.100000000000001</v>
      </c>
      <c r="AA3415" s="2" t="s">
        <v>156</v>
      </c>
      <c r="AB3415" s="2" t="s">
        <v>22707</v>
      </c>
      <c r="AC3415" s="2">
        <v>4.2461144470644498</v>
      </c>
      <c r="AD3415" s="2"/>
      <c r="AE3415" s="2">
        <v>0.16524772283418501</v>
      </c>
      <c r="AF3415" s="2">
        <v>4655.2400308023498</v>
      </c>
      <c r="AG3415" s="2">
        <v>3566.5546165205101</v>
      </c>
      <c r="AH3415" s="5">
        <v>1.3052484908653801</v>
      </c>
      <c r="AI3415" s="5">
        <v>0.38432449063581903</v>
      </c>
      <c r="AJ3415" s="5" t="s">
        <v>139</v>
      </c>
      <c r="AK3415" s="2">
        <v>0.35131468156071</v>
      </c>
      <c r="AL3415" s="2">
        <v>0.64273559662805702</v>
      </c>
      <c r="AM3415" s="2">
        <v>3804.312485981</v>
      </c>
      <c r="AN3415" s="2">
        <v>6716.5283030913697</v>
      </c>
      <c r="AO3415" s="2">
        <v>5707.4151615976898</v>
      </c>
      <c r="AP3415" s="2">
        <v>2753.1026542805498</v>
      </c>
      <c r="AQ3415" s="2">
        <v>5029.6887833778901</v>
      </c>
      <c r="AR3415" s="2">
        <v>3920.3927964855802</v>
      </c>
      <c r="AS3415" s="2">
        <v>2949.4314525555801</v>
      </c>
      <c r="AT3415" s="2">
        <v>1610.43853589376</v>
      </c>
      <c r="AU3415" s="2">
        <v>7880.2552919883501</v>
      </c>
      <c r="AV3415" s="2">
        <v>1643.3785183855</v>
      </c>
      <c r="AW3415" s="2">
        <v>3274.5490499846501</v>
      </c>
      <c r="AX3415" s="2">
        <v>4041.2748503152002</v>
      </c>
    </row>
    <row r="3416" spans="1:50" x14ac:dyDescent="0.25">
      <c r="A3416" s="2" t="s">
        <v>22708</v>
      </c>
      <c r="B3416" s="2">
        <v>289.25358743687701</v>
      </c>
      <c r="C3416" s="2">
        <v>7.5919499999999998</v>
      </c>
      <c r="D3416" s="2" t="s">
        <v>51</v>
      </c>
      <c r="E3416" s="2" t="s">
        <v>22709</v>
      </c>
      <c r="F3416" s="2">
        <v>2560</v>
      </c>
      <c r="G3416" s="3" t="str">
        <f>HYPERLINK("https://cloud.oebiotech.com/#/lm/network/2560", "https://cloud.oebiotech.com/#/lm/network/2560")</f>
        <v>https://cloud.oebiotech.com/#/lm/network/2560</v>
      </c>
      <c r="H3416" s="2"/>
      <c r="I3416" s="2"/>
      <c r="J3416" s="2" t="s">
        <v>22710</v>
      </c>
      <c r="K3416" s="2">
        <v>131839792</v>
      </c>
      <c r="L3416" s="2"/>
      <c r="M3416" s="2"/>
      <c r="N3416" s="2"/>
      <c r="O3416" s="2"/>
      <c r="P3416" s="2"/>
      <c r="Q3416" s="2"/>
      <c r="R3416" s="2"/>
      <c r="S3416" s="2" t="s">
        <v>22711</v>
      </c>
      <c r="T3416" s="2" t="s">
        <v>22712</v>
      </c>
      <c r="U3416" s="2" t="s">
        <v>56</v>
      </c>
      <c r="V3416" s="2" t="s">
        <v>145</v>
      </c>
      <c r="W3416" s="2" t="s">
        <v>231</v>
      </c>
      <c r="X3416" s="2" t="s">
        <v>147</v>
      </c>
      <c r="Y3416" s="2">
        <v>40.4</v>
      </c>
      <c r="Z3416" s="2">
        <v>10.7</v>
      </c>
      <c r="AA3416" s="2" t="s">
        <v>156</v>
      </c>
      <c r="AB3416" s="2" t="s">
        <v>10131</v>
      </c>
      <c r="AC3416" s="2">
        <v>3.25008413075633</v>
      </c>
      <c r="AD3416" s="2"/>
      <c r="AE3416" s="2">
        <v>0.165164622140968</v>
      </c>
      <c r="AF3416" s="2">
        <v>1354.8323069867699</v>
      </c>
      <c r="AG3416" s="2">
        <v>2476.0414572599202</v>
      </c>
      <c r="AH3416" s="4">
        <v>0.54717674577471498</v>
      </c>
      <c r="AI3416" s="4">
        <v>-0.86992117582651896</v>
      </c>
      <c r="AJ3416" s="4" t="s">
        <v>62</v>
      </c>
      <c r="AK3416" s="2">
        <v>0.291304182205953</v>
      </c>
      <c r="AL3416" s="2">
        <v>0.60513398521929396</v>
      </c>
      <c r="AM3416" s="2">
        <v>1449.5737427173401</v>
      </c>
      <c r="AN3416" s="2">
        <v>1611.93340612053</v>
      </c>
      <c r="AO3416" s="2">
        <v>1687.06684211325</v>
      </c>
      <c r="AP3416" s="2">
        <v>2252.53591313177</v>
      </c>
      <c r="AQ3416" s="2">
        <v>410.90962828008401</v>
      </c>
      <c r="AR3416" s="2">
        <v>716.97430955763195</v>
      </c>
      <c r="AS3416" s="2">
        <v>578.806744474629</v>
      </c>
      <c r="AT3416" s="2">
        <v>1533.1749513201701</v>
      </c>
      <c r="AU3416" s="2">
        <v>1195.53438460245</v>
      </c>
      <c r="AV3416" s="2">
        <v>5488.1808008303497</v>
      </c>
      <c r="AW3416" s="2">
        <v>5508.2143636533801</v>
      </c>
      <c r="AX3416" s="2">
        <v>552.33749867856602</v>
      </c>
    </row>
    <row r="3417" spans="1:50" x14ac:dyDescent="0.25">
      <c r="A3417" s="2" t="s">
        <v>22713</v>
      </c>
      <c r="B3417" s="2">
        <v>211.06061991207901</v>
      </c>
      <c r="C3417" s="2">
        <v>4.3974166666666701</v>
      </c>
      <c r="D3417" s="2" t="s">
        <v>51</v>
      </c>
      <c r="E3417" s="2" t="s">
        <v>22714</v>
      </c>
      <c r="F3417" s="2">
        <v>82445</v>
      </c>
      <c r="G3417" s="3" t="str">
        <f>HYPERLINK("https://cloud.oebiotech.com/#/lm/network/82445", "https://cloud.oebiotech.com/#/lm/network/82445")</f>
        <v>https://cloud.oebiotech.com/#/lm/network/82445</v>
      </c>
      <c r="H3417" s="2" t="s">
        <v>22715</v>
      </c>
      <c r="I3417" s="2"/>
      <c r="J3417" s="2"/>
      <c r="K3417" s="2">
        <v>151727</v>
      </c>
      <c r="L3417" s="2"/>
      <c r="M3417" s="2"/>
      <c r="N3417" s="2"/>
      <c r="O3417" s="2"/>
      <c r="P3417" s="2"/>
      <c r="Q3417" s="2"/>
      <c r="R3417" s="2"/>
      <c r="S3417" s="2" t="s">
        <v>22716</v>
      </c>
      <c r="T3417" s="2" t="s">
        <v>22717</v>
      </c>
      <c r="U3417" s="2" t="s">
        <v>610</v>
      </c>
      <c r="V3417" s="2" t="s">
        <v>4556</v>
      </c>
      <c r="W3417" s="2" t="s">
        <v>6949</v>
      </c>
      <c r="X3417" s="2" t="s">
        <v>83</v>
      </c>
      <c r="Y3417" s="2">
        <v>44.1</v>
      </c>
      <c r="Z3417" s="2">
        <v>0</v>
      </c>
      <c r="AA3417" s="2" t="s">
        <v>163</v>
      </c>
      <c r="AB3417" s="2" t="s">
        <v>22718</v>
      </c>
      <c r="AC3417" s="2">
        <v>-2.7214727009332198</v>
      </c>
      <c r="AD3417" s="2"/>
      <c r="AE3417" s="2">
        <v>0.16504127242469599</v>
      </c>
      <c r="AF3417" s="2">
        <v>1495.91924910497</v>
      </c>
      <c r="AG3417" s="2">
        <v>689.97441071998605</v>
      </c>
      <c r="AH3417" s="5">
        <v>2.1680793169474</v>
      </c>
      <c r="AI3417" s="5">
        <v>1.1164175371684899</v>
      </c>
      <c r="AJ3417" s="5" t="s">
        <v>139</v>
      </c>
      <c r="AK3417" s="2">
        <v>0.10549882362167801</v>
      </c>
      <c r="AL3417" s="2">
        <v>0.412612988038145</v>
      </c>
      <c r="AM3417" s="2">
        <v>1461.7572219869901</v>
      </c>
      <c r="AN3417" s="2">
        <v>3309.8139095812298</v>
      </c>
      <c r="AO3417" s="2">
        <v>1304.819414541</v>
      </c>
      <c r="AP3417" s="2">
        <v>939.55009128482902</v>
      </c>
      <c r="AQ3417" s="2">
        <v>544.38320186972101</v>
      </c>
      <c r="AR3417" s="2">
        <v>1415.1916553660701</v>
      </c>
      <c r="AS3417" s="2">
        <v>1559.25494776551</v>
      </c>
      <c r="AT3417" s="2">
        <v>370.97689488575799</v>
      </c>
      <c r="AU3417" s="2">
        <v>1028.2985548552001</v>
      </c>
      <c r="AV3417" s="2">
        <v>146.15342819907099</v>
      </c>
      <c r="AW3417" s="2">
        <v>145.62768011004599</v>
      </c>
      <c r="AX3417" s="2">
        <v>889.53495850433296</v>
      </c>
    </row>
    <row r="3418" spans="1:50" x14ac:dyDescent="0.25">
      <c r="A3418" s="2" t="s">
        <v>22719</v>
      </c>
      <c r="B3418" s="2">
        <v>447.31157619941098</v>
      </c>
      <c r="C3418" s="2">
        <v>12.051083333333301</v>
      </c>
      <c r="D3418" s="2" t="s">
        <v>51</v>
      </c>
      <c r="E3418" s="2" t="s">
        <v>22720</v>
      </c>
      <c r="F3418" s="2">
        <v>45220</v>
      </c>
      <c r="G3418" s="3" t="str">
        <f>HYPERLINK("https://cloud.oebiotech.com/#/lm/network/45220", "https://cloud.oebiotech.com/#/lm/network/45220")</f>
        <v>https://cloud.oebiotech.com/#/lm/network/45220</v>
      </c>
      <c r="H3418" s="2"/>
      <c r="I3418" s="2"/>
      <c r="J3418" s="2" t="s">
        <v>22721</v>
      </c>
      <c r="K3418" s="2">
        <v>9547307</v>
      </c>
      <c r="L3418" s="2"/>
      <c r="M3418" s="2"/>
      <c r="N3418" s="2"/>
      <c r="O3418" s="2"/>
      <c r="P3418" s="2"/>
      <c r="Q3418" s="2"/>
      <c r="R3418" s="2"/>
      <c r="S3418" s="2" t="s">
        <v>22722</v>
      </c>
      <c r="T3418" s="2" t="s">
        <v>22723</v>
      </c>
      <c r="U3418" s="2" t="s">
        <v>56</v>
      </c>
      <c r="V3418" s="2" t="s">
        <v>283</v>
      </c>
      <c r="W3418" s="2" t="s">
        <v>240</v>
      </c>
      <c r="X3418" s="2" t="s">
        <v>147</v>
      </c>
      <c r="Y3418" s="2">
        <v>38.1</v>
      </c>
      <c r="Z3418" s="2">
        <v>0</v>
      </c>
      <c r="AA3418" s="2" t="s">
        <v>218</v>
      </c>
      <c r="AB3418" s="2" t="s">
        <v>5331</v>
      </c>
      <c r="AC3418" s="2">
        <v>-5.4376040222028098E-2</v>
      </c>
      <c r="AD3418" s="2"/>
      <c r="AE3418" s="2">
        <v>0.16502030820281699</v>
      </c>
      <c r="AF3418" s="2">
        <v>8216.7484864414891</v>
      </c>
      <c r="AG3418" s="2">
        <v>6687.5530922323396</v>
      </c>
      <c r="AH3418" s="5">
        <v>1.22866291648366</v>
      </c>
      <c r="AI3418" s="5">
        <v>0.29708916679221797</v>
      </c>
      <c r="AJ3418" s="5" t="s">
        <v>139</v>
      </c>
      <c r="AK3418" s="2">
        <v>0.27186736207694001</v>
      </c>
      <c r="AL3418" s="2">
        <v>0.59187658046137204</v>
      </c>
      <c r="AM3418" s="2">
        <v>6436.8868832481203</v>
      </c>
      <c r="AN3418" s="2">
        <v>10313.942554675799</v>
      </c>
      <c r="AO3418" s="2">
        <v>7246.1571412372796</v>
      </c>
      <c r="AP3418" s="2">
        <v>9949.8067948409407</v>
      </c>
      <c r="AQ3418" s="2">
        <v>7636.5289880046303</v>
      </c>
      <c r="AR3418" s="2">
        <v>7717.1685566421502</v>
      </c>
      <c r="AS3418" s="2">
        <v>4543.2325672232701</v>
      </c>
      <c r="AT3418" s="2">
        <v>8235.6940928677905</v>
      </c>
      <c r="AU3418" s="2">
        <v>5985.16324512139</v>
      </c>
      <c r="AV3418" s="2">
        <v>2521.6046564399298</v>
      </c>
      <c r="AW3418" s="2">
        <v>9378.8160629391896</v>
      </c>
      <c r="AX3418" s="2">
        <v>9460.8079288024601</v>
      </c>
    </row>
    <row r="3419" spans="1:50" x14ac:dyDescent="0.25">
      <c r="A3419" s="2" t="s">
        <v>22724</v>
      </c>
      <c r="B3419" s="2">
        <v>255.991354110446</v>
      </c>
      <c r="C3419" s="2">
        <v>3.6478999999999999</v>
      </c>
      <c r="D3419" s="2" t="s">
        <v>51</v>
      </c>
      <c r="E3419" s="2" t="s">
        <v>22725</v>
      </c>
      <c r="F3419" s="2">
        <v>211991</v>
      </c>
      <c r="G3419" s="3" t="str">
        <f>HYPERLINK("https://cloud.oebiotech.com/#/lm/network/211991", "https://cloud.oebiotech.com/#/lm/network/211991")</f>
        <v>https://cloud.oebiotech.com/#/lm/network/211991</v>
      </c>
      <c r="H3419" s="2" t="s">
        <v>22726</v>
      </c>
      <c r="I3419" s="2">
        <v>462936</v>
      </c>
      <c r="J3419" s="2"/>
      <c r="K3419" s="2">
        <v>2779853</v>
      </c>
      <c r="L3419" s="2"/>
      <c r="M3419" s="2"/>
      <c r="N3419" s="2"/>
      <c r="O3419" s="2">
        <v>86989</v>
      </c>
      <c r="P3419" s="2"/>
      <c r="Q3419" s="2"/>
      <c r="R3419" s="2"/>
      <c r="S3419" s="2" t="s">
        <v>22727</v>
      </c>
      <c r="T3419" s="2" t="s">
        <v>22728</v>
      </c>
      <c r="U3419" s="2" t="s">
        <v>3062</v>
      </c>
      <c r="V3419" s="2" t="s">
        <v>3063</v>
      </c>
      <c r="W3419" s="2" t="s">
        <v>3064</v>
      </c>
      <c r="X3419" s="2" t="s">
        <v>147</v>
      </c>
      <c r="Y3419" s="2">
        <v>37.200000000000003</v>
      </c>
      <c r="Z3419" s="2">
        <v>0</v>
      </c>
      <c r="AA3419" s="2" t="s">
        <v>2837</v>
      </c>
      <c r="AB3419" s="2" t="s">
        <v>22729</v>
      </c>
      <c r="AC3419" s="2">
        <v>-3.68448015804824</v>
      </c>
      <c r="AD3419" s="2"/>
      <c r="AE3419" s="2">
        <v>0.16488184276377699</v>
      </c>
      <c r="AF3419" s="2">
        <v>3604.0572503103299</v>
      </c>
      <c r="AG3419" s="2">
        <v>4422.1911196560804</v>
      </c>
      <c r="AH3419" s="4">
        <v>0.81499355247012195</v>
      </c>
      <c r="AI3419" s="4">
        <v>-0.29513944886410698</v>
      </c>
      <c r="AJ3419" s="4" t="s">
        <v>62</v>
      </c>
      <c r="AK3419" s="2">
        <v>6.58453838764326E-2</v>
      </c>
      <c r="AL3419" s="2">
        <v>0.34192828169447498</v>
      </c>
      <c r="AM3419" s="2">
        <v>2345.9145396993199</v>
      </c>
      <c r="AN3419" s="2">
        <v>3663.2456079031099</v>
      </c>
      <c r="AO3419" s="2">
        <v>3816.227493244</v>
      </c>
      <c r="AP3419" s="2">
        <v>3233.03066897794</v>
      </c>
      <c r="AQ3419" s="2">
        <v>4298.0439260309204</v>
      </c>
      <c r="AR3419" s="2">
        <v>4267.8812660067197</v>
      </c>
      <c r="AS3419" s="2">
        <v>4697.0358643201498</v>
      </c>
      <c r="AT3419" s="2">
        <v>5292.9874354925896</v>
      </c>
      <c r="AU3419" s="2">
        <v>4367.17796343794</v>
      </c>
      <c r="AV3419" s="2">
        <v>3348.3091613011902</v>
      </c>
      <c r="AW3419" s="2">
        <v>4531.9600238633302</v>
      </c>
      <c r="AX3419" s="2">
        <v>4295.6762695212701</v>
      </c>
    </row>
    <row r="3420" spans="1:50" x14ac:dyDescent="0.25">
      <c r="A3420" s="2" t="s">
        <v>22730</v>
      </c>
      <c r="B3420" s="2">
        <v>481.31854870889498</v>
      </c>
      <c r="C3420" s="2">
        <v>5.0586333333333302</v>
      </c>
      <c r="D3420" s="2" t="s">
        <v>51</v>
      </c>
      <c r="E3420" s="2" t="s">
        <v>22731</v>
      </c>
      <c r="F3420" s="2">
        <v>43543</v>
      </c>
      <c r="G3420" s="3" t="str">
        <f>HYPERLINK("https://cloud.oebiotech.com/#/lm/network/43543", "https://cloud.oebiotech.com/#/lm/network/43543")</f>
        <v>https://cloud.oebiotech.com/#/lm/network/43543</v>
      </c>
      <c r="H3420" s="2" t="s">
        <v>22732</v>
      </c>
      <c r="I3420" s="2">
        <v>43863</v>
      </c>
      <c r="J3420" s="2" t="s">
        <v>22733</v>
      </c>
      <c r="K3420" s="2">
        <v>5459840</v>
      </c>
      <c r="L3420" s="2" t="s">
        <v>22734</v>
      </c>
      <c r="M3420" s="2"/>
      <c r="N3420" s="2"/>
      <c r="O3420" s="2">
        <v>16587</v>
      </c>
      <c r="P3420" s="2"/>
      <c r="Q3420" s="2"/>
      <c r="R3420" s="2" t="s">
        <v>22735</v>
      </c>
      <c r="S3420" s="2" t="s">
        <v>22736</v>
      </c>
      <c r="T3420" s="2" t="s">
        <v>22737</v>
      </c>
      <c r="U3420" s="2" t="s">
        <v>56</v>
      </c>
      <c r="V3420" s="2" t="s">
        <v>283</v>
      </c>
      <c r="W3420" s="2" t="s">
        <v>2042</v>
      </c>
      <c r="X3420" s="2" t="s">
        <v>83</v>
      </c>
      <c r="Y3420" s="2">
        <v>36</v>
      </c>
      <c r="Z3420" s="2">
        <v>0.10299999999999999</v>
      </c>
      <c r="AA3420" s="2" t="s">
        <v>259</v>
      </c>
      <c r="AB3420" s="2" t="s">
        <v>22738</v>
      </c>
      <c r="AC3420" s="2">
        <v>5.3476626073957201</v>
      </c>
      <c r="AD3420" s="2"/>
      <c r="AE3420" s="2">
        <v>0.16473729685389099</v>
      </c>
      <c r="AF3420" s="2">
        <v>2594.61118114083</v>
      </c>
      <c r="AG3420" s="2">
        <v>949.92821971631304</v>
      </c>
      <c r="AH3420" s="5">
        <v>2.7313760421978901</v>
      </c>
      <c r="AI3420" s="5">
        <v>1.4496279508176</v>
      </c>
      <c r="AJ3420" s="5" t="s">
        <v>139</v>
      </c>
      <c r="AK3420" s="2">
        <v>0.39722404867415101</v>
      </c>
      <c r="AL3420" s="2">
        <v>0.66752996494649497</v>
      </c>
      <c r="AM3420" s="2">
        <v>8.559877937157E-6</v>
      </c>
      <c r="AN3420" s="2">
        <v>8.559877937157E-6</v>
      </c>
      <c r="AO3420" s="2">
        <v>11267.3745042514</v>
      </c>
      <c r="AP3420" s="2">
        <v>2813.8459679481998</v>
      </c>
      <c r="AQ3420" s="2">
        <v>599.95869057583195</v>
      </c>
      <c r="AR3420" s="2">
        <v>886.487906949788</v>
      </c>
      <c r="AS3420" s="2">
        <v>245.85332506559399</v>
      </c>
      <c r="AT3420" s="2">
        <v>3481.4638548193202</v>
      </c>
      <c r="AU3420" s="2">
        <v>220.59398695380801</v>
      </c>
      <c r="AV3420" s="2">
        <v>277.05974823638297</v>
      </c>
      <c r="AW3420" s="2">
        <v>477.17387940684398</v>
      </c>
      <c r="AX3420" s="2">
        <v>997.42452381593205</v>
      </c>
    </row>
    <row r="3421" spans="1:50" x14ac:dyDescent="0.25">
      <c r="A3421" s="2" t="s">
        <v>22739</v>
      </c>
      <c r="B3421" s="2">
        <v>315.18149501813599</v>
      </c>
      <c r="C3421" s="2">
        <v>5.0792999999999999</v>
      </c>
      <c r="D3421" s="2" t="s">
        <v>51</v>
      </c>
      <c r="E3421" s="2" t="s">
        <v>22740</v>
      </c>
      <c r="F3421" s="2">
        <v>2054</v>
      </c>
      <c r="G3421" s="3" t="str">
        <f>HYPERLINK("https://cloud.oebiotech.com/#/lm/network/2054", "https://cloud.oebiotech.com/#/lm/network/2054")</f>
        <v>https://cloud.oebiotech.com/#/lm/network/2054</v>
      </c>
      <c r="H3421" s="2"/>
      <c r="I3421" s="2">
        <v>35713</v>
      </c>
      <c r="J3421" s="2" t="s">
        <v>22741</v>
      </c>
      <c r="K3421" s="2">
        <v>78009</v>
      </c>
      <c r="L3421" s="2"/>
      <c r="M3421" s="2"/>
      <c r="N3421" s="2"/>
      <c r="O3421" s="2"/>
      <c r="P3421" s="2"/>
      <c r="Q3421" s="2"/>
      <c r="R3421" s="2"/>
      <c r="S3421" s="2" t="s">
        <v>22742</v>
      </c>
      <c r="T3421" s="2" t="s">
        <v>22743</v>
      </c>
      <c r="U3421" s="2" t="s">
        <v>103</v>
      </c>
      <c r="V3421" s="2" t="s">
        <v>2602</v>
      </c>
      <c r="W3421" s="2" t="s">
        <v>2603</v>
      </c>
      <c r="X3421" s="2" t="s">
        <v>83</v>
      </c>
      <c r="Y3421" s="2">
        <v>40.700000000000003</v>
      </c>
      <c r="Z3421" s="2">
        <v>0</v>
      </c>
      <c r="AA3421" s="2" t="s">
        <v>478</v>
      </c>
      <c r="AB3421" s="2" t="s">
        <v>11380</v>
      </c>
      <c r="AC3421" s="2">
        <v>0.57824609142064098</v>
      </c>
      <c r="AD3421" s="2"/>
      <c r="AE3421" s="2">
        <v>0.16462424389437499</v>
      </c>
      <c r="AF3421" s="2">
        <v>1665.40585450707</v>
      </c>
      <c r="AG3421" s="2">
        <v>819.72923123467797</v>
      </c>
      <c r="AH3421" s="5">
        <v>2.0316536132286398</v>
      </c>
      <c r="AI3421" s="5">
        <v>1.0226544507933299</v>
      </c>
      <c r="AJ3421" s="5" t="s">
        <v>139</v>
      </c>
      <c r="AK3421" s="2">
        <v>0.23941045559485299</v>
      </c>
      <c r="AL3421" s="2">
        <v>0.56359233737773196</v>
      </c>
      <c r="AM3421" s="2">
        <v>1720.57099011485</v>
      </c>
      <c r="AN3421" s="2">
        <v>4032.8015803943399</v>
      </c>
      <c r="AO3421" s="2">
        <v>868.88274412262297</v>
      </c>
      <c r="AP3421" s="2">
        <v>1045.55959411105</v>
      </c>
      <c r="AQ3421" s="2">
        <v>1114.2321247626401</v>
      </c>
      <c r="AR3421" s="2">
        <v>1210.3880935369</v>
      </c>
      <c r="AS3421" s="2">
        <v>330.49197791043701</v>
      </c>
      <c r="AT3421" s="2">
        <v>267.69617927716399</v>
      </c>
      <c r="AU3421" s="2">
        <v>3143.7348304935199</v>
      </c>
      <c r="AV3421" s="2">
        <v>285.74291866821102</v>
      </c>
      <c r="AW3421" s="2">
        <v>269.79466644737698</v>
      </c>
      <c r="AX3421" s="2">
        <v>620.91481461136004</v>
      </c>
    </row>
    <row r="3422" spans="1:50" x14ac:dyDescent="0.25">
      <c r="A3422" s="2" t="s">
        <v>22744</v>
      </c>
      <c r="B3422" s="2">
        <v>427.15301890497102</v>
      </c>
      <c r="C3422" s="2">
        <v>0.59993333333333299</v>
      </c>
      <c r="D3422" s="2" t="s">
        <v>51</v>
      </c>
      <c r="E3422" s="2" t="s">
        <v>22745</v>
      </c>
      <c r="F3422" s="2">
        <v>29347</v>
      </c>
      <c r="G3422" s="3" t="str">
        <f>HYPERLINK("https://cloud.oebiotech.com/#/lm/network/29347", "https://cloud.oebiotech.com/#/lm/network/29347")</f>
        <v>https://cloud.oebiotech.com/#/lm/network/29347</v>
      </c>
      <c r="H3422" s="2"/>
      <c r="I3422" s="2">
        <v>47720</v>
      </c>
      <c r="J3422" s="2" t="s">
        <v>22746</v>
      </c>
      <c r="K3422" s="2">
        <v>15907834</v>
      </c>
      <c r="L3422" s="2"/>
      <c r="M3422" s="2"/>
      <c r="N3422" s="2"/>
      <c r="O3422" s="2"/>
      <c r="P3422" s="2"/>
      <c r="Q3422" s="2"/>
      <c r="R3422" s="2"/>
      <c r="S3422" s="2" t="s">
        <v>22747</v>
      </c>
      <c r="T3422" s="2" t="s">
        <v>22748</v>
      </c>
      <c r="U3422" s="2" t="s">
        <v>540</v>
      </c>
      <c r="V3422" s="2" t="s">
        <v>784</v>
      </c>
      <c r="W3422" s="2" t="s">
        <v>3138</v>
      </c>
      <c r="X3422" s="2" t="s">
        <v>59</v>
      </c>
      <c r="Y3422" s="2">
        <v>45.8</v>
      </c>
      <c r="Z3422" s="2">
        <v>49.8</v>
      </c>
      <c r="AA3422" s="2" t="s">
        <v>95</v>
      </c>
      <c r="AB3422" s="2" t="s">
        <v>22749</v>
      </c>
      <c r="AC3422" s="2">
        <v>3.52422091568492</v>
      </c>
      <c r="AD3422" s="2"/>
      <c r="AE3422" s="2">
        <v>0.16454459920148101</v>
      </c>
      <c r="AF3422" s="2">
        <v>16070.000842589699</v>
      </c>
      <c r="AG3422" s="2">
        <v>14667.8349475961</v>
      </c>
      <c r="AH3422" s="5">
        <v>1.09559460547539</v>
      </c>
      <c r="AI3422" s="5">
        <v>0.131714067584315</v>
      </c>
      <c r="AJ3422" s="5" t="s">
        <v>139</v>
      </c>
      <c r="AK3422" s="2">
        <v>0.83505580057532502</v>
      </c>
      <c r="AL3422" s="2">
        <v>0.92761689397128599</v>
      </c>
      <c r="AM3422" s="2">
        <v>38621.729600163599</v>
      </c>
      <c r="AN3422" s="2">
        <v>16941.9823928029</v>
      </c>
      <c r="AO3422" s="2">
        <v>7360.8840018111396</v>
      </c>
      <c r="AP3422" s="2">
        <v>16766.129409268699</v>
      </c>
      <c r="AQ3422" s="2">
        <v>7559.2350654390102</v>
      </c>
      <c r="AR3422" s="2">
        <v>9170.0445860528507</v>
      </c>
      <c r="AS3422" s="2">
        <v>1158.3847924082199</v>
      </c>
      <c r="AT3422" s="2">
        <v>4911.5812047915797</v>
      </c>
      <c r="AU3422" s="2">
        <v>24684.818908639201</v>
      </c>
      <c r="AV3422" s="2">
        <v>29018.1988588694</v>
      </c>
      <c r="AW3422" s="2">
        <v>13425.9548600782</v>
      </c>
      <c r="AX3422" s="2">
        <v>14808.0710607899</v>
      </c>
    </row>
    <row r="3423" spans="1:50" x14ac:dyDescent="0.25">
      <c r="A3423" s="2" t="s">
        <v>22750</v>
      </c>
      <c r="B3423" s="2">
        <v>297.070362531017</v>
      </c>
      <c r="C3423" s="2">
        <v>1.0003833333333301</v>
      </c>
      <c r="D3423" s="2" t="s">
        <v>51</v>
      </c>
      <c r="E3423" s="2" t="s">
        <v>22751</v>
      </c>
      <c r="F3423" s="2">
        <v>208531</v>
      </c>
      <c r="G3423" s="3" t="str">
        <f>HYPERLINK("https://cloud.oebiotech.com/#/lm/network/208531", "https://cloud.oebiotech.com/#/lm/network/208531")</f>
        <v>https://cloud.oebiotech.com/#/lm/network/208531</v>
      </c>
      <c r="H3423" s="2" t="s">
        <v>22752</v>
      </c>
      <c r="I3423" s="2">
        <v>70126</v>
      </c>
      <c r="J3423" s="2"/>
      <c r="K3423" s="2">
        <v>91716</v>
      </c>
      <c r="L3423" s="2" t="s">
        <v>22753</v>
      </c>
      <c r="M3423" s="2"/>
      <c r="N3423" s="2"/>
      <c r="O3423" s="2"/>
      <c r="P3423" s="2"/>
      <c r="Q3423" s="2"/>
      <c r="R3423" s="2" t="s">
        <v>22754</v>
      </c>
      <c r="S3423" s="2" t="s">
        <v>22755</v>
      </c>
      <c r="T3423" s="2" t="s">
        <v>22756</v>
      </c>
      <c r="U3423" s="2" t="s">
        <v>266</v>
      </c>
      <c r="V3423" s="2" t="s">
        <v>9065</v>
      </c>
      <c r="W3423" s="2" t="s">
        <v>240</v>
      </c>
      <c r="X3423" s="2" t="s">
        <v>147</v>
      </c>
      <c r="Y3423" s="2">
        <v>37.4</v>
      </c>
      <c r="Z3423" s="2">
        <v>7.22</v>
      </c>
      <c r="AA3423" s="2" t="s">
        <v>163</v>
      </c>
      <c r="AB3423" s="2" t="s">
        <v>22757</v>
      </c>
      <c r="AC3423" s="2">
        <v>0.13508333932208499</v>
      </c>
      <c r="AD3423" s="2"/>
      <c r="AE3423" s="2">
        <v>0.16451037991718101</v>
      </c>
      <c r="AF3423" s="2">
        <v>7410.90633045103</v>
      </c>
      <c r="AG3423" s="2">
        <v>10174.2735965183</v>
      </c>
      <c r="AH3423" s="4">
        <v>0.72839660346730695</v>
      </c>
      <c r="AI3423" s="4">
        <v>-0.45720389988218901</v>
      </c>
      <c r="AJ3423" s="4" t="s">
        <v>62</v>
      </c>
      <c r="AK3423" s="2">
        <v>0.35441041504262599</v>
      </c>
      <c r="AL3423" s="2">
        <v>0.644232435870006</v>
      </c>
      <c r="AM3423" s="2">
        <v>13557.031779167301</v>
      </c>
      <c r="AN3423" s="2">
        <v>12435.7715190689</v>
      </c>
      <c r="AO3423" s="2">
        <v>3143.2522752771902</v>
      </c>
      <c r="AP3423" s="2">
        <v>7346.3410305963598</v>
      </c>
      <c r="AQ3423" s="2">
        <v>6732.7100004977401</v>
      </c>
      <c r="AR3423" s="2">
        <v>1250.33137809866</v>
      </c>
      <c r="AS3423" s="2">
        <v>1523.6143512373501</v>
      </c>
      <c r="AT3423" s="2">
        <v>7098.6162552953801</v>
      </c>
      <c r="AU3423" s="2">
        <v>11972.592342149999</v>
      </c>
      <c r="AV3423" s="2">
        <v>13814.2706015117</v>
      </c>
      <c r="AW3423" s="2">
        <v>14487.4360652223</v>
      </c>
      <c r="AX3423" s="2">
        <v>12149.111963693</v>
      </c>
    </row>
    <row r="3424" spans="1:50" x14ac:dyDescent="0.25">
      <c r="A3424" s="2" t="s">
        <v>22758</v>
      </c>
      <c r="B3424" s="2">
        <v>223.09723467276501</v>
      </c>
      <c r="C3424" s="2">
        <v>6.1954000000000002</v>
      </c>
      <c r="D3424" s="2" t="s">
        <v>51</v>
      </c>
      <c r="E3424" s="2" t="s">
        <v>22759</v>
      </c>
      <c r="F3424" s="2">
        <v>203321</v>
      </c>
      <c r="G3424" s="3" t="str">
        <f>HYPERLINK("https://cloud.oebiotech.com/#/lm/network/203321", "https://cloud.oebiotech.com/#/lm/network/203321")</f>
        <v>https://cloud.oebiotech.com/#/lm/network/203321</v>
      </c>
      <c r="H3424" s="2" t="s">
        <v>22760</v>
      </c>
      <c r="I3424" s="2"/>
      <c r="J3424" s="2"/>
      <c r="K3424" s="2"/>
      <c r="L3424" s="2"/>
      <c r="M3424" s="2"/>
      <c r="N3424" s="2"/>
      <c r="O3424" s="2"/>
      <c r="P3424" s="2"/>
      <c r="Q3424" s="2"/>
      <c r="R3424" s="2"/>
      <c r="S3424" s="2" t="s">
        <v>22761</v>
      </c>
      <c r="T3424" s="2" t="s">
        <v>22762</v>
      </c>
      <c r="U3424" s="2" t="s">
        <v>540</v>
      </c>
      <c r="V3424" s="2" t="s">
        <v>563</v>
      </c>
      <c r="W3424" s="2" t="s">
        <v>240</v>
      </c>
      <c r="X3424" s="2" t="s">
        <v>69</v>
      </c>
      <c r="Y3424" s="2">
        <v>56.8</v>
      </c>
      <c r="Z3424" s="2">
        <v>69.400000000000006</v>
      </c>
      <c r="AA3424" s="2" t="s">
        <v>163</v>
      </c>
      <c r="AB3424" s="2" t="s">
        <v>19677</v>
      </c>
      <c r="AC3424" s="2">
        <v>-1.5523384740055499</v>
      </c>
      <c r="AD3424" s="2"/>
      <c r="AE3424" s="2">
        <v>0.16444895747376001</v>
      </c>
      <c r="AF3424" s="2">
        <v>22434.634077896499</v>
      </c>
      <c r="AG3424" s="2">
        <v>24948.3665991255</v>
      </c>
      <c r="AH3424" s="4">
        <v>0.899242601264441</v>
      </c>
      <c r="AI3424" s="4">
        <v>-0.15321771059955899</v>
      </c>
      <c r="AJ3424" s="4" t="s">
        <v>62</v>
      </c>
      <c r="AK3424" s="2">
        <v>0.82911028751858395</v>
      </c>
      <c r="AL3424" s="2">
        <v>0.92453281603106896</v>
      </c>
      <c r="AM3424" s="2">
        <v>17013.0852679913</v>
      </c>
      <c r="AN3424" s="2">
        <v>21854.442997577498</v>
      </c>
      <c r="AO3424" s="2">
        <v>14213.8623772958</v>
      </c>
      <c r="AP3424" s="2">
        <v>1636.1293584964201</v>
      </c>
      <c r="AQ3424" s="2">
        <v>10630.7537464744</v>
      </c>
      <c r="AR3424" s="2">
        <v>69259.530719543502</v>
      </c>
      <c r="AS3424" s="2">
        <v>37065.749759241502</v>
      </c>
      <c r="AT3424" s="2">
        <v>12914.098142315799</v>
      </c>
      <c r="AU3424" s="2">
        <v>17746.751902563901</v>
      </c>
      <c r="AV3424" s="2">
        <v>9202.2721012320108</v>
      </c>
      <c r="AW3424" s="2">
        <v>44948.319944119903</v>
      </c>
      <c r="AX3424" s="2">
        <v>27813.0077452798</v>
      </c>
    </row>
    <row r="3425" spans="1:50" x14ac:dyDescent="0.25">
      <c r="A3425" s="2" t="s">
        <v>22763</v>
      </c>
      <c r="B3425" s="2">
        <v>217.118974276594</v>
      </c>
      <c r="C3425" s="2">
        <v>2.3508166666666699</v>
      </c>
      <c r="D3425" s="2" t="s">
        <v>51</v>
      </c>
      <c r="E3425" s="2" t="s">
        <v>22764</v>
      </c>
      <c r="F3425" s="2">
        <v>54053</v>
      </c>
      <c r="G3425" s="3" t="str">
        <f>HYPERLINK("https://cloud.oebiotech.com/#/lm/network/54053", "https://cloud.oebiotech.com/#/lm/network/54053")</f>
        <v>https://cloud.oebiotech.com/#/lm/network/54053</v>
      </c>
      <c r="H3425" s="2" t="s">
        <v>22765</v>
      </c>
      <c r="I3425" s="2">
        <v>23834</v>
      </c>
      <c r="J3425" s="2"/>
      <c r="K3425" s="2">
        <v>71429009</v>
      </c>
      <c r="L3425" s="2"/>
      <c r="M3425" s="2"/>
      <c r="N3425" s="2"/>
      <c r="O3425" s="2">
        <v>90326</v>
      </c>
      <c r="P3425" s="2"/>
      <c r="Q3425" s="2"/>
      <c r="R3425" s="2" t="s">
        <v>22766</v>
      </c>
      <c r="S3425" s="2" t="s">
        <v>22767</v>
      </c>
      <c r="T3425" s="2" t="s">
        <v>22768</v>
      </c>
      <c r="U3425" s="2" t="s">
        <v>103</v>
      </c>
      <c r="V3425" s="2" t="s">
        <v>104</v>
      </c>
      <c r="W3425" s="2" t="s">
        <v>105</v>
      </c>
      <c r="X3425" s="2" t="s">
        <v>69</v>
      </c>
      <c r="Y3425" s="2">
        <v>56.1</v>
      </c>
      <c r="Z3425" s="2">
        <v>69.099999999999994</v>
      </c>
      <c r="AA3425" s="2" t="s">
        <v>163</v>
      </c>
      <c r="AB3425" s="2" t="s">
        <v>7350</v>
      </c>
      <c r="AC3425" s="2">
        <v>-1.8629383126636301</v>
      </c>
      <c r="AD3425" s="2"/>
      <c r="AE3425" s="2">
        <v>0.164317955625254</v>
      </c>
      <c r="AF3425" s="2">
        <v>2708.9961165449999</v>
      </c>
      <c r="AG3425" s="2">
        <v>1766.0686756098901</v>
      </c>
      <c r="AH3425" s="5">
        <v>1.5339132356274201</v>
      </c>
      <c r="AI3425" s="5">
        <v>0.61721688044830003</v>
      </c>
      <c r="AJ3425" s="5" t="s">
        <v>139</v>
      </c>
      <c r="AK3425" s="2">
        <v>0.26729029185823699</v>
      </c>
      <c r="AL3425" s="2">
        <v>0.58823162872384205</v>
      </c>
      <c r="AM3425" s="2">
        <v>2388.1345159136299</v>
      </c>
      <c r="AN3425" s="2">
        <v>3079.5791094281399</v>
      </c>
      <c r="AO3425" s="2">
        <v>2257.4256789388501</v>
      </c>
      <c r="AP3425" s="2">
        <v>1790.7950597956601</v>
      </c>
      <c r="AQ3425" s="2">
        <v>4182.2039864972103</v>
      </c>
      <c r="AR3425" s="2">
        <v>2555.8383486965199</v>
      </c>
      <c r="AS3425" s="2">
        <v>2154.7193883560899</v>
      </c>
      <c r="AT3425" s="2">
        <v>1808.49313302014</v>
      </c>
      <c r="AU3425" s="2">
        <v>5035.6950830896703</v>
      </c>
      <c r="AV3425" s="2">
        <v>534.07106063239098</v>
      </c>
      <c r="AW3425" s="2">
        <v>64.341554997608995</v>
      </c>
      <c r="AX3425" s="2">
        <v>999.09183356342999</v>
      </c>
    </row>
    <row r="3426" spans="1:50" x14ac:dyDescent="0.25">
      <c r="A3426" s="2" t="s">
        <v>22769</v>
      </c>
      <c r="B3426" s="2">
        <v>343.08256760139199</v>
      </c>
      <c r="C3426" s="2">
        <v>11.4432333333333</v>
      </c>
      <c r="D3426" s="2" t="s">
        <v>51</v>
      </c>
      <c r="E3426" s="2" t="s">
        <v>22770</v>
      </c>
      <c r="F3426" s="2">
        <v>266557</v>
      </c>
      <c r="G3426" s="3" t="str">
        <f>HYPERLINK("https://cloud.oebiotech.com/#/lm/network/266557", "https://cloud.oebiotech.com/#/lm/network/266557")</f>
        <v>https://cloud.oebiotech.com/#/lm/network/266557</v>
      </c>
      <c r="H3426" s="2"/>
      <c r="I3426" s="2">
        <v>43574</v>
      </c>
      <c r="J3426" s="2"/>
      <c r="K3426" s="2">
        <v>6710639</v>
      </c>
      <c r="L3426" s="2"/>
      <c r="M3426" s="2"/>
      <c r="N3426" s="2"/>
      <c r="O3426" s="2"/>
      <c r="P3426" s="2"/>
      <c r="Q3426" s="2"/>
      <c r="R3426" s="2"/>
      <c r="S3426" s="2" t="s">
        <v>22771</v>
      </c>
      <c r="T3426" s="2" t="s">
        <v>22772</v>
      </c>
      <c r="U3426" s="2" t="s">
        <v>540</v>
      </c>
      <c r="V3426" s="2" t="s">
        <v>784</v>
      </c>
      <c r="W3426" s="2" t="s">
        <v>16682</v>
      </c>
      <c r="X3426" s="2" t="s">
        <v>147</v>
      </c>
      <c r="Y3426" s="2">
        <v>38.200000000000003</v>
      </c>
      <c r="Z3426" s="2">
        <v>0</v>
      </c>
      <c r="AA3426" s="2" t="s">
        <v>218</v>
      </c>
      <c r="AB3426" s="2" t="s">
        <v>11461</v>
      </c>
      <c r="AC3426" s="2">
        <v>0.80911592863401205</v>
      </c>
      <c r="AD3426" s="2"/>
      <c r="AE3426" s="2">
        <v>0.16426433466999099</v>
      </c>
      <c r="AF3426" s="2">
        <v>531.83073755380599</v>
      </c>
      <c r="AG3426" s="2">
        <v>1082.9753520898801</v>
      </c>
      <c r="AH3426" s="4">
        <v>0.491082956345683</v>
      </c>
      <c r="AI3426" s="4">
        <v>-1.0259613420390301</v>
      </c>
      <c r="AJ3426" s="4" t="s">
        <v>62</v>
      </c>
      <c r="AK3426" s="2">
        <v>1.2143056209202999E-3</v>
      </c>
      <c r="AL3426" s="2">
        <v>9.36276944338158E-2</v>
      </c>
      <c r="AM3426" s="2">
        <v>456.316207718513</v>
      </c>
      <c r="AN3426" s="2">
        <v>504.20501814627698</v>
      </c>
      <c r="AO3426" s="2">
        <v>452.712680327697</v>
      </c>
      <c r="AP3426" s="2">
        <v>487.91433314615699</v>
      </c>
      <c r="AQ3426" s="2">
        <v>624.28494937667801</v>
      </c>
      <c r="AR3426" s="2">
        <v>665.55123660751099</v>
      </c>
      <c r="AS3426" s="2">
        <v>686.91924034830697</v>
      </c>
      <c r="AT3426" s="2">
        <v>882.22481074267603</v>
      </c>
      <c r="AU3426" s="2">
        <v>1054.65129300527</v>
      </c>
      <c r="AV3426" s="2">
        <v>1261.8434894015099</v>
      </c>
      <c r="AW3426" s="2">
        <v>1097.1695804266401</v>
      </c>
      <c r="AX3426" s="2">
        <v>1515.04369861488</v>
      </c>
    </row>
    <row r="3427" spans="1:50" x14ac:dyDescent="0.25">
      <c r="A3427" s="2" t="s">
        <v>22773</v>
      </c>
      <c r="B3427" s="2">
        <v>337.19976239735502</v>
      </c>
      <c r="C3427" s="2">
        <v>11.6520833333333</v>
      </c>
      <c r="D3427" s="2" t="s">
        <v>51</v>
      </c>
      <c r="E3427" s="2" t="s">
        <v>22774</v>
      </c>
      <c r="F3427" s="2">
        <v>7894</v>
      </c>
      <c r="G3427" s="3" t="str">
        <f>HYPERLINK("https://cloud.oebiotech.com/#/lm/network/7894", "https://cloud.oebiotech.com/#/lm/network/7894")</f>
        <v>https://cloud.oebiotech.com/#/lm/network/7894</v>
      </c>
      <c r="H3427" s="2"/>
      <c r="I3427" s="2"/>
      <c r="J3427" s="2" t="s">
        <v>22775</v>
      </c>
      <c r="K3427" s="2">
        <v>10266359</v>
      </c>
      <c r="L3427" s="2"/>
      <c r="M3427" s="2"/>
      <c r="N3427" s="2"/>
      <c r="O3427" s="2"/>
      <c r="P3427" s="2"/>
      <c r="Q3427" s="2"/>
      <c r="R3427" s="2"/>
      <c r="S3427" s="2" t="s">
        <v>22776</v>
      </c>
      <c r="T3427" s="2" t="s">
        <v>22777</v>
      </c>
      <c r="U3427" s="2" t="s">
        <v>266</v>
      </c>
      <c r="V3427" s="2" t="s">
        <v>3994</v>
      </c>
      <c r="W3427" s="2" t="s">
        <v>240</v>
      </c>
      <c r="X3427" s="2" t="s">
        <v>83</v>
      </c>
      <c r="Y3427" s="2">
        <v>43.2</v>
      </c>
      <c r="Z3427" s="2">
        <v>0</v>
      </c>
      <c r="AA3427" s="2" t="s">
        <v>218</v>
      </c>
      <c r="AB3427" s="2" t="s">
        <v>10721</v>
      </c>
      <c r="AC3427" s="2">
        <v>-7.8206680930287398</v>
      </c>
      <c r="AD3427" s="2"/>
      <c r="AE3427" s="2">
        <v>0.164260072945456</v>
      </c>
      <c r="AF3427" s="2">
        <v>2214.00407044341</v>
      </c>
      <c r="AG3427" s="2">
        <v>1467.25247426654</v>
      </c>
      <c r="AH3427" s="5">
        <v>1.50894553546428</v>
      </c>
      <c r="AI3427" s="5">
        <v>0.59354073354276304</v>
      </c>
      <c r="AJ3427" s="5" t="s">
        <v>139</v>
      </c>
      <c r="AK3427" s="2">
        <v>3.4328066202318201E-2</v>
      </c>
      <c r="AL3427" s="2">
        <v>0.27137913321326701</v>
      </c>
      <c r="AM3427" s="2">
        <v>2268.1245565563599</v>
      </c>
      <c r="AN3427" s="2">
        <v>2755.2960703483</v>
      </c>
      <c r="AO3427" s="2">
        <v>1868.3913982352699</v>
      </c>
      <c r="AP3427" s="2">
        <v>1956.8666946387</v>
      </c>
      <c r="AQ3427" s="2">
        <v>1460.89936220248</v>
      </c>
      <c r="AR3427" s="2">
        <v>2974.4463406793602</v>
      </c>
      <c r="AS3427" s="2">
        <v>1792.68830449654</v>
      </c>
      <c r="AT3427" s="2">
        <v>1082.3368398764601</v>
      </c>
      <c r="AU3427" s="2">
        <v>1903.3109042870001</v>
      </c>
      <c r="AV3427" s="2">
        <v>673.50164181336402</v>
      </c>
      <c r="AW3427" s="2">
        <v>1703.6802368220499</v>
      </c>
      <c r="AX3427" s="2">
        <v>1647.9969183038299</v>
      </c>
    </row>
    <row r="3428" spans="1:50" x14ac:dyDescent="0.25">
      <c r="A3428" s="2" t="s">
        <v>22778</v>
      </c>
      <c r="B3428" s="2">
        <v>216.980009313755</v>
      </c>
      <c r="C3428" s="2">
        <v>3.3347333333333302</v>
      </c>
      <c r="D3428" s="2" t="s">
        <v>51</v>
      </c>
      <c r="E3428" s="2" t="s">
        <v>22779</v>
      </c>
      <c r="F3428" s="2">
        <v>198660</v>
      </c>
      <c r="G3428" s="3" t="str">
        <f>HYPERLINK("https://cloud.oebiotech.com/#/lm/network/198660", "https://cloud.oebiotech.com/#/lm/network/198660")</f>
        <v>https://cloud.oebiotech.com/#/lm/network/198660</v>
      </c>
      <c r="H3428" s="2" t="s">
        <v>22780</v>
      </c>
      <c r="I3428" s="2"/>
      <c r="J3428" s="2"/>
      <c r="K3428" s="2">
        <v>129848880</v>
      </c>
      <c r="L3428" s="2"/>
      <c r="M3428" s="2"/>
      <c r="N3428" s="2"/>
      <c r="O3428" s="2"/>
      <c r="P3428" s="2"/>
      <c r="Q3428" s="2"/>
      <c r="R3428" s="2"/>
      <c r="S3428" s="2" t="s">
        <v>22781</v>
      </c>
      <c r="T3428" s="2" t="s">
        <v>22782</v>
      </c>
      <c r="U3428" s="2" t="s">
        <v>103</v>
      </c>
      <c r="V3428" s="2" t="s">
        <v>4820</v>
      </c>
      <c r="W3428" s="2" t="s">
        <v>4821</v>
      </c>
      <c r="X3428" s="2" t="s">
        <v>83</v>
      </c>
      <c r="Y3428" s="2">
        <v>37.200000000000003</v>
      </c>
      <c r="Z3428" s="2">
        <v>0</v>
      </c>
      <c r="AA3428" s="2" t="s">
        <v>163</v>
      </c>
      <c r="AB3428" s="2" t="s">
        <v>22783</v>
      </c>
      <c r="AC3428" s="2">
        <v>-5.6111399239448199</v>
      </c>
      <c r="AD3428" s="2"/>
      <c r="AE3428" s="2">
        <v>0.164253859130539</v>
      </c>
      <c r="AF3428" s="2">
        <v>4424.7902516212698</v>
      </c>
      <c r="AG3428" s="2">
        <v>3270.9468101416101</v>
      </c>
      <c r="AH3428" s="5">
        <v>1.35275518327053</v>
      </c>
      <c r="AI3428" s="5">
        <v>0.43590076921861898</v>
      </c>
      <c r="AJ3428" s="5" t="s">
        <v>139</v>
      </c>
      <c r="AK3428" s="2">
        <v>0.19515280183136</v>
      </c>
      <c r="AL3428" s="2">
        <v>0.51886349506170404</v>
      </c>
      <c r="AM3428" s="2">
        <v>4389.77558876899</v>
      </c>
      <c r="AN3428" s="2">
        <v>2574.3817031120898</v>
      </c>
      <c r="AO3428" s="2">
        <v>4853.5893585151998</v>
      </c>
      <c r="AP3428" s="2">
        <v>4407.5112935269199</v>
      </c>
      <c r="AQ3428" s="2">
        <v>7343.7797805032596</v>
      </c>
      <c r="AR3428" s="2">
        <v>2979.7037853011798</v>
      </c>
      <c r="AS3428" s="2">
        <v>4300.4638340466399</v>
      </c>
      <c r="AT3428" s="2">
        <v>3361.0974108840301</v>
      </c>
      <c r="AU3428" s="2">
        <v>4829.6220329964899</v>
      </c>
      <c r="AV3428" s="2">
        <v>3016.75983372885</v>
      </c>
      <c r="AW3428" s="2">
        <v>2067.36112353726</v>
      </c>
      <c r="AX3428" s="2">
        <v>2050.3766256563999</v>
      </c>
    </row>
    <row r="3429" spans="1:50" x14ac:dyDescent="0.25">
      <c r="A3429" s="2" t="s">
        <v>22784</v>
      </c>
      <c r="B3429" s="2">
        <v>761.52215465561505</v>
      </c>
      <c r="C3429" s="2">
        <v>10.9866666666667</v>
      </c>
      <c r="D3429" s="2" t="s">
        <v>51</v>
      </c>
      <c r="E3429" s="2" t="s">
        <v>22785</v>
      </c>
      <c r="F3429" s="2">
        <v>243687</v>
      </c>
      <c r="G3429" s="3" t="str">
        <f>HYPERLINK("https://cloud.oebiotech.com/#/lm/network/243687", "https://cloud.oebiotech.com/#/lm/network/243687")</f>
        <v>https://cloud.oebiotech.com/#/lm/network/243687</v>
      </c>
      <c r="H3429" s="2" t="s">
        <v>22786</v>
      </c>
      <c r="I3429" s="2"/>
      <c r="J3429" s="2"/>
      <c r="K3429" s="2"/>
      <c r="L3429" s="2"/>
      <c r="M3429" s="2"/>
      <c r="N3429" s="2"/>
      <c r="O3429" s="2"/>
      <c r="P3429" s="2"/>
      <c r="Q3429" s="2"/>
      <c r="R3429" s="2"/>
      <c r="S3429" s="2" t="s">
        <v>22787</v>
      </c>
      <c r="T3429" s="2" t="s">
        <v>22788</v>
      </c>
      <c r="U3429" s="2" t="s">
        <v>119</v>
      </c>
      <c r="V3429" s="2" t="s">
        <v>120</v>
      </c>
      <c r="W3429" s="2" t="s">
        <v>121</v>
      </c>
      <c r="X3429" s="2" t="s">
        <v>147</v>
      </c>
      <c r="Y3429" s="2">
        <v>36.700000000000003</v>
      </c>
      <c r="Z3429" s="2">
        <v>0</v>
      </c>
      <c r="AA3429" s="2" t="s">
        <v>163</v>
      </c>
      <c r="AB3429" s="2" t="s">
        <v>22789</v>
      </c>
      <c r="AC3429" s="2">
        <v>-2.3058652279163399</v>
      </c>
      <c r="AD3429" s="2"/>
      <c r="AE3429" s="2">
        <v>0.164223995316818</v>
      </c>
      <c r="AF3429" s="2">
        <v>640.03601850160703</v>
      </c>
      <c r="AG3429" s="2">
        <v>1527.0638625010499</v>
      </c>
      <c r="AH3429" s="4">
        <v>0.41912852122199101</v>
      </c>
      <c r="AI3429" s="4">
        <v>-1.2545353963119901</v>
      </c>
      <c r="AJ3429" s="4" t="s">
        <v>62</v>
      </c>
      <c r="AK3429" s="2">
        <v>0.29212889773920397</v>
      </c>
      <c r="AL3429" s="2">
        <v>0.60553329689908297</v>
      </c>
      <c r="AM3429" s="2">
        <v>8.559877937157E-6</v>
      </c>
      <c r="AN3429" s="2">
        <v>516.10709966686795</v>
      </c>
      <c r="AO3429" s="2">
        <v>8.559877937157E-6</v>
      </c>
      <c r="AP3429" s="2">
        <v>8.559877937157E-6</v>
      </c>
      <c r="AQ3429" s="2">
        <v>8.559877937157E-6</v>
      </c>
      <c r="AR3429" s="2">
        <v>3324.1089771032598</v>
      </c>
      <c r="AS3429" s="2">
        <v>3544.5232790298701</v>
      </c>
      <c r="AT3429" s="2">
        <v>700.913407803724</v>
      </c>
      <c r="AU3429" s="2">
        <v>8.559877937157E-6</v>
      </c>
      <c r="AV3429" s="2">
        <v>3073.2621970435898</v>
      </c>
      <c r="AW3429" s="2">
        <v>1023.63248158646</v>
      </c>
      <c r="AX3429" s="2">
        <v>820.05180098276901</v>
      </c>
    </row>
    <row r="3430" spans="1:50" x14ac:dyDescent="0.25">
      <c r="A3430" s="2" t="s">
        <v>22790</v>
      </c>
      <c r="B3430" s="2">
        <v>283.264230025816</v>
      </c>
      <c r="C3430" s="2">
        <v>12.4447833333333</v>
      </c>
      <c r="D3430" s="2" t="s">
        <v>51</v>
      </c>
      <c r="E3430" s="2" t="s">
        <v>22791</v>
      </c>
      <c r="F3430" s="2">
        <v>54486</v>
      </c>
      <c r="G3430" s="3" t="str">
        <f>HYPERLINK("https://cloud.oebiotech.com/#/lm/network/54486", "https://cloud.oebiotech.com/#/lm/network/54486")</f>
        <v>https://cloud.oebiotech.com/#/lm/network/54486</v>
      </c>
      <c r="H3430" s="2" t="s">
        <v>22792</v>
      </c>
      <c r="I3430" s="2">
        <v>86340</v>
      </c>
      <c r="J3430" s="2"/>
      <c r="K3430" s="2">
        <v>8298</v>
      </c>
      <c r="L3430" s="2"/>
      <c r="M3430" s="2"/>
      <c r="N3430" s="2"/>
      <c r="O3430" s="2">
        <v>59065</v>
      </c>
      <c r="P3430" s="2"/>
      <c r="Q3430" s="2"/>
      <c r="R3430" s="2" t="s">
        <v>22793</v>
      </c>
      <c r="S3430" s="2" t="s">
        <v>22794</v>
      </c>
      <c r="T3430" s="2" t="s">
        <v>22795</v>
      </c>
      <c r="U3430" s="2" t="s">
        <v>331</v>
      </c>
      <c r="V3430" s="2" t="s">
        <v>332</v>
      </c>
      <c r="W3430" s="2" t="s">
        <v>519</v>
      </c>
      <c r="X3430" s="2" t="s">
        <v>147</v>
      </c>
      <c r="Y3430" s="2">
        <v>39.799999999999997</v>
      </c>
      <c r="Z3430" s="2">
        <v>0</v>
      </c>
      <c r="AA3430" s="2" t="s">
        <v>478</v>
      </c>
      <c r="AB3430" s="2" t="s">
        <v>22210</v>
      </c>
      <c r="AC3430" s="2">
        <v>-8.42005664686067E-2</v>
      </c>
      <c r="AD3430" s="2"/>
      <c r="AE3430" s="2">
        <v>0.16412377712923301</v>
      </c>
      <c r="AF3430" s="2">
        <v>3892.8398159148601</v>
      </c>
      <c r="AG3430" s="2">
        <v>4749.5834980899599</v>
      </c>
      <c r="AH3430" s="4">
        <v>0.81961709221037005</v>
      </c>
      <c r="AI3430" s="4">
        <v>-0.286978024410798</v>
      </c>
      <c r="AJ3430" s="4" t="s">
        <v>62</v>
      </c>
      <c r="AK3430" s="2">
        <v>0.17359532071168099</v>
      </c>
      <c r="AL3430" s="2">
        <v>0.49493165347728701</v>
      </c>
      <c r="AM3430" s="2">
        <v>3554.0311811297902</v>
      </c>
      <c r="AN3430" s="2">
        <v>4744.9162940017304</v>
      </c>
      <c r="AO3430" s="2">
        <v>3384.9201607858799</v>
      </c>
      <c r="AP3430" s="2">
        <v>2965.0301699025099</v>
      </c>
      <c r="AQ3430" s="2">
        <v>3722.1840692472701</v>
      </c>
      <c r="AR3430" s="2">
        <v>4985.9570204219499</v>
      </c>
      <c r="AS3430" s="2">
        <v>3960.55240138918</v>
      </c>
      <c r="AT3430" s="2">
        <v>3093.9369431202299</v>
      </c>
      <c r="AU3430" s="2">
        <v>4153.2864742359297</v>
      </c>
      <c r="AV3430" s="2">
        <v>5904.8567275330497</v>
      </c>
      <c r="AW3430" s="2">
        <v>6040.3213645742599</v>
      </c>
      <c r="AX3430" s="2">
        <v>5344.5470776871398</v>
      </c>
    </row>
    <row r="3431" spans="1:50" x14ac:dyDescent="0.25">
      <c r="A3431" s="2" t="s">
        <v>22796</v>
      </c>
      <c r="B3431" s="2">
        <v>310.14769915809802</v>
      </c>
      <c r="C3431" s="2">
        <v>4.5660166666666697</v>
      </c>
      <c r="D3431" s="2" t="s">
        <v>51</v>
      </c>
      <c r="E3431" s="2" t="s">
        <v>22797</v>
      </c>
      <c r="F3431" s="2">
        <v>53884</v>
      </c>
      <c r="G3431" s="3" t="str">
        <f>HYPERLINK("https://cloud.oebiotech.com/#/lm/network/53884", "https://cloud.oebiotech.com/#/lm/network/53884")</f>
        <v>https://cloud.oebiotech.com/#/lm/network/53884</v>
      </c>
      <c r="H3431" s="2" t="s">
        <v>22798</v>
      </c>
      <c r="I3431" s="2">
        <v>85766</v>
      </c>
      <c r="J3431" s="2"/>
      <c r="K3431" s="2">
        <v>131750764</v>
      </c>
      <c r="L3431" s="2"/>
      <c r="M3431" s="2"/>
      <c r="N3431" s="2"/>
      <c r="O3431" s="2"/>
      <c r="P3431" s="2"/>
      <c r="Q3431" s="2"/>
      <c r="R3431" s="2"/>
      <c r="S3431" s="2" t="s">
        <v>22799</v>
      </c>
      <c r="T3431" s="2" t="s">
        <v>22800</v>
      </c>
      <c r="U3431" s="2" t="s">
        <v>103</v>
      </c>
      <c r="V3431" s="2" t="s">
        <v>104</v>
      </c>
      <c r="W3431" s="2" t="s">
        <v>105</v>
      </c>
      <c r="X3431" s="2" t="s">
        <v>147</v>
      </c>
      <c r="Y3431" s="2">
        <v>36.9</v>
      </c>
      <c r="Z3431" s="2">
        <v>0</v>
      </c>
      <c r="AA3431" s="2" t="s">
        <v>95</v>
      </c>
      <c r="AB3431" s="2" t="s">
        <v>22801</v>
      </c>
      <c r="AC3431" s="2">
        <v>-3.0495179751342998</v>
      </c>
      <c r="AD3431" s="2"/>
      <c r="AE3431" s="2">
        <v>0.164102782700112</v>
      </c>
      <c r="AF3431" s="2">
        <v>822.11666919030301</v>
      </c>
      <c r="AG3431" s="2">
        <v>1808.21361136365</v>
      </c>
      <c r="AH3431" s="4">
        <v>0.45465683037874599</v>
      </c>
      <c r="AI3431" s="4">
        <v>-1.1371500680540301</v>
      </c>
      <c r="AJ3431" s="4" t="s">
        <v>62</v>
      </c>
      <c r="AK3431" s="2">
        <v>0.192309852559195</v>
      </c>
      <c r="AL3431" s="2">
        <v>0.51702050946451295</v>
      </c>
      <c r="AM3431" s="2">
        <v>1246.4047981999099</v>
      </c>
      <c r="AN3431" s="2">
        <v>8.559877937157E-6</v>
      </c>
      <c r="AO3431" s="2">
        <v>8.559877937157E-6</v>
      </c>
      <c r="AP3431" s="2">
        <v>2052.8085279984002</v>
      </c>
      <c r="AQ3431" s="2">
        <v>1157.2662472188299</v>
      </c>
      <c r="AR3431" s="2">
        <v>476.22042460492401</v>
      </c>
      <c r="AS3431" s="2">
        <v>8.559877937157E-6</v>
      </c>
      <c r="AT3431" s="2">
        <v>2694.8273774591698</v>
      </c>
      <c r="AU3431" s="2">
        <v>71.700372866048596</v>
      </c>
      <c r="AV3431" s="2">
        <v>1884.4879504534599</v>
      </c>
      <c r="AW3431" s="2">
        <v>3884.9498291048299</v>
      </c>
      <c r="AX3431" s="2">
        <v>2313.31612973852</v>
      </c>
    </row>
    <row r="3432" spans="1:50" x14ac:dyDescent="0.25">
      <c r="A3432" s="2" t="s">
        <v>22802</v>
      </c>
      <c r="B3432" s="2">
        <v>448.15595582445002</v>
      </c>
      <c r="C3432" s="2">
        <v>10.96625</v>
      </c>
      <c r="D3432" s="2" t="s">
        <v>51</v>
      </c>
      <c r="E3432" s="2" t="s">
        <v>22803</v>
      </c>
      <c r="F3432" s="2">
        <v>210446</v>
      </c>
      <c r="G3432" s="3" t="str">
        <f>HYPERLINK("https://cloud.oebiotech.com/#/lm/network/210446", "https://cloud.oebiotech.com/#/lm/network/210446")</f>
        <v>https://cloud.oebiotech.com/#/lm/network/210446</v>
      </c>
      <c r="H3432" s="2" t="s">
        <v>22804</v>
      </c>
      <c r="I3432" s="2"/>
      <c r="J3432" s="2"/>
      <c r="K3432" s="2">
        <v>70105374</v>
      </c>
      <c r="L3432" s="2"/>
      <c r="M3432" s="2"/>
      <c r="N3432" s="2"/>
      <c r="O3432" s="2"/>
      <c r="P3432" s="2"/>
      <c r="Q3432" s="2"/>
      <c r="R3432" s="2"/>
      <c r="S3432" s="2" t="s">
        <v>22805</v>
      </c>
      <c r="T3432" s="2" t="s">
        <v>22806</v>
      </c>
      <c r="U3432" s="2" t="s">
        <v>266</v>
      </c>
      <c r="V3432" s="2" t="s">
        <v>1393</v>
      </c>
      <c r="W3432" s="2" t="s">
        <v>16186</v>
      </c>
      <c r="X3432" s="2" t="s">
        <v>147</v>
      </c>
      <c r="Y3432" s="2">
        <v>37.9</v>
      </c>
      <c r="Z3432" s="2">
        <v>0</v>
      </c>
      <c r="AA3432" s="2" t="s">
        <v>218</v>
      </c>
      <c r="AB3432" s="2" t="s">
        <v>22807</v>
      </c>
      <c r="AC3432" s="2">
        <v>-1.5349664375337699</v>
      </c>
      <c r="AD3432" s="2"/>
      <c r="AE3432" s="2">
        <v>0.163952429163785</v>
      </c>
      <c r="AF3432" s="2">
        <v>2195.5352898583801</v>
      </c>
      <c r="AG3432" s="2">
        <v>1241.4950675089999</v>
      </c>
      <c r="AH3432" s="5">
        <v>1.76846074327434</v>
      </c>
      <c r="AI3432" s="5">
        <v>0.82249419409563895</v>
      </c>
      <c r="AJ3432" s="5" t="s">
        <v>139</v>
      </c>
      <c r="AK3432" s="2">
        <v>0.10044848036699799</v>
      </c>
      <c r="AL3432" s="2">
        <v>0.40292733648068202</v>
      </c>
      <c r="AM3432" s="2">
        <v>1758.0252792147501</v>
      </c>
      <c r="AN3432" s="2">
        <v>2269.80150387602</v>
      </c>
      <c r="AO3432" s="2">
        <v>2176.7197627034302</v>
      </c>
      <c r="AP3432" s="2">
        <v>2525.4080002167102</v>
      </c>
      <c r="AQ3432" s="2">
        <v>2419.61678421846</v>
      </c>
      <c r="AR3432" s="2">
        <v>2023.64040892091</v>
      </c>
      <c r="AS3432" s="2">
        <v>2420.98952853735</v>
      </c>
      <c r="AT3432" s="2">
        <v>3166.7880591051398</v>
      </c>
      <c r="AU3432" s="2">
        <v>8.559877937157E-6</v>
      </c>
      <c r="AV3432" s="2">
        <v>507.32887131607902</v>
      </c>
      <c r="AW3432" s="2">
        <v>416.310288909083</v>
      </c>
      <c r="AX3432" s="2">
        <v>937.55364862644399</v>
      </c>
    </row>
    <row r="3433" spans="1:50" x14ac:dyDescent="0.25">
      <c r="A3433" s="2" t="s">
        <v>22808</v>
      </c>
      <c r="B3433" s="2">
        <v>262.01437295739902</v>
      </c>
      <c r="C3433" s="2">
        <v>1.27196666666667</v>
      </c>
      <c r="D3433" s="2" t="s">
        <v>51</v>
      </c>
      <c r="E3433" s="2" t="s">
        <v>22809</v>
      </c>
      <c r="F3433" s="2">
        <v>64711</v>
      </c>
      <c r="G3433" s="3" t="str">
        <f>HYPERLINK("https://cloud.oebiotech.com/#/lm/network/64711", "https://cloud.oebiotech.com/#/lm/network/64711")</f>
        <v>https://cloud.oebiotech.com/#/lm/network/64711</v>
      </c>
      <c r="H3433" s="2" t="s">
        <v>22810</v>
      </c>
      <c r="I3433" s="2">
        <v>96011</v>
      </c>
      <c r="J3433" s="2"/>
      <c r="K3433" s="2">
        <v>10587535</v>
      </c>
      <c r="L3433" s="2"/>
      <c r="M3433" s="2"/>
      <c r="N3433" s="2"/>
      <c r="O3433" s="2"/>
      <c r="P3433" s="2"/>
      <c r="Q3433" s="2"/>
      <c r="R3433" s="2"/>
      <c r="S3433" s="2" t="s">
        <v>22811</v>
      </c>
      <c r="T3433" s="2" t="s">
        <v>22812</v>
      </c>
      <c r="U3433" s="2" t="s">
        <v>331</v>
      </c>
      <c r="V3433" s="2" t="s">
        <v>332</v>
      </c>
      <c r="W3433" s="2" t="s">
        <v>1207</v>
      </c>
      <c r="X3433" s="2" t="s">
        <v>147</v>
      </c>
      <c r="Y3433" s="2">
        <v>42.6</v>
      </c>
      <c r="Z3433" s="2">
        <v>23.9</v>
      </c>
      <c r="AA3433" s="2" t="s">
        <v>122</v>
      </c>
      <c r="AB3433" s="2" t="s">
        <v>22813</v>
      </c>
      <c r="AC3433" s="2">
        <v>-1.33885690250372</v>
      </c>
      <c r="AD3433" s="2"/>
      <c r="AE3433" s="2">
        <v>0.16380922744423901</v>
      </c>
      <c r="AF3433" s="2">
        <v>13207.1951030743</v>
      </c>
      <c r="AG3433" s="2">
        <v>8491.8979706960999</v>
      </c>
      <c r="AH3433" s="5">
        <v>1.5552701114226399</v>
      </c>
      <c r="AI3433" s="5">
        <v>0.63716516207190599</v>
      </c>
      <c r="AJ3433" s="5" t="s">
        <v>139</v>
      </c>
      <c r="AK3433" s="2">
        <v>0.71300846124337702</v>
      </c>
      <c r="AL3433" s="2">
        <v>0.86443357859953696</v>
      </c>
      <c r="AM3433" s="2">
        <v>97.803029385708399</v>
      </c>
      <c r="AN3433" s="2">
        <v>821.72854366143497</v>
      </c>
      <c r="AO3433" s="2">
        <v>72219.999350828206</v>
      </c>
      <c r="AP3433" s="2">
        <v>1360.89411698699</v>
      </c>
      <c r="AQ3433" s="2">
        <v>4078.22514413821</v>
      </c>
      <c r="AR3433" s="2">
        <v>664.52043344498998</v>
      </c>
      <c r="AS3433" s="2">
        <v>136.65579531484801</v>
      </c>
      <c r="AT3433" s="2">
        <v>8.559877937157E-6</v>
      </c>
      <c r="AU3433" s="2">
        <v>932.28754450112001</v>
      </c>
      <c r="AV3433" s="2">
        <v>21198.296993375901</v>
      </c>
      <c r="AW3433" s="2">
        <v>18786.468506880799</v>
      </c>
      <c r="AX3433" s="2">
        <v>9897.6789755440695</v>
      </c>
    </row>
    <row r="3434" spans="1:50" x14ac:dyDescent="0.25">
      <c r="A3434" s="2" t="s">
        <v>22814</v>
      </c>
      <c r="B3434" s="2">
        <v>533.42187041133695</v>
      </c>
      <c r="C3434" s="2">
        <v>14.33135</v>
      </c>
      <c r="D3434" s="2" t="s">
        <v>51</v>
      </c>
      <c r="E3434" s="2" t="s">
        <v>22815</v>
      </c>
      <c r="F3434" s="2">
        <v>251588</v>
      </c>
      <c r="G3434" s="3" t="str">
        <f>HYPERLINK("https://cloud.oebiotech.com/#/lm/network/251588", "https://cloud.oebiotech.com/#/lm/network/251588")</f>
        <v>https://cloud.oebiotech.com/#/lm/network/251588</v>
      </c>
      <c r="H3434" s="2" t="s">
        <v>22816</v>
      </c>
      <c r="I3434" s="2"/>
      <c r="J3434" s="2"/>
      <c r="K3434" s="2"/>
      <c r="L3434" s="2"/>
      <c r="M3434" s="2"/>
      <c r="N3434" s="2"/>
      <c r="O3434" s="2"/>
      <c r="P3434" s="2"/>
      <c r="Q3434" s="2"/>
      <c r="R3434" s="2"/>
      <c r="S3434" s="2" t="s">
        <v>22817</v>
      </c>
      <c r="T3434" s="2" t="s">
        <v>22818</v>
      </c>
      <c r="U3434" s="2" t="s">
        <v>56</v>
      </c>
      <c r="V3434" s="2" t="s">
        <v>145</v>
      </c>
      <c r="W3434" s="2" t="s">
        <v>203</v>
      </c>
      <c r="X3434" s="2" t="s">
        <v>147</v>
      </c>
      <c r="Y3434" s="2">
        <v>38.4</v>
      </c>
      <c r="Z3434" s="2">
        <v>5.81</v>
      </c>
      <c r="AA3434" s="2" t="s">
        <v>156</v>
      </c>
      <c r="AB3434" s="2" t="s">
        <v>22819</v>
      </c>
      <c r="AC3434" s="2">
        <v>3.3048815079799101</v>
      </c>
      <c r="AD3434" s="2"/>
      <c r="AE3434" s="2">
        <v>0.163764923040842</v>
      </c>
      <c r="AF3434" s="2">
        <v>8292.91501518316</v>
      </c>
      <c r="AG3434" s="2">
        <v>13133.204102310599</v>
      </c>
      <c r="AH3434" s="4">
        <v>0.63144644296848496</v>
      </c>
      <c r="AI3434" s="4">
        <v>-0.66326771992506794</v>
      </c>
      <c r="AJ3434" s="4" t="s">
        <v>62</v>
      </c>
      <c r="AK3434" s="2">
        <v>0.45745211378115203</v>
      </c>
      <c r="AL3434" s="2">
        <v>0.70873397123624904</v>
      </c>
      <c r="AM3434" s="2">
        <v>14811.466949714501</v>
      </c>
      <c r="AN3434" s="2">
        <v>9732.2926305897909</v>
      </c>
      <c r="AO3434" s="2">
        <v>7599.5457123982296</v>
      </c>
      <c r="AP3434" s="2">
        <v>9314.8063892088303</v>
      </c>
      <c r="AQ3434" s="2">
        <v>4747.2073963155099</v>
      </c>
      <c r="AR3434" s="2">
        <v>3552.1710128721002</v>
      </c>
      <c r="AS3434" s="2">
        <v>1717.6700988765199</v>
      </c>
      <c r="AT3434" s="2">
        <v>3520.1505663151001</v>
      </c>
      <c r="AU3434" s="2">
        <v>41923.584435703</v>
      </c>
      <c r="AV3434" s="2">
        <v>10811.322095818001</v>
      </c>
      <c r="AW3434" s="2">
        <v>13847.3835804799</v>
      </c>
      <c r="AX3434" s="2">
        <v>6979.1138366712303</v>
      </c>
    </row>
    <row r="3435" spans="1:50" x14ac:dyDescent="0.25">
      <c r="A3435" s="2" t="s">
        <v>22820</v>
      </c>
      <c r="B3435" s="2">
        <v>313.12251055604298</v>
      </c>
      <c r="C3435" s="2">
        <v>10.153133333333299</v>
      </c>
      <c r="D3435" s="2" t="s">
        <v>51</v>
      </c>
      <c r="E3435" s="2" t="s">
        <v>22821</v>
      </c>
      <c r="F3435" s="2">
        <v>278047</v>
      </c>
      <c r="G3435" s="3" t="str">
        <f>HYPERLINK("https://cloud.oebiotech.com/#/lm/network/278047", "https://cloud.oebiotech.com/#/lm/network/278047")</f>
        <v>https://cloud.oebiotech.com/#/lm/network/278047</v>
      </c>
      <c r="H3435" s="2"/>
      <c r="I3435" s="2">
        <v>70241</v>
      </c>
      <c r="J3435" s="2"/>
      <c r="K3435" s="2">
        <v>15644</v>
      </c>
      <c r="L3435" s="2" t="s">
        <v>22822</v>
      </c>
      <c r="M3435" s="2"/>
      <c r="N3435" s="2"/>
      <c r="O3435" s="2"/>
      <c r="P3435" s="2"/>
      <c r="Q3435" s="2"/>
      <c r="R3435" s="2" t="s">
        <v>22823</v>
      </c>
      <c r="S3435" s="2" t="s">
        <v>22824</v>
      </c>
      <c r="T3435" s="2" t="s">
        <v>22825</v>
      </c>
      <c r="U3435" s="2" t="s">
        <v>610</v>
      </c>
      <c r="V3435" s="2" t="s">
        <v>4556</v>
      </c>
      <c r="W3435" s="2" t="s">
        <v>6949</v>
      </c>
      <c r="X3435" s="2" t="s">
        <v>83</v>
      </c>
      <c r="Y3435" s="2">
        <v>47.9</v>
      </c>
      <c r="Z3435" s="2">
        <v>0</v>
      </c>
      <c r="AA3435" s="2" t="s">
        <v>395</v>
      </c>
      <c r="AB3435" s="2" t="s">
        <v>22826</v>
      </c>
      <c r="AC3435" s="2">
        <v>8.9653474768558699</v>
      </c>
      <c r="AD3435" s="2"/>
      <c r="AE3435" s="2">
        <v>0.163669988525451</v>
      </c>
      <c r="AF3435" s="2">
        <v>110.167295932155</v>
      </c>
      <c r="AG3435" s="2">
        <v>2592.9994196760399</v>
      </c>
      <c r="AH3435" s="4">
        <v>4.2486432930216103E-2</v>
      </c>
      <c r="AI3435" s="4">
        <v>-4.5568539666204302</v>
      </c>
      <c r="AJ3435" s="4" t="s">
        <v>62</v>
      </c>
      <c r="AK3435" s="2">
        <v>0.30343028063280603</v>
      </c>
      <c r="AL3435" s="2">
        <v>0.61289698630618406</v>
      </c>
      <c r="AM3435" s="2">
        <v>537.40908317205106</v>
      </c>
      <c r="AN3435" s="2">
        <v>123.594658181368</v>
      </c>
      <c r="AO3435" s="2">
        <v>8.559877937157E-6</v>
      </c>
      <c r="AP3435" s="2">
        <v>8.559877937157E-6</v>
      </c>
      <c r="AQ3435" s="2">
        <v>8.559877937157E-6</v>
      </c>
      <c r="AR3435" s="2">
        <v>8.559877937157E-6</v>
      </c>
      <c r="AS3435" s="2">
        <v>8.559877937157E-6</v>
      </c>
      <c r="AT3435" s="2">
        <v>274.78228180857502</v>
      </c>
      <c r="AU3435" s="2">
        <v>13980.786552051501</v>
      </c>
      <c r="AV3435" s="2">
        <v>1302.4276585165201</v>
      </c>
      <c r="AW3435" s="2">
        <v>8.559877937157E-6</v>
      </c>
      <c r="AX3435" s="2">
        <v>8.559877937157E-6</v>
      </c>
    </row>
    <row r="3436" spans="1:50" x14ac:dyDescent="0.25">
      <c r="A3436" s="2" t="s">
        <v>22827</v>
      </c>
      <c r="B3436" s="2">
        <v>179.07380000000001</v>
      </c>
      <c r="C3436" s="2">
        <v>19.550999999999998</v>
      </c>
      <c r="D3436" s="2" t="s">
        <v>125</v>
      </c>
      <c r="E3436" s="2" t="s">
        <v>22828</v>
      </c>
      <c r="F3436" s="2">
        <v>47202</v>
      </c>
      <c r="G3436" s="3" t="str">
        <f>HYPERLINK("https://cloud.oebiotech.com/#/lm/network/47202", "https://cloud.oebiotech.com/#/lm/network/47202")</f>
        <v>https://cloud.oebiotech.com/#/lm/network/47202</v>
      </c>
      <c r="H3436" s="2" t="s">
        <v>22829</v>
      </c>
      <c r="I3436" s="2">
        <v>34515</v>
      </c>
      <c r="J3436" s="2"/>
      <c r="K3436" s="2">
        <v>9378</v>
      </c>
      <c r="L3436" s="2" t="s">
        <v>22830</v>
      </c>
      <c r="M3436" s="2"/>
      <c r="N3436" s="2"/>
      <c r="O3436" s="2">
        <v>17385</v>
      </c>
      <c r="P3436" s="2"/>
      <c r="Q3436" s="2"/>
      <c r="R3436" s="2" t="s">
        <v>22831</v>
      </c>
      <c r="S3436" s="2" t="s">
        <v>22832</v>
      </c>
      <c r="T3436" s="2" t="s">
        <v>22833</v>
      </c>
      <c r="U3436" s="2" t="s">
        <v>540</v>
      </c>
      <c r="V3436" s="2" t="s">
        <v>1916</v>
      </c>
      <c r="W3436" s="2" t="s">
        <v>240</v>
      </c>
      <c r="X3436" s="2" t="s">
        <v>83</v>
      </c>
      <c r="Y3436" s="2">
        <v>82.9</v>
      </c>
      <c r="Z3436" s="2">
        <v>74.5</v>
      </c>
      <c r="AA3436" s="2"/>
      <c r="AB3436" s="2" t="s">
        <v>22834</v>
      </c>
      <c r="AC3436" s="2"/>
      <c r="AD3436" s="2">
        <v>655869.74932510604</v>
      </c>
      <c r="AE3436" s="2">
        <v>0.16354012519556901</v>
      </c>
      <c r="AF3436" s="2">
        <v>240732.276995875</v>
      </c>
      <c r="AG3436" s="2">
        <v>227464.13643973801</v>
      </c>
      <c r="AH3436" s="5">
        <v>1.0583306923183999</v>
      </c>
      <c r="AI3436" s="5">
        <v>8.1790490989882794E-2</v>
      </c>
      <c r="AJ3436" s="5" t="s">
        <v>139</v>
      </c>
      <c r="AK3436" s="2">
        <v>0.72913762666295501</v>
      </c>
      <c r="AL3436" s="2">
        <v>0.87519414201178403</v>
      </c>
      <c r="AM3436" s="2">
        <v>256846.49415945099</v>
      </c>
      <c r="AN3436" s="2">
        <v>299497.07499958202</v>
      </c>
      <c r="AO3436" s="2">
        <v>219245.239725594</v>
      </c>
      <c r="AP3436" s="2">
        <v>340371.83692583698</v>
      </c>
      <c r="AQ3436" s="2">
        <v>161307.03109216399</v>
      </c>
      <c r="AR3436" s="2">
        <v>167125.985072621</v>
      </c>
      <c r="AS3436" s="2">
        <v>197697.84026071301</v>
      </c>
      <c r="AT3436" s="2">
        <v>296677.84435859002</v>
      </c>
      <c r="AU3436" s="2">
        <v>153609.09879584701</v>
      </c>
      <c r="AV3436" s="2">
        <v>189193.16528351</v>
      </c>
      <c r="AW3436" s="2">
        <v>246861.83084271601</v>
      </c>
      <c r="AX3436" s="2">
        <v>280745.03909705102</v>
      </c>
    </row>
    <row r="3437" spans="1:50" x14ac:dyDescent="0.25">
      <c r="A3437" s="2" t="s">
        <v>22835</v>
      </c>
      <c r="B3437" s="2">
        <v>447.34812591916301</v>
      </c>
      <c r="C3437" s="2">
        <v>10.7341</v>
      </c>
      <c r="D3437" s="2" t="s">
        <v>51</v>
      </c>
      <c r="E3437" s="2" t="s">
        <v>22836</v>
      </c>
      <c r="F3437" s="2">
        <v>46562</v>
      </c>
      <c r="G3437" s="3" t="str">
        <f>HYPERLINK("https://cloud.oebiotech.com/#/lm/network/46562", "https://cloud.oebiotech.com/#/lm/network/46562")</f>
        <v>https://cloud.oebiotech.com/#/lm/network/46562</v>
      </c>
      <c r="H3437" s="2"/>
      <c r="I3437" s="2">
        <v>84904</v>
      </c>
      <c r="J3437" s="2" t="s">
        <v>22837</v>
      </c>
      <c r="K3437" s="2">
        <v>5284296</v>
      </c>
      <c r="L3437" s="2"/>
      <c r="M3437" s="2"/>
      <c r="N3437" s="2"/>
      <c r="O3437" s="2"/>
      <c r="P3437" s="2"/>
      <c r="Q3437" s="2"/>
      <c r="R3437" s="2"/>
      <c r="S3437" s="2" t="s">
        <v>22838</v>
      </c>
      <c r="T3437" s="2" t="s">
        <v>22839</v>
      </c>
      <c r="U3437" s="2" t="s">
        <v>56</v>
      </c>
      <c r="V3437" s="2" t="s">
        <v>283</v>
      </c>
      <c r="W3437" s="2" t="s">
        <v>2042</v>
      </c>
      <c r="X3437" s="2" t="s">
        <v>83</v>
      </c>
      <c r="Y3437" s="2">
        <v>52.1</v>
      </c>
      <c r="Z3437" s="2">
        <v>0</v>
      </c>
      <c r="AA3437" s="2" t="s">
        <v>179</v>
      </c>
      <c r="AB3437" s="2" t="s">
        <v>8958</v>
      </c>
      <c r="AC3437" s="2">
        <v>2.6693906247660801</v>
      </c>
      <c r="AD3437" s="2"/>
      <c r="AE3437" s="2">
        <v>0.16339704780018399</v>
      </c>
      <c r="AF3437" s="2">
        <v>43604.659598735103</v>
      </c>
      <c r="AG3437" s="2">
        <v>46475.425243720601</v>
      </c>
      <c r="AH3437" s="4">
        <v>0.93823045986279996</v>
      </c>
      <c r="AI3437" s="4">
        <v>-9.1985755874328695E-2</v>
      </c>
      <c r="AJ3437" s="4" t="s">
        <v>62</v>
      </c>
      <c r="AK3437" s="2">
        <v>0.84505302185426501</v>
      </c>
      <c r="AL3437" s="2">
        <v>0.93101869922285796</v>
      </c>
      <c r="AM3437" s="2">
        <v>35446.616341401401</v>
      </c>
      <c r="AN3437" s="2">
        <v>59087.184446860403</v>
      </c>
      <c r="AO3437" s="2">
        <v>29358.088328857601</v>
      </c>
      <c r="AP3437" s="2">
        <v>46490.569879781797</v>
      </c>
      <c r="AQ3437" s="2">
        <v>44763.009718855399</v>
      </c>
      <c r="AR3437" s="2">
        <v>46482.488876654199</v>
      </c>
      <c r="AS3437" s="2">
        <v>38558.083412301603</v>
      </c>
      <c r="AT3437" s="2">
        <v>40637.720340483698</v>
      </c>
      <c r="AU3437" s="2">
        <v>23993.955695184799</v>
      </c>
      <c r="AV3437" s="2">
        <v>9988.6811473897706</v>
      </c>
      <c r="AW3437" s="2">
        <v>60025.5271604757</v>
      </c>
      <c r="AX3437" s="2">
        <v>105648.583706488</v>
      </c>
    </row>
    <row r="3438" spans="1:50" x14ac:dyDescent="0.25">
      <c r="A3438" s="2" t="s">
        <v>22840</v>
      </c>
      <c r="B3438" s="2">
        <v>243.10964114567801</v>
      </c>
      <c r="C3438" s="2">
        <v>0.58143333333333302</v>
      </c>
      <c r="D3438" s="2" t="s">
        <v>51</v>
      </c>
      <c r="E3438" s="2" t="s">
        <v>22841</v>
      </c>
      <c r="F3438" s="2">
        <v>266148</v>
      </c>
      <c r="G3438" s="3" t="str">
        <f>HYPERLINK("https://cloud.oebiotech.com/#/lm/network/266148", "https://cloud.oebiotech.com/#/lm/network/266148")</f>
        <v>https://cloud.oebiotech.com/#/lm/network/266148</v>
      </c>
      <c r="H3438" s="2"/>
      <c r="I3438" s="2">
        <v>23757</v>
      </c>
      <c r="J3438" s="2"/>
      <c r="K3438" s="2">
        <v>435727</v>
      </c>
      <c r="L3438" s="2"/>
      <c r="M3438" s="2"/>
      <c r="N3438" s="2"/>
      <c r="O3438" s="2"/>
      <c r="P3438" s="2"/>
      <c r="Q3438" s="2"/>
      <c r="R3438" s="2"/>
      <c r="S3438" s="2" t="s">
        <v>22842</v>
      </c>
      <c r="T3438" s="2" t="s">
        <v>22843</v>
      </c>
      <c r="U3438" s="2" t="s">
        <v>103</v>
      </c>
      <c r="V3438" s="2" t="s">
        <v>104</v>
      </c>
      <c r="W3438" s="2" t="s">
        <v>105</v>
      </c>
      <c r="X3438" s="2" t="s">
        <v>83</v>
      </c>
      <c r="Y3438" s="2">
        <v>40.5</v>
      </c>
      <c r="Z3438" s="2">
        <v>0</v>
      </c>
      <c r="AA3438" s="2" t="s">
        <v>259</v>
      </c>
      <c r="AB3438" s="2" t="s">
        <v>14037</v>
      </c>
      <c r="AC3438" s="2">
        <v>3.55126771514837</v>
      </c>
      <c r="AD3438" s="2"/>
      <c r="AE3438" s="2">
        <v>0.163223822743508</v>
      </c>
      <c r="AF3438" s="2">
        <v>8088.0883589703899</v>
      </c>
      <c r="AG3438" s="2">
        <v>5968.6193610524497</v>
      </c>
      <c r="AH3438" s="5">
        <v>1.3551020545468699</v>
      </c>
      <c r="AI3438" s="5">
        <v>0.43840150696243002</v>
      </c>
      <c r="AJ3438" s="5" t="s">
        <v>139</v>
      </c>
      <c r="AK3438" s="2">
        <v>0.31139343413349801</v>
      </c>
      <c r="AL3438" s="2">
        <v>0.62015055657616003</v>
      </c>
      <c r="AM3438" s="2">
        <v>8731.7246660556993</v>
      </c>
      <c r="AN3438" s="2">
        <v>5711.98026211465</v>
      </c>
      <c r="AO3438" s="2">
        <v>5308.5736999165001</v>
      </c>
      <c r="AP3438" s="2">
        <v>8145.3222847992802</v>
      </c>
      <c r="AQ3438" s="2">
        <v>7466.7581965845002</v>
      </c>
      <c r="AR3438" s="2">
        <v>13164.1710443517</v>
      </c>
      <c r="AS3438" s="2">
        <v>554.41403869204601</v>
      </c>
      <c r="AT3438" s="2">
        <v>4378.3587722781704</v>
      </c>
      <c r="AU3438" s="2">
        <v>4295.0769104967003</v>
      </c>
      <c r="AV3438" s="2">
        <v>7631.3164302053001</v>
      </c>
      <c r="AW3438" s="2">
        <v>6596.1947754960802</v>
      </c>
      <c r="AX3438" s="2">
        <v>12356.3552391464</v>
      </c>
    </row>
    <row r="3439" spans="1:50" x14ac:dyDescent="0.25">
      <c r="A3439" s="2" t="s">
        <v>22844</v>
      </c>
      <c r="B3439" s="2">
        <v>359.16538568748399</v>
      </c>
      <c r="C3439" s="2">
        <v>0.59993333333333299</v>
      </c>
      <c r="D3439" s="2" t="s">
        <v>51</v>
      </c>
      <c r="E3439" s="2" t="s">
        <v>22845</v>
      </c>
      <c r="F3439" s="2">
        <v>51452</v>
      </c>
      <c r="G3439" s="3" t="str">
        <f>HYPERLINK("https://cloud.oebiotech.com/#/lm/network/51452", "https://cloud.oebiotech.com/#/lm/network/51452")</f>
        <v>https://cloud.oebiotech.com/#/lm/network/51452</v>
      </c>
      <c r="H3439" s="2" t="s">
        <v>22846</v>
      </c>
      <c r="I3439" s="2"/>
      <c r="J3439" s="2"/>
      <c r="K3439" s="2"/>
      <c r="L3439" s="2" t="s">
        <v>22847</v>
      </c>
      <c r="M3439" s="2"/>
      <c r="N3439" s="2"/>
      <c r="O3439" s="2">
        <v>44230</v>
      </c>
      <c r="P3439" s="2"/>
      <c r="Q3439" s="2"/>
      <c r="R3439" s="2"/>
      <c r="S3439" s="2" t="s">
        <v>22848</v>
      </c>
      <c r="T3439" s="2" t="s">
        <v>22849</v>
      </c>
      <c r="U3439" s="2" t="s">
        <v>331</v>
      </c>
      <c r="V3439" s="2" t="s">
        <v>332</v>
      </c>
      <c r="W3439" s="2" t="s">
        <v>333</v>
      </c>
      <c r="X3439" s="2" t="s">
        <v>147</v>
      </c>
      <c r="Y3439" s="2">
        <v>42.1</v>
      </c>
      <c r="Z3439" s="2">
        <v>20</v>
      </c>
      <c r="AA3439" s="2" t="s">
        <v>512</v>
      </c>
      <c r="AB3439" s="2" t="s">
        <v>22850</v>
      </c>
      <c r="AC3439" s="2">
        <v>-1.8637365031049899</v>
      </c>
      <c r="AD3439" s="2"/>
      <c r="AE3439" s="2">
        <v>0.163203195469666</v>
      </c>
      <c r="AF3439" s="2">
        <v>9046.3039977017706</v>
      </c>
      <c r="AG3439" s="2">
        <v>7841.6616402241098</v>
      </c>
      <c r="AH3439" s="5">
        <v>1.15362080293013</v>
      </c>
      <c r="AI3439" s="5">
        <v>0.20616908565317801</v>
      </c>
      <c r="AJ3439" s="5" t="s">
        <v>139</v>
      </c>
      <c r="AK3439" s="2">
        <v>0.74687350084246695</v>
      </c>
      <c r="AL3439" s="2">
        <v>0.88438089966151401</v>
      </c>
      <c r="AM3439" s="2">
        <v>23351.584493357601</v>
      </c>
      <c r="AN3439" s="2">
        <v>8205.4438334643892</v>
      </c>
      <c r="AO3439" s="2">
        <v>3735.8360706723402</v>
      </c>
      <c r="AP3439" s="2">
        <v>9398.1024860507096</v>
      </c>
      <c r="AQ3439" s="2">
        <v>4255.3609839501096</v>
      </c>
      <c r="AR3439" s="2">
        <v>5331.4961187155004</v>
      </c>
      <c r="AS3439" s="2">
        <v>603.66958396189398</v>
      </c>
      <c r="AT3439" s="2">
        <v>3395.1003999852601</v>
      </c>
      <c r="AU3439" s="2">
        <v>12873.3367121834</v>
      </c>
      <c r="AV3439" s="2">
        <v>12592.1538123132</v>
      </c>
      <c r="AW3439" s="2">
        <v>7545.6986971195001</v>
      </c>
      <c r="AX3439" s="2">
        <v>10040.0106357814</v>
      </c>
    </row>
    <row r="3440" spans="1:50" x14ac:dyDescent="0.25">
      <c r="A3440" s="2" t="s">
        <v>22851</v>
      </c>
      <c r="B3440" s="2">
        <v>587.19311139030594</v>
      </c>
      <c r="C3440" s="2">
        <v>4.2766000000000002</v>
      </c>
      <c r="D3440" s="2" t="s">
        <v>51</v>
      </c>
      <c r="E3440" s="2" t="s">
        <v>22852</v>
      </c>
      <c r="F3440" s="2">
        <v>267321</v>
      </c>
      <c r="G3440" s="3" t="str">
        <f>HYPERLINK("https://cloud.oebiotech.com/#/lm/network/267321", "https://cloud.oebiotech.com/#/lm/network/267321")</f>
        <v>https://cloud.oebiotech.com/#/lm/network/267321</v>
      </c>
      <c r="H3440" s="2"/>
      <c r="I3440" s="2">
        <v>45246</v>
      </c>
      <c r="J3440" s="2"/>
      <c r="K3440" s="2">
        <v>5328779</v>
      </c>
      <c r="L3440" s="2"/>
      <c r="M3440" s="2"/>
      <c r="N3440" s="2"/>
      <c r="O3440" s="2"/>
      <c r="P3440" s="2"/>
      <c r="Q3440" s="2"/>
      <c r="R3440" s="2" t="s">
        <v>22853</v>
      </c>
      <c r="S3440" s="2" t="s">
        <v>22854</v>
      </c>
      <c r="T3440" s="2" t="s">
        <v>22855</v>
      </c>
      <c r="U3440" s="2" t="s">
        <v>540</v>
      </c>
      <c r="V3440" s="2" t="s">
        <v>3291</v>
      </c>
      <c r="W3440" s="2" t="s">
        <v>3292</v>
      </c>
      <c r="X3440" s="2" t="s">
        <v>147</v>
      </c>
      <c r="Y3440" s="2">
        <v>39.200000000000003</v>
      </c>
      <c r="Z3440" s="2">
        <v>0</v>
      </c>
      <c r="AA3440" s="2" t="s">
        <v>478</v>
      </c>
      <c r="AB3440" s="2" t="s">
        <v>22856</v>
      </c>
      <c r="AC3440" s="2">
        <v>-0.84463017121248796</v>
      </c>
      <c r="AD3440" s="2"/>
      <c r="AE3440" s="2">
        <v>0.163018791820667</v>
      </c>
      <c r="AF3440" s="2">
        <v>2135.1142986263999</v>
      </c>
      <c r="AG3440" s="2">
        <v>889.94945767263698</v>
      </c>
      <c r="AH3440" s="5">
        <v>2.3991410750561801</v>
      </c>
      <c r="AI3440" s="5">
        <v>1.2625179939380899</v>
      </c>
      <c r="AJ3440" s="5" t="s">
        <v>139</v>
      </c>
      <c r="AK3440" s="2">
        <v>9.7259525159370003E-2</v>
      </c>
      <c r="AL3440" s="2">
        <v>0.39786780237660802</v>
      </c>
      <c r="AM3440" s="2">
        <v>1097.9944161292201</v>
      </c>
      <c r="AN3440" s="2">
        <v>997.56940977044803</v>
      </c>
      <c r="AO3440" s="2">
        <v>3566.9265087645899</v>
      </c>
      <c r="AP3440" s="2">
        <v>2954.8069413416101</v>
      </c>
      <c r="AQ3440" s="2">
        <v>1025.1349067984299</v>
      </c>
      <c r="AR3440" s="2">
        <v>3168.2536089540899</v>
      </c>
      <c r="AS3440" s="2">
        <v>8.559877937157E-6</v>
      </c>
      <c r="AT3440" s="2">
        <v>790.83013143993799</v>
      </c>
      <c r="AU3440" s="2">
        <v>341.38390963754603</v>
      </c>
      <c r="AV3440" s="2">
        <v>326.13167050366701</v>
      </c>
      <c r="AW3440" s="2">
        <v>741.23434576100306</v>
      </c>
      <c r="AX3440" s="2">
        <v>3140.1166801337899</v>
      </c>
    </row>
    <row r="3441" spans="1:50" x14ac:dyDescent="0.25">
      <c r="A3441" s="2" t="s">
        <v>22857</v>
      </c>
      <c r="B3441" s="2">
        <v>116.044</v>
      </c>
      <c r="C3441" s="2">
        <v>9.7899999999999991</v>
      </c>
      <c r="D3441" s="2" t="s">
        <v>125</v>
      </c>
      <c r="E3441" s="2" t="s">
        <v>22858</v>
      </c>
      <c r="F3441" s="2">
        <v>56144</v>
      </c>
      <c r="G3441" s="3" t="str">
        <f>HYPERLINK("https://cloud.oebiotech.com/#/lm/network/56144", "https://cloud.oebiotech.com/#/lm/network/56144")</f>
        <v>https://cloud.oebiotech.com/#/lm/network/56144</v>
      </c>
      <c r="H3441" s="2" t="s">
        <v>22859</v>
      </c>
      <c r="I3441" s="2">
        <v>87838</v>
      </c>
      <c r="J3441" s="2"/>
      <c r="K3441" s="2">
        <v>10932</v>
      </c>
      <c r="L3441" s="2"/>
      <c r="M3441" s="2"/>
      <c r="N3441" s="2"/>
      <c r="O3441" s="2">
        <v>37081</v>
      </c>
      <c r="P3441" s="2"/>
      <c r="Q3441" s="2"/>
      <c r="R3441" s="2" t="s">
        <v>22860</v>
      </c>
      <c r="S3441" s="2" t="s">
        <v>22861</v>
      </c>
      <c r="T3441" s="2" t="s">
        <v>22862</v>
      </c>
      <c r="U3441" s="2" t="s">
        <v>103</v>
      </c>
      <c r="V3441" s="2" t="s">
        <v>104</v>
      </c>
      <c r="W3441" s="2" t="s">
        <v>105</v>
      </c>
      <c r="X3441" s="2" t="s">
        <v>59</v>
      </c>
      <c r="Y3441" s="2">
        <v>72.7</v>
      </c>
      <c r="Z3441" s="2">
        <v>56.4</v>
      </c>
      <c r="AA3441" s="2"/>
      <c r="AB3441" s="2" t="s">
        <v>12676</v>
      </c>
      <c r="AC3441" s="2"/>
      <c r="AD3441" s="2">
        <v>330748.36795252201</v>
      </c>
      <c r="AE3441" s="2">
        <v>0.16293474689780099</v>
      </c>
      <c r="AF3441" s="2">
        <v>24812.500641885999</v>
      </c>
      <c r="AG3441" s="2">
        <v>38897.580648887801</v>
      </c>
      <c r="AH3441" s="4">
        <v>0.63789316013913799</v>
      </c>
      <c r="AI3441" s="4">
        <v>-0.64861328570104304</v>
      </c>
      <c r="AJ3441" s="4" t="s">
        <v>62</v>
      </c>
      <c r="AK3441" s="2">
        <v>0.32354773581977397</v>
      </c>
      <c r="AL3441" s="2">
        <v>0.62992073899545697</v>
      </c>
      <c r="AM3441" s="2">
        <v>2299.8352172700202</v>
      </c>
      <c r="AN3441" s="2">
        <v>11435.2663130204</v>
      </c>
      <c r="AO3441" s="2">
        <v>21367.701969311001</v>
      </c>
      <c r="AP3441" s="2">
        <v>55601.989757091302</v>
      </c>
      <c r="AQ3441" s="2">
        <v>45425.481648569999</v>
      </c>
      <c r="AR3441" s="2">
        <v>12744.728946053499</v>
      </c>
      <c r="AS3441" s="2">
        <v>40778.324143279402</v>
      </c>
      <c r="AT3441" s="2">
        <v>61978.920979349299</v>
      </c>
      <c r="AU3441" s="2">
        <v>8275.7729233670107</v>
      </c>
      <c r="AV3441" s="2">
        <v>7809.6509618428099</v>
      </c>
      <c r="AW3441" s="2">
        <v>47575.313161977101</v>
      </c>
      <c r="AX3441" s="2">
        <v>66967.501723511203</v>
      </c>
    </row>
    <row r="3442" spans="1:50" x14ac:dyDescent="0.25">
      <c r="A3442" s="2" t="s">
        <v>22863</v>
      </c>
      <c r="B3442" s="2">
        <v>443.15334325119397</v>
      </c>
      <c r="C3442" s="2">
        <v>11.068</v>
      </c>
      <c r="D3442" s="2" t="s">
        <v>51</v>
      </c>
      <c r="E3442" s="2" t="s">
        <v>22864</v>
      </c>
      <c r="F3442" s="2">
        <v>202337</v>
      </c>
      <c r="G3442" s="3" t="str">
        <f>HYPERLINK("https://cloud.oebiotech.com/#/lm/network/202337", "https://cloud.oebiotech.com/#/lm/network/202337")</f>
        <v>https://cloud.oebiotech.com/#/lm/network/202337</v>
      </c>
      <c r="H3442" s="2" t="s">
        <v>22865</v>
      </c>
      <c r="I3442" s="2"/>
      <c r="J3442" s="2"/>
      <c r="K3442" s="2">
        <v>94937</v>
      </c>
      <c r="L3442" s="2"/>
      <c r="M3442" s="2"/>
      <c r="N3442" s="2"/>
      <c r="O3442" s="2"/>
      <c r="P3442" s="2"/>
      <c r="Q3442" s="2"/>
      <c r="R3442" s="2"/>
      <c r="S3442" s="2" t="s">
        <v>22866</v>
      </c>
      <c r="T3442" s="2" t="s">
        <v>22867</v>
      </c>
      <c r="U3442" s="2" t="s">
        <v>266</v>
      </c>
      <c r="V3442" s="2" t="s">
        <v>445</v>
      </c>
      <c r="W3442" s="2" t="s">
        <v>3768</v>
      </c>
      <c r="X3442" s="2" t="s">
        <v>147</v>
      </c>
      <c r="Y3442" s="2">
        <v>42.4</v>
      </c>
      <c r="Z3442" s="2">
        <v>24</v>
      </c>
      <c r="AA3442" s="2" t="s">
        <v>478</v>
      </c>
      <c r="AB3442" s="2" t="s">
        <v>22868</v>
      </c>
      <c r="AC3442" s="2">
        <v>-0.65732886145351599</v>
      </c>
      <c r="AD3442" s="2"/>
      <c r="AE3442" s="2">
        <v>0.16280126794604399</v>
      </c>
      <c r="AF3442" s="2">
        <v>3779.6599541126898</v>
      </c>
      <c r="AG3442" s="2">
        <v>2727.4402467521099</v>
      </c>
      <c r="AH3442" s="5">
        <v>1.3857901959955301</v>
      </c>
      <c r="AI3442" s="5">
        <v>0.470708854799607</v>
      </c>
      <c r="AJ3442" s="5" t="s">
        <v>139</v>
      </c>
      <c r="AK3442" s="2">
        <v>0.40130885120756599</v>
      </c>
      <c r="AL3442" s="2">
        <v>0.66938545851599895</v>
      </c>
      <c r="AM3442" s="2">
        <v>9062.3753882644105</v>
      </c>
      <c r="AN3442" s="2">
        <v>3264.18553517903</v>
      </c>
      <c r="AO3442" s="2">
        <v>1863.29316484388</v>
      </c>
      <c r="AP3442" s="2">
        <v>3211.8569290537898</v>
      </c>
      <c r="AQ3442" s="2">
        <v>2172.3071552179899</v>
      </c>
      <c r="AR3442" s="2">
        <v>3103.9415521170299</v>
      </c>
      <c r="AS3442" s="2">
        <v>2057.4474913261602</v>
      </c>
      <c r="AT3442" s="2">
        <v>1578.63166768825</v>
      </c>
      <c r="AU3442" s="2">
        <v>2423.0510676097701</v>
      </c>
      <c r="AV3442" s="2">
        <v>3854.2020602829898</v>
      </c>
      <c r="AW3442" s="2">
        <v>4708.3133143178802</v>
      </c>
      <c r="AX3442" s="2">
        <v>1742.9958792876</v>
      </c>
    </row>
    <row r="3443" spans="1:50" x14ac:dyDescent="0.25">
      <c r="A3443" s="2" t="s">
        <v>22869</v>
      </c>
      <c r="B3443" s="2">
        <v>530.31001404494202</v>
      </c>
      <c r="C3443" s="2">
        <v>13.056616666666701</v>
      </c>
      <c r="D3443" s="2" t="s">
        <v>51</v>
      </c>
      <c r="E3443" s="2" t="s">
        <v>22870</v>
      </c>
      <c r="F3443" s="2">
        <v>257564</v>
      </c>
      <c r="G3443" s="3" t="str">
        <f>HYPERLINK("https://cloud.oebiotech.com/#/lm/network/257564", "https://cloud.oebiotech.com/#/lm/network/257564")</f>
        <v>https://cloud.oebiotech.com/#/lm/network/257564</v>
      </c>
      <c r="H3443" s="2" t="s">
        <v>22871</v>
      </c>
      <c r="I3443" s="2"/>
      <c r="J3443" s="2"/>
      <c r="K3443" s="2">
        <v>20054220</v>
      </c>
      <c r="L3443" s="2"/>
      <c r="M3443" s="2"/>
      <c r="N3443" s="2"/>
      <c r="O3443" s="2"/>
      <c r="P3443" s="2"/>
      <c r="Q3443" s="2"/>
      <c r="R3443" s="2"/>
      <c r="S3443" s="2" t="s">
        <v>22872</v>
      </c>
      <c r="T3443" s="2" t="s">
        <v>22873</v>
      </c>
      <c r="U3443" s="2" t="s">
        <v>103</v>
      </c>
      <c r="V3443" s="2" t="s">
        <v>104</v>
      </c>
      <c r="W3443" s="2" t="s">
        <v>105</v>
      </c>
      <c r="X3443" s="2" t="s">
        <v>147</v>
      </c>
      <c r="Y3443" s="2">
        <v>36.4</v>
      </c>
      <c r="Z3443" s="2">
        <v>0</v>
      </c>
      <c r="AA3443" s="2" t="s">
        <v>379</v>
      </c>
      <c r="AB3443" s="2" t="s">
        <v>22874</v>
      </c>
      <c r="AC3443" s="2">
        <v>0.67907575008865095</v>
      </c>
      <c r="AD3443" s="2"/>
      <c r="AE3443" s="2">
        <v>0.16269357983435201</v>
      </c>
      <c r="AF3443" s="2">
        <v>3662.5310474357002</v>
      </c>
      <c r="AG3443" s="2">
        <v>2186.6605928058898</v>
      </c>
      <c r="AH3443" s="5">
        <v>1.67494263146526</v>
      </c>
      <c r="AI3443" s="5">
        <v>0.74411168260447003</v>
      </c>
      <c r="AJ3443" s="5" t="s">
        <v>139</v>
      </c>
      <c r="AK3443" s="2">
        <v>0.21240647115216901</v>
      </c>
      <c r="AL3443" s="2">
        <v>0.53706865589344099</v>
      </c>
      <c r="AM3443" s="2">
        <v>1588.6371510936799</v>
      </c>
      <c r="AN3443" s="2">
        <v>5011.3302927530904</v>
      </c>
      <c r="AO3443" s="2">
        <v>3650.0808541055999</v>
      </c>
      <c r="AP3443" s="2">
        <v>6452.2210837676703</v>
      </c>
      <c r="AQ3443" s="2">
        <v>4351.0562899824499</v>
      </c>
      <c r="AR3443" s="2">
        <v>921.86061291170699</v>
      </c>
      <c r="AS3443" s="2">
        <v>882.11981277755399</v>
      </c>
      <c r="AT3443" s="2">
        <v>4219.0528763648099</v>
      </c>
      <c r="AU3443" s="2">
        <v>771.83030258974497</v>
      </c>
      <c r="AV3443" s="2">
        <v>587.10332638928799</v>
      </c>
      <c r="AW3443" s="2">
        <v>2346.78101064873</v>
      </c>
      <c r="AX3443" s="2">
        <v>4313.0762280652398</v>
      </c>
    </row>
    <row r="3444" spans="1:50" x14ac:dyDescent="0.25">
      <c r="A3444" s="2" t="s">
        <v>22875</v>
      </c>
      <c r="B3444" s="2">
        <v>246.14571531248299</v>
      </c>
      <c r="C3444" s="2">
        <v>2.1615833333333301</v>
      </c>
      <c r="D3444" s="2" t="s">
        <v>51</v>
      </c>
      <c r="E3444" s="2" t="s">
        <v>22876</v>
      </c>
      <c r="F3444" s="2">
        <v>53926</v>
      </c>
      <c r="G3444" s="3" t="str">
        <f>HYPERLINK("https://cloud.oebiotech.com/#/lm/network/53926", "https://cloud.oebiotech.com/#/lm/network/53926")</f>
        <v>https://cloud.oebiotech.com/#/lm/network/53926</v>
      </c>
      <c r="H3444" s="2" t="s">
        <v>22877</v>
      </c>
      <c r="I3444" s="2"/>
      <c r="J3444" s="2"/>
      <c r="K3444" s="2">
        <v>4414300</v>
      </c>
      <c r="L3444" s="2"/>
      <c r="M3444" s="2"/>
      <c r="N3444" s="2"/>
      <c r="O3444" s="2"/>
      <c r="P3444" s="2"/>
      <c r="Q3444" s="2"/>
      <c r="R3444" s="2"/>
      <c r="S3444" s="2" t="s">
        <v>22878</v>
      </c>
      <c r="T3444" s="2" t="s">
        <v>22879</v>
      </c>
      <c r="U3444" s="2" t="s">
        <v>103</v>
      </c>
      <c r="V3444" s="2" t="s">
        <v>104</v>
      </c>
      <c r="W3444" s="2" t="s">
        <v>105</v>
      </c>
      <c r="X3444" s="2" t="s">
        <v>83</v>
      </c>
      <c r="Y3444" s="2">
        <v>48.1</v>
      </c>
      <c r="Z3444" s="2">
        <v>27.5</v>
      </c>
      <c r="AA3444" s="2" t="s">
        <v>259</v>
      </c>
      <c r="AB3444" s="2" t="s">
        <v>21980</v>
      </c>
      <c r="AC3444" s="2">
        <v>3.60115572402123</v>
      </c>
      <c r="AD3444" s="2"/>
      <c r="AE3444" s="2">
        <v>0.162668261140274</v>
      </c>
      <c r="AF3444" s="2">
        <v>3888.4214948154799</v>
      </c>
      <c r="AG3444" s="2">
        <v>2773.8926787456298</v>
      </c>
      <c r="AH3444" s="5">
        <v>1.4017923348692201</v>
      </c>
      <c r="AI3444" s="5">
        <v>0.48727264061471898</v>
      </c>
      <c r="AJ3444" s="5" t="s">
        <v>139</v>
      </c>
      <c r="AK3444" s="2">
        <v>0.33426467687099798</v>
      </c>
      <c r="AL3444" s="2">
        <v>0.635100591125773</v>
      </c>
      <c r="AM3444" s="2">
        <v>4816.3203421969001</v>
      </c>
      <c r="AN3444" s="2">
        <v>2660.3534642701502</v>
      </c>
      <c r="AO3444" s="2">
        <v>2585.8335848879601</v>
      </c>
      <c r="AP3444" s="2">
        <v>3049.3341303799002</v>
      </c>
      <c r="AQ3444" s="2">
        <v>6654.0974620769402</v>
      </c>
      <c r="AR3444" s="2">
        <v>3564.5899850810601</v>
      </c>
      <c r="AS3444" s="2">
        <v>1622.9124651822899</v>
      </c>
      <c r="AT3444" s="2">
        <v>1640.3464668699601</v>
      </c>
      <c r="AU3444" s="2">
        <v>7192.5226288396698</v>
      </c>
      <c r="AV3444" s="2">
        <v>2181.0866901203299</v>
      </c>
      <c r="AW3444" s="2">
        <v>2078.0901024606101</v>
      </c>
      <c r="AX3444" s="2">
        <v>1928.39771900094</v>
      </c>
    </row>
    <row r="3445" spans="1:50" x14ac:dyDescent="0.25">
      <c r="A3445" s="2" t="s">
        <v>22880</v>
      </c>
      <c r="B3445" s="2">
        <v>501.39542269832401</v>
      </c>
      <c r="C3445" s="2">
        <v>14.047549999999999</v>
      </c>
      <c r="D3445" s="2" t="s">
        <v>51</v>
      </c>
      <c r="E3445" s="2" t="s">
        <v>22881</v>
      </c>
      <c r="F3445" s="2">
        <v>36387</v>
      </c>
      <c r="G3445" s="3" t="str">
        <f>HYPERLINK("https://cloud.oebiotech.com/#/lm/network/36387", "https://cloud.oebiotech.com/#/lm/network/36387")</f>
        <v>https://cloud.oebiotech.com/#/lm/network/36387</v>
      </c>
      <c r="H3445" s="2"/>
      <c r="I3445" s="2"/>
      <c r="J3445" s="2" t="s">
        <v>22882</v>
      </c>
      <c r="K3445" s="2">
        <v>42608308</v>
      </c>
      <c r="L3445" s="2"/>
      <c r="M3445" s="2"/>
      <c r="N3445" s="2"/>
      <c r="O3445" s="2"/>
      <c r="P3445" s="2"/>
      <c r="Q3445" s="2"/>
      <c r="R3445" s="2"/>
      <c r="S3445" s="2" t="s">
        <v>22883</v>
      </c>
      <c r="T3445" s="2" t="s">
        <v>22884</v>
      </c>
      <c r="U3445" s="2" t="s">
        <v>56</v>
      </c>
      <c r="V3445" s="2" t="s">
        <v>177</v>
      </c>
      <c r="W3445" s="2" t="s">
        <v>3270</v>
      </c>
      <c r="X3445" s="2" t="s">
        <v>83</v>
      </c>
      <c r="Y3445" s="2">
        <v>43.7</v>
      </c>
      <c r="Z3445" s="2">
        <v>0</v>
      </c>
      <c r="AA3445" s="2" t="s">
        <v>218</v>
      </c>
      <c r="AB3445" s="2" t="s">
        <v>22885</v>
      </c>
      <c r="AC3445" s="2">
        <v>1.07126438564323</v>
      </c>
      <c r="AD3445" s="2"/>
      <c r="AE3445" s="2">
        <v>0.16265030755344301</v>
      </c>
      <c r="AF3445" s="2">
        <v>34295.720429305497</v>
      </c>
      <c r="AG3445" s="2">
        <v>28386.909241773199</v>
      </c>
      <c r="AH3445" s="5">
        <v>1.20815267830698</v>
      </c>
      <c r="AI3445" s="5">
        <v>0.27280278439621403</v>
      </c>
      <c r="AJ3445" s="5" t="s">
        <v>139</v>
      </c>
      <c r="AK3445" s="2">
        <v>0.52912026173231597</v>
      </c>
      <c r="AL3445" s="2">
        <v>0.75669486121375795</v>
      </c>
      <c r="AM3445" s="2">
        <v>12673.330140245</v>
      </c>
      <c r="AN3445" s="2">
        <v>39671.605454897202</v>
      </c>
      <c r="AO3445" s="2">
        <v>32598.3061138876</v>
      </c>
      <c r="AP3445" s="2">
        <v>63871.125659850601</v>
      </c>
      <c r="AQ3445" s="2">
        <v>36109.615092360698</v>
      </c>
      <c r="AR3445" s="2">
        <v>20850.340114591902</v>
      </c>
      <c r="AS3445" s="2">
        <v>18134.031704474801</v>
      </c>
      <c r="AT3445" s="2">
        <v>45264.759627795902</v>
      </c>
      <c r="AU3445" s="2">
        <v>16967.562222532601</v>
      </c>
      <c r="AV3445" s="2">
        <v>14189.537996446899</v>
      </c>
      <c r="AW3445" s="2">
        <v>39256.167212536202</v>
      </c>
      <c r="AX3445" s="2">
        <v>36509.396686852502</v>
      </c>
    </row>
    <row r="3446" spans="1:50" x14ac:dyDescent="0.25">
      <c r="A3446" s="2" t="s">
        <v>22886</v>
      </c>
      <c r="B3446" s="2">
        <v>538.35190811755103</v>
      </c>
      <c r="C3446" s="2">
        <v>12.0100333333333</v>
      </c>
      <c r="D3446" s="2" t="s">
        <v>51</v>
      </c>
      <c r="E3446" s="2" t="s">
        <v>22887</v>
      </c>
      <c r="F3446" s="2">
        <v>21273</v>
      </c>
      <c r="G3446" s="3" t="str">
        <f>HYPERLINK("https://cloud.oebiotech.com/#/lm/network/21273", "https://cloud.oebiotech.com/#/lm/network/21273")</f>
        <v>https://cloud.oebiotech.com/#/lm/network/21273</v>
      </c>
      <c r="H3446" s="2"/>
      <c r="I3446" s="2">
        <v>77701</v>
      </c>
      <c r="J3446" s="2" t="s">
        <v>22888</v>
      </c>
      <c r="K3446" s="2">
        <v>52925153</v>
      </c>
      <c r="L3446" s="2"/>
      <c r="M3446" s="2"/>
      <c r="N3446" s="2"/>
      <c r="O3446" s="2">
        <v>138550</v>
      </c>
      <c r="P3446" s="2"/>
      <c r="Q3446" s="2"/>
      <c r="R3446" s="2"/>
      <c r="S3446" s="2" t="s">
        <v>22889</v>
      </c>
      <c r="T3446" s="2" t="s">
        <v>22890</v>
      </c>
      <c r="U3446" s="2" t="s">
        <v>56</v>
      </c>
      <c r="V3446" s="2" t="s">
        <v>57</v>
      </c>
      <c r="W3446" s="2" t="s">
        <v>155</v>
      </c>
      <c r="X3446" s="2" t="s">
        <v>83</v>
      </c>
      <c r="Y3446" s="2">
        <v>45.6</v>
      </c>
      <c r="Z3446" s="2">
        <v>0</v>
      </c>
      <c r="AA3446" s="2" t="s">
        <v>218</v>
      </c>
      <c r="AB3446" s="2" t="s">
        <v>22891</v>
      </c>
      <c r="AC3446" s="2">
        <v>0.97339538153499505</v>
      </c>
      <c r="AD3446" s="2"/>
      <c r="AE3446" s="2">
        <v>0.16258820127564799</v>
      </c>
      <c r="AF3446" s="2">
        <v>8668.0217767076592</v>
      </c>
      <c r="AG3446" s="2">
        <v>7410.7211419371897</v>
      </c>
      <c r="AH3446" s="5">
        <v>1.1696596877266701</v>
      </c>
      <c r="AI3446" s="5">
        <v>0.226088839000542</v>
      </c>
      <c r="AJ3446" s="5" t="s">
        <v>139</v>
      </c>
      <c r="AK3446" s="2">
        <v>0.47613717826333302</v>
      </c>
      <c r="AL3446" s="2">
        <v>0.72225087180455805</v>
      </c>
      <c r="AM3446" s="2">
        <v>13860.853404138201</v>
      </c>
      <c r="AN3446" s="2">
        <v>9414.2730931109509</v>
      </c>
      <c r="AO3446" s="2">
        <v>5893.2051296093296</v>
      </c>
      <c r="AP3446" s="2">
        <v>3753.2455336653802</v>
      </c>
      <c r="AQ3446" s="2">
        <v>9932.9862606097995</v>
      </c>
      <c r="AR3446" s="2">
        <v>9153.5672391122698</v>
      </c>
      <c r="AS3446" s="2">
        <v>6038.5090296870203</v>
      </c>
      <c r="AT3446" s="2">
        <v>4422.5206724436002</v>
      </c>
      <c r="AU3446" s="2">
        <v>7267.1667178059597</v>
      </c>
      <c r="AV3446" s="2">
        <v>9788.9386976649093</v>
      </c>
      <c r="AW3446" s="2">
        <v>10286.2222856879</v>
      </c>
      <c r="AX3446" s="2">
        <v>6660.9694483337498</v>
      </c>
    </row>
    <row r="3447" spans="1:50" x14ac:dyDescent="0.25">
      <c r="A3447" s="2" t="s">
        <v>22892</v>
      </c>
      <c r="B3447" s="2">
        <v>245.15424281632701</v>
      </c>
      <c r="C3447" s="2">
        <v>8.5796666666666699</v>
      </c>
      <c r="D3447" s="2" t="s">
        <v>51</v>
      </c>
      <c r="E3447" s="2" t="s">
        <v>22893</v>
      </c>
      <c r="F3447" s="2">
        <v>203398</v>
      </c>
      <c r="G3447" s="3" t="str">
        <f>HYPERLINK("https://cloud.oebiotech.com/#/lm/network/203398", "https://cloud.oebiotech.com/#/lm/network/203398")</f>
        <v>https://cloud.oebiotech.com/#/lm/network/203398</v>
      </c>
      <c r="H3447" s="2" t="s">
        <v>22894</v>
      </c>
      <c r="I3447" s="2">
        <v>72478</v>
      </c>
      <c r="J3447" s="2"/>
      <c r="K3447" s="2">
        <v>13263</v>
      </c>
      <c r="L3447" s="2" t="s">
        <v>22895</v>
      </c>
      <c r="M3447" s="2"/>
      <c r="N3447" s="2"/>
      <c r="O3447" s="2">
        <v>22472</v>
      </c>
      <c r="P3447" s="2"/>
      <c r="Q3447" s="2"/>
      <c r="R3447" s="2" t="s">
        <v>22896</v>
      </c>
      <c r="S3447" s="2" t="s">
        <v>22897</v>
      </c>
      <c r="T3447" s="2" t="s">
        <v>22898</v>
      </c>
      <c r="U3447" s="2" t="s">
        <v>266</v>
      </c>
      <c r="V3447" s="2" t="s">
        <v>10459</v>
      </c>
      <c r="W3447" s="2" t="s">
        <v>22899</v>
      </c>
      <c r="X3447" s="2" t="s">
        <v>147</v>
      </c>
      <c r="Y3447" s="2">
        <v>38.9</v>
      </c>
      <c r="Z3447" s="2">
        <v>0</v>
      </c>
      <c r="AA3447" s="2" t="s">
        <v>512</v>
      </c>
      <c r="AB3447" s="2" t="s">
        <v>22900</v>
      </c>
      <c r="AC3447" s="2">
        <v>-0.21698996807410101</v>
      </c>
      <c r="AD3447" s="2"/>
      <c r="AE3447" s="2">
        <v>0.16243918170906901</v>
      </c>
      <c r="AF3447" s="2">
        <v>4559.3861059137898</v>
      </c>
      <c r="AG3447" s="2">
        <v>5291.74366125498</v>
      </c>
      <c r="AH3447" s="4">
        <v>0.86160373551286096</v>
      </c>
      <c r="AI3447" s="4">
        <v>-0.21490359013732499</v>
      </c>
      <c r="AJ3447" s="4" t="s">
        <v>62</v>
      </c>
      <c r="AK3447" s="2">
        <v>4.9742484953725401E-2</v>
      </c>
      <c r="AL3447" s="2">
        <v>0.30988576408212798</v>
      </c>
      <c r="AM3447" s="2">
        <v>4255.0627184947298</v>
      </c>
      <c r="AN3447" s="2">
        <v>4954.3867096745598</v>
      </c>
      <c r="AO3447" s="2">
        <v>3537.78092962247</v>
      </c>
      <c r="AP3447" s="2">
        <v>4573.8960322271196</v>
      </c>
      <c r="AQ3447" s="2">
        <v>5522.6681249646399</v>
      </c>
      <c r="AR3447" s="2">
        <v>4512.5221204992304</v>
      </c>
      <c r="AS3447" s="2">
        <v>5642.2523590533101</v>
      </c>
      <c r="AT3447" s="2">
        <v>5424.3734528263703</v>
      </c>
      <c r="AU3447" s="2">
        <v>5130.8769758490898</v>
      </c>
      <c r="AV3447" s="2">
        <v>5550.9740771332199</v>
      </c>
      <c r="AW3447" s="2">
        <v>4450.1039523244499</v>
      </c>
      <c r="AX3447" s="2">
        <v>5551.8811503434199</v>
      </c>
    </row>
    <row r="3448" spans="1:50" x14ac:dyDescent="0.25">
      <c r="A3448" s="2" t="s">
        <v>22901</v>
      </c>
      <c r="B3448" s="2">
        <v>606.30285434715597</v>
      </c>
      <c r="C3448" s="2">
        <v>10.09835</v>
      </c>
      <c r="D3448" s="2" t="s">
        <v>51</v>
      </c>
      <c r="E3448" s="2" t="s">
        <v>22902</v>
      </c>
      <c r="F3448" s="2">
        <v>27889</v>
      </c>
      <c r="G3448" s="3" t="str">
        <f>HYPERLINK("https://cloud.oebiotech.com/#/lm/network/27889", "https://cloud.oebiotech.com/#/lm/network/27889")</f>
        <v>https://cloud.oebiotech.com/#/lm/network/27889</v>
      </c>
      <c r="H3448" s="2"/>
      <c r="I3448" s="2"/>
      <c r="J3448" s="2" t="s">
        <v>22903</v>
      </c>
      <c r="K3448" s="2">
        <v>134812346</v>
      </c>
      <c r="L3448" s="2"/>
      <c r="M3448" s="2"/>
      <c r="N3448" s="2"/>
      <c r="O3448" s="2"/>
      <c r="P3448" s="2"/>
      <c r="Q3448" s="2"/>
      <c r="R3448" s="2"/>
      <c r="S3448" s="2" t="s">
        <v>22904</v>
      </c>
      <c r="T3448" s="2" t="s">
        <v>22905</v>
      </c>
      <c r="U3448" s="2" t="s">
        <v>56</v>
      </c>
      <c r="V3448" s="2" t="s">
        <v>57</v>
      </c>
      <c r="W3448" s="2" t="s">
        <v>155</v>
      </c>
      <c r="X3448" s="2" t="s">
        <v>147</v>
      </c>
      <c r="Y3448" s="2">
        <v>41.7</v>
      </c>
      <c r="Z3448" s="2">
        <v>19.2</v>
      </c>
      <c r="AA3448" s="2" t="s">
        <v>163</v>
      </c>
      <c r="AB3448" s="2" t="s">
        <v>22906</v>
      </c>
      <c r="AC3448" s="2">
        <v>-3.3216432607266699</v>
      </c>
      <c r="AD3448" s="2"/>
      <c r="AE3448" s="2">
        <v>0.16241616385055499</v>
      </c>
      <c r="AF3448" s="2">
        <v>131822.12064599499</v>
      </c>
      <c r="AG3448" s="2">
        <v>135248.18982645299</v>
      </c>
      <c r="AH3448" s="4">
        <v>0.97466828070043499</v>
      </c>
      <c r="AI3448" s="4">
        <v>-3.70168003508618E-2</v>
      </c>
      <c r="AJ3448" s="4" t="s">
        <v>62</v>
      </c>
      <c r="AK3448" s="2">
        <v>0.91690480114222095</v>
      </c>
      <c r="AL3448" s="2">
        <v>0.96467549253612705</v>
      </c>
      <c r="AM3448" s="2">
        <v>147107.41942866999</v>
      </c>
      <c r="AN3448" s="2">
        <v>131742.91996126299</v>
      </c>
      <c r="AO3448" s="2">
        <v>114217.976640603</v>
      </c>
      <c r="AP3448" s="2">
        <v>144303.76784103399</v>
      </c>
      <c r="AQ3448" s="2">
        <v>104848.80591924601</v>
      </c>
      <c r="AR3448" s="2">
        <v>148711.83408515301</v>
      </c>
      <c r="AS3448" s="2">
        <v>61443.892012721502</v>
      </c>
      <c r="AT3448" s="2">
        <v>38922.226114005403</v>
      </c>
      <c r="AU3448" s="2">
        <v>193385.17516453101</v>
      </c>
      <c r="AV3448" s="2">
        <v>229830.33311333801</v>
      </c>
      <c r="AW3448" s="2">
        <v>174298.85155957899</v>
      </c>
      <c r="AX3448" s="2">
        <v>113608.66099454201</v>
      </c>
    </row>
    <row r="3449" spans="1:50" x14ac:dyDescent="0.25">
      <c r="A3449" s="2" t="s">
        <v>22907</v>
      </c>
      <c r="B3449" s="2">
        <v>227.128573723904</v>
      </c>
      <c r="C3449" s="2">
        <v>8.3676499999999994</v>
      </c>
      <c r="D3449" s="2" t="s">
        <v>51</v>
      </c>
      <c r="E3449" s="2" t="s">
        <v>22908</v>
      </c>
      <c r="F3449" s="2">
        <v>204402</v>
      </c>
      <c r="G3449" s="3" t="str">
        <f>HYPERLINK("https://cloud.oebiotech.com/#/lm/network/204402", "https://cloud.oebiotech.com/#/lm/network/204402")</f>
        <v>https://cloud.oebiotech.com/#/lm/network/204402</v>
      </c>
      <c r="H3449" s="2" t="s">
        <v>22909</v>
      </c>
      <c r="I3449" s="2"/>
      <c r="J3449" s="2"/>
      <c r="K3449" s="2">
        <v>120057</v>
      </c>
      <c r="L3449" s="2"/>
      <c r="M3449" s="2"/>
      <c r="N3449" s="2"/>
      <c r="O3449" s="2"/>
      <c r="P3449" s="2"/>
      <c r="Q3449" s="2"/>
      <c r="R3449" s="2"/>
      <c r="S3449" s="2" t="s">
        <v>22910</v>
      </c>
      <c r="T3449" s="2" t="s">
        <v>22911</v>
      </c>
      <c r="U3449" s="2" t="s">
        <v>56</v>
      </c>
      <c r="V3449" s="2" t="s">
        <v>145</v>
      </c>
      <c r="W3449" s="2" t="s">
        <v>1188</v>
      </c>
      <c r="X3449" s="2" t="s">
        <v>69</v>
      </c>
      <c r="Y3449" s="2">
        <v>63.1</v>
      </c>
      <c r="Z3449" s="2">
        <v>53.4</v>
      </c>
      <c r="AA3449" s="2" t="s">
        <v>163</v>
      </c>
      <c r="AB3449" s="2" t="s">
        <v>7377</v>
      </c>
      <c r="AC3449" s="2">
        <v>-1.3542953330308201</v>
      </c>
      <c r="AD3449" s="2"/>
      <c r="AE3449" s="2">
        <v>0.162179588957965</v>
      </c>
      <c r="AF3449" s="2">
        <v>2988.5560603117201</v>
      </c>
      <c r="AG3449" s="2">
        <v>1334.2365973589599</v>
      </c>
      <c r="AH3449" s="5">
        <v>2.23989962966641</v>
      </c>
      <c r="AI3449" s="5">
        <v>1.16343408628877</v>
      </c>
      <c r="AJ3449" s="5" t="s">
        <v>139</v>
      </c>
      <c r="AK3449" s="2">
        <v>0.21077719394480199</v>
      </c>
      <c r="AL3449" s="2">
        <v>0.53546606780072303</v>
      </c>
      <c r="AM3449" s="2">
        <v>1201.76439669908</v>
      </c>
      <c r="AN3449" s="2">
        <v>2082.8262693709698</v>
      </c>
      <c r="AO3449" s="2">
        <v>1101.54474914091</v>
      </c>
      <c r="AP3449" s="2">
        <v>1160.7825374915799</v>
      </c>
      <c r="AQ3449" s="2">
        <v>8872.0665832908508</v>
      </c>
      <c r="AR3449" s="2">
        <v>3512.35182587694</v>
      </c>
      <c r="AS3449" s="2">
        <v>1296.51631946714</v>
      </c>
      <c r="AT3449" s="2">
        <v>1193.15913093479</v>
      </c>
      <c r="AU3449" s="2">
        <v>1135.62806548611</v>
      </c>
      <c r="AV3449" s="2">
        <v>1435.5170590108601</v>
      </c>
      <c r="AW3449" s="2">
        <v>1507.66296991628</v>
      </c>
      <c r="AX3449" s="2">
        <v>1436.93603933861</v>
      </c>
    </row>
    <row r="3450" spans="1:50" x14ac:dyDescent="0.25">
      <c r="A3450" s="2" t="s">
        <v>22912</v>
      </c>
      <c r="B3450" s="2">
        <v>372.08735426941098</v>
      </c>
      <c r="C3450" s="2">
        <v>3.6894833333333299</v>
      </c>
      <c r="D3450" s="2" t="s">
        <v>51</v>
      </c>
      <c r="E3450" s="2" t="s">
        <v>22913</v>
      </c>
      <c r="F3450" s="2">
        <v>203677</v>
      </c>
      <c r="G3450" s="3" t="str">
        <f>HYPERLINK("https://cloud.oebiotech.com/#/lm/network/203677", "https://cloud.oebiotech.com/#/lm/network/203677")</f>
        <v>https://cloud.oebiotech.com/#/lm/network/203677</v>
      </c>
      <c r="H3450" s="2" t="s">
        <v>22914</v>
      </c>
      <c r="I3450" s="2"/>
      <c r="J3450" s="2"/>
      <c r="K3450" s="2"/>
      <c r="L3450" s="2"/>
      <c r="M3450" s="2"/>
      <c r="N3450" s="2"/>
      <c r="O3450" s="2"/>
      <c r="P3450" s="2"/>
      <c r="Q3450" s="2"/>
      <c r="R3450" s="2"/>
      <c r="S3450" s="2" t="s">
        <v>22915</v>
      </c>
      <c r="T3450" s="2" t="s">
        <v>22916</v>
      </c>
      <c r="U3450" s="2" t="s">
        <v>266</v>
      </c>
      <c r="V3450" s="2" t="s">
        <v>11162</v>
      </c>
      <c r="W3450" s="2" t="s">
        <v>22917</v>
      </c>
      <c r="X3450" s="2" t="s">
        <v>147</v>
      </c>
      <c r="Y3450" s="2">
        <v>41.6</v>
      </c>
      <c r="Z3450" s="2">
        <v>31.5</v>
      </c>
      <c r="AA3450" s="2" t="s">
        <v>259</v>
      </c>
      <c r="AB3450" s="2" t="s">
        <v>22918</v>
      </c>
      <c r="AC3450" s="2">
        <v>1.31484035786433</v>
      </c>
      <c r="AD3450" s="2"/>
      <c r="AE3450" s="2">
        <v>0.16207193328942601</v>
      </c>
      <c r="AF3450" s="2">
        <v>12.1897860931296</v>
      </c>
      <c r="AG3450" s="2">
        <v>2663.9255395544701</v>
      </c>
      <c r="AH3450" s="4">
        <v>4.5758734289428702E-3</v>
      </c>
      <c r="AI3450" s="4">
        <v>-7.7717371376948003</v>
      </c>
      <c r="AJ3450" s="4" t="s">
        <v>62</v>
      </c>
      <c r="AK3450" s="2">
        <v>0.33972197858004899</v>
      </c>
      <c r="AL3450" s="2">
        <v>0.63815037094278604</v>
      </c>
      <c r="AM3450" s="2">
        <v>28.0908143771947</v>
      </c>
      <c r="AN3450" s="2">
        <v>26.455826274284298</v>
      </c>
      <c r="AO3450" s="2">
        <v>11.206745346195801</v>
      </c>
      <c r="AP3450" s="2">
        <v>8.559877937157E-6</v>
      </c>
      <c r="AQ3450" s="2">
        <v>2.6500460286292999</v>
      </c>
      <c r="AR3450" s="2">
        <v>4.7352759725953701</v>
      </c>
      <c r="AS3450" s="2">
        <v>43.057391832660898</v>
      </c>
      <c r="AT3450" s="2">
        <v>5.4337315994020798</v>
      </c>
      <c r="AU3450" s="2">
        <v>15888.858010714401</v>
      </c>
      <c r="AV3450" s="2">
        <v>8.559877937157E-6</v>
      </c>
      <c r="AW3450" s="2">
        <v>43.213174557522798</v>
      </c>
      <c r="AX3450" s="2">
        <v>2.9909200629342201</v>
      </c>
    </row>
    <row r="3451" spans="1:50" x14ac:dyDescent="0.25">
      <c r="A3451" s="2" t="s">
        <v>22919</v>
      </c>
      <c r="B3451" s="2">
        <v>147.03700000000001</v>
      </c>
      <c r="C3451" s="2">
        <v>13.247</v>
      </c>
      <c r="D3451" s="2" t="s">
        <v>125</v>
      </c>
      <c r="E3451" s="2" t="s">
        <v>22920</v>
      </c>
      <c r="F3451" s="2">
        <v>205923</v>
      </c>
      <c r="G3451" s="3" t="str">
        <f>HYPERLINK("https://cloud.oebiotech.com/#/lm/network/205923", "https://cloud.oebiotech.com/#/lm/network/205923")</f>
        <v>https://cloud.oebiotech.com/#/lm/network/205923</v>
      </c>
      <c r="H3451" s="2" t="s">
        <v>22921</v>
      </c>
      <c r="I3451" s="2">
        <v>6615</v>
      </c>
      <c r="J3451" s="2"/>
      <c r="K3451" s="2">
        <v>8088</v>
      </c>
      <c r="L3451" s="2"/>
      <c r="M3451" s="2"/>
      <c r="N3451" s="2"/>
      <c r="O3451" s="2"/>
      <c r="P3451" s="2"/>
      <c r="Q3451" s="2"/>
      <c r="R3451" s="2"/>
      <c r="S3451" s="2" t="s">
        <v>22922</v>
      </c>
      <c r="T3451" s="2" t="s">
        <v>22923</v>
      </c>
      <c r="U3451" s="2" t="s">
        <v>103</v>
      </c>
      <c r="V3451" s="2" t="s">
        <v>104</v>
      </c>
      <c r="W3451" s="2" t="s">
        <v>3415</v>
      </c>
      <c r="X3451" s="2" t="s">
        <v>59</v>
      </c>
      <c r="Y3451" s="2">
        <v>73.5</v>
      </c>
      <c r="Z3451" s="2">
        <v>56.3</v>
      </c>
      <c r="AA3451" s="2"/>
      <c r="AB3451" s="2" t="s">
        <v>14424</v>
      </c>
      <c r="AC3451" s="2"/>
      <c r="AD3451" s="2">
        <v>446760.05898964498</v>
      </c>
      <c r="AE3451" s="2">
        <v>0.161978437432826</v>
      </c>
      <c r="AF3451" s="2">
        <v>196625.69647657199</v>
      </c>
      <c r="AG3451" s="2">
        <v>176841.42517441299</v>
      </c>
      <c r="AH3451" s="5">
        <v>1.11187577391805</v>
      </c>
      <c r="AI3451" s="5">
        <v>0.152995609676674</v>
      </c>
      <c r="AJ3451" s="5" t="s">
        <v>139</v>
      </c>
      <c r="AK3451" s="2">
        <v>0.38299359870241501</v>
      </c>
      <c r="AL3451" s="2">
        <v>0.66023025420912795</v>
      </c>
      <c r="AM3451" s="2">
        <v>202508.13957372599</v>
      </c>
      <c r="AN3451" s="2">
        <v>188829.049283595</v>
      </c>
      <c r="AO3451" s="2">
        <v>175029.85222212199</v>
      </c>
      <c r="AP3451" s="2">
        <v>241745.94133155499</v>
      </c>
      <c r="AQ3451" s="2">
        <v>178339.02247447101</v>
      </c>
      <c r="AR3451" s="2">
        <v>193302.17397396499</v>
      </c>
      <c r="AS3451" s="2">
        <v>118016.268168012</v>
      </c>
      <c r="AT3451" s="2">
        <v>159003.19017854199</v>
      </c>
      <c r="AU3451" s="2">
        <v>232921.51667520101</v>
      </c>
      <c r="AV3451" s="2">
        <v>232254.49316996601</v>
      </c>
      <c r="AW3451" s="2">
        <v>176155.121283185</v>
      </c>
      <c r="AX3451" s="2">
        <v>142697.96157157299</v>
      </c>
    </row>
    <row r="3452" spans="1:50" x14ac:dyDescent="0.25">
      <c r="A3452" s="2" t="s">
        <v>22924</v>
      </c>
      <c r="B3452" s="2">
        <v>461.18924135416501</v>
      </c>
      <c r="C3452" s="2">
        <v>3.7444166666666701</v>
      </c>
      <c r="D3452" s="2" t="s">
        <v>51</v>
      </c>
      <c r="E3452" s="2" t="s">
        <v>22925</v>
      </c>
      <c r="F3452" s="2">
        <v>198670</v>
      </c>
      <c r="G3452" s="3" t="str">
        <f>HYPERLINK("https://cloud.oebiotech.com/#/lm/network/198670", "https://cloud.oebiotech.com/#/lm/network/198670")</f>
        <v>https://cloud.oebiotech.com/#/lm/network/198670</v>
      </c>
      <c r="H3452" s="2" t="s">
        <v>22926</v>
      </c>
      <c r="I3452" s="2"/>
      <c r="J3452" s="2"/>
      <c r="K3452" s="2">
        <v>78437958</v>
      </c>
      <c r="L3452" s="2"/>
      <c r="M3452" s="2"/>
      <c r="N3452" s="2"/>
      <c r="O3452" s="2">
        <v>133093</v>
      </c>
      <c r="P3452" s="2"/>
      <c r="Q3452" s="2"/>
      <c r="R3452" s="2"/>
      <c r="S3452" s="2" t="s">
        <v>22927</v>
      </c>
      <c r="T3452" s="2" t="s">
        <v>22928</v>
      </c>
      <c r="U3452" s="2" t="s">
        <v>103</v>
      </c>
      <c r="V3452" s="2" t="s">
        <v>104</v>
      </c>
      <c r="W3452" s="2" t="s">
        <v>105</v>
      </c>
      <c r="X3452" s="2" t="s">
        <v>147</v>
      </c>
      <c r="Y3452" s="2">
        <v>38.799999999999997</v>
      </c>
      <c r="Z3452" s="2">
        <v>0.34399999999999997</v>
      </c>
      <c r="AA3452" s="2" t="s">
        <v>478</v>
      </c>
      <c r="AB3452" s="2" t="s">
        <v>22929</v>
      </c>
      <c r="AC3452" s="2">
        <v>0.70231920973650797</v>
      </c>
      <c r="AD3452" s="2"/>
      <c r="AE3452" s="2">
        <v>0.16190821217916801</v>
      </c>
      <c r="AF3452" s="2">
        <v>2774.7337723682899</v>
      </c>
      <c r="AG3452" s="2">
        <v>1759.0215809439301</v>
      </c>
      <c r="AH3452" s="5">
        <v>1.5774302046250701</v>
      </c>
      <c r="AI3452" s="5">
        <v>0.65757617277111102</v>
      </c>
      <c r="AJ3452" s="5" t="s">
        <v>139</v>
      </c>
      <c r="AK3452" s="2">
        <v>0.56157642517204898</v>
      </c>
      <c r="AL3452" s="2">
        <v>0.78053845689509405</v>
      </c>
      <c r="AM3452" s="2">
        <v>8735.2770139194308</v>
      </c>
      <c r="AN3452" s="2">
        <v>192.42646588011101</v>
      </c>
      <c r="AO3452" s="2">
        <v>2070.5670931742802</v>
      </c>
      <c r="AP3452" s="2">
        <v>209.855284350971</v>
      </c>
      <c r="AQ3452" s="2">
        <v>616.80422218913895</v>
      </c>
      <c r="AR3452" s="2">
        <v>4823.4725546958198</v>
      </c>
      <c r="AS3452" s="2">
        <v>8.559877937157E-6</v>
      </c>
      <c r="AT3452" s="2">
        <v>8.559877937157E-6</v>
      </c>
      <c r="AU3452" s="2">
        <v>5567.53394442225</v>
      </c>
      <c r="AV3452" s="2">
        <v>3778.43028239454</v>
      </c>
      <c r="AW3452" s="2">
        <v>981.13726635467197</v>
      </c>
      <c r="AX3452" s="2">
        <v>227.02797537236501</v>
      </c>
    </row>
    <row r="3453" spans="1:50" x14ac:dyDescent="0.25">
      <c r="A3453" s="2" t="s">
        <v>22930</v>
      </c>
      <c r="B3453" s="2">
        <v>155.02007597243599</v>
      </c>
      <c r="C3453" s="2">
        <v>0.75693333333333301</v>
      </c>
      <c r="D3453" s="2" t="s">
        <v>51</v>
      </c>
      <c r="E3453" s="2" t="s">
        <v>22931</v>
      </c>
      <c r="F3453" s="2">
        <v>47831</v>
      </c>
      <c r="G3453" s="3" t="str">
        <f>HYPERLINK("https://cloud.oebiotech.com/#/lm/network/47831", "https://cloud.oebiotech.com/#/lm/network/47831")</f>
        <v>https://cloud.oebiotech.com/#/lm/network/47831</v>
      </c>
      <c r="H3453" s="2" t="s">
        <v>22932</v>
      </c>
      <c r="I3453" s="2">
        <v>3985</v>
      </c>
      <c r="J3453" s="2"/>
      <c r="K3453" s="2">
        <v>679</v>
      </c>
      <c r="L3453" s="2" t="s">
        <v>22933</v>
      </c>
      <c r="M3453" s="2" t="s">
        <v>22934</v>
      </c>
      <c r="N3453" s="2" t="s">
        <v>22935</v>
      </c>
      <c r="O3453" s="2">
        <v>28262</v>
      </c>
      <c r="P3453" s="2"/>
      <c r="Q3453" s="2"/>
      <c r="R3453" s="2" t="s">
        <v>22936</v>
      </c>
      <c r="S3453" s="2" t="s">
        <v>22937</v>
      </c>
      <c r="T3453" s="2" t="s">
        <v>22938</v>
      </c>
      <c r="U3453" s="2" t="s">
        <v>1231</v>
      </c>
      <c r="V3453" s="2" t="s">
        <v>1232</v>
      </c>
      <c r="W3453" s="2" t="s">
        <v>240</v>
      </c>
      <c r="X3453" s="2" t="s">
        <v>83</v>
      </c>
      <c r="Y3453" s="2">
        <v>45</v>
      </c>
      <c r="Z3453" s="2">
        <v>0</v>
      </c>
      <c r="AA3453" s="2" t="s">
        <v>478</v>
      </c>
      <c r="AB3453" s="2" t="s">
        <v>22939</v>
      </c>
      <c r="AC3453" s="2">
        <v>-3.3277357334917901</v>
      </c>
      <c r="AD3453" s="2"/>
      <c r="AE3453" s="2">
        <v>0.161775133269632</v>
      </c>
      <c r="AF3453" s="2">
        <v>4778.5397560052897</v>
      </c>
      <c r="AG3453" s="2">
        <v>3790.34226757954</v>
      </c>
      <c r="AH3453" s="5">
        <v>1.26071457896513</v>
      </c>
      <c r="AI3453" s="5">
        <v>0.33424169190700198</v>
      </c>
      <c r="AJ3453" s="5" t="s">
        <v>139</v>
      </c>
      <c r="AK3453" s="2">
        <v>0.54103482098545996</v>
      </c>
      <c r="AL3453" s="2">
        <v>0.76575758828388696</v>
      </c>
      <c r="AM3453" s="2">
        <v>5359.7823164218898</v>
      </c>
      <c r="AN3453" s="2">
        <v>5467.57170731924</v>
      </c>
      <c r="AO3453" s="2">
        <v>4009.4363926251599</v>
      </c>
      <c r="AP3453" s="2">
        <v>7009.1082527753597</v>
      </c>
      <c r="AQ3453" s="2">
        <v>4375.7033329238602</v>
      </c>
      <c r="AR3453" s="2">
        <v>2449.6365339662002</v>
      </c>
      <c r="AS3453" s="2">
        <v>612.91080053749704</v>
      </c>
      <c r="AT3453" s="2">
        <v>6904.9877683537197</v>
      </c>
      <c r="AU3453" s="2">
        <v>9302.2125170520303</v>
      </c>
      <c r="AV3453" s="2">
        <v>2713.37782151892</v>
      </c>
      <c r="AW3453" s="2">
        <v>1224.2917733844899</v>
      </c>
      <c r="AX3453" s="2">
        <v>1984.2729246305801</v>
      </c>
    </row>
    <row r="3454" spans="1:50" x14ac:dyDescent="0.25">
      <c r="A3454" s="2" t="s">
        <v>22940</v>
      </c>
      <c r="B3454" s="2">
        <v>385.16851038791498</v>
      </c>
      <c r="C3454" s="2">
        <v>7.05525</v>
      </c>
      <c r="D3454" s="2" t="s">
        <v>51</v>
      </c>
      <c r="E3454" s="2" t="s">
        <v>22941</v>
      </c>
      <c r="F3454" s="2">
        <v>33769</v>
      </c>
      <c r="G3454" s="3" t="str">
        <f>HYPERLINK("https://cloud.oebiotech.com/#/lm/network/33769", "https://cloud.oebiotech.com/#/lm/network/33769")</f>
        <v>https://cloud.oebiotech.com/#/lm/network/33769</v>
      </c>
      <c r="H3454" s="2"/>
      <c r="I3454" s="2">
        <v>52081</v>
      </c>
      <c r="J3454" s="2" t="s">
        <v>22942</v>
      </c>
      <c r="K3454" s="2">
        <v>42607618</v>
      </c>
      <c r="L3454" s="2"/>
      <c r="M3454" s="2"/>
      <c r="N3454" s="2"/>
      <c r="O3454" s="2"/>
      <c r="P3454" s="2"/>
      <c r="Q3454" s="2"/>
      <c r="R3454" s="2"/>
      <c r="S3454" s="2" t="s">
        <v>22943</v>
      </c>
      <c r="T3454" s="2" t="s">
        <v>22944</v>
      </c>
      <c r="U3454" s="2" t="s">
        <v>331</v>
      </c>
      <c r="V3454" s="2" t="s">
        <v>332</v>
      </c>
      <c r="W3454" s="2" t="s">
        <v>1207</v>
      </c>
      <c r="X3454" s="2" t="s">
        <v>83</v>
      </c>
      <c r="Y3454" s="2">
        <v>38.1</v>
      </c>
      <c r="Z3454" s="2">
        <v>0</v>
      </c>
      <c r="AA3454" s="2" t="s">
        <v>156</v>
      </c>
      <c r="AB3454" s="2" t="s">
        <v>22945</v>
      </c>
      <c r="AC3454" s="2">
        <v>9.8104986369484806</v>
      </c>
      <c r="AD3454" s="2"/>
      <c r="AE3454" s="2">
        <v>0.16173381129084699</v>
      </c>
      <c r="AF3454" s="2">
        <v>1643.0067519878</v>
      </c>
      <c r="AG3454" s="2">
        <v>829.01966911867498</v>
      </c>
      <c r="AH3454" s="5">
        <v>1.9818670330638399</v>
      </c>
      <c r="AI3454" s="5">
        <v>0.98686017282995897</v>
      </c>
      <c r="AJ3454" s="5" t="s">
        <v>139</v>
      </c>
      <c r="AK3454" s="2">
        <v>0.128958312344608</v>
      </c>
      <c r="AL3454" s="2">
        <v>0.44773421075434799</v>
      </c>
      <c r="AM3454" s="2">
        <v>1398.7362653584</v>
      </c>
      <c r="AN3454" s="2">
        <v>3027.0749107667398</v>
      </c>
      <c r="AO3454" s="2">
        <v>2168.9500357768502</v>
      </c>
      <c r="AP3454" s="2">
        <v>791.93919244011795</v>
      </c>
      <c r="AQ3454" s="2">
        <v>1247.0814906631699</v>
      </c>
      <c r="AR3454" s="2">
        <v>1224.2586169215001</v>
      </c>
      <c r="AS3454" s="2">
        <v>582.77796981915105</v>
      </c>
      <c r="AT3454" s="2">
        <v>8.559877937157E-6</v>
      </c>
      <c r="AU3454" s="2">
        <v>1930.2064627709599</v>
      </c>
      <c r="AV3454" s="2">
        <v>201.73304466506701</v>
      </c>
      <c r="AW3454" s="2">
        <v>1970.91642364009</v>
      </c>
      <c r="AX3454" s="2">
        <v>288.48410525690701</v>
      </c>
    </row>
    <row r="3455" spans="1:50" x14ac:dyDescent="0.25">
      <c r="A3455" s="2" t="s">
        <v>22946</v>
      </c>
      <c r="B3455" s="2">
        <v>561.25661299876401</v>
      </c>
      <c r="C3455" s="2">
        <v>10.246033333333299</v>
      </c>
      <c r="D3455" s="2" t="s">
        <v>51</v>
      </c>
      <c r="E3455" s="2" t="s">
        <v>22947</v>
      </c>
      <c r="F3455" s="2">
        <v>200313</v>
      </c>
      <c r="G3455" s="3" t="str">
        <f>HYPERLINK("https://cloud.oebiotech.com/#/lm/network/200313", "https://cloud.oebiotech.com/#/lm/network/200313")</f>
        <v>https://cloud.oebiotech.com/#/lm/network/200313</v>
      </c>
      <c r="H3455" s="2" t="s">
        <v>22948</v>
      </c>
      <c r="I3455" s="2"/>
      <c r="J3455" s="2"/>
      <c r="K3455" s="2">
        <v>196968</v>
      </c>
      <c r="L3455" s="2"/>
      <c r="M3455" s="2"/>
      <c r="N3455" s="2"/>
      <c r="O3455" s="2"/>
      <c r="P3455" s="2"/>
      <c r="Q3455" s="2"/>
      <c r="R3455" s="2"/>
      <c r="S3455" s="2" t="s">
        <v>22949</v>
      </c>
      <c r="T3455" s="2" t="s">
        <v>22950</v>
      </c>
      <c r="U3455" s="2" t="s">
        <v>610</v>
      </c>
      <c r="V3455" s="2" t="s">
        <v>813</v>
      </c>
      <c r="W3455" s="2" t="s">
        <v>240</v>
      </c>
      <c r="X3455" s="2" t="s">
        <v>147</v>
      </c>
      <c r="Y3455" s="2">
        <v>37</v>
      </c>
      <c r="Z3455" s="2">
        <v>0</v>
      </c>
      <c r="AA3455" s="2" t="s">
        <v>478</v>
      </c>
      <c r="AB3455" s="2" t="s">
        <v>22951</v>
      </c>
      <c r="AC3455" s="2">
        <v>-3.1338643419230099</v>
      </c>
      <c r="AD3455" s="2"/>
      <c r="AE3455" s="2">
        <v>0.16166229451184</v>
      </c>
      <c r="AF3455" s="2">
        <v>2132.2913631767301</v>
      </c>
      <c r="AG3455" s="2">
        <v>3114.4999026384598</v>
      </c>
      <c r="AH3455" s="4">
        <v>0.68463362653193605</v>
      </c>
      <c r="AI3455" s="4">
        <v>-0.54659594124912603</v>
      </c>
      <c r="AJ3455" s="4" t="s">
        <v>62</v>
      </c>
      <c r="AK3455" s="2">
        <v>8.6622492472345505E-2</v>
      </c>
      <c r="AL3455" s="2">
        <v>0.38010180177998198</v>
      </c>
      <c r="AM3455" s="2">
        <v>2056.5204862646101</v>
      </c>
      <c r="AN3455" s="2">
        <v>2711.84822866168</v>
      </c>
      <c r="AO3455" s="2">
        <v>3388.9530853667202</v>
      </c>
      <c r="AP3455" s="2">
        <v>1746.37369429409</v>
      </c>
      <c r="AQ3455" s="2">
        <v>1141.89047630346</v>
      </c>
      <c r="AR3455" s="2">
        <v>1748.1622081698099</v>
      </c>
      <c r="AS3455" s="2">
        <v>2227.5087146594301</v>
      </c>
      <c r="AT3455" s="2">
        <v>2243.6772993565401</v>
      </c>
      <c r="AU3455" s="2">
        <v>3567.6149201179301</v>
      </c>
      <c r="AV3455" s="2">
        <v>4362.2050054572401</v>
      </c>
      <c r="AW3455" s="2">
        <v>4011.9560361772801</v>
      </c>
      <c r="AX3455" s="2">
        <v>2274.03744006232</v>
      </c>
    </row>
    <row r="3456" spans="1:50" x14ac:dyDescent="0.25">
      <c r="A3456" s="2" t="s">
        <v>22952</v>
      </c>
      <c r="B3456" s="2">
        <v>343.19027457617801</v>
      </c>
      <c r="C3456" s="2">
        <v>4.6064833333333297</v>
      </c>
      <c r="D3456" s="2" t="s">
        <v>51</v>
      </c>
      <c r="E3456" s="2" t="s">
        <v>22953</v>
      </c>
      <c r="F3456" s="2">
        <v>208450</v>
      </c>
      <c r="G3456" s="3" t="str">
        <f>HYPERLINK("https://cloud.oebiotech.com/#/lm/network/208450", "https://cloud.oebiotech.com/#/lm/network/208450")</f>
        <v>https://cloud.oebiotech.com/#/lm/network/208450</v>
      </c>
      <c r="H3456" s="2" t="s">
        <v>22954</v>
      </c>
      <c r="I3456" s="2">
        <v>339932</v>
      </c>
      <c r="J3456" s="2"/>
      <c r="K3456" s="2">
        <v>163001</v>
      </c>
      <c r="L3456" s="2"/>
      <c r="M3456" s="2"/>
      <c r="N3456" s="2"/>
      <c r="O3456" s="2"/>
      <c r="P3456" s="2"/>
      <c r="Q3456" s="2"/>
      <c r="R3456" s="2"/>
      <c r="S3456" s="2" t="s">
        <v>22955</v>
      </c>
      <c r="T3456" s="2" t="s">
        <v>22956</v>
      </c>
      <c r="U3456" s="2" t="s">
        <v>331</v>
      </c>
      <c r="V3456" s="2" t="s">
        <v>332</v>
      </c>
      <c r="W3456" s="2" t="s">
        <v>1207</v>
      </c>
      <c r="X3456" s="2" t="s">
        <v>147</v>
      </c>
      <c r="Y3456" s="2">
        <v>36.5</v>
      </c>
      <c r="Z3456" s="2">
        <v>1.49</v>
      </c>
      <c r="AA3456" s="2" t="s">
        <v>259</v>
      </c>
      <c r="AB3456" s="2" t="s">
        <v>22957</v>
      </c>
      <c r="AC3456" s="2">
        <v>-0.32487834391451997</v>
      </c>
      <c r="AD3456" s="2"/>
      <c r="AE3456" s="2">
        <v>0.16162146527982699</v>
      </c>
      <c r="AF3456" s="2">
        <v>3772.67303302035</v>
      </c>
      <c r="AG3456" s="2">
        <v>2088.49438439705</v>
      </c>
      <c r="AH3456" s="5">
        <v>1.80640803308146</v>
      </c>
      <c r="AI3456" s="5">
        <v>0.85312380689063205</v>
      </c>
      <c r="AJ3456" s="5" t="s">
        <v>139</v>
      </c>
      <c r="AK3456" s="2">
        <v>0.23035993821298101</v>
      </c>
      <c r="AL3456" s="2">
        <v>0.55482635017057602</v>
      </c>
      <c r="AM3456" s="2">
        <v>2840.02582744449</v>
      </c>
      <c r="AN3456" s="2">
        <v>8.559877937157E-6</v>
      </c>
      <c r="AO3456" s="2">
        <v>8498.4466983782495</v>
      </c>
      <c r="AP3456" s="2">
        <v>2990.8788953346302</v>
      </c>
      <c r="AQ3456" s="2">
        <v>4344.5663858982798</v>
      </c>
      <c r="AR3456" s="2">
        <v>3962.12038250659</v>
      </c>
      <c r="AS3456" s="2">
        <v>221.55056577705301</v>
      </c>
      <c r="AT3456" s="2">
        <v>350.97481747182002</v>
      </c>
      <c r="AU3456" s="2">
        <v>1485.27848181278</v>
      </c>
      <c r="AV3456" s="2">
        <v>3758.4986588173801</v>
      </c>
      <c r="AW3456" s="2">
        <v>4017.29193793681</v>
      </c>
      <c r="AX3456" s="2">
        <v>2697.3718445664799</v>
      </c>
    </row>
    <row r="3457" spans="1:50" x14ac:dyDescent="0.25">
      <c r="A3457" s="2" t="s">
        <v>22958</v>
      </c>
      <c r="B3457" s="2">
        <v>351.147365637571</v>
      </c>
      <c r="C3457" s="2">
        <v>10.21335</v>
      </c>
      <c r="D3457" s="2" t="s">
        <v>51</v>
      </c>
      <c r="E3457" s="2" t="s">
        <v>22959</v>
      </c>
      <c r="F3457" s="2">
        <v>53293</v>
      </c>
      <c r="G3457" s="3" t="str">
        <f>HYPERLINK("https://cloud.oebiotech.com/#/lm/network/53293", "https://cloud.oebiotech.com/#/lm/network/53293")</f>
        <v>https://cloud.oebiotech.com/#/lm/network/53293</v>
      </c>
      <c r="H3457" s="2" t="s">
        <v>22960</v>
      </c>
      <c r="I3457" s="2">
        <v>2059</v>
      </c>
      <c r="J3457" s="2"/>
      <c r="K3457" s="2">
        <v>4891</v>
      </c>
      <c r="L3457" s="2" t="s">
        <v>22961</v>
      </c>
      <c r="M3457" s="2"/>
      <c r="N3457" s="2"/>
      <c r="O3457" s="2">
        <v>199024</v>
      </c>
      <c r="P3457" s="2"/>
      <c r="Q3457" s="2"/>
      <c r="R3457" s="2" t="s">
        <v>22962</v>
      </c>
      <c r="S3457" s="2" t="s">
        <v>22963</v>
      </c>
      <c r="T3457" s="2" t="s">
        <v>22964</v>
      </c>
      <c r="U3457" s="2" t="s">
        <v>266</v>
      </c>
      <c r="V3457" s="2" t="s">
        <v>4187</v>
      </c>
      <c r="W3457" s="2" t="s">
        <v>240</v>
      </c>
      <c r="X3457" s="2" t="s">
        <v>147</v>
      </c>
      <c r="Y3457" s="2">
        <v>38.700000000000003</v>
      </c>
      <c r="Z3457" s="2">
        <v>0</v>
      </c>
      <c r="AA3457" s="2" t="s">
        <v>395</v>
      </c>
      <c r="AB3457" s="2" t="s">
        <v>22965</v>
      </c>
      <c r="AC3457" s="2">
        <v>1.3759176527567001</v>
      </c>
      <c r="AD3457" s="2"/>
      <c r="AE3457" s="2">
        <v>0.161551998789602</v>
      </c>
      <c r="AF3457" s="2">
        <v>1620.8878552451399</v>
      </c>
      <c r="AG3457" s="2">
        <v>3670.0209762450299</v>
      </c>
      <c r="AH3457" s="4">
        <v>0.44165629181322602</v>
      </c>
      <c r="AI3457" s="4">
        <v>-1.1790040306877501</v>
      </c>
      <c r="AJ3457" s="4" t="s">
        <v>62</v>
      </c>
      <c r="AK3457" s="2">
        <v>0.25586569552538002</v>
      </c>
      <c r="AL3457" s="2">
        <v>0.57883765962140699</v>
      </c>
      <c r="AM3457" s="2">
        <v>2376.8776763238402</v>
      </c>
      <c r="AN3457" s="2">
        <v>4070.51961283327</v>
      </c>
      <c r="AO3457" s="2">
        <v>1021.47871822877</v>
      </c>
      <c r="AP3457" s="2">
        <v>667.29933251349996</v>
      </c>
      <c r="AQ3457" s="2">
        <v>493.57784815042902</v>
      </c>
      <c r="AR3457" s="2">
        <v>1095.57394342102</v>
      </c>
      <c r="AS3457" s="2">
        <v>2230.0730543033401</v>
      </c>
      <c r="AT3457" s="2">
        <v>286.54563765106298</v>
      </c>
      <c r="AU3457" s="2">
        <v>11278.8940939852</v>
      </c>
      <c r="AV3457" s="2">
        <v>3823.8356906343902</v>
      </c>
      <c r="AW3457" s="2">
        <v>3087.9262470261601</v>
      </c>
      <c r="AX3457" s="2">
        <v>1312.85113387004</v>
      </c>
    </row>
    <row r="3458" spans="1:50" x14ac:dyDescent="0.25">
      <c r="A3458" s="2" t="s">
        <v>22966</v>
      </c>
      <c r="B3458" s="2">
        <v>223.09718920981001</v>
      </c>
      <c r="C3458" s="2">
        <v>7.0694833333333298</v>
      </c>
      <c r="D3458" s="2" t="s">
        <v>51</v>
      </c>
      <c r="E3458" s="2" t="s">
        <v>22967</v>
      </c>
      <c r="F3458" s="2">
        <v>61609</v>
      </c>
      <c r="G3458" s="3" t="str">
        <f>HYPERLINK("https://cloud.oebiotech.com/#/lm/network/61609", "https://cloud.oebiotech.com/#/lm/network/61609")</f>
        <v>https://cloud.oebiotech.com/#/lm/network/61609</v>
      </c>
      <c r="H3458" s="2" t="s">
        <v>22968</v>
      </c>
      <c r="I3458" s="2">
        <v>92915</v>
      </c>
      <c r="J3458" s="2"/>
      <c r="K3458" s="2">
        <v>20472052</v>
      </c>
      <c r="L3458" s="2"/>
      <c r="M3458" s="2"/>
      <c r="N3458" s="2"/>
      <c r="O3458" s="2"/>
      <c r="P3458" s="2"/>
      <c r="Q3458" s="2"/>
      <c r="R3458" s="2" t="s">
        <v>22969</v>
      </c>
      <c r="S3458" s="2" t="s">
        <v>22970</v>
      </c>
      <c r="T3458" s="2" t="s">
        <v>22971</v>
      </c>
      <c r="U3458" s="2" t="s">
        <v>56</v>
      </c>
      <c r="V3458" s="2" t="s">
        <v>177</v>
      </c>
      <c r="W3458" s="2" t="s">
        <v>584</v>
      </c>
      <c r="X3458" s="2" t="s">
        <v>69</v>
      </c>
      <c r="Y3458" s="2">
        <v>56.3</v>
      </c>
      <c r="Z3458" s="2">
        <v>62.1</v>
      </c>
      <c r="AA3458" s="2" t="s">
        <v>218</v>
      </c>
      <c r="AB3458" s="2" t="s">
        <v>18413</v>
      </c>
      <c r="AC3458" s="2">
        <v>-2.2085887691765098</v>
      </c>
      <c r="AD3458" s="2"/>
      <c r="AE3458" s="2">
        <v>0.16150384472677301</v>
      </c>
      <c r="AF3458" s="2">
        <v>11749.351131662001</v>
      </c>
      <c r="AG3458" s="2">
        <v>15428.4247213606</v>
      </c>
      <c r="AH3458" s="4">
        <v>0.76153925911795195</v>
      </c>
      <c r="AI3458" s="4">
        <v>-0.39300968197673902</v>
      </c>
      <c r="AJ3458" s="4" t="s">
        <v>62</v>
      </c>
      <c r="AK3458" s="2">
        <v>0.35843217719867398</v>
      </c>
      <c r="AL3458" s="2">
        <v>0.64449606579735297</v>
      </c>
      <c r="AM3458" s="2">
        <v>18696.904654280799</v>
      </c>
      <c r="AN3458" s="2">
        <v>7404.2153708742198</v>
      </c>
      <c r="AO3458" s="2">
        <v>18834.5915696544</v>
      </c>
      <c r="AP3458" s="2">
        <v>623.89521926795999</v>
      </c>
      <c r="AQ3458" s="2">
        <v>7481.14525965139</v>
      </c>
      <c r="AR3458" s="2">
        <v>17455.354716243401</v>
      </c>
      <c r="AS3458" s="2">
        <v>12323.701147395201</v>
      </c>
      <c r="AT3458" s="2">
        <v>15230.591508342601</v>
      </c>
      <c r="AU3458" s="2">
        <v>16916.624744005101</v>
      </c>
      <c r="AV3458" s="2">
        <v>6764.5364996111803</v>
      </c>
      <c r="AW3458" s="2">
        <v>19175.584304476801</v>
      </c>
      <c r="AX3458" s="2">
        <v>22159.510124332599</v>
      </c>
    </row>
    <row r="3459" spans="1:50" x14ac:dyDescent="0.25">
      <c r="A3459" s="2" t="s">
        <v>22972</v>
      </c>
      <c r="B3459" s="2">
        <v>325.03931444575898</v>
      </c>
      <c r="C3459" s="2">
        <v>0.76721666666666699</v>
      </c>
      <c r="D3459" s="2" t="s">
        <v>51</v>
      </c>
      <c r="E3459" s="2" t="s">
        <v>22973</v>
      </c>
      <c r="F3459" s="2">
        <v>211408</v>
      </c>
      <c r="G3459" s="3" t="str">
        <f>HYPERLINK("https://cloud.oebiotech.com/#/lm/network/211408", "https://cloud.oebiotech.com/#/lm/network/211408")</f>
        <v>https://cloud.oebiotech.com/#/lm/network/211408</v>
      </c>
      <c r="H3459" s="2" t="s">
        <v>22974</v>
      </c>
      <c r="I3459" s="2"/>
      <c r="J3459" s="2"/>
      <c r="K3459" s="2">
        <v>57111364</v>
      </c>
      <c r="L3459" s="2"/>
      <c r="M3459" s="2"/>
      <c r="N3459" s="2"/>
      <c r="O3459" s="2"/>
      <c r="P3459" s="2"/>
      <c r="Q3459" s="2"/>
      <c r="R3459" s="2"/>
      <c r="S3459" s="2" t="s">
        <v>22975</v>
      </c>
      <c r="T3459" s="2" t="s">
        <v>22976</v>
      </c>
      <c r="U3459" s="2" t="s">
        <v>266</v>
      </c>
      <c r="V3459" s="2" t="s">
        <v>2772</v>
      </c>
      <c r="W3459" s="2" t="s">
        <v>2773</v>
      </c>
      <c r="X3459" s="2" t="s">
        <v>147</v>
      </c>
      <c r="Y3459" s="2">
        <v>44.5</v>
      </c>
      <c r="Z3459" s="2">
        <v>33.6</v>
      </c>
      <c r="AA3459" s="2" t="s">
        <v>1888</v>
      </c>
      <c r="AB3459" s="2" t="s">
        <v>22977</v>
      </c>
      <c r="AC3459" s="2">
        <v>-3.6647538504784198</v>
      </c>
      <c r="AD3459" s="2"/>
      <c r="AE3459" s="2">
        <v>0.16149039661471701</v>
      </c>
      <c r="AF3459" s="2">
        <v>46013.426841014203</v>
      </c>
      <c r="AG3459" s="2">
        <v>44425.265636533601</v>
      </c>
      <c r="AH3459" s="5">
        <v>1.0357490536460501</v>
      </c>
      <c r="AI3459" s="5">
        <v>5.0674502141139097E-2</v>
      </c>
      <c r="AJ3459" s="5" t="s">
        <v>139</v>
      </c>
      <c r="AK3459" s="2">
        <v>0.89390113952850503</v>
      </c>
      <c r="AL3459" s="2">
        <v>0.95502808446657095</v>
      </c>
      <c r="AM3459" s="2">
        <v>75932.356633470103</v>
      </c>
      <c r="AN3459" s="2">
        <v>15661.680126798699</v>
      </c>
      <c r="AO3459" s="2">
        <v>57520.095484640398</v>
      </c>
      <c r="AP3459" s="2">
        <v>45587.616312241298</v>
      </c>
      <c r="AQ3459" s="2">
        <v>38247.416665311801</v>
      </c>
      <c r="AR3459" s="2">
        <v>43131.395823622603</v>
      </c>
      <c r="AS3459" s="2">
        <v>40099.379373813899</v>
      </c>
      <c r="AT3459" s="2">
        <v>34324.765324769498</v>
      </c>
      <c r="AU3459" s="2">
        <v>62452.747043509597</v>
      </c>
      <c r="AV3459" s="2">
        <v>11875.451739170099</v>
      </c>
      <c r="AW3459" s="2">
        <v>51782.380334641399</v>
      </c>
      <c r="AX3459" s="2">
        <v>66016.870003297299</v>
      </c>
    </row>
    <row r="3460" spans="1:50" x14ac:dyDescent="0.25">
      <c r="A3460" s="2" t="s">
        <v>22978</v>
      </c>
      <c r="B3460" s="2">
        <v>184.17003471467299</v>
      </c>
      <c r="C3460" s="2">
        <v>11.880366666666699</v>
      </c>
      <c r="D3460" s="2" t="s">
        <v>51</v>
      </c>
      <c r="E3460" s="2" t="s">
        <v>22979</v>
      </c>
      <c r="F3460" s="2">
        <v>2455</v>
      </c>
      <c r="G3460" s="3" t="str">
        <f>HYPERLINK("https://cloud.oebiotech.com/#/lm/network/2455", "https://cloud.oebiotech.com/#/lm/network/2455")</f>
        <v>https://cloud.oebiotech.com/#/lm/network/2455</v>
      </c>
      <c r="H3460" s="2"/>
      <c r="I3460" s="2">
        <v>35923</v>
      </c>
      <c r="J3460" s="2" t="s">
        <v>22980</v>
      </c>
      <c r="K3460" s="2">
        <v>17083</v>
      </c>
      <c r="L3460" s="2" t="s">
        <v>22981</v>
      </c>
      <c r="M3460" s="2"/>
      <c r="N3460" s="2"/>
      <c r="O3460" s="2">
        <v>82387</v>
      </c>
      <c r="P3460" s="2"/>
      <c r="Q3460" s="2"/>
      <c r="R3460" s="2"/>
      <c r="S3460" s="2" t="s">
        <v>22982</v>
      </c>
      <c r="T3460" s="2" t="s">
        <v>22983</v>
      </c>
      <c r="U3460" s="2" t="s">
        <v>56</v>
      </c>
      <c r="V3460" s="2" t="s">
        <v>145</v>
      </c>
      <c r="W3460" s="2" t="s">
        <v>231</v>
      </c>
      <c r="X3460" s="2" t="s">
        <v>59</v>
      </c>
      <c r="Y3460" s="2">
        <v>48.6</v>
      </c>
      <c r="Z3460" s="2">
        <v>49.3</v>
      </c>
      <c r="AA3460" s="2" t="s">
        <v>156</v>
      </c>
      <c r="AB3460" s="2" t="s">
        <v>22984</v>
      </c>
      <c r="AC3460" s="2">
        <v>2.2069731502699099</v>
      </c>
      <c r="AD3460" s="2"/>
      <c r="AE3460" s="2">
        <v>0.16148460238559401</v>
      </c>
      <c r="AF3460" s="2">
        <v>10694.310325922601</v>
      </c>
      <c r="AG3460" s="2">
        <v>14447.4956252508</v>
      </c>
      <c r="AH3460" s="4">
        <v>0.74021896966221801</v>
      </c>
      <c r="AI3460" s="4">
        <v>-0.43397598669190302</v>
      </c>
      <c r="AJ3460" s="4" t="s">
        <v>62</v>
      </c>
      <c r="AK3460" s="2">
        <v>0.75341087192588696</v>
      </c>
      <c r="AL3460" s="2">
        <v>0.88845414165782899</v>
      </c>
      <c r="AM3460" s="2">
        <v>196.29029759396701</v>
      </c>
      <c r="AN3460" s="2">
        <v>98.536868340685004</v>
      </c>
      <c r="AO3460" s="2">
        <v>34259.8678063712</v>
      </c>
      <c r="AP3460" s="2">
        <v>152.71739221182301</v>
      </c>
      <c r="AQ3460" s="2">
        <v>29068.240804216901</v>
      </c>
      <c r="AR3460" s="2">
        <v>390.20878680076498</v>
      </c>
      <c r="AS3460" s="2">
        <v>54962.515396307797</v>
      </c>
      <c r="AT3460" s="2">
        <v>8.559877937157E-6</v>
      </c>
      <c r="AU3460" s="2">
        <v>30837.996009659899</v>
      </c>
      <c r="AV3460" s="2">
        <v>704.85597010832896</v>
      </c>
      <c r="AW3460" s="2">
        <v>179.60635830907799</v>
      </c>
      <c r="AX3460" s="2">
        <v>8.559877937157E-6</v>
      </c>
    </row>
    <row r="3461" spans="1:50" x14ac:dyDescent="0.25">
      <c r="A3461" s="2" t="s">
        <v>22985</v>
      </c>
      <c r="B3461" s="2">
        <v>502.37473778481598</v>
      </c>
      <c r="C3461" s="2">
        <v>11.493266666666701</v>
      </c>
      <c r="D3461" s="2" t="s">
        <v>51</v>
      </c>
      <c r="E3461" s="2" t="s">
        <v>22986</v>
      </c>
      <c r="F3461" s="2">
        <v>43653</v>
      </c>
      <c r="G3461" s="3" t="str">
        <f>HYPERLINK("https://cloud.oebiotech.com/#/lm/network/43653", "https://cloud.oebiotech.com/#/lm/network/43653")</f>
        <v>https://cloud.oebiotech.com/#/lm/network/43653</v>
      </c>
      <c r="H3461" s="2"/>
      <c r="I3461" s="2">
        <v>83928</v>
      </c>
      <c r="J3461" s="2" t="s">
        <v>22987</v>
      </c>
      <c r="K3461" s="2">
        <v>52931337</v>
      </c>
      <c r="L3461" s="2"/>
      <c r="M3461" s="2"/>
      <c r="N3461" s="2"/>
      <c r="O3461" s="2"/>
      <c r="P3461" s="2"/>
      <c r="Q3461" s="2"/>
      <c r="R3461" s="2"/>
      <c r="S3461" s="2" t="s">
        <v>22988</v>
      </c>
      <c r="T3461" s="2" t="s">
        <v>22989</v>
      </c>
      <c r="U3461" s="2" t="s">
        <v>56</v>
      </c>
      <c r="V3461" s="2" t="s">
        <v>283</v>
      </c>
      <c r="W3461" s="2" t="s">
        <v>2042</v>
      </c>
      <c r="X3461" s="2" t="s">
        <v>147</v>
      </c>
      <c r="Y3461" s="2">
        <v>45.7</v>
      </c>
      <c r="Z3461" s="2">
        <v>42.2</v>
      </c>
      <c r="AA3461" s="2" t="s">
        <v>526</v>
      </c>
      <c r="AB3461" s="2" t="s">
        <v>22990</v>
      </c>
      <c r="AC3461" s="2">
        <v>1.8754976434170101</v>
      </c>
      <c r="AD3461" s="2"/>
      <c r="AE3461" s="2">
        <v>0.161456635487714</v>
      </c>
      <c r="AF3461" s="2">
        <v>24453.538660723701</v>
      </c>
      <c r="AG3461" s="2">
        <v>28323.649441677098</v>
      </c>
      <c r="AH3461" s="4">
        <v>0.86336115376224398</v>
      </c>
      <c r="AI3461" s="4">
        <v>-0.211963913525754</v>
      </c>
      <c r="AJ3461" s="4" t="s">
        <v>62</v>
      </c>
      <c r="AK3461" s="2">
        <v>0.74913925988710195</v>
      </c>
      <c r="AL3461" s="2">
        <v>0.88510244496511903</v>
      </c>
      <c r="AM3461" s="2">
        <v>17613.1355830172</v>
      </c>
      <c r="AN3461" s="2">
        <v>8411.6548370926103</v>
      </c>
      <c r="AO3461" s="2">
        <v>37867.019396404197</v>
      </c>
      <c r="AP3461" s="2">
        <v>8548.3030527207193</v>
      </c>
      <c r="AQ3461" s="2">
        <v>60206.793617607</v>
      </c>
      <c r="AR3461" s="2">
        <v>14074.325477500201</v>
      </c>
      <c r="AS3461" s="2">
        <v>15754.697231173001</v>
      </c>
      <c r="AT3461" s="2">
        <v>7818.6567201287698</v>
      </c>
      <c r="AU3461" s="2">
        <v>54903.293374610301</v>
      </c>
      <c r="AV3461" s="2">
        <v>44093.2066841696</v>
      </c>
      <c r="AW3461" s="2">
        <v>38824.574405720698</v>
      </c>
      <c r="AX3461" s="2">
        <v>8547.4682342601609</v>
      </c>
    </row>
    <row r="3462" spans="1:50" x14ac:dyDescent="0.25">
      <c r="A3462" s="2" t="s">
        <v>22991</v>
      </c>
      <c r="B3462" s="2">
        <v>192.08152879859301</v>
      </c>
      <c r="C3462" s="2">
        <v>0.82335000000000003</v>
      </c>
      <c r="D3462" s="2" t="s">
        <v>51</v>
      </c>
      <c r="E3462" s="2" t="s">
        <v>22992</v>
      </c>
      <c r="F3462" s="2">
        <v>63315</v>
      </c>
      <c r="G3462" s="3" t="str">
        <f>HYPERLINK("https://cloud.oebiotech.com/#/lm/network/63315", "https://cloud.oebiotech.com/#/lm/network/63315")</f>
        <v>https://cloud.oebiotech.com/#/lm/network/63315</v>
      </c>
      <c r="H3462" s="2" t="s">
        <v>22993</v>
      </c>
      <c r="I3462" s="2">
        <v>94623</v>
      </c>
      <c r="J3462" s="2"/>
      <c r="K3462" s="2">
        <v>3085038</v>
      </c>
      <c r="L3462" s="2"/>
      <c r="M3462" s="2"/>
      <c r="N3462" s="2"/>
      <c r="O3462" s="2"/>
      <c r="P3462" s="2"/>
      <c r="Q3462" s="2"/>
      <c r="R3462" s="2" t="s">
        <v>22994</v>
      </c>
      <c r="S3462" s="2" t="s">
        <v>22995</v>
      </c>
      <c r="T3462" s="2" t="s">
        <v>22996</v>
      </c>
      <c r="U3462" s="2" t="s">
        <v>266</v>
      </c>
      <c r="V3462" s="2" t="s">
        <v>1585</v>
      </c>
      <c r="W3462" s="2" t="s">
        <v>12356</v>
      </c>
      <c r="X3462" s="2" t="s">
        <v>147</v>
      </c>
      <c r="Y3462" s="2">
        <v>37.1</v>
      </c>
      <c r="Z3462" s="2">
        <v>0</v>
      </c>
      <c r="AA3462" s="2" t="s">
        <v>1123</v>
      </c>
      <c r="AB3462" s="2" t="s">
        <v>22997</v>
      </c>
      <c r="AC3462" s="2">
        <v>-1.25592342124739</v>
      </c>
      <c r="AD3462" s="2"/>
      <c r="AE3462" s="2">
        <v>0.16123672368143199</v>
      </c>
      <c r="AF3462" s="2">
        <v>3350.5018629839801</v>
      </c>
      <c r="AG3462" s="2">
        <v>4172.5414453441099</v>
      </c>
      <c r="AH3462" s="4">
        <v>0.80298827629923397</v>
      </c>
      <c r="AI3462" s="4">
        <v>-0.31654917046784498</v>
      </c>
      <c r="AJ3462" s="4" t="s">
        <v>62</v>
      </c>
      <c r="AK3462" s="2">
        <v>0.178263007358368</v>
      </c>
      <c r="AL3462" s="2">
        <v>0.50018997315367297</v>
      </c>
      <c r="AM3462" s="2">
        <v>2778.5850820791602</v>
      </c>
      <c r="AN3462" s="2">
        <v>3385.03007078581</v>
      </c>
      <c r="AO3462" s="2">
        <v>3631.5760627761101</v>
      </c>
      <c r="AP3462" s="2">
        <v>4442.8817397200301</v>
      </c>
      <c r="AQ3462" s="2">
        <v>4175.7140117017498</v>
      </c>
      <c r="AR3462" s="2">
        <v>1689.2242108410101</v>
      </c>
      <c r="AS3462" s="2">
        <v>3719.0153187875098</v>
      </c>
      <c r="AT3462" s="2">
        <v>3925.2598270553599</v>
      </c>
      <c r="AU3462" s="2">
        <v>3036.8794217876998</v>
      </c>
      <c r="AV3462" s="2">
        <v>3987.8372569701501</v>
      </c>
      <c r="AW3462" s="2">
        <v>4477.5980295790896</v>
      </c>
      <c r="AX3462" s="2">
        <v>5888.6588178848397</v>
      </c>
    </row>
    <row r="3463" spans="1:50" x14ac:dyDescent="0.25">
      <c r="A3463" s="2" t="s">
        <v>22998</v>
      </c>
      <c r="B3463" s="2">
        <v>410.257138737285</v>
      </c>
      <c r="C3463" s="2">
        <v>9.8706166666666704</v>
      </c>
      <c r="D3463" s="2" t="s">
        <v>51</v>
      </c>
      <c r="E3463" s="2" t="s">
        <v>22999</v>
      </c>
      <c r="F3463" s="2">
        <v>212512</v>
      </c>
      <c r="G3463" s="3" t="str">
        <f>HYPERLINK("https://cloud.oebiotech.com/#/lm/network/212512", "https://cloud.oebiotech.com/#/lm/network/212512")</f>
        <v>https://cloud.oebiotech.com/#/lm/network/212512</v>
      </c>
      <c r="H3463" s="2" t="s">
        <v>23000</v>
      </c>
      <c r="I3463" s="2">
        <v>34544</v>
      </c>
      <c r="J3463" s="2"/>
      <c r="K3463" s="2">
        <v>5475</v>
      </c>
      <c r="L3463" s="2"/>
      <c r="M3463" s="2"/>
      <c r="N3463" s="2"/>
      <c r="O3463" s="2">
        <v>147347</v>
      </c>
      <c r="P3463" s="2"/>
      <c r="Q3463" s="2"/>
      <c r="R3463" s="2" t="s">
        <v>23001</v>
      </c>
      <c r="S3463" s="2" t="s">
        <v>23002</v>
      </c>
      <c r="T3463" s="2" t="s">
        <v>23003</v>
      </c>
      <c r="U3463" s="2" t="s">
        <v>610</v>
      </c>
      <c r="V3463" s="2" t="s">
        <v>10898</v>
      </c>
      <c r="W3463" s="2" t="s">
        <v>240</v>
      </c>
      <c r="X3463" s="2" t="s">
        <v>147</v>
      </c>
      <c r="Y3463" s="2">
        <v>36.4</v>
      </c>
      <c r="Z3463" s="2">
        <v>0</v>
      </c>
      <c r="AA3463" s="2" t="s">
        <v>122</v>
      </c>
      <c r="AB3463" s="2" t="s">
        <v>23004</v>
      </c>
      <c r="AC3463" s="2">
        <v>0.47696602815717998</v>
      </c>
      <c r="AD3463" s="2"/>
      <c r="AE3463" s="2">
        <v>0.16118476751925001</v>
      </c>
      <c r="AF3463" s="2">
        <v>7640.56628156029</v>
      </c>
      <c r="AG3463" s="2">
        <v>8681.2682009463406</v>
      </c>
      <c r="AH3463" s="4">
        <v>0.88012098056449894</v>
      </c>
      <c r="AI3463" s="4">
        <v>-0.18422624606472099</v>
      </c>
      <c r="AJ3463" s="4" t="s">
        <v>62</v>
      </c>
      <c r="AK3463" s="2">
        <v>0.39201296169902</v>
      </c>
      <c r="AL3463" s="2">
        <v>0.66528673878009803</v>
      </c>
      <c r="AM3463" s="2">
        <v>7550.0488634547301</v>
      </c>
      <c r="AN3463" s="2">
        <v>6670.10029031454</v>
      </c>
      <c r="AO3463" s="2">
        <v>7125.1093661334498</v>
      </c>
      <c r="AP3463" s="2">
        <v>8016.8947414733702</v>
      </c>
      <c r="AQ3463" s="2">
        <v>8121.45190775844</v>
      </c>
      <c r="AR3463" s="2">
        <v>8359.7925202272309</v>
      </c>
      <c r="AS3463" s="2">
        <v>7284.1818731166904</v>
      </c>
      <c r="AT3463" s="2">
        <v>9829.7552460110201</v>
      </c>
      <c r="AU3463" s="2">
        <v>4071.34041763504</v>
      </c>
      <c r="AV3463" s="2">
        <v>12104.638570085401</v>
      </c>
      <c r="AW3463" s="2">
        <v>10179.7505021575</v>
      </c>
      <c r="AX3463" s="2">
        <v>8617.9425966723702</v>
      </c>
    </row>
    <row r="3464" spans="1:50" x14ac:dyDescent="0.25">
      <c r="A3464" s="2" t="s">
        <v>23005</v>
      </c>
      <c r="B3464" s="2">
        <v>224.17653804938999</v>
      </c>
      <c r="C3464" s="2">
        <v>3.7123833333333298</v>
      </c>
      <c r="D3464" s="2" t="s">
        <v>51</v>
      </c>
      <c r="E3464" s="2" t="s">
        <v>23006</v>
      </c>
      <c r="F3464" s="2">
        <v>64534</v>
      </c>
      <c r="G3464" s="3" t="str">
        <f>HYPERLINK("https://cloud.oebiotech.com/#/lm/network/64534", "https://cloud.oebiotech.com/#/lm/network/64534")</f>
        <v>https://cloud.oebiotech.com/#/lm/network/64534</v>
      </c>
      <c r="H3464" s="2" t="s">
        <v>23007</v>
      </c>
      <c r="I3464" s="2">
        <v>95841</v>
      </c>
      <c r="J3464" s="2"/>
      <c r="K3464" s="2">
        <v>23278458</v>
      </c>
      <c r="L3464" s="2"/>
      <c r="M3464" s="2"/>
      <c r="N3464" s="2"/>
      <c r="O3464" s="2"/>
      <c r="P3464" s="2"/>
      <c r="Q3464" s="2"/>
      <c r="R3464" s="2" t="s">
        <v>23008</v>
      </c>
      <c r="S3464" s="2" t="s">
        <v>23009</v>
      </c>
      <c r="T3464" s="2" t="s">
        <v>23010</v>
      </c>
      <c r="U3464" s="2" t="s">
        <v>266</v>
      </c>
      <c r="V3464" s="2" t="s">
        <v>6065</v>
      </c>
      <c r="W3464" s="2" t="s">
        <v>240</v>
      </c>
      <c r="X3464" s="2" t="s">
        <v>147</v>
      </c>
      <c r="Y3464" s="2">
        <v>39.200000000000003</v>
      </c>
      <c r="Z3464" s="2">
        <v>13.4</v>
      </c>
      <c r="AA3464" s="2" t="s">
        <v>512</v>
      </c>
      <c r="AB3464" s="2" t="s">
        <v>2434</v>
      </c>
      <c r="AC3464" s="2">
        <v>3.8774888521991602</v>
      </c>
      <c r="AD3464" s="2"/>
      <c r="AE3464" s="2">
        <v>0.16110512724716</v>
      </c>
      <c r="AF3464" s="2">
        <v>1100.4877477549901</v>
      </c>
      <c r="AG3464" s="2">
        <v>2134.40255740572</v>
      </c>
      <c r="AH3464" s="4">
        <v>0.51559521606486003</v>
      </c>
      <c r="AI3464" s="4">
        <v>-0.95568921712945998</v>
      </c>
      <c r="AJ3464" s="4" t="s">
        <v>62</v>
      </c>
      <c r="AK3464" s="2">
        <v>0.54506147357389001</v>
      </c>
      <c r="AL3464" s="2">
        <v>0.769018528661641</v>
      </c>
      <c r="AM3464" s="2">
        <v>429.80933603602102</v>
      </c>
      <c r="AN3464" s="2">
        <v>8.559877937157E-6</v>
      </c>
      <c r="AO3464" s="2">
        <v>1010.60547561033</v>
      </c>
      <c r="AP3464" s="2">
        <v>5162.5116492039697</v>
      </c>
      <c r="AQ3464" s="2">
        <v>8.559877937157E-6</v>
      </c>
      <c r="AR3464" s="2">
        <v>8.559877937157E-6</v>
      </c>
      <c r="AS3464" s="2">
        <v>8944.7401596952695</v>
      </c>
      <c r="AT3464" s="2">
        <v>8.559877937157E-6</v>
      </c>
      <c r="AU3464" s="2">
        <v>8.559877937157E-6</v>
      </c>
      <c r="AV3464" s="2">
        <v>8.559877937157E-6</v>
      </c>
      <c r="AW3464" s="2">
        <v>1223.9222759753</v>
      </c>
      <c r="AX3464" s="2">
        <v>2637.7528830841102</v>
      </c>
    </row>
    <row r="3465" spans="1:50" x14ac:dyDescent="0.25">
      <c r="A3465" s="2" t="s">
        <v>23011</v>
      </c>
      <c r="B3465" s="2">
        <v>237.08777090540801</v>
      </c>
      <c r="C3465" s="2">
        <v>5.0586333333333302</v>
      </c>
      <c r="D3465" s="2" t="s">
        <v>51</v>
      </c>
      <c r="E3465" s="2" t="s">
        <v>23012</v>
      </c>
      <c r="F3465" s="2">
        <v>201678</v>
      </c>
      <c r="G3465" s="3" t="str">
        <f>HYPERLINK("https://cloud.oebiotech.com/#/lm/network/201678", "https://cloud.oebiotech.com/#/lm/network/201678")</f>
        <v>https://cloud.oebiotech.com/#/lm/network/201678</v>
      </c>
      <c r="H3465" s="2" t="s">
        <v>23013</v>
      </c>
      <c r="I3465" s="2">
        <v>448754</v>
      </c>
      <c r="J3465" s="2"/>
      <c r="K3465" s="2">
        <v>160605</v>
      </c>
      <c r="L3465" s="2"/>
      <c r="M3465" s="2"/>
      <c r="N3465" s="2"/>
      <c r="O3465" s="2"/>
      <c r="P3465" s="2"/>
      <c r="Q3465" s="2"/>
      <c r="R3465" s="2"/>
      <c r="S3465" s="2" t="s">
        <v>23014</v>
      </c>
      <c r="T3465" s="2" t="s">
        <v>23015</v>
      </c>
      <c r="U3465" s="2" t="s">
        <v>610</v>
      </c>
      <c r="V3465" s="2" t="s">
        <v>611</v>
      </c>
      <c r="W3465" s="2" t="s">
        <v>1122</v>
      </c>
      <c r="X3465" s="2" t="s">
        <v>147</v>
      </c>
      <c r="Y3465" s="2">
        <v>39.4</v>
      </c>
      <c r="Z3465" s="2">
        <v>6.68</v>
      </c>
      <c r="AA3465" s="2" t="s">
        <v>60</v>
      </c>
      <c r="AB3465" s="2" t="s">
        <v>23016</v>
      </c>
      <c r="AC3465" s="2">
        <v>3.3361644609385399</v>
      </c>
      <c r="AD3465" s="2"/>
      <c r="AE3465" s="2">
        <v>0.16107532130298799</v>
      </c>
      <c r="AF3465" s="2">
        <v>51.213875220382903</v>
      </c>
      <c r="AG3465" s="2">
        <v>2676.1831677168998</v>
      </c>
      <c r="AH3465" s="4">
        <v>1.9136909550206301E-2</v>
      </c>
      <c r="AI3465" s="4">
        <v>-5.7074983242445896</v>
      </c>
      <c r="AJ3465" s="4" t="s">
        <v>62</v>
      </c>
      <c r="AK3465" s="2">
        <v>0.34071299894385698</v>
      </c>
      <c r="AL3465" s="2">
        <v>0.63815037094278604</v>
      </c>
      <c r="AM3465" s="2">
        <v>53.582296547202297</v>
      </c>
      <c r="AN3465" s="2">
        <v>8.559877937157E-6</v>
      </c>
      <c r="AO3465" s="2">
        <v>196.232450310052</v>
      </c>
      <c r="AP3465" s="2">
        <v>8.559877937157E-6</v>
      </c>
      <c r="AQ3465" s="2">
        <v>8.559877937157E-6</v>
      </c>
      <c r="AR3465" s="2">
        <v>57.468478785409403</v>
      </c>
      <c r="AS3465" s="2">
        <v>80.616966244585498</v>
      </c>
      <c r="AT3465" s="2">
        <v>8.559877937157E-6</v>
      </c>
      <c r="AU3465" s="2">
        <v>15794.156767791999</v>
      </c>
      <c r="AV3465" s="2">
        <v>8.559877937157E-6</v>
      </c>
      <c r="AW3465" s="2">
        <v>182.32524658518599</v>
      </c>
      <c r="AX3465" s="2">
        <v>8.559877937157E-6</v>
      </c>
    </row>
    <row r="3466" spans="1:50" x14ac:dyDescent="0.25">
      <c r="A3466" s="2" t="s">
        <v>23017</v>
      </c>
      <c r="B3466" s="2">
        <v>471.11324703349499</v>
      </c>
      <c r="C3466" s="2">
        <v>5.1084166666666704</v>
      </c>
      <c r="D3466" s="2" t="s">
        <v>51</v>
      </c>
      <c r="E3466" s="2" t="s">
        <v>23018</v>
      </c>
      <c r="F3466" s="2">
        <v>211918</v>
      </c>
      <c r="G3466" s="3" t="str">
        <f>HYPERLINK("https://cloud.oebiotech.com/#/lm/network/211918", "https://cloud.oebiotech.com/#/lm/network/211918")</f>
        <v>https://cloud.oebiotech.com/#/lm/network/211918</v>
      </c>
      <c r="H3466" s="2" t="s">
        <v>23019</v>
      </c>
      <c r="I3466" s="2"/>
      <c r="J3466" s="2"/>
      <c r="K3466" s="2">
        <v>5252</v>
      </c>
      <c r="L3466" s="2"/>
      <c r="M3466" s="2"/>
      <c r="N3466" s="2"/>
      <c r="O3466" s="2"/>
      <c r="P3466" s="2"/>
      <c r="Q3466" s="2"/>
      <c r="R3466" s="2"/>
      <c r="S3466" s="2" t="s">
        <v>23020</v>
      </c>
      <c r="T3466" s="2" t="s">
        <v>23021</v>
      </c>
      <c r="U3466" s="2" t="s">
        <v>266</v>
      </c>
      <c r="V3466" s="2" t="s">
        <v>13648</v>
      </c>
      <c r="W3466" s="2" t="s">
        <v>13649</v>
      </c>
      <c r="X3466" s="2" t="s">
        <v>147</v>
      </c>
      <c r="Y3466" s="2">
        <v>39</v>
      </c>
      <c r="Z3466" s="2">
        <v>0</v>
      </c>
      <c r="AA3466" s="2" t="s">
        <v>478</v>
      </c>
      <c r="AB3466" s="2" t="s">
        <v>23022</v>
      </c>
      <c r="AC3466" s="2">
        <v>2.2933003425894798</v>
      </c>
      <c r="AD3466" s="2"/>
      <c r="AE3466" s="2">
        <v>0.160973922214705</v>
      </c>
      <c r="AF3466" s="2">
        <v>11236.9495253444</v>
      </c>
      <c r="AG3466" s="2">
        <v>12733.937851745801</v>
      </c>
      <c r="AH3466" s="4">
        <v>0.88244105289110097</v>
      </c>
      <c r="AI3466" s="4">
        <v>-0.180428185389719</v>
      </c>
      <c r="AJ3466" s="4" t="s">
        <v>62</v>
      </c>
      <c r="AK3466" s="2">
        <v>0.83254768405102197</v>
      </c>
      <c r="AL3466" s="2">
        <v>0.92649214624384602</v>
      </c>
      <c r="AM3466" s="2">
        <v>8.559877937157E-6</v>
      </c>
      <c r="AN3466" s="2">
        <v>3512.7522700489098</v>
      </c>
      <c r="AO3466" s="2">
        <v>32403.371003789998</v>
      </c>
      <c r="AP3466" s="2">
        <v>28915.830027463398</v>
      </c>
      <c r="AQ3466" s="2">
        <v>2220.0888899993502</v>
      </c>
      <c r="AR3466" s="2">
        <v>369.65495220515402</v>
      </c>
      <c r="AS3466" s="2">
        <v>21129.305661201201</v>
      </c>
      <c r="AT3466" s="2">
        <v>14342.8715680716</v>
      </c>
      <c r="AU3466" s="2">
        <v>4012.7595959554201</v>
      </c>
      <c r="AV3466" s="2">
        <v>20180.438860889401</v>
      </c>
      <c r="AW3466" s="2">
        <v>3969.4966902454598</v>
      </c>
      <c r="AX3466" s="2">
        <v>12768.754734112001</v>
      </c>
    </row>
    <row r="3467" spans="1:50" x14ac:dyDescent="0.25">
      <c r="A3467" s="2" t="s">
        <v>23023</v>
      </c>
      <c r="B3467" s="2">
        <v>405.19202783017698</v>
      </c>
      <c r="C3467" s="2">
        <v>6.1681833333333298</v>
      </c>
      <c r="D3467" s="2" t="s">
        <v>51</v>
      </c>
      <c r="E3467" s="2" t="s">
        <v>23024</v>
      </c>
      <c r="F3467" s="2">
        <v>44985</v>
      </c>
      <c r="G3467" s="3" t="str">
        <f>HYPERLINK("https://cloud.oebiotech.com/#/lm/network/44985", "https://cloud.oebiotech.com/#/lm/network/44985")</f>
        <v>https://cloud.oebiotech.com/#/lm/network/44985</v>
      </c>
      <c r="H3467" s="2" t="s">
        <v>23025</v>
      </c>
      <c r="I3467" s="2">
        <v>271</v>
      </c>
      <c r="J3467" s="2" t="s">
        <v>23026</v>
      </c>
      <c r="K3467" s="2">
        <v>222786</v>
      </c>
      <c r="L3467" s="2" t="s">
        <v>23027</v>
      </c>
      <c r="M3467" s="2" t="s">
        <v>23028</v>
      </c>
      <c r="N3467" s="2" t="s">
        <v>23029</v>
      </c>
      <c r="O3467" s="2">
        <v>16962</v>
      </c>
      <c r="P3467" s="2" t="s">
        <v>23030</v>
      </c>
      <c r="Q3467" s="2" t="s">
        <v>23031</v>
      </c>
      <c r="R3467" s="2" t="s">
        <v>23032</v>
      </c>
      <c r="S3467" s="2" t="s">
        <v>23033</v>
      </c>
      <c r="T3467" s="2" t="s">
        <v>23034</v>
      </c>
      <c r="U3467" s="2" t="s">
        <v>56</v>
      </c>
      <c r="V3467" s="2" t="s">
        <v>283</v>
      </c>
      <c r="W3467" s="2" t="s">
        <v>492</v>
      </c>
      <c r="X3467" s="2" t="s">
        <v>69</v>
      </c>
      <c r="Y3467" s="2">
        <v>60.3</v>
      </c>
      <c r="Z3467" s="2">
        <v>93.9</v>
      </c>
      <c r="AA3467" s="2" t="s">
        <v>218</v>
      </c>
      <c r="AB3467" s="2" t="s">
        <v>16428</v>
      </c>
      <c r="AC3467" s="2">
        <v>0.41912012378081798</v>
      </c>
      <c r="AD3467" s="2"/>
      <c r="AE3467" s="2">
        <v>0.16097263218154401</v>
      </c>
      <c r="AF3467" s="2">
        <v>12644.9174439787</v>
      </c>
      <c r="AG3467" s="2">
        <v>11533.9890643094</v>
      </c>
      <c r="AH3467" s="5">
        <v>1.09631779373772</v>
      </c>
      <c r="AI3467" s="5">
        <v>0.13266605832804099</v>
      </c>
      <c r="AJ3467" s="5" t="s">
        <v>139</v>
      </c>
      <c r="AK3467" s="2">
        <v>0.73447265641586101</v>
      </c>
      <c r="AL3467" s="2">
        <v>0.87808380208235304</v>
      </c>
      <c r="AM3467" s="2">
        <v>20170.9060401118</v>
      </c>
      <c r="AN3467" s="2">
        <v>17179.065129409799</v>
      </c>
      <c r="AO3467" s="2">
        <v>8463.1362039953801</v>
      </c>
      <c r="AP3467" s="2">
        <v>11808.3120017365</v>
      </c>
      <c r="AQ3467" s="2">
        <v>10007.345129346901</v>
      </c>
      <c r="AR3467" s="2">
        <v>8240.7401592719307</v>
      </c>
      <c r="AS3467" s="2">
        <v>14333.933089713</v>
      </c>
      <c r="AT3467" s="2">
        <v>19001.287197940201</v>
      </c>
      <c r="AU3467" s="2">
        <v>5399.4455139767697</v>
      </c>
      <c r="AV3467" s="2">
        <v>5645.6503892138899</v>
      </c>
      <c r="AW3467" s="2">
        <v>7660.8790405440004</v>
      </c>
      <c r="AX3467" s="2">
        <v>17162.739154468502</v>
      </c>
    </row>
    <row r="3468" spans="1:50" x14ac:dyDescent="0.25">
      <c r="A3468" s="2" t="s">
        <v>23035</v>
      </c>
      <c r="B3468" s="2">
        <v>246.05612204908201</v>
      </c>
      <c r="C3468" s="2">
        <v>1.00901666666667</v>
      </c>
      <c r="D3468" s="2" t="s">
        <v>51</v>
      </c>
      <c r="E3468" s="2" t="s">
        <v>23036</v>
      </c>
      <c r="F3468" s="2">
        <v>209128</v>
      </c>
      <c r="G3468" s="3" t="str">
        <f>HYPERLINK("https://cloud.oebiotech.com/#/lm/network/209128", "https://cloud.oebiotech.com/#/lm/network/209128")</f>
        <v>https://cloud.oebiotech.com/#/lm/network/209128</v>
      </c>
      <c r="H3468" s="2" t="s">
        <v>23037</v>
      </c>
      <c r="I3468" s="2">
        <v>334649</v>
      </c>
      <c r="J3468" s="2"/>
      <c r="K3468" s="2">
        <v>66898</v>
      </c>
      <c r="L3468" s="2"/>
      <c r="M3468" s="2"/>
      <c r="N3468" s="2"/>
      <c r="O3468" s="2">
        <v>44302</v>
      </c>
      <c r="P3468" s="2"/>
      <c r="Q3468" s="2"/>
      <c r="R3468" s="2"/>
      <c r="S3468" s="2" t="s">
        <v>23038</v>
      </c>
      <c r="T3468" s="2" t="s">
        <v>23039</v>
      </c>
      <c r="U3468" s="2" t="s">
        <v>119</v>
      </c>
      <c r="V3468" s="2" t="s">
        <v>120</v>
      </c>
      <c r="W3468" s="2" t="s">
        <v>6175</v>
      </c>
      <c r="X3468" s="2" t="s">
        <v>147</v>
      </c>
      <c r="Y3468" s="2">
        <v>39</v>
      </c>
      <c r="Z3468" s="2">
        <v>3.38</v>
      </c>
      <c r="AA3468" s="2" t="s">
        <v>395</v>
      </c>
      <c r="AB3468" s="2" t="s">
        <v>20156</v>
      </c>
      <c r="AC3468" s="2">
        <v>0.23931486119331499</v>
      </c>
      <c r="AD3468" s="2"/>
      <c r="AE3468" s="2">
        <v>0.16085314723938299</v>
      </c>
      <c r="AF3468" s="2">
        <v>21538.941428578899</v>
      </c>
      <c r="AG3468" s="2">
        <v>20448.765419696399</v>
      </c>
      <c r="AH3468" s="5">
        <v>1.0533125588028101</v>
      </c>
      <c r="AI3468" s="5">
        <v>7.4933603623259695E-2</v>
      </c>
      <c r="AJ3468" s="5" t="s">
        <v>139</v>
      </c>
      <c r="AK3468" s="2">
        <v>0.70947526160346197</v>
      </c>
      <c r="AL3468" s="2">
        <v>0.86197581336170703</v>
      </c>
      <c r="AM3468" s="2">
        <v>27975.687065321101</v>
      </c>
      <c r="AN3468" s="2">
        <v>21102.7077356466</v>
      </c>
      <c r="AO3468" s="2">
        <v>23249.501199628601</v>
      </c>
      <c r="AP3468" s="2">
        <v>26512.893049405</v>
      </c>
      <c r="AQ3468" s="2">
        <v>19300.582743947001</v>
      </c>
      <c r="AR3468" s="2">
        <v>11092.2767775251</v>
      </c>
      <c r="AS3468" s="2">
        <v>17840.228945692801</v>
      </c>
      <c r="AT3468" s="2">
        <v>25255.188786405801</v>
      </c>
      <c r="AU3468" s="2">
        <v>21534.765190005499</v>
      </c>
      <c r="AV3468" s="2">
        <v>15839.5084421541</v>
      </c>
      <c r="AW3468" s="2">
        <v>22838.133480755601</v>
      </c>
      <c r="AX3468" s="2">
        <v>19384.767673164701</v>
      </c>
    </row>
    <row r="3469" spans="1:50" x14ac:dyDescent="0.25">
      <c r="A3469" s="2" t="s">
        <v>23040</v>
      </c>
      <c r="B3469" s="2">
        <v>489.35879251825202</v>
      </c>
      <c r="C3469" s="2">
        <v>11.7921333333333</v>
      </c>
      <c r="D3469" s="2" t="s">
        <v>51</v>
      </c>
      <c r="E3469" s="2" t="s">
        <v>23041</v>
      </c>
      <c r="F3469" s="2">
        <v>45584</v>
      </c>
      <c r="G3469" s="3" t="str">
        <f>HYPERLINK("https://cloud.oebiotech.com/#/lm/network/45584", "https://cloud.oebiotech.com/#/lm/network/45584")</f>
        <v>https://cloud.oebiotech.com/#/lm/network/45584</v>
      </c>
      <c r="H3469" s="2"/>
      <c r="I3469" s="2"/>
      <c r="J3469" s="2" t="s">
        <v>23042</v>
      </c>
      <c r="K3469" s="2">
        <v>9547527</v>
      </c>
      <c r="L3469" s="2"/>
      <c r="M3469" s="2"/>
      <c r="N3469" s="2"/>
      <c r="O3469" s="2"/>
      <c r="P3469" s="2"/>
      <c r="Q3469" s="2"/>
      <c r="R3469" s="2"/>
      <c r="S3469" s="2" t="s">
        <v>23043</v>
      </c>
      <c r="T3469" s="2" t="s">
        <v>23044</v>
      </c>
      <c r="U3469" s="2" t="s">
        <v>56</v>
      </c>
      <c r="V3469" s="2" t="s">
        <v>283</v>
      </c>
      <c r="W3469" s="2" t="s">
        <v>420</v>
      </c>
      <c r="X3469" s="2" t="s">
        <v>83</v>
      </c>
      <c r="Y3469" s="2">
        <v>43.8</v>
      </c>
      <c r="Z3469" s="2">
        <v>0</v>
      </c>
      <c r="AA3469" s="2" t="s">
        <v>218</v>
      </c>
      <c r="AB3469" s="2" t="s">
        <v>11505</v>
      </c>
      <c r="AC3469" s="2">
        <v>0.549666985930371</v>
      </c>
      <c r="AD3469" s="2"/>
      <c r="AE3469" s="2">
        <v>0.16081834008863199</v>
      </c>
      <c r="AF3469" s="2">
        <v>17280.901687200199</v>
      </c>
      <c r="AG3469" s="2">
        <v>14639.8809610425</v>
      </c>
      <c r="AH3469" s="5">
        <v>1.1803990574230501</v>
      </c>
      <c r="AI3469" s="5">
        <v>0.239274673856437</v>
      </c>
      <c r="AJ3469" s="5" t="s">
        <v>139</v>
      </c>
      <c r="AK3469" s="2">
        <v>0.46421716989147799</v>
      </c>
      <c r="AL3469" s="2">
        <v>0.71301190542586401</v>
      </c>
      <c r="AM3469" s="2">
        <v>13657.8396648906</v>
      </c>
      <c r="AN3469" s="2">
        <v>23378.566180411901</v>
      </c>
      <c r="AO3469" s="2">
        <v>20077.9209025829</v>
      </c>
      <c r="AP3469" s="2">
        <v>19944.531900581798</v>
      </c>
      <c r="AQ3469" s="2">
        <v>15389.2845688423</v>
      </c>
      <c r="AR3469" s="2">
        <v>11237.2669058916</v>
      </c>
      <c r="AS3469" s="2">
        <v>13192.8946975416</v>
      </c>
      <c r="AT3469" s="2">
        <v>13504.544502705399</v>
      </c>
      <c r="AU3469" s="2">
        <v>8396.1534039433209</v>
      </c>
      <c r="AV3469" s="2">
        <v>7816.3111989858799</v>
      </c>
      <c r="AW3469" s="2">
        <v>17742.4810375542</v>
      </c>
      <c r="AX3469" s="2">
        <v>27186.9009255243</v>
      </c>
    </row>
    <row r="3470" spans="1:50" x14ac:dyDescent="0.25">
      <c r="A3470" s="2" t="s">
        <v>23045</v>
      </c>
      <c r="B3470" s="2">
        <v>369.01841533704197</v>
      </c>
      <c r="C3470" s="2">
        <v>4.8192833333333303</v>
      </c>
      <c r="D3470" s="2" t="s">
        <v>51</v>
      </c>
      <c r="E3470" s="2" t="s">
        <v>23046</v>
      </c>
      <c r="F3470" s="2">
        <v>256895</v>
      </c>
      <c r="G3470" s="3" t="str">
        <f>HYPERLINK("https://cloud.oebiotech.com/#/lm/network/256895", "https://cloud.oebiotech.com/#/lm/network/256895")</f>
        <v>https://cloud.oebiotech.com/#/lm/network/256895</v>
      </c>
      <c r="H3470" s="2" t="s">
        <v>23047</v>
      </c>
      <c r="I3470" s="2"/>
      <c r="J3470" s="2"/>
      <c r="K3470" s="2">
        <v>4480095</v>
      </c>
      <c r="L3470" s="2"/>
      <c r="M3470" s="2"/>
      <c r="N3470" s="2"/>
      <c r="O3470" s="2"/>
      <c r="P3470" s="2"/>
      <c r="Q3470" s="2"/>
      <c r="R3470" s="2"/>
      <c r="S3470" s="2" t="s">
        <v>23048</v>
      </c>
      <c r="T3470" s="2" t="s">
        <v>23049</v>
      </c>
      <c r="U3470" s="2" t="s">
        <v>331</v>
      </c>
      <c r="V3470" s="2" t="s">
        <v>332</v>
      </c>
      <c r="W3470" s="2" t="s">
        <v>333</v>
      </c>
      <c r="X3470" s="2" t="s">
        <v>147</v>
      </c>
      <c r="Y3470" s="2">
        <v>38.700000000000003</v>
      </c>
      <c r="Z3470" s="2">
        <v>12.9</v>
      </c>
      <c r="AA3470" s="2" t="s">
        <v>379</v>
      </c>
      <c r="AB3470" s="2" t="s">
        <v>23050</v>
      </c>
      <c r="AC3470" s="2">
        <v>-2.4645074930083801</v>
      </c>
      <c r="AD3470" s="2"/>
      <c r="AE3470" s="2">
        <v>0.160762122503425</v>
      </c>
      <c r="AF3470" s="2">
        <v>4635.69527425468</v>
      </c>
      <c r="AG3470" s="2">
        <v>3228.8555436316301</v>
      </c>
      <c r="AH3470" s="5">
        <v>1.43570847676905</v>
      </c>
      <c r="AI3470" s="5">
        <v>0.52176283703256399</v>
      </c>
      <c r="AJ3470" s="5" t="s">
        <v>139</v>
      </c>
      <c r="AK3470" s="2">
        <v>0.24780426564809399</v>
      </c>
      <c r="AL3470" s="2">
        <v>0.57136317761251598</v>
      </c>
      <c r="AM3470" s="2">
        <v>4434.3862972266097</v>
      </c>
      <c r="AN3470" s="2">
        <v>2370.2102874925199</v>
      </c>
      <c r="AO3470" s="2">
        <v>2291.5610297394401</v>
      </c>
      <c r="AP3470" s="2">
        <v>4280.6591712386498</v>
      </c>
      <c r="AQ3470" s="2">
        <v>9131.5733478518796</v>
      </c>
      <c r="AR3470" s="2">
        <v>5305.7815119789902</v>
      </c>
      <c r="AS3470" s="2">
        <v>3200.4136526303</v>
      </c>
      <c r="AT3470" s="2">
        <v>5518.7551888001899</v>
      </c>
      <c r="AU3470" s="2">
        <v>2907.7306298490798</v>
      </c>
      <c r="AV3470" s="2">
        <v>3531.5460905397099</v>
      </c>
      <c r="AW3470" s="2">
        <v>2163.0373914922602</v>
      </c>
      <c r="AX3470" s="2">
        <v>2051.6503084782598</v>
      </c>
    </row>
    <row r="3471" spans="1:50" x14ac:dyDescent="0.25">
      <c r="A3471" s="2" t="s">
        <v>23051</v>
      </c>
      <c r="B3471" s="2">
        <v>284.05810530089798</v>
      </c>
      <c r="C3471" s="2">
        <v>5.2433500000000004</v>
      </c>
      <c r="D3471" s="2" t="s">
        <v>51</v>
      </c>
      <c r="E3471" s="2" t="s">
        <v>23052</v>
      </c>
      <c r="F3471" s="2">
        <v>82651</v>
      </c>
      <c r="G3471" s="3" t="str">
        <f>HYPERLINK("https://cloud.oebiotech.com/#/lm/network/82651", "https://cloud.oebiotech.com/#/lm/network/82651")</f>
        <v>https://cloud.oebiotech.com/#/lm/network/82651</v>
      </c>
      <c r="H3471" s="2" t="s">
        <v>23053</v>
      </c>
      <c r="I3471" s="2">
        <v>313872</v>
      </c>
      <c r="J3471" s="2"/>
      <c r="K3471" s="2">
        <v>676166</v>
      </c>
      <c r="L3471" s="2"/>
      <c r="M3471" s="2"/>
      <c r="N3471" s="2"/>
      <c r="O3471" s="2"/>
      <c r="P3471" s="2"/>
      <c r="Q3471" s="2"/>
      <c r="R3471" s="2"/>
      <c r="S3471" s="2" t="s">
        <v>23054</v>
      </c>
      <c r="T3471" s="2" t="s">
        <v>23055</v>
      </c>
      <c r="U3471" s="2" t="s">
        <v>295</v>
      </c>
      <c r="V3471" s="2" t="s">
        <v>5395</v>
      </c>
      <c r="W3471" s="2" t="s">
        <v>240</v>
      </c>
      <c r="X3471" s="2" t="s">
        <v>147</v>
      </c>
      <c r="Y3471" s="2">
        <v>39.9</v>
      </c>
      <c r="Z3471" s="2">
        <v>7.62</v>
      </c>
      <c r="AA3471" s="2" t="s">
        <v>122</v>
      </c>
      <c r="AB3471" s="2" t="s">
        <v>23056</v>
      </c>
      <c r="AC3471" s="2">
        <v>0.63127482591471995</v>
      </c>
      <c r="AD3471" s="2"/>
      <c r="AE3471" s="2">
        <v>0.16073571165183201</v>
      </c>
      <c r="AF3471" s="2">
        <v>12861.693205703999</v>
      </c>
      <c r="AG3471" s="2">
        <v>12363.4433370441</v>
      </c>
      <c r="AH3471" s="5">
        <v>1.0403002509152901</v>
      </c>
      <c r="AI3471" s="5">
        <v>5.6999978356539902E-2</v>
      </c>
      <c r="AJ3471" s="5" t="s">
        <v>139</v>
      </c>
      <c r="AK3471" s="2">
        <v>0.97346591776479297</v>
      </c>
      <c r="AL3471" s="2">
        <v>0.98931094348535698</v>
      </c>
      <c r="AM3471" s="2">
        <v>2717.1514584106999</v>
      </c>
      <c r="AN3471" s="2">
        <v>4020.4149060231598</v>
      </c>
      <c r="AO3471" s="2">
        <v>63613.960519073902</v>
      </c>
      <c r="AP3471" s="2">
        <v>1448.28084504498</v>
      </c>
      <c r="AQ3471" s="2">
        <v>3249.38742698652</v>
      </c>
      <c r="AR3471" s="2">
        <v>2120.9640786847599</v>
      </c>
      <c r="AS3471" s="2">
        <v>1504.90061118682</v>
      </c>
      <c r="AT3471" s="2">
        <v>64823.677799900703</v>
      </c>
      <c r="AU3471" s="2">
        <v>4018.7963102142498</v>
      </c>
      <c r="AV3471" s="2">
        <v>763.66354516344404</v>
      </c>
      <c r="AW3471" s="2">
        <v>1517.9346148366301</v>
      </c>
      <c r="AX3471" s="2">
        <v>1551.6871409628</v>
      </c>
    </row>
    <row r="3472" spans="1:50" x14ac:dyDescent="0.25">
      <c r="A3472" s="2" t="s">
        <v>23057</v>
      </c>
      <c r="B3472" s="2">
        <v>345.24361405330598</v>
      </c>
      <c r="C3472" s="2">
        <v>11.8395166666667</v>
      </c>
      <c r="D3472" s="2" t="s">
        <v>51</v>
      </c>
      <c r="E3472" s="2" t="s">
        <v>23058</v>
      </c>
      <c r="F3472" s="2">
        <v>206441</v>
      </c>
      <c r="G3472" s="3" t="str">
        <f>HYPERLINK("https://cloud.oebiotech.com/#/lm/network/206441", "https://cloud.oebiotech.com/#/lm/network/206441")</f>
        <v>https://cloud.oebiotech.com/#/lm/network/206441</v>
      </c>
      <c r="H3472" s="2" t="s">
        <v>23059</v>
      </c>
      <c r="I3472" s="2"/>
      <c r="J3472" s="2"/>
      <c r="K3472" s="2">
        <v>129846313</v>
      </c>
      <c r="L3472" s="2"/>
      <c r="M3472" s="2"/>
      <c r="N3472" s="2"/>
      <c r="O3472" s="2"/>
      <c r="P3472" s="2"/>
      <c r="Q3472" s="2"/>
      <c r="R3472" s="2"/>
      <c r="S3472" s="2" t="s">
        <v>23060</v>
      </c>
      <c r="T3472" s="2" t="s">
        <v>23061</v>
      </c>
      <c r="U3472" s="2" t="s">
        <v>56</v>
      </c>
      <c r="V3472" s="2" t="s">
        <v>145</v>
      </c>
      <c r="W3472" s="2" t="s">
        <v>231</v>
      </c>
      <c r="X3472" s="2" t="s">
        <v>83</v>
      </c>
      <c r="Y3472" s="2">
        <v>44.5</v>
      </c>
      <c r="Z3472" s="2">
        <v>0</v>
      </c>
      <c r="AA3472" s="2" t="s">
        <v>259</v>
      </c>
      <c r="AB3472" s="2" t="s">
        <v>2918</v>
      </c>
      <c r="AC3472" s="2">
        <v>3.4648884756596998</v>
      </c>
      <c r="AD3472" s="2"/>
      <c r="AE3472" s="2">
        <v>0.160567637770231</v>
      </c>
      <c r="AF3472" s="2">
        <v>1087.4453226431699</v>
      </c>
      <c r="AG3472" s="2">
        <v>2561.0308650219099</v>
      </c>
      <c r="AH3472" s="4">
        <v>0.42461234555791499</v>
      </c>
      <c r="AI3472" s="4">
        <v>-1.23578177683236</v>
      </c>
      <c r="AJ3472" s="4" t="s">
        <v>62</v>
      </c>
      <c r="AK3472" s="2">
        <v>0.220062691053445</v>
      </c>
      <c r="AL3472" s="2">
        <v>0.54551657485774796</v>
      </c>
      <c r="AM3472" s="2">
        <v>512.86680824595203</v>
      </c>
      <c r="AN3472" s="2">
        <v>674.62535590419805</v>
      </c>
      <c r="AO3472" s="2">
        <v>344.418501622733</v>
      </c>
      <c r="AP3472" s="2">
        <v>3593.0359693366099</v>
      </c>
      <c r="AQ3472" s="2">
        <v>346.031955150454</v>
      </c>
      <c r="AR3472" s="2">
        <v>1053.69334559906</v>
      </c>
      <c r="AS3472" s="2">
        <v>8.559877937157E-6</v>
      </c>
      <c r="AT3472" s="2">
        <v>7016.71888177861</v>
      </c>
      <c r="AU3472" s="2">
        <v>2368.7550727814</v>
      </c>
      <c r="AV3472" s="2">
        <v>2161.4068296503801</v>
      </c>
      <c r="AW3472" s="2">
        <v>742.666009613303</v>
      </c>
      <c r="AX3472" s="2">
        <v>3076.6383877478802</v>
      </c>
    </row>
    <row r="3473" spans="1:50" x14ac:dyDescent="0.25">
      <c r="A3473" s="2" t="s">
        <v>23062</v>
      </c>
      <c r="B3473" s="2">
        <v>465.174235356682</v>
      </c>
      <c r="C3473" s="2">
        <v>6.9221166666666702</v>
      </c>
      <c r="D3473" s="2" t="s">
        <v>51</v>
      </c>
      <c r="E3473" s="2" t="s">
        <v>23063</v>
      </c>
      <c r="F3473" s="2">
        <v>212538</v>
      </c>
      <c r="G3473" s="3" t="str">
        <f>HYPERLINK("https://cloud.oebiotech.com/#/lm/network/212538", "https://cloud.oebiotech.com/#/lm/network/212538")</f>
        <v>https://cloud.oebiotech.com/#/lm/network/212538</v>
      </c>
      <c r="H3473" s="2" t="s">
        <v>23064</v>
      </c>
      <c r="I3473" s="2"/>
      <c r="J3473" s="2"/>
      <c r="K3473" s="2">
        <v>3382294</v>
      </c>
      <c r="L3473" s="2"/>
      <c r="M3473" s="2"/>
      <c r="N3473" s="2"/>
      <c r="O3473" s="2"/>
      <c r="P3473" s="2"/>
      <c r="Q3473" s="2"/>
      <c r="R3473" s="2"/>
      <c r="S3473" s="2" t="s">
        <v>23065</v>
      </c>
      <c r="T3473" s="2" t="s">
        <v>23066</v>
      </c>
      <c r="U3473" s="2" t="s">
        <v>103</v>
      </c>
      <c r="V3473" s="2" t="s">
        <v>104</v>
      </c>
      <c r="W3473" s="2" t="s">
        <v>105</v>
      </c>
      <c r="X3473" s="2" t="s">
        <v>147</v>
      </c>
      <c r="Y3473" s="2">
        <v>42.4</v>
      </c>
      <c r="Z3473" s="2">
        <v>16.399999999999999</v>
      </c>
      <c r="AA3473" s="2" t="s">
        <v>218</v>
      </c>
      <c r="AB3473" s="2" t="s">
        <v>23067</v>
      </c>
      <c r="AC3473" s="2">
        <v>0.71391758017668805</v>
      </c>
      <c r="AD3473" s="2"/>
      <c r="AE3473" s="2">
        <v>0.16043140273275699</v>
      </c>
      <c r="AF3473" s="2">
        <v>32555.509962051499</v>
      </c>
      <c r="AG3473" s="2">
        <v>38232.856497086097</v>
      </c>
      <c r="AH3473" s="4">
        <v>0.85150608520534199</v>
      </c>
      <c r="AI3473" s="4">
        <v>-0.231911254867044</v>
      </c>
      <c r="AJ3473" s="4" t="s">
        <v>62</v>
      </c>
      <c r="AK3473" s="2">
        <v>0.56302883922118196</v>
      </c>
      <c r="AL3473" s="2">
        <v>0.78064040599162898</v>
      </c>
      <c r="AM3473" s="2">
        <v>44790.308908277701</v>
      </c>
      <c r="AN3473" s="2">
        <v>24937.346518936902</v>
      </c>
      <c r="AO3473" s="2">
        <v>46184.166729612902</v>
      </c>
      <c r="AP3473" s="2">
        <v>2310.9453741801099</v>
      </c>
      <c r="AQ3473" s="2">
        <v>27510.7727803979</v>
      </c>
      <c r="AR3473" s="2">
        <v>49599.519460903197</v>
      </c>
      <c r="AS3473" s="2">
        <v>37152.202884561098</v>
      </c>
      <c r="AT3473" s="2">
        <v>34263.447889773503</v>
      </c>
      <c r="AU3473" s="2">
        <v>41888.488592291098</v>
      </c>
      <c r="AV3473" s="2">
        <v>49458.025899431697</v>
      </c>
      <c r="AW3473" s="2">
        <v>54218.779102447901</v>
      </c>
      <c r="AX3473" s="2">
        <v>12416.1946140116</v>
      </c>
    </row>
    <row r="3474" spans="1:50" x14ac:dyDescent="0.25">
      <c r="A3474" s="2" t="s">
        <v>23068</v>
      </c>
      <c r="B3474" s="2">
        <v>451.26227494642399</v>
      </c>
      <c r="C3474" s="2">
        <v>13.510733333333301</v>
      </c>
      <c r="D3474" s="2" t="s">
        <v>51</v>
      </c>
      <c r="E3474" s="2" t="s">
        <v>23069</v>
      </c>
      <c r="F3474" s="2">
        <v>204236</v>
      </c>
      <c r="G3474" s="3" t="str">
        <f>HYPERLINK("https://cloud.oebiotech.com/#/lm/network/204236", "https://cloud.oebiotech.com/#/lm/network/204236")</f>
        <v>https://cloud.oebiotech.com/#/lm/network/204236</v>
      </c>
      <c r="H3474" s="2" t="s">
        <v>23070</v>
      </c>
      <c r="I3474" s="2"/>
      <c r="J3474" s="2"/>
      <c r="K3474" s="2">
        <v>111709</v>
      </c>
      <c r="L3474" s="2"/>
      <c r="M3474" s="2"/>
      <c r="N3474" s="2"/>
      <c r="O3474" s="2"/>
      <c r="P3474" s="2"/>
      <c r="Q3474" s="2"/>
      <c r="R3474" s="2"/>
      <c r="S3474" s="2" t="s">
        <v>23071</v>
      </c>
      <c r="T3474" s="2" t="s">
        <v>23072</v>
      </c>
      <c r="U3474" s="2" t="s">
        <v>610</v>
      </c>
      <c r="V3474" s="2" t="s">
        <v>611</v>
      </c>
      <c r="W3474" s="2" t="s">
        <v>240</v>
      </c>
      <c r="X3474" s="2" t="s">
        <v>147</v>
      </c>
      <c r="Y3474" s="2">
        <v>36.6</v>
      </c>
      <c r="Z3474" s="2">
        <v>0</v>
      </c>
      <c r="AA3474" s="2" t="s">
        <v>478</v>
      </c>
      <c r="AB3474" s="2" t="s">
        <v>23073</v>
      </c>
      <c r="AC3474" s="2">
        <v>-4.3757236156950503</v>
      </c>
      <c r="AD3474" s="2"/>
      <c r="AE3474" s="2">
        <v>0.16031971993421201</v>
      </c>
      <c r="AF3474" s="2">
        <v>6726.7245930517602</v>
      </c>
      <c r="AG3474" s="2">
        <v>8048.54741175452</v>
      </c>
      <c r="AH3474" s="4">
        <v>0.83576877278845396</v>
      </c>
      <c r="AI3474" s="4">
        <v>-0.25882423929579401</v>
      </c>
      <c r="AJ3474" s="4" t="s">
        <v>62</v>
      </c>
      <c r="AK3474" s="2">
        <v>0.24882035899913299</v>
      </c>
      <c r="AL3474" s="2">
        <v>0.57191113874481303</v>
      </c>
      <c r="AM3474" s="2">
        <v>6841.1011769674096</v>
      </c>
      <c r="AN3474" s="2">
        <v>8311.0558010191507</v>
      </c>
      <c r="AO3474" s="2">
        <v>5530.9602204063704</v>
      </c>
      <c r="AP3474" s="2">
        <v>6426.3362227197204</v>
      </c>
      <c r="AQ3474" s="2">
        <v>9823.03091343294</v>
      </c>
      <c r="AR3474" s="2">
        <v>3427.8632237649899</v>
      </c>
      <c r="AS3474" s="2">
        <v>7564.8844778698804</v>
      </c>
      <c r="AT3474" s="2">
        <v>9245.2948506866705</v>
      </c>
      <c r="AU3474" s="2">
        <v>5920.0347059530604</v>
      </c>
      <c r="AV3474" s="2">
        <v>9219.8916787337293</v>
      </c>
      <c r="AW3474" s="2">
        <v>9363.4560703536808</v>
      </c>
      <c r="AX3474" s="2">
        <v>6977.7226869301003</v>
      </c>
    </row>
    <row r="3475" spans="1:50" x14ac:dyDescent="0.25">
      <c r="A3475" s="2" t="s">
        <v>23074</v>
      </c>
      <c r="B3475" s="2">
        <v>321.21842124497999</v>
      </c>
      <c r="C3475" s="2">
        <v>4.1329500000000001</v>
      </c>
      <c r="D3475" s="2" t="s">
        <v>51</v>
      </c>
      <c r="E3475" s="2" t="s">
        <v>23075</v>
      </c>
      <c r="F3475" s="2">
        <v>212667</v>
      </c>
      <c r="G3475" s="3" t="str">
        <f>HYPERLINK("https://cloud.oebiotech.com/#/lm/network/212667", "https://cloud.oebiotech.com/#/lm/network/212667")</f>
        <v>https://cloud.oebiotech.com/#/lm/network/212667</v>
      </c>
      <c r="H3475" s="2" t="s">
        <v>23076</v>
      </c>
      <c r="I3475" s="2"/>
      <c r="J3475" s="2"/>
      <c r="K3475" s="2">
        <v>53899833</v>
      </c>
      <c r="L3475" s="2"/>
      <c r="M3475" s="2"/>
      <c r="N3475" s="2"/>
      <c r="O3475" s="2"/>
      <c r="P3475" s="2"/>
      <c r="Q3475" s="2"/>
      <c r="R3475" s="2"/>
      <c r="S3475" s="2" t="s">
        <v>23077</v>
      </c>
      <c r="T3475" s="2" t="s">
        <v>23078</v>
      </c>
      <c r="U3475" s="2" t="s">
        <v>610</v>
      </c>
      <c r="V3475" s="2" t="s">
        <v>895</v>
      </c>
      <c r="W3475" s="2" t="s">
        <v>919</v>
      </c>
      <c r="X3475" s="2" t="s">
        <v>147</v>
      </c>
      <c r="Y3475" s="2">
        <v>39.1</v>
      </c>
      <c r="Z3475" s="2">
        <v>0</v>
      </c>
      <c r="AA3475" s="2" t="s">
        <v>95</v>
      </c>
      <c r="AB3475" s="2" t="s">
        <v>23079</v>
      </c>
      <c r="AC3475" s="2">
        <v>-1.55925695506937</v>
      </c>
      <c r="AD3475" s="2"/>
      <c r="AE3475" s="2">
        <v>0.16027476432697299</v>
      </c>
      <c r="AF3475" s="2">
        <v>3105.5499692569301</v>
      </c>
      <c r="AG3475" s="2">
        <v>4140.3902836387497</v>
      </c>
      <c r="AH3475" s="4">
        <v>0.75006213340053596</v>
      </c>
      <c r="AI3475" s="4">
        <v>-0.41491798483089998</v>
      </c>
      <c r="AJ3475" s="4" t="s">
        <v>62</v>
      </c>
      <c r="AK3475" s="2">
        <v>0.76510816749285304</v>
      </c>
      <c r="AL3475" s="2">
        <v>0.89335966373193099</v>
      </c>
      <c r="AM3475" s="2">
        <v>1472.0608192643999</v>
      </c>
      <c r="AN3475" s="2">
        <v>638.78551194183103</v>
      </c>
      <c r="AO3475" s="2">
        <v>508.00059148733197</v>
      </c>
      <c r="AP3475" s="2">
        <v>15509.5285627009</v>
      </c>
      <c r="AQ3475" s="2">
        <v>272.95010848490699</v>
      </c>
      <c r="AR3475" s="2">
        <v>231.974221662226</v>
      </c>
      <c r="AS3475" s="2">
        <v>5294.2850723086603</v>
      </c>
      <c r="AT3475" s="2">
        <v>323.38094724253199</v>
      </c>
      <c r="AU3475" s="2">
        <v>255.54474310544299</v>
      </c>
      <c r="AV3475" s="2">
        <v>8.559877937157E-6</v>
      </c>
      <c r="AW3475" s="2">
        <v>4490.7336907301096</v>
      </c>
      <c r="AX3475" s="2">
        <v>14478.3972398859</v>
      </c>
    </row>
    <row r="3476" spans="1:50" x14ac:dyDescent="0.25">
      <c r="A3476" s="2" t="s">
        <v>23080</v>
      </c>
      <c r="B3476" s="2">
        <v>385.03708635599702</v>
      </c>
      <c r="C3476" s="2">
        <v>3.5852833333333298</v>
      </c>
      <c r="D3476" s="2" t="s">
        <v>51</v>
      </c>
      <c r="E3476" s="2" t="s">
        <v>23081</v>
      </c>
      <c r="F3476" s="2">
        <v>209710</v>
      </c>
      <c r="G3476" s="3" t="str">
        <f>HYPERLINK("https://cloud.oebiotech.com/#/lm/network/209710", "https://cloud.oebiotech.com/#/lm/network/209710")</f>
        <v>https://cloud.oebiotech.com/#/lm/network/209710</v>
      </c>
      <c r="H3476" s="2" t="s">
        <v>23082</v>
      </c>
      <c r="I3476" s="2">
        <v>69723</v>
      </c>
      <c r="J3476" s="2"/>
      <c r="K3476" s="2">
        <v>4552</v>
      </c>
      <c r="L3476" s="2" t="s">
        <v>23083</v>
      </c>
      <c r="M3476" s="2"/>
      <c r="N3476" s="2"/>
      <c r="O3476" s="2">
        <v>34879</v>
      </c>
      <c r="P3476" s="2"/>
      <c r="Q3476" s="2"/>
      <c r="R3476" s="2" t="s">
        <v>23084</v>
      </c>
      <c r="S3476" s="2" t="s">
        <v>23085</v>
      </c>
      <c r="T3476" s="2" t="s">
        <v>23086</v>
      </c>
      <c r="U3476" s="2" t="s">
        <v>266</v>
      </c>
      <c r="V3476" s="2" t="s">
        <v>2963</v>
      </c>
      <c r="W3476" s="2" t="s">
        <v>23087</v>
      </c>
      <c r="X3476" s="2" t="s">
        <v>147</v>
      </c>
      <c r="Y3476" s="2">
        <v>39.200000000000003</v>
      </c>
      <c r="Z3476" s="2">
        <v>15.8</v>
      </c>
      <c r="AA3476" s="2" t="s">
        <v>95</v>
      </c>
      <c r="AB3476" s="2" t="s">
        <v>23088</v>
      </c>
      <c r="AC3476" s="2">
        <v>-3.12429890247622</v>
      </c>
      <c r="AD3476" s="2"/>
      <c r="AE3476" s="2">
        <v>0.16006611836915</v>
      </c>
      <c r="AF3476" s="2">
        <v>5367.2578400582997</v>
      </c>
      <c r="AG3476" s="2">
        <v>6852.6676138052699</v>
      </c>
      <c r="AH3476" s="4">
        <v>0.78323627272472796</v>
      </c>
      <c r="AI3476" s="4">
        <v>-0.35248051525178298</v>
      </c>
      <c r="AJ3476" s="4" t="s">
        <v>62</v>
      </c>
      <c r="AK3476" s="2">
        <v>0.35188542461661398</v>
      </c>
      <c r="AL3476" s="2">
        <v>0.64281346644579596</v>
      </c>
      <c r="AM3476" s="2">
        <v>3088.1950483317801</v>
      </c>
      <c r="AN3476" s="2">
        <v>6214.9118237502398</v>
      </c>
      <c r="AO3476" s="2">
        <v>5087.63823325064</v>
      </c>
      <c r="AP3476" s="2">
        <v>7175.65173208751</v>
      </c>
      <c r="AQ3476" s="2">
        <v>6517.6043421612803</v>
      </c>
      <c r="AR3476" s="2">
        <v>4119.5458607683404</v>
      </c>
      <c r="AS3476" s="2">
        <v>7368.7793314549899</v>
      </c>
      <c r="AT3476" s="2">
        <v>10883.0018044809</v>
      </c>
      <c r="AU3476" s="2">
        <v>4749.8942074925098</v>
      </c>
      <c r="AV3476" s="2">
        <v>1385.7919446496901</v>
      </c>
      <c r="AW3476" s="2">
        <v>7389.7055542688604</v>
      </c>
      <c r="AX3476" s="2">
        <v>9338.8328404846907</v>
      </c>
    </row>
    <row r="3477" spans="1:50" x14ac:dyDescent="0.25">
      <c r="A3477" s="2" t="s">
        <v>23089</v>
      </c>
      <c r="B3477" s="2">
        <v>347.186003196831</v>
      </c>
      <c r="C3477" s="2">
        <v>7.3032833333333302</v>
      </c>
      <c r="D3477" s="2" t="s">
        <v>51</v>
      </c>
      <c r="E3477" s="2" t="s">
        <v>23090</v>
      </c>
      <c r="F3477" s="2">
        <v>3815</v>
      </c>
      <c r="G3477" s="3" t="str">
        <f>HYPERLINK("https://cloud.oebiotech.com/#/lm/network/3815", "https://cloud.oebiotech.com/#/lm/network/3815")</f>
        <v>https://cloud.oebiotech.com/#/lm/network/3815</v>
      </c>
      <c r="H3477" s="2"/>
      <c r="I3477" s="2">
        <v>74979</v>
      </c>
      <c r="J3477" s="2" t="s">
        <v>23091</v>
      </c>
      <c r="K3477" s="2">
        <v>52921879</v>
      </c>
      <c r="L3477" s="2"/>
      <c r="M3477" s="2"/>
      <c r="N3477" s="2"/>
      <c r="O3477" s="2"/>
      <c r="P3477" s="2"/>
      <c r="Q3477" s="2"/>
      <c r="R3477" s="2"/>
      <c r="S3477" s="2" t="s">
        <v>23092</v>
      </c>
      <c r="T3477" s="2" t="s">
        <v>23093</v>
      </c>
      <c r="U3477" s="2" t="s">
        <v>56</v>
      </c>
      <c r="V3477" s="2" t="s">
        <v>145</v>
      </c>
      <c r="W3477" s="2" t="s">
        <v>187</v>
      </c>
      <c r="X3477" s="2" t="s">
        <v>83</v>
      </c>
      <c r="Y3477" s="2">
        <v>54.8</v>
      </c>
      <c r="Z3477" s="2">
        <v>0</v>
      </c>
      <c r="AA3477" s="2" t="s">
        <v>95</v>
      </c>
      <c r="AB3477" s="2" t="s">
        <v>23094</v>
      </c>
      <c r="AC3477" s="2">
        <v>9.5884692395699993</v>
      </c>
      <c r="AD3477" s="2"/>
      <c r="AE3477" s="2">
        <v>0.160052382660928</v>
      </c>
      <c r="AF3477" s="2">
        <v>2509.4488778447299</v>
      </c>
      <c r="AG3477" s="2">
        <v>1673.3059693503601</v>
      </c>
      <c r="AH3477" s="5">
        <v>1.49969516861222</v>
      </c>
      <c r="AI3477" s="5">
        <v>0.58466928510540395</v>
      </c>
      <c r="AJ3477" s="5" t="s">
        <v>139</v>
      </c>
      <c r="AK3477" s="2">
        <v>0.20073598807809201</v>
      </c>
      <c r="AL3477" s="2">
        <v>0.524812102806965</v>
      </c>
      <c r="AM3477" s="2">
        <v>2473.93650408947</v>
      </c>
      <c r="AN3477" s="2">
        <v>4539.61339010551</v>
      </c>
      <c r="AO3477" s="2">
        <v>2272.0615608571702</v>
      </c>
      <c r="AP3477" s="2">
        <v>1993.6696928016199</v>
      </c>
      <c r="AQ3477" s="2">
        <v>1454.80963145288</v>
      </c>
      <c r="AR3477" s="2">
        <v>2322.6024877617601</v>
      </c>
      <c r="AS3477" s="2">
        <v>2416.76317147912</v>
      </c>
      <c r="AT3477" s="2">
        <v>872.472895524504</v>
      </c>
      <c r="AU3477" s="2">
        <v>3490.5131459231202</v>
      </c>
      <c r="AV3477" s="2">
        <v>900.44792538924196</v>
      </c>
      <c r="AW3477" s="2">
        <v>1234.3230681948401</v>
      </c>
      <c r="AX3477" s="2">
        <v>1125.31560959136</v>
      </c>
    </row>
    <row r="3478" spans="1:50" x14ac:dyDescent="0.25">
      <c r="A3478" s="2" t="s">
        <v>23095</v>
      </c>
      <c r="B3478" s="2">
        <v>410.15742495136999</v>
      </c>
      <c r="C3478" s="2">
        <v>3.9216000000000002</v>
      </c>
      <c r="D3478" s="2" t="s">
        <v>51</v>
      </c>
      <c r="E3478" s="2" t="s">
        <v>23096</v>
      </c>
      <c r="F3478" s="2">
        <v>259144</v>
      </c>
      <c r="G3478" s="3" t="str">
        <f>HYPERLINK("https://cloud.oebiotech.com/#/lm/network/259144", "https://cloud.oebiotech.com/#/lm/network/259144")</f>
        <v>https://cloud.oebiotech.com/#/lm/network/259144</v>
      </c>
      <c r="H3478" s="2"/>
      <c r="I3478" s="2">
        <v>16343</v>
      </c>
      <c r="J3478" s="2"/>
      <c r="K3478" s="2">
        <v>471580</v>
      </c>
      <c r="L3478" s="2"/>
      <c r="M3478" s="2"/>
      <c r="N3478" s="2"/>
      <c r="O3478" s="2"/>
      <c r="P3478" s="2"/>
      <c r="Q3478" s="2"/>
      <c r="R3478" s="2"/>
      <c r="S3478" s="2" t="s">
        <v>23097</v>
      </c>
      <c r="T3478" s="2" t="s">
        <v>23098</v>
      </c>
      <c r="U3478" s="2" t="s">
        <v>103</v>
      </c>
      <c r="V3478" s="2" t="s">
        <v>104</v>
      </c>
      <c r="W3478" s="2" t="s">
        <v>105</v>
      </c>
      <c r="X3478" s="2" t="s">
        <v>83</v>
      </c>
      <c r="Y3478" s="2">
        <v>50.5</v>
      </c>
      <c r="Z3478" s="2">
        <v>40.6</v>
      </c>
      <c r="AA3478" s="2" t="s">
        <v>259</v>
      </c>
      <c r="AB3478" s="2" t="s">
        <v>23099</v>
      </c>
      <c r="AC3478" s="2">
        <v>3.9931976326131</v>
      </c>
      <c r="AD3478" s="2"/>
      <c r="AE3478" s="2">
        <v>0.15998841972462799</v>
      </c>
      <c r="AF3478" s="2">
        <v>8046.9813403558401</v>
      </c>
      <c r="AG3478" s="2">
        <v>16117.1141149002</v>
      </c>
      <c r="AH3478" s="4">
        <v>0.49928177482570801</v>
      </c>
      <c r="AI3478" s="4">
        <v>-1.0020738496422601</v>
      </c>
      <c r="AJ3478" s="4" t="s">
        <v>62</v>
      </c>
      <c r="AK3478" s="2">
        <v>0.55069807230343204</v>
      </c>
      <c r="AL3478" s="2">
        <v>0.77201758093635797</v>
      </c>
      <c r="AM3478" s="2">
        <v>16316.645630610799</v>
      </c>
      <c r="AN3478" s="2">
        <v>7546.6291576097401</v>
      </c>
      <c r="AO3478" s="2">
        <v>10853.3284409345</v>
      </c>
      <c r="AP3478" s="2">
        <v>3560.97824941823</v>
      </c>
      <c r="AQ3478" s="2">
        <v>2426.3279671525302</v>
      </c>
      <c r="AR3478" s="2">
        <v>7577.9785964092698</v>
      </c>
      <c r="AS3478" s="2">
        <v>8.559877937157E-6</v>
      </c>
      <c r="AT3478" s="2">
        <v>282.97089785019</v>
      </c>
      <c r="AU3478" s="2">
        <v>79502.800895335298</v>
      </c>
      <c r="AV3478" s="2">
        <v>15187.7940968066</v>
      </c>
      <c r="AW3478" s="2">
        <v>1554.1208557944001</v>
      </c>
      <c r="AX3478" s="2">
        <v>174.997935054805</v>
      </c>
    </row>
    <row r="3479" spans="1:50" x14ac:dyDescent="0.25">
      <c r="A3479" s="2" t="s">
        <v>23100</v>
      </c>
      <c r="B3479" s="2">
        <v>423.15347978595901</v>
      </c>
      <c r="C3479" s="2">
        <v>4.6271666666666702</v>
      </c>
      <c r="D3479" s="2" t="s">
        <v>51</v>
      </c>
      <c r="E3479" s="2" t="s">
        <v>23101</v>
      </c>
      <c r="F3479" s="2">
        <v>200975</v>
      </c>
      <c r="G3479" s="3" t="str">
        <f>HYPERLINK("https://cloud.oebiotech.com/#/lm/network/200975", "https://cloud.oebiotech.com/#/lm/network/200975")</f>
        <v>https://cloud.oebiotech.com/#/lm/network/200975</v>
      </c>
      <c r="H3479" s="2" t="s">
        <v>23102</v>
      </c>
      <c r="I3479" s="2"/>
      <c r="J3479" s="2"/>
      <c r="K3479" s="2">
        <v>355836</v>
      </c>
      <c r="L3479" s="2"/>
      <c r="M3479" s="2"/>
      <c r="N3479" s="2"/>
      <c r="O3479" s="2"/>
      <c r="P3479" s="2"/>
      <c r="Q3479" s="2"/>
      <c r="R3479" s="2"/>
      <c r="S3479" s="2" t="s">
        <v>23103</v>
      </c>
      <c r="T3479" s="2" t="s">
        <v>23104</v>
      </c>
      <c r="U3479" s="2" t="s">
        <v>295</v>
      </c>
      <c r="V3479" s="2" t="s">
        <v>1818</v>
      </c>
      <c r="W3479" s="2" t="s">
        <v>8257</v>
      </c>
      <c r="X3479" s="2" t="s">
        <v>147</v>
      </c>
      <c r="Y3479" s="2">
        <v>39.299999999999997</v>
      </c>
      <c r="Z3479" s="2">
        <v>6.4</v>
      </c>
      <c r="AA3479" s="2" t="s">
        <v>478</v>
      </c>
      <c r="AB3479" s="2" t="s">
        <v>8901</v>
      </c>
      <c r="AC3479" s="2">
        <v>3.1650189899646399</v>
      </c>
      <c r="AD3479" s="2"/>
      <c r="AE3479" s="2">
        <v>0.15996006021999401</v>
      </c>
      <c r="AF3479" s="2">
        <v>3076.3740689414299</v>
      </c>
      <c r="AG3479" s="2">
        <v>4498.5629084656503</v>
      </c>
      <c r="AH3479" s="4">
        <v>0.68385707425634501</v>
      </c>
      <c r="AI3479" s="4">
        <v>-0.54823326072318601</v>
      </c>
      <c r="AJ3479" s="4" t="s">
        <v>62</v>
      </c>
      <c r="AK3479" s="2">
        <v>0.56676149342163096</v>
      </c>
      <c r="AL3479" s="2">
        <v>0.78252627591726198</v>
      </c>
      <c r="AM3479" s="2">
        <v>1339.2671488378101</v>
      </c>
      <c r="AN3479" s="2">
        <v>3684.87719089539</v>
      </c>
      <c r="AO3479" s="2">
        <v>3482.4722670462002</v>
      </c>
      <c r="AP3479" s="2">
        <v>2295.0933146545499</v>
      </c>
      <c r="AQ3479" s="2">
        <v>2839.4027177994099</v>
      </c>
      <c r="AR3479" s="2">
        <v>4817.1317744152502</v>
      </c>
      <c r="AS3479" s="2">
        <v>3122.1885711559498</v>
      </c>
      <c r="AT3479" s="2">
        <v>2639.7361096224099</v>
      </c>
      <c r="AU3479" s="2">
        <v>611.36467481083002</v>
      </c>
      <c r="AV3479" s="2">
        <v>223.20848265405701</v>
      </c>
      <c r="AW3479" s="2">
        <v>15764.528080892</v>
      </c>
      <c r="AX3479" s="2">
        <v>4630.35153165866</v>
      </c>
    </row>
    <row r="3480" spans="1:50" x14ac:dyDescent="0.25">
      <c r="A3480" s="2" t="s">
        <v>23105</v>
      </c>
      <c r="B3480" s="2">
        <v>405.17394780116598</v>
      </c>
      <c r="C3480" s="2">
        <v>13.262283333333301</v>
      </c>
      <c r="D3480" s="2" t="s">
        <v>51</v>
      </c>
      <c r="E3480" s="2" t="s">
        <v>23106</v>
      </c>
      <c r="F3480" s="2">
        <v>53723</v>
      </c>
      <c r="G3480" s="3" t="str">
        <f>HYPERLINK("https://cloud.oebiotech.com/#/lm/network/53723", "https://cloud.oebiotech.com/#/lm/network/53723")</f>
        <v>https://cloud.oebiotech.com/#/lm/network/53723</v>
      </c>
      <c r="H3480" s="2" t="s">
        <v>23107</v>
      </c>
      <c r="I3480" s="2">
        <v>23728</v>
      </c>
      <c r="J3480" s="2"/>
      <c r="K3480" s="2">
        <v>1549440</v>
      </c>
      <c r="L3480" s="2"/>
      <c r="M3480" s="2"/>
      <c r="N3480" s="2"/>
      <c r="O3480" s="2">
        <v>73330</v>
      </c>
      <c r="P3480" s="2"/>
      <c r="Q3480" s="2"/>
      <c r="R3480" s="2" t="s">
        <v>23108</v>
      </c>
      <c r="S3480" s="2" t="s">
        <v>23109</v>
      </c>
      <c r="T3480" s="2" t="s">
        <v>23110</v>
      </c>
      <c r="U3480" s="2" t="s">
        <v>103</v>
      </c>
      <c r="V3480" s="2" t="s">
        <v>104</v>
      </c>
      <c r="W3480" s="2" t="s">
        <v>105</v>
      </c>
      <c r="X3480" s="2" t="s">
        <v>147</v>
      </c>
      <c r="Y3480" s="2">
        <v>39.6</v>
      </c>
      <c r="Z3480" s="2">
        <v>7.34</v>
      </c>
      <c r="AA3480" s="2" t="s">
        <v>478</v>
      </c>
      <c r="AB3480" s="2" t="s">
        <v>23111</v>
      </c>
      <c r="AC3480" s="2">
        <v>3.0562876584713902E-2</v>
      </c>
      <c r="AD3480" s="2"/>
      <c r="AE3480" s="2">
        <v>0.15994301613110201</v>
      </c>
      <c r="AF3480" s="2">
        <v>464.33657008989798</v>
      </c>
      <c r="AG3480" s="2">
        <v>1821.92363180299</v>
      </c>
      <c r="AH3480" s="4">
        <v>0.25486061105118102</v>
      </c>
      <c r="AI3480" s="4">
        <v>-1.97221967418388</v>
      </c>
      <c r="AJ3480" s="4" t="s">
        <v>62</v>
      </c>
      <c r="AK3480" s="2">
        <v>0.205526445458145</v>
      </c>
      <c r="AL3480" s="2">
        <v>0.53096870391533402</v>
      </c>
      <c r="AM3480" s="2">
        <v>220.779023087459</v>
      </c>
      <c r="AN3480" s="2">
        <v>8.559877937157E-6</v>
      </c>
      <c r="AO3480" s="2">
        <v>239.58226337663601</v>
      </c>
      <c r="AP3480" s="2">
        <v>808.68644226857896</v>
      </c>
      <c r="AQ3480" s="2">
        <v>911.75479046128203</v>
      </c>
      <c r="AR3480" s="2">
        <v>605.21689278555402</v>
      </c>
      <c r="AS3480" s="2">
        <v>424.76893875586597</v>
      </c>
      <c r="AT3480" s="2">
        <v>8.559877937157E-6</v>
      </c>
      <c r="AU3480" s="2">
        <v>6484.7951068230795</v>
      </c>
      <c r="AV3480" s="2">
        <v>268.18381171656898</v>
      </c>
      <c r="AW3480" s="2">
        <v>2048.3593941211602</v>
      </c>
      <c r="AX3480" s="2">
        <v>1705.4345308413999</v>
      </c>
    </row>
    <row r="3481" spans="1:50" x14ac:dyDescent="0.25">
      <c r="A3481" s="2" t="s">
        <v>23112</v>
      </c>
      <c r="B3481" s="2">
        <v>278.24875389586299</v>
      </c>
      <c r="C3481" s="2">
        <v>10.5316333333333</v>
      </c>
      <c r="D3481" s="2" t="s">
        <v>51</v>
      </c>
      <c r="E3481" s="2" t="s">
        <v>23113</v>
      </c>
      <c r="F3481" s="2">
        <v>6043</v>
      </c>
      <c r="G3481" s="3" t="str">
        <f>HYPERLINK("https://cloud.oebiotech.com/#/lm/network/6043", "https://cloud.oebiotech.com/#/lm/network/6043")</f>
        <v>https://cloud.oebiotech.com/#/lm/network/6043</v>
      </c>
      <c r="H3481" s="2"/>
      <c r="I3481" s="2">
        <v>75284</v>
      </c>
      <c r="J3481" s="2" t="s">
        <v>23114</v>
      </c>
      <c r="K3481" s="2">
        <v>11777410</v>
      </c>
      <c r="L3481" s="2"/>
      <c r="M3481" s="2"/>
      <c r="N3481" s="2"/>
      <c r="O3481" s="2">
        <v>85028</v>
      </c>
      <c r="P3481" s="2"/>
      <c r="Q3481" s="2"/>
      <c r="R3481" s="2"/>
      <c r="S3481" s="2" t="s">
        <v>23115</v>
      </c>
      <c r="T3481" s="2" t="s">
        <v>23116</v>
      </c>
      <c r="U3481" s="2" t="s">
        <v>56</v>
      </c>
      <c r="V3481" s="2" t="s">
        <v>145</v>
      </c>
      <c r="W3481" s="2" t="s">
        <v>146</v>
      </c>
      <c r="X3481" s="2" t="s">
        <v>83</v>
      </c>
      <c r="Y3481" s="2">
        <v>41.2</v>
      </c>
      <c r="Z3481" s="2">
        <v>0</v>
      </c>
      <c r="AA3481" s="2" t="s">
        <v>526</v>
      </c>
      <c r="AB3481" s="2" t="s">
        <v>23117</v>
      </c>
      <c r="AC3481" s="2">
        <v>3.5080675475776699</v>
      </c>
      <c r="AD3481" s="2"/>
      <c r="AE3481" s="2">
        <v>0.15991354099583499</v>
      </c>
      <c r="AF3481" s="2">
        <v>13752.6983624246</v>
      </c>
      <c r="AG3481" s="2">
        <v>9643.0214489389291</v>
      </c>
      <c r="AH3481" s="5">
        <v>1.4261814551846499</v>
      </c>
      <c r="AI3481" s="5">
        <v>0.51215754969254601</v>
      </c>
      <c r="AJ3481" s="5" t="s">
        <v>139</v>
      </c>
      <c r="AK3481" s="2">
        <v>0.65593531559024598</v>
      </c>
      <c r="AL3481" s="2">
        <v>0.83263445021276405</v>
      </c>
      <c r="AM3481" s="2">
        <v>5193.4955179321796</v>
      </c>
      <c r="AN3481" s="2">
        <v>2623.60770872075</v>
      </c>
      <c r="AO3481" s="2">
        <v>24386.026403638301</v>
      </c>
      <c r="AP3481" s="2">
        <v>3349.1365532557502</v>
      </c>
      <c r="AQ3481" s="2">
        <v>44199.252436987001</v>
      </c>
      <c r="AR3481" s="2">
        <v>2764.67155401335</v>
      </c>
      <c r="AS3481" s="2">
        <v>33048.081769953598</v>
      </c>
      <c r="AT3481" s="2">
        <v>2575.9278383604601</v>
      </c>
      <c r="AU3481" s="2">
        <v>19847.152264318</v>
      </c>
      <c r="AV3481" s="2">
        <v>1110.7764766421101</v>
      </c>
      <c r="AW3481" s="2">
        <v>269.85711333155598</v>
      </c>
      <c r="AX3481" s="2">
        <v>1006.3332310278701</v>
      </c>
    </row>
    <row r="3482" spans="1:50" x14ac:dyDescent="0.25">
      <c r="A3482" s="2" t="s">
        <v>23118</v>
      </c>
      <c r="B3482" s="2">
        <v>391.14034603008298</v>
      </c>
      <c r="C3482" s="2">
        <v>9.5639333333333294</v>
      </c>
      <c r="D3482" s="2" t="s">
        <v>51</v>
      </c>
      <c r="E3482" s="2" t="s">
        <v>23119</v>
      </c>
      <c r="F3482" s="2">
        <v>53592</v>
      </c>
      <c r="G3482" s="3" t="str">
        <f>HYPERLINK("https://cloud.oebiotech.com/#/lm/network/53592", "https://cloud.oebiotech.com/#/lm/network/53592")</f>
        <v>https://cloud.oebiotech.com/#/lm/network/53592</v>
      </c>
      <c r="H3482" s="2" t="s">
        <v>23120</v>
      </c>
      <c r="I3482" s="2">
        <v>321511</v>
      </c>
      <c r="J3482" s="2"/>
      <c r="K3482" s="2">
        <v>214348</v>
      </c>
      <c r="L3482" s="2"/>
      <c r="M3482" s="2"/>
      <c r="N3482" s="2"/>
      <c r="O3482" s="2">
        <v>49005</v>
      </c>
      <c r="P3482" s="2"/>
      <c r="Q3482" s="2"/>
      <c r="R3482" s="2" t="s">
        <v>23121</v>
      </c>
      <c r="S3482" s="2" t="s">
        <v>23122</v>
      </c>
      <c r="T3482" s="2" t="s">
        <v>23123</v>
      </c>
      <c r="U3482" s="2" t="s">
        <v>266</v>
      </c>
      <c r="V3482" s="2" t="s">
        <v>1585</v>
      </c>
      <c r="W3482" s="2" t="s">
        <v>23124</v>
      </c>
      <c r="X3482" s="2" t="s">
        <v>147</v>
      </c>
      <c r="Y3482" s="2">
        <v>37.799999999999997</v>
      </c>
      <c r="Z3482" s="2">
        <v>0</v>
      </c>
      <c r="AA3482" s="2" t="s">
        <v>512</v>
      </c>
      <c r="AB3482" s="2" t="s">
        <v>23125</v>
      </c>
      <c r="AC3482" s="2">
        <v>0.70898407411194597</v>
      </c>
      <c r="AD3482" s="2"/>
      <c r="AE3482" s="2">
        <v>0.15981690560089101</v>
      </c>
      <c r="AF3482" s="2">
        <v>5416.1047941206498</v>
      </c>
      <c r="AG3482" s="2">
        <v>4450.4687515259802</v>
      </c>
      <c r="AH3482" s="5">
        <v>1.2169740080218701</v>
      </c>
      <c r="AI3482" s="5">
        <v>0.28329835548106203</v>
      </c>
      <c r="AJ3482" s="5" t="s">
        <v>139</v>
      </c>
      <c r="AK3482" s="2">
        <v>0.77447024191201197</v>
      </c>
      <c r="AL3482" s="2">
        <v>0.89930575991566697</v>
      </c>
      <c r="AM3482" s="2">
        <v>5553.2132825766803</v>
      </c>
      <c r="AN3482" s="2">
        <v>9922.3199278160992</v>
      </c>
      <c r="AO3482" s="2">
        <v>5345.0566598161304</v>
      </c>
      <c r="AP3482" s="2">
        <v>2610.93437315858</v>
      </c>
      <c r="AQ3482" s="2">
        <v>4388.6236113568102</v>
      </c>
      <c r="AR3482" s="2">
        <v>4676.4809099996201</v>
      </c>
      <c r="AS3482" s="2">
        <v>4061.5589215704099</v>
      </c>
      <c r="AT3482" s="2">
        <v>19805.336279467301</v>
      </c>
      <c r="AU3482" s="2">
        <v>1271.3894464551399</v>
      </c>
      <c r="AV3482" s="2">
        <v>164.22307732720199</v>
      </c>
      <c r="AW3482" s="2">
        <v>245.159106812549</v>
      </c>
      <c r="AX3482" s="2">
        <v>1155.14567752328</v>
      </c>
    </row>
    <row r="3483" spans="1:50" x14ac:dyDescent="0.25">
      <c r="A3483" s="2" t="s">
        <v>23126</v>
      </c>
      <c r="B3483" s="2">
        <v>243.138701071182</v>
      </c>
      <c r="C3483" s="2">
        <v>8.0870666666666704</v>
      </c>
      <c r="D3483" s="2" t="s">
        <v>51</v>
      </c>
      <c r="E3483" s="2" t="s">
        <v>23127</v>
      </c>
      <c r="F3483" s="2">
        <v>60210</v>
      </c>
      <c r="G3483" s="3" t="str">
        <f>HYPERLINK("https://cloud.oebiotech.com/#/lm/network/60210", "https://cloud.oebiotech.com/#/lm/network/60210")</f>
        <v>https://cloud.oebiotech.com/#/lm/network/60210</v>
      </c>
      <c r="H3483" s="2" t="s">
        <v>23128</v>
      </c>
      <c r="I3483" s="2"/>
      <c r="J3483" s="2"/>
      <c r="K3483" s="2">
        <v>3504625</v>
      </c>
      <c r="L3483" s="2" t="s">
        <v>23129</v>
      </c>
      <c r="M3483" s="2"/>
      <c r="N3483" s="2"/>
      <c r="O3483" s="2">
        <v>172504</v>
      </c>
      <c r="P3483" s="2"/>
      <c r="Q3483" s="2"/>
      <c r="R3483" s="2" t="s">
        <v>23130</v>
      </c>
      <c r="S3483" s="2" t="s">
        <v>23131</v>
      </c>
      <c r="T3483" s="2" t="s">
        <v>23132</v>
      </c>
      <c r="U3483" s="2" t="s">
        <v>56</v>
      </c>
      <c r="V3483" s="2" t="s">
        <v>177</v>
      </c>
      <c r="W3483" s="2" t="s">
        <v>1996</v>
      </c>
      <c r="X3483" s="2" t="s">
        <v>83</v>
      </c>
      <c r="Y3483" s="2">
        <v>41.1</v>
      </c>
      <c r="Z3483" s="2">
        <v>0</v>
      </c>
      <c r="AA3483" s="2" t="s">
        <v>156</v>
      </c>
      <c r="AB3483" s="2" t="s">
        <v>23133</v>
      </c>
      <c r="AC3483" s="2">
        <v>2.8631411486578502</v>
      </c>
      <c r="AD3483" s="2"/>
      <c r="AE3483" s="2">
        <v>0.15976100101502699</v>
      </c>
      <c r="AF3483" s="2">
        <v>1564.9147086770499</v>
      </c>
      <c r="AG3483" s="2">
        <v>878.26872230716504</v>
      </c>
      <c r="AH3483" s="5">
        <v>1.7818176475260401</v>
      </c>
      <c r="AI3483" s="5">
        <v>0.83334969798707104</v>
      </c>
      <c r="AJ3483" s="5" t="s">
        <v>139</v>
      </c>
      <c r="AK3483" s="2">
        <v>0.17460778615231001</v>
      </c>
      <c r="AL3483" s="2">
        <v>0.49564171907790799</v>
      </c>
      <c r="AM3483" s="2">
        <v>3651.03834577924</v>
      </c>
      <c r="AN3483" s="2">
        <v>1070.25219094926</v>
      </c>
      <c r="AO3483" s="2">
        <v>1168.7555564105301</v>
      </c>
      <c r="AP3483" s="2">
        <v>1247.45393291342</v>
      </c>
      <c r="AQ3483" s="2">
        <v>860.69768063524998</v>
      </c>
      <c r="AR3483" s="2">
        <v>1391.29054537461</v>
      </c>
      <c r="AS3483" s="2">
        <v>1720.3390393376001</v>
      </c>
      <c r="AT3483" s="2">
        <v>1078.2221585525299</v>
      </c>
      <c r="AU3483" s="2">
        <v>766.48805355932996</v>
      </c>
      <c r="AV3483" s="2">
        <v>291.34476835504802</v>
      </c>
      <c r="AW3483" s="2">
        <v>509.57819395807599</v>
      </c>
      <c r="AX3483" s="2">
        <v>903.64012008040595</v>
      </c>
    </row>
    <row r="3484" spans="1:50" x14ac:dyDescent="0.25">
      <c r="A3484" s="2" t="s">
        <v>23134</v>
      </c>
      <c r="B3484" s="2">
        <v>315.08176001322602</v>
      </c>
      <c r="C3484" s="2">
        <v>0.69093333333333296</v>
      </c>
      <c r="D3484" s="2" t="s">
        <v>51</v>
      </c>
      <c r="E3484" s="2" t="s">
        <v>23135</v>
      </c>
      <c r="F3484" s="2">
        <v>203294</v>
      </c>
      <c r="G3484" s="3" t="str">
        <f>HYPERLINK("https://cloud.oebiotech.com/#/lm/network/203294", "https://cloud.oebiotech.com/#/lm/network/203294")</f>
        <v>https://cloud.oebiotech.com/#/lm/network/203294</v>
      </c>
      <c r="H3484" s="2" t="s">
        <v>23136</v>
      </c>
      <c r="I3484" s="2"/>
      <c r="J3484" s="2"/>
      <c r="K3484" s="2">
        <v>54079164</v>
      </c>
      <c r="L3484" s="2"/>
      <c r="M3484" s="2"/>
      <c r="N3484" s="2"/>
      <c r="O3484" s="2">
        <v>74345</v>
      </c>
      <c r="P3484" s="2"/>
      <c r="Q3484" s="2"/>
      <c r="R3484" s="2"/>
      <c r="S3484" s="2" t="s">
        <v>23137</v>
      </c>
      <c r="T3484" s="2" t="s">
        <v>23138</v>
      </c>
      <c r="U3484" s="2" t="s">
        <v>266</v>
      </c>
      <c r="V3484" s="2" t="s">
        <v>1585</v>
      </c>
      <c r="W3484" s="2" t="s">
        <v>1586</v>
      </c>
      <c r="X3484" s="2" t="s">
        <v>83</v>
      </c>
      <c r="Y3484" s="2">
        <v>39.1</v>
      </c>
      <c r="Z3484" s="2">
        <v>0</v>
      </c>
      <c r="AA3484" s="2" t="s">
        <v>478</v>
      </c>
      <c r="AB3484" s="2" t="s">
        <v>23139</v>
      </c>
      <c r="AC3484" s="2">
        <v>3.3418057389508</v>
      </c>
      <c r="AD3484" s="2"/>
      <c r="AE3484" s="2">
        <v>0.15973233569870399</v>
      </c>
      <c r="AF3484" s="2">
        <v>3874.4175862236598</v>
      </c>
      <c r="AG3484" s="2">
        <v>2740.3088580806798</v>
      </c>
      <c r="AH3484" s="5">
        <v>1.4138616436606</v>
      </c>
      <c r="AI3484" s="5">
        <v>0.49964094916369201</v>
      </c>
      <c r="AJ3484" s="5" t="s">
        <v>139</v>
      </c>
      <c r="AK3484" s="2">
        <v>0.58119277263550195</v>
      </c>
      <c r="AL3484" s="2">
        <v>0.78897394446188196</v>
      </c>
      <c r="AM3484" s="2">
        <v>4548.3050935475503</v>
      </c>
      <c r="AN3484" s="2">
        <v>10283.921182514599</v>
      </c>
      <c r="AO3484" s="2">
        <v>4663.6381768525698</v>
      </c>
      <c r="AP3484" s="2">
        <v>2723.6963840655799</v>
      </c>
      <c r="AQ3484" s="2">
        <v>1020.65033418546</v>
      </c>
      <c r="AR3484" s="2">
        <v>6.2943461761851696</v>
      </c>
      <c r="AS3484" s="2">
        <v>6.9036077548990493E-2</v>
      </c>
      <c r="AT3484" s="2">
        <v>1848.47404106147</v>
      </c>
      <c r="AU3484" s="2">
        <v>6019.6753095604099</v>
      </c>
      <c r="AV3484" s="2">
        <v>277.04955034753999</v>
      </c>
      <c r="AW3484" s="2">
        <v>7542.5441458327596</v>
      </c>
      <c r="AX3484" s="2">
        <v>754.04106560437901</v>
      </c>
    </row>
    <row r="3485" spans="1:50" x14ac:dyDescent="0.25">
      <c r="A3485" s="2" t="s">
        <v>23140</v>
      </c>
      <c r="B3485" s="2">
        <v>255.123704550875</v>
      </c>
      <c r="C3485" s="2">
        <v>5.6952833333333297</v>
      </c>
      <c r="D3485" s="2" t="s">
        <v>51</v>
      </c>
      <c r="E3485" s="2" t="s">
        <v>23141</v>
      </c>
      <c r="F3485" s="2">
        <v>10360</v>
      </c>
      <c r="G3485" s="3" t="str">
        <f>HYPERLINK("https://cloud.oebiotech.com/#/lm/network/10360", "https://cloud.oebiotech.com/#/lm/network/10360")</f>
        <v>https://cloud.oebiotech.com/#/lm/network/10360</v>
      </c>
      <c r="H3485" s="2"/>
      <c r="I3485" s="2"/>
      <c r="J3485" s="2" t="s">
        <v>23142</v>
      </c>
      <c r="K3485" s="2">
        <v>86289770</v>
      </c>
      <c r="L3485" s="2"/>
      <c r="M3485" s="2"/>
      <c r="N3485" s="2"/>
      <c r="O3485" s="2">
        <v>79132</v>
      </c>
      <c r="P3485" s="2"/>
      <c r="Q3485" s="2"/>
      <c r="R3485" s="2"/>
      <c r="S3485" s="2" t="s">
        <v>23143</v>
      </c>
      <c r="T3485" s="2" t="s">
        <v>23144</v>
      </c>
      <c r="U3485" s="2" t="s">
        <v>331</v>
      </c>
      <c r="V3485" s="2" t="s">
        <v>332</v>
      </c>
      <c r="W3485" s="2" t="s">
        <v>333</v>
      </c>
      <c r="X3485" s="2" t="s">
        <v>83</v>
      </c>
      <c r="Y3485" s="2">
        <v>42.3</v>
      </c>
      <c r="Z3485" s="2">
        <v>3.85</v>
      </c>
      <c r="AA3485" s="2" t="s">
        <v>379</v>
      </c>
      <c r="AB3485" s="2" t="s">
        <v>19480</v>
      </c>
      <c r="AC3485" s="2">
        <v>-0.33833614374596199</v>
      </c>
      <c r="AD3485" s="2"/>
      <c r="AE3485" s="2">
        <v>0.15968037280456901</v>
      </c>
      <c r="AF3485" s="2">
        <v>1226.58572795293</v>
      </c>
      <c r="AG3485" s="2">
        <v>621.12353106999501</v>
      </c>
      <c r="AH3485" s="5">
        <v>1.97478547599045</v>
      </c>
      <c r="AI3485" s="5">
        <v>0.981695939601407</v>
      </c>
      <c r="AJ3485" s="5" t="s">
        <v>139</v>
      </c>
      <c r="AK3485" s="2">
        <v>0.12139280989776299</v>
      </c>
      <c r="AL3485" s="2">
        <v>0.43825469650280902</v>
      </c>
      <c r="AM3485" s="2">
        <v>2371.65347430978</v>
      </c>
      <c r="AN3485" s="2">
        <v>1886.1549401652301</v>
      </c>
      <c r="AO3485" s="2">
        <v>678.29384457621302</v>
      </c>
      <c r="AP3485" s="2">
        <v>576.68707933681696</v>
      </c>
      <c r="AQ3485" s="2">
        <v>746.14658776528097</v>
      </c>
      <c r="AR3485" s="2">
        <v>1100.5784415642499</v>
      </c>
      <c r="AS3485" s="2">
        <v>570.92404728224403</v>
      </c>
      <c r="AT3485" s="2">
        <v>123.22349528135101</v>
      </c>
      <c r="AU3485" s="2">
        <v>1491.20880003258</v>
      </c>
      <c r="AV3485" s="2">
        <v>427.16812895286398</v>
      </c>
      <c r="AW3485" s="2">
        <v>370.95419187026403</v>
      </c>
      <c r="AX3485" s="2">
        <v>743.26252300066506</v>
      </c>
    </row>
    <row r="3486" spans="1:50" x14ac:dyDescent="0.25">
      <c r="A3486" s="2" t="s">
        <v>23145</v>
      </c>
      <c r="B3486" s="2">
        <v>743.55994422225501</v>
      </c>
      <c r="C3486" s="2">
        <v>14.459250000000001</v>
      </c>
      <c r="D3486" s="2" t="s">
        <v>51</v>
      </c>
      <c r="E3486" s="2" t="s">
        <v>23146</v>
      </c>
      <c r="F3486" s="2">
        <v>243321</v>
      </c>
      <c r="G3486" s="3" t="str">
        <f>HYPERLINK("https://cloud.oebiotech.com/#/lm/network/243321", "https://cloud.oebiotech.com/#/lm/network/243321")</f>
        <v>https://cloud.oebiotech.com/#/lm/network/243321</v>
      </c>
      <c r="H3486" s="2" t="s">
        <v>23147</v>
      </c>
      <c r="I3486" s="2"/>
      <c r="J3486" s="2"/>
      <c r="K3486" s="2"/>
      <c r="L3486" s="2"/>
      <c r="M3486" s="2"/>
      <c r="N3486" s="2"/>
      <c r="O3486" s="2"/>
      <c r="P3486" s="2"/>
      <c r="Q3486" s="2"/>
      <c r="R3486" s="2"/>
      <c r="S3486" s="2" t="s">
        <v>23148</v>
      </c>
      <c r="T3486" s="2" t="s">
        <v>23149</v>
      </c>
      <c r="U3486" s="2" t="s">
        <v>56</v>
      </c>
      <c r="V3486" s="2" t="s">
        <v>283</v>
      </c>
      <c r="W3486" s="2" t="s">
        <v>1663</v>
      </c>
      <c r="X3486" s="2" t="s">
        <v>59</v>
      </c>
      <c r="Y3486" s="2">
        <v>50.7</v>
      </c>
      <c r="Z3486" s="2">
        <v>60.6</v>
      </c>
      <c r="AA3486" s="2" t="s">
        <v>60</v>
      </c>
      <c r="AB3486" s="2" t="s">
        <v>23150</v>
      </c>
      <c r="AC3486" s="2">
        <v>2.0095321631535401</v>
      </c>
      <c r="AD3486" s="2"/>
      <c r="AE3486" s="2">
        <v>0.15962997153852501</v>
      </c>
      <c r="AF3486" s="2">
        <v>385183.77059565502</v>
      </c>
      <c r="AG3486" s="2">
        <v>373491.17195560702</v>
      </c>
      <c r="AH3486" s="5">
        <v>1.03130622493385</v>
      </c>
      <c r="AI3486" s="5">
        <v>4.4472774604089702E-2</v>
      </c>
      <c r="AJ3486" s="5" t="s">
        <v>139</v>
      </c>
      <c r="AK3486" s="2">
        <v>0.86374872441225903</v>
      </c>
      <c r="AL3486" s="2">
        <v>0.94110408824290404</v>
      </c>
      <c r="AM3486" s="2">
        <v>274607.05356687203</v>
      </c>
      <c r="AN3486" s="2">
        <v>381985.125695606</v>
      </c>
      <c r="AO3486" s="2">
        <v>350927.94374782802</v>
      </c>
      <c r="AP3486" s="2">
        <v>374280.09124419</v>
      </c>
      <c r="AQ3486" s="2">
        <v>472277.10152068897</v>
      </c>
      <c r="AR3486" s="2">
        <v>457025.30779874499</v>
      </c>
      <c r="AS3486" s="2">
        <v>361965.932572269</v>
      </c>
      <c r="AT3486" s="2">
        <v>352331.98576330103</v>
      </c>
      <c r="AU3486" s="2">
        <v>203813.171266163</v>
      </c>
      <c r="AV3486" s="2">
        <v>240326.85477373601</v>
      </c>
      <c r="AW3486" s="2">
        <v>505023.51351406099</v>
      </c>
      <c r="AX3486" s="2">
        <v>577485.57384411001</v>
      </c>
    </row>
    <row r="3487" spans="1:50" x14ac:dyDescent="0.25">
      <c r="A3487" s="2" t="s">
        <v>23151</v>
      </c>
      <c r="B3487" s="2">
        <v>187.07578700833301</v>
      </c>
      <c r="C3487" s="2">
        <v>4.8730833333333301</v>
      </c>
      <c r="D3487" s="2" t="s">
        <v>51</v>
      </c>
      <c r="E3487" s="2" t="s">
        <v>23152</v>
      </c>
      <c r="F3487" s="2">
        <v>202538</v>
      </c>
      <c r="G3487" s="3" t="str">
        <f>HYPERLINK("https://cloud.oebiotech.com/#/lm/network/202538", "https://cloud.oebiotech.com/#/lm/network/202538")</f>
        <v>https://cloud.oebiotech.com/#/lm/network/202538</v>
      </c>
      <c r="H3487" s="2" t="s">
        <v>23153</v>
      </c>
      <c r="I3487" s="2">
        <v>325496</v>
      </c>
      <c r="J3487" s="2"/>
      <c r="K3487" s="2">
        <v>1631814</v>
      </c>
      <c r="L3487" s="2"/>
      <c r="M3487" s="2"/>
      <c r="N3487" s="2"/>
      <c r="O3487" s="2"/>
      <c r="P3487" s="2"/>
      <c r="Q3487" s="2"/>
      <c r="R3487" s="2"/>
      <c r="S3487" s="2" t="s">
        <v>23154</v>
      </c>
      <c r="T3487" s="2" t="s">
        <v>23155</v>
      </c>
      <c r="U3487" s="2" t="s">
        <v>540</v>
      </c>
      <c r="V3487" s="2" t="s">
        <v>1826</v>
      </c>
      <c r="W3487" s="2" t="s">
        <v>240</v>
      </c>
      <c r="X3487" s="2" t="s">
        <v>147</v>
      </c>
      <c r="Y3487" s="2">
        <v>41.3</v>
      </c>
      <c r="Z3487" s="2">
        <v>17.899999999999999</v>
      </c>
      <c r="AA3487" s="2" t="s">
        <v>156</v>
      </c>
      <c r="AB3487" s="2" t="s">
        <v>23156</v>
      </c>
      <c r="AC3487" s="2">
        <v>2.11200350819994</v>
      </c>
      <c r="AD3487" s="2"/>
      <c r="AE3487" s="2">
        <v>0.15961054896660001</v>
      </c>
      <c r="AF3487" s="2">
        <v>860.97011406469005</v>
      </c>
      <c r="AG3487" s="2">
        <v>264.20124180341998</v>
      </c>
      <c r="AH3487" s="5">
        <v>3.2587663410957699</v>
      </c>
      <c r="AI3487" s="5">
        <v>1.7043259121785499</v>
      </c>
      <c r="AJ3487" s="5" t="s">
        <v>139</v>
      </c>
      <c r="AK3487" s="2">
        <v>8.72999224022422E-2</v>
      </c>
      <c r="AL3487" s="2">
        <v>0.38018166893268901</v>
      </c>
      <c r="AM3487" s="2">
        <v>1682.09733063826</v>
      </c>
      <c r="AN3487" s="2">
        <v>1902.41556406472</v>
      </c>
      <c r="AO3487" s="2">
        <v>236.30162060475999</v>
      </c>
      <c r="AP3487" s="2">
        <v>275.499599823479</v>
      </c>
      <c r="AQ3487" s="2">
        <v>378.27553897752398</v>
      </c>
      <c r="AR3487" s="2">
        <v>691.23103027939601</v>
      </c>
      <c r="AS3487" s="2">
        <v>549.16230585589005</v>
      </c>
      <c r="AT3487" s="2">
        <v>463.48411531696001</v>
      </c>
      <c r="AU3487" s="2">
        <v>152.170028503438</v>
      </c>
      <c r="AV3487" s="2">
        <v>44.292939333007801</v>
      </c>
      <c r="AW3487" s="2">
        <v>71.312480707417706</v>
      </c>
      <c r="AX3487" s="2">
        <v>304.78558110380499</v>
      </c>
    </row>
    <row r="3488" spans="1:50" x14ac:dyDescent="0.25">
      <c r="A3488" s="2" t="s">
        <v>23157</v>
      </c>
      <c r="B3488" s="2">
        <v>136.07609323008401</v>
      </c>
      <c r="C3488" s="2">
        <v>1.08738333333333</v>
      </c>
      <c r="D3488" s="2" t="s">
        <v>51</v>
      </c>
      <c r="E3488" s="2" t="s">
        <v>23158</v>
      </c>
      <c r="F3488" s="2">
        <v>6340</v>
      </c>
      <c r="G3488" s="3" t="str">
        <f>HYPERLINK("https://cloud.oebiotech.com/#/lm/network/6340", "https://cloud.oebiotech.com/#/lm/network/6340")</f>
        <v>https://cloud.oebiotech.com/#/lm/network/6340</v>
      </c>
      <c r="H3488" s="2" t="s">
        <v>23159</v>
      </c>
      <c r="I3488" s="2">
        <v>87321</v>
      </c>
      <c r="J3488" s="2" t="s">
        <v>23160</v>
      </c>
      <c r="K3488" s="2">
        <v>11679812</v>
      </c>
      <c r="L3488" s="2"/>
      <c r="M3488" s="2"/>
      <c r="N3488" s="2"/>
      <c r="O3488" s="2"/>
      <c r="P3488" s="2"/>
      <c r="Q3488" s="2"/>
      <c r="R3488" s="2" t="s">
        <v>23161</v>
      </c>
      <c r="S3488" s="2" t="s">
        <v>23162</v>
      </c>
      <c r="T3488" s="2" t="s">
        <v>23163</v>
      </c>
      <c r="U3488" s="2" t="s">
        <v>56</v>
      </c>
      <c r="V3488" s="2" t="s">
        <v>145</v>
      </c>
      <c r="W3488" s="2" t="s">
        <v>146</v>
      </c>
      <c r="X3488" s="2" t="s">
        <v>147</v>
      </c>
      <c r="Y3488" s="2">
        <v>39.9</v>
      </c>
      <c r="Z3488" s="2">
        <v>5.22</v>
      </c>
      <c r="AA3488" s="2" t="s">
        <v>2589</v>
      </c>
      <c r="AB3488" s="2" t="s">
        <v>23164</v>
      </c>
      <c r="AC3488" s="2">
        <v>3.41309504499718</v>
      </c>
      <c r="AD3488" s="2"/>
      <c r="AE3488" s="2">
        <v>0.159493780516656</v>
      </c>
      <c r="AF3488" s="2">
        <v>85787.518819487304</v>
      </c>
      <c r="AG3488" s="2">
        <v>81351.462272086894</v>
      </c>
      <c r="AH3488" s="5">
        <v>1.0545295244056401</v>
      </c>
      <c r="AI3488" s="5">
        <v>7.6599487845991104E-2</v>
      </c>
      <c r="AJ3488" s="5" t="s">
        <v>139</v>
      </c>
      <c r="AK3488" s="2">
        <v>0.65078772400545803</v>
      </c>
      <c r="AL3488" s="2">
        <v>0.83038202534685202</v>
      </c>
      <c r="AM3488" s="2">
        <v>83074.772683786898</v>
      </c>
      <c r="AN3488" s="2">
        <v>88783.706592912393</v>
      </c>
      <c r="AO3488" s="2">
        <v>71819.634200827801</v>
      </c>
      <c r="AP3488" s="2">
        <v>103125.467648759</v>
      </c>
      <c r="AQ3488" s="2">
        <v>99364.369442276293</v>
      </c>
      <c r="AR3488" s="2">
        <v>68557.162348361293</v>
      </c>
      <c r="AS3488" s="2">
        <v>74993.635369086405</v>
      </c>
      <c r="AT3488" s="2">
        <v>84784.040742497207</v>
      </c>
      <c r="AU3488" s="2">
        <v>77421.074826885597</v>
      </c>
      <c r="AV3488" s="2">
        <v>57717.799873953998</v>
      </c>
      <c r="AW3488" s="2">
        <v>78884.802070208301</v>
      </c>
      <c r="AX3488" s="2">
        <v>114307.42074989001</v>
      </c>
    </row>
    <row r="3489" spans="1:50" x14ac:dyDescent="0.25">
      <c r="A3489" s="2" t="s">
        <v>23165</v>
      </c>
      <c r="B3489" s="2">
        <v>233.07679628861001</v>
      </c>
      <c r="C3489" s="2">
        <v>5.6083833333333297</v>
      </c>
      <c r="D3489" s="2" t="s">
        <v>51</v>
      </c>
      <c r="E3489" s="2" t="s">
        <v>23166</v>
      </c>
      <c r="F3489" s="2">
        <v>211577</v>
      </c>
      <c r="G3489" s="3" t="str">
        <f>HYPERLINK("https://cloud.oebiotech.com/#/lm/network/211577", "https://cloud.oebiotech.com/#/lm/network/211577")</f>
        <v>https://cloud.oebiotech.com/#/lm/network/211577</v>
      </c>
      <c r="H3489" s="2" t="s">
        <v>23167</v>
      </c>
      <c r="I3489" s="2"/>
      <c r="J3489" s="2"/>
      <c r="K3489" s="2"/>
      <c r="L3489" s="2"/>
      <c r="M3489" s="2"/>
      <c r="N3489" s="2"/>
      <c r="O3489" s="2"/>
      <c r="P3489" s="2"/>
      <c r="Q3489" s="2"/>
      <c r="R3489" s="2"/>
      <c r="S3489" s="2" t="s">
        <v>23168</v>
      </c>
      <c r="T3489" s="2" t="s">
        <v>23169</v>
      </c>
      <c r="U3489" s="2" t="s">
        <v>103</v>
      </c>
      <c r="V3489" s="2" t="s">
        <v>104</v>
      </c>
      <c r="W3489" s="2" t="s">
        <v>105</v>
      </c>
      <c r="X3489" s="2" t="s">
        <v>147</v>
      </c>
      <c r="Y3489" s="2">
        <v>40.5</v>
      </c>
      <c r="Z3489" s="2">
        <v>7.81</v>
      </c>
      <c r="AA3489" s="2" t="s">
        <v>259</v>
      </c>
      <c r="AB3489" s="2" t="s">
        <v>11036</v>
      </c>
      <c r="AC3489" s="2">
        <v>-7.0044481878841006E-2</v>
      </c>
      <c r="AD3489" s="2"/>
      <c r="AE3489" s="2">
        <v>0.15948198371106201</v>
      </c>
      <c r="AF3489" s="2">
        <v>1823.5764790793301</v>
      </c>
      <c r="AG3489" s="2">
        <v>1020.5149720967401</v>
      </c>
      <c r="AH3489" s="5">
        <v>1.78691790805638</v>
      </c>
      <c r="AI3489" s="5">
        <v>0.837473357736782</v>
      </c>
      <c r="AJ3489" s="5" t="s">
        <v>139</v>
      </c>
      <c r="AK3489" s="2">
        <v>8.0425526449029894E-2</v>
      </c>
      <c r="AL3489" s="2">
        <v>0.36727539740551102</v>
      </c>
      <c r="AM3489" s="2">
        <v>1845.44882134151</v>
      </c>
      <c r="AN3489" s="2">
        <v>3137.0926419090001</v>
      </c>
      <c r="AO3489" s="2">
        <v>1256.0099360787401</v>
      </c>
      <c r="AP3489" s="2">
        <v>1084.0501617889799</v>
      </c>
      <c r="AQ3489" s="2">
        <v>1211.40184851967</v>
      </c>
      <c r="AR3489" s="2">
        <v>2407.4554648380599</v>
      </c>
      <c r="AS3489" s="2">
        <v>1669.8028089403499</v>
      </c>
      <c r="AT3489" s="2">
        <v>408.27695342158</v>
      </c>
      <c r="AU3489" s="2">
        <v>1155.9662433895101</v>
      </c>
      <c r="AV3489" s="2">
        <v>274.49995556020298</v>
      </c>
      <c r="AW3489" s="2">
        <v>940.87479713470805</v>
      </c>
      <c r="AX3489" s="2">
        <v>1673.6690741340999</v>
      </c>
    </row>
    <row r="3490" spans="1:50" x14ac:dyDescent="0.25">
      <c r="A3490" s="2" t="s">
        <v>23170</v>
      </c>
      <c r="B3490" s="2">
        <v>456.31244924643403</v>
      </c>
      <c r="C3490" s="2">
        <v>6.6433166666666699</v>
      </c>
      <c r="D3490" s="2" t="s">
        <v>51</v>
      </c>
      <c r="E3490" s="2" t="s">
        <v>23171</v>
      </c>
      <c r="F3490" s="2">
        <v>35032</v>
      </c>
      <c r="G3490" s="3" t="str">
        <f>HYPERLINK("https://cloud.oebiotech.com/#/lm/network/35032", "https://cloud.oebiotech.com/#/lm/network/35032")</f>
        <v>https://cloud.oebiotech.com/#/lm/network/35032</v>
      </c>
      <c r="H3490" s="2"/>
      <c r="I3490" s="2"/>
      <c r="J3490" s="2" t="s">
        <v>23172</v>
      </c>
      <c r="K3490" s="2"/>
      <c r="L3490" s="2"/>
      <c r="M3490" s="2"/>
      <c r="N3490" s="2"/>
      <c r="O3490" s="2"/>
      <c r="P3490" s="2"/>
      <c r="Q3490" s="2"/>
      <c r="R3490" s="2"/>
      <c r="S3490" s="2" t="s">
        <v>23173</v>
      </c>
      <c r="T3490" s="2" t="s">
        <v>23174</v>
      </c>
      <c r="U3490" s="2" t="s">
        <v>266</v>
      </c>
      <c r="V3490" s="2" t="s">
        <v>1785</v>
      </c>
      <c r="W3490" s="2" t="s">
        <v>1786</v>
      </c>
      <c r="X3490" s="2" t="s">
        <v>59</v>
      </c>
      <c r="Y3490" s="2">
        <v>49.2</v>
      </c>
      <c r="Z3490" s="2">
        <v>54.7</v>
      </c>
      <c r="AA3490" s="2" t="s">
        <v>512</v>
      </c>
      <c r="AB3490" s="2" t="s">
        <v>23175</v>
      </c>
      <c r="AC3490" s="2">
        <v>3.6826470437140602</v>
      </c>
      <c r="AD3490" s="2"/>
      <c r="AE3490" s="2">
        <v>0.15947437278564899</v>
      </c>
      <c r="AF3490" s="2">
        <v>7449.4938160559304</v>
      </c>
      <c r="AG3490" s="2">
        <v>5404.24082564523</v>
      </c>
      <c r="AH3490" s="5">
        <v>1.3784533399594601</v>
      </c>
      <c r="AI3490" s="5">
        <v>0.46305043358067799</v>
      </c>
      <c r="AJ3490" s="5" t="s">
        <v>139</v>
      </c>
      <c r="AK3490" s="2">
        <v>0.51892772202430204</v>
      </c>
      <c r="AL3490" s="2">
        <v>0.75051738992893602</v>
      </c>
      <c r="AM3490" s="2">
        <v>4814.4486092113002</v>
      </c>
      <c r="AN3490" s="2">
        <v>2814.82597377607</v>
      </c>
      <c r="AO3490" s="2">
        <v>8106.4341360031503</v>
      </c>
      <c r="AP3490" s="2">
        <v>6667.5277489063801</v>
      </c>
      <c r="AQ3490" s="2">
        <v>16087.628821353001</v>
      </c>
      <c r="AR3490" s="2">
        <v>6206.0976070856796</v>
      </c>
      <c r="AS3490" s="2">
        <v>6712.2235297303196</v>
      </c>
      <c r="AT3490" s="2">
        <v>16692.6438127238</v>
      </c>
      <c r="AU3490" s="2">
        <v>144.62577274198799</v>
      </c>
      <c r="AV3490" s="2">
        <v>2541.1320222476202</v>
      </c>
      <c r="AW3490" s="2">
        <v>2896.3575778580398</v>
      </c>
      <c r="AX3490" s="2">
        <v>3438.4622385696098</v>
      </c>
    </row>
    <row r="3491" spans="1:50" x14ac:dyDescent="0.25">
      <c r="A3491" s="2" t="s">
        <v>23176</v>
      </c>
      <c r="B3491" s="2">
        <v>344.22918000354298</v>
      </c>
      <c r="C3491" s="2">
        <v>4.0892666666666697</v>
      </c>
      <c r="D3491" s="2" t="s">
        <v>51</v>
      </c>
      <c r="E3491" s="2" t="s">
        <v>23177</v>
      </c>
      <c r="F3491" s="2">
        <v>83356</v>
      </c>
      <c r="G3491" s="3" t="str">
        <f>HYPERLINK("https://cloud.oebiotech.com/#/lm/network/83356", "https://cloud.oebiotech.com/#/lm/network/83356")</f>
        <v>https://cloud.oebiotech.com/#/lm/network/83356</v>
      </c>
      <c r="H3491" s="2" t="s">
        <v>23178</v>
      </c>
      <c r="I3491" s="2"/>
      <c r="J3491" s="2"/>
      <c r="K3491" s="2">
        <v>79718</v>
      </c>
      <c r="L3491" s="2"/>
      <c r="M3491" s="2"/>
      <c r="N3491" s="2"/>
      <c r="O3491" s="2">
        <v>44748</v>
      </c>
      <c r="P3491" s="2"/>
      <c r="Q3491" s="2"/>
      <c r="R3491" s="2" t="s">
        <v>23179</v>
      </c>
      <c r="S3491" s="2" t="s">
        <v>23180</v>
      </c>
      <c r="T3491" s="2" t="s">
        <v>23181</v>
      </c>
      <c r="U3491" s="2" t="s">
        <v>331</v>
      </c>
      <c r="V3491" s="2" t="s">
        <v>332</v>
      </c>
      <c r="W3491" s="2" t="s">
        <v>511</v>
      </c>
      <c r="X3491" s="2" t="s">
        <v>69</v>
      </c>
      <c r="Y3491" s="2">
        <v>53.8</v>
      </c>
      <c r="Z3491" s="2">
        <v>61.1</v>
      </c>
      <c r="AA3491" s="2" t="s">
        <v>148</v>
      </c>
      <c r="AB3491" s="2" t="s">
        <v>23182</v>
      </c>
      <c r="AC3491" s="2">
        <v>3.94413966818151</v>
      </c>
      <c r="AD3491" s="2"/>
      <c r="AE3491" s="2">
        <v>0.15939039070560901</v>
      </c>
      <c r="AF3491" s="2">
        <v>85998.722265213699</v>
      </c>
      <c r="AG3491" s="2">
        <v>90640.393892378794</v>
      </c>
      <c r="AH3491" s="4">
        <v>0.94879025313287602</v>
      </c>
      <c r="AI3491" s="4">
        <v>-7.5838905649621105E-2</v>
      </c>
      <c r="AJ3491" s="4" t="s">
        <v>62</v>
      </c>
      <c r="AK3491" s="2">
        <v>0.76416356144967501</v>
      </c>
      <c r="AL3491" s="2">
        <v>0.89255145865172603</v>
      </c>
      <c r="AM3491" s="2">
        <v>49338.136374577902</v>
      </c>
      <c r="AN3491" s="2">
        <v>65541.4740531266</v>
      </c>
      <c r="AO3491" s="2">
        <v>136846.71914874599</v>
      </c>
      <c r="AP3491" s="2">
        <v>67868.758877223794</v>
      </c>
      <c r="AQ3491" s="2">
        <v>110039.080673686</v>
      </c>
      <c r="AR3491" s="2">
        <v>86358.164463921697</v>
      </c>
      <c r="AS3491" s="2">
        <v>82862.872995992904</v>
      </c>
      <c r="AT3491" s="2">
        <v>122968.10754339299</v>
      </c>
      <c r="AU3491" s="2">
        <v>83419.655435975204</v>
      </c>
      <c r="AV3491" s="2">
        <v>72209.482350476304</v>
      </c>
      <c r="AW3491" s="2">
        <v>96008.812994262102</v>
      </c>
      <c r="AX3491" s="2">
        <v>86373.432034173195</v>
      </c>
    </row>
    <row r="3492" spans="1:50" x14ac:dyDescent="0.25">
      <c r="A3492" s="2" t="s">
        <v>23183</v>
      </c>
      <c r="B3492" s="2">
        <v>280.09287163064403</v>
      </c>
      <c r="C3492" s="2">
        <v>0.65129999999999999</v>
      </c>
      <c r="D3492" s="2" t="s">
        <v>51</v>
      </c>
      <c r="E3492" s="2" t="s">
        <v>23184</v>
      </c>
      <c r="F3492" s="2">
        <v>46863</v>
      </c>
      <c r="G3492" s="3" t="str">
        <f>HYPERLINK("https://cloud.oebiotech.com/#/lm/network/46863", "https://cloud.oebiotech.com/#/lm/network/46863")</f>
        <v>https://cloud.oebiotech.com/#/lm/network/46863</v>
      </c>
      <c r="H3492" s="2" t="s">
        <v>23185</v>
      </c>
      <c r="I3492" s="2">
        <v>370</v>
      </c>
      <c r="J3492" s="2"/>
      <c r="K3492" s="2">
        <v>657272</v>
      </c>
      <c r="L3492" s="2" t="s">
        <v>23186</v>
      </c>
      <c r="M3492" s="2" t="s">
        <v>23187</v>
      </c>
      <c r="N3492" s="2" t="s">
        <v>23188</v>
      </c>
      <c r="O3492" s="2">
        <v>16870</v>
      </c>
      <c r="P3492" s="2" t="s">
        <v>23189</v>
      </c>
      <c r="Q3492" s="2" t="s">
        <v>23190</v>
      </c>
      <c r="R3492" s="2" t="s">
        <v>23191</v>
      </c>
      <c r="S3492" s="2" t="s">
        <v>23192</v>
      </c>
      <c r="T3492" s="2" t="s">
        <v>23193</v>
      </c>
      <c r="U3492" s="2" t="s">
        <v>56</v>
      </c>
      <c r="V3492" s="2" t="s">
        <v>57</v>
      </c>
      <c r="W3492" s="2" t="s">
        <v>58</v>
      </c>
      <c r="X3492" s="2" t="s">
        <v>69</v>
      </c>
      <c r="Y3492" s="2">
        <v>49.8</v>
      </c>
      <c r="Z3492" s="2">
        <v>51.8</v>
      </c>
      <c r="AA3492" s="2" t="s">
        <v>1123</v>
      </c>
      <c r="AB3492" s="2" t="s">
        <v>23194</v>
      </c>
      <c r="AC3492" s="2">
        <v>3.2164449677472899</v>
      </c>
      <c r="AD3492" s="2"/>
      <c r="AE3492" s="2">
        <v>0.15938344954139699</v>
      </c>
      <c r="AF3492" s="2">
        <v>57538.805137905299</v>
      </c>
      <c r="AG3492" s="2">
        <v>62004.158136289298</v>
      </c>
      <c r="AH3492" s="4">
        <v>0.92798300738849104</v>
      </c>
      <c r="AI3492" s="4">
        <v>-0.10782970697072899</v>
      </c>
      <c r="AJ3492" s="4" t="s">
        <v>62</v>
      </c>
      <c r="AK3492" s="2">
        <v>0.73918882535511199</v>
      </c>
      <c r="AL3492" s="2">
        <v>0.88106084242788596</v>
      </c>
      <c r="AM3492" s="2">
        <v>80944.122253747002</v>
      </c>
      <c r="AN3492" s="2">
        <v>24819.374648339399</v>
      </c>
      <c r="AO3492" s="2">
        <v>33279.823651248102</v>
      </c>
      <c r="AP3492" s="2">
        <v>88299.879314461403</v>
      </c>
      <c r="AQ3492" s="2">
        <v>56668.685148508397</v>
      </c>
      <c r="AR3492" s="2">
        <v>61220.945811127698</v>
      </c>
      <c r="AS3492" s="2">
        <v>37562.310974341999</v>
      </c>
      <c r="AT3492" s="2">
        <v>79146.7984785054</v>
      </c>
      <c r="AU3492" s="2">
        <v>58651.571326928301</v>
      </c>
      <c r="AV3492" s="2">
        <v>61057.691736360699</v>
      </c>
      <c r="AW3492" s="2">
        <v>45822.727534200501</v>
      </c>
      <c r="AX3492" s="2">
        <v>89783.8487673989</v>
      </c>
    </row>
    <row r="3493" spans="1:50" x14ac:dyDescent="0.25">
      <c r="A3493" s="2" t="s">
        <v>23195</v>
      </c>
      <c r="B3493" s="2">
        <v>309.14741318678301</v>
      </c>
      <c r="C3493" s="2">
        <v>10.4101833333333</v>
      </c>
      <c r="D3493" s="2" t="s">
        <v>51</v>
      </c>
      <c r="E3493" s="2" t="s">
        <v>23196</v>
      </c>
      <c r="F3493" s="2">
        <v>1496</v>
      </c>
      <c r="G3493" s="3" t="str">
        <f>HYPERLINK("https://cloud.oebiotech.com/#/lm/network/1496", "https://cloud.oebiotech.com/#/lm/network/1496")</f>
        <v>https://cloud.oebiotech.com/#/lm/network/1496</v>
      </c>
      <c r="H3493" s="2"/>
      <c r="I3493" s="2"/>
      <c r="J3493" s="2" t="s">
        <v>23197</v>
      </c>
      <c r="K3493" s="2">
        <v>134812106</v>
      </c>
      <c r="L3493" s="2"/>
      <c r="M3493" s="2"/>
      <c r="N3493" s="2"/>
      <c r="O3493" s="2"/>
      <c r="P3493" s="2"/>
      <c r="Q3493" s="2"/>
      <c r="R3493" s="2"/>
      <c r="S3493" s="2" t="s">
        <v>23198</v>
      </c>
      <c r="T3493" s="2" t="s">
        <v>23199</v>
      </c>
      <c r="U3493" s="2" t="s">
        <v>56</v>
      </c>
      <c r="V3493" s="2" t="s">
        <v>145</v>
      </c>
      <c r="W3493" s="2" t="s">
        <v>231</v>
      </c>
      <c r="X3493" s="2" t="s">
        <v>83</v>
      </c>
      <c r="Y3493" s="2">
        <v>50.7</v>
      </c>
      <c r="Z3493" s="2">
        <v>7.5700000000000003E-3</v>
      </c>
      <c r="AA3493" s="2" t="s">
        <v>95</v>
      </c>
      <c r="AB3493" s="2" t="s">
        <v>23200</v>
      </c>
      <c r="AC3493" s="2">
        <v>4.5357724654240101</v>
      </c>
      <c r="AD3493" s="2"/>
      <c r="AE3493" s="2">
        <v>0.159348330210388</v>
      </c>
      <c r="AF3493" s="2">
        <v>8968.9784670716708</v>
      </c>
      <c r="AG3493" s="2">
        <v>8041.9649352957904</v>
      </c>
      <c r="AH3493" s="5">
        <v>1.1152720186216301</v>
      </c>
      <c r="AI3493" s="5">
        <v>0.157395631270105</v>
      </c>
      <c r="AJ3493" s="5" t="s">
        <v>139</v>
      </c>
      <c r="AK3493" s="2">
        <v>0.27679748247764002</v>
      </c>
      <c r="AL3493" s="2">
        <v>0.59606334910038095</v>
      </c>
      <c r="AM3493" s="2">
        <v>9161.8403735712309</v>
      </c>
      <c r="AN3493" s="2">
        <v>11954.5251496126</v>
      </c>
      <c r="AO3493" s="2">
        <v>9439.0311830226601</v>
      </c>
      <c r="AP3493" s="2">
        <v>7994.06411796474</v>
      </c>
      <c r="AQ3493" s="2">
        <v>6721.4706304106603</v>
      </c>
      <c r="AR3493" s="2">
        <v>8542.9393478481306</v>
      </c>
      <c r="AS3493" s="2">
        <v>7483.15883399429</v>
      </c>
      <c r="AT3493" s="2">
        <v>7818.4240742993597</v>
      </c>
      <c r="AU3493" s="2">
        <v>7646.0043381667701</v>
      </c>
      <c r="AV3493" s="2">
        <v>7274.4064813100604</v>
      </c>
      <c r="AW3493" s="2">
        <v>8263.7282930645106</v>
      </c>
      <c r="AX3493" s="2">
        <v>9766.0675909397705</v>
      </c>
    </row>
    <row r="3494" spans="1:50" x14ac:dyDescent="0.25">
      <c r="A3494" s="2" t="s">
        <v>23201</v>
      </c>
      <c r="B3494" s="2">
        <v>499.19047986520502</v>
      </c>
      <c r="C3494" s="2">
        <v>10.329216666666699</v>
      </c>
      <c r="D3494" s="2" t="s">
        <v>51</v>
      </c>
      <c r="E3494" s="2" t="s">
        <v>23202</v>
      </c>
      <c r="F3494" s="2">
        <v>200373</v>
      </c>
      <c r="G3494" s="3" t="str">
        <f>HYPERLINK("https://cloud.oebiotech.com/#/lm/network/200373", "https://cloud.oebiotech.com/#/lm/network/200373")</f>
        <v>https://cloud.oebiotech.com/#/lm/network/200373</v>
      </c>
      <c r="H3494" s="2" t="s">
        <v>23203</v>
      </c>
      <c r="I3494" s="2"/>
      <c r="J3494" s="2"/>
      <c r="K3494" s="2">
        <v>151469</v>
      </c>
      <c r="L3494" s="2"/>
      <c r="M3494" s="2"/>
      <c r="N3494" s="2"/>
      <c r="O3494" s="2"/>
      <c r="P3494" s="2"/>
      <c r="Q3494" s="2"/>
      <c r="R3494" s="2"/>
      <c r="S3494" s="2" t="s">
        <v>23204</v>
      </c>
      <c r="T3494" s="2" t="s">
        <v>23205</v>
      </c>
      <c r="U3494" s="2" t="s">
        <v>610</v>
      </c>
      <c r="V3494" s="2" t="s">
        <v>14762</v>
      </c>
      <c r="W3494" s="2" t="s">
        <v>23206</v>
      </c>
      <c r="X3494" s="2" t="s">
        <v>147</v>
      </c>
      <c r="Y3494" s="2">
        <v>38.799999999999997</v>
      </c>
      <c r="Z3494" s="2">
        <v>0</v>
      </c>
      <c r="AA3494" s="2" t="s">
        <v>478</v>
      </c>
      <c r="AB3494" s="2" t="s">
        <v>23207</v>
      </c>
      <c r="AC3494" s="2">
        <v>-2.0053608207538098</v>
      </c>
      <c r="AD3494" s="2"/>
      <c r="AE3494" s="2">
        <v>0.15934705505430899</v>
      </c>
      <c r="AF3494" s="2">
        <v>3248.29631694716</v>
      </c>
      <c r="AG3494" s="2">
        <v>2442.8012257997898</v>
      </c>
      <c r="AH3494" s="5">
        <v>1.3297423804442501</v>
      </c>
      <c r="AI3494" s="5">
        <v>0.41114677019574802</v>
      </c>
      <c r="AJ3494" s="5" t="s">
        <v>139</v>
      </c>
      <c r="AK3494" s="2">
        <v>0.30127848300465099</v>
      </c>
      <c r="AL3494" s="2">
        <v>0.61055505990699699</v>
      </c>
      <c r="AM3494" s="2">
        <v>3730.2004646569899</v>
      </c>
      <c r="AN3494" s="2">
        <v>5256.0890712759301</v>
      </c>
      <c r="AO3494" s="2">
        <v>2940.5716216641499</v>
      </c>
      <c r="AP3494" s="2">
        <v>894.16703204271505</v>
      </c>
      <c r="AQ3494" s="2">
        <v>2899.3477903233402</v>
      </c>
      <c r="AR3494" s="2">
        <v>3769.4019217198402</v>
      </c>
      <c r="AS3494" s="2">
        <v>3344.66214879986</v>
      </c>
      <c r="AT3494" s="2">
        <v>1733.5341205786699</v>
      </c>
      <c r="AU3494" s="2">
        <v>4114.7081300350301</v>
      </c>
      <c r="AV3494" s="2">
        <v>1924.4632964953</v>
      </c>
      <c r="AW3494" s="2">
        <v>1136.08718293215</v>
      </c>
      <c r="AX3494" s="2">
        <v>2403.3524759577599</v>
      </c>
    </row>
    <row r="3495" spans="1:50" x14ac:dyDescent="0.25">
      <c r="A3495" s="2" t="s">
        <v>23208</v>
      </c>
      <c r="B3495" s="2">
        <v>471.32687806859298</v>
      </c>
      <c r="C3495" s="2">
        <v>10.1415333333333</v>
      </c>
      <c r="D3495" s="2" t="s">
        <v>51</v>
      </c>
      <c r="E3495" s="2" t="s">
        <v>23209</v>
      </c>
      <c r="F3495" s="2">
        <v>62400</v>
      </c>
      <c r="G3495" s="3" t="str">
        <f>HYPERLINK("https://cloud.oebiotech.com/#/lm/network/62400", "https://cloud.oebiotech.com/#/lm/network/62400")</f>
        <v>https://cloud.oebiotech.com/#/lm/network/62400</v>
      </c>
      <c r="H3495" s="2" t="s">
        <v>23210</v>
      </c>
      <c r="I3495" s="2">
        <v>93695</v>
      </c>
      <c r="J3495" s="2"/>
      <c r="K3495" s="2">
        <v>131752545</v>
      </c>
      <c r="L3495" s="2"/>
      <c r="M3495" s="2"/>
      <c r="N3495" s="2"/>
      <c r="O3495" s="2">
        <v>175796</v>
      </c>
      <c r="P3495" s="2"/>
      <c r="Q3495" s="2"/>
      <c r="R3495" s="2"/>
      <c r="S3495" s="2" t="s">
        <v>23211</v>
      </c>
      <c r="T3495" s="2" t="s">
        <v>23212</v>
      </c>
      <c r="U3495" s="2" t="s">
        <v>56</v>
      </c>
      <c r="V3495" s="2" t="s">
        <v>177</v>
      </c>
      <c r="W3495" s="2" t="s">
        <v>3270</v>
      </c>
      <c r="X3495" s="2" t="s">
        <v>147</v>
      </c>
      <c r="Y3495" s="2">
        <v>39</v>
      </c>
      <c r="Z3495" s="2">
        <v>0</v>
      </c>
      <c r="AA3495" s="2" t="s">
        <v>379</v>
      </c>
      <c r="AB3495" s="2" t="s">
        <v>23213</v>
      </c>
      <c r="AC3495" s="2">
        <v>4.8648823598381102E-2</v>
      </c>
      <c r="AD3495" s="2"/>
      <c r="AE3495" s="2">
        <v>0.159342883402567</v>
      </c>
      <c r="AF3495" s="2">
        <v>13818.766051480099</v>
      </c>
      <c r="AG3495" s="2">
        <v>14732.011259340199</v>
      </c>
      <c r="AH3495" s="4">
        <v>0.93800946851156397</v>
      </c>
      <c r="AI3495" s="4">
        <v>-9.2325609134201403E-2</v>
      </c>
      <c r="AJ3495" s="4" t="s">
        <v>62</v>
      </c>
      <c r="AK3495" s="2">
        <v>0.36263085167728898</v>
      </c>
      <c r="AL3495" s="2">
        <v>0.64719812909402796</v>
      </c>
      <c r="AM3495" s="2">
        <v>11065.186675860599</v>
      </c>
      <c r="AN3495" s="2">
        <v>13207.7745829622</v>
      </c>
      <c r="AO3495" s="2">
        <v>13712.1787503797</v>
      </c>
      <c r="AP3495" s="2">
        <v>14529.430090194701</v>
      </c>
      <c r="AQ3495" s="2">
        <v>15668.697262645799</v>
      </c>
      <c r="AR3495" s="2">
        <v>14729.328946837601</v>
      </c>
      <c r="AS3495" s="2">
        <v>14704.7435429953</v>
      </c>
      <c r="AT3495" s="2">
        <v>17320.517024202501</v>
      </c>
      <c r="AU3495" s="2">
        <v>12381.893527809299</v>
      </c>
      <c r="AV3495" s="2">
        <v>15961.4628013288</v>
      </c>
      <c r="AW3495" s="2">
        <v>13983.3713116913</v>
      </c>
      <c r="AX3495" s="2">
        <v>14040.0793480141</v>
      </c>
    </row>
    <row r="3496" spans="1:50" x14ac:dyDescent="0.25">
      <c r="A3496" s="2" t="s">
        <v>23214</v>
      </c>
      <c r="B3496" s="2">
        <v>353.04583063355199</v>
      </c>
      <c r="C3496" s="2">
        <v>7.2455166666666697</v>
      </c>
      <c r="D3496" s="2" t="s">
        <v>51</v>
      </c>
      <c r="E3496" s="2" t="s">
        <v>23215</v>
      </c>
      <c r="F3496" s="2">
        <v>209569</v>
      </c>
      <c r="G3496" s="3" t="str">
        <f>HYPERLINK("https://cloud.oebiotech.com/#/lm/network/209569", "https://cloud.oebiotech.com/#/lm/network/209569")</f>
        <v>https://cloud.oebiotech.com/#/lm/network/209569</v>
      </c>
      <c r="H3496" s="2" t="s">
        <v>23216</v>
      </c>
      <c r="I3496" s="2">
        <v>44341</v>
      </c>
      <c r="J3496" s="2"/>
      <c r="K3496" s="2">
        <v>4495</v>
      </c>
      <c r="L3496" s="2"/>
      <c r="M3496" s="2"/>
      <c r="N3496" s="2"/>
      <c r="O3496" s="2">
        <v>44445</v>
      </c>
      <c r="P3496" s="2"/>
      <c r="Q3496" s="2"/>
      <c r="R3496" s="2" t="s">
        <v>23217</v>
      </c>
      <c r="S3496" s="2" t="s">
        <v>23218</v>
      </c>
      <c r="T3496" s="2" t="s">
        <v>23219</v>
      </c>
      <c r="U3496" s="2" t="s">
        <v>610</v>
      </c>
      <c r="V3496" s="2" t="s">
        <v>611</v>
      </c>
      <c r="W3496" s="2" t="s">
        <v>4746</v>
      </c>
      <c r="X3496" s="2" t="s">
        <v>147</v>
      </c>
      <c r="Y3496" s="2">
        <v>36.700000000000003</v>
      </c>
      <c r="Z3496" s="2">
        <v>0</v>
      </c>
      <c r="AA3496" s="2" t="s">
        <v>218</v>
      </c>
      <c r="AB3496" s="2" t="s">
        <v>23220</v>
      </c>
      <c r="AC3496" s="2">
        <v>3.0361348946068398</v>
      </c>
      <c r="AD3496" s="2"/>
      <c r="AE3496" s="2">
        <v>0.15926151949359399</v>
      </c>
      <c r="AF3496" s="2">
        <v>825.50546054750805</v>
      </c>
      <c r="AG3496" s="2">
        <v>1912.2136794229</v>
      </c>
      <c r="AH3496" s="4">
        <v>0.431701472189365</v>
      </c>
      <c r="AI3496" s="4">
        <v>-1.2118940821976201</v>
      </c>
      <c r="AJ3496" s="4" t="s">
        <v>62</v>
      </c>
      <c r="AK3496" s="2">
        <v>0.211651124206996</v>
      </c>
      <c r="AL3496" s="2">
        <v>0.53706865589344099</v>
      </c>
      <c r="AM3496" s="2">
        <v>1944.1886362248599</v>
      </c>
      <c r="AN3496" s="2">
        <v>730.24455013862405</v>
      </c>
      <c r="AO3496" s="2">
        <v>8.559877937157E-6</v>
      </c>
      <c r="AP3496" s="2">
        <v>1623.2645713740001</v>
      </c>
      <c r="AQ3496" s="2">
        <v>8.559877937157E-6</v>
      </c>
      <c r="AR3496" s="2">
        <v>655.33498842780602</v>
      </c>
      <c r="AS3496" s="2">
        <v>5002.4617106301603</v>
      </c>
      <c r="AT3496" s="2">
        <v>752.532192865703</v>
      </c>
      <c r="AU3496" s="2">
        <v>2174.4816433636902</v>
      </c>
      <c r="AV3496" s="2">
        <v>785.12246501687696</v>
      </c>
      <c r="AW3496" s="2">
        <v>2758.6840561010799</v>
      </c>
      <c r="AX3496" s="2">
        <v>8.559877937157E-6</v>
      </c>
    </row>
    <row r="3497" spans="1:50" x14ac:dyDescent="0.25">
      <c r="A3497" s="2" t="s">
        <v>23221</v>
      </c>
      <c r="B3497" s="2">
        <v>246.05618937295901</v>
      </c>
      <c r="C3497" s="2">
        <v>1.3012999999999999</v>
      </c>
      <c r="D3497" s="2" t="s">
        <v>51</v>
      </c>
      <c r="E3497" s="2" t="s">
        <v>23222</v>
      </c>
      <c r="F3497" s="2">
        <v>58362</v>
      </c>
      <c r="G3497" s="3" t="str">
        <f>HYPERLINK("https://cloud.oebiotech.com/#/lm/network/58362", "https://cloud.oebiotech.com/#/lm/network/58362")</f>
        <v>https://cloud.oebiotech.com/#/lm/network/58362</v>
      </c>
      <c r="H3497" s="2" t="s">
        <v>23223</v>
      </c>
      <c r="I3497" s="2">
        <v>68490</v>
      </c>
      <c r="J3497" s="2"/>
      <c r="K3497" s="2">
        <v>5281842</v>
      </c>
      <c r="L3497" s="2" t="s">
        <v>23224</v>
      </c>
      <c r="M3497" s="2"/>
      <c r="N3497" s="2"/>
      <c r="O3497" s="2"/>
      <c r="P3497" s="2"/>
      <c r="Q3497" s="2"/>
      <c r="R3497" s="2" t="s">
        <v>23225</v>
      </c>
      <c r="S3497" s="2" t="s">
        <v>23226</v>
      </c>
      <c r="T3497" s="2" t="s">
        <v>23227</v>
      </c>
      <c r="U3497" s="2" t="s">
        <v>266</v>
      </c>
      <c r="V3497" s="2" t="s">
        <v>1393</v>
      </c>
      <c r="W3497" s="2" t="s">
        <v>1394</v>
      </c>
      <c r="X3497" s="2" t="s">
        <v>147</v>
      </c>
      <c r="Y3497" s="2">
        <v>40.6</v>
      </c>
      <c r="Z3497" s="2">
        <v>17.100000000000001</v>
      </c>
      <c r="AA3497" s="2" t="s">
        <v>298</v>
      </c>
      <c r="AB3497" s="2" t="s">
        <v>23228</v>
      </c>
      <c r="AC3497" s="2">
        <v>0.51788090872882397</v>
      </c>
      <c r="AD3497" s="2"/>
      <c r="AE3497" s="2">
        <v>0.15925988778092101</v>
      </c>
      <c r="AF3497" s="2">
        <v>9717.2345688948608</v>
      </c>
      <c r="AG3497" s="2">
        <v>11010.9123997647</v>
      </c>
      <c r="AH3497" s="4">
        <v>0.88250947933274904</v>
      </c>
      <c r="AI3497" s="4">
        <v>-0.18031631994501801</v>
      </c>
      <c r="AJ3497" s="4" t="s">
        <v>62</v>
      </c>
      <c r="AK3497" s="2">
        <v>0.37711277404291599</v>
      </c>
      <c r="AL3497" s="2">
        <v>0.65843423286843805</v>
      </c>
      <c r="AM3497" s="2">
        <v>9708.9859696408894</v>
      </c>
      <c r="AN3497" s="2">
        <v>11097.618475691501</v>
      </c>
      <c r="AO3497" s="2">
        <v>7118.0391225491503</v>
      </c>
      <c r="AP3497" s="2">
        <v>11437.6161647029</v>
      </c>
      <c r="AQ3497" s="2">
        <v>10955.595420744899</v>
      </c>
      <c r="AR3497" s="2">
        <v>7985.5522600397999</v>
      </c>
      <c r="AS3497" s="2">
        <v>9650.4098117746908</v>
      </c>
      <c r="AT3497" s="2">
        <v>6543.5436615868502</v>
      </c>
      <c r="AU3497" s="2">
        <v>14547.2566476754</v>
      </c>
      <c r="AV3497" s="2">
        <v>11712.648892557099</v>
      </c>
      <c r="AW3497" s="2">
        <v>9996.1171143729807</v>
      </c>
      <c r="AX3497" s="2">
        <v>13615.498270621199</v>
      </c>
    </row>
    <row r="3498" spans="1:50" x14ac:dyDescent="0.25">
      <c r="A3498" s="2" t="s">
        <v>23229</v>
      </c>
      <c r="B3498" s="2">
        <v>462.29914887006697</v>
      </c>
      <c r="C3498" s="2">
        <v>10.470333333333301</v>
      </c>
      <c r="D3498" s="2" t="s">
        <v>51</v>
      </c>
      <c r="E3498" s="2" t="s">
        <v>23230</v>
      </c>
      <c r="F3498" s="2">
        <v>198082</v>
      </c>
      <c r="G3498" s="3" t="str">
        <f>HYPERLINK("https://cloud.oebiotech.com/#/lm/network/198082", "https://cloud.oebiotech.com/#/lm/network/198082")</f>
        <v>https://cloud.oebiotech.com/#/lm/network/198082</v>
      </c>
      <c r="H3498" s="2" t="s">
        <v>23231</v>
      </c>
      <c r="I3498" s="2"/>
      <c r="J3498" s="2"/>
      <c r="K3498" s="2">
        <v>87076356</v>
      </c>
      <c r="L3498" s="2"/>
      <c r="M3498" s="2"/>
      <c r="N3498" s="2"/>
      <c r="O3498" s="2"/>
      <c r="P3498" s="2"/>
      <c r="Q3498" s="2"/>
      <c r="R3498" s="2"/>
      <c r="S3498" s="2" t="s">
        <v>23232</v>
      </c>
      <c r="T3498" s="2" t="s">
        <v>23233</v>
      </c>
      <c r="U3498" s="2" t="s">
        <v>56</v>
      </c>
      <c r="V3498" s="2" t="s">
        <v>145</v>
      </c>
      <c r="W3498" s="2" t="s">
        <v>1188</v>
      </c>
      <c r="X3498" s="2" t="s">
        <v>83</v>
      </c>
      <c r="Y3498" s="2">
        <v>45.4</v>
      </c>
      <c r="Z3498" s="2">
        <v>0</v>
      </c>
      <c r="AA3498" s="2" t="s">
        <v>395</v>
      </c>
      <c r="AB3498" s="2" t="s">
        <v>7494</v>
      </c>
      <c r="AC3498" s="2">
        <v>2.6736845625632402</v>
      </c>
      <c r="AD3498" s="2"/>
      <c r="AE3498" s="2">
        <v>0.15922605371910101</v>
      </c>
      <c r="AF3498" s="2">
        <v>26434.617107971801</v>
      </c>
      <c r="AG3498" s="2">
        <v>30429.605328145801</v>
      </c>
      <c r="AH3498" s="4">
        <v>0.86871376815134405</v>
      </c>
      <c r="AI3498" s="4">
        <v>-0.203047192061316</v>
      </c>
      <c r="AJ3498" s="4" t="s">
        <v>62</v>
      </c>
      <c r="AK3498" s="2">
        <v>0.67218424637039098</v>
      </c>
      <c r="AL3498" s="2">
        <v>0.84157694447511799</v>
      </c>
      <c r="AM3498" s="2">
        <v>40296.8271448257</v>
      </c>
      <c r="AN3498" s="2">
        <v>27146.846028507302</v>
      </c>
      <c r="AO3498" s="2">
        <v>30141.8225287733</v>
      </c>
      <c r="AP3498" s="2">
        <v>21799.244168634999</v>
      </c>
      <c r="AQ3498" s="2">
        <v>13316.4830463874</v>
      </c>
      <c r="AR3498" s="2">
        <v>25906.479730702002</v>
      </c>
      <c r="AS3498" s="2">
        <v>14136.394562474001</v>
      </c>
      <c r="AT3498" s="2">
        <v>9571.5951294231709</v>
      </c>
      <c r="AU3498" s="2">
        <v>36533.591663549203</v>
      </c>
      <c r="AV3498" s="2">
        <v>66121.659299454099</v>
      </c>
      <c r="AW3498" s="2">
        <v>35084.700459199601</v>
      </c>
      <c r="AX3498" s="2">
        <v>21129.690854774901</v>
      </c>
    </row>
    <row r="3499" spans="1:50" x14ac:dyDescent="0.25">
      <c r="A3499" s="2" t="s">
        <v>23234</v>
      </c>
      <c r="B3499" s="2">
        <v>223.16980175623499</v>
      </c>
      <c r="C3499" s="2">
        <v>11.472666666666701</v>
      </c>
      <c r="D3499" s="2" t="s">
        <v>51</v>
      </c>
      <c r="E3499" s="2" t="s">
        <v>23235</v>
      </c>
      <c r="F3499" s="2">
        <v>60466</v>
      </c>
      <c r="G3499" s="3" t="str">
        <f>HYPERLINK("https://cloud.oebiotech.com/#/lm/network/60466", "https://cloud.oebiotech.com/#/lm/network/60466")</f>
        <v>https://cloud.oebiotech.com/#/lm/network/60466</v>
      </c>
      <c r="H3499" s="2" t="s">
        <v>23236</v>
      </c>
      <c r="I3499" s="2">
        <v>44491</v>
      </c>
      <c r="J3499" s="2"/>
      <c r="K3499" s="2">
        <v>3860435</v>
      </c>
      <c r="L3499" s="2" t="s">
        <v>23237</v>
      </c>
      <c r="M3499" s="2"/>
      <c r="N3499" s="2"/>
      <c r="O3499" s="2"/>
      <c r="P3499" s="2"/>
      <c r="Q3499" s="2"/>
      <c r="R3499" s="2" t="s">
        <v>23238</v>
      </c>
      <c r="S3499" s="2" t="s">
        <v>23239</v>
      </c>
      <c r="T3499" s="2" t="s">
        <v>23240</v>
      </c>
      <c r="U3499" s="2" t="s">
        <v>331</v>
      </c>
      <c r="V3499" s="2" t="s">
        <v>332</v>
      </c>
      <c r="W3499" s="2" t="s">
        <v>519</v>
      </c>
      <c r="X3499" s="2" t="s">
        <v>59</v>
      </c>
      <c r="Y3499" s="2">
        <v>48.5</v>
      </c>
      <c r="Z3499" s="2">
        <v>51.6</v>
      </c>
      <c r="AA3499" s="2" t="s">
        <v>259</v>
      </c>
      <c r="AB3499" s="2" t="s">
        <v>15874</v>
      </c>
      <c r="AC3499" s="2">
        <v>2.4548735802443602</v>
      </c>
      <c r="AD3499" s="2"/>
      <c r="AE3499" s="2">
        <v>0.159207265279597</v>
      </c>
      <c r="AF3499" s="2">
        <v>5600.96258786813</v>
      </c>
      <c r="AG3499" s="2">
        <v>4166.0370419003502</v>
      </c>
      <c r="AH3499" s="5">
        <v>1.34443417846166</v>
      </c>
      <c r="AI3499" s="5">
        <v>0.42699912469276902</v>
      </c>
      <c r="AJ3499" s="5" t="s">
        <v>139</v>
      </c>
      <c r="AK3499" s="2">
        <v>0.25159486661005498</v>
      </c>
      <c r="AL3499" s="2">
        <v>0.574956677383749</v>
      </c>
      <c r="AM3499" s="2">
        <v>5109.5049094485603</v>
      </c>
      <c r="AN3499" s="2">
        <v>4996.7275065103604</v>
      </c>
      <c r="AO3499" s="2">
        <v>5347.4181095937302</v>
      </c>
      <c r="AP3499" s="2">
        <v>7118.5255397565697</v>
      </c>
      <c r="AQ3499" s="2">
        <v>8410.0058661343301</v>
      </c>
      <c r="AR3499" s="2">
        <v>2623.59359576524</v>
      </c>
      <c r="AS3499" s="2">
        <v>2579.9209363775099</v>
      </c>
      <c r="AT3499" s="2">
        <v>5857.7893633153799</v>
      </c>
      <c r="AU3499" s="2">
        <v>2110.4060211351798</v>
      </c>
      <c r="AV3499" s="2">
        <v>2446.1055047699301</v>
      </c>
      <c r="AW3499" s="2">
        <v>4841.2124725152898</v>
      </c>
      <c r="AX3499" s="2">
        <v>7160.7879532888101</v>
      </c>
    </row>
    <row r="3500" spans="1:50" x14ac:dyDescent="0.25">
      <c r="A3500" s="2" t="s">
        <v>23241</v>
      </c>
      <c r="B3500" s="2">
        <v>173.00300579431601</v>
      </c>
      <c r="C3500" s="2">
        <v>6.8908500000000004</v>
      </c>
      <c r="D3500" s="2" t="s">
        <v>51</v>
      </c>
      <c r="E3500" s="2" t="s">
        <v>23242</v>
      </c>
      <c r="F3500" s="2">
        <v>211652</v>
      </c>
      <c r="G3500" s="3" t="str">
        <f>HYPERLINK("https://cloud.oebiotech.com/#/lm/network/211652", "https://cloud.oebiotech.com/#/lm/network/211652")</f>
        <v>https://cloud.oebiotech.com/#/lm/network/211652</v>
      </c>
      <c r="H3500" s="2" t="s">
        <v>23243</v>
      </c>
      <c r="I3500" s="2"/>
      <c r="J3500" s="2"/>
      <c r="K3500" s="2">
        <v>87131396</v>
      </c>
      <c r="L3500" s="2"/>
      <c r="M3500" s="2"/>
      <c r="N3500" s="2"/>
      <c r="O3500" s="2"/>
      <c r="P3500" s="2"/>
      <c r="Q3500" s="2"/>
      <c r="R3500" s="2"/>
      <c r="S3500" s="2" t="s">
        <v>23244</v>
      </c>
      <c r="T3500" s="2" t="s">
        <v>23245</v>
      </c>
      <c r="U3500" s="2" t="s">
        <v>103</v>
      </c>
      <c r="V3500" s="2" t="s">
        <v>11073</v>
      </c>
      <c r="W3500" s="2" t="s">
        <v>11074</v>
      </c>
      <c r="X3500" s="2" t="s">
        <v>147</v>
      </c>
      <c r="Y3500" s="2">
        <v>38</v>
      </c>
      <c r="Z3500" s="2">
        <v>0</v>
      </c>
      <c r="AA3500" s="2" t="s">
        <v>259</v>
      </c>
      <c r="AB3500" s="2" t="s">
        <v>23246</v>
      </c>
      <c r="AC3500" s="2">
        <v>-1.0874360158772101</v>
      </c>
      <c r="AD3500" s="2"/>
      <c r="AE3500" s="2">
        <v>0.15918702782678301</v>
      </c>
      <c r="AF3500" s="2">
        <v>1541.83938145</v>
      </c>
      <c r="AG3500" s="2">
        <v>2596.84944116204</v>
      </c>
      <c r="AH3500" s="4">
        <v>0.59373460663936395</v>
      </c>
      <c r="AI3500" s="4">
        <v>-0.75210988986241001</v>
      </c>
      <c r="AJ3500" s="4" t="s">
        <v>62</v>
      </c>
      <c r="AK3500" s="2">
        <v>0.173647066564458</v>
      </c>
      <c r="AL3500" s="2">
        <v>0.49493165347728701</v>
      </c>
      <c r="AM3500" s="2">
        <v>1413.74049516583</v>
      </c>
      <c r="AN3500" s="2">
        <v>1217.19357974586</v>
      </c>
      <c r="AO3500" s="2">
        <v>2403.3319618925002</v>
      </c>
      <c r="AP3500" s="2">
        <v>68.527030453698202</v>
      </c>
      <c r="AQ3500" s="2">
        <v>1269.4504719199001</v>
      </c>
      <c r="AR3500" s="2">
        <v>2878.7927495221902</v>
      </c>
      <c r="AS3500" s="2">
        <v>1952.7733554653901</v>
      </c>
      <c r="AT3500" s="2">
        <v>1545.45096586966</v>
      </c>
      <c r="AU3500" s="2">
        <v>3190.7720987008302</v>
      </c>
      <c r="AV3500" s="2">
        <v>4715.96894220795</v>
      </c>
      <c r="AW3500" s="2">
        <v>3463.02151083643</v>
      </c>
      <c r="AX3500" s="2">
        <v>713.10977389198501</v>
      </c>
    </row>
    <row r="3501" spans="1:50" x14ac:dyDescent="0.25">
      <c r="A3501" s="2" t="s">
        <v>23247</v>
      </c>
      <c r="B3501" s="2">
        <v>365.12039272469701</v>
      </c>
      <c r="C3501" s="2">
        <v>0.74113333333333298</v>
      </c>
      <c r="D3501" s="2" t="s">
        <v>51</v>
      </c>
      <c r="E3501" s="2" t="s">
        <v>23248</v>
      </c>
      <c r="F3501" s="2">
        <v>57772</v>
      </c>
      <c r="G3501" s="3" t="str">
        <f>HYPERLINK("https://cloud.oebiotech.com/#/lm/network/57772", "https://cloud.oebiotech.com/#/lm/network/57772")</f>
        <v>https://cloud.oebiotech.com/#/lm/network/57772</v>
      </c>
      <c r="H3501" s="2" t="s">
        <v>23249</v>
      </c>
      <c r="I3501" s="2">
        <v>89365</v>
      </c>
      <c r="J3501" s="2"/>
      <c r="K3501" s="2">
        <v>3085404</v>
      </c>
      <c r="L3501" s="2"/>
      <c r="M3501" s="2"/>
      <c r="N3501" s="2"/>
      <c r="O3501" s="2">
        <v>175088</v>
      </c>
      <c r="P3501" s="2"/>
      <c r="Q3501" s="2"/>
      <c r="R3501" s="2" t="s">
        <v>23250</v>
      </c>
      <c r="S3501" s="2" t="s">
        <v>23251</v>
      </c>
      <c r="T3501" s="2" t="s">
        <v>23252</v>
      </c>
      <c r="U3501" s="2" t="s">
        <v>103</v>
      </c>
      <c r="V3501" s="2" t="s">
        <v>104</v>
      </c>
      <c r="W3501" s="2" t="s">
        <v>105</v>
      </c>
      <c r="X3501" s="2" t="s">
        <v>147</v>
      </c>
      <c r="Y3501" s="2">
        <v>36.9</v>
      </c>
      <c r="Z3501" s="2">
        <v>0</v>
      </c>
      <c r="AA3501" s="2" t="s">
        <v>218</v>
      </c>
      <c r="AB3501" s="2" t="s">
        <v>23253</v>
      </c>
      <c r="AC3501" s="2">
        <v>0.70050556095091898</v>
      </c>
      <c r="AD3501" s="2"/>
      <c r="AE3501" s="2">
        <v>0.15906655801925701</v>
      </c>
      <c r="AF3501" s="2">
        <v>1360.6066328260699</v>
      </c>
      <c r="AG3501" s="2">
        <v>2564.8019853073101</v>
      </c>
      <c r="AH3501" s="4">
        <v>0.53049188226632005</v>
      </c>
      <c r="AI3501" s="4">
        <v>-0.91459742009742395</v>
      </c>
      <c r="AJ3501" s="4" t="s">
        <v>62</v>
      </c>
      <c r="AK3501" s="2">
        <v>0.35676467457169397</v>
      </c>
      <c r="AL3501" s="2">
        <v>0.64439059109587704</v>
      </c>
      <c r="AM3501" s="2">
        <v>8.559877937157E-6</v>
      </c>
      <c r="AN3501" s="2">
        <v>2527.04695920523</v>
      </c>
      <c r="AO3501" s="2">
        <v>8.559877937157E-6</v>
      </c>
      <c r="AP3501" s="2">
        <v>8.559877937157E-6</v>
      </c>
      <c r="AQ3501" s="2">
        <v>1931.2862573340101</v>
      </c>
      <c r="AR3501" s="2">
        <v>3705.30655473753</v>
      </c>
      <c r="AS3501" s="2">
        <v>1866.26214676278</v>
      </c>
      <c r="AT3501" s="2">
        <v>2282.4836799668001</v>
      </c>
      <c r="AU3501" s="2">
        <v>2001.2585302011701</v>
      </c>
      <c r="AV3501" s="2">
        <v>7616.3018085049798</v>
      </c>
      <c r="AW3501" s="2">
        <v>8.559877937157E-6</v>
      </c>
      <c r="AX3501" s="2">
        <v>1622.50573784824</v>
      </c>
    </row>
    <row r="3502" spans="1:50" x14ac:dyDescent="0.25">
      <c r="A3502" s="2" t="s">
        <v>23254</v>
      </c>
      <c r="B3502" s="2">
        <v>433.332305492378</v>
      </c>
      <c r="C3502" s="2">
        <v>14.0270666666667</v>
      </c>
      <c r="D3502" s="2" t="s">
        <v>51</v>
      </c>
      <c r="E3502" s="2" t="s">
        <v>23255</v>
      </c>
      <c r="F3502" s="2">
        <v>204296</v>
      </c>
      <c r="G3502" s="3" t="str">
        <f>HYPERLINK("https://cloud.oebiotech.com/#/lm/network/204296", "https://cloud.oebiotech.com/#/lm/network/204296")</f>
        <v>https://cloud.oebiotech.com/#/lm/network/204296</v>
      </c>
      <c r="H3502" s="2" t="s">
        <v>23256</v>
      </c>
      <c r="I3502" s="2">
        <v>434928</v>
      </c>
      <c r="J3502" s="2"/>
      <c r="K3502" s="2">
        <v>9800472</v>
      </c>
      <c r="L3502" s="2"/>
      <c r="M3502" s="2"/>
      <c r="N3502" s="2"/>
      <c r="O3502" s="2"/>
      <c r="P3502" s="2"/>
      <c r="Q3502" s="2"/>
      <c r="R3502" s="2"/>
      <c r="S3502" s="2" t="s">
        <v>23257</v>
      </c>
      <c r="T3502" s="2" t="s">
        <v>23258</v>
      </c>
      <c r="U3502" s="2" t="s">
        <v>266</v>
      </c>
      <c r="V3502" s="2" t="s">
        <v>22669</v>
      </c>
      <c r="W3502" s="2" t="s">
        <v>240</v>
      </c>
      <c r="X3502" s="2" t="s">
        <v>147</v>
      </c>
      <c r="Y3502" s="2">
        <v>37.1</v>
      </c>
      <c r="Z3502" s="2">
        <v>0</v>
      </c>
      <c r="AA3502" s="2" t="s">
        <v>218</v>
      </c>
      <c r="AB3502" s="2" t="s">
        <v>23259</v>
      </c>
      <c r="AC3502" s="2">
        <v>-7.2174501026398594E-2</v>
      </c>
      <c r="AD3502" s="2"/>
      <c r="AE3502" s="2">
        <v>0.15898450185233301</v>
      </c>
      <c r="AF3502" s="2">
        <v>261.55687983945802</v>
      </c>
      <c r="AG3502" s="2">
        <v>869.41285909488101</v>
      </c>
      <c r="AH3502" s="4">
        <v>0.30084312315297101</v>
      </c>
      <c r="AI3502" s="4">
        <v>-1.73291671570476</v>
      </c>
      <c r="AJ3502" s="4" t="s">
        <v>62</v>
      </c>
      <c r="AK3502" s="2">
        <v>1.8328639760444899E-3</v>
      </c>
      <c r="AL3502" s="2">
        <v>0.100114814560866</v>
      </c>
      <c r="AM3502" s="2">
        <v>442.287368742799</v>
      </c>
      <c r="AN3502" s="2">
        <v>357.39723066712003</v>
      </c>
      <c r="AO3502" s="2">
        <v>367.26905402311598</v>
      </c>
      <c r="AP3502" s="2">
        <v>187.30970583519999</v>
      </c>
      <c r="AQ3502" s="2">
        <v>8.559877937157E-6</v>
      </c>
      <c r="AR3502" s="2">
        <v>215.07791120863499</v>
      </c>
      <c r="AS3502" s="2">
        <v>902.72618474779802</v>
      </c>
      <c r="AT3502" s="2">
        <v>1193.78351825454</v>
      </c>
      <c r="AU3502" s="2">
        <v>308.19152370257302</v>
      </c>
      <c r="AV3502" s="2">
        <v>1001.20755888933</v>
      </c>
      <c r="AW3502" s="2">
        <v>734.31016733259605</v>
      </c>
      <c r="AX3502" s="2">
        <v>1076.2582016424501</v>
      </c>
    </row>
    <row r="3503" spans="1:50" x14ac:dyDescent="0.25">
      <c r="A3503" s="2" t="s">
        <v>23260</v>
      </c>
      <c r="B3503" s="2">
        <v>932.56356759082905</v>
      </c>
      <c r="C3503" s="2">
        <v>11.068</v>
      </c>
      <c r="D3503" s="2" t="s">
        <v>51</v>
      </c>
      <c r="E3503" s="2" t="s">
        <v>23261</v>
      </c>
      <c r="F3503" s="2">
        <v>240412</v>
      </c>
      <c r="G3503" s="3" t="str">
        <f>HYPERLINK("https://cloud.oebiotech.com/#/lm/network/240412", "https://cloud.oebiotech.com/#/lm/network/240412")</f>
        <v>https://cloud.oebiotech.com/#/lm/network/240412</v>
      </c>
      <c r="H3503" s="2" t="s">
        <v>23262</v>
      </c>
      <c r="I3503" s="2"/>
      <c r="J3503" s="2"/>
      <c r="K3503" s="2"/>
      <c r="L3503" s="2"/>
      <c r="M3503" s="2"/>
      <c r="N3503" s="2"/>
      <c r="O3503" s="2"/>
      <c r="P3503" s="2"/>
      <c r="Q3503" s="2"/>
      <c r="R3503" s="2"/>
      <c r="S3503" s="2" t="s">
        <v>23263</v>
      </c>
      <c r="T3503" s="2" t="s">
        <v>23264</v>
      </c>
      <c r="U3503" s="2" t="s">
        <v>56</v>
      </c>
      <c r="V3503" s="2" t="s">
        <v>57</v>
      </c>
      <c r="W3503" s="2" t="s">
        <v>58</v>
      </c>
      <c r="X3503" s="2" t="s">
        <v>83</v>
      </c>
      <c r="Y3503" s="2">
        <v>46.7</v>
      </c>
      <c r="Z3503" s="2">
        <v>0</v>
      </c>
      <c r="AA3503" s="2" t="s">
        <v>218</v>
      </c>
      <c r="AB3503" s="2" t="s">
        <v>23265</v>
      </c>
      <c r="AC3503" s="2">
        <v>-2.5572578615925998</v>
      </c>
      <c r="AD3503" s="2"/>
      <c r="AE3503" s="2">
        <v>0.15898392633907299</v>
      </c>
      <c r="AF3503" s="2">
        <v>3726.3525823526702</v>
      </c>
      <c r="AG3503" s="2">
        <v>2486.72789111471</v>
      </c>
      <c r="AH3503" s="5">
        <v>1.4984963154461901</v>
      </c>
      <c r="AI3503" s="5">
        <v>0.58351553650811605</v>
      </c>
      <c r="AJ3503" s="5" t="s">
        <v>139</v>
      </c>
      <c r="AK3503" s="2">
        <v>0.25382866333348397</v>
      </c>
      <c r="AL3503" s="2">
        <v>0.57694516623694203</v>
      </c>
      <c r="AM3503" s="2">
        <v>7111.4523242041096</v>
      </c>
      <c r="AN3503" s="2">
        <v>1354.4320986758501</v>
      </c>
      <c r="AO3503" s="2">
        <v>2087.4806313783602</v>
      </c>
      <c r="AP3503" s="2">
        <v>3361.83926549228</v>
      </c>
      <c r="AQ3503" s="2">
        <v>3384.5106617749798</v>
      </c>
      <c r="AR3503" s="2">
        <v>5058.4005125904196</v>
      </c>
      <c r="AS3503" s="2">
        <v>2124.2112967589901</v>
      </c>
      <c r="AT3503" s="2">
        <v>786.15523909595504</v>
      </c>
      <c r="AU3503" s="2">
        <v>2342.3039313060299</v>
      </c>
      <c r="AV3503" s="2">
        <v>3029.6347034206101</v>
      </c>
      <c r="AW3503" s="2">
        <v>4888.8372301261797</v>
      </c>
      <c r="AX3503" s="2">
        <v>1749.22494598048</v>
      </c>
    </row>
    <row r="3504" spans="1:50" x14ac:dyDescent="0.25">
      <c r="A3504" s="2" t="s">
        <v>23266</v>
      </c>
      <c r="B3504" s="2">
        <v>648.35225261654796</v>
      </c>
      <c r="C3504" s="2">
        <v>7.7876333333333303</v>
      </c>
      <c r="D3504" s="2" t="s">
        <v>51</v>
      </c>
      <c r="E3504" s="2" t="s">
        <v>23267</v>
      </c>
      <c r="F3504" s="2">
        <v>242001</v>
      </c>
      <c r="G3504" s="3" t="str">
        <f>HYPERLINK("https://cloud.oebiotech.com/#/lm/network/242001", "https://cloud.oebiotech.com/#/lm/network/242001")</f>
        <v>https://cloud.oebiotech.com/#/lm/network/242001</v>
      </c>
      <c r="H3504" s="2" t="s">
        <v>23268</v>
      </c>
      <c r="I3504" s="2"/>
      <c r="J3504" s="2"/>
      <c r="K3504" s="2"/>
      <c r="L3504" s="2"/>
      <c r="M3504" s="2"/>
      <c r="N3504" s="2"/>
      <c r="O3504" s="2"/>
      <c r="P3504" s="2"/>
      <c r="Q3504" s="2"/>
      <c r="R3504" s="2"/>
      <c r="S3504" s="2" t="s">
        <v>23269</v>
      </c>
      <c r="T3504" s="2" t="s">
        <v>23270</v>
      </c>
      <c r="U3504" s="2" t="s">
        <v>56</v>
      </c>
      <c r="V3504" s="2" t="s">
        <v>57</v>
      </c>
      <c r="W3504" s="2" t="s">
        <v>58</v>
      </c>
      <c r="X3504" s="2" t="s">
        <v>147</v>
      </c>
      <c r="Y3504" s="2">
        <v>36.9</v>
      </c>
      <c r="Z3504" s="2">
        <v>0</v>
      </c>
      <c r="AA3504" s="2" t="s">
        <v>218</v>
      </c>
      <c r="AB3504" s="2" t="s">
        <v>23271</v>
      </c>
      <c r="AC3504" s="2">
        <v>0.71401565206749495</v>
      </c>
      <c r="AD3504" s="2"/>
      <c r="AE3504" s="2">
        <v>0.15893700073508199</v>
      </c>
      <c r="AF3504" s="2">
        <v>1305.5433620635699</v>
      </c>
      <c r="AG3504" s="2">
        <v>452.82555176371801</v>
      </c>
      <c r="AH3504" s="5">
        <v>2.8831044471289</v>
      </c>
      <c r="AI3504" s="5">
        <v>1.5276231027452101</v>
      </c>
      <c r="AJ3504" s="5" t="s">
        <v>139</v>
      </c>
      <c r="AK3504" s="2">
        <v>7.4768642879380703E-2</v>
      </c>
      <c r="AL3504" s="2">
        <v>0.35827395704187498</v>
      </c>
      <c r="AM3504" s="2">
        <v>1358.3392801003899</v>
      </c>
      <c r="AN3504" s="2">
        <v>2065.1069252591101</v>
      </c>
      <c r="AO3504" s="2">
        <v>8.559877937157E-6</v>
      </c>
      <c r="AP3504" s="2">
        <v>370.57042432396901</v>
      </c>
      <c r="AQ3504" s="2">
        <v>1515.22040948365</v>
      </c>
      <c r="AR3504" s="2">
        <v>2524.0231246544499</v>
      </c>
      <c r="AS3504" s="2">
        <v>365.250789926717</v>
      </c>
      <c r="AT3504" s="2">
        <v>8.559877937157E-6</v>
      </c>
      <c r="AU3504" s="2">
        <v>591.99876308854698</v>
      </c>
      <c r="AV3504" s="2">
        <v>8.559877937157E-6</v>
      </c>
      <c r="AW3504" s="2">
        <v>765.48829846787305</v>
      </c>
      <c r="AX3504" s="2">
        <v>994.21544197941398</v>
      </c>
    </row>
    <row r="3505" spans="1:50" x14ac:dyDescent="0.25">
      <c r="A3505" s="2" t="s">
        <v>23272</v>
      </c>
      <c r="B3505" s="2">
        <v>277.18064469720503</v>
      </c>
      <c r="C3505" s="2">
        <v>10.946433333333299</v>
      </c>
      <c r="D3505" s="2" t="s">
        <v>51</v>
      </c>
      <c r="E3505" s="2" t="s">
        <v>23273</v>
      </c>
      <c r="F3505" s="2">
        <v>267572</v>
      </c>
      <c r="G3505" s="3" t="str">
        <f>HYPERLINK("https://cloud.oebiotech.com/#/lm/network/267572", "https://cloud.oebiotech.com/#/lm/network/267572")</f>
        <v>https://cloud.oebiotech.com/#/lm/network/267572</v>
      </c>
      <c r="H3505" s="2"/>
      <c r="I3505" s="2">
        <v>45734</v>
      </c>
      <c r="J3505" s="2"/>
      <c r="K3505" s="2">
        <v>442793</v>
      </c>
      <c r="L3505" s="2" t="s">
        <v>23274</v>
      </c>
      <c r="M3505" s="2"/>
      <c r="N3505" s="2"/>
      <c r="O3505" s="2"/>
      <c r="P3505" s="2"/>
      <c r="Q3505" s="2"/>
      <c r="R3505" s="2" t="s">
        <v>23275</v>
      </c>
      <c r="S3505" s="2" t="s">
        <v>23276</v>
      </c>
      <c r="T3505" s="2" t="s">
        <v>23277</v>
      </c>
      <c r="U3505" s="2" t="s">
        <v>610</v>
      </c>
      <c r="V3505" s="2" t="s">
        <v>895</v>
      </c>
      <c r="W3505" s="2" t="s">
        <v>896</v>
      </c>
      <c r="X3505" s="2" t="s">
        <v>147</v>
      </c>
      <c r="Y3505" s="2">
        <v>37.9</v>
      </c>
      <c r="Z3505" s="2">
        <v>0</v>
      </c>
      <c r="AA3505" s="2" t="s">
        <v>156</v>
      </c>
      <c r="AB3505" s="2" t="s">
        <v>3027</v>
      </c>
      <c r="AC3505" s="2">
        <v>2.7997363513083098</v>
      </c>
      <c r="AD3505" s="2"/>
      <c r="AE3505" s="2">
        <v>0.15886918251128401</v>
      </c>
      <c r="AF3505" s="2">
        <v>2820.65917271221</v>
      </c>
      <c r="AG3505" s="2">
        <v>3752.46777724196</v>
      </c>
      <c r="AH3505" s="4">
        <v>0.75168111764183698</v>
      </c>
      <c r="AI3505" s="4">
        <v>-0.41180733134274999</v>
      </c>
      <c r="AJ3505" s="4" t="s">
        <v>62</v>
      </c>
      <c r="AK3505" s="2">
        <v>0.21837727340221399</v>
      </c>
      <c r="AL3505" s="2">
        <v>0.54429297740929605</v>
      </c>
      <c r="AM3505" s="2">
        <v>1242.0283001963301</v>
      </c>
      <c r="AN3505" s="2">
        <v>1315.9986567773001</v>
      </c>
      <c r="AO3505" s="2">
        <v>3666.8445138054799</v>
      </c>
      <c r="AP3505" s="2">
        <v>2894.0506219834301</v>
      </c>
      <c r="AQ3505" s="2">
        <v>4997.81261096252</v>
      </c>
      <c r="AR3505" s="2">
        <v>2807.2203325482301</v>
      </c>
      <c r="AS3505" s="2">
        <v>2587.0329951958201</v>
      </c>
      <c r="AT3505" s="2">
        <v>4898.7005619419897</v>
      </c>
      <c r="AU3505" s="2">
        <v>3415.5514327611099</v>
      </c>
      <c r="AV3505" s="2">
        <v>4391.1431157286297</v>
      </c>
      <c r="AW3505" s="2">
        <v>2703.2906280213401</v>
      </c>
      <c r="AX3505" s="2">
        <v>4519.0879298028703</v>
      </c>
    </row>
    <row r="3506" spans="1:50" x14ac:dyDescent="0.25">
      <c r="A3506" s="2" t="s">
        <v>23278</v>
      </c>
      <c r="B3506" s="2">
        <v>160.09728388783</v>
      </c>
      <c r="C3506" s="2">
        <v>0.69773333333333298</v>
      </c>
      <c r="D3506" s="2" t="s">
        <v>51</v>
      </c>
      <c r="E3506" s="2" t="s">
        <v>23279</v>
      </c>
      <c r="F3506" s="2">
        <v>61992</v>
      </c>
      <c r="G3506" s="3" t="str">
        <f>HYPERLINK("https://cloud.oebiotech.com/#/lm/network/61992", "https://cloud.oebiotech.com/#/lm/network/61992")</f>
        <v>https://cloud.oebiotech.com/#/lm/network/61992</v>
      </c>
      <c r="H3506" s="2" t="s">
        <v>23280</v>
      </c>
      <c r="I3506" s="2">
        <v>93286</v>
      </c>
      <c r="J3506" s="2"/>
      <c r="K3506" s="2">
        <v>101409750</v>
      </c>
      <c r="L3506" s="2"/>
      <c r="M3506" s="2"/>
      <c r="N3506" s="2"/>
      <c r="O3506" s="2">
        <v>173686</v>
      </c>
      <c r="P3506" s="2"/>
      <c r="Q3506" s="2"/>
      <c r="R3506" s="2" t="s">
        <v>23281</v>
      </c>
      <c r="S3506" s="2" t="s">
        <v>23282</v>
      </c>
      <c r="T3506" s="2" t="s">
        <v>23283</v>
      </c>
      <c r="U3506" s="2" t="s">
        <v>103</v>
      </c>
      <c r="V3506" s="2" t="s">
        <v>104</v>
      </c>
      <c r="W3506" s="2" t="s">
        <v>105</v>
      </c>
      <c r="X3506" s="2" t="s">
        <v>83</v>
      </c>
      <c r="Y3506" s="2">
        <v>38.1</v>
      </c>
      <c r="Z3506" s="2">
        <v>0</v>
      </c>
      <c r="AA3506" s="2" t="s">
        <v>259</v>
      </c>
      <c r="AB3506" s="2" t="s">
        <v>23284</v>
      </c>
      <c r="AC3506" s="2">
        <v>2.9176992418563801</v>
      </c>
      <c r="AD3506" s="2"/>
      <c r="AE3506" s="2">
        <v>0.15885385203602101</v>
      </c>
      <c r="AF3506" s="2">
        <v>3872.96814196683</v>
      </c>
      <c r="AG3506" s="2">
        <v>2337.17043208311</v>
      </c>
      <c r="AH3506" s="5">
        <v>1.65711840642912</v>
      </c>
      <c r="AI3506" s="5">
        <v>0.72867669143382696</v>
      </c>
      <c r="AJ3506" s="5" t="s">
        <v>139</v>
      </c>
      <c r="AK3506" s="2">
        <v>0.25339786661692099</v>
      </c>
      <c r="AL3506" s="2">
        <v>0.57683999074652204</v>
      </c>
      <c r="AM3506" s="2">
        <v>1713.1973724470599</v>
      </c>
      <c r="AN3506" s="2">
        <v>6909.8645196574398</v>
      </c>
      <c r="AO3506" s="2">
        <v>1135.20169057456</v>
      </c>
      <c r="AP3506" s="2">
        <v>2569.8077686290799</v>
      </c>
      <c r="AQ3506" s="2">
        <v>8540.3816832079992</v>
      </c>
      <c r="AR3506" s="2">
        <v>2369.3558172848402</v>
      </c>
      <c r="AS3506" s="2">
        <v>2411.4537713118002</v>
      </c>
      <c r="AT3506" s="2">
        <v>1497.16451553621</v>
      </c>
      <c r="AU3506" s="2">
        <v>2745.3719798603702</v>
      </c>
      <c r="AV3506" s="2">
        <v>2223.6206417185199</v>
      </c>
      <c r="AW3506" s="2">
        <v>2728.3909864642501</v>
      </c>
      <c r="AX3506" s="2">
        <v>2417.0206976075201</v>
      </c>
    </row>
    <row r="3507" spans="1:50" x14ac:dyDescent="0.25">
      <c r="A3507" s="2" t="s">
        <v>23285</v>
      </c>
      <c r="B3507" s="2">
        <v>127.050756649321</v>
      </c>
      <c r="C3507" s="2">
        <v>1.38448333333333</v>
      </c>
      <c r="D3507" s="2" t="s">
        <v>51</v>
      </c>
      <c r="E3507" s="2" t="s">
        <v>23286</v>
      </c>
      <c r="F3507" s="2">
        <v>46963</v>
      </c>
      <c r="G3507" s="3" t="str">
        <f>HYPERLINK("https://cloud.oebiotech.com/#/lm/network/46963", "https://cloud.oebiotech.com/#/lm/network/46963")</f>
        <v>https://cloud.oebiotech.com/#/lm/network/46963</v>
      </c>
      <c r="H3507" s="2" t="s">
        <v>23287</v>
      </c>
      <c r="I3507" s="2">
        <v>290</v>
      </c>
      <c r="J3507" s="2"/>
      <c r="K3507" s="2">
        <v>1135</v>
      </c>
      <c r="L3507" s="2" t="s">
        <v>3455</v>
      </c>
      <c r="M3507" s="2" t="s">
        <v>3456</v>
      </c>
      <c r="N3507" s="2" t="s">
        <v>3457</v>
      </c>
      <c r="O3507" s="2">
        <v>17821</v>
      </c>
      <c r="P3507" s="2" t="s">
        <v>3458</v>
      </c>
      <c r="Q3507" s="2" t="s">
        <v>3459</v>
      </c>
      <c r="R3507" s="2" t="s">
        <v>23288</v>
      </c>
      <c r="S3507" s="2" t="s">
        <v>23289</v>
      </c>
      <c r="T3507" s="2" t="s">
        <v>23290</v>
      </c>
      <c r="U3507" s="2" t="s">
        <v>266</v>
      </c>
      <c r="V3507" s="2" t="s">
        <v>3926</v>
      </c>
      <c r="W3507" s="2" t="s">
        <v>4115</v>
      </c>
      <c r="X3507" s="2" t="s">
        <v>83</v>
      </c>
      <c r="Y3507" s="2">
        <v>39.299999999999997</v>
      </c>
      <c r="Z3507" s="2">
        <v>0</v>
      </c>
      <c r="AA3507" s="2" t="s">
        <v>259</v>
      </c>
      <c r="AB3507" s="2" t="s">
        <v>23291</v>
      </c>
      <c r="AC3507" s="2">
        <v>4.3856183900916301</v>
      </c>
      <c r="AD3507" s="2"/>
      <c r="AE3507" s="2">
        <v>0.15878840096733601</v>
      </c>
      <c r="AF3507" s="2">
        <v>2255.0609092187401</v>
      </c>
      <c r="AG3507" s="2">
        <v>426.886211205108</v>
      </c>
      <c r="AH3507" s="5">
        <v>5.2825808143408004</v>
      </c>
      <c r="AI3507" s="5">
        <v>2.4012429330654501</v>
      </c>
      <c r="AJ3507" s="5" t="s">
        <v>139</v>
      </c>
      <c r="AK3507" s="2">
        <v>0.28159961007070999</v>
      </c>
      <c r="AL3507" s="2">
        <v>0.60000138164408201</v>
      </c>
      <c r="AM3507" s="2">
        <v>367.16824673892</v>
      </c>
      <c r="AN3507" s="2">
        <v>379.81359064827097</v>
      </c>
      <c r="AO3507" s="2">
        <v>266.82303959108299</v>
      </c>
      <c r="AP3507" s="2">
        <v>432.47054478945802</v>
      </c>
      <c r="AQ3507" s="2">
        <v>10183.4018762172</v>
      </c>
      <c r="AR3507" s="2">
        <v>1900.68815732749</v>
      </c>
      <c r="AS3507" s="2">
        <v>331.34016776864598</v>
      </c>
      <c r="AT3507" s="2">
        <v>397.16654449113901</v>
      </c>
      <c r="AU3507" s="2">
        <v>529.32088216561203</v>
      </c>
      <c r="AV3507" s="2">
        <v>602.68527197482103</v>
      </c>
      <c r="AW3507" s="2">
        <v>389.11849628263201</v>
      </c>
      <c r="AX3507" s="2">
        <v>311.68590454779797</v>
      </c>
    </row>
    <row r="3508" spans="1:50" x14ac:dyDescent="0.25">
      <c r="A3508" s="2" t="s">
        <v>23292</v>
      </c>
      <c r="B3508" s="2">
        <v>134.06051382544501</v>
      </c>
      <c r="C3508" s="2">
        <v>5.6691833333333301</v>
      </c>
      <c r="D3508" s="2" t="s">
        <v>51</v>
      </c>
      <c r="E3508" s="2" t="s">
        <v>23293</v>
      </c>
      <c r="F3508" s="2">
        <v>48231</v>
      </c>
      <c r="G3508" s="3" t="str">
        <f>HYPERLINK("https://cloud.oebiotech.com/#/lm/network/48231", "https://cloud.oebiotech.com/#/lm/network/48231")</f>
        <v>https://cloud.oebiotech.com/#/lm/network/48231</v>
      </c>
      <c r="H3508" s="2" t="s">
        <v>23294</v>
      </c>
      <c r="I3508" s="2">
        <v>7014</v>
      </c>
      <c r="J3508" s="2"/>
      <c r="K3508" s="2">
        <v>50591</v>
      </c>
      <c r="L3508" s="2" t="s">
        <v>23295</v>
      </c>
      <c r="M3508" s="2" t="s">
        <v>15319</v>
      </c>
      <c r="N3508" s="2" t="s">
        <v>15320</v>
      </c>
      <c r="O3508" s="2">
        <v>17840</v>
      </c>
      <c r="P3508" s="2"/>
      <c r="Q3508" s="2"/>
      <c r="R3508" s="2" t="s">
        <v>23296</v>
      </c>
      <c r="S3508" s="2" t="s">
        <v>23297</v>
      </c>
      <c r="T3508" s="2" t="s">
        <v>23298</v>
      </c>
      <c r="U3508" s="2" t="s">
        <v>266</v>
      </c>
      <c r="V3508" s="2" t="s">
        <v>445</v>
      </c>
      <c r="W3508" s="2" t="s">
        <v>12612</v>
      </c>
      <c r="X3508" s="2" t="s">
        <v>83</v>
      </c>
      <c r="Y3508" s="2">
        <v>44.6</v>
      </c>
      <c r="Z3508" s="2">
        <v>0</v>
      </c>
      <c r="AA3508" s="2" t="s">
        <v>259</v>
      </c>
      <c r="AB3508" s="2" t="s">
        <v>23299</v>
      </c>
      <c r="AC3508" s="2">
        <v>3.55907372133654</v>
      </c>
      <c r="AD3508" s="2"/>
      <c r="AE3508" s="2">
        <v>0.15865190740247401</v>
      </c>
      <c r="AF3508" s="2">
        <v>604.39262653782498</v>
      </c>
      <c r="AG3508" s="2">
        <v>1475.3798503383</v>
      </c>
      <c r="AH3508" s="4">
        <v>0.40965221695229298</v>
      </c>
      <c r="AI3508" s="4">
        <v>-1.2875284724774501</v>
      </c>
      <c r="AJ3508" s="4" t="s">
        <v>62</v>
      </c>
      <c r="AK3508" s="2">
        <v>0.191602553932881</v>
      </c>
      <c r="AL3508" s="2">
        <v>0.51636149010418098</v>
      </c>
      <c r="AM3508" s="2">
        <v>768.40674732586399</v>
      </c>
      <c r="AN3508" s="2">
        <v>421.72632730736899</v>
      </c>
      <c r="AO3508" s="2">
        <v>836.97216906005497</v>
      </c>
      <c r="AP3508" s="2">
        <v>786.35634480706096</v>
      </c>
      <c r="AQ3508" s="2">
        <v>466.25277284811602</v>
      </c>
      <c r="AR3508" s="2">
        <v>346.64139787848802</v>
      </c>
      <c r="AS3508" s="2">
        <v>1604.64110966773</v>
      </c>
      <c r="AT3508" s="2">
        <v>602.48395061312999</v>
      </c>
      <c r="AU3508" s="2">
        <v>466.84910533851598</v>
      </c>
      <c r="AV3508" s="2">
        <v>675.90805704267598</v>
      </c>
      <c r="AW3508" s="2">
        <v>4436.2601101446398</v>
      </c>
      <c r="AX3508" s="2">
        <v>1066.1367692230799</v>
      </c>
    </row>
    <row r="3509" spans="1:50" x14ac:dyDescent="0.25">
      <c r="A3509" s="2" t="s">
        <v>23300</v>
      </c>
      <c r="B3509" s="2">
        <v>317.049548790171</v>
      </c>
      <c r="C3509" s="2">
        <v>3.5852833333333298</v>
      </c>
      <c r="D3509" s="2" t="s">
        <v>51</v>
      </c>
      <c r="E3509" s="2" t="s">
        <v>23301</v>
      </c>
      <c r="F3509" s="2">
        <v>26</v>
      </c>
      <c r="G3509" s="3" t="str">
        <f>HYPERLINK("https://cloud.oebiotech.com/#/lm/network/26", "https://cloud.oebiotech.com/#/lm/network/26")</f>
        <v>https://cloud.oebiotech.com/#/lm/network/26</v>
      </c>
      <c r="H3509" s="2"/>
      <c r="I3509" s="2"/>
      <c r="J3509" s="2" t="s">
        <v>23302</v>
      </c>
      <c r="K3509" s="2">
        <v>138454165</v>
      </c>
      <c r="L3509" s="2"/>
      <c r="M3509" s="2"/>
      <c r="N3509" s="2"/>
      <c r="O3509" s="2"/>
      <c r="P3509" s="2"/>
      <c r="Q3509" s="2"/>
      <c r="R3509" s="2"/>
      <c r="S3509" s="2" t="s">
        <v>23303</v>
      </c>
      <c r="T3509" s="2" t="s">
        <v>23304</v>
      </c>
      <c r="U3509" s="2" t="s">
        <v>56</v>
      </c>
      <c r="V3509" s="2" t="s">
        <v>145</v>
      </c>
      <c r="W3509" s="2" t="s">
        <v>231</v>
      </c>
      <c r="X3509" s="2" t="s">
        <v>147</v>
      </c>
      <c r="Y3509" s="2">
        <v>38.799999999999997</v>
      </c>
      <c r="Z3509" s="2">
        <v>0</v>
      </c>
      <c r="AA3509" s="2" t="s">
        <v>395</v>
      </c>
      <c r="AB3509" s="2" t="s">
        <v>23305</v>
      </c>
      <c r="AC3509" s="2">
        <v>0.26831194732875902</v>
      </c>
      <c r="AD3509" s="2"/>
      <c r="AE3509" s="2">
        <v>0.15859365678141901</v>
      </c>
      <c r="AF3509" s="2">
        <v>10534.7498888062</v>
      </c>
      <c r="AG3509" s="2">
        <v>12213.2959262286</v>
      </c>
      <c r="AH3509" s="4">
        <v>0.86256404106137397</v>
      </c>
      <c r="AI3509" s="4">
        <v>-0.21329652124918</v>
      </c>
      <c r="AJ3509" s="4" t="s">
        <v>62</v>
      </c>
      <c r="AK3509" s="2">
        <v>0.52091254993912595</v>
      </c>
      <c r="AL3509" s="2">
        <v>0.75192102353561097</v>
      </c>
      <c r="AM3509" s="2">
        <v>6337.0522634504096</v>
      </c>
      <c r="AN3509" s="2">
        <v>12865.004176179</v>
      </c>
      <c r="AO3509" s="2">
        <v>9910.8712917026205</v>
      </c>
      <c r="AP3509" s="2">
        <v>15021.666422145599</v>
      </c>
      <c r="AQ3509" s="2">
        <v>10424.5526484889</v>
      </c>
      <c r="AR3509" s="2">
        <v>8649.3525308705994</v>
      </c>
      <c r="AS3509" s="2">
        <v>11923.7109684919</v>
      </c>
      <c r="AT3509" s="2">
        <v>17218.591306115599</v>
      </c>
      <c r="AU3509" s="2">
        <v>8631.5202770461292</v>
      </c>
      <c r="AV3509" s="2">
        <v>3551.4008124101802</v>
      </c>
      <c r="AW3509" s="2">
        <v>14859.0503303026</v>
      </c>
      <c r="AX3509" s="2">
        <v>17095.5018630054</v>
      </c>
    </row>
    <row r="3510" spans="1:50" x14ac:dyDescent="0.25">
      <c r="A3510" s="2" t="s">
        <v>23306</v>
      </c>
      <c r="B3510" s="2">
        <v>102.054847509097</v>
      </c>
      <c r="C3510" s="2">
        <v>0.68473333333333297</v>
      </c>
      <c r="D3510" s="2" t="s">
        <v>51</v>
      </c>
      <c r="E3510" s="2" t="s">
        <v>23307</v>
      </c>
      <c r="F3510" s="2">
        <v>197046</v>
      </c>
      <c r="G3510" s="3" t="str">
        <f>HYPERLINK("https://cloud.oebiotech.com/#/lm/network/197046", "https://cloud.oebiotech.com/#/lm/network/197046")</f>
        <v>https://cloud.oebiotech.com/#/lm/network/197046</v>
      </c>
      <c r="H3510" s="2" t="s">
        <v>23308</v>
      </c>
      <c r="I3510" s="2">
        <v>43366</v>
      </c>
      <c r="J3510" s="2"/>
      <c r="K3510" s="2">
        <v>6503</v>
      </c>
      <c r="L3510" s="2" t="s">
        <v>23309</v>
      </c>
      <c r="M3510" s="2"/>
      <c r="N3510" s="2"/>
      <c r="O3510" s="2">
        <v>9754</v>
      </c>
      <c r="P3510" s="2"/>
      <c r="Q3510" s="2"/>
      <c r="R3510" s="2" t="s">
        <v>23310</v>
      </c>
      <c r="S3510" s="2" t="s">
        <v>23311</v>
      </c>
      <c r="T3510" s="2" t="s">
        <v>23312</v>
      </c>
      <c r="U3510" s="2" t="s">
        <v>119</v>
      </c>
      <c r="V3510" s="2" t="s">
        <v>120</v>
      </c>
      <c r="W3510" s="2" t="s">
        <v>1887</v>
      </c>
      <c r="X3510" s="2" t="s">
        <v>83</v>
      </c>
      <c r="Y3510" s="2">
        <v>51</v>
      </c>
      <c r="Z3510" s="2">
        <v>0</v>
      </c>
      <c r="AA3510" s="2" t="s">
        <v>379</v>
      </c>
      <c r="AB3510" s="2" t="s">
        <v>23313</v>
      </c>
      <c r="AC3510" s="2">
        <v>-9.9491898804045107</v>
      </c>
      <c r="AD3510" s="2"/>
      <c r="AE3510" s="2">
        <v>0.15855526347426599</v>
      </c>
      <c r="AF3510" s="2">
        <v>16656.7263819933</v>
      </c>
      <c r="AG3510" s="2">
        <v>15544.5831718138</v>
      </c>
      <c r="AH3510" s="5">
        <v>1.07154538644665</v>
      </c>
      <c r="AI3510" s="5">
        <v>9.9692958194367395E-2</v>
      </c>
      <c r="AJ3510" s="5" t="s">
        <v>139</v>
      </c>
      <c r="AK3510" s="2">
        <v>0.74977084759243096</v>
      </c>
      <c r="AL3510" s="2">
        <v>0.88567240791012003</v>
      </c>
      <c r="AM3510" s="2">
        <v>21258.237194720001</v>
      </c>
      <c r="AN3510" s="2">
        <v>28123.715030126299</v>
      </c>
      <c r="AO3510" s="2">
        <v>11993.048096488399</v>
      </c>
      <c r="AP3510" s="2">
        <v>14897.6260335524</v>
      </c>
      <c r="AQ3510" s="2">
        <v>13883.455653727</v>
      </c>
      <c r="AR3510" s="2">
        <v>9784.27628334564</v>
      </c>
      <c r="AS3510" s="2">
        <v>8704.1834580003906</v>
      </c>
      <c r="AT3510" s="2">
        <v>14783.525858090499</v>
      </c>
      <c r="AU3510" s="2">
        <v>19402.627943433301</v>
      </c>
      <c r="AV3510" s="2">
        <v>13421.309097412999</v>
      </c>
      <c r="AW3510" s="2">
        <v>22270.6896331397</v>
      </c>
      <c r="AX3510" s="2">
        <v>14685.163040805999</v>
      </c>
    </row>
    <row r="3511" spans="1:50" x14ac:dyDescent="0.25">
      <c r="A3511" s="2" t="s">
        <v>23314</v>
      </c>
      <c r="B3511" s="2">
        <v>611.38027791130605</v>
      </c>
      <c r="C3511" s="2">
        <v>9.2139500000000005</v>
      </c>
      <c r="D3511" s="2" t="s">
        <v>51</v>
      </c>
      <c r="E3511" s="2" t="s">
        <v>23315</v>
      </c>
      <c r="F3511" s="2">
        <v>209281</v>
      </c>
      <c r="G3511" s="3" t="str">
        <f>HYPERLINK("https://cloud.oebiotech.com/#/lm/network/209281", "https://cloud.oebiotech.com/#/lm/network/209281")</f>
        <v>https://cloud.oebiotech.com/#/lm/network/209281</v>
      </c>
      <c r="H3511" s="2" t="s">
        <v>23316</v>
      </c>
      <c r="I3511" s="2"/>
      <c r="J3511" s="2"/>
      <c r="K3511" s="2">
        <v>3063036</v>
      </c>
      <c r="L3511" s="2"/>
      <c r="M3511" s="2"/>
      <c r="N3511" s="2"/>
      <c r="O3511" s="2"/>
      <c r="P3511" s="2"/>
      <c r="Q3511" s="2"/>
      <c r="R3511" s="2"/>
      <c r="S3511" s="2" t="s">
        <v>23317</v>
      </c>
      <c r="T3511" s="2" t="s">
        <v>23318</v>
      </c>
      <c r="U3511" s="2" t="s">
        <v>266</v>
      </c>
      <c r="V3511" s="2" t="s">
        <v>3926</v>
      </c>
      <c r="W3511" s="2" t="s">
        <v>4115</v>
      </c>
      <c r="X3511" s="2" t="s">
        <v>83</v>
      </c>
      <c r="Y3511" s="2">
        <v>47</v>
      </c>
      <c r="Z3511" s="2">
        <v>0.111</v>
      </c>
      <c r="AA3511" s="2" t="s">
        <v>478</v>
      </c>
      <c r="AB3511" s="2" t="s">
        <v>4188</v>
      </c>
      <c r="AC3511" s="2">
        <v>-1.8469656950100699</v>
      </c>
      <c r="AD3511" s="2"/>
      <c r="AE3511" s="2">
        <v>0.158540597125993</v>
      </c>
      <c r="AF3511" s="2">
        <v>1658.1997638989301</v>
      </c>
      <c r="AG3511" s="2">
        <v>3708.9897789971201</v>
      </c>
      <c r="AH3511" s="4">
        <v>0.44707585156713298</v>
      </c>
      <c r="AI3511" s="4">
        <v>-1.16140847288339</v>
      </c>
      <c r="AJ3511" s="4" t="s">
        <v>62</v>
      </c>
      <c r="AK3511" s="2">
        <v>0.178278732935198</v>
      </c>
      <c r="AL3511" s="2">
        <v>0.50018997315367297</v>
      </c>
      <c r="AM3511" s="2">
        <v>3994.3537599040801</v>
      </c>
      <c r="AN3511" s="2">
        <v>842.26809263886696</v>
      </c>
      <c r="AO3511" s="2">
        <v>8.559877937157E-6</v>
      </c>
      <c r="AP3511" s="2">
        <v>1216.6468747593001</v>
      </c>
      <c r="AQ3511" s="2">
        <v>1111.9323474791299</v>
      </c>
      <c r="AR3511" s="2">
        <v>2783.99750005233</v>
      </c>
      <c r="AS3511" s="2">
        <v>1420.9453236203001</v>
      </c>
      <c r="AT3511" s="2">
        <v>9601.2189868272708</v>
      </c>
      <c r="AU3511" s="2">
        <v>3853.3781557604502</v>
      </c>
      <c r="AV3511" s="2">
        <v>2089.4848980499801</v>
      </c>
      <c r="AW3511" s="2">
        <v>4176.2687365114798</v>
      </c>
      <c r="AX3511" s="2">
        <v>1112.64257321323</v>
      </c>
    </row>
    <row r="3512" spans="1:50" x14ac:dyDescent="0.25">
      <c r="A3512" s="2" t="s">
        <v>23319</v>
      </c>
      <c r="B3512" s="2">
        <v>303.23262530945698</v>
      </c>
      <c r="C3512" s="2">
        <v>12.2333833333333</v>
      </c>
      <c r="D3512" s="2" t="s">
        <v>51</v>
      </c>
      <c r="E3512" s="2" t="s">
        <v>23320</v>
      </c>
      <c r="F3512" s="2">
        <v>267537</v>
      </c>
      <c r="G3512" s="3" t="str">
        <f>HYPERLINK("https://cloud.oebiotech.com/#/lm/network/267537", "https://cloud.oebiotech.com/#/lm/network/267537")</f>
        <v>https://cloud.oebiotech.com/#/lm/network/267537</v>
      </c>
      <c r="H3512" s="2"/>
      <c r="I3512" s="2">
        <v>45647</v>
      </c>
      <c r="J3512" s="2"/>
      <c r="K3512" s="2">
        <v>60060292</v>
      </c>
      <c r="L3512" s="2"/>
      <c r="M3512" s="2"/>
      <c r="N3512" s="2"/>
      <c r="O3512" s="2"/>
      <c r="P3512" s="2"/>
      <c r="Q3512" s="2"/>
      <c r="R3512" s="2" t="s">
        <v>23321</v>
      </c>
      <c r="S3512" s="2" t="s">
        <v>23322</v>
      </c>
      <c r="T3512" s="2" t="s">
        <v>23323</v>
      </c>
      <c r="U3512" s="2" t="s">
        <v>266</v>
      </c>
      <c r="V3512" s="2" t="s">
        <v>3994</v>
      </c>
      <c r="W3512" s="2" t="s">
        <v>8308</v>
      </c>
      <c r="X3512" s="2" t="s">
        <v>83</v>
      </c>
      <c r="Y3512" s="2">
        <v>47.4</v>
      </c>
      <c r="Z3512" s="2">
        <v>0</v>
      </c>
      <c r="AA3512" s="2" t="s">
        <v>259</v>
      </c>
      <c r="AB3512" s="2" t="s">
        <v>835</v>
      </c>
      <c r="AC3512" s="2">
        <v>2.5433941742180299</v>
      </c>
      <c r="AD3512" s="2"/>
      <c r="AE3512" s="2">
        <v>0.158539559219675</v>
      </c>
      <c r="AF3512" s="2">
        <v>5203.8552345067701</v>
      </c>
      <c r="AG3512" s="2">
        <v>4129.4724299719701</v>
      </c>
      <c r="AH3512" s="5">
        <v>1.2601743498120599</v>
      </c>
      <c r="AI3512" s="5">
        <v>0.33362334976339603</v>
      </c>
      <c r="AJ3512" s="5" t="s">
        <v>139</v>
      </c>
      <c r="AK3512" s="2">
        <v>0.193029993719075</v>
      </c>
      <c r="AL3512" s="2">
        <v>0.51702050946451295</v>
      </c>
      <c r="AM3512" s="2">
        <v>5073.24676543021</v>
      </c>
      <c r="AN3512" s="2">
        <v>5201.0253177480599</v>
      </c>
      <c r="AO3512" s="2">
        <v>4805.24584073595</v>
      </c>
      <c r="AP3512" s="2">
        <v>6024.0767325258903</v>
      </c>
      <c r="AQ3512" s="2">
        <v>4690.8831994002203</v>
      </c>
      <c r="AR3512" s="2">
        <v>5428.6535512003002</v>
      </c>
      <c r="AS3512" s="2">
        <v>4887.8490750429701</v>
      </c>
      <c r="AT3512" s="2">
        <v>2669.0982766099601</v>
      </c>
      <c r="AU3512" s="2">
        <v>7328.8083078744403</v>
      </c>
      <c r="AV3512" s="2">
        <v>2672.9813785169099</v>
      </c>
      <c r="AW3512" s="2">
        <v>4319.2548942569201</v>
      </c>
      <c r="AX3512" s="2">
        <v>2898.8426475306201</v>
      </c>
    </row>
    <row r="3513" spans="1:50" x14ac:dyDescent="0.25">
      <c r="A3513" s="2" t="s">
        <v>23324</v>
      </c>
      <c r="B3513" s="2">
        <v>554.38307343905501</v>
      </c>
      <c r="C3513" s="2">
        <v>10.2053333333333</v>
      </c>
      <c r="D3513" s="2" t="s">
        <v>51</v>
      </c>
      <c r="E3513" s="2" t="s">
        <v>23325</v>
      </c>
      <c r="F3513" s="2">
        <v>19900</v>
      </c>
      <c r="G3513" s="3" t="str">
        <f>HYPERLINK("https://cloud.oebiotech.com/#/lm/network/19900", "https://cloud.oebiotech.com/#/lm/network/19900")</f>
        <v>https://cloud.oebiotech.com/#/lm/network/19900</v>
      </c>
      <c r="H3513" s="2" t="s">
        <v>23326</v>
      </c>
      <c r="I3513" s="2">
        <v>40388</v>
      </c>
      <c r="J3513" s="2" t="s">
        <v>23327</v>
      </c>
      <c r="K3513" s="2">
        <v>2733532</v>
      </c>
      <c r="L3513" s="2" t="s">
        <v>23328</v>
      </c>
      <c r="M3513" s="2" t="s">
        <v>11355</v>
      </c>
      <c r="N3513" s="2" t="s">
        <v>11356</v>
      </c>
      <c r="O3513" s="2">
        <v>75216</v>
      </c>
      <c r="P3513" s="2"/>
      <c r="Q3513" s="2"/>
      <c r="R3513" s="2" t="s">
        <v>23329</v>
      </c>
      <c r="S3513" s="2" t="s">
        <v>23330</v>
      </c>
      <c r="T3513" s="2" t="s">
        <v>23331</v>
      </c>
      <c r="U3513" s="2" t="s">
        <v>56</v>
      </c>
      <c r="V3513" s="2" t="s">
        <v>57</v>
      </c>
      <c r="W3513" s="2" t="s">
        <v>58</v>
      </c>
      <c r="X3513" s="2" t="s">
        <v>59</v>
      </c>
      <c r="Y3513" s="2">
        <v>52.3</v>
      </c>
      <c r="Z3513" s="2">
        <v>64.2</v>
      </c>
      <c r="AA3513" s="2" t="s">
        <v>218</v>
      </c>
      <c r="AB3513" s="2" t="s">
        <v>23332</v>
      </c>
      <c r="AC3513" s="2">
        <v>0.67811438631241605</v>
      </c>
      <c r="AD3513" s="2"/>
      <c r="AE3513" s="2">
        <v>0.15837307336950801</v>
      </c>
      <c r="AF3513" s="2">
        <v>398725.36894419597</v>
      </c>
      <c r="AG3513" s="2">
        <v>412053.76322266803</v>
      </c>
      <c r="AH3513" s="4">
        <v>0.96765374941796201</v>
      </c>
      <c r="AI3513" s="4">
        <v>-4.7437187221994699E-2</v>
      </c>
      <c r="AJ3513" s="4" t="s">
        <v>62</v>
      </c>
      <c r="AK3513" s="2">
        <v>0.83073316237275796</v>
      </c>
      <c r="AL3513" s="2">
        <v>0.92534010975742298</v>
      </c>
      <c r="AM3513" s="2">
        <v>595540.785986598</v>
      </c>
      <c r="AN3513" s="2">
        <v>386740.26677625801</v>
      </c>
      <c r="AO3513" s="2">
        <v>339396.090060091</v>
      </c>
      <c r="AP3513" s="2">
        <v>286265.54982184898</v>
      </c>
      <c r="AQ3513" s="2">
        <v>399712.83123567898</v>
      </c>
      <c r="AR3513" s="2">
        <v>384696.68978469801</v>
      </c>
      <c r="AS3513" s="2">
        <v>446774.02845938702</v>
      </c>
      <c r="AT3513" s="2">
        <v>299524.74926447199</v>
      </c>
      <c r="AU3513" s="2">
        <v>577984.19244737795</v>
      </c>
      <c r="AV3513" s="2">
        <v>295389.63580689899</v>
      </c>
      <c r="AW3513" s="2">
        <v>422771.13283118798</v>
      </c>
      <c r="AX3513" s="2">
        <v>429878.84052668198</v>
      </c>
    </row>
    <row r="3514" spans="1:50" x14ac:dyDescent="0.25">
      <c r="A3514" s="2" t="s">
        <v>23333</v>
      </c>
      <c r="B3514" s="2">
        <v>457.35380020668401</v>
      </c>
      <c r="C3514" s="2">
        <v>11.884166666666699</v>
      </c>
      <c r="D3514" s="2" t="s">
        <v>51</v>
      </c>
      <c r="E3514" s="2" t="s">
        <v>23334</v>
      </c>
      <c r="F3514" s="2">
        <v>10325</v>
      </c>
      <c r="G3514" s="3" t="str">
        <f>HYPERLINK("https://cloud.oebiotech.com/#/lm/network/10325", "https://cloud.oebiotech.com/#/lm/network/10325")</f>
        <v>https://cloud.oebiotech.com/#/lm/network/10325</v>
      </c>
      <c r="H3514" s="2"/>
      <c r="I3514" s="2"/>
      <c r="J3514" s="2" t="s">
        <v>23335</v>
      </c>
      <c r="K3514" s="2">
        <v>86289796</v>
      </c>
      <c r="L3514" s="2"/>
      <c r="M3514" s="2"/>
      <c r="N3514" s="2"/>
      <c r="O3514" s="2">
        <v>79158</v>
      </c>
      <c r="P3514" s="2"/>
      <c r="Q3514" s="2"/>
      <c r="R3514" s="2"/>
      <c r="S3514" s="2" t="s">
        <v>23336</v>
      </c>
      <c r="T3514" s="2" t="s">
        <v>23337</v>
      </c>
      <c r="U3514" s="2" t="s">
        <v>56</v>
      </c>
      <c r="V3514" s="2" t="s">
        <v>145</v>
      </c>
      <c r="W3514" s="2" t="s">
        <v>231</v>
      </c>
      <c r="X3514" s="2" t="s">
        <v>69</v>
      </c>
      <c r="Y3514" s="2">
        <v>56</v>
      </c>
      <c r="Z3514" s="2">
        <v>50.6</v>
      </c>
      <c r="AA3514" s="2" t="s">
        <v>163</v>
      </c>
      <c r="AB3514" s="2" t="s">
        <v>23338</v>
      </c>
      <c r="AC3514" s="2">
        <v>0.73592215634371605</v>
      </c>
      <c r="AD3514" s="2"/>
      <c r="AE3514" s="2">
        <v>0.158353164268309</v>
      </c>
      <c r="AF3514" s="2">
        <v>12665.978015676999</v>
      </c>
      <c r="AG3514" s="2">
        <v>10007.025603702001</v>
      </c>
      <c r="AH3514" s="5">
        <v>1.2657085648897799</v>
      </c>
      <c r="AI3514" s="5">
        <v>0.33994525595897002</v>
      </c>
      <c r="AJ3514" s="5" t="s">
        <v>139</v>
      </c>
      <c r="AK3514" s="2">
        <v>0.43027521542067798</v>
      </c>
      <c r="AL3514" s="2">
        <v>0.68819175824183598</v>
      </c>
      <c r="AM3514" s="2">
        <v>9599.0608753095694</v>
      </c>
      <c r="AN3514" s="2">
        <v>11330.0348649759</v>
      </c>
      <c r="AO3514" s="2">
        <v>8506.6778658408493</v>
      </c>
      <c r="AP3514" s="2">
        <v>21168.0380084067</v>
      </c>
      <c r="AQ3514" s="2">
        <v>13658.2241334882</v>
      </c>
      <c r="AR3514" s="2">
        <v>11733.832346040699</v>
      </c>
      <c r="AS3514" s="2">
        <v>4628.1856210133201</v>
      </c>
      <c r="AT3514" s="2">
        <v>16125.177043154599</v>
      </c>
      <c r="AU3514" s="2">
        <v>7438.2138014881903</v>
      </c>
      <c r="AV3514" s="2">
        <v>2342.9255282188301</v>
      </c>
      <c r="AW3514" s="2">
        <v>18910.806547337801</v>
      </c>
      <c r="AX3514" s="2">
        <v>10596.845080999399</v>
      </c>
    </row>
    <row r="3515" spans="1:50" x14ac:dyDescent="0.25">
      <c r="A3515" s="2" t="s">
        <v>23339</v>
      </c>
      <c r="B3515" s="2">
        <v>229.180532397484</v>
      </c>
      <c r="C3515" s="2">
        <v>10.2658666666667</v>
      </c>
      <c r="D3515" s="2" t="s">
        <v>51</v>
      </c>
      <c r="E3515" s="2" t="s">
        <v>23340</v>
      </c>
      <c r="F3515" s="2">
        <v>6131</v>
      </c>
      <c r="G3515" s="3" t="str">
        <f>HYPERLINK("https://cloud.oebiotech.com/#/lm/network/6131", "https://cloud.oebiotech.com/#/lm/network/6131")</f>
        <v>https://cloud.oebiotech.com/#/lm/network/6131</v>
      </c>
      <c r="H3515" s="2"/>
      <c r="I3515" s="2">
        <v>46105</v>
      </c>
      <c r="J3515" s="2" t="s">
        <v>23341</v>
      </c>
      <c r="K3515" s="2">
        <v>5364626</v>
      </c>
      <c r="L3515" s="2"/>
      <c r="M3515" s="2"/>
      <c r="N3515" s="2"/>
      <c r="O3515" s="2"/>
      <c r="P3515" s="2"/>
      <c r="Q3515" s="2"/>
      <c r="R3515" s="2"/>
      <c r="S3515" s="2" t="s">
        <v>23342</v>
      </c>
      <c r="T3515" s="2" t="s">
        <v>23343</v>
      </c>
      <c r="U3515" s="2" t="s">
        <v>56</v>
      </c>
      <c r="V3515" s="2" t="s">
        <v>145</v>
      </c>
      <c r="W3515" s="2" t="s">
        <v>146</v>
      </c>
      <c r="X3515" s="2" t="s">
        <v>147</v>
      </c>
      <c r="Y3515" s="2">
        <v>39</v>
      </c>
      <c r="Z3515" s="2">
        <v>0.63500000000000001</v>
      </c>
      <c r="AA3515" s="2" t="s">
        <v>218</v>
      </c>
      <c r="AB3515" s="2" t="s">
        <v>20508</v>
      </c>
      <c r="AC3515" s="2">
        <v>-2.0949943936267701</v>
      </c>
      <c r="AD3515" s="2"/>
      <c r="AE3515" s="2">
        <v>0.158322475925916</v>
      </c>
      <c r="AF3515" s="2">
        <v>1760.02877844978</v>
      </c>
      <c r="AG3515" s="2">
        <v>66.058048669358101</v>
      </c>
      <c r="AH3515" s="5">
        <v>26.643668923060201</v>
      </c>
      <c r="AI3515" s="5">
        <v>4.7357208549484202</v>
      </c>
      <c r="AJ3515" s="5" t="s">
        <v>139</v>
      </c>
      <c r="AK3515" s="2">
        <v>0.25352434135748197</v>
      </c>
      <c r="AL3515" s="2">
        <v>0.57683999074652204</v>
      </c>
      <c r="AM3515" s="2">
        <v>88.169444474045093</v>
      </c>
      <c r="AN3515" s="2">
        <v>81.486439061861702</v>
      </c>
      <c r="AO3515" s="2">
        <v>91.5193282434401</v>
      </c>
      <c r="AP3515" s="2">
        <v>8.559877937157E-6</v>
      </c>
      <c r="AQ3515" s="2">
        <v>8623.9289991468904</v>
      </c>
      <c r="AR3515" s="2">
        <v>1675.0684512125499</v>
      </c>
      <c r="AS3515" s="2">
        <v>103.615009943232</v>
      </c>
      <c r="AT3515" s="2">
        <v>8.559877937157E-6</v>
      </c>
      <c r="AU3515" s="2">
        <v>110.63794703025</v>
      </c>
      <c r="AV3515" s="2">
        <v>182.09530936303301</v>
      </c>
      <c r="AW3515" s="2">
        <v>8.559877937157E-6</v>
      </c>
      <c r="AX3515" s="2">
        <v>8.559877937157E-6</v>
      </c>
    </row>
    <row r="3516" spans="1:50" x14ac:dyDescent="0.25">
      <c r="A3516" s="2" t="s">
        <v>23344</v>
      </c>
      <c r="B3516" s="2">
        <v>228.16014834574901</v>
      </c>
      <c r="C3516" s="2">
        <v>7.3994666666666697</v>
      </c>
      <c r="D3516" s="2" t="s">
        <v>51</v>
      </c>
      <c r="E3516" s="2" t="s">
        <v>23345</v>
      </c>
      <c r="F3516" s="2">
        <v>207690</v>
      </c>
      <c r="G3516" s="3" t="str">
        <f>HYPERLINK("https://cloud.oebiotech.com/#/lm/network/207690", "https://cloud.oebiotech.com/#/lm/network/207690")</f>
        <v>https://cloud.oebiotech.com/#/lm/network/207690</v>
      </c>
      <c r="H3516" s="2" t="s">
        <v>23346</v>
      </c>
      <c r="I3516" s="2"/>
      <c r="J3516" s="2"/>
      <c r="K3516" s="2">
        <v>125098</v>
      </c>
      <c r="L3516" s="2"/>
      <c r="M3516" s="2"/>
      <c r="N3516" s="2"/>
      <c r="O3516" s="2"/>
      <c r="P3516" s="2"/>
      <c r="Q3516" s="2"/>
      <c r="R3516" s="2"/>
      <c r="S3516" s="2" t="s">
        <v>23347</v>
      </c>
      <c r="T3516" s="2" t="s">
        <v>23348</v>
      </c>
      <c r="U3516" s="2" t="s">
        <v>266</v>
      </c>
      <c r="V3516" s="2" t="s">
        <v>1742</v>
      </c>
      <c r="W3516" s="2" t="s">
        <v>18118</v>
      </c>
      <c r="X3516" s="2" t="s">
        <v>147</v>
      </c>
      <c r="Y3516" s="2">
        <v>40.5</v>
      </c>
      <c r="Z3516" s="2">
        <v>9.74</v>
      </c>
      <c r="AA3516" s="2" t="s">
        <v>163</v>
      </c>
      <c r="AB3516" s="2" t="s">
        <v>20106</v>
      </c>
      <c r="AC3516" s="2">
        <v>-1.6094030305129201</v>
      </c>
      <c r="AD3516" s="2"/>
      <c r="AE3516" s="2">
        <v>0.15823556671375899</v>
      </c>
      <c r="AF3516" s="2">
        <v>1287.6182451735999</v>
      </c>
      <c r="AG3516" s="2">
        <v>638.25953791527502</v>
      </c>
      <c r="AH3516" s="5">
        <v>2.01738974301787</v>
      </c>
      <c r="AI3516" s="5">
        <v>1.0124898276304299</v>
      </c>
      <c r="AJ3516" s="5" t="s">
        <v>139</v>
      </c>
      <c r="AK3516" s="2">
        <v>1.18887883502715E-2</v>
      </c>
      <c r="AL3516" s="2">
        <v>0.174592874406855</v>
      </c>
      <c r="AM3516" s="2">
        <v>1379.0390207329699</v>
      </c>
      <c r="AN3516" s="2">
        <v>1825.7894188682701</v>
      </c>
      <c r="AO3516" s="2">
        <v>934.861492419211</v>
      </c>
      <c r="AP3516" s="2">
        <v>1489.12411420082</v>
      </c>
      <c r="AQ3516" s="2">
        <v>943.53354500846899</v>
      </c>
      <c r="AR3516" s="2">
        <v>1153.36187981188</v>
      </c>
      <c r="AS3516" s="2">
        <v>408.356467119147</v>
      </c>
      <c r="AT3516" s="2">
        <v>178.683664860112</v>
      </c>
      <c r="AU3516" s="2">
        <v>832.25205045729103</v>
      </c>
      <c r="AV3516" s="2">
        <v>365.39551671891201</v>
      </c>
      <c r="AW3516" s="2">
        <v>830.75316494881895</v>
      </c>
      <c r="AX3516" s="2">
        <v>1214.11636338737</v>
      </c>
    </row>
    <row r="3517" spans="1:50" x14ac:dyDescent="0.25">
      <c r="A3517" s="2" t="s">
        <v>23349</v>
      </c>
      <c r="B3517" s="2">
        <v>493.29971945561198</v>
      </c>
      <c r="C3517" s="2">
        <v>13.6153</v>
      </c>
      <c r="D3517" s="2" t="s">
        <v>51</v>
      </c>
      <c r="E3517" s="2" t="s">
        <v>23350</v>
      </c>
      <c r="F3517" s="2">
        <v>54077</v>
      </c>
      <c r="G3517" s="3" t="str">
        <f>HYPERLINK("https://cloud.oebiotech.com/#/lm/network/54077", "https://cloud.oebiotech.com/#/lm/network/54077")</f>
        <v>https://cloud.oebiotech.com/#/lm/network/54077</v>
      </c>
      <c r="H3517" s="2" t="s">
        <v>23351</v>
      </c>
      <c r="I3517" s="2"/>
      <c r="J3517" s="2"/>
      <c r="K3517" s="2">
        <v>10332210</v>
      </c>
      <c r="L3517" s="2"/>
      <c r="M3517" s="2"/>
      <c r="N3517" s="2"/>
      <c r="O3517" s="2">
        <v>157893</v>
      </c>
      <c r="P3517" s="2"/>
      <c r="Q3517" s="2"/>
      <c r="R3517" s="2" t="s">
        <v>23352</v>
      </c>
      <c r="S3517" s="2" t="s">
        <v>23353</v>
      </c>
      <c r="T3517" s="2" t="s">
        <v>23354</v>
      </c>
      <c r="U3517" s="2" t="s">
        <v>103</v>
      </c>
      <c r="V3517" s="2" t="s">
        <v>104</v>
      </c>
      <c r="W3517" s="2" t="s">
        <v>105</v>
      </c>
      <c r="X3517" s="2" t="s">
        <v>147</v>
      </c>
      <c r="Y3517" s="2">
        <v>38.700000000000003</v>
      </c>
      <c r="Z3517" s="2">
        <v>0</v>
      </c>
      <c r="AA3517" s="2" t="s">
        <v>478</v>
      </c>
      <c r="AB3517" s="2" t="s">
        <v>23355</v>
      </c>
      <c r="AC3517" s="2">
        <v>1.1805539583154701</v>
      </c>
      <c r="AD3517" s="2"/>
      <c r="AE3517" s="2">
        <v>0.158133935018021</v>
      </c>
      <c r="AF3517" s="2">
        <v>4244.8779401591501</v>
      </c>
      <c r="AG3517" s="2">
        <v>6230.3066830786101</v>
      </c>
      <c r="AH3517" s="4">
        <v>0.68132728549112198</v>
      </c>
      <c r="AI3517" s="4">
        <v>-0.55358011055720402</v>
      </c>
      <c r="AJ3517" s="4" t="s">
        <v>62</v>
      </c>
      <c r="AK3517" s="2">
        <v>0.63228872727907104</v>
      </c>
      <c r="AL3517" s="2">
        <v>0.81944950313377996</v>
      </c>
      <c r="AM3517" s="2">
        <v>2040.86525081952</v>
      </c>
      <c r="AN3517" s="2">
        <v>4702.8208993355802</v>
      </c>
      <c r="AO3517" s="2">
        <v>9760.3613340512002</v>
      </c>
      <c r="AP3517" s="2">
        <v>2167.9310400388399</v>
      </c>
      <c r="AQ3517" s="2">
        <v>6506.5380213428098</v>
      </c>
      <c r="AR3517" s="2">
        <v>290.75109536692099</v>
      </c>
      <c r="AS3517" s="2">
        <v>24626.5746926703</v>
      </c>
      <c r="AT3517" s="2">
        <v>3231.6990446386699</v>
      </c>
      <c r="AU3517" s="2">
        <v>1472.1522354675999</v>
      </c>
      <c r="AV3517" s="2">
        <v>8.559877937157E-6</v>
      </c>
      <c r="AW3517" s="2">
        <v>2244.1148182972402</v>
      </c>
      <c r="AX3517" s="2">
        <v>5807.2992988379901</v>
      </c>
    </row>
    <row r="3518" spans="1:50" x14ac:dyDescent="0.25">
      <c r="A3518" s="2" t="s">
        <v>23356</v>
      </c>
      <c r="B3518" s="2">
        <v>408.21454719840102</v>
      </c>
      <c r="C3518" s="2">
        <v>4.1742499999999998</v>
      </c>
      <c r="D3518" s="2" t="s">
        <v>51</v>
      </c>
      <c r="E3518" s="2" t="s">
        <v>23357</v>
      </c>
      <c r="F3518" s="2">
        <v>211984</v>
      </c>
      <c r="G3518" s="3" t="str">
        <f>HYPERLINK("https://cloud.oebiotech.com/#/lm/network/211984", "https://cloud.oebiotech.com/#/lm/network/211984")</f>
        <v>https://cloud.oebiotech.com/#/lm/network/211984</v>
      </c>
      <c r="H3518" s="2" t="s">
        <v>23358</v>
      </c>
      <c r="I3518" s="2"/>
      <c r="J3518" s="2"/>
      <c r="K3518" s="2">
        <v>78193654</v>
      </c>
      <c r="L3518" s="2"/>
      <c r="M3518" s="2"/>
      <c r="N3518" s="2"/>
      <c r="O3518" s="2"/>
      <c r="P3518" s="2"/>
      <c r="Q3518" s="2"/>
      <c r="R3518" s="2"/>
      <c r="S3518" s="2" t="s">
        <v>23359</v>
      </c>
      <c r="T3518" s="2" t="s">
        <v>23360</v>
      </c>
      <c r="U3518" s="2" t="s">
        <v>266</v>
      </c>
      <c r="V3518" s="2" t="s">
        <v>1785</v>
      </c>
      <c r="W3518" s="2" t="s">
        <v>1786</v>
      </c>
      <c r="X3518" s="2" t="s">
        <v>147</v>
      </c>
      <c r="Y3518" s="2">
        <v>37.700000000000003</v>
      </c>
      <c r="Z3518" s="2">
        <v>0</v>
      </c>
      <c r="AA3518" s="2" t="s">
        <v>1123</v>
      </c>
      <c r="AB3518" s="2" t="s">
        <v>23361</v>
      </c>
      <c r="AC3518" s="2">
        <v>4.6832828925270298E-2</v>
      </c>
      <c r="AD3518" s="2"/>
      <c r="AE3518" s="2">
        <v>0.15812882914618701</v>
      </c>
      <c r="AF3518" s="2">
        <v>697.39701227048499</v>
      </c>
      <c r="AG3518" s="2">
        <v>4176.70925995773</v>
      </c>
      <c r="AH3518" s="4">
        <v>0.16697284126440301</v>
      </c>
      <c r="AI3518" s="4">
        <v>-2.5823146326641901</v>
      </c>
      <c r="AJ3518" s="4" t="s">
        <v>62</v>
      </c>
      <c r="AK3518" s="2">
        <v>0.39682134608958802</v>
      </c>
      <c r="AL3518" s="2">
        <v>0.66752996494649497</v>
      </c>
      <c r="AM3518" s="2">
        <v>2535.4147844602098</v>
      </c>
      <c r="AN3518" s="2">
        <v>283.00949657137699</v>
      </c>
      <c r="AO3518" s="2">
        <v>392.17903051022199</v>
      </c>
      <c r="AP3518" s="2">
        <v>192.143396183627</v>
      </c>
      <c r="AQ3518" s="2">
        <v>270.57492185805103</v>
      </c>
      <c r="AR3518" s="2">
        <v>511.06044403942599</v>
      </c>
      <c r="AS3518" s="2">
        <v>8.559877937157E-6</v>
      </c>
      <c r="AT3518" s="2">
        <v>298.23839585590599</v>
      </c>
      <c r="AU3518" s="2">
        <v>23727.8217488255</v>
      </c>
      <c r="AV3518" s="2">
        <v>945.85308872737505</v>
      </c>
      <c r="AW3518" s="2">
        <v>2.27593062104509E-2</v>
      </c>
      <c r="AX3518" s="2">
        <v>88.319558471512806</v>
      </c>
    </row>
    <row r="3519" spans="1:50" x14ac:dyDescent="0.25">
      <c r="A3519" s="2" t="s">
        <v>23362</v>
      </c>
      <c r="B3519" s="2">
        <v>421.11200035196299</v>
      </c>
      <c r="C3519" s="2">
        <v>4.78165</v>
      </c>
      <c r="D3519" s="2" t="s">
        <v>51</v>
      </c>
      <c r="E3519" s="2" t="s">
        <v>23363</v>
      </c>
      <c r="F3519" s="2">
        <v>34058</v>
      </c>
      <c r="G3519" s="3" t="str">
        <f>HYPERLINK("https://cloud.oebiotech.com/#/lm/network/34058", "https://cloud.oebiotech.com/#/lm/network/34058")</f>
        <v>https://cloud.oebiotech.com/#/lm/network/34058</v>
      </c>
      <c r="H3519" s="2"/>
      <c r="I3519" s="2"/>
      <c r="J3519" s="2" t="s">
        <v>23364</v>
      </c>
      <c r="K3519" s="2">
        <v>42607721</v>
      </c>
      <c r="L3519" s="2"/>
      <c r="M3519" s="2"/>
      <c r="N3519" s="2"/>
      <c r="O3519" s="2"/>
      <c r="P3519" s="2"/>
      <c r="Q3519" s="2"/>
      <c r="R3519" s="2"/>
      <c r="S3519" s="2" t="s">
        <v>23365</v>
      </c>
      <c r="T3519" s="2" t="s">
        <v>23366</v>
      </c>
      <c r="U3519" s="2" t="s">
        <v>540</v>
      </c>
      <c r="V3519" s="2" t="s">
        <v>10873</v>
      </c>
      <c r="W3519" s="2" t="s">
        <v>18007</v>
      </c>
      <c r="X3519" s="2" t="s">
        <v>147</v>
      </c>
      <c r="Y3519" s="2">
        <v>43.8</v>
      </c>
      <c r="Z3519" s="2">
        <v>35.700000000000003</v>
      </c>
      <c r="AA3519" s="2" t="s">
        <v>163</v>
      </c>
      <c r="AB3519" s="2" t="s">
        <v>14214</v>
      </c>
      <c r="AC3519" s="2">
        <v>-4.78563197785257</v>
      </c>
      <c r="AD3519" s="2"/>
      <c r="AE3519" s="2">
        <v>0.1580885260537</v>
      </c>
      <c r="AF3519" s="2">
        <v>1364.90040418289</v>
      </c>
      <c r="AG3519" s="2">
        <v>2575.9184999454201</v>
      </c>
      <c r="AH3519" s="4">
        <v>0.52986940550013795</v>
      </c>
      <c r="AI3519" s="4">
        <v>-0.91629126587840504</v>
      </c>
      <c r="AJ3519" s="4" t="s">
        <v>62</v>
      </c>
      <c r="AK3519" s="2">
        <v>0.145711124114734</v>
      </c>
      <c r="AL3519" s="2">
        <v>0.46813495501649</v>
      </c>
      <c r="AM3519" s="2">
        <v>1256.1104146774501</v>
      </c>
      <c r="AN3519" s="2">
        <v>1144.0050558072501</v>
      </c>
      <c r="AO3519" s="2">
        <v>1152.4056539737501</v>
      </c>
      <c r="AP3519" s="2">
        <v>8.559877937157E-6</v>
      </c>
      <c r="AQ3519" s="2">
        <v>588.09701375019904</v>
      </c>
      <c r="AR3519" s="2">
        <v>4048.7842783288002</v>
      </c>
      <c r="AS3519" s="2">
        <v>3210.6913499950901</v>
      </c>
      <c r="AT3519" s="2">
        <v>4385.1100898288596</v>
      </c>
      <c r="AU3519" s="2">
        <v>2215.7096450665999</v>
      </c>
      <c r="AV3519" s="2">
        <v>982.73568185318697</v>
      </c>
      <c r="AW3519" s="2">
        <v>3177.8330144050601</v>
      </c>
      <c r="AX3519" s="2">
        <v>1483.43121852373</v>
      </c>
    </row>
    <row r="3520" spans="1:50" x14ac:dyDescent="0.25">
      <c r="A3520" s="2" t="s">
        <v>23367</v>
      </c>
      <c r="B3520" s="2">
        <v>477.98969139497399</v>
      </c>
      <c r="C3520" s="2">
        <v>4.8125</v>
      </c>
      <c r="D3520" s="2" t="s">
        <v>51</v>
      </c>
      <c r="E3520" s="2" t="s">
        <v>23368</v>
      </c>
      <c r="F3520" s="2">
        <v>61794</v>
      </c>
      <c r="G3520" s="3" t="str">
        <f>HYPERLINK("https://cloud.oebiotech.com/#/lm/network/61794", "https://cloud.oebiotech.com/#/lm/network/61794")</f>
        <v>https://cloud.oebiotech.com/#/lm/network/61794</v>
      </c>
      <c r="H3520" s="2" t="s">
        <v>23369</v>
      </c>
      <c r="I3520" s="2"/>
      <c r="J3520" s="2"/>
      <c r="K3520" s="2">
        <v>9573943</v>
      </c>
      <c r="L3520" s="2"/>
      <c r="M3520" s="2"/>
      <c r="N3520" s="2"/>
      <c r="O3520" s="2"/>
      <c r="P3520" s="2"/>
      <c r="Q3520" s="2"/>
      <c r="R3520" s="2" t="s">
        <v>23370</v>
      </c>
      <c r="S3520" s="2" t="s">
        <v>23371</v>
      </c>
      <c r="T3520" s="2" t="s">
        <v>23372</v>
      </c>
      <c r="U3520" s="2" t="s">
        <v>331</v>
      </c>
      <c r="V3520" s="2" t="s">
        <v>332</v>
      </c>
      <c r="W3520" s="2" t="s">
        <v>333</v>
      </c>
      <c r="X3520" s="2" t="s">
        <v>147</v>
      </c>
      <c r="Y3520" s="2">
        <v>43.6</v>
      </c>
      <c r="Z3520" s="2">
        <v>37.799999999999997</v>
      </c>
      <c r="AA3520" s="2" t="s">
        <v>395</v>
      </c>
      <c r="AB3520" s="2" t="s">
        <v>23373</v>
      </c>
      <c r="AC3520" s="2">
        <v>-2.5970537278352599</v>
      </c>
      <c r="AD3520" s="2"/>
      <c r="AE3520" s="2">
        <v>0.15789565232310801</v>
      </c>
      <c r="AF3520" s="2">
        <v>499.90500066864399</v>
      </c>
      <c r="AG3520" s="2">
        <v>3704.84829472619</v>
      </c>
      <c r="AH3520" s="4">
        <v>0.13493265065137899</v>
      </c>
      <c r="AI3520" s="4">
        <v>-2.8896886047687</v>
      </c>
      <c r="AJ3520" s="4" t="s">
        <v>62</v>
      </c>
      <c r="AK3520" s="2">
        <v>0.40356514410236199</v>
      </c>
      <c r="AL3520" s="2">
        <v>0.67054288321757405</v>
      </c>
      <c r="AM3520" s="2">
        <v>8.559877937157E-6</v>
      </c>
      <c r="AN3520" s="2">
        <v>166.92832294005399</v>
      </c>
      <c r="AO3520" s="2">
        <v>2832.5016468323001</v>
      </c>
      <c r="AP3520" s="2">
        <v>8.559877937157E-6</v>
      </c>
      <c r="AQ3520" s="2">
        <v>8.559877937157E-6</v>
      </c>
      <c r="AR3520" s="2">
        <v>8.559877937157E-6</v>
      </c>
      <c r="AS3520" s="2">
        <v>8.559877937157E-6</v>
      </c>
      <c r="AT3520" s="2">
        <v>8.559877937157E-6</v>
      </c>
      <c r="AU3520" s="2">
        <v>21927.170002669998</v>
      </c>
      <c r="AV3520" s="2">
        <v>301.91973144762397</v>
      </c>
      <c r="AW3520" s="2">
        <v>8.559877937157E-6</v>
      </c>
      <c r="AX3520" s="2">
        <v>8.559877937157E-6</v>
      </c>
    </row>
    <row r="3521" spans="1:50" x14ac:dyDescent="0.25">
      <c r="A3521" s="2" t="s">
        <v>23374</v>
      </c>
      <c r="B3521" s="2">
        <v>604.28434460874905</v>
      </c>
      <c r="C3521" s="2">
        <v>4.1536</v>
      </c>
      <c r="D3521" s="2" t="s">
        <v>51</v>
      </c>
      <c r="E3521" s="2" t="s">
        <v>23375</v>
      </c>
      <c r="F3521" s="2">
        <v>27951</v>
      </c>
      <c r="G3521" s="3" t="str">
        <f>HYPERLINK("https://cloud.oebiotech.com/#/lm/network/27951", "https://cloud.oebiotech.com/#/lm/network/27951")</f>
        <v>https://cloud.oebiotech.com/#/lm/network/27951</v>
      </c>
      <c r="H3521" s="2"/>
      <c r="I3521" s="2"/>
      <c r="J3521" s="2" t="s">
        <v>23376</v>
      </c>
      <c r="K3521" s="2">
        <v>134812398</v>
      </c>
      <c r="L3521" s="2"/>
      <c r="M3521" s="2"/>
      <c r="N3521" s="2"/>
      <c r="O3521" s="2"/>
      <c r="P3521" s="2"/>
      <c r="Q3521" s="2"/>
      <c r="R3521" s="2"/>
      <c r="S3521" s="2" t="s">
        <v>23377</v>
      </c>
      <c r="T3521" s="2" t="s">
        <v>23378</v>
      </c>
      <c r="U3521" s="2" t="s">
        <v>56</v>
      </c>
      <c r="V3521" s="2" t="s">
        <v>57</v>
      </c>
      <c r="W3521" s="2" t="s">
        <v>82</v>
      </c>
      <c r="X3521" s="2" t="s">
        <v>147</v>
      </c>
      <c r="Y3521" s="2">
        <v>42.9</v>
      </c>
      <c r="Z3521" s="2">
        <v>20.2</v>
      </c>
      <c r="AA3521" s="2" t="s">
        <v>95</v>
      </c>
      <c r="AB3521" s="2" t="s">
        <v>23379</v>
      </c>
      <c r="AC3521" s="2">
        <v>-2.36378608166119</v>
      </c>
      <c r="AD3521" s="2"/>
      <c r="AE3521" s="2">
        <v>0.157894921971173</v>
      </c>
      <c r="AF3521" s="2">
        <v>4372.2744653355103</v>
      </c>
      <c r="AG3521" s="2">
        <v>9351.0615774227699</v>
      </c>
      <c r="AH3521" s="4">
        <v>0.46756985066721601</v>
      </c>
      <c r="AI3521" s="4">
        <v>-1.09674618831806</v>
      </c>
      <c r="AJ3521" s="4" t="s">
        <v>62</v>
      </c>
      <c r="AK3521" s="2">
        <v>0.46326786795998998</v>
      </c>
      <c r="AL3521" s="2">
        <v>0.712359837368158</v>
      </c>
      <c r="AM3521" s="2">
        <v>10933.281974200299</v>
      </c>
      <c r="AN3521" s="2">
        <v>3022.8084900058302</v>
      </c>
      <c r="AO3521" s="2">
        <v>5459.2772510992099</v>
      </c>
      <c r="AP3521" s="2">
        <v>2892.7364517740598</v>
      </c>
      <c r="AQ3521" s="2">
        <v>1531.20365859092</v>
      </c>
      <c r="AR3521" s="2">
        <v>2394.3389663427201</v>
      </c>
      <c r="AS3521" s="2">
        <v>367.81023023010601</v>
      </c>
      <c r="AT3521" s="2">
        <v>1040.0459304866999</v>
      </c>
      <c r="AU3521" s="2">
        <v>40197.036492215302</v>
      </c>
      <c r="AV3521" s="2">
        <v>10613.407624498401</v>
      </c>
      <c r="AW3521" s="2">
        <v>3628.5923177350801</v>
      </c>
      <c r="AX3521" s="2">
        <v>259.47686937102299</v>
      </c>
    </row>
    <row r="3522" spans="1:50" x14ac:dyDescent="0.25">
      <c r="A3522" s="2" t="s">
        <v>23380</v>
      </c>
      <c r="B3522" s="2">
        <v>243.07</v>
      </c>
      <c r="C3522" s="2">
        <v>12.48</v>
      </c>
      <c r="D3522" s="2" t="s">
        <v>125</v>
      </c>
      <c r="E3522" s="2" t="s">
        <v>23381</v>
      </c>
      <c r="F3522" s="2">
        <v>549735</v>
      </c>
      <c r="G3522" s="3" t="str">
        <f>HYPERLINK("https://cloud.oebiotech.com/#/lm/network/549735", "https://cloud.oebiotech.com/#/lm/network/549735")</f>
        <v>https://cloud.oebiotech.com/#/lm/network/549735</v>
      </c>
      <c r="H3522" s="2"/>
      <c r="I3522" s="2"/>
      <c r="J3522" s="2"/>
      <c r="K3522" s="2">
        <v>69216</v>
      </c>
      <c r="L3522" s="2"/>
      <c r="M3522" s="2"/>
      <c r="N3522" s="2"/>
      <c r="O3522" s="2"/>
      <c r="P3522" s="2"/>
      <c r="Q3522" s="2"/>
      <c r="R3522" s="2"/>
      <c r="S3522" s="2" t="s">
        <v>23382</v>
      </c>
      <c r="T3522" s="2" t="s">
        <v>23383</v>
      </c>
      <c r="U3522" s="2" t="s">
        <v>266</v>
      </c>
      <c r="V3522" s="2" t="s">
        <v>13648</v>
      </c>
      <c r="W3522" s="2" t="s">
        <v>13649</v>
      </c>
      <c r="X3522" s="2" t="s">
        <v>83</v>
      </c>
      <c r="Y3522" s="2">
        <v>84.3</v>
      </c>
      <c r="Z3522" s="2">
        <v>80.7</v>
      </c>
      <c r="AA3522" s="2"/>
      <c r="AB3522" s="2" t="s">
        <v>22694</v>
      </c>
      <c r="AC3522" s="2"/>
      <c r="AD3522" s="2">
        <v>421472.884844682</v>
      </c>
      <c r="AE3522" s="2">
        <v>0.15783194454264399</v>
      </c>
      <c r="AF3522" s="2">
        <v>4292.9669505221</v>
      </c>
      <c r="AG3522" s="2">
        <v>11568.815888543601</v>
      </c>
      <c r="AH3522" s="4">
        <v>0.371080929274132</v>
      </c>
      <c r="AI3522" s="4">
        <v>-1.4301942354542101</v>
      </c>
      <c r="AJ3522" s="4" t="s">
        <v>62</v>
      </c>
      <c r="AK3522" s="2">
        <v>0.17246994832068499</v>
      </c>
      <c r="AL3522" s="2">
        <v>0.49299666980255502</v>
      </c>
      <c r="AM3522" s="2">
        <v>2299.8352172700202</v>
      </c>
      <c r="AN3522" s="2">
        <v>2299.8352172700202</v>
      </c>
      <c r="AO3522" s="2">
        <v>2299.8352172700202</v>
      </c>
      <c r="AP3522" s="2">
        <v>2299.8352172700202</v>
      </c>
      <c r="AQ3522" s="2">
        <v>9446.5915570858197</v>
      </c>
      <c r="AR3522" s="2">
        <v>7111.8692769666804</v>
      </c>
      <c r="AS3522" s="2">
        <v>2299.8352172700202</v>
      </c>
      <c r="AT3522" s="2">
        <v>2299.8352172700202</v>
      </c>
      <c r="AU3522" s="2">
        <v>29087.8366588729</v>
      </c>
      <c r="AV3522" s="2">
        <v>23607.211299813</v>
      </c>
      <c r="AW3522" s="2">
        <v>6679.1750356728198</v>
      </c>
      <c r="AX3522" s="2">
        <v>5439.0019023628001</v>
      </c>
    </row>
    <row r="3523" spans="1:50" x14ac:dyDescent="0.25">
      <c r="A3523" s="2" t="s">
        <v>23384</v>
      </c>
      <c r="B3523" s="2">
        <v>295.12997834397203</v>
      </c>
      <c r="C3523" s="2">
        <v>2.3306499999999999</v>
      </c>
      <c r="D3523" s="2" t="s">
        <v>51</v>
      </c>
      <c r="E3523" s="2" t="s">
        <v>23385</v>
      </c>
      <c r="F3523" s="2">
        <v>54117</v>
      </c>
      <c r="G3523" s="3" t="str">
        <f>HYPERLINK("https://cloud.oebiotech.com/#/lm/network/54117", "https://cloud.oebiotech.com/#/lm/network/54117")</f>
        <v>https://cloud.oebiotech.com/#/lm/network/54117</v>
      </c>
      <c r="H3523" s="2" t="s">
        <v>23386</v>
      </c>
      <c r="I3523" s="2"/>
      <c r="J3523" s="2"/>
      <c r="K3523" s="2">
        <v>69040603</v>
      </c>
      <c r="L3523" s="2"/>
      <c r="M3523" s="2"/>
      <c r="N3523" s="2"/>
      <c r="O3523" s="2"/>
      <c r="P3523" s="2"/>
      <c r="Q3523" s="2"/>
      <c r="R3523" s="2" t="s">
        <v>23387</v>
      </c>
      <c r="S3523" s="2" t="s">
        <v>23388</v>
      </c>
      <c r="T3523" s="2" t="s">
        <v>23389</v>
      </c>
      <c r="U3523" s="2" t="s">
        <v>103</v>
      </c>
      <c r="V3523" s="2" t="s">
        <v>104</v>
      </c>
      <c r="W3523" s="2" t="s">
        <v>105</v>
      </c>
      <c r="X3523" s="2" t="s">
        <v>83</v>
      </c>
      <c r="Y3523" s="2">
        <v>45.8</v>
      </c>
      <c r="Z3523" s="2">
        <v>32.9</v>
      </c>
      <c r="AA3523" s="2" t="s">
        <v>259</v>
      </c>
      <c r="AB3523" s="2" t="s">
        <v>18799</v>
      </c>
      <c r="AC3523" s="2">
        <v>3.84272158472666</v>
      </c>
      <c r="AD3523" s="2"/>
      <c r="AE3523" s="2">
        <v>0.157782554131039</v>
      </c>
      <c r="AF3523" s="2">
        <v>6745.8789392416102</v>
      </c>
      <c r="AG3523" s="2">
        <v>5543.6631122170202</v>
      </c>
      <c r="AH3523" s="5">
        <v>1.21686307459325</v>
      </c>
      <c r="AI3523" s="5">
        <v>0.28316684042725299</v>
      </c>
      <c r="AJ3523" s="5" t="s">
        <v>139</v>
      </c>
      <c r="AK3523" s="2">
        <v>0.42084068809102598</v>
      </c>
      <c r="AL3523" s="2">
        <v>0.68154150714577699</v>
      </c>
      <c r="AM3523" s="2">
        <v>5427.5975072001702</v>
      </c>
      <c r="AN3523" s="2">
        <v>5931.51373911681</v>
      </c>
      <c r="AO3523" s="2">
        <v>7471.96823277978</v>
      </c>
      <c r="AP3523" s="2">
        <v>8607.08029001662</v>
      </c>
      <c r="AQ3523" s="2">
        <v>7632.3922877878504</v>
      </c>
      <c r="AR3523" s="2">
        <v>5404.7215785484304</v>
      </c>
      <c r="AS3523" s="2">
        <v>4370.7062569414702</v>
      </c>
      <c r="AT3523" s="2">
        <v>9309.6855067035194</v>
      </c>
      <c r="AU3523" s="2">
        <v>7665.3273053636904</v>
      </c>
      <c r="AV3523" s="2">
        <v>1772.3502738669599</v>
      </c>
      <c r="AW3523" s="2">
        <v>2086.25666202511</v>
      </c>
      <c r="AX3523" s="2">
        <v>8057.6526684013697</v>
      </c>
    </row>
    <row r="3524" spans="1:50" x14ac:dyDescent="0.25">
      <c r="A3524" s="2" t="s">
        <v>23390</v>
      </c>
      <c r="B3524" s="2">
        <v>529.39045168968403</v>
      </c>
      <c r="C3524" s="2">
        <v>13.6885833333333</v>
      </c>
      <c r="D3524" s="2" t="s">
        <v>51</v>
      </c>
      <c r="E3524" s="2" t="s">
        <v>23391</v>
      </c>
      <c r="F3524" s="2">
        <v>43674</v>
      </c>
      <c r="G3524" s="3" t="str">
        <f>HYPERLINK("https://cloud.oebiotech.com/#/lm/network/43674", "https://cloud.oebiotech.com/#/lm/network/43674")</f>
        <v>https://cloud.oebiotech.com/#/lm/network/43674</v>
      </c>
      <c r="H3524" s="2"/>
      <c r="I3524" s="2">
        <v>83949</v>
      </c>
      <c r="J3524" s="2" t="s">
        <v>23392</v>
      </c>
      <c r="K3524" s="2">
        <v>70699276</v>
      </c>
      <c r="L3524" s="2"/>
      <c r="M3524" s="2"/>
      <c r="N3524" s="2"/>
      <c r="O3524" s="2"/>
      <c r="P3524" s="2"/>
      <c r="Q3524" s="2"/>
      <c r="R3524" s="2"/>
      <c r="S3524" s="2" t="s">
        <v>23393</v>
      </c>
      <c r="T3524" s="2" t="s">
        <v>23394</v>
      </c>
      <c r="U3524" s="2" t="s">
        <v>56</v>
      </c>
      <c r="V3524" s="2" t="s">
        <v>283</v>
      </c>
      <c r="W3524" s="2" t="s">
        <v>3462</v>
      </c>
      <c r="X3524" s="2" t="s">
        <v>59</v>
      </c>
      <c r="Y3524" s="2">
        <v>54.4</v>
      </c>
      <c r="Z3524" s="2">
        <v>81.7</v>
      </c>
      <c r="AA3524" s="2" t="s">
        <v>179</v>
      </c>
      <c r="AB3524" s="2" t="s">
        <v>13843</v>
      </c>
      <c r="AC3524" s="2">
        <v>3.1122169091176</v>
      </c>
      <c r="AD3524" s="2"/>
      <c r="AE3524" s="2">
        <v>0.157778242399433</v>
      </c>
      <c r="AF3524" s="2">
        <v>26365.369660366399</v>
      </c>
      <c r="AG3524" s="2">
        <v>23805.3646440718</v>
      </c>
      <c r="AH3524" s="5">
        <v>1.1075389961284201</v>
      </c>
      <c r="AI3524" s="5">
        <v>0.147357496550623</v>
      </c>
      <c r="AJ3524" s="5" t="s">
        <v>139</v>
      </c>
      <c r="AK3524" s="2">
        <v>0.86154603544805597</v>
      </c>
      <c r="AL3524" s="2">
        <v>0.93991664755551796</v>
      </c>
      <c r="AM3524" s="2">
        <v>29728.332245060701</v>
      </c>
      <c r="AN3524" s="2">
        <v>60557.665450678003</v>
      </c>
      <c r="AO3524" s="2">
        <v>30759.667819854301</v>
      </c>
      <c r="AP3524" s="2">
        <v>16774.806483115099</v>
      </c>
      <c r="AQ3524" s="2">
        <v>3998.356455007</v>
      </c>
      <c r="AR3524" s="2">
        <v>16373.3895084832</v>
      </c>
      <c r="AS3524" s="2">
        <v>9096.2489664676996</v>
      </c>
      <c r="AT3524" s="2">
        <v>2030.0186768185599</v>
      </c>
      <c r="AU3524" s="2">
        <v>31818.761840840099</v>
      </c>
      <c r="AV3524" s="2">
        <v>13249.6301449641</v>
      </c>
      <c r="AW3524" s="2">
        <v>7127.3425296061696</v>
      </c>
      <c r="AX3524" s="2">
        <v>79510.185705734199</v>
      </c>
    </row>
    <row r="3525" spans="1:50" x14ac:dyDescent="0.25">
      <c r="A3525" s="2" t="s">
        <v>23395</v>
      </c>
      <c r="B3525" s="2">
        <v>302.172116869121</v>
      </c>
      <c r="C3525" s="2">
        <v>3.2863333333333302</v>
      </c>
      <c r="D3525" s="2" t="s">
        <v>51</v>
      </c>
      <c r="E3525" s="2" t="s">
        <v>23396</v>
      </c>
      <c r="F3525" s="2">
        <v>211842</v>
      </c>
      <c r="G3525" s="3" t="str">
        <f>HYPERLINK("https://cloud.oebiotech.com/#/lm/network/211842", "https://cloud.oebiotech.com/#/lm/network/211842")</f>
        <v>https://cloud.oebiotech.com/#/lm/network/211842</v>
      </c>
      <c r="H3525" s="2" t="s">
        <v>23397</v>
      </c>
      <c r="I3525" s="2"/>
      <c r="J3525" s="2"/>
      <c r="K3525" s="2"/>
      <c r="L3525" s="2"/>
      <c r="M3525" s="2"/>
      <c r="N3525" s="2"/>
      <c r="O3525" s="2"/>
      <c r="P3525" s="2"/>
      <c r="Q3525" s="2"/>
      <c r="R3525" s="2"/>
      <c r="S3525" s="2" t="s">
        <v>23398</v>
      </c>
      <c r="T3525" s="2" t="s">
        <v>23399</v>
      </c>
      <c r="U3525" s="2" t="s">
        <v>266</v>
      </c>
      <c r="V3525" s="2" t="s">
        <v>3926</v>
      </c>
      <c r="W3525" s="2" t="s">
        <v>23400</v>
      </c>
      <c r="X3525" s="2" t="s">
        <v>147</v>
      </c>
      <c r="Y3525" s="2">
        <v>38.9</v>
      </c>
      <c r="Z3525" s="2">
        <v>0.56299999999999994</v>
      </c>
      <c r="AA3525" s="2" t="s">
        <v>512</v>
      </c>
      <c r="AB3525" s="2" t="s">
        <v>23401</v>
      </c>
      <c r="AC3525" s="2">
        <v>-0.94257660728033799</v>
      </c>
      <c r="AD3525" s="2"/>
      <c r="AE3525" s="2">
        <v>0.15766534836553001</v>
      </c>
      <c r="AF3525" s="2">
        <v>27122.548379778698</v>
      </c>
      <c r="AG3525" s="2">
        <v>30615.1741430859</v>
      </c>
      <c r="AH3525" s="4">
        <v>0.88591847470853002</v>
      </c>
      <c r="AI3525" s="4">
        <v>-0.174754151801501</v>
      </c>
      <c r="AJ3525" s="4" t="s">
        <v>62</v>
      </c>
      <c r="AK3525" s="2">
        <v>0.91247482368427002</v>
      </c>
      <c r="AL3525" s="2">
        <v>0.96314611033547703</v>
      </c>
      <c r="AM3525" s="2">
        <v>54452.405643510901</v>
      </c>
      <c r="AN3525" s="2">
        <v>1795.1085228171</v>
      </c>
      <c r="AO3525" s="2">
        <v>811.86733648301504</v>
      </c>
      <c r="AP3525" s="2">
        <v>772.02664301540199</v>
      </c>
      <c r="AQ3525" s="2">
        <v>71184.466744086094</v>
      </c>
      <c r="AR3525" s="2">
        <v>33719.415388759597</v>
      </c>
      <c r="AS3525" s="2">
        <v>1253.63110178134</v>
      </c>
      <c r="AT3525" s="2">
        <v>1116.8911989036301</v>
      </c>
      <c r="AU3525" s="2">
        <v>611.96152440213302</v>
      </c>
      <c r="AV3525" s="2">
        <v>172015.14683189499</v>
      </c>
      <c r="AW3525" s="2">
        <v>470.16119399878801</v>
      </c>
      <c r="AX3525" s="2">
        <v>8223.2530075344293</v>
      </c>
    </row>
    <row r="3526" spans="1:50" x14ac:dyDescent="0.25">
      <c r="A3526" s="2" t="s">
        <v>23402</v>
      </c>
      <c r="B3526" s="2">
        <v>323.02708222737698</v>
      </c>
      <c r="C3526" s="2">
        <v>0.92595000000000005</v>
      </c>
      <c r="D3526" s="2" t="s">
        <v>51</v>
      </c>
      <c r="E3526" s="2" t="s">
        <v>23403</v>
      </c>
      <c r="F3526" s="2">
        <v>46975</v>
      </c>
      <c r="G3526" s="3" t="str">
        <f>HYPERLINK("https://cloud.oebiotech.com/#/lm/network/46975", "https://cloud.oebiotech.com/#/lm/network/46975")</f>
        <v>https://cloud.oebiotech.com/#/lm/network/46975</v>
      </c>
      <c r="H3526" s="2" t="s">
        <v>23404</v>
      </c>
      <c r="I3526" s="2"/>
      <c r="J3526" s="2"/>
      <c r="K3526" s="2">
        <v>6030</v>
      </c>
      <c r="L3526" s="2" t="s">
        <v>23405</v>
      </c>
      <c r="M3526" s="2" t="s">
        <v>3456</v>
      </c>
      <c r="N3526" s="2" t="s">
        <v>3457</v>
      </c>
      <c r="O3526" s="2">
        <v>16695</v>
      </c>
      <c r="P3526" s="2"/>
      <c r="Q3526" s="2"/>
      <c r="R3526" s="2" t="s">
        <v>23406</v>
      </c>
      <c r="S3526" s="2" t="s">
        <v>23407</v>
      </c>
      <c r="T3526" s="2" t="s">
        <v>23408</v>
      </c>
      <c r="U3526" s="2" t="s">
        <v>295</v>
      </c>
      <c r="V3526" s="2" t="s">
        <v>296</v>
      </c>
      <c r="W3526" s="2" t="s">
        <v>3973</v>
      </c>
      <c r="X3526" s="2" t="s">
        <v>83</v>
      </c>
      <c r="Y3526" s="2">
        <v>38.5</v>
      </c>
      <c r="Z3526" s="2">
        <v>6.74</v>
      </c>
      <c r="AA3526" s="2" t="s">
        <v>163</v>
      </c>
      <c r="AB3526" s="2" t="s">
        <v>23409</v>
      </c>
      <c r="AC3526" s="2">
        <v>-4.6537230231162701</v>
      </c>
      <c r="AD3526" s="2"/>
      <c r="AE3526" s="2">
        <v>0.157652424599175</v>
      </c>
      <c r="AF3526" s="2">
        <v>16161.680891961199</v>
      </c>
      <c r="AG3526" s="2">
        <v>15407.4387297714</v>
      </c>
      <c r="AH3526" s="5">
        <v>1.0489531177386699</v>
      </c>
      <c r="AI3526" s="5">
        <v>6.8950199061603795E-2</v>
      </c>
      <c r="AJ3526" s="5" t="s">
        <v>139</v>
      </c>
      <c r="AK3526" s="2">
        <v>0.67481651767211404</v>
      </c>
      <c r="AL3526" s="2">
        <v>0.84259510330444198</v>
      </c>
      <c r="AM3526" s="2">
        <v>22252.693287236601</v>
      </c>
      <c r="AN3526" s="2">
        <v>17565.475458277699</v>
      </c>
      <c r="AO3526" s="2">
        <v>15951.472569293799</v>
      </c>
      <c r="AP3526" s="2">
        <v>15720.3282167736</v>
      </c>
      <c r="AQ3526" s="2">
        <v>13989.3066614698</v>
      </c>
      <c r="AR3526" s="2">
        <v>11490.8091587155</v>
      </c>
      <c r="AS3526" s="2">
        <v>17371.129293711499</v>
      </c>
      <c r="AT3526" s="2">
        <v>18715.9728962468</v>
      </c>
      <c r="AU3526" s="2">
        <v>14348.531635040499</v>
      </c>
      <c r="AV3526" s="2">
        <v>15364.122377671099</v>
      </c>
      <c r="AW3526" s="2">
        <v>14003.203033809999</v>
      </c>
      <c r="AX3526" s="2">
        <v>12641.6731421485</v>
      </c>
    </row>
    <row r="3527" spans="1:50" x14ac:dyDescent="0.25">
      <c r="A3527" s="2" t="s">
        <v>23410</v>
      </c>
      <c r="B3527" s="2">
        <v>222.11314776090799</v>
      </c>
      <c r="C3527" s="2">
        <v>5.5183</v>
      </c>
      <c r="D3527" s="2" t="s">
        <v>51</v>
      </c>
      <c r="E3527" s="2" t="s">
        <v>23411</v>
      </c>
      <c r="F3527" s="2">
        <v>62925</v>
      </c>
      <c r="G3527" s="3" t="str">
        <f>HYPERLINK("https://cloud.oebiotech.com/#/lm/network/62925", "https://cloud.oebiotech.com/#/lm/network/62925")</f>
        <v>https://cloud.oebiotech.com/#/lm/network/62925</v>
      </c>
      <c r="H3527" s="2" t="s">
        <v>23412</v>
      </c>
      <c r="I3527" s="2">
        <v>94222</v>
      </c>
      <c r="J3527" s="2"/>
      <c r="K3527" s="2">
        <v>6428978</v>
      </c>
      <c r="L3527" s="2"/>
      <c r="M3527" s="2"/>
      <c r="N3527" s="2"/>
      <c r="O3527" s="2"/>
      <c r="P3527" s="2"/>
      <c r="Q3527" s="2"/>
      <c r="R3527" s="2"/>
      <c r="S3527" s="2" t="s">
        <v>23413</v>
      </c>
      <c r="T3527" s="2" t="s">
        <v>23414</v>
      </c>
      <c r="U3527" s="2" t="s">
        <v>266</v>
      </c>
      <c r="V3527" s="2" t="s">
        <v>11919</v>
      </c>
      <c r="W3527" s="2" t="s">
        <v>240</v>
      </c>
      <c r="X3527" s="2" t="s">
        <v>83</v>
      </c>
      <c r="Y3527" s="2">
        <v>52.8</v>
      </c>
      <c r="Z3527" s="2">
        <v>0</v>
      </c>
      <c r="AA3527" s="2" t="s">
        <v>218</v>
      </c>
      <c r="AB3527" s="2" t="s">
        <v>23415</v>
      </c>
      <c r="AC3527" s="2">
        <v>-2.3669008259563702</v>
      </c>
      <c r="AD3527" s="2"/>
      <c r="AE3527" s="2">
        <v>0.157651449840465</v>
      </c>
      <c r="AF3527" s="2">
        <v>83.945539293515495</v>
      </c>
      <c r="AG3527" s="2">
        <v>773.70679166992795</v>
      </c>
      <c r="AH3527" s="4">
        <v>0.10849787050767901</v>
      </c>
      <c r="AI3527" s="4">
        <v>-3.2042613677766898</v>
      </c>
      <c r="AJ3527" s="4" t="s">
        <v>62</v>
      </c>
      <c r="AK3527" s="2">
        <v>3.5065918474380002E-2</v>
      </c>
      <c r="AL3527" s="2">
        <v>0.27321044354644902</v>
      </c>
      <c r="AM3527" s="2">
        <v>8.559877937157E-6</v>
      </c>
      <c r="AN3527" s="2">
        <v>135.57200992820199</v>
      </c>
      <c r="AO3527" s="2">
        <v>8.559877937157E-6</v>
      </c>
      <c r="AP3527" s="2">
        <v>266.52873716557502</v>
      </c>
      <c r="AQ3527" s="2">
        <v>8.559877937157E-6</v>
      </c>
      <c r="AR3527" s="2">
        <v>101.572462987682</v>
      </c>
      <c r="AS3527" s="2">
        <v>522.76601804169502</v>
      </c>
      <c r="AT3527" s="2">
        <v>8.559877937157E-6</v>
      </c>
      <c r="AU3527" s="2">
        <v>1666.4103743984799</v>
      </c>
      <c r="AV3527" s="2">
        <v>1581.29073759944</v>
      </c>
      <c r="AW3527" s="2">
        <v>499.66309172538303</v>
      </c>
      <c r="AX3527" s="2">
        <v>372.11051969469202</v>
      </c>
    </row>
    <row r="3528" spans="1:50" x14ac:dyDescent="0.25">
      <c r="A3528" s="2" t="s">
        <v>23416</v>
      </c>
      <c r="B3528" s="2">
        <v>399.28409260682901</v>
      </c>
      <c r="C3528" s="2">
        <v>6.7668499999999998</v>
      </c>
      <c r="D3528" s="2" t="s">
        <v>51</v>
      </c>
      <c r="E3528" s="2" t="s">
        <v>23417</v>
      </c>
      <c r="F3528" s="2">
        <v>197956</v>
      </c>
      <c r="G3528" s="3" t="str">
        <f>HYPERLINK("https://cloud.oebiotech.com/#/lm/network/197956", "https://cloud.oebiotech.com/#/lm/network/197956")</f>
        <v>https://cloud.oebiotech.com/#/lm/network/197956</v>
      </c>
      <c r="H3528" s="2" t="s">
        <v>23418</v>
      </c>
      <c r="I3528" s="2"/>
      <c r="J3528" s="2"/>
      <c r="K3528" s="2"/>
      <c r="L3528" s="2"/>
      <c r="M3528" s="2"/>
      <c r="N3528" s="2"/>
      <c r="O3528" s="2"/>
      <c r="P3528" s="2"/>
      <c r="Q3528" s="2"/>
      <c r="R3528" s="2"/>
      <c r="S3528" s="2" t="s">
        <v>23419</v>
      </c>
      <c r="T3528" s="2" t="s">
        <v>23420</v>
      </c>
      <c r="U3528" s="2" t="s">
        <v>56</v>
      </c>
      <c r="V3528" s="2" t="s">
        <v>145</v>
      </c>
      <c r="W3528" s="2" t="s">
        <v>1188</v>
      </c>
      <c r="X3528" s="2" t="s">
        <v>147</v>
      </c>
      <c r="Y3528" s="2">
        <v>38.1</v>
      </c>
      <c r="Z3528" s="2">
        <v>11.4</v>
      </c>
      <c r="AA3528" s="2" t="s">
        <v>512</v>
      </c>
      <c r="AB3528" s="2" t="s">
        <v>23421</v>
      </c>
      <c r="AC3528" s="2">
        <v>-3.2948018426010099</v>
      </c>
      <c r="AD3528" s="2"/>
      <c r="AE3528" s="2">
        <v>0.157284122894844</v>
      </c>
      <c r="AF3528" s="2">
        <v>4671.1162923394404</v>
      </c>
      <c r="AG3528" s="2">
        <v>3807.3567220229702</v>
      </c>
      <c r="AH3528" s="5">
        <v>1.2268659422743899</v>
      </c>
      <c r="AI3528" s="5">
        <v>0.29497761657861299</v>
      </c>
      <c r="AJ3528" s="5" t="s">
        <v>139</v>
      </c>
      <c r="AK3528" s="2">
        <v>0.13099086616625899</v>
      </c>
      <c r="AL3528" s="2">
        <v>0.45089232239589</v>
      </c>
      <c r="AM3528" s="2">
        <v>4074.6662591335198</v>
      </c>
      <c r="AN3528" s="2">
        <v>4213.3110673052997</v>
      </c>
      <c r="AO3528" s="2">
        <v>4355.59280505276</v>
      </c>
      <c r="AP3528" s="2">
        <v>4713.2349006198501</v>
      </c>
      <c r="AQ3528" s="2">
        <v>4421.9089603248103</v>
      </c>
      <c r="AR3528" s="2">
        <v>6247.9837616004197</v>
      </c>
      <c r="AS3528" s="2">
        <v>3656.41451836235</v>
      </c>
      <c r="AT3528" s="2">
        <v>5675.28313843461</v>
      </c>
      <c r="AU3528" s="2">
        <v>4130.2252944202901</v>
      </c>
      <c r="AV3528" s="2">
        <v>3286.9015571251298</v>
      </c>
      <c r="AW3528" s="2">
        <v>2962.4911918727498</v>
      </c>
      <c r="AX3528" s="2">
        <v>3132.8246319226901</v>
      </c>
    </row>
    <row r="3529" spans="1:50" x14ac:dyDescent="0.25">
      <c r="A3529" s="2" t="s">
        <v>23422</v>
      </c>
      <c r="B3529" s="2">
        <v>391.060131153334</v>
      </c>
      <c r="C3529" s="2">
        <v>5.3641833333333304</v>
      </c>
      <c r="D3529" s="2" t="s">
        <v>51</v>
      </c>
      <c r="E3529" s="2" t="s">
        <v>23423</v>
      </c>
      <c r="F3529" s="2">
        <v>202684</v>
      </c>
      <c r="G3529" s="3" t="str">
        <f>HYPERLINK("https://cloud.oebiotech.com/#/lm/network/202684", "https://cloud.oebiotech.com/#/lm/network/202684")</f>
        <v>https://cloud.oebiotech.com/#/lm/network/202684</v>
      </c>
      <c r="H3529" s="2" t="s">
        <v>23424</v>
      </c>
      <c r="I3529" s="2"/>
      <c r="J3529" s="2"/>
      <c r="K3529" s="2">
        <v>4112249</v>
      </c>
      <c r="L3529" s="2"/>
      <c r="M3529" s="2"/>
      <c r="N3529" s="2"/>
      <c r="O3529" s="2"/>
      <c r="P3529" s="2"/>
      <c r="Q3529" s="2"/>
      <c r="R3529" s="2"/>
      <c r="S3529" s="2" t="s">
        <v>23425</v>
      </c>
      <c r="T3529" s="2" t="s">
        <v>23426</v>
      </c>
      <c r="U3529" s="2" t="s">
        <v>266</v>
      </c>
      <c r="V3529" s="2" t="s">
        <v>2772</v>
      </c>
      <c r="W3529" s="2" t="s">
        <v>2773</v>
      </c>
      <c r="X3529" s="2" t="s">
        <v>147</v>
      </c>
      <c r="Y3529" s="2">
        <v>38.799999999999997</v>
      </c>
      <c r="Z3529" s="2">
        <v>0</v>
      </c>
      <c r="AA3529" s="2" t="s">
        <v>478</v>
      </c>
      <c r="AB3529" s="2" t="s">
        <v>23427</v>
      </c>
      <c r="AC3529" s="2">
        <v>-4.0004343165823402</v>
      </c>
      <c r="AD3529" s="2"/>
      <c r="AE3529" s="2">
        <v>0.15727599281265001</v>
      </c>
      <c r="AF3529" s="2">
        <v>1241.65288439955</v>
      </c>
      <c r="AG3529" s="2">
        <v>427.57606150810801</v>
      </c>
      <c r="AH3529" s="5">
        <v>2.9039345187382701</v>
      </c>
      <c r="AI3529" s="5">
        <v>1.53800892215024</v>
      </c>
      <c r="AJ3529" s="5" t="s">
        <v>139</v>
      </c>
      <c r="AK3529" s="2">
        <v>9.4014193160484899E-2</v>
      </c>
      <c r="AL3529" s="2">
        <v>0.39446096451858598</v>
      </c>
      <c r="AM3529" s="2">
        <v>1150.7921322541199</v>
      </c>
      <c r="AN3529" s="2">
        <v>3125.2149916905601</v>
      </c>
      <c r="AO3529" s="2">
        <v>154.74803698192201</v>
      </c>
      <c r="AP3529" s="2">
        <v>913.82319729151095</v>
      </c>
      <c r="AQ3529" s="2">
        <v>811.82529227836994</v>
      </c>
      <c r="AR3529" s="2">
        <v>1293.5136559008399</v>
      </c>
      <c r="AS3529" s="2">
        <v>858.70208595418103</v>
      </c>
      <c r="AT3529" s="2">
        <v>208.26575137082199</v>
      </c>
      <c r="AU3529" s="2">
        <v>324.16886127862102</v>
      </c>
      <c r="AV3529" s="2">
        <v>8.559877937157E-6</v>
      </c>
      <c r="AW3529" s="2">
        <v>201.74827355385901</v>
      </c>
      <c r="AX3529" s="2">
        <v>972.57138833128704</v>
      </c>
    </row>
    <row r="3530" spans="1:50" x14ac:dyDescent="0.25">
      <c r="A3530" s="2" t="s">
        <v>23428</v>
      </c>
      <c r="B3530" s="2">
        <v>216.12367465810101</v>
      </c>
      <c r="C3530" s="2">
        <v>4.2455333333333298</v>
      </c>
      <c r="D3530" s="2" t="s">
        <v>51</v>
      </c>
      <c r="E3530" s="2" t="s">
        <v>23429</v>
      </c>
      <c r="F3530" s="2">
        <v>200430</v>
      </c>
      <c r="G3530" s="3" t="str">
        <f>HYPERLINK("https://cloud.oebiotech.com/#/lm/network/200430", "https://cloud.oebiotech.com/#/lm/network/200430")</f>
        <v>https://cloud.oebiotech.com/#/lm/network/200430</v>
      </c>
      <c r="H3530" s="2" t="s">
        <v>23430</v>
      </c>
      <c r="I3530" s="2"/>
      <c r="J3530" s="2"/>
      <c r="K3530" s="2">
        <v>95475</v>
      </c>
      <c r="L3530" s="2"/>
      <c r="M3530" s="2"/>
      <c r="N3530" s="2"/>
      <c r="O3530" s="2"/>
      <c r="P3530" s="2"/>
      <c r="Q3530" s="2"/>
      <c r="R3530" s="2"/>
      <c r="S3530" s="2" t="s">
        <v>23431</v>
      </c>
      <c r="T3530" s="2" t="s">
        <v>23432</v>
      </c>
      <c r="U3530" s="2" t="s">
        <v>103</v>
      </c>
      <c r="V3530" s="2" t="s">
        <v>104</v>
      </c>
      <c r="W3530" s="2" t="s">
        <v>105</v>
      </c>
      <c r="X3530" s="2" t="s">
        <v>147</v>
      </c>
      <c r="Y3530" s="2">
        <v>41.3</v>
      </c>
      <c r="Z3530" s="2">
        <v>15.7</v>
      </c>
      <c r="AA3530" s="2" t="s">
        <v>218</v>
      </c>
      <c r="AB3530" s="2" t="s">
        <v>22172</v>
      </c>
      <c r="AC3530" s="2">
        <v>-2.6705538577849999</v>
      </c>
      <c r="AD3530" s="2"/>
      <c r="AE3530" s="2">
        <v>0.157261494702257</v>
      </c>
      <c r="AF3530" s="2">
        <v>1283.1025284219099</v>
      </c>
      <c r="AG3530" s="2">
        <v>65.060309250549807</v>
      </c>
      <c r="AH3530" s="5">
        <v>19.721740385226799</v>
      </c>
      <c r="AI3530" s="5">
        <v>4.3017149657890599</v>
      </c>
      <c r="AJ3530" s="5" t="s">
        <v>139</v>
      </c>
      <c r="AK3530" s="2">
        <v>0.17785730375947501</v>
      </c>
      <c r="AL3530" s="2">
        <v>0.50016964033448896</v>
      </c>
      <c r="AM3530" s="2">
        <v>57.984500085400001</v>
      </c>
      <c r="AN3530" s="2">
        <v>198.097440277468</v>
      </c>
      <c r="AO3530" s="2">
        <v>2238.90335239755</v>
      </c>
      <c r="AP3530" s="2">
        <v>8.559877937157E-6</v>
      </c>
      <c r="AQ3530" s="2">
        <v>5093.7757501881797</v>
      </c>
      <c r="AR3530" s="2">
        <v>109.85411902299199</v>
      </c>
      <c r="AS3530" s="2">
        <v>218.32324654222401</v>
      </c>
      <c r="AT3530" s="2">
        <v>8.559877937157E-6</v>
      </c>
      <c r="AU3530" s="2">
        <v>172.03857472156301</v>
      </c>
      <c r="AV3530" s="2">
        <v>8.559877937157E-6</v>
      </c>
      <c r="AW3530" s="2">
        <v>8.559877937157E-6</v>
      </c>
      <c r="AX3530" s="2">
        <v>8.559877937157E-6</v>
      </c>
    </row>
    <row r="3531" spans="1:50" x14ac:dyDescent="0.25">
      <c r="A3531" s="2" t="s">
        <v>23433</v>
      </c>
      <c r="B3531" s="2">
        <v>242.284926044982</v>
      </c>
      <c r="C3531" s="2">
        <v>9.9106500000000004</v>
      </c>
      <c r="D3531" s="2" t="s">
        <v>51</v>
      </c>
      <c r="E3531" s="2" t="s">
        <v>23434</v>
      </c>
      <c r="F3531" s="2">
        <v>467797</v>
      </c>
      <c r="G3531" s="3" t="str">
        <f>HYPERLINK("https://cloud.oebiotech.com/#/lm/network/467797", "https://cloud.oebiotech.com/#/lm/network/467797")</f>
        <v>https://cloud.oebiotech.com/#/lm/network/467797</v>
      </c>
      <c r="H3531" s="2"/>
      <c r="I3531" s="2">
        <v>85164</v>
      </c>
      <c r="J3531" s="2"/>
      <c r="K3531" s="2">
        <v>16028</v>
      </c>
      <c r="L3531" s="2"/>
      <c r="M3531" s="2"/>
      <c r="N3531" s="2"/>
      <c r="O3531" s="2"/>
      <c r="P3531" s="2"/>
      <c r="Q3531" s="2"/>
      <c r="R3531" s="2" t="s">
        <v>23435</v>
      </c>
      <c r="S3531" s="2" t="s">
        <v>23436</v>
      </c>
      <c r="T3531" s="2" t="s">
        <v>23437</v>
      </c>
      <c r="U3531" s="2" t="s">
        <v>119</v>
      </c>
      <c r="V3531" s="2" t="s">
        <v>120</v>
      </c>
      <c r="W3531" s="2" t="s">
        <v>121</v>
      </c>
      <c r="X3531" s="2" t="s">
        <v>147</v>
      </c>
      <c r="Y3531" s="2">
        <v>38.200000000000003</v>
      </c>
      <c r="Z3531" s="2">
        <v>0</v>
      </c>
      <c r="AA3531" s="2" t="s">
        <v>122</v>
      </c>
      <c r="AB3531" s="2" t="s">
        <v>23438</v>
      </c>
      <c r="AC3531" s="2">
        <v>0.62234889325952403</v>
      </c>
      <c r="AD3531" s="2"/>
      <c r="AE3531" s="2">
        <v>0.15706069490591301</v>
      </c>
      <c r="AF3531" s="2">
        <v>3507.0556333091199</v>
      </c>
      <c r="AG3531" s="2">
        <v>4139.1857349501697</v>
      </c>
      <c r="AH3531" s="4">
        <v>0.84728153262041195</v>
      </c>
      <c r="AI3531" s="4">
        <v>-0.23908667051528401</v>
      </c>
      <c r="AJ3531" s="4" t="s">
        <v>62</v>
      </c>
      <c r="AK3531" s="2">
        <v>6.2872997983537696E-2</v>
      </c>
      <c r="AL3531" s="2">
        <v>0.33601027492909402</v>
      </c>
      <c r="AM3531" s="2">
        <v>2886.0659880275998</v>
      </c>
      <c r="AN3531" s="2">
        <v>3839.8345203876202</v>
      </c>
      <c r="AO3531" s="2">
        <v>3525.6041810032102</v>
      </c>
      <c r="AP3531" s="2">
        <v>3630.6701008380701</v>
      </c>
      <c r="AQ3531" s="2">
        <v>4019.5462943877001</v>
      </c>
      <c r="AR3531" s="2">
        <v>3140.61271521053</v>
      </c>
      <c r="AS3531" s="2">
        <v>4568.8979798108503</v>
      </c>
      <c r="AT3531" s="2">
        <v>4563.3961277154604</v>
      </c>
      <c r="AU3531" s="2">
        <v>3018.6808341535402</v>
      </c>
      <c r="AV3531" s="2">
        <v>3908.8929703090698</v>
      </c>
      <c r="AW3531" s="2">
        <v>4515.0653574317503</v>
      </c>
      <c r="AX3531" s="2">
        <v>4260.1811402803196</v>
      </c>
    </row>
    <row r="3532" spans="1:50" x14ac:dyDescent="0.25">
      <c r="A3532" s="2" t="s">
        <v>23439</v>
      </c>
      <c r="B3532" s="2">
        <v>391.01989872016998</v>
      </c>
      <c r="C3532" s="2">
        <v>14.88645</v>
      </c>
      <c r="D3532" s="2" t="s">
        <v>51</v>
      </c>
      <c r="E3532" s="2" t="s">
        <v>23440</v>
      </c>
      <c r="F3532" s="2">
        <v>257576</v>
      </c>
      <c r="G3532" s="3" t="str">
        <f>HYPERLINK("https://cloud.oebiotech.com/#/lm/network/257576", "https://cloud.oebiotech.com/#/lm/network/257576")</f>
        <v>https://cloud.oebiotech.com/#/lm/network/257576</v>
      </c>
      <c r="H3532" s="2" t="s">
        <v>23441</v>
      </c>
      <c r="I3532" s="2"/>
      <c r="J3532" s="2"/>
      <c r="K3532" s="2"/>
      <c r="L3532" s="2"/>
      <c r="M3532" s="2"/>
      <c r="N3532" s="2"/>
      <c r="O3532" s="2"/>
      <c r="P3532" s="2"/>
      <c r="Q3532" s="2"/>
      <c r="R3532" s="2"/>
      <c r="S3532" s="2" t="s">
        <v>23442</v>
      </c>
      <c r="T3532" s="2" t="s">
        <v>23443</v>
      </c>
      <c r="U3532" s="2" t="s">
        <v>266</v>
      </c>
      <c r="V3532" s="2" t="s">
        <v>10648</v>
      </c>
      <c r="W3532" s="2" t="s">
        <v>10649</v>
      </c>
      <c r="X3532" s="2" t="s">
        <v>147</v>
      </c>
      <c r="Y3532" s="2">
        <v>36.299999999999997</v>
      </c>
      <c r="Z3532" s="2">
        <v>0</v>
      </c>
      <c r="AA3532" s="2" t="s">
        <v>163</v>
      </c>
      <c r="AB3532" s="2" t="s">
        <v>23444</v>
      </c>
      <c r="AC3532" s="2">
        <v>1.0413174919216299</v>
      </c>
      <c r="AD3532" s="2"/>
      <c r="AE3532" s="2">
        <v>0.157055404019109</v>
      </c>
      <c r="AF3532" s="2">
        <v>2125.8757298764899</v>
      </c>
      <c r="AG3532" s="2">
        <v>2638.30688371315</v>
      </c>
      <c r="AH3532" s="4">
        <v>0.80577272606154704</v>
      </c>
      <c r="AI3532" s="4">
        <v>-0.31155512117259598</v>
      </c>
      <c r="AJ3532" s="4" t="s">
        <v>62</v>
      </c>
      <c r="AK3532" s="2">
        <v>6.7074257418011903E-3</v>
      </c>
      <c r="AL3532" s="2">
        <v>0.137317195272668</v>
      </c>
      <c r="AM3532" s="2">
        <v>1668.7747540549101</v>
      </c>
      <c r="AN3532" s="2">
        <v>2172.2991002098702</v>
      </c>
      <c r="AO3532" s="2">
        <v>2147.9205732943801</v>
      </c>
      <c r="AP3532" s="2">
        <v>2146.18166303199</v>
      </c>
      <c r="AQ3532" s="2">
        <v>2226.8894416410999</v>
      </c>
      <c r="AR3532" s="2">
        <v>2393.1888470267099</v>
      </c>
      <c r="AS3532" s="2">
        <v>3084.0433231273601</v>
      </c>
      <c r="AT3532" s="2">
        <v>2737.4424982176201</v>
      </c>
      <c r="AU3532" s="2">
        <v>2487.35358004108</v>
      </c>
      <c r="AV3532" s="2">
        <v>2608.06485558654</v>
      </c>
      <c r="AW3532" s="2">
        <v>2247.6535608007598</v>
      </c>
      <c r="AX3532" s="2">
        <v>2665.28348450556</v>
      </c>
    </row>
    <row r="3533" spans="1:50" x14ac:dyDescent="0.25">
      <c r="A3533" s="2" t="s">
        <v>23445</v>
      </c>
      <c r="B3533" s="2">
        <v>401.14810585848397</v>
      </c>
      <c r="C3533" s="2">
        <v>12.4242833333333</v>
      </c>
      <c r="D3533" s="2" t="s">
        <v>51</v>
      </c>
      <c r="E3533" s="2" t="s">
        <v>23446</v>
      </c>
      <c r="F3533" s="2">
        <v>211845</v>
      </c>
      <c r="G3533" s="3" t="str">
        <f>HYPERLINK("https://cloud.oebiotech.com/#/lm/network/211845", "https://cloud.oebiotech.com/#/lm/network/211845")</f>
        <v>https://cloud.oebiotech.com/#/lm/network/211845</v>
      </c>
      <c r="H3533" s="2" t="s">
        <v>23447</v>
      </c>
      <c r="I3533" s="2">
        <v>44581</v>
      </c>
      <c r="J3533" s="2"/>
      <c r="K3533" s="2">
        <v>5216</v>
      </c>
      <c r="L3533" s="2" t="s">
        <v>23448</v>
      </c>
      <c r="M3533" s="2"/>
      <c r="N3533" s="2"/>
      <c r="O3533" s="2">
        <v>27496</v>
      </c>
      <c r="P3533" s="2"/>
      <c r="Q3533" s="2"/>
      <c r="R3533" s="2" t="s">
        <v>23449</v>
      </c>
      <c r="S3533" s="2" t="s">
        <v>23450</v>
      </c>
      <c r="T3533" s="2" t="s">
        <v>23451</v>
      </c>
      <c r="U3533" s="2" t="s">
        <v>266</v>
      </c>
      <c r="V3533" s="2" t="s">
        <v>10459</v>
      </c>
      <c r="W3533" s="2" t="s">
        <v>22899</v>
      </c>
      <c r="X3533" s="2" t="s">
        <v>147</v>
      </c>
      <c r="Y3533" s="2">
        <v>37.299999999999997</v>
      </c>
      <c r="Z3533" s="2">
        <v>0</v>
      </c>
      <c r="AA3533" s="2" t="s">
        <v>478</v>
      </c>
      <c r="AB3533" s="2" t="s">
        <v>23452</v>
      </c>
      <c r="AC3533" s="2">
        <v>-2.14823766765041</v>
      </c>
      <c r="AD3533" s="2"/>
      <c r="AE3533" s="2">
        <v>0.15703980879448301</v>
      </c>
      <c r="AF3533" s="2">
        <v>4115.4016671966601</v>
      </c>
      <c r="AG3533" s="2">
        <v>6384.8282623409896</v>
      </c>
      <c r="AH3533" s="4">
        <v>0.64455949292640102</v>
      </c>
      <c r="AI3533" s="4">
        <v>-0.63361456921169002</v>
      </c>
      <c r="AJ3533" s="4" t="s">
        <v>62</v>
      </c>
      <c r="AK3533" s="2">
        <v>0.37596373604213301</v>
      </c>
      <c r="AL3533" s="2">
        <v>0.65729180444792201</v>
      </c>
      <c r="AM3533" s="2">
        <v>4871.2904582622496</v>
      </c>
      <c r="AN3533" s="2">
        <v>2191.0325242345598</v>
      </c>
      <c r="AO3533" s="2">
        <v>4752.3239728810304</v>
      </c>
      <c r="AP3533" s="2">
        <v>2302.9610174699901</v>
      </c>
      <c r="AQ3533" s="2">
        <v>6296.8299836225196</v>
      </c>
      <c r="AR3533" s="2">
        <v>4277.9720467096104</v>
      </c>
      <c r="AS3533" s="2">
        <v>4759.5781590853803</v>
      </c>
      <c r="AT3533" s="2">
        <v>1436.81382311383</v>
      </c>
      <c r="AU3533" s="2">
        <v>17612.212646521701</v>
      </c>
      <c r="AV3533" s="2">
        <v>5386.6714605036104</v>
      </c>
      <c r="AW3533" s="2">
        <v>6339.4436829026099</v>
      </c>
      <c r="AX3533" s="2">
        <v>2774.2498019188101</v>
      </c>
    </row>
    <row r="3534" spans="1:50" x14ac:dyDescent="0.25">
      <c r="A3534" s="2" t="s">
        <v>23453</v>
      </c>
      <c r="B3534" s="2">
        <v>225.05129718956999</v>
      </c>
      <c r="C3534" s="2">
        <v>3.9181166666666698</v>
      </c>
      <c r="D3534" s="2" t="s">
        <v>51</v>
      </c>
      <c r="E3534" s="2" t="s">
        <v>23454</v>
      </c>
      <c r="F3534" s="2">
        <v>48048</v>
      </c>
      <c r="G3534" s="3" t="str">
        <f>HYPERLINK("https://cloud.oebiotech.com/#/lm/network/48048", "https://cloud.oebiotech.com/#/lm/network/48048")</f>
        <v>https://cloud.oebiotech.com/#/lm/network/48048</v>
      </c>
      <c r="H3534" s="2" t="s">
        <v>23455</v>
      </c>
      <c r="I3534" s="2">
        <v>1499</v>
      </c>
      <c r="J3534" s="2"/>
      <c r="K3534" s="2">
        <v>68499</v>
      </c>
      <c r="L3534" s="2" t="s">
        <v>23456</v>
      </c>
      <c r="M3534" s="2" t="s">
        <v>7772</v>
      </c>
      <c r="N3534" s="2" t="s">
        <v>7773</v>
      </c>
      <c r="O3534" s="2">
        <v>7563</v>
      </c>
      <c r="P3534" s="2"/>
      <c r="Q3534" s="2"/>
      <c r="R3534" s="2" t="s">
        <v>23457</v>
      </c>
      <c r="S3534" s="2" t="s">
        <v>23458</v>
      </c>
      <c r="T3534" s="2" t="s">
        <v>23459</v>
      </c>
      <c r="U3534" s="2" t="s">
        <v>103</v>
      </c>
      <c r="V3534" s="2" t="s">
        <v>104</v>
      </c>
      <c r="W3534" s="2" t="s">
        <v>105</v>
      </c>
      <c r="X3534" s="2" t="s">
        <v>147</v>
      </c>
      <c r="Y3534" s="2">
        <v>42.2</v>
      </c>
      <c r="Z3534" s="2">
        <v>14.8</v>
      </c>
      <c r="AA3534" s="2" t="s">
        <v>218</v>
      </c>
      <c r="AB3534" s="2" t="s">
        <v>23460</v>
      </c>
      <c r="AC3534" s="2">
        <v>-2.2093727009477799</v>
      </c>
      <c r="AD3534" s="2"/>
      <c r="AE3534" s="2">
        <v>0.15687281253163399</v>
      </c>
      <c r="AF3534" s="2">
        <v>9481.1407660468703</v>
      </c>
      <c r="AG3534" s="2">
        <v>21637.280296486198</v>
      </c>
      <c r="AH3534" s="4">
        <v>0.43818542053950099</v>
      </c>
      <c r="AI3534" s="4">
        <v>-1.19038661162102</v>
      </c>
      <c r="AJ3534" s="4" t="s">
        <v>62</v>
      </c>
      <c r="AK3534" s="2">
        <v>0.59387171413530304</v>
      </c>
      <c r="AL3534" s="2">
        <v>0.79517734930565898</v>
      </c>
      <c r="AM3534" s="2">
        <v>10858.9820986456</v>
      </c>
      <c r="AN3534" s="2">
        <v>18694.828626689599</v>
      </c>
      <c r="AO3534" s="2">
        <v>27280.713579941599</v>
      </c>
      <c r="AP3534" s="2">
        <v>8.559877937157E-6</v>
      </c>
      <c r="AQ3534" s="2">
        <v>52.3202738846824</v>
      </c>
      <c r="AR3534" s="2">
        <v>8.559877937157E-6</v>
      </c>
      <c r="AS3534" s="2">
        <v>8.559877937157E-6</v>
      </c>
      <c r="AT3534" s="2">
        <v>8.559877937157E-6</v>
      </c>
      <c r="AU3534" s="2">
        <v>129421.541780075</v>
      </c>
      <c r="AV3534" s="2">
        <v>343.92804913730299</v>
      </c>
      <c r="AW3534" s="2">
        <v>58.211924025259897</v>
      </c>
      <c r="AX3534" s="2">
        <v>8.559877937157E-6</v>
      </c>
    </row>
    <row r="3535" spans="1:50" x14ac:dyDescent="0.25">
      <c r="A3535" s="2" t="s">
        <v>23461</v>
      </c>
      <c r="B3535" s="2">
        <v>270.05963724064401</v>
      </c>
      <c r="C3535" s="2">
        <v>6.1623999999999999</v>
      </c>
      <c r="D3535" s="2" t="s">
        <v>51</v>
      </c>
      <c r="E3535" s="2" t="s">
        <v>23462</v>
      </c>
      <c r="F3535" s="2">
        <v>208756</v>
      </c>
      <c r="G3535" s="3" t="str">
        <f>HYPERLINK("https://cloud.oebiotech.com/#/lm/network/208756", "https://cloud.oebiotech.com/#/lm/network/208756")</f>
        <v>https://cloud.oebiotech.com/#/lm/network/208756</v>
      </c>
      <c r="H3535" s="2" t="s">
        <v>23463</v>
      </c>
      <c r="I3535" s="2"/>
      <c r="J3535" s="2"/>
      <c r="K3535" s="2"/>
      <c r="L3535" s="2"/>
      <c r="M3535" s="2"/>
      <c r="N3535" s="2"/>
      <c r="O3535" s="2">
        <v>31838</v>
      </c>
      <c r="P3535" s="2"/>
      <c r="Q3535" s="2"/>
      <c r="R3535" s="2"/>
      <c r="S3535" s="2" t="s">
        <v>23464</v>
      </c>
      <c r="T3535" s="2" t="s">
        <v>23465</v>
      </c>
      <c r="U3535" s="2" t="s">
        <v>266</v>
      </c>
      <c r="V3535" s="2" t="s">
        <v>5547</v>
      </c>
      <c r="W3535" s="2" t="s">
        <v>5548</v>
      </c>
      <c r="X3535" s="2" t="s">
        <v>147</v>
      </c>
      <c r="Y3535" s="2">
        <v>37.4</v>
      </c>
      <c r="Z3535" s="2">
        <v>0</v>
      </c>
      <c r="AA3535" s="2" t="s">
        <v>163</v>
      </c>
      <c r="AB3535" s="2" t="s">
        <v>23466</v>
      </c>
      <c r="AC3535" s="2">
        <v>0.78951717031259006</v>
      </c>
      <c r="AD3535" s="2"/>
      <c r="AE3535" s="2">
        <v>0.156849947827436</v>
      </c>
      <c r="AF3535" s="2">
        <v>945.97731482657298</v>
      </c>
      <c r="AG3535" s="2">
        <v>281.76274696709999</v>
      </c>
      <c r="AH3535" s="5">
        <v>3.3573541037951</v>
      </c>
      <c r="AI3535" s="5">
        <v>1.7473247076781599</v>
      </c>
      <c r="AJ3535" s="5" t="s">
        <v>139</v>
      </c>
      <c r="AK3535" s="2">
        <v>4.7919066105795799E-2</v>
      </c>
      <c r="AL3535" s="2">
        <v>0.30656842184279098</v>
      </c>
      <c r="AM3535" s="2">
        <v>1263.6073939415701</v>
      </c>
      <c r="AN3535" s="2">
        <v>2080.0133829479</v>
      </c>
      <c r="AO3535" s="2">
        <v>439.87734673001898</v>
      </c>
      <c r="AP3535" s="2">
        <v>546.30189208415698</v>
      </c>
      <c r="AQ3535" s="2">
        <v>301.56086216115898</v>
      </c>
      <c r="AR3535" s="2">
        <v>1044.50301109463</v>
      </c>
      <c r="AS3535" s="2">
        <v>526.46434002375304</v>
      </c>
      <c r="AT3535" s="2">
        <v>8.559877937157E-6</v>
      </c>
      <c r="AU3535" s="2">
        <v>97.452907322868995</v>
      </c>
      <c r="AV3535" s="2">
        <v>8.559877937157E-6</v>
      </c>
      <c r="AW3535" s="2">
        <v>530.86029001261295</v>
      </c>
      <c r="AX3535" s="2">
        <v>535.79892732360804</v>
      </c>
    </row>
    <row r="3536" spans="1:50" x14ac:dyDescent="0.25">
      <c r="A3536" s="2" t="s">
        <v>23467</v>
      </c>
      <c r="B3536" s="2">
        <v>206.98751986855299</v>
      </c>
      <c r="C3536" s="2">
        <v>4.8395999999999999</v>
      </c>
      <c r="D3536" s="2" t="s">
        <v>51</v>
      </c>
      <c r="E3536" s="2" t="s">
        <v>23468</v>
      </c>
      <c r="F3536" s="2">
        <v>200694</v>
      </c>
      <c r="G3536" s="3" t="str">
        <f>HYPERLINK("https://cloud.oebiotech.com/#/lm/network/200694", "https://cloud.oebiotech.com/#/lm/network/200694")</f>
        <v>https://cloud.oebiotech.com/#/lm/network/200694</v>
      </c>
      <c r="H3536" s="2" t="s">
        <v>23469</v>
      </c>
      <c r="I3536" s="2"/>
      <c r="J3536" s="2"/>
      <c r="K3536" s="2">
        <v>22670755</v>
      </c>
      <c r="L3536" s="2"/>
      <c r="M3536" s="2"/>
      <c r="N3536" s="2"/>
      <c r="O3536" s="2"/>
      <c r="P3536" s="2"/>
      <c r="Q3536" s="2"/>
      <c r="R3536" s="2"/>
      <c r="S3536" s="2" t="s">
        <v>23470</v>
      </c>
      <c r="T3536" s="2" t="s">
        <v>23471</v>
      </c>
      <c r="U3536" s="2" t="s">
        <v>240</v>
      </c>
      <c r="V3536" s="2" t="s">
        <v>240</v>
      </c>
      <c r="W3536" s="2" t="s">
        <v>240</v>
      </c>
      <c r="X3536" s="2" t="s">
        <v>147</v>
      </c>
      <c r="Y3536" s="2">
        <v>36.6</v>
      </c>
      <c r="Z3536" s="2">
        <v>0</v>
      </c>
      <c r="AA3536" s="2" t="s">
        <v>163</v>
      </c>
      <c r="AB3536" s="2" t="s">
        <v>23472</v>
      </c>
      <c r="AC3536" s="2">
        <v>2.5640322258197199</v>
      </c>
      <c r="AD3536" s="2"/>
      <c r="AE3536" s="2">
        <v>0.15681464701338699</v>
      </c>
      <c r="AF3536" s="2">
        <v>15892.323236512</v>
      </c>
      <c r="AG3536" s="2">
        <v>17320.0479091011</v>
      </c>
      <c r="AH3536" s="4">
        <v>0.91756808756638097</v>
      </c>
      <c r="AI3536" s="4">
        <v>-0.12411287867566299</v>
      </c>
      <c r="AJ3536" s="4" t="s">
        <v>62</v>
      </c>
      <c r="AK3536" s="2">
        <v>0.21018393960698101</v>
      </c>
      <c r="AL3536" s="2">
        <v>0.53464526540130597</v>
      </c>
      <c r="AM3536" s="2">
        <v>14672.269862772901</v>
      </c>
      <c r="AN3536" s="2">
        <v>16763.148399951901</v>
      </c>
      <c r="AO3536" s="2">
        <v>16511.912099971702</v>
      </c>
      <c r="AP3536" s="2">
        <v>16352.1464802711</v>
      </c>
      <c r="AQ3536" s="2">
        <v>17408.5744711978</v>
      </c>
      <c r="AR3536" s="2">
        <v>13645.8881049064</v>
      </c>
      <c r="AS3536" s="2">
        <v>17510.894997055701</v>
      </c>
      <c r="AT3536" s="2">
        <v>21250.586647213098</v>
      </c>
      <c r="AU3536" s="2">
        <v>16013.363700992801</v>
      </c>
      <c r="AV3536" s="2">
        <v>16939.1867861914</v>
      </c>
      <c r="AW3536" s="2">
        <v>14758.6086306902</v>
      </c>
      <c r="AX3536" s="2">
        <v>17447.6466924632</v>
      </c>
    </row>
    <row r="3537" spans="1:50" x14ac:dyDescent="0.25">
      <c r="A3537" s="2" t="s">
        <v>23473</v>
      </c>
      <c r="B3537" s="2">
        <v>473.36390864504898</v>
      </c>
      <c r="C3537" s="2">
        <v>13.3257833333333</v>
      </c>
      <c r="D3537" s="2" t="s">
        <v>51</v>
      </c>
      <c r="E3537" s="2" t="s">
        <v>23474</v>
      </c>
      <c r="F3537" s="2">
        <v>51883</v>
      </c>
      <c r="G3537" s="3" t="str">
        <f>HYPERLINK("https://cloud.oebiotech.com/#/lm/network/51883", "https://cloud.oebiotech.com/#/lm/network/51883")</f>
        <v>https://cloud.oebiotech.com/#/lm/network/51883</v>
      </c>
      <c r="H3537" s="2" t="s">
        <v>23475</v>
      </c>
      <c r="I3537" s="2"/>
      <c r="J3537" s="2"/>
      <c r="K3537" s="2">
        <v>25203290</v>
      </c>
      <c r="L3537" s="2"/>
      <c r="M3537" s="2"/>
      <c r="N3537" s="2"/>
      <c r="O3537" s="2"/>
      <c r="P3537" s="2"/>
      <c r="Q3537" s="2"/>
      <c r="R3537" s="2"/>
      <c r="S3537" s="2" t="s">
        <v>23476</v>
      </c>
      <c r="T3537" s="2" t="s">
        <v>23477</v>
      </c>
      <c r="U3537" s="2" t="s">
        <v>56</v>
      </c>
      <c r="V3537" s="2" t="s">
        <v>177</v>
      </c>
      <c r="W3537" s="2" t="s">
        <v>3270</v>
      </c>
      <c r="X3537" s="2" t="s">
        <v>83</v>
      </c>
      <c r="Y3537" s="2">
        <v>48.8</v>
      </c>
      <c r="Z3537" s="2">
        <v>0</v>
      </c>
      <c r="AA3537" s="2" t="s">
        <v>218</v>
      </c>
      <c r="AB3537" s="2" t="s">
        <v>8760</v>
      </c>
      <c r="AC3537" s="2">
        <v>0.64196723068244699</v>
      </c>
      <c r="AD3537" s="2"/>
      <c r="AE3537" s="2">
        <v>0.15676478302875099</v>
      </c>
      <c r="AF3537" s="2">
        <v>38481.864921001201</v>
      </c>
      <c r="AG3537" s="2">
        <v>39705.405057583201</v>
      </c>
      <c r="AH3537" s="4">
        <v>0.96918454465311299</v>
      </c>
      <c r="AI3537" s="4">
        <v>-4.5156696216647099E-2</v>
      </c>
      <c r="AJ3537" s="4" t="s">
        <v>62</v>
      </c>
      <c r="AK3537" s="2">
        <v>0.89993236770003104</v>
      </c>
      <c r="AL3537" s="2">
        <v>0.95836081695247699</v>
      </c>
      <c r="AM3537" s="2">
        <v>21581.1244575397</v>
      </c>
      <c r="AN3537" s="2">
        <v>43902.997924596399</v>
      </c>
      <c r="AO3537" s="2">
        <v>42080.383388267299</v>
      </c>
      <c r="AP3537" s="2">
        <v>58757.043454705803</v>
      </c>
      <c r="AQ3537" s="2">
        <v>39491.356241486697</v>
      </c>
      <c r="AR3537" s="2">
        <v>25078.2840594115</v>
      </c>
      <c r="AS3537" s="2">
        <v>22144.608196683101</v>
      </c>
      <c r="AT3537" s="2">
        <v>35642.185500259096</v>
      </c>
      <c r="AU3537" s="2">
        <v>29766.051677595198</v>
      </c>
      <c r="AV3537" s="2">
        <v>24719.638116112899</v>
      </c>
      <c r="AW3537" s="2">
        <v>58061.8964174012</v>
      </c>
      <c r="AX3537" s="2">
        <v>67898.050437447906</v>
      </c>
    </row>
    <row r="3538" spans="1:50" x14ac:dyDescent="0.25">
      <c r="A3538" s="2" t="s">
        <v>23478</v>
      </c>
      <c r="B3538" s="2">
        <v>142.991624274174</v>
      </c>
      <c r="C3538" s="2">
        <v>13.4911166666667</v>
      </c>
      <c r="D3538" s="2" t="s">
        <v>51</v>
      </c>
      <c r="E3538" s="2" t="s">
        <v>23479</v>
      </c>
      <c r="F3538" s="2">
        <v>208743</v>
      </c>
      <c r="G3538" s="3" t="str">
        <f>HYPERLINK("https://cloud.oebiotech.com/#/lm/network/208743", "https://cloud.oebiotech.com/#/lm/network/208743")</f>
        <v>https://cloud.oebiotech.com/#/lm/network/208743</v>
      </c>
      <c r="H3538" s="2" t="s">
        <v>23480</v>
      </c>
      <c r="I3538" s="2">
        <v>432122</v>
      </c>
      <c r="J3538" s="2"/>
      <c r="K3538" s="2">
        <v>196996</v>
      </c>
      <c r="L3538" s="2"/>
      <c r="M3538" s="2"/>
      <c r="N3538" s="2"/>
      <c r="O3538" s="2"/>
      <c r="P3538" s="2"/>
      <c r="Q3538" s="2"/>
      <c r="R3538" s="2"/>
      <c r="S3538" s="2" t="s">
        <v>23481</v>
      </c>
      <c r="T3538" s="2" t="s">
        <v>23482</v>
      </c>
      <c r="U3538" s="2" t="s">
        <v>103</v>
      </c>
      <c r="V3538" s="2" t="s">
        <v>9072</v>
      </c>
      <c r="W3538" s="2" t="s">
        <v>13533</v>
      </c>
      <c r="X3538" s="2" t="s">
        <v>147</v>
      </c>
      <c r="Y3538" s="2">
        <v>39.4</v>
      </c>
      <c r="Z3538" s="2">
        <v>0</v>
      </c>
      <c r="AA3538" s="2" t="s">
        <v>218</v>
      </c>
      <c r="AB3538" s="2" t="s">
        <v>23483</v>
      </c>
      <c r="AC3538" s="2">
        <v>1.29791303603413</v>
      </c>
      <c r="AD3538" s="2"/>
      <c r="AE3538" s="2">
        <v>0.15673854191280501</v>
      </c>
      <c r="AF3538" s="2">
        <v>2239.4084744053798</v>
      </c>
      <c r="AG3538" s="2">
        <v>2731.1230260163802</v>
      </c>
      <c r="AH3538" s="4">
        <v>0.81995884223193904</v>
      </c>
      <c r="AI3538" s="4">
        <v>-0.28637659930065301</v>
      </c>
      <c r="AJ3538" s="4" t="s">
        <v>62</v>
      </c>
      <c r="AK3538" s="2">
        <v>2.1799972704343298E-3</v>
      </c>
      <c r="AL3538" s="2">
        <v>0.101912249503871</v>
      </c>
      <c r="AM3538" s="2">
        <v>1965.9268301975801</v>
      </c>
      <c r="AN3538" s="2">
        <v>2302.8522666530798</v>
      </c>
      <c r="AO3538" s="2">
        <v>2285.5364618623798</v>
      </c>
      <c r="AP3538" s="2">
        <v>2301.0690062521398</v>
      </c>
      <c r="AQ3538" s="2">
        <v>2340.3740744689198</v>
      </c>
      <c r="AR3538" s="2">
        <v>2240.6922069982002</v>
      </c>
      <c r="AS3538" s="2">
        <v>2857.08981152255</v>
      </c>
      <c r="AT3538" s="2">
        <v>3004.68254317836</v>
      </c>
      <c r="AU3538" s="2">
        <v>2270.5982235401898</v>
      </c>
      <c r="AV3538" s="2">
        <v>2902.88193485904</v>
      </c>
      <c r="AW3538" s="2">
        <v>2663.54551938438</v>
      </c>
      <c r="AX3538" s="2">
        <v>2687.9401236137701</v>
      </c>
    </row>
    <row r="3539" spans="1:50" x14ac:dyDescent="0.25">
      <c r="A3539" s="2" t="s">
        <v>23484</v>
      </c>
      <c r="B3539" s="2">
        <v>365.19716793353598</v>
      </c>
      <c r="C3539" s="2">
        <v>8.2727166666666694</v>
      </c>
      <c r="D3539" s="2" t="s">
        <v>51</v>
      </c>
      <c r="E3539" s="2" t="s">
        <v>23485</v>
      </c>
      <c r="F3539" s="2">
        <v>62106</v>
      </c>
      <c r="G3539" s="3" t="str">
        <f>HYPERLINK("https://cloud.oebiotech.com/#/lm/network/62106", "https://cloud.oebiotech.com/#/lm/network/62106")</f>
        <v>https://cloud.oebiotech.com/#/lm/network/62106</v>
      </c>
      <c r="H3539" s="2" t="s">
        <v>23486</v>
      </c>
      <c r="I3539" s="2"/>
      <c r="J3539" s="2"/>
      <c r="K3539" s="2"/>
      <c r="L3539" s="2"/>
      <c r="M3539" s="2"/>
      <c r="N3539" s="2"/>
      <c r="O3539" s="2"/>
      <c r="P3539" s="2"/>
      <c r="Q3539" s="2"/>
      <c r="R3539" s="2" t="s">
        <v>23487</v>
      </c>
      <c r="S3539" s="2" t="s">
        <v>23488</v>
      </c>
      <c r="T3539" s="2" t="s">
        <v>23489</v>
      </c>
      <c r="U3539" s="2" t="s">
        <v>56</v>
      </c>
      <c r="V3539" s="2" t="s">
        <v>177</v>
      </c>
      <c r="W3539" s="2" t="s">
        <v>178</v>
      </c>
      <c r="X3539" s="2" t="s">
        <v>59</v>
      </c>
      <c r="Y3539" s="2">
        <v>48.5</v>
      </c>
      <c r="Z3539" s="2">
        <v>56.4</v>
      </c>
      <c r="AA3539" s="2" t="s">
        <v>259</v>
      </c>
      <c r="AB3539" s="2" t="s">
        <v>15586</v>
      </c>
      <c r="AC3539" s="2">
        <v>3.5775042278676099</v>
      </c>
      <c r="AD3539" s="2"/>
      <c r="AE3539" s="2">
        <v>0.156684003640887</v>
      </c>
      <c r="AF3539" s="2">
        <v>3504.94796870646</v>
      </c>
      <c r="AG3539" s="2">
        <v>2561.9789328642401</v>
      </c>
      <c r="AH3539" s="5">
        <v>1.3680627595122401</v>
      </c>
      <c r="AI3539" s="5">
        <v>0.45213441499005702</v>
      </c>
      <c r="AJ3539" s="5" t="s">
        <v>139</v>
      </c>
      <c r="AK3539" s="2">
        <v>0.25474394254355098</v>
      </c>
      <c r="AL3539" s="2">
        <v>0.57769854349925998</v>
      </c>
      <c r="AM3539" s="2">
        <v>3129.0027253685598</v>
      </c>
      <c r="AN3539" s="2">
        <v>5052.28881566156</v>
      </c>
      <c r="AO3539" s="2">
        <v>3468.1164718794498</v>
      </c>
      <c r="AP3539" s="2">
        <v>3012.2700581559002</v>
      </c>
      <c r="AQ3539" s="2">
        <v>2518.48000306533</v>
      </c>
      <c r="AR3539" s="2">
        <v>3849.5297381079799</v>
      </c>
      <c r="AS3539" s="2">
        <v>2129.6854884632598</v>
      </c>
      <c r="AT3539" s="2">
        <v>1000.26185928542</v>
      </c>
      <c r="AU3539" s="2">
        <v>5831.3547720189899</v>
      </c>
      <c r="AV3539" s="2">
        <v>1537.9233320415501</v>
      </c>
      <c r="AW3539" s="2">
        <v>2490.81995690445</v>
      </c>
      <c r="AX3539" s="2">
        <v>2381.8281884717599</v>
      </c>
    </row>
    <row r="3540" spans="1:50" x14ac:dyDescent="0.25">
      <c r="A3540" s="2" t="s">
        <v>23490</v>
      </c>
      <c r="B3540" s="2">
        <v>331.22785523498999</v>
      </c>
      <c r="C3540" s="2">
        <v>5.3695666666666702</v>
      </c>
      <c r="D3540" s="2" t="s">
        <v>51</v>
      </c>
      <c r="E3540" s="2" t="s">
        <v>23491</v>
      </c>
      <c r="F3540" s="2">
        <v>45030</v>
      </c>
      <c r="G3540" s="3" t="str">
        <f>HYPERLINK("https://cloud.oebiotech.com/#/lm/network/45030", "https://cloud.oebiotech.com/#/lm/network/45030")</f>
        <v>https://cloud.oebiotech.com/#/lm/network/45030</v>
      </c>
      <c r="H3540" s="2" t="s">
        <v>23492</v>
      </c>
      <c r="I3540" s="2">
        <v>3777</v>
      </c>
      <c r="J3540" s="2" t="s">
        <v>23493</v>
      </c>
      <c r="K3540" s="2">
        <v>6238</v>
      </c>
      <c r="L3540" s="2" t="s">
        <v>23494</v>
      </c>
      <c r="M3540" s="2" t="s">
        <v>23495</v>
      </c>
      <c r="N3540" s="2" t="s">
        <v>23496</v>
      </c>
      <c r="O3540" s="2">
        <v>17252</v>
      </c>
      <c r="P3540" s="2" t="s">
        <v>23497</v>
      </c>
      <c r="Q3540" s="2" t="s">
        <v>23498</v>
      </c>
      <c r="R3540" s="2" t="s">
        <v>23499</v>
      </c>
      <c r="S3540" s="2" t="s">
        <v>23500</v>
      </c>
      <c r="T3540" s="2" t="s">
        <v>23501</v>
      </c>
      <c r="U3540" s="2" t="s">
        <v>56</v>
      </c>
      <c r="V3540" s="2" t="s">
        <v>283</v>
      </c>
      <c r="W3540" s="2" t="s">
        <v>3686</v>
      </c>
      <c r="X3540" s="2" t="s">
        <v>59</v>
      </c>
      <c r="Y3540" s="2">
        <v>54</v>
      </c>
      <c r="Z3540" s="2">
        <v>77.599999999999994</v>
      </c>
      <c r="AA3540" s="2" t="s">
        <v>179</v>
      </c>
      <c r="AB3540" s="2" t="s">
        <v>16076</v>
      </c>
      <c r="AC3540" s="2">
        <v>3.2826111943015102</v>
      </c>
      <c r="AD3540" s="2"/>
      <c r="AE3540" s="2">
        <v>0.156527965173963</v>
      </c>
      <c r="AF3540" s="2">
        <v>490.36057926183702</v>
      </c>
      <c r="AG3540" s="2">
        <v>3336.3107317627901</v>
      </c>
      <c r="AH3540" s="4">
        <v>0.14697689114908899</v>
      </c>
      <c r="AI3540" s="4">
        <v>-2.7663387537398898</v>
      </c>
      <c r="AJ3540" s="4" t="s">
        <v>62</v>
      </c>
      <c r="AK3540" s="2">
        <v>0.32636388067584898</v>
      </c>
      <c r="AL3540" s="2">
        <v>0.62992073899545697</v>
      </c>
      <c r="AM3540" s="2">
        <v>470.59493383053098</v>
      </c>
      <c r="AN3540" s="2">
        <v>1394.57225189521</v>
      </c>
      <c r="AO3540" s="2">
        <v>8.559877937157E-6</v>
      </c>
      <c r="AP3540" s="2">
        <v>124.848695159092</v>
      </c>
      <c r="AQ3540" s="2">
        <v>0.21596980417258799</v>
      </c>
      <c r="AR3540" s="2">
        <v>951.93161632213901</v>
      </c>
      <c r="AS3540" s="2">
        <v>142.76863801402999</v>
      </c>
      <c r="AT3540" s="2">
        <v>17034.791516356501</v>
      </c>
      <c r="AU3540" s="2">
        <v>460.544859036052</v>
      </c>
      <c r="AV3540" s="2">
        <v>1286.935768413</v>
      </c>
      <c r="AW3540" s="2">
        <v>1092.8236001973</v>
      </c>
      <c r="AX3540" s="2">
        <v>8.559877937157E-6</v>
      </c>
    </row>
    <row r="3541" spans="1:50" x14ac:dyDescent="0.25">
      <c r="A3541" s="2" t="s">
        <v>23502</v>
      </c>
      <c r="B3541" s="2">
        <v>505.210836655739</v>
      </c>
      <c r="C3541" s="2">
        <v>10.132949999999999</v>
      </c>
      <c r="D3541" s="2" t="s">
        <v>51</v>
      </c>
      <c r="E3541" s="2" t="s">
        <v>23503</v>
      </c>
      <c r="F3541" s="2">
        <v>7903</v>
      </c>
      <c r="G3541" s="3" t="str">
        <f>HYPERLINK("https://cloud.oebiotech.com/#/lm/network/7903", "https://cloud.oebiotech.com/#/lm/network/7903")</f>
        <v>https://cloud.oebiotech.com/#/lm/network/7903</v>
      </c>
      <c r="H3541" s="2"/>
      <c r="I3541" s="2"/>
      <c r="J3541" s="2" t="s">
        <v>23504</v>
      </c>
      <c r="K3541" s="2">
        <v>132967550</v>
      </c>
      <c r="L3541" s="2"/>
      <c r="M3541" s="2"/>
      <c r="N3541" s="2"/>
      <c r="O3541" s="2"/>
      <c r="P3541" s="2"/>
      <c r="Q3541" s="2"/>
      <c r="R3541" s="2"/>
      <c r="S3541" s="2" t="s">
        <v>23505</v>
      </c>
      <c r="T3541" s="2" t="s">
        <v>23506</v>
      </c>
      <c r="U3541" s="2" t="s">
        <v>540</v>
      </c>
      <c r="V3541" s="2" t="s">
        <v>563</v>
      </c>
      <c r="W3541" s="2" t="s">
        <v>240</v>
      </c>
      <c r="X3541" s="2" t="s">
        <v>147</v>
      </c>
      <c r="Y3541" s="2">
        <v>36.4</v>
      </c>
      <c r="Z3541" s="2">
        <v>0</v>
      </c>
      <c r="AA3541" s="2" t="s">
        <v>259</v>
      </c>
      <c r="AB3541" s="2" t="s">
        <v>23507</v>
      </c>
      <c r="AC3541" s="2">
        <v>1.2730462196555501</v>
      </c>
      <c r="AD3541" s="2"/>
      <c r="AE3541" s="2">
        <v>0.15647024041760199</v>
      </c>
      <c r="AF3541" s="2">
        <v>3290.3704366912002</v>
      </c>
      <c r="AG3541" s="2">
        <v>1609.5409144421301</v>
      </c>
      <c r="AH3541" s="5">
        <v>2.0442912678809702</v>
      </c>
      <c r="AI3541" s="5">
        <v>1.03160076417695</v>
      </c>
      <c r="AJ3541" s="5" t="s">
        <v>139</v>
      </c>
      <c r="AK3541" s="2">
        <v>0.39674690262314599</v>
      </c>
      <c r="AL3541" s="2">
        <v>0.66752996494649497</v>
      </c>
      <c r="AM3541" s="2">
        <v>354.25175720406799</v>
      </c>
      <c r="AN3541" s="2">
        <v>3435.3002052858701</v>
      </c>
      <c r="AO3541" s="2">
        <v>1823.37028733327</v>
      </c>
      <c r="AP3541" s="2">
        <v>2162.0101189085999</v>
      </c>
      <c r="AQ3541" s="2">
        <v>11192.2445429117</v>
      </c>
      <c r="AR3541" s="2">
        <v>775.045708503686</v>
      </c>
      <c r="AS3541" s="2">
        <v>1033.13122975135</v>
      </c>
      <c r="AT3541" s="2">
        <v>6257.3486347283597</v>
      </c>
      <c r="AU3541" s="2">
        <v>8.559877937157E-6</v>
      </c>
      <c r="AV3541" s="2">
        <v>103.18600216668401</v>
      </c>
      <c r="AW3541" s="2">
        <v>992.28317353217994</v>
      </c>
      <c r="AX3541" s="2">
        <v>1271.29643791432</v>
      </c>
    </row>
    <row r="3542" spans="1:50" x14ac:dyDescent="0.25">
      <c r="A3542" s="2" t="s">
        <v>23508</v>
      </c>
      <c r="B3542" s="2">
        <v>604.29947813068895</v>
      </c>
      <c r="C3542" s="2">
        <v>4.7703666666666704</v>
      </c>
      <c r="D3542" s="2" t="s">
        <v>51</v>
      </c>
      <c r="E3542" s="2" t="s">
        <v>23509</v>
      </c>
      <c r="F3542" s="2">
        <v>82127</v>
      </c>
      <c r="G3542" s="3" t="str">
        <f>HYPERLINK("https://cloud.oebiotech.com/#/lm/network/82127", "https://cloud.oebiotech.com/#/lm/network/82127")</f>
        <v>https://cloud.oebiotech.com/#/lm/network/82127</v>
      </c>
      <c r="H3542" s="2" t="s">
        <v>23510</v>
      </c>
      <c r="I3542" s="2"/>
      <c r="J3542" s="2"/>
      <c r="K3542" s="2">
        <v>131769848</v>
      </c>
      <c r="L3542" s="2"/>
      <c r="M3542" s="2"/>
      <c r="N3542" s="2"/>
      <c r="O3542" s="2"/>
      <c r="P3542" s="2"/>
      <c r="Q3542" s="2"/>
      <c r="R3542" s="2"/>
      <c r="S3542" s="2" t="s">
        <v>23511</v>
      </c>
      <c r="T3542" s="2" t="s">
        <v>23512</v>
      </c>
      <c r="U3542" s="2" t="s">
        <v>103</v>
      </c>
      <c r="V3542" s="2" t="s">
        <v>104</v>
      </c>
      <c r="W3542" s="2" t="s">
        <v>105</v>
      </c>
      <c r="X3542" s="2" t="s">
        <v>147</v>
      </c>
      <c r="Y3542" s="2">
        <v>38.1</v>
      </c>
      <c r="Z3542" s="2">
        <v>0</v>
      </c>
      <c r="AA3542" s="2" t="s">
        <v>60</v>
      </c>
      <c r="AB3542" s="2" t="s">
        <v>23513</v>
      </c>
      <c r="AC3542" s="2">
        <v>2.9401822028401998</v>
      </c>
      <c r="AD3542" s="2"/>
      <c r="AE3542" s="2">
        <v>0.15640712534026799</v>
      </c>
      <c r="AF3542" s="2">
        <v>6174.8871724037199</v>
      </c>
      <c r="AG3542" s="2">
        <v>13654.280811843601</v>
      </c>
      <c r="AH3542" s="4">
        <v>0.452230861331612</v>
      </c>
      <c r="AI3542" s="4">
        <v>-1.1448686464272</v>
      </c>
      <c r="AJ3542" s="4" t="s">
        <v>62</v>
      </c>
      <c r="AK3542" s="2">
        <v>0.51857614322273804</v>
      </c>
      <c r="AL3542" s="2">
        <v>0.75026446765847998</v>
      </c>
      <c r="AM3542" s="2">
        <v>20314.653018194102</v>
      </c>
      <c r="AN3542" s="2">
        <v>2763.1614501987201</v>
      </c>
      <c r="AO3542" s="2">
        <v>5084.5932448829199</v>
      </c>
      <c r="AP3542" s="2">
        <v>629.55580007899403</v>
      </c>
      <c r="AQ3542" s="2">
        <v>877.92745249403902</v>
      </c>
      <c r="AR3542" s="2">
        <v>7379.4320685735702</v>
      </c>
      <c r="AS3542" s="2">
        <v>8.559877937157E-6</v>
      </c>
      <c r="AT3542" s="2">
        <v>8.559877937157E-6</v>
      </c>
      <c r="AU3542" s="2">
        <v>66329.204648487997</v>
      </c>
      <c r="AV3542" s="2">
        <v>13839.093712432899</v>
      </c>
      <c r="AW3542" s="2">
        <v>1757.38648446103</v>
      </c>
      <c r="AX3542" s="2">
        <v>8.559877937157E-6</v>
      </c>
    </row>
    <row r="3543" spans="1:50" x14ac:dyDescent="0.25">
      <c r="A3543" s="2" t="s">
        <v>23514</v>
      </c>
      <c r="B3543" s="2">
        <v>358.29607934825998</v>
      </c>
      <c r="C3543" s="2">
        <v>9.6451499999999992</v>
      </c>
      <c r="D3543" s="2" t="s">
        <v>51</v>
      </c>
      <c r="E3543" s="2" t="s">
        <v>23515</v>
      </c>
      <c r="F3543" s="2">
        <v>197853</v>
      </c>
      <c r="G3543" s="3" t="str">
        <f>HYPERLINK("https://cloud.oebiotech.com/#/lm/network/197853", "https://cloud.oebiotech.com/#/lm/network/197853")</f>
        <v>https://cloud.oebiotech.com/#/lm/network/197853</v>
      </c>
      <c r="H3543" s="2" t="s">
        <v>23516</v>
      </c>
      <c r="I3543" s="2"/>
      <c r="J3543" s="2"/>
      <c r="K3543" s="2">
        <v>3072472</v>
      </c>
      <c r="L3543" s="2"/>
      <c r="M3543" s="2"/>
      <c r="N3543" s="2"/>
      <c r="O3543" s="2"/>
      <c r="P3543" s="2"/>
      <c r="Q3543" s="2"/>
      <c r="R3543" s="2"/>
      <c r="S3543" s="2" t="s">
        <v>23517</v>
      </c>
      <c r="T3543" s="2" t="s">
        <v>23518</v>
      </c>
      <c r="U3543" s="2" t="s">
        <v>56</v>
      </c>
      <c r="V3543" s="2" t="s">
        <v>145</v>
      </c>
      <c r="W3543" s="2" t="s">
        <v>1188</v>
      </c>
      <c r="X3543" s="2" t="s">
        <v>83</v>
      </c>
      <c r="Y3543" s="2">
        <v>39.700000000000003</v>
      </c>
      <c r="Z3543" s="2">
        <v>0</v>
      </c>
      <c r="AA3543" s="2" t="s">
        <v>259</v>
      </c>
      <c r="AB3543" s="2" t="s">
        <v>12301</v>
      </c>
      <c r="AC3543" s="2">
        <v>2.50269451686037</v>
      </c>
      <c r="AD3543" s="2"/>
      <c r="AE3543" s="2">
        <v>0.156391397035684</v>
      </c>
      <c r="AF3543" s="2">
        <v>1504.0606735264701</v>
      </c>
      <c r="AG3543" s="2">
        <v>784.044729284082</v>
      </c>
      <c r="AH3543" s="5">
        <v>1.9183352905131299</v>
      </c>
      <c r="AI3543" s="5">
        <v>0.93985489954537305</v>
      </c>
      <c r="AJ3543" s="5" t="s">
        <v>139</v>
      </c>
      <c r="AK3543" s="2">
        <v>0.123008939989284</v>
      </c>
      <c r="AL3543" s="2">
        <v>0.44047290513653697</v>
      </c>
      <c r="AM3543" s="2">
        <v>1250.09880482065</v>
      </c>
      <c r="AN3543" s="2">
        <v>2961.53371007849</v>
      </c>
      <c r="AO3543" s="2">
        <v>2031.9296431530499</v>
      </c>
      <c r="AP3543" s="2">
        <v>442.647317485717</v>
      </c>
      <c r="AQ3543" s="2">
        <v>539.87426908883401</v>
      </c>
      <c r="AR3543" s="2">
        <v>1798.28029653205</v>
      </c>
      <c r="AS3543" s="2">
        <v>1444.3733463061001</v>
      </c>
      <c r="AT3543" s="2">
        <v>738.93767557497495</v>
      </c>
      <c r="AU3543" s="2">
        <v>950.41291479159099</v>
      </c>
      <c r="AV3543" s="2">
        <v>186.894594869055</v>
      </c>
      <c r="AW3543" s="2">
        <v>818.66962221096298</v>
      </c>
      <c r="AX3543" s="2">
        <v>564.98022195180499</v>
      </c>
    </row>
    <row r="3544" spans="1:50" x14ac:dyDescent="0.25">
      <c r="A3544" s="2" t="s">
        <v>23519</v>
      </c>
      <c r="B3544" s="2">
        <v>369.18351726958599</v>
      </c>
      <c r="C3544" s="2">
        <v>10.0576666666667</v>
      </c>
      <c r="D3544" s="2" t="s">
        <v>51</v>
      </c>
      <c r="E3544" s="2" t="s">
        <v>23520</v>
      </c>
      <c r="F3544" s="2">
        <v>204614</v>
      </c>
      <c r="G3544" s="3" t="str">
        <f>HYPERLINK("https://cloud.oebiotech.com/#/lm/network/204614", "https://cloud.oebiotech.com/#/lm/network/204614")</f>
        <v>https://cloud.oebiotech.com/#/lm/network/204614</v>
      </c>
      <c r="H3544" s="2" t="s">
        <v>23521</v>
      </c>
      <c r="I3544" s="2"/>
      <c r="J3544" s="2"/>
      <c r="K3544" s="2">
        <v>10430360</v>
      </c>
      <c r="L3544" s="2"/>
      <c r="M3544" s="2"/>
      <c r="N3544" s="2"/>
      <c r="O3544" s="2"/>
      <c r="P3544" s="2"/>
      <c r="Q3544" s="2"/>
      <c r="R3544" s="2"/>
      <c r="S3544" s="2" t="s">
        <v>23522</v>
      </c>
      <c r="T3544" s="2" t="s">
        <v>23523</v>
      </c>
      <c r="U3544" s="2" t="s">
        <v>266</v>
      </c>
      <c r="V3544" s="2" t="s">
        <v>1585</v>
      </c>
      <c r="W3544" s="2" t="s">
        <v>4395</v>
      </c>
      <c r="X3544" s="2" t="s">
        <v>147</v>
      </c>
      <c r="Y3544" s="2">
        <v>37.9</v>
      </c>
      <c r="Z3544" s="2">
        <v>0</v>
      </c>
      <c r="AA3544" s="2" t="s">
        <v>379</v>
      </c>
      <c r="AB3544" s="2" t="s">
        <v>23524</v>
      </c>
      <c r="AC3544" s="2">
        <v>0.51254753215659499</v>
      </c>
      <c r="AD3544" s="2"/>
      <c r="AE3544" s="2">
        <v>0.156354271384987</v>
      </c>
      <c r="AF3544" s="2">
        <v>896.67593780216498</v>
      </c>
      <c r="AG3544" s="2">
        <v>200.77819138115299</v>
      </c>
      <c r="AH3544" s="5">
        <v>4.4660026650999001</v>
      </c>
      <c r="AI3544" s="5">
        <v>2.1589841120930502</v>
      </c>
      <c r="AJ3544" s="5" t="s">
        <v>139</v>
      </c>
      <c r="AK3544" s="2">
        <v>7.3145282717317794E-2</v>
      </c>
      <c r="AL3544" s="2">
        <v>0.35436676551019203</v>
      </c>
      <c r="AM3544" s="2">
        <v>681.24945525037401</v>
      </c>
      <c r="AN3544" s="2">
        <v>2277.9171711375702</v>
      </c>
      <c r="AO3544" s="2">
        <v>883.87049867317296</v>
      </c>
      <c r="AP3544" s="2">
        <v>249.810553014996</v>
      </c>
      <c r="AQ3544" s="2">
        <v>8.559877937157E-6</v>
      </c>
      <c r="AR3544" s="2">
        <v>1287.207940177</v>
      </c>
      <c r="AS3544" s="2">
        <v>555.121535307415</v>
      </c>
      <c r="AT3544" s="2">
        <v>8.559877937157E-6</v>
      </c>
      <c r="AU3544" s="2">
        <v>420.22001808752299</v>
      </c>
      <c r="AV3544" s="2">
        <v>8.559877937157E-6</v>
      </c>
      <c r="AW3544" s="2">
        <v>8.559877937157E-6</v>
      </c>
      <c r="AX3544" s="2">
        <v>229.327569212345</v>
      </c>
    </row>
    <row r="3545" spans="1:50" x14ac:dyDescent="0.25">
      <c r="A3545" s="2" t="s">
        <v>23525</v>
      </c>
      <c r="B3545" s="2">
        <v>252.16037055248799</v>
      </c>
      <c r="C3545" s="2">
        <v>6.9532333333333298</v>
      </c>
      <c r="D3545" s="2" t="s">
        <v>51</v>
      </c>
      <c r="E3545" s="2" t="s">
        <v>23526</v>
      </c>
      <c r="F3545" s="2">
        <v>2513</v>
      </c>
      <c r="G3545" s="3" t="str">
        <f>HYPERLINK("https://cloud.oebiotech.com/#/lm/network/2513", "https://cloud.oebiotech.com/#/lm/network/2513")</f>
        <v>https://cloud.oebiotech.com/#/lm/network/2513</v>
      </c>
      <c r="H3545" s="2"/>
      <c r="I3545" s="2"/>
      <c r="J3545" s="2" t="s">
        <v>23527</v>
      </c>
      <c r="K3545" s="2">
        <v>118701782</v>
      </c>
      <c r="L3545" s="2"/>
      <c r="M3545" s="2"/>
      <c r="N3545" s="2"/>
      <c r="O3545" s="2"/>
      <c r="P3545" s="2"/>
      <c r="Q3545" s="2"/>
      <c r="R3545" s="2"/>
      <c r="S3545" s="2" t="s">
        <v>23528</v>
      </c>
      <c r="T3545" s="2" t="s">
        <v>23529</v>
      </c>
      <c r="U3545" s="2" t="s">
        <v>56</v>
      </c>
      <c r="V3545" s="2" t="s">
        <v>145</v>
      </c>
      <c r="W3545" s="2" t="s">
        <v>231</v>
      </c>
      <c r="X3545" s="2" t="s">
        <v>147</v>
      </c>
      <c r="Y3545" s="2">
        <v>44.5</v>
      </c>
      <c r="Z3545" s="2">
        <v>29.1</v>
      </c>
      <c r="AA3545" s="2" t="s">
        <v>156</v>
      </c>
      <c r="AB3545" s="2" t="s">
        <v>23530</v>
      </c>
      <c r="AC3545" s="2">
        <v>3.5316253298264701</v>
      </c>
      <c r="AD3545" s="2"/>
      <c r="AE3545" s="2">
        <v>0.15628019239199301</v>
      </c>
      <c r="AF3545" s="2">
        <v>1105.5793397615701</v>
      </c>
      <c r="AG3545" s="2">
        <v>2395.0561123812299</v>
      </c>
      <c r="AH3545" s="4">
        <v>0.46160895105808902</v>
      </c>
      <c r="AI3545" s="4">
        <v>-1.11525689533657</v>
      </c>
      <c r="AJ3545" s="4" t="s">
        <v>62</v>
      </c>
      <c r="AK3545" s="2">
        <v>0.18707590003625801</v>
      </c>
      <c r="AL3545" s="2">
        <v>0.51138491990812796</v>
      </c>
      <c r="AM3545" s="2">
        <v>1628.89448535727</v>
      </c>
      <c r="AN3545" s="2">
        <v>629.87692912852799</v>
      </c>
      <c r="AO3545" s="2">
        <v>593.19788232910798</v>
      </c>
      <c r="AP3545" s="2">
        <v>1355.01961610015</v>
      </c>
      <c r="AQ3545" s="2">
        <v>1888.50699710099</v>
      </c>
      <c r="AR3545" s="2">
        <v>537.98012855334503</v>
      </c>
      <c r="AS3545" s="2">
        <v>184.990859509811</v>
      </c>
      <c r="AT3545" s="2">
        <v>2456.13053998134</v>
      </c>
      <c r="AU3545" s="2">
        <v>4392.40176291433</v>
      </c>
      <c r="AV3545" s="2">
        <v>5496.5480800148398</v>
      </c>
      <c r="AW3545" s="2">
        <v>1280.91330865396</v>
      </c>
      <c r="AX3545" s="2">
        <v>559.35212321310996</v>
      </c>
    </row>
    <row r="3546" spans="1:50" x14ac:dyDescent="0.25">
      <c r="A3546" s="2" t="s">
        <v>23531</v>
      </c>
      <c r="B3546" s="2">
        <v>384.04544929144902</v>
      </c>
      <c r="C3546" s="2">
        <v>4.3619500000000002</v>
      </c>
      <c r="D3546" s="2" t="s">
        <v>51</v>
      </c>
      <c r="E3546" s="2" t="s">
        <v>23532</v>
      </c>
      <c r="F3546" s="2">
        <v>53590</v>
      </c>
      <c r="G3546" s="3" t="str">
        <f>HYPERLINK("https://cloud.oebiotech.com/#/lm/network/53590", "https://cloud.oebiotech.com/#/lm/network/53590")</f>
        <v>https://cloud.oebiotech.com/#/lm/network/53590</v>
      </c>
      <c r="H3546" s="2" t="s">
        <v>23533</v>
      </c>
      <c r="I3546" s="2">
        <v>2851</v>
      </c>
      <c r="J3546" s="2"/>
      <c r="K3546" s="2">
        <v>36921</v>
      </c>
      <c r="L3546" s="2" t="s">
        <v>23534</v>
      </c>
      <c r="M3546" s="2"/>
      <c r="N3546" s="2"/>
      <c r="O3546" s="2">
        <v>9587</v>
      </c>
      <c r="P3546" s="2"/>
      <c r="Q3546" s="2"/>
      <c r="R3546" s="2" t="s">
        <v>23535</v>
      </c>
      <c r="S3546" s="2" t="s">
        <v>23536</v>
      </c>
      <c r="T3546" s="2" t="s">
        <v>23537</v>
      </c>
      <c r="U3546" s="2" t="s">
        <v>103</v>
      </c>
      <c r="V3546" s="2" t="s">
        <v>104</v>
      </c>
      <c r="W3546" s="2" t="s">
        <v>105</v>
      </c>
      <c r="X3546" s="2" t="s">
        <v>147</v>
      </c>
      <c r="Y3546" s="2">
        <v>38.5</v>
      </c>
      <c r="Z3546" s="2">
        <v>10</v>
      </c>
      <c r="AA3546" s="2" t="s">
        <v>122</v>
      </c>
      <c r="AB3546" s="2" t="s">
        <v>23538</v>
      </c>
      <c r="AC3546" s="2">
        <v>1.22629221935344</v>
      </c>
      <c r="AD3546" s="2"/>
      <c r="AE3546" s="2">
        <v>0.15623837738313001</v>
      </c>
      <c r="AF3546" s="2">
        <v>700.34189120627104</v>
      </c>
      <c r="AG3546" s="2">
        <v>4227.8271443824997</v>
      </c>
      <c r="AH3546" s="4">
        <v>0.165650549866215</v>
      </c>
      <c r="AI3546" s="4">
        <v>-2.5937851025282299</v>
      </c>
      <c r="AJ3546" s="4" t="s">
        <v>62</v>
      </c>
      <c r="AK3546" s="2">
        <v>0.42617406005515102</v>
      </c>
      <c r="AL3546" s="2">
        <v>0.68494731850228197</v>
      </c>
      <c r="AM3546" s="2">
        <v>137.48422715716401</v>
      </c>
      <c r="AN3546" s="2">
        <v>1346.87733328485</v>
      </c>
      <c r="AO3546" s="2">
        <v>2717.6897611159802</v>
      </c>
      <c r="AP3546" s="2">
        <v>8.559877937157E-6</v>
      </c>
      <c r="AQ3546" s="2">
        <v>8.559877937157E-6</v>
      </c>
      <c r="AR3546" s="2">
        <v>8.559877937157E-6</v>
      </c>
      <c r="AS3546" s="2">
        <v>8.559877937157E-6</v>
      </c>
      <c r="AT3546" s="2">
        <v>8.559877937157E-6</v>
      </c>
      <c r="AU3546" s="2">
        <v>25366.9628234956</v>
      </c>
      <c r="AV3546" s="2">
        <v>8.559877937157E-6</v>
      </c>
      <c r="AW3546" s="2">
        <v>8.559877937157E-6</v>
      </c>
      <c r="AX3546" s="2">
        <v>8.559877937157E-6</v>
      </c>
    </row>
    <row r="3547" spans="1:50" x14ac:dyDescent="0.25">
      <c r="A3547" s="2" t="s">
        <v>23539</v>
      </c>
      <c r="B3547" s="2">
        <v>146.06034965845899</v>
      </c>
      <c r="C3547" s="2">
        <v>5.2849000000000004</v>
      </c>
      <c r="D3547" s="2" t="s">
        <v>51</v>
      </c>
      <c r="E3547" s="2" t="s">
        <v>23540</v>
      </c>
      <c r="F3547" s="2">
        <v>551139</v>
      </c>
      <c r="G3547" s="3" t="str">
        <f>HYPERLINK("https://cloud.oebiotech.com/#/lm/network/551139", "https://cloud.oebiotech.com/#/lm/network/551139")</f>
        <v>https://cloud.oebiotech.com/#/lm/network/551139</v>
      </c>
      <c r="H3547" s="2"/>
      <c r="I3547" s="2">
        <v>96392</v>
      </c>
      <c r="J3547" s="2"/>
      <c r="K3547" s="2"/>
      <c r="L3547" s="2"/>
      <c r="M3547" s="2"/>
      <c r="N3547" s="2"/>
      <c r="O3547" s="2"/>
      <c r="P3547" s="2"/>
      <c r="Q3547" s="2"/>
      <c r="R3547" s="2"/>
      <c r="S3547" s="2" t="s">
        <v>23541</v>
      </c>
      <c r="T3547" s="2" t="s">
        <v>23542</v>
      </c>
      <c r="U3547" s="2" t="s">
        <v>266</v>
      </c>
      <c r="V3547" s="2" t="s">
        <v>445</v>
      </c>
      <c r="W3547" s="2" t="s">
        <v>446</v>
      </c>
      <c r="X3547" s="2" t="s">
        <v>69</v>
      </c>
      <c r="Y3547" s="2">
        <v>59.2</v>
      </c>
      <c r="Z3547" s="2">
        <v>74.5</v>
      </c>
      <c r="AA3547" s="2" t="s">
        <v>259</v>
      </c>
      <c r="AB3547" s="2" t="s">
        <v>23543</v>
      </c>
      <c r="AC3547" s="2">
        <v>2.13286256129836</v>
      </c>
      <c r="AD3547" s="2"/>
      <c r="AE3547" s="2">
        <v>0.15620610154832901</v>
      </c>
      <c r="AF3547" s="2">
        <v>7391.1001446330702</v>
      </c>
      <c r="AG3547" s="2">
        <v>5841.1334089392303</v>
      </c>
      <c r="AH3547" s="5">
        <v>1.2653537639324901</v>
      </c>
      <c r="AI3547" s="5">
        <v>0.33954078580498598</v>
      </c>
      <c r="AJ3547" s="5" t="s">
        <v>139</v>
      </c>
      <c r="AK3547" s="2">
        <v>0.410087167253191</v>
      </c>
      <c r="AL3547" s="2">
        <v>0.67525811186721996</v>
      </c>
      <c r="AM3547" s="2">
        <v>5975.9534420917498</v>
      </c>
      <c r="AN3547" s="2">
        <v>6146.4547084657897</v>
      </c>
      <c r="AO3547" s="2">
        <v>4118.9220825102002</v>
      </c>
      <c r="AP3547" s="2">
        <v>5912.73565484756</v>
      </c>
      <c r="AQ3547" s="2">
        <v>14961.0507793826</v>
      </c>
      <c r="AR3547" s="2">
        <v>7231.4842005005303</v>
      </c>
      <c r="AS3547" s="2">
        <v>5701.4874019590698</v>
      </c>
      <c r="AT3547" s="2">
        <v>9211.6968836313299</v>
      </c>
      <c r="AU3547" s="2">
        <v>7032.7656397493802</v>
      </c>
      <c r="AV3547" s="2">
        <v>2970.89654760554</v>
      </c>
      <c r="AW3547" s="2">
        <v>5929.9258635349297</v>
      </c>
      <c r="AX3547" s="2">
        <v>4200.0281171551596</v>
      </c>
    </row>
    <row r="3548" spans="1:50" x14ac:dyDescent="0.25">
      <c r="A3548" s="2" t="s">
        <v>23544</v>
      </c>
      <c r="B3548" s="2">
        <v>479.37468494727199</v>
      </c>
      <c r="C3548" s="2">
        <v>14.9618</v>
      </c>
      <c r="D3548" s="2" t="s">
        <v>51</v>
      </c>
      <c r="E3548" s="2" t="s">
        <v>23545</v>
      </c>
      <c r="F3548" s="2">
        <v>255357</v>
      </c>
      <c r="G3548" s="3" t="str">
        <f>HYPERLINK("https://cloud.oebiotech.com/#/lm/network/255357", "https://cloud.oebiotech.com/#/lm/network/255357")</f>
        <v>https://cloud.oebiotech.com/#/lm/network/255357</v>
      </c>
      <c r="H3548" s="2" t="s">
        <v>23546</v>
      </c>
      <c r="I3548" s="2"/>
      <c r="J3548" s="2"/>
      <c r="K3548" s="2"/>
      <c r="L3548" s="2"/>
      <c r="M3548" s="2"/>
      <c r="N3548" s="2"/>
      <c r="O3548" s="2"/>
      <c r="P3548" s="2"/>
      <c r="Q3548" s="2"/>
      <c r="R3548" s="2"/>
      <c r="S3548" s="2" t="s">
        <v>23547</v>
      </c>
      <c r="T3548" s="2" t="s">
        <v>23548</v>
      </c>
      <c r="U3548" s="2" t="s">
        <v>56</v>
      </c>
      <c r="V3548" s="2" t="s">
        <v>283</v>
      </c>
      <c r="W3548" s="2" t="s">
        <v>10738</v>
      </c>
      <c r="X3548" s="2" t="s">
        <v>59</v>
      </c>
      <c r="Y3548" s="2">
        <v>50.4</v>
      </c>
      <c r="Z3548" s="2">
        <v>68.599999999999994</v>
      </c>
      <c r="AA3548" s="2" t="s">
        <v>259</v>
      </c>
      <c r="AB3548" s="2" t="s">
        <v>23549</v>
      </c>
      <c r="AC3548" s="2">
        <v>3.3108844523426799</v>
      </c>
      <c r="AD3548" s="2"/>
      <c r="AE3548" s="2">
        <v>0.15619521154886601</v>
      </c>
      <c r="AF3548" s="2">
        <v>2896.5533336127301</v>
      </c>
      <c r="AG3548" s="2">
        <v>2153.1301850834998</v>
      </c>
      <c r="AH3548" s="5">
        <v>1.3452755219724</v>
      </c>
      <c r="AI3548" s="5">
        <v>0.42790167722475198</v>
      </c>
      <c r="AJ3548" s="5" t="s">
        <v>139</v>
      </c>
      <c r="AK3548" s="2">
        <v>0.29892050942274601</v>
      </c>
      <c r="AL3548" s="2">
        <v>0.61037838979491599</v>
      </c>
      <c r="AM3548" s="2">
        <v>4681.6478549871299</v>
      </c>
      <c r="AN3548" s="2">
        <v>2249.4882730212698</v>
      </c>
      <c r="AO3548" s="2">
        <v>2971.1290716285798</v>
      </c>
      <c r="AP3548" s="2">
        <v>2464.7945019824701</v>
      </c>
      <c r="AQ3548" s="2">
        <v>2467.7108263786799</v>
      </c>
      <c r="AR3548" s="2">
        <v>2544.5494736782498</v>
      </c>
      <c r="AS3548" s="2">
        <v>696.21341300220195</v>
      </c>
      <c r="AT3548" s="2">
        <v>3514.12577589388</v>
      </c>
      <c r="AU3548" s="2">
        <v>2185.95994009264</v>
      </c>
      <c r="AV3548" s="2">
        <v>3977.08834657637</v>
      </c>
      <c r="AW3548" s="2">
        <v>619.32391541363995</v>
      </c>
      <c r="AX3548" s="2">
        <v>1926.0697195222899</v>
      </c>
    </row>
    <row r="3549" spans="1:50" x14ac:dyDescent="0.25">
      <c r="A3549" s="2" t="s">
        <v>23550</v>
      </c>
      <c r="B3549" s="2">
        <v>281.24861380668898</v>
      </c>
      <c r="C3549" s="2">
        <v>11.7358666666667</v>
      </c>
      <c r="D3549" s="2" t="s">
        <v>51</v>
      </c>
      <c r="E3549" s="2" t="s">
        <v>23551</v>
      </c>
      <c r="F3549" s="2">
        <v>3083</v>
      </c>
      <c r="G3549" s="3" t="str">
        <f>HYPERLINK("https://cloud.oebiotech.com/#/lm/network/3083", "https://cloud.oebiotech.com/#/lm/network/3083")</f>
        <v>https://cloud.oebiotech.com/#/lm/network/3083</v>
      </c>
      <c r="H3549" s="2" t="s">
        <v>23552</v>
      </c>
      <c r="I3549" s="2">
        <v>35441</v>
      </c>
      <c r="J3549" s="2" t="s">
        <v>23553</v>
      </c>
      <c r="K3549" s="2">
        <v>5282910</v>
      </c>
      <c r="L3549" s="2"/>
      <c r="M3549" s="2"/>
      <c r="N3549" s="2"/>
      <c r="O3549" s="2"/>
      <c r="P3549" s="2"/>
      <c r="Q3549" s="2"/>
      <c r="R3549" s="2" t="s">
        <v>23554</v>
      </c>
      <c r="S3549" s="2" t="s">
        <v>23555</v>
      </c>
      <c r="T3549" s="2" t="s">
        <v>23556</v>
      </c>
      <c r="U3549" s="2" t="s">
        <v>56</v>
      </c>
      <c r="V3549" s="2" t="s">
        <v>145</v>
      </c>
      <c r="W3549" s="2" t="s">
        <v>231</v>
      </c>
      <c r="X3549" s="2" t="s">
        <v>83</v>
      </c>
      <c r="Y3549" s="2">
        <v>48.6</v>
      </c>
      <c r="Z3549" s="2">
        <v>0</v>
      </c>
      <c r="AA3549" s="2" t="s">
        <v>379</v>
      </c>
      <c r="AB3549" s="2" t="s">
        <v>2843</v>
      </c>
      <c r="AC3549" s="2">
        <v>3.3015640142965E-2</v>
      </c>
      <c r="AD3549" s="2"/>
      <c r="AE3549" s="2">
        <v>0.156169612811693</v>
      </c>
      <c r="AF3549" s="2">
        <v>585.473603733255</v>
      </c>
      <c r="AG3549" s="2">
        <v>1119.2455408921901</v>
      </c>
      <c r="AH3549" s="4">
        <v>0.52309665961818597</v>
      </c>
      <c r="AI3549" s="4">
        <v>-0.93485053757966396</v>
      </c>
      <c r="AJ3549" s="4" t="s">
        <v>62</v>
      </c>
      <c r="AK3549" s="2">
        <v>3.2408881894664301E-2</v>
      </c>
      <c r="AL3549" s="2">
        <v>0.26649796649393598</v>
      </c>
      <c r="AM3549" s="2">
        <v>65.230313531735504</v>
      </c>
      <c r="AN3549" s="2">
        <v>796.46206299349501</v>
      </c>
      <c r="AO3549" s="2">
        <v>517.97807455541795</v>
      </c>
      <c r="AP3549" s="2">
        <v>403.17908608767499</v>
      </c>
      <c r="AQ3549" s="2">
        <v>535.59186875677801</v>
      </c>
      <c r="AR3549" s="2">
        <v>1194.40021647443</v>
      </c>
      <c r="AS3549" s="2">
        <v>1410.43971957029</v>
      </c>
      <c r="AT3549" s="2">
        <v>840.89183267259102</v>
      </c>
      <c r="AU3549" s="2">
        <v>822.70572291501503</v>
      </c>
      <c r="AV3549" s="2">
        <v>1699.5624573320199</v>
      </c>
      <c r="AW3549" s="2">
        <v>1093.05566655847</v>
      </c>
      <c r="AX3549" s="2">
        <v>848.817846304765</v>
      </c>
    </row>
    <row r="3550" spans="1:50" x14ac:dyDescent="0.25">
      <c r="A3550" s="2" t="s">
        <v>23557</v>
      </c>
      <c r="B3550" s="2">
        <v>196.170098767041</v>
      </c>
      <c r="C3550" s="2">
        <v>11.89995</v>
      </c>
      <c r="D3550" s="2" t="s">
        <v>51</v>
      </c>
      <c r="E3550" s="2" t="s">
        <v>23558</v>
      </c>
      <c r="F3550" s="2">
        <v>200535</v>
      </c>
      <c r="G3550" s="3" t="str">
        <f>HYPERLINK("https://cloud.oebiotech.com/#/lm/network/200535", "https://cloud.oebiotech.com/#/lm/network/200535")</f>
        <v>https://cloud.oebiotech.com/#/lm/network/200535</v>
      </c>
      <c r="H3550" s="2" t="s">
        <v>23559</v>
      </c>
      <c r="I3550" s="2"/>
      <c r="J3550" s="2"/>
      <c r="K3550" s="2">
        <v>13892</v>
      </c>
      <c r="L3550" s="2"/>
      <c r="M3550" s="2"/>
      <c r="N3550" s="2"/>
      <c r="O3550" s="2"/>
      <c r="P3550" s="2"/>
      <c r="Q3550" s="2"/>
      <c r="R3550" s="2"/>
      <c r="S3550" s="2" t="s">
        <v>23560</v>
      </c>
      <c r="T3550" s="2" t="s">
        <v>23561</v>
      </c>
      <c r="U3550" s="2" t="s">
        <v>331</v>
      </c>
      <c r="V3550" s="2" t="s">
        <v>332</v>
      </c>
      <c r="W3550" s="2" t="s">
        <v>1207</v>
      </c>
      <c r="X3550" s="2" t="s">
        <v>147</v>
      </c>
      <c r="Y3550" s="2">
        <v>45.9</v>
      </c>
      <c r="Z3550" s="2">
        <v>36.200000000000003</v>
      </c>
      <c r="AA3550" s="2" t="s">
        <v>23562</v>
      </c>
      <c r="AB3550" s="2" t="s">
        <v>23563</v>
      </c>
      <c r="AC3550" s="2">
        <v>2.8519832632168498</v>
      </c>
      <c r="AD3550" s="2"/>
      <c r="AE3550" s="2">
        <v>0.156152399713954</v>
      </c>
      <c r="AF3550" s="2">
        <v>11765.4495382276</v>
      </c>
      <c r="AG3550" s="2">
        <v>8874.1911304196692</v>
      </c>
      <c r="AH3550" s="5">
        <v>1.3258052892163901</v>
      </c>
      <c r="AI3550" s="5">
        <v>0.40686891352868698</v>
      </c>
      <c r="AJ3550" s="5" t="s">
        <v>139</v>
      </c>
      <c r="AK3550" s="2">
        <v>0.73642044216945202</v>
      </c>
      <c r="AL3550" s="2">
        <v>0.87881973169046002</v>
      </c>
      <c r="AM3550" s="2">
        <v>1004.79576339787</v>
      </c>
      <c r="AN3550" s="2">
        <v>1265.73505160476</v>
      </c>
      <c r="AO3550" s="2">
        <v>36139.1719690272</v>
      </c>
      <c r="AP3550" s="2">
        <v>1751.1816192602</v>
      </c>
      <c r="AQ3550" s="2">
        <v>28766.570055810302</v>
      </c>
      <c r="AR3550" s="2">
        <v>1665.2427702652301</v>
      </c>
      <c r="AS3550" s="2">
        <v>16616.466844581999</v>
      </c>
      <c r="AT3550" s="2">
        <v>1089.64300463974</v>
      </c>
      <c r="AU3550" s="2">
        <v>31154.291508537899</v>
      </c>
      <c r="AV3550" s="2">
        <v>1638.58951011521</v>
      </c>
      <c r="AW3550" s="2">
        <v>1406.9732268758301</v>
      </c>
      <c r="AX3550" s="2">
        <v>1339.18268776737</v>
      </c>
    </row>
    <row r="3551" spans="1:50" x14ac:dyDescent="0.25">
      <c r="A3551" s="2" t="s">
        <v>23564</v>
      </c>
      <c r="B3551" s="2">
        <v>168.09337809591599</v>
      </c>
      <c r="C3551" s="2">
        <v>2.0634666666666699</v>
      </c>
      <c r="D3551" s="2" t="s">
        <v>51</v>
      </c>
      <c r="E3551" s="2" t="s">
        <v>23565</v>
      </c>
      <c r="F3551" s="2">
        <v>255438</v>
      </c>
      <c r="G3551" s="3" t="str">
        <f>HYPERLINK("https://cloud.oebiotech.com/#/lm/network/255438", "https://cloud.oebiotech.com/#/lm/network/255438")</f>
        <v>https://cloud.oebiotech.com/#/lm/network/255438</v>
      </c>
      <c r="H3551" s="2" t="s">
        <v>23566</v>
      </c>
      <c r="I3551" s="2">
        <v>93406</v>
      </c>
      <c r="J3551" s="2"/>
      <c r="K3551" s="2">
        <v>5352698</v>
      </c>
      <c r="L3551" s="2"/>
      <c r="M3551" s="2"/>
      <c r="N3551" s="2"/>
      <c r="O3551" s="2">
        <v>172101</v>
      </c>
      <c r="P3551" s="2"/>
      <c r="Q3551" s="2"/>
      <c r="R3551" s="2" t="s">
        <v>23567</v>
      </c>
      <c r="S3551" s="2" t="s">
        <v>23568</v>
      </c>
      <c r="T3551" s="2" t="s">
        <v>23569</v>
      </c>
      <c r="U3551" s="2" t="s">
        <v>1491</v>
      </c>
      <c r="V3551" s="2" t="s">
        <v>1492</v>
      </c>
      <c r="W3551" s="2" t="s">
        <v>23570</v>
      </c>
      <c r="X3551" s="2" t="s">
        <v>147</v>
      </c>
      <c r="Y3551" s="2">
        <v>38.6</v>
      </c>
      <c r="Z3551" s="2">
        <v>0</v>
      </c>
      <c r="AA3551" s="2" t="s">
        <v>122</v>
      </c>
      <c r="AB3551" s="2" t="s">
        <v>23571</v>
      </c>
      <c r="AC3551" s="2">
        <v>-3.1077208794865401</v>
      </c>
      <c r="AD3551" s="2"/>
      <c r="AE3551" s="2">
        <v>0.15613371849185001</v>
      </c>
      <c r="AF3551" s="2">
        <v>19696.360915632202</v>
      </c>
      <c r="AG3551" s="2">
        <v>21566.928682476198</v>
      </c>
      <c r="AH3551" s="4">
        <v>0.91326684506710099</v>
      </c>
      <c r="AI3551" s="4">
        <v>-0.13089163576555701</v>
      </c>
      <c r="AJ3551" s="4" t="s">
        <v>62</v>
      </c>
      <c r="AK3551" s="2">
        <v>0.53941912568446904</v>
      </c>
      <c r="AL3551" s="2">
        <v>0.76464258930367401</v>
      </c>
      <c r="AM3551" s="2">
        <v>20848.175816577801</v>
      </c>
      <c r="AN3551" s="2">
        <v>20177.686787623199</v>
      </c>
      <c r="AO3551" s="2">
        <v>14654.465221792199</v>
      </c>
      <c r="AP3551" s="2">
        <v>24183.597903322199</v>
      </c>
      <c r="AQ3551" s="2">
        <v>23248.223338323602</v>
      </c>
      <c r="AR3551" s="2">
        <v>15066.0164261544</v>
      </c>
      <c r="AS3551" s="2">
        <v>14019.048425029399</v>
      </c>
      <c r="AT3551" s="2">
        <v>16897.2436953791</v>
      </c>
      <c r="AU3551" s="2">
        <v>25384.029729289301</v>
      </c>
      <c r="AV3551" s="2">
        <v>19026.444369051798</v>
      </c>
      <c r="AW3551" s="2">
        <v>23942.489928458501</v>
      </c>
      <c r="AX3551" s="2">
        <v>30132.315947649298</v>
      </c>
    </row>
    <row r="3552" spans="1:50" x14ac:dyDescent="0.25">
      <c r="A3552" s="2" t="s">
        <v>23572</v>
      </c>
      <c r="B3552" s="2">
        <v>645.32965650712299</v>
      </c>
      <c r="C3552" s="2">
        <v>4.3824333333333296</v>
      </c>
      <c r="D3552" s="2" t="s">
        <v>51</v>
      </c>
      <c r="E3552" s="2" t="s">
        <v>23573</v>
      </c>
      <c r="F3552" s="2">
        <v>46771</v>
      </c>
      <c r="G3552" s="3" t="str">
        <f>HYPERLINK("https://cloud.oebiotech.com/#/lm/network/46771", "https://cloud.oebiotech.com/#/lm/network/46771")</f>
        <v>https://cloud.oebiotech.com/#/lm/network/46771</v>
      </c>
      <c r="H3552" s="2"/>
      <c r="I3552" s="2"/>
      <c r="J3552" s="2" t="s">
        <v>23574</v>
      </c>
      <c r="K3552" s="2">
        <v>52931566</v>
      </c>
      <c r="L3552" s="2"/>
      <c r="M3552" s="2"/>
      <c r="N3552" s="2"/>
      <c r="O3552" s="2"/>
      <c r="P3552" s="2"/>
      <c r="Q3552" s="2"/>
      <c r="R3552" s="2"/>
      <c r="S3552" s="2" t="s">
        <v>23575</v>
      </c>
      <c r="T3552" s="2" t="s">
        <v>23576</v>
      </c>
      <c r="U3552" s="2" t="s">
        <v>56</v>
      </c>
      <c r="V3552" s="2" t="s">
        <v>283</v>
      </c>
      <c r="W3552" s="2" t="s">
        <v>3462</v>
      </c>
      <c r="X3552" s="2" t="s">
        <v>147</v>
      </c>
      <c r="Y3552" s="2">
        <v>44.6</v>
      </c>
      <c r="Z3552" s="2">
        <v>39.9</v>
      </c>
      <c r="AA3552" s="2" t="s">
        <v>156</v>
      </c>
      <c r="AB3552" s="2" t="s">
        <v>23577</v>
      </c>
      <c r="AC3552" s="2">
        <v>-0.98652609240617195</v>
      </c>
      <c r="AD3552" s="2"/>
      <c r="AE3552" s="2">
        <v>0.15580391418043299</v>
      </c>
      <c r="AF3552" s="2">
        <v>9113.0590135904004</v>
      </c>
      <c r="AG3552" s="2">
        <v>12727.968959386</v>
      </c>
      <c r="AH3552" s="4">
        <v>0.71598689804080395</v>
      </c>
      <c r="AI3552" s="4">
        <v>-0.48199490726445599</v>
      </c>
      <c r="AJ3552" s="4" t="s">
        <v>62</v>
      </c>
      <c r="AK3552" s="2">
        <v>0.787393976644153</v>
      </c>
      <c r="AL3552" s="2">
        <v>0.90596086033650003</v>
      </c>
      <c r="AM3552" s="2">
        <v>26137.898987536799</v>
      </c>
      <c r="AN3552" s="2">
        <v>346.63052062702599</v>
      </c>
      <c r="AO3552" s="2">
        <v>8.559877937157E-6</v>
      </c>
      <c r="AP3552" s="2">
        <v>8.559877937157E-6</v>
      </c>
      <c r="AQ3552" s="2">
        <v>21974.634800407901</v>
      </c>
      <c r="AR3552" s="2">
        <v>6219.1897558509399</v>
      </c>
      <c r="AS3552" s="2">
        <v>393.38582148512103</v>
      </c>
      <c r="AT3552" s="2">
        <v>1107.38032431278</v>
      </c>
      <c r="AU3552" s="2">
        <v>8.559877937157E-6</v>
      </c>
      <c r="AV3552" s="2">
        <v>73276.1233754766</v>
      </c>
      <c r="AW3552" s="2">
        <v>8.559877937157E-6</v>
      </c>
      <c r="AX3552" s="2">
        <v>1590.9242179216001</v>
      </c>
    </row>
    <row r="3553" spans="1:50" x14ac:dyDescent="0.25">
      <c r="A3553" s="2" t="s">
        <v>23578</v>
      </c>
      <c r="B3553" s="2">
        <v>265.14457781013999</v>
      </c>
      <c r="C3553" s="2">
        <v>6.7699666666666696</v>
      </c>
      <c r="D3553" s="2" t="s">
        <v>51</v>
      </c>
      <c r="E3553" s="2" t="s">
        <v>23579</v>
      </c>
      <c r="F3553" s="2">
        <v>468465</v>
      </c>
      <c r="G3553" s="3" t="str">
        <f>HYPERLINK("https://cloud.oebiotech.com/#/lm/network/468465", "https://cloud.oebiotech.com/#/lm/network/468465")</f>
        <v>https://cloud.oebiotech.com/#/lm/network/468465</v>
      </c>
      <c r="H3553" s="2" t="s">
        <v>23580</v>
      </c>
      <c r="I3553" s="2">
        <v>91216</v>
      </c>
      <c r="J3553" s="2"/>
      <c r="K3553" s="2">
        <v>14433059</v>
      </c>
      <c r="L3553" s="2"/>
      <c r="M3553" s="2"/>
      <c r="N3553" s="2"/>
      <c r="O3553" s="2"/>
      <c r="P3553" s="2"/>
      <c r="Q3553" s="2"/>
      <c r="R3553" s="2" t="s">
        <v>23581</v>
      </c>
      <c r="S3553" s="2" t="s">
        <v>23582</v>
      </c>
      <c r="T3553" s="2" t="s">
        <v>23583</v>
      </c>
      <c r="U3553" s="2" t="s">
        <v>266</v>
      </c>
      <c r="V3553" s="2" t="s">
        <v>7486</v>
      </c>
      <c r="W3553" s="2" t="s">
        <v>240</v>
      </c>
      <c r="X3553" s="2" t="s">
        <v>83</v>
      </c>
      <c r="Y3553" s="2">
        <v>45.9</v>
      </c>
      <c r="Z3553" s="2">
        <v>0</v>
      </c>
      <c r="AA3553" s="2" t="s">
        <v>163</v>
      </c>
      <c r="AB3553" s="2" t="s">
        <v>15678</v>
      </c>
      <c r="AC3553" s="2">
        <v>0.169295712724648</v>
      </c>
      <c r="AD3553" s="2"/>
      <c r="AE3553" s="2">
        <v>0.15574134467980899</v>
      </c>
      <c r="AF3553" s="2">
        <v>1006.97289989668</v>
      </c>
      <c r="AG3553" s="2">
        <v>421.02135739748002</v>
      </c>
      <c r="AH3553" s="5">
        <v>2.39173828644044</v>
      </c>
      <c r="AI3553" s="5">
        <v>1.25805953271682</v>
      </c>
      <c r="AJ3553" s="5" t="s">
        <v>139</v>
      </c>
      <c r="AK3553" s="2">
        <v>0.10920192028329501</v>
      </c>
      <c r="AL3553" s="2">
        <v>0.42102484588823402</v>
      </c>
      <c r="AM3553" s="2">
        <v>2555.7428988219299</v>
      </c>
      <c r="AN3553" s="2">
        <v>966.80298450627697</v>
      </c>
      <c r="AO3553" s="2">
        <v>533.22571536127805</v>
      </c>
      <c r="AP3553" s="2">
        <v>444.58856737401698</v>
      </c>
      <c r="AQ3553" s="2">
        <v>524.87177504846795</v>
      </c>
      <c r="AR3553" s="2">
        <v>1016.6054582681001</v>
      </c>
      <c r="AS3553" s="2">
        <v>581.65252880965602</v>
      </c>
      <c r="AT3553" s="2">
        <v>220.92108682548701</v>
      </c>
      <c r="AU3553" s="2">
        <v>491.641080904202</v>
      </c>
      <c r="AV3553" s="2">
        <v>236.54268297611199</v>
      </c>
      <c r="AW3553" s="2">
        <v>353.71372977075401</v>
      </c>
      <c r="AX3553" s="2">
        <v>641.65703509866898</v>
      </c>
    </row>
    <row r="3554" spans="1:50" x14ac:dyDescent="0.25">
      <c r="A3554" s="2" t="s">
        <v>23584</v>
      </c>
      <c r="B3554" s="2">
        <v>336.25455995317202</v>
      </c>
      <c r="C3554" s="2">
        <v>11.528283333333301</v>
      </c>
      <c r="D3554" s="2" t="s">
        <v>51</v>
      </c>
      <c r="E3554" s="2" t="s">
        <v>23585</v>
      </c>
      <c r="F3554" s="2">
        <v>266509</v>
      </c>
      <c r="G3554" s="3" t="str">
        <f>HYPERLINK("https://cloud.oebiotech.com/#/lm/network/266509", "https://cloud.oebiotech.com/#/lm/network/266509")</f>
        <v>https://cloud.oebiotech.com/#/lm/network/266509</v>
      </c>
      <c r="H3554" s="2"/>
      <c r="I3554" s="2">
        <v>43426</v>
      </c>
      <c r="J3554" s="2"/>
      <c r="K3554" s="2">
        <v>6433346</v>
      </c>
      <c r="L3554" s="2"/>
      <c r="M3554" s="2"/>
      <c r="N3554" s="2"/>
      <c r="O3554" s="2"/>
      <c r="P3554" s="2"/>
      <c r="Q3554" s="2"/>
      <c r="R3554" s="2" t="s">
        <v>23586</v>
      </c>
      <c r="S3554" s="2" t="s">
        <v>23587</v>
      </c>
      <c r="T3554" s="2" t="s">
        <v>23588</v>
      </c>
      <c r="U3554" s="2" t="s">
        <v>103</v>
      </c>
      <c r="V3554" s="2" t="s">
        <v>104</v>
      </c>
      <c r="W3554" s="2" t="s">
        <v>105</v>
      </c>
      <c r="X3554" s="2" t="s">
        <v>147</v>
      </c>
      <c r="Y3554" s="2">
        <v>38</v>
      </c>
      <c r="Z3554" s="2">
        <v>0.217</v>
      </c>
      <c r="AA3554" s="2" t="s">
        <v>163</v>
      </c>
      <c r="AB3554" s="2" t="s">
        <v>23589</v>
      </c>
      <c r="AC3554" s="2">
        <v>0.42222180843239099</v>
      </c>
      <c r="AD3554" s="2"/>
      <c r="AE3554" s="2">
        <v>0.15572235667193501</v>
      </c>
      <c r="AF3554" s="2">
        <v>1155.7950428522199</v>
      </c>
      <c r="AG3554" s="2">
        <v>2731.30514366954</v>
      </c>
      <c r="AH3554" s="4">
        <v>0.42316584272213498</v>
      </c>
      <c r="AI3554" s="4">
        <v>-1.2407049147987901</v>
      </c>
      <c r="AJ3554" s="4" t="s">
        <v>62</v>
      </c>
      <c r="AK3554" s="2">
        <v>0.23863524495997601</v>
      </c>
      <c r="AL3554" s="2">
        <v>0.56258760860868195</v>
      </c>
      <c r="AM3554" s="2">
        <v>640.54812212188801</v>
      </c>
      <c r="AN3554" s="2">
        <v>1651.7431811072399</v>
      </c>
      <c r="AO3554" s="2">
        <v>1887.4285746574301</v>
      </c>
      <c r="AP3554" s="2">
        <v>1047.0873618948301</v>
      </c>
      <c r="AQ3554" s="2">
        <v>1014.34535032271</v>
      </c>
      <c r="AR3554" s="2">
        <v>693.61766700923499</v>
      </c>
      <c r="AS3554" s="2">
        <v>213.26267437855</v>
      </c>
      <c r="AT3554" s="2">
        <v>633.83694207993096</v>
      </c>
      <c r="AU3554" s="2">
        <v>8568.3066157029898</v>
      </c>
      <c r="AV3554" s="2">
        <v>2813.15167999913</v>
      </c>
      <c r="AW3554" s="2">
        <v>2556.91229123624</v>
      </c>
      <c r="AX3554" s="2">
        <v>1602.36065862039</v>
      </c>
    </row>
    <row r="3555" spans="1:50" x14ac:dyDescent="0.25">
      <c r="A3555" s="2" t="s">
        <v>23590</v>
      </c>
      <c r="B3555" s="2">
        <v>321.09319658416899</v>
      </c>
      <c r="C3555" s="2">
        <v>7.7167000000000003</v>
      </c>
      <c r="D3555" s="2" t="s">
        <v>51</v>
      </c>
      <c r="E3555" s="2" t="s">
        <v>23591</v>
      </c>
      <c r="F3555" s="2">
        <v>65007</v>
      </c>
      <c r="G3555" s="3" t="str">
        <f>HYPERLINK("https://cloud.oebiotech.com/#/lm/network/65007", "https://cloud.oebiotech.com/#/lm/network/65007")</f>
        <v>https://cloud.oebiotech.com/#/lm/network/65007</v>
      </c>
      <c r="H3555" s="2" t="s">
        <v>23592</v>
      </c>
      <c r="I3555" s="2">
        <v>96212</v>
      </c>
      <c r="J3555" s="2"/>
      <c r="K3555" s="2">
        <v>3035041</v>
      </c>
      <c r="L3555" s="2"/>
      <c r="M3555" s="2"/>
      <c r="N3555" s="2"/>
      <c r="O3555" s="2">
        <v>174638</v>
      </c>
      <c r="P3555" s="2"/>
      <c r="Q3555" s="2"/>
      <c r="R3555" s="2" t="s">
        <v>23593</v>
      </c>
      <c r="S3555" s="2" t="s">
        <v>23594</v>
      </c>
      <c r="T3555" s="2" t="s">
        <v>23595</v>
      </c>
      <c r="U3555" s="2" t="s">
        <v>295</v>
      </c>
      <c r="V3555" s="2" t="s">
        <v>1818</v>
      </c>
      <c r="W3555" s="2" t="s">
        <v>1819</v>
      </c>
      <c r="X3555" s="2" t="s">
        <v>147</v>
      </c>
      <c r="Y3555" s="2">
        <v>38.4</v>
      </c>
      <c r="Z3555" s="2">
        <v>2.2999999999999998</v>
      </c>
      <c r="AA3555" s="2" t="s">
        <v>218</v>
      </c>
      <c r="AB3555" s="2" t="s">
        <v>11203</v>
      </c>
      <c r="AC3555" s="2">
        <v>-2.7423293145238801</v>
      </c>
      <c r="AD3555" s="2"/>
      <c r="AE3555" s="2">
        <v>0.15564482056769399</v>
      </c>
      <c r="AF3555" s="2">
        <v>2576.67252704355</v>
      </c>
      <c r="AG3555" s="2">
        <v>1855.7191324529099</v>
      </c>
      <c r="AH3555" s="5">
        <v>1.38850350895379</v>
      </c>
      <c r="AI3555" s="5">
        <v>0.47353082306517102</v>
      </c>
      <c r="AJ3555" s="5" t="s">
        <v>139</v>
      </c>
      <c r="AK3555" s="2">
        <v>0.153533893696261</v>
      </c>
      <c r="AL3555" s="2">
        <v>0.47500298430156401</v>
      </c>
      <c r="AM3555" s="2">
        <v>2781.5154187968301</v>
      </c>
      <c r="AN3555" s="2">
        <v>3132.41103759523</v>
      </c>
      <c r="AO3555" s="2">
        <v>2426.3776235074602</v>
      </c>
      <c r="AP3555" s="2">
        <v>1980.4563976802599</v>
      </c>
      <c r="AQ3555" s="2">
        <v>2027.8223637707399</v>
      </c>
      <c r="AR3555" s="2">
        <v>3111.4523209107801</v>
      </c>
      <c r="AS3555" s="2">
        <v>1433.62104848836</v>
      </c>
      <c r="AT3555" s="2">
        <v>1079.81400945669</v>
      </c>
      <c r="AU3555" s="2">
        <v>3884.8388726163898</v>
      </c>
      <c r="AV3555" s="2">
        <v>1329.2893066740801</v>
      </c>
      <c r="AW3555" s="2">
        <v>1722.7808504282</v>
      </c>
      <c r="AX3555" s="2">
        <v>1683.97070705377</v>
      </c>
    </row>
    <row r="3556" spans="1:50" x14ac:dyDescent="0.25">
      <c r="A3556" s="2" t="s">
        <v>23596</v>
      </c>
      <c r="B3556" s="2">
        <v>209.05396208303401</v>
      </c>
      <c r="C3556" s="2">
        <v>0.74455000000000005</v>
      </c>
      <c r="D3556" s="2" t="s">
        <v>51</v>
      </c>
      <c r="E3556" s="2" t="s">
        <v>23597</v>
      </c>
      <c r="F3556" s="2">
        <v>200410</v>
      </c>
      <c r="G3556" s="3" t="str">
        <f>HYPERLINK("https://cloud.oebiotech.com/#/lm/network/200410", "https://cloud.oebiotech.com/#/lm/network/200410")</f>
        <v>https://cloud.oebiotech.com/#/lm/network/200410</v>
      </c>
      <c r="H3556" s="2" t="s">
        <v>23598</v>
      </c>
      <c r="I3556" s="2"/>
      <c r="J3556" s="2"/>
      <c r="K3556" s="2">
        <v>14761447</v>
      </c>
      <c r="L3556" s="2"/>
      <c r="M3556" s="2"/>
      <c r="N3556" s="2"/>
      <c r="O3556" s="2"/>
      <c r="P3556" s="2"/>
      <c r="Q3556" s="2"/>
      <c r="R3556" s="2"/>
      <c r="S3556" s="2" t="s">
        <v>23599</v>
      </c>
      <c r="T3556" s="2" t="s">
        <v>23600</v>
      </c>
      <c r="U3556" s="2" t="s">
        <v>266</v>
      </c>
      <c r="V3556" s="2" t="s">
        <v>2143</v>
      </c>
      <c r="W3556" s="2" t="s">
        <v>2624</v>
      </c>
      <c r="X3556" s="2" t="s">
        <v>147</v>
      </c>
      <c r="Y3556" s="2">
        <v>38</v>
      </c>
      <c r="Z3556" s="2">
        <v>0</v>
      </c>
      <c r="AA3556" s="2" t="s">
        <v>512</v>
      </c>
      <c r="AB3556" s="2" t="s">
        <v>23601</v>
      </c>
      <c r="AC3556" s="2">
        <v>3.7876822180439502</v>
      </c>
      <c r="AD3556" s="2"/>
      <c r="AE3556" s="2">
        <v>0.15560386698818299</v>
      </c>
      <c r="AF3556" s="2">
        <v>6749.6396218893797</v>
      </c>
      <c r="AG3556" s="2">
        <v>9704.3401694627591</v>
      </c>
      <c r="AH3556" s="4">
        <v>0.69552792915574801</v>
      </c>
      <c r="AI3556" s="4">
        <v>-0.523819647056601</v>
      </c>
      <c r="AJ3556" s="4" t="s">
        <v>62</v>
      </c>
      <c r="AK3556" s="2">
        <v>0.48651854709516001</v>
      </c>
      <c r="AL3556" s="2">
        <v>0.72996224768864404</v>
      </c>
      <c r="AM3556" s="2">
        <v>6210.3424078555099</v>
      </c>
      <c r="AN3556" s="2">
        <v>21035.316084051199</v>
      </c>
      <c r="AO3556" s="2">
        <v>2911.3526109848599</v>
      </c>
      <c r="AP3556" s="2">
        <v>6669.12221500746</v>
      </c>
      <c r="AQ3556" s="2">
        <v>2645.2094419283399</v>
      </c>
      <c r="AR3556" s="2">
        <v>1026.4949715089001</v>
      </c>
      <c r="AS3556" s="2">
        <v>1093.2937141595201</v>
      </c>
      <c r="AT3556" s="2">
        <v>5475.4258130181497</v>
      </c>
      <c r="AU3556" s="2">
        <v>13384.5643720601</v>
      </c>
      <c r="AV3556" s="2">
        <v>5082.7837345231201</v>
      </c>
      <c r="AW3556" s="2">
        <v>14242.0749714372</v>
      </c>
      <c r="AX3556" s="2">
        <v>18947.898411578499</v>
      </c>
    </row>
    <row r="3557" spans="1:50" x14ac:dyDescent="0.25">
      <c r="A3557" s="2" t="s">
        <v>23602</v>
      </c>
      <c r="B3557" s="2">
        <v>124.039790227642</v>
      </c>
      <c r="C3557" s="2">
        <v>1.00901666666667</v>
      </c>
      <c r="D3557" s="2" t="s">
        <v>51</v>
      </c>
      <c r="E3557" s="2" t="s">
        <v>23603</v>
      </c>
      <c r="F3557" s="2">
        <v>82539</v>
      </c>
      <c r="G3557" s="3" t="str">
        <f>HYPERLINK("https://cloud.oebiotech.com/#/lm/network/82539", "https://cloud.oebiotech.com/#/lm/network/82539")</f>
        <v>https://cloud.oebiotech.com/#/lm/network/82539</v>
      </c>
      <c r="H3557" s="2" t="s">
        <v>23604</v>
      </c>
      <c r="I3557" s="2">
        <v>849</v>
      </c>
      <c r="J3557" s="2"/>
      <c r="K3557" s="2">
        <v>5922</v>
      </c>
      <c r="L3557" s="2" t="s">
        <v>23605</v>
      </c>
      <c r="M3557" s="2" t="s">
        <v>7921</v>
      </c>
      <c r="N3557" s="2" t="s">
        <v>7922</v>
      </c>
      <c r="O3557" s="2">
        <v>6032</v>
      </c>
      <c r="P3557" s="2"/>
      <c r="Q3557" s="2"/>
      <c r="R3557" s="2" t="s">
        <v>23606</v>
      </c>
      <c r="S3557" s="2" t="s">
        <v>23607</v>
      </c>
      <c r="T3557" s="2" t="s">
        <v>23608</v>
      </c>
      <c r="U3557" s="2" t="s">
        <v>266</v>
      </c>
      <c r="V3557" s="2" t="s">
        <v>2143</v>
      </c>
      <c r="W3557" s="2" t="s">
        <v>2624</v>
      </c>
      <c r="X3557" s="2" t="s">
        <v>69</v>
      </c>
      <c r="Y3557" s="2">
        <v>49.1</v>
      </c>
      <c r="Z3557" s="2">
        <v>53.3</v>
      </c>
      <c r="AA3557" s="2" t="s">
        <v>259</v>
      </c>
      <c r="AB3557" s="2" t="s">
        <v>23609</v>
      </c>
      <c r="AC3557" s="2">
        <v>3.9452439995207</v>
      </c>
      <c r="AD3557" s="2"/>
      <c r="AE3557" s="2">
        <v>0.155379328966715</v>
      </c>
      <c r="AF3557" s="2">
        <v>7478.5930012099197</v>
      </c>
      <c r="AG3557" s="2">
        <v>5525.0220296808102</v>
      </c>
      <c r="AH3557" s="5">
        <v>1.3535860963149799</v>
      </c>
      <c r="AI3557" s="5">
        <v>0.43678665465764099</v>
      </c>
      <c r="AJ3557" s="5" t="s">
        <v>139</v>
      </c>
      <c r="AK3557" s="2">
        <v>0.36507563955084199</v>
      </c>
      <c r="AL3557" s="2">
        <v>0.65028298705086895</v>
      </c>
      <c r="AM3557" s="2">
        <v>5153.4250612979104</v>
      </c>
      <c r="AN3557" s="2">
        <v>5657.5226496301002</v>
      </c>
      <c r="AO3557" s="2">
        <v>5476.4812335848901</v>
      </c>
      <c r="AP3557" s="2">
        <v>4908.1779886160202</v>
      </c>
      <c r="AQ3557" s="2">
        <v>17694.246423275901</v>
      </c>
      <c r="AR3557" s="2">
        <v>5981.70465085469</v>
      </c>
      <c r="AS3557" s="2">
        <v>5237.3082215443401</v>
      </c>
      <c r="AT3557" s="2">
        <v>6426.3071120299001</v>
      </c>
      <c r="AU3557" s="2">
        <v>5066.0706831718999</v>
      </c>
      <c r="AV3557" s="2">
        <v>5488.941487477</v>
      </c>
      <c r="AW3557" s="2">
        <v>5714.9426699943897</v>
      </c>
      <c r="AX3557" s="2">
        <v>5216.5620038673396</v>
      </c>
    </row>
    <row r="3558" spans="1:50" x14ac:dyDescent="0.25">
      <c r="A3558" s="2" t="s">
        <v>23610</v>
      </c>
      <c r="B3558" s="2">
        <v>391.24702228012598</v>
      </c>
      <c r="C3558" s="2">
        <v>9.7668833333333307</v>
      </c>
      <c r="D3558" s="2" t="s">
        <v>51</v>
      </c>
      <c r="E3558" s="2" t="s">
        <v>23611</v>
      </c>
      <c r="F3558" s="2">
        <v>213647</v>
      </c>
      <c r="G3558" s="3" t="str">
        <f>HYPERLINK("https://cloud.oebiotech.com/#/lm/network/213647", "https://cloud.oebiotech.com/#/lm/network/213647")</f>
        <v>https://cloud.oebiotech.com/#/lm/network/213647</v>
      </c>
      <c r="H3558" s="2" t="s">
        <v>23612</v>
      </c>
      <c r="I3558" s="2"/>
      <c r="J3558" s="2"/>
      <c r="K3558" s="2"/>
      <c r="L3558" s="2"/>
      <c r="M3558" s="2"/>
      <c r="N3558" s="2"/>
      <c r="O3558" s="2"/>
      <c r="P3558" s="2"/>
      <c r="Q3558" s="2"/>
      <c r="R3558" s="2"/>
      <c r="S3558" s="2" t="s">
        <v>23613</v>
      </c>
      <c r="T3558" s="2" t="s">
        <v>23614</v>
      </c>
      <c r="U3558" s="2" t="s">
        <v>56</v>
      </c>
      <c r="V3558" s="2" t="s">
        <v>145</v>
      </c>
      <c r="W3558" s="2" t="s">
        <v>203</v>
      </c>
      <c r="X3558" s="2" t="s">
        <v>83</v>
      </c>
      <c r="Y3558" s="2">
        <v>44.1</v>
      </c>
      <c r="Z3558" s="2">
        <v>0</v>
      </c>
      <c r="AA3558" s="2" t="s">
        <v>95</v>
      </c>
      <c r="AB3558" s="2" t="s">
        <v>14900</v>
      </c>
      <c r="AC3558" s="2">
        <v>4.1475133291864603</v>
      </c>
      <c r="AD3558" s="2"/>
      <c r="AE3558" s="2">
        <v>0.15534715420553999</v>
      </c>
      <c r="AF3558" s="2">
        <v>22195.0563405168</v>
      </c>
      <c r="AG3558" s="2">
        <v>19398.402255076398</v>
      </c>
      <c r="AH3558" s="5">
        <v>1.14416930057776</v>
      </c>
      <c r="AI3558" s="5">
        <v>0.19430054078109699</v>
      </c>
      <c r="AJ3558" s="5" t="s">
        <v>139</v>
      </c>
      <c r="AK3558" s="2">
        <v>0.51580733215437402</v>
      </c>
      <c r="AL3558" s="2">
        <v>0.74855735297006099</v>
      </c>
      <c r="AM3558" s="2">
        <v>21593.718677091201</v>
      </c>
      <c r="AN3558" s="2">
        <v>29275.864859306701</v>
      </c>
      <c r="AO3558" s="2">
        <v>21263.996721560201</v>
      </c>
      <c r="AP3558" s="2">
        <v>32729.601111124201</v>
      </c>
      <c r="AQ3558" s="2">
        <v>12007.460414335599</v>
      </c>
      <c r="AR3558" s="2">
        <v>16299.6962596831</v>
      </c>
      <c r="AS3558" s="2">
        <v>12390.9767397332</v>
      </c>
      <c r="AT3558" s="2">
        <v>13504.163977424099</v>
      </c>
      <c r="AU3558" s="2">
        <v>19937.8092098618</v>
      </c>
      <c r="AV3558" s="2">
        <v>18000.881722458002</v>
      </c>
      <c r="AW3558" s="2">
        <v>22069.9117927263</v>
      </c>
      <c r="AX3558" s="2">
        <v>30486.670088254999</v>
      </c>
    </row>
    <row r="3559" spans="1:50" x14ac:dyDescent="0.25">
      <c r="A3559" s="2" t="s">
        <v>23615</v>
      </c>
      <c r="B3559" s="2">
        <v>437.279588663504</v>
      </c>
      <c r="C3559" s="2">
        <v>8.5796666666666699</v>
      </c>
      <c r="D3559" s="2" t="s">
        <v>51</v>
      </c>
      <c r="E3559" s="2" t="s">
        <v>23616</v>
      </c>
      <c r="F3559" s="2">
        <v>206528</v>
      </c>
      <c r="G3559" s="3" t="str">
        <f>HYPERLINK("https://cloud.oebiotech.com/#/lm/network/206528", "https://cloud.oebiotech.com/#/lm/network/206528")</f>
        <v>https://cloud.oebiotech.com/#/lm/network/206528</v>
      </c>
      <c r="H3559" s="2" t="s">
        <v>23617</v>
      </c>
      <c r="I3559" s="2">
        <v>70189</v>
      </c>
      <c r="J3559" s="2"/>
      <c r="K3559" s="2">
        <v>6222</v>
      </c>
      <c r="L3559" s="2" t="s">
        <v>23618</v>
      </c>
      <c r="M3559" s="2"/>
      <c r="N3559" s="2"/>
      <c r="O3559" s="2"/>
      <c r="P3559" s="2"/>
      <c r="Q3559" s="2"/>
      <c r="R3559" s="2" t="s">
        <v>23619</v>
      </c>
      <c r="S3559" s="2" t="s">
        <v>23620</v>
      </c>
      <c r="T3559" s="2" t="s">
        <v>23621</v>
      </c>
      <c r="U3559" s="2" t="s">
        <v>540</v>
      </c>
      <c r="V3559" s="2" t="s">
        <v>7590</v>
      </c>
      <c r="W3559" s="2" t="s">
        <v>240</v>
      </c>
      <c r="X3559" s="2" t="s">
        <v>147</v>
      </c>
      <c r="Y3559" s="2">
        <v>38.299999999999997</v>
      </c>
      <c r="Z3559" s="2">
        <v>0</v>
      </c>
      <c r="AA3559" s="2" t="s">
        <v>512</v>
      </c>
      <c r="AB3559" s="2" t="s">
        <v>23622</v>
      </c>
      <c r="AC3559" s="2">
        <v>-0.669745822027214</v>
      </c>
      <c r="AD3559" s="2"/>
      <c r="AE3559" s="2">
        <v>0.155326155000613</v>
      </c>
      <c r="AF3559" s="2">
        <v>11479.813352352599</v>
      </c>
      <c r="AG3559" s="2">
        <v>12373.029972246401</v>
      </c>
      <c r="AH3559" s="4">
        <v>0.92780938687634296</v>
      </c>
      <c r="AI3559" s="4">
        <v>-0.108099652524313</v>
      </c>
      <c r="AJ3559" s="4" t="s">
        <v>62</v>
      </c>
      <c r="AK3559" s="2">
        <v>0.48097982830342401</v>
      </c>
      <c r="AL3559" s="2">
        <v>0.72587118470702305</v>
      </c>
      <c r="AM3559" s="2">
        <v>8927.6310156506406</v>
      </c>
      <c r="AN3559" s="2">
        <v>12656.4637712198</v>
      </c>
      <c r="AO3559" s="2">
        <v>10843.931477202401</v>
      </c>
      <c r="AP3559" s="2">
        <v>13186.7420570049</v>
      </c>
      <c r="AQ3559" s="2">
        <v>11901.3876568921</v>
      </c>
      <c r="AR3559" s="2">
        <v>11362.7241361457</v>
      </c>
      <c r="AS3559" s="2">
        <v>16425.4201143955</v>
      </c>
      <c r="AT3559" s="2">
        <v>12556.077554748001</v>
      </c>
      <c r="AU3559" s="2">
        <v>9503.6499793697494</v>
      </c>
      <c r="AV3559" s="2">
        <v>10963.691572748799</v>
      </c>
      <c r="AW3559" s="2">
        <v>10579.7408403632</v>
      </c>
      <c r="AX3559" s="2">
        <v>14209.5997718534</v>
      </c>
    </row>
    <row r="3560" spans="1:50" x14ac:dyDescent="0.25">
      <c r="A3560" s="2" t="s">
        <v>23623</v>
      </c>
      <c r="B3560" s="2">
        <v>405.26464521643601</v>
      </c>
      <c r="C3560" s="2">
        <v>11.068</v>
      </c>
      <c r="D3560" s="2" t="s">
        <v>51</v>
      </c>
      <c r="E3560" s="2" t="s">
        <v>23624</v>
      </c>
      <c r="F3560" s="2">
        <v>57636</v>
      </c>
      <c r="G3560" s="3" t="str">
        <f>HYPERLINK("https://cloud.oebiotech.com/#/lm/network/57636", "https://cloud.oebiotech.com/#/lm/network/57636")</f>
        <v>https://cloud.oebiotech.com/#/lm/network/57636</v>
      </c>
      <c r="H3560" s="2" t="s">
        <v>23625</v>
      </c>
      <c r="I3560" s="2">
        <v>89239</v>
      </c>
      <c r="J3560" s="2"/>
      <c r="K3560" s="2">
        <v>131751014</v>
      </c>
      <c r="L3560" s="2"/>
      <c r="M3560" s="2"/>
      <c r="N3560" s="2"/>
      <c r="O3560" s="2"/>
      <c r="P3560" s="2"/>
      <c r="Q3560" s="2"/>
      <c r="R3560" s="2" t="s">
        <v>23626</v>
      </c>
      <c r="S3560" s="2" t="s">
        <v>23627</v>
      </c>
      <c r="T3560" s="2" t="s">
        <v>23628</v>
      </c>
      <c r="U3560" s="2" t="s">
        <v>56</v>
      </c>
      <c r="V3560" s="2" t="s">
        <v>177</v>
      </c>
      <c r="W3560" s="2" t="s">
        <v>178</v>
      </c>
      <c r="X3560" s="2" t="s">
        <v>83</v>
      </c>
      <c r="Y3560" s="2">
        <v>44.7</v>
      </c>
      <c r="Z3560" s="2">
        <v>0</v>
      </c>
      <c r="AA3560" s="2" t="s">
        <v>163</v>
      </c>
      <c r="AB3560" s="2" t="s">
        <v>4227</v>
      </c>
      <c r="AC3560" s="2">
        <v>-6.5670899011678E-3</v>
      </c>
      <c r="AD3560" s="2"/>
      <c r="AE3560" s="2">
        <v>0.15531680910246401</v>
      </c>
      <c r="AF3560" s="2">
        <v>7052.6856503104</v>
      </c>
      <c r="AG3560" s="2">
        <v>4502.8338087311704</v>
      </c>
      <c r="AH3560" s="5">
        <v>1.5662771378848099</v>
      </c>
      <c r="AI3560" s="5">
        <v>0.647339506420338</v>
      </c>
      <c r="AJ3560" s="5" t="s">
        <v>139</v>
      </c>
      <c r="AK3560" s="2">
        <v>0.39829750073602699</v>
      </c>
      <c r="AL3560" s="2">
        <v>0.66800311346169094</v>
      </c>
      <c r="AM3560" s="2">
        <v>4088.8421425433598</v>
      </c>
      <c r="AN3560" s="2">
        <v>10608.9552791489</v>
      </c>
      <c r="AO3560" s="2">
        <v>5794.5481795162304</v>
      </c>
      <c r="AP3560" s="2">
        <v>16500.678237134201</v>
      </c>
      <c r="AQ3560" s="2">
        <v>2396.88144726992</v>
      </c>
      <c r="AR3560" s="2">
        <v>2926.2086162497999</v>
      </c>
      <c r="AS3560" s="2">
        <v>648.43439600560703</v>
      </c>
      <c r="AT3560" s="2">
        <v>5430.9946861907902</v>
      </c>
      <c r="AU3560" s="2">
        <v>2542.3403588102701</v>
      </c>
      <c r="AV3560" s="2">
        <v>1433.18310575695</v>
      </c>
      <c r="AW3560" s="2">
        <v>12891.9260593733</v>
      </c>
      <c r="AX3560" s="2">
        <v>4070.12424625009</v>
      </c>
    </row>
    <row r="3561" spans="1:50" x14ac:dyDescent="0.25">
      <c r="A3561" s="2" t="s">
        <v>23629</v>
      </c>
      <c r="B3561" s="2">
        <v>693.29605202950302</v>
      </c>
      <c r="C3561" s="2">
        <v>10.5959</v>
      </c>
      <c r="D3561" s="2" t="s">
        <v>51</v>
      </c>
      <c r="E3561" s="2" t="s">
        <v>23630</v>
      </c>
      <c r="F3561" s="2">
        <v>207400</v>
      </c>
      <c r="G3561" s="3" t="str">
        <f>HYPERLINK("https://cloud.oebiotech.com/#/lm/network/207400", "https://cloud.oebiotech.com/#/lm/network/207400")</f>
        <v>https://cloud.oebiotech.com/#/lm/network/207400</v>
      </c>
      <c r="H3561" s="2" t="s">
        <v>23631</v>
      </c>
      <c r="I3561" s="2">
        <v>45154</v>
      </c>
      <c r="J3561" s="2"/>
      <c r="K3561" s="2">
        <v>11595431</v>
      </c>
      <c r="L3561" s="2"/>
      <c r="M3561" s="2"/>
      <c r="N3561" s="2"/>
      <c r="O3561" s="2"/>
      <c r="P3561" s="2"/>
      <c r="Q3561" s="2"/>
      <c r="R3561" s="2" t="s">
        <v>23632</v>
      </c>
      <c r="S3561" s="2" t="s">
        <v>23633</v>
      </c>
      <c r="T3561" s="2" t="s">
        <v>23634</v>
      </c>
      <c r="U3561" s="2" t="s">
        <v>610</v>
      </c>
      <c r="V3561" s="2" t="s">
        <v>611</v>
      </c>
      <c r="W3561" s="2" t="s">
        <v>21385</v>
      </c>
      <c r="X3561" s="2" t="s">
        <v>147</v>
      </c>
      <c r="Y3561" s="2">
        <v>37.299999999999997</v>
      </c>
      <c r="Z3561" s="2">
        <v>0</v>
      </c>
      <c r="AA3561" s="2" t="s">
        <v>478</v>
      </c>
      <c r="AB3561" s="2" t="s">
        <v>23635</v>
      </c>
      <c r="AC3561" s="2">
        <v>-1.3806805102013999</v>
      </c>
      <c r="AD3561" s="2"/>
      <c r="AE3561" s="2">
        <v>0.155305731984754</v>
      </c>
      <c r="AF3561" s="2">
        <v>1969.0130603708101</v>
      </c>
      <c r="AG3561" s="2">
        <v>3122.7174926392699</v>
      </c>
      <c r="AH3561" s="4">
        <v>0.63054473067515004</v>
      </c>
      <c r="AI3561" s="4">
        <v>-0.66532937630183897</v>
      </c>
      <c r="AJ3561" s="4" t="s">
        <v>62</v>
      </c>
      <c r="AK3561" s="2">
        <v>0.25797456853191603</v>
      </c>
      <c r="AL3561" s="2">
        <v>0.58014962627802602</v>
      </c>
      <c r="AM3561" s="2">
        <v>8.559877937157E-6</v>
      </c>
      <c r="AN3561" s="2">
        <v>1699.75913816206</v>
      </c>
      <c r="AO3561" s="2">
        <v>3370.05864916874</v>
      </c>
      <c r="AP3561" s="2">
        <v>992.09745906544697</v>
      </c>
      <c r="AQ3561" s="2">
        <v>3198.87244091808</v>
      </c>
      <c r="AR3561" s="2">
        <v>2553.2906663506601</v>
      </c>
      <c r="AS3561" s="2">
        <v>2580.2929426881601</v>
      </c>
      <c r="AT3561" s="2">
        <v>5993.7418734291196</v>
      </c>
      <c r="AU3561" s="2">
        <v>772.96951865132803</v>
      </c>
      <c r="AV3561" s="2">
        <v>2910.0831571403901</v>
      </c>
      <c r="AW3561" s="2">
        <v>1674.28617764507</v>
      </c>
      <c r="AX3561" s="2">
        <v>4804.9312862815696</v>
      </c>
    </row>
    <row r="3562" spans="1:50" x14ac:dyDescent="0.25">
      <c r="A3562" s="2" t="s">
        <v>23636</v>
      </c>
      <c r="B3562" s="2">
        <v>273.12472527267499</v>
      </c>
      <c r="C3562" s="2">
        <v>4.8599833333333304</v>
      </c>
      <c r="D3562" s="2" t="s">
        <v>51</v>
      </c>
      <c r="E3562" s="2" t="s">
        <v>23637</v>
      </c>
      <c r="F3562" s="2">
        <v>202623</v>
      </c>
      <c r="G3562" s="3" t="str">
        <f>HYPERLINK("https://cloud.oebiotech.com/#/lm/network/202623", "https://cloud.oebiotech.com/#/lm/network/202623")</f>
        <v>https://cloud.oebiotech.com/#/lm/network/202623</v>
      </c>
      <c r="H3562" s="2" t="s">
        <v>23638</v>
      </c>
      <c r="I3562" s="2">
        <v>2082</v>
      </c>
      <c r="J3562" s="2"/>
      <c r="K3562" s="2">
        <v>127542</v>
      </c>
      <c r="L3562" s="2"/>
      <c r="M3562" s="2"/>
      <c r="N3562" s="2"/>
      <c r="O3562" s="2"/>
      <c r="P3562" s="2"/>
      <c r="Q3562" s="2"/>
      <c r="R3562" s="2" t="s">
        <v>23639</v>
      </c>
      <c r="S3562" s="2" t="s">
        <v>23640</v>
      </c>
      <c r="T3562" s="2" t="s">
        <v>23641</v>
      </c>
      <c r="U3562" s="2" t="s">
        <v>103</v>
      </c>
      <c r="V3562" s="2" t="s">
        <v>104</v>
      </c>
      <c r="W3562" s="2" t="s">
        <v>105</v>
      </c>
      <c r="X3562" s="2" t="s">
        <v>147</v>
      </c>
      <c r="Y3562" s="2">
        <v>42.6</v>
      </c>
      <c r="Z3562" s="2">
        <v>41</v>
      </c>
      <c r="AA3562" s="2" t="s">
        <v>163</v>
      </c>
      <c r="AB3562" s="2" t="s">
        <v>23642</v>
      </c>
      <c r="AC3562" s="2">
        <v>0.94574649700034696</v>
      </c>
      <c r="AD3562" s="2"/>
      <c r="AE3562" s="2">
        <v>0.15523605919491101</v>
      </c>
      <c r="AF3562" s="2">
        <v>5407.4642541950798</v>
      </c>
      <c r="AG3562" s="2">
        <v>3082.9997826868398</v>
      </c>
      <c r="AH3562" s="5">
        <v>1.7539619316750199</v>
      </c>
      <c r="AI3562" s="5">
        <v>0.81061743559355803</v>
      </c>
      <c r="AJ3562" s="5" t="s">
        <v>139</v>
      </c>
      <c r="AK3562" s="2">
        <v>0.330954044514988</v>
      </c>
      <c r="AL3562" s="2">
        <v>0.63296819791825998</v>
      </c>
      <c r="AM3562" s="2">
        <v>2805.20208444224</v>
      </c>
      <c r="AN3562" s="2">
        <v>5691.6376313725696</v>
      </c>
      <c r="AO3562" s="2">
        <v>1961.6252804662799</v>
      </c>
      <c r="AP3562" s="2">
        <v>3009.90829485106</v>
      </c>
      <c r="AQ3562" s="2">
        <v>14562.130186079699</v>
      </c>
      <c r="AR3562" s="2">
        <v>4414.2820479586499</v>
      </c>
      <c r="AS3562" s="2">
        <v>9112.9612919678402</v>
      </c>
      <c r="AT3562" s="2">
        <v>1531.19275813689</v>
      </c>
      <c r="AU3562" s="2">
        <v>1277.8953788592</v>
      </c>
      <c r="AV3562" s="2">
        <v>3018.6992387055898</v>
      </c>
      <c r="AW3562" s="2">
        <v>2300.8342317554502</v>
      </c>
      <c r="AX3562" s="2">
        <v>1256.4157966960499</v>
      </c>
    </row>
    <row r="3563" spans="1:50" x14ac:dyDescent="0.25">
      <c r="A3563" s="2" t="s">
        <v>23643</v>
      </c>
      <c r="B3563" s="2">
        <v>162.997740929971</v>
      </c>
      <c r="C3563" s="2">
        <v>4.8395999999999999</v>
      </c>
      <c r="D3563" s="2" t="s">
        <v>51</v>
      </c>
      <c r="E3563" s="2" t="s">
        <v>23644</v>
      </c>
      <c r="F3563" s="2">
        <v>199342</v>
      </c>
      <c r="G3563" s="3" t="str">
        <f>HYPERLINK("https://cloud.oebiotech.com/#/lm/network/199342", "https://cloud.oebiotech.com/#/lm/network/199342")</f>
        <v>https://cloud.oebiotech.com/#/lm/network/199342</v>
      </c>
      <c r="H3563" s="2" t="s">
        <v>23645</v>
      </c>
      <c r="I3563" s="2"/>
      <c r="J3563" s="2"/>
      <c r="K3563" s="2">
        <v>19967836</v>
      </c>
      <c r="L3563" s="2"/>
      <c r="M3563" s="2"/>
      <c r="N3563" s="2"/>
      <c r="O3563" s="2"/>
      <c r="P3563" s="2"/>
      <c r="Q3563" s="2"/>
      <c r="R3563" s="2"/>
      <c r="S3563" s="2" t="s">
        <v>23646</v>
      </c>
      <c r="T3563" s="2" t="s">
        <v>23647</v>
      </c>
      <c r="U3563" s="2" t="s">
        <v>610</v>
      </c>
      <c r="V3563" s="2" t="s">
        <v>611</v>
      </c>
      <c r="W3563" s="2" t="s">
        <v>1409</v>
      </c>
      <c r="X3563" s="2" t="s">
        <v>147</v>
      </c>
      <c r="Y3563" s="2">
        <v>38.6</v>
      </c>
      <c r="Z3563" s="2">
        <v>0</v>
      </c>
      <c r="AA3563" s="2" t="s">
        <v>379</v>
      </c>
      <c r="AB3563" s="2" t="s">
        <v>23648</v>
      </c>
      <c r="AC3563" s="2">
        <v>0.49915400174269398</v>
      </c>
      <c r="AD3563" s="2"/>
      <c r="AE3563" s="2">
        <v>0.15505412394964899</v>
      </c>
      <c r="AF3563" s="2">
        <v>22424.960148451399</v>
      </c>
      <c r="AG3563" s="2">
        <v>23625.527883120001</v>
      </c>
      <c r="AH3563" s="4">
        <v>0.94918345356734501</v>
      </c>
      <c r="AI3563" s="4">
        <v>-7.5241143601604596E-2</v>
      </c>
      <c r="AJ3563" s="4" t="s">
        <v>62</v>
      </c>
      <c r="AK3563" s="2">
        <v>0.47942966661676001</v>
      </c>
      <c r="AL3563" s="2">
        <v>0.72433183010254898</v>
      </c>
      <c r="AM3563" s="2">
        <v>18697.794744116502</v>
      </c>
      <c r="AN3563" s="2">
        <v>22274.722848302001</v>
      </c>
      <c r="AO3563" s="2">
        <v>23546.121844934099</v>
      </c>
      <c r="AP3563" s="2">
        <v>23953.348354363199</v>
      </c>
      <c r="AQ3563" s="2">
        <v>25488.051565422898</v>
      </c>
      <c r="AR3563" s="2">
        <v>20589.721533569998</v>
      </c>
      <c r="AS3563" s="2">
        <v>24269.148674365599</v>
      </c>
      <c r="AT3563" s="2">
        <v>27026.795228146198</v>
      </c>
      <c r="AU3563" s="2">
        <v>20845.362688199901</v>
      </c>
      <c r="AV3563" s="2">
        <v>27564.965843474802</v>
      </c>
      <c r="AW3563" s="2">
        <v>20285.477386195998</v>
      </c>
      <c r="AX3563" s="2">
        <v>21761.417478337498</v>
      </c>
    </row>
    <row r="3564" spans="1:50" x14ac:dyDescent="0.25">
      <c r="A3564" s="2" t="s">
        <v>23649</v>
      </c>
      <c r="B3564" s="2">
        <v>224.97432869078699</v>
      </c>
      <c r="C3564" s="2">
        <v>6.7417333333333298</v>
      </c>
      <c r="D3564" s="2" t="s">
        <v>51</v>
      </c>
      <c r="E3564" s="2" t="s">
        <v>23650</v>
      </c>
      <c r="F3564" s="2">
        <v>31</v>
      </c>
      <c r="G3564" s="3" t="str">
        <f>HYPERLINK("https://cloud.oebiotech.com/#/lm/network/31", "https://cloud.oebiotech.com/#/lm/network/31")</f>
        <v>https://cloud.oebiotech.com/#/lm/network/31</v>
      </c>
      <c r="H3564" s="2"/>
      <c r="I3564" s="2"/>
      <c r="J3564" s="2" t="s">
        <v>23651</v>
      </c>
      <c r="K3564" s="2">
        <v>11148070</v>
      </c>
      <c r="L3564" s="2"/>
      <c r="M3564" s="2"/>
      <c r="N3564" s="2"/>
      <c r="O3564" s="2"/>
      <c r="P3564" s="2"/>
      <c r="Q3564" s="2"/>
      <c r="R3564" s="2"/>
      <c r="S3564" s="2" t="s">
        <v>23652</v>
      </c>
      <c r="T3564" s="2" t="s">
        <v>23653</v>
      </c>
      <c r="U3564" s="2" t="s">
        <v>16972</v>
      </c>
      <c r="V3564" s="2" t="s">
        <v>16973</v>
      </c>
      <c r="W3564" s="2" t="s">
        <v>16974</v>
      </c>
      <c r="X3564" s="2" t="s">
        <v>147</v>
      </c>
      <c r="Y3564" s="2">
        <v>38.700000000000003</v>
      </c>
      <c r="Z3564" s="2">
        <v>0</v>
      </c>
      <c r="AA3564" s="2" t="s">
        <v>218</v>
      </c>
      <c r="AB3564" s="2" t="s">
        <v>23654</v>
      </c>
      <c r="AC3564" s="2">
        <v>-3.5550506782617401</v>
      </c>
      <c r="AD3564" s="2"/>
      <c r="AE3564" s="2">
        <v>0.15477623423162101</v>
      </c>
      <c r="AF3564" s="2">
        <v>3138.84890153079</v>
      </c>
      <c r="AG3564" s="2">
        <v>3741.6074404272599</v>
      </c>
      <c r="AH3564" s="4">
        <v>0.83890385389343802</v>
      </c>
      <c r="AI3564" s="4">
        <v>-0.25342262088439499</v>
      </c>
      <c r="AJ3564" s="4" t="s">
        <v>62</v>
      </c>
      <c r="AK3564" s="2">
        <v>6.9783518744907902E-2</v>
      </c>
      <c r="AL3564" s="2">
        <v>0.34931101666430697</v>
      </c>
      <c r="AM3564" s="2">
        <v>2851.6462575205901</v>
      </c>
      <c r="AN3564" s="2">
        <v>2670.1468072584998</v>
      </c>
      <c r="AO3564" s="2">
        <v>3025.8048987673501</v>
      </c>
      <c r="AP3564" s="2">
        <v>3670.2806380203601</v>
      </c>
      <c r="AQ3564" s="2">
        <v>3769.9267098580899</v>
      </c>
      <c r="AR3564" s="2">
        <v>2845.2880977598602</v>
      </c>
      <c r="AS3564" s="2">
        <v>3746.44727546479</v>
      </c>
      <c r="AT3564" s="2">
        <v>4142.1373849698302</v>
      </c>
      <c r="AU3564" s="2">
        <v>2838.50795592964</v>
      </c>
      <c r="AV3564" s="2">
        <v>3344.1518372791402</v>
      </c>
      <c r="AW3564" s="2">
        <v>4307.4818605261498</v>
      </c>
      <c r="AX3564" s="2">
        <v>4070.9183283940201</v>
      </c>
    </row>
    <row r="3565" spans="1:50" x14ac:dyDescent="0.25">
      <c r="A3565" s="2" t="s">
        <v>23655</v>
      </c>
      <c r="B3565" s="2">
        <v>398.20490918595999</v>
      </c>
      <c r="C3565" s="2">
        <v>3.6894833333333299</v>
      </c>
      <c r="D3565" s="2" t="s">
        <v>51</v>
      </c>
      <c r="E3565" s="2" t="s">
        <v>23656</v>
      </c>
      <c r="F3565" s="2">
        <v>260992</v>
      </c>
      <c r="G3565" s="3" t="str">
        <f>HYPERLINK("https://cloud.oebiotech.com/#/lm/network/260992", "https://cloud.oebiotech.com/#/lm/network/260992")</f>
        <v>https://cloud.oebiotech.com/#/lm/network/260992</v>
      </c>
      <c r="H3565" s="2"/>
      <c r="I3565" s="2">
        <v>18289</v>
      </c>
      <c r="J3565" s="2"/>
      <c r="K3565" s="2">
        <v>145454269</v>
      </c>
      <c r="L3565" s="2"/>
      <c r="M3565" s="2"/>
      <c r="N3565" s="2"/>
      <c r="O3565" s="2"/>
      <c r="P3565" s="2"/>
      <c r="Q3565" s="2"/>
      <c r="R3565" s="2"/>
      <c r="S3565" s="2" t="s">
        <v>23657</v>
      </c>
      <c r="T3565" s="2" t="s">
        <v>23658</v>
      </c>
      <c r="U3565" s="2" t="s">
        <v>103</v>
      </c>
      <c r="V3565" s="2" t="s">
        <v>104</v>
      </c>
      <c r="W3565" s="2" t="s">
        <v>105</v>
      </c>
      <c r="X3565" s="2" t="s">
        <v>83</v>
      </c>
      <c r="Y3565" s="2">
        <v>44.2</v>
      </c>
      <c r="Z3565" s="2">
        <v>4.2</v>
      </c>
      <c r="AA3565" s="2" t="s">
        <v>512</v>
      </c>
      <c r="AB3565" s="2" t="s">
        <v>23659</v>
      </c>
      <c r="AC3565" s="2">
        <v>3.9433710143394101</v>
      </c>
      <c r="AD3565" s="2"/>
      <c r="AE3565" s="2">
        <v>0.15470273446500901</v>
      </c>
      <c r="AF3565" s="2">
        <v>1142.0901716425101</v>
      </c>
      <c r="AG3565" s="2">
        <v>3467.3265959969899</v>
      </c>
      <c r="AH3565" s="4">
        <v>0.32938638458835801</v>
      </c>
      <c r="AI3565" s="4">
        <v>-1.6021471733775099</v>
      </c>
      <c r="AJ3565" s="4" t="s">
        <v>62</v>
      </c>
      <c r="AK3565" s="2">
        <v>0.35936111876344701</v>
      </c>
      <c r="AL3565" s="2">
        <v>0.64449606579735297</v>
      </c>
      <c r="AM3565" s="2">
        <v>1436.93431470469</v>
      </c>
      <c r="AN3565" s="2">
        <v>8.559877937157E-6</v>
      </c>
      <c r="AO3565" s="2">
        <v>330.76688679968998</v>
      </c>
      <c r="AP3565" s="2">
        <v>3094.8652281268101</v>
      </c>
      <c r="AQ3565" s="2">
        <v>1386.6221544928001</v>
      </c>
      <c r="AR3565" s="2">
        <v>603.35243717117498</v>
      </c>
      <c r="AS3565" s="2">
        <v>1331.3775110133899</v>
      </c>
      <c r="AT3565" s="2">
        <v>1875.4254999632201</v>
      </c>
      <c r="AU3565" s="2">
        <v>15240.6242767526</v>
      </c>
      <c r="AV3565" s="2">
        <v>1992.4337809655101</v>
      </c>
      <c r="AW3565" s="2">
        <v>364.09849872733099</v>
      </c>
      <c r="AX3565" s="2">
        <v>8.559877937157E-6</v>
      </c>
    </row>
    <row r="3566" spans="1:50" x14ac:dyDescent="0.25">
      <c r="A3566" s="2" t="s">
        <v>23660</v>
      </c>
      <c r="B3566" s="2">
        <v>428.20567981750497</v>
      </c>
      <c r="C3566" s="2">
        <v>4.4017833333333298</v>
      </c>
      <c r="D3566" s="2" t="s">
        <v>51</v>
      </c>
      <c r="E3566" s="2" t="s">
        <v>23661</v>
      </c>
      <c r="F3566" s="2">
        <v>197835</v>
      </c>
      <c r="G3566" s="3" t="str">
        <f>HYPERLINK("https://cloud.oebiotech.com/#/lm/network/197835", "https://cloud.oebiotech.com/#/lm/network/197835")</f>
        <v>https://cloud.oebiotech.com/#/lm/network/197835</v>
      </c>
      <c r="H3566" s="2" t="s">
        <v>23662</v>
      </c>
      <c r="I3566" s="2"/>
      <c r="J3566" s="2"/>
      <c r="K3566" s="2"/>
      <c r="L3566" s="2"/>
      <c r="M3566" s="2"/>
      <c r="N3566" s="2"/>
      <c r="O3566" s="2"/>
      <c r="P3566" s="2"/>
      <c r="Q3566" s="2"/>
      <c r="R3566" s="2"/>
      <c r="S3566" s="2" t="s">
        <v>23663</v>
      </c>
      <c r="T3566" s="2" t="s">
        <v>23664</v>
      </c>
      <c r="U3566" s="2" t="s">
        <v>56</v>
      </c>
      <c r="V3566" s="2" t="s">
        <v>145</v>
      </c>
      <c r="W3566" s="2" t="s">
        <v>1188</v>
      </c>
      <c r="X3566" s="2" t="s">
        <v>83</v>
      </c>
      <c r="Y3566" s="2">
        <v>50.2</v>
      </c>
      <c r="Z3566" s="2">
        <v>45</v>
      </c>
      <c r="AA3566" s="2" t="s">
        <v>395</v>
      </c>
      <c r="AB3566" s="2" t="s">
        <v>18297</v>
      </c>
      <c r="AC3566" s="2">
        <v>3.0039802486681402</v>
      </c>
      <c r="AD3566" s="2"/>
      <c r="AE3566" s="2">
        <v>0.15464091175514</v>
      </c>
      <c r="AF3566" s="2">
        <v>1449.51791888092</v>
      </c>
      <c r="AG3566" s="2">
        <v>674.37614633356498</v>
      </c>
      <c r="AH3566" s="5">
        <v>2.1494205077709698</v>
      </c>
      <c r="AI3566" s="5">
        <v>1.1039477559758999</v>
      </c>
      <c r="AJ3566" s="5" t="s">
        <v>139</v>
      </c>
      <c r="AK3566" s="2">
        <v>9.5564576816637797E-2</v>
      </c>
      <c r="AL3566" s="2">
        <v>0.39518270427574997</v>
      </c>
      <c r="AM3566" s="2">
        <v>1190.0247732795101</v>
      </c>
      <c r="AN3566" s="2">
        <v>2728.34628600819</v>
      </c>
      <c r="AO3566" s="2">
        <v>1200.2449156282401</v>
      </c>
      <c r="AP3566" s="2">
        <v>1117.0618784869</v>
      </c>
      <c r="AQ3566" s="2">
        <v>369.80120022915202</v>
      </c>
      <c r="AR3566" s="2">
        <v>2091.6284596535302</v>
      </c>
      <c r="AS3566" s="2">
        <v>1320.8458635838699</v>
      </c>
      <c r="AT3566" s="2">
        <v>782.96305056173196</v>
      </c>
      <c r="AU3566" s="2">
        <v>550.60084303281405</v>
      </c>
      <c r="AV3566" s="2">
        <v>8.559877937157E-6</v>
      </c>
      <c r="AW3566" s="2">
        <v>8.559877937157E-6</v>
      </c>
      <c r="AX3566" s="2">
        <v>1391.84710370322</v>
      </c>
    </row>
    <row r="3567" spans="1:50" x14ac:dyDescent="0.25">
      <c r="A3567" s="2" t="s">
        <v>23665</v>
      </c>
      <c r="B3567" s="2">
        <v>399.32689461807303</v>
      </c>
      <c r="C3567" s="2">
        <v>14.33135</v>
      </c>
      <c r="D3567" s="2" t="s">
        <v>51</v>
      </c>
      <c r="E3567" s="2" t="s">
        <v>23666</v>
      </c>
      <c r="F3567" s="2">
        <v>45418</v>
      </c>
      <c r="G3567" s="3" t="str">
        <f>HYPERLINK("https://cloud.oebiotech.com/#/lm/network/45418", "https://cloud.oebiotech.com/#/lm/network/45418")</f>
        <v>https://cloud.oebiotech.com/#/lm/network/45418</v>
      </c>
      <c r="H3567" s="2"/>
      <c r="I3567" s="2">
        <v>42185</v>
      </c>
      <c r="J3567" s="2" t="s">
        <v>23667</v>
      </c>
      <c r="K3567" s="2">
        <v>9547430</v>
      </c>
      <c r="L3567" s="2"/>
      <c r="M3567" s="2"/>
      <c r="N3567" s="2"/>
      <c r="O3567" s="2"/>
      <c r="P3567" s="2"/>
      <c r="Q3567" s="2"/>
      <c r="R3567" s="2"/>
      <c r="S3567" s="2" t="s">
        <v>23668</v>
      </c>
      <c r="T3567" s="2" t="s">
        <v>23669</v>
      </c>
      <c r="U3567" s="2" t="s">
        <v>56</v>
      </c>
      <c r="V3567" s="2" t="s">
        <v>283</v>
      </c>
      <c r="W3567" s="2" t="s">
        <v>420</v>
      </c>
      <c r="X3567" s="2" t="s">
        <v>83</v>
      </c>
      <c r="Y3567" s="2">
        <v>46.5</v>
      </c>
      <c r="Z3567" s="2">
        <v>22.2</v>
      </c>
      <c r="AA3567" s="2" t="s">
        <v>156</v>
      </c>
      <c r="AB3567" s="2" t="s">
        <v>12916</v>
      </c>
      <c r="AC3567" s="2">
        <v>2.7324500326363599</v>
      </c>
      <c r="AD3567" s="2"/>
      <c r="AE3567" s="2">
        <v>0.15459426679236299</v>
      </c>
      <c r="AF3567" s="2">
        <v>15236.532356072599</v>
      </c>
      <c r="AG3567" s="2">
        <v>13899.760021386001</v>
      </c>
      <c r="AH3567" s="5">
        <v>1.0961723319416901</v>
      </c>
      <c r="AI3567" s="5">
        <v>0.132474625755888</v>
      </c>
      <c r="AJ3567" s="5" t="s">
        <v>139</v>
      </c>
      <c r="AK3567" s="2">
        <v>0.61439549561217899</v>
      </c>
      <c r="AL3567" s="2">
        <v>0.80825749112552703</v>
      </c>
      <c r="AM3567" s="2">
        <v>19822.4168583705</v>
      </c>
      <c r="AN3567" s="2">
        <v>15893.2633506123</v>
      </c>
      <c r="AO3567" s="2">
        <v>11906.178665097301</v>
      </c>
      <c r="AP3567" s="2">
        <v>19244.447361914201</v>
      </c>
      <c r="AQ3567" s="2">
        <v>10741.8164676919</v>
      </c>
      <c r="AR3567" s="2">
        <v>13811.071432749201</v>
      </c>
      <c r="AS3567" s="2">
        <v>17927.120756390399</v>
      </c>
      <c r="AT3567" s="2">
        <v>19418.2805207413</v>
      </c>
      <c r="AU3567" s="2">
        <v>12098.085855191501</v>
      </c>
      <c r="AV3567" s="2">
        <v>6508.7574451099199</v>
      </c>
      <c r="AW3567" s="2">
        <v>10345.5831056891</v>
      </c>
      <c r="AX3567" s="2">
        <v>17100.732445194</v>
      </c>
    </row>
    <row r="3568" spans="1:50" x14ac:dyDescent="0.25">
      <c r="A3568" s="2" t="s">
        <v>23670</v>
      </c>
      <c r="B3568" s="2">
        <v>279.15834745286497</v>
      </c>
      <c r="C3568" s="2">
        <v>8.8532333333333302</v>
      </c>
      <c r="D3568" s="2" t="s">
        <v>51</v>
      </c>
      <c r="E3568" s="2" t="s">
        <v>23671</v>
      </c>
      <c r="F3568" s="2">
        <v>60203</v>
      </c>
      <c r="G3568" s="3" t="str">
        <f>HYPERLINK("https://cloud.oebiotech.com/#/lm/network/60203", "https://cloud.oebiotech.com/#/lm/network/60203")</f>
        <v>https://cloud.oebiotech.com/#/lm/network/60203</v>
      </c>
      <c r="H3568" s="2" t="s">
        <v>23672</v>
      </c>
      <c r="I3568" s="2">
        <v>91583</v>
      </c>
      <c r="J3568" s="2"/>
      <c r="K3568" s="2">
        <v>14543197</v>
      </c>
      <c r="L3568" s="2"/>
      <c r="M3568" s="2"/>
      <c r="N3568" s="2"/>
      <c r="O3568" s="2">
        <v>168564</v>
      </c>
      <c r="P3568" s="2"/>
      <c r="Q3568" s="2"/>
      <c r="R3568" s="2"/>
      <c r="S3568" s="2" t="s">
        <v>23673</v>
      </c>
      <c r="T3568" s="2" t="s">
        <v>23674</v>
      </c>
      <c r="U3568" s="2" t="s">
        <v>56</v>
      </c>
      <c r="V3568" s="2" t="s">
        <v>177</v>
      </c>
      <c r="W3568" s="2" t="s">
        <v>1996</v>
      </c>
      <c r="X3568" s="2" t="s">
        <v>83</v>
      </c>
      <c r="Y3568" s="2">
        <v>51.9</v>
      </c>
      <c r="Z3568" s="2">
        <v>0</v>
      </c>
      <c r="AA3568" s="2" t="s">
        <v>218</v>
      </c>
      <c r="AB3568" s="2" t="s">
        <v>4027</v>
      </c>
      <c r="AC3568" s="2">
        <v>-7.8380008375020704</v>
      </c>
      <c r="AD3568" s="2"/>
      <c r="AE3568" s="2">
        <v>0.154508952754288</v>
      </c>
      <c r="AF3568" s="2">
        <v>1249.1620498330001</v>
      </c>
      <c r="AG3568" s="2">
        <v>2413.7849436788802</v>
      </c>
      <c r="AH3568" s="4">
        <v>0.51751174150963797</v>
      </c>
      <c r="AI3568" s="4">
        <v>-0.95033649947238197</v>
      </c>
      <c r="AJ3568" s="4" t="s">
        <v>62</v>
      </c>
      <c r="AK3568" s="2">
        <v>0.45057088760144398</v>
      </c>
      <c r="AL3568" s="2">
        <v>0.70488520676937305</v>
      </c>
      <c r="AM3568" s="2">
        <v>919.84324440253295</v>
      </c>
      <c r="AN3568" s="2">
        <v>882.92850073462796</v>
      </c>
      <c r="AO3568" s="2">
        <v>1513.38447549681</v>
      </c>
      <c r="AP3568" s="2">
        <v>1332.9888049388401</v>
      </c>
      <c r="AQ3568" s="2">
        <v>965.80911083618196</v>
      </c>
      <c r="AR3568" s="2">
        <v>1880.01816258902</v>
      </c>
      <c r="AS3568" s="2">
        <v>1083.1335704737101</v>
      </c>
      <c r="AT3568" s="2">
        <v>456.642323726965</v>
      </c>
      <c r="AU3568" s="2">
        <v>1175.2551212697399</v>
      </c>
      <c r="AV3568" s="2">
        <v>1456.9557692514099</v>
      </c>
      <c r="AW3568" s="2">
        <v>9744.8656148610007</v>
      </c>
      <c r="AX3568" s="2">
        <v>565.857262490474</v>
      </c>
    </row>
    <row r="3569" spans="1:50" x14ac:dyDescent="0.25">
      <c r="A3569" s="2" t="s">
        <v>23675</v>
      </c>
      <c r="B3569" s="2">
        <v>215.12833181718099</v>
      </c>
      <c r="C3569" s="2">
        <v>6.3253166666666703</v>
      </c>
      <c r="D3569" s="2" t="s">
        <v>51</v>
      </c>
      <c r="E3569" s="2" t="s">
        <v>23676</v>
      </c>
      <c r="F3569" s="2">
        <v>60646</v>
      </c>
      <c r="G3569" s="3" t="str">
        <f>HYPERLINK("https://cloud.oebiotech.com/#/lm/network/60646", "https://cloud.oebiotech.com/#/lm/network/60646")</f>
        <v>https://cloud.oebiotech.com/#/lm/network/60646</v>
      </c>
      <c r="H3569" s="2" t="s">
        <v>23677</v>
      </c>
      <c r="I3569" s="2">
        <v>91980</v>
      </c>
      <c r="J3569" s="2"/>
      <c r="K3569" s="2">
        <v>73815131</v>
      </c>
      <c r="L3569" s="2"/>
      <c r="M3569" s="2"/>
      <c r="N3569" s="2"/>
      <c r="O3569" s="2"/>
      <c r="P3569" s="2"/>
      <c r="Q3569" s="2"/>
      <c r="R3569" s="2" t="s">
        <v>23678</v>
      </c>
      <c r="S3569" s="2" t="s">
        <v>23679</v>
      </c>
      <c r="T3569" s="2" t="s">
        <v>23680</v>
      </c>
      <c r="U3569" s="2" t="s">
        <v>331</v>
      </c>
      <c r="V3569" s="2" t="s">
        <v>332</v>
      </c>
      <c r="W3569" s="2" t="s">
        <v>519</v>
      </c>
      <c r="X3569" s="2" t="s">
        <v>83</v>
      </c>
      <c r="Y3569" s="2">
        <v>52.9</v>
      </c>
      <c r="Z3569" s="2">
        <v>0</v>
      </c>
      <c r="AA3569" s="2" t="s">
        <v>218</v>
      </c>
      <c r="AB3569" s="2" t="s">
        <v>22128</v>
      </c>
      <c r="AC3569" s="2">
        <v>-3.2379180491367299</v>
      </c>
      <c r="AD3569" s="2"/>
      <c r="AE3569" s="2">
        <v>0.15445730589686599</v>
      </c>
      <c r="AF3569" s="2">
        <v>2687.1801873129298</v>
      </c>
      <c r="AG3569" s="2">
        <v>1661.72128487848</v>
      </c>
      <c r="AH3569" s="5">
        <v>1.6171064376234701</v>
      </c>
      <c r="AI3569" s="5">
        <v>0.69341463983686202</v>
      </c>
      <c r="AJ3569" s="5" t="s">
        <v>139</v>
      </c>
      <c r="AK3569" s="2">
        <v>5.4505792077920001E-2</v>
      </c>
      <c r="AL3569" s="2">
        <v>0.31944806275085003</v>
      </c>
      <c r="AM3569" s="2">
        <v>1611.9968722298299</v>
      </c>
      <c r="AN3569" s="2">
        <v>3483.8473622875299</v>
      </c>
      <c r="AO3569" s="2">
        <v>2038.4585354488099</v>
      </c>
      <c r="AP3569" s="2">
        <v>2569.0984763003498</v>
      </c>
      <c r="AQ3569" s="2">
        <v>2525.14470834345</v>
      </c>
      <c r="AR3569" s="2">
        <v>3894.5351692676199</v>
      </c>
      <c r="AS3569" s="2">
        <v>2998.2465548822702</v>
      </c>
      <c r="AT3569" s="2">
        <v>1433.9331998414</v>
      </c>
      <c r="AU3569" s="2">
        <v>1043.41271088955</v>
      </c>
      <c r="AV3569" s="2">
        <v>1015.59557392787</v>
      </c>
      <c r="AW3569" s="2">
        <v>1354.9514064294499</v>
      </c>
      <c r="AX3569" s="2">
        <v>2124.1882633003202</v>
      </c>
    </row>
    <row r="3570" spans="1:50" x14ac:dyDescent="0.25">
      <c r="A3570" s="2" t="s">
        <v>23681</v>
      </c>
      <c r="B3570" s="2">
        <v>203.223724404932</v>
      </c>
      <c r="C3570" s="2">
        <v>0.56125000000000003</v>
      </c>
      <c r="D3570" s="2" t="s">
        <v>51</v>
      </c>
      <c r="E3570" s="2" t="s">
        <v>23682</v>
      </c>
      <c r="F3570" s="2">
        <v>47475</v>
      </c>
      <c r="G3570" s="3" t="str">
        <f>HYPERLINK("https://cloud.oebiotech.com/#/lm/network/47475", "https://cloud.oebiotech.com/#/lm/network/47475")</f>
        <v>https://cloud.oebiotech.com/#/lm/network/47475</v>
      </c>
      <c r="H3570" s="2" t="s">
        <v>23683</v>
      </c>
      <c r="I3570" s="2">
        <v>255</v>
      </c>
      <c r="J3570" s="2"/>
      <c r="K3570" s="2">
        <v>1103</v>
      </c>
      <c r="L3570" s="2" t="s">
        <v>23684</v>
      </c>
      <c r="M3570" s="2" t="s">
        <v>23685</v>
      </c>
      <c r="N3570" s="2" t="s">
        <v>23686</v>
      </c>
      <c r="O3570" s="2">
        <v>15746</v>
      </c>
      <c r="P3570" s="2"/>
      <c r="Q3570" s="2"/>
      <c r="R3570" s="2" t="s">
        <v>23687</v>
      </c>
      <c r="S3570" s="2" t="s">
        <v>23688</v>
      </c>
      <c r="T3570" s="2" t="s">
        <v>23689</v>
      </c>
      <c r="U3570" s="2" t="s">
        <v>119</v>
      </c>
      <c r="V3570" s="2" t="s">
        <v>120</v>
      </c>
      <c r="W3570" s="2" t="s">
        <v>1887</v>
      </c>
      <c r="X3570" s="2" t="s">
        <v>69</v>
      </c>
      <c r="Y3570" s="2">
        <v>54.8</v>
      </c>
      <c r="Z3570" s="2">
        <v>62.2</v>
      </c>
      <c r="AA3570" s="2" t="s">
        <v>259</v>
      </c>
      <c r="AB3570" s="2" t="s">
        <v>23690</v>
      </c>
      <c r="AC3570" s="2">
        <v>3.46718751068072</v>
      </c>
      <c r="AD3570" s="2"/>
      <c r="AE3570" s="2">
        <v>0.15443087735775801</v>
      </c>
      <c r="AF3570" s="2">
        <v>4055.01212462075</v>
      </c>
      <c r="AG3570" s="2">
        <v>2569.2963166201098</v>
      </c>
      <c r="AH3570" s="5">
        <v>1.5782578671015599</v>
      </c>
      <c r="AI3570" s="5">
        <v>0.658332942483841</v>
      </c>
      <c r="AJ3570" s="5" t="s">
        <v>139</v>
      </c>
      <c r="AK3570" s="2">
        <v>0.25216796910307199</v>
      </c>
      <c r="AL3570" s="2">
        <v>0.57559447618798099</v>
      </c>
      <c r="AM3570" s="2">
        <v>4198.1740274072399</v>
      </c>
      <c r="AN3570" s="2">
        <v>3011.8568449845002</v>
      </c>
      <c r="AO3570" s="2">
        <v>1948.26436147698</v>
      </c>
      <c r="AP3570" s="2">
        <v>9054.9288331631196</v>
      </c>
      <c r="AQ3570" s="2">
        <v>3966.2280634437898</v>
      </c>
      <c r="AR3570" s="2">
        <v>2150.6206172488801</v>
      </c>
      <c r="AS3570" s="2">
        <v>2974.5220326009799</v>
      </c>
      <c r="AT3570" s="2">
        <v>4658.7618726927603</v>
      </c>
      <c r="AU3570" s="2">
        <v>2390.9361707747698</v>
      </c>
      <c r="AV3570" s="2">
        <v>3478.39301052883</v>
      </c>
      <c r="AW3570" s="2">
        <v>775.42028613454499</v>
      </c>
      <c r="AX3570" s="2">
        <v>1137.7445269887501</v>
      </c>
    </row>
    <row r="3571" spans="1:50" x14ac:dyDescent="0.25">
      <c r="A3571" s="2" t="s">
        <v>23691</v>
      </c>
      <c r="B3571" s="2">
        <v>225.14920840224099</v>
      </c>
      <c r="C3571" s="2">
        <v>9.6238666666666699</v>
      </c>
      <c r="D3571" s="2" t="s">
        <v>51</v>
      </c>
      <c r="E3571" s="2" t="s">
        <v>23692</v>
      </c>
      <c r="F3571" s="2">
        <v>6038</v>
      </c>
      <c r="G3571" s="3" t="str">
        <f>HYPERLINK("https://cloud.oebiotech.com/#/lm/network/6038", "https://cloud.oebiotech.com/#/lm/network/6038")</f>
        <v>https://cloud.oebiotech.com/#/lm/network/6038</v>
      </c>
      <c r="H3571" s="2"/>
      <c r="I3571" s="2">
        <v>36515</v>
      </c>
      <c r="J3571" s="2" t="s">
        <v>23693</v>
      </c>
      <c r="K3571" s="2">
        <v>5283307</v>
      </c>
      <c r="L3571" s="2"/>
      <c r="M3571" s="2"/>
      <c r="N3571" s="2"/>
      <c r="O3571" s="2"/>
      <c r="P3571" s="2"/>
      <c r="Q3571" s="2"/>
      <c r="R3571" s="2"/>
      <c r="S3571" s="2" t="s">
        <v>23694</v>
      </c>
      <c r="T3571" s="2" t="s">
        <v>23695</v>
      </c>
      <c r="U3571" s="2" t="s">
        <v>56</v>
      </c>
      <c r="V3571" s="2" t="s">
        <v>145</v>
      </c>
      <c r="W3571" s="2" t="s">
        <v>146</v>
      </c>
      <c r="X3571" s="2" t="s">
        <v>83</v>
      </c>
      <c r="Y3571" s="2">
        <v>54.5</v>
      </c>
      <c r="Z3571" s="2">
        <v>0</v>
      </c>
      <c r="AA3571" s="2" t="s">
        <v>218</v>
      </c>
      <c r="AB3571" s="2" t="s">
        <v>8583</v>
      </c>
      <c r="AC3571" s="2">
        <v>-2.2743574797092898</v>
      </c>
      <c r="AD3571" s="2"/>
      <c r="AE3571" s="2">
        <v>0.15440841318376899</v>
      </c>
      <c r="AF3571" s="2">
        <v>2937.8140600399502</v>
      </c>
      <c r="AG3571" s="2">
        <v>2114.9587208739099</v>
      </c>
      <c r="AH3571" s="5">
        <v>1.38906449144597</v>
      </c>
      <c r="AI3571" s="5">
        <v>0.47411358227782902</v>
      </c>
      <c r="AJ3571" s="5" t="s">
        <v>139</v>
      </c>
      <c r="AK3571" s="2">
        <v>0.16303439181519999</v>
      </c>
      <c r="AL3571" s="2">
        <v>0.48434324587146799</v>
      </c>
      <c r="AM3571" s="2">
        <v>3261.8333651267799</v>
      </c>
      <c r="AN3571" s="2">
        <v>3325.80022730269</v>
      </c>
      <c r="AO3571" s="2">
        <v>2316.3627141983502</v>
      </c>
      <c r="AP3571" s="2">
        <v>2683.3209384530201</v>
      </c>
      <c r="AQ3571" s="2">
        <v>2202.9439999239798</v>
      </c>
      <c r="AR3571" s="2">
        <v>3836.6231152348801</v>
      </c>
      <c r="AS3571" s="2">
        <v>1729.35438979231</v>
      </c>
      <c r="AT3571" s="2">
        <v>1079.3894197680399</v>
      </c>
      <c r="AU3571" s="2">
        <v>4249.7505505682002</v>
      </c>
      <c r="AV3571" s="2">
        <v>1304.7074744286999</v>
      </c>
      <c r="AW3571" s="2">
        <v>2645.1784351583901</v>
      </c>
      <c r="AX3571" s="2">
        <v>1681.3720555278401</v>
      </c>
    </row>
    <row r="3572" spans="1:50" x14ac:dyDescent="0.25">
      <c r="A3572" s="2" t="s">
        <v>23696</v>
      </c>
      <c r="B3572" s="2">
        <v>510.39610460208098</v>
      </c>
      <c r="C3572" s="2">
        <v>14.626300000000001</v>
      </c>
      <c r="D3572" s="2" t="s">
        <v>51</v>
      </c>
      <c r="E3572" s="2" t="s">
        <v>23697</v>
      </c>
      <c r="F3572" s="2">
        <v>6448</v>
      </c>
      <c r="G3572" s="3" t="str">
        <f>HYPERLINK("https://cloud.oebiotech.com/#/lm/network/6448", "https://cloud.oebiotech.com/#/lm/network/6448")</f>
        <v>https://cloud.oebiotech.com/#/lm/network/6448</v>
      </c>
      <c r="H3572" s="2"/>
      <c r="I3572" s="2"/>
      <c r="J3572" s="2" t="s">
        <v>23698</v>
      </c>
      <c r="K3572" s="2">
        <v>10696478</v>
      </c>
      <c r="L3572" s="2"/>
      <c r="M3572" s="2"/>
      <c r="N3572" s="2"/>
      <c r="O3572" s="2"/>
      <c r="P3572" s="2"/>
      <c r="Q3572" s="2"/>
      <c r="R3572" s="2"/>
      <c r="S3572" s="2" t="s">
        <v>23699</v>
      </c>
      <c r="T3572" s="2" t="s">
        <v>23700</v>
      </c>
      <c r="U3572" s="2" t="s">
        <v>56</v>
      </c>
      <c r="V3572" s="2" t="s">
        <v>145</v>
      </c>
      <c r="W3572" s="2" t="s">
        <v>146</v>
      </c>
      <c r="X3572" s="2" t="s">
        <v>147</v>
      </c>
      <c r="Y3572" s="2">
        <v>38.299999999999997</v>
      </c>
      <c r="Z3572" s="2">
        <v>0.14699999999999999</v>
      </c>
      <c r="AA3572" s="2" t="s">
        <v>512</v>
      </c>
      <c r="AB3572" s="2" t="s">
        <v>23701</v>
      </c>
      <c r="AC3572" s="2">
        <v>3.9273553581281702</v>
      </c>
      <c r="AD3572" s="2"/>
      <c r="AE3572" s="2">
        <v>0.154333692768541</v>
      </c>
      <c r="AF3572" s="2">
        <v>32937.200191395001</v>
      </c>
      <c r="AG3572" s="2">
        <v>30659.692502777201</v>
      </c>
      <c r="AH3572" s="5">
        <v>1.07428344848571</v>
      </c>
      <c r="AI3572" s="5">
        <v>0.103374697021755</v>
      </c>
      <c r="AJ3572" s="5" t="s">
        <v>139</v>
      </c>
      <c r="AK3572" s="2">
        <v>0.79297433062975098</v>
      </c>
      <c r="AL3572" s="2">
        <v>0.90869006091559501</v>
      </c>
      <c r="AM3572" s="2">
        <v>40135.334914824103</v>
      </c>
      <c r="AN3572" s="2">
        <v>56815.059838108296</v>
      </c>
      <c r="AO3572" s="2">
        <v>28097.4832524884</v>
      </c>
      <c r="AP3572" s="2">
        <v>31394.4912314785</v>
      </c>
      <c r="AQ3572" s="2">
        <v>31135.862436041101</v>
      </c>
      <c r="AR3572" s="2">
        <v>10044.9694754297</v>
      </c>
      <c r="AS3572" s="2">
        <v>19068.197760882202</v>
      </c>
      <c r="AT3572" s="2">
        <v>31275.238691937699</v>
      </c>
      <c r="AU3572" s="2">
        <v>20147.675820638498</v>
      </c>
      <c r="AV3572" s="2">
        <v>57175.583025180102</v>
      </c>
      <c r="AW3572" s="2">
        <v>29790.2898232933</v>
      </c>
      <c r="AX3572" s="2">
        <v>26501.1698947314</v>
      </c>
    </row>
    <row r="3573" spans="1:50" x14ac:dyDescent="0.25">
      <c r="A3573" s="2" t="s">
        <v>23702</v>
      </c>
      <c r="B3573" s="2">
        <v>718.342309822841</v>
      </c>
      <c r="C3573" s="2">
        <v>4.46383333333333</v>
      </c>
      <c r="D3573" s="2" t="s">
        <v>51</v>
      </c>
      <c r="E3573" s="2" t="s">
        <v>23703</v>
      </c>
      <c r="F3573" s="2">
        <v>258295</v>
      </c>
      <c r="G3573" s="3" t="str">
        <f>HYPERLINK("https://cloud.oebiotech.com/#/lm/network/258295", "https://cloud.oebiotech.com/#/lm/network/258295")</f>
        <v>https://cloud.oebiotech.com/#/lm/network/258295</v>
      </c>
      <c r="H3573" s="2"/>
      <c r="I3573" s="2">
        <v>3688</v>
      </c>
      <c r="J3573" s="2"/>
      <c r="K3573" s="2">
        <v>6280</v>
      </c>
      <c r="L3573" s="2" t="s">
        <v>23704</v>
      </c>
      <c r="M3573" s="2"/>
      <c r="N3573" s="2"/>
      <c r="O3573" s="2"/>
      <c r="P3573" s="2"/>
      <c r="Q3573" s="2"/>
      <c r="R3573" s="2" t="s">
        <v>23705</v>
      </c>
      <c r="S3573" s="2" t="s">
        <v>23706</v>
      </c>
      <c r="T3573" s="2" t="s">
        <v>23707</v>
      </c>
      <c r="U3573" s="2" t="s">
        <v>56</v>
      </c>
      <c r="V3573" s="2" t="s">
        <v>283</v>
      </c>
      <c r="W3573" s="2" t="s">
        <v>5249</v>
      </c>
      <c r="X3573" s="2" t="s">
        <v>147</v>
      </c>
      <c r="Y3573" s="2">
        <v>36.1</v>
      </c>
      <c r="Z3573" s="2">
        <v>0</v>
      </c>
      <c r="AA3573" s="2" t="s">
        <v>218</v>
      </c>
      <c r="AB3573" s="2" t="s">
        <v>23708</v>
      </c>
      <c r="AC3573" s="2">
        <v>-3.12543926582926</v>
      </c>
      <c r="AD3573" s="2"/>
      <c r="AE3573" s="2">
        <v>0.15432071293151201</v>
      </c>
      <c r="AF3573" s="2">
        <v>3344.3654780922302</v>
      </c>
      <c r="AG3573" s="2">
        <v>1773.66725446896</v>
      </c>
      <c r="AH3573" s="5">
        <v>1.88556532780639</v>
      </c>
      <c r="AI3573" s="5">
        <v>0.914997135348109</v>
      </c>
      <c r="AJ3573" s="5" t="s">
        <v>139</v>
      </c>
      <c r="AK3573" s="2">
        <v>0.197921501370037</v>
      </c>
      <c r="AL3573" s="2">
        <v>0.52109088852944896</v>
      </c>
      <c r="AM3573" s="2">
        <v>1810.37661436905</v>
      </c>
      <c r="AN3573" s="2">
        <v>8.559877937157E-6</v>
      </c>
      <c r="AO3573" s="2">
        <v>3774.1960244501602</v>
      </c>
      <c r="AP3573" s="2">
        <v>5681.5143995427097</v>
      </c>
      <c r="AQ3573" s="2">
        <v>4642.0369593117002</v>
      </c>
      <c r="AR3573" s="2">
        <v>4158.0688623198603</v>
      </c>
      <c r="AS3573" s="2">
        <v>3156.1523065122401</v>
      </c>
      <c r="AT3573" s="2">
        <v>4724.4203099652004</v>
      </c>
      <c r="AU3573" s="2">
        <v>8.559877937157E-6</v>
      </c>
      <c r="AV3573" s="2">
        <v>8.559877937157E-6</v>
      </c>
      <c r="AW3573" s="2">
        <v>1667.3798280956701</v>
      </c>
      <c r="AX3573" s="2">
        <v>1094.0510651209099</v>
      </c>
    </row>
    <row r="3574" spans="1:50" x14ac:dyDescent="0.25">
      <c r="A3574" s="2" t="s">
        <v>23709</v>
      </c>
      <c r="B3574" s="2">
        <v>313.15547177858002</v>
      </c>
      <c r="C3574" s="2">
        <v>4.6280333333333301</v>
      </c>
      <c r="D3574" s="2" t="s">
        <v>51</v>
      </c>
      <c r="E3574" s="2" t="s">
        <v>23710</v>
      </c>
      <c r="F3574" s="2">
        <v>52240</v>
      </c>
      <c r="G3574" s="3" t="str">
        <f>HYPERLINK("https://cloud.oebiotech.com/#/lm/network/52240", "https://cloud.oebiotech.com/#/lm/network/52240")</f>
        <v>https://cloud.oebiotech.com/#/lm/network/52240</v>
      </c>
      <c r="H3574" s="2" t="s">
        <v>23711</v>
      </c>
      <c r="I3574" s="2"/>
      <c r="J3574" s="2"/>
      <c r="K3574" s="2">
        <v>6993089</v>
      </c>
      <c r="L3574" s="2"/>
      <c r="M3574" s="2"/>
      <c r="N3574" s="2"/>
      <c r="O3574" s="2">
        <v>72723</v>
      </c>
      <c r="P3574" s="2"/>
      <c r="Q3574" s="2"/>
      <c r="R3574" s="2" t="s">
        <v>23712</v>
      </c>
      <c r="S3574" s="2" t="s">
        <v>23713</v>
      </c>
      <c r="T3574" s="2" t="s">
        <v>23714</v>
      </c>
      <c r="U3574" s="2" t="s">
        <v>103</v>
      </c>
      <c r="V3574" s="2" t="s">
        <v>104</v>
      </c>
      <c r="W3574" s="2" t="s">
        <v>105</v>
      </c>
      <c r="X3574" s="2" t="s">
        <v>69</v>
      </c>
      <c r="Y3574" s="2">
        <v>59.1</v>
      </c>
      <c r="Z3574" s="2">
        <v>91.1</v>
      </c>
      <c r="AA3574" s="2" t="s">
        <v>60</v>
      </c>
      <c r="AB3574" s="2" t="s">
        <v>23715</v>
      </c>
      <c r="AC3574" s="2">
        <v>2.5719801571851901</v>
      </c>
      <c r="AD3574" s="2"/>
      <c r="AE3574" s="2">
        <v>0.154307862355992</v>
      </c>
      <c r="AF3574" s="2">
        <v>892306.27546348399</v>
      </c>
      <c r="AG3574" s="2">
        <v>840579.03422677994</v>
      </c>
      <c r="AH3574" s="5">
        <v>1.0615376295749299</v>
      </c>
      <c r="AI3574" s="5">
        <v>8.6155513060466496E-2</v>
      </c>
      <c r="AJ3574" s="5" t="s">
        <v>139</v>
      </c>
      <c r="AK3574" s="2">
        <v>0.91342250200702202</v>
      </c>
      <c r="AL3574" s="2">
        <v>0.96357309779951805</v>
      </c>
      <c r="AM3574" s="2">
        <v>188972.34223321901</v>
      </c>
      <c r="AN3574" s="2">
        <v>989069.458598183</v>
      </c>
      <c r="AO3574" s="2">
        <v>1053326.13947714</v>
      </c>
      <c r="AP3574" s="2">
        <v>404662.29591535201</v>
      </c>
      <c r="AQ3574" s="2">
        <v>1059584.4665401401</v>
      </c>
      <c r="AR3574" s="2">
        <v>1658222.9500168699</v>
      </c>
      <c r="AS3574" s="2">
        <v>1194301.2293682001</v>
      </c>
      <c r="AT3574" s="2">
        <v>615040.35107865103</v>
      </c>
      <c r="AU3574" s="2">
        <v>259233.33272539999</v>
      </c>
      <c r="AV3574" s="2">
        <v>136853.856269963</v>
      </c>
      <c r="AW3574" s="2">
        <v>116064.339250637</v>
      </c>
      <c r="AX3574" s="2">
        <v>2721981.0966678299</v>
      </c>
    </row>
    <row r="3575" spans="1:50" x14ac:dyDescent="0.25">
      <c r="A3575" s="2" t="s">
        <v>23716</v>
      </c>
      <c r="B3575" s="2">
        <v>723.54352273487098</v>
      </c>
      <c r="C3575" s="2">
        <v>13.5068</v>
      </c>
      <c r="D3575" s="2" t="s">
        <v>51</v>
      </c>
      <c r="E3575" s="2" t="s">
        <v>23717</v>
      </c>
      <c r="F3575" s="2">
        <v>243647</v>
      </c>
      <c r="G3575" s="3" t="str">
        <f>HYPERLINK("https://cloud.oebiotech.com/#/lm/network/243647", "https://cloud.oebiotech.com/#/lm/network/243647")</f>
        <v>https://cloud.oebiotech.com/#/lm/network/243647</v>
      </c>
      <c r="H3575" s="2" t="s">
        <v>23718</v>
      </c>
      <c r="I3575" s="2"/>
      <c r="J3575" s="2"/>
      <c r="K3575" s="2"/>
      <c r="L3575" s="2"/>
      <c r="M3575" s="2"/>
      <c r="N3575" s="2"/>
      <c r="O3575" s="2"/>
      <c r="P3575" s="2"/>
      <c r="Q3575" s="2"/>
      <c r="R3575" s="2"/>
      <c r="S3575" s="2" t="s">
        <v>23719</v>
      </c>
      <c r="T3575" s="2" t="s">
        <v>23720</v>
      </c>
      <c r="U3575" s="2" t="s">
        <v>56</v>
      </c>
      <c r="V3575" s="2" t="s">
        <v>344</v>
      </c>
      <c r="W3575" s="2" t="s">
        <v>1239</v>
      </c>
      <c r="X3575" s="2" t="s">
        <v>59</v>
      </c>
      <c r="Y3575" s="2">
        <v>47.9</v>
      </c>
      <c r="Z3575" s="2">
        <v>53.6</v>
      </c>
      <c r="AA3575" s="2" t="s">
        <v>23721</v>
      </c>
      <c r="AB3575" s="2" t="s">
        <v>23722</v>
      </c>
      <c r="AC3575" s="2">
        <v>-3.8432462906008102E-2</v>
      </c>
      <c r="AD3575" s="2"/>
      <c r="AE3575" s="2">
        <v>0.15416811929801999</v>
      </c>
      <c r="AF3575" s="2">
        <v>71457.846357799994</v>
      </c>
      <c r="AG3575" s="2">
        <v>68468.149730811696</v>
      </c>
      <c r="AH3575" s="5">
        <v>1.0436655092731799</v>
      </c>
      <c r="AI3575" s="5">
        <v>6.1659407851146902E-2</v>
      </c>
      <c r="AJ3575" s="5" t="s">
        <v>139</v>
      </c>
      <c r="AK3575" s="2">
        <v>0.85469231101632503</v>
      </c>
      <c r="AL3575" s="2">
        <v>0.93587389349021</v>
      </c>
      <c r="AM3575" s="2">
        <v>89275.344500746403</v>
      </c>
      <c r="AN3575" s="2">
        <v>66266.257860916201</v>
      </c>
      <c r="AO3575" s="2">
        <v>96591.307673399002</v>
      </c>
      <c r="AP3575" s="2">
        <v>62039.460275793397</v>
      </c>
      <c r="AQ3575" s="2">
        <v>79279.777619116998</v>
      </c>
      <c r="AR3575" s="2">
        <v>35294.930216828201</v>
      </c>
      <c r="AS3575" s="2">
        <v>19121.167294846498</v>
      </c>
      <c r="AT3575" s="2">
        <v>66265.839891134994</v>
      </c>
      <c r="AU3575" s="2">
        <v>48725.087770946797</v>
      </c>
      <c r="AV3575" s="2">
        <v>87419.745566640398</v>
      </c>
      <c r="AW3575" s="2">
        <v>111962.51756291999</v>
      </c>
      <c r="AX3575" s="2">
        <v>77314.540298381296</v>
      </c>
    </row>
    <row r="3576" spans="1:50" x14ac:dyDescent="0.25">
      <c r="A3576" s="2" t="s">
        <v>23723</v>
      </c>
      <c r="B3576" s="2">
        <v>178.009071280672</v>
      </c>
      <c r="C3576" s="2">
        <v>0.68110000000000004</v>
      </c>
      <c r="D3576" s="2" t="s">
        <v>51</v>
      </c>
      <c r="E3576" s="2" t="s">
        <v>23724</v>
      </c>
      <c r="F3576" s="2">
        <v>256503</v>
      </c>
      <c r="G3576" s="3" t="str">
        <f>HYPERLINK("https://cloud.oebiotech.com/#/lm/network/256503", "https://cloud.oebiotech.com/#/lm/network/256503")</f>
        <v>https://cloud.oebiotech.com/#/lm/network/256503</v>
      </c>
      <c r="H3576" s="2" t="s">
        <v>23725</v>
      </c>
      <c r="I3576" s="2">
        <v>439714</v>
      </c>
      <c r="J3576" s="2"/>
      <c r="K3576" s="2">
        <v>6033433</v>
      </c>
      <c r="L3576" s="2"/>
      <c r="M3576" s="2"/>
      <c r="N3576" s="2"/>
      <c r="O3576" s="2">
        <v>115156</v>
      </c>
      <c r="P3576" s="2"/>
      <c r="Q3576" s="2"/>
      <c r="R3576" s="2"/>
      <c r="S3576" s="2" t="s">
        <v>23726</v>
      </c>
      <c r="T3576" s="2" t="s">
        <v>23727</v>
      </c>
      <c r="U3576" s="2" t="s">
        <v>103</v>
      </c>
      <c r="V3576" s="2" t="s">
        <v>104</v>
      </c>
      <c r="W3576" s="2" t="s">
        <v>3415</v>
      </c>
      <c r="X3576" s="2" t="s">
        <v>147</v>
      </c>
      <c r="Y3576" s="2">
        <v>38.4</v>
      </c>
      <c r="Z3576" s="2">
        <v>0</v>
      </c>
      <c r="AA3576" s="2" t="s">
        <v>512</v>
      </c>
      <c r="AB3576" s="2" t="s">
        <v>23728</v>
      </c>
      <c r="AC3576" s="2">
        <v>2.49193232365573</v>
      </c>
      <c r="AD3576" s="2"/>
      <c r="AE3576" s="2">
        <v>0.15407629870685999</v>
      </c>
      <c r="AF3576" s="2">
        <v>9499.5571146293005</v>
      </c>
      <c r="AG3576" s="2">
        <v>10986.193800048801</v>
      </c>
      <c r="AH3576" s="4">
        <v>0.86468137077530105</v>
      </c>
      <c r="AI3576" s="4">
        <v>-0.20975948755686799</v>
      </c>
      <c r="AJ3576" s="4" t="s">
        <v>62</v>
      </c>
      <c r="AK3576" s="2">
        <v>0.63590554706916103</v>
      </c>
      <c r="AL3576" s="2">
        <v>0.82144717862262995</v>
      </c>
      <c r="AM3576" s="2">
        <v>3819.7868438584501</v>
      </c>
      <c r="AN3576" s="2">
        <v>13327.927253587</v>
      </c>
      <c r="AO3576" s="2">
        <v>10115.1795737868</v>
      </c>
      <c r="AP3576" s="2">
        <v>16227.4829656737</v>
      </c>
      <c r="AQ3576" s="2">
        <v>6865.1698004633299</v>
      </c>
      <c r="AR3576" s="2">
        <v>6641.7962504064899</v>
      </c>
      <c r="AS3576" s="2">
        <v>6070.95880260991</v>
      </c>
      <c r="AT3576" s="2">
        <v>11797.6652584397</v>
      </c>
      <c r="AU3576" s="2">
        <v>8168.3287526546101</v>
      </c>
      <c r="AV3576" s="2">
        <v>9521.7929780958493</v>
      </c>
      <c r="AW3576" s="2">
        <v>8093.8954609059101</v>
      </c>
      <c r="AX3576" s="2">
        <v>22264.521547586701</v>
      </c>
    </row>
    <row r="3577" spans="1:50" x14ac:dyDescent="0.25">
      <c r="A3577" s="2" t="s">
        <v>23729</v>
      </c>
      <c r="B3577" s="2">
        <v>187.108073355106</v>
      </c>
      <c r="C3577" s="2">
        <v>1.11228333333333</v>
      </c>
      <c r="D3577" s="2" t="s">
        <v>51</v>
      </c>
      <c r="E3577" s="2" t="s">
        <v>23730</v>
      </c>
      <c r="F3577" s="2">
        <v>54131</v>
      </c>
      <c r="G3577" s="3" t="str">
        <f>HYPERLINK("https://cloud.oebiotech.com/#/lm/network/54131", "https://cloud.oebiotech.com/#/lm/network/54131")</f>
        <v>https://cloud.oebiotech.com/#/lm/network/54131</v>
      </c>
      <c r="H3577" s="2" t="s">
        <v>23731</v>
      </c>
      <c r="I3577" s="2">
        <v>23707</v>
      </c>
      <c r="J3577" s="2"/>
      <c r="K3577" s="2">
        <v>6992637</v>
      </c>
      <c r="L3577" s="2"/>
      <c r="M3577" s="2"/>
      <c r="N3577" s="2"/>
      <c r="O3577" s="2">
        <v>75008</v>
      </c>
      <c r="P3577" s="2"/>
      <c r="Q3577" s="2"/>
      <c r="R3577" s="2" t="s">
        <v>23732</v>
      </c>
      <c r="S3577" s="2" t="s">
        <v>23733</v>
      </c>
      <c r="T3577" s="2" t="s">
        <v>23734</v>
      </c>
      <c r="U3577" s="2" t="s">
        <v>103</v>
      </c>
      <c r="V3577" s="2" t="s">
        <v>104</v>
      </c>
      <c r="W3577" s="2" t="s">
        <v>105</v>
      </c>
      <c r="X3577" s="2" t="s">
        <v>83</v>
      </c>
      <c r="Y3577" s="2">
        <v>51.7</v>
      </c>
      <c r="Z3577" s="2">
        <v>0</v>
      </c>
      <c r="AA3577" s="2" t="s">
        <v>163</v>
      </c>
      <c r="AB3577" s="2" t="s">
        <v>14061</v>
      </c>
      <c r="AC3577" s="2">
        <v>-3.94753199699639</v>
      </c>
      <c r="AD3577" s="2"/>
      <c r="AE3577" s="2">
        <v>0.154042539905034</v>
      </c>
      <c r="AF3577" s="2">
        <v>1786.1540623072999</v>
      </c>
      <c r="AG3577" s="2">
        <v>467.38217068630303</v>
      </c>
      <c r="AH3577" s="5">
        <v>3.8216136051670802</v>
      </c>
      <c r="AI3577" s="5">
        <v>1.93418191800936</v>
      </c>
      <c r="AJ3577" s="5" t="s">
        <v>139</v>
      </c>
      <c r="AK3577" s="2">
        <v>0.216629502355069</v>
      </c>
      <c r="AL3577" s="2">
        <v>0.54190576078505404</v>
      </c>
      <c r="AM3577" s="2">
        <v>1690.7176339672001</v>
      </c>
      <c r="AN3577" s="2">
        <v>8.559877937157E-6</v>
      </c>
      <c r="AO3577" s="2">
        <v>520.55946727795697</v>
      </c>
      <c r="AP3577" s="2">
        <v>200.331794973195</v>
      </c>
      <c r="AQ3577" s="2">
        <v>6347.7553870474203</v>
      </c>
      <c r="AR3577" s="2">
        <v>1957.5600820181401</v>
      </c>
      <c r="AS3577" s="2">
        <v>8.559877937157E-6</v>
      </c>
      <c r="AT3577" s="2">
        <v>8.559877937157E-6</v>
      </c>
      <c r="AU3577" s="2">
        <v>520.927930800274</v>
      </c>
      <c r="AV3577" s="2">
        <v>1513.3640406644899</v>
      </c>
      <c r="AW3577" s="2">
        <v>8.559877937157E-6</v>
      </c>
      <c r="AX3577" s="2">
        <v>770.00102697342004</v>
      </c>
    </row>
    <row r="3578" spans="1:50" x14ac:dyDescent="0.25">
      <c r="A3578" s="2" t="s">
        <v>23735</v>
      </c>
      <c r="B3578" s="2">
        <v>321.09561428646401</v>
      </c>
      <c r="C3578" s="2">
        <v>4.9764666666666697</v>
      </c>
      <c r="D3578" s="2" t="s">
        <v>51</v>
      </c>
      <c r="E3578" s="2" t="s">
        <v>23736</v>
      </c>
      <c r="F3578" s="2">
        <v>256997</v>
      </c>
      <c r="G3578" s="3" t="str">
        <f>HYPERLINK("https://cloud.oebiotech.com/#/lm/network/256997", "https://cloud.oebiotech.com/#/lm/network/256997")</f>
        <v>https://cloud.oebiotech.com/#/lm/network/256997</v>
      </c>
      <c r="H3578" s="2" t="s">
        <v>23737</v>
      </c>
      <c r="I3578" s="2"/>
      <c r="J3578" s="2"/>
      <c r="K3578" s="2">
        <v>53859007</v>
      </c>
      <c r="L3578" s="2"/>
      <c r="M3578" s="2"/>
      <c r="N3578" s="2"/>
      <c r="O3578" s="2"/>
      <c r="P3578" s="2"/>
      <c r="Q3578" s="2"/>
      <c r="R3578" s="2"/>
      <c r="S3578" s="2" t="s">
        <v>23738</v>
      </c>
      <c r="T3578" s="2" t="s">
        <v>23739</v>
      </c>
      <c r="U3578" s="2" t="s">
        <v>540</v>
      </c>
      <c r="V3578" s="2" t="s">
        <v>3291</v>
      </c>
      <c r="W3578" s="2" t="s">
        <v>3292</v>
      </c>
      <c r="X3578" s="2" t="s">
        <v>83</v>
      </c>
      <c r="Y3578" s="2">
        <v>49</v>
      </c>
      <c r="Z3578" s="2">
        <v>0.59699999999999998</v>
      </c>
      <c r="AA3578" s="2" t="s">
        <v>259</v>
      </c>
      <c r="AB3578" s="2" t="s">
        <v>23740</v>
      </c>
      <c r="AC3578" s="2">
        <v>-3.9520045782793201</v>
      </c>
      <c r="AD3578" s="2"/>
      <c r="AE3578" s="2">
        <v>0.15398279894431299</v>
      </c>
      <c r="AF3578" s="2">
        <v>1897.9018000032499</v>
      </c>
      <c r="AG3578" s="2">
        <v>2574.1551650094598</v>
      </c>
      <c r="AH3578" s="4">
        <v>0.73729114149817498</v>
      </c>
      <c r="AI3578" s="4">
        <v>-0.43969367169415802</v>
      </c>
      <c r="AJ3578" s="4" t="s">
        <v>62</v>
      </c>
      <c r="AK3578" s="2">
        <v>6.3708228850351406E-2</v>
      </c>
      <c r="AL3578" s="2">
        <v>0.33620514352694297</v>
      </c>
      <c r="AM3578" s="2">
        <v>1999.47856240136</v>
      </c>
      <c r="AN3578" s="2">
        <v>2181.7096520203299</v>
      </c>
      <c r="AO3578" s="2">
        <v>1408.08534351565</v>
      </c>
      <c r="AP3578" s="2">
        <v>1582.2936140857901</v>
      </c>
      <c r="AQ3578" s="2">
        <v>2120.5149748989602</v>
      </c>
      <c r="AR3578" s="2">
        <v>2095.3286530974001</v>
      </c>
      <c r="AS3578" s="2">
        <v>1876.9504021524799</v>
      </c>
      <c r="AT3578" s="2">
        <v>2506.4412305025298</v>
      </c>
      <c r="AU3578" s="2">
        <v>1574.08373625638</v>
      </c>
      <c r="AV3578" s="2">
        <v>3371.35953925271</v>
      </c>
      <c r="AW3578" s="2">
        <v>3205.8231244909998</v>
      </c>
      <c r="AX3578" s="2">
        <v>2910.2729574016698</v>
      </c>
    </row>
    <row r="3579" spans="1:50" x14ac:dyDescent="0.25">
      <c r="A3579" s="2" t="s">
        <v>23741</v>
      </c>
      <c r="B3579" s="2">
        <v>159.10170728009999</v>
      </c>
      <c r="C3579" s="2">
        <v>5.8194666666666697</v>
      </c>
      <c r="D3579" s="2" t="s">
        <v>51</v>
      </c>
      <c r="E3579" s="2" t="s">
        <v>23742</v>
      </c>
      <c r="F3579" s="2">
        <v>1905</v>
      </c>
      <c r="G3579" s="3" t="str">
        <f>HYPERLINK("https://cloud.oebiotech.com/#/lm/network/1905", "https://cloud.oebiotech.com/#/lm/network/1905")</f>
        <v>https://cloud.oebiotech.com/#/lm/network/1905</v>
      </c>
      <c r="H3579" s="2" t="s">
        <v>23743</v>
      </c>
      <c r="I3579" s="2"/>
      <c r="J3579" s="2" t="s">
        <v>23744</v>
      </c>
      <c r="K3579" s="2">
        <v>11367166</v>
      </c>
      <c r="L3579" s="2"/>
      <c r="M3579" s="2"/>
      <c r="N3579" s="2"/>
      <c r="O3579" s="2">
        <v>37100</v>
      </c>
      <c r="P3579" s="2"/>
      <c r="Q3579" s="2"/>
      <c r="R3579" s="2" t="s">
        <v>23745</v>
      </c>
      <c r="S3579" s="2" t="s">
        <v>23746</v>
      </c>
      <c r="T3579" s="2" t="s">
        <v>23747</v>
      </c>
      <c r="U3579" s="2" t="s">
        <v>103</v>
      </c>
      <c r="V3579" s="2" t="s">
        <v>377</v>
      </c>
      <c r="W3579" s="2" t="s">
        <v>378</v>
      </c>
      <c r="X3579" s="2" t="s">
        <v>83</v>
      </c>
      <c r="Y3579" s="2">
        <v>50.6</v>
      </c>
      <c r="Z3579" s="2">
        <v>36.799999999999997</v>
      </c>
      <c r="AA3579" s="2" t="s">
        <v>163</v>
      </c>
      <c r="AB3579" s="2" t="s">
        <v>23748</v>
      </c>
      <c r="AC3579" s="2">
        <v>-6.0000002092180704</v>
      </c>
      <c r="AD3579" s="2"/>
      <c r="AE3579" s="2">
        <v>0.15397558250731699</v>
      </c>
      <c r="AF3579" s="2">
        <v>12279.8833315825</v>
      </c>
      <c r="AG3579" s="2">
        <v>10653.5804284274</v>
      </c>
      <c r="AH3579" s="5">
        <v>1.1526531774065001</v>
      </c>
      <c r="AI3579" s="5">
        <v>0.20495848479811801</v>
      </c>
      <c r="AJ3579" s="5" t="s">
        <v>139</v>
      </c>
      <c r="AK3579" s="2">
        <v>0.356088887627872</v>
      </c>
      <c r="AL3579" s="2">
        <v>0.64439059109587704</v>
      </c>
      <c r="AM3579" s="2">
        <v>11303.7138997048</v>
      </c>
      <c r="AN3579" s="2">
        <v>15043.424030840901</v>
      </c>
      <c r="AO3579" s="2">
        <v>11450.6867463443</v>
      </c>
      <c r="AP3579" s="2">
        <v>10681.0043192024</v>
      </c>
      <c r="AQ3579" s="2">
        <v>11915.390022302299</v>
      </c>
      <c r="AR3579" s="2">
        <v>13285.0809711003</v>
      </c>
      <c r="AS3579" s="2">
        <v>9444.6404275805799</v>
      </c>
      <c r="AT3579" s="2">
        <v>7049.0152986192597</v>
      </c>
      <c r="AU3579" s="2">
        <v>12216.0998563923</v>
      </c>
      <c r="AV3579" s="2">
        <v>6551.8035961216501</v>
      </c>
      <c r="AW3579" s="2">
        <v>16678.239671187799</v>
      </c>
      <c r="AX3579" s="2">
        <v>11981.683720662601</v>
      </c>
    </row>
    <row r="3580" spans="1:50" x14ac:dyDescent="0.25">
      <c r="A3580" s="2" t="s">
        <v>23749</v>
      </c>
      <c r="B3580" s="2">
        <v>219.196055259307</v>
      </c>
      <c r="C3580" s="2">
        <v>10.2727</v>
      </c>
      <c r="D3580" s="2" t="s">
        <v>51</v>
      </c>
      <c r="E3580" s="2" t="s">
        <v>23750</v>
      </c>
      <c r="F3580" s="2">
        <v>63429</v>
      </c>
      <c r="G3580" s="3" t="str">
        <f>HYPERLINK("https://cloud.oebiotech.com/#/lm/network/63429", "https://cloud.oebiotech.com/#/lm/network/63429")</f>
        <v>https://cloud.oebiotech.com/#/lm/network/63429</v>
      </c>
      <c r="H3580" s="2" t="s">
        <v>23751</v>
      </c>
      <c r="I3580" s="2">
        <v>94750</v>
      </c>
      <c r="J3580" s="2"/>
      <c r="K3580" s="2">
        <v>8863</v>
      </c>
      <c r="L3580" s="2"/>
      <c r="M3580" s="2"/>
      <c r="N3580" s="2"/>
      <c r="O3580" s="2"/>
      <c r="P3580" s="2"/>
      <c r="Q3580" s="2"/>
      <c r="R3580" s="2" t="s">
        <v>23752</v>
      </c>
      <c r="S3580" s="2" t="s">
        <v>23753</v>
      </c>
      <c r="T3580" s="2" t="s">
        <v>23754</v>
      </c>
      <c r="U3580" s="2" t="s">
        <v>331</v>
      </c>
      <c r="V3580" s="2" t="s">
        <v>332</v>
      </c>
      <c r="W3580" s="2" t="s">
        <v>519</v>
      </c>
      <c r="X3580" s="2" t="s">
        <v>147</v>
      </c>
      <c r="Y3580" s="2">
        <v>38.299999999999997</v>
      </c>
      <c r="Z3580" s="2">
        <v>0</v>
      </c>
      <c r="AA3580" s="2" t="s">
        <v>259</v>
      </c>
      <c r="AB3580" s="2" t="s">
        <v>23755</v>
      </c>
      <c r="AC3580" s="2">
        <v>2.67720628729354</v>
      </c>
      <c r="AD3580" s="2"/>
      <c r="AE3580" s="2">
        <v>0.15389726508126</v>
      </c>
      <c r="AF3580" s="2">
        <v>1855.1070948206</v>
      </c>
      <c r="AG3580" s="2">
        <v>2639.9835360245902</v>
      </c>
      <c r="AH3580" s="4">
        <v>0.70269646363556804</v>
      </c>
      <c r="AI3580" s="4">
        <v>-0.50902645676145197</v>
      </c>
      <c r="AJ3580" s="4" t="s">
        <v>62</v>
      </c>
      <c r="AK3580" s="2">
        <v>2.7386744623489601E-2</v>
      </c>
      <c r="AL3580" s="2">
        <v>0.25505404741882998</v>
      </c>
      <c r="AM3580" s="2">
        <v>1754.1946512018601</v>
      </c>
      <c r="AN3580" s="2">
        <v>2025.01779361131</v>
      </c>
      <c r="AO3580" s="2">
        <v>1586.1552689108401</v>
      </c>
      <c r="AP3580" s="2">
        <v>2082.2424971298601</v>
      </c>
      <c r="AQ3580" s="2">
        <v>2170.5807441746401</v>
      </c>
      <c r="AR3580" s="2">
        <v>1512.4516138951001</v>
      </c>
      <c r="AS3580" s="2">
        <v>1826.16161312656</v>
      </c>
      <c r="AT3580" s="2">
        <v>2950.3214847824502</v>
      </c>
      <c r="AU3580" s="2">
        <v>3273.8387378418302</v>
      </c>
      <c r="AV3580" s="2">
        <v>1975.8983436439</v>
      </c>
      <c r="AW3580" s="2">
        <v>2336.1721539302798</v>
      </c>
      <c r="AX3580" s="2">
        <v>3477.5088828225298</v>
      </c>
    </row>
    <row r="3581" spans="1:50" x14ac:dyDescent="0.25">
      <c r="A3581" s="2" t="s">
        <v>23756</v>
      </c>
      <c r="B3581" s="2">
        <v>352.28560125854199</v>
      </c>
      <c r="C3581" s="2">
        <v>14.459250000000001</v>
      </c>
      <c r="D3581" s="2" t="s">
        <v>51</v>
      </c>
      <c r="E3581" s="2" t="s">
        <v>23757</v>
      </c>
      <c r="F3581" s="2">
        <v>207653</v>
      </c>
      <c r="G3581" s="3" t="str">
        <f>HYPERLINK("https://cloud.oebiotech.com/#/lm/network/207653", "https://cloud.oebiotech.com/#/lm/network/207653")</f>
        <v>https://cloud.oebiotech.com/#/lm/network/207653</v>
      </c>
      <c r="H3581" s="2" t="s">
        <v>23758</v>
      </c>
      <c r="I3581" s="2"/>
      <c r="J3581" s="2"/>
      <c r="K3581" s="2">
        <v>129883173</v>
      </c>
      <c r="L3581" s="2"/>
      <c r="M3581" s="2"/>
      <c r="N3581" s="2"/>
      <c r="O3581" s="2"/>
      <c r="P3581" s="2"/>
      <c r="Q3581" s="2"/>
      <c r="R3581" s="2"/>
      <c r="S3581" s="2" t="s">
        <v>23759</v>
      </c>
      <c r="T3581" s="2" t="s">
        <v>23760</v>
      </c>
      <c r="U3581" s="2" t="s">
        <v>56</v>
      </c>
      <c r="V3581" s="2" t="s">
        <v>145</v>
      </c>
      <c r="W3581" s="2" t="s">
        <v>231</v>
      </c>
      <c r="X3581" s="2" t="s">
        <v>59</v>
      </c>
      <c r="Y3581" s="2">
        <v>40.9</v>
      </c>
      <c r="Z3581" s="2">
        <v>49.8</v>
      </c>
      <c r="AA3581" s="2" t="s">
        <v>156</v>
      </c>
      <c r="AB3581" s="2" t="s">
        <v>23761</v>
      </c>
      <c r="AC3581" s="2">
        <v>2.6558540075720201</v>
      </c>
      <c r="AD3581" s="2"/>
      <c r="AE3581" s="2">
        <v>0.15387288097891699</v>
      </c>
      <c r="AF3581" s="2">
        <v>27696.767246552699</v>
      </c>
      <c r="AG3581" s="2">
        <v>30154.255671029099</v>
      </c>
      <c r="AH3581" s="4">
        <v>0.91850276620034699</v>
      </c>
      <c r="AI3581" s="4">
        <v>-0.122644028665041</v>
      </c>
      <c r="AJ3581" s="4" t="s">
        <v>62</v>
      </c>
      <c r="AK3581" s="2">
        <v>0.54918929657742899</v>
      </c>
      <c r="AL3581" s="2">
        <v>0.77131409273705298</v>
      </c>
      <c r="AM3581" s="2">
        <v>27831.761455624899</v>
      </c>
      <c r="AN3581" s="2">
        <v>38104.177055312502</v>
      </c>
      <c r="AO3581" s="2">
        <v>30944.578064155401</v>
      </c>
      <c r="AP3581" s="2">
        <v>23620.134717628898</v>
      </c>
      <c r="AQ3581" s="2">
        <v>25231.983551138601</v>
      </c>
      <c r="AR3581" s="2">
        <v>20447.9686354558</v>
      </c>
      <c r="AS3581" s="2">
        <v>24995.2629251217</v>
      </c>
      <c r="AT3581" s="2">
        <v>29126.462297210099</v>
      </c>
      <c r="AU3581" s="2">
        <v>18959.252126930998</v>
      </c>
      <c r="AV3581" s="2">
        <v>34944.404618010703</v>
      </c>
      <c r="AW3581" s="2">
        <v>33122.763856941601</v>
      </c>
      <c r="AX3581" s="2">
        <v>39777.3882019593</v>
      </c>
    </row>
    <row r="3582" spans="1:50" x14ac:dyDescent="0.25">
      <c r="A3582" s="2" t="s">
        <v>23762</v>
      </c>
      <c r="B3582" s="2">
        <v>751.25221468666598</v>
      </c>
      <c r="C3582" s="2">
        <v>4.6654666666666698</v>
      </c>
      <c r="D3582" s="2" t="s">
        <v>51</v>
      </c>
      <c r="E3582" s="2" t="s">
        <v>23763</v>
      </c>
      <c r="F3582" s="2">
        <v>274680</v>
      </c>
      <c r="G3582" s="3" t="str">
        <f>HYPERLINK("https://cloud.oebiotech.com/#/lm/network/274680", "https://cloud.oebiotech.com/#/lm/network/274680")</f>
        <v>https://cloud.oebiotech.com/#/lm/network/274680</v>
      </c>
      <c r="H3582" s="2"/>
      <c r="I3582" s="2">
        <v>64856</v>
      </c>
      <c r="J3582" s="2"/>
      <c r="K3582" s="2">
        <v>6610292</v>
      </c>
      <c r="L3582" s="2"/>
      <c r="M3582" s="2"/>
      <c r="N3582" s="2"/>
      <c r="O3582" s="2"/>
      <c r="P3582" s="2"/>
      <c r="Q3582" s="2"/>
      <c r="R3582" s="2" t="s">
        <v>23764</v>
      </c>
      <c r="S3582" s="2" t="s">
        <v>23765</v>
      </c>
      <c r="T3582" s="2" t="s">
        <v>23766</v>
      </c>
      <c r="U3582" s="2" t="s">
        <v>103</v>
      </c>
      <c r="V3582" s="2" t="s">
        <v>104</v>
      </c>
      <c r="W3582" s="2" t="s">
        <v>105</v>
      </c>
      <c r="X3582" s="2" t="s">
        <v>147</v>
      </c>
      <c r="Y3582" s="2">
        <v>37.1</v>
      </c>
      <c r="Z3582" s="2">
        <v>0</v>
      </c>
      <c r="AA3582" s="2" t="s">
        <v>478</v>
      </c>
      <c r="AB3582" s="2" t="s">
        <v>23767</v>
      </c>
      <c r="AC3582" s="2">
        <v>-1.7987294489130301</v>
      </c>
      <c r="AD3582" s="2"/>
      <c r="AE3582" s="2">
        <v>0.15376559135852699</v>
      </c>
      <c r="AF3582" s="2">
        <v>368.28084574618703</v>
      </c>
      <c r="AG3582" s="2">
        <v>1564.56128458182</v>
      </c>
      <c r="AH3582" s="4">
        <v>0.23538921062118801</v>
      </c>
      <c r="AI3582" s="4">
        <v>-2.0868799008493202</v>
      </c>
      <c r="AJ3582" s="4" t="s">
        <v>62</v>
      </c>
      <c r="AK3582" s="2">
        <v>0.32407826977826898</v>
      </c>
      <c r="AL3582" s="2">
        <v>0.62992073899545697</v>
      </c>
      <c r="AM3582" s="2">
        <v>8.559877937157E-6</v>
      </c>
      <c r="AN3582" s="2">
        <v>8.559877937157E-6</v>
      </c>
      <c r="AO3582" s="2">
        <v>8.559877937157E-6</v>
      </c>
      <c r="AP3582" s="2">
        <v>8.559877937157E-6</v>
      </c>
      <c r="AQ3582" s="2">
        <v>8.559877937157E-6</v>
      </c>
      <c r="AR3582" s="2">
        <v>2209.68503167773</v>
      </c>
      <c r="AS3582" s="2">
        <v>6491.7544446402999</v>
      </c>
      <c r="AT3582" s="2">
        <v>2895.6132286111201</v>
      </c>
      <c r="AU3582" s="2">
        <v>8.559877937157E-6</v>
      </c>
      <c r="AV3582" s="2">
        <v>8.559877937157E-6</v>
      </c>
      <c r="AW3582" s="2">
        <v>8.559877937157E-6</v>
      </c>
      <c r="AX3582" s="2">
        <v>8.559877937157E-6</v>
      </c>
    </row>
    <row r="3583" spans="1:50" x14ac:dyDescent="0.25">
      <c r="A3583" s="2" t="s">
        <v>23768</v>
      </c>
      <c r="B3583" s="2">
        <v>121.10164611296899</v>
      </c>
      <c r="C3583" s="2">
        <v>9.6451499999999992</v>
      </c>
      <c r="D3583" s="2" t="s">
        <v>51</v>
      </c>
      <c r="E3583" s="2" t="s">
        <v>23769</v>
      </c>
      <c r="F3583" s="2">
        <v>81883</v>
      </c>
      <c r="G3583" s="3" t="str">
        <f>HYPERLINK("https://cloud.oebiotech.com/#/lm/network/81883", "https://cloud.oebiotech.com/#/lm/network/81883")</f>
        <v>https://cloud.oebiotech.com/#/lm/network/81883</v>
      </c>
      <c r="H3583" s="2" t="s">
        <v>23770</v>
      </c>
      <c r="I3583" s="2">
        <v>70123</v>
      </c>
      <c r="J3583" s="2"/>
      <c r="K3583" s="2">
        <v>12100</v>
      </c>
      <c r="L3583" s="2" t="s">
        <v>23771</v>
      </c>
      <c r="M3583" s="2"/>
      <c r="N3583" s="2"/>
      <c r="O3583" s="2">
        <v>77512</v>
      </c>
      <c r="P3583" s="2"/>
      <c r="Q3583" s="2"/>
      <c r="R3583" s="2" t="s">
        <v>23772</v>
      </c>
      <c r="S3583" s="2" t="s">
        <v>23773</v>
      </c>
      <c r="T3583" s="2" t="s">
        <v>23774</v>
      </c>
      <c r="U3583" s="2" t="s">
        <v>610</v>
      </c>
      <c r="V3583" s="2" t="s">
        <v>611</v>
      </c>
      <c r="W3583" s="2" t="s">
        <v>6372</v>
      </c>
      <c r="X3583" s="2" t="s">
        <v>83</v>
      </c>
      <c r="Y3583" s="2">
        <v>42</v>
      </c>
      <c r="Z3583" s="2">
        <v>0</v>
      </c>
      <c r="AA3583" s="2" t="s">
        <v>259</v>
      </c>
      <c r="AB3583" s="2" t="s">
        <v>23775</v>
      </c>
      <c r="AC3583" s="2">
        <v>3.9077432548904101</v>
      </c>
      <c r="AD3583" s="2"/>
      <c r="AE3583" s="2">
        <v>0.15370839358663399</v>
      </c>
      <c r="AF3583" s="2">
        <v>3395.4610532695601</v>
      </c>
      <c r="AG3583" s="2">
        <v>2827.9916348423699</v>
      </c>
      <c r="AH3583" s="5">
        <v>1.2006616326002</v>
      </c>
      <c r="AI3583" s="5">
        <v>0.26382963168520901</v>
      </c>
      <c r="AJ3583" s="5" t="s">
        <v>139</v>
      </c>
      <c r="AK3583" s="2">
        <v>0.19280568612746901</v>
      </c>
      <c r="AL3583" s="2">
        <v>0.51702050946451295</v>
      </c>
      <c r="AM3583" s="2">
        <v>5152.6040597217498</v>
      </c>
      <c r="AN3583" s="2">
        <v>3399.41891055318</v>
      </c>
      <c r="AO3583" s="2">
        <v>3197.4845018935898</v>
      </c>
      <c r="AP3583" s="2">
        <v>3062.5967311743402</v>
      </c>
      <c r="AQ3583" s="2">
        <v>3021.23060733693</v>
      </c>
      <c r="AR3583" s="2">
        <v>2539.43150893756</v>
      </c>
      <c r="AS3583" s="2">
        <v>3138.0165143863701</v>
      </c>
      <c r="AT3583" s="2">
        <v>2682.83660836229</v>
      </c>
      <c r="AU3583" s="2">
        <v>3461.6884101957298</v>
      </c>
      <c r="AV3583" s="2">
        <v>2306.6491539583499</v>
      </c>
      <c r="AW3583" s="2">
        <v>2603.4912837894799</v>
      </c>
      <c r="AX3583" s="2">
        <v>2775.267838362</v>
      </c>
    </row>
    <row r="3584" spans="1:50" x14ac:dyDescent="0.25">
      <c r="A3584" s="2" t="s">
        <v>23776</v>
      </c>
      <c r="B3584" s="2">
        <v>203.18007596060599</v>
      </c>
      <c r="C3584" s="2">
        <v>11.472666666666701</v>
      </c>
      <c r="D3584" s="2" t="s">
        <v>51</v>
      </c>
      <c r="E3584" s="2" t="s">
        <v>23777</v>
      </c>
      <c r="F3584" s="2">
        <v>61636</v>
      </c>
      <c r="G3584" s="3" t="str">
        <f>HYPERLINK("https://cloud.oebiotech.com/#/lm/network/61636", "https://cloud.oebiotech.com/#/lm/network/61636")</f>
        <v>https://cloud.oebiotech.com/#/lm/network/61636</v>
      </c>
      <c r="H3584" s="2" t="s">
        <v>23778</v>
      </c>
      <c r="I3584" s="2">
        <v>92940</v>
      </c>
      <c r="J3584" s="2"/>
      <c r="K3584" s="2">
        <v>101297706</v>
      </c>
      <c r="L3584" s="2"/>
      <c r="M3584" s="2"/>
      <c r="N3584" s="2"/>
      <c r="O3584" s="2"/>
      <c r="P3584" s="2"/>
      <c r="Q3584" s="2"/>
      <c r="R3584" s="2" t="s">
        <v>23779</v>
      </c>
      <c r="S3584" s="2" t="s">
        <v>23780</v>
      </c>
      <c r="T3584" s="2" t="s">
        <v>23781</v>
      </c>
      <c r="U3584" s="2" t="s">
        <v>56</v>
      </c>
      <c r="V3584" s="2" t="s">
        <v>177</v>
      </c>
      <c r="W3584" s="2" t="s">
        <v>1996</v>
      </c>
      <c r="X3584" s="2" t="s">
        <v>83</v>
      </c>
      <c r="Y3584" s="2">
        <v>45.4</v>
      </c>
      <c r="Z3584" s="2">
        <v>15.5</v>
      </c>
      <c r="AA3584" s="2" t="s">
        <v>156</v>
      </c>
      <c r="AB3584" s="2" t="s">
        <v>4168</v>
      </c>
      <c r="AC3584" s="2">
        <v>2.9467406884280498</v>
      </c>
      <c r="AD3584" s="2"/>
      <c r="AE3584" s="2">
        <v>0.15368907620470501</v>
      </c>
      <c r="AF3584" s="2">
        <v>294.33180962160799</v>
      </c>
      <c r="AG3584" s="2">
        <v>1578.4342677360901</v>
      </c>
      <c r="AH3584" s="4">
        <v>0.186470742328574</v>
      </c>
      <c r="AI3584" s="4">
        <v>-2.4229788086894999</v>
      </c>
      <c r="AJ3584" s="4" t="s">
        <v>62</v>
      </c>
      <c r="AK3584" s="2">
        <v>0.39414973135579101</v>
      </c>
      <c r="AL3584" s="2">
        <v>0.666522226182239</v>
      </c>
      <c r="AM3584" s="2">
        <v>88.350263403816697</v>
      </c>
      <c r="AN3584" s="2">
        <v>8.559877937157E-6</v>
      </c>
      <c r="AO3584" s="2">
        <v>139.22255977647899</v>
      </c>
      <c r="AP3584" s="2">
        <v>414.11969968270301</v>
      </c>
      <c r="AQ3584" s="2">
        <v>1000.55363987468</v>
      </c>
      <c r="AR3584" s="2">
        <v>123.744686432092</v>
      </c>
      <c r="AS3584" s="2">
        <v>117.219163752916</v>
      </c>
      <c r="AT3584" s="2">
        <v>157.443792997332</v>
      </c>
      <c r="AU3584" s="2">
        <v>455.378363917407</v>
      </c>
      <c r="AV3584" s="2">
        <v>8.559877937157E-6</v>
      </c>
      <c r="AW3584" s="2">
        <v>8.559877937157E-6</v>
      </c>
      <c r="AX3584" s="2">
        <v>8740.5642686291303</v>
      </c>
    </row>
    <row r="3585" spans="1:50" x14ac:dyDescent="0.25">
      <c r="A3585" s="2" t="s">
        <v>23782</v>
      </c>
      <c r="B3585" s="2">
        <v>347.25891201402999</v>
      </c>
      <c r="C3585" s="2">
        <v>11.431950000000001</v>
      </c>
      <c r="D3585" s="2" t="s">
        <v>51</v>
      </c>
      <c r="E3585" s="2" t="s">
        <v>23783</v>
      </c>
      <c r="F3585" s="2">
        <v>255995</v>
      </c>
      <c r="G3585" s="3" t="str">
        <f>HYPERLINK("https://cloud.oebiotech.com/#/lm/network/255995", "https://cloud.oebiotech.com/#/lm/network/255995")</f>
        <v>https://cloud.oebiotech.com/#/lm/network/255995</v>
      </c>
      <c r="H3585" s="2" t="s">
        <v>23784</v>
      </c>
      <c r="I3585" s="2"/>
      <c r="J3585" s="2"/>
      <c r="K3585" s="2">
        <v>86181346</v>
      </c>
      <c r="L3585" s="2"/>
      <c r="M3585" s="2"/>
      <c r="N3585" s="2"/>
      <c r="O3585" s="2"/>
      <c r="P3585" s="2"/>
      <c r="Q3585" s="2"/>
      <c r="R3585" s="2"/>
      <c r="S3585" s="2" t="s">
        <v>23785</v>
      </c>
      <c r="T3585" s="2" t="s">
        <v>23786</v>
      </c>
      <c r="U3585" s="2" t="s">
        <v>610</v>
      </c>
      <c r="V3585" s="2" t="s">
        <v>611</v>
      </c>
      <c r="W3585" s="2" t="s">
        <v>612</v>
      </c>
      <c r="X3585" s="2" t="s">
        <v>83</v>
      </c>
      <c r="Y3585" s="2">
        <v>46.6</v>
      </c>
      <c r="Z3585" s="2">
        <v>0</v>
      </c>
      <c r="AA3585" s="2" t="s">
        <v>156</v>
      </c>
      <c r="AB3585" s="2" t="s">
        <v>5901</v>
      </c>
      <c r="AC3585" s="2">
        <v>2.3077695403249701</v>
      </c>
      <c r="AD3585" s="2"/>
      <c r="AE3585" s="2">
        <v>0.15367699260136999</v>
      </c>
      <c r="AF3585" s="2">
        <v>4226.2698003257801</v>
      </c>
      <c r="AG3585" s="2">
        <v>3287.5665950676098</v>
      </c>
      <c r="AH3585" s="5">
        <v>1.2855313126330401</v>
      </c>
      <c r="AI3585" s="5">
        <v>0.36236475138527402</v>
      </c>
      <c r="AJ3585" s="5" t="s">
        <v>139</v>
      </c>
      <c r="AK3585" s="2">
        <v>0.33316627489432499</v>
      </c>
      <c r="AL3585" s="2">
        <v>0.63450213499924102</v>
      </c>
      <c r="AM3585" s="2">
        <v>4740.8371682188999</v>
      </c>
      <c r="AN3585" s="2">
        <v>5910.9993273639602</v>
      </c>
      <c r="AO3585" s="2">
        <v>3154.60464634973</v>
      </c>
      <c r="AP3585" s="2">
        <v>2902.0724968865002</v>
      </c>
      <c r="AQ3585" s="2">
        <v>4629.9230682638899</v>
      </c>
      <c r="AR3585" s="2">
        <v>4019.18209487173</v>
      </c>
      <c r="AS3585" s="2">
        <v>2412.4217931918201</v>
      </c>
      <c r="AT3585" s="2">
        <v>1119.8720010751999</v>
      </c>
      <c r="AU3585" s="2">
        <v>6976.9413555437905</v>
      </c>
      <c r="AV3585" s="2">
        <v>3151.88920510463</v>
      </c>
      <c r="AW3585" s="2">
        <v>3283.9485237234098</v>
      </c>
      <c r="AX3585" s="2">
        <v>2780.3266917668202</v>
      </c>
    </row>
    <row r="3586" spans="1:50" x14ac:dyDescent="0.25">
      <c r="A3586" s="2" t="s">
        <v>23787</v>
      </c>
      <c r="B3586" s="2">
        <v>386.23976373105501</v>
      </c>
      <c r="C3586" s="2">
        <v>4.1329500000000001</v>
      </c>
      <c r="D3586" s="2" t="s">
        <v>51</v>
      </c>
      <c r="E3586" s="2" t="s">
        <v>23788</v>
      </c>
      <c r="F3586" s="2">
        <v>213383</v>
      </c>
      <c r="G3586" s="3" t="str">
        <f>HYPERLINK("https://cloud.oebiotech.com/#/lm/network/213383", "https://cloud.oebiotech.com/#/lm/network/213383")</f>
        <v>https://cloud.oebiotech.com/#/lm/network/213383</v>
      </c>
      <c r="H3586" s="2" t="s">
        <v>23789</v>
      </c>
      <c r="I3586" s="2"/>
      <c r="J3586" s="2"/>
      <c r="K3586" s="2">
        <v>53442591</v>
      </c>
      <c r="L3586" s="2"/>
      <c r="M3586" s="2"/>
      <c r="N3586" s="2"/>
      <c r="O3586" s="2"/>
      <c r="P3586" s="2"/>
      <c r="Q3586" s="2"/>
      <c r="R3586" s="2"/>
      <c r="S3586" s="2" t="s">
        <v>23790</v>
      </c>
      <c r="T3586" s="2" t="s">
        <v>23791</v>
      </c>
      <c r="U3586" s="2" t="s">
        <v>103</v>
      </c>
      <c r="V3586" s="2" t="s">
        <v>1567</v>
      </c>
      <c r="W3586" s="2" t="s">
        <v>1568</v>
      </c>
      <c r="X3586" s="2" t="s">
        <v>147</v>
      </c>
      <c r="Y3586" s="2">
        <v>38.6</v>
      </c>
      <c r="Z3586" s="2">
        <v>5.21</v>
      </c>
      <c r="AA3586" s="2" t="s">
        <v>122</v>
      </c>
      <c r="AB3586" s="2" t="s">
        <v>23792</v>
      </c>
      <c r="AC3586" s="2">
        <v>2.98718933096267</v>
      </c>
      <c r="AD3586" s="2"/>
      <c r="AE3586" s="2">
        <v>0.15359950878659701</v>
      </c>
      <c r="AF3586" s="2">
        <v>15775.7766112388</v>
      </c>
      <c r="AG3586" s="2">
        <v>18861.3262681536</v>
      </c>
      <c r="AH3586" s="4">
        <v>0.83640865901754702</v>
      </c>
      <c r="AI3586" s="4">
        <v>-0.257720097214999</v>
      </c>
      <c r="AJ3586" s="4" t="s">
        <v>62</v>
      </c>
      <c r="AK3586" s="2">
        <v>0.54365485908531497</v>
      </c>
      <c r="AL3586" s="2">
        <v>0.76776377221444203</v>
      </c>
      <c r="AM3586" s="2">
        <v>7119.2934202562001</v>
      </c>
      <c r="AN3586" s="2">
        <v>19995.1688888442</v>
      </c>
      <c r="AO3586" s="2">
        <v>28805.867572171901</v>
      </c>
      <c r="AP3586" s="2">
        <v>19628.847348079798</v>
      </c>
      <c r="AQ3586" s="2">
        <v>11321.2517097249</v>
      </c>
      <c r="AR3586" s="2">
        <v>7784.2307283557902</v>
      </c>
      <c r="AS3586" s="2">
        <v>23197.6536337703</v>
      </c>
      <c r="AT3586" s="2">
        <v>28538.629665364198</v>
      </c>
      <c r="AU3586" s="2">
        <v>18922.616460473</v>
      </c>
      <c r="AV3586" s="2">
        <v>3147.0833139738702</v>
      </c>
      <c r="AW3586" s="2">
        <v>20333.000204661799</v>
      </c>
      <c r="AX3586" s="2">
        <v>19028.974330678499</v>
      </c>
    </row>
    <row r="3587" spans="1:50" x14ac:dyDescent="0.25">
      <c r="A3587" s="2" t="s">
        <v>23793</v>
      </c>
      <c r="B3587" s="2">
        <v>489.35871971582901</v>
      </c>
      <c r="C3587" s="2">
        <v>12.6872166666667</v>
      </c>
      <c r="D3587" s="2" t="s">
        <v>51</v>
      </c>
      <c r="E3587" s="2" t="s">
        <v>23794</v>
      </c>
      <c r="F3587" s="2">
        <v>44641</v>
      </c>
      <c r="G3587" s="3" t="str">
        <f>HYPERLINK("https://cloud.oebiotech.com/#/lm/network/44641", "https://cloud.oebiotech.com/#/lm/network/44641")</f>
        <v>https://cloud.oebiotech.com/#/lm/network/44641</v>
      </c>
      <c r="H3587" s="2"/>
      <c r="I3587" s="2"/>
      <c r="J3587" s="2" t="s">
        <v>23795</v>
      </c>
      <c r="K3587" s="2">
        <v>10049138</v>
      </c>
      <c r="L3587" s="2"/>
      <c r="M3587" s="2"/>
      <c r="N3587" s="2"/>
      <c r="O3587" s="2"/>
      <c r="P3587" s="2"/>
      <c r="Q3587" s="2"/>
      <c r="R3587" s="2"/>
      <c r="S3587" s="2" t="s">
        <v>23796</v>
      </c>
      <c r="T3587" s="2" t="s">
        <v>23797</v>
      </c>
      <c r="U3587" s="2" t="s">
        <v>56</v>
      </c>
      <c r="V3587" s="2" t="s">
        <v>283</v>
      </c>
      <c r="W3587" s="2" t="s">
        <v>1108</v>
      </c>
      <c r="X3587" s="2" t="s">
        <v>83</v>
      </c>
      <c r="Y3587" s="2">
        <v>41.9</v>
      </c>
      <c r="Z3587" s="2">
        <v>0</v>
      </c>
      <c r="AA3587" s="2" t="s">
        <v>218</v>
      </c>
      <c r="AB3587" s="2" t="s">
        <v>11505</v>
      </c>
      <c r="AC3587" s="2">
        <v>0.38583053358962899</v>
      </c>
      <c r="AD3587" s="2"/>
      <c r="AE3587" s="2">
        <v>0.153381738988841</v>
      </c>
      <c r="AF3587" s="2">
        <v>10490.8680948278</v>
      </c>
      <c r="AG3587" s="2">
        <v>8876.0562821236199</v>
      </c>
      <c r="AH3587" s="5">
        <v>1.18192897401478</v>
      </c>
      <c r="AI3587" s="5">
        <v>0.241143341847562</v>
      </c>
      <c r="AJ3587" s="5" t="s">
        <v>139</v>
      </c>
      <c r="AK3587" s="2">
        <v>0.38723297986720201</v>
      </c>
      <c r="AL3587" s="2">
        <v>0.66321747437879897</v>
      </c>
      <c r="AM3587" s="2">
        <v>6618.058279713</v>
      </c>
      <c r="AN3587" s="2">
        <v>11699.415990703001</v>
      </c>
      <c r="AO3587" s="2">
        <v>15170.684435862</v>
      </c>
      <c r="AP3587" s="2">
        <v>11272.1106202467</v>
      </c>
      <c r="AQ3587" s="2">
        <v>11894.7810414492</v>
      </c>
      <c r="AR3587" s="2">
        <v>6290.1582009927997</v>
      </c>
      <c r="AS3587" s="2">
        <v>7671.4163860689196</v>
      </c>
      <c r="AT3587" s="2">
        <v>9499.0487846537108</v>
      </c>
      <c r="AU3587" s="2">
        <v>9448.2143778792506</v>
      </c>
      <c r="AV3587" s="2">
        <v>4140.33884119505</v>
      </c>
      <c r="AW3587" s="2">
        <v>12047.769709522199</v>
      </c>
      <c r="AX3587" s="2">
        <v>10449.5495934226</v>
      </c>
    </row>
    <row r="3588" spans="1:50" x14ac:dyDescent="0.25">
      <c r="A3588" s="2" t="s">
        <v>23798</v>
      </c>
      <c r="B3588" s="2">
        <v>253.11909298972</v>
      </c>
      <c r="C3588" s="2">
        <v>0.75593333333333301</v>
      </c>
      <c r="D3588" s="2" t="s">
        <v>51</v>
      </c>
      <c r="E3588" s="2" t="s">
        <v>23799</v>
      </c>
      <c r="F3588" s="2">
        <v>257527</v>
      </c>
      <c r="G3588" s="3" t="str">
        <f>HYPERLINK("https://cloud.oebiotech.com/#/lm/network/257527", "https://cloud.oebiotech.com/#/lm/network/257527")</f>
        <v>https://cloud.oebiotech.com/#/lm/network/257527</v>
      </c>
      <c r="H3588" s="2" t="s">
        <v>23800</v>
      </c>
      <c r="I3588" s="2">
        <v>85614</v>
      </c>
      <c r="J3588" s="2"/>
      <c r="K3588" s="2">
        <v>572319</v>
      </c>
      <c r="L3588" s="2"/>
      <c r="M3588" s="2"/>
      <c r="N3588" s="2"/>
      <c r="O3588" s="2"/>
      <c r="P3588" s="2"/>
      <c r="Q3588" s="2"/>
      <c r="R3588" s="2"/>
      <c r="S3588" s="2" t="s">
        <v>23801</v>
      </c>
      <c r="T3588" s="2" t="s">
        <v>23802</v>
      </c>
      <c r="U3588" s="2" t="s">
        <v>103</v>
      </c>
      <c r="V3588" s="2" t="s">
        <v>104</v>
      </c>
      <c r="W3588" s="2" t="s">
        <v>105</v>
      </c>
      <c r="X3588" s="2" t="s">
        <v>147</v>
      </c>
      <c r="Y3588" s="2">
        <v>36.5</v>
      </c>
      <c r="Z3588" s="2">
        <v>0</v>
      </c>
      <c r="AA3588" s="2" t="s">
        <v>259</v>
      </c>
      <c r="AB3588" s="2" t="s">
        <v>23803</v>
      </c>
      <c r="AC3588" s="2">
        <v>3.2111123161026001</v>
      </c>
      <c r="AD3588" s="2"/>
      <c r="AE3588" s="2">
        <v>0.15325205994135299</v>
      </c>
      <c r="AF3588" s="2">
        <v>4056.1796938980801</v>
      </c>
      <c r="AG3588" s="2">
        <v>2946.2392758883998</v>
      </c>
      <c r="AH3588" s="5">
        <v>1.37673125434627</v>
      </c>
      <c r="AI3588" s="5">
        <v>0.46124696480199801</v>
      </c>
      <c r="AJ3588" s="5" t="s">
        <v>139</v>
      </c>
      <c r="AK3588" s="2">
        <v>0.54848598253704794</v>
      </c>
      <c r="AL3588" s="2">
        <v>0.77110141565769696</v>
      </c>
      <c r="AM3588" s="2">
        <v>5675.6140827094296</v>
      </c>
      <c r="AN3588" s="2">
        <v>2972.90466879517</v>
      </c>
      <c r="AO3588" s="2">
        <v>3888.8534033762298</v>
      </c>
      <c r="AP3588" s="2">
        <v>732.37939434183204</v>
      </c>
      <c r="AQ3588" s="2">
        <v>3785.5160043505698</v>
      </c>
      <c r="AR3588" s="2">
        <v>7281.8106098152703</v>
      </c>
      <c r="AS3588" s="2">
        <v>311.01614936166499</v>
      </c>
      <c r="AT3588" s="2">
        <v>467.30966181101297</v>
      </c>
      <c r="AU3588" s="2">
        <v>10232.991988654199</v>
      </c>
      <c r="AV3588" s="2">
        <v>3551.6064222881701</v>
      </c>
      <c r="AW3588" s="2">
        <v>1749.640770472</v>
      </c>
      <c r="AX3588" s="2">
        <v>1364.8706627433601</v>
      </c>
    </row>
    <row r="3589" spans="1:50" x14ac:dyDescent="0.25">
      <c r="A3589" s="2" t="s">
        <v>23804</v>
      </c>
      <c r="B3589" s="2">
        <v>455.202886065055</v>
      </c>
      <c r="C3589" s="2">
        <v>10.9866666666667</v>
      </c>
      <c r="D3589" s="2" t="s">
        <v>51</v>
      </c>
      <c r="E3589" s="2" t="s">
        <v>23805</v>
      </c>
      <c r="F3589" s="2">
        <v>203105</v>
      </c>
      <c r="G3589" s="3" t="str">
        <f>HYPERLINK("https://cloud.oebiotech.com/#/lm/network/203105", "https://cloud.oebiotech.com/#/lm/network/203105")</f>
        <v>https://cloud.oebiotech.com/#/lm/network/203105</v>
      </c>
      <c r="H3589" s="2" t="s">
        <v>23806</v>
      </c>
      <c r="I3589" s="2"/>
      <c r="J3589" s="2"/>
      <c r="K3589" s="2">
        <v>21155473</v>
      </c>
      <c r="L3589" s="2"/>
      <c r="M3589" s="2"/>
      <c r="N3589" s="2"/>
      <c r="O3589" s="2"/>
      <c r="P3589" s="2"/>
      <c r="Q3589" s="2"/>
      <c r="R3589" s="2"/>
      <c r="S3589" s="2" t="s">
        <v>23807</v>
      </c>
      <c r="T3589" s="2" t="s">
        <v>23808</v>
      </c>
      <c r="U3589" s="2" t="s">
        <v>103</v>
      </c>
      <c r="V3589" s="2" t="s">
        <v>104</v>
      </c>
      <c r="W3589" s="2" t="s">
        <v>105</v>
      </c>
      <c r="X3589" s="2" t="s">
        <v>147</v>
      </c>
      <c r="Y3589" s="2">
        <v>38.299999999999997</v>
      </c>
      <c r="Z3589" s="2">
        <v>0.42199999999999999</v>
      </c>
      <c r="AA3589" s="2" t="s">
        <v>379</v>
      </c>
      <c r="AB3589" s="2" t="s">
        <v>23809</v>
      </c>
      <c r="AC3589" s="2">
        <v>4.35922971749961</v>
      </c>
      <c r="AD3589" s="2"/>
      <c r="AE3589" s="2">
        <v>0.1532507258312</v>
      </c>
      <c r="AF3589" s="2">
        <v>69255.864340222106</v>
      </c>
      <c r="AG3589" s="2">
        <v>69509.481167878897</v>
      </c>
      <c r="AH3589" s="4">
        <v>0.99635133476188398</v>
      </c>
      <c r="AI3589" s="4">
        <v>-5.2735377930505402E-3</v>
      </c>
      <c r="AJ3589" s="4" t="s">
        <v>62</v>
      </c>
      <c r="AK3589" s="2">
        <v>0.96535454368610096</v>
      </c>
      <c r="AL3589" s="2">
        <v>0.98639647014555798</v>
      </c>
      <c r="AM3589" s="2">
        <v>50766.739218667703</v>
      </c>
      <c r="AN3589" s="2">
        <v>68115.007852243303</v>
      </c>
      <c r="AO3589" s="2">
        <v>69002.762287782607</v>
      </c>
      <c r="AP3589" s="2">
        <v>69682.446127744101</v>
      </c>
      <c r="AQ3589" s="2">
        <v>81886.074228444995</v>
      </c>
      <c r="AR3589" s="2">
        <v>76082.15632645</v>
      </c>
      <c r="AS3589" s="2">
        <v>84341.093301268498</v>
      </c>
      <c r="AT3589" s="2">
        <v>68832.993502142999</v>
      </c>
      <c r="AU3589" s="2">
        <v>62027.608864105598</v>
      </c>
      <c r="AV3589" s="2">
        <v>67891.525743195394</v>
      </c>
      <c r="AW3589" s="2">
        <v>75092.940612457794</v>
      </c>
      <c r="AX3589" s="2">
        <v>58870.724984102897</v>
      </c>
    </row>
    <row r="3590" spans="1:50" x14ac:dyDescent="0.25">
      <c r="A3590" s="2" t="s">
        <v>23810</v>
      </c>
      <c r="B3590" s="2">
        <v>374.25496584892102</v>
      </c>
      <c r="C3590" s="2">
        <v>8.1945333333333306</v>
      </c>
      <c r="D3590" s="2" t="s">
        <v>51</v>
      </c>
      <c r="E3590" s="2" t="s">
        <v>23811</v>
      </c>
      <c r="F3590" s="2">
        <v>8392</v>
      </c>
      <c r="G3590" s="3" t="str">
        <f>HYPERLINK("https://cloud.oebiotech.com/#/lm/network/8392", "https://cloud.oebiotech.com/#/lm/network/8392")</f>
        <v>https://cloud.oebiotech.com/#/lm/network/8392</v>
      </c>
      <c r="H3590" s="2" t="s">
        <v>23812</v>
      </c>
      <c r="I3590" s="2"/>
      <c r="J3590" s="2" t="s">
        <v>23813</v>
      </c>
      <c r="K3590" s="2">
        <v>3072516</v>
      </c>
      <c r="L3590" s="2"/>
      <c r="M3590" s="2"/>
      <c r="N3590" s="2"/>
      <c r="O3590" s="2"/>
      <c r="P3590" s="2"/>
      <c r="Q3590" s="2"/>
      <c r="R3590" s="2"/>
      <c r="S3590" s="2" t="s">
        <v>23814</v>
      </c>
      <c r="T3590" s="2" t="s">
        <v>23815</v>
      </c>
      <c r="U3590" s="2" t="s">
        <v>56</v>
      </c>
      <c r="V3590" s="2" t="s">
        <v>145</v>
      </c>
      <c r="W3590" s="2" t="s">
        <v>1188</v>
      </c>
      <c r="X3590" s="2" t="s">
        <v>83</v>
      </c>
      <c r="Y3590" s="2">
        <v>56.1</v>
      </c>
      <c r="Z3590" s="2">
        <v>0</v>
      </c>
      <c r="AA3590" s="2" t="s">
        <v>218</v>
      </c>
      <c r="AB3590" s="2" t="s">
        <v>7639</v>
      </c>
      <c r="AC3590" s="2">
        <v>0.46885446417235599</v>
      </c>
      <c r="AD3590" s="2"/>
      <c r="AE3590" s="2">
        <v>0.153162365637076</v>
      </c>
      <c r="AF3590" s="2">
        <v>1461.71372544777</v>
      </c>
      <c r="AG3590" s="2">
        <v>72.319826921541306</v>
      </c>
      <c r="AH3590" s="5">
        <v>20.211797893730601</v>
      </c>
      <c r="AI3590" s="5">
        <v>4.3371257539133996</v>
      </c>
      <c r="AJ3590" s="5" t="s">
        <v>139</v>
      </c>
      <c r="AK3590" s="2">
        <v>0.23960217578194001</v>
      </c>
      <c r="AL3590" s="2">
        <v>0.56382010210756095</v>
      </c>
      <c r="AM3590" s="2">
        <v>8.559877937157E-6</v>
      </c>
      <c r="AN3590" s="2">
        <v>8.559877937157E-6</v>
      </c>
      <c r="AO3590" s="2">
        <v>2006.04523925532</v>
      </c>
      <c r="AP3590" s="2">
        <v>8.559877937157E-6</v>
      </c>
      <c r="AQ3590" s="2">
        <v>6764.2370791918001</v>
      </c>
      <c r="AR3590" s="2">
        <v>8.559877937157E-6</v>
      </c>
      <c r="AS3590" s="2">
        <v>303.31195225870198</v>
      </c>
      <c r="AT3590" s="2">
        <v>8.559877937157E-6</v>
      </c>
      <c r="AU3590" s="2">
        <v>130.60697503103401</v>
      </c>
      <c r="AV3590" s="2">
        <v>8.559877937157E-6</v>
      </c>
      <c r="AW3590" s="2">
        <v>8.559877937157E-6</v>
      </c>
      <c r="AX3590" s="2">
        <v>8.559877937157E-6</v>
      </c>
    </row>
    <row r="3591" spans="1:50" x14ac:dyDescent="0.25">
      <c r="A3591" s="2" t="s">
        <v>23816</v>
      </c>
      <c r="B3591" s="2">
        <v>154.05032644562499</v>
      </c>
      <c r="C3591" s="2">
        <v>1.3642000000000001</v>
      </c>
      <c r="D3591" s="2" t="s">
        <v>51</v>
      </c>
      <c r="E3591" s="2" t="s">
        <v>23817</v>
      </c>
      <c r="F3591" s="2">
        <v>257679</v>
      </c>
      <c r="G3591" s="3" t="str">
        <f>HYPERLINK("https://cloud.oebiotech.com/#/lm/network/257679", "https://cloud.oebiotech.com/#/lm/network/257679")</f>
        <v>https://cloud.oebiotech.com/#/lm/network/257679</v>
      </c>
      <c r="H3591" s="2" t="s">
        <v>23818</v>
      </c>
      <c r="I3591" s="2">
        <v>69314</v>
      </c>
      <c r="J3591" s="2"/>
      <c r="K3591" s="2">
        <v>65083</v>
      </c>
      <c r="L3591" s="2" t="s">
        <v>23819</v>
      </c>
      <c r="M3591" s="2"/>
      <c r="N3591" s="2"/>
      <c r="O3591" s="2">
        <v>29476</v>
      </c>
      <c r="P3591" s="2"/>
      <c r="Q3591" s="2"/>
      <c r="R3591" s="2" t="s">
        <v>23820</v>
      </c>
      <c r="S3591" s="2" t="s">
        <v>23821</v>
      </c>
      <c r="T3591" s="2" t="s">
        <v>23822</v>
      </c>
      <c r="U3591" s="2" t="s">
        <v>610</v>
      </c>
      <c r="V3591" s="2" t="s">
        <v>611</v>
      </c>
      <c r="W3591" s="2" t="s">
        <v>1122</v>
      </c>
      <c r="X3591" s="2" t="s">
        <v>83</v>
      </c>
      <c r="Y3591" s="2">
        <v>38.799999999999997</v>
      </c>
      <c r="Z3591" s="2">
        <v>0</v>
      </c>
      <c r="AA3591" s="2" t="s">
        <v>259</v>
      </c>
      <c r="AB3591" s="2" t="s">
        <v>23823</v>
      </c>
      <c r="AC3591" s="2">
        <v>2.9856110365594302</v>
      </c>
      <c r="AD3591" s="2"/>
      <c r="AE3591" s="2">
        <v>0.15315585642326901</v>
      </c>
      <c r="AF3591" s="2">
        <v>1071.30719304646</v>
      </c>
      <c r="AG3591" s="2">
        <v>2081.6322235480502</v>
      </c>
      <c r="AH3591" s="4">
        <v>0.51464767931986699</v>
      </c>
      <c r="AI3591" s="4">
        <v>-0.95834297374283794</v>
      </c>
      <c r="AJ3591" s="4" t="s">
        <v>62</v>
      </c>
      <c r="AK3591" s="2">
        <v>6.9628241864933105E-2</v>
      </c>
      <c r="AL3591" s="2">
        <v>0.34931101666430697</v>
      </c>
      <c r="AM3591" s="2">
        <v>1549.8607179205901</v>
      </c>
      <c r="AN3591" s="2">
        <v>881.99050203068396</v>
      </c>
      <c r="AO3591" s="2">
        <v>1202.7415614501899</v>
      </c>
      <c r="AP3591" s="2">
        <v>795.99878378235599</v>
      </c>
      <c r="AQ3591" s="2">
        <v>416.45906937788101</v>
      </c>
      <c r="AR3591" s="2">
        <v>1580.79252371705</v>
      </c>
      <c r="AS3591" s="2">
        <v>1333.7204046519601</v>
      </c>
      <c r="AT3591" s="2">
        <v>1525.1099169556701</v>
      </c>
      <c r="AU3591" s="2">
        <v>4062.61137605467</v>
      </c>
      <c r="AV3591" s="2">
        <v>2826.5036127194799</v>
      </c>
      <c r="AW3591" s="2">
        <v>1458.2795102070299</v>
      </c>
      <c r="AX3591" s="2">
        <v>1283.5685206994799</v>
      </c>
    </row>
    <row r="3592" spans="1:50" x14ac:dyDescent="0.25">
      <c r="A3592" s="2" t="s">
        <v>23824</v>
      </c>
      <c r="B3592" s="2">
        <v>305.15080360608403</v>
      </c>
      <c r="C3592" s="2">
        <v>4.8803666666666699</v>
      </c>
      <c r="D3592" s="2" t="s">
        <v>51</v>
      </c>
      <c r="E3592" s="2" t="s">
        <v>23825</v>
      </c>
      <c r="F3592" s="2">
        <v>209839</v>
      </c>
      <c r="G3592" s="3" t="str">
        <f>HYPERLINK("https://cloud.oebiotech.com/#/lm/network/209839", "https://cloud.oebiotech.com/#/lm/network/209839")</f>
        <v>https://cloud.oebiotech.com/#/lm/network/209839</v>
      </c>
      <c r="H3592" s="2" t="s">
        <v>23826</v>
      </c>
      <c r="I3592" s="2"/>
      <c r="J3592" s="2"/>
      <c r="K3592" s="2">
        <v>100062</v>
      </c>
      <c r="L3592" s="2"/>
      <c r="M3592" s="2"/>
      <c r="N3592" s="2"/>
      <c r="O3592" s="2"/>
      <c r="P3592" s="2"/>
      <c r="Q3592" s="2"/>
      <c r="R3592" s="2"/>
      <c r="S3592" s="2" t="s">
        <v>23827</v>
      </c>
      <c r="T3592" s="2" t="s">
        <v>23828</v>
      </c>
      <c r="U3592" s="2" t="s">
        <v>103</v>
      </c>
      <c r="V3592" s="2" t="s">
        <v>1372</v>
      </c>
      <c r="W3592" s="2" t="s">
        <v>1373</v>
      </c>
      <c r="X3592" s="2" t="s">
        <v>147</v>
      </c>
      <c r="Y3592" s="2">
        <v>44.6</v>
      </c>
      <c r="Z3592" s="2">
        <v>29.5</v>
      </c>
      <c r="AA3592" s="2" t="s">
        <v>298</v>
      </c>
      <c r="AB3592" s="2" t="s">
        <v>23829</v>
      </c>
      <c r="AC3592" s="2">
        <v>0.37896648056061599</v>
      </c>
      <c r="AD3592" s="2"/>
      <c r="AE3592" s="2">
        <v>0.15313032615880501</v>
      </c>
      <c r="AF3592" s="2">
        <v>3918.32181078028</v>
      </c>
      <c r="AG3592" s="2">
        <v>1331.11982444265</v>
      </c>
      <c r="AH3592" s="5">
        <v>2.9436281684264598</v>
      </c>
      <c r="AI3592" s="5">
        <v>1.55759544536007</v>
      </c>
      <c r="AJ3592" s="5" t="s">
        <v>139</v>
      </c>
      <c r="AK3592" s="2">
        <v>0.36489363543902598</v>
      </c>
      <c r="AL3592" s="2">
        <v>0.65017212292962001</v>
      </c>
      <c r="AM3592" s="2">
        <v>205.12482201804599</v>
      </c>
      <c r="AN3592" s="2">
        <v>252.14440565669599</v>
      </c>
      <c r="AO3592" s="2">
        <v>844.15809503445803</v>
      </c>
      <c r="AP3592" s="2">
        <v>955.08630787578795</v>
      </c>
      <c r="AQ3592" s="2">
        <v>17111.909609255301</v>
      </c>
      <c r="AR3592" s="2">
        <v>4141.5076248413698</v>
      </c>
      <c r="AS3592" s="2">
        <v>1415.00133011612</v>
      </c>
      <c r="AT3592" s="2">
        <v>655.63847283822804</v>
      </c>
      <c r="AU3592" s="2">
        <v>256.13370690886501</v>
      </c>
      <c r="AV3592" s="2">
        <v>2589.01713263698</v>
      </c>
      <c r="AW3592" s="2">
        <v>1613.13858676318</v>
      </c>
      <c r="AX3592" s="2">
        <v>1457.7897173925501</v>
      </c>
    </row>
    <row r="3593" spans="1:50" x14ac:dyDescent="0.25">
      <c r="A3593" s="2" t="s">
        <v>23830</v>
      </c>
      <c r="B3593" s="2">
        <v>345.03612028862</v>
      </c>
      <c r="C3593" s="2">
        <v>7.2658333333333296</v>
      </c>
      <c r="D3593" s="2" t="s">
        <v>51</v>
      </c>
      <c r="E3593" s="2" t="s">
        <v>23831</v>
      </c>
      <c r="F3593" s="2">
        <v>48225</v>
      </c>
      <c r="G3593" s="3" t="str">
        <f>HYPERLINK("https://cloud.oebiotech.com/#/lm/network/48225", "https://cloud.oebiotech.com/#/lm/network/48225")</f>
        <v>https://cloud.oebiotech.com/#/lm/network/48225</v>
      </c>
      <c r="H3593" s="2" t="s">
        <v>23832</v>
      </c>
      <c r="I3593" s="2">
        <v>58205</v>
      </c>
      <c r="J3593" s="2"/>
      <c r="K3593" s="2">
        <v>114918</v>
      </c>
      <c r="L3593" s="2" t="s">
        <v>23833</v>
      </c>
      <c r="M3593" s="2" t="s">
        <v>15319</v>
      </c>
      <c r="N3593" s="2" t="s">
        <v>15320</v>
      </c>
      <c r="O3593" s="2"/>
      <c r="P3593" s="2"/>
      <c r="Q3593" s="2"/>
      <c r="R3593" s="2"/>
      <c r="S3593" s="2" t="s">
        <v>23834</v>
      </c>
      <c r="T3593" s="2" t="s">
        <v>23835</v>
      </c>
      <c r="U3593" s="2" t="s">
        <v>266</v>
      </c>
      <c r="V3593" s="2" t="s">
        <v>19336</v>
      </c>
      <c r="W3593" s="2" t="s">
        <v>23836</v>
      </c>
      <c r="X3593" s="2" t="s">
        <v>147</v>
      </c>
      <c r="Y3593" s="2">
        <v>36.6</v>
      </c>
      <c r="Z3593" s="2">
        <v>0</v>
      </c>
      <c r="AA3593" s="2" t="s">
        <v>218</v>
      </c>
      <c r="AB3593" s="2" t="s">
        <v>23837</v>
      </c>
      <c r="AC3593" s="2">
        <v>-1.0617476784789099</v>
      </c>
      <c r="AD3593" s="2"/>
      <c r="AE3593" s="2">
        <v>0.153105083656459</v>
      </c>
      <c r="AF3593" s="2">
        <v>378.16098578153998</v>
      </c>
      <c r="AG3593" s="2">
        <v>1073.6186024516901</v>
      </c>
      <c r="AH3593" s="4">
        <v>0.35223028449580002</v>
      </c>
      <c r="AI3593" s="4">
        <v>-1.50540913854737</v>
      </c>
      <c r="AJ3593" s="4" t="s">
        <v>62</v>
      </c>
      <c r="AK3593" s="2">
        <v>5.25787026135155E-2</v>
      </c>
      <c r="AL3593" s="2">
        <v>0.31653622285434502</v>
      </c>
      <c r="AM3593" s="2">
        <v>656.60269407231704</v>
      </c>
      <c r="AN3593" s="2">
        <v>210.356924716706</v>
      </c>
      <c r="AO3593" s="2">
        <v>174.530932971357</v>
      </c>
      <c r="AP3593" s="2">
        <v>543.70613862688799</v>
      </c>
      <c r="AQ3593" s="2">
        <v>161.27605022875301</v>
      </c>
      <c r="AR3593" s="2">
        <v>522.49317407322098</v>
      </c>
      <c r="AS3593" s="2">
        <v>2426.26267123547</v>
      </c>
      <c r="AT3593" s="2">
        <v>918.77607766583299</v>
      </c>
      <c r="AU3593" s="2">
        <v>991.79761610440505</v>
      </c>
      <c r="AV3593" s="2">
        <v>829.46802370081605</v>
      </c>
      <c r="AW3593" s="2">
        <v>1117.14413938454</v>
      </c>
      <c r="AX3593" s="2">
        <v>158.26308661905</v>
      </c>
    </row>
    <row r="3594" spans="1:50" x14ac:dyDescent="0.25">
      <c r="A3594" s="2" t="s">
        <v>23838</v>
      </c>
      <c r="B3594" s="2">
        <v>289.15164421066902</v>
      </c>
      <c r="C3594" s="2">
        <v>1.3642000000000001</v>
      </c>
      <c r="D3594" s="2" t="s">
        <v>51</v>
      </c>
      <c r="E3594" s="2" t="s">
        <v>23839</v>
      </c>
      <c r="F3594" s="2">
        <v>261606</v>
      </c>
      <c r="G3594" s="3" t="str">
        <f>HYPERLINK("https://cloud.oebiotech.com/#/lm/network/261606", "https://cloud.oebiotech.com/#/lm/network/261606")</f>
        <v>https://cloud.oebiotech.com/#/lm/network/261606</v>
      </c>
      <c r="H3594" s="2"/>
      <c r="I3594" s="2">
        <v>18929</v>
      </c>
      <c r="J3594" s="2"/>
      <c r="K3594" s="2">
        <v>145455586</v>
      </c>
      <c r="L3594" s="2"/>
      <c r="M3594" s="2"/>
      <c r="N3594" s="2"/>
      <c r="O3594" s="2"/>
      <c r="P3594" s="2"/>
      <c r="Q3594" s="2"/>
      <c r="R3594" s="2"/>
      <c r="S3594" s="2" t="s">
        <v>23840</v>
      </c>
      <c r="T3594" s="2" t="s">
        <v>23841</v>
      </c>
      <c r="U3594" s="2" t="s">
        <v>103</v>
      </c>
      <c r="V3594" s="2" t="s">
        <v>104</v>
      </c>
      <c r="W3594" s="2" t="s">
        <v>105</v>
      </c>
      <c r="X3594" s="2" t="s">
        <v>83</v>
      </c>
      <c r="Y3594" s="2">
        <v>47.5</v>
      </c>
      <c r="Z3594" s="2">
        <v>39.6</v>
      </c>
      <c r="AA3594" s="2" t="s">
        <v>60</v>
      </c>
      <c r="AB3594" s="2" t="s">
        <v>23842</v>
      </c>
      <c r="AC3594" s="2">
        <v>3.4636239253809098</v>
      </c>
      <c r="AD3594" s="2"/>
      <c r="AE3594" s="2">
        <v>0.15310243361199</v>
      </c>
      <c r="AF3594" s="2">
        <v>3439.2635932540202</v>
      </c>
      <c r="AG3594" s="2">
        <v>1560.90556329231</v>
      </c>
      <c r="AH3594" s="5">
        <v>2.2033771127061699</v>
      </c>
      <c r="AI3594" s="5">
        <v>1.13971643651406</v>
      </c>
      <c r="AJ3594" s="5" t="s">
        <v>139</v>
      </c>
      <c r="AK3594" s="2">
        <v>0.276565757415564</v>
      </c>
      <c r="AL3594" s="2">
        <v>0.59599669755941997</v>
      </c>
      <c r="AM3594" s="2">
        <v>21.367677088878999</v>
      </c>
      <c r="AN3594" s="2">
        <v>513.049729478514</v>
      </c>
      <c r="AO3594" s="2">
        <v>5436.0738538929299</v>
      </c>
      <c r="AP3594" s="2">
        <v>1359.2970053208001</v>
      </c>
      <c r="AQ3594" s="2">
        <v>3985.1975224401899</v>
      </c>
      <c r="AR3594" s="2">
        <v>9320.5957713028201</v>
      </c>
      <c r="AS3594" s="2">
        <v>4210.7329799564004</v>
      </c>
      <c r="AT3594" s="2">
        <v>2767.8546028365699</v>
      </c>
      <c r="AU3594" s="2">
        <v>8.559877937157E-6</v>
      </c>
      <c r="AV3594" s="2">
        <v>8.559877937157E-6</v>
      </c>
      <c r="AW3594" s="2">
        <v>8.559877937157E-6</v>
      </c>
      <c r="AX3594" s="2">
        <v>2386.8457712812801</v>
      </c>
    </row>
    <row r="3595" spans="1:50" x14ac:dyDescent="0.25">
      <c r="A3595" s="2" t="s">
        <v>23843</v>
      </c>
      <c r="B3595" s="2">
        <v>169.086133504684</v>
      </c>
      <c r="C3595" s="2">
        <v>7.3126499999999997</v>
      </c>
      <c r="D3595" s="2" t="s">
        <v>51</v>
      </c>
      <c r="E3595" s="2" t="s">
        <v>23844</v>
      </c>
      <c r="F3595" s="2">
        <v>55985</v>
      </c>
      <c r="G3595" s="3" t="str">
        <f>HYPERLINK("https://cloud.oebiotech.com/#/lm/network/55985", "https://cloud.oebiotech.com/#/lm/network/55985")</f>
        <v>https://cloud.oebiotech.com/#/lm/network/55985</v>
      </c>
      <c r="H3595" s="2" t="s">
        <v>23845</v>
      </c>
      <c r="I3595" s="2">
        <v>87665</v>
      </c>
      <c r="J3595" s="2"/>
      <c r="K3595" s="2">
        <v>10887898</v>
      </c>
      <c r="L3595" s="2"/>
      <c r="M3595" s="2"/>
      <c r="N3595" s="2"/>
      <c r="O3595" s="2"/>
      <c r="P3595" s="2"/>
      <c r="Q3595" s="2"/>
      <c r="R3595" s="2" t="s">
        <v>23846</v>
      </c>
      <c r="S3595" s="2" t="s">
        <v>23847</v>
      </c>
      <c r="T3595" s="2" t="s">
        <v>23848</v>
      </c>
      <c r="U3595" s="2" t="s">
        <v>331</v>
      </c>
      <c r="V3595" s="2" t="s">
        <v>332</v>
      </c>
      <c r="W3595" s="2" t="s">
        <v>1207</v>
      </c>
      <c r="X3595" s="2" t="s">
        <v>69</v>
      </c>
      <c r="Y3595" s="2">
        <v>54.7</v>
      </c>
      <c r="Z3595" s="2">
        <v>59.6</v>
      </c>
      <c r="AA3595" s="2" t="s">
        <v>218</v>
      </c>
      <c r="AB3595" s="2" t="s">
        <v>23849</v>
      </c>
      <c r="AC3595" s="2">
        <v>-7.1269091934512696</v>
      </c>
      <c r="AD3595" s="2"/>
      <c r="AE3595" s="2">
        <v>0.15308300407276901</v>
      </c>
      <c r="AF3595" s="2">
        <v>6370.4831638605701</v>
      </c>
      <c r="AG3595" s="2">
        <v>5508.8510805854103</v>
      </c>
      <c r="AH3595" s="5">
        <v>1.15640867227502</v>
      </c>
      <c r="AI3595" s="5">
        <v>0.20965133319536899</v>
      </c>
      <c r="AJ3595" s="5" t="s">
        <v>139</v>
      </c>
      <c r="AK3595" s="2">
        <v>0.45716842939958702</v>
      </c>
      <c r="AL3595" s="2">
        <v>0.70873397123624904</v>
      </c>
      <c r="AM3595" s="2">
        <v>7137.1527756472897</v>
      </c>
      <c r="AN3595" s="2">
        <v>6560.0216090171598</v>
      </c>
      <c r="AO3595" s="2">
        <v>5084.0477023815702</v>
      </c>
      <c r="AP3595" s="2">
        <v>6735.5435681140098</v>
      </c>
      <c r="AQ3595" s="2">
        <v>6206.3351682136999</v>
      </c>
      <c r="AR3595" s="2">
        <v>6499.7981597896896</v>
      </c>
      <c r="AS3595" s="2">
        <v>3815.83252405145</v>
      </c>
      <c r="AT3595" s="2">
        <v>6335.6436639814801</v>
      </c>
      <c r="AU3595" s="2">
        <v>10499.349340684499</v>
      </c>
      <c r="AV3595" s="2">
        <v>4556.8223562386902</v>
      </c>
      <c r="AW3595" s="2">
        <v>4361.6550615394399</v>
      </c>
      <c r="AX3595" s="2">
        <v>3483.80353701688</v>
      </c>
    </row>
    <row r="3596" spans="1:50" x14ac:dyDescent="0.25">
      <c r="A3596" s="2" t="s">
        <v>23850</v>
      </c>
      <c r="B3596" s="2">
        <v>339.21739017625299</v>
      </c>
      <c r="C3596" s="2">
        <v>10.905533333333301</v>
      </c>
      <c r="D3596" s="2" t="s">
        <v>51</v>
      </c>
      <c r="E3596" s="2" t="s">
        <v>23851</v>
      </c>
      <c r="F3596" s="2">
        <v>50803</v>
      </c>
      <c r="G3596" s="3" t="str">
        <f>HYPERLINK("https://cloud.oebiotech.com/#/lm/network/50803", "https://cloud.oebiotech.com/#/lm/network/50803")</f>
        <v>https://cloud.oebiotech.com/#/lm/network/50803</v>
      </c>
      <c r="H3596" s="2" t="s">
        <v>23852</v>
      </c>
      <c r="I3596" s="2">
        <v>61551</v>
      </c>
      <c r="J3596" s="2"/>
      <c r="K3596" s="2">
        <v>53480359</v>
      </c>
      <c r="L3596" s="2"/>
      <c r="M3596" s="2"/>
      <c r="N3596" s="2"/>
      <c r="O3596" s="2">
        <v>88438</v>
      </c>
      <c r="P3596" s="2"/>
      <c r="Q3596" s="2"/>
      <c r="R3596" s="2"/>
      <c r="S3596" s="2" t="s">
        <v>23853</v>
      </c>
      <c r="T3596" s="2" t="s">
        <v>23854</v>
      </c>
      <c r="U3596" s="2" t="s">
        <v>56</v>
      </c>
      <c r="V3596" s="2" t="s">
        <v>145</v>
      </c>
      <c r="W3596" s="2" t="s">
        <v>203</v>
      </c>
      <c r="X3596" s="2" t="s">
        <v>83</v>
      </c>
      <c r="Y3596" s="2">
        <v>54.7</v>
      </c>
      <c r="Z3596" s="2">
        <v>0</v>
      </c>
      <c r="AA3596" s="2" t="s">
        <v>218</v>
      </c>
      <c r="AB3596" s="2" t="s">
        <v>1722</v>
      </c>
      <c r="AC3596" s="2">
        <v>-1.0451874617204799</v>
      </c>
      <c r="AD3596" s="2"/>
      <c r="AE3596" s="2">
        <v>0.15305210272992101</v>
      </c>
      <c r="AF3596" s="2">
        <v>991.10245859200097</v>
      </c>
      <c r="AG3596" s="2">
        <v>310.61727890703202</v>
      </c>
      <c r="AH3596" s="5">
        <v>3.1907512102333402</v>
      </c>
      <c r="AI3596" s="5">
        <v>1.67389612295273</v>
      </c>
      <c r="AJ3596" s="5" t="s">
        <v>139</v>
      </c>
      <c r="AK3596" s="2">
        <v>0.11044603520487099</v>
      </c>
      <c r="AL3596" s="2">
        <v>0.42261842103963698</v>
      </c>
      <c r="AM3596" s="2">
        <v>963.98128192338095</v>
      </c>
      <c r="AN3596" s="2">
        <v>2774.1881385707402</v>
      </c>
      <c r="AO3596" s="2">
        <v>521.76289324991501</v>
      </c>
      <c r="AP3596" s="2">
        <v>131.27027219683299</v>
      </c>
      <c r="AQ3596" s="2">
        <v>696.87470145159</v>
      </c>
      <c r="AR3596" s="2">
        <v>858.53746415954902</v>
      </c>
      <c r="AS3596" s="2">
        <v>707.14577737765603</v>
      </c>
      <c r="AT3596" s="2">
        <v>214.22838497376401</v>
      </c>
      <c r="AU3596" s="2">
        <v>348.47257361355099</v>
      </c>
      <c r="AV3596" s="2">
        <v>195.397722226958</v>
      </c>
      <c r="AW3596" s="2">
        <v>8.559877937157E-6</v>
      </c>
      <c r="AX3596" s="2">
        <v>398.45920669038799</v>
      </c>
    </row>
    <row r="3597" spans="1:50" x14ac:dyDescent="0.25">
      <c r="A3597" s="2" t="s">
        <v>23855</v>
      </c>
      <c r="B3597" s="2">
        <v>416.130640483592</v>
      </c>
      <c r="C3597" s="2">
        <v>4.2211666666666696</v>
      </c>
      <c r="D3597" s="2" t="s">
        <v>51</v>
      </c>
      <c r="E3597" s="2" t="s">
        <v>23856</v>
      </c>
      <c r="F3597" s="2">
        <v>82615</v>
      </c>
      <c r="G3597" s="3" t="str">
        <f>HYPERLINK("https://cloud.oebiotech.com/#/lm/network/82615", "https://cloud.oebiotech.com/#/lm/network/82615")</f>
        <v>https://cloud.oebiotech.com/#/lm/network/82615</v>
      </c>
      <c r="H3597" s="2" t="s">
        <v>23857</v>
      </c>
      <c r="I3597" s="2"/>
      <c r="J3597" s="2"/>
      <c r="K3597" s="2">
        <v>131769941</v>
      </c>
      <c r="L3597" s="2"/>
      <c r="M3597" s="2"/>
      <c r="N3597" s="2"/>
      <c r="O3597" s="2"/>
      <c r="P3597" s="2"/>
      <c r="Q3597" s="2"/>
      <c r="R3597" s="2"/>
      <c r="S3597" s="2" t="s">
        <v>23858</v>
      </c>
      <c r="T3597" s="2" t="s">
        <v>23859</v>
      </c>
      <c r="U3597" s="2" t="s">
        <v>295</v>
      </c>
      <c r="V3597" s="2" t="s">
        <v>1818</v>
      </c>
      <c r="W3597" s="2" t="s">
        <v>8257</v>
      </c>
      <c r="X3597" s="2" t="s">
        <v>147</v>
      </c>
      <c r="Y3597" s="2">
        <v>41.9</v>
      </c>
      <c r="Z3597" s="2">
        <v>17.2</v>
      </c>
      <c r="AA3597" s="2" t="s">
        <v>163</v>
      </c>
      <c r="AB3597" s="2" t="s">
        <v>23860</v>
      </c>
      <c r="AC3597" s="2">
        <v>-1.0237179691201299</v>
      </c>
      <c r="AD3597" s="2"/>
      <c r="AE3597" s="2">
        <v>0.15302741969699499</v>
      </c>
      <c r="AF3597" s="2">
        <v>874.63850300312095</v>
      </c>
      <c r="AG3597" s="2">
        <v>2291.4009195224999</v>
      </c>
      <c r="AH3597" s="4">
        <v>0.38170470106356902</v>
      </c>
      <c r="AI3597" s="4">
        <v>-1.3894711400359301</v>
      </c>
      <c r="AJ3597" s="4" t="s">
        <v>62</v>
      </c>
      <c r="AK3597" s="2">
        <v>0.283810568368635</v>
      </c>
      <c r="AL3597" s="2">
        <v>0.60000138164408201</v>
      </c>
      <c r="AM3597" s="2">
        <v>886.03310794212996</v>
      </c>
      <c r="AN3597" s="2">
        <v>1741.56508637212</v>
      </c>
      <c r="AO3597" s="2">
        <v>101.37973656406</v>
      </c>
      <c r="AP3597" s="2">
        <v>265.79416825364899</v>
      </c>
      <c r="AQ3597" s="2">
        <v>2136.3804903004302</v>
      </c>
      <c r="AR3597" s="2">
        <v>116.678428586335</v>
      </c>
      <c r="AS3597" s="2">
        <v>1731.8207775696901</v>
      </c>
      <c r="AT3597" s="2">
        <v>5266.3848092437302</v>
      </c>
      <c r="AU3597" s="2">
        <v>8.559877937157E-6</v>
      </c>
      <c r="AV3597" s="2">
        <v>6618.7297055495701</v>
      </c>
      <c r="AW3597" s="2">
        <v>8.559877937157E-6</v>
      </c>
      <c r="AX3597" s="2">
        <v>131.47020765223201</v>
      </c>
    </row>
    <row r="3598" spans="1:50" x14ac:dyDescent="0.25">
      <c r="A3598" s="2" t="s">
        <v>23861</v>
      </c>
      <c r="B3598" s="2">
        <v>369.15564099915599</v>
      </c>
      <c r="C3598" s="2">
        <v>5.6952833333333297</v>
      </c>
      <c r="D3598" s="2" t="s">
        <v>51</v>
      </c>
      <c r="E3598" s="2" t="s">
        <v>23862</v>
      </c>
      <c r="F3598" s="2">
        <v>59676</v>
      </c>
      <c r="G3598" s="3" t="str">
        <f>HYPERLINK("https://cloud.oebiotech.com/#/lm/network/59676", "https://cloud.oebiotech.com/#/lm/network/59676")</f>
        <v>https://cloud.oebiotech.com/#/lm/network/59676</v>
      </c>
      <c r="H3598" s="2" t="s">
        <v>23863</v>
      </c>
      <c r="I3598" s="2">
        <v>91064</v>
      </c>
      <c r="J3598" s="2"/>
      <c r="K3598" s="2">
        <v>4025704</v>
      </c>
      <c r="L3598" s="2"/>
      <c r="M3598" s="2"/>
      <c r="N3598" s="2"/>
      <c r="O3598" s="2"/>
      <c r="P3598" s="2"/>
      <c r="Q3598" s="2"/>
      <c r="R3598" s="2"/>
      <c r="S3598" s="2" t="s">
        <v>23864</v>
      </c>
      <c r="T3598" s="2" t="s">
        <v>23865</v>
      </c>
      <c r="U3598" s="2" t="s">
        <v>56</v>
      </c>
      <c r="V3598" s="2" t="s">
        <v>177</v>
      </c>
      <c r="W3598" s="2" t="s">
        <v>1996</v>
      </c>
      <c r="X3598" s="2" t="s">
        <v>83</v>
      </c>
      <c r="Y3598" s="2">
        <v>43.1</v>
      </c>
      <c r="Z3598" s="2">
        <v>0</v>
      </c>
      <c r="AA3598" s="2" t="s">
        <v>218</v>
      </c>
      <c r="AB3598" s="2" t="s">
        <v>2986</v>
      </c>
      <c r="AC3598" s="2">
        <v>0.46163427716766597</v>
      </c>
      <c r="AD3598" s="2"/>
      <c r="AE3598" s="2">
        <v>0.15292519457523299</v>
      </c>
      <c r="AF3598" s="2">
        <v>3840.4620586272399</v>
      </c>
      <c r="AG3598" s="2">
        <v>5251.7510798843496</v>
      </c>
      <c r="AH3598" s="4">
        <v>0.73127267462033296</v>
      </c>
      <c r="AI3598" s="4">
        <v>-0.45151864086957499</v>
      </c>
      <c r="AJ3598" s="4" t="s">
        <v>62</v>
      </c>
      <c r="AK3598" s="2">
        <v>0.56237609081922801</v>
      </c>
      <c r="AL3598" s="2">
        <v>0.78064040599162898</v>
      </c>
      <c r="AM3598" s="2">
        <v>2558.4032338719499</v>
      </c>
      <c r="AN3598" s="2">
        <v>1856.5955804187299</v>
      </c>
      <c r="AO3598" s="2">
        <v>3377.0918020137501</v>
      </c>
      <c r="AP3598" s="2">
        <v>8.559877937157E-6</v>
      </c>
      <c r="AQ3598" s="2">
        <v>2632.1103984370602</v>
      </c>
      <c r="AR3598" s="2">
        <v>12618.5713284621</v>
      </c>
      <c r="AS3598" s="2">
        <v>6989.5753916058902</v>
      </c>
      <c r="AT3598" s="2">
        <v>4361.9574313647499</v>
      </c>
      <c r="AU3598" s="2">
        <v>3681.9712057422098</v>
      </c>
      <c r="AV3598" s="2">
        <v>11562.349329000701</v>
      </c>
      <c r="AW3598" s="2">
        <v>4138.5298955763001</v>
      </c>
      <c r="AX3598" s="2">
        <v>776.123226016221</v>
      </c>
    </row>
    <row r="3599" spans="1:50" x14ac:dyDescent="0.25">
      <c r="A3599" s="2" t="s">
        <v>23866</v>
      </c>
      <c r="B3599" s="2">
        <v>238.89132859585899</v>
      </c>
      <c r="C3599" s="2">
        <v>0.82923333333333304</v>
      </c>
      <c r="D3599" s="2" t="s">
        <v>51</v>
      </c>
      <c r="E3599" s="2" t="s">
        <v>23867</v>
      </c>
      <c r="F3599" s="2">
        <v>81940</v>
      </c>
      <c r="G3599" s="3" t="str">
        <f>HYPERLINK("https://cloud.oebiotech.com/#/lm/network/81940", "https://cloud.oebiotech.com/#/lm/network/81940")</f>
        <v>https://cloud.oebiotech.com/#/lm/network/81940</v>
      </c>
      <c r="H3599" s="2" t="s">
        <v>23868</v>
      </c>
      <c r="I3599" s="2">
        <v>422356</v>
      </c>
      <c r="J3599" s="2"/>
      <c r="K3599" s="2">
        <v>510</v>
      </c>
      <c r="L3599" s="2" t="s">
        <v>23869</v>
      </c>
      <c r="M3599" s="2"/>
      <c r="N3599" s="2"/>
      <c r="O3599" s="2">
        <v>16517</v>
      </c>
      <c r="P3599" s="2"/>
      <c r="Q3599" s="2"/>
      <c r="R3599" s="2"/>
      <c r="S3599" s="2" t="s">
        <v>23870</v>
      </c>
      <c r="T3599" s="2" t="s">
        <v>23871</v>
      </c>
      <c r="U3599" s="2" t="s">
        <v>683</v>
      </c>
      <c r="V3599" s="2" t="s">
        <v>684</v>
      </c>
      <c r="W3599" s="2" t="s">
        <v>8814</v>
      </c>
      <c r="X3599" s="2" t="s">
        <v>83</v>
      </c>
      <c r="Y3599" s="2">
        <v>42.2</v>
      </c>
      <c r="Z3599" s="2">
        <v>0</v>
      </c>
      <c r="AA3599" s="2" t="s">
        <v>163</v>
      </c>
      <c r="AB3599" s="2" t="s">
        <v>23872</v>
      </c>
      <c r="AC3599" s="2">
        <v>-1.6112380831339801</v>
      </c>
      <c r="AD3599" s="2"/>
      <c r="AE3599" s="2">
        <v>0.152910665993926</v>
      </c>
      <c r="AF3599" s="2">
        <v>13805.0118990354</v>
      </c>
      <c r="AG3599" s="2">
        <v>14616.9180688657</v>
      </c>
      <c r="AH3599" s="4">
        <v>0.94445435309926096</v>
      </c>
      <c r="AI3599" s="4">
        <v>-8.2447024212021297E-2</v>
      </c>
      <c r="AJ3599" s="4" t="s">
        <v>62</v>
      </c>
      <c r="AK3599" s="2">
        <v>0.79723290854531503</v>
      </c>
      <c r="AL3599" s="2">
        <v>0.90954932814260703</v>
      </c>
      <c r="AM3599" s="2">
        <v>3569.2124113597401</v>
      </c>
      <c r="AN3599" s="2">
        <v>13375.9437567557</v>
      </c>
      <c r="AO3599" s="2">
        <v>14024.974495430801</v>
      </c>
      <c r="AP3599" s="2">
        <v>18926.923416368099</v>
      </c>
      <c r="AQ3599" s="2">
        <v>10204.2574755961</v>
      </c>
      <c r="AR3599" s="2">
        <v>22728.759838702001</v>
      </c>
      <c r="AS3599" s="2">
        <v>12652.1344287377</v>
      </c>
      <c r="AT3599" s="2">
        <v>17277.881107554102</v>
      </c>
      <c r="AU3599" s="2">
        <v>12417.7148220247</v>
      </c>
      <c r="AV3599" s="2">
        <v>16415.945965215298</v>
      </c>
      <c r="AW3599" s="2">
        <v>19002.850915739298</v>
      </c>
      <c r="AX3599" s="2">
        <v>9934.9811739228408</v>
      </c>
    </row>
    <row r="3600" spans="1:50" x14ac:dyDescent="0.25">
      <c r="A3600" s="2" t="s">
        <v>23873</v>
      </c>
      <c r="B3600" s="2">
        <v>269.21221045462801</v>
      </c>
      <c r="C3600" s="2">
        <v>11.360616666666701</v>
      </c>
      <c r="D3600" s="2" t="s">
        <v>51</v>
      </c>
      <c r="E3600" s="2" t="s">
        <v>23874</v>
      </c>
      <c r="F3600" s="2">
        <v>6170</v>
      </c>
      <c r="G3600" s="3" t="str">
        <f>HYPERLINK("https://cloud.oebiotech.com/#/lm/network/6170", "https://cloud.oebiotech.com/#/lm/network/6170")</f>
        <v>https://cloud.oebiotech.com/#/lm/network/6170</v>
      </c>
      <c r="H3600" s="2"/>
      <c r="I3600" s="2">
        <v>46144</v>
      </c>
      <c r="J3600" s="2" t="s">
        <v>23875</v>
      </c>
      <c r="K3600" s="2">
        <v>44256521</v>
      </c>
      <c r="L3600" s="2"/>
      <c r="M3600" s="2"/>
      <c r="N3600" s="2"/>
      <c r="O3600" s="2"/>
      <c r="P3600" s="2"/>
      <c r="Q3600" s="2"/>
      <c r="R3600" s="2"/>
      <c r="S3600" s="2" t="s">
        <v>23876</v>
      </c>
      <c r="T3600" s="2" t="s">
        <v>23877</v>
      </c>
      <c r="U3600" s="2" t="s">
        <v>56</v>
      </c>
      <c r="V3600" s="2" t="s">
        <v>145</v>
      </c>
      <c r="W3600" s="2" t="s">
        <v>146</v>
      </c>
      <c r="X3600" s="2" t="s">
        <v>83</v>
      </c>
      <c r="Y3600" s="2">
        <v>56.7</v>
      </c>
      <c r="Z3600" s="2">
        <v>21.2</v>
      </c>
      <c r="AA3600" s="2" t="s">
        <v>218</v>
      </c>
      <c r="AB3600" s="2" t="s">
        <v>12048</v>
      </c>
      <c r="AC3600" s="2">
        <v>-3.5380892479022298E-2</v>
      </c>
      <c r="AD3600" s="2"/>
      <c r="AE3600" s="2">
        <v>0.15289035019167599</v>
      </c>
      <c r="AF3600" s="2">
        <v>13575.5075071355</v>
      </c>
      <c r="AG3600" s="2">
        <v>12716.207163728701</v>
      </c>
      <c r="AH3600" s="5">
        <v>1.06757520794863</v>
      </c>
      <c r="AI3600" s="5">
        <v>9.4337707609308402E-2</v>
      </c>
      <c r="AJ3600" s="5" t="s">
        <v>139</v>
      </c>
      <c r="AK3600" s="2">
        <v>0.16188073146709001</v>
      </c>
      <c r="AL3600" s="2">
        <v>0.48399353100485398</v>
      </c>
      <c r="AM3600" s="2">
        <v>12932.288611706599</v>
      </c>
      <c r="AN3600" s="2">
        <v>15374.7259225997</v>
      </c>
      <c r="AO3600" s="2">
        <v>12967.5619428726</v>
      </c>
      <c r="AP3600" s="2">
        <v>12069.0684392026</v>
      </c>
      <c r="AQ3600" s="2">
        <v>14007.443166071</v>
      </c>
      <c r="AR3600" s="2">
        <v>14101.9569603608</v>
      </c>
      <c r="AS3600" s="2">
        <v>13016.314825965401</v>
      </c>
      <c r="AT3600" s="2">
        <v>13306.0912679148</v>
      </c>
      <c r="AU3600" s="2">
        <v>11994.802350226801</v>
      </c>
      <c r="AV3600" s="2">
        <v>11511.1898406703</v>
      </c>
      <c r="AW3600" s="2">
        <v>13166.3448627912</v>
      </c>
      <c r="AX3600" s="2">
        <v>13302.499834804001</v>
      </c>
    </row>
    <row r="3601" spans="1:50" x14ac:dyDescent="0.25">
      <c r="A3601" s="2" t="s">
        <v>23878</v>
      </c>
      <c r="B3601" s="2">
        <v>717.22953035486705</v>
      </c>
      <c r="C3601" s="2">
        <v>4.8395999999999999</v>
      </c>
      <c r="D3601" s="2" t="s">
        <v>51</v>
      </c>
      <c r="E3601" s="2" t="s">
        <v>23879</v>
      </c>
      <c r="F3601" s="2">
        <v>46706</v>
      </c>
      <c r="G3601" s="3" t="str">
        <f>HYPERLINK("https://cloud.oebiotech.com/#/lm/network/46706", "https://cloud.oebiotech.com/#/lm/network/46706")</f>
        <v>https://cloud.oebiotech.com/#/lm/network/46706</v>
      </c>
      <c r="H3601" s="2"/>
      <c r="I3601" s="2"/>
      <c r="J3601" s="2" t="s">
        <v>23880</v>
      </c>
      <c r="K3601" s="2"/>
      <c r="L3601" s="2"/>
      <c r="M3601" s="2"/>
      <c r="N3601" s="2"/>
      <c r="O3601" s="2"/>
      <c r="P3601" s="2"/>
      <c r="Q3601" s="2"/>
      <c r="R3601" s="2"/>
      <c r="S3601" s="2" t="s">
        <v>23881</v>
      </c>
      <c r="T3601" s="2" t="s">
        <v>23882</v>
      </c>
      <c r="U3601" s="2" t="s">
        <v>56</v>
      </c>
      <c r="V3601" s="2" t="s">
        <v>283</v>
      </c>
      <c r="W3601" s="2" t="s">
        <v>1215</v>
      </c>
      <c r="X3601" s="2" t="s">
        <v>147</v>
      </c>
      <c r="Y3601" s="2">
        <v>36.1</v>
      </c>
      <c r="Z3601" s="2">
        <v>0</v>
      </c>
      <c r="AA3601" s="2" t="s">
        <v>218</v>
      </c>
      <c r="AB3601" s="2" t="s">
        <v>23883</v>
      </c>
      <c r="AC3601" s="2">
        <v>0.79959263217563104</v>
      </c>
      <c r="AD3601" s="2"/>
      <c r="AE3601" s="2">
        <v>0.152876598645697</v>
      </c>
      <c r="AF3601" s="2">
        <v>1450.2158373171101</v>
      </c>
      <c r="AG3601" s="2">
        <v>2637.8324522887101</v>
      </c>
      <c r="AH3601" s="4">
        <v>0.54977556897476099</v>
      </c>
      <c r="AI3601" s="4">
        <v>-0.86308529735277495</v>
      </c>
      <c r="AJ3601" s="4" t="s">
        <v>62</v>
      </c>
      <c r="AK3601" s="2">
        <v>0.53177497877106705</v>
      </c>
      <c r="AL3601" s="2">
        <v>0.75897575674673201</v>
      </c>
      <c r="AM3601" s="2">
        <v>8.559877937157E-6</v>
      </c>
      <c r="AN3601" s="2">
        <v>8.559877937157E-6</v>
      </c>
      <c r="AO3601" s="2">
        <v>2795.4263839133901</v>
      </c>
      <c r="AP3601" s="2">
        <v>8.559877937157E-6</v>
      </c>
      <c r="AQ3601" s="2">
        <v>2115.3411821995401</v>
      </c>
      <c r="AR3601" s="2">
        <v>3790.5274321101201</v>
      </c>
      <c r="AS3601" s="2">
        <v>10753.926835344901</v>
      </c>
      <c r="AT3601" s="2">
        <v>834.49788019186406</v>
      </c>
      <c r="AU3601" s="2">
        <v>360.10708151390702</v>
      </c>
      <c r="AV3601" s="2">
        <v>251.14044526333501</v>
      </c>
      <c r="AW3601" s="2">
        <v>161.175126834102</v>
      </c>
      <c r="AX3601" s="2">
        <v>3466.1473445841398</v>
      </c>
    </row>
    <row r="3602" spans="1:50" x14ac:dyDescent="0.25">
      <c r="A3602" s="2" t="s">
        <v>23884</v>
      </c>
      <c r="B3602" s="2">
        <v>214.18068196334701</v>
      </c>
      <c r="C3602" s="2">
        <v>10.37285</v>
      </c>
      <c r="D3602" s="2" t="s">
        <v>51</v>
      </c>
      <c r="E3602" s="2" t="s">
        <v>23885</v>
      </c>
      <c r="F3602" s="2">
        <v>955</v>
      </c>
      <c r="G3602" s="3" t="str">
        <f>HYPERLINK("https://cloud.oebiotech.com/#/lm/network/955", "https://cloud.oebiotech.com/#/lm/network/955")</f>
        <v>https://cloud.oebiotech.com/#/lm/network/955</v>
      </c>
      <c r="H3602" s="2"/>
      <c r="I3602" s="2">
        <v>74127</v>
      </c>
      <c r="J3602" s="2" t="s">
        <v>23886</v>
      </c>
      <c r="K3602" s="2">
        <v>5312610</v>
      </c>
      <c r="L3602" s="2"/>
      <c r="M3602" s="2"/>
      <c r="N3602" s="2"/>
      <c r="O3602" s="2"/>
      <c r="P3602" s="2"/>
      <c r="Q3602" s="2"/>
      <c r="R3602" s="2"/>
      <c r="S3602" s="2" t="s">
        <v>23887</v>
      </c>
      <c r="T3602" s="2" t="s">
        <v>23888</v>
      </c>
      <c r="U3602" s="2" t="s">
        <v>56</v>
      </c>
      <c r="V3602" s="2" t="s">
        <v>145</v>
      </c>
      <c r="W3602" s="2" t="s">
        <v>231</v>
      </c>
      <c r="X3602" s="2" t="s">
        <v>83</v>
      </c>
      <c r="Y3602" s="2">
        <v>45.6</v>
      </c>
      <c r="Z3602" s="2">
        <v>0</v>
      </c>
      <c r="AA3602" s="2" t="s">
        <v>512</v>
      </c>
      <c r="AB3602" s="2" t="s">
        <v>7868</v>
      </c>
      <c r="AC3602" s="2">
        <v>2.6844898235958801</v>
      </c>
      <c r="AD3602" s="2"/>
      <c r="AE3602" s="2">
        <v>0.152768702205134</v>
      </c>
      <c r="AF3602" s="2">
        <v>736.48880349210299</v>
      </c>
      <c r="AG3602" s="2">
        <v>2127.8741877279299</v>
      </c>
      <c r="AH3602" s="4">
        <v>0.346114825650711</v>
      </c>
      <c r="AI3602" s="4">
        <v>-1.5306773549596699</v>
      </c>
      <c r="AJ3602" s="4" t="s">
        <v>62</v>
      </c>
      <c r="AK3602" s="2">
        <v>0.515029720190888</v>
      </c>
      <c r="AL3602" s="2">
        <v>0.74801498782643305</v>
      </c>
      <c r="AM3602" s="2">
        <v>353.41877070225399</v>
      </c>
      <c r="AN3602" s="2">
        <v>242.75102091138601</v>
      </c>
      <c r="AO3602" s="2">
        <v>2291.3221446470602</v>
      </c>
      <c r="AP3602" s="2">
        <v>8.559877937157E-6</v>
      </c>
      <c r="AQ3602" s="2">
        <v>1357.6664243615601</v>
      </c>
      <c r="AR3602" s="2">
        <v>173.77445177048</v>
      </c>
      <c r="AS3602" s="2">
        <v>12268.693496948201</v>
      </c>
      <c r="AT3602" s="2">
        <v>8.559877937157E-6</v>
      </c>
      <c r="AU3602" s="2">
        <v>137.12924324078099</v>
      </c>
      <c r="AV3602" s="2">
        <v>8.559877937157E-6</v>
      </c>
      <c r="AW3602" s="2">
        <v>254.78234767072701</v>
      </c>
      <c r="AX3602" s="2">
        <v>106.640021388139</v>
      </c>
    </row>
    <row r="3603" spans="1:50" x14ac:dyDescent="0.25">
      <c r="A3603" s="2" t="s">
        <v>23889</v>
      </c>
      <c r="B3603" s="2">
        <v>221.09261548299901</v>
      </c>
      <c r="C3603" s="2">
        <v>0.76721666666666699</v>
      </c>
      <c r="D3603" s="2" t="s">
        <v>51</v>
      </c>
      <c r="E3603" s="2" t="s">
        <v>23890</v>
      </c>
      <c r="F3603" s="2">
        <v>53204</v>
      </c>
      <c r="G3603" s="3" t="str">
        <f>HYPERLINK("https://cloud.oebiotech.com/#/lm/network/53204", "https://cloud.oebiotech.com/#/lm/network/53204")</f>
        <v>https://cloud.oebiotech.com/#/lm/network/53204</v>
      </c>
      <c r="H3603" s="2" t="s">
        <v>23891</v>
      </c>
      <c r="I3603" s="2">
        <v>2654</v>
      </c>
      <c r="J3603" s="2"/>
      <c r="K3603" s="2">
        <v>3331</v>
      </c>
      <c r="L3603" s="2" t="s">
        <v>23892</v>
      </c>
      <c r="M3603" s="2"/>
      <c r="N3603" s="2"/>
      <c r="O3603" s="2">
        <v>4995</v>
      </c>
      <c r="P3603" s="2"/>
      <c r="Q3603" s="2"/>
      <c r="R3603" s="2" t="s">
        <v>23893</v>
      </c>
      <c r="S3603" s="2" t="s">
        <v>23894</v>
      </c>
      <c r="T3603" s="2" t="s">
        <v>23895</v>
      </c>
      <c r="U3603" s="2" t="s">
        <v>610</v>
      </c>
      <c r="V3603" s="2" t="s">
        <v>611</v>
      </c>
      <c r="W3603" s="2" t="s">
        <v>240</v>
      </c>
      <c r="X3603" s="2" t="s">
        <v>147</v>
      </c>
      <c r="Y3603" s="2">
        <v>38.4</v>
      </c>
      <c r="Z3603" s="2">
        <v>0</v>
      </c>
      <c r="AA3603" s="2" t="s">
        <v>156</v>
      </c>
      <c r="AB3603" s="2" t="s">
        <v>17856</v>
      </c>
      <c r="AC3603" s="2">
        <v>2.2965428061500699</v>
      </c>
      <c r="AD3603" s="2"/>
      <c r="AE3603" s="2">
        <v>0.15268353960506301</v>
      </c>
      <c r="AF3603" s="2">
        <v>3603.6205091198399</v>
      </c>
      <c r="AG3603" s="2">
        <v>2881.1717950188699</v>
      </c>
      <c r="AH3603" s="5">
        <v>1.25074822520128</v>
      </c>
      <c r="AI3603" s="5">
        <v>0.32279140516281501</v>
      </c>
      <c r="AJ3603" s="5" t="s">
        <v>139</v>
      </c>
      <c r="AK3603" s="2">
        <v>0.37748415702392601</v>
      </c>
      <c r="AL3603" s="2">
        <v>0.65844593389412398</v>
      </c>
      <c r="AM3603" s="2">
        <v>4822.2374524054503</v>
      </c>
      <c r="AN3603" s="2">
        <v>5298.5328282805503</v>
      </c>
      <c r="AO3603" s="2">
        <v>2260.1440674420101</v>
      </c>
      <c r="AP3603" s="2">
        <v>3076.79691811563</v>
      </c>
      <c r="AQ3603" s="2">
        <v>3196.95163845773</v>
      </c>
      <c r="AR3603" s="2">
        <v>2967.0601500176899</v>
      </c>
      <c r="AS3603" s="2">
        <v>1944.1611379404401</v>
      </c>
      <c r="AT3603" s="2">
        <v>2354.4767616692802</v>
      </c>
      <c r="AU3603" s="2">
        <v>5806.9229608534997</v>
      </c>
      <c r="AV3603" s="2">
        <v>1793.04698653338</v>
      </c>
      <c r="AW3603" s="2">
        <v>2259.0245967513101</v>
      </c>
      <c r="AX3603" s="2">
        <v>3129.3983263653199</v>
      </c>
    </row>
    <row r="3604" spans="1:50" x14ac:dyDescent="0.25">
      <c r="A3604" s="2" t="s">
        <v>23896</v>
      </c>
      <c r="B3604" s="2">
        <v>387.22509496335698</v>
      </c>
      <c r="C3604" s="2">
        <v>3.8572500000000001</v>
      </c>
      <c r="D3604" s="2" t="s">
        <v>51</v>
      </c>
      <c r="E3604" s="2" t="s">
        <v>23897</v>
      </c>
      <c r="F3604" s="2">
        <v>197777</v>
      </c>
      <c r="G3604" s="3" t="str">
        <f>HYPERLINK("https://cloud.oebiotech.com/#/lm/network/197777", "https://cloud.oebiotech.com/#/lm/network/197777")</f>
        <v>https://cloud.oebiotech.com/#/lm/network/197777</v>
      </c>
      <c r="H3604" s="2" t="s">
        <v>23898</v>
      </c>
      <c r="I3604" s="2"/>
      <c r="J3604" s="2"/>
      <c r="K3604" s="2"/>
      <c r="L3604" s="2"/>
      <c r="M3604" s="2"/>
      <c r="N3604" s="2"/>
      <c r="O3604" s="2"/>
      <c r="P3604" s="2"/>
      <c r="Q3604" s="2"/>
      <c r="R3604" s="2"/>
      <c r="S3604" s="2" t="s">
        <v>23899</v>
      </c>
      <c r="T3604" s="2" t="s">
        <v>23900</v>
      </c>
      <c r="U3604" s="2" t="s">
        <v>56</v>
      </c>
      <c r="V3604" s="2" t="s">
        <v>145</v>
      </c>
      <c r="W3604" s="2" t="s">
        <v>1188</v>
      </c>
      <c r="X3604" s="2" t="s">
        <v>147</v>
      </c>
      <c r="Y3604" s="2">
        <v>39</v>
      </c>
      <c r="Z3604" s="2">
        <v>36.4</v>
      </c>
      <c r="AA3604" s="2" t="s">
        <v>122</v>
      </c>
      <c r="AB3604" s="2" t="s">
        <v>9305</v>
      </c>
      <c r="AC3604" s="2">
        <v>-1.56894717818465</v>
      </c>
      <c r="AD3604" s="2"/>
      <c r="AE3604" s="2">
        <v>0.15267549673226299</v>
      </c>
      <c r="AF3604" s="2">
        <v>5600.5333547088003</v>
      </c>
      <c r="AG3604" s="2">
        <v>3230.6745634825102</v>
      </c>
      <c r="AH3604" s="5">
        <v>1.7335492153910099</v>
      </c>
      <c r="AI3604" s="5">
        <v>0.79372879517510098</v>
      </c>
      <c r="AJ3604" s="5" t="s">
        <v>139</v>
      </c>
      <c r="AK3604" s="2">
        <v>0.58405258669281301</v>
      </c>
      <c r="AL3604" s="2">
        <v>0.79094895237117502</v>
      </c>
      <c r="AM3604" s="2">
        <v>13324.058829968601</v>
      </c>
      <c r="AN3604" s="2">
        <v>134.5621459946</v>
      </c>
      <c r="AO3604" s="2">
        <v>130.893953945795</v>
      </c>
      <c r="AP3604" s="2">
        <v>192.344395891538</v>
      </c>
      <c r="AQ3604" s="2">
        <v>15287.869361560401</v>
      </c>
      <c r="AR3604" s="2">
        <v>4533.4714408918499</v>
      </c>
      <c r="AS3604" s="2">
        <v>208.490909237441</v>
      </c>
      <c r="AT3604" s="2">
        <v>171.54211750615599</v>
      </c>
      <c r="AU3604" s="2">
        <v>49.4732450663967</v>
      </c>
      <c r="AV3604" s="2">
        <v>18580.700718224802</v>
      </c>
      <c r="AW3604" s="2">
        <v>112.627412996334</v>
      </c>
      <c r="AX3604" s="2">
        <v>261.21297786391398</v>
      </c>
    </row>
    <row r="3605" spans="1:50" x14ac:dyDescent="0.25">
      <c r="A3605" s="2" t="s">
        <v>23901</v>
      </c>
      <c r="B3605" s="2">
        <v>505.18699229433599</v>
      </c>
      <c r="C3605" s="2">
        <v>6.88723333333333</v>
      </c>
      <c r="D3605" s="2" t="s">
        <v>51</v>
      </c>
      <c r="E3605" s="2" t="s">
        <v>23902</v>
      </c>
      <c r="F3605" s="2">
        <v>200964</v>
      </c>
      <c r="G3605" s="3" t="str">
        <f>HYPERLINK("https://cloud.oebiotech.com/#/lm/network/200964", "https://cloud.oebiotech.com/#/lm/network/200964")</f>
        <v>https://cloud.oebiotech.com/#/lm/network/200964</v>
      </c>
      <c r="H3605" s="2" t="s">
        <v>23903</v>
      </c>
      <c r="I3605" s="2"/>
      <c r="J3605" s="2"/>
      <c r="K3605" s="2">
        <v>356786</v>
      </c>
      <c r="L3605" s="2"/>
      <c r="M3605" s="2"/>
      <c r="N3605" s="2"/>
      <c r="O3605" s="2"/>
      <c r="P3605" s="2"/>
      <c r="Q3605" s="2"/>
      <c r="R3605" s="2"/>
      <c r="S3605" s="2" t="s">
        <v>23904</v>
      </c>
      <c r="T3605" s="2" t="s">
        <v>23905</v>
      </c>
      <c r="U3605" s="2" t="s">
        <v>295</v>
      </c>
      <c r="V3605" s="2" t="s">
        <v>5395</v>
      </c>
      <c r="W3605" s="2" t="s">
        <v>23906</v>
      </c>
      <c r="X3605" s="2" t="s">
        <v>147</v>
      </c>
      <c r="Y3605" s="2">
        <v>38.9</v>
      </c>
      <c r="Z3605" s="2">
        <v>0</v>
      </c>
      <c r="AA3605" s="2" t="s">
        <v>478</v>
      </c>
      <c r="AB3605" s="2" t="s">
        <v>23907</v>
      </c>
      <c r="AC3605" s="2">
        <v>-1.45597956491476</v>
      </c>
      <c r="AD3605" s="2"/>
      <c r="AE3605" s="2">
        <v>0.15266140124507699</v>
      </c>
      <c r="AF3605" s="2">
        <v>5513.5059209669698</v>
      </c>
      <c r="AG3605" s="2">
        <v>8003.6660493387799</v>
      </c>
      <c r="AH3605" s="4">
        <v>0.68887256002172503</v>
      </c>
      <c r="AI3605" s="4">
        <v>-0.53769098282891603</v>
      </c>
      <c r="AJ3605" s="4" t="s">
        <v>62</v>
      </c>
      <c r="AK3605" s="2">
        <v>0.489849389179835</v>
      </c>
      <c r="AL3605" s="2">
        <v>0.73163165372595695</v>
      </c>
      <c r="AM3605" s="2">
        <v>7887.5652294777201</v>
      </c>
      <c r="AN3605" s="2">
        <v>3961.95702151469</v>
      </c>
      <c r="AO3605" s="2">
        <v>11202.213549113099</v>
      </c>
      <c r="AP3605" s="2">
        <v>4337.2629359779403</v>
      </c>
      <c r="AQ3605" s="2">
        <v>1358.71612472418</v>
      </c>
      <c r="AR3605" s="2">
        <v>4333.3206649941703</v>
      </c>
      <c r="AS3605" s="2">
        <v>1782.62550444305</v>
      </c>
      <c r="AT3605" s="2">
        <v>448.53096218063899</v>
      </c>
      <c r="AU3605" s="2">
        <v>16778.680726313902</v>
      </c>
      <c r="AV3605" s="2">
        <v>16164.578993981901</v>
      </c>
      <c r="AW3605" s="2">
        <v>11769.5431035207</v>
      </c>
      <c r="AX3605" s="2">
        <v>1078.03700559248</v>
      </c>
    </row>
    <row r="3606" spans="1:50" x14ac:dyDescent="0.25">
      <c r="A3606" s="2" t="s">
        <v>23908</v>
      </c>
      <c r="B3606" s="2">
        <v>274.20220788554298</v>
      </c>
      <c r="C3606" s="2">
        <v>6.6227666666666698</v>
      </c>
      <c r="D3606" s="2" t="s">
        <v>51</v>
      </c>
      <c r="E3606" s="2" t="s">
        <v>23909</v>
      </c>
      <c r="F3606" s="2">
        <v>55681</v>
      </c>
      <c r="G3606" s="3" t="str">
        <f>HYPERLINK("https://cloud.oebiotech.com/#/lm/network/55681", "https://cloud.oebiotech.com/#/lm/network/55681")</f>
        <v>https://cloud.oebiotech.com/#/lm/network/55681</v>
      </c>
      <c r="H3606" s="2" t="s">
        <v>23910</v>
      </c>
      <c r="I3606" s="2">
        <v>87337</v>
      </c>
      <c r="J3606" s="2"/>
      <c r="K3606" s="2">
        <v>131751119</v>
      </c>
      <c r="L3606" s="2"/>
      <c r="M3606" s="2"/>
      <c r="N3606" s="2"/>
      <c r="O3606" s="2">
        <v>168062</v>
      </c>
      <c r="P3606" s="2"/>
      <c r="Q3606" s="2"/>
      <c r="R3606" s="2"/>
      <c r="S3606" s="2" t="s">
        <v>23911</v>
      </c>
      <c r="T3606" s="2" t="s">
        <v>23912</v>
      </c>
      <c r="U3606" s="2" t="s">
        <v>266</v>
      </c>
      <c r="V3606" s="2" t="s">
        <v>3994</v>
      </c>
      <c r="W3606" s="2" t="s">
        <v>3995</v>
      </c>
      <c r="X3606" s="2" t="s">
        <v>147</v>
      </c>
      <c r="Y3606" s="2">
        <v>38.6</v>
      </c>
      <c r="Z3606" s="2">
        <v>0.68600000000000005</v>
      </c>
      <c r="AA3606" s="2" t="s">
        <v>512</v>
      </c>
      <c r="AB3606" s="2" t="s">
        <v>23913</v>
      </c>
      <c r="AC3606" s="2">
        <v>3.6035319458835899</v>
      </c>
      <c r="AD3606" s="2"/>
      <c r="AE3606" s="2">
        <v>0.15262707173907999</v>
      </c>
      <c r="AF3606" s="2">
        <v>12081.084056731201</v>
      </c>
      <c r="AG3606" s="2">
        <v>13980.471497054201</v>
      </c>
      <c r="AH3606" s="4">
        <v>0.86413995831805501</v>
      </c>
      <c r="AI3606" s="4">
        <v>-0.21066310099515201</v>
      </c>
      <c r="AJ3606" s="4" t="s">
        <v>62</v>
      </c>
      <c r="AK3606" s="2">
        <v>0.50701438641146301</v>
      </c>
      <c r="AL3606" s="2">
        <v>0.74196312845079004</v>
      </c>
      <c r="AM3606" s="2">
        <v>12926.0519111541</v>
      </c>
      <c r="AN3606" s="2">
        <v>9780.3397309266493</v>
      </c>
      <c r="AO3606" s="2">
        <v>9798.0114005237701</v>
      </c>
      <c r="AP3606" s="2">
        <v>19788.802821806799</v>
      </c>
      <c r="AQ3606" s="2">
        <v>8223.7804528351098</v>
      </c>
      <c r="AR3606" s="2">
        <v>11969.518023140499</v>
      </c>
      <c r="AS3606" s="2">
        <v>4310.4174275288196</v>
      </c>
      <c r="AT3606" s="2">
        <v>13578.7893719398</v>
      </c>
      <c r="AU3606" s="2">
        <v>20004.745997352999</v>
      </c>
      <c r="AV3606" s="2">
        <v>17003.3511738327</v>
      </c>
      <c r="AW3606" s="2">
        <v>15799.087665695701</v>
      </c>
      <c r="AX3606" s="2">
        <v>13186.4373459751</v>
      </c>
    </row>
    <row r="3607" spans="1:50" x14ac:dyDescent="0.25">
      <c r="A3607" s="2" t="s">
        <v>23914</v>
      </c>
      <c r="B3607" s="2">
        <v>528.27389616060498</v>
      </c>
      <c r="C3607" s="2">
        <v>3.9009</v>
      </c>
      <c r="D3607" s="2" t="s">
        <v>51</v>
      </c>
      <c r="E3607" s="2" t="s">
        <v>23915</v>
      </c>
      <c r="F3607" s="2">
        <v>44805</v>
      </c>
      <c r="G3607" s="3" t="str">
        <f>HYPERLINK("https://cloud.oebiotech.com/#/lm/network/44805", "https://cloud.oebiotech.com/#/lm/network/44805")</f>
        <v>https://cloud.oebiotech.com/#/lm/network/44805</v>
      </c>
      <c r="H3607" s="2" t="s">
        <v>23916</v>
      </c>
      <c r="I3607" s="2"/>
      <c r="J3607" s="2" t="s">
        <v>23917</v>
      </c>
      <c r="K3607" s="2">
        <v>101317813</v>
      </c>
      <c r="L3607" s="2"/>
      <c r="M3607" s="2"/>
      <c r="N3607" s="2"/>
      <c r="O3607" s="2"/>
      <c r="P3607" s="2"/>
      <c r="Q3607" s="2"/>
      <c r="R3607" s="2"/>
      <c r="S3607" s="2" t="s">
        <v>23918</v>
      </c>
      <c r="T3607" s="2" t="s">
        <v>23919</v>
      </c>
      <c r="U3607" s="2" t="s">
        <v>56</v>
      </c>
      <c r="V3607" s="2" t="s">
        <v>283</v>
      </c>
      <c r="W3607" s="2" t="s">
        <v>1338</v>
      </c>
      <c r="X3607" s="2" t="s">
        <v>147</v>
      </c>
      <c r="Y3607" s="2">
        <v>39.299999999999997</v>
      </c>
      <c r="Z3607" s="2">
        <v>17.899999999999999</v>
      </c>
      <c r="AA3607" s="2" t="s">
        <v>122</v>
      </c>
      <c r="AB3607" s="2" t="s">
        <v>23920</v>
      </c>
      <c r="AC3607" s="2">
        <v>2.9867575300488398</v>
      </c>
      <c r="AD3607" s="2"/>
      <c r="AE3607" s="2">
        <v>0.15251676679203599</v>
      </c>
      <c r="AF3607" s="2">
        <v>1515.57162123017</v>
      </c>
      <c r="AG3607" s="2">
        <v>523.14477820242905</v>
      </c>
      <c r="AH3607" s="5">
        <v>2.8970405218184498</v>
      </c>
      <c r="AI3607" s="5">
        <v>1.5345798641794901</v>
      </c>
      <c r="AJ3607" s="5" t="s">
        <v>139</v>
      </c>
      <c r="AK3607" s="2">
        <v>7.1208528865752893E-2</v>
      </c>
      <c r="AL3607" s="2">
        <v>0.35266399888778199</v>
      </c>
      <c r="AM3607" s="2">
        <v>302.18423610282599</v>
      </c>
      <c r="AN3607" s="2">
        <v>2376.6277027593901</v>
      </c>
      <c r="AO3607" s="2">
        <v>2439.8162408088201</v>
      </c>
      <c r="AP3607" s="2">
        <v>2753.3604610529601</v>
      </c>
      <c r="AQ3607" s="2">
        <v>1156.70749375592</v>
      </c>
      <c r="AR3607" s="2">
        <v>64.733592901076094</v>
      </c>
      <c r="AS3607" s="2">
        <v>867.40800807450501</v>
      </c>
      <c r="AT3607" s="2">
        <v>511.601970809813</v>
      </c>
      <c r="AU3607" s="2">
        <v>8.559877937157E-6</v>
      </c>
      <c r="AV3607" s="2">
        <v>689.78136576080499</v>
      </c>
      <c r="AW3607" s="2">
        <v>556.47348862180104</v>
      </c>
      <c r="AX3607" s="2">
        <v>513.603827387774</v>
      </c>
    </row>
    <row r="3608" spans="1:50" x14ac:dyDescent="0.25">
      <c r="A3608" s="2" t="s">
        <v>23921</v>
      </c>
      <c r="B3608" s="2">
        <v>524.27912485319803</v>
      </c>
      <c r="C3608" s="2">
        <v>8.8669333333333302</v>
      </c>
      <c r="D3608" s="2" t="s">
        <v>51</v>
      </c>
      <c r="E3608" s="2" t="s">
        <v>23922</v>
      </c>
      <c r="F3608" s="2">
        <v>211755</v>
      </c>
      <c r="G3608" s="3" t="str">
        <f>HYPERLINK("https://cloud.oebiotech.com/#/lm/network/211755", "https://cloud.oebiotech.com/#/lm/network/211755")</f>
        <v>https://cloud.oebiotech.com/#/lm/network/211755</v>
      </c>
      <c r="H3608" s="2" t="s">
        <v>23923</v>
      </c>
      <c r="I3608" s="2"/>
      <c r="J3608" s="2"/>
      <c r="K3608" s="2"/>
      <c r="L3608" s="2"/>
      <c r="M3608" s="2"/>
      <c r="N3608" s="2"/>
      <c r="O3608" s="2"/>
      <c r="P3608" s="2"/>
      <c r="Q3608" s="2"/>
      <c r="R3608" s="2"/>
      <c r="S3608" s="2" t="s">
        <v>23924</v>
      </c>
      <c r="T3608" s="2" t="s">
        <v>23925</v>
      </c>
      <c r="U3608" s="2" t="s">
        <v>331</v>
      </c>
      <c r="V3608" s="2" t="s">
        <v>332</v>
      </c>
      <c r="W3608" s="2" t="s">
        <v>1207</v>
      </c>
      <c r="X3608" s="2" t="s">
        <v>147</v>
      </c>
      <c r="Y3608" s="2">
        <v>37.299999999999997</v>
      </c>
      <c r="Z3608" s="2">
        <v>0</v>
      </c>
      <c r="AA3608" s="2" t="s">
        <v>395</v>
      </c>
      <c r="AB3608" s="2" t="s">
        <v>23926</v>
      </c>
      <c r="AC3608" s="2">
        <v>3.7981412423177101</v>
      </c>
      <c r="AD3608" s="2"/>
      <c r="AE3608" s="2">
        <v>0.15241033013906</v>
      </c>
      <c r="AF3608" s="2">
        <v>9201.5779498191205</v>
      </c>
      <c r="AG3608" s="2">
        <v>8145.67568460855</v>
      </c>
      <c r="AH3608" s="5">
        <v>1.12962733922807</v>
      </c>
      <c r="AI3608" s="5">
        <v>0.17584691023329199</v>
      </c>
      <c r="AJ3608" s="5" t="s">
        <v>139</v>
      </c>
      <c r="AK3608" s="2">
        <v>0.72204033663167899</v>
      </c>
      <c r="AL3608" s="2">
        <v>0.87146216934056697</v>
      </c>
      <c r="AM3608" s="2">
        <v>21588.7667486932</v>
      </c>
      <c r="AN3608" s="2">
        <v>5961.9812562603902</v>
      </c>
      <c r="AO3608" s="2">
        <v>6844.5299137172296</v>
      </c>
      <c r="AP3608" s="2">
        <v>10600.043384891</v>
      </c>
      <c r="AQ3608" s="2">
        <v>4140.08547543637</v>
      </c>
      <c r="AR3608" s="2">
        <v>6074.0609199165001</v>
      </c>
      <c r="AS3608" s="2">
        <v>9838.1946569732809</v>
      </c>
      <c r="AT3608" s="2">
        <v>4249.7519457777998</v>
      </c>
      <c r="AU3608" s="2">
        <v>12810.5138183777</v>
      </c>
      <c r="AV3608" s="2">
        <v>8064.0825328661604</v>
      </c>
      <c r="AW3608" s="2">
        <v>6569.2959453350004</v>
      </c>
      <c r="AX3608" s="2">
        <v>7342.2152083213596</v>
      </c>
    </row>
    <row r="3609" spans="1:50" x14ac:dyDescent="0.25">
      <c r="A3609" s="2" t="s">
        <v>23927</v>
      </c>
      <c r="B3609" s="2">
        <v>293.17635863438102</v>
      </c>
      <c r="C3609" s="2">
        <v>3.3068166666666698</v>
      </c>
      <c r="D3609" s="2" t="s">
        <v>51</v>
      </c>
      <c r="E3609" s="2" t="s">
        <v>23928</v>
      </c>
      <c r="F3609" s="2">
        <v>208238</v>
      </c>
      <c r="G3609" s="3" t="str">
        <f>HYPERLINK("https://cloud.oebiotech.com/#/lm/network/208238", "https://cloud.oebiotech.com/#/lm/network/208238")</f>
        <v>https://cloud.oebiotech.com/#/lm/network/208238</v>
      </c>
      <c r="H3609" s="2" t="s">
        <v>23929</v>
      </c>
      <c r="I3609" s="2">
        <v>427761</v>
      </c>
      <c r="J3609" s="2"/>
      <c r="K3609" s="2">
        <v>65997</v>
      </c>
      <c r="L3609" s="2"/>
      <c r="M3609" s="2"/>
      <c r="N3609" s="2"/>
      <c r="O3609" s="2"/>
      <c r="P3609" s="2"/>
      <c r="Q3609" s="2"/>
      <c r="R3609" s="2"/>
      <c r="S3609" s="2" t="s">
        <v>23930</v>
      </c>
      <c r="T3609" s="2" t="s">
        <v>23931</v>
      </c>
      <c r="U3609" s="2" t="s">
        <v>266</v>
      </c>
      <c r="V3609" s="2" t="s">
        <v>2781</v>
      </c>
      <c r="W3609" s="2" t="s">
        <v>2782</v>
      </c>
      <c r="X3609" s="2" t="s">
        <v>147</v>
      </c>
      <c r="Y3609" s="2">
        <v>36</v>
      </c>
      <c r="Z3609" s="2">
        <v>0</v>
      </c>
      <c r="AA3609" s="2" t="s">
        <v>259</v>
      </c>
      <c r="AB3609" s="2" t="s">
        <v>23932</v>
      </c>
      <c r="AC3609" s="2">
        <v>0.97731785242299096</v>
      </c>
      <c r="AD3609" s="2"/>
      <c r="AE3609" s="2">
        <v>0.152345730944491</v>
      </c>
      <c r="AF3609" s="2">
        <v>2974.4844261500202</v>
      </c>
      <c r="AG3609" s="2">
        <v>4909.4699056653099</v>
      </c>
      <c r="AH3609" s="4">
        <v>0.60586671948382798</v>
      </c>
      <c r="AI3609" s="4">
        <v>-0.72292763499724</v>
      </c>
      <c r="AJ3609" s="4" t="s">
        <v>62</v>
      </c>
      <c r="AK3609" s="2">
        <v>0.65725664505568104</v>
      </c>
      <c r="AL3609" s="2">
        <v>0.83289918926266404</v>
      </c>
      <c r="AM3609" s="2">
        <v>6133.0108727525103</v>
      </c>
      <c r="AN3609" s="2">
        <v>1450.81389830736</v>
      </c>
      <c r="AO3609" s="2">
        <v>1188.73417042098</v>
      </c>
      <c r="AP3609" s="2">
        <v>1054.22347580217</v>
      </c>
      <c r="AQ3609" s="2">
        <v>4798.2821628039101</v>
      </c>
      <c r="AR3609" s="2">
        <v>3221.8419768131898</v>
      </c>
      <c r="AS3609" s="2">
        <v>604.28480385619503</v>
      </c>
      <c r="AT3609" s="2">
        <v>443.47051100286598</v>
      </c>
      <c r="AU3609" s="2">
        <v>447.39181638863801</v>
      </c>
      <c r="AV3609" s="2">
        <v>25579.407621791001</v>
      </c>
      <c r="AW3609" s="2">
        <v>364.59870108758298</v>
      </c>
      <c r="AX3609" s="2">
        <v>2017.6659798655901</v>
      </c>
    </row>
    <row r="3610" spans="1:50" x14ac:dyDescent="0.25">
      <c r="A3610" s="2" t="s">
        <v>23933</v>
      </c>
      <c r="B3610" s="2">
        <v>537.33990792671204</v>
      </c>
      <c r="C3610" s="2">
        <v>7.69593333333333</v>
      </c>
      <c r="D3610" s="2" t="s">
        <v>51</v>
      </c>
      <c r="E3610" s="2" t="s">
        <v>23934</v>
      </c>
      <c r="F3610" s="2">
        <v>202719</v>
      </c>
      <c r="G3610" s="3" t="str">
        <f>HYPERLINK("https://cloud.oebiotech.com/#/lm/network/202719", "https://cloud.oebiotech.com/#/lm/network/202719")</f>
        <v>https://cloud.oebiotech.com/#/lm/network/202719</v>
      </c>
      <c r="H3610" s="2" t="s">
        <v>23935</v>
      </c>
      <c r="I3610" s="2">
        <v>318431</v>
      </c>
      <c r="J3610" s="2"/>
      <c r="K3610" s="2">
        <v>133914</v>
      </c>
      <c r="L3610" s="2"/>
      <c r="M3610" s="2"/>
      <c r="N3610" s="2"/>
      <c r="O3610" s="2"/>
      <c r="P3610" s="2"/>
      <c r="Q3610" s="2"/>
      <c r="R3610" s="2"/>
      <c r="S3610" s="2" t="s">
        <v>23936</v>
      </c>
      <c r="T3610" s="2" t="s">
        <v>23937</v>
      </c>
      <c r="U3610" s="2" t="s">
        <v>103</v>
      </c>
      <c r="V3610" s="2" t="s">
        <v>104</v>
      </c>
      <c r="W3610" s="2" t="s">
        <v>4850</v>
      </c>
      <c r="X3610" s="2" t="s">
        <v>147</v>
      </c>
      <c r="Y3610" s="2">
        <v>36.200000000000003</v>
      </c>
      <c r="Z3610" s="2">
        <v>0</v>
      </c>
      <c r="AA3610" s="2" t="s">
        <v>95</v>
      </c>
      <c r="AB3610" s="2" t="s">
        <v>23938</v>
      </c>
      <c r="AC3610" s="2">
        <v>0.23075065857760399</v>
      </c>
      <c r="AD3610" s="2"/>
      <c r="AE3610" s="2">
        <v>0.15227238970941401</v>
      </c>
      <c r="AF3610" s="2">
        <v>2725.2148220375602</v>
      </c>
      <c r="AG3610" s="2">
        <v>1652.61376185363</v>
      </c>
      <c r="AH3610" s="5">
        <v>1.6490331164741501</v>
      </c>
      <c r="AI3610" s="5">
        <v>0.72162037178525695</v>
      </c>
      <c r="AJ3610" s="5" t="s">
        <v>139</v>
      </c>
      <c r="AK3610" s="2">
        <v>0.21357755217910701</v>
      </c>
      <c r="AL3610" s="2">
        <v>0.53768212145991301</v>
      </c>
      <c r="AM3610" s="2">
        <v>2175.6958017095999</v>
      </c>
      <c r="AN3610" s="2">
        <v>4832.8400582021204</v>
      </c>
      <c r="AO3610" s="2">
        <v>1619.91772229803</v>
      </c>
      <c r="AP3610" s="2">
        <v>1598.6412717691101</v>
      </c>
      <c r="AQ3610" s="2">
        <v>1976.2736081278899</v>
      </c>
      <c r="AR3610" s="2">
        <v>4147.92047011863</v>
      </c>
      <c r="AS3610" s="2">
        <v>2954.2719079509602</v>
      </c>
      <c r="AT3610" s="2">
        <v>1768.56681289528</v>
      </c>
      <c r="AU3610" s="2">
        <v>665.30077050891703</v>
      </c>
      <c r="AV3610" s="2">
        <v>601.51386080729901</v>
      </c>
      <c r="AW3610" s="2">
        <v>265.95851348146903</v>
      </c>
      <c r="AX3610" s="2">
        <v>3660.07070547787</v>
      </c>
    </row>
    <row r="3611" spans="1:50" x14ac:dyDescent="0.25">
      <c r="A3611" s="2" t="s">
        <v>23939</v>
      </c>
      <c r="B3611" s="2">
        <v>244.05587514074699</v>
      </c>
      <c r="C3611" s="2">
        <v>5.3260166666666704</v>
      </c>
      <c r="D3611" s="2" t="s">
        <v>51</v>
      </c>
      <c r="E3611" s="2" t="s">
        <v>23940</v>
      </c>
      <c r="F3611" s="2">
        <v>199442</v>
      </c>
      <c r="G3611" s="3" t="str">
        <f>HYPERLINK("https://cloud.oebiotech.com/#/lm/network/199442", "https://cloud.oebiotech.com/#/lm/network/199442")</f>
        <v>https://cloud.oebiotech.com/#/lm/network/199442</v>
      </c>
      <c r="H3611" s="2" t="s">
        <v>23941</v>
      </c>
      <c r="I3611" s="2">
        <v>349466</v>
      </c>
      <c r="J3611" s="2"/>
      <c r="K3611" s="2">
        <v>20274</v>
      </c>
      <c r="L3611" s="2"/>
      <c r="M3611" s="2"/>
      <c r="N3611" s="2"/>
      <c r="O3611" s="2"/>
      <c r="P3611" s="2"/>
      <c r="Q3611" s="2"/>
      <c r="R3611" s="2"/>
      <c r="S3611" s="2" t="s">
        <v>23942</v>
      </c>
      <c r="T3611" s="2" t="s">
        <v>23943</v>
      </c>
      <c r="U3611" s="2" t="s">
        <v>1357</v>
      </c>
      <c r="V3611" s="2" t="s">
        <v>3792</v>
      </c>
      <c r="W3611" s="2" t="s">
        <v>240</v>
      </c>
      <c r="X3611" s="2" t="s">
        <v>147</v>
      </c>
      <c r="Y3611" s="2">
        <v>39.4</v>
      </c>
      <c r="Z3611" s="2">
        <v>0</v>
      </c>
      <c r="AA3611" s="2" t="s">
        <v>512</v>
      </c>
      <c r="AB3611" s="2" t="s">
        <v>23944</v>
      </c>
      <c r="AC3611" s="2">
        <v>0.88986838269840796</v>
      </c>
      <c r="AD3611" s="2"/>
      <c r="AE3611" s="2">
        <v>0.152244399845368</v>
      </c>
      <c r="AF3611" s="2">
        <v>2641.8210063553202</v>
      </c>
      <c r="AG3611" s="2">
        <v>3219.3794280514899</v>
      </c>
      <c r="AH3611" s="4">
        <v>0.82059945570139503</v>
      </c>
      <c r="AI3611" s="4">
        <v>-0.28524989758740199</v>
      </c>
      <c r="AJ3611" s="4" t="s">
        <v>62</v>
      </c>
      <c r="AK3611" s="2">
        <v>1.02752717901856E-2</v>
      </c>
      <c r="AL3611" s="2">
        <v>0.16417368270776</v>
      </c>
      <c r="AM3611" s="2">
        <v>2391.7233570865601</v>
      </c>
      <c r="AN3611" s="2">
        <v>2841.6395689595902</v>
      </c>
      <c r="AO3611" s="2">
        <v>2570.8798351599598</v>
      </c>
      <c r="AP3611" s="2">
        <v>2733.4176026957798</v>
      </c>
      <c r="AQ3611" s="2">
        <v>3000.0805883171802</v>
      </c>
      <c r="AR3611" s="2">
        <v>2313.1850859128499</v>
      </c>
      <c r="AS3611" s="2">
        <v>3280.0226145709098</v>
      </c>
      <c r="AT3611" s="2">
        <v>3643.6289233215598</v>
      </c>
      <c r="AU3611" s="2">
        <v>2811.73089456875</v>
      </c>
      <c r="AV3611" s="2">
        <v>2922.9424750889002</v>
      </c>
      <c r="AW3611" s="2">
        <v>3018.78128974739</v>
      </c>
      <c r="AX3611" s="2">
        <v>3639.1703710114198</v>
      </c>
    </row>
    <row r="3612" spans="1:50" x14ac:dyDescent="0.25">
      <c r="A3612" s="2" t="s">
        <v>23945</v>
      </c>
      <c r="B3612" s="2">
        <v>308.16669999999999</v>
      </c>
      <c r="C3612" s="2">
        <v>20.338000000000001</v>
      </c>
      <c r="D3612" s="2" t="s">
        <v>125</v>
      </c>
      <c r="E3612" s="2" t="s">
        <v>23946</v>
      </c>
      <c r="F3612" s="2">
        <v>47772</v>
      </c>
      <c r="G3612" s="3" t="str">
        <f>HYPERLINK("https://cloud.oebiotech.com/#/lm/network/47772", "https://cloud.oebiotech.com/#/lm/network/47772")</f>
        <v>https://cloud.oebiotech.com/#/lm/network/47772</v>
      </c>
      <c r="H3612" s="2" t="s">
        <v>23947</v>
      </c>
      <c r="I3612" s="2">
        <v>307</v>
      </c>
      <c r="J3612" s="2"/>
      <c r="K3612" s="2">
        <v>637542</v>
      </c>
      <c r="L3612" s="2" t="s">
        <v>23948</v>
      </c>
      <c r="M3612" s="2" t="s">
        <v>23949</v>
      </c>
      <c r="N3612" s="2" t="s">
        <v>23950</v>
      </c>
      <c r="O3612" s="2">
        <v>32374</v>
      </c>
      <c r="P3612" s="2"/>
      <c r="Q3612" s="2"/>
      <c r="R3612" s="2" t="s">
        <v>23951</v>
      </c>
      <c r="S3612" s="2" t="s">
        <v>23952</v>
      </c>
      <c r="T3612" s="2" t="s">
        <v>23953</v>
      </c>
      <c r="U3612" s="2" t="s">
        <v>540</v>
      </c>
      <c r="V3612" s="2" t="s">
        <v>3291</v>
      </c>
      <c r="W3612" s="2" t="s">
        <v>3292</v>
      </c>
      <c r="X3612" s="2" t="s">
        <v>59</v>
      </c>
      <c r="Y3612" s="2">
        <v>73</v>
      </c>
      <c r="Z3612" s="2">
        <v>55</v>
      </c>
      <c r="AA3612" s="2"/>
      <c r="AB3612" s="2" t="s">
        <v>5703</v>
      </c>
      <c r="AC3612" s="2"/>
      <c r="AD3612" s="2">
        <v>685150.06263048004</v>
      </c>
      <c r="AE3612" s="2">
        <v>0.152237980188628</v>
      </c>
      <c r="AF3612" s="2">
        <v>20150.425319276499</v>
      </c>
      <c r="AG3612" s="2">
        <v>6097.3065464031897</v>
      </c>
      <c r="AH3612" s="5">
        <v>3.3048076500538301</v>
      </c>
      <c r="AI3612" s="5">
        <v>1.7245663048981601</v>
      </c>
      <c r="AJ3612" s="5" t="s">
        <v>139</v>
      </c>
      <c r="AK3612" s="2">
        <v>0.449935572153778</v>
      </c>
      <c r="AL3612" s="2">
        <v>0.70407682969872998</v>
      </c>
      <c r="AM3612" s="2">
        <v>2299.8352172700202</v>
      </c>
      <c r="AN3612" s="2">
        <v>2299.8352172700202</v>
      </c>
      <c r="AO3612" s="2">
        <v>2299.8352172700202</v>
      </c>
      <c r="AP3612" s="2">
        <v>2299.8352172700202</v>
      </c>
      <c r="AQ3612" s="2">
        <v>109403.37582930901</v>
      </c>
      <c r="AR3612" s="2">
        <v>2299.8352172700202</v>
      </c>
      <c r="AS3612" s="2">
        <v>4942.1083479260897</v>
      </c>
      <c r="AT3612" s="2">
        <v>6170.45463704947</v>
      </c>
      <c r="AU3612" s="2">
        <v>8105.4383933727804</v>
      </c>
      <c r="AV3612" s="2">
        <v>7330.7379082202497</v>
      </c>
      <c r="AW3612" s="2">
        <v>2299.8352172700202</v>
      </c>
      <c r="AX3612" s="2">
        <v>7735.2647745804998</v>
      </c>
    </row>
    <row r="3613" spans="1:50" x14ac:dyDescent="0.25">
      <c r="A3613" s="2" t="s">
        <v>23954</v>
      </c>
      <c r="B3613" s="2">
        <v>505.14922081746602</v>
      </c>
      <c r="C3613" s="2">
        <v>7.7465999999999999</v>
      </c>
      <c r="D3613" s="2" t="s">
        <v>51</v>
      </c>
      <c r="E3613" s="2" t="s">
        <v>23955</v>
      </c>
      <c r="F3613" s="2">
        <v>514606</v>
      </c>
      <c r="G3613" s="3" t="str">
        <f>HYPERLINK("https://cloud.oebiotech.com/#/lm/network/514606", "https://cloud.oebiotech.com/#/lm/network/514606")</f>
        <v>https://cloud.oebiotech.com/#/lm/network/514606</v>
      </c>
      <c r="H3613" s="2"/>
      <c r="I3613" s="2">
        <v>96406</v>
      </c>
      <c r="J3613" s="2"/>
      <c r="K3613" s="2">
        <v>10027278</v>
      </c>
      <c r="L3613" s="2"/>
      <c r="M3613" s="2"/>
      <c r="N3613" s="2"/>
      <c r="O3613" s="2"/>
      <c r="P3613" s="2"/>
      <c r="Q3613" s="2"/>
      <c r="R3613" s="2"/>
      <c r="S3613" s="2" t="s">
        <v>23956</v>
      </c>
      <c r="T3613" s="2" t="s">
        <v>23957</v>
      </c>
      <c r="U3613" s="2" t="s">
        <v>610</v>
      </c>
      <c r="V3613" s="2" t="s">
        <v>5991</v>
      </c>
      <c r="W3613" s="2" t="s">
        <v>240</v>
      </c>
      <c r="X3613" s="2" t="s">
        <v>147</v>
      </c>
      <c r="Y3613" s="2">
        <v>37.799999999999997</v>
      </c>
      <c r="Z3613" s="2">
        <v>0</v>
      </c>
      <c r="AA3613" s="2" t="s">
        <v>218</v>
      </c>
      <c r="AB3613" s="2" t="s">
        <v>23958</v>
      </c>
      <c r="AC3613" s="2">
        <v>-0.169423967358559</v>
      </c>
      <c r="AD3613" s="2"/>
      <c r="AE3613" s="2">
        <v>0.15221236085918599</v>
      </c>
      <c r="AF3613" s="2">
        <v>23836.945406196799</v>
      </c>
      <c r="AG3613" s="2">
        <v>16544.9969180031</v>
      </c>
      <c r="AH3613" s="5">
        <v>1.44073435155851</v>
      </c>
      <c r="AI3613" s="5">
        <v>0.52680435007230797</v>
      </c>
      <c r="AJ3613" s="5" t="s">
        <v>139</v>
      </c>
      <c r="AK3613" s="2">
        <v>0.60879464867445798</v>
      </c>
      <c r="AL3613" s="2">
        <v>0.80499194413814201</v>
      </c>
      <c r="AM3613" s="2">
        <v>2892.24216940622</v>
      </c>
      <c r="AN3613" s="2">
        <v>9231.7559399451002</v>
      </c>
      <c r="AO3613" s="2">
        <v>64214.800292578402</v>
      </c>
      <c r="AP3613" s="2">
        <v>59180.778347018</v>
      </c>
      <c r="AQ3613" s="2">
        <v>7502.0956796733799</v>
      </c>
      <c r="AR3613" s="2">
        <v>8.559877937157E-6</v>
      </c>
      <c r="AS3613" s="2">
        <v>13868.672688229401</v>
      </c>
      <c r="AT3613" s="2">
        <v>20694.825065015699</v>
      </c>
      <c r="AU3613" s="2">
        <v>3775.1185696119201</v>
      </c>
      <c r="AV3613" s="2">
        <v>47387.993841154901</v>
      </c>
      <c r="AW3613" s="2">
        <v>3738.2861149788801</v>
      </c>
      <c r="AX3613" s="2">
        <v>9805.0852290279909</v>
      </c>
    </row>
    <row r="3614" spans="1:50" x14ac:dyDescent="0.25">
      <c r="A3614" s="2" t="s">
        <v>23959</v>
      </c>
      <c r="B3614" s="2">
        <v>608.30261586106099</v>
      </c>
      <c r="C3614" s="2">
        <v>11.6971333333333</v>
      </c>
      <c r="D3614" s="2" t="s">
        <v>51</v>
      </c>
      <c r="E3614" s="2" t="s">
        <v>23960</v>
      </c>
      <c r="F3614" s="2">
        <v>202557</v>
      </c>
      <c r="G3614" s="3" t="str">
        <f>HYPERLINK("https://cloud.oebiotech.com/#/lm/network/202557", "https://cloud.oebiotech.com/#/lm/network/202557")</f>
        <v>https://cloud.oebiotech.com/#/lm/network/202557</v>
      </c>
      <c r="H3614" s="2" t="s">
        <v>23961</v>
      </c>
      <c r="I3614" s="2"/>
      <c r="J3614" s="2"/>
      <c r="K3614" s="2">
        <v>4419977</v>
      </c>
      <c r="L3614" s="2"/>
      <c r="M3614" s="2"/>
      <c r="N3614" s="2"/>
      <c r="O3614" s="2"/>
      <c r="P3614" s="2"/>
      <c r="Q3614" s="2"/>
      <c r="R3614" s="2"/>
      <c r="S3614" s="2" t="s">
        <v>23962</v>
      </c>
      <c r="T3614" s="2" t="s">
        <v>23963</v>
      </c>
      <c r="U3614" s="2" t="s">
        <v>103</v>
      </c>
      <c r="V3614" s="2" t="s">
        <v>104</v>
      </c>
      <c r="W3614" s="2" t="s">
        <v>105</v>
      </c>
      <c r="X3614" s="2" t="s">
        <v>147</v>
      </c>
      <c r="Y3614" s="2">
        <v>36.200000000000003</v>
      </c>
      <c r="Z3614" s="2">
        <v>0</v>
      </c>
      <c r="AA3614" s="2" t="s">
        <v>512</v>
      </c>
      <c r="AB3614" s="2" t="s">
        <v>23964</v>
      </c>
      <c r="AC3614" s="2">
        <v>-2.09479116818469</v>
      </c>
      <c r="AD3614" s="2"/>
      <c r="AE3614" s="2">
        <v>0.15216631042350401</v>
      </c>
      <c r="AF3614" s="2">
        <v>4979.5120961938801</v>
      </c>
      <c r="AG3614" s="2">
        <v>4098.1197596279399</v>
      </c>
      <c r="AH3614" s="5">
        <v>1.21507237178592</v>
      </c>
      <c r="AI3614" s="5">
        <v>0.28104224577110498</v>
      </c>
      <c r="AJ3614" s="5" t="s">
        <v>139</v>
      </c>
      <c r="AK3614" s="2">
        <v>0.58008581470770004</v>
      </c>
      <c r="AL3614" s="2">
        <v>0.788322492623872</v>
      </c>
      <c r="AM3614" s="2">
        <v>8789.1317413230008</v>
      </c>
      <c r="AN3614" s="2">
        <v>5865.84724956225</v>
      </c>
      <c r="AO3614" s="2">
        <v>3132.96802961306</v>
      </c>
      <c r="AP3614" s="2">
        <v>2970.0079027882298</v>
      </c>
      <c r="AQ3614" s="2">
        <v>4084.4713062796</v>
      </c>
      <c r="AR3614" s="2">
        <v>5034.6463475971404</v>
      </c>
      <c r="AS3614" s="2">
        <v>4120.5223650595599</v>
      </c>
      <c r="AT3614" s="2">
        <v>2038.1936591784399</v>
      </c>
      <c r="AU3614" s="2">
        <v>9113.5140606576697</v>
      </c>
      <c r="AV3614" s="2">
        <v>991.78902341951004</v>
      </c>
      <c r="AW3614" s="2">
        <v>6245.0935503395904</v>
      </c>
      <c r="AX3614" s="2">
        <v>2079.6058991128698</v>
      </c>
    </row>
    <row r="3615" spans="1:50" x14ac:dyDescent="0.25">
      <c r="A3615" s="2" t="s">
        <v>23965</v>
      </c>
      <c r="B3615" s="2">
        <v>387.13466116783798</v>
      </c>
      <c r="C3615" s="2">
        <v>4.3619500000000002</v>
      </c>
      <c r="D3615" s="2" t="s">
        <v>51</v>
      </c>
      <c r="E3615" s="2" t="s">
        <v>23966</v>
      </c>
      <c r="F3615" s="2">
        <v>3881</v>
      </c>
      <c r="G3615" s="3" t="str">
        <f>HYPERLINK("https://cloud.oebiotech.com/#/lm/network/3881", "https://cloud.oebiotech.com/#/lm/network/3881")</f>
        <v>https://cloud.oebiotech.com/#/lm/network/3881</v>
      </c>
      <c r="H3615" s="2"/>
      <c r="I3615" s="2"/>
      <c r="J3615" s="2" t="s">
        <v>23967</v>
      </c>
      <c r="K3615" s="2">
        <v>71581075</v>
      </c>
      <c r="L3615" s="2"/>
      <c r="M3615" s="2"/>
      <c r="N3615" s="2"/>
      <c r="O3615" s="2">
        <v>74019</v>
      </c>
      <c r="P3615" s="2"/>
      <c r="Q3615" s="2"/>
      <c r="R3615" s="2"/>
      <c r="S3615" s="2" t="s">
        <v>23968</v>
      </c>
      <c r="T3615" s="2" t="s">
        <v>23969</v>
      </c>
      <c r="U3615" s="2" t="s">
        <v>103</v>
      </c>
      <c r="V3615" s="2" t="s">
        <v>104</v>
      </c>
      <c r="W3615" s="2" t="s">
        <v>105</v>
      </c>
      <c r="X3615" s="2" t="s">
        <v>83</v>
      </c>
      <c r="Y3615" s="2">
        <v>43</v>
      </c>
      <c r="Z3615" s="2">
        <v>0</v>
      </c>
      <c r="AA3615" s="2" t="s">
        <v>122</v>
      </c>
      <c r="AB3615" s="2" t="s">
        <v>23970</v>
      </c>
      <c r="AC3615" s="2">
        <v>-1.32273083758836</v>
      </c>
      <c r="AD3615" s="2"/>
      <c r="AE3615" s="2">
        <v>0.152129331456718</v>
      </c>
      <c r="AF3615" s="2">
        <v>266.76429495209698</v>
      </c>
      <c r="AG3615" s="2">
        <v>2822.69629268267</v>
      </c>
      <c r="AH3615" s="4">
        <v>9.4506906621033199E-2</v>
      </c>
      <c r="AI3615" s="4">
        <v>-3.4034364235752799</v>
      </c>
      <c r="AJ3615" s="4" t="s">
        <v>62</v>
      </c>
      <c r="AK3615" s="2">
        <v>0.36428983536439702</v>
      </c>
      <c r="AL3615" s="2">
        <v>0.64929112955821799</v>
      </c>
      <c r="AM3615" s="2">
        <v>8.559877937157E-6</v>
      </c>
      <c r="AN3615" s="2">
        <v>387.614191349983</v>
      </c>
      <c r="AO3615" s="2">
        <v>1212.9715441230901</v>
      </c>
      <c r="AP3615" s="2">
        <v>8.559877937157E-6</v>
      </c>
      <c r="AQ3615" s="2">
        <v>8.559877937157E-6</v>
      </c>
      <c r="AR3615" s="2">
        <v>8.559877937157E-6</v>
      </c>
      <c r="AS3615" s="2">
        <v>8.559877937157E-6</v>
      </c>
      <c r="AT3615" s="2">
        <v>8.559877937157E-6</v>
      </c>
      <c r="AU3615" s="2">
        <v>16219.052170499999</v>
      </c>
      <c r="AV3615" s="2">
        <v>710.61582112054498</v>
      </c>
      <c r="AW3615" s="2">
        <v>6.5097387958258599</v>
      </c>
      <c r="AX3615" s="2">
        <v>8.559877937157E-6</v>
      </c>
    </row>
    <row r="3616" spans="1:50" x14ac:dyDescent="0.25">
      <c r="A3616" s="2" t="s">
        <v>23971</v>
      </c>
      <c r="B3616" s="2">
        <v>173.117456696012</v>
      </c>
      <c r="C3616" s="2">
        <v>6.8097833333333302</v>
      </c>
      <c r="D3616" s="2" t="s">
        <v>51</v>
      </c>
      <c r="E3616" s="2" t="s">
        <v>23972</v>
      </c>
      <c r="F3616" s="2">
        <v>302969</v>
      </c>
      <c r="G3616" s="3" t="str">
        <f>HYPERLINK("https://cloud.oebiotech.com/#/lm/network/302969", "https://cloud.oebiotech.com/#/lm/network/302969")</f>
        <v>https://cloud.oebiotech.com/#/lm/network/302969</v>
      </c>
      <c r="H3616" s="2"/>
      <c r="I3616" s="2">
        <v>328845</v>
      </c>
      <c r="J3616" s="2"/>
      <c r="K3616" s="2">
        <v>12683</v>
      </c>
      <c r="L3616" s="2"/>
      <c r="M3616" s="2"/>
      <c r="N3616" s="2"/>
      <c r="O3616" s="2"/>
      <c r="P3616" s="2"/>
      <c r="Q3616" s="2"/>
      <c r="R3616" s="2"/>
      <c r="S3616" s="2" t="s">
        <v>23973</v>
      </c>
      <c r="T3616" s="2" t="s">
        <v>23974</v>
      </c>
      <c r="U3616" s="2" t="s">
        <v>331</v>
      </c>
      <c r="V3616" s="2" t="s">
        <v>332</v>
      </c>
      <c r="W3616" s="2" t="s">
        <v>511</v>
      </c>
      <c r="X3616" s="2" t="s">
        <v>147</v>
      </c>
      <c r="Y3616" s="2">
        <v>37.6</v>
      </c>
      <c r="Z3616" s="2">
        <v>0</v>
      </c>
      <c r="AA3616" s="2" t="s">
        <v>163</v>
      </c>
      <c r="AB3616" s="2" t="s">
        <v>7431</v>
      </c>
      <c r="AC3616" s="2">
        <v>-4.9464751643001499</v>
      </c>
      <c r="AD3616" s="2"/>
      <c r="AE3616" s="2">
        <v>0.15210945310732801</v>
      </c>
      <c r="AF3616" s="2">
        <v>2704.4265180280399</v>
      </c>
      <c r="AG3616" s="2">
        <v>2061.0901011870001</v>
      </c>
      <c r="AH3616" s="5">
        <v>1.3121340578320899</v>
      </c>
      <c r="AI3616" s="5">
        <v>0.39191512444482801</v>
      </c>
      <c r="AJ3616" s="5" t="s">
        <v>139</v>
      </c>
      <c r="AK3616" s="2">
        <v>7.2326040957662194E-2</v>
      </c>
      <c r="AL3616" s="2">
        <v>0.35370651166856698</v>
      </c>
      <c r="AM3616" s="2">
        <v>2850.28410710348</v>
      </c>
      <c r="AN3616" s="2">
        <v>3383.92217836896</v>
      </c>
      <c r="AO3616" s="2">
        <v>2496.1321408968902</v>
      </c>
      <c r="AP3616" s="2">
        <v>2202.5638847372702</v>
      </c>
      <c r="AQ3616" s="2">
        <v>2598.6632724257602</v>
      </c>
      <c r="AR3616" s="2">
        <v>2694.99352463587</v>
      </c>
      <c r="AS3616" s="2">
        <v>2166.771081633</v>
      </c>
      <c r="AT3616" s="2">
        <v>2190.5596684723801</v>
      </c>
      <c r="AU3616" s="2">
        <v>1840.97061631681</v>
      </c>
      <c r="AV3616" s="2">
        <v>1574.4977634721899</v>
      </c>
      <c r="AW3616" s="2">
        <v>1331.6528853014099</v>
      </c>
      <c r="AX3616" s="2">
        <v>3262.0885919262</v>
      </c>
    </row>
    <row r="3617" spans="1:50" x14ac:dyDescent="0.25">
      <c r="A3617" s="2" t="s">
        <v>23975</v>
      </c>
      <c r="B3617" s="2">
        <v>261.14537943052602</v>
      </c>
      <c r="C3617" s="2">
        <v>2.4510333333333301</v>
      </c>
      <c r="D3617" s="2" t="s">
        <v>51</v>
      </c>
      <c r="E3617" s="2" t="s">
        <v>23976</v>
      </c>
      <c r="F3617" s="2">
        <v>53856</v>
      </c>
      <c r="G3617" s="3" t="str">
        <f>HYPERLINK("https://cloud.oebiotech.com/#/lm/network/53856", "https://cloud.oebiotech.com/#/lm/network/53856")</f>
        <v>https://cloud.oebiotech.com/#/lm/network/53856</v>
      </c>
      <c r="H3617" s="2" t="s">
        <v>23977</v>
      </c>
      <c r="I3617" s="2"/>
      <c r="J3617" s="2"/>
      <c r="K3617" s="2">
        <v>9813855</v>
      </c>
      <c r="L3617" s="2"/>
      <c r="M3617" s="2"/>
      <c r="N3617" s="2"/>
      <c r="O3617" s="2">
        <v>141436</v>
      </c>
      <c r="P3617" s="2"/>
      <c r="Q3617" s="2"/>
      <c r="R3617" s="2" t="s">
        <v>23978</v>
      </c>
      <c r="S3617" s="2" t="s">
        <v>23979</v>
      </c>
      <c r="T3617" s="2" t="s">
        <v>23980</v>
      </c>
      <c r="U3617" s="2" t="s">
        <v>103</v>
      </c>
      <c r="V3617" s="2" t="s">
        <v>104</v>
      </c>
      <c r="W3617" s="2" t="s">
        <v>105</v>
      </c>
      <c r="X3617" s="2" t="s">
        <v>69</v>
      </c>
      <c r="Y3617" s="2">
        <v>49.6</v>
      </c>
      <c r="Z3617" s="2">
        <v>58</v>
      </c>
      <c r="AA3617" s="2" t="s">
        <v>179</v>
      </c>
      <c r="AB3617" s="2" t="s">
        <v>16856</v>
      </c>
      <c r="AC3617" s="2">
        <v>3.3876341109400401</v>
      </c>
      <c r="AD3617" s="2"/>
      <c r="AE3617" s="2">
        <v>0.152018855953089</v>
      </c>
      <c r="AF3617" s="2">
        <v>23788.335636871499</v>
      </c>
      <c r="AG3617" s="2">
        <v>22156.666204861001</v>
      </c>
      <c r="AH3617" s="5">
        <v>1.0736423709652001</v>
      </c>
      <c r="AI3617" s="5">
        <v>0.102513513289286</v>
      </c>
      <c r="AJ3617" s="5" t="s">
        <v>139</v>
      </c>
      <c r="AK3617" s="2">
        <v>0.86705202080932198</v>
      </c>
      <c r="AL3617" s="2">
        <v>0.94245475055747796</v>
      </c>
      <c r="AM3617" s="2">
        <v>27340.615345873801</v>
      </c>
      <c r="AN3617" s="2">
        <v>17711.744809855001</v>
      </c>
      <c r="AO3617" s="2">
        <v>24881.066307243502</v>
      </c>
      <c r="AP3617" s="2">
        <v>33928.521629964598</v>
      </c>
      <c r="AQ3617" s="2">
        <v>24030.259700647199</v>
      </c>
      <c r="AR3617" s="2">
        <v>14837.8060276451</v>
      </c>
      <c r="AS3617" s="2">
        <v>12677.1333974426</v>
      </c>
      <c r="AT3617" s="2">
        <v>15111.0743511658</v>
      </c>
      <c r="AU3617" s="2">
        <v>66779.4128183836</v>
      </c>
      <c r="AV3617" s="2">
        <v>19248.845127774799</v>
      </c>
      <c r="AW3617" s="2">
        <v>12492.568232467</v>
      </c>
      <c r="AX3617" s="2">
        <v>6630.9633019324401</v>
      </c>
    </row>
    <row r="3618" spans="1:50" x14ac:dyDescent="0.25">
      <c r="A3618" s="2" t="s">
        <v>23981</v>
      </c>
      <c r="B3618" s="2">
        <v>319.079952266661</v>
      </c>
      <c r="C3618" s="2">
        <v>7.9598333333333304</v>
      </c>
      <c r="D3618" s="2" t="s">
        <v>51</v>
      </c>
      <c r="E3618" s="2" t="s">
        <v>23982</v>
      </c>
      <c r="F3618" s="2">
        <v>55503</v>
      </c>
      <c r="G3618" s="3" t="str">
        <f>HYPERLINK("https://cloud.oebiotech.com/#/lm/network/55503", "https://cloud.oebiotech.com/#/lm/network/55503")</f>
        <v>https://cloud.oebiotech.com/#/lm/network/55503</v>
      </c>
      <c r="H3618" s="2" t="s">
        <v>23983</v>
      </c>
      <c r="I3618" s="2">
        <v>87176</v>
      </c>
      <c r="J3618" s="2"/>
      <c r="K3618" s="2">
        <v>131751080</v>
      </c>
      <c r="L3618" s="2"/>
      <c r="M3618" s="2"/>
      <c r="N3618" s="2"/>
      <c r="O3618" s="2">
        <v>174603</v>
      </c>
      <c r="P3618" s="2"/>
      <c r="Q3618" s="2"/>
      <c r="R3618" s="2" t="s">
        <v>23984</v>
      </c>
      <c r="S3618" s="2" t="s">
        <v>23985</v>
      </c>
      <c r="T3618" s="2" t="s">
        <v>23986</v>
      </c>
      <c r="U3618" s="2" t="s">
        <v>540</v>
      </c>
      <c r="V3618" s="2" t="s">
        <v>11343</v>
      </c>
      <c r="W3618" s="2" t="s">
        <v>240</v>
      </c>
      <c r="X3618" s="2" t="s">
        <v>83</v>
      </c>
      <c r="Y3618" s="2">
        <v>49.7</v>
      </c>
      <c r="Z3618" s="2">
        <v>0</v>
      </c>
      <c r="AA3618" s="2" t="s">
        <v>218</v>
      </c>
      <c r="AB3618" s="2" t="s">
        <v>23987</v>
      </c>
      <c r="AC3618" s="2">
        <v>-8.6621220083941797</v>
      </c>
      <c r="AD3618" s="2"/>
      <c r="AE3618" s="2">
        <v>0.15200786195904201</v>
      </c>
      <c r="AF3618" s="2">
        <v>2474.2809755646499</v>
      </c>
      <c r="AG3618" s="2">
        <v>3005.1682073054799</v>
      </c>
      <c r="AH3618" s="4">
        <v>0.823341924605</v>
      </c>
      <c r="AI3618" s="4">
        <v>-0.28043640483788901</v>
      </c>
      <c r="AJ3618" s="4" t="s">
        <v>62</v>
      </c>
      <c r="AK3618" s="2">
        <v>3.1242511649985798E-2</v>
      </c>
      <c r="AL3618" s="2">
        <v>0.26161747766708798</v>
      </c>
      <c r="AM3618" s="2">
        <v>2038.9263571676499</v>
      </c>
      <c r="AN3618" s="2">
        <v>2469.9541936130199</v>
      </c>
      <c r="AO3618" s="2">
        <v>2389.8878141844998</v>
      </c>
      <c r="AP3618" s="2">
        <v>2622.3443861708502</v>
      </c>
      <c r="AQ3618" s="2">
        <v>2624.91357728608</v>
      </c>
      <c r="AR3618" s="2">
        <v>2699.6595249657998</v>
      </c>
      <c r="AS3618" s="2">
        <v>2982.7989308095098</v>
      </c>
      <c r="AT3618" s="2">
        <v>3138.9797137602</v>
      </c>
      <c r="AU3618" s="2">
        <v>2469.9497421904498</v>
      </c>
      <c r="AV3618" s="2">
        <v>2914.5540308854102</v>
      </c>
      <c r="AW3618" s="2">
        <v>2709.5197615290099</v>
      </c>
      <c r="AX3618" s="2">
        <v>3815.2070646582802</v>
      </c>
    </row>
    <row r="3619" spans="1:50" x14ac:dyDescent="0.25">
      <c r="A3619" s="2" t="s">
        <v>23988</v>
      </c>
      <c r="B3619" s="2">
        <v>796.477456292341</v>
      </c>
      <c r="C3619" s="2">
        <v>10.40935</v>
      </c>
      <c r="D3619" s="2" t="s">
        <v>51</v>
      </c>
      <c r="E3619" s="2" t="s">
        <v>23989</v>
      </c>
      <c r="F3619" s="2">
        <v>234337</v>
      </c>
      <c r="G3619" s="3" t="str">
        <f>HYPERLINK("https://cloud.oebiotech.com/#/lm/network/234337", "https://cloud.oebiotech.com/#/lm/network/234337")</f>
        <v>https://cloud.oebiotech.com/#/lm/network/234337</v>
      </c>
      <c r="H3619" s="2" t="s">
        <v>23990</v>
      </c>
      <c r="I3619" s="2"/>
      <c r="J3619" s="2"/>
      <c r="K3619" s="2"/>
      <c r="L3619" s="2"/>
      <c r="M3619" s="2"/>
      <c r="N3619" s="2"/>
      <c r="O3619" s="2"/>
      <c r="P3619" s="2"/>
      <c r="Q3619" s="2"/>
      <c r="R3619" s="2"/>
      <c r="S3619" s="2" t="s">
        <v>23991</v>
      </c>
      <c r="T3619" s="2" t="s">
        <v>23992</v>
      </c>
      <c r="U3619" s="2" t="s">
        <v>56</v>
      </c>
      <c r="V3619" s="2" t="s">
        <v>57</v>
      </c>
      <c r="W3619" s="2" t="s">
        <v>82</v>
      </c>
      <c r="X3619" s="2" t="s">
        <v>147</v>
      </c>
      <c r="Y3619" s="2">
        <v>37.700000000000003</v>
      </c>
      <c r="Z3619" s="2">
        <v>0</v>
      </c>
      <c r="AA3619" s="2" t="s">
        <v>163</v>
      </c>
      <c r="AB3619" s="2" t="s">
        <v>23993</v>
      </c>
      <c r="AC3619" s="2">
        <v>0.544167881608564</v>
      </c>
      <c r="AD3619" s="2"/>
      <c r="AE3619" s="2">
        <v>0.151840924900774</v>
      </c>
      <c r="AF3619" s="2">
        <v>2047.9857296883899</v>
      </c>
      <c r="AG3619" s="2">
        <v>3696.8499873811202</v>
      </c>
      <c r="AH3619" s="4">
        <v>0.553981291282854</v>
      </c>
      <c r="AI3619" s="4">
        <v>-0.85209083960424203</v>
      </c>
      <c r="AJ3619" s="4" t="s">
        <v>62</v>
      </c>
      <c r="AK3619" s="2">
        <v>0.39100046487669399</v>
      </c>
      <c r="AL3619" s="2">
        <v>0.66528673878009803</v>
      </c>
      <c r="AM3619" s="2">
        <v>5268.1257551799099</v>
      </c>
      <c r="AN3619" s="2">
        <v>650.33577003067398</v>
      </c>
      <c r="AO3619" s="2">
        <v>1857.8607277393601</v>
      </c>
      <c r="AP3619" s="2">
        <v>3653.81246447997</v>
      </c>
      <c r="AQ3619" s="2">
        <v>8.559877937157E-6</v>
      </c>
      <c r="AR3619" s="2">
        <v>857.77965214057099</v>
      </c>
      <c r="AS3619" s="2">
        <v>8.559877937157E-6</v>
      </c>
      <c r="AT3619" s="2">
        <v>1130.8649682042101</v>
      </c>
      <c r="AU3619" s="2">
        <v>5528.00459069718</v>
      </c>
      <c r="AV3619" s="2">
        <v>10063.458010469099</v>
      </c>
      <c r="AW3619" s="2">
        <v>5458.7723377964603</v>
      </c>
      <c r="AX3619" s="2">
        <v>8.559877937157E-6</v>
      </c>
    </row>
    <row r="3620" spans="1:50" x14ac:dyDescent="0.25">
      <c r="A3620" s="2" t="s">
        <v>23994</v>
      </c>
      <c r="B3620" s="2">
        <v>209.09272481924901</v>
      </c>
      <c r="C3620" s="2">
        <v>2.0231333333333299</v>
      </c>
      <c r="D3620" s="2" t="s">
        <v>51</v>
      </c>
      <c r="E3620" s="2" t="s">
        <v>23995</v>
      </c>
      <c r="F3620" s="2">
        <v>47158</v>
      </c>
      <c r="G3620" s="3" t="str">
        <f>HYPERLINK("https://cloud.oebiotech.com/#/lm/network/47158", "https://cloud.oebiotech.com/#/lm/network/47158")</f>
        <v>https://cloud.oebiotech.com/#/lm/network/47158</v>
      </c>
      <c r="H3620" s="2" t="s">
        <v>23996</v>
      </c>
      <c r="I3620" s="2">
        <v>72</v>
      </c>
      <c r="J3620" s="2"/>
      <c r="K3620" s="2">
        <v>161166</v>
      </c>
      <c r="L3620" s="2" t="s">
        <v>23997</v>
      </c>
      <c r="M3620" s="2" t="s">
        <v>23998</v>
      </c>
      <c r="N3620" s="2" t="s">
        <v>23999</v>
      </c>
      <c r="O3620" s="2">
        <v>16946</v>
      </c>
      <c r="P3620" s="2" t="s">
        <v>3763</v>
      </c>
      <c r="Q3620" s="2" t="s">
        <v>3764</v>
      </c>
      <c r="R3620" s="2" t="s">
        <v>24000</v>
      </c>
      <c r="S3620" s="2" t="s">
        <v>24001</v>
      </c>
      <c r="T3620" s="2" t="s">
        <v>24002</v>
      </c>
      <c r="U3620" s="2" t="s">
        <v>331</v>
      </c>
      <c r="V3620" s="2" t="s">
        <v>332</v>
      </c>
      <c r="W3620" s="2" t="s">
        <v>1207</v>
      </c>
      <c r="X3620" s="2" t="s">
        <v>69</v>
      </c>
      <c r="Y3620" s="2">
        <v>54.6</v>
      </c>
      <c r="Z3620" s="2">
        <v>75.400000000000006</v>
      </c>
      <c r="AA3620" s="2" t="s">
        <v>259</v>
      </c>
      <c r="AB3620" s="2" t="s">
        <v>24003</v>
      </c>
      <c r="AC3620" s="2">
        <v>3.1532055866462598</v>
      </c>
      <c r="AD3620" s="2"/>
      <c r="AE3620" s="2">
        <v>0.15182802117677199</v>
      </c>
      <c r="AF3620" s="2">
        <v>40840.326896619197</v>
      </c>
      <c r="AG3620" s="2">
        <v>38314.583658106203</v>
      </c>
      <c r="AH3620" s="5">
        <v>1.06592119755368</v>
      </c>
      <c r="AI3620" s="5">
        <v>9.2100785094437504E-2</v>
      </c>
      <c r="AJ3620" s="5" t="s">
        <v>139</v>
      </c>
      <c r="AK3620" s="2">
        <v>0.76548619227687498</v>
      </c>
      <c r="AL3620" s="2">
        <v>0.89342752558876304</v>
      </c>
      <c r="AM3620" s="2">
        <v>25166.085268494899</v>
      </c>
      <c r="AN3620" s="2">
        <v>53455.438163278603</v>
      </c>
      <c r="AO3620" s="2">
        <v>41936.603341828901</v>
      </c>
      <c r="AP3620" s="2">
        <v>42390.197496886198</v>
      </c>
      <c r="AQ3620" s="2">
        <v>29554.579403269501</v>
      </c>
      <c r="AR3620" s="2">
        <v>52539.057705957101</v>
      </c>
      <c r="AS3620" s="2">
        <v>31328.687777224401</v>
      </c>
      <c r="AT3620" s="2">
        <v>65001.411854150203</v>
      </c>
      <c r="AU3620" s="2">
        <v>34786.928604807603</v>
      </c>
      <c r="AV3620" s="2">
        <v>15638.427494236001</v>
      </c>
      <c r="AW3620" s="2">
        <v>46826.4526381459</v>
      </c>
      <c r="AX3620" s="2">
        <v>36305.593580073</v>
      </c>
    </row>
    <row r="3621" spans="1:50" x14ac:dyDescent="0.25">
      <c r="A3621" s="2" t="s">
        <v>24004</v>
      </c>
      <c r="B3621" s="2">
        <v>292.12950000000001</v>
      </c>
      <c r="C3621" s="2">
        <v>17.977</v>
      </c>
      <c r="D3621" s="2" t="s">
        <v>125</v>
      </c>
      <c r="E3621" s="2" t="s">
        <v>24005</v>
      </c>
      <c r="F3621" s="2">
        <v>47269</v>
      </c>
      <c r="G3621" s="3" t="str">
        <f>HYPERLINK("https://cloud.oebiotech.com/#/lm/network/47269", "https://cloud.oebiotech.com/#/lm/network/47269")</f>
        <v>https://cloud.oebiotech.com/#/lm/network/47269</v>
      </c>
      <c r="H3621" s="2" t="s">
        <v>24006</v>
      </c>
      <c r="I3621" s="2">
        <v>3290</v>
      </c>
      <c r="J3621" s="2"/>
      <c r="K3621" s="2">
        <v>5460677</v>
      </c>
      <c r="L3621" s="2" t="s">
        <v>24007</v>
      </c>
      <c r="M3621" s="2"/>
      <c r="N3621" s="2"/>
      <c r="O3621" s="2">
        <v>21077</v>
      </c>
      <c r="P3621" s="2"/>
      <c r="Q3621" s="2"/>
      <c r="R3621" s="2" t="s">
        <v>24008</v>
      </c>
      <c r="S3621" s="2" t="s">
        <v>24009</v>
      </c>
      <c r="T3621" s="2" t="s">
        <v>24010</v>
      </c>
      <c r="U3621" s="2" t="s">
        <v>331</v>
      </c>
      <c r="V3621" s="2" t="s">
        <v>332</v>
      </c>
      <c r="W3621" s="2" t="s">
        <v>333</v>
      </c>
      <c r="X3621" s="2" t="s">
        <v>69</v>
      </c>
      <c r="Y3621" s="2">
        <v>93.6</v>
      </c>
      <c r="Z3621" s="2">
        <v>90</v>
      </c>
      <c r="AA3621" s="2"/>
      <c r="AB3621" s="2" t="s">
        <v>8098</v>
      </c>
      <c r="AC3621" s="2"/>
      <c r="AD3621" s="2">
        <v>603605.42229078303</v>
      </c>
      <c r="AE3621" s="2">
        <v>0.151826775468305</v>
      </c>
      <c r="AF3621" s="2">
        <v>77941.080047918003</v>
      </c>
      <c r="AG3621" s="2">
        <v>64926.057704371</v>
      </c>
      <c r="AH3621" s="5">
        <v>1.20045915005049</v>
      </c>
      <c r="AI3621" s="5">
        <v>0.26358631150477702</v>
      </c>
      <c r="AJ3621" s="5" t="s">
        <v>139</v>
      </c>
      <c r="AK3621" s="2">
        <v>0.49338845334593101</v>
      </c>
      <c r="AL3621" s="2">
        <v>0.735068318071466</v>
      </c>
      <c r="AM3621" s="2">
        <v>106002.19187342</v>
      </c>
      <c r="AN3621" s="2">
        <v>103383.90674704</v>
      </c>
      <c r="AO3621" s="2">
        <v>57291.120371313802</v>
      </c>
      <c r="AP3621" s="2">
        <v>30321.4135952453</v>
      </c>
      <c r="AQ3621" s="2">
        <v>50493.373348579698</v>
      </c>
      <c r="AR3621" s="2">
        <v>120154.474351909</v>
      </c>
      <c r="AS3621" s="2">
        <v>103637.301372936</v>
      </c>
      <c r="AT3621" s="2">
        <v>42138.625052032003</v>
      </c>
      <c r="AU3621" s="2">
        <v>71781.314398039103</v>
      </c>
      <c r="AV3621" s="2">
        <v>67951.067484445593</v>
      </c>
      <c r="AW3621" s="2">
        <v>29843.2246386759</v>
      </c>
      <c r="AX3621" s="2">
        <v>74204.813280097194</v>
      </c>
    </row>
    <row r="3622" spans="1:50" x14ac:dyDescent="0.25">
      <c r="A3622" s="2" t="s">
        <v>24011</v>
      </c>
      <c r="B3622" s="2">
        <v>295.12750821429699</v>
      </c>
      <c r="C3622" s="2">
        <v>3.63276666666667</v>
      </c>
      <c r="D3622" s="2" t="s">
        <v>51</v>
      </c>
      <c r="E3622" s="2" t="s">
        <v>24012</v>
      </c>
      <c r="F3622" s="2">
        <v>54756</v>
      </c>
      <c r="G3622" s="3" t="str">
        <f>HYPERLINK("https://cloud.oebiotech.com/#/lm/network/54756", "https://cloud.oebiotech.com/#/lm/network/54756")</f>
        <v>https://cloud.oebiotech.com/#/lm/network/54756</v>
      </c>
      <c r="H3622" s="2" t="s">
        <v>24013</v>
      </c>
      <c r="I3622" s="2"/>
      <c r="J3622" s="2"/>
      <c r="K3622" s="2">
        <v>131750921</v>
      </c>
      <c r="L3622" s="2" t="s">
        <v>24014</v>
      </c>
      <c r="M3622" s="2"/>
      <c r="N3622" s="2"/>
      <c r="O3622" s="2"/>
      <c r="P3622" s="2"/>
      <c r="Q3622" s="2"/>
      <c r="R3622" s="2" t="s">
        <v>24015</v>
      </c>
      <c r="S3622" s="2" t="s">
        <v>24016</v>
      </c>
      <c r="T3622" s="2" t="s">
        <v>24017</v>
      </c>
      <c r="U3622" s="2" t="s">
        <v>610</v>
      </c>
      <c r="V3622" s="2" t="s">
        <v>895</v>
      </c>
      <c r="W3622" s="2" t="s">
        <v>5219</v>
      </c>
      <c r="X3622" s="2" t="s">
        <v>83</v>
      </c>
      <c r="Y3622" s="2">
        <v>38.700000000000003</v>
      </c>
      <c r="Z3622" s="2">
        <v>0</v>
      </c>
      <c r="AA3622" s="2" t="s">
        <v>218</v>
      </c>
      <c r="AB3622" s="2" t="s">
        <v>8003</v>
      </c>
      <c r="AC3622" s="2">
        <v>-9.7432705620537003</v>
      </c>
      <c r="AD3622" s="2"/>
      <c r="AE3622" s="2">
        <v>0.15178533216450099</v>
      </c>
      <c r="AF3622" s="2">
        <v>2314.9360837171898</v>
      </c>
      <c r="AG3622" s="2">
        <v>978.073214718793</v>
      </c>
      <c r="AH3622" s="5">
        <v>2.3668331254555</v>
      </c>
      <c r="AI3622" s="5">
        <v>1.24295799185003</v>
      </c>
      <c r="AJ3622" s="5" t="s">
        <v>139</v>
      </c>
      <c r="AK3622" s="2">
        <v>0.237715287994686</v>
      </c>
      <c r="AL3622" s="2">
        <v>0.56163755472588195</v>
      </c>
      <c r="AM3622" s="2">
        <v>617.47077294823998</v>
      </c>
      <c r="AN3622" s="2">
        <v>1950.9385699670399</v>
      </c>
      <c r="AO3622" s="2">
        <v>831.76586069735299</v>
      </c>
      <c r="AP3622" s="2">
        <v>529.73104491493802</v>
      </c>
      <c r="AQ3622" s="2">
        <v>6963.5657959111704</v>
      </c>
      <c r="AR3622" s="2">
        <v>2996.1444578644</v>
      </c>
      <c r="AS3622" s="2">
        <v>119.762381168047</v>
      </c>
      <c r="AT3622" s="2">
        <v>600.88302147271804</v>
      </c>
      <c r="AU3622" s="2">
        <v>2369.7439241268999</v>
      </c>
      <c r="AV3622" s="2">
        <v>1489.90503541357</v>
      </c>
      <c r="AW3622" s="2">
        <v>312.773516032928</v>
      </c>
      <c r="AX3622" s="2">
        <v>975.37141009859397</v>
      </c>
    </row>
    <row r="3623" spans="1:50" x14ac:dyDescent="0.25">
      <c r="A3623" s="2" t="s">
        <v>24018</v>
      </c>
      <c r="B3623" s="2">
        <v>219.13871465073601</v>
      </c>
      <c r="C3623" s="2">
        <v>8.0870666666666704</v>
      </c>
      <c r="D3623" s="2" t="s">
        <v>51</v>
      </c>
      <c r="E3623" s="2" t="s">
        <v>24019</v>
      </c>
      <c r="F3623" s="2">
        <v>2598</v>
      </c>
      <c r="G3623" s="3" t="str">
        <f>HYPERLINK("https://cloud.oebiotech.com/#/lm/network/2598", "https://cloud.oebiotech.com/#/lm/network/2598")</f>
        <v>https://cloud.oebiotech.com/#/lm/network/2598</v>
      </c>
      <c r="H3623" s="2"/>
      <c r="I3623" s="2"/>
      <c r="J3623" s="2" t="s">
        <v>24020</v>
      </c>
      <c r="K3623" s="2">
        <v>137323820</v>
      </c>
      <c r="L3623" s="2"/>
      <c r="M3623" s="2"/>
      <c r="N3623" s="2"/>
      <c r="O3623" s="2"/>
      <c r="P3623" s="2"/>
      <c r="Q3623" s="2"/>
      <c r="R3623" s="2"/>
      <c r="S3623" s="2" t="s">
        <v>24021</v>
      </c>
      <c r="T3623" s="2" t="s">
        <v>24022</v>
      </c>
      <c r="U3623" s="2" t="s">
        <v>103</v>
      </c>
      <c r="V3623" s="2" t="s">
        <v>104</v>
      </c>
      <c r="W3623" s="2" t="s">
        <v>7932</v>
      </c>
      <c r="X3623" s="2" t="s">
        <v>83</v>
      </c>
      <c r="Y3623" s="2">
        <v>53.3</v>
      </c>
      <c r="Z3623" s="2">
        <v>0</v>
      </c>
      <c r="AA3623" s="2" t="s">
        <v>259</v>
      </c>
      <c r="AB3623" s="2" t="s">
        <v>1437</v>
      </c>
      <c r="AC3623" s="2">
        <v>3.4768257098842899</v>
      </c>
      <c r="AD3623" s="2"/>
      <c r="AE3623" s="2">
        <v>0.15178115941259601</v>
      </c>
      <c r="AF3623" s="2">
        <v>1263.26374606064</v>
      </c>
      <c r="AG3623" s="2">
        <v>776.758731720833</v>
      </c>
      <c r="AH3623" s="5">
        <v>1.6263270620235</v>
      </c>
      <c r="AI3623" s="5">
        <v>0.70161741935050304</v>
      </c>
      <c r="AJ3623" s="5" t="s">
        <v>139</v>
      </c>
      <c r="AK3623" s="2">
        <v>2.05128400728339E-2</v>
      </c>
      <c r="AL3623" s="2">
        <v>0.22345822295855899</v>
      </c>
      <c r="AM3623" s="2">
        <v>1481.4545100170201</v>
      </c>
      <c r="AN3623" s="2">
        <v>1837.5102838535299</v>
      </c>
      <c r="AO3623" s="2">
        <v>1098.0028524592501</v>
      </c>
      <c r="AP3623" s="2">
        <v>687.55529712821999</v>
      </c>
      <c r="AQ3623" s="2">
        <v>1130.3299351451799</v>
      </c>
      <c r="AR3623" s="2">
        <v>1344.72959776064</v>
      </c>
      <c r="AS3623" s="2">
        <v>1011.6642495275501</v>
      </c>
      <c r="AT3623" s="2">
        <v>688.41502789424806</v>
      </c>
      <c r="AU3623" s="2">
        <v>1001.77400454975</v>
      </c>
      <c r="AV3623" s="2">
        <v>582.48766363555796</v>
      </c>
      <c r="AW3623" s="2">
        <v>610.34564067372401</v>
      </c>
      <c r="AX3623" s="2">
        <v>765.86580404416998</v>
      </c>
    </row>
    <row r="3624" spans="1:50" x14ac:dyDescent="0.25">
      <c r="A3624" s="2" t="s">
        <v>24023</v>
      </c>
      <c r="B3624" s="2">
        <v>293.15078955367397</v>
      </c>
      <c r="C3624" s="2">
        <v>9.0105500000000003</v>
      </c>
      <c r="D3624" s="2" t="s">
        <v>51</v>
      </c>
      <c r="E3624" s="2" t="s">
        <v>24024</v>
      </c>
      <c r="F3624" s="2">
        <v>57735</v>
      </c>
      <c r="G3624" s="3" t="str">
        <f>HYPERLINK("https://cloud.oebiotech.com/#/lm/network/57735", "https://cloud.oebiotech.com/#/lm/network/57735")</f>
        <v>https://cloud.oebiotech.com/#/lm/network/57735</v>
      </c>
      <c r="H3624" s="2" t="s">
        <v>24025</v>
      </c>
      <c r="I3624" s="2">
        <v>89326</v>
      </c>
      <c r="J3624" s="2"/>
      <c r="K3624" s="2">
        <v>107777</v>
      </c>
      <c r="L3624" s="2"/>
      <c r="M3624" s="2"/>
      <c r="N3624" s="2"/>
      <c r="O3624" s="2">
        <v>174090</v>
      </c>
      <c r="P3624" s="2"/>
      <c r="Q3624" s="2"/>
      <c r="R3624" s="2" t="s">
        <v>24026</v>
      </c>
      <c r="S3624" s="2" t="s">
        <v>24027</v>
      </c>
      <c r="T3624" s="2" t="s">
        <v>24028</v>
      </c>
      <c r="U3624" s="2" t="s">
        <v>266</v>
      </c>
      <c r="V3624" s="2" t="s">
        <v>1785</v>
      </c>
      <c r="W3624" s="2" t="s">
        <v>1786</v>
      </c>
      <c r="X3624" s="2" t="s">
        <v>147</v>
      </c>
      <c r="Y3624" s="2">
        <v>40.700000000000003</v>
      </c>
      <c r="Z3624" s="2">
        <v>12.1</v>
      </c>
      <c r="AA3624" s="2" t="s">
        <v>60</v>
      </c>
      <c r="AB3624" s="2" t="s">
        <v>24029</v>
      </c>
      <c r="AC3624" s="2">
        <v>4.1280992326383696</v>
      </c>
      <c r="AD3624" s="2"/>
      <c r="AE3624" s="2">
        <v>0.151655984360829</v>
      </c>
      <c r="AF3624" s="2">
        <v>170.27316671954401</v>
      </c>
      <c r="AG3624" s="2">
        <v>2756.1102728932201</v>
      </c>
      <c r="AH3624" s="4">
        <v>6.1780244569387299E-2</v>
      </c>
      <c r="AI3624" s="4">
        <v>-4.0167106076025698</v>
      </c>
      <c r="AJ3624" s="4" t="s">
        <v>62</v>
      </c>
      <c r="AK3624" s="2">
        <v>0.36629916186261302</v>
      </c>
      <c r="AL3624" s="2">
        <v>0.65122678586673299</v>
      </c>
      <c r="AM3624" s="2">
        <v>235.575274254118</v>
      </c>
      <c r="AN3624" s="2">
        <v>339.73091460835002</v>
      </c>
      <c r="AO3624" s="2">
        <v>207.755702191974</v>
      </c>
      <c r="AP3624" s="2">
        <v>8.559877937157E-6</v>
      </c>
      <c r="AQ3624" s="2">
        <v>137.96704480014799</v>
      </c>
      <c r="AR3624" s="2">
        <v>100.61005590279601</v>
      </c>
      <c r="AS3624" s="2">
        <v>8.559877937157E-6</v>
      </c>
      <c r="AT3624" s="2">
        <v>8.559877937157E-6</v>
      </c>
      <c r="AU3624" s="2">
        <v>16416.6364293183</v>
      </c>
      <c r="AV3624" s="2">
        <v>9.6780109498024398</v>
      </c>
      <c r="AW3624" s="2">
        <v>98.2735361017927</v>
      </c>
      <c r="AX3624" s="2">
        <v>12.073643869689</v>
      </c>
    </row>
    <row r="3625" spans="1:50" x14ac:dyDescent="0.25">
      <c r="A3625" s="2" t="s">
        <v>24030</v>
      </c>
      <c r="B3625" s="2">
        <v>515.41072245065595</v>
      </c>
      <c r="C3625" s="2">
        <v>14.3198666666667</v>
      </c>
      <c r="D3625" s="2" t="s">
        <v>51</v>
      </c>
      <c r="E3625" s="2" t="s">
        <v>24031</v>
      </c>
      <c r="F3625" s="2">
        <v>1245</v>
      </c>
      <c r="G3625" s="3" t="str">
        <f>HYPERLINK("https://cloud.oebiotech.com/#/lm/network/1245", "https://cloud.oebiotech.com/#/lm/network/1245")</f>
        <v>https://cloud.oebiotech.com/#/lm/network/1245</v>
      </c>
      <c r="H3625" s="2"/>
      <c r="I3625" s="2">
        <v>74370</v>
      </c>
      <c r="J3625" s="2" t="s">
        <v>24032</v>
      </c>
      <c r="K3625" s="2">
        <v>52921810</v>
      </c>
      <c r="L3625" s="2"/>
      <c r="M3625" s="2"/>
      <c r="N3625" s="2"/>
      <c r="O3625" s="2">
        <v>77379</v>
      </c>
      <c r="P3625" s="2"/>
      <c r="Q3625" s="2"/>
      <c r="R3625" s="2"/>
      <c r="S3625" s="2" t="s">
        <v>24033</v>
      </c>
      <c r="T3625" s="2" t="s">
        <v>24034</v>
      </c>
      <c r="U3625" s="2" t="s">
        <v>56</v>
      </c>
      <c r="V3625" s="2" t="s">
        <v>145</v>
      </c>
      <c r="W3625" s="2" t="s">
        <v>231</v>
      </c>
      <c r="X3625" s="2" t="s">
        <v>83</v>
      </c>
      <c r="Y3625" s="2">
        <v>43.4</v>
      </c>
      <c r="Z3625" s="2">
        <v>0</v>
      </c>
      <c r="AA3625" s="2" t="s">
        <v>218</v>
      </c>
      <c r="AB3625" s="2" t="s">
        <v>24035</v>
      </c>
      <c r="AC3625" s="2">
        <v>0.29465584107192699</v>
      </c>
      <c r="AD3625" s="2"/>
      <c r="AE3625" s="2">
        <v>0.15144878328217901</v>
      </c>
      <c r="AF3625" s="2">
        <v>5261.48685564073</v>
      </c>
      <c r="AG3625" s="2">
        <v>2620.4103732717399</v>
      </c>
      <c r="AH3625" s="5">
        <v>2.0078865926146698</v>
      </c>
      <c r="AI3625" s="5">
        <v>1.0056777867723401</v>
      </c>
      <c r="AJ3625" s="5" t="s">
        <v>139</v>
      </c>
      <c r="AK3625" s="2">
        <v>0.26333713924117702</v>
      </c>
      <c r="AL3625" s="2">
        <v>0.58557148379005897</v>
      </c>
      <c r="AM3625" s="2">
        <v>551.40677609092802</v>
      </c>
      <c r="AN3625" s="2">
        <v>4274.3678081493899</v>
      </c>
      <c r="AO3625" s="2">
        <v>6109.1006523456099</v>
      </c>
      <c r="AP3625" s="2">
        <v>14518.8485321435</v>
      </c>
      <c r="AQ3625" s="2">
        <v>3484.0315408649699</v>
      </c>
      <c r="AR3625" s="2">
        <v>2631.1658242499798</v>
      </c>
      <c r="AS3625" s="2">
        <v>2077.9257519591702</v>
      </c>
      <c r="AT3625" s="2">
        <v>1605.3093291135101</v>
      </c>
      <c r="AU3625" s="2">
        <v>1370.61517269554</v>
      </c>
      <c r="AV3625" s="2">
        <v>1378.3749983855801</v>
      </c>
      <c r="AW3625" s="2">
        <v>1756.6493257408399</v>
      </c>
      <c r="AX3625" s="2">
        <v>7533.5876617358199</v>
      </c>
    </row>
    <row r="3626" spans="1:50" x14ac:dyDescent="0.25">
      <c r="A3626" s="2" t="s">
        <v>24036</v>
      </c>
      <c r="B3626" s="2">
        <v>201.160340429971</v>
      </c>
      <c r="C3626" s="2">
        <v>3.9009</v>
      </c>
      <c r="D3626" s="2" t="s">
        <v>51</v>
      </c>
      <c r="E3626" s="2" t="s">
        <v>24037</v>
      </c>
      <c r="F3626" s="2">
        <v>53332</v>
      </c>
      <c r="G3626" s="3" t="str">
        <f>HYPERLINK("https://cloud.oebiotech.com/#/lm/network/53332", "https://cloud.oebiotech.com/#/lm/network/53332")</f>
        <v>https://cloud.oebiotech.com/#/lm/network/53332</v>
      </c>
      <c r="H3626" s="2" t="s">
        <v>24038</v>
      </c>
      <c r="I3626" s="2">
        <v>85468</v>
      </c>
      <c r="J3626" s="2"/>
      <c r="K3626" s="2">
        <v>4162</v>
      </c>
      <c r="L3626" s="2"/>
      <c r="M3626" s="2"/>
      <c r="N3626" s="2"/>
      <c r="O3626" s="2"/>
      <c r="P3626" s="2"/>
      <c r="Q3626" s="2"/>
      <c r="R3626" s="2" t="s">
        <v>24039</v>
      </c>
      <c r="S3626" s="2" t="s">
        <v>24040</v>
      </c>
      <c r="T3626" s="2" t="s">
        <v>24041</v>
      </c>
      <c r="U3626" s="2" t="s">
        <v>266</v>
      </c>
      <c r="V3626" s="2" t="s">
        <v>1742</v>
      </c>
      <c r="W3626" s="2" t="s">
        <v>24042</v>
      </c>
      <c r="X3626" s="2" t="s">
        <v>147</v>
      </c>
      <c r="Y3626" s="2">
        <v>38.6</v>
      </c>
      <c r="Z3626" s="2">
        <v>0</v>
      </c>
      <c r="AA3626" s="2" t="s">
        <v>512</v>
      </c>
      <c r="AB3626" s="2" t="s">
        <v>24043</v>
      </c>
      <c r="AC3626" s="2">
        <v>3.2005891517848299</v>
      </c>
      <c r="AD3626" s="2"/>
      <c r="AE3626" s="2">
        <v>0.15135608791928301</v>
      </c>
      <c r="AF3626" s="2">
        <v>1510.7878597604499</v>
      </c>
      <c r="AG3626" s="2">
        <v>52.094776195661701</v>
      </c>
      <c r="AH3626" s="5">
        <v>29.000755355702299</v>
      </c>
      <c r="AI3626" s="5">
        <v>4.8580185721528801</v>
      </c>
      <c r="AJ3626" s="5" t="s">
        <v>139</v>
      </c>
      <c r="AK3626" s="2">
        <v>0.219589460905635</v>
      </c>
      <c r="AL3626" s="2">
        <v>0.54520642864221103</v>
      </c>
      <c r="AM3626" s="2">
        <v>16.991274851073801</v>
      </c>
      <c r="AN3626" s="2">
        <v>19.037407058232599</v>
      </c>
      <c r="AO3626" s="2">
        <v>8.559877937157E-6</v>
      </c>
      <c r="AP3626" s="2">
        <v>8.559877937157E-6</v>
      </c>
      <c r="AQ3626" s="2">
        <v>6761.3684404044998</v>
      </c>
      <c r="AR3626" s="2">
        <v>2267.33001912912</v>
      </c>
      <c r="AS3626" s="2">
        <v>8.559877937157E-6</v>
      </c>
      <c r="AT3626" s="2">
        <v>8.559877937157E-6</v>
      </c>
      <c r="AU3626" s="2">
        <v>254.23069289701399</v>
      </c>
      <c r="AV3626" s="2">
        <v>8.559877937157E-6</v>
      </c>
      <c r="AW3626" s="2">
        <v>58.337930037444401</v>
      </c>
      <c r="AX3626" s="2">
        <v>8.559877937157E-6</v>
      </c>
    </row>
    <row r="3627" spans="1:50" x14ac:dyDescent="0.25">
      <c r="A3627" s="2" t="s">
        <v>24044</v>
      </c>
      <c r="B3627" s="2">
        <v>269.11189014802602</v>
      </c>
      <c r="C3627" s="2">
        <v>1.48915</v>
      </c>
      <c r="D3627" s="2" t="s">
        <v>51</v>
      </c>
      <c r="E3627" s="2" t="s">
        <v>24045</v>
      </c>
      <c r="F3627" s="2">
        <v>258042</v>
      </c>
      <c r="G3627" s="3" t="str">
        <f>HYPERLINK("https://cloud.oebiotech.com/#/lm/network/258042", "https://cloud.oebiotech.com/#/lm/network/258042")</f>
        <v>https://cloud.oebiotech.com/#/lm/network/258042</v>
      </c>
      <c r="H3627" s="2"/>
      <c r="I3627" s="2">
        <v>2147</v>
      </c>
      <c r="J3627" s="2"/>
      <c r="K3627" s="2">
        <v>169959</v>
      </c>
      <c r="L3627" s="2"/>
      <c r="M3627" s="2"/>
      <c r="N3627" s="2"/>
      <c r="O3627" s="2"/>
      <c r="P3627" s="2"/>
      <c r="Q3627" s="2"/>
      <c r="R3627" s="2" t="s">
        <v>24046</v>
      </c>
      <c r="S3627" s="2" t="s">
        <v>24047</v>
      </c>
      <c r="T3627" s="2" t="s">
        <v>24048</v>
      </c>
      <c r="U3627" s="2" t="s">
        <v>266</v>
      </c>
      <c r="V3627" s="2" t="s">
        <v>5547</v>
      </c>
      <c r="W3627" s="2" t="s">
        <v>5548</v>
      </c>
      <c r="X3627" s="2" t="s">
        <v>147</v>
      </c>
      <c r="Y3627" s="2">
        <v>37.700000000000003</v>
      </c>
      <c r="Z3627" s="2">
        <v>0</v>
      </c>
      <c r="AA3627" s="2" t="s">
        <v>163</v>
      </c>
      <c r="AB3627" s="2" t="s">
        <v>24049</v>
      </c>
      <c r="AC3627" s="2">
        <v>0.35907559692589802</v>
      </c>
      <c r="AD3627" s="2"/>
      <c r="AE3627" s="2">
        <v>0.15135289173139799</v>
      </c>
      <c r="AF3627" s="2">
        <v>2431.3448068081202</v>
      </c>
      <c r="AG3627" s="2">
        <v>1487.27500349621</v>
      </c>
      <c r="AH3627" s="5">
        <v>1.6347647886857799</v>
      </c>
      <c r="AI3627" s="5">
        <v>0.70908307449549801</v>
      </c>
      <c r="AJ3627" s="5" t="s">
        <v>139</v>
      </c>
      <c r="AK3627" s="2">
        <v>0.28095229582410203</v>
      </c>
      <c r="AL3627" s="2">
        <v>0.59978920543246905</v>
      </c>
      <c r="AM3627" s="2">
        <v>4230.28792497413</v>
      </c>
      <c r="AN3627" s="2">
        <v>1079.8221564774501</v>
      </c>
      <c r="AO3627" s="2">
        <v>2542.13237457891</v>
      </c>
      <c r="AP3627" s="2">
        <v>1034.17204395213</v>
      </c>
      <c r="AQ3627" s="2">
        <v>1517.2297225259499</v>
      </c>
      <c r="AR3627" s="2">
        <v>4184.4246183401601</v>
      </c>
      <c r="AS3627" s="2">
        <v>132.22920697860701</v>
      </c>
      <c r="AT3627" s="2">
        <v>552.00963139152498</v>
      </c>
      <c r="AU3627" s="2">
        <v>2184.5964195422598</v>
      </c>
      <c r="AV3627" s="2">
        <v>3597.57927338645</v>
      </c>
      <c r="AW3627" s="2">
        <v>263.606914092046</v>
      </c>
      <c r="AX3627" s="2">
        <v>2193.6285755863801</v>
      </c>
    </row>
    <row r="3628" spans="1:50" x14ac:dyDescent="0.25">
      <c r="A3628" s="2" t="s">
        <v>24050</v>
      </c>
      <c r="B3628" s="2">
        <v>338.203474190544</v>
      </c>
      <c r="C3628" s="2">
        <v>4.7497999999999996</v>
      </c>
      <c r="D3628" s="2" t="s">
        <v>51</v>
      </c>
      <c r="E3628" s="2" t="s">
        <v>24051</v>
      </c>
      <c r="F3628" s="2">
        <v>262582</v>
      </c>
      <c r="G3628" s="3" t="str">
        <f>HYPERLINK("https://cloud.oebiotech.com/#/lm/network/262582", "https://cloud.oebiotech.com/#/lm/network/262582")</f>
        <v>https://cloud.oebiotech.com/#/lm/network/262582</v>
      </c>
      <c r="H3628" s="2"/>
      <c r="I3628" s="2">
        <v>19952</v>
      </c>
      <c r="J3628" s="2"/>
      <c r="K3628" s="2">
        <v>145456338</v>
      </c>
      <c r="L3628" s="2"/>
      <c r="M3628" s="2"/>
      <c r="N3628" s="2"/>
      <c r="O3628" s="2"/>
      <c r="P3628" s="2"/>
      <c r="Q3628" s="2"/>
      <c r="R3628" s="2"/>
      <c r="S3628" s="2" t="s">
        <v>24052</v>
      </c>
      <c r="T3628" s="2" t="s">
        <v>24053</v>
      </c>
      <c r="U3628" s="2" t="s">
        <v>103</v>
      </c>
      <c r="V3628" s="2" t="s">
        <v>104</v>
      </c>
      <c r="W3628" s="2" t="s">
        <v>105</v>
      </c>
      <c r="X3628" s="2" t="s">
        <v>83</v>
      </c>
      <c r="Y3628" s="2">
        <v>37.5</v>
      </c>
      <c r="Z3628" s="2">
        <v>0</v>
      </c>
      <c r="AA3628" s="2" t="s">
        <v>95</v>
      </c>
      <c r="AB3628" s="2" t="s">
        <v>18502</v>
      </c>
      <c r="AC3628" s="2">
        <v>-4.9265046181153798</v>
      </c>
      <c r="AD3628" s="2"/>
      <c r="AE3628" s="2">
        <v>0.15113398322882499</v>
      </c>
      <c r="AF3628" s="2">
        <v>1973.07149884099</v>
      </c>
      <c r="AG3628" s="2">
        <v>891.06262879388998</v>
      </c>
      <c r="AH3628" s="5">
        <v>2.2142904831635302</v>
      </c>
      <c r="AI3628" s="5">
        <v>1.1468444954391299</v>
      </c>
      <c r="AJ3628" s="5" t="s">
        <v>139</v>
      </c>
      <c r="AK3628" s="2">
        <v>0.161013927798275</v>
      </c>
      <c r="AL3628" s="2">
        <v>0.48399353100485398</v>
      </c>
      <c r="AM3628" s="2">
        <v>424.17360471301498</v>
      </c>
      <c r="AN3628" s="2">
        <v>366.82443180577098</v>
      </c>
      <c r="AO3628" s="2">
        <v>4129.1953898386701</v>
      </c>
      <c r="AP3628" s="2">
        <v>1323.5455430295899</v>
      </c>
      <c r="AQ3628" s="2">
        <v>3966.68564937885</v>
      </c>
      <c r="AR3628" s="2">
        <v>1628.0043742800201</v>
      </c>
      <c r="AS3628" s="2">
        <v>488.82647498650101</v>
      </c>
      <c r="AT3628" s="2">
        <v>1822.2521794780801</v>
      </c>
      <c r="AU3628" s="2">
        <v>622.59931300284302</v>
      </c>
      <c r="AV3628" s="2">
        <v>827.26017055716704</v>
      </c>
      <c r="AW3628" s="2">
        <v>622.29988929595095</v>
      </c>
      <c r="AX3628" s="2">
        <v>963.13774544279602</v>
      </c>
    </row>
    <row r="3629" spans="1:50" x14ac:dyDescent="0.25">
      <c r="A3629" s="2" t="s">
        <v>24054</v>
      </c>
      <c r="B3629" s="2">
        <v>227.10337795347201</v>
      </c>
      <c r="C3629" s="2">
        <v>3.6124666666666698</v>
      </c>
      <c r="D3629" s="2" t="s">
        <v>51</v>
      </c>
      <c r="E3629" s="2" t="s">
        <v>24055</v>
      </c>
      <c r="F3629" s="2">
        <v>203259</v>
      </c>
      <c r="G3629" s="3" t="str">
        <f>HYPERLINK("https://cloud.oebiotech.com/#/lm/network/203259", "https://cloud.oebiotech.com/#/lm/network/203259")</f>
        <v>https://cloud.oebiotech.com/#/lm/network/203259</v>
      </c>
      <c r="H3629" s="2" t="s">
        <v>24056</v>
      </c>
      <c r="I3629" s="2">
        <v>351987</v>
      </c>
      <c r="J3629" s="2"/>
      <c r="K3629" s="2">
        <v>541931</v>
      </c>
      <c r="L3629" s="2"/>
      <c r="M3629" s="2"/>
      <c r="N3629" s="2"/>
      <c r="O3629" s="2"/>
      <c r="P3629" s="2"/>
      <c r="Q3629" s="2"/>
      <c r="R3629" s="2"/>
      <c r="S3629" s="2" t="s">
        <v>24057</v>
      </c>
      <c r="T3629" s="2" t="s">
        <v>24058</v>
      </c>
      <c r="U3629" s="2" t="s">
        <v>103</v>
      </c>
      <c r="V3629" s="2" t="s">
        <v>104</v>
      </c>
      <c r="W3629" s="2" t="s">
        <v>105</v>
      </c>
      <c r="X3629" s="2" t="s">
        <v>69</v>
      </c>
      <c r="Y3629" s="2">
        <v>57.1</v>
      </c>
      <c r="Z3629" s="2">
        <v>84.8</v>
      </c>
      <c r="AA3629" s="2" t="s">
        <v>218</v>
      </c>
      <c r="AB3629" s="2" t="s">
        <v>24059</v>
      </c>
      <c r="AC3629" s="2">
        <v>-1.93631809348966</v>
      </c>
      <c r="AD3629" s="2"/>
      <c r="AE3629" s="2">
        <v>0.15103419762074699</v>
      </c>
      <c r="AF3629" s="2">
        <v>7569.8792067478498</v>
      </c>
      <c r="AG3629" s="2">
        <v>14888.8034681892</v>
      </c>
      <c r="AH3629" s="4">
        <v>0.50842763979800898</v>
      </c>
      <c r="AI3629" s="4">
        <v>-0.97588563276713103</v>
      </c>
      <c r="AJ3629" s="4" t="s">
        <v>62</v>
      </c>
      <c r="AK3629" s="2">
        <v>0.55895748535845202</v>
      </c>
      <c r="AL3629" s="2">
        <v>0.778439037851683</v>
      </c>
      <c r="AM3629" s="2">
        <v>16430.259416364999</v>
      </c>
      <c r="AN3629" s="2">
        <v>4269.3256075481204</v>
      </c>
      <c r="AO3629" s="2">
        <v>4845.7775206055503</v>
      </c>
      <c r="AP3629" s="2">
        <v>8031.2241636251802</v>
      </c>
      <c r="AQ3629" s="2">
        <v>7442.7210874822504</v>
      </c>
      <c r="AR3629" s="2">
        <v>4399.9674448609903</v>
      </c>
      <c r="AS3629" s="2">
        <v>1352.7621981413099</v>
      </c>
      <c r="AT3629" s="2">
        <v>2357.8076847103598</v>
      </c>
      <c r="AU3629" s="2">
        <v>74631.981859842199</v>
      </c>
      <c r="AV3629" s="2">
        <v>3518.2248509061301</v>
      </c>
      <c r="AW3629" s="2">
        <v>4873.97467850875</v>
      </c>
      <c r="AX3629" s="2">
        <v>2598.0695370264698</v>
      </c>
    </row>
    <row r="3630" spans="1:50" x14ac:dyDescent="0.25">
      <c r="A3630" s="2" t="s">
        <v>24060</v>
      </c>
      <c r="B3630" s="2">
        <v>298.12960479660399</v>
      </c>
      <c r="C3630" s="2">
        <v>5.2635500000000004</v>
      </c>
      <c r="D3630" s="2" t="s">
        <v>51</v>
      </c>
      <c r="E3630" s="2" t="s">
        <v>24061</v>
      </c>
      <c r="F3630" s="2">
        <v>58042</v>
      </c>
      <c r="G3630" s="3" t="str">
        <f>HYPERLINK("https://cloud.oebiotech.com/#/lm/network/58042", "https://cloud.oebiotech.com/#/lm/network/58042")</f>
        <v>https://cloud.oebiotech.com/#/lm/network/58042</v>
      </c>
      <c r="H3630" s="2" t="s">
        <v>24062</v>
      </c>
      <c r="I3630" s="2"/>
      <c r="J3630" s="2"/>
      <c r="K3630" s="2">
        <v>131751501</v>
      </c>
      <c r="L3630" s="2"/>
      <c r="M3630" s="2"/>
      <c r="N3630" s="2"/>
      <c r="O3630" s="2"/>
      <c r="P3630" s="2"/>
      <c r="Q3630" s="2"/>
      <c r="R3630" s="2" t="s">
        <v>24063</v>
      </c>
      <c r="S3630" s="2" t="s">
        <v>24064</v>
      </c>
      <c r="T3630" s="2" t="s">
        <v>24065</v>
      </c>
      <c r="U3630" s="2" t="s">
        <v>540</v>
      </c>
      <c r="V3630" s="2" t="s">
        <v>3291</v>
      </c>
      <c r="W3630" s="2" t="s">
        <v>3292</v>
      </c>
      <c r="X3630" s="2" t="s">
        <v>59</v>
      </c>
      <c r="Y3630" s="2">
        <v>47.4</v>
      </c>
      <c r="Z3630" s="2">
        <v>51.1</v>
      </c>
      <c r="AA3630" s="2" t="s">
        <v>512</v>
      </c>
      <c r="AB3630" s="2" t="s">
        <v>24066</v>
      </c>
      <c r="AC3630" s="2">
        <v>3.89524032178053</v>
      </c>
      <c r="AD3630" s="2"/>
      <c r="AE3630" s="2">
        <v>0.150981715510107</v>
      </c>
      <c r="AF3630" s="2">
        <v>1156.24481680447</v>
      </c>
      <c r="AG3630" s="2">
        <v>1974.7927688285399</v>
      </c>
      <c r="AH3630" s="4">
        <v>0.585501848627065</v>
      </c>
      <c r="AI3630" s="4">
        <v>-0.77225436907822598</v>
      </c>
      <c r="AJ3630" s="4" t="s">
        <v>62</v>
      </c>
      <c r="AK3630" s="2">
        <v>0.429816875219726</v>
      </c>
      <c r="AL3630" s="2">
        <v>0.68819175824183598</v>
      </c>
      <c r="AM3630" s="2">
        <v>8.559877937157E-6</v>
      </c>
      <c r="AN3630" s="2">
        <v>1882.27458502084</v>
      </c>
      <c r="AO3630" s="2">
        <v>8.559877937157E-6</v>
      </c>
      <c r="AP3630" s="2">
        <v>4611.3353851645998</v>
      </c>
      <c r="AQ3630" s="2">
        <v>8.559877937157E-6</v>
      </c>
      <c r="AR3630" s="2">
        <v>443.85890496173897</v>
      </c>
      <c r="AS3630" s="2">
        <v>1106.7630923698</v>
      </c>
      <c r="AT3630" s="2">
        <v>8.559877937157E-6</v>
      </c>
      <c r="AU3630" s="2">
        <v>2584.3480355657698</v>
      </c>
      <c r="AV3630" s="2">
        <v>1347.4485009456901</v>
      </c>
      <c r="AW3630" s="2">
        <v>4669.87722525956</v>
      </c>
      <c r="AX3630" s="2">
        <v>2140.3197502705202</v>
      </c>
    </row>
    <row r="3631" spans="1:50" x14ac:dyDescent="0.25">
      <c r="A3631" s="2" t="s">
        <v>24067</v>
      </c>
      <c r="B3631" s="2">
        <v>318.18226128571001</v>
      </c>
      <c r="C3631" s="2">
        <v>4.5859833333333304</v>
      </c>
      <c r="D3631" s="2" t="s">
        <v>51</v>
      </c>
      <c r="E3631" s="2" t="s">
        <v>24068</v>
      </c>
      <c r="F3631" s="2">
        <v>53941</v>
      </c>
      <c r="G3631" s="3" t="str">
        <f>HYPERLINK("https://cloud.oebiotech.com/#/lm/network/53941", "https://cloud.oebiotech.com/#/lm/network/53941")</f>
        <v>https://cloud.oebiotech.com/#/lm/network/53941</v>
      </c>
      <c r="H3631" s="2" t="s">
        <v>24069</v>
      </c>
      <c r="I3631" s="2"/>
      <c r="J3631" s="2"/>
      <c r="K3631" s="2">
        <v>9797038</v>
      </c>
      <c r="L3631" s="2"/>
      <c r="M3631" s="2"/>
      <c r="N3631" s="2"/>
      <c r="O3631" s="2"/>
      <c r="P3631" s="2"/>
      <c r="Q3631" s="2"/>
      <c r="R3631" s="2"/>
      <c r="S3631" s="2" t="s">
        <v>24070</v>
      </c>
      <c r="T3631" s="2" t="s">
        <v>24071</v>
      </c>
      <c r="U3631" s="2" t="s">
        <v>103</v>
      </c>
      <c r="V3631" s="2" t="s">
        <v>104</v>
      </c>
      <c r="W3631" s="2" t="s">
        <v>105</v>
      </c>
      <c r="X3631" s="2" t="s">
        <v>69</v>
      </c>
      <c r="Y3631" s="2">
        <v>64.2</v>
      </c>
      <c r="Z3631" s="2">
        <v>54.6</v>
      </c>
      <c r="AA3631" s="2" t="s">
        <v>259</v>
      </c>
      <c r="AB3631" s="2" t="s">
        <v>24072</v>
      </c>
      <c r="AC3631" s="2">
        <v>3.28918263099819</v>
      </c>
      <c r="AD3631" s="2"/>
      <c r="AE3631" s="2">
        <v>0.15089896072023301</v>
      </c>
      <c r="AF3631" s="2">
        <v>3296.2682608589898</v>
      </c>
      <c r="AG3631" s="2">
        <v>1979.4969119549601</v>
      </c>
      <c r="AH3631" s="5">
        <v>1.66520505334034</v>
      </c>
      <c r="AI3631" s="5">
        <v>0.73569984169429303</v>
      </c>
      <c r="AJ3631" s="5" t="s">
        <v>139</v>
      </c>
      <c r="AK3631" s="2">
        <v>0.26986671150742297</v>
      </c>
      <c r="AL3631" s="2">
        <v>0.59023387803609295</v>
      </c>
      <c r="AM3631" s="2">
        <v>2363.5503923791698</v>
      </c>
      <c r="AN3631" s="2">
        <v>1634.9248872532501</v>
      </c>
      <c r="AO3631" s="2">
        <v>2266.6552694224301</v>
      </c>
      <c r="AP3631" s="2">
        <v>2696.3544755303801</v>
      </c>
      <c r="AQ3631" s="2">
        <v>7820.2090748970604</v>
      </c>
      <c r="AR3631" s="2">
        <v>2995.9154656716701</v>
      </c>
      <c r="AS3631" s="2">
        <v>1172.55674259853</v>
      </c>
      <c r="AT3631" s="2">
        <v>1128.65966648784</v>
      </c>
      <c r="AU3631" s="2">
        <v>4897.53869898013</v>
      </c>
      <c r="AV3631" s="2">
        <v>1396.69104880594</v>
      </c>
      <c r="AW3631" s="2">
        <v>2655.1845378675998</v>
      </c>
      <c r="AX3631" s="2">
        <v>626.35077698969405</v>
      </c>
    </row>
    <row r="3632" spans="1:50" x14ac:dyDescent="0.25">
      <c r="A3632" s="2" t="s">
        <v>24073</v>
      </c>
      <c r="B3632" s="2">
        <v>469.07543173168199</v>
      </c>
      <c r="C3632" s="2">
        <v>7.1307833333333299</v>
      </c>
      <c r="D3632" s="2" t="s">
        <v>51</v>
      </c>
      <c r="E3632" s="2" t="s">
        <v>24074</v>
      </c>
      <c r="F3632" s="2">
        <v>32388</v>
      </c>
      <c r="G3632" s="3" t="str">
        <f>HYPERLINK("https://cloud.oebiotech.com/#/lm/network/32388", "https://cloud.oebiotech.com/#/lm/network/32388")</f>
        <v>https://cloud.oebiotech.com/#/lm/network/32388</v>
      </c>
      <c r="H3632" s="2"/>
      <c r="I3632" s="2">
        <v>50719</v>
      </c>
      <c r="J3632" s="2" t="s">
        <v>24075</v>
      </c>
      <c r="K3632" s="2">
        <v>44259329</v>
      </c>
      <c r="L3632" s="2"/>
      <c r="M3632" s="2"/>
      <c r="N3632" s="2"/>
      <c r="O3632" s="2"/>
      <c r="P3632" s="2"/>
      <c r="Q3632" s="2"/>
      <c r="R3632" s="2"/>
      <c r="S3632" s="2" t="s">
        <v>24076</v>
      </c>
      <c r="T3632" s="2" t="s">
        <v>24077</v>
      </c>
      <c r="U3632" s="2" t="s">
        <v>540</v>
      </c>
      <c r="V3632" s="2" t="s">
        <v>541</v>
      </c>
      <c r="W3632" s="2" t="s">
        <v>9202</v>
      </c>
      <c r="X3632" s="2" t="s">
        <v>147</v>
      </c>
      <c r="Y3632" s="2">
        <v>36.4</v>
      </c>
      <c r="Z3632" s="2">
        <v>0</v>
      </c>
      <c r="AA3632" s="2" t="s">
        <v>163</v>
      </c>
      <c r="AB3632" s="2" t="s">
        <v>24078</v>
      </c>
      <c r="AC3632" s="2">
        <v>-4.6868739776574602</v>
      </c>
      <c r="AD3632" s="2"/>
      <c r="AE3632" s="2">
        <v>0.15052371078056101</v>
      </c>
      <c r="AF3632" s="2">
        <v>1500.1538433304499</v>
      </c>
      <c r="AG3632" s="2">
        <v>2043.5847064847801</v>
      </c>
      <c r="AH3632" s="4">
        <v>0.73407959972008996</v>
      </c>
      <c r="AI3632" s="4">
        <v>-0.445991585095461</v>
      </c>
      <c r="AJ3632" s="4" t="s">
        <v>62</v>
      </c>
      <c r="AK3632" s="2">
        <v>0.118186930880086</v>
      </c>
      <c r="AL3632" s="2">
        <v>0.43663709311454402</v>
      </c>
      <c r="AM3632" s="2">
        <v>686.58791229269798</v>
      </c>
      <c r="AN3632" s="2">
        <v>1123.62242646241</v>
      </c>
      <c r="AO3632" s="2">
        <v>1664.4101465470101</v>
      </c>
      <c r="AP3632" s="2">
        <v>1900.9380104801201</v>
      </c>
      <c r="AQ3632" s="2">
        <v>2638.9806921920699</v>
      </c>
      <c r="AR3632" s="2">
        <v>986.38387200837099</v>
      </c>
      <c r="AS3632" s="2">
        <v>2027.6731098134101</v>
      </c>
      <c r="AT3632" s="2">
        <v>1938.07953675207</v>
      </c>
      <c r="AU3632" s="2">
        <v>1496.5555132847901</v>
      </c>
      <c r="AV3632" s="2">
        <v>2377.9528836740001</v>
      </c>
      <c r="AW3632" s="2">
        <v>2241.1146143577498</v>
      </c>
      <c r="AX3632" s="2">
        <v>2180.1325810266699</v>
      </c>
    </row>
    <row r="3633" spans="1:50" x14ac:dyDescent="0.25">
      <c r="A3633" s="2" t="s">
        <v>24079</v>
      </c>
      <c r="B3633" s="2">
        <v>232.1113</v>
      </c>
      <c r="C3633" s="2">
        <v>22.896000000000001</v>
      </c>
      <c r="D3633" s="2" t="s">
        <v>125</v>
      </c>
      <c r="E3633" s="2" t="s">
        <v>24080</v>
      </c>
      <c r="F3633" s="2">
        <v>47554</v>
      </c>
      <c r="G3633" s="3" t="str">
        <f>HYPERLINK("https://cloud.oebiotech.com/#/lm/network/47554", "https://cloud.oebiotech.com/#/lm/network/47554")</f>
        <v>https://cloud.oebiotech.com/#/lm/network/47554</v>
      </c>
      <c r="H3633" s="2" t="s">
        <v>24081</v>
      </c>
      <c r="I3633" s="2">
        <v>73</v>
      </c>
      <c r="J3633" s="2"/>
      <c r="K3633" s="2">
        <v>896</v>
      </c>
      <c r="L3633" s="2" t="s">
        <v>24082</v>
      </c>
      <c r="M3633" s="2" t="s">
        <v>24083</v>
      </c>
      <c r="N3633" s="2" t="s">
        <v>24084</v>
      </c>
      <c r="O3633" s="2">
        <v>16796</v>
      </c>
      <c r="P3633" s="2" t="s">
        <v>24085</v>
      </c>
      <c r="Q3633" s="2" t="s">
        <v>24086</v>
      </c>
      <c r="R3633" s="2" t="s">
        <v>24087</v>
      </c>
      <c r="S3633" s="2" t="s">
        <v>24088</v>
      </c>
      <c r="T3633" s="2" t="s">
        <v>24089</v>
      </c>
      <c r="U3633" s="2" t="s">
        <v>266</v>
      </c>
      <c r="V3633" s="2" t="s">
        <v>445</v>
      </c>
      <c r="W3633" s="2" t="s">
        <v>446</v>
      </c>
      <c r="X3633" s="2" t="s">
        <v>59</v>
      </c>
      <c r="Y3633" s="2">
        <v>79.3</v>
      </c>
      <c r="Z3633" s="2">
        <v>65.7</v>
      </c>
      <c r="AA3633" s="2"/>
      <c r="AB3633" s="2" t="s">
        <v>24090</v>
      </c>
      <c r="AC3633" s="2"/>
      <c r="AD3633" s="2">
        <v>798528.96739130397</v>
      </c>
      <c r="AE3633" s="2">
        <v>0.150300274249167</v>
      </c>
      <c r="AF3633" s="2">
        <v>2787.0917030872301</v>
      </c>
      <c r="AG3633" s="2">
        <v>9979.6925132041306</v>
      </c>
      <c r="AH3633" s="4">
        <v>0.27927631030711902</v>
      </c>
      <c r="AI3633" s="4">
        <v>-1.8402348930988399</v>
      </c>
      <c r="AJ3633" s="4" t="s">
        <v>62</v>
      </c>
      <c r="AK3633" s="2">
        <v>0.17389069055154299</v>
      </c>
      <c r="AL3633" s="2">
        <v>0.49504224249194001</v>
      </c>
      <c r="AM3633" s="2">
        <v>2299.8352172700202</v>
      </c>
      <c r="AN3633" s="2">
        <v>2299.8352172700202</v>
      </c>
      <c r="AO3633" s="2">
        <v>2299.8352172700202</v>
      </c>
      <c r="AP3633" s="2">
        <v>2299.8352172700202</v>
      </c>
      <c r="AQ3633" s="2">
        <v>5223.3741321732696</v>
      </c>
      <c r="AR3633" s="2">
        <v>2299.8352172700202</v>
      </c>
      <c r="AS3633" s="2">
        <v>2299.8352172700202</v>
      </c>
      <c r="AT3633" s="2">
        <v>2299.8352172700202</v>
      </c>
      <c r="AU3633" s="2">
        <v>27480.7437976156</v>
      </c>
      <c r="AV3633" s="2">
        <v>23198.070412529101</v>
      </c>
      <c r="AW3633" s="2">
        <v>2299.8352172700202</v>
      </c>
      <c r="AX3633" s="2">
        <v>2299.8352172700202</v>
      </c>
    </row>
    <row r="3634" spans="1:50" x14ac:dyDescent="0.25">
      <c r="A3634" s="2" t="s">
        <v>24091</v>
      </c>
      <c r="B3634" s="2">
        <v>159.985396460949</v>
      </c>
      <c r="C3634" s="2">
        <v>13.2215166666667</v>
      </c>
      <c r="D3634" s="2" t="s">
        <v>51</v>
      </c>
      <c r="E3634" s="2" t="s">
        <v>24092</v>
      </c>
      <c r="F3634" s="2">
        <v>212440</v>
      </c>
      <c r="G3634" s="3" t="str">
        <f>HYPERLINK("https://cloud.oebiotech.com/#/lm/network/212440", "https://cloud.oebiotech.com/#/lm/network/212440")</f>
        <v>https://cloud.oebiotech.com/#/lm/network/212440</v>
      </c>
      <c r="H3634" s="2" t="s">
        <v>24093</v>
      </c>
      <c r="I3634" s="2"/>
      <c r="J3634" s="2"/>
      <c r="K3634" s="2">
        <v>66618112</v>
      </c>
      <c r="L3634" s="2"/>
      <c r="M3634" s="2"/>
      <c r="N3634" s="2"/>
      <c r="O3634" s="2"/>
      <c r="P3634" s="2"/>
      <c r="Q3634" s="2"/>
      <c r="R3634" s="2"/>
      <c r="S3634" s="2" t="s">
        <v>24094</v>
      </c>
      <c r="T3634" s="2" t="s">
        <v>24095</v>
      </c>
      <c r="U3634" s="2" t="s">
        <v>266</v>
      </c>
      <c r="V3634" s="2" t="s">
        <v>2432</v>
      </c>
      <c r="W3634" s="2" t="s">
        <v>10026</v>
      </c>
      <c r="X3634" s="2" t="s">
        <v>147</v>
      </c>
      <c r="Y3634" s="2">
        <v>36.200000000000003</v>
      </c>
      <c r="Z3634" s="2">
        <v>0</v>
      </c>
      <c r="AA3634" s="2" t="s">
        <v>379</v>
      </c>
      <c r="AB3634" s="2" t="s">
        <v>24096</v>
      </c>
      <c r="AC3634" s="2">
        <v>-4.8145451623765503</v>
      </c>
      <c r="AD3634" s="2"/>
      <c r="AE3634" s="2">
        <v>0.15027701914414501</v>
      </c>
      <c r="AF3634" s="2">
        <v>1381.6704240172801</v>
      </c>
      <c r="AG3634" s="2">
        <v>1823.6629977304001</v>
      </c>
      <c r="AH3634" s="4">
        <v>0.75763473061459297</v>
      </c>
      <c r="AI3634" s="4">
        <v>-0.4004256282086</v>
      </c>
      <c r="AJ3634" s="4" t="s">
        <v>62</v>
      </c>
      <c r="AK3634" s="2">
        <v>4.5183908079852999E-3</v>
      </c>
      <c r="AL3634" s="2">
        <v>0.12174388396289799</v>
      </c>
      <c r="AM3634" s="2">
        <v>1095.8838574951701</v>
      </c>
      <c r="AN3634" s="2">
        <v>1540.9720640743401</v>
      </c>
      <c r="AO3634" s="2">
        <v>1292.8866475782199</v>
      </c>
      <c r="AP3634" s="2">
        <v>1514.2047288727099</v>
      </c>
      <c r="AQ3634" s="2">
        <v>1408.63318278815</v>
      </c>
      <c r="AR3634" s="2">
        <v>1437.4420632950601</v>
      </c>
      <c r="AS3634" s="2">
        <v>2115.9659477195501</v>
      </c>
      <c r="AT3634" s="2">
        <v>1958.3405886251701</v>
      </c>
      <c r="AU3634" s="2">
        <v>1375.69683495443</v>
      </c>
      <c r="AV3634" s="2">
        <v>1814.9521470893401</v>
      </c>
      <c r="AW3634" s="2">
        <v>1856.26480202371</v>
      </c>
      <c r="AX3634" s="2">
        <v>1820.7576659702199</v>
      </c>
    </row>
    <row r="3635" spans="1:50" x14ac:dyDescent="0.25">
      <c r="A3635" s="2" t="s">
        <v>24097</v>
      </c>
      <c r="B3635" s="2">
        <v>217.10771966056399</v>
      </c>
      <c r="C3635" s="2">
        <v>4.6213499999999996</v>
      </c>
      <c r="D3635" s="2" t="s">
        <v>51</v>
      </c>
      <c r="E3635" s="2" t="s">
        <v>24098</v>
      </c>
      <c r="F3635" s="2">
        <v>47004</v>
      </c>
      <c r="G3635" s="3" t="str">
        <f>HYPERLINK("https://cloud.oebiotech.com/#/lm/network/47004", "https://cloud.oebiotech.com/#/lm/network/47004")</f>
        <v>https://cloud.oebiotech.com/#/lm/network/47004</v>
      </c>
      <c r="H3635" s="2" t="s">
        <v>24099</v>
      </c>
      <c r="I3635" s="2"/>
      <c r="J3635" s="2"/>
      <c r="K3635" s="2">
        <v>124350389</v>
      </c>
      <c r="L3635" s="2"/>
      <c r="M3635" s="2"/>
      <c r="N3635" s="2"/>
      <c r="O3635" s="2"/>
      <c r="P3635" s="2"/>
      <c r="Q3635" s="2"/>
      <c r="R3635" s="2" t="s">
        <v>24100</v>
      </c>
      <c r="S3635" s="2" t="s">
        <v>24101</v>
      </c>
      <c r="T3635" s="2" t="s">
        <v>24102</v>
      </c>
      <c r="U3635" s="2" t="s">
        <v>103</v>
      </c>
      <c r="V3635" s="2" t="s">
        <v>377</v>
      </c>
      <c r="W3635" s="2" t="s">
        <v>378</v>
      </c>
      <c r="X3635" s="2" t="s">
        <v>83</v>
      </c>
      <c r="Y3635" s="2">
        <v>49.4</v>
      </c>
      <c r="Z3635" s="2">
        <v>31.1</v>
      </c>
      <c r="AA3635" s="2" t="s">
        <v>163</v>
      </c>
      <c r="AB3635" s="2" t="s">
        <v>13084</v>
      </c>
      <c r="AC3635" s="2">
        <v>-1.9603496560218301</v>
      </c>
      <c r="AD3635" s="2"/>
      <c r="AE3635" s="2">
        <v>0.150252508706883</v>
      </c>
      <c r="AF3635" s="2">
        <v>1559.6052824778601</v>
      </c>
      <c r="AG3635" s="2">
        <v>1005.64602291344</v>
      </c>
      <c r="AH3635" s="5">
        <v>1.55084915262685</v>
      </c>
      <c r="AI3635" s="5">
        <v>0.63305836571581398</v>
      </c>
      <c r="AJ3635" s="5" t="s">
        <v>139</v>
      </c>
      <c r="AK3635" s="2">
        <v>8.6838384787881404E-2</v>
      </c>
      <c r="AL3635" s="2">
        <v>0.38018166893268901</v>
      </c>
      <c r="AM3635" s="2">
        <v>2189.1659727296501</v>
      </c>
      <c r="AN3635" s="2">
        <v>1635.02789340615</v>
      </c>
      <c r="AO3635" s="2">
        <v>2328.7054976392301</v>
      </c>
      <c r="AP3635" s="2">
        <v>949.26924235557203</v>
      </c>
      <c r="AQ3635" s="2">
        <v>1120.1776963648599</v>
      </c>
      <c r="AR3635" s="2">
        <v>1135.28539237172</v>
      </c>
      <c r="AS3635" s="2">
        <v>691.20088112817302</v>
      </c>
      <c r="AT3635" s="2">
        <v>428.19630186084601</v>
      </c>
      <c r="AU3635" s="2">
        <v>1581.3584710330099</v>
      </c>
      <c r="AV3635" s="2">
        <v>1195.23558896499</v>
      </c>
      <c r="AW3635" s="2">
        <v>1129.36128625627</v>
      </c>
      <c r="AX3635" s="2">
        <v>1008.52360823734</v>
      </c>
    </row>
    <row r="3636" spans="1:50" x14ac:dyDescent="0.25">
      <c r="A3636" s="2" t="s">
        <v>24103</v>
      </c>
      <c r="B3636" s="2">
        <v>304.08030482742299</v>
      </c>
      <c r="C3636" s="2">
        <v>4.9007166666666704</v>
      </c>
      <c r="D3636" s="2" t="s">
        <v>51</v>
      </c>
      <c r="E3636" s="2" t="s">
        <v>24104</v>
      </c>
      <c r="F3636" s="2">
        <v>211519</v>
      </c>
      <c r="G3636" s="3" t="str">
        <f>HYPERLINK("https://cloud.oebiotech.com/#/lm/network/211519", "https://cloud.oebiotech.com/#/lm/network/211519")</f>
        <v>https://cloud.oebiotech.com/#/lm/network/211519</v>
      </c>
      <c r="H3636" s="2" t="s">
        <v>24105</v>
      </c>
      <c r="I3636" s="2"/>
      <c r="J3636" s="2"/>
      <c r="K3636" s="2">
        <v>57262882</v>
      </c>
      <c r="L3636" s="2"/>
      <c r="M3636" s="2"/>
      <c r="N3636" s="2"/>
      <c r="O3636" s="2"/>
      <c r="P3636" s="2"/>
      <c r="Q3636" s="2"/>
      <c r="R3636" s="2"/>
      <c r="S3636" s="2" t="s">
        <v>24106</v>
      </c>
      <c r="T3636" s="2" t="s">
        <v>24107</v>
      </c>
      <c r="U3636" s="2" t="s">
        <v>266</v>
      </c>
      <c r="V3636" s="2" t="s">
        <v>2772</v>
      </c>
      <c r="W3636" s="2" t="s">
        <v>2773</v>
      </c>
      <c r="X3636" s="2" t="s">
        <v>147</v>
      </c>
      <c r="Y3636" s="2">
        <v>39.1</v>
      </c>
      <c r="Z3636" s="2">
        <v>1.1100000000000001</v>
      </c>
      <c r="AA3636" s="2" t="s">
        <v>218</v>
      </c>
      <c r="AB3636" s="2" t="s">
        <v>24108</v>
      </c>
      <c r="AC3636" s="2">
        <v>1.27139809973983</v>
      </c>
      <c r="AD3636" s="2"/>
      <c r="AE3636" s="2">
        <v>0.149988870640547</v>
      </c>
      <c r="AF3636" s="2">
        <v>3076.6438402075701</v>
      </c>
      <c r="AG3636" s="2">
        <v>2300.6174613808198</v>
      </c>
      <c r="AH3636" s="5">
        <v>1.33731221806905</v>
      </c>
      <c r="AI3636" s="5">
        <v>0.41933632622029199</v>
      </c>
      <c r="AJ3636" s="5" t="s">
        <v>139</v>
      </c>
      <c r="AK3636" s="2">
        <v>0.52344512968830403</v>
      </c>
      <c r="AL3636" s="2">
        <v>0.753042437774049</v>
      </c>
      <c r="AM3636" s="2">
        <v>8048.2710931266001</v>
      </c>
      <c r="AN3636" s="2">
        <v>976.56015020944903</v>
      </c>
      <c r="AO3636" s="2">
        <v>1628.1136326250801</v>
      </c>
      <c r="AP3636" s="2">
        <v>3615.9755559427699</v>
      </c>
      <c r="AQ3636" s="2">
        <v>2756.4158876299798</v>
      </c>
      <c r="AR3636" s="2">
        <v>1434.5267217115399</v>
      </c>
      <c r="AS3636" s="2">
        <v>1228.41225311276</v>
      </c>
      <c r="AT3636" s="2">
        <v>3413.5130137342799</v>
      </c>
      <c r="AU3636" s="2">
        <v>3611.59519200882</v>
      </c>
      <c r="AV3636" s="2">
        <v>3020.1556570714702</v>
      </c>
      <c r="AW3636" s="2">
        <v>1613.9441560968701</v>
      </c>
      <c r="AX3636" s="2">
        <v>916.08449626071194</v>
      </c>
    </row>
    <row r="3637" spans="1:50" x14ac:dyDescent="0.25">
      <c r="A3637" s="2" t="s">
        <v>24109</v>
      </c>
      <c r="B3637" s="2">
        <v>233.07738559211799</v>
      </c>
      <c r="C3637" s="2">
        <v>0.69840000000000002</v>
      </c>
      <c r="D3637" s="2" t="s">
        <v>51</v>
      </c>
      <c r="E3637" s="2" t="s">
        <v>24110</v>
      </c>
      <c r="F3637" s="2">
        <v>53860</v>
      </c>
      <c r="G3637" s="3" t="str">
        <f>HYPERLINK("https://cloud.oebiotech.com/#/lm/network/53860", "https://cloud.oebiotech.com/#/lm/network/53860")</f>
        <v>https://cloud.oebiotech.com/#/lm/network/53860</v>
      </c>
      <c r="H3637" s="2" t="s">
        <v>24111</v>
      </c>
      <c r="I3637" s="2">
        <v>23725</v>
      </c>
      <c r="J3637" s="2"/>
      <c r="K3637" s="2">
        <v>6995653</v>
      </c>
      <c r="L3637" s="2"/>
      <c r="M3637" s="2"/>
      <c r="N3637" s="2"/>
      <c r="O3637" s="2">
        <v>73509</v>
      </c>
      <c r="P3637" s="2"/>
      <c r="Q3637" s="2"/>
      <c r="R3637" s="2" t="s">
        <v>24112</v>
      </c>
      <c r="S3637" s="2" t="s">
        <v>24113</v>
      </c>
      <c r="T3637" s="2" t="s">
        <v>24114</v>
      </c>
      <c r="U3637" s="2" t="s">
        <v>103</v>
      </c>
      <c r="V3637" s="2" t="s">
        <v>104</v>
      </c>
      <c r="W3637" s="2" t="s">
        <v>105</v>
      </c>
      <c r="X3637" s="2" t="s">
        <v>83</v>
      </c>
      <c r="Y3637" s="2">
        <v>46.2</v>
      </c>
      <c r="Z3637" s="2">
        <v>0</v>
      </c>
      <c r="AA3637" s="2" t="s">
        <v>163</v>
      </c>
      <c r="AB3637" s="2" t="s">
        <v>22101</v>
      </c>
      <c r="AC3637" s="2">
        <v>-2.2391499040371201</v>
      </c>
      <c r="AD3637" s="2"/>
      <c r="AE3637" s="2">
        <v>0.14991071146568799</v>
      </c>
      <c r="AF3637" s="2">
        <v>6397.64208918841</v>
      </c>
      <c r="AG3637" s="2">
        <v>5363.6197179298597</v>
      </c>
      <c r="AH3637" s="5">
        <v>1.1927844302238599</v>
      </c>
      <c r="AI3637" s="5">
        <v>0.254333330921925</v>
      </c>
      <c r="AJ3637" s="5" t="s">
        <v>139</v>
      </c>
      <c r="AK3637" s="2">
        <v>0.57515502248065298</v>
      </c>
      <c r="AL3637" s="2">
        <v>0.78579377678617801</v>
      </c>
      <c r="AM3637" s="2">
        <v>8350.53069067459</v>
      </c>
      <c r="AN3637" s="2">
        <v>3898.7967643288998</v>
      </c>
      <c r="AO3637" s="2">
        <v>5667.0068229325898</v>
      </c>
      <c r="AP3637" s="2">
        <v>5489.3013706531001</v>
      </c>
      <c r="AQ3637" s="2">
        <v>8994.7479250296201</v>
      </c>
      <c r="AR3637" s="2">
        <v>5985.4689615116604</v>
      </c>
      <c r="AS3637" s="2">
        <v>2304.4746283239101</v>
      </c>
      <c r="AT3637" s="2">
        <v>4833.78302228744</v>
      </c>
      <c r="AU3637" s="2">
        <v>12175.9857819068</v>
      </c>
      <c r="AV3637" s="2">
        <v>4248.1612027257797</v>
      </c>
      <c r="AW3637" s="2">
        <v>1333.7727944728699</v>
      </c>
      <c r="AX3637" s="2">
        <v>7285.5408778623796</v>
      </c>
    </row>
    <row r="3638" spans="1:50" x14ac:dyDescent="0.25">
      <c r="A3638" s="2" t="s">
        <v>24115</v>
      </c>
      <c r="B3638" s="2">
        <v>423.34826629325198</v>
      </c>
      <c r="C3638" s="2">
        <v>13.533483333333299</v>
      </c>
      <c r="D3638" s="2" t="s">
        <v>51</v>
      </c>
      <c r="E3638" s="2" t="s">
        <v>24116</v>
      </c>
      <c r="F3638" s="2">
        <v>113961</v>
      </c>
      <c r="G3638" s="3" t="str">
        <f>HYPERLINK("https://cloud.oebiotech.com/#/lm/network/113961", "https://cloud.oebiotech.com/#/lm/network/113961")</f>
        <v>https://cloud.oebiotech.com/#/lm/network/113961</v>
      </c>
      <c r="H3638" s="2" t="s">
        <v>24117</v>
      </c>
      <c r="I3638" s="2"/>
      <c r="J3638" s="2"/>
      <c r="K3638" s="2">
        <v>131802190</v>
      </c>
      <c r="L3638" s="2"/>
      <c r="M3638" s="2"/>
      <c r="N3638" s="2"/>
      <c r="O3638" s="2"/>
      <c r="P3638" s="2"/>
      <c r="Q3638" s="2"/>
      <c r="R3638" s="2"/>
      <c r="S3638" s="2" t="s">
        <v>24118</v>
      </c>
      <c r="T3638" s="2" t="s">
        <v>24119</v>
      </c>
      <c r="U3638" s="2" t="s">
        <v>56</v>
      </c>
      <c r="V3638" s="2" t="s">
        <v>3215</v>
      </c>
      <c r="W3638" s="2" t="s">
        <v>3216</v>
      </c>
      <c r="X3638" s="2" t="s">
        <v>83</v>
      </c>
      <c r="Y3638" s="2">
        <v>43.4</v>
      </c>
      <c r="Z3638" s="2">
        <v>0</v>
      </c>
      <c r="AA3638" s="2" t="s">
        <v>379</v>
      </c>
      <c r="AB3638" s="2" t="s">
        <v>20983</v>
      </c>
      <c r="AC3638" s="2">
        <v>0.63909085121402798</v>
      </c>
      <c r="AD3638" s="2"/>
      <c r="AE3638" s="2">
        <v>0.14989079119805601</v>
      </c>
      <c r="AF3638" s="2">
        <v>28008.263471885999</v>
      </c>
      <c r="AG3638" s="2">
        <v>24267.4022176912</v>
      </c>
      <c r="AH3638" s="5">
        <v>1.1541516978470701</v>
      </c>
      <c r="AI3638" s="5">
        <v>0.20683285946723601</v>
      </c>
      <c r="AJ3638" s="5" t="s">
        <v>139</v>
      </c>
      <c r="AK3638" s="2">
        <v>0.589796919472934</v>
      </c>
      <c r="AL3638" s="2">
        <v>0.79365918198341101</v>
      </c>
      <c r="AM3638" s="2">
        <v>14287.5103947033</v>
      </c>
      <c r="AN3638" s="2">
        <v>19119.908369746801</v>
      </c>
      <c r="AO3638" s="2">
        <v>30522.752695513202</v>
      </c>
      <c r="AP3638" s="2">
        <v>34445.027024172101</v>
      </c>
      <c r="AQ3638" s="2">
        <v>49904.708316229597</v>
      </c>
      <c r="AR3638" s="2">
        <v>19769.674030951301</v>
      </c>
      <c r="AS3638" s="2">
        <v>21707.7921672708</v>
      </c>
      <c r="AT3638" s="2">
        <v>33138.361355288398</v>
      </c>
      <c r="AU3638" s="2">
        <v>30565.440442094601</v>
      </c>
      <c r="AV3638" s="2">
        <v>9856.3820733980992</v>
      </c>
      <c r="AW3638" s="2">
        <v>34021.970690370501</v>
      </c>
      <c r="AX3638" s="2">
        <v>16314.466577724599</v>
      </c>
    </row>
    <row r="3639" spans="1:50" x14ac:dyDescent="0.25">
      <c r="A3639" s="2" t="s">
        <v>24120</v>
      </c>
      <c r="B3639" s="2">
        <v>207.15006013725599</v>
      </c>
      <c r="C3639" s="2">
        <v>4.72983333333333</v>
      </c>
      <c r="D3639" s="2" t="s">
        <v>51</v>
      </c>
      <c r="E3639" s="2" t="s">
        <v>24121</v>
      </c>
      <c r="F3639" s="2">
        <v>210291</v>
      </c>
      <c r="G3639" s="3" t="str">
        <f>HYPERLINK("https://cloud.oebiotech.com/#/lm/network/210291", "https://cloud.oebiotech.com/#/lm/network/210291")</f>
        <v>https://cloud.oebiotech.com/#/lm/network/210291</v>
      </c>
      <c r="H3639" s="2" t="s">
        <v>24122</v>
      </c>
      <c r="I3639" s="2"/>
      <c r="J3639" s="2"/>
      <c r="K3639" s="2"/>
      <c r="L3639" s="2"/>
      <c r="M3639" s="2"/>
      <c r="N3639" s="2"/>
      <c r="O3639" s="2"/>
      <c r="P3639" s="2"/>
      <c r="Q3639" s="2"/>
      <c r="R3639" s="2"/>
      <c r="S3639" s="2" t="s">
        <v>24123</v>
      </c>
      <c r="T3639" s="2" t="s">
        <v>24124</v>
      </c>
      <c r="U3639" s="2" t="s">
        <v>331</v>
      </c>
      <c r="V3639" s="2" t="s">
        <v>332</v>
      </c>
      <c r="W3639" s="2" t="s">
        <v>1207</v>
      </c>
      <c r="X3639" s="2" t="s">
        <v>147</v>
      </c>
      <c r="Y3639" s="2">
        <v>38</v>
      </c>
      <c r="Z3639" s="2">
        <v>8.16</v>
      </c>
      <c r="AA3639" s="2" t="s">
        <v>512</v>
      </c>
      <c r="AB3639" s="2" t="s">
        <v>24125</v>
      </c>
      <c r="AC3639" s="2">
        <v>4.6030202238143403</v>
      </c>
      <c r="AD3639" s="2"/>
      <c r="AE3639" s="2">
        <v>0.14982140698476901</v>
      </c>
      <c r="AF3639" s="2">
        <v>35.757171447168801</v>
      </c>
      <c r="AG3639" s="2">
        <v>688.30160452054395</v>
      </c>
      <c r="AH3639" s="4">
        <v>5.1949859207543803E-2</v>
      </c>
      <c r="AI3639" s="4">
        <v>-4.2667363505750497</v>
      </c>
      <c r="AJ3639" s="4" t="s">
        <v>62</v>
      </c>
      <c r="AK3639" s="2">
        <v>0.11431437424796199</v>
      </c>
      <c r="AL3639" s="2">
        <v>0.42835315311351202</v>
      </c>
      <c r="AM3639" s="2">
        <v>135.37136197706201</v>
      </c>
      <c r="AN3639" s="2">
        <v>8.559877937157E-6</v>
      </c>
      <c r="AO3639" s="2">
        <v>8.559877937157E-6</v>
      </c>
      <c r="AP3639" s="2">
        <v>79.171632466438993</v>
      </c>
      <c r="AQ3639" s="2">
        <v>8.559877937157E-6</v>
      </c>
      <c r="AR3639" s="2">
        <v>8.559877937157E-6</v>
      </c>
      <c r="AS3639" s="2">
        <v>1010.79257605109</v>
      </c>
      <c r="AT3639" s="2">
        <v>8.559877937157E-6</v>
      </c>
      <c r="AU3639" s="2">
        <v>8.559877937157E-6</v>
      </c>
      <c r="AV3639" s="2">
        <v>290.58338616764399</v>
      </c>
      <c r="AW3639" s="2">
        <v>2411.1374573058201</v>
      </c>
      <c r="AX3639" s="2">
        <v>417.296190478955</v>
      </c>
    </row>
    <row r="3640" spans="1:50" x14ac:dyDescent="0.25">
      <c r="A3640" s="2" t="s">
        <v>24126</v>
      </c>
      <c r="B3640" s="2">
        <v>483.36948043872098</v>
      </c>
      <c r="C3640" s="2">
        <v>13.3257833333333</v>
      </c>
      <c r="D3640" s="2" t="s">
        <v>51</v>
      </c>
      <c r="E3640" s="2" t="s">
        <v>24127</v>
      </c>
      <c r="F3640" s="2">
        <v>10322</v>
      </c>
      <c r="G3640" s="3" t="str">
        <f>HYPERLINK("https://cloud.oebiotech.com/#/lm/network/10322", "https://cloud.oebiotech.com/#/lm/network/10322")</f>
        <v>https://cloud.oebiotech.com/#/lm/network/10322</v>
      </c>
      <c r="H3640" s="2"/>
      <c r="I3640" s="2"/>
      <c r="J3640" s="2" t="s">
        <v>24128</v>
      </c>
      <c r="K3640" s="2">
        <v>86289858</v>
      </c>
      <c r="L3640" s="2"/>
      <c r="M3640" s="2"/>
      <c r="N3640" s="2"/>
      <c r="O3640" s="2">
        <v>79270</v>
      </c>
      <c r="P3640" s="2"/>
      <c r="Q3640" s="2"/>
      <c r="R3640" s="2"/>
      <c r="S3640" s="2" t="s">
        <v>24129</v>
      </c>
      <c r="T3640" s="2" t="s">
        <v>24130</v>
      </c>
      <c r="U3640" s="2" t="s">
        <v>56</v>
      </c>
      <c r="V3640" s="2" t="s">
        <v>145</v>
      </c>
      <c r="W3640" s="2" t="s">
        <v>231</v>
      </c>
      <c r="X3640" s="2" t="s">
        <v>147</v>
      </c>
      <c r="Y3640" s="2">
        <v>38.299999999999997</v>
      </c>
      <c r="Z3640" s="2">
        <v>0</v>
      </c>
      <c r="AA3640" s="2" t="s">
        <v>379</v>
      </c>
      <c r="AB3640" s="2" t="s">
        <v>13058</v>
      </c>
      <c r="AC3640" s="2">
        <v>0.73148798613059196</v>
      </c>
      <c r="AD3640" s="2"/>
      <c r="AE3640" s="2">
        <v>0.14980423980882099</v>
      </c>
      <c r="AF3640" s="2">
        <v>1493.4764897125999</v>
      </c>
      <c r="AG3640" s="2">
        <v>2586.8181925249201</v>
      </c>
      <c r="AH3640" s="4">
        <v>0.57734111118758702</v>
      </c>
      <c r="AI3640" s="4">
        <v>-0.79250413475090298</v>
      </c>
      <c r="AJ3640" s="4" t="s">
        <v>62</v>
      </c>
      <c r="AK3640" s="2">
        <v>0.20884267351243599</v>
      </c>
      <c r="AL3640" s="2">
        <v>0.53408340129961396</v>
      </c>
      <c r="AM3640" s="2">
        <v>1334.5308663982</v>
      </c>
      <c r="AN3640" s="2">
        <v>1018.80500362546</v>
      </c>
      <c r="AO3640" s="2">
        <v>1756.20996375242</v>
      </c>
      <c r="AP3640" s="2">
        <v>3483.1636848772</v>
      </c>
      <c r="AQ3640" s="2">
        <v>927.70735563385995</v>
      </c>
      <c r="AR3640" s="2">
        <v>440.44206398847399</v>
      </c>
      <c r="AS3640" s="2">
        <v>372.67218155409699</v>
      </c>
      <c r="AT3640" s="2">
        <v>2062.7049014610302</v>
      </c>
      <c r="AU3640" s="2">
        <v>5119.1930482089301</v>
      </c>
      <c r="AV3640" s="2">
        <v>1780.4711014475799</v>
      </c>
      <c r="AW3640" s="2">
        <v>3933.1882876319301</v>
      </c>
      <c r="AX3640" s="2">
        <v>2252.6796348459602</v>
      </c>
    </row>
    <row r="3641" spans="1:50" x14ac:dyDescent="0.25">
      <c r="A3641" s="2" t="s">
        <v>24131</v>
      </c>
      <c r="B3641" s="2">
        <v>597.28385819420896</v>
      </c>
      <c r="C3641" s="2">
        <v>4.1970666666666698</v>
      </c>
      <c r="D3641" s="2" t="s">
        <v>51</v>
      </c>
      <c r="E3641" s="2" t="s">
        <v>24132</v>
      </c>
      <c r="F3641" s="2">
        <v>43459</v>
      </c>
      <c r="G3641" s="3" t="str">
        <f>HYPERLINK("https://cloud.oebiotech.com/#/lm/network/43459", "https://cloud.oebiotech.com/#/lm/network/43459")</f>
        <v>https://cloud.oebiotech.com/#/lm/network/43459</v>
      </c>
      <c r="H3641" s="2"/>
      <c r="I3641" s="2">
        <v>41667</v>
      </c>
      <c r="J3641" s="2" t="s">
        <v>24133</v>
      </c>
      <c r="K3641" s="2">
        <v>5281316</v>
      </c>
      <c r="L3641" s="2" t="s">
        <v>24134</v>
      </c>
      <c r="M3641" s="2"/>
      <c r="N3641" s="2"/>
      <c r="O3641" s="2">
        <v>3941</v>
      </c>
      <c r="P3641" s="2" t="s">
        <v>24135</v>
      </c>
      <c r="Q3641" s="2" t="s">
        <v>24136</v>
      </c>
      <c r="R3641" s="2" t="s">
        <v>24137</v>
      </c>
      <c r="S3641" s="2" t="s">
        <v>24138</v>
      </c>
      <c r="T3641" s="2" t="s">
        <v>24139</v>
      </c>
      <c r="U3641" s="2" t="s">
        <v>56</v>
      </c>
      <c r="V3641" s="2" t="s">
        <v>283</v>
      </c>
      <c r="W3641" s="2" t="s">
        <v>18279</v>
      </c>
      <c r="X3641" s="2" t="s">
        <v>147</v>
      </c>
      <c r="Y3641" s="2">
        <v>37.4</v>
      </c>
      <c r="Z3641" s="2">
        <v>0.53800000000000003</v>
      </c>
      <c r="AA3641" s="2" t="s">
        <v>395</v>
      </c>
      <c r="AB3641" s="2" t="s">
        <v>24140</v>
      </c>
      <c r="AC3641" s="2">
        <v>2.5642720753661101</v>
      </c>
      <c r="AD3641" s="2"/>
      <c r="AE3641" s="2">
        <v>0.14975220347180601</v>
      </c>
      <c r="AF3641" s="2">
        <v>4187.77794252691</v>
      </c>
      <c r="AG3641" s="2">
        <v>2525.1710960231098</v>
      </c>
      <c r="AH3641" s="5">
        <v>1.6584135424020401</v>
      </c>
      <c r="AI3641" s="5">
        <v>0.72980380247921794</v>
      </c>
      <c r="AJ3641" s="5" t="s">
        <v>139</v>
      </c>
      <c r="AK3641" s="2">
        <v>0.442500682284448</v>
      </c>
      <c r="AL3641" s="2">
        <v>0.69908803275019105</v>
      </c>
      <c r="AM3641" s="2">
        <v>839.04738584496704</v>
      </c>
      <c r="AN3641" s="2">
        <v>11331.394531854299</v>
      </c>
      <c r="AO3641" s="2">
        <v>3255.2745346974002</v>
      </c>
      <c r="AP3641" s="2">
        <v>7595.1141836447096</v>
      </c>
      <c r="AQ3641" s="2">
        <v>1617.3303773151899</v>
      </c>
      <c r="AR3641" s="2">
        <v>488.50664180489503</v>
      </c>
      <c r="AS3641" s="2">
        <v>8.559877937157E-6</v>
      </c>
      <c r="AT3641" s="2">
        <v>1836.1731847619601</v>
      </c>
      <c r="AU3641" s="2">
        <v>5569.1208009787297</v>
      </c>
      <c r="AV3641" s="2">
        <v>6098.3473161920001</v>
      </c>
      <c r="AW3641" s="2">
        <v>846.37720071817296</v>
      </c>
      <c r="AX3641" s="2">
        <v>801.00806492789502</v>
      </c>
    </row>
    <row r="3642" spans="1:50" x14ac:dyDescent="0.25">
      <c r="A3642" s="2" t="s">
        <v>24141</v>
      </c>
      <c r="B3642" s="2">
        <v>159.06533263666799</v>
      </c>
      <c r="C3642" s="2">
        <v>4.1837666666666697</v>
      </c>
      <c r="D3642" s="2" t="s">
        <v>51</v>
      </c>
      <c r="E3642" s="2" t="s">
        <v>24142</v>
      </c>
      <c r="F3642" s="2">
        <v>47088</v>
      </c>
      <c r="G3642" s="3" t="str">
        <f>HYPERLINK("https://cloud.oebiotech.com/#/lm/network/47088", "https://cloud.oebiotech.com/#/lm/network/47088")</f>
        <v>https://cloud.oebiotech.com/#/lm/network/47088</v>
      </c>
      <c r="H3642" s="2" t="s">
        <v>24143</v>
      </c>
      <c r="I3642" s="2">
        <v>3797</v>
      </c>
      <c r="J3642" s="2"/>
      <c r="K3642" s="2">
        <v>6999745</v>
      </c>
      <c r="L3642" s="2"/>
      <c r="M3642" s="2"/>
      <c r="N3642" s="2"/>
      <c r="O3642" s="2"/>
      <c r="P3642" s="2"/>
      <c r="Q3642" s="2"/>
      <c r="R3642" s="2" t="s">
        <v>24144</v>
      </c>
      <c r="S3642" s="2" t="s">
        <v>24145</v>
      </c>
      <c r="T3642" s="2" t="s">
        <v>24146</v>
      </c>
      <c r="U3642" s="2" t="s">
        <v>56</v>
      </c>
      <c r="V3642" s="2" t="s">
        <v>145</v>
      </c>
      <c r="W3642" s="2" t="s">
        <v>231</v>
      </c>
      <c r="X3642" s="2" t="s">
        <v>83</v>
      </c>
      <c r="Y3642" s="2">
        <v>43.2</v>
      </c>
      <c r="Z3642" s="2">
        <v>0</v>
      </c>
      <c r="AA3642" s="2" t="s">
        <v>163</v>
      </c>
      <c r="AB3642" s="2" t="s">
        <v>24147</v>
      </c>
      <c r="AC3642" s="2">
        <v>-5.93348719807432</v>
      </c>
      <c r="AD3642" s="2"/>
      <c r="AE3642" s="2">
        <v>0.14964785695431199</v>
      </c>
      <c r="AF3642" s="2">
        <v>13434.904039434399</v>
      </c>
      <c r="AG3642" s="2">
        <v>11763.0460593399</v>
      </c>
      <c r="AH3642" s="5">
        <v>1.1421279804279101</v>
      </c>
      <c r="AI3642" s="5">
        <v>0.19172432003842599</v>
      </c>
      <c r="AJ3642" s="5" t="s">
        <v>139</v>
      </c>
      <c r="AK3642" s="2">
        <v>0.50632005068533603</v>
      </c>
      <c r="AL3642" s="2">
        <v>0.74196312845079004</v>
      </c>
      <c r="AM3642" s="2">
        <v>9983.3399243808308</v>
      </c>
      <c r="AN3642" s="2">
        <v>21788.0415146901</v>
      </c>
      <c r="AO3642" s="2">
        <v>13391.6315886098</v>
      </c>
      <c r="AP3642" s="2">
        <v>14279.079641946701</v>
      </c>
      <c r="AQ3642" s="2">
        <v>11144.2073587295</v>
      </c>
      <c r="AR3642" s="2">
        <v>10023.124208249499</v>
      </c>
      <c r="AS3642" s="2">
        <v>16820.096162224399</v>
      </c>
      <c r="AT3642" s="2">
        <v>13967.201948059301</v>
      </c>
      <c r="AU3642" s="2">
        <v>9681.7201773690504</v>
      </c>
      <c r="AV3642" s="2">
        <v>6156.79020815899</v>
      </c>
      <c r="AW3642" s="2">
        <v>9640.2318308147496</v>
      </c>
      <c r="AX3642" s="2">
        <v>14312.236029412899</v>
      </c>
    </row>
    <row r="3643" spans="1:50" x14ac:dyDescent="0.25">
      <c r="A3643" s="2" t="s">
        <v>24148</v>
      </c>
      <c r="B3643" s="2">
        <v>405.22640624245901</v>
      </c>
      <c r="C3643" s="2">
        <v>10.078099999999999</v>
      </c>
      <c r="D3643" s="2" t="s">
        <v>51</v>
      </c>
      <c r="E3643" s="2" t="s">
        <v>24149</v>
      </c>
      <c r="F3643" s="2">
        <v>5975</v>
      </c>
      <c r="G3643" s="3" t="str">
        <f>HYPERLINK("https://cloud.oebiotech.com/#/lm/network/5975", "https://cloud.oebiotech.com/#/lm/network/5975")</f>
        <v>https://cloud.oebiotech.com/#/lm/network/5975</v>
      </c>
      <c r="H3643" s="2"/>
      <c r="I3643" s="2">
        <v>46020</v>
      </c>
      <c r="J3643" s="2" t="s">
        <v>24150</v>
      </c>
      <c r="K3643" s="2">
        <v>60201795</v>
      </c>
      <c r="L3643" s="2"/>
      <c r="M3643" s="2"/>
      <c r="N3643" s="2"/>
      <c r="O3643" s="2">
        <v>138249</v>
      </c>
      <c r="P3643" s="2" t="s">
        <v>1861</v>
      </c>
      <c r="Q3643" s="2" t="s">
        <v>1862</v>
      </c>
      <c r="R3643" s="2"/>
      <c r="S3643" s="2" t="s">
        <v>24151</v>
      </c>
      <c r="T3643" s="2" t="s">
        <v>24152</v>
      </c>
      <c r="U3643" s="2" t="s">
        <v>56</v>
      </c>
      <c r="V3643" s="2" t="s">
        <v>145</v>
      </c>
      <c r="W3643" s="2" t="s">
        <v>231</v>
      </c>
      <c r="X3643" s="2" t="s">
        <v>83</v>
      </c>
      <c r="Y3643" s="2">
        <v>39.799999999999997</v>
      </c>
      <c r="Z3643" s="2">
        <v>0</v>
      </c>
      <c r="AA3643" s="2" t="s">
        <v>218</v>
      </c>
      <c r="AB3643" s="2" t="s">
        <v>1865</v>
      </c>
      <c r="AC3643" s="2">
        <v>-5.1526294725109496</v>
      </c>
      <c r="AD3643" s="2"/>
      <c r="AE3643" s="2">
        <v>0.14962840802765701</v>
      </c>
      <c r="AF3643" s="2">
        <v>8755.8341196139299</v>
      </c>
      <c r="AG3643" s="2">
        <v>7522.8043689391698</v>
      </c>
      <c r="AH3643" s="5">
        <v>1.16390559825878</v>
      </c>
      <c r="AI3643" s="5">
        <v>0.21897404927119299</v>
      </c>
      <c r="AJ3643" s="5" t="s">
        <v>139</v>
      </c>
      <c r="AK3643" s="2">
        <v>0.63049020201204597</v>
      </c>
      <c r="AL3643" s="2">
        <v>0.81902331034159503</v>
      </c>
      <c r="AM3643" s="2">
        <v>13767.636518168099</v>
      </c>
      <c r="AN3643" s="2">
        <v>6083.9187761314397</v>
      </c>
      <c r="AO3643" s="2">
        <v>5454.7861357913098</v>
      </c>
      <c r="AP3643" s="2">
        <v>10064.2993710827</v>
      </c>
      <c r="AQ3643" s="2">
        <v>8395.8198006944094</v>
      </c>
      <c r="AR3643" s="2">
        <v>8768.5441158156209</v>
      </c>
      <c r="AS3643" s="2">
        <v>6007.3446516960403</v>
      </c>
      <c r="AT3643" s="2">
        <v>3570.0216312712</v>
      </c>
      <c r="AU3643" s="2">
        <v>18016.5048063986</v>
      </c>
      <c r="AV3643" s="2">
        <v>4697.0208382614101</v>
      </c>
      <c r="AW3643" s="2">
        <v>5468.3004209729497</v>
      </c>
      <c r="AX3643" s="2">
        <v>7377.6338650347998</v>
      </c>
    </row>
    <row r="3644" spans="1:50" x14ac:dyDescent="0.25">
      <c r="A3644" s="2" t="s">
        <v>24153</v>
      </c>
      <c r="B3644" s="2">
        <v>471.34187279724</v>
      </c>
      <c r="C3644" s="2">
        <v>9.1141833333333295</v>
      </c>
      <c r="D3644" s="2" t="s">
        <v>51</v>
      </c>
      <c r="E3644" s="2" t="s">
        <v>24154</v>
      </c>
      <c r="F3644" s="2">
        <v>198346</v>
      </c>
      <c r="G3644" s="3" t="str">
        <f>HYPERLINK("https://cloud.oebiotech.com/#/lm/network/198346", "https://cloud.oebiotech.com/#/lm/network/198346")</f>
        <v>https://cloud.oebiotech.com/#/lm/network/198346</v>
      </c>
      <c r="H3644" s="2" t="s">
        <v>24155</v>
      </c>
      <c r="I3644" s="2"/>
      <c r="J3644" s="2"/>
      <c r="K3644" s="2"/>
      <c r="L3644" s="2"/>
      <c r="M3644" s="2"/>
      <c r="N3644" s="2"/>
      <c r="O3644" s="2"/>
      <c r="P3644" s="2"/>
      <c r="Q3644" s="2"/>
      <c r="R3644" s="2"/>
      <c r="S3644" s="2" t="s">
        <v>24156</v>
      </c>
      <c r="T3644" s="2" t="s">
        <v>24157</v>
      </c>
      <c r="U3644" s="2" t="s">
        <v>56</v>
      </c>
      <c r="V3644" s="2" t="s">
        <v>145</v>
      </c>
      <c r="W3644" s="2" t="s">
        <v>1188</v>
      </c>
      <c r="X3644" s="2" t="s">
        <v>83</v>
      </c>
      <c r="Y3644" s="2">
        <v>38.799999999999997</v>
      </c>
      <c r="Z3644" s="2">
        <v>0</v>
      </c>
      <c r="AA3644" s="2" t="s">
        <v>259</v>
      </c>
      <c r="AB3644" s="2" t="s">
        <v>24158</v>
      </c>
      <c r="AC3644" s="2">
        <v>-2.1066595146909499</v>
      </c>
      <c r="AD3644" s="2"/>
      <c r="AE3644" s="2">
        <v>0.14947491521918299</v>
      </c>
      <c r="AF3644" s="2">
        <v>6941.4789283822001</v>
      </c>
      <c r="AG3644" s="2">
        <v>5745.5815174636</v>
      </c>
      <c r="AH3644" s="5">
        <v>1.20814210141892</v>
      </c>
      <c r="AI3644" s="5">
        <v>0.27279015412934099</v>
      </c>
      <c r="AJ3644" s="5" t="s">
        <v>139</v>
      </c>
      <c r="AK3644" s="2">
        <v>0.24546211716091501</v>
      </c>
      <c r="AL3644" s="2">
        <v>0.57060798295178805</v>
      </c>
      <c r="AM3644" s="2">
        <v>6394.4259752768903</v>
      </c>
      <c r="AN3644" s="2">
        <v>4785.6585720482099</v>
      </c>
      <c r="AO3644" s="2">
        <v>7319.0253547900602</v>
      </c>
      <c r="AP3644" s="2">
        <v>5754.86299940346</v>
      </c>
      <c r="AQ3644" s="2">
        <v>6658.9926046779501</v>
      </c>
      <c r="AR3644" s="2">
        <v>10735.9080640966</v>
      </c>
      <c r="AS3644" s="2">
        <v>5734.8326080574097</v>
      </c>
      <c r="AT3644" s="2">
        <v>6224.2754704962599</v>
      </c>
      <c r="AU3644" s="2">
        <v>6632.2233651810302</v>
      </c>
      <c r="AV3644" s="2">
        <v>4607.0991153696395</v>
      </c>
      <c r="AW3644" s="2">
        <v>7198.2811915888697</v>
      </c>
      <c r="AX3644" s="2">
        <v>4076.77735408842</v>
      </c>
    </row>
    <row r="3645" spans="1:50" x14ac:dyDescent="0.25">
      <c r="A3645" s="2" t="s">
        <v>24159</v>
      </c>
      <c r="B3645" s="2">
        <v>247.13391639739501</v>
      </c>
      <c r="C3645" s="2">
        <v>9.6238666666666699</v>
      </c>
      <c r="D3645" s="2" t="s">
        <v>51</v>
      </c>
      <c r="E3645" s="2" t="s">
        <v>24160</v>
      </c>
      <c r="F3645" s="2">
        <v>203755</v>
      </c>
      <c r="G3645" s="3" t="str">
        <f>HYPERLINK("https://cloud.oebiotech.com/#/lm/network/203755", "https://cloud.oebiotech.com/#/lm/network/203755")</f>
        <v>https://cloud.oebiotech.com/#/lm/network/203755</v>
      </c>
      <c r="H3645" s="2" t="s">
        <v>24161</v>
      </c>
      <c r="I3645" s="2"/>
      <c r="J3645" s="2"/>
      <c r="K3645" s="2">
        <v>196319</v>
      </c>
      <c r="L3645" s="2"/>
      <c r="M3645" s="2"/>
      <c r="N3645" s="2"/>
      <c r="O3645" s="2"/>
      <c r="P3645" s="2"/>
      <c r="Q3645" s="2"/>
      <c r="R3645" s="2"/>
      <c r="S3645" s="2" t="s">
        <v>24162</v>
      </c>
      <c r="T3645" s="2" t="s">
        <v>24163</v>
      </c>
      <c r="U3645" s="2" t="s">
        <v>56</v>
      </c>
      <c r="V3645" s="2" t="s">
        <v>177</v>
      </c>
      <c r="W3645" s="2" t="s">
        <v>806</v>
      </c>
      <c r="X3645" s="2" t="s">
        <v>83</v>
      </c>
      <c r="Y3645" s="2">
        <v>39.200000000000003</v>
      </c>
      <c r="Z3645" s="2">
        <v>0</v>
      </c>
      <c r="AA3645" s="2" t="s">
        <v>163</v>
      </c>
      <c r="AB3645" s="2" t="s">
        <v>18001</v>
      </c>
      <c r="AC3645" s="2">
        <v>-0.20823093978513599</v>
      </c>
      <c r="AD3645" s="2"/>
      <c r="AE3645" s="2">
        <v>0.149472902612419</v>
      </c>
      <c r="AF3645" s="2">
        <v>741.06109734300298</v>
      </c>
      <c r="AG3645" s="2">
        <v>187.14815899561901</v>
      </c>
      <c r="AH3645" s="5">
        <v>3.95975627716621</v>
      </c>
      <c r="AI3645" s="5">
        <v>1.9854116352179001</v>
      </c>
      <c r="AJ3645" s="5" t="s">
        <v>139</v>
      </c>
      <c r="AK3645" s="2">
        <v>2.07208280680822E-2</v>
      </c>
      <c r="AL3645" s="2">
        <v>0.224553420023335</v>
      </c>
      <c r="AM3645" s="2">
        <v>642.86434445299005</v>
      </c>
      <c r="AN3645" s="2">
        <v>1497.7421190436801</v>
      </c>
      <c r="AO3645" s="2">
        <v>473.64980285169003</v>
      </c>
      <c r="AP3645" s="2">
        <v>288.10849804876898</v>
      </c>
      <c r="AQ3645" s="2">
        <v>517.552901125571</v>
      </c>
      <c r="AR3645" s="2">
        <v>1026.44891853532</v>
      </c>
      <c r="AS3645" s="2">
        <v>282.48797018990302</v>
      </c>
      <c r="AT3645" s="2">
        <v>8.559877937157E-6</v>
      </c>
      <c r="AU3645" s="2">
        <v>348.93915334264699</v>
      </c>
      <c r="AV3645" s="2">
        <v>8.559877937157E-6</v>
      </c>
      <c r="AW3645" s="2">
        <v>8.559877937157E-6</v>
      </c>
      <c r="AX3645" s="2">
        <v>491.46180476153199</v>
      </c>
    </row>
    <row r="3646" spans="1:50" x14ac:dyDescent="0.25">
      <c r="A3646" s="2" t="s">
        <v>24164</v>
      </c>
      <c r="B3646" s="2">
        <v>578.42030090728394</v>
      </c>
      <c r="C3646" s="2">
        <v>10.430199999999999</v>
      </c>
      <c r="D3646" s="2" t="s">
        <v>51</v>
      </c>
      <c r="E3646" s="2" t="s">
        <v>24165</v>
      </c>
      <c r="F3646" s="2">
        <v>19884</v>
      </c>
      <c r="G3646" s="3" t="str">
        <f>HYPERLINK("https://cloud.oebiotech.com/#/lm/network/19884", "https://cloud.oebiotech.com/#/lm/network/19884")</f>
        <v>https://cloud.oebiotech.com/#/lm/network/19884</v>
      </c>
      <c r="H3646" s="2"/>
      <c r="I3646" s="2">
        <v>76576</v>
      </c>
      <c r="J3646" s="2" t="s">
        <v>24166</v>
      </c>
      <c r="K3646" s="2">
        <v>52924057</v>
      </c>
      <c r="L3646" s="2"/>
      <c r="M3646" s="2"/>
      <c r="N3646" s="2"/>
      <c r="O3646" s="2"/>
      <c r="P3646" s="2"/>
      <c r="Q3646" s="2"/>
      <c r="R3646" s="2"/>
      <c r="S3646" s="2" t="s">
        <v>24167</v>
      </c>
      <c r="T3646" s="2" t="s">
        <v>24168</v>
      </c>
      <c r="U3646" s="2" t="s">
        <v>56</v>
      </c>
      <c r="V3646" s="2" t="s">
        <v>57</v>
      </c>
      <c r="W3646" s="2" t="s">
        <v>58</v>
      </c>
      <c r="X3646" s="2" t="s">
        <v>59</v>
      </c>
      <c r="Y3646" s="2">
        <v>51.2</v>
      </c>
      <c r="Z3646" s="2">
        <v>70.7</v>
      </c>
      <c r="AA3646" s="2" t="s">
        <v>259</v>
      </c>
      <c r="AB3646" s="2" t="s">
        <v>24169</v>
      </c>
      <c r="AC3646" s="2">
        <v>3.9565931247308002</v>
      </c>
      <c r="AD3646" s="2"/>
      <c r="AE3646" s="2">
        <v>0.14939018113542099</v>
      </c>
      <c r="AF3646" s="2">
        <v>35959.611744376998</v>
      </c>
      <c r="AG3646" s="2">
        <v>35450.040370898598</v>
      </c>
      <c r="AH3646" s="5">
        <v>1.0143743524167199</v>
      </c>
      <c r="AI3646" s="5">
        <v>2.05901737475131E-2</v>
      </c>
      <c r="AJ3646" s="5" t="s">
        <v>139</v>
      </c>
      <c r="AK3646" s="2">
        <v>0.96326949386286198</v>
      </c>
      <c r="AL3646" s="2">
        <v>0.985725204870609</v>
      </c>
      <c r="AM3646" s="2">
        <v>44426.554716850602</v>
      </c>
      <c r="AN3646" s="2">
        <v>48368.873617212201</v>
      </c>
      <c r="AO3646" s="2">
        <v>49265.581870044298</v>
      </c>
      <c r="AP3646" s="2">
        <v>29113.048160537699</v>
      </c>
      <c r="AQ3646" s="2">
        <v>18649.5830186612</v>
      </c>
      <c r="AR3646" s="2">
        <v>25934.029082956</v>
      </c>
      <c r="AS3646" s="2">
        <v>30006.327670686002</v>
      </c>
      <c r="AT3646" s="2">
        <v>14945.7506257934</v>
      </c>
      <c r="AU3646" s="2">
        <v>73086.442722432999</v>
      </c>
      <c r="AV3646" s="2">
        <v>12312.5865363681</v>
      </c>
      <c r="AW3646" s="2">
        <v>31772.095930693002</v>
      </c>
      <c r="AX3646" s="2">
        <v>50577.038739418102</v>
      </c>
    </row>
    <row r="3647" spans="1:50" x14ac:dyDescent="0.25">
      <c r="A3647" s="2" t="s">
        <v>24170</v>
      </c>
      <c r="B3647" s="2">
        <v>237.18548162369899</v>
      </c>
      <c r="C3647" s="2">
        <v>10.9667166666667</v>
      </c>
      <c r="D3647" s="2" t="s">
        <v>51</v>
      </c>
      <c r="E3647" s="2" t="s">
        <v>24171</v>
      </c>
      <c r="F3647" s="2">
        <v>1614</v>
      </c>
      <c r="G3647" s="3" t="str">
        <f>HYPERLINK("https://cloud.oebiotech.com/#/lm/network/1614", "https://cloud.oebiotech.com/#/lm/network/1614")</f>
        <v>https://cloud.oebiotech.com/#/lm/network/1614</v>
      </c>
      <c r="H3647" s="2"/>
      <c r="I3647" s="2"/>
      <c r="J3647" s="2" t="s">
        <v>24172</v>
      </c>
      <c r="K3647" s="2"/>
      <c r="L3647" s="2"/>
      <c r="M3647" s="2"/>
      <c r="N3647" s="2"/>
      <c r="O3647" s="2"/>
      <c r="P3647" s="2"/>
      <c r="Q3647" s="2"/>
      <c r="R3647" s="2"/>
      <c r="S3647" s="2" t="s">
        <v>24173</v>
      </c>
      <c r="T3647" s="2" t="s">
        <v>24174</v>
      </c>
      <c r="U3647" s="2" t="s">
        <v>56</v>
      </c>
      <c r="V3647" s="2" t="s">
        <v>145</v>
      </c>
      <c r="W3647" s="2" t="s">
        <v>231</v>
      </c>
      <c r="X3647" s="2" t="s">
        <v>83</v>
      </c>
      <c r="Y3647" s="2">
        <v>43.5</v>
      </c>
      <c r="Z3647" s="2">
        <v>0</v>
      </c>
      <c r="AA3647" s="2" t="s">
        <v>259</v>
      </c>
      <c r="AB3647" s="2" t="s">
        <v>4139</v>
      </c>
      <c r="AC3647" s="2">
        <v>2.43538263464001</v>
      </c>
      <c r="AD3647" s="2"/>
      <c r="AE3647" s="2">
        <v>0.14937190165312</v>
      </c>
      <c r="AF3647" s="2">
        <v>8872.7643055348108</v>
      </c>
      <c r="AG3647" s="2">
        <v>7899.5229157819404</v>
      </c>
      <c r="AH3647" s="5">
        <v>1.1232025528792999</v>
      </c>
      <c r="AI3647" s="5">
        <v>0.167618119799024</v>
      </c>
      <c r="AJ3647" s="5" t="s">
        <v>139</v>
      </c>
      <c r="AK3647" s="2">
        <v>0.18642631031735901</v>
      </c>
      <c r="AL3647" s="2">
        <v>0.51040020334889302</v>
      </c>
      <c r="AM3647" s="2">
        <v>9422.80009701583</v>
      </c>
      <c r="AN3647" s="2">
        <v>9063.5000942223396</v>
      </c>
      <c r="AO3647" s="2">
        <v>8613.1021637802005</v>
      </c>
      <c r="AP3647" s="2">
        <v>9022.0268604610901</v>
      </c>
      <c r="AQ3647" s="2">
        <v>8381.1621440624203</v>
      </c>
      <c r="AR3647" s="2">
        <v>8733.9944736670095</v>
      </c>
      <c r="AS3647" s="2">
        <v>7748.48921083594</v>
      </c>
      <c r="AT3647" s="2">
        <v>5560.6546398854598</v>
      </c>
      <c r="AU3647" s="2">
        <v>10153.573078470699</v>
      </c>
      <c r="AV3647" s="2">
        <v>7957.9928545978501</v>
      </c>
      <c r="AW3647" s="2">
        <v>9179.4434964879893</v>
      </c>
      <c r="AX3647" s="2">
        <v>6796.9842144136801</v>
      </c>
    </row>
    <row r="3648" spans="1:50" x14ac:dyDescent="0.25">
      <c r="A3648" s="2" t="s">
        <v>24175</v>
      </c>
      <c r="B3648" s="2">
        <v>195.13850740185899</v>
      </c>
      <c r="C3648" s="2">
        <v>7.05525</v>
      </c>
      <c r="D3648" s="2" t="s">
        <v>51</v>
      </c>
      <c r="E3648" s="2" t="s">
        <v>24176</v>
      </c>
      <c r="F3648" s="2">
        <v>7863</v>
      </c>
      <c r="G3648" s="3" t="str">
        <f>HYPERLINK("https://cloud.oebiotech.com/#/lm/network/7863", "https://cloud.oebiotech.com/#/lm/network/7863")</f>
        <v>https://cloud.oebiotech.com/#/lm/network/7863</v>
      </c>
      <c r="H3648" s="2"/>
      <c r="I3648" s="2"/>
      <c r="J3648" s="2" t="s">
        <v>24177</v>
      </c>
      <c r="K3648" s="2">
        <v>10398271</v>
      </c>
      <c r="L3648" s="2"/>
      <c r="M3648" s="2"/>
      <c r="N3648" s="2"/>
      <c r="O3648" s="2"/>
      <c r="P3648" s="2"/>
      <c r="Q3648" s="2"/>
      <c r="R3648" s="2"/>
      <c r="S3648" s="2" t="s">
        <v>24178</v>
      </c>
      <c r="T3648" s="2" t="s">
        <v>24179</v>
      </c>
      <c r="U3648" s="2" t="s">
        <v>540</v>
      </c>
      <c r="V3648" s="2" t="s">
        <v>563</v>
      </c>
      <c r="W3648" s="2" t="s">
        <v>240</v>
      </c>
      <c r="X3648" s="2" t="s">
        <v>83</v>
      </c>
      <c r="Y3648" s="2">
        <v>46.7</v>
      </c>
      <c r="Z3648" s="2">
        <v>0</v>
      </c>
      <c r="AA3648" s="2" t="s">
        <v>179</v>
      </c>
      <c r="AB3648" s="2" t="s">
        <v>16641</v>
      </c>
      <c r="AC3648" s="2">
        <v>2.59804160419738</v>
      </c>
      <c r="AD3648" s="2"/>
      <c r="AE3648" s="2">
        <v>0.14932213923767301</v>
      </c>
      <c r="AF3648" s="2">
        <v>13320.047929055199</v>
      </c>
      <c r="AG3648" s="2">
        <v>12364.608205262601</v>
      </c>
      <c r="AH3648" s="5">
        <v>1.07727213898989</v>
      </c>
      <c r="AI3648" s="5">
        <v>0.107382747538776</v>
      </c>
      <c r="AJ3648" s="5" t="s">
        <v>139</v>
      </c>
      <c r="AK3648" s="2">
        <v>0.52557557217023498</v>
      </c>
      <c r="AL3648" s="2">
        <v>0.75443476111573704</v>
      </c>
      <c r="AM3648" s="2">
        <v>12875.348253149399</v>
      </c>
      <c r="AN3648" s="2">
        <v>18390.664932963198</v>
      </c>
      <c r="AO3648" s="2">
        <v>13668.863349026</v>
      </c>
      <c r="AP3648" s="2">
        <v>10665.581569075801</v>
      </c>
      <c r="AQ3648" s="2">
        <v>12961.8123578471</v>
      </c>
      <c r="AR3648" s="2">
        <v>11358.017112269499</v>
      </c>
      <c r="AS3648" s="2">
        <v>11483.301127254799</v>
      </c>
      <c r="AT3648" s="2">
        <v>10989.4812060858</v>
      </c>
      <c r="AU3648" s="2">
        <v>15530.926930751501</v>
      </c>
      <c r="AV3648" s="2">
        <v>9261.5205447350108</v>
      </c>
      <c r="AW3648" s="2">
        <v>14334.805396043599</v>
      </c>
      <c r="AX3648" s="2">
        <v>12587.614026705</v>
      </c>
    </row>
    <row r="3649" spans="1:50" x14ac:dyDescent="0.25">
      <c r="A3649" s="2" t="s">
        <v>24180</v>
      </c>
      <c r="B3649" s="2">
        <v>441.35879651996697</v>
      </c>
      <c r="C3649" s="2">
        <v>13.117800000000001</v>
      </c>
      <c r="D3649" s="2" t="s">
        <v>51</v>
      </c>
      <c r="E3649" s="2" t="s">
        <v>24181</v>
      </c>
      <c r="F3649" s="2">
        <v>113794</v>
      </c>
      <c r="G3649" s="3" t="str">
        <f>HYPERLINK("https://cloud.oebiotech.com/#/lm/network/113794", "https://cloud.oebiotech.com/#/lm/network/113794")</f>
        <v>https://cloud.oebiotech.com/#/lm/network/113794</v>
      </c>
      <c r="H3649" s="2" t="s">
        <v>24182</v>
      </c>
      <c r="I3649" s="2"/>
      <c r="J3649" s="2"/>
      <c r="K3649" s="2">
        <v>131802113</v>
      </c>
      <c r="L3649" s="2"/>
      <c r="M3649" s="2"/>
      <c r="N3649" s="2"/>
      <c r="O3649" s="2"/>
      <c r="P3649" s="2"/>
      <c r="Q3649" s="2"/>
      <c r="R3649" s="2"/>
      <c r="S3649" s="2" t="s">
        <v>24183</v>
      </c>
      <c r="T3649" s="2" t="s">
        <v>24184</v>
      </c>
      <c r="U3649" s="2" t="s">
        <v>56</v>
      </c>
      <c r="V3649" s="2" t="s">
        <v>3215</v>
      </c>
      <c r="W3649" s="2" t="s">
        <v>3216</v>
      </c>
      <c r="X3649" s="2" t="s">
        <v>83</v>
      </c>
      <c r="Y3649" s="2">
        <v>55.2</v>
      </c>
      <c r="Z3649" s="2">
        <v>0</v>
      </c>
      <c r="AA3649" s="2" t="s">
        <v>163</v>
      </c>
      <c r="AB3649" s="2" t="s">
        <v>20983</v>
      </c>
      <c r="AC3649" s="2">
        <v>0.56118862061369401</v>
      </c>
      <c r="AD3649" s="2"/>
      <c r="AE3649" s="2">
        <v>0.14927810417165499</v>
      </c>
      <c r="AF3649" s="2">
        <v>689.26513047100502</v>
      </c>
      <c r="AG3649" s="2">
        <v>3449.6437705745402</v>
      </c>
      <c r="AH3649" s="4">
        <v>0.19980762545699299</v>
      </c>
      <c r="AI3649" s="4">
        <v>-2.3233164517016802</v>
      </c>
      <c r="AJ3649" s="4" t="s">
        <v>62</v>
      </c>
      <c r="AK3649" s="2">
        <v>0.36571008216610801</v>
      </c>
      <c r="AL3649" s="2">
        <v>0.65065051178309297</v>
      </c>
      <c r="AM3649" s="2">
        <v>672.83865580761699</v>
      </c>
      <c r="AN3649" s="2">
        <v>8.559877937157E-6</v>
      </c>
      <c r="AO3649" s="2">
        <v>388.41468026144798</v>
      </c>
      <c r="AP3649" s="2">
        <v>2521.9386224157101</v>
      </c>
      <c r="AQ3649" s="2">
        <v>398.12613024297701</v>
      </c>
      <c r="AR3649" s="2">
        <v>154.27268553839701</v>
      </c>
      <c r="AS3649" s="2">
        <v>8.559877937157E-6</v>
      </c>
      <c r="AT3649" s="2">
        <v>17820.2738918822</v>
      </c>
      <c r="AU3649" s="2">
        <v>1343.40138658862</v>
      </c>
      <c r="AV3649" s="2">
        <v>8.559877937157E-6</v>
      </c>
      <c r="AW3649" s="2">
        <v>1534.1873192967601</v>
      </c>
      <c r="AX3649" s="2">
        <v>8.559877937157E-6</v>
      </c>
    </row>
    <row r="3650" spans="1:50" x14ac:dyDescent="0.25">
      <c r="A3650" s="2" t="s">
        <v>24185</v>
      </c>
      <c r="B3650" s="2">
        <v>413.13080483867998</v>
      </c>
      <c r="C3650" s="2">
        <v>4.5012333333333299</v>
      </c>
      <c r="D3650" s="2" t="s">
        <v>51</v>
      </c>
      <c r="E3650" s="2" t="s">
        <v>24186</v>
      </c>
      <c r="F3650" s="2">
        <v>53410</v>
      </c>
      <c r="G3650" s="3" t="str">
        <f>HYPERLINK("https://cloud.oebiotech.com/#/lm/network/53410", "https://cloud.oebiotech.com/#/lm/network/53410")</f>
        <v>https://cloud.oebiotech.com/#/lm/network/53410</v>
      </c>
      <c r="H3650" s="2" t="s">
        <v>24187</v>
      </c>
      <c r="I3650" s="2">
        <v>2701</v>
      </c>
      <c r="J3650" s="2"/>
      <c r="K3650" s="2">
        <v>3356</v>
      </c>
      <c r="L3650" s="2" t="s">
        <v>24188</v>
      </c>
      <c r="M3650" s="2"/>
      <c r="N3650" s="2"/>
      <c r="O3650" s="2">
        <v>75984</v>
      </c>
      <c r="P3650" s="2"/>
      <c r="Q3650" s="2"/>
      <c r="R3650" s="2" t="s">
        <v>24189</v>
      </c>
      <c r="S3650" s="2" t="s">
        <v>24190</v>
      </c>
      <c r="T3650" s="2" t="s">
        <v>24191</v>
      </c>
      <c r="U3650" s="2" t="s">
        <v>610</v>
      </c>
      <c r="V3650" s="2" t="s">
        <v>611</v>
      </c>
      <c r="W3650" s="2" t="s">
        <v>1122</v>
      </c>
      <c r="X3650" s="2" t="s">
        <v>147</v>
      </c>
      <c r="Y3650" s="2">
        <v>47.2</v>
      </c>
      <c r="Z3650" s="2">
        <v>42</v>
      </c>
      <c r="AA3650" s="2" t="s">
        <v>163</v>
      </c>
      <c r="AB3650" s="2" t="s">
        <v>24192</v>
      </c>
      <c r="AC3650" s="2">
        <v>0.65060709708012399</v>
      </c>
      <c r="AD3650" s="2"/>
      <c r="AE3650" s="2">
        <v>0.149138478947938</v>
      </c>
      <c r="AF3650" s="2">
        <v>12757.654961341101</v>
      </c>
      <c r="AG3650" s="2">
        <v>10379.189412477501</v>
      </c>
      <c r="AH3650" s="5">
        <v>1.2291571580728899</v>
      </c>
      <c r="AI3650" s="5">
        <v>0.29766938818985</v>
      </c>
      <c r="AJ3650" s="5" t="s">
        <v>139</v>
      </c>
      <c r="AK3650" s="2">
        <v>0.50617015480585603</v>
      </c>
      <c r="AL3650" s="2">
        <v>0.74196312845079004</v>
      </c>
      <c r="AM3650" s="2">
        <v>6903.0254770213596</v>
      </c>
      <c r="AN3650" s="2">
        <v>13733.8392378432</v>
      </c>
      <c r="AO3650" s="2">
        <v>10342.123168303</v>
      </c>
      <c r="AP3650" s="2">
        <v>8897.9044444165102</v>
      </c>
      <c r="AQ3650" s="2">
        <v>10594.328612244301</v>
      </c>
      <c r="AR3650" s="2">
        <v>26074.708828218099</v>
      </c>
      <c r="AS3650" s="2">
        <v>4998.4905962225503</v>
      </c>
      <c r="AT3650" s="2">
        <v>8146.1703629664198</v>
      </c>
      <c r="AU3650" s="2">
        <v>16456.759913609501</v>
      </c>
      <c r="AV3650" s="2">
        <v>8847.8103933597304</v>
      </c>
      <c r="AW3650" s="2">
        <v>7383.4768892219699</v>
      </c>
      <c r="AX3650" s="2">
        <v>16442.428319485</v>
      </c>
    </row>
    <row r="3651" spans="1:50" x14ac:dyDescent="0.25">
      <c r="A3651" s="2" t="s">
        <v>24193</v>
      </c>
      <c r="B3651" s="2">
        <v>740.29007582864699</v>
      </c>
      <c r="C3651" s="2">
        <v>4.75423333333333</v>
      </c>
      <c r="D3651" s="2" t="s">
        <v>51</v>
      </c>
      <c r="E3651" s="2" t="s">
        <v>24194</v>
      </c>
      <c r="F3651" s="2">
        <v>210951</v>
      </c>
      <c r="G3651" s="3" t="str">
        <f>HYPERLINK("https://cloud.oebiotech.com/#/lm/network/210951", "https://cloud.oebiotech.com/#/lm/network/210951")</f>
        <v>https://cloud.oebiotech.com/#/lm/network/210951</v>
      </c>
      <c r="H3651" s="2" t="s">
        <v>24195</v>
      </c>
      <c r="I3651" s="2"/>
      <c r="J3651" s="2"/>
      <c r="K3651" s="2">
        <v>422447</v>
      </c>
      <c r="L3651" s="2"/>
      <c r="M3651" s="2"/>
      <c r="N3651" s="2"/>
      <c r="O3651" s="2"/>
      <c r="P3651" s="2"/>
      <c r="Q3651" s="2"/>
      <c r="R3651" s="2"/>
      <c r="S3651" s="2" t="s">
        <v>24196</v>
      </c>
      <c r="T3651" s="2" t="s">
        <v>24197</v>
      </c>
      <c r="U3651" s="2" t="s">
        <v>540</v>
      </c>
      <c r="V3651" s="2" t="s">
        <v>1380</v>
      </c>
      <c r="W3651" s="2" t="s">
        <v>240</v>
      </c>
      <c r="X3651" s="2" t="s">
        <v>147</v>
      </c>
      <c r="Y3651" s="2">
        <v>37.6</v>
      </c>
      <c r="Z3651" s="2">
        <v>1.33</v>
      </c>
      <c r="AA3651" s="2" t="s">
        <v>218</v>
      </c>
      <c r="AB3651" s="2" t="s">
        <v>24198</v>
      </c>
      <c r="AC3651" s="2">
        <v>-3.3121577918447498</v>
      </c>
      <c r="AD3651" s="2"/>
      <c r="AE3651" s="2">
        <v>0.14905712000667601</v>
      </c>
      <c r="AF3651" s="2">
        <v>2801.6332385914102</v>
      </c>
      <c r="AG3651" s="2">
        <v>549.61960738547805</v>
      </c>
      <c r="AH3651" s="5">
        <v>5.0974040972058701</v>
      </c>
      <c r="AI3651" s="5">
        <v>2.3497627275666302</v>
      </c>
      <c r="AJ3651" s="5" t="s">
        <v>139</v>
      </c>
      <c r="AK3651" s="2">
        <v>0.37995824283366297</v>
      </c>
      <c r="AL3651" s="2">
        <v>0.65913977412323299</v>
      </c>
      <c r="AM3651" s="2">
        <v>8.559877937157E-6</v>
      </c>
      <c r="AN3651" s="2">
        <v>8.559877937157E-6</v>
      </c>
      <c r="AO3651" s="2">
        <v>1547.67642250419</v>
      </c>
      <c r="AP3651" s="2">
        <v>8.559877937157E-6</v>
      </c>
      <c r="AQ3651" s="2">
        <v>405.35730334436499</v>
      </c>
      <c r="AR3651" s="2">
        <v>14856.7656800203</v>
      </c>
      <c r="AS3651" s="2">
        <v>2335.3258722084302</v>
      </c>
      <c r="AT3651" s="2">
        <v>617.43855947779798</v>
      </c>
      <c r="AU3651" s="2">
        <v>8.559877937157E-6</v>
      </c>
      <c r="AV3651" s="2">
        <v>8.559877937157E-6</v>
      </c>
      <c r="AW3651" s="2">
        <v>8.559877937157E-6</v>
      </c>
      <c r="AX3651" s="2">
        <v>344.95318694700399</v>
      </c>
    </row>
    <row r="3652" spans="1:50" x14ac:dyDescent="0.25">
      <c r="A3652" s="2" t="s">
        <v>24199</v>
      </c>
      <c r="B3652" s="2">
        <v>315.18155160819799</v>
      </c>
      <c r="C3652" s="2">
        <v>8.1945333333333306</v>
      </c>
      <c r="D3652" s="2" t="s">
        <v>51</v>
      </c>
      <c r="E3652" s="2" t="s">
        <v>24200</v>
      </c>
      <c r="F3652" s="2">
        <v>82557</v>
      </c>
      <c r="G3652" s="3" t="str">
        <f>HYPERLINK("https://cloud.oebiotech.com/#/lm/network/82557", "https://cloud.oebiotech.com/#/lm/network/82557")</f>
        <v>https://cloud.oebiotech.com/#/lm/network/82557</v>
      </c>
      <c r="H3652" s="2" t="s">
        <v>24201</v>
      </c>
      <c r="I3652" s="2">
        <v>2990</v>
      </c>
      <c r="J3652" s="2"/>
      <c r="K3652" s="2">
        <v>173719</v>
      </c>
      <c r="L3652" s="2" t="s">
        <v>24202</v>
      </c>
      <c r="M3652" s="2" t="s">
        <v>7436</v>
      </c>
      <c r="N3652" s="2" t="s">
        <v>7437</v>
      </c>
      <c r="O3652" s="2">
        <v>80638</v>
      </c>
      <c r="P3652" s="2"/>
      <c r="Q3652" s="2"/>
      <c r="R3652" s="2" t="s">
        <v>24203</v>
      </c>
      <c r="S3652" s="2" t="s">
        <v>24204</v>
      </c>
      <c r="T3652" s="2" t="s">
        <v>24205</v>
      </c>
      <c r="U3652" s="2" t="s">
        <v>103</v>
      </c>
      <c r="V3652" s="2" t="s">
        <v>2602</v>
      </c>
      <c r="W3652" s="2" t="s">
        <v>19845</v>
      </c>
      <c r="X3652" s="2" t="s">
        <v>147</v>
      </c>
      <c r="Y3652" s="2">
        <v>39.299999999999997</v>
      </c>
      <c r="Z3652" s="2">
        <v>0</v>
      </c>
      <c r="AA3652" s="2" t="s">
        <v>478</v>
      </c>
      <c r="AB3652" s="2" t="s">
        <v>11380</v>
      </c>
      <c r="AC3652" s="2">
        <v>0.75722175497741695</v>
      </c>
      <c r="AD3652" s="2"/>
      <c r="AE3652" s="2">
        <v>0.149056354748627</v>
      </c>
      <c r="AF3652" s="2">
        <v>3156.54325466711</v>
      </c>
      <c r="AG3652" s="2">
        <v>3865.8972595604901</v>
      </c>
      <c r="AH3652" s="4">
        <v>0.81650986633461997</v>
      </c>
      <c r="AI3652" s="4">
        <v>-0.29245777612301499</v>
      </c>
      <c r="AJ3652" s="4" t="s">
        <v>62</v>
      </c>
      <c r="AK3652" s="2">
        <v>0.120955009125607</v>
      </c>
      <c r="AL3652" s="2">
        <v>0.43807021464727303</v>
      </c>
      <c r="AM3652" s="2">
        <v>2241.3280175248401</v>
      </c>
      <c r="AN3652" s="2">
        <v>2797.9054242861398</v>
      </c>
      <c r="AO3652" s="2">
        <v>3547.8974918580998</v>
      </c>
      <c r="AP3652" s="2">
        <v>3684.5468462111999</v>
      </c>
      <c r="AQ3652" s="2">
        <v>4138.7934489607696</v>
      </c>
      <c r="AR3652" s="2">
        <v>2528.7882991616102</v>
      </c>
      <c r="AS3652" s="2">
        <v>4128.9361861164898</v>
      </c>
      <c r="AT3652" s="2">
        <v>5065.9980987948002</v>
      </c>
      <c r="AU3652" s="2">
        <v>3130.34159938114</v>
      </c>
      <c r="AV3652" s="2">
        <v>4042.4652790447199</v>
      </c>
      <c r="AW3652" s="2">
        <v>3353.1945536100802</v>
      </c>
      <c r="AX3652" s="2">
        <v>3474.4478404157198</v>
      </c>
    </row>
    <row r="3653" spans="1:50" x14ac:dyDescent="0.25">
      <c r="A3653" s="2" t="s">
        <v>24206</v>
      </c>
      <c r="B3653" s="2">
        <v>213.00135662155299</v>
      </c>
      <c r="C3653" s="2">
        <v>0.75693333333333301</v>
      </c>
      <c r="D3653" s="2" t="s">
        <v>51</v>
      </c>
      <c r="E3653" s="2" t="s">
        <v>24207</v>
      </c>
      <c r="F3653" s="2">
        <v>211106</v>
      </c>
      <c r="G3653" s="3" t="str">
        <f>HYPERLINK("https://cloud.oebiotech.com/#/lm/network/211106", "https://cloud.oebiotech.com/#/lm/network/211106")</f>
        <v>https://cloud.oebiotech.com/#/lm/network/211106</v>
      </c>
      <c r="H3653" s="2" t="s">
        <v>24208</v>
      </c>
      <c r="I3653" s="2"/>
      <c r="J3653" s="2"/>
      <c r="K3653" s="2"/>
      <c r="L3653" s="2"/>
      <c r="M3653" s="2"/>
      <c r="N3653" s="2"/>
      <c r="O3653" s="2"/>
      <c r="P3653" s="2"/>
      <c r="Q3653" s="2"/>
      <c r="R3653" s="2"/>
      <c r="S3653" s="2" t="s">
        <v>24209</v>
      </c>
      <c r="T3653" s="2" t="s">
        <v>24210</v>
      </c>
      <c r="U3653" s="2" t="s">
        <v>119</v>
      </c>
      <c r="V3653" s="2" t="s">
        <v>120</v>
      </c>
      <c r="W3653" s="2" t="s">
        <v>7327</v>
      </c>
      <c r="X3653" s="2" t="s">
        <v>147</v>
      </c>
      <c r="Y3653" s="2">
        <v>37.9</v>
      </c>
      <c r="Z3653" s="2">
        <v>0</v>
      </c>
      <c r="AA3653" s="2" t="s">
        <v>478</v>
      </c>
      <c r="AB3653" s="2" t="s">
        <v>24211</v>
      </c>
      <c r="AC3653" s="2">
        <v>2.0291045624257298</v>
      </c>
      <c r="AD3653" s="2"/>
      <c r="AE3653" s="2">
        <v>0.14898396337315001</v>
      </c>
      <c r="AF3653" s="2">
        <v>568.97509611250803</v>
      </c>
      <c r="AG3653" s="2">
        <v>1737.3928046301901</v>
      </c>
      <c r="AH3653" s="4">
        <v>0.327487885638859</v>
      </c>
      <c r="AI3653" s="4">
        <v>-1.6104865551136001</v>
      </c>
      <c r="AJ3653" s="4" t="s">
        <v>62</v>
      </c>
      <c r="AK3653" s="2">
        <v>0.19779657206095699</v>
      </c>
      <c r="AL3653" s="2">
        <v>0.52099301167963796</v>
      </c>
      <c r="AM3653" s="2">
        <v>785.01298278207503</v>
      </c>
      <c r="AN3653" s="2">
        <v>8.559877937157E-6</v>
      </c>
      <c r="AO3653" s="2">
        <v>344.28618467148402</v>
      </c>
      <c r="AP3653" s="2">
        <v>798.94153369285402</v>
      </c>
      <c r="AQ3653" s="2">
        <v>1062.3472997828601</v>
      </c>
      <c r="AR3653" s="2">
        <v>423.26256718590002</v>
      </c>
      <c r="AS3653" s="2">
        <v>4579.3290878959297</v>
      </c>
      <c r="AT3653" s="2">
        <v>4075.5758554868698</v>
      </c>
      <c r="AU3653" s="2">
        <v>1009.18652491358</v>
      </c>
      <c r="AV3653" s="2">
        <v>431.97758794789303</v>
      </c>
      <c r="AW3653" s="2">
        <v>328.28776297698198</v>
      </c>
      <c r="AX3653" s="2">
        <v>8.559877937157E-6</v>
      </c>
    </row>
    <row r="3654" spans="1:50" x14ac:dyDescent="0.25">
      <c r="A3654" s="2" t="s">
        <v>24212</v>
      </c>
      <c r="B3654" s="2">
        <v>327.07884411426801</v>
      </c>
      <c r="C3654" s="2">
        <v>10.5512333333333</v>
      </c>
      <c r="D3654" s="2" t="s">
        <v>51</v>
      </c>
      <c r="E3654" s="2" t="s">
        <v>24213</v>
      </c>
      <c r="F3654" s="2">
        <v>210617</v>
      </c>
      <c r="G3654" s="3" t="str">
        <f>HYPERLINK("https://cloud.oebiotech.com/#/lm/network/210617", "https://cloud.oebiotech.com/#/lm/network/210617")</f>
        <v>https://cloud.oebiotech.com/#/lm/network/210617</v>
      </c>
      <c r="H3654" s="2" t="s">
        <v>24214</v>
      </c>
      <c r="I3654" s="2">
        <v>72764</v>
      </c>
      <c r="J3654" s="2"/>
      <c r="K3654" s="2">
        <v>23717</v>
      </c>
      <c r="L3654" s="2" t="s">
        <v>24215</v>
      </c>
      <c r="M3654" s="2"/>
      <c r="N3654" s="2"/>
      <c r="O3654" s="2">
        <v>38858</v>
      </c>
      <c r="P3654" s="2"/>
      <c r="Q3654" s="2"/>
      <c r="R3654" s="2" t="s">
        <v>24216</v>
      </c>
      <c r="S3654" s="2" t="s">
        <v>24217</v>
      </c>
      <c r="T3654" s="2" t="s">
        <v>24218</v>
      </c>
      <c r="U3654" s="2" t="s">
        <v>610</v>
      </c>
      <c r="V3654" s="2" t="s">
        <v>611</v>
      </c>
      <c r="W3654" s="2" t="s">
        <v>5617</v>
      </c>
      <c r="X3654" s="2" t="s">
        <v>147</v>
      </c>
      <c r="Y3654" s="2">
        <v>38.6</v>
      </c>
      <c r="Z3654" s="2">
        <v>0</v>
      </c>
      <c r="AA3654" s="2" t="s">
        <v>95</v>
      </c>
      <c r="AB3654" s="2" t="s">
        <v>24219</v>
      </c>
      <c r="AC3654" s="2">
        <v>-0.63582346857306904</v>
      </c>
      <c r="AD3654" s="2"/>
      <c r="AE3654" s="2">
        <v>0.14890691337183701</v>
      </c>
      <c r="AF3654" s="2">
        <v>9413.1280391656801</v>
      </c>
      <c r="AG3654" s="2">
        <v>10866.7484826211</v>
      </c>
      <c r="AH3654" s="4">
        <v>0.86623225468224296</v>
      </c>
      <c r="AI3654" s="4">
        <v>-0.20717420185875501</v>
      </c>
      <c r="AJ3654" s="4" t="s">
        <v>62</v>
      </c>
      <c r="AK3654" s="2">
        <v>0.274513673931019</v>
      </c>
      <c r="AL3654" s="2">
        <v>0.59452451187415001</v>
      </c>
      <c r="AM3654" s="2">
        <v>7796.03833033723</v>
      </c>
      <c r="AN3654" s="2">
        <v>9512.7993787435807</v>
      </c>
      <c r="AO3654" s="2">
        <v>9752.3769679425695</v>
      </c>
      <c r="AP3654" s="2">
        <v>9715.0836280024196</v>
      </c>
      <c r="AQ3654" s="2">
        <v>10648.6552823694</v>
      </c>
      <c r="AR3654" s="2">
        <v>9053.8146475988597</v>
      </c>
      <c r="AS3654" s="2">
        <v>11570.346246245101</v>
      </c>
      <c r="AT3654" s="2">
        <v>16048.7505234787</v>
      </c>
      <c r="AU3654" s="2">
        <v>9343.2104513682407</v>
      </c>
      <c r="AV3654" s="2">
        <v>7941.67190443651</v>
      </c>
      <c r="AW3654" s="2">
        <v>8791.2268466048808</v>
      </c>
      <c r="AX3654" s="2">
        <v>11505.284923592901</v>
      </c>
    </row>
    <row r="3655" spans="1:50" x14ac:dyDescent="0.25">
      <c r="A3655" s="2" t="s">
        <v>24220</v>
      </c>
      <c r="B3655" s="2">
        <v>217.107538544986</v>
      </c>
      <c r="C3655" s="2">
        <v>5.4175500000000003</v>
      </c>
      <c r="D3655" s="2" t="s">
        <v>51</v>
      </c>
      <c r="E3655" s="2" t="s">
        <v>24221</v>
      </c>
      <c r="F3655" s="2">
        <v>2154</v>
      </c>
      <c r="G3655" s="3" t="str">
        <f>HYPERLINK("https://cloud.oebiotech.com/#/lm/network/2154", "https://cloud.oebiotech.com/#/lm/network/2154")</f>
        <v>https://cloud.oebiotech.com/#/lm/network/2154</v>
      </c>
      <c r="H3655" s="2"/>
      <c r="I3655" s="2">
        <v>74791</v>
      </c>
      <c r="J3655" s="2" t="s">
        <v>24222</v>
      </c>
      <c r="K3655" s="2">
        <v>5312939</v>
      </c>
      <c r="L3655" s="2"/>
      <c r="M3655" s="2"/>
      <c r="N3655" s="2"/>
      <c r="O3655" s="2"/>
      <c r="P3655" s="2"/>
      <c r="Q3655" s="2"/>
      <c r="R3655" s="2"/>
      <c r="S3655" s="2" t="s">
        <v>24223</v>
      </c>
      <c r="T3655" s="2" t="s">
        <v>24224</v>
      </c>
      <c r="U3655" s="2" t="s">
        <v>103</v>
      </c>
      <c r="V3655" s="2" t="s">
        <v>2602</v>
      </c>
      <c r="W3655" s="2" t="s">
        <v>2603</v>
      </c>
      <c r="X3655" s="2" t="s">
        <v>69</v>
      </c>
      <c r="Y3655" s="2">
        <v>53.1</v>
      </c>
      <c r="Z3655" s="2">
        <v>45.8</v>
      </c>
      <c r="AA3655" s="2" t="s">
        <v>218</v>
      </c>
      <c r="AB3655" s="2" t="s">
        <v>14024</v>
      </c>
      <c r="AC3655" s="2">
        <v>-3.53667428434203</v>
      </c>
      <c r="AD3655" s="2"/>
      <c r="AE3655" s="2">
        <v>0.148695189673027</v>
      </c>
      <c r="AF3655" s="2">
        <v>2085.8273538602998</v>
      </c>
      <c r="AG3655" s="2">
        <v>1169.04371461084</v>
      </c>
      <c r="AH3655" s="5">
        <v>1.7842167301285601</v>
      </c>
      <c r="AI3655" s="5">
        <v>0.83529087113851497</v>
      </c>
      <c r="AJ3655" s="5" t="s">
        <v>139</v>
      </c>
      <c r="AK3655" s="2">
        <v>5.6326652650920697E-2</v>
      </c>
      <c r="AL3655" s="2">
        <v>0.32510032444738302</v>
      </c>
      <c r="AM3655" s="2">
        <v>874.17508200404598</v>
      </c>
      <c r="AN3655" s="2">
        <v>1873.51910038095</v>
      </c>
      <c r="AO3655" s="2">
        <v>2482.53416961229</v>
      </c>
      <c r="AP3655" s="2">
        <v>3077.7680555023699</v>
      </c>
      <c r="AQ3655" s="2">
        <v>1223.4703536335101</v>
      </c>
      <c r="AR3655" s="2">
        <v>2983.4973620286601</v>
      </c>
      <c r="AS3655" s="2">
        <v>1493.4431610679801</v>
      </c>
      <c r="AT3655" s="2">
        <v>1386.3404099838499</v>
      </c>
      <c r="AU3655" s="2">
        <v>1654.4637887699</v>
      </c>
      <c r="AV3655" s="2">
        <v>489.10931507292901</v>
      </c>
      <c r="AW3655" s="2">
        <v>1383.54630240805</v>
      </c>
      <c r="AX3655" s="2">
        <v>607.35931036236104</v>
      </c>
    </row>
    <row r="3656" spans="1:50" x14ac:dyDescent="0.25">
      <c r="A3656" s="2" t="s">
        <v>24225</v>
      </c>
      <c r="B3656" s="2">
        <v>597.30488078477094</v>
      </c>
      <c r="C3656" s="2">
        <v>9.2343499999999992</v>
      </c>
      <c r="D3656" s="2" t="s">
        <v>51</v>
      </c>
      <c r="E3656" s="2" t="s">
        <v>24226</v>
      </c>
      <c r="F3656" s="2">
        <v>24872</v>
      </c>
      <c r="G3656" s="3" t="str">
        <f>HYPERLINK("https://cloud.oebiotech.com/#/lm/network/24872", "https://cloud.oebiotech.com/#/lm/network/24872")</f>
        <v>https://cloud.oebiotech.com/#/lm/network/24872</v>
      </c>
      <c r="H3656" s="2" t="s">
        <v>24227</v>
      </c>
      <c r="I3656" s="2"/>
      <c r="J3656" s="2" t="s">
        <v>24228</v>
      </c>
      <c r="K3656" s="2">
        <v>42607496</v>
      </c>
      <c r="L3656" s="2"/>
      <c r="M3656" s="2"/>
      <c r="N3656" s="2"/>
      <c r="O3656" s="2">
        <v>82753</v>
      </c>
      <c r="P3656" s="2"/>
      <c r="Q3656" s="2"/>
      <c r="R3656" s="2" t="s">
        <v>24229</v>
      </c>
      <c r="S3656" s="2" t="s">
        <v>24230</v>
      </c>
      <c r="T3656" s="2" t="s">
        <v>24231</v>
      </c>
      <c r="U3656" s="2" t="s">
        <v>56</v>
      </c>
      <c r="V3656" s="2" t="s">
        <v>57</v>
      </c>
      <c r="W3656" s="2" t="s">
        <v>1097</v>
      </c>
      <c r="X3656" s="2" t="s">
        <v>147</v>
      </c>
      <c r="Y3656" s="2">
        <v>44.2</v>
      </c>
      <c r="Z3656" s="2">
        <v>32.1</v>
      </c>
      <c r="AA3656" s="2" t="s">
        <v>163</v>
      </c>
      <c r="AB3656" s="2" t="s">
        <v>4479</v>
      </c>
      <c r="AC3656" s="2">
        <v>0.57414290167647897</v>
      </c>
      <c r="AD3656" s="2"/>
      <c r="AE3656" s="2">
        <v>0.14865057943339699</v>
      </c>
      <c r="AF3656" s="2">
        <v>58669.080636682898</v>
      </c>
      <c r="AG3656" s="2">
        <v>70890.712705814105</v>
      </c>
      <c r="AH3656" s="4">
        <v>0.82759896744374495</v>
      </c>
      <c r="AI3656" s="4">
        <v>-0.27299624967097402</v>
      </c>
      <c r="AJ3656" s="4" t="s">
        <v>62</v>
      </c>
      <c r="AK3656" s="2">
        <v>0.72623535623072699</v>
      </c>
      <c r="AL3656" s="2">
        <v>0.87371373479466896</v>
      </c>
      <c r="AM3656" s="2">
        <v>55437.102950174703</v>
      </c>
      <c r="AN3656" s="2">
        <v>47946.869153789099</v>
      </c>
      <c r="AO3656" s="2">
        <v>71417.194088542004</v>
      </c>
      <c r="AP3656" s="2">
        <v>30120.229347435401</v>
      </c>
      <c r="AQ3656" s="2">
        <v>73576.956700961397</v>
      </c>
      <c r="AR3656" s="2">
        <v>73516.131579195106</v>
      </c>
      <c r="AS3656" s="2">
        <v>24510.333284634999</v>
      </c>
      <c r="AT3656" s="2">
        <v>11127.514584316799</v>
      </c>
      <c r="AU3656" s="2">
        <v>228848.609055026</v>
      </c>
      <c r="AV3656" s="2">
        <v>57050.955390047697</v>
      </c>
      <c r="AW3656" s="2">
        <v>78531.917343027395</v>
      </c>
      <c r="AX3656" s="2">
        <v>25274.946577831899</v>
      </c>
    </row>
    <row r="3657" spans="1:50" x14ac:dyDescent="0.25">
      <c r="A3657" s="2" t="s">
        <v>24232</v>
      </c>
      <c r="B3657" s="2">
        <v>538.48455412342901</v>
      </c>
      <c r="C3657" s="2">
        <v>12.898350000000001</v>
      </c>
      <c r="D3657" s="2" t="s">
        <v>51</v>
      </c>
      <c r="E3657" s="2" t="s">
        <v>24233</v>
      </c>
      <c r="F3657" s="2">
        <v>198175</v>
      </c>
      <c r="G3657" s="3" t="str">
        <f>HYPERLINK("https://cloud.oebiotech.com/#/lm/network/198175", "https://cloud.oebiotech.com/#/lm/network/198175")</f>
        <v>https://cloud.oebiotech.com/#/lm/network/198175</v>
      </c>
      <c r="H3657" s="2" t="s">
        <v>24234</v>
      </c>
      <c r="I3657" s="2"/>
      <c r="J3657" s="2"/>
      <c r="K3657" s="2"/>
      <c r="L3657" s="2"/>
      <c r="M3657" s="2"/>
      <c r="N3657" s="2"/>
      <c r="O3657" s="2"/>
      <c r="P3657" s="2"/>
      <c r="Q3657" s="2"/>
      <c r="R3657" s="2"/>
      <c r="S3657" s="2" t="s">
        <v>24235</v>
      </c>
      <c r="T3657" s="2" t="s">
        <v>24236</v>
      </c>
      <c r="U3657" s="2" t="s">
        <v>56</v>
      </c>
      <c r="V3657" s="2" t="s">
        <v>145</v>
      </c>
      <c r="W3657" s="2" t="s">
        <v>1188</v>
      </c>
      <c r="X3657" s="2" t="s">
        <v>147</v>
      </c>
      <c r="Y3657" s="2">
        <v>37.200000000000003</v>
      </c>
      <c r="Z3657" s="2">
        <v>0</v>
      </c>
      <c r="AA3657" s="2" t="s">
        <v>259</v>
      </c>
      <c r="AB3657" s="2" t="s">
        <v>24237</v>
      </c>
      <c r="AC3657" s="2">
        <v>2.9176908859660302</v>
      </c>
      <c r="AD3657" s="2"/>
      <c r="AE3657" s="2">
        <v>0.14833567605336201</v>
      </c>
      <c r="AF3657" s="2">
        <v>22553.845409501198</v>
      </c>
      <c r="AG3657" s="2">
        <v>21105.200608923798</v>
      </c>
      <c r="AH3657" s="5">
        <v>1.06863923387513</v>
      </c>
      <c r="AI3657" s="5">
        <v>9.5774890154681894E-2</v>
      </c>
      <c r="AJ3657" s="5" t="s">
        <v>139</v>
      </c>
      <c r="AK3657" s="2">
        <v>0.783367370766336</v>
      </c>
      <c r="AL3657" s="2">
        <v>0.90505450739695004</v>
      </c>
      <c r="AM3657" s="2">
        <v>30590.324731021399</v>
      </c>
      <c r="AN3657" s="2">
        <v>18573.9431899761</v>
      </c>
      <c r="AO3657" s="2">
        <v>37402.838243458202</v>
      </c>
      <c r="AP3657" s="2">
        <v>19893.710545036</v>
      </c>
      <c r="AQ3657" s="2">
        <v>9408.2910187299094</v>
      </c>
      <c r="AR3657" s="2">
        <v>19453.964728785599</v>
      </c>
      <c r="AS3657" s="2">
        <v>12956.5462753273</v>
      </c>
      <c r="AT3657" s="2">
        <v>18194.164569195898</v>
      </c>
      <c r="AU3657" s="2">
        <v>23209.153340770601</v>
      </c>
      <c r="AV3657" s="2">
        <v>21116.7080521809</v>
      </c>
      <c r="AW3657" s="2">
        <v>35051.311206828301</v>
      </c>
      <c r="AX3657" s="2">
        <v>16103.320209240001</v>
      </c>
    </row>
    <row r="3658" spans="1:50" x14ac:dyDescent="0.25">
      <c r="A3658" s="2" t="s">
        <v>24238</v>
      </c>
      <c r="B3658" s="2">
        <v>315.13485386654702</v>
      </c>
      <c r="C3658" s="2">
        <v>6.1476333333333297</v>
      </c>
      <c r="D3658" s="2" t="s">
        <v>51</v>
      </c>
      <c r="E3658" s="2" t="s">
        <v>24239</v>
      </c>
      <c r="F3658" s="2">
        <v>56016</v>
      </c>
      <c r="G3658" s="3" t="str">
        <f>HYPERLINK("https://cloud.oebiotech.com/#/lm/network/56016", "https://cloud.oebiotech.com/#/lm/network/56016")</f>
        <v>https://cloud.oebiotech.com/#/lm/network/56016</v>
      </c>
      <c r="H3658" s="2" t="s">
        <v>24240</v>
      </c>
      <c r="I3658" s="2"/>
      <c r="J3658" s="2"/>
      <c r="K3658" s="2">
        <v>5281794</v>
      </c>
      <c r="L3658" s="2" t="s">
        <v>24241</v>
      </c>
      <c r="M3658" s="2"/>
      <c r="N3658" s="2"/>
      <c r="O3658" s="2"/>
      <c r="P3658" s="2"/>
      <c r="Q3658" s="2"/>
      <c r="R3658" s="2" t="s">
        <v>24242</v>
      </c>
      <c r="S3658" s="2" t="s">
        <v>24243</v>
      </c>
      <c r="T3658" s="2" t="s">
        <v>24244</v>
      </c>
      <c r="U3658" s="2" t="s">
        <v>610</v>
      </c>
      <c r="V3658" s="2" t="s">
        <v>895</v>
      </c>
      <c r="W3658" s="2" t="s">
        <v>896</v>
      </c>
      <c r="X3658" s="2" t="s">
        <v>147</v>
      </c>
      <c r="Y3658" s="2">
        <v>40.1</v>
      </c>
      <c r="Z3658" s="2">
        <v>9.6300000000000008</v>
      </c>
      <c r="AA3658" s="2" t="s">
        <v>395</v>
      </c>
      <c r="AB3658" s="2" t="s">
        <v>24245</v>
      </c>
      <c r="AC3658" s="2">
        <v>-3.0735923233181999</v>
      </c>
      <c r="AD3658" s="2"/>
      <c r="AE3658" s="2">
        <v>0.14829220148679501</v>
      </c>
      <c r="AF3658" s="2">
        <v>584.22005857040904</v>
      </c>
      <c r="AG3658" s="2">
        <v>1266.69226454197</v>
      </c>
      <c r="AH3658" s="4">
        <v>0.46121704136376102</v>
      </c>
      <c r="AI3658" s="4">
        <v>-1.1164822752264201</v>
      </c>
      <c r="AJ3658" s="4" t="s">
        <v>62</v>
      </c>
      <c r="AK3658" s="2">
        <v>7.0727121461837503E-2</v>
      </c>
      <c r="AL3658" s="2">
        <v>0.350894810499431</v>
      </c>
      <c r="AM3658" s="2">
        <v>703.38493401425899</v>
      </c>
      <c r="AN3658" s="2">
        <v>622.18118624847705</v>
      </c>
      <c r="AO3658" s="2">
        <v>135.76870622003699</v>
      </c>
      <c r="AP3658" s="2">
        <v>864.59284338150405</v>
      </c>
      <c r="AQ3658" s="2">
        <v>552.81653839444698</v>
      </c>
      <c r="AR3658" s="2">
        <v>626.57614316372803</v>
      </c>
      <c r="AS3658" s="2">
        <v>2461.9532027089699</v>
      </c>
      <c r="AT3658" s="2">
        <v>1608.2970643179899</v>
      </c>
      <c r="AU3658" s="2">
        <v>775.46065431809905</v>
      </c>
      <c r="AV3658" s="2">
        <v>576.22577010700297</v>
      </c>
      <c r="AW3658" s="2">
        <v>1718.6244167969601</v>
      </c>
      <c r="AX3658" s="2">
        <v>459.59247900277899</v>
      </c>
    </row>
    <row r="3659" spans="1:50" x14ac:dyDescent="0.25">
      <c r="A3659" s="2" t="s">
        <v>24246</v>
      </c>
      <c r="B3659" s="2">
        <v>163.99085816338501</v>
      </c>
      <c r="C3659" s="2">
        <v>13.7507</v>
      </c>
      <c r="D3659" s="2" t="s">
        <v>51</v>
      </c>
      <c r="E3659" s="2" t="s">
        <v>24247</v>
      </c>
      <c r="F3659" s="2">
        <v>56273</v>
      </c>
      <c r="G3659" s="3" t="str">
        <f>HYPERLINK("https://cloud.oebiotech.com/#/lm/network/56273", "https://cloud.oebiotech.com/#/lm/network/56273")</f>
        <v>https://cloud.oebiotech.com/#/lm/network/56273</v>
      </c>
      <c r="H3659" s="2" t="s">
        <v>24248</v>
      </c>
      <c r="I3659" s="2">
        <v>44566</v>
      </c>
      <c r="J3659" s="2"/>
      <c r="K3659" s="2">
        <v>4096</v>
      </c>
      <c r="L3659" s="2" t="s">
        <v>24249</v>
      </c>
      <c r="M3659" s="2"/>
      <c r="N3659" s="2"/>
      <c r="O3659" s="2">
        <v>38721</v>
      </c>
      <c r="P3659" s="2"/>
      <c r="Q3659" s="2"/>
      <c r="R3659" s="2" t="s">
        <v>24250</v>
      </c>
      <c r="S3659" s="2" t="s">
        <v>24251</v>
      </c>
      <c r="T3659" s="2" t="s">
        <v>24252</v>
      </c>
      <c r="U3659" s="2" t="s">
        <v>21173</v>
      </c>
      <c r="V3659" s="2" t="s">
        <v>24253</v>
      </c>
      <c r="W3659" s="2" t="s">
        <v>24254</v>
      </c>
      <c r="X3659" s="2" t="s">
        <v>147</v>
      </c>
      <c r="Y3659" s="2">
        <v>38.200000000000003</v>
      </c>
      <c r="Z3659" s="2">
        <v>0</v>
      </c>
      <c r="AA3659" s="2" t="s">
        <v>95</v>
      </c>
      <c r="AB3659" s="2" t="s">
        <v>24255</v>
      </c>
      <c r="AC3659" s="2">
        <v>2.1372343936303499</v>
      </c>
      <c r="AD3659" s="2"/>
      <c r="AE3659" s="2">
        <v>0.148253850941793</v>
      </c>
      <c r="AF3659" s="2">
        <v>4080.3752895195998</v>
      </c>
      <c r="AG3659" s="2">
        <v>3303.6542562704499</v>
      </c>
      <c r="AH3659" s="5">
        <v>1.23510966130154</v>
      </c>
      <c r="AI3659" s="5">
        <v>0.30463913961750799</v>
      </c>
      <c r="AJ3659" s="5" t="s">
        <v>139</v>
      </c>
      <c r="AK3659" s="2">
        <v>6.8627294989812404E-2</v>
      </c>
      <c r="AL3659" s="2">
        <v>0.346872415496149</v>
      </c>
      <c r="AM3659" s="2">
        <v>3773.4218832034999</v>
      </c>
      <c r="AN3659" s="2">
        <v>4443.27581777462</v>
      </c>
      <c r="AO3659" s="2">
        <v>4287.1269141553103</v>
      </c>
      <c r="AP3659" s="2">
        <v>4662.0055184791099</v>
      </c>
      <c r="AQ3659" s="2">
        <v>4280.2551128228097</v>
      </c>
      <c r="AR3659" s="2">
        <v>3036.1664906822498</v>
      </c>
      <c r="AS3659" s="2">
        <v>4390.07179231797</v>
      </c>
      <c r="AT3659" s="2">
        <v>3847.3269040063501</v>
      </c>
      <c r="AU3659" s="2">
        <v>2624.46209377168</v>
      </c>
      <c r="AV3659" s="2">
        <v>3159.55279323584</v>
      </c>
      <c r="AW3659" s="2">
        <v>2495.5463069061002</v>
      </c>
      <c r="AX3659" s="2">
        <v>3304.9656473847799</v>
      </c>
    </row>
    <row r="3660" spans="1:50" x14ac:dyDescent="0.25">
      <c r="A3660" s="2" t="s">
        <v>24256</v>
      </c>
      <c r="B3660" s="2">
        <v>589.447601731134</v>
      </c>
      <c r="C3660" s="2">
        <v>14.73695</v>
      </c>
      <c r="D3660" s="2" t="s">
        <v>51</v>
      </c>
      <c r="E3660" s="2" t="s">
        <v>24257</v>
      </c>
      <c r="F3660" s="2">
        <v>37543</v>
      </c>
      <c r="G3660" s="3" t="str">
        <f>HYPERLINK("https://cloud.oebiotech.com/#/lm/network/37543", "https://cloud.oebiotech.com/#/lm/network/37543")</f>
        <v>https://cloud.oebiotech.com/#/lm/network/37543</v>
      </c>
      <c r="H3660" s="2"/>
      <c r="I3660" s="2">
        <v>53888</v>
      </c>
      <c r="J3660" s="2" t="s">
        <v>24258</v>
      </c>
      <c r="K3660" s="2">
        <v>42608335</v>
      </c>
      <c r="L3660" s="2"/>
      <c r="M3660" s="2"/>
      <c r="N3660" s="2"/>
      <c r="O3660" s="2"/>
      <c r="P3660" s="2"/>
      <c r="Q3660" s="2"/>
      <c r="R3660" s="2"/>
      <c r="S3660" s="2" t="s">
        <v>24259</v>
      </c>
      <c r="T3660" s="2" t="s">
        <v>24260</v>
      </c>
      <c r="U3660" s="2" t="s">
        <v>56</v>
      </c>
      <c r="V3660" s="2" t="s">
        <v>177</v>
      </c>
      <c r="W3660" s="2" t="s">
        <v>8713</v>
      </c>
      <c r="X3660" s="2" t="s">
        <v>147</v>
      </c>
      <c r="Y3660" s="2">
        <v>37.799999999999997</v>
      </c>
      <c r="Z3660" s="2">
        <v>0</v>
      </c>
      <c r="AA3660" s="2" t="s">
        <v>218</v>
      </c>
      <c r="AB3660" s="2" t="s">
        <v>8714</v>
      </c>
      <c r="AC3660" s="2">
        <v>0.43798156225835999</v>
      </c>
      <c r="AD3660" s="2"/>
      <c r="AE3660" s="2">
        <v>0.14822750837857501</v>
      </c>
      <c r="AF3660" s="2">
        <v>26927.161914183001</v>
      </c>
      <c r="AG3660" s="2">
        <v>31309.349225149199</v>
      </c>
      <c r="AH3660" s="4">
        <v>0.86003582254446298</v>
      </c>
      <c r="AI3660" s="4">
        <v>-0.21753134212970299</v>
      </c>
      <c r="AJ3660" s="4" t="s">
        <v>62</v>
      </c>
      <c r="AK3660" s="2">
        <v>0.65912899511082002</v>
      </c>
      <c r="AL3660" s="2">
        <v>0.83420354806500496</v>
      </c>
      <c r="AM3660" s="2">
        <v>15687.596894897501</v>
      </c>
      <c r="AN3660" s="2">
        <v>22765.331331968999</v>
      </c>
      <c r="AO3660" s="2">
        <v>39045.945045857698</v>
      </c>
      <c r="AP3660" s="2">
        <v>40688.950688339799</v>
      </c>
      <c r="AQ3660" s="2">
        <v>14022.1159876934</v>
      </c>
      <c r="AR3660" s="2">
        <v>29353.031536340601</v>
      </c>
      <c r="AS3660" s="2">
        <v>28437.257072242301</v>
      </c>
      <c r="AT3660" s="2">
        <v>71708.785178950406</v>
      </c>
      <c r="AU3660" s="2">
        <v>19630.711542249399</v>
      </c>
      <c r="AV3660" s="2">
        <v>13189.6356314734</v>
      </c>
      <c r="AW3660" s="2">
        <v>28088.467613766101</v>
      </c>
      <c r="AX3660" s="2">
        <v>26801.238312213402</v>
      </c>
    </row>
    <row r="3661" spans="1:50" x14ac:dyDescent="0.25">
      <c r="A3661" s="2" t="s">
        <v>24261</v>
      </c>
      <c r="B3661" s="2">
        <v>532.37606728538697</v>
      </c>
      <c r="C3661" s="2">
        <v>11.187900000000001</v>
      </c>
      <c r="D3661" s="2" t="s">
        <v>51</v>
      </c>
      <c r="E3661" s="2" t="s">
        <v>24262</v>
      </c>
      <c r="F3661" s="2">
        <v>273687</v>
      </c>
      <c r="G3661" s="3" t="str">
        <f>HYPERLINK("https://cloud.oebiotech.com/#/lm/network/273687", "https://cloud.oebiotech.com/#/lm/network/273687")</f>
        <v>https://cloud.oebiotech.com/#/lm/network/273687</v>
      </c>
      <c r="H3661" s="2"/>
      <c r="I3661" s="2">
        <v>62930</v>
      </c>
      <c r="J3661" s="2"/>
      <c r="K3661" s="2">
        <v>57545133</v>
      </c>
      <c r="L3661" s="2"/>
      <c r="M3661" s="2"/>
      <c r="N3661" s="2"/>
      <c r="O3661" s="2"/>
      <c r="P3661" s="2"/>
      <c r="Q3661" s="2"/>
      <c r="R3661" s="2" t="s">
        <v>24263</v>
      </c>
      <c r="S3661" s="2" t="s">
        <v>24264</v>
      </c>
      <c r="T3661" s="2" t="s">
        <v>24265</v>
      </c>
      <c r="U3661" s="2" t="s">
        <v>56</v>
      </c>
      <c r="V3661" s="2" t="s">
        <v>57</v>
      </c>
      <c r="W3661" s="2" t="s">
        <v>240</v>
      </c>
      <c r="X3661" s="2" t="s">
        <v>147</v>
      </c>
      <c r="Y3661" s="2">
        <v>38.700000000000003</v>
      </c>
      <c r="Z3661" s="2">
        <v>0</v>
      </c>
      <c r="AA3661" s="2" t="s">
        <v>156</v>
      </c>
      <c r="AB3661" s="2" t="s">
        <v>3131</v>
      </c>
      <c r="AC3661" s="2">
        <v>-0.15332254384897501</v>
      </c>
      <c r="AD3661" s="2"/>
      <c r="AE3661" s="2">
        <v>0.14821619081507501</v>
      </c>
      <c r="AF3661" s="2">
        <v>13820.507756217199</v>
      </c>
      <c r="AG3661" s="2">
        <v>15872.6603029817</v>
      </c>
      <c r="AH3661" s="4">
        <v>0.87071149337335696</v>
      </c>
      <c r="AI3661" s="4">
        <v>-0.19973332787661099</v>
      </c>
      <c r="AJ3661" s="4" t="s">
        <v>62</v>
      </c>
      <c r="AK3661" s="2">
        <v>0.72625522674948495</v>
      </c>
      <c r="AL3661" s="2">
        <v>0.87371373479466896</v>
      </c>
      <c r="AM3661" s="2">
        <v>10894.135630320299</v>
      </c>
      <c r="AN3661" s="2">
        <v>19682.391208481498</v>
      </c>
      <c r="AO3661" s="2">
        <v>29067.965668899</v>
      </c>
      <c r="AP3661" s="2">
        <v>12521.099518770699</v>
      </c>
      <c r="AQ3661" s="2">
        <v>4674.7251387136703</v>
      </c>
      <c r="AR3661" s="2">
        <v>6082.7293721181804</v>
      </c>
      <c r="AS3661" s="2">
        <v>26645.497416527502</v>
      </c>
      <c r="AT3661" s="2">
        <v>1951.49373577642</v>
      </c>
      <c r="AU3661" s="2">
        <v>10031.5210793468</v>
      </c>
      <c r="AV3661" s="2">
        <v>10181.958313601701</v>
      </c>
      <c r="AW3661" s="2">
        <v>17316.6013104796</v>
      </c>
      <c r="AX3661" s="2">
        <v>29108.889962158399</v>
      </c>
    </row>
    <row r="3662" spans="1:50" x14ac:dyDescent="0.25">
      <c r="A3662" s="2" t="s">
        <v>24266</v>
      </c>
      <c r="B3662" s="2">
        <v>257.21206837767897</v>
      </c>
      <c r="C3662" s="2">
        <v>11.2129333333333</v>
      </c>
      <c r="D3662" s="2" t="s">
        <v>51</v>
      </c>
      <c r="E3662" s="2" t="s">
        <v>24267</v>
      </c>
      <c r="F3662" s="2">
        <v>55705</v>
      </c>
      <c r="G3662" s="3" t="str">
        <f>HYPERLINK("https://cloud.oebiotech.com/#/lm/network/55705", "https://cloud.oebiotech.com/#/lm/network/55705")</f>
        <v>https://cloud.oebiotech.com/#/lm/network/55705</v>
      </c>
      <c r="H3662" s="2" t="s">
        <v>24268</v>
      </c>
      <c r="I3662" s="2">
        <v>87381</v>
      </c>
      <c r="J3662" s="2"/>
      <c r="K3662" s="2">
        <v>101533769</v>
      </c>
      <c r="L3662" s="2"/>
      <c r="M3662" s="2"/>
      <c r="N3662" s="2"/>
      <c r="O3662" s="2">
        <v>172502</v>
      </c>
      <c r="P3662" s="2"/>
      <c r="Q3662" s="2"/>
      <c r="R3662" s="2"/>
      <c r="S3662" s="2" t="s">
        <v>24269</v>
      </c>
      <c r="T3662" s="2" t="s">
        <v>24270</v>
      </c>
      <c r="U3662" s="2" t="s">
        <v>56</v>
      </c>
      <c r="V3662" s="2" t="s">
        <v>145</v>
      </c>
      <c r="W3662" s="2" t="s">
        <v>146</v>
      </c>
      <c r="X3662" s="2" t="s">
        <v>83</v>
      </c>
      <c r="Y3662" s="2">
        <v>54.2</v>
      </c>
      <c r="Z3662" s="2">
        <v>0</v>
      </c>
      <c r="AA3662" s="2" t="s">
        <v>163</v>
      </c>
      <c r="AB3662" s="2" t="s">
        <v>24271</v>
      </c>
      <c r="AC3662" s="2">
        <v>-0.58094413355722596</v>
      </c>
      <c r="AD3662" s="2"/>
      <c r="AE3662" s="2">
        <v>0.148064593289085</v>
      </c>
      <c r="AF3662" s="2">
        <v>1770.40471759457</v>
      </c>
      <c r="AG3662" s="2">
        <v>505.25433762743899</v>
      </c>
      <c r="AH3662" s="5">
        <v>3.5039871719023701</v>
      </c>
      <c r="AI3662" s="5">
        <v>1.8089974932419599</v>
      </c>
      <c r="AJ3662" s="5" t="s">
        <v>139</v>
      </c>
      <c r="AK3662" s="2">
        <v>0.20023067515315801</v>
      </c>
      <c r="AL3662" s="2">
        <v>0.52461143794540899</v>
      </c>
      <c r="AM3662" s="2">
        <v>681.45687703243595</v>
      </c>
      <c r="AN3662" s="2">
        <v>752.07496278098404</v>
      </c>
      <c r="AO3662" s="2">
        <v>628.67538847802098</v>
      </c>
      <c r="AP3662" s="2">
        <v>530.44637312460395</v>
      </c>
      <c r="AQ3662" s="2">
        <v>6289.8192973044497</v>
      </c>
      <c r="AR3662" s="2">
        <v>1739.9554068469399</v>
      </c>
      <c r="AS3662" s="2">
        <v>627.78768887553201</v>
      </c>
      <c r="AT3662" s="2">
        <v>492.61301145402803</v>
      </c>
      <c r="AU3662" s="2">
        <v>537.87740663890497</v>
      </c>
      <c r="AV3662" s="2">
        <v>565.76877720790401</v>
      </c>
      <c r="AW3662" s="2">
        <v>388.31893881881098</v>
      </c>
      <c r="AX3662" s="2">
        <v>419.16020276945198</v>
      </c>
    </row>
    <row r="3663" spans="1:50" x14ac:dyDescent="0.25">
      <c r="A3663" s="2" t="s">
        <v>24272</v>
      </c>
      <c r="B3663" s="2">
        <v>275.103827370212</v>
      </c>
      <c r="C3663" s="2">
        <v>4.57921666666667</v>
      </c>
      <c r="D3663" s="2" t="s">
        <v>51</v>
      </c>
      <c r="E3663" s="2" t="s">
        <v>24273</v>
      </c>
      <c r="F3663" s="2">
        <v>54159</v>
      </c>
      <c r="G3663" s="3" t="str">
        <f>HYPERLINK("https://cloud.oebiotech.com/#/lm/network/54159", "https://cloud.oebiotech.com/#/lm/network/54159")</f>
        <v>https://cloud.oebiotech.com/#/lm/network/54159</v>
      </c>
      <c r="H3663" s="2" t="s">
        <v>24274</v>
      </c>
      <c r="I3663" s="2"/>
      <c r="J3663" s="2"/>
      <c r="K3663" s="2">
        <v>18653118</v>
      </c>
      <c r="L3663" s="2"/>
      <c r="M3663" s="2"/>
      <c r="N3663" s="2"/>
      <c r="O3663" s="2"/>
      <c r="P3663" s="2"/>
      <c r="Q3663" s="2"/>
      <c r="R3663" s="2" t="s">
        <v>24275</v>
      </c>
      <c r="S3663" s="2" t="s">
        <v>24276</v>
      </c>
      <c r="T3663" s="2" t="s">
        <v>24277</v>
      </c>
      <c r="U3663" s="2" t="s">
        <v>103</v>
      </c>
      <c r="V3663" s="2" t="s">
        <v>104</v>
      </c>
      <c r="W3663" s="2" t="s">
        <v>105</v>
      </c>
      <c r="X3663" s="2" t="s">
        <v>147</v>
      </c>
      <c r="Y3663" s="2">
        <v>47.8</v>
      </c>
      <c r="Z3663" s="2">
        <v>43.4</v>
      </c>
      <c r="AA3663" s="2" t="s">
        <v>379</v>
      </c>
      <c r="AB3663" s="2" t="s">
        <v>18799</v>
      </c>
      <c r="AC3663" s="2">
        <v>0.32913448338904799</v>
      </c>
      <c r="AD3663" s="2"/>
      <c r="AE3663" s="2">
        <v>0.148032225502708</v>
      </c>
      <c r="AF3663" s="2">
        <v>21892.221203573899</v>
      </c>
      <c r="AG3663" s="2">
        <v>25088.158036061399</v>
      </c>
      <c r="AH3663" s="4">
        <v>0.87261173865798702</v>
      </c>
      <c r="AI3663" s="4">
        <v>-0.196588213437728</v>
      </c>
      <c r="AJ3663" s="4" t="s">
        <v>62</v>
      </c>
      <c r="AK3663" s="2">
        <v>0.56472983641637198</v>
      </c>
      <c r="AL3663" s="2">
        <v>0.78117451975862096</v>
      </c>
      <c r="AM3663" s="2">
        <v>15744.272447082099</v>
      </c>
      <c r="AN3663" s="2">
        <v>15424.955037636701</v>
      </c>
      <c r="AO3663" s="2">
        <v>25669.7179029158</v>
      </c>
      <c r="AP3663" s="2">
        <v>25058.9231868016</v>
      </c>
      <c r="AQ3663" s="2">
        <v>21811.577585880001</v>
      </c>
      <c r="AR3663" s="2">
        <v>27643.8810611273</v>
      </c>
      <c r="AS3663" s="2">
        <v>12642.001333926501</v>
      </c>
      <c r="AT3663" s="2">
        <v>32315.987365164201</v>
      </c>
      <c r="AU3663" s="2">
        <v>37700.135968679999</v>
      </c>
      <c r="AV3663" s="2">
        <v>14505.5042725372</v>
      </c>
      <c r="AW3663" s="2">
        <v>15643.4539775046</v>
      </c>
      <c r="AX3663" s="2">
        <v>37721.865298556098</v>
      </c>
    </row>
    <row r="3664" spans="1:50" x14ac:dyDescent="0.25">
      <c r="A3664" s="2" t="s">
        <v>24278</v>
      </c>
      <c r="B3664" s="2">
        <v>256.113101345377</v>
      </c>
      <c r="C3664" s="2">
        <v>5.0586333333333302</v>
      </c>
      <c r="D3664" s="2" t="s">
        <v>51</v>
      </c>
      <c r="E3664" s="2" t="s">
        <v>24279</v>
      </c>
      <c r="F3664" s="2">
        <v>207992</v>
      </c>
      <c r="G3664" s="3" t="str">
        <f>HYPERLINK("https://cloud.oebiotech.com/#/lm/network/207992", "https://cloud.oebiotech.com/#/lm/network/207992")</f>
        <v>https://cloud.oebiotech.com/#/lm/network/207992</v>
      </c>
      <c r="H3664" s="2" t="s">
        <v>24280</v>
      </c>
      <c r="I3664" s="2"/>
      <c r="J3664" s="2"/>
      <c r="K3664" s="2"/>
      <c r="L3664" s="2"/>
      <c r="M3664" s="2"/>
      <c r="N3664" s="2"/>
      <c r="O3664" s="2"/>
      <c r="P3664" s="2"/>
      <c r="Q3664" s="2"/>
      <c r="R3664" s="2"/>
      <c r="S3664" s="2" t="s">
        <v>24281</v>
      </c>
      <c r="T3664" s="2" t="s">
        <v>24282</v>
      </c>
      <c r="U3664" s="2" t="s">
        <v>266</v>
      </c>
      <c r="V3664" s="2" t="s">
        <v>1074</v>
      </c>
      <c r="W3664" s="2" t="s">
        <v>24283</v>
      </c>
      <c r="X3664" s="2" t="s">
        <v>147</v>
      </c>
      <c r="Y3664" s="2">
        <v>38.4</v>
      </c>
      <c r="Z3664" s="2">
        <v>0</v>
      </c>
      <c r="AA3664" s="2" t="s">
        <v>259</v>
      </c>
      <c r="AB3664" s="2" t="s">
        <v>24284</v>
      </c>
      <c r="AC3664" s="2">
        <v>4.0198838637167604</v>
      </c>
      <c r="AD3664" s="2"/>
      <c r="AE3664" s="2">
        <v>0.14792168802150901</v>
      </c>
      <c r="AF3664" s="2">
        <v>1443.44827433605</v>
      </c>
      <c r="AG3664" s="2">
        <v>933.42427031875002</v>
      </c>
      <c r="AH3664" s="5">
        <v>1.54640105280649</v>
      </c>
      <c r="AI3664" s="5">
        <v>0.62891452486444299</v>
      </c>
      <c r="AJ3664" s="5" t="s">
        <v>139</v>
      </c>
      <c r="AK3664" s="2">
        <v>3.1782140973594199E-2</v>
      </c>
      <c r="AL3664" s="2">
        <v>0.26316676563490798</v>
      </c>
      <c r="AM3664" s="2">
        <v>1704.58636054621</v>
      </c>
      <c r="AN3664" s="2">
        <v>1907.5877607361699</v>
      </c>
      <c r="AO3664" s="2">
        <v>1108.1366882986599</v>
      </c>
      <c r="AP3664" s="2">
        <v>1131.4789064504801</v>
      </c>
      <c r="AQ3664" s="2">
        <v>1283.8644965103499</v>
      </c>
      <c r="AR3664" s="2">
        <v>1525.03543347441</v>
      </c>
      <c r="AS3664" s="2">
        <v>1189.2044259311001</v>
      </c>
      <c r="AT3664" s="2">
        <v>659.83852828030194</v>
      </c>
      <c r="AU3664" s="2">
        <v>1498.4726014580301</v>
      </c>
      <c r="AV3664" s="2">
        <v>417.630505781311</v>
      </c>
      <c r="AW3664" s="2">
        <v>957.78510070118102</v>
      </c>
      <c r="AX3664" s="2">
        <v>877.61445976057598</v>
      </c>
    </row>
    <row r="3665" spans="1:50" x14ac:dyDescent="0.25">
      <c r="A3665" s="2" t="s">
        <v>24285</v>
      </c>
      <c r="B3665" s="2">
        <v>437.32745783122999</v>
      </c>
      <c r="C3665" s="2">
        <v>12.051083333333301</v>
      </c>
      <c r="D3665" s="2" t="s">
        <v>51</v>
      </c>
      <c r="E3665" s="2" t="s">
        <v>24286</v>
      </c>
      <c r="F3665" s="2">
        <v>10283</v>
      </c>
      <c r="G3665" s="3" t="str">
        <f>HYPERLINK("https://cloud.oebiotech.com/#/lm/network/10283", "https://cloud.oebiotech.com/#/lm/network/10283")</f>
        <v>https://cloud.oebiotech.com/#/lm/network/10283</v>
      </c>
      <c r="H3665" s="2"/>
      <c r="I3665" s="2"/>
      <c r="J3665" s="2" t="s">
        <v>24287</v>
      </c>
      <c r="K3665" s="2">
        <v>86289706</v>
      </c>
      <c r="L3665" s="2"/>
      <c r="M3665" s="2"/>
      <c r="N3665" s="2"/>
      <c r="O3665" s="2">
        <v>78973</v>
      </c>
      <c r="P3665" s="2"/>
      <c r="Q3665" s="2"/>
      <c r="R3665" s="2"/>
      <c r="S3665" s="2" t="s">
        <v>24288</v>
      </c>
      <c r="T3665" s="2" t="s">
        <v>24289</v>
      </c>
      <c r="U3665" s="2" t="s">
        <v>56</v>
      </c>
      <c r="V3665" s="2" t="s">
        <v>145</v>
      </c>
      <c r="W3665" s="2" t="s">
        <v>231</v>
      </c>
      <c r="X3665" s="2" t="s">
        <v>83</v>
      </c>
      <c r="Y3665" s="2">
        <v>45.7</v>
      </c>
      <c r="Z3665" s="2">
        <v>22.6</v>
      </c>
      <c r="AA3665" s="2" t="s">
        <v>379</v>
      </c>
      <c r="AB3665" s="2" t="s">
        <v>24290</v>
      </c>
      <c r="AC3665" s="2">
        <v>0.45950863739679398</v>
      </c>
      <c r="AD3665" s="2"/>
      <c r="AE3665" s="2">
        <v>0.14779686607227099</v>
      </c>
      <c r="AF3665" s="2">
        <v>27969.890213007398</v>
      </c>
      <c r="AG3665" s="2">
        <v>29357.811548128499</v>
      </c>
      <c r="AH3665" s="4">
        <v>0.95272395107360797</v>
      </c>
      <c r="AI3665" s="4">
        <v>-6.9869836794214699E-2</v>
      </c>
      <c r="AJ3665" s="4" t="s">
        <v>62</v>
      </c>
      <c r="AK3665" s="2">
        <v>0.837218411307312</v>
      </c>
      <c r="AL3665" s="2">
        <v>0.92855701623977505</v>
      </c>
      <c r="AM3665" s="2">
        <v>21634.160590000702</v>
      </c>
      <c r="AN3665" s="2">
        <v>27430.8310411153</v>
      </c>
      <c r="AO3665" s="2">
        <v>29888.3048682771</v>
      </c>
      <c r="AP3665" s="2">
        <v>39610.938668438997</v>
      </c>
      <c r="AQ3665" s="2">
        <v>30103.840546396601</v>
      </c>
      <c r="AR3665" s="2">
        <v>19151.265563815501</v>
      </c>
      <c r="AS3665" s="2">
        <v>50155.354916577598</v>
      </c>
      <c r="AT3665" s="2">
        <v>29653.296376319799</v>
      </c>
      <c r="AU3665" s="2">
        <v>18821.334874508</v>
      </c>
      <c r="AV3665" s="2">
        <v>8406.7264568301107</v>
      </c>
      <c r="AW3665" s="2">
        <v>35257.604533840196</v>
      </c>
      <c r="AX3665" s="2">
        <v>33852.5521306952</v>
      </c>
    </row>
    <row r="3666" spans="1:50" x14ac:dyDescent="0.25">
      <c r="A3666" s="2" t="s">
        <v>24291</v>
      </c>
      <c r="B3666" s="2">
        <v>285.24347960156302</v>
      </c>
      <c r="C3666" s="2">
        <v>12.6872166666667</v>
      </c>
      <c r="D3666" s="2" t="s">
        <v>51</v>
      </c>
      <c r="E3666" s="2" t="s">
        <v>24292</v>
      </c>
      <c r="F3666" s="2">
        <v>9977</v>
      </c>
      <c r="G3666" s="3" t="str">
        <f>HYPERLINK("https://cloud.oebiotech.com/#/lm/network/9977", "https://cloud.oebiotech.com/#/lm/network/9977")</f>
        <v>https://cloud.oebiotech.com/#/lm/network/9977</v>
      </c>
      <c r="H3666" s="2" t="s">
        <v>24293</v>
      </c>
      <c r="I3666" s="2">
        <v>87376</v>
      </c>
      <c r="J3666" s="2" t="s">
        <v>24294</v>
      </c>
      <c r="K3666" s="2">
        <v>29251</v>
      </c>
      <c r="L3666" s="2"/>
      <c r="M3666" s="2"/>
      <c r="N3666" s="2"/>
      <c r="O3666" s="2"/>
      <c r="P3666" s="2"/>
      <c r="Q3666" s="2"/>
      <c r="R3666" s="2" t="s">
        <v>24295</v>
      </c>
      <c r="S3666" s="2" t="s">
        <v>24296</v>
      </c>
      <c r="T3666" s="2" t="s">
        <v>24297</v>
      </c>
      <c r="U3666" s="2" t="s">
        <v>331</v>
      </c>
      <c r="V3666" s="2" t="s">
        <v>332</v>
      </c>
      <c r="W3666" s="2" t="s">
        <v>1207</v>
      </c>
      <c r="X3666" s="2" t="s">
        <v>69</v>
      </c>
      <c r="Y3666" s="2">
        <v>55.4</v>
      </c>
      <c r="Z3666" s="2">
        <v>61.4</v>
      </c>
      <c r="AA3666" s="2" t="s">
        <v>218</v>
      </c>
      <c r="AB3666" s="2" t="s">
        <v>9528</v>
      </c>
      <c r="AC3666" s="2">
        <v>-0.161977090332735</v>
      </c>
      <c r="AD3666" s="2"/>
      <c r="AE3666" s="2">
        <v>0.147769396111184</v>
      </c>
      <c r="AF3666" s="2">
        <v>6764.9906499506396</v>
      </c>
      <c r="AG3666" s="2">
        <v>9233.7827422982191</v>
      </c>
      <c r="AH3666" s="4">
        <v>0.73263480837181605</v>
      </c>
      <c r="AI3666" s="4">
        <v>-0.448833848014484</v>
      </c>
      <c r="AJ3666" s="4" t="s">
        <v>62</v>
      </c>
      <c r="AK3666" s="2">
        <v>0.422359119337129</v>
      </c>
      <c r="AL3666" s="2">
        <v>0.683406571622166</v>
      </c>
      <c r="AM3666" s="2">
        <v>5854.1659314542203</v>
      </c>
      <c r="AN3666" s="2">
        <v>4848.6927387605101</v>
      </c>
      <c r="AO3666" s="2">
        <v>11127.8055806544</v>
      </c>
      <c r="AP3666" s="2">
        <v>3052.5095662971999</v>
      </c>
      <c r="AQ3666" s="2">
        <v>9353.4352227273994</v>
      </c>
      <c r="AR3666" s="2">
        <v>6353.3348598101002</v>
      </c>
      <c r="AS3666" s="2">
        <v>6660.3300476557597</v>
      </c>
      <c r="AT3666" s="2">
        <v>4347.1924351447296</v>
      </c>
      <c r="AU3666" s="2">
        <v>22067.139686174902</v>
      </c>
      <c r="AV3666" s="2">
        <v>7709.8596885331799</v>
      </c>
      <c r="AW3666" s="2">
        <v>9772.1705782440404</v>
      </c>
      <c r="AX3666" s="2">
        <v>4846.0040180367196</v>
      </c>
    </row>
    <row r="3667" spans="1:50" x14ac:dyDescent="0.25">
      <c r="A3667" s="2" t="s">
        <v>24298</v>
      </c>
      <c r="B3667" s="2">
        <v>411.306448357627</v>
      </c>
      <c r="C3667" s="2">
        <v>10.7136833333333</v>
      </c>
      <c r="D3667" s="2" t="s">
        <v>51</v>
      </c>
      <c r="E3667" s="2" t="s">
        <v>24299</v>
      </c>
      <c r="F3667" s="2">
        <v>10332</v>
      </c>
      <c r="G3667" s="3" t="str">
        <f>HYPERLINK("https://cloud.oebiotech.com/#/lm/network/10332", "https://cloud.oebiotech.com/#/lm/network/10332")</f>
        <v>https://cloud.oebiotech.com/#/lm/network/10332</v>
      </c>
      <c r="H3667" s="2"/>
      <c r="I3667" s="2"/>
      <c r="J3667" s="2" t="s">
        <v>24300</v>
      </c>
      <c r="K3667" s="2">
        <v>86289791</v>
      </c>
      <c r="L3667" s="2"/>
      <c r="M3667" s="2"/>
      <c r="N3667" s="2"/>
      <c r="O3667" s="2">
        <v>79153</v>
      </c>
      <c r="P3667" s="2"/>
      <c r="Q3667" s="2"/>
      <c r="R3667" s="2"/>
      <c r="S3667" s="2" t="s">
        <v>24301</v>
      </c>
      <c r="T3667" s="2" t="s">
        <v>24302</v>
      </c>
      <c r="U3667" s="2" t="s">
        <v>56</v>
      </c>
      <c r="V3667" s="2" t="s">
        <v>145</v>
      </c>
      <c r="W3667" s="2" t="s">
        <v>231</v>
      </c>
      <c r="X3667" s="2" t="s">
        <v>83</v>
      </c>
      <c r="Y3667" s="2">
        <v>37.799999999999997</v>
      </c>
      <c r="Z3667" s="2">
        <v>0</v>
      </c>
      <c r="AA3667" s="2" t="s">
        <v>156</v>
      </c>
      <c r="AB3667" s="2" t="s">
        <v>13820</v>
      </c>
      <c r="AC3667" s="2">
        <v>-9.4615698017178396</v>
      </c>
      <c r="AD3667" s="2"/>
      <c r="AE3667" s="2">
        <v>0.14770148543943901</v>
      </c>
      <c r="AF3667" s="2">
        <v>4491.1978651794097</v>
      </c>
      <c r="AG3667" s="2">
        <v>5398.0854528813998</v>
      </c>
      <c r="AH3667" s="4">
        <v>0.83199828983479496</v>
      </c>
      <c r="AI3667" s="4">
        <v>-0.26534753196498001</v>
      </c>
      <c r="AJ3667" s="4" t="s">
        <v>62</v>
      </c>
      <c r="AK3667" s="2">
        <v>0.35229067207716203</v>
      </c>
      <c r="AL3667" s="2">
        <v>0.64315797051725399</v>
      </c>
      <c r="AM3667" s="2">
        <v>2096.3624895487801</v>
      </c>
      <c r="AN3667" s="2">
        <v>3554.59497744194</v>
      </c>
      <c r="AO3667" s="2">
        <v>4934.0431860527997</v>
      </c>
      <c r="AP3667" s="2">
        <v>3719.0175174567298</v>
      </c>
      <c r="AQ3667" s="2">
        <v>7206.5603068966202</v>
      </c>
      <c r="AR3667" s="2">
        <v>5436.6087136795904</v>
      </c>
      <c r="AS3667" s="2">
        <v>6607.3192592143396</v>
      </c>
      <c r="AT3667" s="2">
        <v>5387.5422939733799</v>
      </c>
      <c r="AU3667" s="2">
        <v>5935.2683992429402</v>
      </c>
      <c r="AV3667" s="2">
        <v>2647.66668380583</v>
      </c>
      <c r="AW3667" s="2">
        <v>6365.1617178937304</v>
      </c>
      <c r="AX3667" s="2">
        <v>5445.5543631581804</v>
      </c>
    </row>
    <row r="3668" spans="1:50" x14ac:dyDescent="0.25">
      <c r="A3668" s="2" t="s">
        <v>24303</v>
      </c>
      <c r="B3668" s="2">
        <v>315.13482198733999</v>
      </c>
      <c r="C3668" s="2">
        <v>7.6136333333333299</v>
      </c>
      <c r="D3668" s="2" t="s">
        <v>51</v>
      </c>
      <c r="E3668" s="2" t="s">
        <v>24304</v>
      </c>
      <c r="F3668" s="2">
        <v>206151</v>
      </c>
      <c r="G3668" s="3" t="str">
        <f>HYPERLINK("https://cloud.oebiotech.com/#/lm/network/206151", "https://cloud.oebiotech.com/#/lm/network/206151")</f>
        <v>https://cloud.oebiotech.com/#/lm/network/206151</v>
      </c>
      <c r="H3668" s="2" t="s">
        <v>24305</v>
      </c>
      <c r="I3668" s="2"/>
      <c r="J3668" s="2"/>
      <c r="K3668" s="2"/>
      <c r="L3668" s="2"/>
      <c r="M3668" s="2"/>
      <c r="N3668" s="2"/>
      <c r="O3668" s="2"/>
      <c r="P3668" s="2"/>
      <c r="Q3668" s="2"/>
      <c r="R3668" s="2"/>
      <c r="S3668" s="2" t="s">
        <v>24306</v>
      </c>
      <c r="T3668" s="2" t="s">
        <v>24307</v>
      </c>
      <c r="U3668" s="2" t="s">
        <v>266</v>
      </c>
      <c r="V3668" s="2" t="s">
        <v>445</v>
      </c>
      <c r="W3668" s="2" t="s">
        <v>12779</v>
      </c>
      <c r="X3668" s="2" t="s">
        <v>83</v>
      </c>
      <c r="Y3668" s="2">
        <v>48.7</v>
      </c>
      <c r="Z3668" s="2">
        <v>19.7</v>
      </c>
      <c r="AA3668" s="2" t="s">
        <v>259</v>
      </c>
      <c r="AB3668" s="2" t="s">
        <v>24308</v>
      </c>
      <c r="AC3668" s="2">
        <v>2.8284458507574701</v>
      </c>
      <c r="AD3668" s="2"/>
      <c r="AE3668" s="2">
        <v>0.147527062714849</v>
      </c>
      <c r="AF3668" s="2">
        <v>49023.560368630802</v>
      </c>
      <c r="AG3668" s="2">
        <v>41026.6342698308</v>
      </c>
      <c r="AH3668" s="5">
        <v>1.1949203545727001</v>
      </c>
      <c r="AI3668" s="5">
        <v>0.25691446097399301</v>
      </c>
      <c r="AJ3668" s="5" t="s">
        <v>139</v>
      </c>
      <c r="AK3668" s="2">
        <v>0.62807915385445501</v>
      </c>
      <c r="AL3668" s="2">
        <v>0.81738402815298195</v>
      </c>
      <c r="AM3668" s="2">
        <v>42934.771835310297</v>
      </c>
      <c r="AN3668" s="2">
        <v>50204.230973299302</v>
      </c>
      <c r="AO3668" s="2">
        <v>53697.153317424199</v>
      </c>
      <c r="AP3668" s="2">
        <v>85860.835277206395</v>
      </c>
      <c r="AQ3668" s="2">
        <v>30023.5123562318</v>
      </c>
      <c r="AR3668" s="2">
        <v>31420.858452312699</v>
      </c>
      <c r="AS3668" s="2">
        <v>103923.226828559</v>
      </c>
      <c r="AT3668" s="2">
        <v>40639.285081075897</v>
      </c>
      <c r="AU3668" s="2">
        <v>14209.9067607573</v>
      </c>
      <c r="AV3668" s="2">
        <v>19674.647472944202</v>
      </c>
      <c r="AW3668" s="2">
        <v>47279.045134812201</v>
      </c>
      <c r="AX3668" s="2">
        <v>20433.694340836199</v>
      </c>
    </row>
    <row r="3669" spans="1:50" x14ac:dyDescent="0.25">
      <c r="A3669" s="2" t="s">
        <v>24309</v>
      </c>
      <c r="B3669" s="2">
        <v>375.157255482614</v>
      </c>
      <c r="C3669" s="2">
        <v>3.73206666666667</v>
      </c>
      <c r="D3669" s="2" t="s">
        <v>51</v>
      </c>
      <c r="E3669" s="2" t="s">
        <v>24310</v>
      </c>
      <c r="F3669" s="2">
        <v>55430</v>
      </c>
      <c r="G3669" s="3" t="str">
        <f>HYPERLINK("https://cloud.oebiotech.com/#/lm/network/55430", "https://cloud.oebiotech.com/#/lm/network/55430")</f>
        <v>https://cloud.oebiotech.com/#/lm/network/55430</v>
      </c>
      <c r="H3669" s="2" t="s">
        <v>24311</v>
      </c>
      <c r="I3669" s="2">
        <v>87122</v>
      </c>
      <c r="J3669" s="2"/>
      <c r="K3669" s="2">
        <v>341188</v>
      </c>
      <c r="L3669" s="2"/>
      <c r="M3669" s="2"/>
      <c r="N3669" s="2"/>
      <c r="O3669" s="2"/>
      <c r="P3669" s="2"/>
      <c r="Q3669" s="2"/>
      <c r="R3669" s="2" t="s">
        <v>24312</v>
      </c>
      <c r="S3669" s="2" t="s">
        <v>24313</v>
      </c>
      <c r="T3669" s="2" t="s">
        <v>24314</v>
      </c>
      <c r="U3669" s="2" t="s">
        <v>266</v>
      </c>
      <c r="V3669" s="2" t="s">
        <v>1785</v>
      </c>
      <c r="W3669" s="2" t="s">
        <v>1786</v>
      </c>
      <c r="X3669" s="2" t="s">
        <v>147</v>
      </c>
      <c r="Y3669" s="2">
        <v>39.700000000000003</v>
      </c>
      <c r="Z3669" s="2">
        <v>20.100000000000001</v>
      </c>
      <c r="AA3669" s="2" t="s">
        <v>156</v>
      </c>
      <c r="AB3669" s="2" t="s">
        <v>24315</v>
      </c>
      <c r="AC3669" s="2">
        <v>-4.66677832364332</v>
      </c>
      <c r="AD3669" s="2"/>
      <c r="AE3669" s="2">
        <v>0.147504857352841</v>
      </c>
      <c r="AF3669" s="2">
        <v>1685.1003591358799</v>
      </c>
      <c r="AG3669" s="2">
        <v>3236.4914041123702</v>
      </c>
      <c r="AH3669" s="4">
        <v>0.52065652236701299</v>
      </c>
      <c r="AI3669" s="4">
        <v>-0.94159615596093604</v>
      </c>
      <c r="AJ3669" s="4" t="s">
        <v>62</v>
      </c>
      <c r="AK3669" s="2">
        <v>0.61361010224798895</v>
      </c>
      <c r="AL3669" s="2">
        <v>0.80776123659563404</v>
      </c>
      <c r="AM3669" s="2">
        <v>3471.3678132416499</v>
      </c>
      <c r="AN3669" s="2">
        <v>8.559877937157E-6</v>
      </c>
      <c r="AO3669" s="2">
        <v>8.559877937157E-6</v>
      </c>
      <c r="AP3669" s="2">
        <v>8.559877937157E-6</v>
      </c>
      <c r="AQ3669" s="2">
        <v>3213.1856664770398</v>
      </c>
      <c r="AR3669" s="2">
        <v>3426.0486494169299</v>
      </c>
      <c r="AS3669" s="2">
        <v>8.559877937157E-6</v>
      </c>
      <c r="AT3669" s="2">
        <v>8.559877937157E-6</v>
      </c>
      <c r="AU3669" s="2">
        <v>436.55244390115502</v>
      </c>
      <c r="AV3669" s="2">
        <v>17619.052501282102</v>
      </c>
      <c r="AW3669" s="2">
        <v>482.989333023862</v>
      </c>
      <c r="AX3669" s="2">
        <v>880.35412934732699</v>
      </c>
    </row>
    <row r="3670" spans="1:50" x14ac:dyDescent="0.25">
      <c r="A3670" s="2" t="s">
        <v>24316</v>
      </c>
      <c r="B3670" s="2">
        <v>440.252001393547</v>
      </c>
      <c r="C3670" s="2">
        <v>4.1329500000000001</v>
      </c>
      <c r="D3670" s="2" t="s">
        <v>51</v>
      </c>
      <c r="E3670" s="2" t="s">
        <v>24317</v>
      </c>
      <c r="F3670" s="2">
        <v>265259</v>
      </c>
      <c r="G3670" s="3" t="str">
        <f>HYPERLINK("https://cloud.oebiotech.com/#/lm/network/265259", "https://cloud.oebiotech.com/#/lm/network/265259")</f>
        <v>https://cloud.oebiotech.com/#/lm/network/265259</v>
      </c>
      <c r="H3670" s="2"/>
      <c r="I3670" s="2">
        <v>22743</v>
      </c>
      <c r="J3670" s="2"/>
      <c r="K3670" s="2">
        <v>145455131</v>
      </c>
      <c r="L3670" s="2"/>
      <c r="M3670" s="2"/>
      <c r="N3670" s="2"/>
      <c r="O3670" s="2"/>
      <c r="P3670" s="2"/>
      <c r="Q3670" s="2"/>
      <c r="R3670" s="2"/>
      <c r="S3670" s="2" t="s">
        <v>24318</v>
      </c>
      <c r="T3670" s="2" t="s">
        <v>24319</v>
      </c>
      <c r="U3670" s="2" t="s">
        <v>103</v>
      </c>
      <c r="V3670" s="2" t="s">
        <v>104</v>
      </c>
      <c r="W3670" s="2" t="s">
        <v>105</v>
      </c>
      <c r="X3670" s="2" t="s">
        <v>83</v>
      </c>
      <c r="Y3670" s="2">
        <v>43</v>
      </c>
      <c r="Z3670" s="2">
        <v>0.221</v>
      </c>
      <c r="AA3670" s="2" t="s">
        <v>512</v>
      </c>
      <c r="AB3670" s="2" t="s">
        <v>24320</v>
      </c>
      <c r="AC3670" s="2">
        <v>3.8870218283828799</v>
      </c>
      <c r="AD3670" s="2"/>
      <c r="AE3670" s="2">
        <v>0.147492922822691</v>
      </c>
      <c r="AF3670" s="2">
        <v>662.69665987096096</v>
      </c>
      <c r="AG3670" s="2">
        <v>1980.8080884367801</v>
      </c>
      <c r="AH3670" s="4">
        <v>0.334558740818728</v>
      </c>
      <c r="AI3670" s="4">
        <v>-1.5796685577192899</v>
      </c>
      <c r="AJ3670" s="4" t="s">
        <v>62</v>
      </c>
      <c r="AK3670" s="2">
        <v>0.49992248458759903</v>
      </c>
      <c r="AL3670" s="2">
        <v>0.73772066252204804</v>
      </c>
      <c r="AM3670" s="2">
        <v>1613.1318172747699</v>
      </c>
      <c r="AN3670" s="2">
        <v>200.15331051375699</v>
      </c>
      <c r="AO3670" s="2">
        <v>8.559877937157E-6</v>
      </c>
      <c r="AP3670" s="2">
        <v>256.90582411085097</v>
      </c>
      <c r="AQ3670" s="2">
        <v>1610.87645348097</v>
      </c>
      <c r="AR3670" s="2">
        <v>295.11254528554298</v>
      </c>
      <c r="AS3670" s="2">
        <v>8.559877937157E-6</v>
      </c>
      <c r="AT3670" s="2">
        <v>222.917887955693</v>
      </c>
      <c r="AU3670" s="2">
        <v>8.559877937157E-6</v>
      </c>
      <c r="AV3670" s="2">
        <v>11268.178976601799</v>
      </c>
      <c r="AW3670" s="2">
        <v>393.75164038355098</v>
      </c>
      <c r="AX3670" s="2">
        <v>8.559877937157E-6</v>
      </c>
    </row>
    <row r="3671" spans="1:50" x14ac:dyDescent="0.25">
      <c r="A3671" s="2" t="s">
        <v>24321</v>
      </c>
      <c r="B3671" s="2">
        <v>188.09199182379001</v>
      </c>
      <c r="C3671" s="2">
        <v>0.74113333333333298</v>
      </c>
      <c r="D3671" s="2" t="s">
        <v>51</v>
      </c>
      <c r="E3671" s="2" t="s">
        <v>24322</v>
      </c>
      <c r="F3671" s="2">
        <v>199320</v>
      </c>
      <c r="G3671" s="3" t="str">
        <f>HYPERLINK("https://cloud.oebiotech.com/#/lm/network/199320", "https://cloud.oebiotech.com/#/lm/network/199320")</f>
        <v>https://cloud.oebiotech.com/#/lm/network/199320</v>
      </c>
      <c r="H3671" s="2" t="s">
        <v>24323</v>
      </c>
      <c r="I3671" s="2"/>
      <c r="J3671" s="2"/>
      <c r="K3671" s="2">
        <v>51577</v>
      </c>
      <c r="L3671" s="2"/>
      <c r="M3671" s="2"/>
      <c r="N3671" s="2"/>
      <c r="O3671" s="2"/>
      <c r="P3671" s="2"/>
      <c r="Q3671" s="2"/>
      <c r="R3671" s="2"/>
      <c r="S3671" s="2" t="s">
        <v>24324</v>
      </c>
      <c r="T3671" s="2" t="s">
        <v>24325</v>
      </c>
      <c r="U3671" s="2" t="s">
        <v>266</v>
      </c>
      <c r="V3671" s="2" t="s">
        <v>1742</v>
      </c>
      <c r="W3671" s="2" t="s">
        <v>240</v>
      </c>
      <c r="X3671" s="2" t="s">
        <v>83</v>
      </c>
      <c r="Y3671" s="2">
        <v>55.5</v>
      </c>
      <c r="Z3671" s="2">
        <v>0</v>
      </c>
      <c r="AA3671" s="2" t="s">
        <v>379</v>
      </c>
      <c r="AB3671" s="2" t="s">
        <v>24326</v>
      </c>
      <c r="AC3671" s="2">
        <v>-4.0543733891269804</v>
      </c>
      <c r="AD3671" s="2"/>
      <c r="AE3671" s="2">
        <v>0.147427298888748</v>
      </c>
      <c r="AF3671" s="2">
        <v>2630.7624785712401</v>
      </c>
      <c r="AG3671" s="2">
        <v>3803.3166776784201</v>
      </c>
      <c r="AH3671" s="4">
        <v>0.69170219088279705</v>
      </c>
      <c r="AI3671" s="4">
        <v>-0.53177706889624898</v>
      </c>
      <c r="AJ3671" s="4" t="s">
        <v>62</v>
      </c>
      <c r="AK3671" s="2">
        <v>0.446078878882536</v>
      </c>
      <c r="AL3671" s="2">
        <v>0.70081246465351099</v>
      </c>
      <c r="AM3671" s="2">
        <v>8.559877937157E-6</v>
      </c>
      <c r="AN3671" s="2">
        <v>4233.2746904680498</v>
      </c>
      <c r="AO3671" s="2">
        <v>2042.3308133449</v>
      </c>
      <c r="AP3671" s="2">
        <v>8.559877937157E-6</v>
      </c>
      <c r="AQ3671" s="2">
        <v>2795.55565883401</v>
      </c>
      <c r="AR3671" s="2">
        <v>6713.4136916607504</v>
      </c>
      <c r="AS3671" s="2">
        <v>6194.6824292254796</v>
      </c>
      <c r="AT3671" s="2">
        <v>4516.7409167571795</v>
      </c>
      <c r="AU3671" s="2">
        <v>1314.7132058223499</v>
      </c>
      <c r="AV3671" s="2">
        <v>2977.0414662967501</v>
      </c>
      <c r="AW3671" s="2">
        <v>827.59431868614399</v>
      </c>
      <c r="AX3671" s="2">
        <v>6989.1277292826298</v>
      </c>
    </row>
    <row r="3672" spans="1:50" x14ac:dyDescent="0.25">
      <c r="A3672" s="2" t="s">
        <v>24327</v>
      </c>
      <c r="B3672" s="2">
        <v>198.185751824422</v>
      </c>
      <c r="C3672" s="2">
        <v>12.6645</v>
      </c>
      <c r="D3672" s="2" t="s">
        <v>51</v>
      </c>
      <c r="E3672" s="2" t="s">
        <v>24328</v>
      </c>
      <c r="F3672" s="2">
        <v>2456</v>
      </c>
      <c r="G3672" s="3" t="str">
        <f>HYPERLINK("https://cloud.oebiotech.com/#/lm/network/2456", "https://cloud.oebiotech.com/#/lm/network/2456")</f>
        <v>https://cloud.oebiotech.com/#/lm/network/2456</v>
      </c>
      <c r="H3672" s="2"/>
      <c r="I3672" s="2">
        <v>35924</v>
      </c>
      <c r="J3672" s="2" t="s">
        <v>24329</v>
      </c>
      <c r="K3672" s="2">
        <v>69661</v>
      </c>
      <c r="L3672" s="2"/>
      <c r="M3672" s="2"/>
      <c r="N3672" s="2"/>
      <c r="O3672" s="2">
        <v>42025</v>
      </c>
      <c r="P3672" s="2"/>
      <c r="Q3672" s="2"/>
      <c r="R3672" s="2"/>
      <c r="S3672" s="2" t="s">
        <v>24330</v>
      </c>
      <c r="T3672" s="2" t="s">
        <v>24331</v>
      </c>
      <c r="U3672" s="2" t="s">
        <v>56</v>
      </c>
      <c r="V3672" s="2" t="s">
        <v>145</v>
      </c>
      <c r="W3672" s="2" t="s">
        <v>231</v>
      </c>
      <c r="X3672" s="2" t="s">
        <v>59</v>
      </c>
      <c r="Y3672" s="2">
        <v>53</v>
      </c>
      <c r="Z3672" s="2">
        <v>78</v>
      </c>
      <c r="AA3672" s="2" t="s">
        <v>156</v>
      </c>
      <c r="AB3672" s="2" t="s">
        <v>24332</v>
      </c>
      <c r="AC3672" s="2">
        <v>2.3747955084273098</v>
      </c>
      <c r="AD3672" s="2"/>
      <c r="AE3672" s="2">
        <v>0.14736633902587601</v>
      </c>
      <c r="AF3672" s="2">
        <v>25457.1351497496</v>
      </c>
      <c r="AG3672" s="2">
        <v>30247.545737599801</v>
      </c>
      <c r="AH3672" s="4">
        <v>0.841626470147119</v>
      </c>
      <c r="AI3672" s="4">
        <v>-0.248748015079581</v>
      </c>
      <c r="AJ3672" s="4" t="s">
        <v>62</v>
      </c>
      <c r="AK3672" s="2">
        <v>0.84987908189150196</v>
      </c>
      <c r="AL3672" s="2">
        <v>0.93318515058070095</v>
      </c>
      <c r="AM3672" s="2">
        <v>352.35751325080702</v>
      </c>
      <c r="AN3672" s="2">
        <v>8.559877937157E-6</v>
      </c>
      <c r="AO3672" s="2">
        <v>65553.610752262306</v>
      </c>
      <c r="AP3672" s="2">
        <v>942.03281327008995</v>
      </c>
      <c r="AQ3672" s="2">
        <v>84257.877438515206</v>
      </c>
      <c r="AR3672" s="2">
        <v>1636.9323726395501</v>
      </c>
      <c r="AS3672" s="2">
        <v>101792.169841347</v>
      </c>
      <c r="AT3672" s="2">
        <v>331.006598822135</v>
      </c>
      <c r="AU3672" s="2">
        <v>76543.573121967405</v>
      </c>
      <c r="AV3672" s="2">
        <v>1778.5996185772799</v>
      </c>
      <c r="AW3672" s="2">
        <v>1039.925236325</v>
      </c>
      <c r="AX3672" s="2">
        <v>8.559877937157E-6</v>
      </c>
    </row>
    <row r="3673" spans="1:50" x14ac:dyDescent="0.25">
      <c r="A3673" s="2" t="s">
        <v>24333</v>
      </c>
      <c r="B3673" s="2">
        <v>544.26621820997298</v>
      </c>
      <c r="C3673" s="2">
        <v>10.121033333333299</v>
      </c>
      <c r="D3673" s="2" t="s">
        <v>51</v>
      </c>
      <c r="E3673" s="2" t="s">
        <v>24334</v>
      </c>
      <c r="F3673" s="2">
        <v>21214</v>
      </c>
      <c r="G3673" s="3" t="str">
        <f>HYPERLINK("https://cloud.oebiotech.com/#/lm/network/21214", "https://cloud.oebiotech.com/#/lm/network/21214")</f>
        <v>https://cloud.oebiotech.com/#/lm/network/21214</v>
      </c>
      <c r="H3673" s="2" t="s">
        <v>24335</v>
      </c>
      <c r="I3673" s="2">
        <v>62277</v>
      </c>
      <c r="J3673" s="2" t="s">
        <v>24336</v>
      </c>
      <c r="K3673" s="2">
        <v>53480938</v>
      </c>
      <c r="L3673" s="2"/>
      <c r="M3673" s="2"/>
      <c r="N3673" s="2"/>
      <c r="O3673" s="2"/>
      <c r="P3673" s="2"/>
      <c r="Q3673" s="2"/>
      <c r="R3673" s="2"/>
      <c r="S3673" s="2" t="s">
        <v>24337</v>
      </c>
      <c r="T3673" s="2" t="s">
        <v>24338</v>
      </c>
      <c r="U3673" s="2" t="s">
        <v>56</v>
      </c>
      <c r="V3673" s="2" t="s">
        <v>57</v>
      </c>
      <c r="W3673" s="2" t="s">
        <v>155</v>
      </c>
      <c r="X3673" s="2" t="s">
        <v>83</v>
      </c>
      <c r="Y3673" s="2">
        <v>42.3</v>
      </c>
      <c r="Z3673" s="2">
        <v>0</v>
      </c>
      <c r="AA3673" s="2" t="s">
        <v>218</v>
      </c>
      <c r="AB3673" s="2" t="s">
        <v>24339</v>
      </c>
      <c r="AC3673" s="2">
        <v>-3.75343822490979</v>
      </c>
      <c r="AD3673" s="2"/>
      <c r="AE3673" s="2">
        <v>0.14710705630677001</v>
      </c>
      <c r="AF3673" s="2">
        <v>4153.9117935391796</v>
      </c>
      <c r="AG3673" s="2">
        <v>5126.6435659344497</v>
      </c>
      <c r="AH3673" s="4">
        <v>0.81025952752813102</v>
      </c>
      <c r="AI3673" s="4">
        <v>-0.30354401515199197</v>
      </c>
      <c r="AJ3673" s="4" t="s">
        <v>62</v>
      </c>
      <c r="AK3673" s="2">
        <v>0.251586268326082</v>
      </c>
      <c r="AL3673" s="2">
        <v>0.574956677383749</v>
      </c>
      <c r="AM3673" s="2">
        <v>3837.3146186270701</v>
      </c>
      <c r="AN3673" s="2">
        <v>4371.4905786229601</v>
      </c>
      <c r="AO3673" s="2">
        <v>5767.7430967375103</v>
      </c>
      <c r="AP3673" s="2">
        <v>3219.6501823877902</v>
      </c>
      <c r="AQ3673" s="2">
        <v>4402.64481504995</v>
      </c>
      <c r="AR3673" s="2">
        <v>3324.62746980979</v>
      </c>
      <c r="AS3673" s="2">
        <v>3314.7441914368701</v>
      </c>
      <c r="AT3673" s="2">
        <v>4345.5837900496099</v>
      </c>
      <c r="AU3673" s="2">
        <v>4079.4833707816701</v>
      </c>
      <c r="AV3673" s="2">
        <v>7419.7070984837401</v>
      </c>
      <c r="AW3673" s="2">
        <v>7149.2180284139104</v>
      </c>
      <c r="AX3673" s="2">
        <v>4451.12491644087</v>
      </c>
    </row>
    <row r="3674" spans="1:50" x14ac:dyDescent="0.25">
      <c r="A3674" s="2" t="s">
        <v>24340</v>
      </c>
      <c r="B3674" s="2">
        <v>533.383149860608</v>
      </c>
      <c r="C3674" s="2">
        <v>14.479983333333299</v>
      </c>
      <c r="D3674" s="2" t="s">
        <v>51</v>
      </c>
      <c r="E3674" s="2" t="s">
        <v>24341</v>
      </c>
      <c r="F3674" s="2">
        <v>44415</v>
      </c>
      <c r="G3674" s="3" t="str">
        <f>HYPERLINK("https://cloud.oebiotech.com/#/lm/network/44415", "https://cloud.oebiotech.com/#/lm/network/44415")</f>
        <v>https://cloud.oebiotech.com/#/lm/network/44415</v>
      </c>
      <c r="H3674" s="2"/>
      <c r="I3674" s="2"/>
      <c r="J3674" s="2" t="s">
        <v>24342</v>
      </c>
      <c r="K3674" s="2">
        <v>10940424</v>
      </c>
      <c r="L3674" s="2"/>
      <c r="M3674" s="2"/>
      <c r="N3674" s="2"/>
      <c r="O3674" s="2"/>
      <c r="P3674" s="2"/>
      <c r="Q3674" s="2"/>
      <c r="R3674" s="2"/>
      <c r="S3674" s="2" t="s">
        <v>24343</v>
      </c>
      <c r="T3674" s="2" t="s">
        <v>24344</v>
      </c>
      <c r="U3674" s="2" t="s">
        <v>56</v>
      </c>
      <c r="V3674" s="2" t="s">
        <v>283</v>
      </c>
      <c r="W3674" s="2" t="s">
        <v>5968</v>
      </c>
      <c r="X3674" s="2" t="s">
        <v>147</v>
      </c>
      <c r="Y3674" s="2">
        <v>41.2</v>
      </c>
      <c r="Z3674" s="2">
        <v>15.4</v>
      </c>
      <c r="AA3674" s="2" t="s">
        <v>259</v>
      </c>
      <c r="AB3674" s="2" t="s">
        <v>24345</v>
      </c>
      <c r="AC3674" s="2">
        <v>-0.96915716422531795</v>
      </c>
      <c r="AD3674" s="2"/>
      <c r="AE3674" s="2">
        <v>0.14703648705381001</v>
      </c>
      <c r="AF3674" s="2">
        <v>28467.801622916799</v>
      </c>
      <c r="AG3674" s="2">
        <v>35311.1431082817</v>
      </c>
      <c r="AH3674" s="4">
        <v>0.80619881196199905</v>
      </c>
      <c r="AI3674" s="4">
        <v>-0.31079243769414699</v>
      </c>
      <c r="AJ3674" s="4" t="s">
        <v>62</v>
      </c>
      <c r="AK3674" s="2">
        <v>0.49398451421814599</v>
      </c>
      <c r="AL3674" s="2">
        <v>0.73513085382097298</v>
      </c>
      <c r="AM3674" s="2">
        <v>44615.305592496603</v>
      </c>
      <c r="AN3674" s="2">
        <v>35370.828800674302</v>
      </c>
      <c r="AO3674" s="2">
        <v>21550.227225550501</v>
      </c>
      <c r="AP3674" s="2">
        <v>22946.90360577</v>
      </c>
      <c r="AQ3674" s="2">
        <v>22428.346609293701</v>
      </c>
      <c r="AR3674" s="2">
        <v>23895.1979037159</v>
      </c>
      <c r="AS3674" s="2">
        <v>12718.9977429148</v>
      </c>
      <c r="AT3674" s="2">
        <v>21567.206676676498</v>
      </c>
      <c r="AU3674" s="2">
        <v>74613.905200295601</v>
      </c>
      <c r="AV3674" s="2">
        <v>26299.466113133501</v>
      </c>
      <c r="AW3674" s="2">
        <v>38631.170794505902</v>
      </c>
      <c r="AX3674" s="2">
        <v>38036.112122163897</v>
      </c>
    </row>
    <row r="3675" spans="1:50" x14ac:dyDescent="0.25">
      <c r="A3675" s="2" t="s">
        <v>24346</v>
      </c>
      <c r="B3675" s="2">
        <v>373.04643686585302</v>
      </c>
      <c r="C3675" s="2">
        <v>7.2403166666666703</v>
      </c>
      <c r="D3675" s="2" t="s">
        <v>51</v>
      </c>
      <c r="E3675" s="2" t="s">
        <v>24347</v>
      </c>
      <c r="F3675" s="2">
        <v>206857</v>
      </c>
      <c r="G3675" s="3" t="str">
        <f>HYPERLINK("https://cloud.oebiotech.com/#/lm/network/206857", "https://cloud.oebiotech.com/#/lm/network/206857")</f>
        <v>https://cloud.oebiotech.com/#/lm/network/206857</v>
      </c>
      <c r="H3675" s="2" t="s">
        <v>24348</v>
      </c>
      <c r="I3675" s="2"/>
      <c r="J3675" s="2"/>
      <c r="K3675" s="2"/>
      <c r="L3675" s="2"/>
      <c r="M3675" s="2"/>
      <c r="N3675" s="2"/>
      <c r="O3675" s="2">
        <v>42492</v>
      </c>
      <c r="P3675" s="2"/>
      <c r="Q3675" s="2"/>
      <c r="R3675" s="2"/>
      <c r="S3675" s="2" t="s">
        <v>24349</v>
      </c>
      <c r="T3675" s="2" t="s">
        <v>24350</v>
      </c>
      <c r="U3675" s="2" t="s">
        <v>266</v>
      </c>
      <c r="V3675" s="2" t="s">
        <v>1785</v>
      </c>
      <c r="W3675" s="2" t="s">
        <v>1786</v>
      </c>
      <c r="X3675" s="2" t="s">
        <v>83</v>
      </c>
      <c r="Y3675" s="2">
        <v>38.700000000000003</v>
      </c>
      <c r="Z3675" s="2">
        <v>0</v>
      </c>
      <c r="AA3675" s="2" t="s">
        <v>395</v>
      </c>
      <c r="AB3675" s="2" t="s">
        <v>24351</v>
      </c>
      <c r="AC3675" s="2">
        <v>-2.5285874652006499</v>
      </c>
      <c r="AD3675" s="2"/>
      <c r="AE3675" s="2">
        <v>0.14699642846685701</v>
      </c>
      <c r="AF3675" s="2">
        <v>647.18901980009696</v>
      </c>
      <c r="AG3675" s="2">
        <v>1437.58444472117</v>
      </c>
      <c r="AH3675" s="4">
        <v>0.45019200240833501</v>
      </c>
      <c r="AI3675" s="4">
        <v>-1.1513876671231</v>
      </c>
      <c r="AJ3675" s="4" t="s">
        <v>62</v>
      </c>
      <c r="AK3675" s="2">
        <v>0.168028094452736</v>
      </c>
      <c r="AL3675" s="2">
        <v>0.49098458663462602</v>
      </c>
      <c r="AM3675" s="2">
        <v>866.72987613492796</v>
      </c>
      <c r="AN3675" s="2">
        <v>672.06934304073604</v>
      </c>
      <c r="AO3675" s="2">
        <v>387.78356975484502</v>
      </c>
      <c r="AP3675" s="2">
        <v>1281.10663510125</v>
      </c>
      <c r="AQ3675" s="2">
        <v>1.35591638618071</v>
      </c>
      <c r="AR3675" s="2">
        <v>674.088778382643</v>
      </c>
      <c r="AS3675" s="2">
        <v>3498.4658946549198</v>
      </c>
      <c r="AT3675" s="2">
        <v>786.20147306500496</v>
      </c>
      <c r="AU3675" s="2">
        <v>1611.20645628133</v>
      </c>
      <c r="AV3675" s="2">
        <v>532.25525840236696</v>
      </c>
      <c r="AW3675" s="2">
        <v>2046.57903799475</v>
      </c>
      <c r="AX3675" s="2">
        <v>150.798547928636</v>
      </c>
    </row>
    <row r="3676" spans="1:50" x14ac:dyDescent="0.25">
      <c r="A3676" s="2" t="s">
        <v>24352</v>
      </c>
      <c r="B3676" s="2">
        <v>309.20727789450098</v>
      </c>
      <c r="C3676" s="2">
        <v>8.0030333333333292</v>
      </c>
      <c r="D3676" s="2" t="s">
        <v>51</v>
      </c>
      <c r="E3676" s="2" t="s">
        <v>24353</v>
      </c>
      <c r="F3676" s="2">
        <v>534695</v>
      </c>
      <c r="G3676" s="3" t="str">
        <f>HYPERLINK("https://cloud.oebiotech.com/#/lm/network/534695", "https://cloud.oebiotech.com/#/lm/network/534695")</f>
        <v>https://cloud.oebiotech.com/#/lm/network/534695</v>
      </c>
      <c r="H3676" s="2"/>
      <c r="I3676" s="2">
        <v>985181</v>
      </c>
      <c r="J3676" s="2"/>
      <c r="K3676" s="2">
        <v>23872026</v>
      </c>
      <c r="L3676" s="2"/>
      <c r="M3676" s="2"/>
      <c r="N3676" s="2"/>
      <c r="O3676" s="2"/>
      <c r="P3676" s="2"/>
      <c r="Q3676" s="2"/>
      <c r="R3676" s="2"/>
      <c r="S3676" s="2" t="s">
        <v>24354</v>
      </c>
      <c r="T3676" s="2" t="s">
        <v>24355</v>
      </c>
      <c r="U3676" s="2" t="s">
        <v>56</v>
      </c>
      <c r="V3676" s="2" t="s">
        <v>145</v>
      </c>
      <c r="W3676" s="2" t="s">
        <v>203</v>
      </c>
      <c r="X3676" s="2" t="s">
        <v>83</v>
      </c>
      <c r="Y3676" s="2">
        <v>48.8</v>
      </c>
      <c r="Z3676" s="2">
        <v>7.46</v>
      </c>
      <c r="AA3676" s="2" t="s">
        <v>379</v>
      </c>
      <c r="AB3676" s="2" t="s">
        <v>7255</v>
      </c>
      <c r="AC3676" s="2">
        <v>0.44143642953173701</v>
      </c>
      <c r="AD3676" s="2"/>
      <c r="AE3676" s="2">
        <v>0.146967906597507</v>
      </c>
      <c r="AF3676" s="2">
        <v>54426.668194329199</v>
      </c>
      <c r="AG3676" s="2">
        <v>53514.716292144403</v>
      </c>
      <c r="AH3676" s="5">
        <v>1.0170411424253201</v>
      </c>
      <c r="AI3676" s="5">
        <v>2.4378041803468201E-2</v>
      </c>
      <c r="AJ3676" s="5" t="s">
        <v>139</v>
      </c>
      <c r="AK3676" s="2">
        <v>0.94815580525241905</v>
      </c>
      <c r="AL3676" s="2">
        <v>0.97875606918993896</v>
      </c>
      <c r="AM3676" s="2">
        <v>61473.093345082198</v>
      </c>
      <c r="AN3676" s="2">
        <v>100772.538343166</v>
      </c>
      <c r="AO3676" s="2">
        <v>43280.535975380801</v>
      </c>
      <c r="AP3676" s="2">
        <v>43564.188824720099</v>
      </c>
      <c r="AQ3676" s="2">
        <v>38369.739881396097</v>
      </c>
      <c r="AR3676" s="2">
        <v>39099.912796229997</v>
      </c>
      <c r="AS3676" s="2">
        <v>61026.915156478499</v>
      </c>
      <c r="AT3676" s="2">
        <v>24466.607673205599</v>
      </c>
      <c r="AU3676" s="2">
        <v>90967.362237159003</v>
      </c>
      <c r="AV3676" s="2">
        <v>38649.594773344303</v>
      </c>
      <c r="AW3676" s="2">
        <v>44170.7412948606</v>
      </c>
      <c r="AX3676" s="2">
        <v>61807.076617818297</v>
      </c>
    </row>
    <row r="3677" spans="1:50" x14ac:dyDescent="0.25">
      <c r="A3677" s="2" t="s">
        <v>24356</v>
      </c>
      <c r="B3677" s="2">
        <v>650.314590340108</v>
      </c>
      <c r="C3677" s="2">
        <v>7.3238666666666701</v>
      </c>
      <c r="D3677" s="2" t="s">
        <v>51</v>
      </c>
      <c r="E3677" s="2" t="s">
        <v>24357</v>
      </c>
      <c r="F3677" s="2">
        <v>205532</v>
      </c>
      <c r="G3677" s="3" t="str">
        <f>HYPERLINK("https://cloud.oebiotech.com/#/lm/network/205532", "https://cloud.oebiotech.com/#/lm/network/205532")</f>
        <v>https://cloud.oebiotech.com/#/lm/network/205532</v>
      </c>
      <c r="H3677" s="2" t="s">
        <v>24358</v>
      </c>
      <c r="I3677" s="2"/>
      <c r="J3677" s="2"/>
      <c r="K3677" s="2">
        <v>14444332</v>
      </c>
      <c r="L3677" s="2"/>
      <c r="M3677" s="2"/>
      <c r="N3677" s="2"/>
      <c r="O3677" s="2"/>
      <c r="P3677" s="2"/>
      <c r="Q3677" s="2"/>
      <c r="R3677" s="2"/>
      <c r="S3677" s="2" t="s">
        <v>24359</v>
      </c>
      <c r="T3677" s="2" t="s">
        <v>24360</v>
      </c>
      <c r="U3677" s="2" t="s">
        <v>103</v>
      </c>
      <c r="V3677" s="2" t="s">
        <v>104</v>
      </c>
      <c r="W3677" s="2" t="s">
        <v>105</v>
      </c>
      <c r="X3677" s="2" t="s">
        <v>147</v>
      </c>
      <c r="Y3677" s="2">
        <v>36.700000000000003</v>
      </c>
      <c r="Z3677" s="2">
        <v>0</v>
      </c>
      <c r="AA3677" s="2" t="s">
        <v>395</v>
      </c>
      <c r="AB3677" s="2" t="s">
        <v>24361</v>
      </c>
      <c r="AC3677" s="2">
        <v>-4.7980749080962397</v>
      </c>
      <c r="AD3677" s="2"/>
      <c r="AE3677" s="2">
        <v>0.146963690574336</v>
      </c>
      <c r="AF3677" s="2">
        <v>8.559877937157E-6</v>
      </c>
      <c r="AG3677" s="2">
        <v>2347.4125451704299</v>
      </c>
      <c r="AH3677" s="4">
        <v>3.6465162268848402E-9</v>
      </c>
      <c r="AI3677" s="4">
        <v>-28.030834039935701</v>
      </c>
      <c r="AJ3677" s="4" t="s">
        <v>62</v>
      </c>
      <c r="AK3677" s="2">
        <v>0.31346381788163802</v>
      </c>
      <c r="AL3677" s="2">
        <v>0.62304475619795197</v>
      </c>
      <c r="AM3677" s="2">
        <v>8.559877937157E-6</v>
      </c>
      <c r="AN3677" s="2">
        <v>8.559877937157E-6</v>
      </c>
      <c r="AO3677" s="2">
        <v>8.559877937157E-6</v>
      </c>
      <c r="AP3677" s="2">
        <v>8.559877937157E-6</v>
      </c>
      <c r="AQ3677" s="2">
        <v>8.559877937157E-6</v>
      </c>
      <c r="AR3677" s="2">
        <v>8.559877937157E-6</v>
      </c>
      <c r="AS3677" s="2">
        <v>8.559877937157E-6</v>
      </c>
      <c r="AT3677" s="2">
        <v>13400.025475550199</v>
      </c>
      <c r="AU3677" s="2">
        <v>8.559877937157E-6</v>
      </c>
      <c r="AV3677" s="2">
        <v>8.559877937157E-6</v>
      </c>
      <c r="AW3677" s="2">
        <v>368.39303515984801</v>
      </c>
      <c r="AX3677" s="2">
        <v>316.05673463287798</v>
      </c>
    </row>
    <row r="3678" spans="1:50" x14ac:dyDescent="0.25">
      <c r="A3678" s="2" t="s">
        <v>24362</v>
      </c>
      <c r="B3678" s="2">
        <v>437.240529741616</v>
      </c>
      <c r="C3678" s="2">
        <v>4.6687166666666702</v>
      </c>
      <c r="D3678" s="2" t="s">
        <v>51</v>
      </c>
      <c r="E3678" s="2" t="s">
        <v>24363</v>
      </c>
      <c r="F3678" s="2">
        <v>274629</v>
      </c>
      <c r="G3678" s="3" t="str">
        <f>HYPERLINK("https://cloud.oebiotech.com/#/lm/network/274629", "https://cloud.oebiotech.com/#/lm/network/274629")</f>
        <v>https://cloud.oebiotech.com/#/lm/network/274629</v>
      </c>
      <c r="H3678" s="2"/>
      <c r="I3678" s="2">
        <v>64768</v>
      </c>
      <c r="J3678" s="2"/>
      <c r="K3678" s="2">
        <v>13889849</v>
      </c>
      <c r="L3678" s="2" t="s">
        <v>24364</v>
      </c>
      <c r="M3678" s="2"/>
      <c r="N3678" s="2"/>
      <c r="O3678" s="2"/>
      <c r="P3678" s="2"/>
      <c r="Q3678" s="2"/>
      <c r="R3678" s="2" t="s">
        <v>24365</v>
      </c>
      <c r="S3678" s="2" t="s">
        <v>24366</v>
      </c>
      <c r="T3678" s="2" t="s">
        <v>24367</v>
      </c>
      <c r="U3678" s="2" t="s">
        <v>103</v>
      </c>
      <c r="V3678" s="2" t="s">
        <v>104</v>
      </c>
      <c r="W3678" s="2" t="s">
        <v>105</v>
      </c>
      <c r="X3678" s="2" t="s">
        <v>147</v>
      </c>
      <c r="Y3678" s="2">
        <v>38.4</v>
      </c>
      <c r="Z3678" s="2">
        <v>0</v>
      </c>
      <c r="AA3678" s="2" t="s">
        <v>259</v>
      </c>
      <c r="AB3678" s="2" t="s">
        <v>24368</v>
      </c>
      <c r="AC3678" s="2">
        <v>2.4494910129977798</v>
      </c>
      <c r="AD3678" s="2"/>
      <c r="AE3678" s="2">
        <v>0.14684717515517201</v>
      </c>
      <c r="AF3678" s="2">
        <v>1432.92405682508</v>
      </c>
      <c r="AG3678" s="2">
        <v>816.56824196711705</v>
      </c>
      <c r="AH3678" s="5">
        <v>1.75481237596647</v>
      </c>
      <c r="AI3678" s="5">
        <v>0.81131678623755898</v>
      </c>
      <c r="AJ3678" s="5" t="s">
        <v>139</v>
      </c>
      <c r="AK3678" s="2">
        <v>0.31130230055306102</v>
      </c>
      <c r="AL3678" s="2">
        <v>0.62015055657616003</v>
      </c>
      <c r="AM3678" s="2">
        <v>3069.1024628802002</v>
      </c>
      <c r="AN3678" s="2">
        <v>1632.6534529788401</v>
      </c>
      <c r="AO3678" s="2">
        <v>1360.8174682988099</v>
      </c>
      <c r="AP3678" s="2">
        <v>885.64387015814896</v>
      </c>
      <c r="AQ3678" s="2">
        <v>713.11155158599195</v>
      </c>
      <c r="AR3678" s="2">
        <v>936.21553504850499</v>
      </c>
      <c r="AS3678" s="2">
        <v>8.559877937157E-6</v>
      </c>
      <c r="AT3678" s="2">
        <v>8.559877937157E-6</v>
      </c>
      <c r="AU3678" s="2">
        <v>2922.4415297856699</v>
      </c>
      <c r="AV3678" s="2">
        <v>1117.6404646255201</v>
      </c>
      <c r="AW3678" s="2">
        <v>625.23825531596594</v>
      </c>
      <c r="AX3678" s="2">
        <v>234.08918495578999</v>
      </c>
    </row>
    <row r="3679" spans="1:50" x14ac:dyDescent="0.25">
      <c r="A3679" s="2" t="s">
        <v>24369</v>
      </c>
      <c r="B3679" s="2">
        <v>317.15065428932201</v>
      </c>
      <c r="C3679" s="2">
        <v>4.9557333333333302</v>
      </c>
      <c r="D3679" s="2" t="s">
        <v>51</v>
      </c>
      <c r="E3679" s="2" t="s">
        <v>24370</v>
      </c>
      <c r="F3679" s="2">
        <v>55667</v>
      </c>
      <c r="G3679" s="3" t="str">
        <f>HYPERLINK("https://cloud.oebiotech.com/#/lm/network/55667", "https://cloud.oebiotech.com/#/lm/network/55667")</f>
        <v>https://cloud.oebiotech.com/#/lm/network/55667</v>
      </c>
      <c r="H3679" s="2" t="s">
        <v>24371</v>
      </c>
      <c r="I3679" s="2">
        <v>87324</v>
      </c>
      <c r="J3679" s="2"/>
      <c r="K3679" s="2">
        <v>85288994</v>
      </c>
      <c r="L3679" s="2"/>
      <c r="M3679" s="2"/>
      <c r="N3679" s="2"/>
      <c r="O3679" s="2">
        <v>143056</v>
      </c>
      <c r="P3679" s="2"/>
      <c r="Q3679" s="2"/>
      <c r="R3679" s="2" t="s">
        <v>24372</v>
      </c>
      <c r="S3679" s="2" t="s">
        <v>24373</v>
      </c>
      <c r="T3679" s="2" t="s">
        <v>24374</v>
      </c>
      <c r="U3679" s="2" t="s">
        <v>331</v>
      </c>
      <c r="V3679" s="2" t="s">
        <v>332</v>
      </c>
      <c r="W3679" s="2" t="s">
        <v>1207</v>
      </c>
      <c r="X3679" s="2" t="s">
        <v>147</v>
      </c>
      <c r="Y3679" s="2">
        <v>46.7</v>
      </c>
      <c r="Z3679" s="2">
        <v>40.299999999999997</v>
      </c>
      <c r="AA3679" s="2" t="s">
        <v>395</v>
      </c>
      <c r="AB3679" s="2" t="s">
        <v>24375</v>
      </c>
      <c r="AC3679" s="2">
        <v>-2.5108296860042199</v>
      </c>
      <c r="AD3679" s="2"/>
      <c r="AE3679" s="2">
        <v>0.146803771032679</v>
      </c>
      <c r="AF3679" s="2">
        <v>3157.54437900516</v>
      </c>
      <c r="AG3679" s="2">
        <v>1346.34334894636</v>
      </c>
      <c r="AH3679" s="5">
        <v>2.3452742433616498</v>
      </c>
      <c r="AI3679" s="5">
        <v>1.22975663336087</v>
      </c>
      <c r="AJ3679" s="5" t="s">
        <v>139</v>
      </c>
      <c r="AK3679" s="2">
        <v>0.36647274576061201</v>
      </c>
      <c r="AL3679" s="2">
        <v>0.65122678586673299</v>
      </c>
      <c r="AM3679" s="2">
        <v>867.72255813562299</v>
      </c>
      <c r="AN3679" s="2">
        <v>1402.12462899858</v>
      </c>
      <c r="AO3679" s="2">
        <v>1223.1787820429399</v>
      </c>
      <c r="AP3679" s="2">
        <v>1044.1676726790099</v>
      </c>
      <c r="AQ3679" s="2">
        <v>12174.061924211701</v>
      </c>
      <c r="AR3679" s="2">
        <v>2234.0107079631198</v>
      </c>
      <c r="AS3679" s="2">
        <v>3485.0011703505902</v>
      </c>
      <c r="AT3679" s="2">
        <v>3051.9287949808399</v>
      </c>
      <c r="AU3679" s="2">
        <v>86.5388785793577</v>
      </c>
      <c r="AV3679" s="2">
        <v>522.118990415908</v>
      </c>
      <c r="AW3679" s="2">
        <v>481.48725599046401</v>
      </c>
      <c r="AX3679" s="2">
        <v>450.98500336099198</v>
      </c>
    </row>
    <row r="3680" spans="1:50" x14ac:dyDescent="0.25">
      <c r="A3680" s="2" t="s">
        <v>24376</v>
      </c>
      <c r="B3680" s="2">
        <v>260.18662049790402</v>
      </c>
      <c r="C3680" s="2">
        <v>4.6885500000000002</v>
      </c>
      <c r="D3680" s="2" t="s">
        <v>51</v>
      </c>
      <c r="E3680" s="2" t="s">
        <v>24377</v>
      </c>
      <c r="F3680" s="2">
        <v>47203</v>
      </c>
      <c r="G3680" s="3" t="str">
        <f>HYPERLINK("https://cloud.oebiotech.com/#/lm/network/47203", "https://cloud.oebiotech.com/#/lm/network/47203")</f>
        <v>https://cloud.oebiotech.com/#/lm/network/47203</v>
      </c>
      <c r="H3680" s="2" t="s">
        <v>24378</v>
      </c>
      <c r="I3680" s="2">
        <v>3548</v>
      </c>
      <c r="J3680" s="2"/>
      <c r="K3680" s="2">
        <v>3246938</v>
      </c>
      <c r="L3680" s="2"/>
      <c r="M3680" s="2"/>
      <c r="N3680" s="2"/>
      <c r="O3680" s="2">
        <v>84834</v>
      </c>
      <c r="P3680" s="2"/>
      <c r="Q3680" s="2"/>
      <c r="R3680" s="2" t="s">
        <v>24379</v>
      </c>
      <c r="S3680" s="2" t="s">
        <v>24380</v>
      </c>
      <c r="T3680" s="2" t="s">
        <v>24381</v>
      </c>
      <c r="U3680" s="2" t="s">
        <v>56</v>
      </c>
      <c r="V3680" s="2" t="s">
        <v>145</v>
      </c>
      <c r="W3680" s="2" t="s">
        <v>1188</v>
      </c>
      <c r="X3680" s="2" t="s">
        <v>69</v>
      </c>
      <c r="Y3680" s="2">
        <v>53.2</v>
      </c>
      <c r="Z3680" s="2">
        <v>59.8</v>
      </c>
      <c r="AA3680" s="2" t="s">
        <v>122</v>
      </c>
      <c r="AB3680" s="2" t="s">
        <v>24382</v>
      </c>
      <c r="AC3680" s="2">
        <v>1.6798779935188399</v>
      </c>
      <c r="AD3680" s="2"/>
      <c r="AE3680" s="2">
        <v>0.14675515941061301</v>
      </c>
      <c r="AF3680" s="2">
        <v>3488.6995677033001</v>
      </c>
      <c r="AG3680" s="2">
        <v>2176.0046823152902</v>
      </c>
      <c r="AH3680" s="5">
        <v>1.6032592190892201</v>
      </c>
      <c r="AI3680" s="5">
        <v>0.68100770300983204</v>
      </c>
      <c r="AJ3680" s="5" t="s">
        <v>139</v>
      </c>
      <c r="AK3680" s="2">
        <v>0.32645750616267699</v>
      </c>
      <c r="AL3680" s="2">
        <v>0.62992073899545697</v>
      </c>
      <c r="AM3680" s="2">
        <v>1806.22175429099</v>
      </c>
      <c r="AN3680" s="2">
        <v>2214.5970363203401</v>
      </c>
      <c r="AO3680" s="2">
        <v>4867.2791544418596</v>
      </c>
      <c r="AP3680" s="2">
        <v>6684.5844599479096</v>
      </c>
      <c r="AQ3680" s="2">
        <v>3853.3747835947102</v>
      </c>
      <c r="AR3680" s="2">
        <v>1506.1402176239601</v>
      </c>
      <c r="AS3680" s="2">
        <v>2782.64891108949</v>
      </c>
      <c r="AT3680" s="2">
        <v>6694.1492595929803</v>
      </c>
      <c r="AU3680" s="2">
        <v>813.34044369898595</v>
      </c>
      <c r="AV3680" s="2">
        <v>311.867515975267</v>
      </c>
      <c r="AW3680" s="2">
        <v>1165.2992806433599</v>
      </c>
      <c r="AX3680" s="2">
        <v>1288.72268289163</v>
      </c>
    </row>
    <row r="3681" spans="1:50" x14ac:dyDescent="0.25">
      <c r="A3681" s="2" t="s">
        <v>24383</v>
      </c>
      <c r="B3681" s="2">
        <v>363.25424183042202</v>
      </c>
      <c r="C3681" s="2">
        <v>10.9866666666667</v>
      </c>
      <c r="D3681" s="2" t="s">
        <v>51</v>
      </c>
      <c r="E3681" s="2" t="s">
        <v>24384</v>
      </c>
      <c r="F3681" s="2">
        <v>82309</v>
      </c>
      <c r="G3681" s="3" t="str">
        <f>HYPERLINK("https://cloud.oebiotech.com/#/lm/network/82309", "https://cloud.oebiotech.com/#/lm/network/82309")</f>
        <v>https://cloud.oebiotech.com/#/lm/network/82309</v>
      </c>
      <c r="H3681" s="2" t="s">
        <v>24385</v>
      </c>
      <c r="I3681" s="2"/>
      <c r="J3681" s="2"/>
      <c r="K3681" s="2">
        <v>3080558</v>
      </c>
      <c r="L3681" s="2" t="s">
        <v>24386</v>
      </c>
      <c r="M3681" s="2" t="s">
        <v>2681</v>
      </c>
      <c r="N3681" s="2" t="s">
        <v>2682</v>
      </c>
      <c r="O3681" s="2">
        <v>81469</v>
      </c>
      <c r="P3681" s="2"/>
      <c r="Q3681" s="2"/>
      <c r="R3681" s="2"/>
      <c r="S3681" s="2" t="s">
        <v>24387</v>
      </c>
      <c r="T3681" s="2" t="s">
        <v>24388</v>
      </c>
      <c r="U3681" s="2" t="s">
        <v>56</v>
      </c>
      <c r="V3681" s="2" t="s">
        <v>283</v>
      </c>
      <c r="W3681" s="2" t="s">
        <v>3686</v>
      </c>
      <c r="X3681" s="2" t="s">
        <v>69</v>
      </c>
      <c r="Y3681" s="2">
        <v>60.2</v>
      </c>
      <c r="Z3681" s="2">
        <v>71.2</v>
      </c>
      <c r="AA3681" s="2" t="s">
        <v>218</v>
      </c>
      <c r="AB3681" s="2" t="s">
        <v>24389</v>
      </c>
      <c r="AC3681" s="2">
        <v>0.49843830513134402</v>
      </c>
      <c r="AD3681" s="2"/>
      <c r="AE3681" s="2">
        <v>0.14673123601694199</v>
      </c>
      <c r="AF3681" s="2">
        <v>19275.019165762202</v>
      </c>
      <c r="AG3681" s="2">
        <v>15558.431951976299</v>
      </c>
      <c r="AH3681" s="5">
        <v>1.2388792922871601</v>
      </c>
      <c r="AI3681" s="5">
        <v>0.30903562823545699</v>
      </c>
      <c r="AJ3681" s="5" t="s">
        <v>139</v>
      </c>
      <c r="AK3681" s="2">
        <v>0.42360387124297999</v>
      </c>
      <c r="AL3681" s="2">
        <v>0.683406571622166</v>
      </c>
      <c r="AM3681" s="2">
        <v>10849.396658490599</v>
      </c>
      <c r="AN3681" s="2">
        <v>17711.678211340801</v>
      </c>
      <c r="AO3681" s="2">
        <v>23188.9458130653</v>
      </c>
      <c r="AP3681" s="2">
        <v>29479.056511331801</v>
      </c>
      <c r="AQ3681" s="2">
        <v>23573.919573576499</v>
      </c>
      <c r="AR3681" s="2">
        <v>10847.1182267684</v>
      </c>
      <c r="AS3681" s="2">
        <v>17013.593428644901</v>
      </c>
      <c r="AT3681" s="2">
        <v>16036.1187446654</v>
      </c>
      <c r="AU3681" s="2">
        <v>7774.1601601962102</v>
      </c>
      <c r="AV3681" s="2">
        <v>6792.95764752585</v>
      </c>
      <c r="AW3681" s="2">
        <v>17105.818582866501</v>
      </c>
      <c r="AX3681" s="2">
        <v>28627.943147958798</v>
      </c>
    </row>
    <row r="3682" spans="1:50" x14ac:dyDescent="0.25">
      <c r="A3682" s="2" t="s">
        <v>24390</v>
      </c>
      <c r="B3682" s="2">
        <v>301.142056275058</v>
      </c>
      <c r="C3682" s="2">
        <v>0.61653333333333304</v>
      </c>
      <c r="D3682" s="2" t="s">
        <v>51</v>
      </c>
      <c r="E3682" s="2" t="s">
        <v>24391</v>
      </c>
      <c r="F3682" s="2">
        <v>56681</v>
      </c>
      <c r="G3682" s="3" t="str">
        <f>HYPERLINK("https://cloud.oebiotech.com/#/lm/network/56681", "https://cloud.oebiotech.com/#/lm/network/56681")</f>
        <v>https://cloud.oebiotech.com/#/lm/network/56681</v>
      </c>
      <c r="H3682" s="2" t="s">
        <v>24392</v>
      </c>
      <c r="I3682" s="2">
        <v>88341</v>
      </c>
      <c r="J3682" s="2"/>
      <c r="K3682" s="2">
        <v>5463954</v>
      </c>
      <c r="L3682" s="2"/>
      <c r="M3682" s="2"/>
      <c r="N3682" s="2"/>
      <c r="O3682" s="2">
        <v>168139</v>
      </c>
      <c r="P3682" s="2"/>
      <c r="Q3682" s="2"/>
      <c r="R3682" s="2" t="s">
        <v>24393</v>
      </c>
      <c r="S3682" s="2" t="s">
        <v>24394</v>
      </c>
      <c r="T3682" s="2" t="s">
        <v>24395</v>
      </c>
      <c r="U3682" s="2" t="s">
        <v>56</v>
      </c>
      <c r="V3682" s="2" t="s">
        <v>145</v>
      </c>
      <c r="W3682" s="2" t="s">
        <v>146</v>
      </c>
      <c r="X3682" s="2" t="s">
        <v>147</v>
      </c>
      <c r="Y3682" s="2">
        <v>39.4</v>
      </c>
      <c r="Z3682" s="2">
        <v>4.33</v>
      </c>
      <c r="AA3682" s="2" t="s">
        <v>395</v>
      </c>
      <c r="AB3682" s="2" t="s">
        <v>24396</v>
      </c>
      <c r="AC3682" s="2">
        <v>3.3346175427882998</v>
      </c>
      <c r="AD3682" s="2"/>
      <c r="AE3682" s="2">
        <v>0.146613900596475</v>
      </c>
      <c r="AF3682" s="2">
        <v>472220.38142591203</v>
      </c>
      <c r="AG3682" s="2">
        <v>479792.97554975102</v>
      </c>
      <c r="AH3682" s="4">
        <v>0.98421695499988804</v>
      </c>
      <c r="AI3682" s="4">
        <v>-2.2951725052552299E-2</v>
      </c>
      <c r="AJ3682" s="4" t="s">
        <v>62</v>
      </c>
      <c r="AK3682" s="2">
        <v>0.82180554278364404</v>
      </c>
      <c r="AL3682" s="2">
        <v>0.92196891676237602</v>
      </c>
      <c r="AM3682" s="2">
        <v>434299.26333447598</v>
      </c>
      <c r="AN3682" s="2">
        <v>565433.33340503101</v>
      </c>
      <c r="AO3682" s="2">
        <v>458614.57116657699</v>
      </c>
      <c r="AP3682" s="2">
        <v>448695.33378356299</v>
      </c>
      <c r="AQ3682" s="2">
        <v>519594.71101952501</v>
      </c>
      <c r="AR3682" s="2">
        <v>406685.07584629901</v>
      </c>
      <c r="AS3682" s="2">
        <v>500841.59626557102</v>
      </c>
      <c r="AT3682" s="2">
        <v>523462.32772645302</v>
      </c>
      <c r="AU3682" s="2">
        <v>411361.42621173401</v>
      </c>
      <c r="AV3682" s="2">
        <v>448214.74007111602</v>
      </c>
      <c r="AW3682" s="2">
        <v>442119.20533752098</v>
      </c>
      <c r="AX3682" s="2">
        <v>552758.55768611201</v>
      </c>
    </row>
    <row r="3683" spans="1:50" x14ac:dyDescent="0.25">
      <c r="A3683" s="2" t="s">
        <v>24397</v>
      </c>
      <c r="B3683" s="2">
        <v>545.20460422838403</v>
      </c>
      <c r="C3683" s="2">
        <v>9.4598666666666702</v>
      </c>
      <c r="D3683" s="2" t="s">
        <v>51</v>
      </c>
      <c r="E3683" s="2" t="s">
        <v>24398</v>
      </c>
      <c r="F3683" s="2">
        <v>212703</v>
      </c>
      <c r="G3683" s="3" t="str">
        <f>HYPERLINK("https://cloud.oebiotech.com/#/lm/network/212703", "https://cloud.oebiotech.com/#/lm/network/212703")</f>
        <v>https://cloud.oebiotech.com/#/lm/network/212703</v>
      </c>
      <c r="H3683" s="2" t="s">
        <v>24399</v>
      </c>
      <c r="I3683" s="2"/>
      <c r="J3683" s="2"/>
      <c r="K3683" s="2">
        <v>16681745</v>
      </c>
      <c r="L3683" s="2"/>
      <c r="M3683" s="2"/>
      <c r="N3683" s="2"/>
      <c r="O3683" s="2"/>
      <c r="P3683" s="2"/>
      <c r="Q3683" s="2"/>
      <c r="R3683" s="2"/>
      <c r="S3683" s="2" t="s">
        <v>24400</v>
      </c>
      <c r="T3683" s="2" t="s">
        <v>24401</v>
      </c>
      <c r="U3683" s="2" t="s">
        <v>103</v>
      </c>
      <c r="V3683" s="2" t="s">
        <v>104</v>
      </c>
      <c r="W3683" s="2" t="s">
        <v>105</v>
      </c>
      <c r="X3683" s="2" t="s">
        <v>147</v>
      </c>
      <c r="Y3683" s="2">
        <v>36.9</v>
      </c>
      <c r="Z3683" s="2">
        <v>0</v>
      </c>
      <c r="AA3683" s="2" t="s">
        <v>163</v>
      </c>
      <c r="AB3683" s="2" t="s">
        <v>24402</v>
      </c>
      <c r="AC3683" s="2">
        <v>0.78969813775557196</v>
      </c>
      <c r="AD3683" s="2"/>
      <c r="AE3683" s="2">
        <v>0.14657566002709199</v>
      </c>
      <c r="AF3683" s="2">
        <v>655.61757305212097</v>
      </c>
      <c r="AG3683" s="2">
        <v>1498.7696388352999</v>
      </c>
      <c r="AH3683" s="4">
        <v>0.43743718585172497</v>
      </c>
      <c r="AI3683" s="4">
        <v>-1.1928522280369001</v>
      </c>
      <c r="AJ3683" s="4" t="s">
        <v>62</v>
      </c>
      <c r="AK3683" s="2">
        <v>0.14591850602653</v>
      </c>
      <c r="AL3683" s="2">
        <v>0.46813495501649</v>
      </c>
      <c r="AM3683" s="2">
        <v>8.559877937157E-6</v>
      </c>
      <c r="AN3683" s="2">
        <v>1083.5550618427001</v>
      </c>
      <c r="AO3683" s="2">
        <v>1036.4067889165699</v>
      </c>
      <c r="AP3683" s="2">
        <v>731.51482741537802</v>
      </c>
      <c r="AQ3683" s="2">
        <v>373.263347605837</v>
      </c>
      <c r="AR3683" s="2">
        <v>708.96540397236197</v>
      </c>
      <c r="AS3683" s="2">
        <v>2775.6563726316099</v>
      </c>
      <c r="AT3683" s="2">
        <v>3076.8399274109001</v>
      </c>
      <c r="AU3683" s="2">
        <v>8.559877937157E-6</v>
      </c>
      <c r="AV3683" s="2">
        <v>1383.39544208404</v>
      </c>
      <c r="AW3683" s="2">
        <v>339.23174214847802</v>
      </c>
      <c r="AX3683" s="2">
        <v>1417.4943401769001</v>
      </c>
    </row>
    <row r="3684" spans="1:50" x14ac:dyDescent="0.25">
      <c r="A3684" s="2" t="s">
        <v>24403</v>
      </c>
      <c r="B3684" s="2">
        <v>352.15138680663802</v>
      </c>
      <c r="C3684" s="2">
        <v>3.8365666666666698</v>
      </c>
      <c r="D3684" s="2" t="s">
        <v>51</v>
      </c>
      <c r="E3684" s="2" t="s">
        <v>24404</v>
      </c>
      <c r="F3684" s="2">
        <v>264094</v>
      </c>
      <c r="G3684" s="3" t="str">
        <f>HYPERLINK("https://cloud.oebiotech.com/#/lm/network/264094", "https://cloud.oebiotech.com/#/lm/network/264094")</f>
        <v>https://cloud.oebiotech.com/#/lm/network/264094</v>
      </c>
      <c r="H3684" s="2"/>
      <c r="I3684" s="2">
        <v>21537</v>
      </c>
      <c r="J3684" s="2"/>
      <c r="K3684" s="2">
        <v>50996743</v>
      </c>
      <c r="L3684" s="2"/>
      <c r="M3684" s="2"/>
      <c r="N3684" s="2"/>
      <c r="O3684" s="2"/>
      <c r="P3684" s="2"/>
      <c r="Q3684" s="2"/>
      <c r="R3684" s="2"/>
      <c r="S3684" s="2" t="s">
        <v>24405</v>
      </c>
      <c r="T3684" s="2" t="s">
        <v>24406</v>
      </c>
      <c r="U3684" s="2" t="s">
        <v>103</v>
      </c>
      <c r="V3684" s="2" t="s">
        <v>104</v>
      </c>
      <c r="W3684" s="2" t="s">
        <v>105</v>
      </c>
      <c r="X3684" s="2" t="s">
        <v>69</v>
      </c>
      <c r="Y3684" s="2">
        <v>67.2</v>
      </c>
      <c r="Z3684" s="2">
        <v>86.7</v>
      </c>
      <c r="AA3684" s="2" t="s">
        <v>259</v>
      </c>
      <c r="AB3684" s="2" t="s">
        <v>24407</v>
      </c>
      <c r="AC3684" s="2">
        <v>3.0613433829578098</v>
      </c>
      <c r="AD3684" s="2"/>
      <c r="AE3684" s="2">
        <v>0.14655405124877</v>
      </c>
      <c r="AF3684" s="2">
        <v>2862.6068112437802</v>
      </c>
      <c r="AG3684" s="2">
        <v>4633.3292046032202</v>
      </c>
      <c r="AH3684" s="4">
        <v>0.617829358725422</v>
      </c>
      <c r="AI3684" s="4">
        <v>-0.69471966665213802</v>
      </c>
      <c r="AJ3684" s="4" t="s">
        <v>62</v>
      </c>
      <c r="AK3684" s="2">
        <v>0.56263177514084695</v>
      </c>
      <c r="AL3684" s="2">
        <v>0.78064040599162898</v>
      </c>
      <c r="AM3684" s="2">
        <v>5860.5563680431496</v>
      </c>
      <c r="AN3684" s="2">
        <v>405.68348925737001</v>
      </c>
      <c r="AO3684" s="2">
        <v>838.36810537343501</v>
      </c>
      <c r="AP3684" s="2">
        <v>302.78199545872297</v>
      </c>
      <c r="AQ3684" s="2">
        <v>7261.3810357899001</v>
      </c>
      <c r="AR3684" s="2">
        <v>2506.8698735400899</v>
      </c>
      <c r="AS3684" s="2">
        <v>1362.8231183652599</v>
      </c>
      <c r="AT3684" s="2">
        <v>1139.71082684102</v>
      </c>
      <c r="AU3684" s="2">
        <v>3958.3151637114802</v>
      </c>
      <c r="AV3684" s="2">
        <v>17872.4390558868</v>
      </c>
      <c r="AW3684" s="2">
        <v>799.14592610367004</v>
      </c>
      <c r="AX3684" s="2">
        <v>2667.5411367110901</v>
      </c>
    </row>
    <row r="3685" spans="1:50" x14ac:dyDescent="0.25">
      <c r="A3685" s="2" t="s">
        <v>24408</v>
      </c>
      <c r="B3685" s="2">
        <v>431.35312157280902</v>
      </c>
      <c r="C3685" s="2">
        <v>14.626300000000001</v>
      </c>
      <c r="D3685" s="2" t="s">
        <v>51</v>
      </c>
      <c r="E3685" s="2" t="s">
        <v>24409</v>
      </c>
      <c r="F3685" s="2">
        <v>43664</v>
      </c>
      <c r="G3685" s="3" t="str">
        <f>HYPERLINK("https://cloud.oebiotech.com/#/lm/network/43664", "https://cloud.oebiotech.com/#/lm/network/43664")</f>
        <v>https://cloud.oebiotech.com/#/lm/network/43664</v>
      </c>
      <c r="H3685" s="2"/>
      <c r="I3685" s="2">
        <v>83939</v>
      </c>
      <c r="J3685" s="2" t="s">
        <v>24410</v>
      </c>
      <c r="K3685" s="2">
        <v>42604056</v>
      </c>
      <c r="L3685" s="2"/>
      <c r="M3685" s="2"/>
      <c r="N3685" s="2"/>
      <c r="O3685" s="2"/>
      <c r="P3685" s="2"/>
      <c r="Q3685" s="2"/>
      <c r="R3685" s="2"/>
      <c r="S3685" s="2" t="s">
        <v>24411</v>
      </c>
      <c r="T3685" s="2" t="s">
        <v>24412</v>
      </c>
      <c r="U3685" s="2" t="s">
        <v>56</v>
      </c>
      <c r="V3685" s="2" t="s">
        <v>283</v>
      </c>
      <c r="W3685" s="2" t="s">
        <v>1108</v>
      </c>
      <c r="X3685" s="2" t="s">
        <v>69</v>
      </c>
      <c r="Y3685" s="2">
        <v>71.5</v>
      </c>
      <c r="Z3685" s="2">
        <v>67.099999999999994</v>
      </c>
      <c r="AA3685" s="2" t="s">
        <v>106</v>
      </c>
      <c r="AB3685" s="2" t="s">
        <v>24413</v>
      </c>
      <c r="AC3685" s="2">
        <v>2.67182777306409</v>
      </c>
      <c r="AD3685" s="2"/>
      <c r="AE3685" s="2">
        <v>0.146505217260056</v>
      </c>
      <c r="AF3685" s="2">
        <v>3144591.08433779</v>
      </c>
      <c r="AG3685" s="2">
        <v>3223614.5488178199</v>
      </c>
      <c r="AH3685" s="4">
        <v>0.97548606904351798</v>
      </c>
      <c r="AI3685" s="4">
        <v>-3.5806825092877498E-2</v>
      </c>
      <c r="AJ3685" s="4" t="s">
        <v>62</v>
      </c>
      <c r="AK3685" s="2">
        <v>0.92231467589956595</v>
      </c>
      <c r="AL3685" s="2">
        <v>0.96642820875674595</v>
      </c>
      <c r="AM3685" s="2">
        <v>3781437.7725548199</v>
      </c>
      <c r="AN3685" s="2">
        <v>5531868.4315444296</v>
      </c>
      <c r="AO3685" s="2">
        <v>2396542.9466990102</v>
      </c>
      <c r="AP3685" s="2">
        <v>3021699.3283525798</v>
      </c>
      <c r="AQ3685" s="2">
        <v>3216757.60760064</v>
      </c>
      <c r="AR3685" s="2">
        <v>919240.41927525098</v>
      </c>
      <c r="AS3685" s="2">
        <v>2049912.6910631901</v>
      </c>
      <c r="AT3685" s="2">
        <v>3415123.7555089602</v>
      </c>
      <c r="AU3685" s="2">
        <v>2292162.4645190798</v>
      </c>
      <c r="AV3685" s="2">
        <v>5301470.8930647699</v>
      </c>
      <c r="AW3685" s="2">
        <v>3632240.5694186399</v>
      </c>
      <c r="AX3685" s="2">
        <v>2650776.91933227</v>
      </c>
    </row>
    <row r="3686" spans="1:50" x14ac:dyDescent="0.25">
      <c r="A3686" s="2" t="s">
        <v>24414</v>
      </c>
      <c r="B3686" s="2">
        <v>399.326930376635</v>
      </c>
      <c r="C3686" s="2">
        <v>12.647216666666701</v>
      </c>
      <c r="D3686" s="2" t="s">
        <v>51</v>
      </c>
      <c r="E3686" s="2" t="s">
        <v>24415</v>
      </c>
      <c r="F3686" s="2">
        <v>45411</v>
      </c>
      <c r="G3686" s="3" t="str">
        <f>HYPERLINK("https://cloud.oebiotech.com/#/lm/network/45411", "https://cloud.oebiotech.com/#/lm/network/45411")</f>
        <v>https://cloud.oebiotech.com/#/lm/network/45411</v>
      </c>
      <c r="H3686" s="2"/>
      <c r="I3686" s="2"/>
      <c r="J3686" s="2" t="s">
        <v>24416</v>
      </c>
      <c r="K3686" s="2">
        <v>5283726</v>
      </c>
      <c r="L3686" s="2"/>
      <c r="M3686" s="2"/>
      <c r="N3686" s="2"/>
      <c r="O3686" s="2"/>
      <c r="P3686" s="2"/>
      <c r="Q3686" s="2"/>
      <c r="R3686" s="2"/>
      <c r="S3686" s="2" t="s">
        <v>24417</v>
      </c>
      <c r="T3686" s="2" t="s">
        <v>24418</v>
      </c>
      <c r="U3686" s="2" t="s">
        <v>56</v>
      </c>
      <c r="V3686" s="2" t="s">
        <v>283</v>
      </c>
      <c r="W3686" s="2" t="s">
        <v>420</v>
      </c>
      <c r="X3686" s="2" t="s">
        <v>83</v>
      </c>
      <c r="Y3686" s="2">
        <v>50</v>
      </c>
      <c r="Z3686" s="2">
        <v>0</v>
      </c>
      <c r="AA3686" s="2" t="s">
        <v>163</v>
      </c>
      <c r="AB3686" s="2" t="s">
        <v>1174</v>
      </c>
      <c r="AC3686" s="2">
        <v>0.19023717684189601</v>
      </c>
      <c r="AD3686" s="2"/>
      <c r="AE3686" s="2">
        <v>0.14625102738434201</v>
      </c>
      <c r="AF3686" s="2">
        <v>2843.0516645972698</v>
      </c>
      <c r="AG3686" s="2">
        <v>1445.4109413884801</v>
      </c>
      <c r="AH3686" s="5">
        <v>1.96695042440055</v>
      </c>
      <c r="AI3686" s="5">
        <v>0.97596059596275797</v>
      </c>
      <c r="AJ3686" s="5" t="s">
        <v>139</v>
      </c>
      <c r="AK3686" s="2">
        <v>0.21647627591878801</v>
      </c>
      <c r="AL3686" s="2">
        <v>0.54190576078505404</v>
      </c>
      <c r="AM3686" s="2">
        <v>1050.3850084477399</v>
      </c>
      <c r="AN3686" s="2">
        <v>2170.7506192984301</v>
      </c>
      <c r="AO3686" s="2">
        <v>3963.4902510056199</v>
      </c>
      <c r="AP3686" s="2">
        <v>6339.1187834112297</v>
      </c>
      <c r="AQ3686" s="2">
        <v>2982.1393021007898</v>
      </c>
      <c r="AR3686" s="2">
        <v>552.42602331983005</v>
      </c>
      <c r="AS3686" s="2">
        <v>656.48939340795903</v>
      </c>
      <c r="AT3686" s="2">
        <v>2952.7586484649401</v>
      </c>
      <c r="AU3686" s="2">
        <v>169.618005731935</v>
      </c>
      <c r="AV3686" s="2">
        <v>8.559877937157E-6</v>
      </c>
      <c r="AW3686" s="2">
        <v>1297.5164717364601</v>
      </c>
      <c r="AX3686" s="2">
        <v>3596.0831204297001</v>
      </c>
    </row>
    <row r="3687" spans="1:50" x14ac:dyDescent="0.25">
      <c r="A3687" s="2" t="s">
        <v>24419</v>
      </c>
      <c r="B3687" s="2">
        <v>466.15160678881699</v>
      </c>
      <c r="C3687" s="2">
        <v>13.510733333333301</v>
      </c>
      <c r="D3687" s="2" t="s">
        <v>51</v>
      </c>
      <c r="E3687" s="2" t="s">
        <v>24420</v>
      </c>
      <c r="F3687" s="2">
        <v>203473</v>
      </c>
      <c r="G3687" s="3" t="str">
        <f>HYPERLINK("https://cloud.oebiotech.com/#/lm/network/203473", "https://cloud.oebiotech.com/#/lm/network/203473")</f>
        <v>https://cloud.oebiotech.com/#/lm/network/203473</v>
      </c>
      <c r="H3687" s="2" t="s">
        <v>24421</v>
      </c>
      <c r="I3687" s="2"/>
      <c r="J3687" s="2"/>
      <c r="K3687" s="2">
        <v>73086909</v>
      </c>
      <c r="L3687" s="2"/>
      <c r="M3687" s="2"/>
      <c r="N3687" s="2"/>
      <c r="O3687" s="2"/>
      <c r="P3687" s="2"/>
      <c r="Q3687" s="2"/>
      <c r="R3687" s="2"/>
      <c r="S3687" s="2" t="s">
        <v>24422</v>
      </c>
      <c r="T3687" s="2" t="s">
        <v>24423</v>
      </c>
      <c r="U3687" s="2" t="s">
        <v>610</v>
      </c>
      <c r="V3687" s="2" t="s">
        <v>24424</v>
      </c>
      <c r="W3687" s="2" t="s">
        <v>24425</v>
      </c>
      <c r="X3687" s="2" t="s">
        <v>147</v>
      </c>
      <c r="Y3687" s="2">
        <v>37</v>
      </c>
      <c r="Z3687" s="2">
        <v>0</v>
      </c>
      <c r="AA3687" s="2" t="s">
        <v>379</v>
      </c>
      <c r="AB3687" s="2" t="s">
        <v>24426</v>
      </c>
      <c r="AC3687" s="2">
        <v>1.78589900517265</v>
      </c>
      <c r="AD3687" s="2"/>
      <c r="AE3687" s="2">
        <v>0.146194958419649</v>
      </c>
      <c r="AF3687" s="2">
        <v>3852.72844297961</v>
      </c>
      <c r="AG3687" s="2">
        <v>2827.9912810880601</v>
      </c>
      <c r="AH3687" s="5">
        <v>1.36235513480696</v>
      </c>
      <c r="AI3687" s="5">
        <v>0.446102829957854</v>
      </c>
      <c r="AJ3687" s="5" t="s">
        <v>139</v>
      </c>
      <c r="AK3687" s="2">
        <v>0.234856222505572</v>
      </c>
      <c r="AL3687" s="2">
        <v>0.55997646305846605</v>
      </c>
      <c r="AM3687" s="2">
        <v>4773.7842947810695</v>
      </c>
      <c r="AN3687" s="2">
        <v>4751.9432859661802</v>
      </c>
      <c r="AO3687" s="2">
        <v>4875.1904385231601</v>
      </c>
      <c r="AP3687" s="2">
        <v>2678.5481044969201</v>
      </c>
      <c r="AQ3687" s="2">
        <v>3721.0431009570302</v>
      </c>
      <c r="AR3687" s="2">
        <v>2315.8614331533199</v>
      </c>
      <c r="AS3687" s="2">
        <v>1779.94389543906</v>
      </c>
      <c r="AT3687" s="2">
        <v>1113.32299193826</v>
      </c>
      <c r="AU3687" s="2">
        <v>1312.25229843378</v>
      </c>
      <c r="AV3687" s="2">
        <v>3905.85913060042</v>
      </c>
      <c r="AW3687" s="2">
        <v>4991.1732986158304</v>
      </c>
      <c r="AX3687" s="2">
        <v>3865.3960715009798</v>
      </c>
    </row>
    <row r="3688" spans="1:50" x14ac:dyDescent="0.25">
      <c r="A3688" s="2" t="s">
        <v>24427</v>
      </c>
      <c r="B3688" s="2">
        <v>289.13935252242101</v>
      </c>
      <c r="C3688" s="2">
        <v>11.5544166666667</v>
      </c>
      <c r="D3688" s="2" t="s">
        <v>51</v>
      </c>
      <c r="E3688" s="2" t="s">
        <v>24428</v>
      </c>
      <c r="F3688" s="2">
        <v>201540</v>
      </c>
      <c r="G3688" s="3" t="str">
        <f>HYPERLINK("https://cloud.oebiotech.com/#/lm/network/201540", "https://cloud.oebiotech.com/#/lm/network/201540")</f>
        <v>https://cloud.oebiotech.com/#/lm/network/201540</v>
      </c>
      <c r="H3688" s="2" t="s">
        <v>24429</v>
      </c>
      <c r="I3688" s="2"/>
      <c r="J3688" s="2"/>
      <c r="K3688" s="2">
        <v>1685</v>
      </c>
      <c r="L3688" s="2"/>
      <c r="M3688" s="2"/>
      <c r="N3688" s="2"/>
      <c r="O3688" s="2"/>
      <c r="P3688" s="2"/>
      <c r="Q3688" s="2"/>
      <c r="R3688" s="2"/>
      <c r="S3688" s="2" t="s">
        <v>24430</v>
      </c>
      <c r="T3688" s="2" t="s">
        <v>24431</v>
      </c>
      <c r="U3688" s="2" t="s">
        <v>331</v>
      </c>
      <c r="V3688" s="2" t="s">
        <v>332</v>
      </c>
      <c r="W3688" s="2" t="s">
        <v>333</v>
      </c>
      <c r="X3688" s="2" t="s">
        <v>147</v>
      </c>
      <c r="Y3688" s="2">
        <v>37.700000000000003</v>
      </c>
      <c r="Z3688" s="2">
        <v>1.48</v>
      </c>
      <c r="AA3688" s="2" t="s">
        <v>512</v>
      </c>
      <c r="AB3688" s="2" t="s">
        <v>24432</v>
      </c>
      <c r="AC3688" s="2">
        <v>-0.22233008840014801</v>
      </c>
      <c r="AD3688" s="2"/>
      <c r="AE3688" s="2">
        <v>0.146085676463483</v>
      </c>
      <c r="AF3688" s="2">
        <v>16922.6310300244</v>
      </c>
      <c r="AG3688" s="2">
        <v>21936.748541439501</v>
      </c>
      <c r="AH3688" s="4">
        <v>0.77142840918547095</v>
      </c>
      <c r="AI3688" s="4">
        <v>-0.37439581820212597</v>
      </c>
      <c r="AJ3688" s="4" t="s">
        <v>62</v>
      </c>
      <c r="AK3688" s="2">
        <v>0.364015799786157</v>
      </c>
      <c r="AL3688" s="2">
        <v>0.64899753853766196</v>
      </c>
      <c r="AM3688" s="2">
        <v>33389.188433778399</v>
      </c>
      <c r="AN3688" s="2">
        <v>21004.913015734899</v>
      </c>
      <c r="AO3688" s="2">
        <v>15956.829770947899</v>
      </c>
      <c r="AP3688" s="2">
        <v>12898.8664107885</v>
      </c>
      <c r="AQ3688" s="2">
        <v>9562.2555639599395</v>
      </c>
      <c r="AR3688" s="2">
        <v>8723.7329849364796</v>
      </c>
      <c r="AS3688" s="2">
        <v>10394.1379953948</v>
      </c>
      <c r="AT3688" s="2">
        <v>15644.768666550401</v>
      </c>
      <c r="AU3688" s="2">
        <v>37091.532328970003</v>
      </c>
      <c r="AV3688" s="2">
        <v>21512.757458071399</v>
      </c>
      <c r="AW3688" s="2">
        <v>23736.814759053901</v>
      </c>
      <c r="AX3688" s="2">
        <v>23240.480040596402</v>
      </c>
    </row>
    <row r="3689" spans="1:50" x14ac:dyDescent="0.25">
      <c r="A3689" s="2" t="s">
        <v>24433</v>
      </c>
      <c r="B3689" s="2">
        <v>483.23479571481198</v>
      </c>
      <c r="C3689" s="2">
        <v>4.1098999999999997</v>
      </c>
      <c r="D3689" s="2" t="s">
        <v>51</v>
      </c>
      <c r="E3689" s="2" t="s">
        <v>24434</v>
      </c>
      <c r="F3689" s="2">
        <v>213595</v>
      </c>
      <c r="G3689" s="3" t="str">
        <f>HYPERLINK("https://cloud.oebiotech.com/#/lm/network/213595", "https://cloud.oebiotech.com/#/lm/network/213595")</f>
        <v>https://cloud.oebiotech.com/#/lm/network/213595</v>
      </c>
      <c r="H3689" s="2" t="s">
        <v>24435</v>
      </c>
      <c r="I3689" s="2"/>
      <c r="J3689" s="2"/>
      <c r="K3689" s="2"/>
      <c r="L3689" s="2"/>
      <c r="M3689" s="2"/>
      <c r="N3689" s="2"/>
      <c r="O3689" s="2"/>
      <c r="P3689" s="2"/>
      <c r="Q3689" s="2"/>
      <c r="R3689" s="2"/>
      <c r="S3689" s="2" t="s">
        <v>24436</v>
      </c>
      <c r="T3689" s="2" t="s">
        <v>24437</v>
      </c>
      <c r="U3689" s="2" t="s">
        <v>56</v>
      </c>
      <c r="V3689" s="2" t="s">
        <v>145</v>
      </c>
      <c r="W3689" s="2" t="s">
        <v>187</v>
      </c>
      <c r="X3689" s="2" t="s">
        <v>147</v>
      </c>
      <c r="Y3689" s="2">
        <v>38.200000000000003</v>
      </c>
      <c r="Z3689" s="2">
        <v>0</v>
      </c>
      <c r="AA3689" s="2" t="s">
        <v>395</v>
      </c>
      <c r="AB3689" s="2" t="s">
        <v>24438</v>
      </c>
      <c r="AC3689" s="2">
        <v>-1.5319533531045499</v>
      </c>
      <c r="AD3689" s="2"/>
      <c r="AE3689" s="2">
        <v>0.146079524649292</v>
      </c>
      <c r="AF3689" s="2">
        <v>9867.1924582952706</v>
      </c>
      <c r="AG3689" s="2">
        <v>7568.7243225211696</v>
      </c>
      <c r="AH3689" s="5">
        <v>1.30367972696996</v>
      </c>
      <c r="AI3689" s="5">
        <v>0.38258948838504497</v>
      </c>
      <c r="AJ3689" s="5" t="s">
        <v>139</v>
      </c>
      <c r="AK3689" s="2">
        <v>0.70952935824468</v>
      </c>
      <c r="AL3689" s="2">
        <v>0.86197581336170703</v>
      </c>
      <c r="AM3689" s="2">
        <v>30465.825743239999</v>
      </c>
      <c r="AN3689" s="2">
        <v>186.726565038693</v>
      </c>
      <c r="AO3689" s="2">
        <v>2638.3253101053601</v>
      </c>
      <c r="AP3689" s="2">
        <v>20045.472250240098</v>
      </c>
      <c r="AQ3689" s="2">
        <v>3144.9658502653001</v>
      </c>
      <c r="AR3689" s="2">
        <v>2721.8390308821399</v>
      </c>
      <c r="AS3689" s="2">
        <v>21178.130260060701</v>
      </c>
      <c r="AT3689" s="2">
        <v>322.83114501292198</v>
      </c>
      <c r="AU3689" s="2">
        <v>7316.9993057598203</v>
      </c>
      <c r="AV3689" s="2">
        <v>4715.4130433064502</v>
      </c>
      <c r="AW3689" s="2">
        <v>578.55811467630201</v>
      </c>
      <c r="AX3689" s="2">
        <v>11300.414066310799</v>
      </c>
    </row>
    <row r="3690" spans="1:50" x14ac:dyDescent="0.25">
      <c r="A3690" s="2" t="s">
        <v>24439</v>
      </c>
      <c r="B3690" s="2">
        <v>287.141169280741</v>
      </c>
      <c r="C3690" s="2">
        <v>7.6753666666666698</v>
      </c>
      <c r="D3690" s="2" t="s">
        <v>51</v>
      </c>
      <c r="E3690" s="2" t="s">
        <v>24440</v>
      </c>
      <c r="F3690" s="2">
        <v>1504</v>
      </c>
      <c r="G3690" s="3" t="str">
        <f>HYPERLINK("https://cloud.oebiotech.com/#/lm/network/1504", "https://cloud.oebiotech.com/#/lm/network/1504")</f>
        <v>https://cloud.oebiotech.com/#/lm/network/1504</v>
      </c>
      <c r="H3690" s="2"/>
      <c r="I3690" s="2"/>
      <c r="J3690" s="2" t="s">
        <v>24441</v>
      </c>
      <c r="K3690" s="2">
        <v>134812111</v>
      </c>
      <c r="L3690" s="2"/>
      <c r="M3690" s="2"/>
      <c r="N3690" s="2"/>
      <c r="O3690" s="2"/>
      <c r="P3690" s="2"/>
      <c r="Q3690" s="2"/>
      <c r="R3690" s="2"/>
      <c r="S3690" s="2" t="s">
        <v>24442</v>
      </c>
      <c r="T3690" s="2" t="s">
        <v>24443</v>
      </c>
      <c r="U3690" s="2" t="s">
        <v>56</v>
      </c>
      <c r="V3690" s="2" t="s">
        <v>145</v>
      </c>
      <c r="W3690" s="2" t="s">
        <v>231</v>
      </c>
      <c r="X3690" s="2" t="s">
        <v>147</v>
      </c>
      <c r="Y3690" s="2">
        <v>38.1</v>
      </c>
      <c r="Z3690" s="2">
        <v>0</v>
      </c>
      <c r="AA3690" s="2" t="s">
        <v>395</v>
      </c>
      <c r="AB3690" s="2" t="s">
        <v>10997</v>
      </c>
      <c r="AC3690" s="2">
        <v>1.5359641427758399</v>
      </c>
      <c r="AD3690" s="2"/>
      <c r="AE3690" s="2">
        <v>0.14607013140136199</v>
      </c>
      <c r="AF3690" s="2">
        <v>2009.4393979582401</v>
      </c>
      <c r="AG3690" s="2">
        <v>2537.1283588124302</v>
      </c>
      <c r="AH3690" s="4">
        <v>0.79201329762393502</v>
      </c>
      <c r="AI3690" s="4">
        <v>-0.33640344203821398</v>
      </c>
      <c r="AJ3690" s="4" t="s">
        <v>62</v>
      </c>
      <c r="AK3690" s="2">
        <v>7.8335282267380998E-3</v>
      </c>
      <c r="AL3690" s="2">
        <v>0.14717613000678501</v>
      </c>
      <c r="AM3690" s="2">
        <v>1630.73919516255</v>
      </c>
      <c r="AN3690" s="2">
        <v>1949.50977331031</v>
      </c>
      <c r="AO3690" s="2">
        <v>2472.99944146609</v>
      </c>
      <c r="AP3690" s="2">
        <v>2016.4221696294801</v>
      </c>
      <c r="AQ3690" s="2">
        <v>2112.0550496321798</v>
      </c>
      <c r="AR3690" s="2">
        <v>1874.91075854882</v>
      </c>
      <c r="AS3690" s="2">
        <v>2728.5862770972699</v>
      </c>
      <c r="AT3690" s="2">
        <v>2873.68320918976</v>
      </c>
      <c r="AU3690" s="2">
        <v>2420.3071978262901</v>
      </c>
      <c r="AV3690" s="2">
        <v>2120.4589411820498</v>
      </c>
      <c r="AW3690" s="2">
        <v>2411.2047699059399</v>
      </c>
      <c r="AX3690" s="2">
        <v>2668.5297576732901</v>
      </c>
    </row>
    <row r="3691" spans="1:50" x14ac:dyDescent="0.25">
      <c r="A3691" s="2" t="s">
        <v>24444</v>
      </c>
      <c r="B3691" s="2">
        <v>315.134737464225</v>
      </c>
      <c r="C3691" s="2">
        <v>6.9315166666666697</v>
      </c>
      <c r="D3691" s="2" t="s">
        <v>51</v>
      </c>
      <c r="E3691" s="2" t="s">
        <v>24445</v>
      </c>
      <c r="F3691" s="2">
        <v>212907</v>
      </c>
      <c r="G3691" s="3" t="str">
        <f>HYPERLINK("https://cloud.oebiotech.com/#/lm/network/212907", "https://cloud.oebiotech.com/#/lm/network/212907")</f>
        <v>https://cloud.oebiotech.com/#/lm/network/212907</v>
      </c>
      <c r="H3691" s="2" t="s">
        <v>24446</v>
      </c>
      <c r="I3691" s="2"/>
      <c r="J3691" s="2"/>
      <c r="K3691" s="2">
        <v>77987166</v>
      </c>
      <c r="L3691" s="2"/>
      <c r="M3691" s="2"/>
      <c r="N3691" s="2"/>
      <c r="O3691" s="2"/>
      <c r="P3691" s="2"/>
      <c r="Q3691" s="2"/>
      <c r="R3691" s="2"/>
      <c r="S3691" s="2" t="s">
        <v>24447</v>
      </c>
      <c r="T3691" s="2" t="s">
        <v>24448</v>
      </c>
      <c r="U3691" s="2" t="s">
        <v>266</v>
      </c>
      <c r="V3691" s="2" t="s">
        <v>1585</v>
      </c>
      <c r="W3691" s="2" t="s">
        <v>1586</v>
      </c>
      <c r="X3691" s="2" t="s">
        <v>69</v>
      </c>
      <c r="Y3691" s="2">
        <v>65.7</v>
      </c>
      <c r="Z3691" s="2">
        <v>63.3</v>
      </c>
      <c r="AA3691" s="2" t="s">
        <v>259</v>
      </c>
      <c r="AB3691" s="2" t="s">
        <v>24308</v>
      </c>
      <c r="AC3691" s="2">
        <v>2.5593724917667502</v>
      </c>
      <c r="AD3691" s="2"/>
      <c r="AE3691" s="2">
        <v>0.14597063241321501</v>
      </c>
      <c r="AF3691" s="2">
        <v>6668.8038976938897</v>
      </c>
      <c r="AG3691" s="2">
        <v>8211.8413943712294</v>
      </c>
      <c r="AH3691" s="4">
        <v>0.81209604246192502</v>
      </c>
      <c r="AI3691" s="4">
        <v>-0.30027773719388201</v>
      </c>
      <c r="AJ3691" s="4" t="s">
        <v>62</v>
      </c>
      <c r="AK3691" s="2">
        <v>0.31538002455404501</v>
      </c>
      <c r="AL3691" s="2">
        <v>0.62413706859245499</v>
      </c>
      <c r="AM3691" s="2">
        <v>8608.0115312041107</v>
      </c>
      <c r="AN3691" s="2">
        <v>7819.77164111003</v>
      </c>
      <c r="AO3691" s="2">
        <v>5947.1637639178098</v>
      </c>
      <c r="AP3691" s="2">
        <v>7891.90695001316</v>
      </c>
      <c r="AQ3691" s="2">
        <v>5650.8990800357096</v>
      </c>
      <c r="AR3691" s="2">
        <v>4095.0704198825301</v>
      </c>
      <c r="AS3691" s="2">
        <v>12645.881171196599</v>
      </c>
      <c r="AT3691" s="2">
        <v>10613.4870340098</v>
      </c>
      <c r="AU3691" s="2">
        <v>5748.6017597216096</v>
      </c>
      <c r="AV3691" s="2">
        <v>5783.9809274889003</v>
      </c>
      <c r="AW3691" s="2">
        <v>9463.2862352926204</v>
      </c>
      <c r="AX3691" s="2">
        <v>5015.8112385178301</v>
      </c>
    </row>
    <row r="3692" spans="1:50" x14ac:dyDescent="0.25">
      <c r="A3692" s="2" t="s">
        <v>24449</v>
      </c>
      <c r="B3692" s="2">
        <v>106.05049102235201</v>
      </c>
      <c r="C3692" s="2">
        <v>0.68110000000000004</v>
      </c>
      <c r="D3692" s="2" t="s">
        <v>51</v>
      </c>
      <c r="E3692" s="2" t="s">
        <v>24450</v>
      </c>
      <c r="F3692" s="2">
        <v>48091</v>
      </c>
      <c r="G3692" s="3" t="str">
        <f>HYPERLINK("https://cloud.oebiotech.com/#/lm/network/48091", "https://cloud.oebiotech.com/#/lm/network/48091")</f>
        <v>https://cloud.oebiotech.com/#/lm/network/48091</v>
      </c>
      <c r="H3692" s="2" t="s">
        <v>24451</v>
      </c>
      <c r="I3692" s="2">
        <v>35687</v>
      </c>
      <c r="J3692" s="2"/>
      <c r="K3692" s="2">
        <v>71077</v>
      </c>
      <c r="L3692" s="2" t="s">
        <v>24452</v>
      </c>
      <c r="M3692" s="2" t="s">
        <v>24453</v>
      </c>
      <c r="N3692" s="2" t="s">
        <v>24454</v>
      </c>
      <c r="O3692" s="2">
        <v>16523</v>
      </c>
      <c r="P3692" s="2" t="s">
        <v>24455</v>
      </c>
      <c r="Q3692" s="2" t="s">
        <v>24456</v>
      </c>
      <c r="R3692" s="2" t="s">
        <v>24457</v>
      </c>
      <c r="S3692" s="2" t="s">
        <v>24458</v>
      </c>
      <c r="T3692" s="2" t="s">
        <v>24459</v>
      </c>
      <c r="U3692" s="2" t="s">
        <v>103</v>
      </c>
      <c r="V3692" s="2" t="s">
        <v>104</v>
      </c>
      <c r="W3692" s="2" t="s">
        <v>105</v>
      </c>
      <c r="X3692" s="2" t="s">
        <v>83</v>
      </c>
      <c r="Y3692" s="2">
        <v>44.7</v>
      </c>
      <c r="Z3692" s="2">
        <v>0</v>
      </c>
      <c r="AA3692" s="2" t="s">
        <v>259</v>
      </c>
      <c r="AB3692" s="2" t="s">
        <v>8133</v>
      </c>
      <c r="AC3692" s="2">
        <v>5.9166702190855096</v>
      </c>
      <c r="AD3692" s="2"/>
      <c r="AE3692" s="2">
        <v>0.145874023990157</v>
      </c>
      <c r="AF3692" s="2">
        <v>8321.2789065368306</v>
      </c>
      <c r="AG3692" s="2">
        <v>9913.8201883251204</v>
      </c>
      <c r="AH3692" s="4">
        <v>0.83936149218605705</v>
      </c>
      <c r="AI3692" s="4">
        <v>-0.25263581739924901</v>
      </c>
      <c r="AJ3692" s="4" t="s">
        <v>62</v>
      </c>
      <c r="AK3692" s="2">
        <v>0.42438192961259402</v>
      </c>
      <c r="AL3692" s="2">
        <v>0.68369640456422398</v>
      </c>
      <c r="AM3692" s="2">
        <v>8751.9300166105404</v>
      </c>
      <c r="AN3692" s="2">
        <v>11377.662862027801</v>
      </c>
      <c r="AO3692" s="2">
        <v>7483.2626384958003</v>
      </c>
      <c r="AP3692" s="2">
        <v>10439.3892204533</v>
      </c>
      <c r="AQ3692" s="2">
        <v>6772.6601528069596</v>
      </c>
      <c r="AR3692" s="2">
        <v>5102.7685488265797</v>
      </c>
      <c r="AS3692" s="2">
        <v>6175.1855374017296</v>
      </c>
      <c r="AT3692" s="2">
        <v>6315.1418611726804</v>
      </c>
      <c r="AU3692" s="2">
        <v>12201.134898349899</v>
      </c>
      <c r="AV3692" s="2">
        <v>11039.1708794312</v>
      </c>
      <c r="AW3692" s="2">
        <v>7343.2435865513899</v>
      </c>
      <c r="AX3692" s="2">
        <v>16409.0443670438</v>
      </c>
    </row>
    <row r="3693" spans="1:50" x14ac:dyDescent="0.25">
      <c r="A3693" s="2" t="s">
        <v>24460</v>
      </c>
      <c r="B3693" s="2">
        <v>512.29956267224998</v>
      </c>
      <c r="C3693" s="2">
        <v>9.8078500000000002</v>
      </c>
      <c r="D3693" s="2" t="s">
        <v>51</v>
      </c>
      <c r="E3693" s="2" t="s">
        <v>24461</v>
      </c>
      <c r="F3693" s="2">
        <v>19827</v>
      </c>
      <c r="G3693" s="3" t="str">
        <f>HYPERLINK("https://cloud.oebiotech.com/#/lm/network/19827", "https://cloud.oebiotech.com/#/lm/network/19827")</f>
        <v>https://cloud.oebiotech.com/#/lm/network/19827</v>
      </c>
      <c r="H3693" s="2" t="s">
        <v>24462</v>
      </c>
      <c r="I3693" s="2">
        <v>40278</v>
      </c>
      <c r="J3693" s="2" t="s">
        <v>24463</v>
      </c>
      <c r="K3693" s="2">
        <v>460604</v>
      </c>
      <c r="L3693" s="2"/>
      <c r="M3693" s="2"/>
      <c r="N3693" s="2"/>
      <c r="O3693" s="2">
        <v>64489</v>
      </c>
      <c r="P3693" s="2"/>
      <c r="Q3693" s="2"/>
      <c r="R3693" s="2" t="s">
        <v>24464</v>
      </c>
      <c r="S3693" s="2" t="s">
        <v>24465</v>
      </c>
      <c r="T3693" s="2" t="s">
        <v>24466</v>
      </c>
      <c r="U3693" s="2" t="s">
        <v>56</v>
      </c>
      <c r="V3693" s="2" t="s">
        <v>57</v>
      </c>
      <c r="W3693" s="2" t="s">
        <v>58</v>
      </c>
      <c r="X3693" s="2" t="s">
        <v>69</v>
      </c>
      <c r="Y3693" s="2">
        <v>65.2</v>
      </c>
      <c r="Z3693" s="2">
        <v>98.2</v>
      </c>
      <c r="AA3693" s="2" t="s">
        <v>218</v>
      </c>
      <c r="AB3693" s="2" t="s">
        <v>14913</v>
      </c>
      <c r="AC3693" s="2">
        <v>0.36455141604235902</v>
      </c>
      <c r="AD3693" s="2"/>
      <c r="AE3693" s="2">
        <v>0.14581858634254599</v>
      </c>
      <c r="AF3693" s="2">
        <v>309814.674176678</v>
      </c>
      <c r="AG3693" s="2">
        <v>347750.265208759</v>
      </c>
      <c r="AH3693" s="4">
        <v>0.89091139582795797</v>
      </c>
      <c r="AI3693" s="4">
        <v>-0.16664613694027799</v>
      </c>
      <c r="AJ3693" s="4" t="s">
        <v>62</v>
      </c>
      <c r="AK3693" s="2">
        <v>0.75553042187629005</v>
      </c>
      <c r="AL3693" s="2">
        <v>0.88968290941317296</v>
      </c>
      <c r="AM3693" s="2">
        <v>700060.68136859406</v>
      </c>
      <c r="AN3693" s="2">
        <v>332772.82724139298</v>
      </c>
      <c r="AO3693" s="2">
        <v>108364.396970289</v>
      </c>
      <c r="AP3693" s="2">
        <v>263185.61403979</v>
      </c>
      <c r="AQ3693" s="2">
        <v>180856.025143276</v>
      </c>
      <c r="AR3693" s="2">
        <v>273648.50029672403</v>
      </c>
      <c r="AS3693" s="2">
        <v>125613.580673124</v>
      </c>
      <c r="AT3693" s="2">
        <v>105915.094533019</v>
      </c>
      <c r="AU3693" s="2">
        <v>528375.12541764998</v>
      </c>
      <c r="AV3693" s="2">
        <v>602728.13684192905</v>
      </c>
      <c r="AW3693" s="2">
        <v>394684.29790979502</v>
      </c>
      <c r="AX3693" s="2">
        <v>329185.35587703402</v>
      </c>
    </row>
    <row r="3694" spans="1:50" x14ac:dyDescent="0.25">
      <c r="A3694" s="2" t="s">
        <v>24467</v>
      </c>
      <c r="B3694" s="2">
        <v>385.19997622433101</v>
      </c>
      <c r="C3694" s="2">
        <v>11.3173666666667</v>
      </c>
      <c r="D3694" s="2" t="s">
        <v>51</v>
      </c>
      <c r="E3694" s="2" t="s">
        <v>24468</v>
      </c>
      <c r="F3694" s="2">
        <v>210223</v>
      </c>
      <c r="G3694" s="3" t="str">
        <f>HYPERLINK("https://cloud.oebiotech.com/#/lm/network/210223", "https://cloud.oebiotech.com/#/lm/network/210223")</f>
        <v>https://cloud.oebiotech.com/#/lm/network/210223</v>
      </c>
      <c r="H3694" s="2" t="s">
        <v>24469</v>
      </c>
      <c r="I3694" s="2"/>
      <c r="J3694" s="2"/>
      <c r="K3694" s="2">
        <v>21071928</v>
      </c>
      <c r="L3694" s="2"/>
      <c r="M3694" s="2"/>
      <c r="N3694" s="2"/>
      <c r="O3694" s="2"/>
      <c r="P3694" s="2"/>
      <c r="Q3694" s="2"/>
      <c r="R3694" s="2"/>
      <c r="S3694" s="2" t="s">
        <v>24470</v>
      </c>
      <c r="T3694" s="2" t="s">
        <v>24471</v>
      </c>
      <c r="U3694" s="2" t="s">
        <v>266</v>
      </c>
      <c r="V3694" s="2" t="s">
        <v>2143</v>
      </c>
      <c r="W3694" s="2" t="s">
        <v>24472</v>
      </c>
      <c r="X3694" s="2" t="s">
        <v>147</v>
      </c>
      <c r="Y3694" s="2">
        <v>40.9</v>
      </c>
      <c r="Z3694" s="2">
        <v>10.4</v>
      </c>
      <c r="AA3694" s="2" t="s">
        <v>218</v>
      </c>
      <c r="AB3694" s="2" t="s">
        <v>24473</v>
      </c>
      <c r="AC3694" s="2">
        <v>1.8046272735825699</v>
      </c>
      <c r="AD3694" s="2"/>
      <c r="AE3694" s="2">
        <v>0.14550715019937499</v>
      </c>
      <c r="AF3694" s="2">
        <v>4432.8230432526298</v>
      </c>
      <c r="AG3694" s="2">
        <v>6340.6835411249003</v>
      </c>
      <c r="AH3694" s="4">
        <v>0.69910807163011401</v>
      </c>
      <c r="AI3694" s="4">
        <v>-0.51641260301599301</v>
      </c>
      <c r="AJ3694" s="4" t="s">
        <v>62</v>
      </c>
      <c r="AK3694" s="2">
        <v>0.481635396009999</v>
      </c>
      <c r="AL3694" s="2">
        <v>0.72613802625696799</v>
      </c>
      <c r="AM3694" s="2">
        <v>3415.13487230486</v>
      </c>
      <c r="AN3694" s="2">
        <v>2254.6225812208199</v>
      </c>
      <c r="AO3694" s="2">
        <v>7619.2885443751202</v>
      </c>
      <c r="AP3694" s="2">
        <v>5571.7404204660897</v>
      </c>
      <c r="AQ3694" s="2">
        <v>4350.7975276541902</v>
      </c>
      <c r="AR3694" s="2">
        <v>3385.3543134947099</v>
      </c>
      <c r="AS3694" s="2">
        <v>2114.4163488634999</v>
      </c>
      <c r="AT3694" s="2">
        <v>1317.8644991675999</v>
      </c>
      <c r="AU3694" s="2">
        <v>16511.952851430899</v>
      </c>
      <c r="AV3694" s="2">
        <v>11147.5430144242</v>
      </c>
      <c r="AW3694" s="2">
        <v>3602.4146996363302</v>
      </c>
      <c r="AX3694" s="2">
        <v>3349.90983322688</v>
      </c>
    </row>
    <row r="3695" spans="1:50" x14ac:dyDescent="0.25">
      <c r="A3695" s="2" t="s">
        <v>24474</v>
      </c>
      <c r="B3695" s="2">
        <v>353.23199250908198</v>
      </c>
      <c r="C3695" s="2">
        <v>8.96993333333333</v>
      </c>
      <c r="D3695" s="2" t="s">
        <v>51</v>
      </c>
      <c r="E3695" s="2" t="s">
        <v>24475</v>
      </c>
      <c r="F3695" s="2">
        <v>4167</v>
      </c>
      <c r="G3695" s="3" t="str">
        <f>HYPERLINK("https://cloud.oebiotech.com/#/lm/network/4167", "https://cloud.oebiotech.com/#/lm/network/4167")</f>
        <v>https://cloud.oebiotech.com/#/lm/network/4167</v>
      </c>
      <c r="H3695" s="2"/>
      <c r="I3695" s="2">
        <v>75087</v>
      </c>
      <c r="J3695" s="2" t="s">
        <v>24476</v>
      </c>
      <c r="K3695" s="2">
        <v>52921932</v>
      </c>
      <c r="L3695" s="2"/>
      <c r="M3695" s="2"/>
      <c r="N3695" s="2"/>
      <c r="O3695" s="2"/>
      <c r="P3695" s="2"/>
      <c r="Q3695" s="2"/>
      <c r="R3695" s="2"/>
      <c r="S3695" s="2" t="s">
        <v>24477</v>
      </c>
      <c r="T3695" s="2" t="s">
        <v>24478</v>
      </c>
      <c r="U3695" s="2" t="s">
        <v>56</v>
      </c>
      <c r="V3695" s="2" t="s">
        <v>145</v>
      </c>
      <c r="W3695" s="2" t="s">
        <v>231</v>
      </c>
      <c r="X3695" s="2" t="s">
        <v>83</v>
      </c>
      <c r="Y3695" s="2">
        <v>52.8</v>
      </c>
      <c r="Z3695" s="2">
        <v>0</v>
      </c>
      <c r="AA3695" s="2" t="s">
        <v>259</v>
      </c>
      <c r="AB3695" s="2" t="s">
        <v>380</v>
      </c>
      <c r="AC3695" s="2">
        <v>-0.73261970978621405</v>
      </c>
      <c r="AD3695" s="2"/>
      <c r="AE3695" s="2">
        <v>0.14536958865754501</v>
      </c>
      <c r="AF3695" s="2">
        <v>3078.8821838231902</v>
      </c>
      <c r="AG3695" s="2">
        <v>2377.7499829609301</v>
      </c>
      <c r="AH3695" s="5">
        <v>1.29487212948654</v>
      </c>
      <c r="AI3695" s="5">
        <v>0.372809636704034</v>
      </c>
      <c r="AJ3695" s="5" t="s">
        <v>139</v>
      </c>
      <c r="AK3695" s="2">
        <v>0.209853358611371</v>
      </c>
      <c r="AL3695" s="2">
        <v>0.53413913919887801</v>
      </c>
      <c r="AM3695" s="2">
        <v>3277.9269767065398</v>
      </c>
      <c r="AN3695" s="2">
        <v>3124.9170503678001</v>
      </c>
      <c r="AO3695" s="2">
        <v>3901.5875978241502</v>
      </c>
      <c r="AP3695" s="2">
        <v>2469.8137834302602</v>
      </c>
      <c r="AQ3695" s="2">
        <v>2929.7315012199701</v>
      </c>
      <c r="AR3695" s="2">
        <v>2769.3161933903998</v>
      </c>
      <c r="AS3695" s="2">
        <v>1379.6003666143299</v>
      </c>
      <c r="AT3695" s="2">
        <v>1462.78560485557</v>
      </c>
      <c r="AU3695" s="2">
        <v>4355.1105376952501</v>
      </c>
      <c r="AV3695" s="2">
        <v>1974.6734188173</v>
      </c>
      <c r="AW3695" s="2">
        <v>3268.4643065527698</v>
      </c>
      <c r="AX3695" s="2">
        <v>1825.86566323033</v>
      </c>
    </row>
    <row r="3696" spans="1:50" x14ac:dyDescent="0.25">
      <c r="A3696" s="2" t="s">
        <v>24479</v>
      </c>
      <c r="B3696" s="2">
        <v>316.162700811749</v>
      </c>
      <c r="C3696" s="2">
        <v>2.9428000000000001</v>
      </c>
      <c r="D3696" s="2" t="s">
        <v>51</v>
      </c>
      <c r="E3696" s="2" t="s">
        <v>24480</v>
      </c>
      <c r="F3696" s="2">
        <v>54019</v>
      </c>
      <c r="G3696" s="3" t="str">
        <f>HYPERLINK("https://cloud.oebiotech.com/#/lm/network/54019", "https://cloud.oebiotech.com/#/lm/network/54019")</f>
        <v>https://cloud.oebiotech.com/#/lm/network/54019</v>
      </c>
      <c r="H3696" s="2" t="s">
        <v>24481</v>
      </c>
      <c r="I3696" s="2">
        <v>85900</v>
      </c>
      <c r="J3696" s="2"/>
      <c r="K3696" s="2">
        <v>15607820</v>
      </c>
      <c r="L3696" s="2"/>
      <c r="M3696" s="2"/>
      <c r="N3696" s="2"/>
      <c r="O3696" s="2">
        <v>141443</v>
      </c>
      <c r="P3696" s="2"/>
      <c r="Q3696" s="2"/>
      <c r="R3696" s="2" t="s">
        <v>24482</v>
      </c>
      <c r="S3696" s="2" t="s">
        <v>24483</v>
      </c>
      <c r="T3696" s="2" t="s">
        <v>24484</v>
      </c>
      <c r="U3696" s="2" t="s">
        <v>103</v>
      </c>
      <c r="V3696" s="2" t="s">
        <v>104</v>
      </c>
      <c r="W3696" s="2" t="s">
        <v>105</v>
      </c>
      <c r="X3696" s="2" t="s">
        <v>147</v>
      </c>
      <c r="Y3696" s="2">
        <v>42</v>
      </c>
      <c r="Z3696" s="2">
        <v>21.9</v>
      </c>
      <c r="AA3696" s="2" t="s">
        <v>95</v>
      </c>
      <c r="AB3696" s="2" t="s">
        <v>24485</v>
      </c>
      <c r="AC3696" s="2">
        <v>-1.5740789867870899</v>
      </c>
      <c r="AD3696" s="2"/>
      <c r="AE3696" s="2">
        <v>0.14535926424676399</v>
      </c>
      <c r="AF3696" s="2">
        <v>205.88773517812299</v>
      </c>
      <c r="AG3696" s="2">
        <v>2677.66112531215</v>
      </c>
      <c r="AH3696" s="4">
        <v>7.6890885568696304E-2</v>
      </c>
      <c r="AI3696" s="4">
        <v>-3.7010435945025102</v>
      </c>
      <c r="AJ3696" s="4" t="s">
        <v>62</v>
      </c>
      <c r="AK3696" s="2">
        <v>0.37827804561734801</v>
      </c>
      <c r="AL3696" s="2">
        <v>0.65844593389412398</v>
      </c>
      <c r="AM3696" s="2">
        <v>8.559877937157E-6</v>
      </c>
      <c r="AN3696" s="2">
        <v>377.25818552662997</v>
      </c>
      <c r="AO3696" s="2">
        <v>817.37656604728295</v>
      </c>
      <c r="AP3696" s="2">
        <v>8.559877937157E-6</v>
      </c>
      <c r="AQ3696" s="2">
        <v>29.275328997772299</v>
      </c>
      <c r="AR3696" s="2">
        <v>11.416313377296801</v>
      </c>
      <c r="AS3696" s="2">
        <v>8.559877937157E-6</v>
      </c>
      <c r="AT3696" s="2">
        <v>8.559877937157E-6</v>
      </c>
      <c r="AU3696" s="2">
        <v>16065.9667090735</v>
      </c>
      <c r="AV3696" s="2">
        <v>8.559877937157E-6</v>
      </c>
      <c r="AW3696" s="2">
        <v>8.559877937157E-6</v>
      </c>
      <c r="AX3696" s="2">
        <v>8.559877937157E-6</v>
      </c>
    </row>
    <row r="3697" spans="1:50" x14ac:dyDescent="0.25">
      <c r="A3697" s="2" t="s">
        <v>24486</v>
      </c>
      <c r="B3697" s="2">
        <v>543.12861332737805</v>
      </c>
      <c r="C3697" s="2">
        <v>9.5426500000000001</v>
      </c>
      <c r="D3697" s="2" t="s">
        <v>51</v>
      </c>
      <c r="E3697" s="2" t="s">
        <v>24487</v>
      </c>
      <c r="F3697" s="2">
        <v>56466</v>
      </c>
      <c r="G3697" s="3" t="str">
        <f>HYPERLINK("https://cloud.oebiotech.com/#/lm/network/56466", "https://cloud.oebiotech.com/#/lm/network/56466")</f>
        <v>https://cloud.oebiotech.com/#/lm/network/56466</v>
      </c>
      <c r="H3697" s="2" t="s">
        <v>24488</v>
      </c>
      <c r="I3697" s="2">
        <v>88113</v>
      </c>
      <c r="J3697" s="2"/>
      <c r="K3697" s="2">
        <v>14332863</v>
      </c>
      <c r="L3697" s="2"/>
      <c r="M3697" s="2"/>
      <c r="N3697" s="2"/>
      <c r="O3697" s="2"/>
      <c r="P3697" s="2"/>
      <c r="Q3697" s="2"/>
      <c r="R3697" s="2"/>
      <c r="S3697" s="2" t="s">
        <v>24489</v>
      </c>
      <c r="T3697" s="2" t="s">
        <v>24490</v>
      </c>
      <c r="U3697" s="2" t="s">
        <v>540</v>
      </c>
      <c r="V3697" s="2" t="s">
        <v>541</v>
      </c>
      <c r="W3697" s="2" t="s">
        <v>24491</v>
      </c>
      <c r="X3697" s="2" t="s">
        <v>147</v>
      </c>
      <c r="Y3697" s="2">
        <v>37.9</v>
      </c>
      <c r="Z3697" s="2">
        <v>0</v>
      </c>
      <c r="AA3697" s="2" t="s">
        <v>379</v>
      </c>
      <c r="AB3697" s="2" t="s">
        <v>24492</v>
      </c>
      <c r="AC3697" s="2">
        <v>-1.8806480156645</v>
      </c>
      <c r="AD3697" s="2"/>
      <c r="AE3697" s="2">
        <v>0.14522818358147699</v>
      </c>
      <c r="AF3697" s="2">
        <v>1714.71681193778</v>
      </c>
      <c r="AG3697" s="2">
        <v>998.86280252624204</v>
      </c>
      <c r="AH3697" s="5">
        <v>1.7166690035919501</v>
      </c>
      <c r="AI3697" s="5">
        <v>0.77961189553676802</v>
      </c>
      <c r="AJ3697" s="5" t="s">
        <v>139</v>
      </c>
      <c r="AK3697" s="2">
        <v>0.124219763263952</v>
      </c>
      <c r="AL3697" s="2">
        <v>0.44128813217080598</v>
      </c>
      <c r="AM3697" s="2">
        <v>1298.27601699566</v>
      </c>
      <c r="AN3697" s="2">
        <v>2784.96204067602</v>
      </c>
      <c r="AO3697" s="2">
        <v>1877.5443774719799</v>
      </c>
      <c r="AP3697" s="2">
        <v>2235.04203137682</v>
      </c>
      <c r="AQ3697" s="2">
        <v>490.86490110947398</v>
      </c>
      <c r="AR3697" s="2">
        <v>1601.6115039967401</v>
      </c>
      <c r="AS3697" s="2">
        <v>1228.6114193470601</v>
      </c>
      <c r="AT3697" s="2">
        <v>789.15217456159996</v>
      </c>
      <c r="AU3697" s="2">
        <v>1943.76015342695</v>
      </c>
      <c r="AV3697" s="2">
        <v>8.559877937157E-6</v>
      </c>
      <c r="AW3697" s="2">
        <v>601.39780736076204</v>
      </c>
      <c r="AX3697" s="2">
        <v>1430.2552519011999</v>
      </c>
    </row>
    <row r="3698" spans="1:50" x14ac:dyDescent="0.25">
      <c r="A3698" s="2" t="s">
        <v>24493</v>
      </c>
      <c r="B3698" s="2">
        <v>118.049784336497</v>
      </c>
      <c r="C3698" s="2">
        <v>0.68074999999999997</v>
      </c>
      <c r="D3698" s="2" t="s">
        <v>51</v>
      </c>
      <c r="E3698" s="2" t="s">
        <v>24494</v>
      </c>
      <c r="F3698" s="2">
        <v>83386</v>
      </c>
      <c r="G3698" s="3" t="str">
        <f>HYPERLINK("https://cloud.oebiotech.com/#/lm/network/83386", "https://cloud.oebiotech.com/#/lm/network/83386")</f>
        <v>https://cloud.oebiotech.com/#/lm/network/83386</v>
      </c>
      <c r="H3698" s="2" t="s">
        <v>24495</v>
      </c>
      <c r="I3698" s="2">
        <v>313521</v>
      </c>
      <c r="J3698" s="2"/>
      <c r="K3698" s="2">
        <v>2149</v>
      </c>
      <c r="L3698" s="2" t="s">
        <v>24496</v>
      </c>
      <c r="M3698" s="2"/>
      <c r="N3698" s="2"/>
      <c r="O3698" s="2">
        <v>16080</v>
      </c>
      <c r="P3698" s="2"/>
      <c r="Q3698" s="2"/>
      <c r="R3698" s="2"/>
      <c r="S3698" s="2" t="s">
        <v>24497</v>
      </c>
      <c r="T3698" s="2" t="s">
        <v>24498</v>
      </c>
      <c r="U3698" s="2" t="s">
        <v>103</v>
      </c>
      <c r="V3698" s="2" t="s">
        <v>104</v>
      </c>
      <c r="W3698" s="2" t="s">
        <v>105</v>
      </c>
      <c r="X3698" s="2" t="s">
        <v>83</v>
      </c>
      <c r="Y3698" s="2">
        <v>46.9</v>
      </c>
      <c r="Z3698" s="2">
        <v>43.5</v>
      </c>
      <c r="AA3698" s="2" t="s">
        <v>163</v>
      </c>
      <c r="AB3698" s="2" t="s">
        <v>17097</v>
      </c>
      <c r="AC3698" s="2">
        <v>-9.9311360685711207</v>
      </c>
      <c r="AD3698" s="2"/>
      <c r="AE3698" s="2">
        <v>0.14509841204909299</v>
      </c>
      <c r="AF3698" s="2">
        <v>6613.8971690717899</v>
      </c>
      <c r="AG3698" s="2">
        <v>6084.7277895796497</v>
      </c>
      <c r="AH3698" s="5">
        <v>1.08696681228672</v>
      </c>
      <c r="AI3698" s="5">
        <v>0.120307892085271</v>
      </c>
      <c r="AJ3698" s="5" t="s">
        <v>139</v>
      </c>
      <c r="AK3698" s="2">
        <v>0.81106584828550199</v>
      </c>
      <c r="AL3698" s="2">
        <v>0.91562995650713597</v>
      </c>
      <c r="AM3698" s="2">
        <v>14191.9464517632</v>
      </c>
      <c r="AN3698" s="2">
        <v>7487.0187987941699</v>
      </c>
      <c r="AO3698" s="2">
        <v>3868.1750115004202</v>
      </c>
      <c r="AP3698" s="2">
        <v>6483.8353069618097</v>
      </c>
      <c r="AQ3698" s="2">
        <v>4375.5420499286301</v>
      </c>
      <c r="AR3698" s="2">
        <v>3276.8653954824799</v>
      </c>
      <c r="AS3698" s="2">
        <v>2903.3599492021999</v>
      </c>
      <c r="AT3698" s="2">
        <v>5902.3597969426501</v>
      </c>
      <c r="AU3698" s="2">
        <v>12469.8477823713</v>
      </c>
      <c r="AV3698" s="2">
        <v>3551.77840762907</v>
      </c>
      <c r="AW3698" s="2">
        <v>5640.995243675</v>
      </c>
      <c r="AX3698" s="2">
        <v>6040.0255576576501</v>
      </c>
    </row>
    <row r="3699" spans="1:50" x14ac:dyDescent="0.25">
      <c r="A3699" s="2" t="s">
        <v>24499</v>
      </c>
      <c r="B3699" s="2">
        <v>129.04249999999999</v>
      </c>
      <c r="C3699" s="2">
        <v>25.548999999999999</v>
      </c>
      <c r="D3699" s="2" t="s">
        <v>125</v>
      </c>
      <c r="E3699" s="2" t="s">
        <v>24500</v>
      </c>
      <c r="F3699" s="2">
        <v>47479</v>
      </c>
      <c r="G3699" s="3" t="str">
        <f>HYPERLINK("https://cloud.oebiotech.com/#/lm/network/47479", "https://cloud.oebiotech.com/#/lm/network/47479")</f>
        <v>https://cloud.oebiotech.com/#/lm/network/47479</v>
      </c>
      <c r="H3699" s="2" t="s">
        <v>24501</v>
      </c>
      <c r="I3699" s="2">
        <v>3585</v>
      </c>
      <c r="J3699" s="2"/>
      <c r="K3699" s="2">
        <v>439586</v>
      </c>
      <c r="L3699" s="2" t="s">
        <v>24502</v>
      </c>
      <c r="M3699" s="2" t="s">
        <v>24503</v>
      </c>
      <c r="N3699" s="2" t="s">
        <v>24504</v>
      </c>
      <c r="O3699" s="2">
        <v>140999</v>
      </c>
      <c r="P3699" s="2"/>
      <c r="Q3699" s="2"/>
      <c r="R3699" s="2" t="s">
        <v>24505</v>
      </c>
      <c r="S3699" s="2" t="s">
        <v>24506</v>
      </c>
      <c r="T3699" s="2" t="s">
        <v>24507</v>
      </c>
      <c r="U3699" s="2" t="s">
        <v>331</v>
      </c>
      <c r="V3699" s="2" t="s">
        <v>332</v>
      </c>
      <c r="W3699" s="2" t="s">
        <v>333</v>
      </c>
      <c r="X3699" s="2" t="s">
        <v>69</v>
      </c>
      <c r="Y3699" s="2">
        <v>89.1</v>
      </c>
      <c r="Z3699" s="2">
        <v>82.7</v>
      </c>
      <c r="AA3699" s="2"/>
      <c r="AB3699" s="2" t="s">
        <v>22574</v>
      </c>
      <c r="AC3699" s="2"/>
      <c r="AD3699" s="2">
        <v>953785.81371545501</v>
      </c>
      <c r="AE3699" s="2">
        <v>0.14508388981745701</v>
      </c>
      <c r="AF3699" s="2">
        <v>56304.8443582451</v>
      </c>
      <c r="AG3699" s="2">
        <v>71407.995431789794</v>
      </c>
      <c r="AH3699" s="4">
        <v>0.78849495799148295</v>
      </c>
      <c r="AI3699" s="4">
        <v>-0.34282656511436799</v>
      </c>
      <c r="AJ3699" s="4" t="s">
        <v>62</v>
      </c>
      <c r="AK3699" s="2">
        <v>0.22273020734479601</v>
      </c>
      <c r="AL3699" s="2">
        <v>0.54873825251944697</v>
      </c>
      <c r="AM3699" s="2">
        <v>53594.255173285899</v>
      </c>
      <c r="AN3699" s="2">
        <v>58541.832007382698</v>
      </c>
      <c r="AO3699" s="2">
        <v>52922.150656393103</v>
      </c>
      <c r="AP3699" s="2">
        <v>50937.967534035401</v>
      </c>
      <c r="AQ3699" s="2">
        <v>52358.156569537598</v>
      </c>
      <c r="AR3699" s="2">
        <v>69474.704208835698</v>
      </c>
      <c r="AS3699" s="2">
        <v>48127.092233278498</v>
      </c>
      <c r="AT3699" s="2">
        <v>121096.97317567399</v>
      </c>
      <c r="AU3699" s="2">
        <v>61692.713499111902</v>
      </c>
      <c r="AV3699" s="2">
        <v>70163.654143531603</v>
      </c>
      <c r="AW3699" s="2">
        <v>80722.771092177805</v>
      </c>
      <c r="AX3699" s="2">
        <v>46644.768446964801</v>
      </c>
    </row>
    <row r="3700" spans="1:50" x14ac:dyDescent="0.25">
      <c r="A3700" s="2" t="s">
        <v>24508</v>
      </c>
      <c r="B3700" s="2">
        <v>230.06118997521099</v>
      </c>
      <c r="C3700" s="2">
        <v>3.3387333333333298</v>
      </c>
      <c r="D3700" s="2" t="s">
        <v>51</v>
      </c>
      <c r="E3700" s="2" t="s">
        <v>24509</v>
      </c>
      <c r="F3700" s="2">
        <v>212458</v>
      </c>
      <c r="G3700" s="3" t="str">
        <f>HYPERLINK("https://cloud.oebiotech.com/#/lm/network/212458", "https://cloud.oebiotech.com/#/lm/network/212458")</f>
        <v>https://cloud.oebiotech.com/#/lm/network/212458</v>
      </c>
      <c r="H3700" s="2" t="s">
        <v>24510</v>
      </c>
      <c r="I3700" s="2"/>
      <c r="J3700" s="2"/>
      <c r="K3700" s="2"/>
      <c r="L3700" s="2"/>
      <c r="M3700" s="2"/>
      <c r="N3700" s="2"/>
      <c r="O3700" s="2"/>
      <c r="P3700" s="2"/>
      <c r="Q3700" s="2"/>
      <c r="R3700" s="2"/>
      <c r="S3700" s="2" t="s">
        <v>24511</v>
      </c>
      <c r="T3700" s="2" t="s">
        <v>24512</v>
      </c>
      <c r="U3700" s="2" t="s">
        <v>119</v>
      </c>
      <c r="V3700" s="2" t="s">
        <v>120</v>
      </c>
      <c r="W3700" s="2" t="s">
        <v>1887</v>
      </c>
      <c r="X3700" s="2" t="s">
        <v>147</v>
      </c>
      <c r="Y3700" s="2">
        <v>40.200000000000003</v>
      </c>
      <c r="Z3700" s="2">
        <v>8.6</v>
      </c>
      <c r="AA3700" s="2" t="s">
        <v>395</v>
      </c>
      <c r="AB3700" s="2" t="s">
        <v>24513</v>
      </c>
      <c r="AC3700" s="2">
        <v>0.16800856588989399</v>
      </c>
      <c r="AD3700" s="2"/>
      <c r="AE3700" s="2">
        <v>0.14501561773517699</v>
      </c>
      <c r="AF3700" s="2">
        <v>15319.083412405</v>
      </c>
      <c r="AG3700" s="2">
        <v>13265.679454372401</v>
      </c>
      <c r="AH3700" s="5">
        <v>1.1547907112557101</v>
      </c>
      <c r="AI3700" s="5">
        <v>0.20763140818426401</v>
      </c>
      <c r="AJ3700" s="5" t="s">
        <v>139</v>
      </c>
      <c r="AK3700" s="2">
        <v>0.502505836943829</v>
      </c>
      <c r="AL3700" s="2">
        <v>0.73972644314148805</v>
      </c>
      <c r="AM3700" s="2">
        <v>13539.598215223999</v>
      </c>
      <c r="AN3700" s="2">
        <v>10712.4238793231</v>
      </c>
      <c r="AO3700" s="2">
        <v>14678.6015371463</v>
      </c>
      <c r="AP3700" s="2">
        <v>17932.073981713002</v>
      </c>
      <c r="AQ3700" s="2">
        <v>25689.0630655186</v>
      </c>
      <c r="AR3700" s="2">
        <v>9362.7397955048109</v>
      </c>
      <c r="AS3700" s="2">
        <v>19037.869031644899</v>
      </c>
      <c r="AT3700" s="2">
        <v>15291.462090884101</v>
      </c>
      <c r="AU3700" s="2">
        <v>16006.0130949458</v>
      </c>
      <c r="AV3700" s="2">
        <v>8531.3131399838294</v>
      </c>
      <c r="AW3700" s="2">
        <v>9228.8223295423195</v>
      </c>
      <c r="AX3700" s="2">
        <v>11498.5970392335</v>
      </c>
    </row>
    <row r="3701" spans="1:50" x14ac:dyDescent="0.25">
      <c r="A3701" s="2" t="s">
        <v>24514</v>
      </c>
      <c r="B3701" s="2">
        <v>303.08340461534902</v>
      </c>
      <c r="C3701" s="2">
        <v>0.74113333333333298</v>
      </c>
      <c r="D3701" s="2" t="s">
        <v>51</v>
      </c>
      <c r="E3701" s="2" t="s">
        <v>24515</v>
      </c>
      <c r="F3701" s="2">
        <v>209410</v>
      </c>
      <c r="G3701" s="3" t="str">
        <f>HYPERLINK("https://cloud.oebiotech.com/#/lm/network/209410", "https://cloud.oebiotech.com/#/lm/network/209410")</f>
        <v>https://cloud.oebiotech.com/#/lm/network/209410</v>
      </c>
      <c r="H3701" s="2" t="s">
        <v>24516</v>
      </c>
      <c r="I3701" s="2">
        <v>44358</v>
      </c>
      <c r="J3701" s="2"/>
      <c r="K3701" s="2">
        <v>5255</v>
      </c>
      <c r="L3701" s="2" t="s">
        <v>24517</v>
      </c>
      <c r="M3701" s="2" t="s">
        <v>24518</v>
      </c>
      <c r="N3701" s="2" t="s">
        <v>24519</v>
      </c>
      <c r="O3701" s="2">
        <v>95120</v>
      </c>
      <c r="P3701" s="2"/>
      <c r="Q3701" s="2"/>
      <c r="R3701" s="2" t="s">
        <v>24520</v>
      </c>
      <c r="S3701" s="2" t="s">
        <v>24521</v>
      </c>
      <c r="T3701" s="2" t="s">
        <v>24522</v>
      </c>
      <c r="U3701" s="2" t="s">
        <v>103</v>
      </c>
      <c r="V3701" s="2" t="s">
        <v>104</v>
      </c>
      <c r="W3701" s="2" t="s">
        <v>105</v>
      </c>
      <c r="X3701" s="2" t="s">
        <v>59</v>
      </c>
      <c r="Y3701" s="2">
        <v>47.6</v>
      </c>
      <c r="Z3701" s="2">
        <v>51.7</v>
      </c>
      <c r="AA3701" s="2" t="s">
        <v>163</v>
      </c>
      <c r="AB3701" s="2" t="s">
        <v>24523</v>
      </c>
      <c r="AC3701" s="2">
        <v>5.1195748006464203E-2</v>
      </c>
      <c r="AD3701" s="2"/>
      <c r="AE3701" s="2">
        <v>0.145001936261175</v>
      </c>
      <c r="AF3701" s="2">
        <v>4695.9395205921801</v>
      </c>
      <c r="AG3701" s="2">
        <v>6832.9503297990896</v>
      </c>
      <c r="AH3701" s="4">
        <v>0.68724918138403401</v>
      </c>
      <c r="AI3701" s="4">
        <v>-0.54109481161242701</v>
      </c>
      <c r="AJ3701" s="4" t="s">
        <v>62</v>
      </c>
      <c r="AK3701" s="2">
        <v>0.56413500583543996</v>
      </c>
      <c r="AL3701" s="2">
        <v>0.78088127829314202</v>
      </c>
      <c r="AM3701" s="2">
        <v>8627.2547939220294</v>
      </c>
      <c r="AN3701" s="2">
        <v>2814.0192691264201</v>
      </c>
      <c r="AO3701" s="2">
        <v>3486.9975021344299</v>
      </c>
      <c r="AP3701" s="2">
        <v>2775.00418245932</v>
      </c>
      <c r="AQ3701" s="2">
        <v>5547.3205696977502</v>
      </c>
      <c r="AR3701" s="2">
        <v>4925.0408062131601</v>
      </c>
      <c r="AS3701" s="2">
        <v>1085.33018314275</v>
      </c>
      <c r="AT3701" s="2">
        <v>7278.183311924</v>
      </c>
      <c r="AU3701" s="2">
        <v>3014.2125524980802</v>
      </c>
      <c r="AV3701" s="2">
        <v>23588.060096471399</v>
      </c>
      <c r="AW3701" s="2">
        <v>1897.2322823311899</v>
      </c>
      <c r="AX3701" s="2">
        <v>4134.6835524271</v>
      </c>
    </row>
    <row r="3702" spans="1:50" x14ac:dyDescent="0.25">
      <c r="A3702" s="2" t="s">
        <v>24524</v>
      </c>
      <c r="B3702" s="2">
        <v>432.16108467269697</v>
      </c>
      <c r="C3702" s="2">
        <v>12.5362333333333</v>
      </c>
      <c r="D3702" s="2" t="s">
        <v>51</v>
      </c>
      <c r="E3702" s="2" t="s">
        <v>24525</v>
      </c>
      <c r="F3702" s="2">
        <v>212942</v>
      </c>
      <c r="G3702" s="3" t="str">
        <f>HYPERLINK("https://cloud.oebiotech.com/#/lm/network/212942", "https://cloud.oebiotech.com/#/lm/network/212942")</f>
        <v>https://cloud.oebiotech.com/#/lm/network/212942</v>
      </c>
      <c r="H3702" s="2" t="s">
        <v>24526</v>
      </c>
      <c r="I3702" s="2"/>
      <c r="J3702" s="2"/>
      <c r="K3702" s="2">
        <v>9955469</v>
      </c>
      <c r="L3702" s="2"/>
      <c r="M3702" s="2"/>
      <c r="N3702" s="2"/>
      <c r="O3702" s="2"/>
      <c r="P3702" s="2"/>
      <c r="Q3702" s="2"/>
      <c r="R3702" s="2"/>
      <c r="S3702" s="2" t="s">
        <v>24527</v>
      </c>
      <c r="T3702" s="2" t="s">
        <v>24528</v>
      </c>
      <c r="U3702" s="2" t="s">
        <v>610</v>
      </c>
      <c r="V3702" s="2" t="s">
        <v>611</v>
      </c>
      <c r="W3702" s="2" t="s">
        <v>1122</v>
      </c>
      <c r="X3702" s="2" t="s">
        <v>147</v>
      </c>
      <c r="Y3702" s="2">
        <v>37.6</v>
      </c>
      <c r="Z3702" s="2">
        <v>0</v>
      </c>
      <c r="AA3702" s="2" t="s">
        <v>379</v>
      </c>
      <c r="AB3702" s="2" t="s">
        <v>24529</v>
      </c>
      <c r="AC3702" s="2">
        <v>-1.27524349266505</v>
      </c>
      <c r="AD3702" s="2"/>
      <c r="AE3702" s="2">
        <v>0.144805570066947</v>
      </c>
      <c r="AF3702" s="2">
        <v>4698.5999318739896</v>
      </c>
      <c r="AG3702" s="2">
        <v>3637.2710970971498</v>
      </c>
      <c r="AH3702" s="5">
        <v>1.2917926122207</v>
      </c>
      <c r="AI3702" s="5">
        <v>0.36937447457022199</v>
      </c>
      <c r="AJ3702" s="5" t="s">
        <v>139</v>
      </c>
      <c r="AK3702" s="2">
        <v>0.38932501869038899</v>
      </c>
      <c r="AL3702" s="2">
        <v>0.66425053006551105</v>
      </c>
      <c r="AM3702" s="2">
        <v>3762.9929090989199</v>
      </c>
      <c r="AN3702" s="2">
        <v>5015.8325746220999</v>
      </c>
      <c r="AO3702" s="2">
        <v>4524.8780535035303</v>
      </c>
      <c r="AP3702" s="2">
        <v>4773.2702135238396</v>
      </c>
      <c r="AQ3702" s="2">
        <v>5194.1081714521397</v>
      </c>
      <c r="AR3702" s="2">
        <v>4920.51766904343</v>
      </c>
      <c r="AS3702" s="2">
        <v>6824.1960917889801</v>
      </c>
      <c r="AT3702" s="2">
        <v>7571.3551341008997</v>
      </c>
      <c r="AU3702" s="2">
        <v>3089.3766403681302</v>
      </c>
      <c r="AV3702" s="2">
        <v>1390.29860204736</v>
      </c>
      <c r="AW3702" s="2">
        <v>1273.2984806760201</v>
      </c>
      <c r="AX3702" s="2">
        <v>1675.10163360151</v>
      </c>
    </row>
    <row r="3703" spans="1:50" x14ac:dyDescent="0.25">
      <c r="A3703" s="2" t="s">
        <v>24530</v>
      </c>
      <c r="B3703" s="2">
        <v>185.021372759065</v>
      </c>
      <c r="C3703" s="2">
        <v>0.70636666666666703</v>
      </c>
      <c r="D3703" s="2" t="s">
        <v>51</v>
      </c>
      <c r="E3703" s="2" t="s">
        <v>24531</v>
      </c>
      <c r="F3703" s="2">
        <v>212637</v>
      </c>
      <c r="G3703" s="3" t="str">
        <f>HYPERLINK("https://cloud.oebiotech.com/#/lm/network/212637", "https://cloud.oebiotech.com/#/lm/network/212637")</f>
        <v>https://cloud.oebiotech.com/#/lm/network/212637</v>
      </c>
      <c r="H3703" s="2" t="s">
        <v>24532</v>
      </c>
      <c r="I3703" s="2"/>
      <c r="J3703" s="2"/>
      <c r="K3703" s="2"/>
      <c r="L3703" s="2"/>
      <c r="M3703" s="2"/>
      <c r="N3703" s="2"/>
      <c r="O3703" s="2">
        <v>46324</v>
      </c>
      <c r="P3703" s="2"/>
      <c r="Q3703" s="2"/>
      <c r="R3703" s="2"/>
      <c r="S3703" s="2" t="s">
        <v>24533</v>
      </c>
      <c r="T3703" s="2" t="s">
        <v>24534</v>
      </c>
      <c r="U3703" s="2" t="s">
        <v>103</v>
      </c>
      <c r="V3703" s="2" t="s">
        <v>1567</v>
      </c>
      <c r="W3703" s="2" t="s">
        <v>1568</v>
      </c>
      <c r="X3703" s="2" t="s">
        <v>147</v>
      </c>
      <c r="Y3703" s="2">
        <v>38</v>
      </c>
      <c r="Z3703" s="2">
        <v>0</v>
      </c>
      <c r="AA3703" s="2" t="s">
        <v>218</v>
      </c>
      <c r="AB3703" s="2" t="s">
        <v>24535</v>
      </c>
      <c r="AC3703" s="2">
        <v>-4.8242340660833198</v>
      </c>
      <c r="AD3703" s="2"/>
      <c r="AE3703" s="2">
        <v>0.144789903988609</v>
      </c>
      <c r="AF3703" s="2">
        <v>4490.4516938585402</v>
      </c>
      <c r="AG3703" s="2">
        <v>2964.12971745911</v>
      </c>
      <c r="AH3703" s="5">
        <v>1.51493089773001</v>
      </c>
      <c r="AI3703" s="5">
        <v>0.59925198790554701</v>
      </c>
      <c r="AJ3703" s="5" t="s">
        <v>139</v>
      </c>
      <c r="AK3703" s="2">
        <v>0.45809341972117401</v>
      </c>
      <c r="AL3703" s="2">
        <v>0.70873397123624904</v>
      </c>
      <c r="AM3703" s="2">
        <v>3666.6156339382201</v>
      </c>
      <c r="AN3703" s="2">
        <v>1634.2209739101299</v>
      </c>
      <c r="AO3703" s="2">
        <v>1251.3748446370701</v>
      </c>
      <c r="AP3703" s="2">
        <v>4089.6011170097599</v>
      </c>
      <c r="AQ3703" s="2">
        <v>12985.422307630901</v>
      </c>
      <c r="AR3703" s="2">
        <v>3315.4752860251701</v>
      </c>
      <c r="AS3703" s="2">
        <v>869.04296712746498</v>
      </c>
      <c r="AT3703" s="2">
        <v>6358.7882477749599</v>
      </c>
      <c r="AU3703" s="2">
        <v>4502.0442701154298</v>
      </c>
      <c r="AV3703" s="2">
        <v>3480.7133212234698</v>
      </c>
      <c r="AW3703" s="2">
        <v>1032.3693589291199</v>
      </c>
      <c r="AX3703" s="2">
        <v>1541.82013958424</v>
      </c>
    </row>
    <row r="3704" spans="1:50" x14ac:dyDescent="0.25">
      <c r="A3704" s="2" t="s">
        <v>24536</v>
      </c>
      <c r="B3704" s="2">
        <v>518.99023291999697</v>
      </c>
      <c r="C3704" s="2">
        <v>10.329216666666699</v>
      </c>
      <c r="D3704" s="2" t="s">
        <v>51</v>
      </c>
      <c r="E3704" s="2" t="s">
        <v>24537</v>
      </c>
      <c r="F3704" s="2">
        <v>197108</v>
      </c>
      <c r="G3704" s="3" t="str">
        <f>HYPERLINK("https://cloud.oebiotech.com/#/lm/network/197108", "https://cloud.oebiotech.com/#/lm/network/197108")</f>
        <v>https://cloud.oebiotech.com/#/lm/network/197108</v>
      </c>
      <c r="H3704" s="2" t="s">
        <v>24538</v>
      </c>
      <c r="I3704" s="2"/>
      <c r="J3704" s="2"/>
      <c r="K3704" s="2"/>
      <c r="L3704" s="2"/>
      <c r="M3704" s="2"/>
      <c r="N3704" s="2"/>
      <c r="O3704" s="2"/>
      <c r="P3704" s="2"/>
      <c r="Q3704" s="2"/>
      <c r="R3704" s="2"/>
      <c r="S3704" s="2" t="s">
        <v>24539</v>
      </c>
      <c r="T3704" s="2" t="s">
        <v>24540</v>
      </c>
      <c r="U3704" s="2" t="s">
        <v>540</v>
      </c>
      <c r="V3704" s="2" t="s">
        <v>3291</v>
      </c>
      <c r="W3704" s="2" t="s">
        <v>3292</v>
      </c>
      <c r="X3704" s="2" t="s">
        <v>147</v>
      </c>
      <c r="Y3704" s="2">
        <v>37.4</v>
      </c>
      <c r="Z3704" s="2">
        <v>0</v>
      </c>
      <c r="AA3704" s="2" t="s">
        <v>478</v>
      </c>
      <c r="AB3704" s="2" t="s">
        <v>24541</v>
      </c>
      <c r="AC3704" s="2">
        <v>-1.22661006940852</v>
      </c>
      <c r="AD3704" s="2"/>
      <c r="AE3704" s="2">
        <v>0.14476265879322001</v>
      </c>
      <c r="AF3704" s="2">
        <v>7170.9162472862299</v>
      </c>
      <c r="AG3704" s="2">
        <v>8002.6589814261497</v>
      </c>
      <c r="AH3704" s="4">
        <v>0.89606670282085499</v>
      </c>
      <c r="AI3704" s="4">
        <v>-0.158321965007336</v>
      </c>
      <c r="AJ3704" s="4" t="s">
        <v>62</v>
      </c>
      <c r="AK3704" s="2">
        <v>0.24803484471280299</v>
      </c>
      <c r="AL3704" s="2">
        <v>0.57143301244078704</v>
      </c>
      <c r="AM3704" s="2">
        <v>6407.0029236014398</v>
      </c>
      <c r="AN3704" s="2">
        <v>6060.0579566510196</v>
      </c>
      <c r="AO3704" s="2">
        <v>9104.50501667139</v>
      </c>
      <c r="AP3704" s="2">
        <v>7155.6911253825801</v>
      </c>
      <c r="AQ3704" s="2">
        <v>7243.0034004018999</v>
      </c>
      <c r="AR3704" s="2">
        <v>7055.2370610090602</v>
      </c>
      <c r="AS3704" s="2">
        <v>9875.1340193584892</v>
      </c>
      <c r="AT3704" s="2">
        <v>8651.0132473154408</v>
      </c>
      <c r="AU3704" s="2">
        <v>6694.6431073254998</v>
      </c>
      <c r="AV3704" s="2">
        <v>8753.1772896771308</v>
      </c>
      <c r="AW3704" s="2">
        <v>6810.3707277207404</v>
      </c>
      <c r="AX3704" s="2">
        <v>7231.6154971596197</v>
      </c>
    </row>
    <row r="3705" spans="1:50" x14ac:dyDescent="0.25">
      <c r="A3705" s="2" t="s">
        <v>24542</v>
      </c>
      <c r="B3705" s="2">
        <v>281.15067518134703</v>
      </c>
      <c r="C3705" s="2">
        <v>2.7461166666666701</v>
      </c>
      <c r="D3705" s="2" t="s">
        <v>51</v>
      </c>
      <c r="E3705" s="2" t="s">
        <v>24543</v>
      </c>
      <c r="F3705" s="2">
        <v>54129</v>
      </c>
      <c r="G3705" s="3" t="str">
        <f>HYPERLINK("https://cloud.oebiotech.com/#/lm/network/54129", "https://cloud.oebiotech.com/#/lm/network/54129")</f>
        <v>https://cloud.oebiotech.com/#/lm/network/54129</v>
      </c>
      <c r="H3705" s="2" t="s">
        <v>24544</v>
      </c>
      <c r="I3705" s="2"/>
      <c r="J3705" s="2"/>
      <c r="K3705" s="2">
        <v>14767562</v>
      </c>
      <c r="L3705" s="2"/>
      <c r="M3705" s="2"/>
      <c r="N3705" s="2"/>
      <c r="O3705" s="2"/>
      <c r="P3705" s="2"/>
      <c r="Q3705" s="2"/>
      <c r="R3705" s="2"/>
      <c r="S3705" s="2" t="s">
        <v>24545</v>
      </c>
      <c r="T3705" s="2" t="s">
        <v>24546</v>
      </c>
      <c r="U3705" s="2" t="s">
        <v>103</v>
      </c>
      <c r="V3705" s="2" t="s">
        <v>104</v>
      </c>
      <c r="W3705" s="2" t="s">
        <v>105</v>
      </c>
      <c r="X3705" s="2" t="s">
        <v>147</v>
      </c>
      <c r="Y3705" s="2">
        <v>43</v>
      </c>
      <c r="Z3705" s="2">
        <v>21.5</v>
      </c>
      <c r="AA3705" s="2" t="s">
        <v>259</v>
      </c>
      <c r="AB3705" s="2" t="s">
        <v>24547</v>
      </c>
      <c r="AC3705" s="2">
        <v>3.8966627987111702</v>
      </c>
      <c r="AD3705" s="2"/>
      <c r="AE3705" s="2">
        <v>0.144739858062539</v>
      </c>
      <c r="AF3705" s="2">
        <v>35941.231752706</v>
      </c>
      <c r="AG3705" s="2">
        <v>32416.427321458799</v>
      </c>
      <c r="AH3705" s="5">
        <v>1.10873512976286</v>
      </c>
      <c r="AI3705" s="5">
        <v>0.14891475538429799</v>
      </c>
      <c r="AJ3705" s="5" t="s">
        <v>139</v>
      </c>
      <c r="AK3705" s="2">
        <v>0.78654718298014503</v>
      </c>
      <c r="AL3705" s="2">
        <v>0.90579760595838199</v>
      </c>
      <c r="AM3705" s="2">
        <v>47963.497623534298</v>
      </c>
      <c r="AN3705" s="2">
        <v>17003.400697767302</v>
      </c>
      <c r="AO3705" s="2">
        <v>42743.054939912901</v>
      </c>
      <c r="AP3705" s="2">
        <v>39355.758386433299</v>
      </c>
      <c r="AQ3705" s="2">
        <v>36875.137150995797</v>
      </c>
      <c r="AR3705" s="2">
        <v>31706.541717592401</v>
      </c>
      <c r="AS3705" s="2">
        <v>930.62012274564495</v>
      </c>
      <c r="AT3705" s="2">
        <v>5176.3394806223196</v>
      </c>
      <c r="AU3705" s="2">
        <v>64513.3955068207</v>
      </c>
      <c r="AV3705" s="2">
        <v>69219.623908336798</v>
      </c>
      <c r="AW3705" s="2">
        <v>21535.649555126402</v>
      </c>
      <c r="AX3705" s="2">
        <v>33122.935355100701</v>
      </c>
    </row>
    <row r="3706" spans="1:50" x14ac:dyDescent="0.25">
      <c r="A3706" s="2" t="s">
        <v>24548</v>
      </c>
      <c r="B3706" s="2">
        <v>465.35887315699102</v>
      </c>
      <c r="C3706" s="2">
        <v>12.708216666666701</v>
      </c>
      <c r="D3706" s="2" t="s">
        <v>51</v>
      </c>
      <c r="E3706" s="2" t="s">
        <v>24549</v>
      </c>
      <c r="F3706" s="2">
        <v>62739</v>
      </c>
      <c r="G3706" s="3" t="str">
        <f>HYPERLINK("https://cloud.oebiotech.com/#/lm/network/62739", "https://cloud.oebiotech.com/#/lm/network/62739")</f>
        <v>https://cloud.oebiotech.com/#/lm/network/62739</v>
      </c>
      <c r="H3706" s="2" t="s">
        <v>24550</v>
      </c>
      <c r="I3706" s="2">
        <v>94035</v>
      </c>
      <c r="J3706" s="2"/>
      <c r="K3706" s="2">
        <v>2117</v>
      </c>
      <c r="L3706" s="2"/>
      <c r="M3706" s="2"/>
      <c r="N3706" s="2"/>
      <c r="O3706" s="2"/>
      <c r="P3706" s="2"/>
      <c r="Q3706" s="2"/>
      <c r="R3706" s="2" t="s">
        <v>24551</v>
      </c>
      <c r="S3706" s="2" t="s">
        <v>24552</v>
      </c>
      <c r="T3706" s="2" t="s">
        <v>24553</v>
      </c>
      <c r="U3706" s="2" t="s">
        <v>56</v>
      </c>
      <c r="V3706" s="2" t="s">
        <v>283</v>
      </c>
      <c r="W3706" s="2" t="s">
        <v>2042</v>
      </c>
      <c r="X3706" s="2" t="s">
        <v>83</v>
      </c>
      <c r="Y3706" s="2">
        <v>43.2</v>
      </c>
      <c r="Z3706" s="2">
        <v>0</v>
      </c>
      <c r="AA3706" s="2" t="s">
        <v>218</v>
      </c>
      <c r="AB3706" s="2" t="s">
        <v>7874</v>
      </c>
      <c r="AC3706" s="2">
        <v>0.77288201610209295</v>
      </c>
      <c r="AD3706" s="2"/>
      <c r="AE3706" s="2">
        <v>0.144411915717849</v>
      </c>
      <c r="AF3706" s="2">
        <v>58280.151653614303</v>
      </c>
      <c r="AG3706" s="2">
        <v>54272.936312754697</v>
      </c>
      <c r="AH3706" s="5">
        <v>1.0738345041397299</v>
      </c>
      <c r="AI3706" s="5">
        <v>0.10277166701568401</v>
      </c>
      <c r="AJ3706" s="5" t="s">
        <v>139</v>
      </c>
      <c r="AK3706" s="2">
        <v>0.69369503709991998</v>
      </c>
      <c r="AL3706" s="2">
        <v>0.85292768716358003</v>
      </c>
      <c r="AM3706" s="2">
        <v>44490.574835240797</v>
      </c>
      <c r="AN3706" s="2">
        <v>58692.355372053702</v>
      </c>
      <c r="AO3706" s="2">
        <v>62192.858515049098</v>
      </c>
      <c r="AP3706" s="2">
        <v>80811.254953150506</v>
      </c>
      <c r="AQ3706" s="2">
        <v>62402.6938796049</v>
      </c>
      <c r="AR3706" s="2">
        <v>41091.172366586798</v>
      </c>
      <c r="AS3706" s="2">
        <v>37358.440312644001</v>
      </c>
      <c r="AT3706" s="2">
        <v>68465.659568589297</v>
      </c>
      <c r="AU3706" s="2">
        <v>56006.150830147402</v>
      </c>
      <c r="AV3706" s="2">
        <v>26768.261989709899</v>
      </c>
      <c r="AW3706" s="2">
        <v>79742.668761049295</v>
      </c>
      <c r="AX3706" s="2">
        <v>57296.436414388198</v>
      </c>
    </row>
    <row r="3707" spans="1:50" x14ac:dyDescent="0.25">
      <c r="A3707" s="2" t="s">
        <v>24554</v>
      </c>
      <c r="B3707" s="2">
        <v>221.09278852434301</v>
      </c>
      <c r="C3707" s="2">
        <v>1.1502333333333301</v>
      </c>
      <c r="D3707" s="2" t="s">
        <v>51</v>
      </c>
      <c r="E3707" s="2" t="s">
        <v>24555</v>
      </c>
      <c r="F3707" s="2">
        <v>212726</v>
      </c>
      <c r="G3707" s="3" t="str">
        <f>HYPERLINK("https://cloud.oebiotech.com/#/lm/network/212726", "https://cloud.oebiotech.com/#/lm/network/212726")</f>
        <v>https://cloud.oebiotech.com/#/lm/network/212726</v>
      </c>
      <c r="H3707" s="2" t="s">
        <v>24556</v>
      </c>
      <c r="I3707" s="2"/>
      <c r="J3707" s="2"/>
      <c r="K3707" s="2">
        <v>259323</v>
      </c>
      <c r="L3707" s="2"/>
      <c r="M3707" s="2"/>
      <c r="N3707" s="2"/>
      <c r="O3707" s="2"/>
      <c r="P3707" s="2"/>
      <c r="Q3707" s="2"/>
      <c r="R3707" s="2"/>
      <c r="S3707" s="2" t="s">
        <v>24557</v>
      </c>
      <c r="T3707" s="2" t="s">
        <v>24558</v>
      </c>
      <c r="U3707" s="2" t="s">
        <v>103</v>
      </c>
      <c r="V3707" s="2" t="s">
        <v>104</v>
      </c>
      <c r="W3707" s="2" t="s">
        <v>105</v>
      </c>
      <c r="X3707" s="2" t="s">
        <v>69</v>
      </c>
      <c r="Y3707" s="2">
        <v>59.5</v>
      </c>
      <c r="Z3707" s="2">
        <v>82.2</v>
      </c>
      <c r="AA3707" s="2" t="s">
        <v>156</v>
      </c>
      <c r="AB3707" s="2" t="s">
        <v>17856</v>
      </c>
      <c r="AC3707" s="2">
        <v>3.0233160865154698</v>
      </c>
      <c r="AD3707" s="2"/>
      <c r="AE3707" s="2">
        <v>0.14439844737872001</v>
      </c>
      <c r="AF3707" s="2">
        <v>7941.7119703490498</v>
      </c>
      <c r="AG3707" s="2">
        <v>6995.6979078744498</v>
      </c>
      <c r="AH3707" s="5">
        <v>1.13522797509735</v>
      </c>
      <c r="AI3707" s="5">
        <v>0.18298204686920699</v>
      </c>
      <c r="AJ3707" s="5" t="s">
        <v>139</v>
      </c>
      <c r="AK3707" s="2">
        <v>0.46979690080924102</v>
      </c>
      <c r="AL3707" s="2">
        <v>0.71682965821240396</v>
      </c>
      <c r="AM3707" s="2">
        <v>8279.8264712578693</v>
      </c>
      <c r="AN3707" s="2">
        <v>10903.980781002499</v>
      </c>
      <c r="AO3707" s="2">
        <v>5554.9273257101804</v>
      </c>
      <c r="AP3707" s="2">
        <v>7299.9505367749198</v>
      </c>
      <c r="AQ3707" s="2">
        <v>8855.7196715584305</v>
      </c>
      <c r="AR3707" s="2">
        <v>6755.8670357904102</v>
      </c>
      <c r="AS3707" s="2">
        <v>6992.5166724011797</v>
      </c>
      <c r="AT3707" s="2">
        <v>6006.8305009959004</v>
      </c>
      <c r="AU3707" s="2">
        <v>10675.6400236013</v>
      </c>
      <c r="AV3707" s="2">
        <v>5357.57746046997</v>
      </c>
      <c r="AW3707" s="2">
        <v>3963.3957486926802</v>
      </c>
      <c r="AX3707" s="2">
        <v>8978.2270410856909</v>
      </c>
    </row>
    <row r="3708" spans="1:50" x14ac:dyDescent="0.25">
      <c r="A3708" s="2" t="s">
        <v>24559</v>
      </c>
      <c r="B3708" s="2">
        <v>221.982887574497</v>
      </c>
      <c r="C3708" s="2">
        <v>1.2315833333333299</v>
      </c>
      <c r="D3708" s="2" t="s">
        <v>51</v>
      </c>
      <c r="E3708" s="2" t="s">
        <v>24560</v>
      </c>
      <c r="F3708" s="2">
        <v>200691</v>
      </c>
      <c r="G3708" s="3" t="str">
        <f>HYPERLINK("https://cloud.oebiotech.com/#/lm/network/200691", "https://cloud.oebiotech.com/#/lm/network/200691")</f>
        <v>https://cloud.oebiotech.com/#/lm/network/200691</v>
      </c>
      <c r="H3708" s="2" t="s">
        <v>24561</v>
      </c>
      <c r="I3708" s="2"/>
      <c r="J3708" s="2"/>
      <c r="K3708" s="2">
        <v>123648</v>
      </c>
      <c r="L3708" s="2"/>
      <c r="M3708" s="2"/>
      <c r="N3708" s="2"/>
      <c r="O3708" s="2"/>
      <c r="P3708" s="2"/>
      <c r="Q3708" s="2"/>
      <c r="R3708" s="2"/>
      <c r="S3708" s="2" t="s">
        <v>24562</v>
      </c>
      <c r="T3708" s="2" t="s">
        <v>24563</v>
      </c>
      <c r="U3708" s="2" t="s">
        <v>610</v>
      </c>
      <c r="V3708" s="2" t="s">
        <v>611</v>
      </c>
      <c r="W3708" s="2" t="s">
        <v>1122</v>
      </c>
      <c r="X3708" s="2" t="s">
        <v>147</v>
      </c>
      <c r="Y3708" s="2">
        <v>37.299999999999997</v>
      </c>
      <c r="Z3708" s="2">
        <v>0</v>
      </c>
      <c r="AA3708" s="2" t="s">
        <v>95</v>
      </c>
      <c r="AB3708" s="2" t="s">
        <v>24564</v>
      </c>
      <c r="AC3708" s="2">
        <v>-1.3153611995475301</v>
      </c>
      <c r="AD3708" s="2"/>
      <c r="AE3708" s="2">
        <v>0.14430815406175401</v>
      </c>
      <c r="AF3708" s="2">
        <v>5505.56807426461</v>
      </c>
      <c r="AG3708" s="2">
        <v>6791.1160603917197</v>
      </c>
      <c r="AH3708" s="4">
        <v>0.81070151434682602</v>
      </c>
      <c r="AI3708" s="4">
        <v>-0.30275725693782402</v>
      </c>
      <c r="AJ3708" s="4" t="s">
        <v>62</v>
      </c>
      <c r="AK3708" s="2">
        <v>0.66364151719344999</v>
      </c>
      <c r="AL3708" s="2">
        <v>0.83663677386975799</v>
      </c>
      <c r="AM3708" s="2">
        <v>1229.3619351910099</v>
      </c>
      <c r="AN3708" s="2">
        <v>4338.78971849973</v>
      </c>
      <c r="AO3708" s="2">
        <v>15785.200374184</v>
      </c>
      <c r="AP3708" s="2">
        <v>3501.2717938912001</v>
      </c>
      <c r="AQ3708" s="2">
        <v>5149.7494312863801</v>
      </c>
      <c r="AR3708" s="2">
        <v>3029.0351925353698</v>
      </c>
      <c r="AS3708" s="2">
        <v>2997.9678903885901</v>
      </c>
      <c r="AT3708" s="2">
        <v>3070.18935163879</v>
      </c>
      <c r="AU3708" s="2">
        <v>1874.3186335969101</v>
      </c>
      <c r="AV3708" s="2">
        <v>11125.9249633359</v>
      </c>
      <c r="AW3708" s="2">
        <v>12757.706851000499</v>
      </c>
      <c r="AX3708" s="2">
        <v>8920.5886723896201</v>
      </c>
    </row>
    <row r="3709" spans="1:50" x14ac:dyDescent="0.25">
      <c r="A3709" s="2" t="s">
        <v>24565</v>
      </c>
      <c r="B3709" s="2">
        <v>242.175851972419</v>
      </c>
      <c r="C3709" s="2">
        <v>8.4576166666666701</v>
      </c>
      <c r="D3709" s="2" t="s">
        <v>51</v>
      </c>
      <c r="E3709" s="2" t="s">
        <v>24566</v>
      </c>
      <c r="F3709" s="2">
        <v>60852</v>
      </c>
      <c r="G3709" s="3" t="str">
        <f>HYPERLINK("https://cloud.oebiotech.com/#/lm/network/60852", "https://cloud.oebiotech.com/#/lm/network/60852")</f>
        <v>https://cloud.oebiotech.com/#/lm/network/60852</v>
      </c>
      <c r="H3709" s="2" t="s">
        <v>24567</v>
      </c>
      <c r="I3709" s="2">
        <v>92205</v>
      </c>
      <c r="J3709" s="2"/>
      <c r="K3709" s="2">
        <v>73232471</v>
      </c>
      <c r="L3709" s="2"/>
      <c r="M3709" s="2"/>
      <c r="N3709" s="2"/>
      <c r="O3709" s="2">
        <v>138761</v>
      </c>
      <c r="P3709" s="2"/>
      <c r="Q3709" s="2"/>
      <c r="R3709" s="2" t="s">
        <v>24568</v>
      </c>
      <c r="S3709" s="2" t="s">
        <v>24569</v>
      </c>
      <c r="T3709" s="2" t="s">
        <v>24570</v>
      </c>
      <c r="U3709" s="2" t="s">
        <v>266</v>
      </c>
      <c r="V3709" s="2" t="s">
        <v>3994</v>
      </c>
      <c r="W3709" s="2" t="s">
        <v>3995</v>
      </c>
      <c r="X3709" s="2" t="s">
        <v>147</v>
      </c>
      <c r="Y3709" s="2">
        <v>43.9</v>
      </c>
      <c r="Z3709" s="2">
        <v>30.7</v>
      </c>
      <c r="AA3709" s="2" t="s">
        <v>512</v>
      </c>
      <c r="AB3709" s="2" t="s">
        <v>14864</v>
      </c>
      <c r="AC3709" s="2">
        <v>3.4886142458606901</v>
      </c>
      <c r="AD3709" s="2"/>
      <c r="AE3709" s="2">
        <v>0.14427741401564301</v>
      </c>
      <c r="AF3709" s="2">
        <v>7066.3524904094802</v>
      </c>
      <c r="AG3709" s="2">
        <v>6043.0545642994102</v>
      </c>
      <c r="AH3709" s="5">
        <v>1.1693345501388299</v>
      </c>
      <c r="AI3709" s="5">
        <v>0.225687748325756</v>
      </c>
      <c r="AJ3709" s="5" t="s">
        <v>139</v>
      </c>
      <c r="AK3709" s="2">
        <v>0.51858399971267899</v>
      </c>
      <c r="AL3709" s="2">
        <v>0.75026446765847998</v>
      </c>
      <c r="AM3709" s="2">
        <v>8066.17371562061</v>
      </c>
      <c r="AN3709" s="2">
        <v>9163.08627249645</v>
      </c>
      <c r="AO3709" s="2">
        <v>6418.73993047558</v>
      </c>
      <c r="AP3709" s="2">
        <v>7998.4220427423697</v>
      </c>
      <c r="AQ3709" s="2">
        <v>4453.9658738190201</v>
      </c>
      <c r="AR3709" s="2">
        <v>6297.7271073028296</v>
      </c>
      <c r="AS3709" s="2">
        <v>2694.9141088235801</v>
      </c>
      <c r="AT3709" s="2">
        <v>4011.3342073580102</v>
      </c>
      <c r="AU3709" s="2">
        <v>11608.3149771933</v>
      </c>
      <c r="AV3709" s="2">
        <v>4143.5451634030997</v>
      </c>
      <c r="AW3709" s="2">
        <v>8430.3708511445802</v>
      </c>
      <c r="AX3709" s="2">
        <v>5369.8480778738704</v>
      </c>
    </row>
    <row r="3710" spans="1:50" x14ac:dyDescent="0.25">
      <c r="A3710" s="2" t="s">
        <v>24571</v>
      </c>
      <c r="B3710" s="2">
        <v>427.16349711810301</v>
      </c>
      <c r="C3710" s="2">
        <v>12.6872166666667</v>
      </c>
      <c r="D3710" s="2" t="s">
        <v>51</v>
      </c>
      <c r="E3710" s="2" t="s">
        <v>24572</v>
      </c>
      <c r="F3710" s="2">
        <v>205235</v>
      </c>
      <c r="G3710" s="3" t="str">
        <f>HYPERLINK("https://cloud.oebiotech.com/#/lm/network/205235", "https://cloud.oebiotech.com/#/lm/network/205235")</f>
        <v>https://cloud.oebiotech.com/#/lm/network/205235</v>
      </c>
      <c r="H3710" s="2" t="s">
        <v>24573</v>
      </c>
      <c r="I3710" s="2"/>
      <c r="J3710" s="2"/>
      <c r="K3710" s="2">
        <v>66550324</v>
      </c>
      <c r="L3710" s="2"/>
      <c r="M3710" s="2"/>
      <c r="N3710" s="2"/>
      <c r="O3710" s="2"/>
      <c r="P3710" s="2"/>
      <c r="Q3710" s="2"/>
      <c r="R3710" s="2"/>
      <c r="S3710" s="2" t="s">
        <v>24574</v>
      </c>
      <c r="T3710" s="2" t="s">
        <v>24575</v>
      </c>
      <c r="U3710" s="2" t="s">
        <v>540</v>
      </c>
      <c r="V3710" s="2" t="s">
        <v>2365</v>
      </c>
      <c r="W3710" s="2" t="s">
        <v>7571</v>
      </c>
      <c r="X3710" s="2" t="s">
        <v>147</v>
      </c>
      <c r="Y3710" s="2">
        <v>36.799999999999997</v>
      </c>
      <c r="Z3710" s="2">
        <v>0</v>
      </c>
      <c r="AA3710" s="2" t="s">
        <v>163</v>
      </c>
      <c r="AB3710" s="2" t="s">
        <v>24576</v>
      </c>
      <c r="AC3710" s="2">
        <v>-0.90873991698218604</v>
      </c>
      <c r="AD3710" s="2"/>
      <c r="AE3710" s="2">
        <v>0.14424205214868299</v>
      </c>
      <c r="AF3710" s="2">
        <v>4220.4902408704602</v>
      </c>
      <c r="AG3710" s="2">
        <v>5226.4332712028099</v>
      </c>
      <c r="AH3710" s="4">
        <v>0.807527815216736</v>
      </c>
      <c r="AI3710" s="4">
        <v>-0.30841614073513901</v>
      </c>
      <c r="AJ3710" s="4" t="s">
        <v>62</v>
      </c>
      <c r="AK3710" s="2">
        <v>0.155777903293222</v>
      </c>
      <c r="AL3710" s="2">
        <v>0.47702245628485002</v>
      </c>
      <c r="AM3710" s="2">
        <v>3928.9488865498502</v>
      </c>
      <c r="AN3710" s="2">
        <v>3726.3300314396902</v>
      </c>
      <c r="AO3710" s="2">
        <v>5413.3829976438101</v>
      </c>
      <c r="AP3710" s="2">
        <v>3110.13079313148</v>
      </c>
      <c r="AQ3710" s="2">
        <v>5224.4346617073197</v>
      </c>
      <c r="AR3710" s="2">
        <v>3919.7140747506301</v>
      </c>
      <c r="AS3710" s="2">
        <v>6080.6138971785904</v>
      </c>
      <c r="AT3710" s="2">
        <v>4275.5919526573198</v>
      </c>
      <c r="AU3710" s="2">
        <v>7303.3606117126201</v>
      </c>
      <c r="AV3710" s="2">
        <v>4907.2034923893498</v>
      </c>
      <c r="AW3710" s="2">
        <v>5223.7608182357799</v>
      </c>
      <c r="AX3710" s="2">
        <v>3568.0688550431901</v>
      </c>
    </row>
    <row r="3711" spans="1:50" x14ac:dyDescent="0.25">
      <c r="A3711" s="2" t="s">
        <v>24577</v>
      </c>
      <c r="B3711" s="2">
        <v>231.151121391092</v>
      </c>
      <c r="C3711" s="2">
        <v>13.668850000000001</v>
      </c>
      <c r="D3711" s="2" t="s">
        <v>51</v>
      </c>
      <c r="E3711" s="2" t="s">
        <v>24578</v>
      </c>
      <c r="F3711" s="2">
        <v>83354</v>
      </c>
      <c r="G3711" s="3" t="str">
        <f>HYPERLINK("https://cloud.oebiotech.com/#/lm/network/83354", "https://cloud.oebiotech.com/#/lm/network/83354")</f>
        <v>https://cloud.oebiotech.com/#/lm/network/83354</v>
      </c>
      <c r="H3711" s="2" t="s">
        <v>24579</v>
      </c>
      <c r="I3711" s="2"/>
      <c r="J3711" s="2"/>
      <c r="K3711" s="2">
        <v>572165</v>
      </c>
      <c r="L3711" s="2"/>
      <c r="M3711" s="2"/>
      <c r="N3711" s="2"/>
      <c r="O3711" s="2"/>
      <c r="P3711" s="2"/>
      <c r="Q3711" s="2"/>
      <c r="R3711" s="2"/>
      <c r="S3711" s="2" t="s">
        <v>24580</v>
      </c>
      <c r="T3711" s="2" t="s">
        <v>24581</v>
      </c>
      <c r="U3711" s="2" t="s">
        <v>56</v>
      </c>
      <c r="V3711" s="2" t="s">
        <v>177</v>
      </c>
      <c r="W3711" s="2" t="s">
        <v>584</v>
      </c>
      <c r="X3711" s="2" t="s">
        <v>147</v>
      </c>
      <c r="Y3711" s="2">
        <v>37</v>
      </c>
      <c r="Z3711" s="2">
        <v>0.26200000000000001</v>
      </c>
      <c r="AA3711" s="2" t="s">
        <v>395</v>
      </c>
      <c r="AB3711" s="2" t="s">
        <v>24582</v>
      </c>
      <c r="AC3711" s="2">
        <v>0.84574260750755303</v>
      </c>
      <c r="AD3711" s="2"/>
      <c r="AE3711" s="2">
        <v>0.14411847456472501</v>
      </c>
      <c r="AF3711" s="2">
        <v>6504.8253686132302</v>
      </c>
      <c r="AG3711" s="2">
        <v>4215.6847126716002</v>
      </c>
      <c r="AH3711" s="5">
        <v>1.54300565909516</v>
      </c>
      <c r="AI3711" s="5">
        <v>0.62574335311639195</v>
      </c>
      <c r="AJ3711" s="5" t="s">
        <v>139</v>
      </c>
      <c r="AK3711" s="2">
        <v>0.64224437149607505</v>
      </c>
      <c r="AL3711" s="2">
        <v>0.82532572155242401</v>
      </c>
      <c r="AM3711" s="2">
        <v>257.29405994479202</v>
      </c>
      <c r="AN3711" s="2">
        <v>8.559877937157E-6</v>
      </c>
      <c r="AO3711" s="2">
        <v>18477.787218273901</v>
      </c>
      <c r="AP3711" s="2">
        <v>911.42503925455696</v>
      </c>
      <c r="AQ3711" s="2">
        <v>19265.766979205</v>
      </c>
      <c r="AR3711" s="2">
        <v>116.678906441249</v>
      </c>
      <c r="AS3711" s="2">
        <v>10168.6294871216</v>
      </c>
      <c r="AT3711" s="2">
        <v>8.559877937157E-6</v>
      </c>
      <c r="AU3711" s="2">
        <v>15125.4787546685</v>
      </c>
      <c r="AV3711" s="2">
        <v>8.559877937157E-6</v>
      </c>
      <c r="AW3711" s="2">
        <v>8.559877937157E-6</v>
      </c>
      <c r="AX3711" s="2">
        <v>8.559877937157E-6</v>
      </c>
    </row>
    <row r="3712" spans="1:50" x14ac:dyDescent="0.25">
      <c r="A3712" s="2" t="s">
        <v>24583</v>
      </c>
      <c r="B3712" s="2">
        <v>286.06006626703601</v>
      </c>
      <c r="C3712" s="2">
        <v>0.69093333333333296</v>
      </c>
      <c r="D3712" s="2" t="s">
        <v>51</v>
      </c>
      <c r="E3712" s="2" t="s">
        <v>24584</v>
      </c>
      <c r="F3712" s="2">
        <v>207780</v>
      </c>
      <c r="G3712" s="3" t="str">
        <f>HYPERLINK("https://cloud.oebiotech.com/#/lm/network/207780", "https://cloud.oebiotech.com/#/lm/network/207780")</f>
        <v>https://cloud.oebiotech.com/#/lm/network/207780</v>
      </c>
      <c r="H3712" s="2" t="s">
        <v>24585</v>
      </c>
      <c r="I3712" s="2">
        <v>412751</v>
      </c>
      <c r="J3712" s="2"/>
      <c r="K3712" s="2">
        <v>3699</v>
      </c>
      <c r="L3712" s="2"/>
      <c r="M3712" s="2"/>
      <c r="N3712" s="2"/>
      <c r="O3712" s="2"/>
      <c r="P3712" s="2"/>
      <c r="Q3712" s="2"/>
      <c r="R3712" s="2"/>
      <c r="S3712" s="2" t="s">
        <v>24586</v>
      </c>
      <c r="T3712" s="2" t="s">
        <v>24587</v>
      </c>
      <c r="U3712" s="2" t="s">
        <v>103</v>
      </c>
      <c r="V3712" s="2" t="s">
        <v>9072</v>
      </c>
      <c r="W3712" s="2" t="s">
        <v>9073</v>
      </c>
      <c r="X3712" s="2" t="s">
        <v>147</v>
      </c>
      <c r="Y3712" s="2">
        <v>36.799999999999997</v>
      </c>
      <c r="Z3712" s="2">
        <v>0</v>
      </c>
      <c r="AA3712" s="2" t="s">
        <v>163</v>
      </c>
      <c r="AB3712" s="2" t="s">
        <v>24588</v>
      </c>
      <c r="AC3712" s="2">
        <v>-4.9392084723811296</v>
      </c>
      <c r="AD3712" s="2"/>
      <c r="AE3712" s="2">
        <v>0.14399150288504101</v>
      </c>
      <c r="AF3712" s="2">
        <v>6756.6316240290498</v>
      </c>
      <c r="AG3712" s="2">
        <v>8093.9758312805598</v>
      </c>
      <c r="AH3712" s="4">
        <v>0.83477289342981398</v>
      </c>
      <c r="AI3712" s="4">
        <v>-0.26054434051959302</v>
      </c>
      <c r="AJ3712" s="4" t="s">
        <v>62</v>
      </c>
      <c r="AK3712" s="2">
        <v>0.68048902511085996</v>
      </c>
      <c r="AL3712" s="2">
        <v>0.84577964471019995</v>
      </c>
      <c r="AM3712" s="2">
        <v>8.559877937157E-6</v>
      </c>
      <c r="AN3712" s="2">
        <v>13489.127971321201</v>
      </c>
      <c r="AO3712" s="2">
        <v>6345.2952087727199</v>
      </c>
      <c r="AP3712" s="2">
        <v>2196.2014380011101</v>
      </c>
      <c r="AQ3712" s="2">
        <v>7173.3460142892</v>
      </c>
      <c r="AR3712" s="2">
        <v>11335.8191032302</v>
      </c>
      <c r="AS3712" s="2">
        <v>18077.012784058501</v>
      </c>
      <c r="AT3712" s="2">
        <v>9591.3674496425301</v>
      </c>
      <c r="AU3712" s="2">
        <v>449.93715048924003</v>
      </c>
      <c r="AV3712" s="2">
        <v>6791.3927254574601</v>
      </c>
      <c r="AW3712" s="2">
        <v>6731.95793785763</v>
      </c>
      <c r="AX3712" s="2">
        <v>6922.1869401779804</v>
      </c>
    </row>
    <row r="3713" spans="1:50" x14ac:dyDescent="0.25">
      <c r="A3713" s="2" t="s">
        <v>24589</v>
      </c>
      <c r="B3713" s="2">
        <v>198.18572993021999</v>
      </c>
      <c r="C3713" s="2">
        <v>11.89995</v>
      </c>
      <c r="D3713" s="2" t="s">
        <v>51</v>
      </c>
      <c r="E3713" s="2" t="s">
        <v>24590</v>
      </c>
      <c r="F3713" s="2">
        <v>6074</v>
      </c>
      <c r="G3713" s="3" t="str">
        <f>HYPERLINK("https://cloud.oebiotech.com/#/lm/network/6074", "https://cloud.oebiotech.com/#/lm/network/6074")</f>
        <v>https://cloud.oebiotech.com/#/lm/network/6074</v>
      </c>
      <c r="H3713" s="2"/>
      <c r="I3713" s="2">
        <v>46052</v>
      </c>
      <c r="J3713" s="2" t="s">
        <v>24591</v>
      </c>
      <c r="K3713" s="2">
        <v>5281129</v>
      </c>
      <c r="L3713" s="2" t="s">
        <v>24592</v>
      </c>
      <c r="M3713" s="2"/>
      <c r="N3713" s="2"/>
      <c r="O3713" s="2">
        <v>28627</v>
      </c>
      <c r="P3713" s="2"/>
      <c r="Q3713" s="2"/>
      <c r="R3713" s="2"/>
      <c r="S3713" s="2" t="s">
        <v>24593</v>
      </c>
      <c r="T3713" s="2" t="s">
        <v>24594</v>
      </c>
      <c r="U3713" s="2" t="s">
        <v>56</v>
      </c>
      <c r="V3713" s="2" t="s">
        <v>145</v>
      </c>
      <c r="W3713" s="2" t="s">
        <v>146</v>
      </c>
      <c r="X3713" s="2" t="s">
        <v>59</v>
      </c>
      <c r="Y3713" s="2">
        <v>52.4</v>
      </c>
      <c r="Z3713" s="2">
        <v>68.3</v>
      </c>
      <c r="AA3713" s="2" t="s">
        <v>3354</v>
      </c>
      <c r="AB3713" s="2" t="s">
        <v>8583</v>
      </c>
      <c r="AC3713" s="2">
        <v>2.7151563574644899</v>
      </c>
      <c r="AD3713" s="2"/>
      <c r="AE3713" s="2">
        <v>0.14386699784193699</v>
      </c>
      <c r="AF3713" s="2">
        <v>16089.0684299282</v>
      </c>
      <c r="AG3713" s="2">
        <v>20002.947212220701</v>
      </c>
      <c r="AH3713" s="4">
        <v>0.80433489421492199</v>
      </c>
      <c r="AI3713" s="4">
        <v>-0.31413178548998499</v>
      </c>
      <c r="AJ3713" s="4" t="s">
        <v>62</v>
      </c>
      <c r="AK3713" s="2">
        <v>0.81181666270395503</v>
      </c>
      <c r="AL3713" s="2">
        <v>0.91612916298676705</v>
      </c>
      <c r="AM3713" s="2">
        <v>873.59305389019096</v>
      </c>
      <c r="AN3713" s="2">
        <v>568.15293708030197</v>
      </c>
      <c r="AO3713" s="2">
        <v>49457.141035628098</v>
      </c>
      <c r="AP3713" s="2">
        <v>802.86727925418404</v>
      </c>
      <c r="AQ3713" s="2">
        <v>43558.046739911399</v>
      </c>
      <c r="AR3713" s="2">
        <v>1274.60953380511</v>
      </c>
      <c r="AS3713" s="2">
        <v>72494.515104565697</v>
      </c>
      <c r="AT3713" s="2">
        <v>331.50792966669599</v>
      </c>
      <c r="AU3713" s="2">
        <v>45161.452353077497</v>
      </c>
      <c r="AV3713" s="2">
        <v>1133.12038921716</v>
      </c>
      <c r="AW3713" s="2">
        <v>774.18957403894694</v>
      </c>
      <c r="AX3713" s="2">
        <v>122.89792275833101</v>
      </c>
    </row>
    <row r="3714" spans="1:50" x14ac:dyDescent="0.25">
      <c r="A3714" s="2" t="s">
        <v>24595</v>
      </c>
      <c r="B3714" s="2">
        <v>286.11515506463502</v>
      </c>
      <c r="C3714" s="2">
        <v>5.4531000000000001</v>
      </c>
      <c r="D3714" s="2" t="s">
        <v>51</v>
      </c>
      <c r="E3714" s="2" t="s">
        <v>24596</v>
      </c>
      <c r="F3714" s="2">
        <v>46834</v>
      </c>
      <c r="G3714" s="3" t="str">
        <f>HYPERLINK("https://cloud.oebiotech.com/#/lm/network/46834", "https://cloud.oebiotech.com/#/lm/network/46834")</f>
        <v>https://cloud.oebiotech.com/#/lm/network/46834</v>
      </c>
      <c r="H3714" s="2" t="s">
        <v>24597</v>
      </c>
      <c r="I3714" s="2">
        <v>5753</v>
      </c>
      <c r="J3714" s="2"/>
      <c r="K3714" s="2">
        <v>44257</v>
      </c>
      <c r="L3714" s="2" t="s">
        <v>24598</v>
      </c>
      <c r="M3714" s="2" t="s">
        <v>24599</v>
      </c>
      <c r="N3714" s="2" t="s">
        <v>24600</v>
      </c>
      <c r="O3714" s="2">
        <v>59560</v>
      </c>
      <c r="P3714" s="2"/>
      <c r="Q3714" s="2"/>
      <c r="R3714" s="2" t="s">
        <v>24601</v>
      </c>
      <c r="S3714" s="2" t="s">
        <v>24602</v>
      </c>
      <c r="T3714" s="2" t="s">
        <v>24603</v>
      </c>
      <c r="U3714" s="2" t="s">
        <v>266</v>
      </c>
      <c r="V3714" s="2" t="s">
        <v>13201</v>
      </c>
      <c r="W3714" s="2" t="s">
        <v>13202</v>
      </c>
      <c r="X3714" s="2" t="s">
        <v>147</v>
      </c>
      <c r="Y3714" s="2">
        <v>37.200000000000003</v>
      </c>
      <c r="Z3714" s="2">
        <v>0</v>
      </c>
      <c r="AA3714" s="2" t="s">
        <v>218</v>
      </c>
      <c r="AB3714" s="2" t="s">
        <v>24604</v>
      </c>
      <c r="AC3714" s="2">
        <v>-2.2278313213934999</v>
      </c>
      <c r="AD3714" s="2"/>
      <c r="AE3714" s="2">
        <v>0.14382808003002601</v>
      </c>
      <c r="AF3714" s="2">
        <v>365.54154478329002</v>
      </c>
      <c r="AG3714" s="2">
        <v>1534.16423583353</v>
      </c>
      <c r="AH3714" s="4">
        <v>0.23826754414248699</v>
      </c>
      <c r="AI3714" s="4">
        <v>-2.06934564815825</v>
      </c>
      <c r="AJ3714" s="4" t="s">
        <v>62</v>
      </c>
      <c r="AK3714" s="2">
        <v>0.17198061964771899</v>
      </c>
      <c r="AL3714" s="2">
        <v>0.49215166418631001</v>
      </c>
      <c r="AM3714" s="2">
        <v>188.16552834462499</v>
      </c>
      <c r="AN3714" s="2">
        <v>979.81947280027396</v>
      </c>
      <c r="AO3714" s="2">
        <v>158.18053389469401</v>
      </c>
      <c r="AP3714" s="2">
        <v>724.21104664569395</v>
      </c>
      <c r="AQ3714" s="2">
        <v>8.559877937157E-6</v>
      </c>
      <c r="AR3714" s="2">
        <v>142.87267845457501</v>
      </c>
      <c r="AS3714" s="2">
        <v>1570.91623977835</v>
      </c>
      <c r="AT3714" s="2">
        <v>5154.7217668964204</v>
      </c>
      <c r="AU3714" s="2">
        <v>85.692803217300394</v>
      </c>
      <c r="AV3714" s="2">
        <v>1629.90256093826</v>
      </c>
      <c r="AW3714" s="2">
        <v>763.75203561094702</v>
      </c>
      <c r="AX3714" s="2">
        <v>8.559877937157E-6</v>
      </c>
    </row>
    <row r="3715" spans="1:50" x14ac:dyDescent="0.25">
      <c r="A3715" s="2" t="s">
        <v>24605</v>
      </c>
      <c r="B3715" s="2">
        <v>602.26853155514198</v>
      </c>
      <c r="C3715" s="2">
        <v>4.16346666666667</v>
      </c>
      <c r="D3715" s="2" t="s">
        <v>51</v>
      </c>
      <c r="E3715" s="2" t="s">
        <v>24606</v>
      </c>
      <c r="F3715" s="2">
        <v>205885</v>
      </c>
      <c r="G3715" s="3" t="str">
        <f>HYPERLINK("https://cloud.oebiotech.com/#/lm/network/205885", "https://cloud.oebiotech.com/#/lm/network/205885")</f>
        <v>https://cloud.oebiotech.com/#/lm/network/205885</v>
      </c>
      <c r="H3715" s="2" t="s">
        <v>24607</v>
      </c>
      <c r="I3715" s="2"/>
      <c r="J3715" s="2"/>
      <c r="K3715" s="2"/>
      <c r="L3715" s="2"/>
      <c r="M3715" s="2"/>
      <c r="N3715" s="2"/>
      <c r="O3715" s="2"/>
      <c r="P3715" s="2"/>
      <c r="Q3715" s="2"/>
      <c r="R3715" s="2"/>
      <c r="S3715" s="2" t="s">
        <v>24608</v>
      </c>
      <c r="T3715" s="2" t="s">
        <v>24609</v>
      </c>
      <c r="U3715" s="2" t="s">
        <v>56</v>
      </c>
      <c r="V3715" s="2" t="s">
        <v>145</v>
      </c>
      <c r="W3715" s="2" t="s">
        <v>3263</v>
      </c>
      <c r="X3715" s="2" t="s">
        <v>147</v>
      </c>
      <c r="Y3715" s="2">
        <v>45.2</v>
      </c>
      <c r="Z3715" s="2">
        <v>39.299999999999997</v>
      </c>
      <c r="AA3715" s="2" t="s">
        <v>163</v>
      </c>
      <c r="AB3715" s="2" t="s">
        <v>24610</v>
      </c>
      <c r="AC3715" s="2">
        <v>3.2715263274973201</v>
      </c>
      <c r="AD3715" s="2"/>
      <c r="AE3715" s="2">
        <v>0.14373812322148</v>
      </c>
      <c r="AF3715" s="2">
        <v>2980.0907180520699</v>
      </c>
      <c r="AG3715" s="2">
        <v>5726.0096858520101</v>
      </c>
      <c r="AH3715" s="4">
        <v>0.52044807493346801</v>
      </c>
      <c r="AI3715" s="4">
        <v>-0.94217386176198503</v>
      </c>
      <c r="AJ3715" s="4" t="s">
        <v>62</v>
      </c>
      <c r="AK3715" s="2">
        <v>0.43690906735153001</v>
      </c>
      <c r="AL3715" s="2">
        <v>0.69389880990636499</v>
      </c>
      <c r="AM3715" s="2">
        <v>6162.8229479375996</v>
      </c>
      <c r="AN3715" s="2">
        <v>1133.2141877711199</v>
      </c>
      <c r="AO3715" s="2">
        <v>3443.90058650844</v>
      </c>
      <c r="AP3715" s="2">
        <v>2360.3176131018099</v>
      </c>
      <c r="AQ3715" s="2">
        <v>1772.5730686802101</v>
      </c>
      <c r="AR3715" s="2">
        <v>3007.7159043132401</v>
      </c>
      <c r="AS3715" s="2">
        <v>8.559877937157E-6</v>
      </c>
      <c r="AT3715" s="2">
        <v>1248.3908918182301</v>
      </c>
      <c r="AU3715" s="2">
        <v>19298.233036117301</v>
      </c>
      <c r="AV3715" s="2">
        <v>12273.4699048967</v>
      </c>
      <c r="AW3715" s="2">
        <v>395.39614354693703</v>
      </c>
      <c r="AX3715" s="2">
        <v>1140.5681301730001</v>
      </c>
    </row>
    <row r="3716" spans="1:50" x14ac:dyDescent="0.25">
      <c r="A3716" s="2" t="s">
        <v>24611</v>
      </c>
      <c r="B3716" s="2">
        <v>276.102088525483</v>
      </c>
      <c r="C3716" s="2">
        <v>0.74455000000000005</v>
      </c>
      <c r="D3716" s="2" t="s">
        <v>51</v>
      </c>
      <c r="E3716" s="2" t="s">
        <v>24612</v>
      </c>
      <c r="F3716" s="2">
        <v>53238</v>
      </c>
      <c r="G3716" s="3" t="str">
        <f>HYPERLINK("https://cloud.oebiotech.com/#/lm/network/53238", "https://cloud.oebiotech.com/#/lm/network/53238")</f>
        <v>https://cloud.oebiotech.com/#/lm/network/53238</v>
      </c>
      <c r="H3716" s="2" t="s">
        <v>24613</v>
      </c>
      <c r="I3716" s="2">
        <v>43288</v>
      </c>
      <c r="J3716" s="2"/>
      <c r="K3716" s="2">
        <v>4614</v>
      </c>
      <c r="L3716" s="2" t="s">
        <v>24614</v>
      </c>
      <c r="M3716" s="2"/>
      <c r="N3716" s="2"/>
      <c r="O3716" s="2">
        <v>7822</v>
      </c>
      <c r="P3716" s="2"/>
      <c r="Q3716" s="2"/>
      <c r="R3716" s="2" t="s">
        <v>24615</v>
      </c>
      <c r="S3716" s="2" t="s">
        <v>24616</v>
      </c>
      <c r="T3716" s="2" t="s">
        <v>24617</v>
      </c>
      <c r="U3716" s="2" t="s">
        <v>266</v>
      </c>
      <c r="V3716" s="2" t="s">
        <v>1585</v>
      </c>
      <c r="W3716" s="2" t="s">
        <v>14227</v>
      </c>
      <c r="X3716" s="2" t="s">
        <v>147</v>
      </c>
      <c r="Y3716" s="2">
        <v>36.1</v>
      </c>
      <c r="Z3716" s="2">
        <v>0</v>
      </c>
      <c r="AA3716" s="2" t="s">
        <v>156</v>
      </c>
      <c r="AB3716" s="2" t="s">
        <v>24618</v>
      </c>
      <c r="AC3716" s="2">
        <v>0.62581952417339504</v>
      </c>
      <c r="AD3716" s="2"/>
      <c r="AE3716" s="2">
        <v>0.14368245484147499</v>
      </c>
      <c r="AF3716" s="2">
        <v>17148.624464957102</v>
      </c>
      <c r="AG3716" s="2">
        <v>18642.6810808343</v>
      </c>
      <c r="AH3716" s="4">
        <v>0.91985827524490604</v>
      </c>
      <c r="AI3716" s="4">
        <v>-0.12051649605661199</v>
      </c>
      <c r="AJ3716" s="4" t="s">
        <v>62</v>
      </c>
      <c r="AK3716" s="2">
        <v>0.84369622418346102</v>
      </c>
      <c r="AL3716" s="2">
        <v>0.93063445423553803</v>
      </c>
      <c r="AM3716" s="2">
        <v>14619.1285769734</v>
      </c>
      <c r="AN3716" s="2">
        <v>15041.2717361381</v>
      </c>
      <c r="AO3716" s="2">
        <v>7267.7225885996804</v>
      </c>
      <c r="AP3716" s="2">
        <v>49420.045091493601</v>
      </c>
      <c r="AQ3716" s="2">
        <v>5920.0763540604103</v>
      </c>
      <c r="AR3716" s="2">
        <v>10623.5024424773</v>
      </c>
      <c r="AS3716" s="2">
        <v>3680.95612562727</v>
      </c>
      <c r="AT3716" s="2">
        <v>19483.4433200315</v>
      </c>
      <c r="AU3716" s="2">
        <v>23341.036264090999</v>
      </c>
      <c r="AV3716" s="2">
        <v>24230.700481594798</v>
      </c>
      <c r="AW3716" s="2">
        <v>24535.878919659699</v>
      </c>
      <c r="AX3716" s="2">
        <v>16584.0713740016</v>
      </c>
    </row>
    <row r="3717" spans="1:50" x14ac:dyDescent="0.25">
      <c r="A3717" s="2" t="s">
        <v>24619</v>
      </c>
      <c r="B3717" s="2">
        <v>353.11390196172198</v>
      </c>
      <c r="C3717" s="2">
        <v>7.6785666666666703</v>
      </c>
      <c r="D3717" s="2" t="s">
        <v>51</v>
      </c>
      <c r="E3717" s="2" t="s">
        <v>24620</v>
      </c>
      <c r="F3717" s="2">
        <v>61831</v>
      </c>
      <c r="G3717" s="3" t="str">
        <f>HYPERLINK("https://cloud.oebiotech.com/#/lm/network/61831", "https://cloud.oebiotech.com/#/lm/network/61831")</f>
        <v>https://cloud.oebiotech.com/#/lm/network/61831</v>
      </c>
      <c r="H3717" s="2" t="s">
        <v>24621</v>
      </c>
      <c r="I3717" s="2">
        <v>93135</v>
      </c>
      <c r="J3717" s="2"/>
      <c r="K3717" s="2">
        <v>75815</v>
      </c>
      <c r="L3717" s="2"/>
      <c r="M3717" s="2"/>
      <c r="N3717" s="2"/>
      <c r="O3717" s="2"/>
      <c r="P3717" s="2"/>
      <c r="Q3717" s="2"/>
      <c r="R3717" s="2" t="s">
        <v>24622</v>
      </c>
      <c r="S3717" s="2" t="s">
        <v>24623</v>
      </c>
      <c r="T3717" s="2" t="s">
        <v>24624</v>
      </c>
      <c r="U3717" s="2" t="s">
        <v>610</v>
      </c>
      <c r="V3717" s="2" t="s">
        <v>611</v>
      </c>
      <c r="W3717" s="2" t="s">
        <v>240</v>
      </c>
      <c r="X3717" s="2" t="s">
        <v>147</v>
      </c>
      <c r="Y3717" s="2">
        <v>38.1</v>
      </c>
      <c r="Z3717" s="2">
        <v>0</v>
      </c>
      <c r="AA3717" s="2" t="s">
        <v>478</v>
      </c>
      <c r="AB3717" s="2" t="s">
        <v>24625</v>
      </c>
      <c r="AC3717" s="2">
        <v>-3.5646467792494398</v>
      </c>
      <c r="AD3717" s="2"/>
      <c r="AE3717" s="2">
        <v>0.14355521032995799</v>
      </c>
      <c r="AF3717" s="2">
        <v>1865.8965977391299</v>
      </c>
      <c r="AG3717" s="2">
        <v>2421.5260764625</v>
      </c>
      <c r="AH3717" s="4">
        <v>0.77054573802687798</v>
      </c>
      <c r="AI3717" s="4">
        <v>-0.376047500164017</v>
      </c>
      <c r="AJ3717" s="4" t="s">
        <v>62</v>
      </c>
      <c r="AK3717" s="2">
        <v>6.6881707378027996E-2</v>
      </c>
      <c r="AL3717" s="2">
        <v>0.34192828169447498</v>
      </c>
      <c r="AM3717" s="2">
        <v>1705.5016351403999</v>
      </c>
      <c r="AN3717" s="2">
        <v>1510.83164766195</v>
      </c>
      <c r="AO3717" s="2">
        <v>1436.53784375705</v>
      </c>
      <c r="AP3717" s="2">
        <v>1906.8322448614499</v>
      </c>
      <c r="AQ3717" s="2">
        <v>2785.8015163523701</v>
      </c>
      <c r="AR3717" s="2">
        <v>1849.8746986615399</v>
      </c>
      <c r="AS3717" s="2">
        <v>2330.4232438130598</v>
      </c>
      <c r="AT3717" s="2">
        <v>2743.0890361183801</v>
      </c>
      <c r="AU3717" s="2">
        <v>1730.7311024933699</v>
      </c>
      <c r="AV3717" s="2">
        <v>2347.0527252616998</v>
      </c>
      <c r="AW3717" s="2">
        <v>2321.3885042465699</v>
      </c>
      <c r="AX3717" s="2">
        <v>3056.4718468419101</v>
      </c>
    </row>
    <row r="3718" spans="1:50" x14ac:dyDescent="0.25">
      <c r="A3718" s="2" t="s">
        <v>24626</v>
      </c>
      <c r="B3718" s="2">
        <v>346.19855886908198</v>
      </c>
      <c r="C3718" s="2">
        <v>4.1742499999999998</v>
      </c>
      <c r="D3718" s="2" t="s">
        <v>51</v>
      </c>
      <c r="E3718" s="2" t="s">
        <v>24627</v>
      </c>
      <c r="F3718" s="2">
        <v>262310</v>
      </c>
      <c r="G3718" s="3" t="str">
        <f>HYPERLINK("https://cloud.oebiotech.com/#/lm/network/262310", "https://cloud.oebiotech.com/#/lm/network/262310")</f>
        <v>https://cloud.oebiotech.com/#/lm/network/262310</v>
      </c>
      <c r="H3718" s="2"/>
      <c r="I3718" s="2">
        <v>19666</v>
      </c>
      <c r="J3718" s="2"/>
      <c r="K3718" s="2">
        <v>145454616</v>
      </c>
      <c r="L3718" s="2"/>
      <c r="M3718" s="2"/>
      <c r="N3718" s="2"/>
      <c r="O3718" s="2"/>
      <c r="P3718" s="2"/>
      <c r="Q3718" s="2"/>
      <c r="R3718" s="2"/>
      <c r="S3718" s="2" t="s">
        <v>24628</v>
      </c>
      <c r="T3718" s="2" t="s">
        <v>24629</v>
      </c>
      <c r="U3718" s="2" t="s">
        <v>103</v>
      </c>
      <c r="V3718" s="2" t="s">
        <v>104</v>
      </c>
      <c r="W3718" s="2" t="s">
        <v>105</v>
      </c>
      <c r="X3718" s="2" t="s">
        <v>69</v>
      </c>
      <c r="Y3718" s="2">
        <v>61.8</v>
      </c>
      <c r="Z3718" s="2">
        <v>79.8</v>
      </c>
      <c r="AA3718" s="2" t="s">
        <v>259</v>
      </c>
      <c r="AB3718" s="2" t="s">
        <v>24630</v>
      </c>
      <c r="AC3718" s="2">
        <v>3.7568860225893399</v>
      </c>
      <c r="AD3718" s="2"/>
      <c r="AE3718" s="2">
        <v>0.14350608532469</v>
      </c>
      <c r="AF3718" s="2">
        <v>4863.9600201989597</v>
      </c>
      <c r="AG3718" s="2">
        <v>3309.14419881605</v>
      </c>
      <c r="AH3718" s="5">
        <v>1.46985435749194</v>
      </c>
      <c r="AI3718" s="5">
        <v>0.55567321075302101</v>
      </c>
      <c r="AJ3718" s="5" t="s">
        <v>139</v>
      </c>
      <c r="AK3718" s="2">
        <v>0.58896722871696805</v>
      </c>
      <c r="AL3718" s="2">
        <v>0.79326189584678697</v>
      </c>
      <c r="AM3718" s="2">
        <v>4859.3365918407799</v>
      </c>
      <c r="AN3718" s="2">
        <v>1227.83233821252</v>
      </c>
      <c r="AO3718" s="2">
        <v>1781.93384119347</v>
      </c>
      <c r="AP3718" s="2">
        <v>4883.58548606164</v>
      </c>
      <c r="AQ3718" s="2">
        <v>12347.052051347</v>
      </c>
      <c r="AR3718" s="2">
        <v>4084.0198125383299</v>
      </c>
      <c r="AS3718" s="2">
        <v>2333.6563078527902</v>
      </c>
      <c r="AT3718" s="2">
        <v>1391.68610279268</v>
      </c>
      <c r="AU3718" s="2">
        <v>14521.0738970478</v>
      </c>
      <c r="AV3718" s="2">
        <v>506.67042993950002</v>
      </c>
      <c r="AW3718" s="2">
        <v>548.34730452340398</v>
      </c>
      <c r="AX3718" s="2">
        <v>553.43115074010996</v>
      </c>
    </row>
    <row r="3719" spans="1:50" x14ac:dyDescent="0.25">
      <c r="A3719" s="2" t="s">
        <v>24631</v>
      </c>
      <c r="B3719" s="2">
        <v>255.15986154375099</v>
      </c>
      <c r="C3719" s="2">
        <v>8.0870666666666704</v>
      </c>
      <c r="D3719" s="2" t="s">
        <v>51</v>
      </c>
      <c r="E3719" s="2" t="s">
        <v>24632</v>
      </c>
      <c r="F3719" s="2">
        <v>204453</v>
      </c>
      <c r="G3719" s="3" t="str">
        <f>HYPERLINK("https://cloud.oebiotech.com/#/lm/network/204453", "https://cloud.oebiotech.com/#/lm/network/204453")</f>
        <v>https://cloud.oebiotech.com/#/lm/network/204453</v>
      </c>
      <c r="H3719" s="2" t="s">
        <v>24633</v>
      </c>
      <c r="I3719" s="2">
        <v>44901</v>
      </c>
      <c r="J3719" s="2"/>
      <c r="K3719" s="2">
        <v>4248455</v>
      </c>
      <c r="L3719" s="2"/>
      <c r="M3719" s="2"/>
      <c r="N3719" s="2"/>
      <c r="O3719" s="2"/>
      <c r="P3719" s="2"/>
      <c r="Q3719" s="2"/>
      <c r="R3719" s="2" t="s">
        <v>24634</v>
      </c>
      <c r="S3719" s="2" t="s">
        <v>24635</v>
      </c>
      <c r="T3719" s="2" t="s">
        <v>24636</v>
      </c>
      <c r="U3719" s="2" t="s">
        <v>266</v>
      </c>
      <c r="V3719" s="2" t="s">
        <v>3994</v>
      </c>
      <c r="W3719" s="2" t="s">
        <v>3995</v>
      </c>
      <c r="X3719" s="2" t="s">
        <v>59</v>
      </c>
      <c r="Y3719" s="2">
        <v>48.2</v>
      </c>
      <c r="Z3719" s="2">
        <v>48.3</v>
      </c>
      <c r="AA3719" s="2" t="s">
        <v>259</v>
      </c>
      <c r="AB3719" s="2" t="s">
        <v>24637</v>
      </c>
      <c r="AC3719" s="2">
        <v>3.0530098252810598</v>
      </c>
      <c r="AD3719" s="2"/>
      <c r="AE3719" s="2">
        <v>0.14345482571018101</v>
      </c>
      <c r="AF3719" s="2">
        <v>5337.9582287635103</v>
      </c>
      <c r="AG3719" s="2">
        <v>4386.8061641095201</v>
      </c>
      <c r="AH3719" s="5">
        <v>1.2168210832828199</v>
      </c>
      <c r="AI3719" s="5">
        <v>0.28311705528555398</v>
      </c>
      <c r="AJ3719" s="5" t="s">
        <v>139</v>
      </c>
      <c r="AK3719" s="2">
        <v>0.33975426156865901</v>
      </c>
      <c r="AL3719" s="2">
        <v>0.63815037094278604</v>
      </c>
      <c r="AM3719" s="2">
        <v>4292.5935558926403</v>
      </c>
      <c r="AN3719" s="2">
        <v>5837.3430443245898</v>
      </c>
      <c r="AO3719" s="2">
        <v>5077.0293026491499</v>
      </c>
      <c r="AP3719" s="2">
        <v>5841.2789250492797</v>
      </c>
      <c r="AQ3719" s="2">
        <v>6710.1849198278896</v>
      </c>
      <c r="AR3719" s="2">
        <v>4269.3196248375198</v>
      </c>
      <c r="AS3719" s="2">
        <v>3355.0907755307899</v>
      </c>
      <c r="AT3719" s="2">
        <v>4344.06102012065</v>
      </c>
      <c r="AU3719" s="2">
        <v>8334.8164910166106</v>
      </c>
      <c r="AV3719" s="2">
        <v>3242.9833029594001</v>
      </c>
      <c r="AW3719" s="2">
        <v>4717.9608702861397</v>
      </c>
      <c r="AX3719" s="2">
        <v>2325.9245247435301</v>
      </c>
    </row>
    <row r="3720" spans="1:50" x14ac:dyDescent="0.25">
      <c r="A3720" s="2" t="s">
        <v>24638</v>
      </c>
      <c r="B3720" s="2">
        <v>773.17523904546499</v>
      </c>
      <c r="C3720" s="2">
        <v>10.783149999999999</v>
      </c>
      <c r="D3720" s="2" t="s">
        <v>51</v>
      </c>
      <c r="E3720" s="2" t="s">
        <v>24639</v>
      </c>
      <c r="F3720" s="2">
        <v>211682</v>
      </c>
      <c r="G3720" s="3" t="str">
        <f>HYPERLINK("https://cloud.oebiotech.com/#/lm/network/211682", "https://cloud.oebiotech.com/#/lm/network/211682")</f>
        <v>https://cloud.oebiotech.com/#/lm/network/211682</v>
      </c>
      <c r="H3720" s="2" t="s">
        <v>24640</v>
      </c>
      <c r="I3720" s="2"/>
      <c r="J3720" s="2"/>
      <c r="K3720" s="2">
        <v>9865037</v>
      </c>
      <c r="L3720" s="2"/>
      <c r="M3720" s="2"/>
      <c r="N3720" s="2"/>
      <c r="O3720" s="2"/>
      <c r="P3720" s="2"/>
      <c r="Q3720" s="2"/>
      <c r="R3720" s="2"/>
      <c r="S3720" s="2" t="s">
        <v>24641</v>
      </c>
      <c r="T3720" s="2" t="s">
        <v>24642</v>
      </c>
      <c r="U3720" s="2" t="s">
        <v>1231</v>
      </c>
      <c r="V3720" s="2" t="s">
        <v>15569</v>
      </c>
      <c r="W3720" s="2" t="s">
        <v>18047</v>
      </c>
      <c r="X3720" s="2" t="s">
        <v>147</v>
      </c>
      <c r="Y3720" s="2">
        <v>37.4</v>
      </c>
      <c r="Z3720" s="2">
        <v>0</v>
      </c>
      <c r="AA3720" s="2" t="s">
        <v>478</v>
      </c>
      <c r="AB3720" s="2" t="s">
        <v>24643</v>
      </c>
      <c r="AC3720" s="2">
        <v>-4.2797733464557304</v>
      </c>
      <c r="AD3720" s="2"/>
      <c r="AE3720" s="2">
        <v>0.143344774946562</v>
      </c>
      <c r="AF3720" s="2">
        <v>5030.6346568413901</v>
      </c>
      <c r="AG3720" s="2">
        <v>5890.2437661329404</v>
      </c>
      <c r="AH3720" s="4">
        <v>0.85406221823381401</v>
      </c>
      <c r="AI3720" s="4">
        <v>-0.22758692121521701</v>
      </c>
      <c r="AJ3720" s="4" t="s">
        <v>62</v>
      </c>
      <c r="AK3720" s="2">
        <v>0.42396541072999799</v>
      </c>
      <c r="AL3720" s="2">
        <v>0.68361831708419296</v>
      </c>
      <c r="AM3720" s="2">
        <v>4835.54413137346</v>
      </c>
      <c r="AN3720" s="2">
        <v>4174.2190704367204</v>
      </c>
      <c r="AO3720" s="2">
        <v>7338.5945779121603</v>
      </c>
      <c r="AP3720" s="2">
        <v>4350.18653672041</v>
      </c>
      <c r="AQ3720" s="2">
        <v>5474.2874512895996</v>
      </c>
      <c r="AR3720" s="2">
        <v>4010.9761733160099</v>
      </c>
      <c r="AS3720" s="2">
        <v>7044.1661814750296</v>
      </c>
      <c r="AT3720" s="2">
        <v>3359.0283804159499</v>
      </c>
      <c r="AU3720" s="2">
        <v>3371.91214456034</v>
      </c>
      <c r="AV3720" s="2">
        <v>5618.8787297363797</v>
      </c>
      <c r="AW3720" s="2">
        <v>7177.8976545850201</v>
      </c>
      <c r="AX3720" s="2">
        <v>8769.5795060249402</v>
      </c>
    </row>
    <row r="3721" spans="1:50" x14ac:dyDescent="0.25">
      <c r="A3721" s="2" t="s">
        <v>24644</v>
      </c>
      <c r="B3721" s="2">
        <v>252.00144061731899</v>
      </c>
      <c r="C3721" s="2">
        <v>1.12998333333333</v>
      </c>
      <c r="D3721" s="2" t="s">
        <v>51</v>
      </c>
      <c r="E3721" s="2" t="s">
        <v>24645</v>
      </c>
      <c r="F3721" s="2">
        <v>257004</v>
      </c>
      <c r="G3721" s="3" t="str">
        <f>HYPERLINK("https://cloud.oebiotech.com/#/lm/network/257004", "https://cloud.oebiotech.com/#/lm/network/257004")</f>
        <v>https://cloud.oebiotech.com/#/lm/network/257004</v>
      </c>
      <c r="H3721" s="2" t="s">
        <v>24646</v>
      </c>
      <c r="I3721" s="2">
        <v>71180</v>
      </c>
      <c r="J3721" s="2"/>
      <c r="K3721" s="2">
        <v>5375469</v>
      </c>
      <c r="L3721" s="2" t="s">
        <v>24647</v>
      </c>
      <c r="M3721" s="2"/>
      <c r="N3721" s="2"/>
      <c r="O3721" s="2">
        <v>20408</v>
      </c>
      <c r="P3721" s="2"/>
      <c r="Q3721" s="2"/>
      <c r="R3721" s="2" t="s">
        <v>24648</v>
      </c>
      <c r="S3721" s="2" t="s">
        <v>24649</v>
      </c>
      <c r="T3721" s="2" t="s">
        <v>24650</v>
      </c>
      <c r="U3721" s="2" t="s">
        <v>610</v>
      </c>
      <c r="V3721" s="2" t="s">
        <v>611</v>
      </c>
      <c r="W3721" s="2" t="s">
        <v>6372</v>
      </c>
      <c r="X3721" s="2" t="s">
        <v>147</v>
      </c>
      <c r="Y3721" s="2">
        <v>38.799999999999997</v>
      </c>
      <c r="Z3721" s="2">
        <v>0</v>
      </c>
      <c r="AA3721" s="2" t="s">
        <v>395</v>
      </c>
      <c r="AB3721" s="2" t="s">
        <v>24651</v>
      </c>
      <c r="AC3721" s="2">
        <v>-1.3509261306587901</v>
      </c>
      <c r="AD3721" s="2"/>
      <c r="AE3721" s="2">
        <v>0.14331910896833999</v>
      </c>
      <c r="AF3721" s="2">
        <v>2100.05816326697</v>
      </c>
      <c r="AG3721" s="2">
        <v>2593.4205196348398</v>
      </c>
      <c r="AH3721" s="4">
        <v>0.80976384175546801</v>
      </c>
      <c r="AI3721" s="4">
        <v>-0.30442687084646702</v>
      </c>
      <c r="AJ3721" s="4" t="s">
        <v>62</v>
      </c>
      <c r="AK3721" s="2">
        <v>0.18212473047417699</v>
      </c>
      <c r="AL3721" s="2">
        <v>0.50503247306174104</v>
      </c>
      <c r="AM3721" s="2">
        <v>1067.84978619088</v>
      </c>
      <c r="AN3721" s="2">
        <v>1715.4088883649199</v>
      </c>
      <c r="AO3721" s="2">
        <v>2601.3812619708101</v>
      </c>
      <c r="AP3721" s="2">
        <v>2618.0650459539102</v>
      </c>
      <c r="AQ3721" s="2">
        <v>2470.3881591817599</v>
      </c>
      <c r="AR3721" s="2">
        <v>2127.25583793954</v>
      </c>
      <c r="AS3721" s="2">
        <v>2515.6045641368801</v>
      </c>
      <c r="AT3721" s="2">
        <v>2557.3513706079698</v>
      </c>
      <c r="AU3721" s="2">
        <v>1610.3547835755901</v>
      </c>
      <c r="AV3721" s="2">
        <v>2627.2572308742301</v>
      </c>
      <c r="AW3721" s="2">
        <v>2859.8108707670199</v>
      </c>
      <c r="AX3721" s="2">
        <v>3390.1442978473401</v>
      </c>
    </row>
    <row r="3722" spans="1:50" x14ac:dyDescent="0.25">
      <c r="A3722" s="2" t="s">
        <v>24652</v>
      </c>
      <c r="B3722" s="2">
        <v>411.38456185933302</v>
      </c>
      <c r="C3722" s="2">
        <v>15.072616666666701</v>
      </c>
      <c r="D3722" s="2" t="s">
        <v>51</v>
      </c>
      <c r="E3722" s="2" t="s">
        <v>24653</v>
      </c>
      <c r="F3722" s="2">
        <v>403</v>
      </c>
      <c r="G3722" s="3" t="str">
        <f>HYPERLINK("https://cloud.oebiotech.com/#/lm/network/403", "https://cloud.oebiotech.com/#/lm/network/403")</f>
        <v>https://cloud.oebiotech.com/#/lm/network/403</v>
      </c>
      <c r="H3722" s="2"/>
      <c r="I3722" s="2">
        <v>73745</v>
      </c>
      <c r="J3722" s="2" t="s">
        <v>24654</v>
      </c>
      <c r="K3722" s="2">
        <v>52921764</v>
      </c>
      <c r="L3722" s="2"/>
      <c r="M3722" s="2"/>
      <c r="N3722" s="2"/>
      <c r="O3722" s="2"/>
      <c r="P3722" s="2"/>
      <c r="Q3722" s="2"/>
      <c r="R3722" s="2"/>
      <c r="S3722" s="2" t="s">
        <v>24655</v>
      </c>
      <c r="T3722" s="2" t="s">
        <v>24656</v>
      </c>
      <c r="U3722" s="2" t="s">
        <v>56</v>
      </c>
      <c r="V3722" s="2" t="s">
        <v>145</v>
      </c>
      <c r="W3722" s="2" t="s">
        <v>231</v>
      </c>
      <c r="X3722" s="2" t="s">
        <v>83</v>
      </c>
      <c r="Y3722" s="2">
        <v>47.7</v>
      </c>
      <c r="Z3722" s="2">
        <v>0</v>
      </c>
      <c r="AA3722" s="2" t="s">
        <v>163</v>
      </c>
      <c r="AB3722" s="2" t="s">
        <v>24657</v>
      </c>
      <c r="AC3722" s="2">
        <v>0.46743190688773301</v>
      </c>
      <c r="AD3722" s="2"/>
      <c r="AE3722" s="2">
        <v>0.14328104238835501</v>
      </c>
      <c r="AF3722" s="2">
        <v>3765.0412952574902</v>
      </c>
      <c r="AG3722" s="2">
        <v>5846.9653378125704</v>
      </c>
      <c r="AH3722" s="4">
        <v>0.64393083894457304</v>
      </c>
      <c r="AI3722" s="4">
        <v>-0.63502235013413899</v>
      </c>
      <c r="AJ3722" s="4" t="s">
        <v>62</v>
      </c>
      <c r="AK3722" s="2">
        <v>0.429664610038547</v>
      </c>
      <c r="AL3722" s="2">
        <v>0.68819175824183598</v>
      </c>
      <c r="AM3722" s="2">
        <v>352.18256315008199</v>
      </c>
      <c r="AN3722" s="2">
        <v>2027.140237652</v>
      </c>
      <c r="AO3722" s="2">
        <v>4057.5249066974502</v>
      </c>
      <c r="AP3722" s="2">
        <v>8202.9513416458994</v>
      </c>
      <c r="AQ3722" s="2">
        <v>5416.8193376041299</v>
      </c>
      <c r="AR3722" s="2">
        <v>2533.6293847953698</v>
      </c>
      <c r="AS3722" s="2">
        <v>4696.5754666794601</v>
      </c>
      <c r="AT3722" s="2">
        <v>15352.2346108603</v>
      </c>
      <c r="AU3722" s="2">
        <v>9293.6787009415093</v>
      </c>
      <c r="AV3722" s="2">
        <v>1182.4802487477</v>
      </c>
      <c r="AW3722" s="2">
        <v>3391.28489264681</v>
      </c>
      <c r="AX3722" s="2">
        <v>1165.5381069996699</v>
      </c>
    </row>
    <row r="3723" spans="1:50" x14ac:dyDescent="0.25">
      <c r="A3723" s="2" t="s">
        <v>24658</v>
      </c>
      <c r="B3723" s="2">
        <v>448.19926060361098</v>
      </c>
      <c r="C3723" s="2">
        <v>4.26596666666667</v>
      </c>
      <c r="D3723" s="2" t="s">
        <v>51</v>
      </c>
      <c r="E3723" s="2" t="s">
        <v>24659</v>
      </c>
      <c r="F3723" s="2">
        <v>211465</v>
      </c>
      <c r="G3723" s="3" t="str">
        <f>HYPERLINK("https://cloud.oebiotech.com/#/lm/network/211465", "https://cloud.oebiotech.com/#/lm/network/211465")</f>
        <v>https://cloud.oebiotech.com/#/lm/network/211465</v>
      </c>
      <c r="H3723" s="2" t="s">
        <v>24660</v>
      </c>
      <c r="I3723" s="2"/>
      <c r="J3723" s="2"/>
      <c r="K3723" s="2">
        <v>21707724</v>
      </c>
      <c r="L3723" s="2"/>
      <c r="M3723" s="2"/>
      <c r="N3723" s="2"/>
      <c r="O3723" s="2"/>
      <c r="P3723" s="2"/>
      <c r="Q3723" s="2"/>
      <c r="R3723" s="2"/>
      <c r="S3723" s="2" t="s">
        <v>24661</v>
      </c>
      <c r="T3723" s="2" t="s">
        <v>24662</v>
      </c>
      <c r="U3723" s="2" t="s">
        <v>610</v>
      </c>
      <c r="V3723" s="2" t="s">
        <v>611</v>
      </c>
      <c r="W3723" s="2" t="s">
        <v>1122</v>
      </c>
      <c r="X3723" s="2" t="s">
        <v>147</v>
      </c>
      <c r="Y3723" s="2">
        <v>39.299999999999997</v>
      </c>
      <c r="Z3723" s="2">
        <v>0</v>
      </c>
      <c r="AA3723" s="2" t="s">
        <v>218</v>
      </c>
      <c r="AB3723" s="2" t="s">
        <v>24663</v>
      </c>
      <c r="AC3723" s="2">
        <v>0.577054228631522</v>
      </c>
      <c r="AD3723" s="2"/>
      <c r="AE3723" s="2">
        <v>0.14310316235854001</v>
      </c>
      <c r="AF3723" s="2">
        <v>9655.0169328752309</v>
      </c>
      <c r="AG3723" s="2">
        <v>6784.1035876109599</v>
      </c>
      <c r="AH3723" s="5">
        <v>1.42318241580319</v>
      </c>
      <c r="AI3723" s="5">
        <v>0.50912059054186598</v>
      </c>
      <c r="AJ3723" s="5" t="s">
        <v>139</v>
      </c>
      <c r="AK3723" s="2">
        <v>0.492868113371497</v>
      </c>
      <c r="AL3723" s="2">
        <v>0.734661809963992</v>
      </c>
      <c r="AM3723" s="2">
        <v>4378.8422709312699</v>
      </c>
      <c r="AN3723" s="2">
        <v>3970.9617488466201</v>
      </c>
      <c r="AO3723" s="2">
        <v>18748.068998116702</v>
      </c>
      <c r="AP3723" s="2">
        <v>4091.0200718685801</v>
      </c>
      <c r="AQ3723" s="2">
        <v>10477.0983413247</v>
      </c>
      <c r="AR3723" s="2">
        <v>16264.1101661635</v>
      </c>
      <c r="AS3723" s="2">
        <v>1460.0269300884199</v>
      </c>
      <c r="AT3723" s="2">
        <v>6978.1146362981299</v>
      </c>
      <c r="AU3723" s="2">
        <v>1660.1622970466999</v>
      </c>
      <c r="AV3723" s="2">
        <v>20084.140565821599</v>
      </c>
      <c r="AW3723" s="2">
        <v>9368.1558406023596</v>
      </c>
      <c r="AX3723" s="2">
        <v>1154.02125580853</v>
      </c>
    </row>
    <row r="3724" spans="1:50" x14ac:dyDescent="0.25">
      <c r="A3724" s="2" t="s">
        <v>24664</v>
      </c>
      <c r="B3724" s="2">
        <v>269.16176931807797</v>
      </c>
      <c r="C3724" s="2">
        <v>1.02813333333333</v>
      </c>
      <c r="D3724" s="2" t="s">
        <v>51</v>
      </c>
      <c r="E3724" s="2" t="s">
        <v>24665</v>
      </c>
      <c r="F3724" s="2">
        <v>211912</v>
      </c>
      <c r="G3724" s="3" t="str">
        <f>HYPERLINK("https://cloud.oebiotech.com/#/lm/network/211912", "https://cloud.oebiotech.com/#/lm/network/211912")</f>
        <v>https://cloud.oebiotech.com/#/lm/network/211912</v>
      </c>
      <c r="H3724" s="2" t="s">
        <v>24666</v>
      </c>
      <c r="I3724" s="2"/>
      <c r="J3724" s="2"/>
      <c r="K3724" s="2">
        <v>618867</v>
      </c>
      <c r="L3724" s="2"/>
      <c r="M3724" s="2"/>
      <c r="N3724" s="2"/>
      <c r="O3724" s="2"/>
      <c r="P3724" s="2"/>
      <c r="Q3724" s="2"/>
      <c r="R3724" s="2"/>
      <c r="S3724" s="2" t="s">
        <v>24667</v>
      </c>
      <c r="T3724" s="2" t="s">
        <v>24668</v>
      </c>
      <c r="U3724" s="2" t="s">
        <v>238</v>
      </c>
      <c r="V3724" s="2" t="s">
        <v>24669</v>
      </c>
      <c r="W3724" s="2" t="s">
        <v>24670</v>
      </c>
      <c r="X3724" s="2" t="s">
        <v>83</v>
      </c>
      <c r="Y3724" s="2">
        <v>40</v>
      </c>
      <c r="Z3724" s="2">
        <v>0</v>
      </c>
      <c r="AA3724" s="2" t="s">
        <v>95</v>
      </c>
      <c r="AB3724" s="2" t="s">
        <v>24671</v>
      </c>
      <c r="AC3724" s="2">
        <v>-2.7001175830922599</v>
      </c>
      <c r="AD3724" s="2"/>
      <c r="AE3724" s="2">
        <v>0.14296377778626501</v>
      </c>
      <c r="AF3724" s="2">
        <v>13126.852158681801</v>
      </c>
      <c r="AG3724" s="2">
        <v>12481.538572053099</v>
      </c>
      <c r="AH3724" s="5">
        <v>1.0517014455312099</v>
      </c>
      <c r="AI3724" s="5">
        <v>7.27252139628322E-2</v>
      </c>
      <c r="AJ3724" s="5" t="s">
        <v>139</v>
      </c>
      <c r="AK3724" s="2">
        <v>0.92373648992373902</v>
      </c>
      <c r="AL3724" s="2">
        <v>0.96702918223777301</v>
      </c>
      <c r="AM3724" s="2">
        <v>23795.6974082544</v>
      </c>
      <c r="AN3724" s="2">
        <v>9913.7957558935996</v>
      </c>
      <c r="AO3724" s="2">
        <v>10297.794901807199</v>
      </c>
      <c r="AP3724" s="2">
        <v>10071.728621304999</v>
      </c>
      <c r="AQ3724" s="2">
        <v>9863.2357955015395</v>
      </c>
      <c r="AR3724" s="2">
        <v>14818.8604693292</v>
      </c>
      <c r="AS3724" s="2">
        <v>910.65942734087002</v>
      </c>
      <c r="AT3724" s="2">
        <v>4278.80306335765</v>
      </c>
      <c r="AU3724" s="2">
        <v>42346.428864413603</v>
      </c>
      <c r="AV3724" s="2">
        <v>10126.846985916</v>
      </c>
      <c r="AW3724" s="2">
        <v>6091.1141310064204</v>
      </c>
      <c r="AX3724" s="2">
        <v>11135.378960284301</v>
      </c>
    </row>
    <row r="3725" spans="1:50" x14ac:dyDescent="0.25">
      <c r="A3725" s="2" t="s">
        <v>24672</v>
      </c>
      <c r="B3725" s="2">
        <v>333.06458502768299</v>
      </c>
      <c r="C3725" s="2">
        <v>0.99048333333333305</v>
      </c>
      <c r="D3725" s="2" t="s">
        <v>51</v>
      </c>
      <c r="E3725" s="2" t="s">
        <v>24673</v>
      </c>
      <c r="F3725" s="2">
        <v>53099</v>
      </c>
      <c r="G3725" s="3" t="str">
        <f>HYPERLINK("https://cloud.oebiotech.com/#/lm/network/53099", "https://cloud.oebiotech.com/#/lm/network/53099")</f>
        <v>https://cloud.oebiotech.com/#/lm/network/53099</v>
      </c>
      <c r="H3725" s="2" t="s">
        <v>24674</v>
      </c>
      <c r="I3725" s="2">
        <v>85436</v>
      </c>
      <c r="J3725" s="2"/>
      <c r="K3725" s="2">
        <v>287180</v>
      </c>
      <c r="L3725" s="2"/>
      <c r="M3725" s="2"/>
      <c r="N3725" s="2"/>
      <c r="O3725" s="2">
        <v>131715</v>
      </c>
      <c r="P3725" s="2"/>
      <c r="Q3725" s="2"/>
      <c r="R3725" s="2" t="s">
        <v>24675</v>
      </c>
      <c r="S3725" s="2" t="s">
        <v>24676</v>
      </c>
      <c r="T3725" s="2" t="s">
        <v>24677</v>
      </c>
      <c r="U3725" s="2" t="s">
        <v>266</v>
      </c>
      <c r="V3725" s="2" t="s">
        <v>1393</v>
      </c>
      <c r="W3725" s="2" t="s">
        <v>1643</v>
      </c>
      <c r="X3725" s="2" t="s">
        <v>147</v>
      </c>
      <c r="Y3725" s="2">
        <v>38.299999999999997</v>
      </c>
      <c r="Z3725" s="2">
        <v>13.5</v>
      </c>
      <c r="AA3725" s="2" t="s">
        <v>395</v>
      </c>
      <c r="AB3725" s="2" t="s">
        <v>22856</v>
      </c>
      <c r="AC3725" s="2">
        <v>3.34793928035652</v>
      </c>
      <c r="AD3725" s="2"/>
      <c r="AE3725" s="2">
        <v>0.142948482279633</v>
      </c>
      <c r="AF3725" s="2">
        <v>6491.9640329092899</v>
      </c>
      <c r="AG3725" s="2">
        <v>4177.8739462448102</v>
      </c>
      <c r="AH3725" s="5">
        <v>1.55389179195903</v>
      </c>
      <c r="AI3725" s="5">
        <v>0.63588604258764103</v>
      </c>
      <c r="AJ3725" s="5" t="s">
        <v>139</v>
      </c>
      <c r="AK3725" s="2">
        <v>0.52677887144897695</v>
      </c>
      <c r="AL3725" s="2">
        <v>0.75541578468508697</v>
      </c>
      <c r="AM3725" s="2">
        <v>8825.34879543633</v>
      </c>
      <c r="AN3725" s="2">
        <v>4631.5403836333699</v>
      </c>
      <c r="AO3725" s="2">
        <v>2842.9336016536499</v>
      </c>
      <c r="AP3725" s="2">
        <v>19792.580800455398</v>
      </c>
      <c r="AQ3725" s="2">
        <v>2859.3806077171398</v>
      </c>
      <c r="AR3725" s="2">
        <v>8.559877937157E-6</v>
      </c>
      <c r="AS3725" s="2">
        <v>8.559877937157E-6</v>
      </c>
      <c r="AT3725" s="2">
        <v>10265.8103911533</v>
      </c>
      <c r="AU3725" s="2">
        <v>8.559877937157E-6</v>
      </c>
      <c r="AV3725" s="2">
        <v>10388.5731255104</v>
      </c>
      <c r="AW3725" s="2">
        <v>1572.7516441733501</v>
      </c>
      <c r="AX3725" s="2">
        <v>2840.10849951203</v>
      </c>
    </row>
    <row r="3726" spans="1:50" x14ac:dyDescent="0.25">
      <c r="A3726" s="2" t="s">
        <v>24678</v>
      </c>
      <c r="B3726" s="2">
        <v>201.07628952890499</v>
      </c>
      <c r="C3726" s="2">
        <v>6.2539666666666696</v>
      </c>
      <c r="D3726" s="2" t="s">
        <v>51</v>
      </c>
      <c r="E3726" s="2" t="s">
        <v>24679</v>
      </c>
      <c r="F3726" s="2">
        <v>56642</v>
      </c>
      <c r="G3726" s="3" t="str">
        <f>HYPERLINK("https://cloud.oebiotech.com/#/lm/network/56642", "https://cloud.oebiotech.com/#/lm/network/56642")</f>
        <v>https://cloud.oebiotech.com/#/lm/network/56642</v>
      </c>
      <c r="H3726" s="2" t="s">
        <v>24680</v>
      </c>
      <c r="I3726" s="2">
        <v>88281</v>
      </c>
      <c r="J3726" s="2"/>
      <c r="K3726" s="2">
        <v>3017596</v>
      </c>
      <c r="L3726" s="2"/>
      <c r="M3726" s="2"/>
      <c r="N3726" s="2"/>
      <c r="O3726" s="2"/>
      <c r="P3726" s="2"/>
      <c r="Q3726" s="2"/>
      <c r="R3726" s="2" t="s">
        <v>24681</v>
      </c>
      <c r="S3726" s="2" t="s">
        <v>24682</v>
      </c>
      <c r="T3726" s="2" t="s">
        <v>24683</v>
      </c>
      <c r="U3726" s="2" t="s">
        <v>266</v>
      </c>
      <c r="V3726" s="2" t="s">
        <v>10648</v>
      </c>
      <c r="W3726" s="2" t="s">
        <v>10649</v>
      </c>
      <c r="X3726" s="2" t="s">
        <v>147</v>
      </c>
      <c r="Y3726" s="2">
        <v>38.5</v>
      </c>
      <c r="Z3726" s="2">
        <v>5.73</v>
      </c>
      <c r="AA3726" s="2" t="s">
        <v>218</v>
      </c>
      <c r="AB3726" s="2" t="s">
        <v>21615</v>
      </c>
      <c r="AC3726" s="2">
        <v>-3.5724593699732599</v>
      </c>
      <c r="AD3726" s="2"/>
      <c r="AE3726" s="2">
        <v>0.14275402517121299</v>
      </c>
      <c r="AF3726" s="2">
        <v>1280.2787925361599</v>
      </c>
      <c r="AG3726" s="2">
        <v>693.97293978255402</v>
      </c>
      <c r="AH3726" s="5">
        <v>1.8448540557464901</v>
      </c>
      <c r="AI3726" s="5">
        <v>0.88350669087706801</v>
      </c>
      <c r="AJ3726" s="5" t="s">
        <v>139</v>
      </c>
      <c r="AK3726" s="2">
        <v>6.4244117658302E-2</v>
      </c>
      <c r="AL3726" s="2">
        <v>0.33753745711268901</v>
      </c>
      <c r="AM3726" s="2">
        <v>1231.24293260897</v>
      </c>
      <c r="AN3726" s="2">
        <v>2426.84248042523</v>
      </c>
      <c r="AO3726" s="2">
        <v>1003.9137916736599</v>
      </c>
      <c r="AP3726" s="2">
        <v>890.03598513527095</v>
      </c>
      <c r="AQ3726" s="2">
        <v>789.92593014952104</v>
      </c>
      <c r="AR3726" s="2">
        <v>1339.7116352242899</v>
      </c>
      <c r="AS3726" s="2">
        <v>1253.84812605709</v>
      </c>
      <c r="AT3726" s="2">
        <v>410.26851012027299</v>
      </c>
      <c r="AU3726" s="2">
        <v>823.97608459768696</v>
      </c>
      <c r="AV3726" s="2">
        <v>298.36459560438902</v>
      </c>
      <c r="AW3726" s="2">
        <v>571.28222677058</v>
      </c>
      <c r="AX3726" s="2">
        <v>806.098095545305</v>
      </c>
    </row>
    <row r="3727" spans="1:50" x14ac:dyDescent="0.25">
      <c r="A3727" s="2" t="s">
        <v>24684</v>
      </c>
      <c r="B3727" s="2">
        <v>229.16139999999999</v>
      </c>
      <c r="C3727" s="2">
        <v>13.404999999999999</v>
      </c>
      <c r="D3727" s="2" t="s">
        <v>125</v>
      </c>
      <c r="E3727" s="2" t="s">
        <v>24685</v>
      </c>
      <c r="F3727" s="2">
        <v>57</v>
      </c>
      <c r="G3727" s="3" t="str">
        <f>HYPERLINK("https://cloud.oebiotech.com/#/lm/network/57", "https://cloud.oebiotech.com/#/lm/network/57")</f>
        <v>https://cloud.oebiotech.com/#/lm/network/57</v>
      </c>
      <c r="H3727" s="2" t="s">
        <v>24686</v>
      </c>
      <c r="I3727" s="2">
        <v>336</v>
      </c>
      <c r="J3727" s="2" t="s">
        <v>24687</v>
      </c>
      <c r="K3727" s="2">
        <v>2969</v>
      </c>
      <c r="L3727" s="2" t="s">
        <v>24688</v>
      </c>
      <c r="M3727" s="2" t="s">
        <v>12589</v>
      </c>
      <c r="N3727" s="2" t="s">
        <v>12590</v>
      </c>
      <c r="O3727" s="2">
        <v>30813</v>
      </c>
      <c r="P3727" s="2" t="s">
        <v>24689</v>
      </c>
      <c r="Q3727" s="2" t="s">
        <v>24690</v>
      </c>
      <c r="R3727" s="2" t="s">
        <v>24691</v>
      </c>
      <c r="S3727" s="2" t="s">
        <v>24692</v>
      </c>
      <c r="T3727" s="2" t="s">
        <v>24693</v>
      </c>
      <c r="U3727" s="2" t="s">
        <v>56</v>
      </c>
      <c r="V3727" s="2" t="s">
        <v>145</v>
      </c>
      <c r="W3727" s="2" t="s">
        <v>231</v>
      </c>
      <c r="X3727" s="2" t="s">
        <v>69</v>
      </c>
      <c r="Y3727" s="2">
        <v>92.8</v>
      </c>
      <c r="Z3727" s="2">
        <v>91.9</v>
      </c>
      <c r="AA3727" s="2"/>
      <c r="AB3727" s="2" t="s">
        <v>24694</v>
      </c>
      <c r="AC3727" s="2"/>
      <c r="AD3727" s="2">
        <v>451969.15092563501</v>
      </c>
      <c r="AE3727" s="2">
        <v>0.14269197651864801</v>
      </c>
      <c r="AF3727" s="2">
        <v>11778.7077178869</v>
      </c>
      <c r="AG3727" s="2">
        <v>17623.171694991001</v>
      </c>
      <c r="AH3727" s="4">
        <v>0.66836480525436204</v>
      </c>
      <c r="AI3727" s="4">
        <v>-0.58129232890573101</v>
      </c>
      <c r="AJ3727" s="4" t="s">
        <v>62</v>
      </c>
      <c r="AK3727" s="2">
        <v>0.13320906815470501</v>
      </c>
      <c r="AL3727" s="2">
        <v>0.45370418977862098</v>
      </c>
      <c r="AM3727" s="2">
        <v>10704.6403228085</v>
      </c>
      <c r="AN3727" s="2">
        <v>9889.2912826503507</v>
      </c>
      <c r="AO3727" s="2">
        <v>12714.313729252101</v>
      </c>
      <c r="AP3727" s="2">
        <v>12277.060169541301</v>
      </c>
      <c r="AQ3727" s="2">
        <v>13392.273124995299</v>
      </c>
      <c r="AR3727" s="2">
        <v>11694.6676780736</v>
      </c>
      <c r="AS3727" s="2">
        <v>10379.4992187509</v>
      </c>
      <c r="AT3727" s="2">
        <v>13546.0581030463</v>
      </c>
      <c r="AU3727" s="2">
        <v>29343.8546916019</v>
      </c>
      <c r="AV3727" s="2">
        <v>27783.1264821644</v>
      </c>
      <c r="AW3727" s="2">
        <v>14543.2287887653</v>
      </c>
      <c r="AX3727" s="2">
        <v>10143.2628856174</v>
      </c>
    </row>
    <row r="3728" spans="1:50" x14ac:dyDescent="0.25">
      <c r="A3728" s="2" t="s">
        <v>24695</v>
      </c>
      <c r="B3728" s="2">
        <v>229.10435429768</v>
      </c>
      <c r="C3728" s="2">
        <v>9.7054500000000008</v>
      </c>
      <c r="D3728" s="2" t="s">
        <v>51</v>
      </c>
      <c r="E3728" s="2" t="s">
        <v>24696</v>
      </c>
      <c r="F3728" s="2">
        <v>82311</v>
      </c>
      <c r="G3728" s="3" t="str">
        <f>HYPERLINK("https://cloud.oebiotech.com/#/lm/network/82311", "https://cloud.oebiotech.com/#/lm/network/82311")</f>
        <v>https://cloud.oebiotech.com/#/lm/network/82311</v>
      </c>
      <c r="H3728" s="2" t="s">
        <v>24697</v>
      </c>
      <c r="I3728" s="2"/>
      <c r="J3728" s="2"/>
      <c r="K3728" s="2">
        <v>12463319</v>
      </c>
      <c r="L3728" s="2" t="s">
        <v>24698</v>
      </c>
      <c r="M3728" s="2" t="s">
        <v>13196</v>
      </c>
      <c r="N3728" s="2" t="s">
        <v>13197</v>
      </c>
      <c r="O3728" s="2">
        <v>61126</v>
      </c>
      <c r="P3728" s="2"/>
      <c r="Q3728" s="2"/>
      <c r="R3728" s="2"/>
      <c r="S3728" s="2" t="s">
        <v>24699</v>
      </c>
      <c r="T3728" s="2" t="s">
        <v>24700</v>
      </c>
      <c r="U3728" s="2" t="s">
        <v>266</v>
      </c>
      <c r="V3728" s="2" t="s">
        <v>13201</v>
      </c>
      <c r="W3728" s="2" t="s">
        <v>13202</v>
      </c>
      <c r="X3728" s="2" t="s">
        <v>147</v>
      </c>
      <c r="Y3728" s="2">
        <v>37.9</v>
      </c>
      <c r="Z3728" s="2">
        <v>0</v>
      </c>
      <c r="AA3728" s="2" t="s">
        <v>512</v>
      </c>
      <c r="AB3728" s="2" t="s">
        <v>24701</v>
      </c>
      <c r="AC3728" s="2">
        <v>-4.9289824753916203E-2</v>
      </c>
      <c r="AD3728" s="2"/>
      <c r="AE3728" s="2">
        <v>0.14262389070053899</v>
      </c>
      <c r="AF3728" s="2">
        <v>1104.25917341738</v>
      </c>
      <c r="AG3728" s="2">
        <v>650.54761251231002</v>
      </c>
      <c r="AH3728" s="5">
        <v>1.69743021445104</v>
      </c>
      <c r="AI3728" s="5">
        <v>0.76335226293246705</v>
      </c>
      <c r="AJ3728" s="5" t="s">
        <v>139</v>
      </c>
      <c r="AK3728" s="2">
        <v>7.4844198126756403E-3</v>
      </c>
      <c r="AL3728" s="2">
        <v>0.14489874833036501</v>
      </c>
      <c r="AM3728" s="2">
        <v>1088.1435679905101</v>
      </c>
      <c r="AN3728" s="2">
        <v>1426.1174397050399</v>
      </c>
      <c r="AO3728" s="2">
        <v>1367.18013568271</v>
      </c>
      <c r="AP3728" s="2">
        <v>1119.2850588307699</v>
      </c>
      <c r="AQ3728" s="2">
        <v>738.50928363527601</v>
      </c>
      <c r="AR3728" s="2">
        <v>886.31955465997703</v>
      </c>
      <c r="AS3728" s="2">
        <v>970.11750034623799</v>
      </c>
      <c r="AT3728" s="2">
        <v>667.46809533538203</v>
      </c>
      <c r="AU3728" s="2">
        <v>674.57809172648797</v>
      </c>
      <c r="AV3728" s="2">
        <v>358.45942189932498</v>
      </c>
      <c r="AW3728" s="2">
        <v>680.78238071054</v>
      </c>
      <c r="AX3728" s="2">
        <v>551.880185055889</v>
      </c>
    </row>
    <row r="3729" spans="1:50" x14ac:dyDescent="0.25">
      <c r="A3729" s="2" t="s">
        <v>24702</v>
      </c>
      <c r="B3729" s="2">
        <v>301.17691632028499</v>
      </c>
      <c r="C3729" s="2">
        <v>4.0690166666666698</v>
      </c>
      <c r="D3729" s="2" t="s">
        <v>51</v>
      </c>
      <c r="E3729" s="2" t="s">
        <v>24703</v>
      </c>
      <c r="F3729" s="2">
        <v>210923</v>
      </c>
      <c r="G3729" s="3" t="str">
        <f>HYPERLINK("https://cloud.oebiotech.com/#/lm/network/210923", "https://cloud.oebiotech.com/#/lm/network/210923")</f>
        <v>https://cloud.oebiotech.com/#/lm/network/210923</v>
      </c>
      <c r="H3729" s="2" t="s">
        <v>24704</v>
      </c>
      <c r="I3729" s="2"/>
      <c r="J3729" s="2"/>
      <c r="K3729" s="2">
        <v>13818931</v>
      </c>
      <c r="L3729" s="2"/>
      <c r="M3729" s="2"/>
      <c r="N3729" s="2"/>
      <c r="O3729" s="2"/>
      <c r="P3729" s="2"/>
      <c r="Q3729" s="2"/>
      <c r="R3729" s="2"/>
      <c r="S3729" s="2" t="s">
        <v>24705</v>
      </c>
      <c r="T3729" s="2" t="s">
        <v>24706</v>
      </c>
      <c r="U3729" s="2" t="s">
        <v>103</v>
      </c>
      <c r="V3729" s="2" t="s">
        <v>104</v>
      </c>
      <c r="W3729" s="2" t="s">
        <v>105</v>
      </c>
      <c r="X3729" s="2" t="s">
        <v>147</v>
      </c>
      <c r="Y3729" s="2">
        <v>38.799999999999997</v>
      </c>
      <c r="Z3729" s="2">
        <v>6.2</v>
      </c>
      <c r="AA3729" s="2" t="s">
        <v>379</v>
      </c>
      <c r="AB3729" s="2" t="s">
        <v>24707</v>
      </c>
      <c r="AC3729" s="2">
        <v>-4.1118471530566403</v>
      </c>
      <c r="AD3729" s="2"/>
      <c r="AE3729" s="2">
        <v>0.14261562187607099</v>
      </c>
      <c r="AF3729" s="2">
        <v>1730.1860374719699</v>
      </c>
      <c r="AG3729" s="2">
        <v>614.04906445386803</v>
      </c>
      <c r="AH3729" s="5">
        <v>2.8176674106828701</v>
      </c>
      <c r="AI3729" s="5">
        <v>1.4945013301443799</v>
      </c>
      <c r="AJ3729" s="5" t="s">
        <v>139</v>
      </c>
      <c r="AK3729" s="2">
        <v>0.38433672892667797</v>
      </c>
      <c r="AL3729" s="2">
        <v>0.66120172693065404</v>
      </c>
      <c r="AM3729" s="2">
        <v>72.9422098906347</v>
      </c>
      <c r="AN3729" s="2">
        <v>8.559877937157E-6</v>
      </c>
      <c r="AO3729" s="2">
        <v>5203.6924157427102</v>
      </c>
      <c r="AP3729" s="2">
        <v>8.559877937157E-6</v>
      </c>
      <c r="AQ3729" s="2">
        <v>4969.8348559800497</v>
      </c>
      <c r="AR3729" s="2">
        <v>134.646726098665</v>
      </c>
      <c r="AS3729" s="2">
        <v>8.559877937157E-6</v>
      </c>
      <c r="AT3729" s="2">
        <v>8.559877937157E-6</v>
      </c>
      <c r="AU3729" s="2">
        <v>3684.2943439238202</v>
      </c>
      <c r="AV3729" s="2">
        <v>8.559877937157E-6</v>
      </c>
      <c r="AW3729" s="2">
        <v>8.559877937157E-6</v>
      </c>
      <c r="AX3729" s="2">
        <v>8.559877937157E-6</v>
      </c>
    </row>
    <row r="3730" spans="1:50" x14ac:dyDescent="0.25">
      <c r="A3730" s="2" t="s">
        <v>24708</v>
      </c>
      <c r="B3730" s="2">
        <v>220.09756666258599</v>
      </c>
      <c r="C3730" s="2">
        <v>5.3058500000000004</v>
      </c>
      <c r="D3730" s="2" t="s">
        <v>51</v>
      </c>
      <c r="E3730" s="2" t="s">
        <v>24709</v>
      </c>
      <c r="F3730" s="2">
        <v>199373</v>
      </c>
      <c r="G3730" s="3" t="str">
        <f>HYPERLINK("https://cloud.oebiotech.com/#/lm/network/199373", "https://cloud.oebiotech.com/#/lm/network/199373")</f>
        <v>https://cloud.oebiotech.com/#/lm/network/199373</v>
      </c>
      <c r="H3730" s="2" t="s">
        <v>24710</v>
      </c>
      <c r="I3730" s="2">
        <v>415666</v>
      </c>
      <c r="J3730" s="2"/>
      <c r="K3730" s="2">
        <v>966800</v>
      </c>
      <c r="L3730" s="2"/>
      <c r="M3730" s="2"/>
      <c r="N3730" s="2"/>
      <c r="O3730" s="2"/>
      <c r="P3730" s="2"/>
      <c r="Q3730" s="2"/>
      <c r="R3730" s="2"/>
      <c r="S3730" s="2" t="s">
        <v>24711</v>
      </c>
      <c r="T3730" s="2" t="s">
        <v>24712</v>
      </c>
      <c r="U3730" s="2" t="s">
        <v>610</v>
      </c>
      <c r="V3730" s="2" t="s">
        <v>611</v>
      </c>
      <c r="W3730" s="2" t="s">
        <v>1122</v>
      </c>
      <c r="X3730" s="2" t="s">
        <v>83</v>
      </c>
      <c r="Y3730" s="2">
        <v>42.7</v>
      </c>
      <c r="Z3730" s="2">
        <v>4.43</v>
      </c>
      <c r="AA3730" s="2" t="s">
        <v>218</v>
      </c>
      <c r="AB3730" s="2" t="s">
        <v>24713</v>
      </c>
      <c r="AC3730" s="2">
        <v>-2.0002813010493199</v>
      </c>
      <c r="AD3730" s="2"/>
      <c r="AE3730" s="2">
        <v>0.14248901645017301</v>
      </c>
      <c r="AF3730" s="2">
        <v>1299.97082213251</v>
      </c>
      <c r="AG3730" s="2">
        <v>315.42703856566499</v>
      </c>
      <c r="AH3730" s="5">
        <v>4.1213043372687403</v>
      </c>
      <c r="AI3730" s="5">
        <v>2.0431010032099102</v>
      </c>
      <c r="AJ3730" s="5" t="s">
        <v>139</v>
      </c>
      <c r="AK3730" s="2">
        <v>0.17021952506582</v>
      </c>
      <c r="AL3730" s="2">
        <v>0.491550366774546</v>
      </c>
      <c r="AM3730" s="2">
        <v>988.14549870363203</v>
      </c>
      <c r="AN3730" s="2">
        <v>818.34913730151595</v>
      </c>
      <c r="AO3730" s="2">
        <v>211.739545308505</v>
      </c>
      <c r="AP3730" s="2">
        <v>419.79357304621902</v>
      </c>
      <c r="AQ3730" s="2">
        <v>4554.1129012153397</v>
      </c>
      <c r="AR3730" s="2">
        <v>807.68427721983801</v>
      </c>
      <c r="AS3730" s="2">
        <v>283.52498721428202</v>
      </c>
      <c r="AT3730" s="2">
        <v>63.646250953540303</v>
      </c>
      <c r="AU3730" s="2">
        <v>439.71692643385597</v>
      </c>
      <c r="AV3730" s="2">
        <v>367.26974406683303</v>
      </c>
      <c r="AW3730" s="2">
        <v>139.91784416681901</v>
      </c>
      <c r="AX3730" s="2">
        <v>598.48647855866</v>
      </c>
    </row>
    <row r="3731" spans="1:50" x14ac:dyDescent="0.25">
      <c r="A3731" s="2" t="s">
        <v>24714</v>
      </c>
      <c r="B3731" s="2">
        <v>117.02</v>
      </c>
      <c r="C3731" s="2">
        <v>11.984</v>
      </c>
      <c r="D3731" s="2" t="s">
        <v>125</v>
      </c>
      <c r="E3731" s="2" t="s">
        <v>24715</v>
      </c>
      <c r="F3731" s="2">
        <v>47064</v>
      </c>
      <c r="G3731" s="3" t="str">
        <f>HYPERLINK("https://cloud.oebiotech.com/#/lm/network/47064", "https://cloud.oebiotech.com/#/lm/network/47064")</f>
        <v>https://cloud.oebiotech.com/#/lm/network/47064</v>
      </c>
      <c r="H3731" s="2" t="s">
        <v>24716</v>
      </c>
      <c r="I3731" s="2">
        <v>5484</v>
      </c>
      <c r="J3731" s="2"/>
      <c r="K3731" s="2">
        <v>13120901</v>
      </c>
      <c r="L3731" s="2"/>
      <c r="M3731" s="2"/>
      <c r="N3731" s="2"/>
      <c r="O3731" s="2"/>
      <c r="P3731" s="2"/>
      <c r="Q3731" s="2"/>
      <c r="R3731" s="2" t="s">
        <v>24717</v>
      </c>
      <c r="S3731" s="2" t="s">
        <v>24718</v>
      </c>
      <c r="T3731" s="2" t="s">
        <v>24719</v>
      </c>
      <c r="U3731" s="2" t="s">
        <v>331</v>
      </c>
      <c r="V3731" s="2" t="s">
        <v>332</v>
      </c>
      <c r="W3731" s="2" t="s">
        <v>333</v>
      </c>
      <c r="X3731" s="2" t="s">
        <v>59</v>
      </c>
      <c r="Y3731" s="2">
        <v>77.400000000000006</v>
      </c>
      <c r="Z3731" s="2">
        <v>62.7</v>
      </c>
      <c r="AA3731" s="2"/>
      <c r="AB3731" s="2" t="s">
        <v>16095</v>
      </c>
      <c r="AC3731" s="2"/>
      <c r="AD3731" s="2">
        <v>405120.29243802902</v>
      </c>
      <c r="AE3731" s="2">
        <v>0.14245516872611899</v>
      </c>
      <c r="AF3731" s="2">
        <v>15305.4117079062</v>
      </c>
      <c r="AG3731" s="2">
        <v>4680.3036373872901</v>
      </c>
      <c r="AH3731" s="5">
        <v>3.27017494883094</v>
      </c>
      <c r="AI3731" s="5">
        <v>1.70936781953353</v>
      </c>
      <c r="AJ3731" s="5" t="s">
        <v>139</v>
      </c>
      <c r="AK3731" s="2">
        <v>0.37843642174867598</v>
      </c>
      <c r="AL3731" s="2">
        <v>0.65849268344721301</v>
      </c>
      <c r="AM3731" s="2">
        <v>2299.8352172700202</v>
      </c>
      <c r="AN3731" s="2">
        <v>2299.8352172700202</v>
      </c>
      <c r="AO3731" s="2">
        <v>4881.8622817472597</v>
      </c>
      <c r="AP3731" s="2">
        <v>7516.1250213313297</v>
      </c>
      <c r="AQ3731" s="2">
        <v>72534.977292548807</v>
      </c>
      <c r="AR3731" s="2">
        <v>2299.8352172700202</v>
      </c>
      <c r="AS3731" s="2">
        <v>6040.7034556052404</v>
      </c>
      <c r="AT3731" s="2">
        <v>7603.2527729192598</v>
      </c>
      <c r="AU3731" s="2">
        <v>2299.8352172700202</v>
      </c>
      <c r="AV3731" s="2">
        <v>2299.8352172700202</v>
      </c>
      <c r="AW3731" s="2">
        <v>2299.8352172700202</v>
      </c>
      <c r="AX3731" s="2">
        <v>7538.3599439891505</v>
      </c>
    </row>
    <row r="3732" spans="1:50" x14ac:dyDescent="0.25">
      <c r="A3732" s="2" t="s">
        <v>24720</v>
      </c>
      <c r="B3732" s="2">
        <v>217.159298168361</v>
      </c>
      <c r="C3732" s="2">
        <v>9.8706166666666704</v>
      </c>
      <c r="D3732" s="2" t="s">
        <v>51</v>
      </c>
      <c r="E3732" s="2" t="s">
        <v>24721</v>
      </c>
      <c r="F3732" s="2">
        <v>59750</v>
      </c>
      <c r="G3732" s="3" t="str">
        <f>HYPERLINK("https://cloud.oebiotech.com/#/lm/network/59750", "https://cloud.oebiotech.com/#/lm/network/59750")</f>
        <v>https://cloud.oebiotech.com/#/lm/network/59750</v>
      </c>
      <c r="H3732" s="2" t="s">
        <v>24722</v>
      </c>
      <c r="I3732" s="2">
        <v>91124</v>
      </c>
      <c r="J3732" s="2"/>
      <c r="K3732" s="2">
        <v>5104810</v>
      </c>
      <c r="L3732" s="2"/>
      <c r="M3732" s="2"/>
      <c r="N3732" s="2"/>
      <c r="O3732" s="2"/>
      <c r="P3732" s="2"/>
      <c r="Q3732" s="2"/>
      <c r="R3732" s="2"/>
      <c r="S3732" s="2" t="s">
        <v>24723</v>
      </c>
      <c r="T3732" s="2" t="s">
        <v>24724</v>
      </c>
      <c r="U3732" s="2" t="s">
        <v>56</v>
      </c>
      <c r="V3732" s="2" t="s">
        <v>177</v>
      </c>
      <c r="W3732" s="2" t="s">
        <v>806</v>
      </c>
      <c r="X3732" s="2" t="s">
        <v>83</v>
      </c>
      <c r="Y3732" s="2">
        <v>49.3</v>
      </c>
      <c r="Z3732" s="2">
        <v>0</v>
      </c>
      <c r="AA3732" s="2" t="s">
        <v>156</v>
      </c>
      <c r="AB3732" s="2" t="s">
        <v>4027</v>
      </c>
      <c r="AC3732" s="2">
        <v>2.5899751164788301</v>
      </c>
      <c r="AD3732" s="2"/>
      <c r="AE3732" s="2">
        <v>0.142322967857449</v>
      </c>
      <c r="AF3732" s="2">
        <v>3272.7657131142601</v>
      </c>
      <c r="AG3732" s="2">
        <v>2181.5995514345</v>
      </c>
      <c r="AH3732" s="5">
        <v>1.5001679437283799</v>
      </c>
      <c r="AI3732" s="5">
        <v>0.58512401940203396</v>
      </c>
      <c r="AJ3732" s="5" t="s">
        <v>139</v>
      </c>
      <c r="AK3732" s="2">
        <v>0.109928871061517</v>
      </c>
      <c r="AL3732" s="2">
        <v>0.42227774154037001</v>
      </c>
      <c r="AM3732" s="2">
        <v>1829.97524311099</v>
      </c>
      <c r="AN3732" s="2">
        <v>3047.9063039711</v>
      </c>
      <c r="AO3732" s="2">
        <v>3191.8911538073698</v>
      </c>
      <c r="AP3732" s="2">
        <v>4648.6300703864799</v>
      </c>
      <c r="AQ3732" s="2">
        <v>2846.6716886428999</v>
      </c>
      <c r="AR3732" s="2">
        <v>4071.5198187666902</v>
      </c>
      <c r="AS3732" s="2">
        <v>3704.7859493310798</v>
      </c>
      <c r="AT3732" s="2">
        <v>3400.8014997120399</v>
      </c>
      <c r="AU3732" s="2">
        <v>1072.9009298344499</v>
      </c>
      <c r="AV3732" s="2">
        <v>904.73524811659195</v>
      </c>
      <c r="AW3732" s="2">
        <v>1888.37679583826</v>
      </c>
      <c r="AX3732" s="2">
        <v>2117.9968857745598</v>
      </c>
    </row>
    <row r="3733" spans="1:50" x14ac:dyDescent="0.25">
      <c r="A3733" s="2" t="s">
        <v>24725</v>
      </c>
      <c r="B3733" s="2">
        <v>281.11188264362499</v>
      </c>
      <c r="C3733" s="2">
        <v>3.7296666666666698</v>
      </c>
      <c r="D3733" s="2" t="s">
        <v>51</v>
      </c>
      <c r="E3733" s="2" t="s">
        <v>24726</v>
      </c>
      <c r="F3733" s="2">
        <v>52520</v>
      </c>
      <c r="G3733" s="3" t="str">
        <f>HYPERLINK("https://cloud.oebiotech.com/#/lm/network/52520", "https://cloud.oebiotech.com/#/lm/network/52520")</f>
        <v>https://cloud.oebiotech.com/#/lm/network/52520</v>
      </c>
      <c r="H3733" s="2" t="s">
        <v>24727</v>
      </c>
      <c r="I3733" s="2">
        <v>2132</v>
      </c>
      <c r="J3733" s="2"/>
      <c r="K3733" s="2">
        <v>547559</v>
      </c>
      <c r="L3733" s="2"/>
      <c r="M3733" s="2"/>
      <c r="N3733" s="2"/>
      <c r="O3733" s="2"/>
      <c r="P3733" s="2"/>
      <c r="Q3733" s="2"/>
      <c r="R3733" s="2" t="s">
        <v>24728</v>
      </c>
      <c r="S3733" s="2" t="s">
        <v>24729</v>
      </c>
      <c r="T3733" s="2" t="s">
        <v>24730</v>
      </c>
      <c r="U3733" s="2" t="s">
        <v>266</v>
      </c>
      <c r="V3733" s="2" t="s">
        <v>5547</v>
      </c>
      <c r="W3733" s="2" t="s">
        <v>5548</v>
      </c>
      <c r="X3733" s="2" t="s">
        <v>147</v>
      </c>
      <c r="Y3733" s="2">
        <v>37.1</v>
      </c>
      <c r="Z3733" s="2">
        <v>0</v>
      </c>
      <c r="AA3733" s="2" t="s">
        <v>379</v>
      </c>
      <c r="AB3733" s="2" t="s">
        <v>24731</v>
      </c>
      <c r="AC3733" s="2">
        <v>0.29818136765333197</v>
      </c>
      <c r="AD3733" s="2"/>
      <c r="AE3733" s="2">
        <v>0.142255833800466</v>
      </c>
      <c r="AF3733" s="2">
        <v>38492.335073075999</v>
      </c>
      <c r="AG3733" s="2">
        <v>30520.236005176499</v>
      </c>
      <c r="AH3733" s="5">
        <v>1.26120699284722</v>
      </c>
      <c r="AI3733" s="5">
        <v>0.33480507427599798</v>
      </c>
      <c r="AJ3733" s="5" t="s">
        <v>139</v>
      </c>
      <c r="AK3733" s="2">
        <v>0.51578490190258497</v>
      </c>
      <c r="AL3733" s="2">
        <v>0.74855735297006099</v>
      </c>
      <c r="AM3733" s="2">
        <v>16840.534765530501</v>
      </c>
      <c r="AN3733" s="2">
        <v>6875.1425678083297</v>
      </c>
      <c r="AO3733" s="2">
        <v>55252.404282155301</v>
      </c>
      <c r="AP3733" s="2">
        <v>67951.2221776769</v>
      </c>
      <c r="AQ3733" s="2">
        <v>36656.996033488998</v>
      </c>
      <c r="AR3733" s="2">
        <v>47377.710611795701</v>
      </c>
      <c r="AS3733" s="2">
        <v>33493.015958563003</v>
      </c>
      <c r="AT3733" s="2">
        <v>32806.918221736298</v>
      </c>
      <c r="AU3733" s="2">
        <v>18910.583961025201</v>
      </c>
      <c r="AV3733" s="2">
        <v>14886.9499169064</v>
      </c>
      <c r="AW3733" s="2">
        <v>20694.6414112108</v>
      </c>
      <c r="AX3733" s="2">
        <v>62329.306561617101</v>
      </c>
    </row>
    <row r="3734" spans="1:50" x14ac:dyDescent="0.25">
      <c r="A3734" s="2" t="s">
        <v>24732</v>
      </c>
      <c r="B3734" s="2">
        <v>415.220086482547</v>
      </c>
      <c r="C3734" s="2">
        <v>4.0747666666666698</v>
      </c>
      <c r="D3734" s="2" t="s">
        <v>51</v>
      </c>
      <c r="E3734" s="2" t="s">
        <v>24733</v>
      </c>
      <c r="F3734" s="2">
        <v>115446</v>
      </c>
      <c r="G3734" s="3" t="str">
        <f>HYPERLINK("https://cloud.oebiotech.com/#/lm/network/115446", "https://cloud.oebiotech.com/#/lm/network/115446")</f>
        <v>https://cloud.oebiotech.com/#/lm/network/115446</v>
      </c>
      <c r="H3734" s="2" t="s">
        <v>24734</v>
      </c>
      <c r="I3734" s="2">
        <v>332404</v>
      </c>
      <c r="J3734" s="2"/>
      <c r="K3734" s="2">
        <v>78798</v>
      </c>
      <c r="L3734" s="2"/>
      <c r="M3734" s="2"/>
      <c r="N3734" s="2"/>
      <c r="O3734" s="2">
        <v>44794</v>
      </c>
      <c r="P3734" s="2"/>
      <c r="Q3734" s="2"/>
      <c r="R3734" s="2"/>
      <c r="S3734" s="2" t="s">
        <v>24735</v>
      </c>
      <c r="T3734" s="2" t="s">
        <v>24736</v>
      </c>
      <c r="U3734" s="2" t="s">
        <v>331</v>
      </c>
      <c r="V3734" s="2" t="s">
        <v>332</v>
      </c>
      <c r="W3734" s="2" t="s">
        <v>511</v>
      </c>
      <c r="X3734" s="2" t="s">
        <v>59</v>
      </c>
      <c r="Y3734" s="2">
        <v>51</v>
      </c>
      <c r="Z3734" s="2">
        <v>62.2</v>
      </c>
      <c r="AA3734" s="2" t="s">
        <v>218</v>
      </c>
      <c r="AB3734" s="2" t="s">
        <v>24737</v>
      </c>
      <c r="AC3734" s="2">
        <v>4.3243069116167598</v>
      </c>
      <c r="AD3734" s="2"/>
      <c r="AE3734" s="2">
        <v>0.14224069018574401</v>
      </c>
      <c r="AF3734" s="2">
        <v>31397.454234643199</v>
      </c>
      <c r="AG3734" s="2">
        <v>26896.584506272298</v>
      </c>
      <c r="AH3734" s="5">
        <v>1.16733982440489</v>
      </c>
      <c r="AI3734" s="5">
        <v>0.223224605275363</v>
      </c>
      <c r="AJ3734" s="5" t="s">
        <v>139</v>
      </c>
      <c r="AK3734" s="2">
        <v>0.77934277188712497</v>
      </c>
      <c r="AL3734" s="2">
        <v>0.902997274920738</v>
      </c>
      <c r="AM3734" s="2">
        <v>52349.460902989398</v>
      </c>
      <c r="AN3734" s="2">
        <v>16779.875033943299</v>
      </c>
      <c r="AO3734" s="2">
        <v>36067.147232083102</v>
      </c>
      <c r="AP3734" s="2">
        <v>9416.9632831343406</v>
      </c>
      <c r="AQ3734" s="2">
        <v>9029.6084480988793</v>
      </c>
      <c r="AR3734" s="2">
        <v>64741.670507610099</v>
      </c>
      <c r="AS3734" s="2">
        <v>8.559877937157E-6</v>
      </c>
      <c r="AT3734" s="2">
        <v>3181.9626861214801</v>
      </c>
      <c r="AU3734" s="2">
        <v>19034.187409535902</v>
      </c>
      <c r="AV3734" s="2">
        <v>83346.3250929856</v>
      </c>
      <c r="AW3734" s="2">
        <v>24104.820275981001</v>
      </c>
      <c r="AX3734" s="2">
        <v>31712.211564450099</v>
      </c>
    </row>
    <row r="3735" spans="1:50" x14ac:dyDescent="0.25">
      <c r="A3735" s="2" t="s">
        <v>24738</v>
      </c>
      <c r="B3735" s="2">
        <v>355.23949987435799</v>
      </c>
      <c r="C3735" s="2">
        <v>8.3100500000000004</v>
      </c>
      <c r="D3735" s="2" t="s">
        <v>51</v>
      </c>
      <c r="E3735" s="2" t="s">
        <v>24739</v>
      </c>
      <c r="F3735" s="2">
        <v>295893</v>
      </c>
      <c r="G3735" s="3" t="str">
        <f>HYPERLINK("https://cloud.oebiotech.com/#/lm/network/295893", "https://cloud.oebiotech.com/#/lm/network/295893")</f>
        <v>https://cloud.oebiotech.com/#/lm/network/295893</v>
      </c>
      <c r="H3735" s="2"/>
      <c r="I3735" s="2">
        <v>320223</v>
      </c>
      <c r="J3735" s="2"/>
      <c r="K3735" s="2">
        <v>83656</v>
      </c>
      <c r="L3735" s="2"/>
      <c r="M3735" s="2"/>
      <c r="N3735" s="2"/>
      <c r="O3735" s="2"/>
      <c r="P3735" s="2"/>
      <c r="Q3735" s="2"/>
      <c r="R3735" s="2"/>
      <c r="S3735" s="2" t="s">
        <v>24740</v>
      </c>
      <c r="T3735" s="2" t="s">
        <v>24741</v>
      </c>
      <c r="U3735" s="2" t="s">
        <v>610</v>
      </c>
      <c r="V3735" s="2" t="s">
        <v>611</v>
      </c>
      <c r="W3735" s="2" t="s">
        <v>2327</v>
      </c>
      <c r="X3735" s="2" t="s">
        <v>147</v>
      </c>
      <c r="Y3735" s="2">
        <v>36.299999999999997</v>
      </c>
      <c r="Z3735" s="2">
        <v>0</v>
      </c>
      <c r="AA3735" s="2" t="s">
        <v>218</v>
      </c>
      <c r="AB3735" s="2" t="s">
        <v>24742</v>
      </c>
      <c r="AC3735" s="2">
        <v>1.2829793206901701</v>
      </c>
      <c r="AD3735" s="2"/>
      <c r="AE3735" s="2">
        <v>0.141887735213128</v>
      </c>
      <c r="AF3735" s="2">
        <v>725.79563520313798</v>
      </c>
      <c r="AG3735" s="2">
        <v>255.79276563047199</v>
      </c>
      <c r="AH3735" s="5">
        <v>2.8374361308233902</v>
      </c>
      <c r="AI3735" s="5">
        <v>1.5045879184717801</v>
      </c>
      <c r="AJ3735" s="5" t="s">
        <v>139</v>
      </c>
      <c r="AK3735" s="2">
        <v>0.110281665579268</v>
      </c>
      <c r="AL3735" s="2">
        <v>0.42261842103963698</v>
      </c>
      <c r="AM3735" s="2">
        <v>1617.3805661306601</v>
      </c>
      <c r="AN3735" s="2">
        <v>1275.2259901704299</v>
      </c>
      <c r="AO3735" s="2">
        <v>220.56146382962001</v>
      </c>
      <c r="AP3735" s="2">
        <v>93.412694836078899</v>
      </c>
      <c r="AQ3735" s="2">
        <v>740.04555737515795</v>
      </c>
      <c r="AR3735" s="2">
        <v>408.147538876883</v>
      </c>
      <c r="AS3735" s="2">
        <v>229.92420063011301</v>
      </c>
      <c r="AT3735" s="2">
        <v>8.559877937157E-6</v>
      </c>
      <c r="AU3735" s="2">
        <v>619.41155021517397</v>
      </c>
      <c r="AV3735" s="2">
        <v>23.833223362394701</v>
      </c>
      <c r="AW3735" s="2">
        <v>185.901957863208</v>
      </c>
      <c r="AX3735" s="2">
        <v>475.685653152062</v>
      </c>
    </row>
    <row r="3736" spans="1:50" x14ac:dyDescent="0.25">
      <c r="A3736" s="2" t="s">
        <v>24743</v>
      </c>
      <c r="B3736" s="2">
        <v>696.50637219827195</v>
      </c>
      <c r="C3736" s="2">
        <v>14.716366666666699</v>
      </c>
      <c r="D3736" s="2" t="s">
        <v>51</v>
      </c>
      <c r="E3736" s="2" t="s">
        <v>24744</v>
      </c>
      <c r="F3736" s="2">
        <v>243261</v>
      </c>
      <c r="G3736" s="3" t="str">
        <f>HYPERLINK("https://cloud.oebiotech.com/#/lm/network/243261", "https://cloud.oebiotech.com/#/lm/network/243261")</f>
        <v>https://cloud.oebiotech.com/#/lm/network/243261</v>
      </c>
      <c r="H3736" s="2" t="s">
        <v>24745</v>
      </c>
      <c r="I3736" s="2"/>
      <c r="J3736" s="2"/>
      <c r="K3736" s="2"/>
      <c r="L3736" s="2"/>
      <c r="M3736" s="2"/>
      <c r="N3736" s="2"/>
      <c r="O3736" s="2"/>
      <c r="P3736" s="2"/>
      <c r="Q3736" s="2"/>
      <c r="R3736" s="2"/>
      <c r="S3736" s="2" t="s">
        <v>24746</v>
      </c>
      <c r="T3736" s="2" t="s">
        <v>24747</v>
      </c>
      <c r="U3736" s="2" t="s">
        <v>56</v>
      </c>
      <c r="V3736" s="2" t="s">
        <v>344</v>
      </c>
      <c r="W3736" s="2" t="s">
        <v>3012</v>
      </c>
      <c r="X3736" s="2" t="s">
        <v>147</v>
      </c>
      <c r="Y3736" s="2">
        <v>36.799999999999997</v>
      </c>
      <c r="Z3736" s="2">
        <v>0</v>
      </c>
      <c r="AA3736" s="2" t="s">
        <v>218</v>
      </c>
      <c r="AB3736" s="2" t="s">
        <v>24748</v>
      </c>
      <c r="AC3736" s="2">
        <v>1.17538759818601</v>
      </c>
      <c r="AD3736" s="2"/>
      <c r="AE3736" s="2">
        <v>0.141828496173659</v>
      </c>
      <c r="AF3736" s="2">
        <v>10601.5252801061</v>
      </c>
      <c r="AG3736" s="2">
        <v>13530.1034441514</v>
      </c>
      <c r="AH3736" s="4">
        <v>0.78355094060192099</v>
      </c>
      <c r="AI3736" s="4">
        <v>-0.35190102393580103</v>
      </c>
      <c r="AJ3736" s="4" t="s">
        <v>62</v>
      </c>
      <c r="AK3736" s="2">
        <v>0.381073358184427</v>
      </c>
      <c r="AL3736" s="2">
        <v>0.65913977412323299</v>
      </c>
      <c r="AM3736" s="2">
        <v>15622.0868493906</v>
      </c>
      <c r="AN3736" s="2">
        <v>11052.327148257</v>
      </c>
      <c r="AO3736" s="2">
        <v>7649.4849963402103</v>
      </c>
      <c r="AP3736" s="2">
        <v>9402.1076935628698</v>
      </c>
      <c r="AQ3736" s="2">
        <v>8973.0055016693404</v>
      </c>
      <c r="AR3736" s="2">
        <v>10910.139491416499</v>
      </c>
      <c r="AS3736" s="2">
        <v>8737.4624329218095</v>
      </c>
      <c r="AT3736" s="2">
        <v>8474.6579749890407</v>
      </c>
      <c r="AU3736" s="2">
        <v>27846.2008986361</v>
      </c>
      <c r="AV3736" s="2">
        <v>10165.5969667302</v>
      </c>
      <c r="AW3736" s="2">
        <v>11809.917636719299</v>
      </c>
      <c r="AX3736" s="2">
        <v>14146.7847549117</v>
      </c>
    </row>
    <row r="3737" spans="1:50" x14ac:dyDescent="0.25">
      <c r="A3737" s="2" t="s">
        <v>24749</v>
      </c>
      <c r="B3737" s="2">
        <v>272.25903981264798</v>
      </c>
      <c r="C3737" s="2">
        <v>10.926</v>
      </c>
      <c r="D3737" s="2" t="s">
        <v>51</v>
      </c>
      <c r="E3737" s="2" t="s">
        <v>24750</v>
      </c>
      <c r="F3737" s="2">
        <v>7795</v>
      </c>
      <c r="G3737" s="3" t="str">
        <f>HYPERLINK("https://cloud.oebiotech.com/#/lm/network/7795", "https://cloud.oebiotech.com/#/lm/network/7795")</f>
        <v>https://cloud.oebiotech.com/#/lm/network/7795</v>
      </c>
      <c r="H3737" s="2"/>
      <c r="I3737" s="2">
        <v>97407</v>
      </c>
      <c r="J3737" s="2" t="s">
        <v>24751</v>
      </c>
      <c r="K3737" s="2">
        <v>7984</v>
      </c>
      <c r="L3737" s="2"/>
      <c r="M3737" s="2"/>
      <c r="N3737" s="2"/>
      <c r="O3737" s="2"/>
      <c r="P3737" s="2"/>
      <c r="Q3737" s="2"/>
      <c r="R3737" s="2"/>
      <c r="S3737" s="2" t="s">
        <v>24752</v>
      </c>
      <c r="T3737" s="2" t="s">
        <v>24753</v>
      </c>
      <c r="U3737" s="2" t="s">
        <v>540</v>
      </c>
      <c r="V3737" s="2" t="s">
        <v>563</v>
      </c>
      <c r="W3737" s="2" t="s">
        <v>240</v>
      </c>
      <c r="X3737" s="2" t="s">
        <v>83</v>
      </c>
      <c r="Y3737" s="2">
        <v>41.3</v>
      </c>
      <c r="Z3737" s="2">
        <v>0</v>
      </c>
      <c r="AA3737" s="2" t="s">
        <v>512</v>
      </c>
      <c r="AB3737" s="2" t="s">
        <v>7748</v>
      </c>
      <c r="AC3737" s="2">
        <v>2.4941782884592301</v>
      </c>
      <c r="AD3737" s="2"/>
      <c r="AE3737" s="2">
        <v>0.14180049089413099</v>
      </c>
      <c r="AF3737" s="2">
        <v>673.62947833169903</v>
      </c>
      <c r="AG3737" s="2">
        <v>1570.3487183396601</v>
      </c>
      <c r="AH3737" s="4">
        <v>0.42896808235302802</v>
      </c>
      <c r="AI3737" s="4">
        <v>-1.22105778782468</v>
      </c>
      <c r="AJ3737" s="4" t="s">
        <v>62</v>
      </c>
      <c r="AK3737" s="2">
        <v>9.3639424403931595E-2</v>
      </c>
      <c r="AL3737" s="2">
        <v>0.39400231232185801</v>
      </c>
      <c r="AM3737" s="2">
        <v>270.64563789987398</v>
      </c>
      <c r="AN3737" s="2">
        <v>602.61988517241605</v>
      </c>
      <c r="AO3737" s="2">
        <v>945.10804470093399</v>
      </c>
      <c r="AP3737" s="2">
        <v>363.45586537859202</v>
      </c>
      <c r="AQ3737" s="2">
        <v>971.43640435384805</v>
      </c>
      <c r="AR3737" s="2">
        <v>888.51103248452796</v>
      </c>
      <c r="AS3737" s="2">
        <v>722.72644112799298</v>
      </c>
      <c r="AT3737" s="2">
        <v>1229.6468012999601</v>
      </c>
      <c r="AU3737" s="2">
        <v>3873.9822193127702</v>
      </c>
      <c r="AV3737" s="2">
        <v>1199.3547426975299</v>
      </c>
      <c r="AW3737" s="2">
        <v>1187.2742273602501</v>
      </c>
      <c r="AX3737" s="2">
        <v>1209.10787823945</v>
      </c>
    </row>
    <row r="3738" spans="1:50" x14ac:dyDescent="0.25">
      <c r="A3738" s="2" t="s">
        <v>24754</v>
      </c>
      <c r="B3738" s="2">
        <v>429.17836029304402</v>
      </c>
      <c r="C3738" s="2">
        <v>4.23708333333333</v>
      </c>
      <c r="D3738" s="2" t="s">
        <v>51</v>
      </c>
      <c r="E3738" s="2" t="s">
        <v>24755</v>
      </c>
      <c r="F3738" s="2">
        <v>58472</v>
      </c>
      <c r="G3738" s="3" t="str">
        <f>HYPERLINK("https://cloud.oebiotech.com/#/lm/network/58472", "https://cloud.oebiotech.com/#/lm/network/58472")</f>
        <v>https://cloud.oebiotech.com/#/lm/network/58472</v>
      </c>
      <c r="H3738" s="2" t="s">
        <v>24756</v>
      </c>
      <c r="I3738" s="2">
        <v>89941</v>
      </c>
      <c r="J3738" s="2"/>
      <c r="K3738" s="2">
        <v>13964509</v>
      </c>
      <c r="L3738" s="2"/>
      <c r="M3738" s="2"/>
      <c r="N3738" s="2"/>
      <c r="O3738" s="2">
        <v>168356</v>
      </c>
      <c r="P3738" s="2"/>
      <c r="Q3738" s="2"/>
      <c r="R3738" s="2" t="s">
        <v>24757</v>
      </c>
      <c r="S3738" s="2" t="s">
        <v>24758</v>
      </c>
      <c r="T3738" s="2" t="s">
        <v>24759</v>
      </c>
      <c r="U3738" s="2" t="s">
        <v>331</v>
      </c>
      <c r="V3738" s="2" t="s">
        <v>332</v>
      </c>
      <c r="W3738" s="2" t="s">
        <v>333</v>
      </c>
      <c r="X3738" s="2" t="s">
        <v>83</v>
      </c>
      <c r="Y3738" s="2">
        <v>46.5</v>
      </c>
      <c r="Z3738" s="2">
        <v>0</v>
      </c>
      <c r="AA3738" s="2" t="s">
        <v>259</v>
      </c>
      <c r="AB3738" s="2" t="s">
        <v>24760</v>
      </c>
      <c r="AC3738" s="2">
        <v>6.62535697933646</v>
      </c>
      <c r="AD3738" s="2"/>
      <c r="AE3738" s="2">
        <v>0.14172701183459099</v>
      </c>
      <c r="AF3738" s="2">
        <v>4631.8212304102299</v>
      </c>
      <c r="AG3738" s="2">
        <v>3851.2136477785798</v>
      </c>
      <c r="AH3738" s="5">
        <v>1.2026913212363399</v>
      </c>
      <c r="AI3738" s="5">
        <v>0.266266412700982</v>
      </c>
      <c r="AJ3738" s="5" t="s">
        <v>139</v>
      </c>
      <c r="AK3738" s="2">
        <v>0.433889128451801</v>
      </c>
      <c r="AL3738" s="2">
        <v>0.69135795910315101</v>
      </c>
      <c r="AM3738" s="2">
        <v>5599.96301300496</v>
      </c>
      <c r="AN3738" s="2">
        <v>4282.9422819944102</v>
      </c>
      <c r="AO3738" s="2">
        <v>6045.0070002738303</v>
      </c>
      <c r="AP3738" s="2">
        <v>2566.8363451516302</v>
      </c>
      <c r="AQ3738" s="2">
        <v>3566.8177643870899</v>
      </c>
      <c r="AR3738" s="2">
        <v>5729.3609776494804</v>
      </c>
      <c r="AS3738" s="2">
        <v>2926.72727677086</v>
      </c>
      <c r="AT3738" s="2">
        <v>2451.5127180608802</v>
      </c>
      <c r="AU3738" s="2">
        <v>7192.9858392765</v>
      </c>
      <c r="AV3738" s="2">
        <v>5041.7664776401898</v>
      </c>
      <c r="AW3738" s="2">
        <v>2694.8763067838099</v>
      </c>
      <c r="AX3738" s="2">
        <v>2799.4132681392298</v>
      </c>
    </row>
    <row r="3739" spans="1:50" x14ac:dyDescent="0.25">
      <c r="A3739" s="2" t="s">
        <v>24761</v>
      </c>
      <c r="B3739" s="2">
        <v>516.24305523602698</v>
      </c>
      <c r="C3739" s="2">
        <v>4.0250333333333304</v>
      </c>
      <c r="D3739" s="2" t="s">
        <v>51</v>
      </c>
      <c r="E3739" s="2" t="s">
        <v>24762</v>
      </c>
      <c r="F3739" s="2">
        <v>35320</v>
      </c>
      <c r="G3739" s="3" t="str">
        <f>HYPERLINK("https://cloud.oebiotech.com/#/lm/network/35320", "https://cloud.oebiotech.com/#/lm/network/35320")</f>
        <v>https://cloud.oebiotech.com/#/lm/network/35320</v>
      </c>
      <c r="H3739" s="2"/>
      <c r="I3739" s="2">
        <v>41172</v>
      </c>
      <c r="J3739" s="2" t="s">
        <v>24763</v>
      </c>
      <c r="K3739" s="2">
        <v>443339</v>
      </c>
      <c r="L3739" s="2" t="s">
        <v>24764</v>
      </c>
      <c r="M3739" s="2"/>
      <c r="N3739" s="2"/>
      <c r="O3739" s="2">
        <v>2319</v>
      </c>
      <c r="P3739" s="2"/>
      <c r="Q3739" s="2"/>
      <c r="R3739" s="2"/>
      <c r="S3739" s="2" t="s">
        <v>24765</v>
      </c>
      <c r="T3739" s="2" t="s">
        <v>24766</v>
      </c>
      <c r="U3739" s="2" t="s">
        <v>56</v>
      </c>
      <c r="V3739" s="2" t="s">
        <v>177</v>
      </c>
      <c r="W3739" s="2" t="s">
        <v>394</v>
      </c>
      <c r="X3739" s="2" t="s">
        <v>147</v>
      </c>
      <c r="Y3739" s="2">
        <v>38.1</v>
      </c>
      <c r="Z3739" s="2">
        <v>0</v>
      </c>
      <c r="AA3739" s="2" t="s">
        <v>512</v>
      </c>
      <c r="AB3739" s="2" t="s">
        <v>24767</v>
      </c>
      <c r="AC3739" s="2">
        <v>-1.7707378714978099</v>
      </c>
      <c r="AD3739" s="2"/>
      <c r="AE3739" s="2">
        <v>0.14170428230087401</v>
      </c>
      <c r="AF3739" s="2">
        <v>4902.0839680277604</v>
      </c>
      <c r="AG3739" s="2">
        <v>3395.0371678463798</v>
      </c>
      <c r="AH3739" s="5">
        <v>1.4438969960194501</v>
      </c>
      <c r="AI3739" s="5">
        <v>0.52996782765977601</v>
      </c>
      <c r="AJ3739" s="5" t="s">
        <v>139</v>
      </c>
      <c r="AK3739" s="2">
        <v>0.28853804495125501</v>
      </c>
      <c r="AL3739" s="2">
        <v>0.602926180326806</v>
      </c>
      <c r="AM3739" s="2">
        <v>2820.5095601865701</v>
      </c>
      <c r="AN3739" s="2">
        <v>4607.8015032699104</v>
      </c>
      <c r="AO3739" s="2">
        <v>6361.62059276747</v>
      </c>
      <c r="AP3739" s="2">
        <v>3287.1186546959698</v>
      </c>
      <c r="AQ3739" s="2">
        <v>7190.07470639029</v>
      </c>
      <c r="AR3739" s="2">
        <v>5145.37879085636</v>
      </c>
      <c r="AS3739" s="2">
        <v>8.559877937157E-6</v>
      </c>
      <c r="AT3739" s="2">
        <v>1557.80622923025</v>
      </c>
      <c r="AU3739" s="2">
        <v>2771.4949413530499</v>
      </c>
      <c r="AV3739" s="2">
        <v>5104.4416921212396</v>
      </c>
      <c r="AW3739" s="2">
        <v>2921.4766302859098</v>
      </c>
      <c r="AX3739" s="2">
        <v>8015.0035055279704</v>
      </c>
    </row>
    <row r="3740" spans="1:50" x14ac:dyDescent="0.25">
      <c r="A3740" s="2" t="s">
        <v>24768</v>
      </c>
      <c r="B3740" s="2">
        <v>564.33067830846301</v>
      </c>
      <c r="C3740" s="2">
        <v>10.926083333333301</v>
      </c>
      <c r="D3740" s="2" t="s">
        <v>51</v>
      </c>
      <c r="E3740" s="2" t="s">
        <v>24769</v>
      </c>
      <c r="F3740" s="2">
        <v>19838</v>
      </c>
      <c r="G3740" s="3" t="str">
        <f>HYPERLINK("https://cloud.oebiotech.com/#/lm/network/19838", "https://cloud.oebiotech.com/#/lm/network/19838")</f>
        <v>https://cloud.oebiotech.com/#/lm/network/19838</v>
      </c>
      <c r="H3740" s="2"/>
      <c r="I3740" s="2">
        <v>40300</v>
      </c>
      <c r="J3740" s="2" t="s">
        <v>24770</v>
      </c>
      <c r="K3740" s="2">
        <v>24779467</v>
      </c>
      <c r="L3740" s="2"/>
      <c r="M3740" s="2"/>
      <c r="N3740" s="2"/>
      <c r="O3740" s="2"/>
      <c r="P3740" s="2"/>
      <c r="Q3740" s="2"/>
      <c r="R3740" s="2"/>
      <c r="S3740" s="2" t="s">
        <v>24771</v>
      </c>
      <c r="T3740" s="2" t="s">
        <v>24772</v>
      </c>
      <c r="U3740" s="2" t="s">
        <v>56</v>
      </c>
      <c r="V3740" s="2" t="s">
        <v>57</v>
      </c>
      <c r="W3740" s="2" t="s">
        <v>58</v>
      </c>
      <c r="X3740" s="2" t="s">
        <v>83</v>
      </c>
      <c r="Y3740" s="2">
        <v>48.5</v>
      </c>
      <c r="Z3740" s="2">
        <v>0</v>
      </c>
      <c r="AA3740" s="2" t="s">
        <v>218</v>
      </c>
      <c r="AB3740" s="2" t="s">
        <v>71</v>
      </c>
      <c r="AC3740" s="2">
        <v>-2.7221013926658599E-2</v>
      </c>
      <c r="AD3740" s="2"/>
      <c r="AE3740" s="2">
        <v>0.141418922788626</v>
      </c>
      <c r="AF3740" s="2">
        <v>5534.7195366026299</v>
      </c>
      <c r="AG3740" s="2">
        <v>6605.6227412803</v>
      </c>
      <c r="AH3740" s="4">
        <v>0.83788005361170403</v>
      </c>
      <c r="AI3740" s="4">
        <v>-0.25518436462042798</v>
      </c>
      <c r="AJ3740" s="4" t="s">
        <v>62</v>
      </c>
      <c r="AK3740" s="2">
        <v>0.32932771404102501</v>
      </c>
      <c r="AL3740" s="2">
        <v>0.63135842857913305</v>
      </c>
      <c r="AM3740" s="2">
        <v>5495.5792161672698</v>
      </c>
      <c r="AN3740" s="2">
        <v>8345.3899139504501</v>
      </c>
      <c r="AO3740" s="2">
        <v>5808.8562415683</v>
      </c>
      <c r="AP3740" s="2">
        <v>3513.5345706265898</v>
      </c>
      <c r="AQ3740" s="2">
        <v>4320.4984758782402</v>
      </c>
      <c r="AR3740" s="2">
        <v>5724.4588014249102</v>
      </c>
      <c r="AS3740" s="2">
        <v>5301.18661050847</v>
      </c>
      <c r="AT3740" s="2">
        <v>4120.0550481895598</v>
      </c>
      <c r="AU3740" s="2">
        <v>5163.3456753051596</v>
      </c>
      <c r="AV3740" s="2">
        <v>8149.0652879516401</v>
      </c>
      <c r="AW3740" s="2">
        <v>8416.8504900275002</v>
      </c>
      <c r="AX3740" s="2">
        <v>8483.2333356994604</v>
      </c>
    </row>
    <row r="3741" spans="1:50" x14ac:dyDescent="0.25">
      <c r="A3741" s="2" t="s">
        <v>24773</v>
      </c>
      <c r="B3741" s="2">
        <v>296.29566427498099</v>
      </c>
      <c r="C3741" s="2">
        <v>13.263166666666701</v>
      </c>
      <c r="D3741" s="2" t="s">
        <v>51</v>
      </c>
      <c r="E3741" s="2" t="s">
        <v>24774</v>
      </c>
      <c r="F3741" s="2">
        <v>10087</v>
      </c>
      <c r="G3741" s="3" t="str">
        <f>HYPERLINK("https://cloud.oebiotech.com/#/lm/network/10087", "https://cloud.oebiotech.com/#/lm/network/10087")</f>
        <v>https://cloud.oebiotech.com/#/lm/network/10087</v>
      </c>
      <c r="H3741" s="2"/>
      <c r="I3741" s="2">
        <v>98292</v>
      </c>
      <c r="J3741" s="2" t="s">
        <v>24775</v>
      </c>
      <c r="K3741" s="2">
        <v>56936254</v>
      </c>
      <c r="L3741" s="2"/>
      <c r="M3741" s="2"/>
      <c r="N3741" s="2"/>
      <c r="O3741" s="2"/>
      <c r="P3741" s="2"/>
      <c r="Q3741" s="2"/>
      <c r="R3741" s="2"/>
      <c r="S3741" s="2" t="s">
        <v>24776</v>
      </c>
      <c r="T3741" s="2" t="s">
        <v>24777</v>
      </c>
      <c r="U3741" s="2" t="s">
        <v>266</v>
      </c>
      <c r="V3741" s="2" t="s">
        <v>1593</v>
      </c>
      <c r="W3741" s="2" t="s">
        <v>240</v>
      </c>
      <c r="X3741" s="2" t="s">
        <v>69</v>
      </c>
      <c r="Y3741" s="2">
        <v>61.6</v>
      </c>
      <c r="Z3741" s="2">
        <v>89.1</v>
      </c>
      <c r="AA3741" s="2" t="s">
        <v>512</v>
      </c>
      <c r="AB3741" s="2" t="s">
        <v>10991</v>
      </c>
      <c r="AC3741" s="2">
        <v>3.1374685942153202</v>
      </c>
      <c r="AD3741" s="2"/>
      <c r="AE3741" s="2">
        <v>0.14124769937715001</v>
      </c>
      <c r="AF3741" s="2">
        <v>20017.361546919801</v>
      </c>
      <c r="AG3741" s="2">
        <v>23766.791784998499</v>
      </c>
      <c r="AH3741" s="4">
        <v>0.84224079244699201</v>
      </c>
      <c r="AI3741" s="4">
        <v>-0.24769534329892101</v>
      </c>
      <c r="AJ3741" s="4" t="s">
        <v>62</v>
      </c>
      <c r="AK3741" s="2">
        <v>0.869914889983885</v>
      </c>
      <c r="AL3741" s="2">
        <v>0.94349373435044304</v>
      </c>
      <c r="AM3741" s="2">
        <v>8.559877937157E-6</v>
      </c>
      <c r="AN3741" s="2">
        <v>8.559877937157E-6</v>
      </c>
      <c r="AO3741" s="2">
        <v>87054.948554664399</v>
      </c>
      <c r="AP3741" s="2">
        <v>8.559877937157E-6</v>
      </c>
      <c r="AQ3741" s="2">
        <v>31618.862461078799</v>
      </c>
      <c r="AR3741" s="2">
        <v>1430.3582400958501</v>
      </c>
      <c r="AS3741" s="2">
        <v>105989.228597006</v>
      </c>
      <c r="AT3741" s="2">
        <v>8.559877937157E-6</v>
      </c>
      <c r="AU3741" s="2">
        <v>29928.150991388498</v>
      </c>
      <c r="AV3741" s="2">
        <v>3280.9846529820202</v>
      </c>
      <c r="AW3741" s="2">
        <v>3402.3864514945999</v>
      </c>
      <c r="AX3741" s="2">
        <v>8.559877937157E-6</v>
      </c>
    </row>
    <row r="3742" spans="1:50" x14ac:dyDescent="0.25">
      <c r="A3742" s="2" t="s">
        <v>24778</v>
      </c>
      <c r="B3742" s="2">
        <v>201.12389121357401</v>
      </c>
      <c r="C3742" s="2">
        <v>4.4640000000000004</v>
      </c>
      <c r="D3742" s="2" t="s">
        <v>51</v>
      </c>
      <c r="E3742" s="2" t="s">
        <v>24779</v>
      </c>
      <c r="F3742" s="2">
        <v>47992</v>
      </c>
      <c r="G3742" s="3" t="str">
        <f>HYPERLINK("https://cloud.oebiotech.com/#/lm/network/47992", "https://cloud.oebiotech.com/#/lm/network/47992")</f>
        <v>https://cloud.oebiotech.com/#/lm/network/47992</v>
      </c>
      <c r="H3742" s="2" t="s">
        <v>24780</v>
      </c>
      <c r="I3742" s="2">
        <v>1217</v>
      </c>
      <c r="J3742" s="2"/>
      <c r="K3742" s="2">
        <v>3917</v>
      </c>
      <c r="L3742" s="2" t="s">
        <v>24781</v>
      </c>
      <c r="M3742" s="2"/>
      <c r="N3742" s="2"/>
      <c r="O3742" s="2">
        <v>142891</v>
      </c>
      <c r="P3742" s="2"/>
      <c r="Q3742" s="2"/>
      <c r="R3742" s="2" t="s">
        <v>24782</v>
      </c>
      <c r="S3742" s="2" t="s">
        <v>24783</v>
      </c>
      <c r="T3742" s="2" t="s">
        <v>24784</v>
      </c>
      <c r="U3742" s="2" t="s">
        <v>610</v>
      </c>
      <c r="V3742" s="2" t="s">
        <v>611</v>
      </c>
      <c r="W3742" s="2" t="s">
        <v>2744</v>
      </c>
      <c r="X3742" s="2" t="s">
        <v>147</v>
      </c>
      <c r="Y3742" s="2">
        <v>38.5</v>
      </c>
      <c r="Z3742" s="2">
        <v>0</v>
      </c>
      <c r="AA3742" s="2" t="s">
        <v>512</v>
      </c>
      <c r="AB3742" s="2" t="s">
        <v>24785</v>
      </c>
      <c r="AC3742" s="2">
        <v>2.8532660848578599</v>
      </c>
      <c r="AD3742" s="2"/>
      <c r="AE3742" s="2">
        <v>0.14119958928421</v>
      </c>
      <c r="AF3742" s="2">
        <v>1253.3799708279601</v>
      </c>
      <c r="AG3742" s="2">
        <v>500.751703699399</v>
      </c>
      <c r="AH3742" s="5">
        <v>2.50299691757087</v>
      </c>
      <c r="AI3742" s="5">
        <v>1.32365651435507</v>
      </c>
      <c r="AJ3742" s="5" t="s">
        <v>139</v>
      </c>
      <c r="AK3742" s="2">
        <v>0.108837100971945</v>
      </c>
      <c r="AL3742" s="2">
        <v>0.420407201347063</v>
      </c>
      <c r="AM3742" s="2">
        <v>1134.9683458505699</v>
      </c>
      <c r="AN3742" s="2">
        <v>189.65746719035599</v>
      </c>
      <c r="AO3742" s="2">
        <v>1816.39005589157</v>
      </c>
      <c r="AP3742" s="2">
        <v>170.606730185077</v>
      </c>
      <c r="AQ3742" s="2">
        <v>1764.83351248963</v>
      </c>
      <c r="AR3742" s="2">
        <v>2443.8237133605498</v>
      </c>
      <c r="AS3742" s="2">
        <v>1322.8640568339699</v>
      </c>
      <c r="AT3742" s="2">
        <v>701.07333868409205</v>
      </c>
      <c r="AU3742" s="2">
        <v>403.97175168346803</v>
      </c>
      <c r="AV3742" s="2">
        <v>515.92912477636696</v>
      </c>
      <c r="AW3742" s="2">
        <v>8.559877937157E-6</v>
      </c>
      <c r="AX3742" s="2">
        <v>60.671941658617499</v>
      </c>
    </row>
    <row r="3743" spans="1:50" x14ac:dyDescent="0.25">
      <c r="A3743" s="2" t="s">
        <v>24786</v>
      </c>
      <c r="B3743" s="2">
        <v>202.08770000000001</v>
      </c>
      <c r="C3743" s="2">
        <v>20.312000000000001</v>
      </c>
      <c r="D3743" s="2" t="s">
        <v>125</v>
      </c>
      <c r="E3743" s="2" t="s">
        <v>24787</v>
      </c>
      <c r="F3743" s="2">
        <v>46925</v>
      </c>
      <c r="G3743" s="3" t="str">
        <f>HYPERLINK("https://cloud.oebiotech.com/#/lm/network/46925", "https://cloud.oebiotech.com/#/lm/network/46925")</f>
        <v>https://cloud.oebiotech.com/#/lm/network/46925</v>
      </c>
      <c r="H3743" s="2" t="s">
        <v>24788</v>
      </c>
      <c r="I3743" s="2">
        <v>70</v>
      </c>
      <c r="J3743" s="2"/>
      <c r="K3743" s="2">
        <v>802</v>
      </c>
      <c r="L3743" s="2" t="s">
        <v>24789</v>
      </c>
      <c r="M3743" s="2" t="s">
        <v>15319</v>
      </c>
      <c r="N3743" s="2" t="s">
        <v>15320</v>
      </c>
      <c r="O3743" s="2">
        <v>16411</v>
      </c>
      <c r="P3743" s="2"/>
      <c r="Q3743" s="2"/>
      <c r="R3743" s="2" t="s">
        <v>24790</v>
      </c>
      <c r="S3743" s="2" t="s">
        <v>24791</v>
      </c>
      <c r="T3743" s="2" t="s">
        <v>24792</v>
      </c>
      <c r="U3743" s="2" t="s">
        <v>266</v>
      </c>
      <c r="V3743" s="2" t="s">
        <v>445</v>
      </c>
      <c r="W3743" s="2" t="s">
        <v>3768</v>
      </c>
      <c r="X3743" s="2" t="s">
        <v>69</v>
      </c>
      <c r="Y3743" s="2">
        <v>86.6</v>
      </c>
      <c r="Z3743" s="2">
        <v>80.400000000000006</v>
      </c>
      <c r="AA3743" s="2"/>
      <c r="AB3743" s="2" t="s">
        <v>24793</v>
      </c>
      <c r="AC3743" s="2"/>
      <c r="AD3743" s="2">
        <v>684082.10855949903</v>
      </c>
      <c r="AE3743" s="2">
        <v>0.141052471978797</v>
      </c>
      <c r="AF3743" s="2">
        <v>18214.001557798201</v>
      </c>
      <c r="AG3743" s="2">
        <v>12672.8961638155</v>
      </c>
      <c r="AH3743" s="5">
        <v>1.43724065299327</v>
      </c>
      <c r="AI3743" s="5">
        <v>0.52330164830292103</v>
      </c>
      <c r="AJ3743" s="5" t="s">
        <v>139</v>
      </c>
      <c r="AK3743" s="2">
        <v>0.111046780667312</v>
      </c>
      <c r="AL3743" s="2">
        <v>0.42261842103963698</v>
      </c>
      <c r="AM3743" s="2">
        <v>18691.225814814399</v>
      </c>
      <c r="AN3743" s="2">
        <v>17383.714099716199</v>
      </c>
      <c r="AO3743" s="2">
        <v>14369.8471339317</v>
      </c>
      <c r="AP3743" s="2">
        <v>27726.249177126101</v>
      </c>
      <c r="AQ3743" s="2">
        <v>12820.458498559001</v>
      </c>
      <c r="AR3743" s="2">
        <v>18292.5146226418</v>
      </c>
      <c r="AS3743" s="2">
        <v>12243.267614448199</v>
      </c>
      <c r="AT3743" s="2">
        <v>19212.675023479798</v>
      </c>
      <c r="AU3743" s="2">
        <v>7472.1702150066703</v>
      </c>
      <c r="AV3743" s="2">
        <v>8193.9935336459494</v>
      </c>
      <c r="AW3743" s="2">
        <v>20363.944174019802</v>
      </c>
      <c r="AX3743" s="2">
        <v>8551.3264222928192</v>
      </c>
    </row>
    <row r="3744" spans="1:50" x14ac:dyDescent="0.25">
      <c r="A3744" s="2" t="s">
        <v>24794</v>
      </c>
      <c r="B3744" s="2">
        <v>304.15134961754501</v>
      </c>
      <c r="C3744" s="2">
        <v>1.31955</v>
      </c>
      <c r="D3744" s="2" t="s">
        <v>51</v>
      </c>
      <c r="E3744" s="2" t="s">
        <v>24795</v>
      </c>
      <c r="F3744" s="2">
        <v>257164</v>
      </c>
      <c r="G3744" s="3" t="str">
        <f>HYPERLINK("https://cloud.oebiotech.com/#/lm/network/257164", "https://cloud.oebiotech.com/#/lm/network/257164")</f>
        <v>https://cloud.oebiotech.com/#/lm/network/257164</v>
      </c>
      <c r="H3744" s="2" t="s">
        <v>24796</v>
      </c>
      <c r="I3744" s="2"/>
      <c r="J3744" s="2"/>
      <c r="K3744" s="2"/>
      <c r="L3744" s="2"/>
      <c r="M3744" s="2"/>
      <c r="N3744" s="2"/>
      <c r="O3744" s="2"/>
      <c r="P3744" s="2"/>
      <c r="Q3744" s="2"/>
      <c r="R3744" s="2"/>
      <c r="S3744" s="2" t="s">
        <v>24797</v>
      </c>
      <c r="T3744" s="2" t="s">
        <v>24798</v>
      </c>
      <c r="U3744" s="2" t="s">
        <v>103</v>
      </c>
      <c r="V3744" s="2" t="s">
        <v>104</v>
      </c>
      <c r="W3744" s="2" t="s">
        <v>105</v>
      </c>
      <c r="X3744" s="2" t="s">
        <v>83</v>
      </c>
      <c r="Y3744" s="2">
        <v>37.1</v>
      </c>
      <c r="Z3744" s="2">
        <v>0</v>
      </c>
      <c r="AA3744" s="2" t="s">
        <v>259</v>
      </c>
      <c r="AB3744" s="2" t="s">
        <v>7676</v>
      </c>
      <c r="AC3744" s="2">
        <v>3.4234014769389498</v>
      </c>
      <c r="AD3744" s="2"/>
      <c r="AE3744" s="2">
        <v>0.14104833635469899</v>
      </c>
      <c r="AF3744" s="2">
        <v>2515.0249749879099</v>
      </c>
      <c r="AG3744" s="2">
        <v>1581.1379682163299</v>
      </c>
      <c r="AH3744" s="5">
        <v>1.5906423256821101</v>
      </c>
      <c r="AI3744" s="5">
        <v>0.66960946547644495</v>
      </c>
      <c r="AJ3744" s="5" t="s">
        <v>139</v>
      </c>
      <c r="AK3744" s="2">
        <v>0.29034633500282597</v>
      </c>
      <c r="AL3744" s="2">
        <v>0.60462511080735903</v>
      </c>
      <c r="AM3744" s="2">
        <v>3576.5838254846399</v>
      </c>
      <c r="AN3744" s="2">
        <v>2543.5352592147201</v>
      </c>
      <c r="AO3744" s="2">
        <v>2408.7951102129</v>
      </c>
      <c r="AP3744" s="2">
        <v>611.21219209498304</v>
      </c>
      <c r="AQ3744" s="2">
        <v>1903.2040996891999</v>
      </c>
      <c r="AR3744" s="2">
        <v>4046.8193632309899</v>
      </c>
      <c r="AS3744" s="2">
        <v>8.559877937157E-6</v>
      </c>
      <c r="AT3744" s="2">
        <v>8.559877937157E-6</v>
      </c>
      <c r="AU3744" s="2">
        <v>1586.26785894452</v>
      </c>
      <c r="AV3744" s="2">
        <v>864.13706512589897</v>
      </c>
      <c r="AW3744" s="2">
        <v>3023.7820251043699</v>
      </c>
      <c r="AX3744" s="2">
        <v>4012.6408430034298</v>
      </c>
    </row>
    <row r="3745" spans="1:50" x14ac:dyDescent="0.25">
      <c r="A3745" s="2" t="s">
        <v>24799</v>
      </c>
      <c r="B3745" s="2">
        <v>451.17753613058801</v>
      </c>
      <c r="C3745" s="2">
        <v>7.1716333333333298</v>
      </c>
      <c r="D3745" s="2" t="s">
        <v>51</v>
      </c>
      <c r="E3745" s="2" t="s">
        <v>24800</v>
      </c>
      <c r="F3745" s="2">
        <v>59793</v>
      </c>
      <c r="G3745" s="3" t="str">
        <f>HYPERLINK("https://cloud.oebiotech.com/#/lm/network/59793", "https://cloud.oebiotech.com/#/lm/network/59793")</f>
        <v>https://cloud.oebiotech.com/#/lm/network/59793</v>
      </c>
      <c r="H3745" s="2" t="s">
        <v>24801</v>
      </c>
      <c r="I3745" s="2"/>
      <c r="J3745" s="2"/>
      <c r="K3745" s="2">
        <v>4482275</v>
      </c>
      <c r="L3745" s="2" t="s">
        <v>24802</v>
      </c>
      <c r="M3745" s="2"/>
      <c r="N3745" s="2"/>
      <c r="O3745" s="2"/>
      <c r="P3745" s="2"/>
      <c r="Q3745" s="2"/>
      <c r="R3745" s="2" t="s">
        <v>24803</v>
      </c>
      <c r="S3745" s="2" t="s">
        <v>24804</v>
      </c>
      <c r="T3745" s="2" t="s">
        <v>24805</v>
      </c>
      <c r="U3745" s="2" t="s">
        <v>56</v>
      </c>
      <c r="V3745" s="2" t="s">
        <v>177</v>
      </c>
      <c r="W3745" s="2" t="s">
        <v>3270</v>
      </c>
      <c r="X3745" s="2" t="s">
        <v>83</v>
      </c>
      <c r="Y3745" s="2">
        <v>36.1</v>
      </c>
      <c r="Z3745" s="2">
        <v>0</v>
      </c>
      <c r="AA3745" s="2" t="s">
        <v>379</v>
      </c>
      <c r="AB3745" s="2" t="s">
        <v>24806</v>
      </c>
      <c r="AC3745" s="2">
        <v>2.7846629666620202</v>
      </c>
      <c r="AD3745" s="2"/>
      <c r="AE3745" s="2">
        <v>0.14099195362578101</v>
      </c>
      <c r="AF3745" s="2">
        <v>1450.18676260248</v>
      </c>
      <c r="AG3745" s="2">
        <v>698.98532272366106</v>
      </c>
      <c r="AH3745" s="5">
        <v>2.07470273760784</v>
      </c>
      <c r="AI3745" s="5">
        <v>1.0529046426278099</v>
      </c>
      <c r="AJ3745" s="5" t="s">
        <v>139</v>
      </c>
      <c r="AK3745" s="2">
        <v>0.16251033428188499</v>
      </c>
      <c r="AL3745" s="2">
        <v>0.484049089936329</v>
      </c>
      <c r="AM3745" s="2">
        <v>575.99225187146101</v>
      </c>
      <c r="AN3745" s="2">
        <v>1248.06344761678</v>
      </c>
      <c r="AO3745" s="2">
        <v>2903.4013797176699</v>
      </c>
      <c r="AP3745" s="2">
        <v>475.48865569733903</v>
      </c>
      <c r="AQ3745" s="2">
        <v>979.19211330026496</v>
      </c>
      <c r="AR3745" s="2">
        <v>2518.98272741137</v>
      </c>
      <c r="AS3745" s="2">
        <v>476.51437721091702</v>
      </c>
      <c r="AT3745" s="2">
        <v>452.91260078224099</v>
      </c>
      <c r="AU3745" s="2">
        <v>1743.3975739976599</v>
      </c>
      <c r="AV3745" s="2">
        <v>251.845233063948</v>
      </c>
      <c r="AW3745" s="2">
        <v>8.559877937157E-6</v>
      </c>
      <c r="AX3745" s="2">
        <v>1269.24214272732</v>
      </c>
    </row>
    <row r="3746" spans="1:50" x14ac:dyDescent="0.25">
      <c r="A3746" s="2" t="s">
        <v>24807</v>
      </c>
      <c r="B3746" s="2">
        <v>247.11359999999999</v>
      </c>
      <c r="C3746" s="2">
        <v>13.532</v>
      </c>
      <c r="D3746" s="2" t="s">
        <v>125</v>
      </c>
      <c r="E3746" s="2" t="s">
        <v>24808</v>
      </c>
      <c r="F3746" s="2">
        <v>258365</v>
      </c>
      <c r="G3746" s="3" t="str">
        <f>HYPERLINK("https://cloud.oebiotech.com/#/lm/network/258365", "https://cloud.oebiotech.com/#/lm/network/258365")</f>
        <v>https://cloud.oebiotech.com/#/lm/network/258365</v>
      </c>
      <c r="H3746" s="2" t="s">
        <v>24809</v>
      </c>
      <c r="I3746" s="2">
        <v>5415</v>
      </c>
      <c r="J3746" s="2"/>
      <c r="K3746" s="2">
        <v>441696</v>
      </c>
      <c r="L3746" s="2" t="s">
        <v>24810</v>
      </c>
      <c r="M3746" s="2"/>
      <c r="N3746" s="2"/>
      <c r="O3746" s="2"/>
      <c r="P3746" s="2"/>
      <c r="Q3746" s="2"/>
      <c r="R3746" s="2" t="s">
        <v>24811</v>
      </c>
      <c r="S3746" s="2" t="s">
        <v>24812</v>
      </c>
      <c r="T3746" s="2" t="s">
        <v>24813</v>
      </c>
      <c r="U3746" s="2" t="s">
        <v>56</v>
      </c>
      <c r="V3746" s="2" t="s">
        <v>145</v>
      </c>
      <c r="W3746" s="2" t="s">
        <v>231</v>
      </c>
      <c r="X3746" s="2" t="s">
        <v>69</v>
      </c>
      <c r="Y3746" s="2">
        <v>87.9</v>
      </c>
      <c r="Z3746" s="2">
        <v>82.5</v>
      </c>
      <c r="AA3746" s="2"/>
      <c r="AB3746" s="2" t="s">
        <v>21746</v>
      </c>
      <c r="AC3746" s="2"/>
      <c r="AD3746" s="2">
        <v>456156.20583620999</v>
      </c>
      <c r="AE3746" s="2">
        <v>0.14088747602773499</v>
      </c>
      <c r="AF3746" s="2">
        <v>36202.138196689099</v>
      </c>
      <c r="AG3746" s="2">
        <v>16480.163628908998</v>
      </c>
      <c r="AH3746" s="5">
        <v>2.1967098756947099</v>
      </c>
      <c r="AI3746" s="5">
        <v>1.13534434243511</v>
      </c>
      <c r="AJ3746" s="5" t="s">
        <v>139</v>
      </c>
      <c r="AK3746" s="2">
        <v>0.43352932156241603</v>
      </c>
      <c r="AL3746" s="2">
        <v>0.69097008915867497</v>
      </c>
      <c r="AM3746" s="2">
        <v>2299.8352172700202</v>
      </c>
      <c r="AN3746" s="2">
        <v>2299.8352172700202</v>
      </c>
      <c r="AO3746" s="2">
        <v>2299.8352172700202</v>
      </c>
      <c r="AP3746" s="2">
        <v>132366.47473536801</v>
      </c>
      <c r="AQ3746" s="2">
        <v>11261.396408898099</v>
      </c>
      <c r="AR3746" s="2">
        <v>66685.452384058299</v>
      </c>
      <c r="AS3746" s="2">
        <v>68572.012014083099</v>
      </c>
      <c r="AT3746" s="2">
        <v>8180.78645691371</v>
      </c>
      <c r="AU3746" s="2">
        <v>2299.8352172700202</v>
      </c>
      <c r="AV3746" s="2">
        <v>5777.03595121748</v>
      </c>
      <c r="AW3746" s="2">
        <v>8095.19312379651</v>
      </c>
      <c r="AX3746" s="2">
        <v>5956.1190101729098</v>
      </c>
    </row>
    <row r="3747" spans="1:50" x14ac:dyDescent="0.25">
      <c r="A3747" s="2" t="s">
        <v>24814</v>
      </c>
      <c r="B3747" s="2">
        <v>205.02914999640501</v>
      </c>
      <c r="C3747" s="2">
        <v>3.3495833333333298</v>
      </c>
      <c r="D3747" s="2" t="s">
        <v>51</v>
      </c>
      <c r="E3747" s="2" t="s">
        <v>24815</v>
      </c>
      <c r="F3747" s="2">
        <v>199433</v>
      </c>
      <c r="G3747" s="3" t="str">
        <f>HYPERLINK("https://cloud.oebiotech.com/#/lm/network/199433", "https://cloud.oebiotech.com/#/lm/network/199433")</f>
        <v>https://cloud.oebiotech.com/#/lm/network/199433</v>
      </c>
      <c r="H3747" s="2" t="s">
        <v>24816</v>
      </c>
      <c r="I3747" s="2">
        <v>65876</v>
      </c>
      <c r="J3747" s="2"/>
      <c r="K3747" s="2">
        <v>8512</v>
      </c>
      <c r="L3747" s="2" t="s">
        <v>24817</v>
      </c>
      <c r="M3747" s="2"/>
      <c r="N3747" s="2"/>
      <c r="O3747" s="2">
        <v>28877</v>
      </c>
      <c r="P3747" s="2"/>
      <c r="Q3747" s="2"/>
      <c r="R3747" s="2" t="s">
        <v>24818</v>
      </c>
      <c r="S3747" s="2" t="s">
        <v>24819</v>
      </c>
      <c r="T3747" s="2" t="s">
        <v>24820</v>
      </c>
      <c r="U3747" s="2" t="s">
        <v>610</v>
      </c>
      <c r="V3747" s="2" t="s">
        <v>9240</v>
      </c>
      <c r="W3747" s="2" t="s">
        <v>9633</v>
      </c>
      <c r="X3747" s="2" t="s">
        <v>147</v>
      </c>
      <c r="Y3747" s="2">
        <v>37.1</v>
      </c>
      <c r="Z3747" s="2">
        <v>0</v>
      </c>
      <c r="AA3747" s="2" t="s">
        <v>379</v>
      </c>
      <c r="AB3747" s="2" t="s">
        <v>24821</v>
      </c>
      <c r="AC3747" s="2">
        <v>-1.5755546498773401</v>
      </c>
      <c r="AD3747" s="2"/>
      <c r="AE3747" s="2">
        <v>0.140790578316391</v>
      </c>
      <c r="AF3747" s="2">
        <v>10122.8027067822</v>
      </c>
      <c r="AG3747" s="2">
        <v>8457.6168806741807</v>
      </c>
      <c r="AH3747" s="5">
        <v>1.19688593720922</v>
      </c>
      <c r="AI3747" s="5">
        <v>0.25928567052409401</v>
      </c>
      <c r="AJ3747" s="5" t="s">
        <v>139</v>
      </c>
      <c r="AK3747" s="2">
        <v>0.413903946131714</v>
      </c>
      <c r="AL3747" s="2">
        <v>0.67695529702038104</v>
      </c>
      <c r="AM3747" s="2">
        <v>9151.8682366238609</v>
      </c>
      <c r="AN3747" s="2">
        <v>5852.6745917180797</v>
      </c>
      <c r="AO3747" s="2">
        <v>10315.661810478499</v>
      </c>
      <c r="AP3747" s="2">
        <v>10324.2946393492</v>
      </c>
      <c r="AQ3747" s="2">
        <v>17609.958659379401</v>
      </c>
      <c r="AR3747" s="2">
        <v>7482.3583031442404</v>
      </c>
      <c r="AS3747" s="2">
        <v>11184.011003629301</v>
      </c>
      <c r="AT3747" s="2">
        <v>8114.8691840241299</v>
      </c>
      <c r="AU3747" s="2">
        <v>11226.978252835301</v>
      </c>
      <c r="AV3747" s="2">
        <v>9032.1518658590794</v>
      </c>
      <c r="AW3747" s="2">
        <v>5252.7447906474199</v>
      </c>
      <c r="AX3747" s="2">
        <v>5934.9461870498499</v>
      </c>
    </row>
    <row r="3748" spans="1:50" x14ac:dyDescent="0.25">
      <c r="A3748" s="2" t="s">
        <v>24822</v>
      </c>
      <c r="B3748" s="2">
        <v>193.02934033785499</v>
      </c>
      <c r="C3748" s="2">
        <v>1.27196666666667</v>
      </c>
      <c r="D3748" s="2" t="s">
        <v>51</v>
      </c>
      <c r="E3748" s="2" t="s">
        <v>24823</v>
      </c>
      <c r="F3748" s="2">
        <v>61240</v>
      </c>
      <c r="G3748" s="3" t="str">
        <f>HYPERLINK("https://cloud.oebiotech.com/#/lm/network/61240", "https://cloud.oebiotech.com/#/lm/network/61240")</f>
        <v>https://cloud.oebiotech.com/#/lm/network/61240</v>
      </c>
      <c r="H3748" s="2" t="s">
        <v>24824</v>
      </c>
      <c r="I3748" s="2">
        <v>92555</v>
      </c>
      <c r="J3748" s="2"/>
      <c r="K3748" s="2">
        <v>62143</v>
      </c>
      <c r="L3748" s="2"/>
      <c r="M3748" s="2"/>
      <c r="N3748" s="2"/>
      <c r="O3748" s="2"/>
      <c r="P3748" s="2"/>
      <c r="Q3748" s="2"/>
      <c r="R3748" s="2" t="s">
        <v>24825</v>
      </c>
      <c r="S3748" s="2" t="s">
        <v>24826</v>
      </c>
      <c r="T3748" s="2" t="s">
        <v>24827</v>
      </c>
      <c r="U3748" s="2" t="s">
        <v>266</v>
      </c>
      <c r="V3748" s="2" t="s">
        <v>7754</v>
      </c>
      <c r="W3748" s="2" t="s">
        <v>240</v>
      </c>
      <c r="X3748" s="2" t="s">
        <v>147</v>
      </c>
      <c r="Y3748" s="2">
        <v>43.4</v>
      </c>
      <c r="Z3748" s="2">
        <v>28.4</v>
      </c>
      <c r="AA3748" s="2" t="s">
        <v>95</v>
      </c>
      <c r="AB3748" s="2" t="s">
        <v>24828</v>
      </c>
      <c r="AC3748" s="2">
        <v>-0.18173334383102999</v>
      </c>
      <c r="AD3748" s="2"/>
      <c r="AE3748" s="2">
        <v>0.140783920380708</v>
      </c>
      <c r="AF3748" s="2">
        <v>12663.132086055601</v>
      </c>
      <c r="AG3748" s="2">
        <v>13999.427033835</v>
      </c>
      <c r="AH3748" s="4">
        <v>0.90454645432632697</v>
      </c>
      <c r="AI3748" s="4">
        <v>-0.144733498392146</v>
      </c>
      <c r="AJ3748" s="4" t="s">
        <v>62</v>
      </c>
      <c r="AK3748" s="2">
        <v>0.84650969589023395</v>
      </c>
      <c r="AL3748" s="2">
        <v>0.93190759967874004</v>
      </c>
      <c r="AM3748" s="2">
        <v>2687.64217313669</v>
      </c>
      <c r="AN3748" s="2">
        <v>7787.7559777136003</v>
      </c>
      <c r="AO3748" s="2">
        <v>36466.388822200199</v>
      </c>
      <c r="AP3748" s="2">
        <v>9340.3550377632091</v>
      </c>
      <c r="AQ3748" s="2">
        <v>12739.860071500199</v>
      </c>
      <c r="AR3748" s="2">
        <v>6956.7904340197501</v>
      </c>
      <c r="AS3748" s="2">
        <v>3979.3823517256901</v>
      </c>
      <c r="AT3748" s="2">
        <v>4063.2622074171099</v>
      </c>
      <c r="AU3748" s="2">
        <v>5101.0913503391903</v>
      </c>
      <c r="AV3748" s="2">
        <v>23666.017379533099</v>
      </c>
      <c r="AW3748" s="2">
        <v>29427.359738628798</v>
      </c>
      <c r="AX3748" s="2">
        <v>17759.449175366299</v>
      </c>
    </row>
    <row r="3749" spans="1:50" x14ac:dyDescent="0.25">
      <c r="A3749" s="2" t="s">
        <v>24829</v>
      </c>
      <c r="B3749" s="2">
        <v>434.24784735098302</v>
      </c>
      <c r="C3749" s="2">
        <v>13.30415</v>
      </c>
      <c r="D3749" s="2" t="s">
        <v>51</v>
      </c>
      <c r="E3749" s="2" t="s">
        <v>24830</v>
      </c>
      <c r="F3749" s="2">
        <v>213197</v>
      </c>
      <c r="G3749" s="3" t="str">
        <f>HYPERLINK("https://cloud.oebiotech.com/#/lm/network/213197", "https://cloud.oebiotech.com/#/lm/network/213197")</f>
        <v>https://cloud.oebiotech.com/#/lm/network/213197</v>
      </c>
      <c r="H3749" s="2" t="s">
        <v>24831</v>
      </c>
      <c r="I3749" s="2"/>
      <c r="J3749" s="2"/>
      <c r="K3749" s="2">
        <v>9844828</v>
      </c>
      <c r="L3749" s="2"/>
      <c r="M3749" s="2"/>
      <c r="N3749" s="2"/>
      <c r="O3749" s="2"/>
      <c r="P3749" s="2"/>
      <c r="Q3749" s="2"/>
      <c r="R3749" s="2"/>
      <c r="S3749" s="2" t="s">
        <v>24832</v>
      </c>
      <c r="T3749" s="2" t="s">
        <v>24833</v>
      </c>
      <c r="U3749" s="2" t="s">
        <v>56</v>
      </c>
      <c r="V3749" s="2" t="s">
        <v>283</v>
      </c>
      <c r="W3749" s="2" t="s">
        <v>1944</v>
      </c>
      <c r="X3749" s="2" t="s">
        <v>147</v>
      </c>
      <c r="Y3749" s="2">
        <v>37.4</v>
      </c>
      <c r="Z3749" s="2">
        <v>0</v>
      </c>
      <c r="AA3749" s="2" t="s">
        <v>512</v>
      </c>
      <c r="AB3749" s="2" t="s">
        <v>24834</v>
      </c>
      <c r="AC3749" s="2">
        <v>1.58074324272677</v>
      </c>
      <c r="AD3749" s="2"/>
      <c r="AE3749" s="2">
        <v>0.140768718445343</v>
      </c>
      <c r="AF3749" s="2">
        <v>16022.048629679601</v>
      </c>
      <c r="AG3749" s="2">
        <v>18418.802703083998</v>
      </c>
      <c r="AH3749" s="4">
        <v>0.86987459977498305</v>
      </c>
      <c r="AI3749" s="4">
        <v>-0.201120656365468</v>
      </c>
      <c r="AJ3749" s="4" t="s">
        <v>62</v>
      </c>
      <c r="AK3749" s="2">
        <v>0.28051933465376999</v>
      </c>
      <c r="AL3749" s="2">
        <v>0.59978920543246905</v>
      </c>
      <c r="AM3749" s="2">
        <v>19628.500093342202</v>
      </c>
      <c r="AN3749" s="2">
        <v>15533.6693186585</v>
      </c>
      <c r="AO3749" s="2">
        <v>17926.267541797901</v>
      </c>
      <c r="AP3749" s="2">
        <v>14001.2729742543</v>
      </c>
      <c r="AQ3749" s="2">
        <v>14611.148582256101</v>
      </c>
      <c r="AR3749" s="2">
        <v>14431.4332677685</v>
      </c>
      <c r="AS3749" s="2">
        <v>11103.833564672001</v>
      </c>
      <c r="AT3749" s="2">
        <v>16925.3618378231</v>
      </c>
      <c r="AU3749" s="2">
        <v>25420.4500435351</v>
      </c>
      <c r="AV3749" s="2">
        <v>18583.352516357401</v>
      </c>
      <c r="AW3749" s="2">
        <v>19870.454288702698</v>
      </c>
      <c r="AX3749" s="2">
        <v>18609.363967413799</v>
      </c>
    </row>
    <row r="3750" spans="1:50" x14ac:dyDescent="0.25">
      <c r="A3750" s="2" t="s">
        <v>24835</v>
      </c>
      <c r="B3750" s="2">
        <v>219.17505820122699</v>
      </c>
      <c r="C3750" s="2">
        <v>8.0054499999999997</v>
      </c>
      <c r="D3750" s="2" t="s">
        <v>51</v>
      </c>
      <c r="E3750" s="2" t="s">
        <v>24836</v>
      </c>
      <c r="F3750" s="2">
        <v>55635</v>
      </c>
      <c r="G3750" s="3" t="str">
        <f>HYPERLINK("https://cloud.oebiotech.com/#/lm/network/55635", "https://cloud.oebiotech.com/#/lm/network/55635")</f>
        <v>https://cloud.oebiotech.com/#/lm/network/55635</v>
      </c>
      <c r="H3750" s="2" t="s">
        <v>24837</v>
      </c>
      <c r="I3750" s="2"/>
      <c r="J3750" s="2"/>
      <c r="K3750" s="2">
        <v>85213626</v>
      </c>
      <c r="L3750" s="2"/>
      <c r="M3750" s="2"/>
      <c r="N3750" s="2"/>
      <c r="O3750" s="2">
        <v>138759</v>
      </c>
      <c r="P3750" s="2"/>
      <c r="Q3750" s="2"/>
      <c r="R3750" s="2" t="s">
        <v>24838</v>
      </c>
      <c r="S3750" s="2" t="s">
        <v>24839</v>
      </c>
      <c r="T3750" s="2" t="s">
        <v>24840</v>
      </c>
      <c r="U3750" s="2" t="s">
        <v>331</v>
      </c>
      <c r="V3750" s="2" t="s">
        <v>332</v>
      </c>
      <c r="W3750" s="2" t="s">
        <v>1207</v>
      </c>
      <c r="X3750" s="2" t="s">
        <v>83</v>
      </c>
      <c r="Y3750" s="2">
        <v>47.1</v>
      </c>
      <c r="Z3750" s="2">
        <v>21.7</v>
      </c>
      <c r="AA3750" s="2" t="s">
        <v>156</v>
      </c>
      <c r="AB3750" s="2" t="s">
        <v>4139</v>
      </c>
      <c r="AC3750" s="2">
        <v>3.0334897810655201</v>
      </c>
      <c r="AD3750" s="2"/>
      <c r="AE3750" s="2">
        <v>0.14066255583502399</v>
      </c>
      <c r="AF3750" s="2">
        <v>8423.4561508013794</v>
      </c>
      <c r="AG3750" s="2">
        <v>7227.9337194970904</v>
      </c>
      <c r="AH3750" s="5">
        <v>1.16540307060086</v>
      </c>
      <c r="AI3750" s="5">
        <v>0.22082901701186899</v>
      </c>
      <c r="AJ3750" s="5" t="s">
        <v>139</v>
      </c>
      <c r="AK3750" s="2">
        <v>0.31673163834976398</v>
      </c>
      <c r="AL3750" s="2">
        <v>0.62493710099121003</v>
      </c>
      <c r="AM3750" s="2">
        <v>8535.2421552358101</v>
      </c>
      <c r="AN3750" s="2">
        <v>8460.0981941422306</v>
      </c>
      <c r="AO3750" s="2">
        <v>6557.7062525131296</v>
      </c>
      <c r="AP3750" s="2">
        <v>12396.7529067876</v>
      </c>
      <c r="AQ3750" s="2">
        <v>7179.91143911992</v>
      </c>
      <c r="AR3750" s="2">
        <v>7411.0259570095895</v>
      </c>
      <c r="AS3750" s="2">
        <v>9399.2864975643206</v>
      </c>
      <c r="AT3750" s="2">
        <v>8733.1009042489495</v>
      </c>
      <c r="AU3750" s="2">
        <v>7947.8611629479101</v>
      </c>
      <c r="AV3750" s="2">
        <v>4853.4232320966603</v>
      </c>
      <c r="AW3750" s="2">
        <v>5330.7031185159603</v>
      </c>
      <c r="AX3750" s="2">
        <v>7103.2274016087404</v>
      </c>
    </row>
    <row r="3751" spans="1:50" x14ac:dyDescent="0.25">
      <c r="A3751" s="2" t="s">
        <v>24841</v>
      </c>
      <c r="B3751" s="2">
        <v>261.01496528389202</v>
      </c>
      <c r="C3751" s="2">
        <v>5.9063833333333298</v>
      </c>
      <c r="D3751" s="2" t="s">
        <v>51</v>
      </c>
      <c r="E3751" s="2" t="s">
        <v>24842</v>
      </c>
      <c r="F3751" s="2">
        <v>58348</v>
      </c>
      <c r="G3751" s="3" t="str">
        <f>HYPERLINK("https://cloud.oebiotech.com/#/lm/network/58348", "https://cloud.oebiotech.com/#/lm/network/58348")</f>
        <v>https://cloud.oebiotech.com/#/lm/network/58348</v>
      </c>
      <c r="H3751" s="2" t="s">
        <v>24843</v>
      </c>
      <c r="I3751" s="2">
        <v>89833</v>
      </c>
      <c r="J3751" s="2"/>
      <c r="K3751" s="2">
        <v>11425998</v>
      </c>
      <c r="L3751" s="2"/>
      <c r="M3751" s="2"/>
      <c r="N3751" s="2"/>
      <c r="O3751" s="2">
        <v>173992</v>
      </c>
      <c r="P3751" s="2"/>
      <c r="Q3751" s="2"/>
      <c r="R3751" s="2" t="s">
        <v>24844</v>
      </c>
      <c r="S3751" s="2" t="s">
        <v>24845</v>
      </c>
      <c r="T3751" s="2" t="s">
        <v>24846</v>
      </c>
      <c r="U3751" s="2" t="s">
        <v>266</v>
      </c>
      <c r="V3751" s="2" t="s">
        <v>445</v>
      </c>
      <c r="W3751" s="2" t="s">
        <v>240</v>
      </c>
      <c r="X3751" s="2" t="s">
        <v>147</v>
      </c>
      <c r="Y3751" s="2">
        <v>36.9</v>
      </c>
      <c r="Z3751" s="2">
        <v>0.65</v>
      </c>
      <c r="AA3751" s="2" t="s">
        <v>379</v>
      </c>
      <c r="AB3751" s="2" t="s">
        <v>24847</v>
      </c>
      <c r="AC3751" s="2">
        <v>-4.3324367158146302</v>
      </c>
      <c r="AD3751" s="2"/>
      <c r="AE3751" s="2">
        <v>0.14066132026394201</v>
      </c>
      <c r="AF3751" s="2">
        <v>13313.5089127307</v>
      </c>
      <c r="AG3751" s="2">
        <v>9772.3602315545904</v>
      </c>
      <c r="AH3751" s="5">
        <v>1.3623637071566199</v>
      </c>
      <c r="AI3751" s="5">
        <v>0.44611190780189802</v>
      </c>
      <c r="AJ3751" s="5" t="s">
        <v>139</v>
      </c>
      <c r="AK3751" s="2">
        <v>0.72749471773888796</v>
      </c>
      <c r="AL3751" s="2">
        <v>0.87431905652141195</v>
      </c>
      <c r="AM3751" s="2">
        <v>27266.089130744898</v>
      </c>
      <c r="AN3751" s="2">
        <v>2258.0182325579199</v>
      </c>
      <c r="AO3751" s="2">
        <v>1650.0803522922499</v>
      </c>
      <c r="AP3751" s="2">
        <v>2339.22714976417</v>
      </c>
      <c r="AQ3751" s="2">
        <v>43133.824427271698</v>
      </c>
      <c r="AR3751" s="2">
        <v>3233.8141837531198</v>
      </c>
      <c r="AS3751" s="2">
        <v>43475.173000596798</v>
      </c>
      <c r="AT3751" s="2">
        <v>2868.3308708283298</v>
      </c>
      <c r="AU3751" s="2">
        <v>2364.5197402679901</v>
      </c>
      <c r="AV3751" s="2">
        <v>3991.37180741879</v>
      </c>
      <c r="AW3751" s="2">
        <v>3066.5414247009098</v>
      </c>
      <c r="AX3751" s="2">
        <v>2868.2245455147299</v>
      </c>
    </row>
    <row r="3752" spans="1:50" x14ac:dyDescent="0.25">
      <c r="A3752" s="2" t="s">
        <v>24848</v>
      </c>
      <c r="B3752" s="2">
        <v>435.225196239588</v>
      </c>
      <c r="C3752" s="2">
        <v>4.4936833333333297</v>
      </c>
      <c r="D3752" s="2" t="s">
        <v>51</v>
      </c>
      <c r="E3752" s="2" t="s">
        <v>24849</v>
      </c>
      <c r="F3752" s="2">
        <v>10230</v>
      </c>
      <c r="G3752" s="3" t="str">
        <f>HYPERLINK("https://cloud.oebiotech.com/#/lm/network/10230", "https://cloud.oebiotech.com/#/lm/network/10230")</f>
        <v>https://cloud.oebiotech.com/#/lm/network/10230</v>
      </c>
      <c r="H3752" s="2" t="s">
        <v>24850</v>
      </c>
      <c r="I3752" s="2">
        <v>95598</v>
      </c>
      <c r="J3752" s="2" t="s">
        <v>24851</v>
      </c>
      <c r="K3752" s="2">
        <v>16745401</v>
      </c>
      <c r="L3752" s="2"/>
      <c r="M3752" s="2"/>
      <c r="N3752" s="2"/>
      <c r="O3752" s="2"/>
      <c r="P3752" s="2"/>
      <c r="Q3752" s="2"/>
      <c r="R3752" s="2"/>
      <c r="S3752" s="2" t="s">
        <v>24852</v>
      </c>
      <c r="T3752" s="2" t="s">
        <v>24853</v>
      </c>
      <c r="U3752" s="2" t="s">
        <v>56</v>
      </c>
      <c r="V3752" s="2" t="s">
        <v>145</v>
      </c>
      <c r="W3752" s="2" t="s">
        <v>3263</v>
      </c>
      <c r="X3752" s="2" t="s">
        <v>83</v>
      </c>
      <c r="Y3752" s="2">
        <v>59</v>
      </c>
      <c r="Z3752" s="2">
        <v>29</v>
      </c>
      <c r="AA3752" s="2" t="s">
        <v>218</v>
      </c>
      <c r="AB3752" s="2" t="s">
        <v>24854</v>
      </c>
      <c r="AC3752" s="2">
        <v>4.1650873082738196</v>
      </c>
      <c r="AD3752" s="2"/>
      <c r="AE3752" s="2">
        <v>0.14050327792805301</v>
      </c>
      <c r="AF3752" s="2">
        <v>885.05553141209998</v>
      </c>
      <c r="AG3752" s="2">
        <v>136.624155404372</v>
      </c>
      <c r="AH3752" s="5">
        <v>6.47803112701824</v>
      </c>
      <c r="AI3752" s="5">
        <v>2.69555540031695</v>
      </c>
      <c r="AJ3752" s="5" t="s">
        <v>139</v>
      </c>
      <c r="AK3752" s="2">
        <v>1.55480349575611E-2</v>
      </c>
      <c r="AL3752" s="2">
        <v>0.19724077680136801</v>
      </c>
      <c r="AM3752" s="2">
        <v>441.20434361545699</v>
      </c>
      <c r="AN3752" s="2">
        <v>8.559877937157E-6</v>
      </c>
      <c r="AO3752" s="2">
        <v>926.90867238967701</v>
      </c>
      <c r="AP3752" s="2">
        <v>1386.73507383526</v>
      </c>
      <c r="AQ3752" s="2">
        <v>1484.91962458429</v>
      </c>
      <c r="AR3752" s="2">
        <v>1070.56546548804</v>
      </c>
      <c r="AS3752" s="2">
        <v>666.37354164176998</v>
      </c>
      <c r="AT3752" s="2">
        <v>8.559877937157E-6</v>
      </c>
      <c r="AU3752" s="2">
        <v>8.559877937157E-6</v>
      </c>
      <c r="AV3752" s="2">
        <v>153.371356544951</v>
      </c>
      <c r="AW3752" s="2">
        <v>8.559877937157E-6</v>
      </c>
      <c r="AX3752" s="2">
        <v>8.559877937157E-6</v>
      </c>
    </row>
    <row r="3753" spans="1:50" x14ac:dyDescent="0.25">
      <c r="A3753" s="2" t="s">
        <v>24855</v>
      </c>
      <c r="B3753" s="2">
        <v>307.20233213176903</v>
      </c>
      <c r="C3753" s="2">
        <v>5.1816500000000003</v>
      </c>
      <c r="D3753" s="2" t="s">
        <v>51</v>
      </c>
      <c r="E3753" s="2" t="s">
        <v>24856</v>
      </c>
      <c r="F3753" s="2">
        <v>37376</v>
      </c>
      <c r="G3753" s="3" t="str">
        <f>HYPERLINK("https://cloud.oebiotech.com/#/lm/network/37376", "https://cloud.oebiotech.com/#/lm/network/37376")</f>
        <v>https://cloud.oebiotech.com/#/lm/network/37376</v>
      </c>
      <c r="H3753" s="2"/>
      <c r="I3753" s="2">
        <v>41506</v>
      </c>
      <c r="J3753" s="2" t="s">
        <v>24857</v>
      </c>
      <c r="K3753" s="2">
        <v>11185225</v>
      </c>
      <c r="L3753" s="2"/>
      <c r="M3753" s="2"/>
      <c r="N3753" s="2"/>
      <c r="O3753" s="2"/>
      <c r="P3753" s="2"/>
      <c r="Q3753" s="2"/>
      <c r="R3753" s="2"/>
      <c r="S3753" s="2" t="s">
        <v>24858</v>
      </c>
      <c r="T3753" s="2" t="s">
        <v>24859</v>
      </c>
      <c r="U3753" s="2" t="s">
        <v>56</v>
      </c>
      <c r="V3753" s="2" t="s">
        <v>177</v>
      </c>
      <c r="W3753" s="2" t="s">
        <v>3987</v>
      </c>
      <c r="X3753" s="2" t="s">
        <v>147</v>
      </c>
      <c r="Y3753" s="2">
        <v>37.9</v>
      </c>
      <c r="Z3753" s="2">
        <v>0.79600000000000004</v>
      </c>
      <c r="AA3753" s="2" t="s">
        <v>95</v>
      </c>
      <c r="AB3753" s="2" t="s">
        <v>11750</v>
      </c>
      <c r="AC3753" s="2">
        <v>-3.1809330369113602</v>
      </c>
      <c r="AD3753" s="2"/>
      <c r="AE3753" s="2">
        <v>0.14028333658105999</v>
      </c>
      <c r="AF3753" s="2">
        <v>1713.7368642976701</v>
      </c>
      <c r="AG3753" s="2">
        <v>962.08094564907003</v>
      </c>
      <c r="AH3753" s="5">
        <v>1.7812813693566001</v>
      </c>
      <c r="AI3753" s="5">
        <v>0.832915421051314</v>
      </c>
      <c r="AJ3753" s="5" t="s">
        <v>139</v>
      </c>
      <c r="AK3753" s="2">
        <v>0.58391744555890401</v>
      </c>
      <c r="AL3753" s="2">
        <v>0.79094895237117502</v>
      </c>
      <c r="AM3753" s="2">
        <v>7858.9676043822901</v>
      </c>
      <c r="AN3753" s="2">
        <v>604.57451574373295</v>
      </c>
      <c r="AO3753" s="2">
        <v>458.37897077643498</v>
      </c>
      <c r="AP3753" s="2">
        <v>912.50612356016597</v>
      </c>
      <c r="AQ3753" s="2">
        <v>263.63160388005201</v>
      </c>
      <c r="AR3753" s="2">
        <v>184.36236744334201</v>
      </c>
      <c r="AS3753" s="2">
        <v>962.59416225262498</v>
      </c>
      <c r="AT3753" s="2">
        <v>458.44485146037101</v>
      </c>
      <c r="AU3753" s="2">
        <v>381.26602987044203</v>
      </c>
      <c r="AV3753" s="2">
        <v>341.69747325331701</v>
      </c>
      <c r="AW3753" s="2">
        <v>258.61120808747802</v>
      </c>
      <c r="AX3753" s="2">
        <v>3369.8719489701898</v>
      </c>
    </row>
    <row r="3754" spans="1:50" x14ac:dyDescent="0.25">
      <c r="A3754" s="2" t="s">
        <v>24860</v>
      </c>
      <c r="B3754" s="2">
        <v>505.26739132449302</v>
      </c>
      <c r="C3754" s="2">
        <v>4.6064833333333297</v>
      </c>
      <c r="D3754" s="2" t="s">
        <v>51</v>
      </c>
      <c r="E3754" s="2" t="s">
        <v>24861</v>
      </c>
      <c r="F3754" s="2">
        <v>45124</v>
      </c>
      <c r="G3754" s="3" t="str">
        <f>HYPERLINK("https://cloud.oebiotech.com/#/lm/network/45124", "https://cloud.oebiotech.com/#/lm/network/45124")</f>
        <v>https://cloud.oebiotech.com/#/lm/network/45124</v>
      </c>
      <c r="H3754" s="2"/>
      <c r="I3754" s="2">
        <v>41896</v>
      </c>
      <c r="J3754" s="2" t="s">
        <v>24862</v>
      </c>
      <c r="K3754" s="2">
        <v>9547226</v>
      </c>
      <c r="L3754" s="2"/>
      <c r="M3754" s="2"/>
      <c r="N3754" s="2"/>
      <c r="O3754" s="2"/>
      <c r="P3754" s="2"/>
      <c r="Q3754" s="2"/>
      <c r="R3754" s="2"/>
      <c r="S3754" s="2" t="s">
        <v>24863</v>
      </c>
      <c r="T3754" s="2" t="s">
        <v>24864</v>
      </c>
      <c r="U3754" s="2" t="s">
        <v>56</v>
      </c>
      <c r="V3754" s="2" t="s">
        <v>283</v>
      </c>
      <c r="W3754" s="2" t="s">
        <v>420</v>
      </c>
      <c r="X3754" s="2" t="s">
        <v>147</v>
      </c>
      <c r="Y3754" s="2">
        <v>42.5</v>
      </c>
      <c r="Z3754" s="2">
        <v>19.8</v>
      </c>
      <c r="AA3754" s="2" t="s">
        <v>395</v>
      </c>
      <c r="AB3754" s="2" t="s">
        <v>24865</v>
      </c>
      <c r="AC3754" s="2">
        <v>-3.49978333743756</v>
      </c>
      <c r="AD3754" s="2"/>
      <c r="AE3754" s="2">
        <v>0.140120046029926</v>
      </c>
      <c r="AF3754" s="2">
        <v>6857.4556228861502</v>
      </c>
      <c r="AG3754" s="2">
        <v>15394.395441904901</v>
      </c>
      <c r="AH3754" s="4">
        <v>0.44545144034818901</v>
      </c>
      <c r="AI3754" s="4">
        <v>-1.1666599259622501</v>
      </c>
      <c r="AJ3754" s="4" t="s">
        <v>62</v>
      </c>
      <c r="AK3754" s="2">
        <v>0.58034169790932799</v>
      </c>
      <c r="AL3754" s="2">
        <v>0.788322492623872</v>
      </c>
      <c r="AM3754" s="2">
        <v>22318.6503287903</v>
      </c>
      <c r="AN3754" s="2">
        <v>8.559877937157E-6</v>
      </c>
      <c r="AO3754" s="2">
        <v>2297.2612995300301</v>
      </c>
      <c r="AP3754" s="2">
        <v>4272.7889440490699</v>
      </c>
      <c r="AQ3754" s="2">
        <v>9628.8203702063402</v>
      </c>
      <c r="AR3754" s="2">
        <v>2627.2127861812801</v>
      </c>
      <c r="AS3754" s="2">
        <v>8.559877937157E-6</v>
      </c>
      <c r="AT3754" s="2">
        <v>165.41315347062101</v>
      </c>
      <c r="AU3754" s="2">
        <v>88142.175325277305</v>
      </c>
      <c r="AV3754" s="2">
        <v>3003.0513754913</v>
      </c>
      <c r="AW3754" s="2">
        <v>1055.7327800706701</v>
      </c>
      <c r="AX3754" s="2">
        <v>8.559877937157E-6</v>
      </c>
    </row>
    <row r="3755" spans="1:50" x14ac:dyDescent="0.25">
      <c r="A3755" s="2" t="s">
        <v>24866</v>
      </c>
      <c r="B3755" s="2">
        <v>596.26666093117296</v>
      </c>
      <c r="C3755" s="2">
        <v>11.1923833333333</v>
      </c>
      <c r="D3755" s="2" t="s">
        <v>51</v>
      </c>
      <c r="E3755" s="2" t="s">
        <v>24867</v>
      </c>
      <c r="F3755" s="2">
        <v>3624</v>
      </c>
      <c r="G3755" s="3" t="str">
        <f>HYPERLINK("https://cloud.oebiotech.com/#/lm/network/3624", "https://cloud.oebiotech.com/#/lm/network/3624")</f>
        <v>https://cloud.oebiotech.com/#/lm/network/3624</v>
      </c>
      <c r="H3755" s="2"/>
      <c r="I3755" s="2"/>
      <c r="J3755" s="2" t="s">
        <v>24868</v>
      </c>
      <c r="K3755" s="2"/>
      <c r="L3755" s="2"/>
      <c r="M3755" s="2"/>
      <c r="N3755" s="2"/>
      <c r="O3755" s="2"/>
      <c r="P3755" s="2"/>
      <c r="Q3755" s="2"/>
      <c r="R3755" s="2"/>
      <c r="S3755" s="2" t="s">
        <v>24869</v>
      </c>
      <c r="T3755" s="2" t="s">
        <v>24870</v>
      </c>
      <c r="U3755" s="2" t="s">
        <v>103</v>
      </c>
      <c r="V3755" s="2" t="s">
        <v>104</v>
      </c>
      <c r="W3755" s="2" t="s">
        <v>105</v>
      </c>
      <c r="X3755" s="2" t="s">
        <v>147</v>
      </c>
      <c r="Y3755" s="2">
        <v>37.4</v>
      </c>
      <c r="Z3755" s="2">
        <v>0</v>
      </c>
      <c r="AA3755" s="2" t="s">
        <v>163</v>
      </c>
      <c r="AB3755" s="2" t="s">
        <v>24871</v>
      </c>
      <c r="AC3755" s="2">
        <v>3.2420634485960198</v>
      </c>
      <c r="AD3755" s="2"/>
      <c r="AE3755" s="2">
        <v>0.140071898594468</v>
      </c>
      <c r="AF3755" s="2">
        <v>17617.879287572101</v>
      </c>
      <c r="AG3755" s="2">
        <v>15997.4636342595</v>
      </c>
      <c r="AH3755" s="5">
        <v>1.1012920354350699</v>
      </c>
      <c r="AI3755" s="5">
        <v>0.13919708671103101</v>
      </c>
      <c r="AJ3755" s="5" t="s">
        <v>139</v>
      </c>
      <c r="AK3755" s="2">
        <v>0.47696854545192002</v>
      </c>
      <c r="AL3755" s="2">
        <v>0.72263175505611199</v>
      </c>
      <c r="AM3755" s="2">
        <v>22223.1416651974</v>
      </c>
      <c r="AN3755" s="2">
        <v>19695.816940274701</v>
      </c>
      <c r="AO3755" s="2">
        <v>14286.0893763981</v>
      </c>
      <c r="AP3755" s="2">
        <v>15055.8267270001</v>
      </c>
      <c r="AQ3755" s="2">
        <v>15622.640363165399</v>
      </c>
      <c r="AR3755" s="2">
        <v>18823.760653397199</v>
      </c>
      <c r="AS3755" s="2">
        <v>15716.1625537444</v>
      </c>
      <c r="AT3755" s="2">
        <v>8707.4555390392707</v>
      </c>
      <c r="AU3755" s="2">
        <v>16451.343949735499</v>
      </c>
      <c r="AV3755" s="2">
        <v>22002.774661190299</v>
      </c>
      <c r="AW3755" s="2">
        <v>18219.609549562399</v>
      </c>
      <c r="AX3755" s="2">
        <v>14887.4355522849</v>
      </c>
    </row>
    <row r="3756" spans="1:50" x14ac:dyDescent="0.25">
      <c r="A3756" s="2" t="s">
        <v>24872</v>
      </c>
      <c r="B3756" s="2">
        <v>269.24861354185299</v>
      </c>
      <c r="C3756" s="2">
        <v>11.505183333333299</v>
      </c>
      <c r="D3756" s="2" t="s">
        <v>51</v>
      </c>
      <c r="E3756" s="2" t="s">
        <v>24873</v>
      </c>
      <c r="F3756" s="2">
        <v>199424</v>
      </c>
      <c r="G3756" s="3" t="str">
        <f>HYPERLINK("https://cloud.oebiotech.com/#/lm/network/199424", "https://cloud.oebiotech.com/#/lm/network/199424")</f>
        <v>https://cloud.oebiotech.com/#/lm/network/199424</v>
      </c>
      <c r="H3756" s="2" t="s">
        <v>24874</v>
      </c>
      <c r="I3756" s="2"/>
      <c r="J3756" s="2"/>
      <c r="K3756" s="2"/>
      <c r="L3756" s="2"/>
      <c r="M3756" s="2"/>
      <c r="N3756" s="2"/>
      <c r="O3756" s="2">
        <v>77507</v>
      </c>
      <c r="P3756" s="2"/>
      <c r="Q3756" s="2"/>
      <c r="R3756" s="2"/>
      <c r="S3756" s="2" t="s">
        <v>24875</v>
      </c>
      <c r="T3756" s="2" t="s">
        <v>24876</v>
      </c>
      <c r="U3756" s="2" t="s">
        <v>1491</v>
      </c>
      <c r="V3756" s="2" t="s">
        <v>1492</v>
      </c>
      <c r="W3756" s="2" t="s">
        <v>1493</v>
      </c>
      <c r="X3756" s="2" t="s">
        <v>147</v>
      </c>
      <c r="Y3756" s="2">
        <v>38.5</v>
      </c>
      <c r="Z3756" s="2">
        <v>0</v>
      </c>
      <c r="AA3756" s="2" t="s">
        <v>218</v>
      </c>
      <c r="AB3756" s="2" t="s">
        <v>24877</v>
      </c>
      <c r="AC3756" s="2">
        <v>4.3012688837327798E-2</v>
      </c>
      <c r="AD3756" s="2"/>
      <c r="AE3756" s="2">
        <v>0.14006264859618101</v>
      </c>
      <c r="AF3756" s="2">
        <v>1189.72704984603</v>
      </c>
      <c r="AG3756" s="2">
        <v>1775.4040643256801</v>
      </c>
      <c r="AH3756" s="4">
        <v>0.67011621396614396</v>
      </c>
      <c r="AI3756" s="4">
        <v>-0.57751678025190201</v>
      </c>
      <c r="AJ3756" s="4" t="s">
        <v>62</v>
      </c>
      <c r="AK3756" s="2">
        <v>0.28650874710136398</v>
      </c>
      <c r="AL3756" s="2">
        <v>0.60106092987307402</v>
      </c>
      <c r="AM3756" s="2">
        <v>409.23240574092898</v>
      </c>
      <c r="AN3756" s="2">
        <v>1586.66174876115</v>
      </c>
      <c r="AO3756" s="2">
        <v>967.21376396582298</v>
      </c>
      <c r="AP3756" s="2">
        <v>488.47022598920898</v>
      </c>
      <c r="AQ3756" s="2">
        <v>1173.59391263158</v>
      </c>
      <c r="AR3756" s="2">
        <v>2513.1902419875</v>
      </c>
      <c r="AS3756" s="2">
        <v>2167.4202864518602</v>
      </c>
      <c r="AT3756" s="2">
        <v>810.11444267698903</v>
      </c>
      <c r="AU3756" s="2">
        <v>393.152692082535</v>
      </c>
      <c r="AV3756" s="2">
        <v>3028.7462287611402</v>
      </c>
      <c r="AW3756" s="2">
        <v>1776.6980002251801</v>
      </c>
      <c r="AX3756" s="2">
        <v>2476.2927357563999</v>
      </c>
    </row>
    <row r="3757" spans="1:50" x14ac:dyDescent="0.25">
      <c r="A3757" s="2" t="s">
        <v>24878</v>
      </c>
      <c r="B3757" s="2">
        <v>257.22724013573702</v>
      </c>
      <c r="C3757" s="2">
        <v>10.9866666666667</v>
      </c>
      <c r="D3757" s="2" t="s">
        <v>51</v>
      </c>
      <c r="E3757" s="2" t="s">
        <v>24879</v>
      </c>
      <c r="F3757" s="2">
        <v>201714</v>
      </c>
      <c r="G3757" s="3" t="str">
        <f>HYPERLINK("https://cloud.oebiotech.com/#/lm/network/201714", "https://cloud.oebiotech.com/#/lm/network/201714")</f>
        <v>https://cloud.oebiotech.com/#/lm/network/201714</v>
      </c>
      <c r="H3757" s="2" t="s">
        <v>24880</v>
      </c>
      <c r="I3757" s="2"/>
      <c r="J3757" s="2"/>
      <c r="K3757" s="2">
        <v>18618189</v>
      </c>
      <c r="L3757" s="2"/>
      <c r="M3757" s="2"/>
      <c r="N3757" s="2"/>
      <c r="O3757" s="2"/>
      <c r="P3757" s="2"/>
      <c r="Q3757" s="2"/>
      <c r="R3757" s="2"/>
      <c r="S3757" s="2" t="s">
        <v>24881</v>
      </c>
      <c r="T3757" s="2" t="s">
        <v>24882</v>
      </c>
      <c r="U3757" s="2" t="s">
        <v>56</v>
      </c>
      <c r="V3757" s="2" t="s">
        <v>283</v>
      </c>
      <c r="W3757" s="2" t="s">
        <v>284</v>
      </c>
      <c r="X3757" s="2" t="s">
        <v>147</v>
      </c>
      <c r="Y3757" s="2">
        <v>39.700000000000003</v>
      </c>
      <c r="Z3757" s="2">
        <v>8.15</v>
      </c>
      <c r="AA3757" s="2" t="s">
        <v>163</v>
      </c>
      <c r="AB3757" s="2" t="s">
        <v>24883</v>
      </c>
      <c r="AC3757" s="2">
        <v>-0.90767939604862202</v>
      </c>
      <c r="AD3757" s="2"/>
      <c r="AE3757" s="2">
        <v>0.14003532866061599</v>
      </c>
      <c r="AF3757" s="2">
        <v>3425.9688704248401</v>
      </c>
      <c r="AG3757" s="2">
        <v>2602.9470054232202</v>
      </c>
      <c r="AH3757" s="5">
        <v>1.3161884830105499</v>
      </c>
      <c r="AI3757" s="5">
        <v>0.39636610308034098</v>
      </c>
      <c r="AJ3757" s="5" t="s">
        <v>139</v>
      </c>
      <c r="AK3757" s="2">
        <v>0.101680511489961</v>
      </c>
      <c r="AL3757" s="2">
        <v>0.40585561807393</v>
      </c>
      <c r="AM3757" s="2">
        <v>3624.6111386072498</v>
      </c>
      <c r="AN3757" s="2">
        <v>2993.75099656571</v>
      </c>
      <c r="AO3757" s="2">
        <v>2682.6177708514701</v>
      </c>
      <c r="AP3757" s="2">
        <v>4397.4072907107702</v>
      </c>
      <c r="AQ3757" s="2">
        <v>3070.07886621126</v>
      </c>
      <c r="AR3757" s="2">
        <v>3787.3471596025502</v>
      </c>
      <c r="AS3757" s="2">
        <v>2333.0626794288901</v>
      </c>
      <c r="AT3757" s="2">
        <v>1549.84041505544</v>
      </c>
      <c r="AU3757" s="2">
        <v>4102.8093014687502</v>
      </c>
      <c r="AV3757" s="2">
        <v>2732.2649019938599</v>
      </c>
      <c r="AW3757" s="2">
        <v>3074.9419219829101</v>
      </c>
      <c r="AX3757" s="2">
        <v>1824.7628126094801</v>
      </c>
    </row>
    <row r="3758" spans="1:50" x14ac:dyDescent="0.25">
      <c r="A3758" s="2" t="s">
        <v>24884</v>
      </c>
      <c r="B3758" s="2">
        <v>259.20626601264399</v>
      </c>
      <c r="C3758" s="2">
        <v>10.906883333333299</v>
      </c>
      <c r="D3758" s="2" t="s">
        <v>51</v>
      </c>
      <c r="E3758" s="2" t="s">
        <v>24885</v>
      </c>
      <c r="F3758" s="2">
        <v>209817</v>
      </c>
      <c r="G3758" s="3" t="str">
        <f>HYPERLINK("https://cloud.oebiotech.com/#/lm/network/209817", "https://cloud.oebiotech.com/#/lm/network/209817")</f>
        <v>https://cloud.oebiotech.com/#/lm/network/209817</v>
      </c>
      <c r="H3758" s="2" t="s">
        <v>24886</v>
      </c>
      <c r="I3758" s="2"/>
      <c r="J3758" s="2"/>
      <c r="K3758" s="2">
        <v>53438755</v>
      </c>
      <c r="L3758" s="2"/>
      <c r="M3758" s="2"/>
      <c r="N3758" s="2"/>
      <c r="O3758" s="2"/>
      <c r="P3758" s="2"/>
      <c r="Q3758" s="2"/>
      <c r="R3758" s="2"/>
      <c r="S3758" s="2" t="s">
        <v>24887</v>
      </c>
      <c r="T3758" s="2" t="s">
        <v>24888</v>
      </c>
      <c r="U3758" s="2" t="s">
        <v>56</v>
      </c>
      <c r="V3758" s="2" t="s">
        <v>145</v>
      </c>
      <c r="W3758" s="2" t="s">
        <v>203</v>
      </c>
      <c r="X3758" s="2" t="s">
        <v>83</v>
      </c>
      <c r="Y3758" s="2">
        <v>46.9</v>
      </c>
      <c r="Z3758" s="2">
        <v>0</v>
      </c>
      <c r="AA3758" s="2" t="s">
        <v>156</v>
      </c>
      <c r="AB3758" s="2" t="s">
        <v>6435</v>
      </c>
      <c r="AC3758" s="2">
        <v>2.25961399615211</v>
      </c>
      <c r="AD3758" s="2"/>
      <c r="AE3758" s="2">
        <v>0.13995182300859699</v>
      </c>
      <c r="AF3758" s="2">
        <v>1403.0918711668</v>
      </c>
      <c r="AG3758" s="2">
        <v>777.84936494784301</v>
      </c>
      <c r="AH3758" s="5">
        <v>1.8038092391589</v>
      </c>
      <c r="AI3758" s="5">
        <v>0.85104677525002304</v>
      </c>
      <c r="AJ3758" s="5" t="s">
        <v>139</v>
      </c>
      <c r="AK3758" s="2">
        <v>0.161543252660027</v>
      </c>
      <c r="AL3758" s="2">
        <v>0.48399353100485398</v>
      </c>
      <c r="AM3758" s="2">
        <v>1166.5762525702401</v>
      </c>
      <c r="AN3758" s="2">
        <v>2093.3736531357799</v>
      </c>
      <c r="AO3758" s="2">
        <v>2389.5323448618001</v>
      </c>
      <c r="AP3758" s="2">
        <v>323.20449685397199</v>
      </c>
      <c r="AQ3758" s="2">
        <v>946.99919238834798</v>
      </c>
      <c r="AR3758" s="2">
        <v>1498.86528719068</v>
      </c>
      <c r="AS3758" s="2">
        <v>812.010076297659</v>
      </c>
      <c r="AT3758" s="2">
        <v>987.58699330894297</v>
      </c>
      <c r="AU3758" s="2">
        <v>454.29651770816798</v>
      </c>
      <c r="AV3758" s="2">
        <v>8.559877937157E-6</v>
      </c>
      <c r="AW3758" s="2">
        <v>458.11315945612802</v>
      </c>
      <c r="AX3758" s="2">
        <v>1955.08943435628</v>
      </c>
    </row>
    <row r="3759" spans="1:50" x14ac:dyDescent="0.25">
      <c r="A3759" s="2" t="s">
        <v>24889</v>
      </c>
      <c r="B3759" s="2">
        <v>255.21166917378801</v>
      </c>
      <c r="C3759" s="2">
        <v>6.3127000000000004</v>
      </c>
      <c r="D3759" s="2" t="s">
        <v>51</v>
      </c>
      <c r="E3759" s="2" t="s">
        <v>24890</v>
      </c>
      <c r="F3759" s="2">
        <v>2337</v>
      </c>
      <c r="G3759" s="3" t="str">
        <f>HYPERLINK("https://cloud.oebiotech.com/#/lm/network/2337", "https://cloud.oebiotech.com/#/lm/network/2337")</f>
        <v>https://cloud.oebiotech.com/#/lm/network/2337</v>
      </c>
      <c r="H3759" s="2"/>
      <c r="I3759" s="2">
        <v>96780</v>
      </c>
      <c r="J3759" s="2" t="s">
        <v>24891</v>
      </c>
      <c r="K3759" s="2">
        <v>56935804</v>
      </c>
      <c r="L3759" s="2"/>
      <c r="M3759" s="2"/>
      <c r="N3759" s="2"/>
      <c r="O3759" s="2"/>
      <c r="P3759" s="2"/>
      <c r="Q3759" s="2"/>
      <c r="R3759" s="2"/>
      <c r="S3759" s="2" t="s">
        <v>24892</v>
      </c>
      <c r="T3759" s="2" t="s">
        <v>24893</v>
      </c>
      <c r="U3759" s="2" t="s">
        <v>56</v>
      </c>
      <c r="V3759" s="2" t="s">
        <v>145</v>
      </c>
      <c r="W3759" s="2" t="s">
        <v>231</v>
      </c>
      <c r="X3759" s="2" t="s">
        <v>147</v>
      </c>
      <c r="Y3759" s="2">
        <v>39.299999999999997</v>
      </c>
      <c r="Z3759" s="2">
        <v>0</v>
      </c>
      <c r="AA3759" s="2" t="s">
        <v>156</v>
      </c>
      <c r="AB3759" s="2" t="s">
        <v>24894</v>
      </c>
      <c r="AC3759" s="2">
        <v>-0.73825926143839904</v>
      </c>
      <c r="AD3759" s="2"/>
      <c r="AE3759" s="2">
        <v>0.13995065214246899</v>
      </c>
      <c r="AF3759" s="2">
        <v>420.25133761895</v>
      </c>
      <c r="AG3759" s="2">
        <v>1098.2622510403601</v>
      </c>
      <c r="AH3759" s="4">
        <v>0.38265117208649801</v>
      </c>
      <c r="AI3759" s="4">
        <v>-1.3858982761462799</v>
      </c>
      <c r="AJ3759" s="4" t="s">
        <v>62</v>
      </c>
      <c r="AK3759" s="2">
        <v>7.3043420069160495E-2</v>
      </c>
      <c r="AL3759" s="2">
        <v>0.35436676551019203</v>
      </c>
      <c r="AM3759" s="2">
        <v>147.72272029727</v>
      </c>
      <c r="AN3759" s="2">
        <v>721.96804454207302</v>
      </c>
      <c r="AO3759" s="2">
        <v>581.80320994188901</v>
      </c>
      <c r="AP3759" s="2">
        <v>597.04192963338505</v>
      </c>
      <c r="AQ3759" s="2">
        <v>118.773919055956</v>
      </c>
      <c r="AR3759" s="2">
        <v>354.198202243129</v>
      </c>
      <c r="AS3759" s="2">
        <v>584.75212895820698</v>
      </c>
      <c r="AT3759" s="2">
        <v>2014.88487692017</v>
      </c>
      <c r="AU3759" s="2">
        <v>480.47741505680602</v>
      </c>
      <c r="AV3759" s="2">
        <v>2202.41709203866</v>
      </c>
      <c r="AW3759" s="2">
        <v>753.06667963540099</v>
      </c>
      <c r="AX3759" s="2">
        <v>553.97531363293797</v>
      </c>
    </row>
    <row r="3760" spans="1:50" x14ac:dyDescent="0.25">
      <c r="A3760" s="2" t="s">
        <v>24895</v>
      </c>
      <c r="B3760" s="2">
        <v>355.12760667354701</v>
      </c>
      <c r="C3760" s="2">
        <v>5.6083833333333297</v>
      </c>
      <c r="D3760" s="2" t="s">
        <v>51</v>
      </c>
      <c r="E3760" s="2" t="s">
        <v>24896</v>
      </c>
      <c r="F3760" s="2">
        <v>48304</v>
      </c>
      <c r="G3760" s="3" t="str">
        <f>HYPERLINK("https://cloud.oebiotech.com/#/lm/network/48304", "https://cloud.oebiotech.com/#/lm/network/48304")</f>
        <v>https://cloud.oebiotech.com/#/lm/network/48304</v>
      </c>
      <c r="H3760" s="2" t="s">
        <v>24897</v>
      </c>
      <c r="I3760" s="2">
        <v>7068</v>
      </c>
      <c r="J3760" s="2"/>
      <c r="K3760" s="2">
        <v>447123</v>
      </c>
      <c r="L3760" s="2" t="s">
        <v>24898</v>
      </c>
      <c r="M3760" s="2"/>
      <c r="N3760" s="2"/>
      <c r="O3760" s="2">
        <v>48926</v>
      </c>
      <c r="P3760" s="2" t="s">
        <v>24899</v>
      </c>
      <c r="Q3760" s="2" t="s">
        <v>24900</v>
      </c>
      <c r="R3760" s="2" t="s">
        <v>24901</v>
      </c>
      <c r="S3760" s="2" t="s">
        <v>24902</v>
      </c>
      <c r="T3760" s="2" t="s">
        <v>24903</v>
      </c>
      <c r="U3760" s="2" t="s">
        <v>103</v>
      </c>
      <c r="V3760" s="2" t="s">
        <v>104</v>
      </c>
      <c r="W3760" s="2" t="s">
        <v>105</v>
      </c>
      <c r="X3760" s="2" t="s">
        <v>147</v>
      </c>
      <c r="Y3760" s="2">
        <v>46.2</v>
      </c>
      <c r="Z3760" s="2">
        <v>41.6</v>
      </c>
      <c r="AA3760" s="2" t="s">
        <v>512</v>
      </c>
      <c r="AB3760" s="2" t="s">
        <v>24904</v>
      </c>
      <c r="AC3760" s="2">
        <v>-1.749709144718</v>
      </c>
      <c r="AD3760" s="2"/>
      <c r="AE3760" s="2">
        <v>0.139798710983116</v>
      </c>
      <c r="AF3760" s="2">
        <v>11526.843038645</v>
      </c>
      <c r="AG3760" s="2">
        <v>13710.730723933701</v>
      </c>
      <c r="AH3760" s="4">
        <v>0.84071690056048898</v>
      </c>
      <c r="AI3760" s="4">
        <v>-0.25030801963356503</v>
      </c>
      <c r="AJ3760" s="4" t="s">
        <v>62</v>
      </c>
      <c r="AK3760" s="2">
        <v>0.70075487773635003</v>
      </c>
      <c r="AL3760" s="2">
        <v>0.85630594451671405</v>
      </c>
      <c r="AM3760" s="2">
        <v>9452.7729142212793</v>
      </c>
      <c r="AN3760" s="2">
        <v>15670.9574963991</v>
      </c>
      <c r="AO3760" s="2">
        <v>9362.8959897887307</v>
      </c>
      <c r="AP3760" s="2">
        <v>13092.4027180064</v>
      </c>
      <c r="AQ3760" s="2">
        <v>13579.8765488561</v>
      </c>
      <c r="AR3760" s="2">
        <v>8002.1525645985002</v>
      </c>
      <c r="AS3760" s="2">
        <v>37626.078746699801</v>
      </c>
      <c r="AT3760" s="2">
        <v>20694.905772902399</v>
      </c>
      <c r="AU3760" s="2">
        <v>3603.7459879851799</v>
      </c>
      <c r="AV3760" s="2">
        <v>6262.8441445750695</v>
      </c>
      <c r="AW3760" s="2">
        <v>6056.4393383528604</v>
      </c>
      <c r="AX3760" s="2">
        <v>8020.3703530869598</v>
      </c>
    </row>
    <row r="3761" spans="1:50" x14ac:dyDescent="0.25">
      <c r="A3761" s="2" t="s">
        <v>24905</v>
      </c>
      <c r="B3761" s="2">
        <v>190.02955821653299</v>
      </c>
      <c r="C3761" s="2">
        <v>1.04843333333333</v>
      </c>
      <c r="D3761" s="2" t="s">
        <v>51</v>
      </c>
      <c r="E3761" s="2" t="s">
        <v>24906</v>
      </c>
      <c r="F3761" s="2">
        <v>206883</v>
      </c>
      <c r="G3761" s="3" t="str">
        <f>HYPERLINK("https://cloud.oebiotech.com/#/lm/network/206883", "https://cloud.oebiotech.com/#/lm/network/206883")</f>
        <v>https://cloud.oebiotech.com/#/lm/network/206883</v>
      </c>
      <c r="H3761" s="2" t="s">
        <v>24907</v>
      </c>
      <c r="I3761" s="2"/>
      <c r="J3761" s="2"/>
      <c r="K3761" s="2">
        <v>54479367</v>
      </c>
      <c r="L3761" s="2"/>
      <c r="M3761" s="2"/>
      <c r="N3761" s="2"/>
      <c r="O3761" s="2"/>
      <c r="P3761" s="2"/>
      <c r="Q3761" s="2"/>
      <c r="R3761" s="2"/>
      <c r="S3761" s="2" t="s">
        <v>24908</v>
      </c>
      <c r="T3761" s="2" t="s">
        <v>24909</v>
      </c>
      <c r="U3761" s="2" t="s">
        <v>266</v>
      </c>
      <c r="V3761" s="2" t="s">
        <v>1393</v>
      </c>
      <c r="W3761" s="2" t="s">
        <v>1643</v>
      </c>
      <c r="X3761" s="2" t="s">
        <v>147</v>
      </c>
      <c r="Y3761" s="2">
        <v>43.1</v>
      </c>
      <c r="Z3761" s="2">
        <v>24.2</v>
      </c>
      <c r="AA3761" s="2" t="s">
        <v>156</v>
      </c>
      <c r="AB3761" s="2" t="s">
        <v>24910</v>
      </c>
      <c r="AC3761" s="2">
        <v>-1.5688759682415601</v>
      </c>
      <c r="AD3761" s="2"/>
      <c r="AE3761" s="2">
        <v>0.13963205440169199</v>
      </c>
      <c r="AF3761" s="2">
        <v>2341.9627289013602</v>
      </c>
      <c r="AG3761" s="2">
        <v>3126.1110669949899</v>
      </c>
      <c r="AH3761" s="4">
        <v>0.74916171521461605</v>
      </c>
      <c r="AI3761" s="4">
        <v>-0.41665092018800798</v>
      </c>
      <c r="AJ3761" s="4" t="s">
        <v>62</v>
      </c>
      <c r="AK3761" s="2">
        <v>0.115715126045349</v>
      </c>
      <c r="AL3761" s="2">
        <v>0.432075914044805</v>
      </c>
      <c r="AM3761" s="2">
        <v>2858.7923189317198</v>
      </c>
      <c r="AN3761" s="2">
        <v>1658.6049757222199</v>
      </c>
      <c r="AO3761" s="2">
        <v>2491.4871297505301</v>
      </c>
      <c r="AP3761" s="2">
        <v>2500.60599958584</v>
      </c>
      <c r="AQ3761" s="2">
        <v>2800.5273498875399</v>
      </c>
      <c r="AR3761" s="2">
        <v>1741.7585995303</v>
      </c>
      <c r="AS3761" s="2">
        <v>2145.4118689977499</v>
      </c>
      <c r="AT3761" s="2">
        <v>2925.8638762502201</v>
      </c>
      <c r="AU3761" s="2">
        <v>3061.5552496503401</v>
      </c>
      <c r="AV3761" s="2">
        <v>2637.9567013225601</v>
      </c>
      <c r="AW3761" s="2">
        <v>2963.7695999206799</v>
      </c>
      <c r="AX3761" s="2">
        <v>5022.1091058283801</v>
      </c>
    </row>
    <row r="3762" spans="1:50" x14ac:dyDescent="0.25">
      <c r="A3762" s="2" t="s">
        <v>24911</v>
      </c>
      <c r="B3762" s="2">
        <v>632.35706156419099</v>
      </c>
      <c r="C3762" s="2">
        <v>9.6442166666666704</v>
      </c>
      <c r="D3762" s="2" t="s">
        <v>51</v>
      </c>
      <c r="E3762" s="2" t="s">
        <v>24912</v>
      </c>
      <c r="F3762" s="2">
        <v>27829</v>
      </c>
      <c r="G3762" s="3" t="str">
        <f>HYPERLINK("https://cloud.oebiotech.com/#/lm/network/27829", "https://cloud.oebiotech.com/#/lm/network/27829")</f>
        <v>https://cloud.oebiotech.com/#/lm/network/27829</v>
      </c>
      <c r="H3762" s="2"/>
      <c r="I3762" s="2"/>
      <c r="J3762" s="2" t="s">
        <v>24913</v>
      </c>
      <c r="K3762" s="2">
        <v>134812282</v>
      </c>
      <c r="L3762" s="2"/>
      <c r="M3762" s="2"/>
      <c r="N3762" s="2"/>
      <c r="O3762" s="2"/>
      <c r="P3762" s="2"/>
      <c r="Q3762" s="2"/>
      <c r="R3762" s="2"/>
      <c r="S3762" s="2" t="s">
        <v>24914</v>
      </c>
      <c r="T3762" s="2" t="s">
        <v>24915</v>
      </c>
      <c r="U3762" s="2" t="s">
        <v>56</v>
      </c>
      <c r="V3762" s="2" t="s">
        <v>57</v>
      </c>
      <c r="W3762" s="2" t="s">
        <v>58</v>
      </c>
      <c r="X3762" s="2" t="s">
        <v>147</v>
      </c>
      <c r="Y3762" s="2">
        <v>36.9</v>
      </c>
      <c r="Z3762" s="2">
        <v>0</v>
      </c>
      <c r="AA3762" s="2" t="s">
        <v>379</v>
      </c>
      <c r="AB3762" s="2" t="s">
        <v>24916</v>
      </c>
      <c r="AC3762" s="2">
        <v>0.23699747638367399</v>
      </c>
      <c r="AD3762" s="2"/>
      <c r="AE3762" s="2">
        <v>0.13962891018505799</v>
      </c>
      <c r="AF3762" s="2">
        <v>11867.423013899701</v>
      </c>
      <c r="AG3762" s="2">
        <v>10566.330121274499</v>
      </c>
      <c r="AH3762" s="5">
        <v>1.1231357413304299</v>
      </c>
      <c r="AI3762" s="5">
        <v>0.16753230130007901</v>
      </c>
      <c r="AJ3762" s="5" t="s">
        <v>139</v>
      </c>
      <c r="AK3762" s="2">
        <v>0.72021919201968099</v>
      </c>
      <c r="AL3762" s="2">
        <v>0.87041914937656994</v>
      </c>
      <c r="AM3762" s="2">
        <v>15941.9098336966</v>
      </c>
      <c r="AN3762" s="2">
        <v>11818.8174645504</v>
      </c>
      <c r="AO3762" s="2">
        <v>6823.7767303070896</v>
      </c>
      <c r="AP3762" s="2">
        <v>11774.517195042699</v>
      </c>
      <c r="AQ3762" s="2">
        <v>11637.8374266502</v>
      </c>
      <c r="AR3762" s="2">
        <v>13207.679433151099</v>
      </c>
      <c r="AS3762" s="2">
        <v>3033.43056163235</v>
      </c>
      <c r="AT3762" s="2">
        <v>5103.9079691424704</v>
      </c>
      <c r="AU3762" s="2">
        <v>25191.3852643233</v>
      </c>
      <c r="AV3762" s="2">
        <v>9106.4186883108596</v>
      </c>
      <c r="AW3762" s="2">
        <v>14194.7061208499</v>
      </c>
      <c r="AX3762" s="2">
        <v>6768.13212338835</v>
      </c>
    </row>
    <row r="3763" spans="1:50" x14ac:dyDescent="0.25">
      <c r="A3763" s="2" t="s">
        <v>24917</v>
      </c>
      <c r="B3763" s="2">
        <v>333.065766662231</v>
      </c>
      <c r="C3763" s="2">
        <v>1.1926000000000001</v>
      </c>
      <c r="D3763" s="2" t="s">
        <v>51</v>
      </c>
      <c r="E3763" s="2" t="s">
        <v>24918</v>
      </c>
      <c r="F3763" s="2">
        <v>48139</v>
      </c>
      <c r="G3763" s="3" t="str">
        <f>HYPERLINK("https://cloud.oebiotech.com/#/lm/network/48139", "https://cloud.oebiotech.com/#/lm/network/48139")</f>
        <v>https://cloud.oebiotech.com/#/lm/network/48139</v>
      </c>
      <c r="H3763" s="2" t="s">
        <v>24919</v>
      </c>
      <c r="I3763" s="2">
        <v>6962</v>
      </c>
      <c r="J3763" s="2"/>
      <c r="K3763" s="2">
        <v>68340</v>
      </c>
      <c r="L3763" s="2" t="s">
        <v>24920</v>
      </c>
      <c r="M3763" s="2" t="s">
        <v>24921</v>
      </c>
      <c r="N3763" s="2" t="s">
        <v>24922</v>
      </c>
      <c r="O3763" s="2">
        <v>17228</v>
      </c>
      <c r="P3763" s="2"/>
      <c r="Q3763" s="2"/>
      <c r="R3763" s="2" t="s">
        <v>24923</v>
      </c>
      <c r="S3763" s="2" t="s">
        <v>24924</v>
      </c>
      <c r="T3763" s="2" t="s">
        <v>24925</v>
      </c>
      <c r="U3763" s="2" t="s">
        <v>103</v>
      </c>
      <c r="V3763" s="2" t="s">
        <v>12842</v>
      </c>
      <c r="W3763" s="2" t="s">
        <v>12843</v>
      </c>
      <c r="X3763" s="2" t="s">
        <v>147</v>
      </c>
      <c r="Y3763" s="2">
        <v>38</v>
      </c>
      <c r="Z3763" s="2">
        <v>0</v>
      </c>
      <c r="AA3763" s="2" t="s">
        <v>478</v>
      </c>
      <c r="AB3763" s="2" t="s">
        <v>24926</v>
      </c>
      <c r="AC3763" s="2">
        <v>0.35552360568095298</v>
      </c>
      <c r="AD3763" s="2"/>
      <c r="AE3763" s="2">
        <v>0.13962721762392899</v>
      </c>
      <c r="AF3763" s="2">
        <v>2405.9728669410401</v>
      </c>
      <c r="AG3763" s="2">
        <v>3034.4033877460101</v>
      </c>
      <c r="AH3763" s="4">
        <v>0.792898161350996</v>
      </c>
      <c r="AI3763" s="4">
        <v>-0.33479251464374898</v>
      </c>
      <c r="AJ3763" s="4" t="s">
        <v>62</v>
      </c>
      <c r="AK3763" s="2">
        <v>0.12785424606950799</v>
      </c>
      <c r="AL3763" s="2">
        <v>0.44626309510015799</v>
      </c>
      <c r="AM3763" s="2">
        <v>1922.6969885475801</v>
      </c>
      <c r="AN3763" s="2">
        <v>2474.9427822177699</v>
      </c>
      <c r="AO3763" s="2">
        <v>2838.1806757950499</v>
      </c>
      <c r="AP3763" s="2">
        <v>1492.1089278427901</v>
      </c>
      <c r="AQ3763" s="2">
        <v>2348.2681161417399</v>
      </c>
      <c r="AR3763" s="2">
        <v>3359.6397111013198</v>
      </c>
      <c r="AS3763" s="2">
        <v>3051.7459539223701</v>
      </c>
      <c r="AT3763" s="2">
        <v>3037.0121288667701</v>
      </c>
      <c r="AU3763" s="2">
        <v>2039.7365779802101</v>
      </c>
      <c r="AV3763" s="2">
        <v>3960.6925222824302</v>
      </c>
      <c r="AW3763" s="2">
        <v>2686.8661104495</v>
      </c>
      <c r="AX3763" s="2">
        <v>3430.3670329747501</v>
      </c>
    </row>
    <row r="3764" spans="1:50" x14ac:dyDescent="0.25">
      <c r="A3764" s="2" t="s">
        <v>24927</v>
      </c>
      <c r="B3764" s="2">
        <v>461.32745598544398</v>
      </c>
      <c r="C3764" s="2">
        <v>11.233700000000001</v>
      </c>
      <c r="D3764" s="2" t="s">
        <v>51</v>
      </c>
      <c r="E3764" s="2" t="s">
        <v>24928</v>
      </c>
      <c r="F3764" s="2">
        <v>43456</v>
      </c>
      <c r="G3764" s="3" t="str">
        <f>HYPERLINK("https://cloud.oebiotech.com/#/lm/network/43456", "https://cloud.oebiotech.com/#/lm/network/43456")</f>
        <v>https://cloud.oebiotech.com/#/lm/network/43456</v>
      </c>
      <c r="H3764" s="2"/>
      <c r="I3764" s="2">
        <v>41664</v>
      </c>
      <c r="J3764" s="2" t="s">
        <v>24929</v>
      </c>
      <c r="K3764" s="2">
        <v>16061333</v>
      </c>
      <c r="L3764" s="2"/>
      <c r="M3764" s="2"/>
      <c r="N3764" s="2"/>
      <c r="O3764" s="2"/>
      <c r="P3764" s="2"/>
      <c r="Q3764" s="2"/>
      <c r="R3764" s="2"/>
      <c r="S3764" s="2" t="s">
        <v>24930</v>
      </c>
      <c r="T3764" s="2" t="s">
        <v>24931</v>
      </c>
      <c r="U3764" s="2" t="s">
        <v>56</v>
      </c>
      <c r="V3764" s="2" t="s">
        <v>283</v>
      </c>
      <c r="W3764" s="2" t="s">
        <v>2042</v>
      </c>
      <c r="X3764" s="2" t="s">
        <v>83</v>
      </c>
      <c r="Y3764" s="2">
        <v>56</v>
      </c>
      <c r="Z3764" s="2">
        <v>0</v>
      </c>
      <c r="AA3764" s="2" t="s">
        <v>218</v>
      </c>
      <c r="AB3764" s="2" t="s">
        <v>12916</v>
      </c>
      <c r="AC3764" s="2">
        <v>0.499234165846619</v>
      </c>
      <c r="AD3764" s="2"/>
      <c r="AE3764" s="2">
        <v>0.13951418732259399</v>
      </c>
      <c r="AF3764" s="2">
        <v>46811.861448467302</v>
      </c>
      <c r="AG3764" s="2">
        <v>41749.988288605397</v>
      </c>
      <c r="AH3764" s="5">
        <v>1.1212425049049299</v>
      </c>
      <c r="AI3764" s="5">
        <v>0.165098341289347</v>
      </c>
      <c r="AJ3764" s="5" t="s">
        <v>139</v>
      </c>
      <c r="AK3764" s="2">
        <v>0.64194707607552504</v>
      </c>
      <c r="AL3764" s="2">
        <v>0.82512227552725503</v>
      </c>
      <c r="AM3764" s="2">
        <v>32715.214957011201</v>
      </c>
      <c r="AN3764" s="2">
        <v>51089.3605712114</v>
      </c>
      <c r="AO3764" s="2">
        <v>55777.3992815284</v>
      </c>
      <c r="AP3764" s="2">
        <v>75328.460907854998</v>
      </c>
      <c r="AQ3764" s="2">
        <v>37702.569751647701</v>
      </c>
      <c r="AR3764" s="2">
        <v>28258.163221550301</v>
      </c>
      <c r="AS3764" s="2">
        <v>38358.566552765296</v>
      </c>
      <c r="AT3764" s="2">
        <v>47524.814598926503</v>
      </c>
      <c r="AU3764" s="2">
        <v>30664.545524583398</v>
      </c>
      <c r="AV3764" s="2">
        <v>15109.6771255154</v>
      </c>
      <c r="AW3764" s="2">
        <v>47083.081188492601</v>
      </c>
      <c r="AX3764" s="2">
        <v>71759.244741349103</v>
      </c>
    </row>
    <row r="3765" spans="1:50" x14ac:dyDescent="0.25">
      <c r="A3765" s="2" t="s">
        <v>24932</v>
      </c>
      <c r="B3765" s="2">
        <v>369.14913478873399</v>
      </c>
      <c r="C3765" s="2">
        <v>4.0557999999999996</v>
      </c>
      <c r="D3765" s="2" t="s">
        <v>51</v>
      </c>
      <c r="E3765" s="2" t="s">
        <v>24933</v>
      </c>
      <c r="F3765" s="2">
        <v>34235</v>
      </c>
      <c r="G3765" s="3" t="str">
        <f>HYPERLINK("https://cloud.oebiotech.com/#/lm/network/34235", "https://cloud.oebiotech.com/#/lm/network/34235")</f>
        <v>https://cloud.oebiotech.com/#/lm/network/34235</v>
      </c>
      <c r="H3765" s="2"/>
      <c r="I3765" s="2">
        <v>52543</v>
      </c>
      <c r="J3765" s="2" t="s">
        <v>24934</v>
      </c>
      <c r="K3765" s="2">
        <v>14769500</v>
      </c>
      <c r="L3765" s="2"/>
      <c r="M3765" s="2"/>
      <c r="N3765" s="2"/>
      <c r="O3765" s="2"/>
      <c r="P3765" s="2"/>
      <c r="Q3765" s="2"/>
      <c r="R3765" s="2"/>
      <c r="S3765" s="2" t="s">
        <v>24935</v>
      </c>
      <c r="T3765" s="2" t="s">
        <v>24936</v>
      </c>
      <c r="U3765" s="2" t="s">
        <v>540</v>
      </c>
      <c r="V3765" s="2" t="s">
        <v>541</v>
      </c>
      <c r="W3765" s="2" t="s">
        <v>24937</v>
      </c>
      <c r="X3765" s="2" t="s">
        <v>147</v>
      </c>
      <c r="Y3765" s="2">
        <v>37.799999999999997</v>
      </c>
      <c r="Z3765" s="2">
        <v>0</v>
      </c>
      <c r="AA3765" s="2" t="s">
        <v>379</v>
      </c>
      <c r="AB3765" s="2" t="s">
        <v>24938</v>
      </c>
      <c r="AC3765" s="2">
        <v>-1.24518213611249</v>
      </c>
      <c r="AD3765" s="2"/>
      <c r="AE3765" s="2">
        <v>0.13950277302081299</v>
      </c>
      <c r="AF3765" s="2">
        <v>6169.6290993512303</v>
      </c>
      <c r="AG3765" s="2">
        <v>7105.6015815421597</v>
      </c>
      <c r="AH3765" s="4">
        <v>0.86827681351818797</v>
      </c>
      <c r="AI3765" s="4">
        <v>-0.20377303629132701</v>
      </c>
      <c r="AJ3765" s="4" t="s">
        <v>62</v>
      </c>
      <c r="AK3765" s="2">
        <v>0.866010591631174</v>
      </c>
      <c r="AL3765" s="2">
        <v>0.94235793301214799</v>
      </c>
      <c r="AM3765" s="2">
        <v>9949.8500449680105</v>
      </c>
      <c r="AN3765" s="2">
        <v>28.341881863109101</v>
      </c>
      <c r="AO3765" s="2">
        <v>170.81312164241601</v>
      </c>
      <c r="AP3765" s="2">
        <v>26008.316627290002</v>
      </c>
      <c r="AQ3765" s="2">
        <v>522.04642662897697</v>
      </c>
      <c r="AR3765" s="2">
        <v>338.40649371485199</v>
      </c>
      <c r="AS3765" s="2">
        <v>12115.592883433599</v>
      </c>
      <c r="AT3765" s="2">
        <v>8.559877937157E-6</v>
      </c>
      <c r="AU3765" s="2">
        <v>1711.76443415331</v>
      </c>
      <c r="AV3765" s="2">
        <v>2162.9858724436799</v>
      </c>
      <c r="AW3765" s="2">
        <v>5477.9828334825997</v>
      </c>
      <c r="AX3765" s="2">
        <v>21165.283457179899</v>
      </c>
    </row>
    <row r="3766" spans="1:50" x14ac:dyDescent="0.25">
      <c r="A3766" s="2" t="s">
        <v>24939</v>
      </c>
      <c r="B3766" s="2">
        <v>257.17578933021298</v>
      </c>
      <c r="C3766" s="2">
        <v>9.1305166666666704</v>
      </c>
      <c r="D3766" s="2" t="s">
        <v>51</v>
      </c>
      <c r="E3766" s="2" t="s">
        <v>24940</v>
      </c>
      <c r="F3766" s="2">
        <v>2833</v>
      </c>
      <c r="G3766" s="3" t="str">
        <f>HYPERLINK("https://cloud.oebiotech.com/#/lm/network/2833", "https://cloud.oebiotech.com/#/lm/network/2833")</f>
        <v>https://cloud.oebiotech.com/#/lm/network/2833</v>
      </c>
      <c r="H3766" s="2" t="s">
        <v>24941</v>
      </c>
      <c r="I3766" s="2">
        <v>5833</v>
      </c>
      <c r="J3766" s="2" t="s">
        <v>24942</v>
      </c>
      <c r="K3766" s="2">
        <v>13185</v>
      </c>
      <c r="L3766" s="2" t="s">
        <v>24943</v>
      </c>
      <c r="M3766" s="2"/>
      <c r="N3766" s="2"/>
      <c r="O3766" s="2">
        <v>76308</v>
      </c>
      <c r="P3766" s="2"/>
      <c r="Q3766" s="2"/>
      <c r="R3766" s="2" t="s">
        <v>24944</v>
      </c>
      <c r="S3766" s="2" t="s">
        <v>24945</v>
      </c>
      <c r="T3766" s="2" t="s">
        <v>24946</v>
      </c>
      <c r="U3766" s="2" t="s">
        <v>56</v>
      </c>
      <c r="V3766" s="2" t="s">
        <v>145</v>
      </c>
      <c r="W3766" s="2" t="s">
        <v>231</v>
      </c>
      <c r="X3766" s="2" t="s">
        <v>69</v>
      </c>
      <c r="Y3766" s="2">
        <v>51.7</v>
      </c>
      <c r="Z3766" s="2">
        <v>49.6</v>
      </c>
      <c r="AA3766" s="2" t="s">
        <v>163</v>
      </c>
      <c r="AB3766" s="2" t="s">
        <v>1189</v>
      </c>
      <c r="AC3766" s="2">
        <v>-0.168678141405458</v>
      </c>
      <c r="AD3766" s="2"/>
      <c r="AE3766" s="2">
        <v>0.13949621301599499</v>
      </c>
      <c r="AF3766" s="2">
        <v>3803.6377928694701</v>
      </c>
      <c r="AG3766" s="2">
        <v>4630.7843633934799</v>
      </c>
      <c r="AH3766" s="4">
        <v>0.82138089238993095</v>
      </c>
      <c r="AI3766" s="4">
        <v>-0.28387670828980399</v>
      </c>
      <c r="AJ3766" s="4" t="s">
        <v>62</v>
      </c>
      <c r="AK3766" s="2">
        <v>0.37046913040069501</v>
      </c>
      <c r="AL3766" s="2">
        <v>0.65343886725755396</v>
      </c>
      <c r="AM3766" s="2">
        <v>3468.1264269793201</v>
      </c>
      <c r="AN3766" s="2">
        <v>2894.27002486027</v>
      </c>
      <c r="AO3766" s="2">
        <v>5566.12400871094</v>
      </c>
      <c r="AP3766" s="2">
        <v>3131.9981535692</v>
      </c>
      <c r="AQ3766" s="2">
        <v>3710.2215424030801</v>
      </c>
      <c r="AR3766" s="2">
        <v>4051.08660069402</v>
      </c>
      <c r="AS3766" s="2">
        <v>3948.8196848039502</v>
      </c>
      <c r="AT3766" s="2">
        <v>2476.7371797761298</v>
      </c>
      <c r="AU3766" s="2">
        <v>4366.8100460364803</v>
      </c>
      <c r="AV3766" s="2">
        <v>6935.8689583453297</v>
      </c>
      <c r="AW3766" s="2">
        <v>7024.4428292248303</v>
      </c>
      <c r="AX3766" s="2">
        <v>3032.02748217414</v>
      </c>
    </row>
    <row r="3767" spans="1:50" x14ac:dyDescent="0.25">
      <c r="A3767" s="2" t="s">
        <v>24947</v>
      </c>
      <c r="B3767" s="2">
        <v>769.35088958725203</v>
      </c>
      <c r="C3767" s="2">
        <v>4.3974166666666701</v>
      </c>
      <c r="D3767" s="2" t="s">
        <v>51</v>
      </c>
      <c r="E3767" s="2" t="s">
        <v>24948</v>
      </c>
      <c r="F3767" s="2">
        <v>204180</v>
      </c>
      <c r="G3767" s="3" t="str">
        <f>HYPERLINK("https://cloud.oebiotech.com/#/lm/network/204180", "https://cloud.oebiotech.com/#/lm/network/204180")</f>
        <v>https://cloud.oebiotech.com/#/lm/network/204180</v>
      </c>
      <c r="H3767" s="2" t="s">
        <v>24949</v>
      </c>
      <c r="I3767" s="2"/>
      <c r="J3767" s="2"/>
      <c r="K3767" s="2">
        <v>208951</v>
      </c>
      <c r="L3767" s="2"/>
      <c r="M3767" s="2"/>
      <c r="N3767" s="2"/>
      <c r="O3767" s="2"/>
      <c r="P3767" s="2"/>
      <c r="Q3767" s="2"/>
      <c r="R3767" s="2"/>
      <c r="S3767" s="2" t="s">
        <v>24950</v>
      </c>
      <c r="T3767" s="2" t="s">
        <v>24951</v>
      </c>
      <c r="U3767" s="2" t="s">
        <v>610</v>
      </c>
      <c r="V3767" s="2" t="s">
        <v>611</v>
      </c>
      <c r="W3767" s="2" t="s">
        <v>8482</v>
      </c>
      <c r="X3767" s="2" t="s">
        <v>147</v>
      </c>
      <c r="Y3767" s="2">
        <v>38.799999999999997</v>
      </c>
      <c r="Z3767" s="2">
        <v>0</v>
      </c>
      <c r="AA3767" s="2" t="s">
        <v>478</v>
      </c>
      <c r="AB3767" s="2" t="s">
        <v>24952</v>
      </c>
      <c r="AC3767" s="2">
        <v>0.14543495936492601</v>
      </c>
      <c r="AD3767" s="2"/>
      <c r="AE3767" s="2">
        <v>0.13942165366331499</v>
      </c>
      <c r="AF3767" s="2">
        <v>2746.3326891459201</v>
      </c>
      <c r="AG3767" s="2">
        <v>3921.0106156029201</v>
      </c>
      <c r="AH3767" s="4">
        <v>0.70041449982752202</v>
      </c>
      <c r="AI3767" s="4">
        <v>-0.51371914445008704</v>
      </c>
      <c r="AJ3767" s="4" t="s">
        <v>62</v>
      </c>
      <c r="AK3767" s="2">
        <v>0.74187523432402902</v>
      </c>
      <c r="AL3767" s="2">
        <v>0.88190791048193196</v>
      </c>
      <c r="AM3767" s="2">
        <v>51.102135325889797</v>
      </c>
      <c r="AN3767" s="2">
        <v>12.592514503351</v>
      </c>
      <c r="AO3767" s="2">
        <v>2660.7220698932101</v>
      </c>
      <c r="AP3767" s="2">
        <v>168.954637267164</v>
      </c>
      <c r="AQ3767" s="2">
        <v>1647.7557389675001</v>
      </c>
      <c r="AR3767" s="2">
        <v>11936.869038918399</v>
      </c>
      <c r="AS3767" s="2">
        <v>18295.350255642599</v>
      </c>
      <c r="AT3767" s="2">
        <v>1332.0428930549399</v>
      </c>
      <c r="AU3767" s="2">
        <v>285.572495625427</v>
      </c>
      <c r="AV3767" s="2">
        <v>574.37293561520198</v>
      </c>
      <c r="AW3767" s="2">
        <v>8.559877937157E-6</v>
      </c>
      <c r="AX3767" s="2">
        <v>3038.7251051194498</v>
      </c>
    </row>
    <row r="3768" spans="1:50" x14ac:dyDescent="0.25">
      <c r="A3768" s="2" t="s">
        <v>24953</v>
      </c>
      <c r="B3768" s="2">
        <v>199.03714651432</v>
      </c>
      <c r="C3768" s="2">
        <v>0.70636666666666703</v>
      </c>
      <c r="D3768" s="2" t="s">
        <v>51</v>
      </c>
      <c r="E3768" s="2" t="s">
        <v>24954</v>
      </c>
      <c r="F3768" s="2">
        <v>51907</v>
      </c>
      <c r="G3768" s="3" t="str">
        <f>HYPERLINK("https://cloud.oebiotech.com/#/lm/network/51907", "https://cloud.oebiotech.com/#/lm/network/51907")</f>
        <v>https://cloud.oebiotech.com/#/lm/network/51907</v>
      </c>
      <c r="H3768" s="2" t="s">
        <v>24955</v>
      </c>
      <c r="I3768" s="2"/>
      <c r="J3768" s="2"/>
      <c r="K3768" s="2">
        <v>654</v>
      </c>
      <c r="L3768" s="2" t="s">
        <v>24956</v>
      </c>
      <c r="M3768" s="2"/>
      <c r="N3768" s="2"/>
      <c r="O3768" s="2">
        <v>27708</v>
      </c>
      <c r="P3768" s="2"/>
      <c r="Q3768" s="2"/>
      <c r="R3768" s="2" t="s">
        <v>24957</v>
      </c>
      <c r="S3768" s="2" t="s">
        <v>24958</v>
      </c>
      <c r="T3768" s="2" t="s">
        <v>24959</v>
      </c>
      <c r="U3768" s="2" t="s">
        <v>103</v>
      </c>
      <c r="V3768" s="2" t="s">
        <v>1567</v>
      </c>
      <c r="W3768" s="2" t="s">
        <v>1568</v>
      </c>
      <c r="X3768" s="2" t="s">
        <v>147</v>
      </c>
      <c r="Y3768" s="2">
        <v>38.799999999999997</v>
      </c>
      <c r="Z3768" s="2">
        <v>0</v>
      </c>
      <c r="AA3768" s="2" t="s">
        <v>218</v>
      </c>
      <c r="AB3768" s="2" t="s">
        <v>24960</v>
      </c>
      <c r="AC3768" s="2">
        <v>-3.58230652478766</v>
      </c>
      <c r="AD3768" s="2"/>
      <c r="AE3768" s="2">
        <v>0.139414955459368</v>
      </c>
      <c r="AF3768" s="2">
        <v>240258.25393299299</v>
      </c>
      <c r="AG3768" s="2">
        <v>222806.565257779</v>
      </c>
      <c r="AH3768" s="5">
        <v>1.07832663573007</v>
      </c>
      <c r="AI3768" s="5">
        <v>0.108794250789646</v>
      </c>
      <c r="AJ3768" s="5" t="s">
        <v>139</v>
      </c>
      <c r="AK3768" s="2">
        <v>0.80518598589725698</v>
      </c>
      <c r="AL3768" s="2">
        <v>0.91260400941862796</v>
      </c>
      <c r="AM3768" s="2">
        <v>118864.395639732</v>
      </c>
      <c r="AN3768" s="2">
        <v>195051.421745314</v>
      </c>
      <c r="AO3768" s="2">
        <v>191395.31553433501</v>
      </c>
      <c r="AP3768" s="2">
        <v>512603.063848914</v>
      </c>
      <c r="AQ3768" s="2">
        <v>257210.050474763</v>
      </c>
      <c r="AR3768" s="2">
        <v>166425.276354898</v>
      </c>
      <c r="AS3768" s="2">
        <v>170248.55470474699</v>
      </c>
      <c r="AT3768" s="2">
        <v>130710.8459931</v>
      </c>
      <c r="AU3768" s="2">
        <v>302848.28658888402</v>
      </c>
      <c r="AV3768" s="2">
        <v>157578.453513182</v>
      </c>
      <c r="AW3768" s="2">
        <v>368410.73378536297</v>
      </c>
      <c r="AX3768" s="2">
        <v>207042.51696140101</v>
      </c>
    </row>
    <row r="3769" spans="1:50" x14ac:dyDescent="0.25">
      <c r="A3769" s="2" t="s">
        <v>24961</v>
      </c>
      <c r="B3769" s="2">
        <v>239.069864985105</v>
      </c>
      <c r="C3769" s="2">
        <v>7.0490333333333304</v>
      </c>
      <c r="D3769" s="2" t="s">
        <v>51</v>
      </c>
      <c r="E3769" s="2" t="s">
        <v>24962</v>
      </c>
      <c r="F3769" s="2">
        <v>33942</v>
      </c>
      <c r="G3769" s="3" t="str">
        <f>HYPERLINK("https://cloud.oebiotech.com/#/lm/network/33942", "https://cloud.oebiotech.com/#/lm/network/33942")</f>
        <v>https://cloud.oebiotech.com/#/lm/network/33942</v>
      </c>
      <c r="H3769" s="2"/>
      <c r="I3769" s="2">
        <v>52255</v>
      </c>
      <c r="J3769" s="2" t="s">
        <v>24963</v>
      </c>
      <c r="K3769" s="2">
        <v>442342</v>
      </c>
      <c r="L3769" s="2" t="s">
        <v>24964</v>
      </c>
      <c r="M3769" s="2"/>
      <c r="N3769" s="2"/>
      <c r="O3769" s="2">
        <v>27655</v>
      </c>
      <c r="P3769" s="2"/>
      <c r="Q3769" s="2"/>
      <c r="R3769" s="2"/>
      <c r="S3769" s="2" t="s">
        <v>24965</v>
      </c>
      <c r="T3769" s="2" t="s">
        <v>24966</v>
      </c>
      <c r="U3769" s="2" t="s">
        <v>540</v>
      </c>
      <c r="V3769" s="2" t="s">
        <v>10873</v>
      </c>
      <c r="W3769" s="2" t="s">
        <v>18007</v>
      </c>
      <c r="X3769" s="2" t="s">
        <v>83</v>
      </c>
      <c r="Y3769" s="2">
        <v>42.7</v>
      </c>
      <c r="Z3769" s="2">
        <v>0</v>
      </c>
      <c r="AA3769" s="2" t="s">
        <v>379</v>
      </c>
      <c r="AB3769" s="2" t="s">
        <v>24967</v>
      </c>
      <c r="AC3769" s="2">
        <v>-5.8228785363594904</v>
      </c>
      <c r="AD3769" s="2"/>
      <c r="AE3769" s="2">
        <v>0.13940171216532601</v>
      </c>
      <c r="AF3769" s="2">
        <v>1598.20055096398</v>
      </c>
      <c r="AG3769" s="2">
        <v>2123.7303071177498</v>
      </c>
      <c r="AH3769" s="4">
        <v>0.75254402388455499</v>
      </c>
      <c r="AI3769" s="4">
        <v>-0.41015211277298602</v>
      </c>
      <c r="AJ3769" s="4" t="s">
        <v>62</v>
      </c>
      <c r="AK3769" s="2">
        <v>5.0174945094409097E-2</v>
      </c>
      <c r="AL3769" s="2">
        <v>0.31056432836569098</v>
      </c>
      <c r="AM3769" s="2">
        <v>1140.1870233157699</v>
      </c>
      <c r="AN3769" s="2">
        <v>1734.82167043401</v>
      </c>
      <c r="AO3769" s="2">
        <v>1869.6999284429201</v>
      </c>
      <c r="AP3769" s="2">
        <v>1661.0121472492101</v>
      </c>
      <c r="AQ3769" s="2">
        <v>1819.0650411198601</v>
      </c>
      <c r="AR3769" s="2">
        <v>1364.4174952220801</v>
      </c>
      <c r="AS3769" s="2">
        <v>2079.07580424154</v>
      </c>
      <c r="AT3769" s="2">
        <v>2475.3872313607399</v>
      </c>
      <c r="AU3769" s="2">
        <v>1403.35978293164</v>
      </c>
      <c r="AV3769" s="2">
        <v>2180.7644943918899</v>
      </c>
      <c r="AW3769" s="2">
        <v>1776.95440770237</v>
      </c>
      <c r="AX3769" s="2">
        <v>2826.8401220783398</v>
      </c>
    </row>
    <row r="3770" spans="1:50" x14ac:dyDescent="0.25">
      <c r="A3770" s="2" t="s">
        <v>24968</v>
      </c>
      <c r="B3770" s="2">
        <v>379.07211043658498</v>
      </c>
      <c r="C3770" s="2">
        <v>4.8192833333333303</v>
      </c>
      <c r="D3770" s="2" t="s">
        <v>51</v>
      </c>
      <c r="E3770" s="2" t="s">
        <v>24969</v>
      </c>
      <c r="F3770" s="2">
        <v>201913</v>
      </c>
      <c r="G3770" s="3" t="str">
        <f>HYPERLINK("https://cloud.oebiotech.com/#/lm/network/201913", "https://cloud.oebiotech.com/#/lm/network/201913")</f>
        <v>https://cloud.oebiotech.com/#/lm/network/201913</v>
      </c>
      <c r="H3770" s="2" t="s">
        <v>24970</v>
      </c>
      <c r="I3770" s="2"/>
      <c r="J3770" s="2"/>
      <c r="K3770" s="2">
        <v>127139</v>
      </c>
      <c r="L3770" s="2"/>
      <c r="M3770" s="2"/>
      <c r="N3770" s="2"/>
      <c r="O3770" s="2"/>
      <c r="P3770" s="2"/>
      <c r="Q3770" s="2"/>
      <c r="R3770" s="2"/>
      <c r="S3770" s="2" t="s">
        <v>24971</v>
      </c>
      <c r="T3770" s="2" t="s">
        <v>24972</v>
      </c>
      <c r="U3770" s="2" t="s">
        <v>540</v>
      </c>
      <c r="V3770" s="2" t="s">
        <v>24973</v>
      </c>
      <c r="W3770" s="2" t="s">
        <v>240</v>
      </c>
      <c r="X3770" s="2" t="s">
        <v>147</v>
      </c>
      <c r="Y3770" s="2">
        <v>38.9</v>
      </c>
      <c r="Z3770" s="2">
        <v>12.6</v>
      </c>
      <c r="AA3770" s="2" t="s">
        <v>218</v>
      </c>
      <c r="AB3770" s="2" t="s">
        <v>24974</v>
      </c>
      <c r="AC3770" s="2">
        <v>0.99265607588787397</v>
      </c>
      <c r="AD3770" s="2"/>
      <c r="AE3770" s="2">
        <v>0.139390906182118</v>
      </c>
      <c r="AF3770" s="2">
        <v>306.20097777228699</v>
      </c>
      <c r="AG3770" s="2">
        <v>2743.9859511597301</v>
      </c>
      <c r="AH3770" s="4">
        <v>0.111589848935951</v>
      </c>
      <c r="AI3770" s="4">
        <v>-3.16372230029955</v>
      </c>
      <c r="AJ3770" s="4" t="s">
        <v>62</v>
      </c>
      <c r="AK3770" s="2">
        <v>0.397841870181875</v>
      </c>
      <c r="AL3770" s="2">
        <v>0.66798280069847105</v>
      </c>
      <c r="AM3770" s="2">
        <v>8.559877937157E-6</v>
      </c>
      <c r="AN3770" s="2">
        <v>15.745673950148101</v>
      </c>
      <c r="AO3770" s="2">
        <v>1792.4150843260099</v>
      </c>
      <c r="AP3770" s="2">
        <v>29.0450826779316</v>
      </c>
      <c r="AQ3770" s="2">
        <v>8.559877937157E-6</v>
      </c>
      <c r="AR3770" s="2">
        <v>8.559877937157E-6</v>
      </c>
      <c r="AS3770" s="2">
        <v>8.559877937157E-6</v>
      </c>
      <c r="AT3770" s="2">
        <v>8.559877937157E-6</v>
      </c>
      <c r="AU3770" s="2">
        <v>16463.915664159002</v>
      </c>
      <c r="AV3770" s="2">
        <v>8.559877937157E-6</v>
      </c>
      <c r="AW3770" s="2">
        <v>8.559877937157E-6</v>
      </c>
      <c r="AX3770" s="2">
        <v>8.559877937157E-6</v>
      </c>
    </row>
    <row r="3771" spans="1:50" x14ac:dyDescent="0.25">
      <c r="A3771" s="2" t="s">
        <v>24975</v>
      </c>
      <c r="B3771" s="2">
        <v>386.17720595988197</v>
      </c>
      <c r="C3771" s="2">
        <v>5.8581000000000003</v>
      </c>
      <c r="D3771" s="2" t="s">
        <v>51</v>
      </c>
      <c r="E3771" s="2" t="s">
        <v>24976</v>
      </c>
      <c r="F3771" s="2">
        <v>203470</v>
      </c>
      <c r="G3771" s="3" t="str">
        <f>HYPERLINK("https://cloud.oebiotech.com/#/lm/network/203470", "https://cloud.oebiotech.com/#/lm/network/203470")</f>
        <v>https://cloud.oebiotech.com/#/lm/network/203470</v>
      </c>
      <c r="H3771" s="2" t="s">
        <v>24977</v>
      </c>
      <c r="I3771" s="2"/>
      <c r="J3771" s="2"/>
      <c r="K3771" s="2">
        <v>16760291</v>
      </c>
      <c r="L3771" s="2"/>
      <c r="M3771" s="2"/>
      <c r="N3771" s="2"/>
      <c r="O3771" s="2"/>
      <c r="P3771" s="2"/>
      <c r="Q3771" s="2"/>
      <c r="R3771" s="2"/>
      <c r="S3771" s="2" t="s">
        <v>24978</v>
      </c>
      <c r="T3771" s="2" t="s">
        <v>24979</v>
      </c>
      <c r="U3771" s="2" t="s">
        <v>266</v>
      </c>
      <c r="V3771" s="2" t="s">
        <v>9702</v>
      </c>
      <c r="W3771" s="2" t="s">
        <v>24980</v>
      </c>
      <c r="X3771" s="2" t="s">
        <v>147</v>
      </c>
      <c r="Y3771" s="2">
        <v>37.5</v>
      </c>
      <c r="Z3771" s="2">
        <v>0</v>
      </c>
      <c r="AA3771" s="2" t="s">
        <v>512</v>
      </c>
      <c r="AB3771" s="2" t="s">
        <v>24981</v>
      </c>
      <c r="AC3771" s="2">
        <v>2.6974839244493301</v>
      </c>
      <c r="AD3771" s="2"/>
      <c r="AE3771" s="2">
        <v>0.13937265937580601</v>
      </c>
      <c r="AF3771" s="2">
        <v>2304.4000135628598</v>
      </c>
      <c r="AG3771" s="2">
        <v>2820.35819261905</v>
      </c>
      <c r="AH3771" s="4">
        <v>0.817059343594562</v>
      </c>
      <c r="AI3771" s="4">
        <v>-0.29148722875584199</v>
      </c>
      <c r="AJ3771" s="4" t="s">
        <v>62</v>
      </c>
      <c r="AK3771" s="2">
        <v>4.5401012843688297E-2</v>
      </c>
      <c r="AL3771" s="2">
        <v>0.30205324447897502</v>
      </c>
      <c r="AM3771" s="2">
        <v>1816.38873460902</v>
      </c>
      <c r="AN3771" s="2">
        <v>2641.9136315888099</v>
      </c>
      <c r="AO3771" s="2">
        <v>2487.5798041400199</v>
      </c>
      <c r="AP3771" s="2">
        <v>2621.9024908182901</v>
      </c>
      <c r="AQ3771" s="2">
        <v>2274.7811055483498</v>
      </c>
      <c r="AR3771" s="2">
        <v>1983.83431467269</v>
      </c>
      <c r="AS3771" s="2">
        <v>2199.0788924685799</v>
      </c>
      <c r="AT3771" s="2">
        <v>2527.9238684284101</v>
      </c>
      <c r="AU3771" s="2">
        <v>2952.3972963119099</v>
      </c>
      <c r="AV3771" s="2">
        <v>2983.5642507723601</v>
      </c>
      <c r="AW3771" s="2">
        <v>2788.4549336997402</v>
      </c>
      <c r="AX3771" s="2">
        <v>3470.7299140332898</v>
      </c>
    </row>
    <row r="3772" spans="1:50" x14ac:dyDescent="0.25">
      <c r="A3772" s="2" t="s">
        <v>24982</v>
      </c>
      <c r="B3772" s="2">
        <v>270.05611636277501</v>
      </c>
      <c r="C3772" s="2">
        <v>1.08738333333333</v>
      </c>
      <c r="D3772" s="2" t="s">
        <v>51</v>
      </c>
      <c r="E3772" s="2" t="s">
        <v>24983</v>
      </c>
      <c r="F3772" s="2">
        <v>211098</v>
      </c>
      <c r="G3772" s="3" t="str">
        <f>HYPERLINK("https://cloud.oebiotech.com/#/lm/network/211098", "https://cloud.oebiotech.com/#/lm/network/211098")</f>
        <v>https://cloud.oebiotech.com/#/lm/network/211098</v>
      </c>
      <c r="H3772" s="2" t="s">
        <v>24984</v>
      </c>
      <c r="I3772" s="2"/>
      <c r="J3772" s="2"/>
      <c r="K3772" s="2">
        <v>21355178</v>
      </c>
      <c r="L3772" s="2"/>
      <c r="M3772" s="2"/>
      <c r="N3772" s="2"/>
      <c r="O3772" s="2">
        <v>143340</v>
      </c>
      <c r="P3772" s="2"/>
      <c r="Q3772" s="2"/>
      <c r="R3772" s="2"/>
      <c r="S3772" s="2" t="s">
        <v>24985</v>
      </c>
      <c r="T3772" s="2" t="s">
        <v>24986</v>
      </c>
      <c r="U3772" s="2" t="s">
        <v>103</v>
      </c>
      <c r="V3772" s="2" t="s">
        <v>104</v>
      </c>
      <c r="W3772" s="2" t="s">
        <v>105</v>
      </c>
      <c r="X3772" s="2" t="s">
        <v>147</v>
      </c>
      <c r="Y3772" s="2">
        <v>41.6</v>
      </c>
      <c r="Z3772" s="2">
        <v>23.8</v>
      </c>
      <c r="AA3772" s="2" t="s">
        <v>395</v>
      </c>
      <c r="AB3772" s="2" t="s">
        <v>24987</v>
      </c>
      <c r="AC3772" s="2">
        <v>0.18985482546920901</v>
      </c>
      <c r="AD3772" s="2"/>
      <c r="AE3772" s="2">
        <v>0.139342305687293</v>
      </c>
      <c r="AF3772" s="2">
        <v>3944.0099635164702</v>
      </c>
      <c r="AG3772" s="2">
        <v>4764.0580465406902</v>
      </c>
      <c r="AH3772" s="4">
        <v>0.82786773901303001</v>
      </c>
      <c r="AI3772" s="4">
        <v>-0.27252779517166698</v>
      </c>
      <c r="AJ3772" s="4" t="s">
        <v>62</v>
      </c>
      <c r="AK3772" s="2">
        <v>0.26598932933907199</v>
      </c>
      <c r="AL3772" s="2">
        <v>0.58749205665404403</v>
      </c>
      <c r="AM3772" s="2">
        <v>2859.19447655672</v>
      </c>
      <c r="AN3772" s="2">
        <v>5422.0091870230899</v>
      </c>
      <c r="AO3772" s="2">
        <v>2527.3758499065798</v>
      </c>
      <c r="AP3772" s="2">
        <v>4752.4987365466504</v>
      </c>
      <c r="AQ3772" s="2">
        <v>4575.7022263294202</v>
      </c>
      <c r="AR3772" s="2">
        <v>3527.2793047363798</v>
      </c>
      <c r="AS3772" s="2">
        <v>4719.2028437491799</v>
      </c>
      <c r="AT3772" s="2">
        <v>5503.3514486786898</v>
      </c>
      <c r="AU3772" s="2">
        <v>3891.1270440523199</v>
      </c>
      <c r="AV3772" s="2">
        <v>3026.8005107549002</v>
      </c>
      <c r="AW3772" s="2">
        <v>4779.9266549283302</v>
      </c>
      <c r="AX3772" s="2">
        <v>6663.93977708072</v>
      </c>
    </row>
    <row r="3773" spans="1:50" x14ac:dyDescent="0.25">
      <c r="A3773" s="2" t="s">
        <v>24988</v>
      </c>
      <c r="B3773" s="2">
        <v>305.16040933746501</v>
      </c>
      <c r="C3773" s="2">
        <v>9.5221499999999999</v>
      </c>
      <c r="D3773" s="2" t="s">
        <v>51</v>
      </c>
      <c r="E3773" s="2" t="s">
        <v>24989</v>
      </c>
      <c r="F3773" s="2">
        <v>207036</v>
      </c>
      <c r="G3773" s="3" t="str">
        <f>HYPERLINK("https://cloud.oebiotech.com/#/lm/network/207036", "https://cloud.oebiotech.com/#/lm/network/207036")</f>
        <v>https://cloud.oebiotech.com/#/lm/network/207036</v>
      </c>
      <c r="H3773" s="2" t="s">
        <v>24990</v>
      </c>
      <c r="I3773" s="2"/>
      <c r="J3773" s="2"/>
      <c r="K3773" s="2">
        <v>107896</v>
      </c>
      <c r="L3773" s="2" t="s">
        <v>24991</v>
      </c>
      <c r="M3773" s="2"/>
      <c r="N3773" s="2"/>
      <c r="O3773" s="2"/>
      <c r="P3773" s="2"/>
      <c r="Q3773" s="2"/>
      <c r="R3773" s="2"/>
      <c r="S3773" s="2" t="s">
        <v>24992</v>
      </c>
      <c r="T3773" s="2" t="s">
        <v>24993</v>
      </c>
      <c r="U3773" s="2" t="s">
        <v>266</v>
      </c>
      <c r="V3773" s="2" t="s">
        <v>3926</v>
      </c>
      <c r="W3773" s="2" t="s">
        <v>23400</v>
      </c>
      <c r="X3773" s="2" t="s">
        <v>147</v>
      </c>
      <c r="Y3773" s="2">
        <v>38.200000000000003</v>
      </c>
      <c r="Z3773" s="2">
        <v>0</v>
      </c>
      <c r="AA3773" s="2" t="s">
        <v>512</v>
      </c>
      <c r="AB3773" s="2" t="s">
        <v>24994</v>
      </c>
      <c r="AC3773" s="2">
        <v>-1.4196185565303301</v>
      </c>
      <c r="AD3773" s="2"/>
      <c r="AE3773" s="2">
        <v>0.13931018883865601</v>
      </c>
      <c r="AF3773" s="2">
        <v>745.07964717794505</v>
      </c>
      <c r="AG3773" s="2">
        <v>2104.7990255687</v>
      </c>
      <c r="AH3773" s="4">
        <v>0.35399087424825698</v>
      </c>
      <c r="AI3773" s="4">
        <v>-1.4982159262358301</v>
      </c>
      <c r="AJ3773" s="4" t="s">
        <v>62</v>
      </c>
      <c r="AK3773" s="2">
        <v>0.20914357397203001</v>
      </c>
      <c r="AL3773" s="2">
        <v>0.53413913919887801</v>
      </c>
      <c r="AM3773" s="2">
        <v>557.76161133334801</v>
      </c>
      <c r="AN3773" s="2">
        <v>693.23948678773797</v>
      </c>
      <c r="AO3773" s="2">
        <v>470.19207361227399</v>
      </c>
      <c r="AP3773" s="2">
        <v>824.78816688557902</v>
      </c>
      <c r="AQ3773" s="2">
        <v>1199.56649765968</v>
      </c>
      <c r="AR3773" s="2">
        <v>724.93004678904902</v>
      </c>
      <c r="AS3773" s="2">
        <v>758.11480591197301</v>
      </c>
      <c r="AT3773" s="2">
        <v>7082.7048008970396</v>
      </c>
      <c r="AU3773" s="2">
        <v>854.56571921740397</v>
      </c>
      <c r="AV3773" s="2">
        <v>1138.73281075105</v>
      </c>
      <c r="AW3773" s="2">
        <v>972.07913067734796</v>
      </c>
      <c r="AX3773" s="2">
        <v>1822.59688595739</v>
      </c>
    </row>
    <row r="3774" spans="1:50" x14ac:dyDescent="0.25">
      <c r="A3774" s="2" t="s">
        <v>24995</v>
      </c>
      <c r="B3774" s="2">
        <v>136.02189824506999</v>
      </c>
      <c r="C3774" s="2">
        <v>14.459250000000001</v>
      </c>
      <c r="D3774" s="2" t="s">
        <v>51</v>
      </c>
      <c r="E3774" s="2" t="s">
        <v>24996</v>
      </c>
      <c r="F3774" s="2">
        <v>57193</v>
      </c>
      <c r="G3774" s="3" t="str">
        <f>HYPERLINK("https://cloud.oebiotech.com/#/lm/network/57193", "https://cloud.oebiotech.com/#/lm/network/57193")</f>
        <v>https://cloud.oebiotech.com/#/lm/network/57193</v>
      </c>
      <c r="H3774" s="2" t="s">
        <v>24997</v>
      </c>
      <c r="I3774" s="2">
        <v>88833</v>
      </c>
      <c r="J3774" s="2"/>
      <c r="K3774" s="2">
        <v>7222</v>
      </c>
      <c r="L3774" s="2"/>
      <c r="M3774" s="2"/>
      <c r="N3774" s="2"/>
      <c r="O3774" s="2">
        <v>45993</v>
      </c>
      <c r="P3774" s="2"/>
      <c r="Q3774" s="2"/>
      <c r="R3774" s="2" t="s">
        <v>24998</v>
      </c>
      <c r="S3774" s="2" t="s">
        <v>24999</v>
      </c>
      <c r="T3774" s="2" t="s">
        <v>25000</v>
      </c>
      <c r="U3774" s="2" t="s">
        <v>266</v>
      </c>
      <c r="V3774" s="2" t="s">
        <v>9065</v>
      </c>
      <c r="W3774" s="2" t="s">
        <v>240</v>
      </c>
      <c r="X3774" s="2" t="s">
        <v>147</v>
      </c>
      <c r="Y3774" s="2">
        <v>39.4</v>
      </c>
      <c r="Z3774" s="2">
        <v>4.1399999999999997</v>
      </c>
      <c r="AA3774" s="2" t="s">
        <v>259</v>
      </c>
      <c r="AB3774" s="2" t="s">
        <v>25001</v>
      </c>
      <c r="AC3774" s="2">
        <v>2.60452409521081</v>
      </c>
      <c r="AD3774" s="2"/>
      <c r="AE3774" s="2">
        <v>0.139293144124812</v>
      </c>
      <c r="AF3774" s="2">
        <v>267347.97796799499</v>
      </c>
      <c r="AG3774" s="2">
        <v>262368.57506722602</v>
      </c>
      <c r="AH3774" s="5">
        <v>1.0189786558832099</v>
      </c>
      <c r="AI3774" s="5">
        <v>2.7123832294747002E-2</v>
      </c>
      <c r="AJ3774" s="5" t="s">
        <v>139</v>
      </c>
      <c r="AK3774" s="2">
        <v>0.79763423170846903</v>
      </c>
      <c r="AL3774" s="2">
        <v>0.90954932814260703</v>
      </c>
      <c r="AM3774" s="2">
        <v>244750.97264126601</v>
      </c>
      <c r="AN3774" s="2">
        <v>300275.976539455</v>
      </c>
      <c r="AO3774" s="2">
        <v>276991.15936911601</v>
      </c>
      <c r="AP3774" s="2">
        <v>290862.95491241</v>
      </c>
      <c r="AQ3774" s="2">
        <v>281920.54700931598</v>
      </c>
      <c r="AR3774" s="2">
        <v>209286.257336404</v>
      </c>
      <c r="AS3774" s="2">
        <v>289871.28774385899</v>
      </c>
      <c r="AT3774" s="2">
        <v>299875.844688137</v>
      </c>
      <c r="AU3774" s="2">
        <v>221321.736041016</v>
      </c>
      <c r="AV3774" s="2">
        <v>246322.169799778</v>
      </c>
      <c r="AW3774" s="2">
        <v>238855.09879690901</v>
      </c>
      <c r="AX3774" s="2">
        <v>277965.31333365699</v>
      </c>
    </row>
    <row r="3775" spans="1:50" x14ac:dyDescent="0.25">
      <c r="A3775" s="2" t="s">
        <v>25002</v>
      </c>
      <c r="B3775" s="2">
        <v>169.086126165503</v>
      </c>
      <c r="C3775" s="2">
        <v>5.9535</v>
      </c>
      <c r="D3775" s="2" t="s">
        <v>51</v>
      </c>
      <c r="E3775" s="2" t="s">
        <v>25003</v>
      </c>
      <c r="F3775" s="2">
        <v>55282</v>
      </c>
      <c r="G3775" s="3" t="str">
        <f>HYPERLINK("https://cloud.oebiotech.com/#/lm/network/55282", "https://cloud.oebiotech.com/#/lm/network/55282")</f>
        <v>https://cloud.oebiotech.com/#/lm/network/55282</v>
      </c>
      <c r="H3775" s="2" t="s">
        <v>25004</v>
      </c>
      <c r="I3775" s="2">
        <v>87001</v>
      </c>
      <c r="J3775" s="2"/>
      <c r="K3775" s="2">
        <v>13186539</v>
      </c>
      <c r="L3775" s="2"/>
      <c r="M3775" s="2"/>
      <c r="N3775" s="2"/>
      <c r="O3775" s="2">
        <v>166532</v>
      </c>
      <c r="P3775" s="2"/>
      <c r="Q3775" s="2"/>
      <c r="R3775" s="2" t="s">
        <v>25005</v>
      </c>
      <c r="S3775" s="2" t="s">
        <v>25006</v>
      </c>
      <c r="T3775" s="2" t="s">
        <v>25007</v>
      </c>
      <c r="U3775" s="2" t="s">
        <v>266</v>
      </c>
      <c r="V3775" s="2" t="s">
        <v>7754</v>
      </c>
      <c r="W3775" s="2" t="s">
        <v>240</v>
      </c>
      <c r="X3775" s="2" t="s">
        <v>83</v>
      </c>
      <c r="Y3775" s="2">
        <v>44.1</v>
      </c>
      <c r="Z3775" s="2">
        <v>0</v>
      </c>
      <c r="AA3775" s="2" t="s">
        <v>163</v>
      </c>
      <c r="AB3775" s="2" t="s">
        <v>25008</v>
      </c>
      <c r="AC3775" s="2">
        <v>-5.2424460257211001</v>
      </c>
      <c r="AD3775" s="2"/>
      <c r="AE3775" s="2">
        <v>0.13926051314256299</v>
      </c>
      <c r="AF3775" s="2">
        <v>1645.9730539613499</v>
      </c>
      <c r="AG3775" s="2">
        <v>1194.6049313681899</v>
      </c>
      <c r="AH3775" s="5">
        <v>1.37783882415101</v>
      </c>
      <c r="AI3775" s="5">
        <v>0.46240713535879102</v>
      </c>
      <c r="AJ3775" s="5" t="s">
        <v>139</v>
      </c>
      <c r="AK3775" s="2">
        <v>3.00280766574419E-2</v>
      </c>
      <c r="AL3775" s="2">
        <v>0.259678201768265</v>
      </c>
      <c r="AM3775" s="2">
        <v>2307.53029796598</v>
      </c>
      <c r="AN3775" s="2">
        <v>1946.66832149279</v>
      </c>
      <c r="AO3775" s="2">
        <v>1247.9474705852999</v>
      </c>
      <c r="AP3775" s="2">
        <v>1491.34355314974</v>
      </c>
      <c r="AQ3775" s="2">
        <v>1335.72920788995</v>
      </c>
      <c r="AR3775" s="2">
        <v>1546.61947268433</v>
      </c>
      <c r="AS3775" s="2">
        <v>1172.8827847340101</v>
      </c>
      <c r="AT3775" s="2">
        <v>1109.93241144538</v>
      </c>
      <c r="AU3775" s="2">
        <v>1027.82130920287</v>
      </c>
      <c r="AV3775" s="2">
        <v>1508.42352309333</v>
      </c>
      <c r="AW3775" s="2">
        <v>1120.05624862072</v>
      </c>
      <c r="AX3775" s="2">
        <v>1228.51331111285</v>
      </c>
    </row>
    <row r="3776" spans="1:50" x14ac:dyDescent="0.25">
      <c r="A3776" s="2" t="s">
        <v>25009</v>
      </c>
      <c r="B3776" s="2">
        <v>153.05469211247001</v>
      </c>
      <c r="C3776" s="2">
        <v>5.0147000000000004</v>
      </c>
      <c r="D3776" s="2" t="s">
        <v>51</v>
      </c>
      <c r="E3776" s="2" t="s">
        <v>25010</v>
      </c>
      <c r="F3776" s="2">
        <v>7855</v>
      </c>
      <c r="G3776" s="3" t="str">
        <f>HYPERLINK("https://cloud.oebiotech.com/#/lm/network/7855", "https://cloud.oebiotech.com/#/lm/network/7855")</f>
        <v>https://cloud.oebiotech.com/#/lm/network/7855</v>
      </c>
      <c r="H3776" s="2"/>
      <c r="I3776" s="2"/>
      <c r="J3776" s="2" t="s">
        <v>25011</v>
      </c>
      <c r="K3776" s="2">
        <v>12653568</v>
      </c>
      <c r="L3776" s="2"/>
      <c r="M3776" s="2"/>
      <c r="N3776" s="2"/>
      <c r="O3776" s="2"/>
      <c r="P3776" s="2"/>
      <c r="Q3776" s="2"/>
      <c r="R3776" s="2"/>
      <c r="S3776" s="2" t="s">
        <v>25012</v>
      </c>
      <c r="T3776" s="2" t="s">
        <v>25013</v>
      </c>
      <c r="U3776" s="2" t="s">
        <v>266</v>
      </c>
      <c r="V3776" s="2" t="s">
        <v>3994</v>
      </c>
      <c r="W3776" s="2" t="s">
        <v>8308</v>
      </c>
      <c r="X3776" s="2" t="s">
        <v>83</v>
      </c>
      <c r="Y3776" s="2">
        <v>40.799999999999997</v>
      </c>
      <c r="Z3776" s="2">
        <v>0</v>
      </c>
      <c r="AA3776" s="2" t="s">
        <v>163</v>
      </c>
      <c r="AB3776" s="2" t="s">
        <v>25014</v>
      </c>
      <c r="AC3776" s="2">
        <v>-6.6572437829156099</v>
      </c>
      <c r="AD3776" s="2"/>
      <c r="AE3776" s="2">
        <v>0.13922791363186701</v>
      </c>
      <c r="AF3776" s="2">
        <v>1133.58172093902</v>
      </c>
      <c r="AG3776" s="2">
        <v>641.37695381299704</v>
      </c>
      <c r="AH3776" s="5">
        <v>1.7674188543879801</v>
      </c>
      <c r="AI3776" s="5">
        <v>0.82164397964037506</v>
      </c>
      <c r="AJ3776" s="5" t="s">
        <v>139</v>
      </c>
      <c r="AK3776" s="2">
        <v>0.108943470376723</v>
      </c>
      <c r="AL3776" s="2">
        <v>0.42054446269610202</v>
      </c>
      <c r="AM3776" s="2">
        <v>1680.6326297831099</v>
      </c>
      <c r="AN3776" s="2">
        <v>2087.5686242376601</v>
      </c>
      <c r="AO3776" s="2">
        <v>744.72873874234801</v>
      </c>
      <c r="AP3776" s="2">
        <v>843.93844112645297</v>
      </c>
      <c r="AQ3776" s="2">
        <v>402.98238946911499</v>
      </c>
      <c r="AR3776" s="2">
        <v>1041.63950227544</v>
      </c>
      <c r="AS3776" s="2">
        <v>831.688079174574</v>
      </c>
      <c r="AT3776" s="2">
        <v>439.72249442848801</v>
      </c>
      <c r="AU3776" s="2">
        <v>1020.2711661359</v>
      </c>
      <c r="AV3776" s="2">
        <v>291.14206824977299</v>
      </c>
      <c r="AW3776" s="2">
        <v>540.57525908717105</v>
      </c>
      <c r="AX3776" s="2">
        <v>724.86265580207396</v>
      </c>
    </row>
    <row r="3777" spans="1:50" x14ac:dyDescent="0.25">
      <c r="A3777" s="2" t="s">
        <v>25015</v>
      </c>
      <c r="B3777" s="2">
        <v>284.11396857827202</v>
      </c>
      <c r="C3777" s="2">
        <v>4.72983333333333</v>
      </c>
      <c r="D3777" s="2" t="s">
        <v>51</v>
      </c>
      <c r="E3777" s="2" t="s">
        <v>25016</v>
      </c>
      <c r="F3777" s="2">
        <v>205935</v>
      </c>
      <c r="G3777" s="3" t="str">
        <f>HYPERLINK("https://cloud.oebiotech.com/#/lm/network/205935", "https://cloud.oebiotech.com/#/lm/network/205935")</f>
        <v>https://cloud.oebiotech.com/#/lm/network/205935</v>
      </c>
      <c r="H3777" s="2" t="s">
        <v>25017</v>
      </c>
      <c r="I3777" s="2"/>
      <c r="J3777" s="2"/>
      <c r="K3777" s="2">
        <v>15558919</v>
      </c>
      <c r="L3777" s="2"/>
      <c r="M3777" s="2"/>
      <c r="N3777" s="2"/>
      <c r="O3777" s="2"/>
      <c r="P3777" s="2"/>
      <c r="Q3777" s="2"/>
      <c r="R3777" s="2"/>
      <c r="S3777" s="2" t="s">
        <v>25018</v>
      </c>
      <c r="T3777" s="2" t="s">
        <v>25019</v>
      </c>
      <c r="U3777" s="2" t="s">
        <v>610</v>
      </c>
      <c r="V3777" s="2" t="s">
        <v>611</v>
      </c>
      <c r="W3777" s="2" t="s">
        <v>1122</v>
      </c>
      <c r="X3777" s="2" t="s">
        <v>147</v>
      </c>
      <c r="Y3777" s="2">
        <v>37.1</v>
      </c>
      <c r="Z3777" s="2">
        <v>0</v>
      </c>
      <c r="AA3777" s="2" t="s">
        <v>512</v>
      </c>
      <c r="AB3777" s="2" t="s">
        <v>25020</v>
      </c>
      <c r="AC3777" s="2">
        <v>4.1524576298561904</v>
      </c>
      <c r="AD3777" s="2"/>
      <c r="AE3777" s="2">
        <v>0.13912879741658399</v>
      </c>
      <c r="AF3777" s="2">
        <v>905.38768442756202</v>
      </c>
      <c r="AG3777" s="2">
        <v>1541.1678114510501</v>
      </c>
      <c r="AH3777" s="4">
        <v>0.58746859212892499</v>
      </c>
      <c r="AI3777" s="4">
        <v>-0.76741637204560897</v>
      </c>
      <c r="AJ3777" s="4" t="s">
        <v>62</v>
      </c>
      <c r="AK3777" s="2">
        <v>0.41152167680288199</v>
      </c>
      <c r="AL3777" s="2">
        <v>0.67548655599718399</v>
      </c>
      <c r="AM3777" s="2">
        <v>8.559877937157E-6</v>
      </c>
      <c r="AN3777" s="2">
        <v>1385.71899730524</v>
      </c>
      <c r="AO3777" s="2">
        <v>8.559877937157E-6</v>
      </c>
      <c r="AP3777" s="2">
        <v>3458.8195870141099</v>
      </c>
      <c r="AQ3777" s="2">
        <v>167.24898922103799</v>
      </c>
      <c r="AR3777" s="2">
        <v>420.538515905228</v>
      </c>
      <c r="AS3777" s="2">
        <v>811.27049939164306</v>
      </c>
      <c r="AT3777" s="2">
        <v>8.559877937157E-6</v>
      </c>
      <c r="AU3777" s="2">
        <v>1676.6520269356899</v>
      </c>
      <c r="AV3777" s="2">
        <v>1475.4174813811801</v>
      </c>
      <c r="AW3777" s="2">
        <v>3638.8426113669798</v>
      </c>
      <c r="AX3777" s="2">
        <v>1644.8242410708999</v>
      </c>
    </row>
    <row r="3778" spans="1:50" x14ac:dyDescent="0.25">
      <c r="A3778" s="2" t="s">
        <v>25021</v>
      </c>
      <c r="B3778" s="2">
        <v>247.11854731096699</v>
      </c>
      <c r="C3778" s="2">
        <v>4.2455333333333298</v>
      </c>
      <c r="D3778" s="2" t="s">
        <v>51</v>
      </c>
      <c r="E3778" s="2" t="s">
        <v>25022</v>
      </c>
      <c r="F3778" s="2">
        <v>10272</v>
      </c>
      <c r="G3778" s="3" t="str">
        <f>HYPERLINK("https://cloud.oebiotech.com/#/lm/network/10272", "https://cloud.oebiotech.com/#/lm/network/10272")</f>
        <v>https://cloud.oebiotech.com/#/lm/network/10272</v>
      </c>
      <c r="H3778" s="2"/>
      <c r="I3778" s="2"/>
      <c r="J3778" s="2" t="s">
        <v>25023</v>
      </c>
      <c r="K3778" s="2">
        <v>71514783</v>
      </c>
      <c r="L3778" s="2"/>
      <c r="M3778" s="2"/>
      <c r="N3778" s="2"/>
      <c r="O3778" s="2">
        <v>79018</v>
      </c>
      <c r="P3778" s="2"/>
      <c r="Q3778" s="2"/>
      <c r="R3778" s="2"/>
      <c r="S3778" s="2" t="s">
        <v>25024</v>
      </c>
      <c r="T3778" s="2" t="s">
        <v>25025</v>
      </c>
      <c r="U3778" s="2" t="s">
        <v>331</v>
      </c>
      <c r="V3778" s="2" t="s">
        <v>332</v>
      </c>
      <c r="W3778" s="2" t="s">
        <v>333</v>
      </c>
      <c r="X3778" s="2" t="s">
        <v>83</v>
      </c>
      <c r="Y3778" s="2">
        <v>41.1</v>
      </c>
      <c r="Z3778" s="2">
        <v>0</v>
      </c>
      <c r="AA3778" s="2" t="s">
        <v>163</v>
      </c>
      <c r="AB3778" s="2" t="s">
        <v>25026</v>
      </c>
      <c r="AC3778" s="2">
        <v>-0.66343632137485897</v>
      </c>
      <c r="AD3778" s="2"/>
      <c r="AE3778" s="2">
        <v>0.13911937383673301</v>
      </c>
      <c r="AF3778" s="2">
        <v>1283.8553776947799</v>
      </c>
      <c r="AG3778" s="2">
        <v>758.66852072198901</v>
      </c>
      <c r="AH3778" s="5">
        <v>1.6922481197361301</v>
      </c>
      <c r="AI3778" s="5">
        <v>0.758941113888838</v>
      </c>
      <c r="AJ3778" s="5" t="s">
        <v>139</v>
      </c>
      <c r="AK3778" s="2">
        <v>0.27654613999262201</v>
      </c>
      <c r="AL3778" s="2">
        <v>0.59599669755941997</v>
      </c>
      <c r="AM3778" s="2">
        <v>3091.8966433904702</v>
      </c>
      <c r="AN3778" s="2">
        <v>1425.4135010688401</v>
      </c>
      <c r="AO3778" s="2">
        <v>773.34299764301704</v>
      </c>
      <c r="AP3778" s="2">
        <v>744.205123723209</v>
      </c>
      <c r="AQ3778" s="2">
        <v>791.41593677764297</v>
      </c>
      <c r="AR3778" s="2">
        <v>876.85806356549597</v>
      </c>
      <c r="AS3778" s="2">
        <v>548.97036673276205</v>
      </c>
      <c r="AT3778" s="2">
        <v>76.382020826654795</v>
      </c>
      <c r="AU3778" s="2">
        <v>1936.95367129741</v>
      </c>
      <c r="AV3778" s="2">
        <v>469.89345519795899</v>
      </c>
      <c r="AW3778" s="2">
        <v>668.61968082103897</v>
      </c>
      <c r="AX3778" s="2">
        <v>851.191929456107</v>
      </c>
    </row>
    <row r="3779" spans="1:50" x14ac:dyDescent="0.25">
      <c r="A3779" s="2" t="s">
        <v>25027</v>
      </c>
      <c r="B3779" s="2">
        <v>222.085607478545</v>
      </c>
      <c r="C3779" s="2">
        <v>1.00901666666667</v>
      </c>
      <c r="D3779" s="2" t="s">
        <v>51</v>
      </c>
      <c r="E3779" s="2" t="s">
        <v>25028</v>
      </c>
      <c r="F3779" s="2">
        <v>82372</v>
      </c>
      <c r="G3779" s="3" t="str">
        <f>HYPERLINK("https://cloud.oebiotech.com/#/lm/network/82372", "https://cloud.oebiotech.com/#/lm/network/82372")</f>
        <v>https://cloud.oebiotech.com/#/lm/network/82372</v>
      </c>
      <c r="H3779" s="2" t="s">
        <v>25029</v>
      </c>
      <c r="I3779" s="2"/>
      <c r="J3779" s="2"/>
      <c r="K3779" s="2">
        <v>440920</v>
      </c>
      <c r="L3779" s="2" t="s">
        <v>25030</v>
      </c>
      <c r="M3779" s="2"/>
      <c r="N3779" s="2"/>
      <c r="O3779" s="2">
        <v>28092</v>
      </c>
      <c r="P3779" s="2"/>
      <c r="Q3779" s="2"/>
      <c r="R3779" s="2"/>
      <c r="S3779" s="2" t="s">
        <v>25031</v>
      </c>
      <c r="T3779" s="2" t="s">
        <v>25032</v>
      </c>
      <c r="U3779" s="2" t="s">
        <v>103</v>
      </c>
      <c r="V3779" s="2" t="s">
        <v>104</v>
      </c>
      <c r="W3779" s="2" t="s">
        <v>105</v>
      </c>
      <c r="X3779" s="2" t="s">
        <v>69</v>
      </c>
      <c r="Y3779" s="2">
        <v>48.5</v>
      </c>
      <c r="Z3779" s="2">
        <v>46.9</v>
      </c>
      <c r="AA3779" s="2" t="s">
        <v>60</v>
      </c>
      <c r="AB3779" s="2" t="s">
        <v>22543</v>
      </c>
      <c r="AC3779" s="2">
        <v>3.4933380541398802</v>
      </c>
      <c r="AD3779" s="2"/>
      <c r="AE3779" s="2">
        <v>0.138960546947971</v>
      </c>
      <c r="AF3779" s="2">
        <v>128.84255635701101</v>
      </c>
      <c r="AG3779" s="2">
        <v>2544.2758592322398</v>
      </c>
      <c r="AH3779" s="4">
        <v>5.0640167766985197E-2</v>
      </c>
      <c r="AI3779" s="4">
        <v>-4.3035740054627203</v>
      </c>
      <c r="AJ3779" s="4" t="s">
        <v>62</v>
      </c>
      <c r="AK3779" s="2">
        <v>0.34622311292237001</v>
      </c>
      <c r="AL3779" s="2">
        <v>0.63975307233741396</v>
      </c>
      <c r="AM3779" s="2">
        <v>157.303075256369</v>
      </c>
      <c r="AN3779" s="2">
        <v>173.63163654833701</v>
      </c>
      <c r="AO3779" s="2">
        <v>125.863159944991</v>
      </c>
      <c r="AP3779" s="2">
        <v>57.486117819014503</v>
      </c>
      <c r="AQ3779" s="2">
        <v>156.23825220639</v>
      </c>
      <c r="AR3779" s="2">
        <v>102.533096366965</v>
      </c>
      <c r="AS3779" s="2">
        <v>109.215097714199</v>
      </c>
      <c r="AT3779" s="2">
        <v>14761.1569140306</v>
      </c>
      <c r="AU3779" s="2">
        <v>105.297518639168</v>
      </c>
      <c r="AV3779" s="2">
        <v>52.1086754258111</v>
      </c>
      <c r="AW3779" s="2">
        <v>42.930238351404903</v>
      </c>
      <c r="AX3779" s="2">
        <v>194.94671123225001</v>
      </c>
    </row>
    <row r="3780" spans="1:50" x14ac:dyDescent="0.25">
      <c r="A3780" s="2" t="s">
        <v>25033</v>
      </c>
      <c r="B3780" s="2">
        <v>331.127762267668</v>
      </c>
      <c r="C3780" s="2">
        <v>4.0690166666666698</v>
      </c>
      <c r="D3780" s="2" t="s">
        <v>51</v>
      </c>
      <c r="E3780" s="2" t="s">
        <v>25034</v>
      </c>
      <c r="F3780" s="2">
        <v>82689</v>
      </c>
      <c r="G3780" s="3" t="str">
        <f>HYPERLINK("https://cloud.oebiotech.com/#/lm/network/82689", "https://cloud.oebiotech.com/#/lm/network/82689")</f>
        <v>https://cloud.oebiotech.com/#/lm/network/82689</v>
      </c>
      <c r="H3780" s="2" t="s">
        <v>25035</v>
      </c>
      <c r="I3780" s="2"/>
      <c r="J3780" s="2"/>
      <c r="K3780" s="2">
        <v>134295</v>
      </c>
      <c r="L3780" s="2"/>
      <c r="M3780" s="2"/>
      <c r="N3780" s="2"/>
      <c r="O3780" s="2"/>
      <c r="P3780" s="2"/>
      <c r="Q3780" s="2"/>
      <c r="R3780" s="2"/>
      <c r="S3780" s="2" t="s">
        <v>25036</v>
      </c>
      <c r="T3780" s="2" t="s">
        <v>25037</v>
      </c>
      <c r="U3780" s="2" t="s">
        <v>610</v>
      </c>
      <c r="V3780" s="2" t="s">
        <v>611</v>
      </c>
      <c r="W3780" s="2" t="s">
        <v>1122</v>
      </c>
      <c r="X3780" s="2" t="s">
        <v>59</v>
      </c>
      <c r="Y3780" s="2">
        <v>48.1</v>
      </c>
      <c r="Z3780" s="2">
        <v>49.4</v>
      </c>
      <c r="AA3780" s="2" t="s">
        <v>163</v>
      </c>
      <c r="AB3780" s="2" t="s">
        <v>25038</v>
      </c>
      <c r="AC3780" s="2">
        <v>0.78751782600096698</v>
      </c>
      <c r="AD3780" s="2"/>
      <c r="AE3780" s="2">
        <v>0.13888314638690399</v>
      </c>
      <c r="AF3780" s="2">
        <v>3823.3240991882899</v>
      </c>
      <c r="AG3780" s="2">
        <v>2705.3685382561698</v>
      </c>
      <c r="AH3780" s="5">
        <v>1.4132359584741601</v>
      </c>
      <c r="AI3780" s="5">
        <v>0.499002362841312</v>
      </c>
      <c r="AJ3780" s="5" t="s">
        <v>139</v>
      </c>
      <c r="AK3780" s="2">
        <v>0.39411759600843099</v>
      </c>
      <c r="AL3780" s="2">
        <v>0.666522226182239</v>
      </c>
      <c r="AM3780" s="2">
        <v>1436.6253884076</v>
      </c>
      <c r="AN3780" s="2">
        <v>3036.9390328556101</v>
      </c>
      <c r="AO3780" s="2">
        <v>3778.9249702586399</v>
      </c>
      <c r="AP3780" s="2">
        <v>2231.1010563008799</v>
      </c>
      <c r="AQ3780" s="2">
        <v>4770.3032677336396</v>
      </c>
      <c r="AR3780" s="2">
        <v>7686.0508795733604</v>
      </c>
      <c r="AS3780" s="2">
        <v>1637.4651545290801</v>
      </c>
      <c r="AT3780" s="2">
        <v>3841.29188369045</v>
      </c>
      <c r="AU3780" s="2">
        <v>6446.9597863784402</v>
      </c>
      <c r="AV3780" s="2">
        <v>503.19717216170301</v>
      </c>
      <c r="AW3780" s="2">
        <v>2046.12811616724</v>
      </c>
      <c r="AX3780" s="2">
        <v>1757.16911661013</v>
      </c>
    </row>
    <row r="3781" spans="1:50" x14ac:dyDescent="0.25">
      <c r="A3781" s="2" t="s">
        <v>25039</v>
      </c>
      <c r="B3781" s="2">
        <v>295.11858358333501</v>
      </c>
      <c r="C3781" s="2">
        <v>9.6451499999999992</v>
      </c>
      <c r="D3781" s="2" t="s">
        <v>51</v>
      </c>
      <c r="E3781" s="2" t="s">
        <v>25040</v>
      </c>
      <c r="F3781" s="2">
        <v>202459</v>
      </c>
      <c r="G3781" s="3" t="str">
        <f>HYPERLINK("https://cloud.oebiotech.com/#/lm/network/202459", "https://cloud.oebiotech.com/#/lm/network/202459")</f>
        <v>https://cloud.oebiotech.com/#/lm/network/202459</v>
      </c>
      <c r="H3781" s="2" t="s">
        <v>25041</v>
      </c>
      <c r="I3781" s="2"/>
      <c r="J3781" s="2"/>
      <c r="K3781" s="2">
        <v>128934</v>
      </c>
      <c r="L3781" s="2"/>
      <c r="M3781" s="2"/>
      <c r="N3781" s="2"/>
      <c r="O3781" s="2"/>
      <c r="P3781" s="2"/>
      <c r="Q3781" s="2"/>
      <c r="R3781" s="2"/>
      <c r="S3781" s="2" t="s">
        <v>25042</v>
      </c>
      <c r="T3781" s="2" t="s">
        <v>25043</v>
      </c>
      <c r="U3781" s="2" t="s">
        <v>119</v>
      </c>
      <c r="V3781" s="2" t="s">
        <v>120</v>
      </c>
      <c r="W3781" s="2" t="s">
        <v>121</v>
      </c>
      <c r="X3781" s="2" t="s">
        <v>147</v>
      </c>
      <c r="Y3781" s="2">
        <v>39.200000000000003</v>
      </c>
      <c r="Z3781" s="2">
        <v>0</v>
      </c>
      <c r="AA3781" s="2" t="s">
        <v>122</v>
      </c>
      <c r="AB3781" s="2" t="s">
        <v>25044</v>
      </c>
      <c r="AC3781" s="2">
        <v>0.37078544515030099</v>
      </c>
      <c r="AD3781" s="2"/>
      <c r="AE3781" s="2">
        <v>0.13876362748669299</v>
      </c>
      <c r="AF3781" s="2">
        <v>638.46769946707298</v>
      </c>
      <c r="AG3781" s="2">
        <v>1458.7618352219299</v>
      </c>
      <c r="AH3781" s="4">
        <v>0.43767781967639602</v>
      </c>
      <c r="AI3781" s="4">
        <v>-1.19205882092566</v>
      </c>
      <c r="AJ3781" s="4" t="s">
        <v>62</v>
      </c>
      <c r="AK3781" s="2">
        <v>0.16874559193358399</v>
      </c>
      <c r="AL3781" s="2">
        <v>0.49098458663462602</v>
      </c>
      <c r="AM3781" s="2">
        <v>8.559877937157E-6</v>
      </c>
      <c r="AN3781" s="2">
        <v>8.559877937157E-6</v>
      </c>
      <c r="AO3781" s="2">
        <v>990.07053848122098</v>
      </c>
      <c r="AP3781" s="2">
        <v>532.40083338038096</v>
      </c>
      <c r="AQ3781" s="2">
        <v>2308.3347992611998</v>
      </c>
      <c r="AR3781" s="2">
        <v>8.559877937157E-6</v>
      </c>
      <c r="AS3781" s="2">
        <v>2502.2041132403801</v>
      </c>
      <c r="AT3781" s="2">
        <v>1630.5858485651399</v>
      </c>
      <c r="AU3781" s="2">
        <v>2297.31322667929</v>
      </c>
      <c r="AV3781" s="2">
        <v>298.541801720568</v>
      </c>
      <c r="AW3781" s="2">
        <v>157.94859253751301</v>
      </c>
      <c r="AX3781" s="2">
        <v>1865.9774285886999</v>
      </c>
    </row>
    <row r="3782" spans="1:50" x14ac:dyDescent="0.25">
      <c r="A3782" s="2" t="s">
        <v>25045</v>
      </c>
      <c r="B3782" s="2">
        <v>309.07630667890402</v>
      </c>
      <c r="C3782" s="2">
        <v>5.8543500000000002</v>
      </c>
      <c r="D3782" s="2" t="s">
        <v>51</v>
      </c>
      <c r="E3782" s="2" t="s">
        <v>25046</v>
      </c>
      <c r="F3782" s="2">
        <v>55564</v>
      </c>
      <c r="G3782" s="3" t="str">
        <f>HYPERLINK("https://cloud.oebiotech.com/#/lm/network/55564", "https://cloud.oebiotech.com/#/lm/network/55564")</f>
        <v>https://cloud.oebiotech.com/#/lm/network/55564</v>
      </c>
      <c r="H3782" s="2" t="s">
        <v>25047</v>
      </c>
      <c r="I3782" s="2"/>
      <c r="J3782" s="2"/>
      <c r="K3782" s="2">
        <v>131751085</v>
      </c>
      <c r="L3782" s="2"/>
      <c r="M3782" s="2"/>
      <c r="N3782" s="2"/>
      <c r="O3782" s="2"/>
      <c r="P3782" s="2"/>
      <c r="Q3782" s="2"/>
      <c r="R3782" s="2" t="s">
        <v>25048</v>
      </c>
      <c r="S3782" s="2" t="s">
        <v>25049</v>
      </c>
      <c r="T3782" s="2" t="s">
        <v>25050</v>
      </c>
      <c r="U3782" s="2" t="s">
        <v>266</v>
      </c>
      <c r="V3782" s="2" t="s">
        <v>25051</v>
      </c>
      <c r="W3782" s="2" t="s">
        <v>25052</v>
      </c>
      <c r="X3782" s="2" t="s">
        <v>83</v>
      </c>
      <c r="Y3782" s="2">
        <v>41.1</v>
      </c>
      <c r="Z3782" s="2">
        <v>0</v>
      </c>
      <c r="AA3782" s="2" t="s">
        <v>379</v>
      </c>
      <c r="AB3782" s="2" t="s">
        <v>25053</v>
      </c>
      <c r="AC3782" s="2">
        <v>-1.6471817280696801</v>
      </c>
      <c r="AD3782" s="2"/>
      <c r="AE3782" s="2">
        <v>0.138762070880704</v>
      </c>
      <c r="AF3782" s="2">
        <v>715.32428211915101</v>
      </c>
      <c r="AG3782" s="2">
        <v>1182.87339788586</v>
      </c>
      <c r="AH3782" s="4">
        <v>0.60473444021789902</v>
      </c>
      <c r="AI3782" s="4">
        <v>-0.72562635066441095</v>
      </c>
      <c r="AJ3782" s="4" t="s">
        <v>62</v>
      </c>
      <c r="AK3782" s="2">
        <v>9.8489161467324796E-3</v>
      </c>
      <c r="AL3782" s="2">
        <v>0.16151302423615199</v>
      </c>
      <c r="AM3782" s="2">
        <v>584.44108943247704</v>
      </c>
      <c r="AN3782" s="2">
        <v>718.553231719255</v>
      </c>
      <c r="AO3782" s="2">
        <v>859.94786970300902</v>
      </c>
      <c r="AP3782" s="2">
        <v>585.43377088232603</v>
      </c>
      <c r="AQ3782" s="2">
        <v>692.95238216270195</v>
      </c>
      <c r="AR3782" s="2">
        <v>850.61734881513803</v>
      </c>
      <c r="AS3782" s="2">
        <v>835.53873819158298</v>
      </c>
      <c r="AT3782" s="2">
        <v>1205.15179875029</v>
      </c>
      <c r="AU3782" s="2">
        <v>1081.4672720971</v>
      </c>
      <c r="AV3782" s="2">
        <v>1819.5364739757299</v>
      </c>
      <c r="AW3782" s="2">
        <v>1169.0184837966699</v>
      </c>
      <c r="AX3782" s="2">
        <v>986.52762050379999</v>
      </c>
    </row>
    <row r="3783" spans="1:50" x14ac:dyDescent="0.25">
      <c r="A3783" s="2" t="s">
        <v>25054</v>
      </c>
      <c r="B3783" s="2">
        <v>407.28029864722998</v>
      </c>
      <c r="C3783" s="2">
        <v>11.1512666666667</v>
      </c>
      <c r="D3783" s="2" t="s">
        <v>51</v>
      </c>
      <c r="E3783" s="2" t="s">
        <v>25055</v>
      </c>
      <c r="F3783" s="2">
        <v>35205</v>
      </c>
      <c r="G3783" s="3" t="str">
        <f>HYPERLINK("https://cloud.oebiotech.com/#/lm/network/35205", "https://cloud.oebiotech.com/#/lm/network/35205")</f>
        <v>https://cloud.oebiotech.com/#/lm/network/35205</v>
      </c>
      <c r="H3783" s="2"/>
      <c r="I3783" s="2"/>
      <c r="J3783" s="2" t="s">
        <v>25056</v>
      </c>
      <c r="K3783" s="2">
        <v>23626633</v>
      </c>
      <c r="L3783" s="2"/>
      <c r="M3783" s="2"/>
      <c r="N3783" s="2"/>
      <c r="O3783" s="2"/>
      <c r="P3783" s="2"/>
      <c r="Q3783" s="2"/>
      <c r="R3783" s="2"/>
      <c r="S3783" s="2" t="s">
        <v>25057</v>
      </c>
      <c r="T3783" s="2" t="s">
        <v>25058</v>
      </c>
      <c r="U3783" s="2" t="s">
        <v>56</v>
      </c>
      <c r="V3783" s="2" t="s">
        <v>145</v>
      </c>
      <c r="W3783" s="2" t="s">
        <v>146</v>
      </c>
      <c r="X3783" s="2" t="s">
        <v>83</v>
      </c>
      <c r="Y3783" s="2">
        <v>49.5</v>
      </c>
      <c r="Z3783" s="2">
        <v>0</v>
      </c>
      <c r="AA3783" s="2" t="s">
        <v>218</v>
      </c>
      <c r="AB3783" s="2" t="s">
        <v>25059</v>
      </c>
      <c r="AC3783" s="2">
        <v>1.9318923136377401E-3</v>
      </c>
      <c r="AD3783" s="2"/>
      <c r="AE3783" s="2">
        <v>0.13867578539205599</v>
      </c>
      <c r="AF3783" s="2">
        <v>2141.26879134515</v>
      </c>
      <c r="AG3783" s="2">
        <v>1151.9152550649001</v>
      </c>
      <c r="AH3783" s="5">
        <v>1.85887701541422</v>
      </c>
      <c r="AI3783" s="5">
        <v>0.89443132371553902</v>
      </c>
      <c r="AJ3783" s="5" t="s">
        <v>139</v>
      </c>
      <c r="AK3783" s="2">
        <v>0.155178956934655</v>
      </c>
      <c r="AL3783" s="2">
        <v>0.475876790971616</v>
      </c>
      <c r="AM3783" s="2">
        <v>554.78712922230704</v>
      </c>
      <c r="AN3783" s="2">
        <v>4254.1297390579502</v>
      </c>
      <c r="AO3783" s="2">
        <v>2345.10363678975</v>
      </c>
      <c r="AP3783" s="2">
        <v>3198.7526489530101</v>
      </c>
      <c r="AQ3783" s="2">
        <v>1603.8927150556499</v>
      </c>
      <c r="AR3783" s="2">
        <v>890.94687899222697</v>
      </c>
      <c r="AS3783" s="2">
        <v>740.76588523988698</v>
      </c>
      <c r="AT3783" s="2">
        <v>751.78429277641101</v>
      </c>
      <c r="AU3783" s="2">
        <v>945.30303194709495</v>
      </c>
      <c r="AV3783" s="2">
        <v>604.89210372439697</v>
      </c>
      <c r="AW3783" s="2">
        <v>1418.1652801457899</v>
      </c>
      <c r="AX3783" s="2">
        <v>2450.5809365558298</v>
      </c>
    </row>
    <row r="3784" spans="1:50" x14ac:dyDescent="0.25">
      <c r="A3784" s="2" t="s">
        <v>25060</v>
      </c>
      <c r="B3784" s="2">
        <v>300.201352001739</v>
      </c>
      <c r="C3784" s="2">
        <v>7.5508333333333297</v>
      </c>
      <c r="D3784" s="2" t="s">
        <v>51</v>
      </c>
      <c r="E3784" s="2" t="s">
        <v>25061</v>
      </c>
      <c r="F3784" s="2">
        <v>83346</v>
      </c>
      <c r="G3784" s="3" t="str">
        <f>HYPERLINK("https://cloud.oebiotech.com/#/lm/network/83346", "https://cloud.oebiotech.com/#/lm/network/83346")</f>
        <v>https://cloud.oebiotech.com/#/lm/network/83346</v>
      </c>
      <c r="H3784" s="2" t="s">
        <v>25062</v>
      </c>
      <c r="I3784" s="2">
        <v>332442</v>
      </c>
      <c r="J3784" s="2"/>
      <c r="K3784" s="2">
        <v>17472</v>
      </c>
      <c r="L3784" s="2"/>
      <c r="M3784" s="2"/>
      <c r="N3784" s="2"/>
      <c r="O3784" s="2">
        <v>49793</v>
      </c>
      <c r="P3784" s="2"/>
      <c r="Q3784" s="2"/>
      <c r="R3784" s="2" t="s">
        <v>25063</v>
      </c>
      <c r="S3784" s="2" t="s">
        <v>25064</v>
      </c>
      <c r="T3784" s="2" t="s">
        <v>25065</v>
      </c>
      <c r="U3784" s="2" t="s">
        <v>331</v>
      </c>
      <c r="V3784" s="2" t="s">
        <v>332</v>
      </c>
      <c r="W3784" s="2" t="s">
        <v>511</v>
      </c>
      <c r="X3784" s="2" t="s">
        <v>147</v>
      </c>
      <c r="Y3784" s="2">
        <v>47.4</v>
      </c>
      <c r="Z3784" s="2">
        <v>44</v>
      </c>
      <c r="AA3784" s="2" t="s">
        <v>512</v>
      </c>
      <c r="AB3784" s="2" t="s">
        <v>25066</v>
      </c>
      <c r="AC3784" s="2">
        <v>-1.1578179336802601</v>
      </c>
      <c r="AD3784" s="2"/>
      <c r="AE3784" s="2">
        <v>0.13866700750313901</v>
      </c>
      <c r="AF3784" s="2">
        <v>2715.3188461682298</v>
      </c>
      <c r="AG3784" s="2">
        <v>3863.4733432092698</v>
      </c>
      <c r="AH3784" s="4">
        <v>0.70281806161310201</v>
      </c>
      <c r="AI3784" s="4">
        <v>-0.508776827467044</v>
      </c>
      <c r="AJ3784" s="4" t="s">
        <v>62</v>
      </c>
      <c r="AK3784" s="2">
        <v>0.31920689175755501</v>
      </c>
      <c r="AL3784" s="2">
        <v>0.627420866163659</v>
      </c>
      <c r="AM3784" s="2">
        <v>2148.3018505827799</v>
      </c>
      <c r="AN3784" s="2">
        <v>2794.90220586025</v>
      </c>
      <c r="AO3784" s="2">
        <v>2535.00846495317</v>
      </c>
      <c r="AP3784" s="2">
        <v>3875.2192183255202</v>
      </c>
      <c r="AQ3784" s="2">
        <v>2750.2756020506099</v>
      </c>
      <c r="AR3784" s="2">
        <v>2188.2057352370498</v>
      </c>
      <c r="AS3784" s="2">
        <v>2293.2001419232502</v>
      </c>
      <c r="AT3784" s="2">
        <v>7253.7103142386704</v>
      </c>
      <c r="AU3784" s="2">
        <v>1891.95930576963</v>
      </c>
      <c r="AV3784" s="2">
        <v>2250.3123276782699</v>
      </c>
      <c r="AW3784" s="2">
        <v>7195.4997469345599</v>
      </c>
      <c r="AX3784" s="2">
        <v>2296.1582227112299</v>
      </c>
    </row>
    <row r="3785" spans="1:50" x14ac:dyDescent="0.25">
      <c r="A3785" s="2" t="s">
        <v>25067</v>
      </c>
      <c r="B3785" s="2">
        <v>458.349143420742</v>
      </c>
      <c r="C3785" s="2">
        <v>8.8669333333333302</v>
      </c>
      <c r="D3785" s="2" t="s">
        <v>51</v>
      </c>
      <c r="E3785" s="2" t="s">
        <v>25068</v>
      </c>
      <c r="F3785" s="2">
        <v>198330</v>
      </c>
      <c r="G3785" s="3" t="str">
        <f>HYPERLINK("https://cloud.oebiotech.com/#/lm/network/198330", "https://cloud.oebiotech.com/#/lm/network/198330")</f>
        <v>https://cloud.oebiotech.com/#/lm/network/198330</v>
      </c>
      <c r="H3785" s="2" t="s">
        <v>25069</v>
      </c>
      <c r="I3785" s="2"/>
      <c r="J3785" s="2"/>
      <c r="K3785" s="2"/>
      <c r="L3785" s="2"/>
      <c r="M3785" s="2"/>
      <c r="N3785" s="2"/>
      <c r="O3785" s="2"/>
      <c r="P3785" s="2"/>
      <c r="Q3785" s="2"/>
      <c r="R3785" s="2"/>
      <c r="S3785" s="2" t="s">
        <v>25070</v>
      </c>
      <c r="T3785" s="2" t="s">
        <v>25071</v>
      </c>
      <c r="U3785" s="2" t="s">
        <v>56</v>
      </c>
      <c r="V3785" s="2" t="s">
        <v>145</v>
      </c>
      <c r="W3785" s="2" t="s">
        <v>1188</v>
      </c>
      <c r="X3785" s="2" t="s">
        <v>83</v>
      </c>
      <c r="Y3785" s="2">
        <v>54.5</v>
      </c>
      <c r="Z3785" s="2">
        <v>0.129</v>
      </c>
      <c r="AA3785" s="2" t="s">
        <v>259</v>
      </c>
      <c r="AB3785" s="2" t="s">
        <v>25072</v>
      </c>
      <c r="AC3785" s="2">
        <v>3.3427169306292699</v>
      </c>
      <c r="AD3785" s="2"/>
      <c r="AE3785" s="2">
        <v>0.138612685322406</v>
      </c>
      <c r="AF3785" s="2">
        <v>16898.555626685298</v>
      </c>
      <c r="AG3785" s="2">
        <v>13529.908721972</v>
      </c>
      <c r="AH3785" s="5">
        <v>1.2489777997720499</v>
      </c>
      <c r="AI3785" s="5">
        <v>0.32074783367652399</v>
      </c>
      <c r="AJ3785" s="5" t="s">
        <v>139</v>
      </c>
      <c r="AK3785" s="2">
        <v>0.62224652285274595</v>
      </c>
      <c r="AL3785" s="2">
        <v>0.81300123375368705</v>
      </c>
      <c r="AM3785" s="2">
        <v>12037.014078463</v>
      </c>
      <c r="AN3785" s="2">
        <v>13077.5669595205</v>
      </c>
      <c r="AO3785" s="2">
        <v>29192.386799424301</v>
      </c>
      <c r="AP3785" s="2">
        <v>8138.6458930529298</v>
      </c>
      <c r="AQ3785" s="2">
        <v>18372.054294649599</v>
      </c>
      <c r="AR3785" s="2">
        <v>20573.665735001501</v>
      </c>
      <c r="AS3785" s="2">
        <v>42434.371792400903</v>
      </c>
      <c r="AT3785" s="2">
        <v>11748.0137828272</v>
      </c>
      <c r="AU3785" s="2">
        <v>4769.6653920974604</v>
      </c>
      <c r="AV3785" s="2">
        <v>5611.0753458665204</v>
      </c>
      <c r="AW3785" s="2">
        <v>7072.4643205902503</v>
      </c>
      <c r="AX3785" s="2">
        <v>9543.86169804985</v>
      </c>
    </row>
    <row r="3786" spans="1:50" x14ac:dyDescent="0.25">
      <c r="A3786" s="2" t="s">
        <v>25073</v>
      </c>
      <c r="B3786" s="2">
        <v>419.316822203198</v>
      </c>
      <c r="C3786" s="2">
        <v>15.401066666666701</v>
      </c>
      <c r="D3786" s="2" t="s">
        <v>51</v>
      </c>
      <c r="E3786" s="2" t="s">
        <v>25074</v>
      </c>
      <c r="F3786" s="2">
        <v>294289</v>
      </c>
      <c r="G3786" s="3" t="str">
        <f>HYPERLINK("https://cloud.oebiotech.com/#/lm/network/294289", "https://cloud.oebiotech.com/#/lm/network/294289")</f>
        <v>https://cloud.oebiotech.com/#/lm/network/294289</v>
      </c>
      <c r="H3786" s="2"/>
      <c r="I3786" s="2">
        <v>318318</v>
      </c>
      <c r="J3786" s="2"/>
      <c r="K3786" s="2">
        <v>8380</v>
      </c>
      <c r="L3786" s="2"/>
      <c r="M3786" s="2"/>
      <c r="N3786" s="2"/>
      <c r="O3786" s="2"/>
      <c r="P3786" s="2"/>
      <c r="Q3786" s="2"/>
      <c r="R3786" s="2"/>
      <c r="S3786" s="2" t="s">
        <v>25075</v>
      </c>
      <c r="T3786" s="2" t="s">
        <v>25076</v>
      </c>
      <c r="U3786" s="2" t="s">
        <v>610</v>
      </c>
      <c r="V3786" s="2" t="s">
        <v>611</v>
      </c>
      <c r="W3786" s="2" t="s">
        <v>1122</v>
      </c>
      <c r="X3786" s="2" t="s">
        <v>83</v>
      </c>
      <c r="Y3786" s="2">
        <v>52.7</v>
      </c>
      <c r="Z3786" s="2">
        <v>37.799999999999997</v>
      </c>
      <c r="AA3786" s="2" t="s">
        <v>259</v>
      </c>
      <c r="AB3786" s="2" t="s">
        <v>1750</v>
      </c>
      <c r="AC3786" s="2">
        <v>2.9546293707903901</v>
      </c>
      <c r="AD3786" s="2"/>
      <c r="AE3786" s="2">
        <v>0.138514809398563</v>
      </c>
      <c r="AF3786" s="2">
        <v>19503.2078943532</v>
      </c>
      <c r="AG3786" s="2">
        <v>17664.227322544899</v>
      </c>
      <c r="AH3786" s="5">
        <v>1.10410761468525</v>
      </c>
      <c r="AI3786" s="5">
        <v>0.14288079494789899</v>
      </c>
      <c r="AJ3786" s="5" t="s">
        <v>139</v>
      </c>
      <c r="AK3786" s="2">
        <v>0.58601456611991498</v>
      </c>
      <c r="AL3786" s="2">
        <v>0.79179983592488301</v>
      </c>
      <c r="AM3786" s="2">
        <v>14182.8359404449</v>
      </c>
      <c r="AN3786" s="2">
        <v>18115.721735822601</v>
      </c>
      <c r="AO3786" s="2">
        <v>19920.278224766</v>
      </c>
      <c r="AP3786" s="2">
        <v>20005.981359446399</v>
      </c>
      <c r="AQ3786" s="2">
        <v>23188.8025535579</v>
      </c>
      <c r="AR3786" s="2">
        <v>21605.627552081201</v>
      </c>
      <c r="AS3786" s="2">
        <v>23624.805982475202</v>
      </c>
      <c r="AT3786" s="2">
        <v>29782.910788843899</v>
      </c>
      <c r="AU3786" s="2">
        <v>14280.704632684799</v>
      </c>
      <c r="AV3786" s="2">
        <v>11197.958564705999</v>
      </c>
      <c r="AW3786" s="2">
        <v>12497.0651056884</v>
      </c>
      <c r="AX3786" s="2">
        <v>14601.918860871199</v>
      </c>
    </row>
    <row r="3787" spans="1:50" x14ac:dyDescent="0.25">
      <c r="A3787" s="2" t="s">
        <v>25077</v>
      </c>
      <c r="B3787" s="2">
        <v>563.18530462247998</v>
      </c>
      <c r="C3787" s="2">
        <v>9.9108499999999999</v>
      </c>
      <c r="D3787" s="2" t="s">
        <v>51</v>
      </c>
      <c r="E3787" s="2" t="s">
        <v>25078</v>
      </c>
      <c r="F3787" s="2">
        <v>47980</v>
      </c>
      <c r="G3787" s="3" t="str">
        <f>HYPERLINK("https://cloud.oebiotech.com/#/lm/network/47980", "https://cloud.oebiotech.com/#/lm/network/47980")</f>
        <v>https://cloud.oebiotech.com/#/lm/network/47980</v>
      </c>
      <c r="H3787" s="2" t="s">
        <v>25079</v>
      </c>
      <c r="I3787" s="2">
        <v>3780</v>
      </c>
      <c r="J3787" s="2"/>
      <c r="K3787" s="2">
        <v>65095</v>
      </c>
      <c r="L3787" s="2"/>
      <c r="M3787" s="2"/>
      <c r="N3787" s="2"/>
      <c r="O3787" s="2">
        <v>19065</v>
      </c>
      <c r="P3787" s="2"/>
      <c r="Q3787" s="2"/>
      <c r="R3787" s="2" t="s">
        <v>25080</v>
      </c>
      <c r="S3787" s="2" t="s">
        <v>25081</v>
      </c>
      <c r="T3787" s="2" t="s">
        <v>25082</v>
      </c>
      <c r="U3787" s="2" t="s">
        <v>295</v>
      </c>
      <c r="V3787" s="2" t="s">
        <v>5395</v>
      </c>
      <c r="W3787" s="2" t="s">
        <v>240</v>
      </c>
      <c r="X3787" s="2" t="s">
        <v>147</v>
      </c>
      <c r="Y3787" s="2">
        <v>39.200000000000003</v>
      </c>
      <c r="Z3787" s="2">
        <v>3.9</v>
      </c>
      <c r="AA3787" s="2" t="s">
        <v>478</v>
      </c>
      <c r="AB3787" s="2" t="s">
        <v>25083</v>
      </c>
      <c r="AC3787" s="2">
        <v>-0.45742778453175198</v>
      </c>
      <c r="AD3787" s="2"/>
      <c r="AE3787" s="2">
        <v>0.13824593049077699</v>
      </c>
      <c r="AF3787" s="2">
        <v>2870.8493847027898</v>
      </c>
      <c r="AG3787" s="2">
        <v>2155.03752526792</v>
      </c>
      <c r="AH3787" s="5">
        <v>1.3321574919424599</v>
      </c>
      <c r="AI3787" s="5">
        <v>0.41376465253899197</v>
      </c>
      <c r="AJ3787" s="5" t="s">
        <v>139</v>
      </c>
      <c r="AK3787" s="2">
        <v>0.60619675762825598</v>
      </c>
      <c r="AL3787" s="2">
        <v>0.80376251234912599</v>
      </c>
      <c r="AM3787" s="2">
        <v>8914.5535392155307</v>
      </c>
      <c r="AN3787" s="2">
        <v>400.00476983636202</v>
      </c>
      <c r="AO3787" s="2">
        <v>1206.4945582523301</v>
      </c>
      <c r="AP3787" s="2">
        <v>2918.2178792858399</v>
      </c>
      <c r="AQ3787" s="2">
        <v>1163.96614473006</v>
      </c>
      <c r="AR3787" s="2">
        <v>2621.8594168966001</v>
      </c>
      <c r="AS3787" s="2">
        <v>1575.37796145279</v>
      </c>
      <c r="AT3787" s="2">
        <v>1697.9981593841301</v>
      </c>
      <c r="AU3787" s="2">
        <v>4342.2693026341703</v>
      </c>
      <c r="AV3787" s="2">
        <v>1496.461321583</v>
      </c>
      <c r="AW3787" s="2">
        <v>1860.82618027117</v>
      </c>
      <c r="AX3787" s="2">
        <v>1957.2922262822401</v>
      </c>
    </row>
    <row r="3788" spans="1:50" x14ac:dyDescent="0.25">
      <c r="A3788" s="2" t="s">
        <v>25084</v>
      </c>
      <c r="B3788" s="2">
        <v>510.23693993018099</v>
      </c>
      <c r="C3788" s="2">
        <v>10.5758666666667</v>
      </c>
      <c r="D3788" s="2" t="s">
        <v>51</v>
      </c>
      <c r="E3788" s="2" t="s">
        <v>25085</v>
      </c>
      <c r="F3788" s="2">
        <v>203827</v>
      </c>
      <c r="G3788" s="3" t="str">
        <f>HYPERLINK("https://cloud.oebiotech.com/#/lm/network/203827", "https://cloud.oebiotech.com/#/lm/network/203827")</f>
        <v>https://cloud.oebiotech.com/#/lm/network/203827</v>
      </c>
      <c r="H3788" s="2" t="s">
        <v>25086</v>
      </c>
      <c r="I3788" s="2"/>
      <c r="J3788" s="2"/>
      <c r="K3788" s="2">
        <v>44200436</v>
      </c>
      <c r="L3788" s="2"/>
      <c r="M3788" s="2"/>
      <c r="N3788" s="2"/>
      <c r="O3788" s="2"/>
      <c r="P3788" s="2"/>
      <c r="Q3788" s="2"/>
      <c r="R3788" s="2"/>
      <c r="S3788" s="2" t="s">
        <v>25087</v>
      </c>
      <c r="T3788" s="2" t="s">
        <v>25088</v>
      </c>
      <c r="U3788" s="2" t="s">
        <v>266</v>
      </c>
      <c r="V3788" s="2" t="s">
        <v>2143</v>
      </c>
      <c r="W3788" s="2" t="s">
        <v>2144</v>
      </c>
      <c r="X3788" s="2" t="s">
        <v>147</v>
      </c>
      <c r="Y3788" s="2">
        <v>36</v>
      </c>
      <c r="Z3788" s="2">
        <v>0</v>
      </c>
      <c r="AA3788" s="2" t="s">
        <v>218</v>
      </c>
      <c r="AB3788" s="2" t="s">
        <v>25089</v>
      </c>
      <c r="AC3788" s="2">
        <v>2.4343771007535899</v>
      </c>
      <c r="AD3788" s="2"/>
      <c r="AE3788" s="2">
        <v>0.13816464252319999</v>
      </c>
      <c r="AF3788" s="2">
        <v>6227.6360766814396</v>
      </c>
      <c r="AG3788" s="2">
        <v>8255.0666161369609</v>
      </c>
      <c r="AH3788" s="4">
        <v>0.754401674301173</v>
      </c>
      <c r="AI3788" s="4">
        <v>-0.40659521698766399</v>
      </c>
      <c r="AJ3788" s="4" t="s">
        <v>62</v>
      </c>
      <c r="AK3788" s="2">
        <v>0.18938868225518801</v>
      </c>
      <c r="AL3788" s="2">
        <v>0.51332142680207204</v>
      </c>
      <c r="AM3788" s="2">
        <v>12604.0925742699</v>
      </c>
      <c r="AN3788" s="2">
        <v>5957.5197766065703</v>
      </c>
      <c r="AO3788" s="2">
        <v>5385.2994405140398</v>
      </c>
      <c r="AP3788" s="2">
        <v>3844.0950403310799</v>
      </c>
      <c r="AQ3788" s="2">
        <v>4627.1706117205404</v>
      </c>
      <c r="AR3788" s="2">
        <v>4947.6390166464798</v>
      </c>
      <c r="AS3788" s="2">
        <v>5451.80705474554</v>
      </c>
      <c r="AT3788" s="2">
        <v>9273.3082808956005</v>
      </c>
      <c r="AU3788" s="2">
        <v>7816.86670433359</v>
      </c>
      <c r="AV3788" s="2">
        <v>8748.5629509227001</v>
      </c>
      <c r="AW3788" s="2">
        <v>8989.6657751813</v>
      </c>
      <c r="AX3788" s="2">
        <v>9250.1889307429992</v>
      </c>
    </row>
    <row r="3789" spans="1:50" x14ac:dyDescent="0.25">
      <c r="A3789" s="2" t="s">
        <v>25090</v>
      </c>
      <c r="B3789" s="2">
        <v>347.16137275726499</v>
      </c>
      <c r="C3789" s="2">
        <v>6.7668499999999998</v>
      </c>
      <c r="D3789" s="2" t="s">
        <v>51</v>
      </c>
      <c r="E3789" s="2" t="s">
        <v>25091</v>
      </c>
      <c r="F3789" s="2">
        <v>274719</v>
      </c>
      <c r="G3789" s="3" t="str">
        <f>HYPERLINK("https://cloud.oebiotech.com/#/lm/network/274719", "https://cloud.oebiotech.com/#/lm/network/274719")</f>
        <v>https://cloud.oebiotech.com/#/lm/network/274719</v>
      </c>
      <c r="H3789" s="2"/>
      <c r="I3789" s="2">
        <v>64949</v>
      </c>
      <c r="J3789" s="2"/>
      <c r="K3789" s="2">
        <v>53393956</v>
      </c>
      <c r="L3789" s="2"/>
      <c r="M3789" s="2"/>
      <c r="N3789" s="2"/>
      <c r="O3789" s="2"/>
      <c r="P3789" s="2"/>
      <c r="Q3789" s="2"/>
      <c r="R3789" s="2"/>
      <c r="S3789" s="2" t="s">
        <v>25092</v>
      </c>
      <c r="T3789" s="2" t="s">
        <v>25093</v>
      </c>
      <c r="U3789" s="2" t="s">
        <v>540</v>
      </c>
      <c r="V3789" s="2" t="s">
        <v>1826</v>
      </c>
      <c r="W3789" s="2" t="s">
        <v>240</v>
      </c>
      <c r="X3789" s="2" t="s">
        <v>147</v>
      </c>
      <c r="Y3789" s="2">
        <v>40.700000000000003</v>
      </c>
      <c r="Z3789" s="2">
        <v>11.9</v>
      </c>
      <c r="AA3789" s="2" t="s">
        <v>60</v>
      </c>
      <c r="AB3789" s="2" t="s">
        <v>25094</v>
      </c>
      <c r="AC3789" s="2">
        <v>3.5374900073456499</v>
      </c>
      <c r="AD3789" s="2"/>
      <c r="AE3789" s="2">
        <v>0.13804597833655199</v>
      </c>
      <c r="AF3789" s="2">
        <v>68187.075001799603</v>
      </c>
      <c r="AG3789" s="2">
        <v>58236.099693073003</v>
      </c>
      <c r="AH3789" s="5">
        <v>1.1708729698790299</v>
      </c>
      <c r="AI3789" s="5">
        <v>0.227584563741244</v>
      </c>
      <c r="AJ3789" s="5" t="s">
        <v>139</v>
      </c>
      <c r="AK3789" s="2">
        <v>0.65662699947720404</v>
      </c>
      <c r="AL3789" s="2">
        <v>0.83263445021276405</v>
      </c>
      <c r="AM3789" s="2">
        <v>59602.640220668603</v>
      </c>
      <c r="AN3789" s="2">
        <v>69314.093573226099</v>
      </c>
      <c r="AO3789" s="2">
        <v>67532.904695349702</v>
      </c>
      <c r="AP3789" s="2">
        <v>120579.933709012</v>
      </c>
      <c r="AQ3789" s="2">
        <v>44646.532612923598</v>
      </c>
      <c r="AR3789" s="2">
        <v>47446.345199617797</v>
      </c>
      <c r="AS3789" s="2">
        <v>144133.94705216901</v>
      </c>
      <c r="AT3789" s="2">
        <v>60138.074931600699</v>
      </c>
      <c r="AU3789" s="2">
        <v>20740.0569809349</v>
      </c>
      <c r="AV3789" s="2">
        <v>30845.143765016001</v>
      </c>
      <c r="AW3789" s="2">
        <v>63303.049319033802</v>
      </c>
      <c r="AX3789" s="2">
        <v>30256.326109683501</v>
      </c>
    </row>
    <row r="3790" spans="1:50" x14ac:dyDescent="0.25">
      <c r="A3790" s="2" t="s">
        <v>25095</v>
      </c>
      <c r="B3790" s="2">
        <v>455.17982707680198</v>
      </c>
      <c r="C3790" s="2">
        <v>7.0694833333333298</v>
      </c>
      <c r="D3790" s="2" t="s">
        <v>51</v>
      </c>
      <c r="E3790" s="2" t="s">
        <v>25096</v>
      </c>
      <c r="F3790" s="2">
        <v>202052</v>
      </c>
      <c r="G3790" s="3" t="str">
        <f>HYPERLINK("https://cloud.oebiotech.com/#/lm/network/202052", "https://cloud.oebiotech.com/#/lm/network/202052")</f>
        <v>https://cloud.oebiotech.com/#/lm/network/202052</v>
      </c>
      <c r="H3790" s="2" t="s">
        <v>25097</v>
      </c>
      <c r="I3790" s="2"/>
      <c r="J3790" s="2"/>
      <c r="K3790" s="2">
        <v>17965293</v>
      </c>
      <c r="L3790" s="2"/>
      <c r="M3790" s="2"/>
      <c r="N3790" s="2"/>
      <c r="O3790" s="2"/>
      <c r="P3790" s="2"/>
      <c r="Q3790" s="2"/>
      <c r="R3790" s="2"/>
      <c r="S3790" s="2" t="s">
        <v>25098</v>
      </c>
      <c r="T3790" s="2" t="s">
        <v>25099</v>
      </c>
      <c r="U3790" s="2" t="s">
        <v>266</v>
      </c>
      <c r="V3790" s="2" t="s">
        <v>6107</v>
      </c>
      <c r="W3790" s="2" t="s">
        <v>240</v>
      </c>
      <c r="X3790" s="2" t="s">
        <v>147</v>
      </c>
      <c r="Y3790" s="2">
        <v>38.5</v>
      </c>
      <c r="Z3790" s="2">
        <v>0</v>
      </c>
      <c r="AA3790" s="2" t="s">
        <v>478</v>
      </c>
      <c r="AB3790" s="2" t="s">
        <v>25100</v>
      </c>
      <c r="AC3790" s="2">
        <v>1.32837145624687</v>
      </c>
      <c r="AD3790" s="2"/>
      <c r="AE3790" s="2">
        <v>0.13790522228097701</v>
      </c>
      <c r="AF3790" s="2">
        <v>2309.2924425883598</v>
      </c>
      <c r="AG3790" s="2">
        <v>1535.28079557193</v>
      </c>
      <c r="AH3790" s="5">
        <v>1.5041498918301099</v>
      </c>
      <c r="AI3790" s="5">
        <v>0.58894834189906298</v>
      </c>
      <c r="AJ3790" s="5" t="s">
        <v>139</v>
      </c>
      <c r="AK3790" s="2">
        <v>0.293691460242411</v>
      </c>
      <c r="AL3790" s="2">
        <v>0.60634549190129605</v>
      </c>
      <c r="AM3790" s="2">
        <v>1543.13522018758</v>
      </c>
      <c r="AN3790" s="2">
        <v>4447.2539947421101</v>
      </c>
      <c r="AO3790" s="2">
        <v>2799.1012779285402</v>
      </c>
      <c r="AP3790" s="2">
        <v>830.04330599211698</v>
      </c>
      <c r="AQ3790" s="2">
        <v>2508.0769006648902</v>
      </c>
      <c r="AR3790" s="2">
        <v>1728.1439560149299</v>
      </c>
      <c r="AS3790" s="2">
        <v>811.68590543382402</v>
      </c>
      <c r="AT3790" s="2">
        <v>776.54554151800198</v>
      </c>
      <c r="AU3790" s="2">
        <v>2841.9273088334098</v>
      </c>
      <c r="AV3790" s="2">
        <v>704.03426276518599</v>
      </c>
      <c r="AW3790" s="2">
        <v>3193.12600431589</v>
      </c>
      <c r="AX3790" s="2">
        <v>884.36575056528</v>
      </c>
    </row>
    <row r="3791" spans="1:50" x14ac:dyDescent="0.25">
      <c r="A3791" s="2" t="s">
        <v>25101</v>
      </c>
      <c r="B3791" s="2">
        <v>964.46379217687195</v>
      </c>
      <c r="C3791" s="2">
        <v>4.8935333333333304</v>
      </c>
      <c r="D3791" s="2" t="s">
        <v>51</v>
      </c>
      <c r="E3791" s="2" t="s">
        <v>25102</v>
      </c>
      <c r="F3791" s="2">
        <v>28289</v>
      </c>
      <c r="G3791" s="3" t="str">
        <f>HYPERLINK("https://cloud.oebiotech.com/#/lm/network/28289", "https://cloud.oebiotech.com/#/lm/network/28289")</f>
        <v>https://cloud.oebiotech.com/#/lm/network/28289</v>
      </c>
      <c r="H3791" s="2" t="s">
        <v>25103</v>
      </c>
      <c r="I3791" s="2"/>
      <c r="J3791" s="2" t="s">
        <v>25104</v>
      </c>
      <c r="K3791" s="2">
        <v>11953884</v>
      </c>
      <c r="L3791" s="2" t="s">
        <v>25105</v>
      </c>
      <c r="M3791" s="2"/>
      <c r="N3791" s="2"/>
      <c r="O3791" s="2">
        <v>7660</v>
      </c>
      <c r="P3791" s="2"/>
      <c r="Q3791" s="2"/>
      <c r="R3791" s="2" t="s">
        <v>25106</v>
      </c>
      <c r="S3791" s="2" t="s">
        <v>25107</v>
      </c>
      <c r="T3791" s="2" t="s">
        <v>25108</v>
      </c>
      <c r="U3791" s="2" t="s">
        <v>331</v>
      </c>
      <c r="V3791" s="2" t="s">
        <v>332</v>
      </c>
      <c r="W3791" s="2" t="s">
        <v>333</v>
      </c>
      <c r="X3791" s="2" t="s">
        <v>59</v>
      </c>
      <c r="Y3791" s="2">
        <v>46.2</v>
      </c>
      <c r="Z3791" s="2">
        <v>47.4</v>
      </c>
      <c r="AA3791" s="2" t="s">
        <v>395</v>
      </c>
      <c r="AB3791" s="2" t="s">
        <v>25109</v>
      </c>
      <c r="AC3791" s="2">
        <v>-3.0965260506677299</v>
      </c>
      <c r="AD3791" s="2"/>
      <c r="AE3791" s="2">
        <v>0.13783719509230299</v>
      </c>
      <c r="AF3791" s="2">
        <v>9404.0817263379195</v>
      </c>
      <c r="AG3791" s="2">
        <v>6680.2228253882004</v>
      </c>
      <c r="AH3791" s="5">
        <v>1.40774970718008</v>
      </c>
      <c r="AI3791" s="5">
        <v>0.49339085080122602</v>
      </c>
      <c r="AJ3791" s="5" t="s">
        <v>139</v>
      </c>
      <c r="AK3791" s="2">
        <v>0.59880211176002696</v>
      </c>
      <c r="AL3791" s="2">
        <v>0.79875554632939605</v>
      </c>
      <c r="AM3791" s="2">
        <v>18609.519666423901</v>
      </c>
      <c r="AN3791" s="2">
        <v>8.559877937157E-6</v>
      </c>
      <c r="AO3791" s="2">
        <v>11930.601688426999</v>
      </c>
      <c r="AP3791" s="2">
        <v>13494.7770747636</v>
      </c>
      <c r="AQ3791" s="2">
        <v>3635.3136512145802</v>
      </c>
      <c r="AR3791" s="2">
        <v>8754.2782686385399</v>
      </c>
      <c r="AS3791" s="2">
        <v>8.559877937157E-6</v>
      </c>
      <c r="AT3791" s="2">
        <v>8.559877937157E-6</v>
      </c>
      <c r="AU3791" s="2">
        <v>2179.0148891294698</v>
      </c>
      <c r="AV3791" s="2">
        <v>25661.499386816598</v>
      </c>
      <c r="AW3791" s="2">
        <v>945.76602010576596</v>
      </c>
      <c r="AX3791" s="2">
        <v>11295.056639157599</v>
      </c>
    </row>
    <row r="3792" spans="1:50" x14ac:dyDescent="0.25">
      <c r="A3792" s="2" t="s">
        <v>25110</v>
      </c>
      <c r="B3792" s="2">
        <v>403.18958285612803</v>
      </c>
      <c r="C3792" s="2">
        <v>6.3703666666666701</v>
      </c>
      <c r="D3792" s="2" t="s">
        <v>51</v>
      </c>
      <c r="E3792" s="2" t="s">
        <v>25111</v>
      </c>
      <c r="F3792" s="2">
        <v>56150</v>
      </c>
      <c r="G3792" s="3" t="str">
        <f>HYPERLINK("https://cloud.oebiotech.com/#/lm/network/56150", "https://cloud.oebiotech.com/#/lm/network/56150")</f>
        <v>https://cloud.oebiotech.com/#/lm/network/56150</v>
      </c>
      <c r="H3792" s="2" t="s">
        <v>25112</v>
      </c>
      <c r="I3792" s="2">
        <v>87843</v>
      </c>
      <c r="J3792" s="2"/>
      <c r="K3792" s="2">
        <v>10878223</v>
      </c>
      <c r="L3792" s="2"/>
      <c r="M3792" s="2"/>
      <c r="N3792" s="2"/>
      <c r="O3792" s="2"/>
      <c r="P3792" s="2"/>
      <c r="Q3792" s="2"/>
      <c r="R3792" s="2"/>
      <c r="S3792" s="2" t="s">
        <v>25113</v>
      </c>
      <c r="T3792" s="2" t="s">
        <v>25114</v>
      </c>
      <c r="U3792" s="2" t="s">
        <v>266</v>
      </c>
      <c r="V3792" s="2" t="s">
        <v>25115</v>
      </c>
      <c r="W3792" s="2" t="s">
        <v>25116</v>
      </c>
      <c r="X3792" s="2" t="s">
        <v>147</v>
      </c>
      <c r="Y3792" s="2">
        <v>38.299999999999997</v>
      </c>
      <c r="Z3792" s="2">
        <v>0</v>
      </c>
      <c r="AA3792" s="2" t="s">
        <v>478</v>
      </c>
      <c r="AB3792" s="2" t="s">
        <v>25117</v>
      </c>
      <c r="AC3792" s="2">
        <v>-4.7008755669616997</v>
      </c>
      <c r="AD3792" s="2"/>
      <c r="AE3792" s="2">
        <v>0.137815074346303</v>
      </c>
      <c r="AF3792" s="2">
        <v>1539.66257149799</v>
      </c>
      <c r="AG3792" s="2">
        <v>762.54187517629703</v>
      </c>
      <c r="AH3792" s="5">
        <v>2.0191187154699302</v>
      </c>
      <c r="AI3792" s="5">
        <v>1.01372573740771</v>
      </c>
      <c r="AJ3792" s="5" t="s">
        <v>139</v>
      </c>
      <c r="AK3792" s="2">
        <v>0.128806208585965</v>
      </c>
      <c r="AL3792" s="2">
        <v>0.44773421075434799</v>
      </c>
      <c r="AM3792" s="2">
        <v>806.67404346581304</v>
      </c>
      <c r="AN3792" s="2">
        <v>2198.7356995772898</v>
      </c>
      <c r="AO3792" s="2">
        <v>1209.6936368147101</v>
      </c>
      <c r="AP3792" s="2">
        <v>2176.9806782947899</v>
      </c>
      <c r="AQ3792" s="2">
        <v>779.087325995122</v>
      </c>
      <c r="AR3792" s="2">
        <v>2066.8040448402398</v>
      </c>
      <c r="AS3792" s="2">
        <v>1509.22924142745</v>
      </c>
      <c r="AT3792" s="2">
        <v>375.09291206995499</v>
      </c>
      <c r="AU3792" s="2">
        <v>2271.9365533928199</v>
      </c>
      <c r="AV3792" s="2">
        <v>8.559877937157E-6</v>
      </c>
      <c r="AW3792" s="2">
        <v>418.99252704780201</v>
      </c>
      <c r="AX3792" s="2">
        <v>8.559877937157E-6</v>
      </c>
    </row>
    <row r="3793" spans="1:50" x14ac:dyDescent="0.25">
      <c r="A3793" s="2" t="s">
        <v>25118</v>
      </c>
      <c r="B3793" s="2">
        <v>473.17942748216598</v>
      </c>
      <c r="C3793" s="2">
        <v>6.18488333333333</v>
      </c>
      <c r="D3793" s="2" t="s">
        <v>51</v>
      </c>
      <c r="E3793" s="2" t="s">
        <v>25119</v>
      </c>
      <c r="F3793" s="2">
        <v>57169</v>
      </c>
      <c r="G3793" s="3" t="str">
        <f>HYPERLINK("https://cloud.oebiotech.com/#/lm/network/57169", "https://cloud.oebiotech.com/#/lm/network/57169")</f>
        <v>https://cloud.oebiotech.com/#/lm/network/57169</v>
      </c>
      <c r="H3793" s="2" t="s">
        <v>25120</v>
      </c>
      <c r="I3793" s="2">
        <v>88814</v>
      </c>
      <c r="J3793" s="2"/>
      <c r="K3793" s="2">
        <v>131751348</v>
      </c>
      <c r="L3793" s="2"/>
      <c r="M3793" s="2"/>
      <c r="N3793" s="2"/>
      <c r="O3793" s="2">
        <v>169115</v>
      </c>
      <c r="P3793" s="2"/>
      <c r="Q3793" s="2"/>
      <c r="R3793" s="2" t="s">
        <v>25121</v>
      </c>
      <c r="S3793" s="2" t="s">
        <v>25122</v>
      </c>
      <c r="T3793" s="2" t="s">
        <v>25123</v>
      </c>
      <c r="U3793" s="2" t="s">
        <v>2723</v>
      </c>
      <c r="V3793" s="2" t="s">
        <v>25124</v>
      </c>
      <c r="W3793" s="2" t="s">
        <v>240</v>
      </c>
      <c r="X3793" s="2" t="s">
        <v>147</v>
      </c>
      <c r="Y3793" s="2">
        <v>36</v>
      </c>
      <c r="Z3793" s="2">
        <v>0</v>
      </c>
      <c r="AA3793" s="2" t="s">
        <v>379</v>
      </c>
      <c r="AB3793" s="2" t="s">
        <v>25125</v>
      </c>
      <c r="AC3793" s="2">
        <v>-4.6294631656840401</v>
      </c>
      <c r="AD3793" s="2"/>
      <c r="AE3793" s="2">
        <v>0.137727466714576</v>
      </c>
      <c r="AF3793" s="2">
        <v>1625.47718000689</v>
      </c>
      <c r="AG3793" s="2">
        <v>989.21552072629299</v>
      </c>
      <c r="AH3793" s="5">
        <v>1.6431982171220401</v>
      </c>
      <c r="AI3793" s="5">
        <v>0.71650652143854099</v>
      </c>
      <c r="AJ3793" s="5" t="s">
        <v>139</v>
      </c>
      <c r="AK3793" s="2">
        <v>0.44097921305779397</v>
      </c>
      <c r="AL3793" s="2">
        <v>0.69764292881434498</v>
      </c>
      <c r="AM3793" s="2">
        <v>2862.3616204444902</v>
      </c>
      <c r="AN3793" s="2">
        <v>4453.66512145244</v>
      </c>
      <c r="AO3793" s="2">
        <v>517.13717840407503</v>
      </c>
      <c r="AP3793" s="2">
        <v>242.33505524902199</v>
      </c>
      <c r="AQ3793" s="2">
        <v>1677.36409593144</v>
      </c>
      <c r="AR3793" s="2">
        <v>8.559877937157E-6</v>
      </c>
      <c r="AS3793" s="2">
        <v>1190.73483558719</v>
      </c>
      <c r="AT3793" s="2">
        <v>2237.5860830749102</v>
      </c>
      <c r="AU3793" s="2">
        <v>8.559877937157E-6</v>
      </c>
      <c r="AV3793" s="2">
        <v>682.13658269798702</v>
      </c>
      <c r="AW3793" s="2">
        <v>254.816739759901</v>
      </c>
      <c r="AX3793" s="2">
        <v>1570.0188746778899</v>
      </c>
    </row>
    <row r="3794" spans="1:50" x14ac:dyDescent="0.25">
      <c r="A3794" s="2" t="s">
        <v>25126</v>
      </c>
      <c r="B3794" s="2">
        <v>217.11893539159399</v>
      </c>
      <c r="C3794" s="2">
        <v>1.00901666666667</v>
      </c>
      <c r="D3794" s="2" t="s">
        <v>51</v>
      </c>
      <c r="E3794" s="2" t="s">
        <v>25127</v>
      </c>
      <c r="F3794" s="2">
        <v>266221</v>
      </c>
      <c r="G3794" s="3" t="str">
        <f>HYPERLINK("https://cloud.oebiotech.com/#/lm/network/266221", "https://cloud.oebiotech.com/#/lm/network/266221")</f>
        <v>https://cloud.oebiotech.com/#/lm/network/266221</v>
      </c>
      <c r="H3794" s="2"/>
      <c r="I3794" s="2">
        <v>23985</v>
      </c>
      <c r="J3794" s="2"/>
      <c r="K3794" s="2">
        <v>145453499</v>
      </c>
      <c r="L3794" s="2"/>
      <c r="M3794" s="2"/>
      <c r="N3794" s="2"/>
      <c r="O3794" s="2"/>
      <c r="P3794" s="2"/>
      <c r="Q3794" s="2"/>
      <c r="R3794" s="2"/>
      <c r="S3794" s="2" t="s">
        <v>25128</v>
      </c>
      <c r="T3794" s="2" t="s">
        <v>25129</v>
      </c>
      <c r="U3794" s="2" t="s">
        <v>103</v>
      </c>
      <c r="V3794" s="2" t="s">
        <v>104</v>
      </c>
      <c r="W3794" s="2" t="s">
        <v>105</v>
      </c>
      <c r="X3794" s="2" t="s">
        <v>83</v>
      </c>
      <c r="Y3794" s="2">
        <v>42.3</v>
      </c>
      <c r="Z3794" s="2">
        <v>17.2</v>
      </c>
      <c r="AA3794" s="2" t="s">
        <v>259</v>
      </c>
      <c r="AB3794" s="2" t="s">
        <v>25130</v>
      </c>
      <c r="AC3794" s="2">
        <v>3.01677662346885</v>
      </c>
      <c r="AD3794" s="2"/>
      <c r="AE3794" s="2">
        <v>0.13765230155338601</v>
      </c>
      <c r="AF3794" s="2">
        <v>6356.4557492698796</v>
      </c>
      <c r="AG3794" s="2">
        <v>4174.4139583509304</v>
      </c>
      <c r="AH3794" s="5">
        <v>1.5227181138932699</v>
      </c>
      <c r="AI3794" s="5">
        <v>0.60664889433477898</v>
      </c>
      <c r="AJ3794" s="5" t="s">
        <v>139</v>
      </c>
      <c r="AK3794" s="2">
        <v>0.41523159505676499</v>
      </c>
      <c r="AL3794" s="2">
        <v>0.67800604506381001</v>
      </c>
      <c r="AM3794" s="2">
        <v>2137.0061374546599</v>
      </c>
      <c r="AN3794" s="2">
        <v>6324.84083630648</v>
      </c>
      <c r="AO3794" s="2">
        <v>2744.7455931003401</v>
      </c>
      <c r="AP3794" s="2">
        <v>1972.4377883326099</v>
      </c>
      <c r="AQ3794" s="2">
        <v>14827.3887194338</v>
      </c>
      <c r="AR3794" s="2">
        <v>10132.315420991399</v>
      </c>
      <c r="AS3794" s="2">
        <v>1030.36659937788</v>
      </c>
      <c r="AT3794" s="2">
        <v>2286.7707995506898</v>
      </c>
      <c r="AU3794" s="2">
        <v>5160.1315749944697</v>
      </c>
      <c r="AV3794" s="2">
        <v>10714.3350030577</v>
      </c>
      <c r="AW3794" s="2">
        <v>2110.3171780446401</v>
      </c>
      <c r="AX3794" s="2">
        <v>3744.56259508019</v>
      </c>
    </row>
    <row r="3795" spans="1:50" x14ac:dyDescent="0.25">
      <c r="A3795" s="2" t="s">
        <v>25131</v>
      </c>
      <c r="B3795" s="2">
        <v>313.03379128665699</v>
      </c>
      <c r="C3795" s="2">
        <v>1.1703666666666701</v>
      </c>
      <c r="D3795" s="2" t="s">
        <v>51</v>
      </c>
      <c r="E3795" s="2" t="s">
        <v>25132</v>
      </c>
      <c r="F3795" s="2">
        <v>51463</v>
      </c>
      <c r="G3795" s="3" t="str">
        <f>HYPERLINK("https://cloud.oebiotech.com/#/lm/network/51463", "https://cloud.oebiotech.com/#/lm/network/51463")</f>
        <v>https://cloud.oebiotech.com/#/lm/network/51463</v>
      </c>
      <c r="H3795" s="2" t="s">
        <v>25133</v>
      </c>
      <c r="I3795" s="2">
        <v>62419</v>
      </c>
      <c r="J3795" s="2"/>
      <c r="K3795" s="2">
        <v>440776</v>
      </c>
      <c r="L3795" s="2" t="s">
        <v>25134</v>
      </c>
      <c r="M3795" s="2" t="s">
        <v>2445</v>
      </c>
      <c r="N3795" s="2" t="s">
        <v>2446</v>
      </c>
      <c r="O3795" s="2">
        <v>28607</v>
      </c>
      <c r="P3795" s="2"/>
      <c r="Q3795" s="2"/>
      <c r="R3795" s="2" t="s">
        <v>25135</v>
      </c>
      <c r="S3795" s="2" t="s">
        <v>25136</v>
      </c>
      <c r="T3795" s="2" t="s">
        <v>25137</v>
      </c>
      <c r="U3795" s="2" t="s">
        <v>295</v>
      </c>
      <c r="V3795" s="2" t="s">
        <v>1023</v>
      </c>
      <c r="W3795" s="2" t="s">
        <v>7156</v>
      </c>
      <c r="X3795" s="2" t="s">
        <v>147</v>
      </c>
      <c r="Y3795" s="2">
        <v>38.5</v>
      </c>
      <c r="Z3795" s="2">
        <v>0</v>
      </c>
      <c r="AA3795" s="2" t="s">
        <v>156</v>
      </c>
      <c r="AB3795" s="2" t="s">
        <v>25138</v>
      </c>
      <c r="AC3795" s="2">
        <v>1.6489015880240501</v>
      </c>
      <c r="AD3795" s="2"/>
      <c r="AE3795" s="2">
        <v>0.13757994579229599</v>
      </c>
      <c r="AF3795" s="2">
        <v>1794.9143299775899</v>
      </c>
      <c r="AG3795" s="2">
        <v>2331.41107919153</v>
      </c>
      <c r="AH3795" s="4">
        <v>0.76988324624416604</v>
      </c>
      <c r="AI3795" s="4">
        <v>-0.37728841899667198</v>
      </c>
      <c r="AJ3795" s="4" t="s">
        <v>62</v>
      </c>
      <c r="AK3795" s="2">
        <v>0.28371266526780903</v>
      </c>
      <c r="AL3795" s="2">
        <v>0.60000138164408201</v>
      </c>
      <c r="AM3795" s="2">
        <v>720.68558005393299</v>
      </c>
      <c r="AN3795" s="2">
        <v>1930.5914596493801</v>
      </c>
      <c r="AO3795" s="2">
        <v>1369.7977980565499</v>
      </c>
      <c r="AP3795" s="2">
        <v>1971.7184219543301</v>
      </c>
      <c r="AQ3795" s="2">
        <v>1797.6627940691301</v>
      </c>
      <c r="AR3795" s="2">
        <v>2979.0299260821998</v>
      </c>
      <c r="AS3795" s="2">
        <v>3320.2541332373098</v>
      </c>
      <c r="AT3795" s="2">
        <v>2533.0554207942</v>
      </c>
      <c r="AU3795" s="2">
        <v>844.40899151764199</v>
      </c>
      <c r="AV3795" s="2">
        <v>1810.2536038497201</v>
      </c>
      <c r="AW3795" s="2">
        <v>2970.98542979278</v>
      </c>
      <c r="AX3795" s="2">
        <v>2509.5088959575</v>
      </c>
    </row>
    <row r="3796" spans="1:50" x14ac:dyDescent="0.25">
      <c r="A3796" s="2" t="s">
        <v>25139</v>
      </c>
      <c r="B3796" s="2">
        <v>383.32875953101097</v>
      </c>
      <c r="C3796" s="2">
        <v>9.5840166666666704</v>
      </c>
      <c r="D3796" s="2" t="s">
        <v>51</v>
      </c>
      <c r="E3796" s="2" t="s">
        <v>25140</v>
      </c>
      <c r="F3796" s="2">
        <v>35144</v>
      </c>
      <c r="G3796" s="3" t="str">
        <f>HYPERLINK("https://cloud.oebiotech.com/#/lm/network/35144", "https://cloud.oebiotech.com/#/lm/network/35144")</f>
        <v>https://cloud.oebiotech.com/#/lm/network/35144</v>
      </c>
      <c r="H3796" s="2"/>
      <c r="I3796" s="2"/>
      <c r="J3796" s="2" t="s">
        <v>25141</v>
      </c>
      <c r="K3796" s="2">
        <v>85537989</v>
      </c>
      <c r="L3796" s="2"/>
      <c r="M3796" s="2"/>
      <c r="N3796" s="2"/>
      <c r="O3796" s="2"/>
      <c r="P3796" s="2"/>
      <c r="Q3796" s="2"/>
      <c r="R3796" s="2"/>
      <c r="S3796" s="2" t="s">
        <v>25142</v>
      </c>
      <c r="T3796" s="2" t="s">
        <v>25143</v>
      </c>
      <c r="U3796" s="2" t="s">
        <v>610</v>
      </c>
      <c r="V3796" s="2" t="s">
        <v>895</v>
      </c>
      <c r="W3796" s="2" t="s">
        <v>6882</v>
      </c>
      <c r="X3796" s="2" t="s">
        <v>147</v>
      </c>
      <c r="Y3796" s="2">
        <v>37.5</v>
      </c>
      <c r="Z3796" s="2">
        <v>0</v>
      </c>
      <c r="AA3796" s="2" t="s">
        <v>95</v>
      </c>
      <c r="AB3796" s="2" t="s">
        <v>25144</v>
      </c>
      <c r="AC3796" s="2">
        <v>0.8958790951308</v>
      </c>
      <c r="AD3796" s="2"/>
      <c r="AE3796" s="2">
        <v>0.13755752494267501</v>
      </c>
      <c r="AF3796" s="2">
        <v>1874.28385899468</v>
      </c>
      <c r="AG3796" s="2">
        <v>3136.8661351171399</v>
      </c>
      <c r="AH3796" s="4">
        <v>0.59750202216540704</v>
      </c>
      <c r="AI3796" s="4">
        <v>-0.74298449917796205</v>
      </c>
      <c r="AJ3796" s="4" t="s">
        <v>62</v>
      </c>
      <c r="AK3796" s="2">
        <v>0.21488092126196501</v>
      </c>
      <c r="AL3796" s="2">
        <v>0.53954008018395805</v>
      </c>
      <c r="AM3796" s="2">
        <v>1615.8470546245101</v>
      </c>
      <c r="AN3796" s="2">
        <v>2013.39897307817</v>
      </c>
      <c r="AO3796" s="2">
        <v>2037.52287650839</v>
      </c>
      <c r="AP3796" s="2">
        <v>2234.12085571745</v>
      </c>
      <c r="AQ3796" s="2">
        <v>2010.6905091256799</v>
      </c>
      <c r="AR3796" s="2">
        <v>1334.1228849138499</v>
      </c>
      <c r="AS3796" s="2">
        <v>1674.41954603512</v>
      </c>
      <c r="AT3796" s="2">
        <v>2459.1572480371601</v>
      </c>
      <c r="AU3796" s="2">
        <v>7769.6872998915496</v>
      </c>
      <c r="AV3796" s="2">
        <v>2410.8761952546001</v>
      </c>
      <c r="AW3796" s="2">
        <v>2786.7466323655399</v>
      </c>
      <c r="AX3796" s="2">
        <v>1720.3098891188499</v>
      </c>
    </row>
    <row r="3797" spans="1:50" x14ac:dyDescent="0.25">
      <c r="A3797" s="2" t="s">
        <v>25145</v>
      </c>
      <c r="B3797" s="2">
        <v>341.26980078272101</v>
      </c>
      <c r="C3797" s="2">
        <v>11.7358666666667</v>
      </c>
      <c r="D3797" s="2" t="s">
        <v>51</v>
      </c>
      <c r="E3797" s="2" t="s">
        <v>25146</v>
      </c>
      <c r="F3797" s="2">
        <v>2849</v>
      </c>
      <c r="G3797" s="3" t="str">
        <f>HYPERLINK("https://cloud.oebiotech.com/#/lm/network/2849", "https://cloud.oebiotech.com/#/lm/network/2849")</f>
        <v>https://cloud.oebiotech.com/#/lm/network/2849</v>
      </c>
      <c r="H3797" s="2" t="s">
        <v>25147</v>
      </c>
      <c r="I3797" s="2">
        <v>35987</v>
      </c>
      <c r="J3797" s="2" t="s">
        <v>25148</v>
      </c>
      <c r="K3797" s="2">
        <v>75502</v>
      </c>
      <c r="L3797" s="2"/>
      <c r="M3797" s="2"/>
      <c r="N3797" s="2"/>
      <c r="O3797" s="2">
        <v>73728</v>
      </c>
      <c r="P3797" s="2"/>
      <c r="Q3797" s="2"/>
      <c r="R3797" s="2"/>
      <c r="S3797" s="2" t="s">
        <v>25149</v>
      </c>
      <c r="T3797" s="2" t="s">
        <v>25150</v>
      </c>
      <c r="U3797" s="2" t="s">
        <v>56</v>
      </c>
      <c r="V3797" s="2" t="s">
        <v>145</v>
      </c>
      <c r="W3797" s="2" t="s">
        <v>231</v>
      </c>
      <c r="X3797" s="2" t="s">
        <v>83</v>
      </c>
      <c r="Y3797" s="2">
        <v>42.3</v>
      </c>
      <c r="Z3797" s="2">
        <v>0</v>
      </c>
      <c r="AA3797" s="2" t="s">
        <v>163</v>
      </c>
      <c r="AB3797" s="2" t="s">
        <v>21573</v>
      </c>
      <c r="AC3797" s="2">
        <v>0.197260754744711</v>
      </c>
      <c r="AD3797" s="2"/>
      <c r="AE3797" s="2">
        <v>0.137504488787944</v>
      </c>
      <c r="AF3797" s="2">
        <v>1612.81550301171</v>
      </c>
      <c r="AG3797" s="2">
        <v>1008.95441471743</v>
      </c>
      <c r="AH3797" s="5">
        <v>1.5985018544801199</v>
      </c>
      <c r="AI3797" s="5">
        <v>0.67672041784237102</v>
      </c>
      <c r="AJ3797" s="5" t="s">
        <v>139</v>
      </c>
      <c r="AK3797" s="2">
        <v>3.2556040277451799E-2</v>
      </c>
      <c r="AL3797" s="2">
        <v>0.26650967218830601</v>
      </c>
      <c r="AM3797" s="2">
        <v>1256.8095851943499</v>
      </c>
      <c r="AN3797" s="2">
        <v>1172.95585495048</v>
      </c>
      <c r="AO3797" s="2">
        <v>2352.0535499190601</v>
      </c>
      <c r="AP3797" s="2">
        <v>953.22670355255298</v>
      </c>
      <c r="AQ3797" s="2">
        <v>2018.28381308702</v>
      </c>
      <c r="AR3797" s="2">
        <v>1923.56351136681</v>
      </c>
      <c r="AS3797" s="2">
        <v>1028.7873979526</v>
      </c>
      <c r="AT3797" s="2">
        <v>623.63267989562098</v>
      </c>
      <c r="AU3797" s="2">
        <v>1149.0337337592</v>
      </c>
      <c r="AV3797" s="2">
        <v>1222.39350129021</v>
      </c>
      <c r="AW3797" s="2">
        <v>982.04541081512195</v>
      </c>
      <c r="AX3797" s="2">
        <v>1047.83376459183</v>
      </c>
    </row>
    <row r="3798" spans="1:50" x14ac:dyDescent="0.25">
      <c r="A3798" s="2" t="s">
        <v>25151</v>
      </c>
      <c r="B3798" s="2">
        <v>292.22792279207101</v>
      </c>
      <c r="C3798" s="2">
        <v>7.9849666666666703</v>
      </c>
      <c r="D3798" s="2" t="s">
        <v>51</v>
      </c>
      <c r="E3798" s="2" t="s">
        <v>25152</v>
      </c>
      <c r="F3798" s="2">
        <v>1041</v>
      </c>
      <c r="G3798" s="3" t="str">
        <f>HYPERLINK("https://cloud.oebiotech.com/#/lm/network/1041", "https://cloud.oebiotech.com/#/lm/network/1041")</f>
        <v>https://cloud.oebiotech.com/#/lm/network/1041</v>
      </c>
      <c r="H3798" s="2"/>
      <c r="I3798" s="2">
        <v>35210</v>
      </c>
      <c r="J3798" s="2" t="s">
        <v>25153</v>
      </c>
      <c r="K3798" s="2">
        <v>5312684</v>
      </c>
      <c r="L3798" s="2"/>
      <c r="M3798" s="2"/>
      <c r="N3798" s="2"/>
      <c r="O3798" s="2"/>
      <c r="P3798" s="2"/>
      <c r="Q3798" s="2"/>
      <c r="R3798" s="2"/>
      <c r="S3798" s="2" t="s">
        <v>25154</v>
      </c>
      <c r="T3798" s="2" t="s">
        <v>25155</v>
      </c>
      <c r="U3798" s="2" t="s">
        <v>56</v>
      </c>
      <c r="V3798" s="2" t="s">
        <v>145</v>
      </c>
      <c r="W3798" s="2" t="s">
        <v>231</v>
      </c>
      <c r="X3798" s="2" t="s">
        <v>147</v>
      </c>
      <c r="Y3798" s="2">
        <v>38.299999999999997</v>
      </c>
      <c r="Z3798" s="2">
        <v>0</v>
      </c>
      <c r="AA3798" s="2" t="s">
        <v>512</v>
      </c>
      <c r="AB3798" s="2" t="s">
        <v>6458</v>
      </c>
      <c r="AC3798" s="2">
        <v>2.98033974775614</v>
      </c>
      <c r="AD3798" s="2"/>
      <c r="AE3798" s="2">
        <v>0.137260344129257</v>
      </c>
      <c r="AF3798" s="2">
        <v>1007.73714381348</v>
      </c>
      <c r="AG3798" s="2">
        <v>73.682424503206505</v>
      </c>
      <c r="AH3798" s="5">
        <v>13.6767641755548</v>
      </c>
      <c r="AI3798" s="5">
        <v>3.77365503416959</v>
      </c>
      <c r="AJ3798" s="5" t="s">
        <v>139</v>
      </c>
      <c r="AK3798" s="2">
        <v>0.19598435766233599</v>
      </c>
      <c r="AL3798" s="2">
        <v>0.520034656211255</v>
      </c>
      <c r="AM3798" s="2">
        <v>8.559877937157E-6</v>
      </c>
      <c r="AN3798" s="2">
        <v>8.559877937157E-6</v>
      </c>
      <c r="AO3798" s="2">
        <v>2202.6809140404798</v>
      </c>
      <c r="AP3798" s="2">
        <v>8.559877937157E-6</v>
      </c>
      <c r="AQ3798" s="2">
        <v>3843.7419146008701</v>
      </c>
      <c r="AR3798" s="2">
        <v>8.559877937157E-6</v>
      </c>
      <c r="AS3798" s="2">
        <v>89.950687686692305</v>
      </c>
      <c r="AT3798" s="2">
        <v>8.559877937157E-6</v>
      </c>
      <c r="AU3798" s="2">
        <v>352.14382509303499</v>
      </c>
      <c r="AV3798" s="2">
        <v>8.559877937157E-6</v>
      </c>
      <c r="AW3798" s="2">
        <v>8.559877937157E-6</v>
      </c>
      <c r="AX3798" s="2">
        <v>8.559877937157E-6</v>
      </c>
    </row>
    <row r="3799" spans="1:50" x14ac:dyDescent="0.25">
      <c r="A3799" s="2" t="s">
        <v>25156</v>
      </c>
      <c r="B3799" s="2">
        <v>317.18692584133402</v>
      </c>
      <c r="C3799" s="2">
        <v>5.7962499999999997</v>
      </c>
      <c r="D3799" s="2" t="s">
        <v>51</v>
      </c>
      <c r="E3799" s="2" t="s">
        <v>25157</v>
      </c>
      <c r="F3799" s="2">
        <v>210595</v>
      </c>
      <c r="G3799" s="3" t="str">
        <f>HYPERLINK("https://cloud.oebiotech.com/#/lm/network/210595", "https://cloud.oebiotech.com/#/lm/network/210595")</f>
        <v>https://cloud.oebiotech.com/#/lm/network/210595</v>
      </c>
      <c r="H3799" s="2" t="s">
        <v>25158</v>
      </c>
      <c r="I3799" s="2">
        <v>43472</v>
      </c>
      <c r="J3799" s="2"/>
      <c r="K3799" s="2">
        <v>4922</v>
      </c>
      <c r="L3799" s="2"/>
      <c r="M3799" s="2"/>
      <c r="N3799" s="2"/>
      <c r="O3799" s="2">
        <v>32058</v>
      </c>
      <c r="P3799" s="2"/>
      <c r="Q3799" s="2"/>
      <c r="R3799" s="2" t="s">
        <v>25159</v>
      </c>
      <c r="S3799" s="2" t="s">
        <v>25160</v>
      </c>
      <c r="T3799" s="2" t="s">
        <v>25161</v>
      </c>
      <c r="U3799" s="2" t="s">
        <v>103</v>
      </c>
      <c r="V3799" s="2" t="s">
        <v>104</v>
      </c>
      <c r="W3799" s="2" t="s">
        <v>105</v>
      </c>
      <c r="X3799" s="2" t="s">
        <v>147</v>
      </c>
      <c r="Y3799" s="2">
        <v>41.9</v>
      </c>
      <c r="Z3799" s="2">
        <v>16.100000000000001</v>
      </c>
      <c r="AA3799" s="2" t="s">
        <v>156</v>
      </c>
      <c r="AB3799" s="2" t="s">
        <v>25162</v>
      </c>
      <c r="AC3799" s="2">
        <v>2.86295760030603</v>
      </c>
      <c r="AD3799" s="2"/>
      <c r="AE3799" s="2">
        <v>0.13718720986810501</v>
      </c>
      <c r="AF3799" s="2">
        <v>2872.2602391588298</v>
      </c>
      <c r="AG3799" s="2">
        <v>1890.99774223181</v>
      </c>
      <c r="AH3799" s="5">
        <v>1.5189125692815</v>
      </c>
      <c r="AI3799" s="5">
        <v>0.60303882869832104</v>
      </c>
      <c r="AJ3799" s="5" t="s">
        <v>139</v>
      </c>
      <c r="AK3799" s="2">
        <v>0.17088597751359999</v>
      </c>
      <c r="AL3799" s="2">
        <v>0.49169783309187098</v>
      </c>
      <c r="AM3799" s="2">
        <v>2914.25976311762</v>
      </c>
      <c r="AN3799" s="2">
        <v>4270.2221897170302</v>
      </c>
      <c r="AO3799" s="2">
        <v>1844.1022380685299</v>
      </c>
      <c r="AP3799" s="2">
        <v>3398.3481529273899</v>
      </c>
      <c r="AQ3799" s="2">
        <v>2205.3038873609698</v>
      </c>
      <c r="AR3799" s="2">
        <v>2601.3252037614602</v>
      </c>
      <c r="AS3799" s="2">
        <v>3123.2317262085198</v>
      </c>
      <c r="AT3799" s="2">
        <v>1496.0341117550599</v>
      </c>
      <c r="AU3799" s="2">
        <v>476.71082701259002</v>
      </c>
      <c r="AV3799" s="2">
        <v>239.36767326400599</v>
      </c>
      <c r="AW3799" s="2">
        <v>3542.0676588414899</v>
      </c>
      <c r="AX3799" s="2">
        <v>2468.5744563091698</v>
      </c>
    </row>
    <row r="3800" spans="1:50" x14ac:dyDescent="0.25">
      <c r="A3800" s="2" t="s">
        <v>25163</v>
      </c>
      <c r="B3800" s="2">
        <v>269.13948353563097</v>
      </c>
      <c r="C3800" s="2">
        <v>6.3512500000000003</v>
      </c>
      <c r="D3800" s="2" t="s">
        <v>51</v>
      </c>
      <c r="E3800" s="2" t="s">
        <v>25164</v>
      </c>
      <c r="F3800" s="2">
        <v>56969</v>
      </c>
      <c r="G3800" s="3" t="str">
        <f>HYPERLINK("https://cloud.oebiotech.com/#/lm/network/56969", "https://cloud.oebiotech.com/#/lm/network/56969")</f>
        <v>https://cloud.oebiotech.com/#/lm/network/56969</v>
      </c>
      <c r="H3800" s="2" t="s">
        <v>25165</v>
      </c>
      <c r="I3800" s="2">
        <v>88627</v>
      </c>
      <c r="J3800" s="2"/>
      <c r="K3800" s="2">
        <v>9920924</v>
      </c>
      <c r="L3800" s="2"/>
      <c r="M3800" s="2"/>
      <c r="N3800" s="2"/>
      <c r="O3800" s="2">
        <v>168292</v>
      </c>
      <c r="P3800" s="2"/>
      <c r="Q3800" s="2"/>
      <c r="R3800" s="2" t="s">
        <v>25166</v>
      </c>
      <c r="S3800" s="2" t="s">
        <v>25167</v>
      </c>
      <c r="T3800" s="2" t="s">
        <v>25168</v>
      </c>
      <c r="U3800" s="2" t="s">
        <v>266</v>
      </c>
      <c r="V3800" s="2" t="s">
        <v>4491</v>
      </c>
      <c r="W3800" s="2" t="s">
        <v>240</v>
      </c>
      <c r="X3800" s="2" t="s">
        <v>83</v>
      </c>
      <c r="Y3800" s="2">
        <v>45.8</v>
      </c>
      <c r="Z3800" s="2">
        <v>25.5</v>
      </c>
      <c r="AA3800" s="2" t="s">
        <v>218</v>
      </c>
      <c r="AB3800" s="2" t="s">
        <v>14864</v>
      </c>
      <c r="AC3800" s="2">
        <v>0.161351610192419</v>
      </c>
      <c r="AD3800" s="2"/>
      <c r="AE3800" s="2">
        <v>0.13716667669793101</v>
      </c>
      <c r="AF3800" s="2">
        <v>1400.3224016250399</v>
      </c>
      <c r="AG3800" s="2">
        <v>873.34562495303999</v>
      </c>
      <c r="AH3800" s="5">
        <v>1.6034000304293401</v>
      </c>
      <c r="AI3800" s="5">
        <v>0.68113440672632797</v>
      </c>
      <c r="AJ3800" s="5" t="s">
        <v>139</v>
      </c>
      <c r="AK3800" s="2">
        <v>0.14923818181916701</v>
      </c>
      <c r="AL3800" s="2">
        <v>0.47029038506390403</v>
      </c>
      <c r="AM3800" s="2">
        <v>2279.3882854457802</v>
      </c>
      <c r="AN3800" s="2">
        <v>1765.8921798659101</v>
      </c>
      <c r="AO3800" s="2">
        <v>777.65577157520397</v>
      </c>
      <c r="AP3800" s="2">
        <v>628.18658834708594</v>
      </c>
      <c r="AQ3800" s="2">
        <v>1680.46663114993</v>
      </c>
      <c r="AR3800" s="2">
        <v>1270.3449533663199</v>
      </c>
      <c r="AS3800" s="2">
        <v>965.21456566661595</v>
      </c>
      <c r="AT3800" s="2">
        <v>172.64750271355399</v>
      </c>
      <c r="AU3800" s="2">
        <v>1716.53030366241</v>
      </c>
      <c r="AV3800" s="2">
        <v>465.40731731963899</v>
      </c>
      <c r="AW3800" s="2">
        <v>1092.36367524907</v>
      </c>
      <c r="AX3800" s="2">
        <v>827.91038510695103</v>
      </c>
    </row>
    <row r="3801" spans="1:50" x14ac:dyDescent="0.25">
      <c r="A3801" s="2" t="s">
        <v>25169</v>
      </c>
      <c r="B3801" s="2">
        <v>278.12445046267698</v>
      </c>
      <c r="C3801" s="2">
        <v>0.97829999999999995</v>
      </c>
      <c r="D3801" s="2" t="s">
        <v>51</v>
      </c>
      <c r="E3801" s="2" t="s">
        <v>25170</v>
      </c>
      <c r="F3801" s="2">
        <v>206980</v>
      </c>
      <c r="G3801" s="3" t="str">
        <f>HYPERLINK("https://cloud.oebiotech.com/#/lm/network/206980", "https://cloud.oebiotech.com/#/lm/network/206980")</f>
        <v>https://cloud.oebiotech.com/#/lm/network/206980</v>
      </c>
      <c r="H3801" s="2" t="s">
        <v>25171</v>
      </c>
      <c r="I3801" s="2"/>
      <c r="J3801" s="2"/>
      <c r="K3801" s="2">
        <v>59121301</v>
      </c>
      <c r="L3801" s="2"/>
      <c r="M3801" s="2"/>
      <c r="N3801" s="2"/>
      <c r="O3801" s="2"/>
      <c r="P3801" s="2"/>
      <c r="Q3801" s="2"/>
      <c r="R3801" s="2"/>
      <c r="S3801" s="2" t="s">
        <v>25172</v>
      </c>
      <c r="T3801" s="2" t="s">
        <v>25173</v>
      </c>
      <c r="U3801" s="2" t="s">
        <v>103</v>
      </c>
      <c r="V3801" s="2" t="s">
        <v>104</v>
      </c>
      <c r="W3801" s="2" t="s">
        <v>105</v>
      </c>
      <c r="X3801" s="2" t="s">
        <v>147</v>
      </c>
      <c r="Y3801" s="2">
        <v>40</v>
      </c>
      <c r="Z3801" s="2">
        <v>13.5</v>
      </c>
      <c r="AA3801" s="2" t="s">
        <v>163</v>
      </c>
      <c r="AB3801" s="2" t="s">
        <v>11209</v>
      </c>
      <c r="AC3801" s="2">
        <v>-0.26912201528414398</v>
      </c>
      <c r="AD3801" s="2"/>
      <c r="AE3801" s="2">
        <v>0.13708494824058701</v>
      </c>
      <c r="AF3801" s="2">
        <v>1177.9358528048499</v>
      </c>
      <c r="AG3801" s="2">
        <v>1976.08276358577</v>
      </c>
      <c r="AH3801" s="4">
        <v>0.59609641585425699</v>
      </c>
      <c r="AI3801" s="4">
        <v>-0.74638239603732803</v>
      </c>
      <c r="AJ3801" s="4" t="s">
        <v>62</v>
      </c>
      <c r="AK3801" s="2">
        <v>0.425009272129245</v>
      </c>
      <c r="AL3801" s="2">
        <v>0.68400109748748406</v>
      </c>
      <c r="AM3801" s="2">
        <v>8.559877937157E-6</v>
      </c>
      <c r="AN3801" s="2">
        <v>2032.8674881617101</v>
      </c>
      <c r="AO3801" s="2">
        <v>641.13738627013902</v>
      </c>
      <c r="AP3801" s="2">
        <v>8.559877937157E-6</v>
      </c>
      <c r="AQ3801" s="2">
        <v>283.31025569883298</v>
      </c>
      <c r="AR3801" s="2">
        <v>4110.2999695786702</v>
      </c>
      <c r="AS3801" s="2">
        <v>3827.06936346065</v>
      </c>
      <c r="AT3801" s="2">
        <v>1546.4802223663401</v>
      </c>
      <c r="AU3801" s="2">
        <v>8.559877937157E-6</v>
      </c>
      <c r="AV3801" s="2">
        <v>4146.1158511357298</v>
      </c>
      <c r="AW3801" s="2">
        <v>494.72110843236197</v>
      </c>
      <c r="AX3801" s="2">
        <v>1842.11002755964</v>
      </c>
    </row>
    <row r="3802" spans="1:50" x14ac:dyDescent="0.25">
      <c r="A3802" s="2" t="s">
        <v>25174</v>
      </c>
      <c r="B3802" s="2">
        <v>341.06191762396401</v>
      </c>
      <c r="C3802" s="2">
        <v>7.9430833333333304</v>
      </c>
      <c r="D3802" s="2" t="s">
        <v>51</v>
      </c>
      <c r="E3802" s="2" t="s">
        <v>25175</v>
      </c>
      <c r="F3802" s="2">
        <v>201841</v>
      </c>
      <c r="G3802" s="3" t="str">
        <f>HYPERLINK("https://cloud.oebiotech.com/#/lm/network/201841", "https://cloud.oebiotech.com/#/lm/network/201841")</f>
        <v>https://cloud.oebiotech.com/#/lm/network/201841</v>
      </c>
      <c r="H3802" s="2" t="s">
        <v>25176</v>
      </c>
      <c r="I3802" s="2">
        <v>70041</v>
      </c>
      <c r="J3802" s="2"/>
      <c r="K3802" s="2">
        <v>6269</v>
      </c>
      <c r="L3802" s="2" t="s">
        <v>25177</v>
      </c>
      <c r="M3802" s="2"/>
      <c r="N3802" s="2"/>
      <c r="O3802" s="2">
        <v>34435</v>
      </c>
      <c r="P3802" s="2"/>
      <c r="Q3802" s="2"/>
      <c r="R3802" s="2" t="s">
        <v>25178</v>
      </c>
      <c r="S3802" s="2" t="s">
        <v>25179</v>
      </c>
      <c r="T3802" s="2" t="s">
        <v>25180</v>
      </c>
      <c r="U3802" s="2" t="s">
        <v>610</v>
      </c>
      <c r="V3802" s="2" t="s">
        <v>611</v>
      </c>
      <c r="W3802" s="2" t="s">
        <v>6372</v>
      </c>
      <c r="X3802" s="2" t="s">
        <v>147</v>
      </c>
      <c r="Y3802" s="2">
        <v>37.6</v>
      </c>
      <c r="Z3802" s="2">
        <v>0</v>
      </c>
      <c r="AA3802" s="2" t="s">
        <v>478</v>
      </c>
      <c r="AB3802" s="2" t="s">
        <v>25181</v>
      </c>
      <c r="AC3802" s="2">
        <v>-4.6920378471858397</v>
      </c>
      <c r="AD3802" s="2"/>
      <c r="AE3802" s="2">
        <v>0.137047480477753</v>
      </c>
      <c r="AF3802" s="2">
        <v>2887.5240286532098</v>
      </c>
      <c r="AG3802" s="2">
        <v>3392.3583187098702</v>
      </c>
      <c r="AH3802" s="4">
        <v>0.85118485648395503</v>
      </c>
      <c r="AI3802" s="4">
        <v>-0.23245561095362199</v>
      </c>
      <c r="AJ3802" s="4" t="s">
        <v>62</v>
      </c>
      <c r="AK3802" s="2">
        <v>0.108715287389202</v>
      </c>
      <c r="AL3802" s="2">
        <v>0.420407201347063</v>
      </c>
      <c r="AM3802" s="2">
        <v>2685.2114221495999</v>
      </c>
      <c r="AN3802" s="2">
        <v>2623.3449037096502</v>
      </c>
      <c r="AO3802" s="2">
        <v>2867.0032059963501</v>
      </c>
      <c r="AP3802" s="2">
        <v>3361.2891174848901</v>
      </c>
      <c r="AQ3802" s="2">
        <v>3124.5404422445799</v>
      </c>
      <c r="AR3802" s="2">
        <v>2663.7550803342001</v>
      </c>
      <c r="AS3802" s="2">
        <v>3292.7173801828499</v>
      </c>
      <c r="AT3802" s="2">
        <v>3448.75198840024</v>
      </c>
      <c r="AU3802" s="2">
        <v>2539.7087290918298</v>
      </c>
      <c r="AV3802" s="2">
        <v>3864.1690756671901</v>
      </c>
      <c r="AW3802" s="2">
        <v>2907.6997679364199</v>
      </c>
      <c r="AX3802" s="2">
        <v>4301.1029709806999</v>
      </c>
    </row>
    <row r="3803" spans="1:50" x14ac:dyDescent="0.25">
      <c r="A3803" s="2" t="s">
        <v>25182</v>
      </c>
      <c r="B3803" s="2">
        <v>305.17577175973798</v>
      </c>
      <c r="C3803" s="2">
        <v>9.2956333333333294</v>
      </c>
      <c r="D3803" s="2" t="s">
        <v>51</v>
      </c>
      <c r="E3803" s="2" t="s">
        <v>25183</v>
      </c>
      <c r="F3803" s="2">
        <v>52079</v>
      </c>
      <c r="G3803" s="3" t="str">
        <f>HYPERLINK("https://cloud.oebiotech.com/#/lm/network/52079", "https://cloud.oebiotech.com/#/lm/network/52079")</f>
        <v>https://cloud.oebiotech.com/#/lm/network/52079</v>
      </c>
      <c r="H3803" s="2" t="s">
        <v>25184</v>
      </c>
      <c r="I3803" s="2"/>
      <c r="J3803" s="2"/>
      <c r="K3803" s="2">
        <v>134159052</v>
      </c>
      <c r="L3803" s="2"/>
      <c r="M3803" s="2"/>
      <c r="N3803" s="2"/>
      <c r="O3803" s="2"/>
      <c r="P3803" s="2"/>
      <c r="Q3803" s="2"/>
      <c r="R3803" s="2" t="s">
        <v>25185</v>
      </c>
      <c r="S3803" s="2" t="s">
        <v>25186</v>
      </c>
      <c r="T3803" s="2" t="s">
        <v>25187</v>
      </c>
      <c r="U3803" s="2" t="s">
        <v>266</v>
      </c>
      <c r="V3803" s="2" t="s">
        <v>1785</v>
      </c>
      <c r="W3803" s="2" t="s">
        <v>1786</v>
      </c>
      <c r="X3803" s="2" t="s">
        <v>83</v>
      </c>
      <c r="Y3803" s="2">
        <v>56</v>
      </c>
      <c r="Z3803" s="2">
        <v>0</v>
      </c>
      <c r="AA3803" s="2" t="s">
        <v>163</v>
      </c>
      <c r="AB3803" s="2" t="s">
        <v>25188</v>
      </c>
      <c r="AC3803" s="2">
        <v>-0.19962016262152801</v>
      </c>
      <c r="AD3803" s="2"/>
      <c r="AE3803" s="2">
        <v>0.137021801537935</v>
      </c>
      <c r="AF3803" s="2">
        <v>1199.95529077673</v>
      </c>
      <c r="AG3803" s="2">
        <v>668.00962167132695</v>
      </c>
      <c r="AH3803" s="5">
        <v>1.7963143820810501</v>
      </c>
      <c r="AI3803" s="5">
        <v>0.84503986554524402</v>
      </c>
      <c r="AJ3803" s="5" t="s">
        <v>139</v>
      </c>
      <c r="AK3803" s="2">
        <v>0.13670607834128301</v>
      </c>
      <c r="AL3803" s="2">
        <v>0.45714014015627302</v>
      </c>
      <c r="AM3803" s="2">
        <v>1637.5557764282701</v>
      </c>
      <c r="AN3803" s="2">
        <v>1759.0790492815599</v>
      </c>
      <c r="AO3803" s="2">
        <v>1857.5224790774901</v>
      </c>
      <c r="AP3803" s="2">
        <v>925.59422634239604</v>
      </c>
      <c r="AQ3803" s="2">
        <v>144.89095795662101</v>
      </c>
      <c r="AR3803" s="2">
        <v>875.08925557402597</v>
      </c>
      <c r="AS3803" s="2">
        <v>802.10462381380296</v>
      </c>
      <c r="AT3803" s="2">
        <v>351.80727133495998</v>
      </c>
      <c r="AU3803" s="2">
        <v>1051.14691794328</v>
      </c>
      <c r="AV3803" s="2">
        <v>1294.35130490191</v>
      </c>
      <c r="AW3803" s="2">
        <v>175.82368132653201</v>
      </c>
      <c r="AX3803" s="2">
        <v>332.82393070747798</v>
      </c>
    </row>
    <row r="3804" spans="1:50" x14ac:dyDescent="0.25">
      <c r="A3804" s="2" t="s">
        <v>25189</v>
      </c>
      <c r="B3804" s="2">
        <v>382.181790746015</v>
      </c>
      <c r="C3804" s="2">
        <v>13.3055</v>
      </c>
      <c r="D3804" s="2" t="s">
        <v>51</v>
      </c>
      <c r="E3804" s="2" t="s">
        <v>25190</v>
      </c>
      <c r="F3804" s="2">
        <v>211220</v>
      </c>
      <c r="G3804" s="3" t="str">
        <f>HYPERLINK("https://cloud.oebiotech.com/#/lm/network/211220", "https://cloud.oebiotech.com/#/lm/network/211220")</f>
        <v>https://cloud.oebiotech.com/#/lm/network/211220</v>
      </c>
      <c r="H3804" s="2" t="s">
        <v>25191</v>
      </c>
      <c r="I3804" s="2"/>
      <c r="J3804" s="2"/>
      <c r="K3804" s="2">
        <v>11741772</v>
      </c>
      <c r="L3804" s="2"/>
      <c r="M3804" s="2"/>
      <c r="N3804" s="2"/>
      <c r="O3804" s="2"/>
      <c r="P3804" s="2"/>
      <c r="Q3804" s="2"/>
      <c r="R3804" s="2"/>
      <c r="S3804" s="2" t="s">
        <v>25192</v>
      </c>
      <c r="T3804" s="2" t="s">
        <v>25193</v>
      </c>
      <c r="U3804" s="2" t="s">
        <v>266</v>
      </c>
      <c r="V3804" s="2" t="s">
        <v>267</v>
      </c>
      <c r="W3804" s="2" t="s">
        <v>268</v>
      </c>
      <c r="X3804" s="2" t="s">
        <v>147</v>
      </c>
      <c r="Y3804" s="2">
        <v>37.1</v>
      </c>
      <c r="Z3804" s="2">
        <v>0</v>
      </c>
      <c r="AA3804" s="2" t="s">
        <v>379</v>
      </c>
      <c r="AB3804" s="2" t="s">
        <v>25194</v>
      </c>
      <c r="AC3804" s="2">
        <v>1.3413206892665299</v>
      </c>
      <c r="AD3804" s="2"/>
      <c r="AE3804" s="2">
        <v>0.137021523069221</v>
      </c>
      <c r="AF3804" s="2">
        <v>5390.7531065569901</v>
      </c>
      <c r="AG3804" s="2">
        <v>6601.8301663074699</v>
      </c>
      <c r="AH3804" s="4">
        <v>0.81655434489496204</v>
      </c>
      <c r="AI3804" s="4">
        <v>-0.29237918889049203</v>
      </c>
      <c r="AJ3804" s="4" t="s">
        <v>62</v>
      </c>
      <c r="AK3804" s="2">
        <v>0.174883535262713</v>
      </c>
      <c r="AL3804" s="2">
        <v>0.49582791422358302</v>
      </c>
      <c r="AM3804" s="2">
        <v>6503.1070451261103</v>
      </c>
      <c r="AN3804" s="2">
        <v>5070.5896121778596</v>
      </c>
      <c r="AO3804" s="2">
        <v>3362.52572939333</v>
      </c>
      <c r="AP3804" s="2">
        <v>4870.1973094409104</v>
      </c>
      <c r="AQ3804" s="2">
        <v>5291.4613160720501</v>
      </c>
      <c r="AR3804" s="2">
        <v>7246.6376271316703</v>
      </c>
      <c r="AS3804" s="2">
        <v>5533.1568117818097</v>
      </c>
      <c r="AT3804" s="2">
        <v>7000.0100594305304</v>
      </c>
      <c r="AU3804" s="2">
        <v>9208.4204724045394</v>
      </c>
      <c r="AV3804" s="2">
        <v>4774.5466090701902</v>
      </c>
      <c r="AW3804" s="2">
        <v>6629.9160988345902</v>
      </c>
      <c r="AX3804" s="2">
        <v>6464.9309463231302</v>
      </c>
    </row>
    <row r="3805" spans="1:50" x14ac:dyDescent="0.25">
      <c r="A3805" s="2" t="s">
        <v>25195</v>
      </c>
      <c r="B3805" s="2">
        <v>290.13204111086998</v>
      </c>
      <c r="C3805" s="2">
        <v>3.7524500000000001</v>
      </c>
      <c r="D3805" s="2" t="s">
        <v>51</v>
      </c>
      <c r="E3805" s="2" t="s">
        <v>25196</v>
      </c>
      <c r="F3805" s="2">
        <v>212723</v>
      </c>
      <c r="G3805" s="3" t="str">
        <f>HYPERLINK("https://cloud.oebiotech.com/#/lm/network/212723", "https://cloud.oebiotech.com/#/lm/network/212723")</f>
        <v>https://cloud.oebiotech.com/#/lm/network/212723</v>
      </c>
      <c r="H3805" s="2" t="s">
        <v>25197</v>
      </c>
      <c r="I3805" s="2"/>
      <c r="J3805" s="2"/>
      <c r="K3805" s="2"/>
      <c r="L3805" s="2"/>
      <c r="M3805" s="2"/>
      <c r="N3805" s="2"/>
      <c r="O3805" s="2">
        <v>136185</v>
      </c>
      <c r="P3805" s="2"/>
      <c r="Q3805" s="2"/>
      <c r="R3805" s="2"/>
      <c r="S3805" s="2" t="s">
        <v>25198</v>
      </c>
      <c r="T3805" s="2" t="s">
        <v>25199</v>
      </c>
      <c r="U3805" s="2" t="s">
        <v>119</v>
      </c>
      <c r="V3805" s="2" t="s">
        <v>120</v>
      </c>
      <c r="W3805" s="2" t="s">
        <v>1887</v>
      </c>
      <c r="X3805" s="2" t="s">
        <v>147</v>
      </c>
      <c r="Y3805" s="2">
        <v>36.299999999999997</v>
      </c>
      <c r="Z3805" s="2">
        <v>0</v>
      </c>
      <c r="AA3805" s="2" t="s">
        <v>95</v>
      </c>
      <c r="AB3805" s="2" t="s">
        <v>25200</v>
      </c>
      <c r="AC3805" s="2">
        <v>2.3722315728113799</v>
      </c>
      <c r="AD3805" s="2"/>
      <c r="AE3805" s="2">
        <v>0.13701580679068301</v>
      </c>
      <c r="AF3805" s="2">
        <v>3776.8073587151298</v>
      </c>
      <c r="AG3805" s="2">
        <v>2572.9240743994501</v>
      </c>
      <c r="AH3805" s="5">
        <v>1.4679047066698501</v>
      </c>
      <c r="AI3805" s="5">
        <v>0.55375831445008294</v>
      </c>
      <c r="AJ3805" s="5" t="s">
        <v>139</v>
      </c>
      <c r="AK3805" s="2">
        <v>0.40365845791133698</v>
      </c>
      <c r="AL3805" s="2">
        <v>0.67054288321757405</v>
      </c>
      <c r="AM3805" s="2">
        <v>4852.50181761977</v>
      </c>
      <c r="AN3805" s="2">
        <v>2253.1116826232601</v>
      </c>
      <c r="AO3805" s="2">
        <v>6056.84148162983</v>
      </c>
      <c r="AP3805" s="2">
        <v>982.78257789173404</v>
      </c>
      <c r="AQ3805" s="2">
        <v>1264.5708067097801</v>
      </c>
      <c r="AR3805" s="2">
        <v>7251.0357858164098</v>
      </c>
      <c r="AS3805" s="2">
        <v>485.11560736251403</v>
      </c>
      <c r="AT3805" s="2">
        <v>631.26939861393805</v>
      </c>
      <c r="AU3805" s="2">
        <v>2627.7229290013802</v>
      </c>
      <c r="AV3805" s="2">
        <v>5323.6260478099903</v>
      </c>
      <c r="AW3805" s="2">
        <v>4897.9028570295204</v>
      </c>
      <c r="AX3805" s="2">
        <v>1471.9076065793799</v>
      </c>
    </row>
    <row r="3806" spans="1:50" x14ac:dyDescent="0.25">
      <c r="A3806" s="2" t="s">
        <v>25201</v>
      </c>
      <c r="B3806" s="2">
        <v>367.28456085003199</v>
      </c>
      <c r="C3806" s="2">
        <v>11.5544166666667</v>
      </c>
      <c r="D3806" s="2" t="s">
        <v>51</v>
      </c>
      <c r="E3806" s="2" t="s">
        <v>25202</v>
      </c>
      <c r="F3806" s="2">
        <v>1712</v>
      </c>
      <c r="G3806" s="3" t="str">
        <f>HYPERLINK("https://cloud.oebiotech.com/#/lm/network/1712", "https://cloud.oebiotech.com/#/lm/network/1712")</f>
        <v>https://cloud.oebiotech.com/#/lm/network/1712</v>
      </c>
      <c r="H3806" s="2"/>
      <c r="I3806" s="2">
        <v>35472</v>
      </c>
      <c r="J3806" s="2" t="s">
        <v>25203</v>
      </c>
      <c r="K3806" s="2">
        <v>5282932</v>
      </c>
      <c r="L3806" s="2"/>
      <c r="M3806" s="2"/>
      <c r="N3806" s="2"/>
      <c r="O3806" s="2"/>
      <c r="P3806" s="2"/>
      <c r="Q3806" s="2"/>
      <c r="R3806" s="2"/>
      <c r="S3806" s="2" t="s">
        <v>25204</v>
      </c>
      <c r="T3806" s="2" t="s">
        <v>25205</v>
      </c>
      <c r="U3806" s="2" t="s">
        <v>56</v>
      </c>
      <c r="V3806" s="2" t="s">
        <v>145</v>
      </c>
      <c r="W3806" s="2" t="s">
        <v>231</v>
      </c>
      <c r="X3806" s="2" t="s">
        <v>83</v>
      </c>
      <c r="Y3806" s="2">
        <v>46.4</v>
      </c>
      <c r="Z3806" s="2">
        <v>0</v>
      </c>
      <c r="AA3806" s="2" t="s">
        <v>95</v>
      </c>
      <c r="AB3806" s="2" t="s">
        <v>5195</v>
      </c>
      <c r="AC3806" s="2">
        <v>7.7852632510294004</v>
      </c>
      <c r="AD3806" s="2"/>
      <c r="AE3806" s="2">
        <v>0.13700193928172999</v>
      </c>
      <c r="AF3806" s="2">
        <v>2641.72747561302</v>
      </c>
      <c r="AG3806" s="2">
        <v>1713.54290612146</v>
      </c>
      <c r="AH3806" s="5">
        <v>1.54167570953474</v>
      </c>
      <c r="AI3806" s="5">
        <v>0.62449932721871204</v>
      </c>
      <c r="AJ3806" s="5" t="s">
        <v>139</v>
      </c>
      <c r="AK3806" s="2">
        <v>0.21381001423698101</v>
      </c>
      <c r="AL3806" s="2">
        <v>0.53768212145991301</v>
      </c>
      <c r="AM3806" s="2">
        <v>2030.07665863854</v>
      </c>
      <c r="AN3806" s="2">
        <v>4600.7834524275504</v>
      </c>
      <c r="AO3806" s="2">
        <v>1745.8546746859699</v>
      </c>
      <c r="AP3806" s="2">
        <v>3233.64026547401</v>
      </c>
      <c r="AQ3806" s="2">
        <v>3544.78989230259</v>
      </c>
      <c r="AR3806" s="2">
        <v>695.21991014945195</v>
      </c>
      <c r="AS3806" s="2">
        <v>2034.74478893278</v>
      </c>
      <c r="AT3806" s="2">
        <v>2664.1789428705802</v>
      </c>
      <c r="AU3806" s="2">
        <v>175.537114270378</v>
      </c>
      <c r="AV3806" s="2">
        <v>879.93579293508196</v>
      </c>
      <c r="AW3806" s="2">
        <v>2368.6083303290102</v>
      </c>
      <c r="AX3806" s="2">
        <v>2158.2524673909002</v>
      </c>
    </row>
    <row r="3807" spans="1:50" x14ac:dyDescent="0.25">
      <c r="A3807" s="2" t="s">
        <v>25206</v>
      </c>
      <c r="B3807" s="2">
        <v>383.31692907359701</v>
      </c>
      <c r="C3807" s="2">
        <v>14.801299999999999</v>
      </c>
      <c r="D3807" s="2" t="s">
        <v>51</v>
      </c>
      <c r="E3807" s="2" t="s">
        <v>25207</v>
      </c>
      <c r="F3807" s="2">
        <v>255255</v>
      </c>
      <c r="G3807" s="3" t="str">
        <f>HYPERLINK("https://cloud.oebiotech.com/#/lm/network/255255", "https://cloud.oebiotech.com/#/lm/network/255255")</f>
        <v>https://cloud.oebiotech.com/#/lm/network/255255</v>
      </c>
      <c r="H3807" s="2" t="s">
        <v>25208</v>
      </c>
      <c r="I3807" s="2"/>
      <c r="J3807" s="2"/>
      <c r="K3807" s="2">
        <v>6433893</v>
      </c>
      <c r="L3807" s="2"/>
      <c r="M3807" s="2"/>
      <c r="N3807" s="2"/>
      <c r="O3807" s="2"/>
      <c r="P3807" s="2"/>
      <c r="Q3807" s="2"/>
      <c r="R3807" s="2"/>
      <c r="S3807" s="2" t="s">
        <v>25209</v>
      </c>
      <c r="T3807" s="2" t="s">
        <v>25210</v>
      </c>
      <c r="U3807" s="2" t="s">
        <v>56</v>
      </c>
      <c r="V3807" s="2" t="s">
        <v>145</v>
      </c>
      <c r="W3807" s="2" t="s">
        <v>231</v>
      </c>
      <c r="X3807" s="2" t="s">
        <v>83</v>
      </c>
      <c r="Y3807" s="2">
        <v>52.7</v>
      </c>
      <c r="Z3807" s="2">
        <v>0</v>
      </c>
      <c r="AA3807" s="2" t="s">
        <v>218</v>
      </c>
      <c r="AB3807" s="2" t="s">
        <v>25211</v>
      </c>
      <c r="AC3807" s="2">
        <v>0.72599503560681899</v>
      </c>
      <c r="AD3807" s="2"/>
      <c r="AE3807" s="2">
        <v>0.13685638736597899</v>
      </c>
      <c r="AF3807" s="2">
        <v>1342.95489622179</v>
      </c>
      <c r="AG3807" s="2">
        <v>1964.7378623459299</v>
      </c>
      <c r="AH3807" s="4">
        <v>0.683528791275128</v>
      </c>
      <c r="AI3807" s="4">
        <v>-0.54892598726080499</v>
      </c>
      <c r="AJ3807" s="4" t="s">
        <v>62</v>
      </c>
      <c r="AK3807" s="2">
        <v>0.122634252029915</v>
      </c>
      <c r="AL3807" s="2">
        <v>0.44047290513653697</v>
      </c>
      <c r="AM3807" s="2">
        <v>860.87787882981002</v>
      </c>
      <c r="AN3807" s="2">
        <v>1116.3282079543501</v>
      </c>
      <c r="AO3807" s="2">
        <v>1098.0283898045</v>
      </c>
      <c r="AP3807" s="2">
        <v>1443.0125316326501</v>
      </c>
      <c r="AQ3807" s="2">
        <v>1909.1234711873999</v>
      </c>
      <c r="AR3807" s="2">
        <v>1630.3588979220499</v>
      </c>
      <c r="AS3807" s="2">
        <v>3260.5172074882798</v>
      </c>
      <c r="AT3807" s="2">
        <v>2705.8737102262698</v>
      </c>
      <c r="AU3807" s="2">
        <v>1589.25702744964</v>
      </c>
      <c r="AV3807" s="2">
        <v>1404.6237987003401</v>
      </c>
      <c r="AW3807" s="2">
        <v>1541.27950939524</v>
      </c>
      <c r="AX3807" s="2">
        <v>1286.8759208158201</v>
      </c>
    </row>
    <row r="3808" spans="1:50" x14ac:dyDescent="0.25">
      <c r="A3808" s="2" t="s">
        <v>25212</v>
      </c>
      <c r="B3808" s="2">
        <v>209.107820648364</v>
      </c>
      <c r="C3808" s="2">
        <v>7.8818000000000001</v>
      </c>
      <c r="D3808" s="2" t="s">
        <v>51</v>
      </c>
      <c r="E3808" s="2" t="s">
        <v>25213</v>
      </c>
      <c r="F3808" s="2">
        <v>201927</v>
      </c>
      <c r="G3808" s="3" t="str">
        <f>HYPERLINK("https://cloud.oebiotech.com/#/lm/network/201927", "https://cloud.oebiotech.com/#/lm/network/201927")</f>
        <v>https://cloud.oebiotech.com/#/lm/network/201927</v>
      </c>
      <c r="H3808" s="2" t="s">
        <v>25214</v>
      </c>
      <c r="I3808" s="2">
        <v>325006</v>
      </c>
      <c r="J3808" s="2"/>
      <c r="K3808" s="2">
        <v>7502</v>
      </c>
      <c r="L3808" s="2"/>
      <c r="M3808" s="2"/>
      <c r="N3808" s="2"/>
      <c r="O3808" s="2"/>
      <c r="P3808" s="2"/>
      <c r="Q3808" s="2"/>
      <c r="R3808" s="2"/>
      <c r="S3808" s="2" t="s">
        <v>25215</v>
      </c>
      <c r="T3808" s="2" t="s">
        <v>25216</v>
      </c>
      <c r="U3808" s="2" t="s">
        <v>266</v>
      </c>
      <c r="V3808" s="2" t="s">
        <v>2143</v>
      </c>
      <c r="W3808" s="2" t="s">
        <v>240</v>
      </c>
      <c r="X3808" s="2" t="s">
        <v>147</v>
      </c>
      <c r="Y3808" s="2">
        <v>38.5</v>
      </c>
      <c r="Z3808" s="2">
        <v>0</v>
      </c>
      <c r="AA3808" s="2" t="s">
        <v>478</v>
      </c>
      <c r="AB3808" s="2" t="s">
        <v>25217</v>
      </c>
      <c r="AC3808" s="2">
        <v>-2.8621289171977899</v>
      </c>
      <c r="AD3808" s="2"/>
      <c r="AE3808" s="2">
        <v>0.136807499321911</v>
      </c>
      <c r="AF3808" s="2">
        <v>1756.74175568332</v>
      </c>
      <c r="AG3808" s="2">
        <v>2994.9556784223801</v>
      </c>
      <c r="AH3808" s="4">
        <v>0.58656686252155399</v>
      </c>
      <c r="AI3808" s="4">
        <v>-0.76963252503048796</v>
      </c>
      <c r="AJ3808" s="4" t="s">
        <v>62</v>
      </c>
      <c r="AK3808" s="2">
        <v>0.15485366591758001</v>
      </c>
      <c r="AL3808" s="2">
        <v>0.47561625170857302</v>
      </c>
      <c r="AM3808" s="2">
        <v>3986.0591108895701</v>
      </c>
      <c r="AN3808" s="2">
        <v>386.35607258964802</v>
      </c>
      <c r="AO3808" s="2">
        <v>2723.5818178179002</v>
      </c>
      <c r="AP3808" s="2">
        <v>8.559877937157E-6</v>
      </c>
      <c r="AQ3808" s="2">
        <v>1188.5690390009299</v>
      </c>
      <c r="AR3808" s="2">
        <v>2255.8844852420202</v>
      </c>
      <c r="AS3808" s="2">
        <v>3662.8676965177501</v>
      </c>
      <c r="AT3808" s="2">
        <v>1894.8293500126099</v>
      </c>
      <c r="AU3808" s="2">
        <v>4753.0865679751796</v>
      </c>
      <c r="AV3808" s="2">
        <v>1964.5466134508699</v>
      </c>
      <c r="AW3808" s="2">
        <v>3878.9252029197</v>
      </c>
      <c r="AX3808" s="2">
        <v>1815.4786396581401</v>
      </c>
    </row>
    <row r="3809" spans="1:50" x14ac:dyDescent="0.25">
      <c r="A3809" s="2" t="s">
        <v>25218</v>
      </c>
      <c r="B3809" s="2">
        <v>172.13366728467801</v>
      </c>
      <c r="C3809" s="2">
        <v>3.73206666666667</v>
      </c>
      <c r="D3809" s="2" t="s">
        <v>51</v>
      </c>
      <c r="E3809" s="2" t="s">
        <v>25219</v>
      </c>
      <c r="F3809" s="2">
        <v>199431</v>
      </c>
      <c r="G3809" s="3" t="str">
        <f>HYPERLINK("https://cloud.oebiotech.com/#/lm/network/199431", "https://cloud.oebiotech.com/#/lm/network/199431")</f>
        <v>https://cloud.oebiotech.com/#/lm/network/199431</v>
      </c>
      <c r="H3809" s="2" t="s">
        <v>25220</v>
      </c>
      <c r="I3809" s="2"/>
      <c r="J3809" s="2"/>
      <c r="K3809" s="2">
        <v>98642</v>
      </c>
      <c r="L3809" s="2"/>
      <c r="M3809" s="2"/>
      <c r="N3809" s="2"/>
      <c r="O3809" s="2"/>
      <c r="P3809" s="2"/>
      <c r="Q3809" s="2"/>
      <c r="R3809" s="2"/>
      <c r="S3809" s="2" t="s">
        <v>25221</v>
      </c>
      <c r="T3809" s="2" t="s">
        <v>25222</v>
      </c>
      <c r="U3809" s="2" t="s">
        <v>266</v>
      </c>
      <c r="V3809" s="2" t="s">
        <v>1742</v>
      </c>
      <c r="W3809" s="2" t="s">
        <v>24042</v>
      </c>
      <c r="X3809" s="2" t="s">
        <v>83</v>
      </c>
      <c r="Y3809" s="2">
        <v>45.7</v>
      </c>
      <c r="Z3809" s="2">
        <v>0</v>
      </c>
      <c r="AA3809" s="2" t="s">
        <v>259</v>
      </c>
      <c r="AB3809" s="2" t="s">
        <v>22172</v>
      </c>
      <c r="AC3809" s="2">
        <v>2.7001376805869302</v>
      </c>
      <c r="AD3809" s="2"/>
      <c r="AE3809" s="2">
        <v>0.13677496533933101</v>
      </c>
      <c r="AF3809" s="2">
        <v>6981.8744987891196</v>
      </c>
      <c r="AG3809" s="2">
        <v>4021.3133011607802</v>
      </c>
      <c r="AH3809" s="5">
        <v>1.7362174931194101</v>
      </c>
      <c r="AI3809" s="5">
        <v>0.795947683145794</v>
      </c>
      <c r="AJ3809" s="5" t="s">
        <v>139</v>
      </c>
      <c r="AK3809" s="2">
        <v>0.51356565800347898</v>
      </c>
      <c r="AL3809" s="2">
        <v>0.74676446523797602</v>
      </c>
      <c r="AM3809" s="2">
        <v>975.90274039880001</v>
      </c>
      <c r="AN3809" s="2">
        <v>1564.1677804240601</v>
      </c>
      <c r="AO3809" s="2">
        <v>1368.96144492864</v>
      </c>
      <c r="AP3809" s="2">
        <v>1950.9260402155001</v>
      </c>
      <c r="AQ3809" s="2">
        <v>28080.303705358601</v>
      </c>
      <c r="AR3809" s="2">
        <v>7950.98528140913</v>
      </c>
      <c r="AS3809" s="2">
        <v>2689.2560285105701</v>
      </c>
      <c r="AT3809" s="2">
        <v>5111.3887484837696</v>
      </c>
      <c r="AU3809" s="2">
        <v>3767.4758091447402</v>
      </c>
      <c r="AV3809" s="2">
        <v>4578.8603408561703</v>
      </c>
      <c r="AW3809" s="2">
        <v>4857.3362126017</v>
      </c>
      <c r="AX3809" s="2">
        <v>3123.5626673677398</v>
      </c>
    </row>
    <row r="3810" spans="1:50" x14ac:dyDescent="0.25">
      <c r="A3810" s="2" t="s">
        <v>25223</v>
      </c>
      <c r="B3810" s="2">
        <v>588.31421735717902</v>
      </c>
      <c r="C3810" s="2">
        <v>4.9764666666666697</v>
      </c>
      <c r="D3810" s="2" t="s">
        <v>51</v>
      </c>
      <c r="E3810" s="2" t="s">
        <v>25224</v>
      </c>
      <c r="F3810" s="2">
        <v>24876</v>
      </c>
      <c r="G3810" s="3" t="str">
        <f>HYPERLINK("https://cloud.oebiotech.com/#/lm/network/24876", "https://cloud.oebiotech.com/#/lm/network/24876")</f>
        <v>https://cloud.oebiotech.com/#/lm/network/24876</v>
      </c>
      <c r="H3810" s="2"/>
      <c r="I3810" s="2"/>
      <c r="J3810" s="2" t="s">
        <v>25225</v>
      </c>
      <c r="K3810" s="2">
        <v>52928604</v>
      </c>
      <c r="L3810" s="2"/>
      <c r="M3810" s="2"/>
      <c r="N3810" s="2"/>
      <c r="O3810" s="2"/>
      <c r="P3810" s="2"/>
      <c r="Q3810" s="2"/>
      <c r="R3810" s="2"/>
      <c r="S3810" s="2" t="s">
        <v>25226</v>
      </c>
      <c r="T3810" s="2" t="s">
        <v>25227</v>
      </c>
      <c r="U3810" s="2" t="s">
        <v>56</v>
      </c>
      <c r="V3810" s="2" t="s">
        <v>57</v>
      </c>
      <c r="W3810" s="2" t="s">
        <v>1097</v>
      </c>
      <c r="X3810" s="2" t="s">
        <v>147</v>
      </c>
      <c r="Y3810" s="2">
        <v>38.299999999999997</v>
      </c>
      <c r="Z3810" s="2">
        <v>0</v>
      </c>
      <c r="AA3810" s="2" t="s">
        <v>512</v>
      </c>
      <c r="AB3810" s="2" t="s">
        <v>25228</v>
      </c>
      <c r="AC3810" s="2">
        <v>-0.213482361840482</v>
      </c>
      <c r="AD3810" s="2"/>
      <c r="AE3810" s="2">
        <v>0.13669863173295099</v>
      </c>
      <c r="AF3810" s="2">
        <v>3718.5322383273101</v>
      </c>
      <c r="AG3810" s="2">
        <v>5025.4228741991001</v>
      </c>
      <c r="AH3810" s="4">
        <v>0.73994414627643301</v>
      </c>
      <c r="AI3810" s="4">
        <v>-0.43451171999869798</v>
      </c>
      <c r="AJ3810" s="4" t="s">
        <v>62</v>
      </c>
      <c r="AK3810" s="2">
        <v>0.63058035229432896</v>
      </c>
      <c r="AL3810" s="2">
        <v>0.81902331034159503</v>
      </c>
      <c r="AM3810" s="2">
        <v>4539.1993969959103</v>
      </c>
      <c r="AN3810" s="2">
        <v>1818.2790050307799</v>
      </c>
      <c r="AO3810" s="2">
        <v>5482.5630476726501</v>
      </c>
      <c r="AP3810" s="2">
        <v>2005.0732081348001</v>
      </c>
      <c r="AQ3810" s="2">
        <v>2403.9105800153102</v>
      </c>
      <c r="AR3810" s="2">
        <v>6062.16819211442</v>
      </c>
      <c r="AS3810" s="2">
        <v>8.559877937157E-6</v>
      </c>
      <c r="AT3810" s="2">
        <v>1043.53819195353</v>
      </c>
      <c r="AU3810" s="2">
        <v>514.68681179865905</v>
      </c>
      <c r="AV3810" s="2">
        <v>10259.0354958972</v>
      </c>
      <c r="AW3810" s="2">
        <v>3357.4592338432499</v>
      </c>
      <c r="AX3810" s="2">
        <v>14977.8175031421</v>
      </c>
    </row>
    <row r="3811" spans="1:50" x14ac:dyDescent="0.25">
      <c r="A3811" s="2" t="s">
        <v>25229</v>
      </c>
      <c r="B3811" s="2">
        <v>363.20980298280199</v>
      </c>
      <c r="C3811" s="2">
        <v>12.363666666666701</v>
      </c>
      <c r="D3811" s="2" t="s">
        <v>51</v>
      </c>
      <c r="E3811" s="2" t="s">
        <v>25230</v>
      </c>
      <c r="F3811" s="2">
        <v>206675</v>
      </c>
      <c r="G3811" s="3" t="str">
        <f>HYPERLINK("https://cloud.oebiotech.com/#/lm/network/206675", "https://cloud.oebiotech.com/#/lm/network/206675")</f>
        <v>https://cloud.oebiotech.com/#/lm/network/206675</v>
      </c>
      <c r="H3811" s="2" t="s">
        <v>25231</v>
      </c>
      <c r="I3811" s="2"/>
      <c r="J3811" s="2"/>
      <c r="K3811" s="2">
        <v>23276756</v>
      </c>
      <c r="L3811" s="2"/>
      <c r="M3811" s="2"/>
      <c r="N3811" s="2"/>
      <c r="O3811" s="2"/>
      <c r="P3811" s="2"/>
      <c r="Q3811" s="2"/>
      <c r="R3811" s="2"/>
      <c r="S3811" s="2" t="s">
        <v>25232</v>
      </c>
      <c r="T3811" s="2" t="s">
        <v>25233</v>
      </c>
      <c r="U3811" s="2" t="s">
        <v>610</v>
      </c>
      <c r="V3811" s="2" t="s">
        <v>611</v>
      </c>
      <c r="W3811" s="2" t="s">
        <v>612</v>
      </c>
      <c r="X3811" s="2" t="s">
        <v>147</v>
      </c>
      <c r="Y3811" s="2">
        <v>36.700000000000003</v>
      </c>
      <c r="Z3811" s="2">
        <v>0</v>
      </c>
      <c r="AA3811" s="2" t="s">
        <v>163</v>
      </c>
      <c r="AB3811" s="2" t="s">
        <v>25234</v>
      </c>
      <c r="AC3811" s="2">
        <v>2.3568321286750402</v>
      </c>
      <c r="AD3811" s="2"/>
      <c r="AE3811" s="2">
        <v>0.136627782058061</v>
      </c>
      <c r="AF3811" s="2">
        <v>2323.0401313101402</v>
      </c>
      <c r="AG3811" s="2">
        <v>3493.8152665407802</v>
      </c>
      <c r="AH3811" s="4">
        <v>0.66490067564739197</v>
      </c>
      <c r="AI3811" s="4">
        <v>-0.58878925119573</v>
      </c>
      <c r="AJ3811" s="4" t="s">
        <v>62</v>
      </c>
      <c r="AK3811" s="2">
        <v>0.35159257383804199</v>
      </c>
      <c r="AL3811" s="2">
        <v>0.64273559662805702</v>
      </c>
      <c r="AM3811" s="2">
        <v>5146.48996470579</v>
      </c>
      <c r="AN3811" s="2">
        <v>1596.26430515691</v>
      </c>
      <c r="AO3811" s="2">
        <v>1479.8633405129201</v>
      </c>
      <c r="AP3811" s="2">
        <v>2148.76713632465</v>
      </c>
      <c r="AQ3811" s="2">
        <v>1795.0269107915699</v>
      </c>
      <c r="AR3811" s="2">
        <v>1771.829130369</v>
      </c>
      <c r="AS3811" s="2">
        <v>1223.1185831990499</v>
      </c>
      <c r="AT3811" s="2">
        <v>1669.31415810007</v>
      </c>
      <c r="AU3811" s="2">
        <v>2356.2339272166801</v>
      </c>
      <c r="AV3811" s="2">
        <v>3859.9785809909699</v>
      </c>
      <c r="AW3811" s="2">
        <v>8324.8001222713392</v>
      </c>
      <c r="AX3811" s="2">
        <v>3529.4462274665898</v>
      </c>
    </row>
    <row r="3812" spans="1:50" x14ac:dyDescent="0.25">
      <c r="A3812" s="2" t="s">
        <v>25235</v>
      </c>
      <c r="B3812" s="2">
        <v>277.09667484614903</v>
      </c>
      <c r="C3812" s="2">
        <v>9.6638500000000001</v>
      </c>
      <c r="D3812" s="2" t="s">
        <v>51</v>
      </c>
      <c r="E3812" s="2" t="s">
        <v>25236</v>
      </c>
      <c r="F3812" s="2">
        <v>256509</v>
      </c>
      <c r="G3812" s="3" t="str">
        <f>HYPERLINK("https://cloud.oebiotech.com/#/lm/network/256509", "https://cloud.oebiotech.com/#/lm/network/256509")</f>
        <v>https://cloud.oebiotech.com/#/lm/network/256509</v>
      </c>
      <c r="H3812" s="2" t="s">
        <v>25237</v>
      </c>
      <c r="I3812" s="2"/>
      <c r="J3812" s="2"/>
      <c r="K3812" s="2"/>
      <c r="L3812" s="2"/>
      <c r="M3812" s="2"/>
      <c r="N3812" s="2"/>
      <c r="O3812" s="2"/>
      <c r="P3812" s="2"/>
      <c r="Q3812" s="2"/>
      <c r="R3812" s="2"/>
      <c r="S3812" s="2" t="s">
        <v>25238</v>
      </c>
      <c r="T3812" s="2" t="s">
        <v>25239</v>
      </c>
      <c r="U3812" s="2" t="s">
        <v>56</v>
      </c>
      <c r="V3812" s="2" t="s">
        <v>145</v>
      </c>
      <c r="W3812" s="2" t="s">
        <v>231</v>
      </c>
      <c r="X3812" s="2" t="s">
        <v>147</v>
      </c>
      <c r="Y3812" s="2">
        <v>36</v>
      </c>
      <c r="Z3812" s="2">
        <v>0</v>
      </c>
      <c r="AA3812" s="2" t="s">
        <v>395</v>
      </c>
      <c r="AB3812" s="2" t="s">
        <v>25240</v>
      </c>
      <c r="AC3812" s="2">
        <v>2.1456108573926901E-2</v>
      </c>
      <c r="AD3812" s="2"/>
      <c r="AE3812" s="2">
        <v>0.136418396006909</v>
      </c>
      <c r="AF3812" s="2">
        <v>1628.6768981278101</v>
      </c>
      <c r="AG3812" s="2">
        <v>2496.5936568001898</v>
      </c>
      <c r="AH3812" s="4">
        <v>0.65235962355813903</v>
      </c>
      <c r="AI3812" s="4">
        <v>-0.61626060268284799</v>
      </c>
      <c r="AJ3812" s="4" t="s">
        <v>62</v>
      </c>
      <c r="AK3812" s="2">
        <v>0.21183926099369099</v>
      </c>
      <c r="AL3812" s="2">
        <v>0.53706865589344099</v>
      </c>
      <c r="AM3812" s="2">
        <v>867.69945226299501</v>
      </c>
      <c r="AN3812" s="2">
        <v>659.03059676554199</v>
      </c>
      <c r="AO3812" s="2">
        <v>2640.6613325481899</v>
      </c>
      <c r="AP3812" s="2">
        <v>1449.88679034651</v>
      </c>
      <c r="AQ3812" s="2">
        <v>3478.9116605375498</v>
      </c>
      <c r="AR3812" s="2">
        <v>675.87155630609095</v>
      </c>
      <c r="AS3812" s="2">
        <v>3349.7515258810099</v>
      </c>
      <c r="AT3812" s="2">
        <v>3322.88396178324</v>
      </c>
      <c r="AU3812" s="2">
        <v>2447.8620634706799</v>
      </c>
      <c r="AV3812" s="2">
        <v>967.09721896573205</v>
      </c>
      <c r="AW3812" s="2">
        <v>1436.5422474387401</v>
      </c>
      <c r="AX3812" s="2">
        <v>3455.4249232617599</v>
      </c>
    </row>
    <row r="3813" spans="1:50" x14ac:dyDescent="0.25">
      <c r="A3813" s="2" t="s">
        <v>25241</v>
      </c>
      <c r="B3813" s="2">
        <v>322.27501220828799</v>
      </c>
      <c r="C3813" s="2">
        <v>9.6834500000000006</v>
      </c>
      <c r="D3813" s="2" t="s">
        <v>51</v>
      </c>
      <c r="E3813" s="2" t="s">
        <v>25242</v>
      </c>
      <c r="F3813" s="2">
        <v>60429</v>
      </c>
      <c r="G3813" s="3" t="str">
        <f>HYPERLINK("https://cloud.oebiotech.com/#/lm/network/60429", "https://cloud.oebiotech.com/#/lm/network/60429")</f>
        <v>https://cloud.oebiotech.com/#/lm/network/60429</v>
      </c>
      <c r="H3813" s="2" t="s">
        <v>25243</v>
      </c>
      <c r="I3813" s="2">
        <v>91781</v>
      </c>
      <c r="J3813" s="2"/>
      <c r="K3813" s="2">
        <v>14191208</v>
      </c>
      <c r="L3813" s="2"/>
      <c r="M3813" s="2"/>
      <c r="N3813" s="2"/>
      <c r="O3813" s="2">
        <v>170113</v>
      </c>
      <c r="P3813" s="2"/>
      <c r="Q3813" s="2"/>
      <c r="R3813" s="2" t="s">
        <v>25244</v>
      </c>
      <c r="S3813" s="2" t="s">
        <v>25245</v>
      </c>
      <c r="T3813" s="2" t="s">
        <v>25246</v>
      </c>
      <c r="U3813" s="2" t="s">
        <v>56</v>
      </c>
      <c r="V3813" s="2" t="s">
        <v>177</v>
      </c>
      <c r="W3813" s="2" t="s">
        <v>178</v>
      </c>
      <c r="X3813" s="2" t="s">
        <v>147</v>
      </c>
      <c r="Y3813" s="2">
        <v>47</v>
      </c>
      <c r="Z3813" s="2">
        <v>42.9</v>
      </c>
      <c r="AA3813" s="2" t="s">
        <v>512</v>
      </c>
      <c r="AB3813" s="2" t="s">
        <v>1794</v>
      </c>
      <c r="AC3813" s="2">
        <v>3.1436109798042202</v>
      </c>
      <c r="AD3813" s="2"/>
      <c r="AE3813" s="2">
        <v>0.13635252317794699</v>
      </c>
      <c r="AF3813" s="2">
        <v>800.85168090690695</v>
      </c>
      <c r="AG3813" s="2">
        <v>3078.3042251673</v>
      </c>
      <c r="AH3813" s="4">
        <v>0.26016001744057099</v>
      </c>
      <c r="AI3813" s="4">
        <v>-1.94252883564659</v>
      </c>
      <c r="AJ3813" s="4" t="s">
        <v>62</v>
      </c>
      <c r="AK3813" s="2">
        <v>0.41026885510965599</v>
      </c>
      <c r="AL3813" s="2">
        <v>0.67528865893707402</v>
      </c>
      <c r="AM3813" s="2">
        <v>529.13442982308595</v>
      </c>
      <c r="AN3813" s="2">
        <v>356.88540024944399</v>
      </c>
      <c r="AO3813" s="2">
        <v>1235.5122100118001</v>
      </c>
      <c r="AP3813" s="2">
        <v>8.559877937157E-6</v>
      </c>
      <c r="AQ3813" s="2">
        <v>2321.30874645019</v>
      </c>
      <c r="AR3813" s="2">
        <v>362.269290347045</v>
      </c>
      <c r="AS3813" s="2">
        <v>136.05830402486399</v>
      </c>
      <c r="AT3813" s="2">
        <v>8.559877937157E-6</v>
      </c>
      <c r="AU3813" s="2">
        <v>16183.1480181523</v>
      </c>
      <c r="AV3813" s="2">
        <v>768.64542963111603</v>
      </c>
      <c r="AW3813" s="2">
        <v>1187.8878030767601</v>
      </c>
      <c r="AX3813" s="2">
        <v>194.085787558878</v>
      </c>
    </row>
    <row r="3814" spans="1:50" x14ac:dyDescent="0.25">
      <c r="A3814" s="2" t="s">
        <v>25247</v>
      </c>
      <c r="B3814" s="2">
        <v>177.102762795323</v>
      </c>
      <c r="C3814" s="2">
        <v>3.2648999999999999</v>
      </c>
      <c r="D3814" s="2" t="s">
        <v>51</v>
      </c>
      <c r="E3814" s="2" t="s">
        <v>25248</v>
      </c>
      <c r="F3814" s="2">
        <v>266263</v>
      </c>
      <c r="G3814" s="3" t="str">
        <f>HYPERLINK("https://cloud.oebiotech.com/#/lm/network/266263", "https://cloud.oebiotech.com/#/lm/network/266263")</f>
        <v>https://cloud.oebiotech.com/#/lm/network/266263</v>
      </c>
      <c r="H3814" s="2"/>
      <c r="I3814" s="2">
        <v>34502</v>
      </c>
      <c r="J3814" s="2"/>
      <c r="K3814" s="2">
        <v>68470</v>
      </c>
      <c r="L3814" s="2"/>
      <c r="M3814" s="2"/>
      <c r="N3814" s="2"/>
      <c r="O3814" s="2"/>
      <c r="P3814" s="2"/>
      <c r="Q3814" s="2"/>
      <c r="R3814" s="2" t="s">
        <v>25249</v>
      </c>
      <c r="S3814" s="2" t="s">
        <v>25250</v>
      </c>
      <c r="T3814" s="2" t="s">
        <v>25251</v>
      </c>
      <c r="U3814" s="2" t="s">
        <v>266</v>
      </c>
      <c r="V3814" s="2" t="s">
        <v>445</v>
      </c>
      <c r="W3814" s="2" t="s">
        <v>446</v>
      </c>
      <c r="X3814" s="2" t="s">
        <v>147</v>
      </c>
      <c r="Y3814" s="2">
        <v>38</v>
      </c>
      <c r="Z3814" s="2">
        <v>0</v>
      </c>
      <c r="AA3814" s="2" t="s">
        <v>512</v>
      </c>
      <c r="AB3814" s="2" t="s">
        <v>5824</v>
      </c>
      <c r="AC3814" s="2">
        <v>3.2901084523592599</v>
      </c>
      <c r="AD3814" s="2"/>
      <c r="AE3814" s="2">
        <v>0.13632139065124399</v>
      </c>
      <c r="AF3814" s="2">
        <v>4556.7060698421401</v>
      </c>
      <c r="AG3814" s="2">
        <v>5292.9629662788502</v>
      </c>
      <c r="AH3814" s="4">
        <v>0.86089891406243402</v>
      </c>
      <c r="AI3814" s="4">
        <v>-0.21608424721003799</v>
      </c>
      <c r="AJ3814" s="4" t="s">
        <v>62</v>
      </c>
      <c r="AK3814" s="2">
        <v>0.22140162003855801</v>
      </c>
      <c r="AL3814" s="2">
        <v>0.54729884027266895</v>
      </c>
      <c r="AM3814" s="2">
        <v>3266.07086971226</v>
      </c>
      <c r="AN3814" s="2">
        <v>5581.7222411448702</v>
      </c>
      <c r="AO3814" s="2">
        <v>4614.01981933359</v>
      </c>
      <c r="AP3814" s="2">
        <v>4535.0872183503698</v>
      </c>
      <c r="AQ3814" s="2">
        <v>4993.8326247585501</v>
      </c>
      <c r="AR3814" s="2">
        <v>4349.5036457532296</v>
      </c>
      <c r="AS3814" s="2">
        <v>6924.5367665128397</v>
      </c>
      <c r="AT3814" s="2">
        <v>5970.73739706387</v>
      </c>
      <c r="AU3814" s="2">
        <v>4428.5065064988003</v>
      </c>
      <c r="AV3814" s="2">
        <v>3820.6937482477401</v>
      </c>
      <c r="AW3814" s="2">
        <v>4772.4736772971901</v>
      </c>
      <c r="AX3814" s="2">
        <v>5840.8297020526898</v>
      </c>
    </row>
    <row r="3815" spans="1:50" x14ac:dyDescent="0.25">
      <c r="A3815" s="2" t="s">
        <v>25252</v>
      </c>
      <c r="B3815" s="2">
        <v>282.13529616165198</v>
      </c>
      <c r="C3815" s="2">
        <v>4.0250333333333304</v>
      </c>
      <c r="D3815" s="2" t="s">
        <v>51</v>
      </c>
      <c r="E3815" s="2" t="s">
        <v>25253</v>
      </c>
      <c r="F3815" s="2">
        <v>209464</v>
      </c>
      <c r="G3815" s="3" t="str">
        <f>HYPERLINK("https://cloud.oebiotech.com/#/lm/network/209464", "https://cloud.oebiotech.com/#/lm/network/209464")</f>
        <v>https://cloud.oebiotech.com/#/lm/network/209464</v>
      </c>
      <c r="H3815" s="2" t="s">
        <v>25254</v>
      </c>
      <c r="I3815" s="2"/>
      <c r="J3815" s="2"/>
      <c r="K3815" s="2">
        <v>14756452</v>
      </c>
      <c r="L3815" s="2"/>
      <c r="M3815" s="2"/>
      <c r="N3815" s="2"/>
      <c r="O3815" s="2"/>
      <c r="P3815" s="2"/>
      <c r="Q3815" s="2"/>
      <c r="R3815" s="2"/>
      <c r="S3815" s="2" t="s">
        <v>25255</v>
      </c>
      <c r="T3815" s="2" t="s">
        <v>25256</v>
      </c>
      <c r="U3815" s="2" t="s">
        <v>103</v>
      </c>
      <c r="V3815" s="2" t="s">
        <v>104</v>
      </c>
      <c r="W3815" s="2" t="s">
        <v>105</v>
      </c>
      <c r="X3815" s="2" t="s">
        <v>83</v>
      </c>
      <c r="Y3815" s="2">
        <v>38</v>
      </c>
      <c r="Z3815" s="2">
        <v>0.182</v>
      </c>
      <c r="AA3815" s="2" t="s">
        <v>259</v>
      </c>
      <c r="AB3815" s="2" t="s">
        <v>19420</v>
      </c>
      <c r="AC3815" s="2">
        <v>6.0364952849996296</v>
      </c>
      <c r="AD3815" s="2"/>
      <c r="AE3815" s="2">
        <v>0.13602868867642101</v>
      </c>
      <c r="AF3815" s="2">
        <v>1685.5701812080699</v>
      </c>
      <c r="AG3815" s="2">
        <v>832.10068881948803</v>
      </c>
      <c r="AH3815" s="5">
        <v>2.0256805502702</v>
      </c>
      <c r="AI3815" s="5">
        <v>1.0184066791348301</v>
      </c>
      <c r="AJ3815" s="5" t="s">
        <v>139</v>
      </c>
      <c r="AK3815" s="2">
        <v>0.193021388991651</v>
      </c>
      <c r="AL3815" s="2">
        <v>0.51702050946451295</v>
      </c>
      <c r="AM3815" s="2">
        <v>48.550490988106098</v>
      </c>
      <c r="AN3815" s="2">
        <v>1172.76658533924</v>
      </c>
      <c r="AO3815" s="2">
        <v>3385.5801803620898</v>
      </c>
      <c r="AP3815" s="2">
        <v>1183.4511559169</v>
      </c>
      <c r="AQ3815" s="2">
        <v>1562.08624545564</v>
      </c>
      <c r="AR3815" s="2">
        <v>2760.9864291864701</v>
      </c>
      <c r="AS3815" s="2">
        <v>145.41901751424601</v>
      </c>
      <c r="AT3815" s="2">
        <v>2560.8179060791999</v>
      </c>
      <c r="AU3815" s="2">
        <v>316.93227822346199</v>
      </c>
      <c r="AV3815" s="2">
        <v>376.47094632805403</v>
      </c>
      <c r="AW3815" s="2">
        <v>910.067021624836</v>
      </c>
      <c r="AX3815" s="2">
        <v>682.89696314713206</v>
      </c>
    </row>
    <row r="3816" spans="1:50" x14ac:dyDescent="0.25">
      <c r="A3816" s="2" t="s">
        <v>25257</v>
      </c>
      <c r="B3816" s="2">
        <v>229.14423642720999</v>
      </c>
      <c r="C3816" s="2">
        <v>7.2455166666666697</v>
      </c>
      <c r="D3816" s="2" t="s">
        <v>51</v>
      </c>
      <c r="E3816" s="2" t="s">
        <v>25258</v>
      </c>
      <c r="F3816" s="2">
        <v>2019</v>
      </c>
      <c r="G3816" s="3" t="str">
        <f>HYPERLINK("https://cloud.oebiotech.com/#/lm/network/2019", "https://cloud.oebiotech.com/#/lm/network/2019")</f>
        <v>https://cloud.oebiotech.com/#/lm/network/2019</v>
      </c>
      <c r="H3816" s="2"/>
      <c r="I3816" s="2"/>
      <c r="J3816" s="2" t="s">
        <v>25259</v>
      </c>
      <c r="K3816" s="2"/>
      <c r="L3816" s="2"/>
      <c r="M3816" s="2"/>
      <c r="N3816" s="2"/>
      <c r="O3816" s="2"/>
      <c r="P3816" s="2"/>
      <c r="Q3816" s="2"/>
      <c r="R3816" s="2"/>
      <c r="S3816" s="2" t="s">
        <v>25260</v>
      </c>
      <c r="T3816" s="2" t="s">
        <v>25261</v>
      </c>
      <c r="U3816" s="2" t="s">
        <v>103</v>
      </c>
      <c r="V3816" s="2" t="s">
        <v>377</v>
      </c>
      <c r="W3816" s="2" t="s">
        <v>378</v>
      </c>
      <c r="X3816" s="2" t="s">
        <v>83</v>
      </c>
      <c r="Y3816" s="2">
        <v>43.1</v>
      </c>
      <c r="Z3816" s="2">
        <v>0</v>
      </c>
      <c r="AA3816" s="2" t="s">
        <v>163</v>
      </c>
      <c r="AB3816" s="2" t="s">
        <v>25262</v>
      </c>
      <c r="AC3816" s="2">
        <v>-1.2875178814589401</v>
      </c>
      <c r="AD3816" s="2"/>
      <c r="AE3816" s="2">
        <v>0.135888022574669</v>
      </c>
      <c r="AF3816" s="2">
        <v>2722.9793535561098</v>
      </c>
      <c r="AG3816" s="2">
        <v>1127.8089097204399</v>
      </c>
      <c r="AH3816" s="5">
        <v>2.4143978027546198</v>
      </c>
      <c r="AI3816" s="5">
        <v>1.2716633980396701</v>
      </c>
      <c r="AJ3816" s="5" t="s">
        <v>139</v>
      </c>
      <c r="AK3816" s="2">
        <v>0.31462353111805302</v>
      </c>
      <c r="AL3816" s="2">
        <v>0.62409619253186699</v>
      </c>
      <c r="AM3816" s="2">
        <v>467.498224449708</v>
      </c>
      <c r="AN3816" s="2">
        <v>698.63924178434195</v>
      </c>
      <c r="AO3816" s="2">
        <v>2059.5825868688398</v>
      </c>
      <c r="AP3816" s="2">
        <v>1020.28345008965</v>
      </c>
      <c r="AQ3816" s="2">
        <v>9982.3604432379798</v>
      </c>
      <c r="AR3816" s="2">
        <v>2109.51217490612</v>
      </c>
      <c r="AS3816" s="2">
        <v>716.57153195896694</v>
      </c>
      <c r="AT3816" s="2">
        <v>695.480867253425</v>
      </c>
      <c r="AU3816" s="2">
        <v>1028.7707256221199</v>
      </c>
      <c r="AV3816" s="2">
        <v>963.86339536518403</v>
      </c>
      <c r="AW3816" s="2">
        <v>2546.45320211126</v>
      </c>
      <c r="AX3816" s="2">
        <v>815.71373601167102</v>
      </c>
    </row>
    <row r="3817" spans="1:50" x14ac:dyDescent="0.25">
      <c r="A3817" s="2" t="s">
        <v>25263</v>
      </c>
      <c r="B3817" s="2">
        <v>355.26007564539799</v>
      </c>
      <c r="C3817" s="2">
        <v>6.7833500000000004</v>
      </c>
      <c r="D3817" s="2" t="s">
        <v>51</v>
      </c>
      <c r="E3817" s="2" t="s">
        <v>25264</v>
      </c>
      <c r="F3817" s="2">
        <v>8793</v>
      </c>
      <c r="G3817" s="3" t="str">
        <f>HYPERLINK("https://cloud.oebiotech.com/#/lm/network/8793", "https://cloud.oebiotech.com/#/lm/network/8793")</f>
        <v>https://cloud.oebiotech.com/#/lm/network/8793</v>
      </c>
      <c r="H3817" s="2"/>
      <c r="I3817" s="2"/>
      <c r="J3817" s="2" t="s">
        <v>25265</v>
      </c>
      <c r="K3817" s="2">
        <v>53851439</v>
      </c>
      <c r="L3817" s="2"/>
      <c r="M3817" s="2"/>
      <c r="N3817" s="2"/>
      <c r="O3817" s="2"/>
      <c r="P3817" s="2"/>
      <c r="Q3817" s="2"/>
      <c r="R3817" s="2"/>
      <c r="S3817" s="2" t="s">
        <v>25266</v>
      </c>
      <c r="T3817" s="2" t="s">
        <v>25267</v>
      </c>
      <c r="U3817" s="2" t="s">
        <v>103</v>
      </c>
      <c r="V3817" s="2" t="s">
        <v>104</v>
      </c>
      <c r="W3817" s="2" t="s">
        <v>105</v>
      </c>
      <c r="X3817" s="2" t="s">
        <v>147</v>
      </c>
      <c r="Y3817" s="2">
        <v>37.799999999999997</v>
      </c>
      <c r="Z3817" s="2">
        <v>0</v>
      </c>
      <c r="AA3817" s="2" t="s">
        <v>163</v>
      </c>
      <c r="AB3817" s="2" t="s">
        <v>25268</v>
      </c>
      <c r="AC3817" s="2">
        <v>-0.436652118200614</v>
      </c>
      <c r="AD3817" s="2"/>
      <c r="AE3817" s="2">
        <v>0.135873344834335</v>
      </c>
      <c r="AF3817" s="2">
        <v>3040.0497156492902</v>
      </c>
      <c r="AG3817" s="2">
        <v>3630.4894685579302</v>
      </c>
      <c r="AH3817" s="4">
        <v>0.83736635017890104</v>
      </c>
      <c r="AI3817" s="4">
        <v>-0.256069150782685</v>
      </c>
      <c r="AJ3817" s="4" t="s">
        <v>62</v>
      </c>
      <c r="AK3817" s="2">
        <v>0.78068003181263301</v>
      </c>
      <c r="AL3817" s="2">
        <v>0.90337776466589503</v>
      </c>
      <c r="AM3817" s="2">
        <v>789.01147361258802</v>
      </c>
      <c r="AN3817" s="2">
        <v>1679.70084142466</v>
      </c>
      <c r="AO3817" s="2">
        <v>2512.3020913838</v>
      </c>
      <c r="AP3817" s="2">
        <v>9491.0325505106593</v>
      </c>
      <c r="AQ3817" s="2">
        <v>1583.9672415882301</v>
      </c>
      <c r="AR3817" s="2">
        <v>2184.28409537581</v>
      </c>
      <c r="AS3817" s="2">
        <v>2361.5480356531202</v>
      </c>
      <c r="AT3817" s="2">
        <v>416.85715236957299</v>
      </c>
      <c r="AU3817" s="2">
        <v>746.69720908728902</v>
      </c>
      <c r="AV3817" s="2">
        <v>7839.7847081836999</v>
      </c>
      <c r="AW3817" s="2">
        <v>1134.72142380224</v>
      </c>
      <c r="AX3817" s="2">
        <v>9283.3282822516594</v>
      </c>
    </row>
    <row r="3818" spans="1:50" x14ac:dyDescent="0.25">
      <c r="A3818" s="2" t="s">
        <v>25269</v>
      </c>
      <c r="B3818" s="2">
        <v>184.17003747219499</v>
      </c>
      <c r="C3818" s="2">
        <v>12.6778666666667</v>
      </c>
      <c r="D3818" s="2" t="s">
        <v>51</v>
      </c>
      <c r="E3818" s="2" t="s">
        <v>25270</v>
      </c>
      <c r="F3818" s="2">
        <v>256090</v>
      </c>
      <c r="G3818" s="3" t="str">
        <f>HYPERLINK("https://cloud.oebiotech.com/#/lm/network/256090", "https://cloud.oebiotech.com/#/lm/network/256090")</f>
        <v>https://cloud.oebiotech.com/#/lm/network/256090</v>
      </c>
      <c r="H3818" s="2" t="s">
        <v>25271</v>
      </c>
      <c r="I3818" s="2"/>
      <c r="J3818" s="2"/>
      <c r="K3818" s="2">
        <v>549586</v>
      </c>
      <c r="L3818" s="2"/>
      <c r="M3818" s="2"/>
      <c r="N3818" s="2"/>
      <c r="O3818" s="2"/>
      <c r="P3818" s="2"/>
      <c r="Q3818" s="2"/>
      <c r="R3818" s="2"/>
      <c r="S3818" s="2" t="s">
        <v>25272</v>
      </c>
      <c r="T3818" s="2" t="s">
        <v>25273</v>
      </c>
      <c r="U3818" s="2" t="s">
        <v>331</v>
      </c>
      <c r="V3818" s="2" t="s">
        <v>25274</v>
      </c>
      <c r="W3818" s="2" t="s">
        <v>240</v>
      </c>
      <c r="X3818" s="2" t="s">
        <v>59</v>
      </c>
      <c r="Y3818" s="2">
        <v>47.4</v>
      </c>
      <c r="Z3818" s="2">
        <v>50.5</v>
      </c>
      <c r="AA3818" s="2" t="s">
        <v>3354</v>
      </c>
      <c r="AB3818" s="2" t="s">
        <v>5409</v>
      </c>
      <c r="AC3818" s="2">
        <v>2.68903793276445</v>
      </c>
      <c r="AD3818" s="2"/>
      <c r="AE3818" s="2">
        <v>0.13577916941013399</v>
      </c>
      <c r="AF3818" s="2">
        <v>23808.911602003001</v>
      </c>
      <c r="AG3818" s="2">
        <v>28159.2641858678</v>
      </c>
      <c r="AH3818" s="4">
        <v>0.84550901063500905</v>
      </c>
      <c r="AI3818" s="4">
        <v>-0.24210796529151901</v>
      </c>
      <c r="AJ3818" s="4" t="s">
        <v>62</v>
      </c>
      <c r="AK3818" s="2">
        <v>0.85457637674036102</v>
      </c>
      <c r="AL3818" s="2">
        <v>0.93587389349021</v>
      </c>
      <c r="AM3818" s="2">
        <v>176.98936493513801</v>
      </c>
      <c r="AN3818" s="2">
        <v>188.811484506722</v>
      </c>
      <c r="AO3818" s="2">
        <v>62172.869410068502</v>
      </c>
      <c r="AP3818" s="2">
        <v>463.13341137248102</v>
      </c>
      <c r="AQ3818" s="2">
        <v>78482.915463260506</v>
      </c>
      <c r="AR3818" s="2">
        <v>1368.7504778745099</v>
      </c>
      <c r="AS3818" s="2">
        <v>94342.722280776696</v>
      </c>
      <c r="AT3818" s="2">
        <v>8.559877937157E-6</v>
      </c>
      <c r="AU3818" s="2">
        <v>72663.797944896098</v>
      </c>
      <c r="AV3818" s="2">
        <v>1065.0596895108799</v>
      </c>
      <c r="AW3818" s="2">
        <v>635.59724847183702</v>
      </c>
      <c r="AX3818" s="2">
        <v>248.40794299169599</v>
      </c>
    </row>
    <row r="3819" spans="1:50" x14ac:dyDescent="0.25">
      <c r="A3819" s="2" t="s">
        <v>25275</v>
      </c>
      <c r="B3819" s="2">
        <v>554.37006725981496</v>
      </c>
      <c r="C3819" s="2">
        <v>13.964549999999999</v>
      </c>
      <c r="D3819" s="2" t="s">
        <v>51</v>
      </c>
      <c r="E3819" s="2" t="s">
        <v>25276</v>
      </c>
      <c r="F3819" s="2">
        <v>339067</v>
      </c>
      <c r="G3819" s="3" t="str">
        <f>HYPERLINK("https://cloud.oebiotech.com/#/lm/network/339067", "https://cloud.oebiotech.com/#/lm/network/339067")</f>
        <v>https://cloud.oebiotech.com/#/lm/network/339067</v>
      </c>
      <c r="H3819" s="2"/>
      <c r="I3819" s="2">
        <v>413683</v>
      </c>
      <c r="J3819" s="2"/>
      <c r="K3819" s="2">
        <v>46224516</v>
      </c>
      <c r="L3819" s="2"/>
      <c r="M3819" s="2"/>
      <c r="N3819" s="2"/>
      <c r="O3819" s="2"/>
      <c r="P3819" s="2"/>
      <c r="Q3819" s="2"/>
      <c r="R3819" s="2"/>
      <c r="S3819" s="2" t="s">
        <v>25277</v>
      </c>
      <c r="T3819" s="2" t="s">
        <v>25278</v>
      </c>
      <c r="U3819" s="2" t="s">
        <v>266</v>
      </c>
      <c r="V3819" s="2" t="s">
        <v>6667</v>
      </c>
      <c r="W3819" s="2" t="s">
        <v>6668</v>
      </c>
      <c r="X3819" s="2" t="s">
        <v>147</v>
      </c>
      <c r="Y3819" s="2">
        <v>36.200000000000003</v>
      </c>
      <c r="Z3819" s="2">
        <v>0</v>
      </c>
      <c r="AA3819" s="2" t="s">
        <v>218</v>
      </c>
      <c r="AB3819" s="2" t="s">
        <v>25279</v>
      </c>
      <c r="AC3819" s="2">
        <v>-2.1818601461818701</v>
      </c>
      <c r="AD3819" s="2"/>
      <c r="AE3819" s="2">
        <v>0.13573912080586101</v>
      </c>
      <c r="AF3819" s="2">
        <v>3661.5705889071</v>
      </c>
      <c r="AG3819" s="2">
        <v>2374.47975868404</v>
      </c>
      <c r="AH3819" s="5">
        <v>1.5420517170196399</v>
      </c>
      <c r="AI3819" s="5">
        <v>0.62485115087978504</v>
      </c>
      <c r="AJ3819" s="5" t="s">
        <v>139</v>
      </c>
      <c r="AK3819" s="2">
        <v>0.35649180000041603</v>
      </c>
      <c r="AL3819" s="2">
        <v>0.64439059109587704</v>
      </c>
      <c r="AM3819" s="2">
        <v>2148.49500818967</v>
      </c>
      <c r="AN3819" s="2">
        <v>1331.3798131946301</v>
      </c>
      <c r="AO3819" s="2">
        <v>4384.5423992685601</v>
      </c>
      <c r="AP3819" s="2">
        <v>6535.0540697898896</v>
      </c>
      <c r="AQ3819" s="2">
        <v>5608.5638677419402</v>
      </c>
      <c r="AR3819" s="2">
        <v>1961.38837525791</v>
      </c>
      <c r="AS3819" s="2">
        <v>1174.5610675243699</v>
      </c>
      <c r="AT3819" s="2">
        <v>6855.7423203250701</v>
      </c>
      <c r="AU3819" s="2">
        <v>775.52895620815798</v>
      </c>
      <c r="AV3819" s="2">
        <v>8.559877937157E-6</v>
      </c>
      <c r="AW3819" s="2">
        <v>2870.72276127021</v>
      </c>
      <c r="AX3819" s="2">
        <v>2570.3234382165801</v>
      </c>
    </row>
    <row r="3820" spans="1:50" x14ac:dyDescent="0.25">
      <c r="A3820" s="2" t="s">
        <v>25280</v>
      </c>
      <c r="B3820" s="2">
        <v>264.26938569431002</v>
      </c>
      <c r="C3820" s="2">
        <v>9.6451499999999992</v>
      </c>
      <c r="D3820" s="2" t="s">
        <v>51</v>
      </c>
      <c r="E3820" s="2" t="s">
        <v>25281</v>
      </c>
      <c r="F3820" s="2">
        <v>206185</v>
      </c>
      <c r="G3820" s="3" t="str">
        <f>HYPERLINK("https://cloud.oebiotech.com/#/lm/network/206185", "https://cloud.oebiotech.com/#/lm/network/206185")</f>
        <v>https://cloud.oebiotech.com/#/lm/network/206185</v>
      </c>
      <c r="H3820" s="2" t="s">
        <v>25282</v>
      </c>
      <c r="I3820" s="2">
        <v>6946</v>
      </c>
      <c r="J3820" s="2"/>
      <c r="K3820" s="2">
        <v>31237</v>
      </c>
      <c r="L3820" s="2"/>
      <c r="M3820" s="2"/>
      <c r="N3820" s="2"/>
      <c r="O3820" s="2"/>
      <c r="P3820" s="2"/>
      <c r="Q3820" s="2"/>
      <c r="R3820" s="2"/>
      <c r="S3820" s="2" t="s">
        <v>25283</v>
      </c>
      <c r="T3820" s="2" t="s">
        <v>25284</v>
      </c>
      <c r="U3820" s="2" t="s">
        <v>610</v>
      </c>
      <c r="V3820" s="2" t="s">
        <v>611</v>
      </c>
      <c r="W3820" s="2" t="s">
        <v>240</v>
      </c>
      <c r="X3820" s="2" t="s">
        <v>147</v>
      </c>
      <c r="Y3820" s="2">
        <v>38.5</v>
      </c>
      <c r="Z3820" s="2">
        <v>0</v>
      </c>
      <c r="AA3820" s="2" t="s">
        <v>512</v>
      </c>
      <c r="AB3820" s="2" t="s">
        <v>25285</v>
      </c>
      <c r="AC3820" s="2">
        <v>3.28630384931544</v>
      </c>
      <c r="AD3820" s="2"/>
      <c r="AE3820" s="2">
        <v>0.135713380769383</v>
      </c>
      <c r="AF3820" s="2">
        <v>10818.0200104904</v>
      </c>
      <c r="AG3820" s="2">
        <v>8783.6060526135097</v>
      </c>
      <c r="AH3820" s="5">
        <v>1.23161489093327</v>
      </c>
      <c r="AI3820" s="5">
        <v>0.30055121561465398</v>
      </c>
      <c r="AJ3820" s="5" t="s">
        <v>139</v>
      </c>
      <c r="AK3820" s="2">
        <v>0.35608608398525798</v>
      </c>
      <c r="AL3820" s="2">
        <v>0.64439059109587704</v>
      </c>
      <c r="AM3820" s="2">
        <v>4997.2764913460296</v>
      </c>
      <c r="AN3820" s="2">
        <v>10211.461760281099</v>
      </c>
      <c r="AO3820" s="2">
        <v>12058.6525126982</v>
      </c>
      <c r="AP3820" s="2">
        <v>15161.926914694101</v>
      </c>
      <c r="AQ3820" s="2">
        <v>11839.683492947999</v>
      </c>
      <c r="AR3820" s="2">
        <v>10639.118890975</v>
      </c>
      <c r="AS3820" s="2">
        <v>14992.777406441601</v>
      </c>
      <c r="AT3820" s="2">
        <v>12108.875294895901</v>
      </c>
      <c r="AU3820" s="2">
        <v>8123.8132088430002</v>
      </c>
      <c r="AV3820" s="2">
        <v>5584.6530438353302</v>
      </c>
      <c r="AW3820" s="2">
        <v>5439.2691915593496</v>
      </c>
      <c r="AX3820" s="2">
        <v>6452.2481701058696</v>
      </c>
    </row>
    <row r="3821" spans="1:50" x14ac:dyDescent="0.25">
      <c r="A3821" s="2" t="s">
        <v>25286</v>
      </c>
      <c r="B3821" s="2">
        <v>239.16503220745801</v>
      </c>
      <c r="C3821" s="2">
        <v>9.8278499999999998</v>
      </c>
      <c r="D3821" s="2" t="s">
        <v>51</v>
      </c>
      <c r="E3821" s="2" t="s">
        <v>25287</v>
      </c>
      <c r="F3821" s="2">
        <v>59973</v>
      </c>
      <c r="G3821" s="3" t="str">
        <f>HYPERLINK("https://cloud.oebiotech.com/#/lm/network/59973", "https://cloud.oebiotech.com/#/lm/network/59973")</f>
        <v>https://cloud.oebiotech.com/#/lm/network/59973</v>
      </c>
      <c r="H3821" s="2" t="s">
        <v>25288</v>
      </c>
      <c r="I3821" s="2">
        <v>91333</v>
      </c>
      <c r="J3821" s="2"/>
      <c r="K3821" s="2">
        <v>62126</v>
      </c>
      <c r="L3821" s="2"/>
      <c r="M3821" s="2"/>
      <c r="N3821" s="2"/>
      <c r="O3821" s="2"/>
      <c r="P3821" s="2"/>
      <c r="Q3821" s="2"/>
      <c r="R3821" s="2" t="s">
        <v>25289</v>
      </c>
      <c r="S3821" s="2" t="s">
        <v>25290</v>
      </c>
      <c r="T3821" s="2" t="s">
        <v>25291</v>
      </c>
      <c r="U3821" s="2" t="s">
        <v>56</v>
      </c>
      <c r="V3821" s="2" t="s">
        <v>177</v>
      </c>
      <c r="W3821" s="2" t="s">
        <v>1996</v>
      </c>
      <c r="X3821" s="2" t="s">
        <v>83</v>
      </c>
      <c r="Y3821" s="2">
        <v>51.3</v>
      </c>
      <c r="Z3821" s="2">
        <v>32.5</v>
      </c>
      <c r="AA3821" s="2" t="s">
        <v>218</v>
      </c>
      <c r="AB3821" s="2" t="s">
        <v>15079</v>
      </c>
      <c r="AC3821" s="2">
        <v>-1.2153845044421201</v>
      </c>
      <c r="AD3821" s="2"/>
      <c r="AE3821" s="2">
        <v>0.13569393556626699</v>
      </c>
      <c r="AF3821" s="2">
        <v>10148.005879948099</v>
      </c>
      <c r="AG3821" s="2">
        <v>11616.5397130416</v>
      </c>
      <c r="AH3821" s="4">
        <v>0.87358250654927505</v>
      </c>
      <c r="AI3821" s="4">
        <v>-0.19498412824417999</v>
      </c>
      <c r="AJ3821" s="4" t="s">
        <v>62</v>
      </c>
      <c r="AK3821" s="2">
        <v>0.53180716659363403</v>
      </c>
      <c r="AL3821" s="2">
        <v>0.75897575674673201</v>
      </c>
      <c r="AM3821" s="2">
        <v>8827.33111230346</v>
      </c>
      <c r="AN3821" s="2">
        <v>10941.27644457</v>
      </c>
      <c r="AO3821" s="2">
        <v>11521.1811645502</v>
      </c>
      <c r="AP3821" s="2">
        <v>8851.2800620425005</v>
      </c>
      <c r="AQ3821" s="2">
        <v>8737.8152613492093</v>
      </c>
      <c r="AR3821" s="2">
        <v>12009.151234873299</v>
      </c>
      <c r="AS3821" s="2">
        <v>6437.5792255039896</v>
      </c>
      <c r="AT3821" s="2">
        <v>12969.3120509654</v>
      </c>
      <c r="AU3821" s="2">
        <v>8826.7224422111904</v>
      </c>
      <c r="AV3821" s="2">
        <v>10499.999272192401</v>
      </c>
      <c r="AW3821" s="2">
        <v>21617.980708573399</v>
      </c>
      <c r="AX3821" s="2">
        <v>9347.6445788034907</v>
      </c>
    </row>
    <row r="3822" spans="1:50" x14ac:dyDescent="0.25">
      <c r="A3822" s="2" t="s">
        <v>25292</v>
      </c>
      <c r="B3822" s="2">
        <v>248.06508270668499</v>
      </c>
      <c r="C3822" s="2">
        <v>3.5649500000000001</v>
      </c>
      <c r="D3822" s="2" t="s">
        <v>51</v>
      </c>
      <c r="E3822" s="2" t="s">
        <v>25293</v>
      </c>
      <c r="F3822" s="2">
        <v>199241</v>
      </c>
      <c r="G3822" s="3" t="str">
        <f>HYPERLINK("https://cloud.oebiotech.com/#/lm/network/199241", "https://cloud.oebiotech.com/#/lm/network/199241")</f>
        <v>https://cloud.oebiotech.com/#/lm/network/199241</v>
      </c>
      <c r="H3822" s="2" t="s">
        <v>25294</v>
      </c>
      <c r="I3822" s="2"/>
      <c r="J3822" s="2"/>
      <c r="K3822" s="2">
        <v>279063</v>
      </c>
      <c r="L3822" s="2"/>
      <c r="M3822" s="2"/>
      <c r="N3822" s="2"/>
      <c r="O3822" s="2"/>
      <c r="P3822" s="2"/>
      <c r="Q3822" s="2"/>
      <c r="R3822" s="2"/>
      <c r="S3822" s="2" t="s">
        <v>25295</v>
      </c>
      <c r="T3822" s="2" t="s">
        <v>25296</v>
      </c>
      <c r="U3822" s="2" t="s">
        <v>331</v>
      </c>
      <c r="V3822" s="2" t="s">
        <v>332</v>
      </c>
      <c r="W3822" s="2" t="s">
        <v>511</v>
      </c>
      <c r="X3822" s="2" t="s">
        <v>147</v>
      </c>
      <c r="Y3822" s="2">
        <v>38.5</v>
      </c>
      <c r="Z3822" s="2">
        <v>7.13</v>
      </c>
      <c r="AA3822" s="2" t="s">
        <v>1123</v>
      </c>
      <c r="AB3822" s="2" t="s">
        <v>25297</v>
      </c>
      <c r="AC3822" s="2">
        <v>4.0261310800502299</v>
      </c>
      <c r="AD3822" s="2"/>
      <c r="AE3822" s="2">
        <v>0.13568609194259301</v>
      </c>
      <c r="AF3822" s="2">
        <v>3321.6187098381702</v>
      </c>
      <c r="AG3822" s="2">
        <v>7758.4088644713001</v>
      </c>
      <c r="AH3822" s="4">
        <v>0.428131433630564</v>
      </c>
      <c r="AI3822" s="4">
        <v>-1.2238743320502301</v>
      </c>
      <c r="AJ3822" s="4" t="s">
        <v>62</v>
      </c>
      <c r="AK3822" s="2">
        <v>0.51256712305502095</v>
      </c>
      <c r="AL3822" s="2">
        <v>0.74605624982876495</v>
      </c>
      <c r="AM3822" s="2">
        <v>1894.94952163793</v>
      </c>
      <c r="AN3822" s="2">
        <v>8100.4152220011301</v>
      </c>
      <c r="AO3822" s="2">
        <v>6487.3682025218704</v>
      </c>
      <c r="AP3822" s="2">
        <v>1679.44540571275</v>
      </c>
      <c r="AQ3822" s="2">
        <v>1265.8199722936899</v>
      </c>
      <c r="AR3822" s="2">
        <v>501.71393486167898</v>
      </c>
      <c r="AS3822" s="2">
        <v>1312.73049046296</v>
      </c>
      <c r="AT3822" s="2">
        <v>1728.88598190996</v>
      </c>
      <c r="AU3822" s="2">
        <v>39772.958289898401</v>
      </c>
      <c r="AV3822" s="2">
        <v>652.61855097511398</v>
      </c>
      <c r="AW3822" s="2">
        <v>970.16348063589498</v>
      </c>
      <c r="AX3822" s="2">
        <v>2113.0963929454701</v>
      </c>
    </row>
    <row r="3823" spans="1:50" x14ac:dyDescent="0.25">
      <c r="A3823" s="2" t="s">
        <v>25298</v>
      </c>
      <c r="B3823" s="2">
        <v>567.01769863701202</v>
      </c>
      <c r="C3823" s="2">
        <v>4.7703666666666704</v>
      </c>
      <c r="D3823" s="2" t="s">
        <v>51</v>
      </c>
      <c r="E3823" s="2" t="s">
        <v>25299</v>
      </c>
      <c r="F3823" s="2">
        <v>30813</v>
      </c>
      <c r="G3823" s="3" t="str">
        <f>HYPERLINK("https://cloud.oebiotech.com/#/lm/network/30813", "https://cloud.oebiotech.com/#/lm/network/30813")</f>
        <v>https://cloud.oebiotech.com/#/lm/network/30813</v>
      </c>
      <c r="H3823" s="2"/>
      <c r="I3823" s="2"/>
      <c r="J3823" s="2" t="s">
        <v>25300</v>
      </c>
      <c r="K3823" s="2">
        <v>44258145</v>
      </c>
      <c r="L3823" s="2"/>
      <c r="M3823" s="2"/>
      <c r="N3823" s="2"/>
      <c r="O3823" s="2"/>
      <c r="P3823" s="2"/>
      <c r="Q3823" s="2"/>
      <c r="R3823" s="2"/>
      <c r="S3823" s="2" t="s">
        <v>25301</v>
      </c>
      <c r="T3823" s="2" t="s">
        <v>25302</v>
      </c>
      <c r="U3823" s="2" t="s">
        <v>540</v>
      </c>
      <c r="V3823" s="2" t="s">
        <v>541</v>
      </c>
      <c r="W3823" s="2" t="s">
        <v>542</v>
      </c>
      <c r="X3823" s="2" t="s">
        <v>83</v>
      </c>
      <c r="Y3823" s="2">
        <v>39.6</v>
      </c>
      <c r="Z3823" s="2">
        <v>0</v>
      </c>
      <c r="AA3823" s="2" t="s">
        <v>395</v>
      </c>
      <c r="AB3823" s="2" t="s">
        <v>25303</v>
      </c>
      <c r="AC3823" s="2">
        <v>-5.3701706585961499</v>
      </c>
      <c r="AD3823" s="2"/>
      <c r="AE3823" s="2">
        <v>0.13567033843109899</v>
      </c>
      <c r="AF3823" s="2">
        <v>1100.3791291202499</v>
      </c>
      <c r="AG3823" s="2">
        <v>4305.3406630572399</v>
      </c>
      <c r="AH3823" s="4">
        <v>0.25558468312676103</v>
      </c>
      <c r="AI3823" s="4">
        <v>-1.9681267149373201</v>
      </c>
      <c r="AJ3823" s="4" t="s">
        <v>62</v>
      </c>
      <c r="AK3823" s="2">
        <v>0.47947180264494099</v>
      </c>
      <c r="AL3823" s="2">
        <v>0.72433183010254898</v>
      </c>
      <c r="AM3823" s="2">
        <v>8.559877937157E-6</v>
      </c>
      <c r="AN3823" s="2">
        <v>8.559877937157E-6</v>
      </c>
      <c r="AO3823" s="2">
        <v>8.559877937157E-6</v>
      </c>
      <c r="AP3823" s="2">
        <v>2783.5845981023199</v>
      </c>
      <c r="AQ3823" s="2">
        <v>3818.6901423796398</v>
      </c>
      <c r="AR3823" s="2">
        <v>8.559877937157E-6</v>
      </c>
      <c r="AS3823" s="2">
        <v>8.559877937157E-6</v>
      </c>
      <c r="AT3823" s="2">
        <v>25830.8602905755</v>
      </c>
      <c r="AU3823" s="2">
        <v>8.559877937157E-6</v>
      </c>
      <c r="AV3823" s="2">
        <v>1.1836535284576899</v>
      </c>
      <c r="AW3823" s="2">
        <v>8.559877937157E-6</v>
      </c>
      <c r="AX3823" s="2">
        <v>8.559877937157E-6</v>
      </c>
    </row>
    <row r="3824" spans="1:50" x14ac:dyDescent="0.25">
      <c r="A3824" s="2" t="s">
        <v>25304</v>
      </c>
      <c r="B3824" s="2">
        <v>186.07730000000001</v>
      </c>
      <c r="C3824" s="2">
        <v>15.246</v>
      </c>
      <c r="D3824" s="2" t="s">
        <v>125</v>
      </c>
      <c r="E3824" s="2" t="s">
        <v>25305</v>
      </c>
      <c r="F3824" s="2">
        <v>206145</v>
      </c>
      <c r="G3824" s="3" t="str">
        <f>HYPERLINK("https://cloud.oebiotech.com/#/lm/network/206145", "https://cloud.oebiotech.com/#/lm/network/206145")</f>
        <v>https://cloud.oebiotech.com/#/lm/network/206145</v>
      </c>
      <c r="H3824" s="2" t="s">
        <v>25306</v>
      </c>
      <c r="I3824" s="2"/>
      <c r="J3824" s="2"/>
      <c r="K3824" s="2">
        <v>614</v>
      </c>
      <c r="L3824" s="2" t="s">
        <v>25307</v>
      </c>
      <c r="M3824" s="2"/>
      <c r="N3824" s="2"/>
      <c r="O3824" s="2">
        <v>26271</v>
      </c>
      <c r="P3824" s="2"/>
      <c r="Q3824" s="2"/>
      <c r="R3824" s="2"/>
      <c r="S3824" s="2" t="s">
        <v>25308</v>
      </c>
      <c r="T3824" s="2" t="s">
        <v>25309</v>
      </c>
      <c r="U3824" s="2" t="s">
        <v>103</v>
      </c>
      <c r="V3824" s="2" t="s">
        <v>104</v>
      </c>
      <c r="W3824" s="2" t="s">
        <v>105</v>
      </c>
      <c r="X3824" s="2" t="s">
        <v>69</v>
      </c>
      <c r="Y3824" s="2">
        <v>92.3</v>
      </c>
      <c r="Z3824" s="2">
        <v>95</v>
      </c>
      <c r="AA3824" s="2"/>
      <c r="AB3824" s="2" t="s">
        <v>2192</v>
      </c>
      <c r="AC3824" s="2"/>
      <c r="AD3824" s="2">
        <v>512873.95111876098</v>
      </c>
      <c r="AE3824" s="2">
        <v>0.135444728101248</v>
      </c>
      <c r="AF3824" s="2">
        <v>380437.47828136699</v>
      </c>
      <c r="AG3824" s="2">
        <v>333663.91172692901</v>
      </c>
      <c r="AH3824" s="5">
        <v>1.14018167656297</v>
      </c>
      <c r="AI3824" s="5">
        <v>0.189263721752745</v>
      </c>
      <c r="AJ3824" s="5" t="s">
        <v>139</v>
      </c>
      <c r="AK3824" s="2">
        <v>0.85243905494243</v>
      </c>
      <c r="AL3824" s="2">
        <v>0.93488826700957794</v>
      </c>
      <c r="AM3824" s="2">
        <v>263847.01996133197</v>
      </c>
      <c r="AN3824" s="2">
        <v>151469.35306082701</v>
      </c>
      <c r="AO3824" s="2">
        <v>119360.549666187</v>
      </c>
      <c r="AP3824" s="2">
        <v>209341.85795842801</v>
      </c>
      <c r="AQ3824" s="2">
        <v>1405625.0047625799</v>
      </c>
      <c r="AR3824" s="2">
        <v>132981.08427885099</v>
      </c>
      <c r="AS3824" s="2">
        <v>99289.961514399096</v>
      </c>
      <c r="AT3824" s="2">
        <v>183558.858680887</v>
      </c>
      <c r="AU3824" s="2">
        <v>857536.60021791304</v>
      </c>
      <c r="AV3824" s="2">
        <v>620914.69880181795</v>
      </c>
      <c r="AW3824" s="2">
        <v>109632.848308286</v>
      </c>
      <c r="AX3824" s="2">
        <v>131050.502838271</v>
      </c>
    </row>
    <row r="3825" spans="1:50" x14ac:dyDescent="0.25">
      <c r="A3825" s="2" t="s">
        <v>25310</v>
      </c>
      <c r="B3825" s="2">
        <v>331.11635152554902</v>
      </c>
      <c r="C3825" s="2">
        <v>7.6547833333333299</v>
      </c>
      <c r="D3825" s="2" t="s">
        <v>51</v>
      </c>
      <c r="E3825" s="2" t="s">
        <v>25311</v>
      </c>
      <c r="F3825" s="2">
        <v>60857</v>
      </c>
      <c r="G3825" s="3" t="str">
        <f>HYPERLINK("https://cloud.oebiotech.com/#/lm/network/60857", "https://cloud.oebiotech.com/#/lm/network/60857")</f>
        <v>https://cloud.oebiotech.com/#/lm/network/60857</v>
      </c>
      <c r="H3825" s="2" t="s">
        <v>25312</v>
      </c>
      <c r="I3825" s="2">
        <v>92209</v>
      </c>
      <c r="J3825" s="2"/>
      <c r="K3825" s="2">
        <v>21627906</v>
      </c>
      <c r="L3825" s="2"/>
      <c r="M3825" s="2"/>
      <c r="N3825" s="2"/>
      <c r="O3825" s="2">
        <v>175209</v>
      </c>
      <c r="P3825" s="2"/>
      <c r="Q3825" s="2"/>
      <c r="R3825" s="2" t="s">
        <v>25313</v>
      </c>
      <c r="S3825" s="2" t="s">
        <v>25314</v>
      </c>
      <c r="T3825" s="2" t="s">
        <v>25315</v>
      </c>
      <c r="U3825" s="2" t="s">
        <v>540</v>
      </c>
      <c r="V3825" s="2" t="s">
        <v>25316</v>
      </c>
      <c r="W3825" s="2" t="s">
        <v>25317</v>
      </c>
      <c r="X3825" s="2" t="s">
        <v>83</v>
      </c>
      <c r="Y3825" s="2">
        <v>40.700000000000003</v>
      </c>
      <c r="Z3825" s="2">
        <v>0</v>
      </c>
      <c r="AA3825" s="2" t="s">
        <v>259</v>
      </c>
      <c r="AB3825" s="2" t="s">
        <v>25318</v>
      </c>
      <c r="AC3825" s="2">
        <v>-3.82660257523044</v>
      </c>
      <c r="AD3825" s="2"/>
      <c r="AE3825" s="2">
        <v>0.13542258971308499</v>
      </c>
      <c r="AF3825" s="2">
        <v>357.83095716475401</v>
      </c>
      <c r="AG3825" s="2">
        <v>1503.60678358584</v>
      </c>
      <c r="AH3825" s="4">
        <v>0.23798173902314401</v>
      </c>
      <c r="AI3825" s="4">
        <v>-2.0710772189654398</v>
      </c>
      <c r="AJ3825" s="4" t="s">
        <v>62</v>
      </c>
      <c r="AK3825" s="2">
        <v>0.17998404294850201</v>
      </c>
      <c r="AL3825" s="2">
        <v>0.50334362212059203</v>
      </c>
      <c r="AM3825" s="2">
        <v>1087.0726185646499</v>
      </c>
      <c r="AN3825" s="2">
        <v>27.2505027005563</v>
      </c>
      <c r="AO3825" s="2">
        <v>10.1820546385015</v>
      </c>
      <c r="AP3825" s="2">
        <v>632.50793358439603</v>
      </c>
      <c r="AQ3825" s="2">
        <v>157.92545424097801</v>
      </c>
      <c r="AR3825" s="2">
        <v>232.04717925944399</v>
      </c>
      <c r="AS3825" s="2">
        <v>166.63542273721399</v>
      </c>
      <c r="AT3825" s="2">
        <v>4871.3792191591701</v>
      </c>
      <c r="AU3825" s="2">
        <v>72.320296348108997</v>
      </c>
      <c r="AV3825" s="2">
        <v>2376.6688076072201</v>
      </c>
      <c r="AW3825" s="2">
        <v>48.679534498131702</v>
      </c>
      <c r="AX3825" s="2">
        <v>1485.95742116519</v>
      </c>
    </row>
    <row r="3826" spans="1:50" x14ac:dyDescent="0.25">
      <c r="A3826" s="2" t="s">
        <v>25319</v>
      </c>
      <c r="B3826" s="2">
        <v>662.14504211297196</v>
      </c>
      <c r="C3826" s="2">
        <v>4.23708333333333</v>
      </c>
      <c r="D3826" s="2" t="s">
        <v>51</v>
      </c>
      <c r="E3826" s="2" t="s">
        <v>25320</v>
      </c>
      <c r="F3826" s="2">
        <v>82981</v>
      </c>
      <c r="G3826" s="3" t="str">
        <f>HYPERLINK("https://cloud.oebiotech.com/#/lm/network/82981", "https://cloud.oebiotech.com/#/lm/network/82981")</f>
        <v>https://cloud.oebiotech.com/#/lm/network/82981</v>
      </c>
      <c r="H3826" s="2" t="s">
        <v>25321</v>
      </c>
      <c r="I3826" s="2"/>
      <c r="J3826" s="2"/>
      <c r="K3826" s="2">
        <v>73551</v>
      </c>
      <c r="L3826" s="2"/>
      <c r="M3826" s="2"/>
      <c r="N3826" s="2"/>
      <c r="O3826" s="2"/>
      <c r="P3826" s="2"/>
      <c r="Q3826" s="2"/>
      <c r="R3826" s="2"/>
      <c r="S3826" s="2" t="s">
        <v>25322</v>
      </c>
      <c r="T3826" s="2" t="s">
        <v>25323</v>
      </c>
      <c r="U3826" s="2" t="s">
        <v>540</v>
      </c>
      <c r="V3826" s="2" t="s">
        <v>3486</v>
      </c>
      <c r="W3826" s="2" t="s">
        <v>240</v>
      </c>
      <c r="X3826" s="2" t="s">
        <v>147</v>
      </c>
      <c r="Y3826" s="2">
        <v>36.5</v>
      </c>
      <c r="Z3826" s="2">
        <v>0</v>
      </c>
      <c r="AA3826" s="2" t="s">
        <v>95</v>
      </c>
      <c r="AB3826" s="2" t="s">
        <v>25324</v>
      </c>
      <c r="AC3826" s="2">
        <v>-0.84261777146464301</v>
      </c>
      <c r="AD3826" s="2"/>
      <c r="AE3826" s="2">
        <v>0.135391315398534</v>
      </c>
      <c r="AF3826" s="2">
        <v>4217.0812885689702</v>
      </c>
      <c r="AG3826" s="2">
        <v>5963.9447271734698</v>
      </c>
      <c r="AH3826" s="4">
        <v>0.70709597112037603</v>
      </c>
      <c r="AI3826" s="4">
        <v>-0.50002205571843505</v>
      </c>
      <c r="AJ3826" s="4" t="s">
        <v>62</v>
      </c>
      <c r="AK3826" s="2">
        <v>0.54787276294643705</v>
      </c>
      <c r="AL3826" s="2">
        <v>0.77060426287917505</v>
      </c>
      <c r="AM3826" s="2">
        <v>5596.9227545830399</v>
      </c>
      <c r="AN3826" s="2">
        <v>7096.33470718443</v>
      </c>
      <c r="AO3826" s="2">
        <v>4476.08033121891</v>
      </c>
      <c r="AP3826" s="2">
        <v>992.00386795704605</v>
      </c>
      <c r="AQ3826" s="2">
        <v>1110.53354523649</v>
      </c>
      <c r="AR3826" s="2">
        <v>6030.6125252338998</v>
      </c>
      <c r="AS3826" s="2">
        <v>8.559877937157E-6</v>
      </c>
      <c r="AT3826" s="2">
        <v>512.01020372800599</v>
      </c>
      <c r="AU3826" s="2">
        <v>7488.4299982779103</v>
      </c>
      <c r="AV3826" s="2">
        <v>16706.5861624688</v>
      </c>
      <c r="AW3826" s="2">
        <v>8673.1336436628008</v>
      </c>
      <c r="AX3826" s="2">
        <v>2403.5083463433998</v>
      </c>
    </row>
    <row r="3827" spans="1:50" x14ac:dyDescent="0.25">
      <c r="A3827" s="2" t="s">
        <v>25325</v>
      </c>
      <c r="B3827" s="2">
        <v>344.24392381098602</v>
      </c>
      <c r="C3827" s="2">
        <v>6.7050666666666698</v>
      </c>
      <c r="D3827" s="2" t="s">
        <v>51</v>
      </c>
      <c r="E3827" s="2" t="s">
        <v>25326</v>
      </c>
      <c r="F3827" s="2">
        <v>3643</v>
      </c>
      <c r="G3827" s="3" t="str">
        <f>HYPERLINK("https://cloud.oebiotech.com/#/lm/network/3643", "https://cloud.oebiotech.com/#/lm/network/3643")</f>
        <v>https://cloud.oebiotech.com/#/lm/network/3643</v>
      </c>
      <c r="H3827" s="2" t="s">
        <v>25327</v>
      </c>
      <c r="I3827" s="2">
        <v>3811</v>
      </c>
      <c r="J3827" s="2" t="s">
        <v>25328</v>
      </c>
      <c r="K3827" s="2">
        <v>5283032</v>
      </c>
      <c r="L3827" s="2"/>
      <c r="M3827" s="2"/>
      <c r="N3827" s="2"/>
      <c r="O3827" s="2"/>
      <c r="P3827" s="2"/>
      <c r="Q3827" s="2"/>
      <c r="R3827" s="2" t="s">
        <v>25329</v>
      </c>
      <c r="S3827" s="2" t="s">
        <v>25330</v>
      </c>
      <c r="T3827" s="2" t="s">
        <v>25331</v>
      </c>
      <c r="U3827" s="2" t="s">
        <v>56</v>
      </c>
      <c r="V3827" s="2" t="s">
        <v>145</v>
      </c>
      <c r="W3827" s="2" t="s">
        <v>187</v>
      </c>
      <c r="X3827" s="2" t="s">
        <v>83</v>
      </c>
      <c r="Y3827" s="2">
        <v>46.6</v>
      </c>
      <c r="Z3827" s="2">
        <v>26.5</v>
      </c>
      <c r="AA3827" s="2" t="s">
        <v>512</v>
      </c>
      <c r="AB3827" s="2" t="s">
        <v>12004</v>
      </c>
      <c r="AC3827" s="2">
        <v>2.3733873582355698</v>
      </c>
      <c r="AD3827" s="2"/>
      <c r="AE3827" s="2">
        <v>0.13539026434717699</v>
      </c>
      <c r="AF3827" s="2">
        <v>3610.06247122589</v>
      </c>
      <c r="AG3827" s="2">
        <v>2629.47982461216</v>
      </c>
      <c r="AH3827" s="5">
        <v>1.37291887065852</v>
      </c>
      <c r="AI3827" s="5">
        <v>0.45724637540723101</v>
      </c>
      <c r="AJ3827" s="5" t="s">
        <v>139</v>
      </c>
      <c r="AK3827" s="2">
        <v>0.52348315284318803</v>
      </c>
      <c r="AL3827" s="2">
        <v>0.753042437774049</v>
      </c>
      <c r="AM3827" s="2">
        <v>2722.5337612165899</v>
      </c>
      <c r="AN3827" s="2">
        <v>10099.3348730284</v>
      </c>
      <c r="AO3827" s="2">
        <v>3267.1759651325701</v>
      </c>
      <c r="AP3827" s="2">
        <v>1213.4908179325</v>
      </c>
      <c r="AQ3827" s="2">
        <v>2347.5453497636099</v>
      </c>
      <c r="AR3827" s="2">
        <v>2010.29406028167</v>
      </c>
      <c r="AS3827" s="2">
        <v>3158.74401177139</v>
      </c>
      <c r="AT3827" s="2">
        <v>437.41926151858399</v>
      </c>
      <c r="AU3827" s="2">
        <v>4638.7091382291701</v>
      </c>
      <c r="AV3827" s="2">
        <v>1311.31638533108</v>
      </c>
      <c r="AW3827" s="2">
        <v>2178.3375489257401</v>
      </c>
      <c r="AX3827" s="2">
        <v>4052.3526018969701</v>
      </c>
    </row>
    <row r="3828" spans="1:50" x14ac:dyDescent="0.25">
      <c r="A3828" s="2" t="s">
        <v>25332</v>
      </c>
      <c r="B3828" s="2">
        <v>397.20880427431899</v>
      </c>
      <c r="C3828" s="2">
        <v>3.7954166666666702</v>
      </c>
      <c r="D3828" s="2" t="s">
        <v>51</v>
      </c>
      <c r="E3828" s="2" t="s">
        <v>25333</v>
      </c>
      <c r="F3828" s="2">
        <v>260195</v>
      </c>
      <c r="G3828" s="3" t="str">
        <f>HYPERLINK("https://cloud.oebiotech.com/#/lm/network/260195", "https://cloud.oebiotech.com/#/lm/network/260195")</f>
        <v>https://cloud.oebiotech.com/#/lm/network/260195</v>
      </c>
      <c r="H3828" s="2"/>
      <c r="I3828" s="2">
        <v>17440</v>
      </c>
      <c r="J3828" s="2"/>
      <c r="K3828" s="2">
        <v>145459007</v>
      </c>
      <c r="L3828" s="2"/>
      <c r="M3828" s="2"/>
      <c r="N3828" s="2"/>
      <c r="O3828" s="2"/>
      <c r="P3828" s="2"/>
      <c r="Q3828" s="2"/>
      <c r="R3828" s="2"/>
      <c r="S3828" s="2" t="s">
        <v>25334</v>
      </c>
      <c r="T3828" s="2" t="s">
        <v>25335</v>
      </c>
      <c r="U3828" s="2" t="s">
        <v>103</v>
      </c>
      <c r="V3828" s="2" t="s">
        <v>104</v>
      </c>
      <c r="W3828" s="2" t="s">
        <v>105</v>
      </c>
      <c r="X3828" s="2" t="s">
        <v>83</v>
      </c>
      <c r="Y3828" s="2">
        <v>38.4</v>
      </c>
      <c r="Z3828" s="2">
        <v>0</v>
      </c>
      <c r="AA3828" s="2" t="s">
        <v>512</v>
      </c>
      <c r="AB3828" s="2" t="s">
        <v>19307</v>
      </c>
      <c r="AC3828" s="2">
        <v>1.6963458462146801</v>
      </c>
      <c r="AD3828" s="2"/>
      <c r="AE3828" s="2">
        <v>0.135236225289321</v>
      </c>
      <c r="AF3828" s="2">
        <v>2812.3121659201402</v>
      </c>
      <c r="AG3828" s="2">
        <v>1804.8607824342801</v>
      </c>
      <c r="AH3828" s="5">
        <v>1.5581878631808199</v>
      </c>
      <c r="AI3828" s="5">
        <v>0.63986918265525405</v>
      </c>
      <c r="AJ3828" s="5" t="s">
        <v>139</v>
      </c>
      <c r="AK3828" s="2">
        <v>0.42768136214539798</v>
      </c>
      <c r="AL3828" s="2">
        <v>0.68606977764313104</v>
      </c>
      <c r="AM3828" s="2">
        <v>5554.1836734059998</v>
      </c>
      <c r="AN3828" s="2">
        <v>1695.1660594104001</v>
      </c>
      <c r="AO3828" s="2">
        <v>2882.4371438281801</v>
      </c>
      <c r="AP3828" s="2">
        <v>346.88672629478702</v>
      </c>
      <c r="AQ3828" s="2">
        <v>461.06468115089899</v>
      </c>
      <c r="AR3828" s="2">
        <v>5934.13471143057</v>
      </c>
      <c r="AS3828" s="2">
        <v>8.559877937157E-6</v>
      </c>
      <c r="AT3828" s="2">
        <v>186.55988311807101</v>
      </c>
      <c r="AU3828" s="2">
        <v>1559.17385810626</v>
      </c>
      <c r="AV3828" s="2">
        <v>3556.6671127956902</v>
      </c>
      <c r="AW3828" s="2">
        <v>4102.06104208956</v>
      </c>
      <c r="AX3828" s="2">
        <v>1424.7027899362199</v>
      </c>
    </row>
    <row r="3829" spans="1:50" x14ac:dyDescent="0.25">
      <c r="A3829" s="2" t="s">
        <v>25336</v>
      </c>
      <c r="B3829" s="2">
        <v>392.18327603297303</v>
      </c>
      <c r="C3829" s="2">
        <v>4.8395999999999999</v>
      </c>
      <c r="D3829" s="2" t="s">
        <v>51</v>
      </c>
      <c r="E3829" s="2" t="s">
        <v>25337</v>
      </c>
      <c r="F3829" s="2">
        <v>265376</v>
      </c>
      <c r="G3829" s="3" t="str">
        <f>HYPERLINK("https://cloud.oebiotech.com/#/lm/network/265376", "https://cloud.oebiotech.com/#/lm/network/265376")</f>
        <v>https://cloud.oebiotech.com/#/lm/network/265376</v>
      </c>
      <c r="H3829" s="2"/>
      <c r="I3829" s="2">
        <v>22864</v>
      </c>
      <c r="J3829" s="2"/>
      <c r="K3829" s="2">
        <v>145454526</v>
      </c>
      <c r="L3829" s="2"/>
      <c r="M3829" s="2"/>
      <c r="N3829" s="2"/>
      <c r="O3829" s="2"/>
      <c r="P3829" s="2"/>
      <c r="Q3829" s="2"/>
      <c r="R3829" s="2"/>
      <c r="S3829" s="2" t="s">
        <v>25338</v>
      </c>
      <c r="T3829" s="2" t="s">
        <v>25339</v>
      </c>
      <c r="U3829" s="2" t="s">
        <v>103</v>
      </c>
      <c r="V3829" s="2" t="s">
        <v>104</v>
      </c>
      <c r="W3829" s="2" t="s">
        <v>105</v>
      </c>
      <c r="X3829" s="2" t="s">
        <v>83</v>
      </c>
      <c r="Y3829" s="2">
        <v>45.1</v>
      </c>
      <c r="Z3829" s="2">
        <v>0</v>
      </c>
      <c r="AA3829" s="2" t="s">
        <v>163</v>
      </c>
      <c r="AB3829" s="2" t="s">
        <v>22644</v>
      </c>
      <c r="AC3829" s="2">
        <v>1.4417135320494301</v>
      </c>
      <c r="AD3829" s="2"/>
      <c r="AE3829" s="2">
        <v>0.135232215652691</v>
      </c>
      <c r="AF3829" s="2">
        <v>288.58830170856498</v>
      </c>
      <c r="AG3829" s="2">
        <v>1026.59487644049</v>
      </c>
      <c r="AH3829" s="4">
        <v>0.28111215858507599</v>
      </c>
      <c r="AI3829" s="4">
        <v>-1.8307822407740699</v>
      </c>
      <c r="AJ3829" s="4" t="s">
        <v>62</v>
      </c>
      <c r="AK3829" s="2">
        <v>0.20552043937928</v>
      </c>
      <c r="AL3829" s="2">
        <v>0.53096870391533402</v>
      </c>
      <c r="AM3829" s="2">
        <v>711.40709547444203</v>
      </c>
      <c r="AN3829" s="2">
        <v>343.85332130986899</v>
      </c>
      <c r="AO3829" s="2">
        <v>8.559877937157E-6</v>
      </c>
      <c r="AP3829" s="2">
        <v>477.427293499661</v>
      </c>
      <c r="AQ3829" s="2">
        <v>198.84208284766001</v>
      </c>
      <c r="AR3829" s="2">
        <v>8.559877937157E-6</v>
      </c>
      <c r="AS3829" s="2">
        <v>8.559877937157E-6</v>
      </c>
      <c r="AT3829" s="2">
        <v>8.559877937157E-6</v>
      </c>
      <c r="AU3829" s="2">
        <v>1027.9540005328899</v>
      </c>
      <c r="AV3829" s="2">
        <v>944.843231025465</v>
      </c>
      <c r="AW3829" s="2">
        <v>3530.2180744719099</v>
      </c>
      <c r="AX3829" s="2">
        <v>656.55393549289795</v>
      </c>
    </row>
    <row r="3830" spans="1:50" x14ac:dyDescent="0.25">
      <c r="A3830" s="2" t="s">
        <v>25340</v>
      </c>
      <c r="B3830" s="2">
        <v>272.06905572087601</v>
      </c>
      <c r="C3830" s="2">
        <v>1.0339</v>
      </c>
      <c r="D3830" s="2" t="s">
        <v>51</v>
      </c>
      <c r="E3830" s="2" t="s">
        <v>25341</v>
      </c>
      <c r="F3830" s="2">
        <v>205746</v>
      </c>
      <c r="G3830" s="3" t="str">
        <f>HYPERLINK("https://cloud.oebiotech.com/#/lm/network/205746", "https://cloud.oebiotech.com/#/lm/network/205746")</f>
        <v>https://cloud.oebiotech.com/#/lm/network/205746</v>
      </c>
      <c r="H3830" s="2" t="s">
        <v>25342</v>
      </c>
      <c r="I3830" s="2"/>
      <c r="J3830" s="2"/>
      <c r="K3830" s="2">
        <v>21933738</v>
      </c>
      <c r="L3830" s="2"/>
      <c r="M3830" s="2"/>
      <c r="N3830" s="2"/>
      <c r="O3830" s="2"/>
      <c r="P3830" s="2"/>
      <c r="Q3830" s="2"/>
      <c r="R3830" s="2"/>
      <c r="S3830" s="2" t="s">
        <v>25343</v>
      </c>
      <c r="T3830" s="2" t="s">
        <v>25344</v>
      </c>
      <c r="U3830" s="2" t="s">
        <v>295</v>
      </c>
      <c r="V3830" s="2" t="s">
        <v>5645</v>
      </c>
      <c r="W3830" s="2" t="s">
        <v>240</v>
      </c>
      <c r="X3830" s="2" t="s">
        <v>147</v>
      </c>
      <c r="Y3830" s="2">
        <v>40.799999999999997</v>
      </c>
      <c r="Z3830" s="2">
        <v>9.0399999999999991</v>
      </c>
      <c r="AA3830" s="2" t="s">
        <v>218</v>
      </c>
      <c r="AB3830" s="2" t="s">
        <v>25345</v>
      </c>
      <c r="AC3830" s="2">
        <v>1.02803742982788</v>
      </c>
      <c r="AD3830" s="2"/>
      <c r="AE3830" s="2">
        <v>0.135221748549053</v>
      </c>
      <c r="AF3830" s="2">
        <v>36369.994362414996</v>
      </c>
      <c r="AG3830" s="2">
        <v>36137.246243981303</v>
      </c>
      <c r="AH3830" s="5">
        <v>1.00644067112536</v>
      </c>
      <c r="AI3830" s="5">
        <v>9.2621290441438492E-3</v>
      </c>
      <c r="AJ3830" s="5" t="s">
        <v>139</v>
      </c>
      <c r="AK3830" s="2">
        <v>0.974291773081432</v>
      </c>
      <c r="AL3830" s="2">
        <v>0.98962707558331298</v>
      </c>
      <c r="AM3830" s="2">
        <v>63327.0552390394</v>
      </c>
      <c r="AN3830" s="2">
        <v>15174.0997200291</v>
      </c>
      <c r="AO3830" s="2">
        <v>41103.398265449599</v>
      </c>
      <c r="AP3830" s="2">
        <v>37687.380903141602</v>
      </c>
      <c r="AQ3830" s="2">
        <v>31358.665345380599</v>
      </c>
      <c r="AR3830" s="2">
        <v>29569.3667014497</v>
      </c>
      <c r="AS3830" s="2">
        <v>31026.876416133899</v>
      </c>
      <c r="AT3830" s="2">
        <v>36746.355081704802</v>
      </c>
      <c r="AU3830" s="2">
        <v>48121.778890080699</v>
      </c>
      <c r="AV3830" s="2">
        <v>37527.403242999797</v>
      </c>
      <c r="AW3830" s="2">
        <v>33392.649429793702</v>
      </c>
      <c r="AX3830" s="2">
        <v>30008.414403175098</v>
      </c>
    </row>
    <row r="3831" spans="1:50" x14ac:dyDescent="0.25">
      <c r="A3831" s="2" t="s">
        <v>25346</v>
      </c>
      <c r="B3831" s="2">
        <v>207.06567649959899</v>
      </c>
      <c r="C3831" s="2">
        <v>4.59985</v>
      </c>
      <c r="D3831" s="2" t="s">
        <v>51</v>
      </c>
      <c r="E3831" s="2" t="s">
        <v>25347</v>
      </c>
      <c r="F3831" s="2">
        <v>59662</v>
      </c>
      <c r="G3831" s="3" t="str">
        <f>HYPERLINK("https://cloud.oebiotech.com/#/lm/network/59662", "https://cloud.oebiotech.com/#/lm/network/59662")</f>
        <v>https://cloud.oebiotech.com/#/lm/network/59662</v>
      </c>
      <c r="H3831" s="2" t="s">
        <v>25348</v>
      </c>
      <c r="I3831" s="2"/>
      <c r="J3831" s="2"/>
      <c r="K3831" s="2">
        <v>23340</v>
      </c>
      <c r="L3831" s="2" t="s">
        <v>25349</v>
      </c>
      <c r="M3831" s="2"/>
      <c r="N3831" s="2"/>
      <c r="O3831" s="2">
        <v>94318</v>
      </c>
      <c r="P3831" s="2"/>
      <c r="Q3831" s="2"/>
      <c r="R3831" s="2" t="s">
        <v>25350</v>
      </c>
      <c r="S3831" s="2" t="s">
        <v>25351</v>
      </c>
      <c r="T3831" s="2" t="s">
        <v>25352</v>
      </c>
      <c r="U3831" s="2" t="s">
        <v>56</v>
      </c>
      <c r="V3831" s="2" t="s">
        <v>177</v>
      </c>
      <c r="W3831" s="2" t="s">
        <v>584</v>
      </c>
      <c r="X3831" s="2" t="s">
        <v>83</v>
      </c>
      <c r="Y3831" s="2">
        <v>46.6</v>
      </c>
      <c r="Z3831" s="2">
        <v>0</v>
      </c>
      <c r="AA3831" s="2" t="s">
        <v>379</v>
      </c>
      <c r="AB3831" s="2" t="s">
        <v>25353</v>
      </c>
      <c r="AC3831" s="2">
        <v>-2.6800961124346898</v>
      </c>
      <c r="AD3831" s="2"/>
      <c r="AE3831" s="2">
        <v>0.135187844466962</v>
      </c>
      <c r="AF3831" s="2">
        <v>5310.58093926113</v>
      </c>
      <c r="AG3831" s="2">
        <v>2699.52758805756</v>
      </c>
      <c r="AH3831" s="5">
        <v>1.9672260297522499</v>
      </c>
      <c r="AI3831" s="5">
        <v>0.97616272948646399</v>
      </c>
      <c r="AJ3831" s="5" t="s">
        <v>139</v>
      </c>
      <c r="AK3831" s="2">
        <v>0.55875776325250104</v>
      </c>
      <c r="AL3831" s="2">
        <v>0.778439037851683</v>
      </c>
      <c r="AM3831" s="2">
        <v>46.205516970978898</v>
      </c>
      <c r="AN3831" s="2">
        <v>8.559877937157E-6</v>
      </c>
      <c r="AO3831" s="2">
        <v>27.966803483607901</v>
      </c>
      <c r="AP3831" s="2">
        <v>8.559877937157E-6</v>
      </c>
      <c r="AQ3831" s="2">
        <v>23649.2995942944</v>
      </c>
      <c r="AR3831" s="2">
        <v>8140.0137036980204</v>
      </c>
      <c r="AS3831" s="2">
        <v>8.559877937157E-6</v>
      </c>
      <c r="AT3831" s="2">
        <v>8.559877937157E-6</v>
      </c>
      <c r="AU3831" s="2">
        <v>10863.0950674255</v>
      </c>
      <c r="AV3831" s="2">
        <v>5334.0704266803295</v>
      </c>
      <c r="AW3831" s="2">
        <v>8.559877937157E-6</v>
      </c>
      <c r="AX3831" s="2">
        <v>8.559877937157E-6</v>
      </c>
    </row>
    <row r="3832" spans="1:50" x14ac:dyDescent="0.25">
      <c r="A3832" s="2" t="s">
        <v>25354</v>
      </c>
      <c r="B3832" s="2">
        <v>318.16606291437898</v>
      </c>
      <c r="C3832" s="2">
        <v>4.6687166666666702</v>
      </c>
      <c r="D3832" s="2" t="s">
        <v>51</v>
      </c>
      <c r="E3832" s="2" t="s">
        <v>25355</v>
      </c>
      <c r="F3832" s="2">
        <v>53206</v>
      </c>
      <c r="G3832" s="3" t="str">
        <f>HYPERLINK("https://cloud.oebiotech.com/#/lm/network/53206", "https://cloud.oebiotech.com/#/lm/network/53206")</f>
        <v>https://cloud.oebiotech.com/#/lm/network/53206</v>
      </c>
      <c r="H3832" s="2" t="s">
        <v>25356</v>
      </c>
      <c r="I3832" s="2">
        <v>43272</v>
      </c>
      <c r="J3832" s="2"/>
      <c r="K3832" s="2">
        <v>4440</v>
      </c>
      <c r="L3832" s="2" t="s">
        <v>25357</v>
      </c>
      <c r="M3832" s="2"/>
      <c r="N3832" s="2"/>
      <c r="O3832" s="2">
        <v>7478</v>
      </c>
      <c r="P3832" s="2"/>
      <c r="Q3832" s="2"/>
      <c r="R3832" s="2" t="s">
        <v>25358</v>
      </c>
      <c r="S3832" s="2" t="s">
        <v>25359</v>
      </c>
      <c r="T3832" s="2" t="s">
        <v>25360</v>
      </c>
      <c r="U3832" s="2" t="s">
        <v>266</v>
      </c>
      <c r="V3832" s="2" t="s">
        <v>445</v>
      </c>
      <c r="W3832" s="2" t="s">
        <v>446</v>
      </c>
      <c r="X3832" s="2" t="s">
        <v>83</v>
      </c>
      <c r="Y3832" s="2">
        <v>44.7</v>
      </c>
      <c r="Z3832" s="2">
        <v>27.2</v>
      </c>
      <c r="AA3832" s="2" t="s">
        <v>156</v>
      </c>
      <c r="AB3832" s="2" t="s">
        <v>25361</v>
      </c>
      <c r="AC3832" s="2">
        <v>7.7666090799623202</v>
      </c>
      <c r="AD3832" s="2"/>
      <c r="AE3832" s="2">
        <v>0.135137239584667</v>
      </c>
      <c r="AF3832" s="2">
        <v>2023.07146952726</v>
      </c>
      <c r="AG3832" s="2">
        <v>1098.7670958107799</v>
      </c>
      <c r="AH3832" s="5">
        <v>1.8412195607609101</v>
      </c>
      <c r="AI3832" s="5">
        <v>0.88066167466925804</v>
      </c>
      <c r="AJ3832" s="5" t="s">
        <v>139</v>
      </c>
      <c r="AK3832" s="2">
        <v>0.26534880882532202</v>
      </c>
      <c r="AL3832" s="2">
        <v>0.586950774216072</v>
      </c>
      <c r="AM3832" s="2">
        <v>665.26224900551097</v>
      </c>
      <c r="AN3832" s="2">
        <v>508.35197597636198</v>
      </c>
      <c r="AO3832" s="2">
        <v>3664.6026069129898</v>
      </c>
      <c r="AP3832" s="2">
        <v>956.74151229932295</v>
      </c>
      <c r="AQ3832" s="2">
        <v>4692.6568596773304</v>
      </c>
      <c r="AR3832" s="2">
        <v>1650.8136132920699</v>
      </c>
      <c r="AS3832" s="2">
        <v>587.33050056044499</v>
      </c>
      <c r="AT3832" s="2">
        <v>2556.5964532345702</v>
      </c>
      <c r="AU3832" s="2">
        <v>1040.5480429301099</v>
      </c>
      <c r="AV3832" s="2">
        <v>300.00948887117301</v>
      </c>
      <c r="AW3832" s="2">
        <v>786.421409862563</v>
      </c>
      <c r="AX3832" s="2">
        <v>1321.6966794058001</v>
      </c>
    </row>
    <row r="3833" spans="1:50" x14ac:dyDescent="0.25">
      <c r="A3833" s="2" t="s">
        <v>25362</v>
      </c>
      <c r="B3833" s="2">
        <v>331.019442272905</v>
      </c>
      <c r="C3833" s="2">
        <v>8.9855999999999998</v>
      </c>
      <c r="D3833" s="2" t="s">
        <v>51</v>
      </c>
      <c r="E3833" s="2" t="s">
        <v>25363</v>
      </c>
      <c r="F3833" s="2">
        <v>209608</v>
      </c>
      <c r="G3833" s="3" t="str">
        <f>HYPERLINK("https://cloud.oebiotech.com/#/lm/network/209608", "https://cloud.oebiotech.com/#/lm/network/209608")</f>
        <v>https://cloud.oebiotech.com/#/lm/network/209608</v>
      </c>
      <c r="H3833" s="2" t="s">
        <v>25364</v>
      </c>
      <c r="I3833" s="2"/>
      <c r="J3833" s="2"/>
      <c r="K3833" s="2">
        <v>66707439</v>
      </c>
      <c r="L3833" s="2"/>
      <c r="M3833" s="2"/>
      <c r="N3833" s="2"/>
      <c r="O3833" s="2"/>
      <c r="P3833" s="2"/>
      <c r="Q3833" s="2"/>
      <c r="R3833" s="2"/>
      <c r="S3833" s="2" t="s">
        <v>25365</v>
      </c>
      <c r="T3833" s="2" t="s">
        <v>25366</v>
      </c>
      <c r="U3833" s="2" t="s">
        <v>3062</v>
      </c>
      <c r="V3833" s="2" t="s">
        <v>3063</v>
      </c>
      <c r="W3833" s="2" t="s">
        <v>3064</v>
      </c>
      <c r="X3833" s="2" t="s">
        <v>147</v>
      </c>
      <c r="Y3833" s="2">
        <v>38.799999999999997</v>
      </c>
      <c r="Z3833" s="2">
        <v>0</v>
      </c>
      <c r="AA3833" s="2" t="s">
        <v>478</v>
      </c>
      <c r="AB3833" s="2" t="s">
        <v>25367</v>
      </c>
      <c r="AC3833" s="2">
        <v>4.0322847179301702</v>
      </c>
      <c r="AD3833" s="2"/>
      <c r="AE3833" s="2">
        <v>0.13513451515800301</v>
      </c>
      <c r="AF3833" s="2">
        <v>1596.90718039335</v>
      </c>
      <c r="AG3833" s="2">
        <v>2044.99498940889</v>
      </c>
      <c r="AH3833" s="4">
        <v>0.780885620093836</v>
      </c>
      <c r="AI3833" s="4">
        <v>-0.356816849219322</v>
      </c>
      <c r="AJ3833" s="4" t="s">
        <v>62</v>
      </c>
      <c r="AK3833" s="2">
        <v>1.4606600506318601E-2</v>
      </c>
      <c r="AL3833" s="2">
        <v>0.19163019064213599</v>
      </c>
      <c r="AM3833" s="2">
        <v>1565.5729562075701</v>
      </c>
      <c r="AN3833" s="2">
        <v>1505.7823597981201</v>
      </c>
      <c r="AO3833" s="2">
        <v>1665.76972308877</v>
      </c>
      <c r="AP3833" s="2">
        <v>1219.7824243361499</v>
      </c>
      <c r="AQ3833" s="2">
        <v>2014.5080849170599</v>
      </c>
      <c r="AR3833" s="2">
        <v>1610.0275340124399</v>
      </c>
      <c r="AS3833" s="2">
        <v>2127.8791414769598</v>
      </c>
      <c r="AT3833" s="2">
        <v>2033.30219611909</v>
      </c>
      <c r="AU3833" s="2">
        <v>1578.00594189803</v>
      </c>
      <c r="AV3833" s="2">
        <v>2024.16400751335</v>
      </c>
      <c r="AW3833" s="2">
        <v>2094.5816169817299</v>
      </c>
      <c r="AX3833" s="2">
        <v>2412.0370324641999</v>
      </c>
    </row>
    <row r="3834" spans="1:50" x14ac:dyDescent="0.25">
      <c r="A3834" s="2" t="s">
        <v>25368</v>
      </c>
      <c r="B3834" s="2">
        <v>303.17130669256198</v>
      </c>
      <c r="C3834" s="2">
        <v>7.4269166666666697</v>
      </c>
      <c r="D3834" s="2" t="s">
        <v>51</v>
      </c>
      <c r="E3834" s="2" t="s">
        <v>25369</v>
      </c>
      <c r="F3834" s="2">
        <v>1503</v>
      </c>
      <c r="G3834" s="3" t="str">
        <f>HYPERLINK("https://cloud.oebiotech.com/#/lm/network/1503", "https://cloud.oebiotech.com/#/lm/network/1503")</f>
        <v>https://cloud.oebiotech.com/#/lm/network/1503</v>
      </c>
      <c r="H3834" s="2"/>
      <c r="I3834" s="2"/>
      <c r="J3834" s="2" t="s">
        <v>25370</v>
      </c>
      <c r="K3834" s="2">
        <v>134812110</v>
      </c>
      <c r="L3834" s="2"/>
      <c r="M3834" s="2"/>
      <c r="N3834" s="2"/>
      <c r="O3834" s="2"/>
      <c r="P3834" s="2"/>
      <c r="Q3834" s="2"/>
      <c r="R3834" s="2"/>
      <c r="S3834" s="2" t="s">
        <v>25371</v>
      </c>
      <c r="T3834" s="2" t="s">
        <v>25372</v>
      </c>
      <c r="U3834" s="2" t="s">
        <v>56</v>
      </c>
      <c r="V3834" s="2" t="s">
        <v>145</v>
      </c>
      <c r="W3834" s="2" t="s">
        <v>231</v>
      </c>
      <c r="X3834" s="2" t="s">
        <v>147</v>
      </c>
      <c r="Y3834" s="2">
        <v>42.3</v>
      </c>
      <c r="Z3834" s="2">
        <v>18.399999999999999</v>
      </c>
      <c r="AA3834" s="2" t="s">
        <v>395</v>
      </c>
      <c r="AB3834" s="2" t="s">
        <v>25373</v>
      </c>
      <c r="AC3834" s="2">
        <v>-2.9579791927732901</v>
      </c>
      <c r="AD3834" s="2"/>
      <c r="AE3834" s="2">
        <v>0.13501809252604299</v>
      </c>
      <c r="AF3834" s="2">
        <v>1549.2340978434499</v>
      </c>
      <c r="AG3834" s="2">
        <v>928.98665399970901</v>
      </c>
      <c r="AH3834" s="5">
        <v>1.66766023082602</v>
      </c>
      <c r="AI3834" s="5">
        <v>0.73782538396606601</v>
      </c>
      <c r="AJ3834" s="5" t="s">
        <v>139</v>
      </c>
      <c r="AK3834" s="2">
        <v>0.235045359160897</v>
      </c>
      <c r="AL3834" s="2">
        <v>0.56020244774718697</v>
      </c>
      <c r="AM3834" s="2">
        <v>2175.2430751257898</v>
      </c>
      <c r="AN3834" s="2">
        <v>2483.9502403681699</v>
      </c>
      <c r="AO3834" s="2">
        <v>530.74105082015899</v>
      </c>
      <c r="AP3834" s="2">
        <v>641.13200684898402</v>
      </c>
      <c r="AQ3834" s="2">
        <v>2199.90610375088</v>
      </c>
      <c r="AR3834" s="2">
        <v>1264.4321101467001</v>
      </c>
      <c r="AS3834" s="2">
        <v>474.46497128007098</v>
      </c>
      <c r="AT3834" s="2">
        <v>39.112057724943803</v>
      </c>
      <c r="AU3834" s="2">
        <v>2146.86925953026</v>
      </c>
      <c r="AV3834" s="2">
        <v>150.95361366326699</v>
      </c>
      <c r="AW3834" s="2">
        <v>1157.26961738252</v>
      </c>
      <c r="AX3834" s="2">
        <v>1605.2504044171901</v>
      </c>
    </row>
    <row r="3835" spans="1:50" x14ac:dyDescent="0.25">
      <c r="A3835" s="2" t="s">
        <v>25374</v>
      </c>
      <c r="B3835" s="2">
        <v>216.016976233028</v>
      </c>
      <c r="C3835" s="2">
        <v>5.5685333333333302</v>
      </c>
      <c r="D3835" s="2" t="s">
        <v>51</v>
      </c>
      <c r="E3835" s="2" t="s">
        <v>25375</v>
      </c>
      <c r="F3835" s="2">
        <v>204020</v>
      </c>
      <c r="G3835" s="3" t="str">
        <f>HYPERLINK("https://cloud.oebiotech.com/#/lm/network/204020", "https://cloud.oebiotech.com/#/lm/network/204020")</f>
        <v>https://cloud.oebiotech.com/#/lm/network/204020</v>
      </c>
      <c r="H3835" s="2" t="s">
        <v>25376</v>
      </c>
      <c r="I3835" s="2"/>
      <c r="J3835" s="2"/>
      <c r="K3835" s="2">
        <v>21708759</v>
      </c>
      <c r="L3835" s="2"/>
      <c r="M3835" s="2"/>
      <c r="N3835" s="2"/>
      <c r="O3835" s="2"/>
      <c r="P3835" s="2"/>
      <c r="Q3835" s="2"/>
      <c r="R3835" s="2"/>
      <c r="S3835" s="2" t="s">
        <v>25377</v>
      </c>
      <c r="T3835" s="2" t="s">
        <v>25378</v>
      </c>
      <c r="U3835" s="2" t="s">
        <v>266</v>
      </c>
      <c r="V3835" s="2" t="s">
        <v>2963</v>
      </c>
      <c r="W3835" s="2" t="s">
        <v>240</v>
      </c>
      <c r="X3835" s="2" t="s">
        <v>147</v>
      </c>
      <c r="Y3835" s="2">
        <v>38</v>
      </c>
      <c r="Z3835" s="2">
        <v>0</v>
      </c>
      <c r="AA3835" s="2" t="s">
        <v>395</v>
      </c>
      <c r="AB3835" s="2" t="s">
        <v>25379</v>
      </c>
      <c r="AC3835" s="2">
        <v>-4.7019496759564197E-2</v>
      </c>
      <c r="AD3835" s="2"/>
      <c r="AE3835" s="2">
        <v>0.13487475408722799</v>
      </c>
      <c r="AF3835" s="2">
        <v>1378.4488283646599</v>
      </c>
      <c r="AG3835" s="2">
        <v>701.83784520074801</v>
      </c>
      <c r="AH3835" s="5">
        <v>1.9640559963966899</v>
      </c>
      <c r="AI3835" s="5">
        <v>0.97383606232682696</v>
      </c>
      <c r="AJ3835" s="5" t="s">
        <v>139</v>
      </c>
      <c r="AK3835" s="2">
        <v>0.22711094351213801</v>
      </c>
      <c r="AL3835" s="2">
        <v>0.55318612061801498</v>
      </c>
      <c r="AM3835" s="2">
        <v>2725.1157466508198</v>
      </c>
      <c r="AN3835" s="2">
        <v>706.67747271126495</v>
      </c>
      <c r="AO3835" s="2">
        <v>332.72109698309299</v>
      </c>
      <c r="AP3835" s="2">
        <v>518.71312975974104</v>
      </c>
      <c r="AQ3835" s="2">
        <v>3282.1236868814999</v>
      </c>
      <c r="AR3835" s="2">
        <v>705.34183720152203</v>
      </c>
      <c r="AS3835" s="2">
        <v>910.24834243884902</v>
      </c>
      <c r="AT3835" s="2">
        <v>750.63641979558804</v>
      </c>
      <c r="AU3835" s="2">
        <v>578.56615953327901</v>
      </c>
      <c r="AV3835" s="2">
        <v>828.41679446634896</v>
      </c>
      <c r="AW3835" s="2">
        <v>511.874410906474</v>
      </c>
      <c r="AX3835" s="2">
        <v>631.284944063946</v>
      </c>
    </row>
    <row r="3836" spans="1:50" x14ac:dyDescent="0.25">
      <c r="A3836" s="2" t="s">
        <v>25380</v>
      </c>
      <c r="B3836" s="2">
        <v>180.10243995766001</v>
      </c>
      <c r="C3836" s="2">
        <v>4.7497999999999996</v>
      </c>
      <c r="D3836" s="2" t="s">
        <v>51</v>
      </c>
      <c r="E3836" s="2" t="s">
        <v>25381</v>
      </c>
      <c r="F3836" s="2">
        <v>9079</v>
      </c>
      <c r="G3836" s="3" t="str">
        <f>HYPERLINK("https://cloud.oebiotech.com/#/lm/network/9079", "https://cloud.oebiotech.com/#/lm/network/9079")</f>
        <v>https://cloud.oebiotech.com/#/lm/network/9079</v>
      </c>
      <c r="H3836" s="2"/>
      <c r="I3836" s="2"/>
      <c r="J3836" s="2" t="s">
        <v>25382</v>
      </c>
      <c r="K3836" s="2"/>
      <c r="L3836" s="2"/>
      <c r="M3836" s="2"/>
      <c r="N3836" s="2"/>
      <c r="O3836" s="2"/>
      <c r="P3836" s="2"/>
      <c r="Q3836" s="2"/>
      <c r="R3836" s="2"/>
      <c r="S3836" s="2" t="s">
        <v>25383</v>
      </c>
      <c r="T3836" s="2" t="s">
        <v>25384</v>
      </c>
      <c r="U3836" s="2" t="s">
        <v>119</v>
      </c>
      <c r="V3836" s="2" t="s">
        <v>120</v>
      </c>
      <c r="W3836" s="2" t="s">
        <v>1887</v>
      </c>
      <c r="X3836" s="2" t="s">
        <v>69</v>
      </c>
      <c r="Y3836" s="2">
        <v>51.7</v>
      </c>
      <c r="Z3836" s="2">
        <v>55.5</v>
      </c>
      <c r="AA3836" s="2" t="s">
        <v>156</v>
      </c>
      <c r="AB3836" s="2" t="s">
        <v>25385</v>
      </c>
      <c r="AC3836" s="2">
        <v>2.7135922749574899</v>
      </c>
      <c r="AD3836" s="2"/>
      <c r="AE3836" s="2">
        <v>0.134702613771116</v>
      </c>
      <c r="AF3836" s="2">
        <v>1685.28339782699</v>
      </c>
      <c r="AG3836" s="2">
        <v>2547.4385215683901</v>
      </c>
      <c r="AH3836" s="4">
        <v>0.66155998802648497</v>
      </c>
      <c r="AI3836" s="4">
        <v>-0.59605611373575296</v>
      </c>
      <c r="AJ3836" s="4" t="s">
        <v>62</v>
      </c>
      <c r="AK3836" s="2">
        <v>0.64610506865796002</v>
      </c>
      <c r="AL3836" s="2">
        <v>0.82706463834029897</v>
      </c>
      <c r="AM3836" s="2">
        <v>1850.6224090559799</v>
      </c>
      <c r="AN3836" s="2">
        <v>221.58253870336901</v>
      </c>
      <c r="AO3836" s="2">
        <v>1125.28680443193</v>
      </c>
      <c r="AP3836" s="2">
        <v>5679.4544550673199</v>
      </c>
      <c r="AQ3836" s="2">
        <v>1087.82642714192</v>
      </c>
      <c r="AR3836" s="2">
        <v>146.92775256141999</v>
      </c>
      <c r="AS3836" s="2">
        <v>10169.9405521881</v>
      </c>
      <c r="AT3836" s="2">
        <v>160.93984902035601</v>
      </c>
      <c r="AU3836" s="2">
        <v>222.16795957093001</v>
      </c>
      <c r="AV3836" s="2">
        <v>203.624430208326</v>
      </c>
      <c r="AW3836" s="2">
        <v>942.77531104269201</v>
      </c>
      <c r="AX3836" s="2">
        <v>3585.1830273799301</v>
      </c>
    </row>
    <row r="3837" spans="1:50" x14ac:dyDescent="0.25">
      <c r="A3837" s="2" t="s">
        <v>25386</v>
      </c>
      <c r="B3837" s="2">
        <v>417.18136507754201</v>
      </c>
      <c r="C3837" s="2">
        <v>9.9108499999999999</v>
      </c>
      <c r="D3837" s="2" t="s">
        <v>51</v>
      </c>
      <c r="E3837" s="2" t="s">
        <v>25387</v>
      </c>
      <c r="F3837" s="2">
        <v>53346</v>
      </c>
      <c r="G3837" s="3" t="str">
        <f>HYPERLINK("https://cloud.oebiotech.com/#/lm/network/53346", "https://cloud.oebiotech.com/#/lm/network/53346")</f>
        <v>https://cloud.oebiotech.com/#/lm/network/53346</v>
      </c>
      <c r="H3837" s="2" t="s">
        <v>25388</v>
      </c>
      <c r="I3837" s="2">
        <v>68897</v>
      </c>
      <c r="J3837" s="2"/>
      <c r="K3837" s="2">
        <v>7099</v>
      </c>
      <c r="L3837" s="2" t="s">
        <v>25389</v>
      </c>
      <c r="M3837" s="2"/>
      <c r="N3837" s="2"/>
      <c r="O3837" s="2">
        <v>8452</v>
      </c>
      <c r="P3837" s="2"/>
      <c r="Q3837" s="2"/>
      <c r="R3837" s="2" t="s">
        <v>25390</v>
      </c>
      <c r="S3837" s="2" t="s">
        <v>25391</v>
      </c>
      <c r="T3837" s="2" t="s">
        <v>25392</v>
      </c>
      <c r="U3837" s="2" t="s">
        <v>266</v>
      </c>
      <c r="V3837" s="2" t="s">
        <v>1393</v>
      </c>
      <c r="W3837" s="2" t="s">
        <v>1394</v>
      </c>
      <c r="X3837" s="2" t="s">
        <v>147</v>
      </c>
      <c r="Y3837" s="2">
        <v>36.1</v>
      </c>
      <c r="Z3837" s="2">
        <v>0</v>
      </c>
      <c r="AA3837" s="2" t="s">
        <v>478</v>
      </c>
      <c r="AB3837" s="2" t="s">
        <v>25393</v>
      </c>
      <c r="AC3837" s="2">
        <v>-4.6706569271657399</v>
      </c>
      <c r="AD3837" s="2"/>
      <c r="AE3837" s="2">
        <v>0.13462349953515201</v>
      </c>
      <c r="AF3837" s="2">
        <v>1604.9925080673299</v>
      </c>
      <c r="AG3837" s="2">
        <v>1053.22356570754</v>
      </c>
      <c r="AH3837" s="5">
        <v>1.5238858684187599</v>
      </c>
      <c r="AI3837" s="5">
        <v>0.607754856090999</v>
      </c>
      <c r="AJ3837" s="5" t="s">
        <v>139</v>
      </c>
      <c r="AK3837" s="2">
        <v>0.491338003359854</v>
      </c>
      <c r="AL3837" s="2">
        <v>0.73293309697172204</v>
      </c>
      <c r="AM3837" s="2">
        <v>5260.7329108316999</v>
      </c>
      <c r="AN3837" s="2">
        <v>724.36482932952697</v>
      </c>
      <c r="AO3837" s="2">
        <v>776.68464777365898</v>
      </c>
      <c r="AP3837" s="2">
        <v>1425.1504174873701</v>
      </c>
      <c r="AQ3837" s="2">
        <v>498.47622432761801</v>
      </c>
      <c r="AR3837" s="2">
        <v>944.54601865407699</v>
      </c>
      <c r="AS3837" s="2">
        <v>947.64896435242599</v>
      </c>
      <c r="AT3837" s="2">
        <v>1132.27145084018</v>
      </c>
      <c r="AU3837" s="2">
        <v>2048.9353807837801</v>
      </c>
      <c r="AV3837" s="2">
        <v>579.16579758482999</v>
      </c>
      <c r="AW3837" s="2">
        <v>911.395573101163</v>
      </c>
      <c r="AX3837" s="2">
        <v>699.92422758283101</v>
      </c>
    </row>
    <row r="3838" spans="1:50" x14ac:dyDescent="0.25">
      <c r="A3838" s="2" t="s">
        <v>25394</v>
      </c>
      <c r="B3838" s="2">
        <v>465.24978072329299</v>
      </c>
      <c r="C3838" s="2">
        <v>8.1572999999999993</v>
      </c>
      <c r="D3838" s="2" t="s">
        <v>51</v>
      </c>
      <c r="E3838" s="2" t="s">
        <v>25395</v>
      </c>
      <c r="F3838" s="2">
        <v>46652</v>
      </c>
      <c r="G3838" s="3" t="str">
        <f>HYPERLINK("https://cloud.oebiotech.com/#/lm/network/46652", "https://cloud.oebiotech.com/#/lm/network/46652")</f>
        <v>https://cloud.oebiotech.com/#/lm/network/46652</v>
      </c>
      <c r="H3838" s="2" t="s">
        <v>25396</v>
      </c>
      <c r="I3838" s="2">
        <v>57959</v>
      </c>
      <c r="J3838" s="2" t="s">
        <v>25397</v>
      </c>
      <c r="K3838" s="2">
        <v>44263365</v>
      </c>
      <c r="L3838" s="2"/>
      <c r="M3838" s="2"/>
      <c r="N3838" s="2"/>
      <c r="O3838" s="2">
        <v>89417</v>
      </c>
      <c r="P3838" s="2"/>
      <c r="Q3838" s="2"/>
      <c r="R3838" s="2" t="s">
        <v>25398</v>
      </c>
      <c r="S3838" s="2" t="s">
        <v>25399</v>
      </c>
      <c r="T3838" s="2" t="s">
        <v>25400</v>
      </c>
      <c r="U3838" s="2" t="s">
        <v>56</v>
      </c>
      <c r="V3838" s="2" t="s">
        <v>283</v>
      </c>
      <c r="W3838" s="2" t="s">
        <v>3462</v>
      </c>
      <c r="X3838" s="2" t="s">
        <v>83</v>
      </c>
      <c r="Y3838" s="2">
        <v>42.6</v>
      </c>
      <c r="Z3838" s="2">
        <v>0</v>
      </c>
      <c r="AA3838" s="2" t="s">
        <v>163</v>
      </c>
      <c r="AB3838" s="2" t="s">
        <v>25401</v>
      </c>
      <c r="AC3838" s="2">
        <v>0.83426185495544702</v>
      </c>
      <c r="AD3838" s="2"/>
      <c r="AE3838" s="2">
        <v>0.13446077318510899</v>
      </c>
      <c r="AF3838" s="2">
        <v>915.39618552933302</v>
      </c>
      <c r="AG3838" s="2">
        <v>1718.5331205018799</v>
      </c>
      <c r="AH3838" s="4">
        <v>0.53266135788060998</v>
      </c>
      <c r="AI3838" s="4">
        <v>-0.90870947104878996</v>
      </c>
      <c r="AJ3838" s="4" t="s">
        <v>62</v>
      </c>
      <c r="AK3838" s="2">
        <v>0.15506263998778899</v>
      </c>
      <c r="AL3838" s="2">
        <v>0.475876790971616</v>
      </c>
      <c r="AM3838" s="2">
        <v>794.73131715450597</v>
      </c>
      <c r="AN3838" s="2">
        <v>851.11420180650896</v>
      </c>
      <c r="AO3838" s="2">
        <v>1071.3397619182999</v>
      </c>
      <c r="AP3838" s="2">
        <v>603.87270955498002</v>
      </c>
      <c r="AQ3838" s="2">
        <v>672.89156077805501</v>
      </c>
      <c r="AR3838" s="2">
        <v>1498.4275619636501</v>
      </c>
      <c r="AS3838" s="2">
        <v>1232.3739371423501</v>
      </c>
      <c r="AT3838" s="2">
        <v>3450.09012485109</v>
      </c>
      <c r="AU3838" s="2">
        <v>406.86064434654799</v>
      </c>
      <c r="AV3838" s="2">
        <v>2677.7215780674901</v>
      </c>
      <c r="AW3838" s="2">
        <v>2099.0809557268299</v>
      </c>
      <c r="AX3838" s="2">
        <v>445.07148287697402</v>
      </c>
    </row>
    <row r="3839" spans="1:50" x14ac:dyDescent="0.25">
      <c r="A3839" s="2" t="s">
        <v>25402</v>
      </c>
      <c r="B3839" s="2">
        <v>259.154857541718</v>
      </c>
      <c r="C3839" s="2">
        <v>11.147883333333301</v>
      </c>
      <c r="D3839" s="2" t="s">
        <v>51</v>
      </c>
      <c r="E3839" s="2" t="s">
        <v>25403</v>
      </c>
      <c r="F3839" s="2">
        <v>57690</v>
      </c>
      <c r="G3839" s="3" t="str">
        <f>HYPERLINK("https://cloud.oebiotech.com/#/lm/network/57690", "https://cloud.oebiotech.com/#/lm/network/57690")</f>
        <v>https://cloud.oebiotech.com/#/lm/network/57690</v>
      </c>
      <c r="H3839" s="2" t="s">
        <v>25404</v>
      </c>
      <c r="I3839" s="2">
        <v>66195</v>
      </c>
      <c r="J3839" s="2"/>
      <c r="K3839" s="2">
        <v>5280691</v>
      </c>
      <c r="L3839" s="2" t="s">
        <v>25405</v>
      </c>
      <c r="M3839" s="2"/>
      <c r="N3839" s="2"/>
      <c r="O3839" s="2">
        <v>86080</v>
      </c>
      <c r="P3839" s="2"/>
      <c r="Q3839" s="2"/>
      <c r="R3839" s="2" t="s">
        <v>25406</v>
      </c>
      <c r="S3839" s="2" t="s">
        <v>25407</v>
      </c>
      <c r="T3839" s="2" t="s">
        <v>25408</v>
      </c>
      <c r="U3839" s="2" t="s">
        <v>540</v>
      </c>
      <c r="V3839" s="2" t="s">
        <v>3291</v>
      </c>
      <c r="W3839" s="2" t="s">
        <v>3292</v>
      </c>
      <c r="X3839" s="2" t="s">
        <v>147</v>
      </c>
      <c r="Y3839" s="2">
        <v>43.1</v>
      </c>
      <c r="Z3839" s="2">
        <v>26.7</v>
      </c>
      <c r="AA3839" s="2" t="s">
        <v>156</v>
      </c>
      <c r="AB3839" s="2" t="s">
        <v>25409</v>
      </c>
      <c r="AC3839" s="2">
        <v>-1.7385225621260301</v>
      </c>
      <c r="AD3839" s="2"/>
      <c r="AE3839" s="2">
        <v>0.134386690356604</v>
      </c>
      <c r="AF3839" s="2">
        <v>221.00843075898001</v>
      </c>
      <c r="AG3839" s="2">
        <v>2693.9619655084098</v>
      </c>
      <c r="AH3839" s="4">
        <v>8.2038437657478494E-2</v>
      </c>
      <c r="AI3839" s="4">
        <v>-3.60755617242393</v>
      </c>
      <c r="AJ3839" s="4" t="s">
        <v>62</v>
      </c>
      <c r="AK3839" s="2">
        <v>0.36933812741493599</v>
      </c>
      <c r="AL3839" s="2">
        <v>0.65299596857131503</v>
      </c>
      <c r="AM3839" s="2">
        <v>266.28705132219602</v>
      </c>
      <c r="AN3839" s="2">
        <v>487.19695259552401</v>
      </c>
      <c r="AO3839" s="2">
        <v>229.541223413968</v>
      </c>
      <c r="AP3839" s="2">
        <v>343.02534010243699</v>
      </c>
      <c r="AQ3839" s="2">
        <v>8.559877937157E-6</v>
      </c>
      <c r="AR3839" s="2">
        <v>8.559877937157E-6</v>
      </c>
      <c r="AS3839" s="2">
        <v>325.23022895665798</v>
      </c>
      <c r="AT3839" s="2">
        <v>15838.541529854299</v>
      </c>
      <c r="AU3839" s="2">
        <v>8.559877937157E-6</v>
      </c>
      <c r="AV3839" s="2">
        <v>8.559877937157E-6</v>
      </c>
      <c r="AW3839" s="2">
        <v>8.559877937157E-6</v>
      </c>
      <c r="AX3839" s="2">
        <v>8.559877937157E-6</v>
      </c>
    </row>
    <row r="3840" spans="1:50" x14ac:dyDescent="0.25">
      <c r="A3840" s="2" t="s">
        <v>25410</v>
      </c>
      <c r="B3840" s="2">
        <v>494.32586843705297</v>
      </c>
      <c r="C3840" s="2">
        <v>10.946433333333299</v>
      </c>
      <c r="D3840" s="2" t="s">
        <v>51</v>
      </c>
      <c r="E3840" s="2" t="s">
        <v>25411</v>
      </c>
      <c r="F3840" s="2">
        <v>39002</v>
      </c>
      <c r="G3840" s="3" t="str">
        <f>HYPERLINK("https://cloud.oebiotech.com/#/lm/network/39002", "https://cloud.oebiotech.com/#/lm/network/39002")</f>
        <v>https://cloud.oebiotech.com/#/lm/network/39002</v>
      </c>
      <c r="H3840" s="2"/>
      <c r="I3840" s="2">
        <v>53960</v>
      </c>
      <c r="J3840" s="2" t="s">
        <v>25412</v>
      </c>
      <c r="K3840" s="2">
        <v>42608377</v>
      </c>
      <c r="L3840" s="2"/>
      <c r="M3840" s="2"/>
      <c r="N3840" s="2"/>
      <c r="O3840" s="2"/>
      <c r="P3840" s="2"/>
      <c r="Q3840" s="2"/>
      <c r="R3840" s="2"/>
      <c r="S3840" s="2" t="s">
        <v>25413</v>
      </c>
      <c r="T3840" s="2" t="s">
        <v>25414</v>
      </c>
      <c r="U3840" s="2" t="s">
        <v>331</v>
      </c>
      <c r="V3840" s="2" t="s">
        <v>332</v>
      </c>
      <c r="W3840" s="2" t="s">
        <v>1207</v>
      </c>
      <c r="X3840" s="2" t="s">
        <v>83</v>
      </c>
      <c r="Y3840" s="2">
        <v>48.9</v>
      </c>
      <c r="Z3840" s="2">
        <v>0</v>
      </c>
      <c r="AA3840" s="2" t="s">
        <v>156</v>
      </c>
      <c r="AB3840" s="2" t="s">
        <v>25415</v>
      </c>
      <c r="AC3840" s="2">
        <v>-1.20638133915107</v>
      </c>
      <c r="AD3840" s="2"/>
      <c r="AE3840" s="2">
        <v>0.13437484138509601</v>
      </c>
      <c r="AF3840" s="2">
        <v>1260.6969825405999</v>
      </c>
      <c r="AG3840" s="2">
        <v>2086.4280359419899</v>
      </c>
      <c r="AH3840" s="4">
        <v>0.60423698341045795</v>
      </c>
      <c r="AI3840" s="4">
        <v>-0.72681360537635598</v>
      </c>
      <c r="AJ3840" s="4" t="s">
        <v>62</v>
      </c>
      <c r="AK3840" s="2">
        <v>0.287835866072367</v>
      </c>
      <c r="AL3840" s="2">
        <v>0.602556997361406</v>
      </c>
      <c r="AM3840" s="2">
        <v>8.559877937157E-6</v>
      </c>
      <c r="AN3840" s="2">
        <v>1853.3211950197201</v>
      </c>
      <c r="AO3840" s="2">
        <v>3244.7460186808698</v>
      </c>
      <c r="AP3840" s="2">
        <v>466.67921104115197</v>
      </c>
      <c r="AQ3840" s="2">
        <v>8.559877937157E-6</v>
      </c>
      <c r="AR3840" s="2">
        <v>1999.4354533820799</v>
      </c>
      <c r="AS3840" s="2">
        <v>1732.34637317999</v>
      </c>
      <c r="AT3840" s="2">
        <v>1919.3624453569801</v>
      </c>
      <c r="AU3840" s="2">
        <v>1138.92994024466</v>
      </c>
      <c r="AV3840" s="2">
        <v>4266.4436857784904</v>
      </c>
      <c r="AW3840" s="2">
        <v>855.54907147624101</v>
      </c>
      <c r="AX3840" s="2">
        <v>2605.9366996156</v>
      </c>
    </row>
    <row r="3841" spans="1:50" x14ac:dyDescent="0.25">
      <c r="A3841" s="2" t="s">
        <v>25416</v>
      </c>
      <c r="B3841" s="2">
        <v>296.13971039241198</v>
      </c>
      <c r="C3841" s="2">
        <v>10.073</v>
      </c>
      <c r="D3841" s="2" t="s">
        <v>51</v>
      </c>
      <c r="E3841" s="2" t="s">
        <v>25417</v>
      </c>
      <c r="F3841" s="2">
        <v>204194</v>
      </c>
      <c r="G3841" s="3" t="str">
        <f>HYPERLINK("https://cloud.oebiotech.com/#/lm/network/204194", "https://cloud.oebiotech.com/#/lm/network/204194")</f>
        <v>https://cloud.oebiotech.com/#/lm/network/204194</v>
      </c>
      <c r="H3841" s="2" t="s">
        <v>25418</v>
      </c>
      <c r="I3841" s="2">
        <v>408111</v>
      </c>
      <c r="J3841" s="2"/>
      <c r="K3841" s="2">
        <v>60674</v>
      </c>
      <c r="L3841" s="2"/>
      <c r="M3841" s="2"/>
      <c r="N3841" s="2"/>
      <c r="O3841" s="2"/>
      <c r="P3841" s="2"/>
      <c r="Q3841" s="2"/>
      <c r="R3841" s="2"/>
      <c r="S3841" s="2" t="s">
        <v>25419</v>
      </c>
      <c r="T3841" s="2" t="s">
        <v>25420</v>
      </c>
      <c r="U3841" s="2" t="s">
        <v>266</v>
      </c>
      <c r="V3841" s="2" t="s">
        <v>1785</v>
      </c>
      <c r="W3841" s="2" t="s">
        <v>1786</v>
      </c>
      <c r="X3841" s="2" t="s">
        <v>147</v>
      </c>
      <c r="Y3841" s="2">
        <v>38.1</v>
      </c>
      <c r="Z3841" s="2">
        <v>2.9</v>
      </c>
      <c r="AA3841" s="2" t="s">
        <v>512</v>
      </c>
      <c r="AB3841" s="2" t="s">
        <v>25421</v>
      </c>
      <c r="AC3841" s="2">
        <v>1.2842776435591801</v>
      </c>
      <c r="AD3841" s="2"/>
      <c r="AE3841" s="2">
        <v>0.134361474151551</v>
      </c>
      <c r="AF3841" s="2">
        <v>17620.1246638097</v>
      </c>
      <c r="AG3841" s="2">
        <v>15503.266677015799</v>
      </c>
      <c r="AH3841" s="5">
        <v>1.1365427061854201</v>
      </c>
      <c r="AI3841" s="5">
        <v>0.184651895193466</v>
      </c>
      <c r="AJ3841" s="5" t="s">
        <v>139</v>
      </c>
      <c r="AK3841" s="2">
        <v>0.62726799757172003</v>
      </c>
      <c r="AL3841" s="2">
        <v>0.81682523325343204</v>
      </c>
      <c r="AM3841" s="2">
        <v>20897.883276692399</v>
      </c>
      <c r="AN3841" s="2">
        <v>19367.426489060901</v>
      </c>
      <c r="AO3841" s="2">
        <v>15558.7467984372</v>
      </c>
      <c r="AP3841" s="2">
        <v>20848.201772837001</v>
      </c>
      <c r="AQ3841" s="2">
        <v>10599.2862741382</v>
      </c>
      <c r="AR3841" s="2">
        <v>18449.203371692602</v>
      </c>
      <c r="AS3841" s="2">
        <v>5443.9570371597501</v>
      </c>
      <c r="AT3841" s="2">
        <v>3822.04776984924</v>
      </c>
      <c r="AU3841" s="2">
        <v>26231.753463261299</v>
      </c>
      <c r="AV3841" s="2">
        <v>25291.286207722798</v>
      </c>
      <c r="AW3841" s="2">
        <v>18116.942663194099</v>
      </c>
      <c r="AX3841" s="2">
        <v>14113.612920907401</v>
      </c>
    </row>
    <row r="3842" spans="1:50" x14ac:dyDescent="0.25">
      <c r="A3842" s="2" t="s">
        <v>25422</v>
      </c>
      <c r="B3842" s="2">
        <v>206.05</v>
      </c>
      <c r="C3842" s="2">
        <v>16.283999999999999</v>
      </c>
      <c r="D3842" s="2" t="s">
        <v>125</v>
      </c>
      <c r="E3842" s="2" t="s">
        <v>25423</v>
      </c>
      <c r="F3842" s="2">
        <v>46870</v>
      </c>
      <c r="G3842" s="3" t="str">
        <f>HYPERLINK("https://cloud.oebiotech.com/#/lm/network/46870", "https://cloud.oebiotech.com/#/lm/network/46870")</f>
        <v>https://cloud.oebiotech.com/#/lm/network/46870</v>
      </c>
      <c r="H3842" s="2" t="s">
        <v>25424</v>
      </c>
      <c r="I3842" s="2">
        <v>314</v>
      </c>
      <c r="J3842" s="2"/>
      <c r="K3842" s="2">
        <v>135191</v>
      </c>
      <c r="L3842" s="2" t="s">
        <v>25425</v>
      </c>
      <c r="M3842" s="2" t="s">
        <v>25426</v>
      </c>
      <c r="N3842" s="2" t="s">
        <v>25427</v>
      </c>
      <c r="O3842" s="2">
        <v>53455</v>
      </c>
      <c r="P3842" s="2"/>
      <c r="Q3842" s="2"/>
      <c r="R3842" s="2" t="s">
        <v>25428</v>
      </c>
      <c r="S3842" s="2" t="s">
        <v>25429</v>
      </c>
      <c r="T3842" s="2" t="s">
        <v>25430</v>
      </c>
      <c r="U3842" s="2" t="s">
        <v>331</v>
      </c>
      <c r="V3842" s="2" t="s">
        <v>332</v>
      </c>
      <c r="W3842" s="2" t="s">
        <v>333</v>
      </c>
      <c r="X3842" s="2" t="s">
        <v>59</v>
      </c>
      <c r="Y3842" s="2">
        <v>74.8</v>
      </c>
      <c r="Z3842" s="2">
        <v>61.1</v>
      </c>
      <c r="AA3842" s="2"/>
      <c r="AB3842" s="2" t="s">
        <v>2762</v>
      </c>
      <c r="AC3842" s="2"/>
      <c r="AD3842" s="2">
        <v>547364.85094664397</v>
      </c>
      <c r="AE3842" s="2">
        <v>0.13435651212071201</v>
      </c>
      <c r="AF3842" s="2">
        <v>4984.31445981244</v>
      </c>
      <c r="AG3842" s="2">
        <v>11312.5366121432</v>
      </c>
      <c r="AH3842" s="4">
        <v>0.44060095721255998</v>
      </c>
      <c r="AI3842" s="4">
        <v>-1.1824554655673301</v>
      </c>
      <c r="AJ3842" s="4" t="s">
        <v>62</v>
      </c>
      <c r="AK3842" s="2">
        <v>0.311986252588137</v>
      </c>
      <c r="AL3842" s="2">
        <v>0.62093945075956003</v>
      </c>
      <c r="AM3842" s="2">
        <v>5700.0587665719704</v>
      </c>
      <c r="AN3842" s="2">
        <v>2299.8352172700202</v>
      </c>
      <c r="AO3842" s="2">
        <v>5273.2033533484901</v>
      </c>
      <c r="AP3842" s="2">
        <v>2299.8352172700202</v>
      </c>
      <c r="AQ3842" s="2">
        <v>2299.8352172700202</v>
      </c>
      <c r="AR3842" s="2">
        <v>12033.1189871441</v>
      </c>
      <c r="AS3842" s="2">
        <v>7777.2644155082698</v>
      </c>
      <c r="AT3842" s="2">
        <v>2299.8352172700202</v>
      </c>
      <c r="AU3842" s="2">
        <v>6301.5449196368099</v>
      </c>
      <c r="AV3842" s="2">
        <v>5517.2560843137198</v>
      </c>
      <c r="AW3842" s="2">
        <v>39760.384759753702</v>
      </c>
      <c r="AX3842" s="2">
        <v>6218.93427637688</v>
      </c>
    </row>
    <row r="3843" spans="1:50" x14ac:dyDescent="0.25">
      <c r="A3843" s="2" t="s">
        <v>25431</v>
      </c>
      <c r="B3843" s="2">
        <v>265.14450532067002</v>
      </c>
      <c r="C3843" s="2">
        <v>5.9063833333333298</v>
      </c>
      <c r="D3843" s="2" t="s">
        <v>51</v>
      </c>
      <c r="E3843" s="2" t="s">
        <v>25432</v>
      </c>
      <c r="F3843" s="2">
        <v>60707</v>
      </c>
      <c r="G3843" s="3" t="str">
        <f>HYPERLINK("https://cloud.oebiotech.com/#/lm/network/60707", "https://cloud.oebiotech.com/#/lm/network/60707")</f>
        <v>https://cloud.oebiotech.com/#/lm/network/60707</v>
      </c>
      <c r="H3843" s="2" t="s">
        <v>25433</v>
      </c>
      <c r="I3843" s="2">
        <v>92037</v>
      </c>
      <c r="J3843" s="2"/>
      <c r="K3843" s="2">
        <v>74426514</v>
      </c>
      <c r="L3843" s="2"/>
      <c r="M3843" s="2"/>
      <c r="N3843" s="2"/>
      <c r="O3843" s="2">
        <v>174512</v>
      </c>
      <c r="P3843" s="2"/>
      <c r="Q3843" s="2"/>
      <c r="R3843" s="2" t="s">
        <v>25434</v>
      </c>
      <c r="S3843" s="2" t="s">
        <v>25435</v>
      </c>
      <c r="T3843" s="2" t="s">
        <v>25436</v>
      </c>
      <c r="U3843" s="2" t="s">
        <v>56</v>
      </c>
      <c r="V3843" s="2" t="s">
        <v>177</v>
      </c>
      <c r="W3843" s="2" t="s">
        <v>806</v>
      </c>
      <c r="X3843" s="2" t="s">
        <v>83</v>
      </c>
      <c r="Y3843" s="2">
        <v>45.7</v>
      </c>
      <c r="Z3843" s="2">
        <v>0</v>
      </c>
      <c r="AA3843" s="2" t="s">
        <v>163</v>
      </c>
      <c r="AB3843" s="2" t="s">
        <v>15678</v>
      </c>
      <c r="AC3843" s="2">
        <v>-0.103065654129315</v>
      </c>
      <c r="AD3843" s="2"/>
      <c r="AE3843" s="2">
        <v>0.13428414799124</v>
      </c>
      <c r="AF3843" s="2">
        <v>1592.5784084254601</v>
      </c>
      <c r="AG3843" s="2">
        <v>999.58602172118799</v>
      </c>
      <c r="AH3843" s="5">
        <v>1.59323797433981</v>
      </c>
      <c r="AI3843" s="5">
        <v>0.67196177141957503</v>
      </c>
      <c r="AJ3843" s="5" t="s">
        <v>139</v>
      </c>
      <c r="AK3843" s="2">
        <v>0.14718896999478501</v>
      </c>
      <c r="AL3843" s="2">
        <v>0.46813495501649</v>
      </c>
      <c r="AM3843" s="2">
        <v>1740.6764371812301</v>
      </c>
      <c r="AN3843" s="2">
        <v>2856.0259224513002</v>
      </c>
      <c r="AO3843" s="2">
        <v>1001.83185523367</v>
      </c>
      <c r="AP3843" s="2">
        <v>1667.3454741631499</v>
      </c>
      <c r="AQ3843" s="2">
        <v>659.81008670949404</v>
      </c>
      <c r="AR3843" s="2">
        <v>1629.7806748139101</v>
      </c>
      <c r="AS3843" s="2">
        <v>1094.5047548171899</v>
      </c>
      <c r="AT3843" s="2">
        <v>420.60919550822399</v>
      </c>
      <c r="AU3843" s="2">
        <v>1944.84702637542</v>
      </c>
      <c r="AV3843" s="2">
        <v>570.65306244269505</v>
      </c>
      <c r="AW3843" s="2">
        <v>927.58698774934999</v>
      </c>
      <c r="AX3843" s="2">
        <v>1039.31510343425</v>
      </c>
    </row>
    <row r="3844" spans="1:50" x14ac:dyDescent="0.25">
      <c r="A3844" s="2" t="s">
        <v>25437</v>
      </c>
      <c r="B3844" s="2">
        <v>151.039045052548</v>
      </c>
      <c r="C3844" s="2">
        <v>4.59985</v>
      </c>
      <c r="D3844" s="2" t="s">
        <v>51</v>
      </c>
      <c r="E3844" s="2" t="s">
        <v>25438</v>
      </c>
      <c r="F3844" s="2">
        <v>47149</v>
      </c>
      <c r="G3844" s="3" t="str">
        <f>HYPERLINK("https://cloud.oebiotech.com/#/lm/network/47149", "https://cloud.oebiotech.com/#/lm/network/47149")</f>
        <v>https://cloud.oebiotech.com/#/lm/network/47149</v>
      </c>
      <c r="H3844" s="2" t="s">
        <v>25439</v>
      </c>
      <c r="I3844" s="2">
        <v>44707</v>
      </c>
      <c r="J3844" s="2"/>
      <c r="K3844" s="2">
        <v>11970</v>
      </c>
      <c r="L3844" s="2" t="s">
        <v>25440</v>
      </c>
      <c r="M3844" s="2" t="s">
        <v>5698</v>
      </c>
      <c r="N3844" s="2" t="s">
        <v>5699</v>
      </c>
      <c r="O3844" s="2">
        <v>28478</v>
      </c>
      <c r="P3844" s="2"/>
      <c r="Q3844" s="2"/>
      <c r="R3844" s="2" t="s">
        <v>25441</v>
      </c>
      <c r="S3844" s="2" t="s">
        <v>25442</v>
      </c>
      <c r="T3844" s="2" t="s">
        <v>25443</v>
      </c>
      <c r="U3844" s="2" t="s">
        <v>610</v>
      </c>
      <c r="V3844" s="2" t="s">
        <v>611</v>
      </c>
      <c r="W3844" s="2" t="s">
        <v>25444</v>
      </c>
      <c r="X3844" s="2" t="s">
        <v>83</v>
      </c>
      <c r="Y3844" s="2">
        <v>40.5</v>
      </c>
      <c r="Z3844" s="2">
        <v>0</v>
      </c>
      <c r="AA3844" s="2" t="s">
        <v>163</v>
      </c>
      <c r="AB3844" s="2" t="s">
        <v>25445</v>
      </c>
      <c r="AC3844" s="2">
        <v>-6.7257386047322303</v>
      </c>
      <c r="AD3844" s="2"/>
      <c r="AE3844" s="2">
        <v>0.134281521948479</v>
      </c>
      <c r="AF3844" s="2">
        <v>2508.9360500194998</v>
      </c>
      <c r="AG3844" s="2">
        <v>1697.7985267153001</v>
      </c>
      <c r="AH3844" s="5">
        <v>1.47775840922274</v>
      </c>
      <c r="AI3844" s="5">
        <v>0.563410430305889</v>
      </c>
      <c r="AJ3844" s="5" t="s">
        <v>139</v>
      </c>
      <c r="AK3844" s="2">
        <v>0.131376274227302</v>
      </c>
      <c r="AL3844" s="2">
        <v>0.45113659571534598</v>
      </c>
      <c r="AM3844" s="2">
        <v>1590.4012642458999</v>
      </c>
      <c r="AN3844" s="2">
        <v>2579.71468870321</v>
      </c>
      <c r="AO3844" s="2">
        <v>1458.55831115305</v>
      </c>
      <c r="AP3844" s="2">
        <v>2115.2632676480398</v>
      </c>
      <c r="AQ3844" s="2">
        <v>3608.8118509278102</v>
      </c>
      <c r="AR3844" s="2">
        <v>3700.8669174390202</v>
      </c>
      <c r="AS3844" s="2">
        <v>2299.5616580234</v>
      </c>
      <c r="AT3844" s="2">
        <v>2861.5791712017899</v>
      </c>
      <c r="AU3844" s="2">
        <v>1338.29068988106</v>
      </c>
      <c r="AV3844" s="2">
        <v>1017.92173944741</v>
      </c>
      <c r="AW3844" s="2">
        <v>1361.0402449135699</v>
      </c>
      <c r="AX3844" s="2">
        <v>1308.39765682455</v>
      </c>
    </row>
    <row r="3845" spans="1:50" x14ac:dyDescent="0.25">
      <c r="A3845" s="2" t="s">
        <v>25446</v>
      </c>
      <c r="B3845" s="2">
        <v>385.09345083957299</v>
      </c>
      <c r="C3845" s="2">
        <v>9.3362833333333306</v>
      </c>
      <c r="D3845" s="2" t="s">
        <v>51</v>
      </c>
      <c r="E3845" s="2" t="s">
        <v>25447</v>
      </c>
      <c r="F3845" s="2">
        <v>29948</v>
      </c>
      <c r="G3845" s="3" t="str">
        <f>HYPERLINK("https://cloud.oebiotech.com/#/lm/network/29948", "https://cloud.oebiotech.com/#/lm/network/29948")</f>
        <v>https://cloud.oebiotech.com/#/lm/network/29948</v>
      </c>
      <c r="H3845" s="2"/>
      <c r="I3845" s="2">
        <v>48302</v>
      </c>
      <c r="J3845" s="2" t="s">
        <v>25448</v>
      </c>
      <c r="K3845" s="2">
        <v>44257522</v>
      </c>
      <c r="L3845" s="2"/>
      <c r="M3845" s="2"/>
      <c r="N3845" s="2"/>
      <c r="O3845" s="2"/>
      <c r="P3845" s="2"/>
      <c r="Q3845" s="2"/>
      <c r="R3845" s="2"/>
      <c r="S3845" s="2" t="s">
        <v>25449</v>
      </c>
      <c r="T3845" s="2" t="s">
        <v>25450</v>
      </c>
      <c r="U3845" s="2" t="s">
        <v>540</v>
      </c>
      <c r="V3845" s="2" t="s">
        <v>784</v>
      </c>
      <c r="W3845" s="2" t="s">
        <v>16682</v>
      </c>
      <c r="X3845" s="2" t="s">
        <v>147</v>
      </c>
      <c r="Y3845" s="2">
        <v>38</v>
      </c>
      <c r="Z3845" s="2">
        <v>0</v>
      </c>
      <c r="AA3845" s="2" t="s">
        <v>218</v>
      </c>
      <c r="AB3845" s="2" t="s">
        <v>25451</v>
      </c>
      <c r="AC3845" s="2">
        <v>1.6458330946525901</v>
      </c>
      <c r="AD3845" s="2"/>
      <c r="AE3845" s="2">
        <v>0.13427796912986001</v>
      </c>
      <c r="AF3845" s="2">
        <v>1638.98252827703</v>
      </c>
      <c r="AG3845" s="2">
        <v>2121.10739654194</v>
      </c>
      <c r="AH3845" s="4">
        <v>0.77270134032302296</v>
      </c>
      <c r="AI3845" s="4">
        <v>-0.37201719444187398</v>
      </c>
      <c r="AJ3845" s="4" t="s">
        <v>62</v>
      </c>
      <c r="AK3845" s="2">
        <v>3.2225229385548698E-2</v>
      </c>
      <c r="AL3845" s="2">
        <v>0.265355321583915</v>
      </c>
      <c r="AM3845" s="2">
        <v>1455.7788981541901</v>
      </c>
      <c r="AN3845" s="2">
        <v>1439.6072653147701</v>
      </c>
      <c r="AO3845" s="2">
        <v>1757.2838887219</v>
      </c>
      <c r="AP3845" s="2">
        <v>1219.3053349048</v>
      </c>
      <c r="AQ3845" s="2">
        <v>1495.3146094188901</v>
      </c>
      <c r="AR3845" s="2">
        <v>2466.60517314763</v>
      </c>
      <c r="AS3845" s="2">
        <v>2218.30678897179</v>
      </c>
      <c r="AT3845" s="2">
        <v>2140.9467889616299</v>
      </c>
      <c r="AU3845" s="2">
        <v>1907.2254824086799</v>
      </c>
      <c r="AV3845" s="2">
        <v>1998.2517170507499</v>
      </c>
      <c r="AW3845" s="2">
        <v>2051.0520855715899</v>
      </c>
      <c r="AX3845" s="2">
        <v>2410.8615162871702</v>
      </c>
    </row>
    <row r="3846" spans="1:50" x14ac:dyDescent="0.25">
      <c r="A3846" s="2" t="s">
        <v>25452</v>
      </c>
      <c r="B3846" s="2">
        <v>551.468646015731</v>
      </c>
      <c r="C3846" s="2">
        <v>15.0309333333333</v>
      </c>
      <c r="D3846" s="2" t="s">
        <v>51</v>
      </c>
      <c r="E3846" s="2" t="s">
        <v>25453</v>
      </c>
      <c r="F3846" s="2">
        <v>10894</v>
      </c>
      <c r="G3846" s="3" t="str">
        <f>HYPERLINK("https://cloud.oebiotech.com/#/lm/network/10894", "https://cloud.oebiotech.com/#/lm/network/10894")</f>
        <v>https://cloud.oebiotech.com/#/lm/network/10894</v>
      </c>
      <c r="H3846" s="2"/>
      <c r="I3846" s="2">
        <v>98397</v>
      </c>
      <c r="J3846" s="2" t="s">
        <v>25454</v>
      </c>
      <c r="K3846" s="2">
        <v>56936346</v>
      </c>
      <c r="L3846" s="2"/>
      <c r="M3846" s="2"/>
      <c r="N3846" s="2"/>
      <c r="O3846" s="2"/>
      <c r="P3846" s="2"/>
      <c r="Q3846" s="2"/>
      <c r="R3846" s="2"/>
      <c r="S3846" s="2" t="s">
        <v>25455</v>
      </c>
      <c r="T3846" s="2" t="s">
        <v>25456</v>
      </c>
      <c r="U3846" s="2" t="s">
        <v>56</v>
      </c>
      <c r="V3846" s="2" t="s">
        <v>3215</v>
      </c>
      <c r="W3846" s="2" t="s">
        <v>3216</v>
      </c>
      <c r="X3846" s="2" t="s">
        <v>147</v>
      </c>
      <c r="Y3846" s="2">
        <v>36.9</v>
      </c>
      <c r="Z3846" s="2">
        <v>0</v>
      </c>
      <c r="AA3846" s="2" t="s">
        <v>163</v>
      </c>
      <c r="AB3846" s="2" t="s">
        <v>8059</v>
      </c>
      <c r="AC3846" s="2">
        <v>0.99062777452010697</v>
      </c>
      <c r="AD3846" s="2"/>
      <c r="AE3846" s="2">
        <v>0.13427788932547099</v>
      </c>
      <c r="AF3846" s="2">
        <v>2108.7329117947302</v>
      </c>
      <c r="AG3846" s="2">
        <v>3687.7526137427399</v>
      </c>
      <c r="AH3846" s="4">
        <v>0.57182059987873002</v>
      </c>
      <c r="AI3846" s="4">
        <v>-0.80636550078830604</v>
      </c>
      <c r="AJ3846" s="4" t="s">
        <v>62</v>
      </c>
      <c r="AK3846" s="2">
        <v>0.42698644591525903</v>
      </c>
      <c r="AL3846" s="2">
        <v>0.68588163674212399</v>
      </c>
      <c r="AM3846" s="2">
        <v>8.559877937157E-6</v>
      </c>
      <c r="AN3846" s="2">
        <v>1132.1181753313299</v>
      </c>
      <c r="AO3846" s="2">
        <v>1941.3694919990901</v>
      </c>
      <c r="AP3846" s="2">
        <v>4566.7906812050896</v>
      </c>
      <c r="AQ3846" s="2">
        <v>4003.25433348256</v>
      </c>
      <c r="AR3846" s="2">
        <v>1008.86478019043</v>
      </c>
      <c r="AS3846" s="2">
        <v>2353.4998904538902</v>
      </c>
      <c r="AT3846" s="2">
        <v>12307.464389655101</v>
      </c>
      <c r="AU3846" s="2">
        <v>1599.04561884796</v>
      </c>
      <c r="AV3846" s="2">
        <v>1129.17552334416</v>
      </c>
      <c r="AW3846" s="2">
        <v>3455.6861163456001</v>
      </c>
      <c r="AX3846" s="2">
        <v>1281.6441438097299</v>
      </c>
    </row>
    <row r="3847" spans="1:50" x14ac:dyDescent="0.25">
      <c r="A3847" s="2" t="s">
        <v>25457</v>
      </c>
      <c r="B3847" s="2">
        <v>398.93675032976199</v>
      </c>
      <c r="C3847" s="2">
        <v>9.6842500000000005</v>
      </c>
      <c r="D3847" s="2" t="s">
        <v>51</v>
      </c>
      <c r="E3847" s="2" t="s">
        <v>25458</v>
      </c>
      <c r="F3847" s="2">
        <v>267406</v>
      </c>
      <c r="G3847" s="3" t="str">
        <f>HYPERLINK("https://cloud.oebiotech.com/#/lm/network/267406", "https://cloud.oebiotech.com/#/lm/network/267406")</f>
        <v>https://cloud.oebiotech.com/#/lm/network/267406</v>
      </c>
      <c r="H3847" s="2"/>
      <c r="I3847" s="2">
        <v>45410</v>
      </c>
      <c r="J3847" s="2"/>
      <c r="K3847" s="2">
        <v>851123</v>
      </c>
      <c r="L3847" s="2"/>
      <c r="M3847" s="2"/>
      <c r="N3847" s="2"/>
      <c r="O3847" s="2"/>
      <c r="P3847" s="2"/>
      <c r="Q3847" s="2"/>
      <c r="R3847" s="2"/>
      <c r="S3847" s="2" t="s">
        <v>25459</v>
      </c>
      <c r="T3847" s="2" t="s">
        <v>25460</v>
      </c>
      <c r="U3847" s="2" t="s">
        <v>266</v>
      </c>
      <c r="V3847" s="2" t="s">
        <v>11162</v>
      </c>
      <c r="W3847" s="2" t="s">
        <v>22917</v>
      </c>
      <c r="X3847" s="2" t="s">
        <v>147</v>
      </c>
      <c r="Y3847" s="2">
        <v>36.299999999999997</v>
      </c>
      <c r="Z3847" s="2">
        <v>0</v>
      </c>
      <c r="AA3847" s="2" t="s">
        <v>478</v>
      </c>
      <c r="AB3847" s="2" t="s">
        <v>25461</v>
      </c>
      <c r="AC3847" s="2">
        <v>2.9704438906402402</v>
      </c>
      <c r="AD3847" s="2"/>
      <c r="AE3847" s="2">
        <v>0.13419561494310001</v>
      </c>
      <c r="AF3847" s="2">
        <v>16364.1226576884</v>
      </c>
      <c r="AG3847" s="2">
        <v>12845.8641819888</v>
      </c>
      <c r="AH3847" s="5">
        <v>1.27388258398626</v>
      </c>
      <c r="AI3847" s="5">
        <v>0.34923230796528898</v>
      </c>
      <c r="AJ3847" s="5" t="s">
        <v>139</v>
      </c>
      <c r="AK3847" s="2">
        <v>0.70800517451031197</v>
      </c>
      <c r="AL3847" s="2">
        <v>0.86105144122847299</v>
      </c>
      <c r="AM3847" s="2">
        <v>11273.195932799499</v>
      </c>
      <c r="AN3847" s="2">
        <v>3312.3553532814199</v>
      </c>
      <c r="AO3847" s="2">
        <v>14101.159475476899</v>
      </c>
      <c r="AP3847" s="2">
        <v>14582.377527484699</v>
      </c>
      <c r="AQ3847" s="2">
        <v>8.559877937157E-6</v>
      </c>
      <c r="AR3847" s="2">
        <v>54915.647648528196</v>
      </c>
      <c r="AS3847" s="2">
        <v>20326.958834902001</v>
      </c>
      <c r="AT3847" s="2">
        <v>12653.352205666801</v>
      </c>
      <c r="AU3847" s="2">
        <v>28801.0813445965</v>
      </c>
      <c r="AV3847" s="2">
        <v>8.559877937157E-6</v>
      </c>
      <c r="AW3847" s="2">
        <v>10069.4473386748</v>
      </c>
      <c r="AX3847" s="2">
        <v>5224.3453595329502</v>
      </c>
    </row>
    <row r="3848" spans="1:50" x14ac:dyDescent="0.25">
      <c r="A3848" s="2" t="s">
        <v>25462</v>
      </c>
      <c r="B3848" s="2">
        <v>636.32607086205098</v>
      </c>
      <c r="C3848" s="2">
        <v>4.9131833333333299</v>
      </c>
      <c r="D3848" s="2" t="s">
        <v>51</v>
      </c>
      <c r="E3848" s="2" t="s">
        <v>25463</v>
      </c>
      <c r="F3848" s="2">
        <v>28013</v>
      </c>
      <c r="G3848" s="3" t="str">
        <f>HYPERLINK("https://cloud.oebiotech.com/#/lm/network/28013", "https://cloud.oebiotech.com/#/lm/network/28013")</f>
        <v>https://cloud.oebiotech.com/#/lm/network/28013</v>
      </c>
      <c r="H3848" s="2"/>
      <c r="I3848" s="2"/>
      <c r="J3848" s="2" t="s">
        <v>25464</v>
      </c>
      <c r="K3848" s="2">
        <v>134812459</v>
      </c>
      <c r="L3848" s="2"/>
      <c r="M3848" s="2"/>
      <c r="N3848" s="2"/>
      <c r="O3848" s="2"/>
      <c r="P3848" s="2"/>
      <c r="Q3848" s="2"/>
      <c r="R3848" s="2"/>
      <c r="S3848" s="2" t="s">
        <v>25465</v>
      </c>
      <c r="T3848" s="2" t="s">
        <v>25466</v>
      </c>
      <c r="U3848" s="2" t="s">
        <v>56</v>
      </c>
      <c r="V3848" s="2" t="s">
        <v>57</v>
      </c>
      <c r="W3848" s="2" t="s">
        <v>570</v>
      </c>
      <c r="X3848" s="2" t="s">
        <v>147</v>
      </c>
      <c r="Y3848" s="2">
        <v>37.799999999999997</v>
      </c>
      <c r="Z3848" s="2">
        <v>0</v>
      </c>
      <c r="AA3848" s="2" t="s">
        <v>122</v>
      </c>
      <c r="AB3848" s="2" t="s">
        <v>25467</v>
      </c>
      <c r="AC3848" s="2">
        <v>-2.18912817360185</v>
      </c>
      <c r="AD3848" s="2"/>
      <c r="AE3848" s="2">
        <v>0.134168252625225</v>
      </c>
      <c r="AF3848" s="2">
        <v>2051.09486465593</v>
      </c>
      <c r="AG3848" s="2">
        <v>1009.2676071457699</v>
      </c>
      <c r="AH3848" s="5">
        <v>2.03226067113803</v>
      </c>
      <c r="AI3848" s="5">
        <v>1.02308546354638</v>
      </c>
      <c r="AJ3848" s="5" t="s">
        <v>139</v>
      </c>
      <c r="AK3848" s="2">
        <v>0.43522343142722802</v>
      </c>
      <c r="AL3848" s="2">
        <v>0.69274035184542904</v>
      </c>
      <c r="AM3848" s="2">
        <v>4229.5547964319703</v>
      </c>
      <c r="AN3848" s="2">
        <v>8.559877937157E-6</v>
      </c>
      <c r="AO3848" s="2">
        <v>1548.6365975879801</v>
      </c>
      <c r="AP3848" s="2">
        <v>6061.0193110271903</v>
      </c>
      <c r="AQ3848" s="2">
        <v>357.12676381160702</v>
      </c>
      <c r="AR3848" s="2">
        <v>110.23171051697101</v>
      </c>
      <c r="AS3848" s="2">
        <v>290.78788402555102</v>
      </c>
      <c r="AT3848" s="2">
        <v>96.173296913092898</v>
      </c>
      <c r="AU3848" s="2">
        <v>4795.2916617431601</v>
      </c>
      <c r="AV3848" s="2">
        <v>390.79362620029099</v>
      </c>
      <c r="AW3848" s="2">
        <v>480.03306980067401</v>
      </c>
      <c r="AX3848" s="2">
        <v>2.5261041918376299</v>
      </c>
    </row>
    <row r="3849" spans="1:50" x14ac:dyDescent="0.25">
      <c r="A3849" s="2" t="s">
        <v>25468</v>
      </c>
      <c r="B3849" s="2">
        <v>511.24071673040999</v>
      </c>
      <c r="C3849" s="2">
        <v>3.5042</v>
      </c>
      <c r="D3849" s="2" t="s">
        <v>51</v>
      </c>
      <c r="E3849" s="2" t="s">
        <v>25469</v>
      </c>
      <c r="F3849" s="2">
        <v>257548</v>
      </c>
      <c r="G3849" s="3" t="str">
        <f>HYPERLINK("https://cloud.oebiotech.com/#/lm/network/257548", "https://cloud.oebiotech.com/#/lm/network/257548")</f>
        <v>https://cloud.oebiotech.com/#/lm/network/257548</v>
      </c>
      <c r="H3849" s="2" t="s">
        <v>25470</v>
      </c>
      <c r="I3849" s="2">
        <v>197086</v>
      </c>
      <c r="J3849" s="2"/>
      <c r="K3849" s="2">
        <v>22652485</v>
      </c>
      <c r="L3849" s="2"/>
      <c r="M3849" s="2"/>
      <c r="N3849" s="2"/>
      <c r="O3849" s="2"/>
      <c r="P3849" s="2"/>
      <c r="Q3849" s="2"/>
      <c r="R3849" s="2"/>
      <c r="S3849" s="2" t="s">
        <v>25471</v>
      </c>
      <c r="T3849" s="2" t="s">
        <v>25472</v>
      </c>
      <c r="U3849" s="2" t="s">
        <v>103</v>
      </c>
      <c r="V3849" s="2" t="s">
        <v>104</v>
      </c>
      <c r="W3849" s="2" t="s">
        <v>105</v>
      </c>
      <c r="X3849" s="2" t="s">
        <v>147</v>
      </c>
      <c r="Y3849" s="2">
        <v>38</v>
      </c>
      <c r="Z3849" s="2">
        <v>0</v>
      </c>
      <c r="AA3849" s="2" t="s">
        <v>395</v>
      </c>
      <c r="AB3849" s="2" t="s">
        <v>25473</v>
      </c>
      <c r="AC3849" s="2">
        <v>3.7641992276481702</v>
      </c>
      <c r="AD3849" s="2"/>
      <c r="AE3849" s="2">
        <v>0.13413064916860801</v>
      </c>
      <c r="AF3849" s="2">
        <v>1853.5889970415201</v>
      </c>
      <c r="AG3849" s="2">
        <v>3278.2410398986699</v>
      </c>
      <c r="AH3849" s="4">
        <v>0.56542181446755901</v>
      </c>
      <c r="AI3849" s="4">
        <v>-0.82260055020950495</v>
      </c>
      <c r="AJ3849" s="4" t="s">
        <v>62</v>
      </c>
      <c r="AK3849" s="2">
        <v>0.65424368656846199</v>
      </c>
      <c r="AL3849" s="2">
        <v>0.83240942988891198</v>
      </c>
      <c r="AM3849" s="2">
        <v>3935.7776145336602</v>
      </c>
      <c r="AN3849" s="2">
        <v>518.97879161785602</v>
      </c>
      <c r="AO3849" s="2">
        <v>294.78867442661198</v>
      </c>
      <c r="AP3849" s="2">
        <v>808.74365435431503</v>
      </c>
      <c r="AQ3849" s="2">
        <v>3769.62603281375</v>
      </c>
      <c r="AR3849" s="2">
        <v>1793.6192145029499</v>
      </c>
      <c r="AS3849" s="2">
        <v>8.559877937157E-6</v>
      </c>
      <c r="AT3849" s="2">
        <v>8.559877937157E-6</v>
      </c>
      <c r="AU3849" s="2">
        <v>221.64244532694499</v>
      </c>
      <c r="AV3849" s="2">
        <v>18319.537189533301</v>
      </c>
      <c r="AW3849" s="2">
        <v>8.559877937157E-6</v>
      </c>
      <c r="AX3849" s="2">
        <v>1128.2665788521399</v>
      </c>
    </row>
    <row r="3850" spans="1:50" x14ac:dyDescent="0.25">
      <c r="A3850" s="2" t="s">
        <v>25474</v>
      </c>
      <c r="B3850" s="2">
        <v>142.12310717043101</v>
      </c>
      <c r="C3850" s="2">
        <v>4.5257666666666703</v>
      </c>
      <c r="D3850" s="2" t="s">
        <v>51</v>
      </c>
      <c r="E3850" s="2" t="s">
        <v>25475</v>
      </c>
      <c r="F3850" s="2">
        <v>203312</v>
      </c>
      <c r="G3850" s="3" t="str">
        <f>HYPERLINK("https://cloud.oebiotech.com/#/lm/network/203312", "https://cloud.oebiotech.com/#/lm/network/203312")</f>
        <v>https://cloud.oebiotech.com/#/lm/network/203312</v>
      </c>
      <c r="H3850" s="2" t="s">
        <v>25476</v>
      </c>
      <c r="I3850" s="2"/>
      <c r="J3850" s="2"/>
      <c r="K3850" s="2">
        <v>9297</v>
      </c>
      <c r="L3850" s="2"/>
      <c r="M3850" s="2"/>
      <c r="N3850" s="2"/>
      <c r="O3850" s="2"/>
      <c r="P3850" s="2"/>
      <c r="Q3850" s="2"/>
      <c r="R3850" s="2"/>
      <c r="S3850" s="2" t="s">
        <v>25477</v>
      </c>
      <c r="T3850" s="2" t="s">
        <v>25478</v>
      </c>
      <c r="U3850" s="2" t="s">
        <v>56</v>
      </c>
      <c r="V3850" s="2" t="s">
        <v>145</v>
      </c>
      <c r="W3850" s="2" t="s">
        <v>1617</v>
      </c>
      <c r="X3850" s="2" t="s">
        <v>147</v>
      </c>
      <c r="Y3850" s="2">
        <v>41.6</v>
      </c>
      <c r="Z3850" s="2">
        <v>17.2</v>
      </c>
      <c r="AA3850" s="2" t="s">
        <v>179</v>
      </c>
      <c r="AB3850" s="2" t="s">
        <v>20042</v>
      </c>
      <c r="AC3850" s="2">
        <v>3.3067485187828298</v>
      </c>
      <c r="AD3850" s="2"/>
      <c r="AE3850" s="2">
        <v>0.13380647547150201</v>
      </c>
      <c r="AF3850" s="2">
        <v>2707.35819077821</v>
      </c>
      <c r="AG3850" s="2">
        <v>1508.00469977288</v>
      </c>
      <c r="AH3850" s="5">
        <v>1.7953247699996999</v>
      </c>
      <c r="AI3850" s="5">
        <v>0.84424484777322295</v>
      </c>
      <c r="AJ3850" s="5" t="s">
        <v>139</v>
      </c>
      <c r="AK3850" s="2">
        <v>0.310216069999112</v>
      </c>
      <c r="AL3850" s="2">
        <v>0.61970148303658401</v>
      </c>
      <c r="AM3850" s="2">
        <v>1491.0571375626801</v>
      </c>
      <c r="AN3850" s="2">
        <v>965.48284866835604</v>
      </c>
      <c r="AO3850" s="2">
        <v>3277.8968673680001</v>
      </c>
      <c r="AP3850" s="2">
        <v>1461.6600477801701</v>
      </c>
      <c r="AQ3850" s="2">
        <v>8014.8613315932798</v>
      </c>
      <c r="AR3850" s="2">
        <v>1033.19091169679</v>
      </c>
      <c r="AS3850" s="2">
        <v>1867.2895744571999</v>
      </c>
      <c r="AT3850" s="2">
        <v>1554.22698281267</v>
      </c>
      <c r="AU3850" s="2">
        <v>1734.9616181802901</v>
      </c>
      <c r="AV3850" s="2">
        <v>1071.0490996343999</v>
      </c>
      <c r="AW3850" s="2">
        <v>1339.50792514308</v>
      </c>
      <c r="AX3850" s="2">
        <v>1480.99299840963</v>
      </c>
    </row>
    <row r="3851" spans="1:50" x14ac:dyDescent="0.25">
      <c r="A3851" s="2" t="s">
        <v>25479</v>
      </c>
      <c r="B3851" s="2">
        <v>135.11718902063799</v>
      </c>
      <c r="C3851" s="2">
        <v>9.5221499999999999</v>
      </c>
      <c r="D3851" s="2" t="s">
        <v>51</v>
      </c>
      <c r="E3851" s="2" t="s">
        <v>25480</v>
      </c>
      <c r="F3851" s="2">
        <v>81858</v>
      </c>
      <c r="G3851" s="3" t="str">
        <f>HYPERLINK("https://cloud.oebiotech.com/#/lm/network/81858", "https://cloud.oebiotech.com/#/lm/network/81858")</f>
        <v>https://cloud.oebiotech.com/#/lm/network/81858</v>
      </c>
      <c r="H3851" s="2" t="s">
        <v>25481</v>
      </c>
      <c r="I3851" s="2">
        <v>342563</v>
      </c>
      <c r="J3851" s="2"/>
      <c r="K3851" s="2">
        <v>14092</v>
      </c>
      <c r="L3851" s="2"/>
      <c r="M3851" s="2"/>
      <c r="N3851" s="2"/>
      <c r="O3851" s="2"/>
      <c r="P3851" s="2"/>
      <c r="Q3851" s="2"/>
      <c r="R3851" s="2"/>
      <c r="S3851" s="2" t="s">
        <v>25482</v>
      </c>
      <c r="T3851" s="2" t="s">
        <v>25483</v>
      </c>
      <c r="U3851" s="2" t="s">
        <v>610</v>
      </c>
      <c r="V3851" s="2" t="s">
        <v>611</v>
      </c>
      <c r="W3851" s="2" t="s">
        <v>2744</v>
      </c>
      <c r="X3851" s="2" t="s">
        <v>83</v>
      </c>
      <c r="Y3851" s="2">
        <v>45</v>
      </c>
      <c r="Z3851" s="2">
        <v>0</v>
      </c>
      <c r="AA3851" s="2" t="s">
        <v>259</v>
      </c>
      <c r="AB3851" s="2" t="s">
        <v>25484</v>
      </c>
      <c r="AC3851" s="2">
        <v>2.7003271362458601</v>
      </c>
      <c r="AD3851" s="2"/>
      <c r="AE3851" s="2">
        <v>0.13379097987666999</v>
      </c>
      <c r="AF3851" s="2">
        <v>2386.9474633126501</v>
      </c>
      <c r="AG3851" s="2">
        <v>1989.0727167693899</v>
      </c>
      <c r="AH3851" s="5">
        <v>1.20003026696253</v>
      </c>
      <c r="AI3851" s="5">
        <v>0.263070793705515</v>
      </c>
      <c r="AJ3851" s="5" t="s">
        <v>139</v>
      </c>
      <c r="AK3851" s="2">
        <v>4.5432633875648401E-2</v>
      </c>
      <c r="AL3851" s="2">
        <v>0.30205324447897502</v>
      </c>
      <c r="AM3851" s="2">
        <v>2699.38459045743</v>
      </c>
      <c r="AN3851" s="2">
        <v>2604.0276478742298</v>
      </c>
      <c r="AO3851" s="2">
        <v>2394.5749442788501</v>
      </c>
      <c r="AP3851" s="2">
        <v>2228.36146625936</v>
      </c>
      <c r="AQ3851" s="2">
        <v>2400.9954826449298</v>
      </c>
      <c r="AR3851" s="2">
        <v>1994.34064836112</v>
      </c>
      <c r="AS3851" s="2">
        <v>2445.57590411508</v>
      </c>
      <c r="AT3851" s="2">
        <v>2090.7173118108099</v>
      </c>
      <c r="AU3851" s="2">
        <v>2234.5280012892099</v>
      </c>
      <c r="AV3851" s="2">
        <v>1491.1216400160199</v>
      </c>
      <c r="AW3851" s="2">
        <v>1758.7559755495399</v>
      </c>
      <c r="AX3851" s="2">
        <v>1913.73746783571</v>
      </c>
    </row>
    <row r="3852" spans="1:50" x14ac:dyDescent="0.25">
      <c r="A3852" s="2" t="s">
        <v>25485</v>
      </c>
      <c r="B3852" s="2">
        <v>275.20167106846401</v>
      </c>
      <c r="C3852" s="2">
        <v>11.56945</v>
      </c>
      <c r="D3852" s="2" t="s">
        <v>51</v>
      </c>
      <c r="E3852" s="2" t="s">
        <v>25486</v>
      </c>
      <c r="F3852" s="2">
        <v>849</v>
      </c>
      <c r="G3852" s="3" t="str">
        <f>HYPERLINK("https://cloud.oebiotech.com/#/lm/network/849", "https://cloud.oebiotech.com/#/lm/network/849")</f>
        <v>https://cloud.oebiotech.com/#/lm/network/849</v>
      </c>
      <c r="H3852" s="2" t="s">
        <v>25487</v>
      </c>
      <c r="I3852" s="2">
        <v>34838</v>
      </c>
      <c r="J3852" s="2" t="s">
        <v>25488</v>
      </c>
      <c r="K3852" s="2">
        <v>5312508</v>
      </c>
      <c r="L3852" s="2" t="s">
        <v>25489</v>
      </c>
      <c r="M3852" s="2" t="s">
        <v>3816</v>
      </c>
      <c r="N3852" s="2" t="s">
        <v>3817</v>
      </c>
      <c r="O3852" s="2">
        <v>32389</v>
      </c>
      <c r="P3852" s="2"/>
      <c r="Q3852" s="2"/>
      <c r="R3852" s="2" t="s">
        <v>25490</v>
      </c>
      <c r="S3852" s="2" t="s">
        <v>25491</v>
      </c>
      <c r="T3852" s="2" t="s">
        <v>25492</v>
      </c>
      <c r="U3852" s="2" t="s">
        <v>56</v>
      </c>
      <c r="V3852" s="2" t="s">
        <v>145</v>
      </c>
      <c r="W3852" s="2" t="s">
        <v>203</v>
      </c>
      <c r="X3852" s="2" t="s">
        <v>83</v>
      </c>
      <c r="Y3852" s="2">
        <v>58.5</v>
      </c>
      <c r="Z3852" s="2">
        <v>22.4</v>
      </c>
      <c r="AA3852" s="2" t="s">
        <v>163</v>
      </c>
      <c r="AB3852" s="2" t="s">
        <v>6435</v>
      </c>
      <c r="AC3852" s="2">
        <v>6.2863225650592797E-2</v>
      </c>
      <c r="AD3852" s="2"/>
      <c r="AE3852" s="2">
        <v>0.133764034065145</v>
      </c>
      <c r="AF3852" s="2">
        <v>225.20684023482301</v>
      </c>
      <c r="AG3852" s="2">
        <v>1581.9818127430301</v>
      </c>
      <c r="AH3852" s="4">
        <v>0.14235741423874701</v>
      </c>
      <c r="AI3852" s="4">
        <v>-2.8124104616110399</v>
      </c>
      <c r="AJ3852" s="4" t="s">
        <v>62</v>
      </c>
      <c r="AK3852" s="2">
        <v>0.25072330411097299</v>
      </c>
      <c r="AL3852" s="2">
        <v>0.57384127081991099</v>
      </c>
      <c r="AM3852" s="2">
        <v>413.28907596547202</v>
      </c>
      <c r="AN3852" s="2">
        <v>288.627457436226</v>
      </c>
      <c r="AO3852" s="2">
        <v>230.826055978596</v>
      </c>
      <c r="AP3852" s="2">
        <v>8.559877937157E-6</v>
      </c>
      <c r="AQ3852" s="2">
        <v>324.46969656609099</v>
      </c>
      <c r="AR3852" s="2">
        <v>94.028746902673703</v>
      </c>
      <c r="AS3852" s="2">
        <v>537.045212704964</v>
      </c>
      <c r="AT3852" s="2">
        <v>100.30425566499</v>
      </c>
      <c r="AU3852" s="2">
        <v>7099.8085788201597</v>
      </c>
      <c r="AV3852" s="2">
        <v>697.67114652313899</v>
      </c>
      <c r="AW3852" s="2">
        <v>913.42037811815499</v>
      </c>
      <c r="AX3852" s="2">
        <v>143.641304626753</v>
      </c>
    </row>
    <row r="3853" spans="1:50" x14ac:dyDescent="0.25">
      <c r="A3853" s="2" t="s">
        <v>25493</v>
      </c>
      <c r="B3853" s="2">
        <v>218.061021651479</v>
      </c>
      <c r="C3853" s="2">
        <v>1.3012999999999999</v>
      </c>
      <c r="D3853" s="2" t="s">
        <v>51</v>
      </c>
      <c r="E3853" s="2" t="s">
        <v>25494</v>
      </c>
      <c r="F3853" s="2">
        <v>211657</v>
      </c>
      <c r="G3853" s="3" t="str">
        <f>HYPERLINK("https://cloud.oebiotech.com/#/lm/network/211657", "https://cloud.oebiotech.com/#/lm/network/211657")</f>
        <v>https://cloud.oebiotech.com/#/lm/network/211657</v>
      </c>
      <c r="H3853" s="2" t="s">
        <v>25495</v>
      </c>
      <c r="I3853" s="2"/>
      <c r="J3853" s="2"/>
      <c r="K3853" s="2">
        <v>57117573</v>
      </c>
      <c r="L3853" s="2"/>
      <c r="M3853" s="2"/>
      <c r="N3853" s="2"/>
      <c r="O3853" s="2"/>
      <c r="P3853" s="2"/>
      <c r="Q3853" s="2"/>
      <c r="R3853" s="2"/>
      <c r="S3853" s="2" t="s">
        <v>25496</v>
      </c>
      <c r="T3853" s="2" t="s">
        <v>25497</v>
      </c>
      <c r="U3853" s="2" t="s">
        <v>266</v>
      </c>
      <c r="V3853" s="2" t="s">
        <v>2772</v>
      </c>
      <c r="W3853" s="2" t="s">
        <v>2773</v>
      </c>
      <c r="X3853" s="2" t="s">
        <v>147</v>
      </c>
      <c r="Y3853" s="2">
        <v>40.200000000000003</v>
      </c>
      <c r="Z3853" s="2">
        <v>16.3</v>
      </c>
      <c r="AA3853" s="2" t="s">
        <v>379</v>
      </c>
      <c r="AB3853" s="2" t="s">
        <v>25498</v>
      </c>
      <c r="AC3853" s="2">
        <v>3.86418514031676</v>
      </c>
      <c r="AD3853" s="2"/>
      <c r="AE3853" s="2">
        <v>0.13370183869921601</v>
      </c>
      <c r="AF3853" s="2">
        <v>4988.3870492009501</v>
      </c>
      <c r="AG3853" s="2">
        <v>5833.47478156119</v>
      </c>
      <c r="AH3853" s="4">
        <v>0.85513133012395204</v>
      </c>
      <c r="AI3853" s="4">
        <v>-0.22578209036420099</v>
      </c>
      <c r="AJ3853" s="4" t="s">
        <v>62</v>
      </c>
      <c r="AK3853" s="2">
        <v>0.276557045615693</v>
      </c>
      <c r="AL3853" s="2">
        <v>0.59599669755941997</v>
      </c>
      <c r="AM3853" s="2">
        <v>5537.76367623449</v>
      </c>
      <c r="AN3853" s="2">
        <v>5620.6631872971002</v>
      </c>
      <c r="AO3853" s="2">
        <v>3696.6786328585899</v>
      </c>
      <c r="AP3853" s="2">
        <v>5112.1513728890404</v>
      </c>
      <c r="AQ3853" s="2">
        <v>5753.32697462133</v>
      </c>
      <c r="AR3853" s="2">
        <v>4209.7384513051602</v>
      </c>
      <c r="AS3853" s="2">
        <v>4858.6296137420704</v>
      </c>
      <c r="AT3853" s="2">
        <v>3240.6847046134199</v>
      </c>
      <c r="AU3853" s="2">
        <v>7312.7067030669496</v>
      </c>
      <c r="AV3853" s="2">
        <v>6719.9441180287204</v>
      </c>
      <c r="AW3853" s="2">
        <v>5650.3018863255602</v>
      </c>
      <c r="AX3853" s="2">
        <v>7218.5816635904403</v>
      </c>
    </row>
    <row r="3854" spans="1:50" x14ac:dyDescent="0.25">
      <c r="A3854" s="2" t="s">
        <v>25499</v>
      </c>
      <c r="B3854" s="2">
        <v>606.27860661331601</v>
      </c>
      <c r="C3854" s="2">
        <v>4.8526333333333298</v>
      </c>
      <c r="D3854" s="2" t="s">
        <v>51</v>
      </c>
      <c r="E3854" s="2" t="s">
        <v>25500</v>
      </c>
      <c r="F3854" s="2">
        <v>207194</v>
      </c>
      <c r="G3854" s="3" t="str">
        <f>HYPERLINK("https://cloud.oebiotech.com/#/lm/network/207194", "https://cloud.oebiotech.com/#/lm/network/207194")</f>
        <v>https://cloud.oebiotech.com/#/lm/network/207194</v>
      </c>
      <c r="H3854" s="2" t="s">
        <v>25501</v>
      </c>
      <c r="I3854" s="2"/>
      <c r="J3854" s="2"/>
      <c r="K3854" s="2">
        <v>90420193</v>
      </c>
      <c r="L3854" s="2"/>
      <c r="M3854" s="2"/>
      <c r="N3854" s="2"/>
      <c r="O3854" s="2"/>
      <c r="P3854" s="2"/>
      <c r="Q3854" s="2"/>
      <c r="R3854" s="2"/>
      <c r="S3854" s="2" t="s">
        <v>25502</v>
      </c>
      <c r="T3854" s="2" t="s">
        <v>25503</v>
      </c>
      <c r="U3854" s="2" t="s">
        <v>266</v>
      </c>
      <c r="V3854" s="2" t="s">
        <v>2781</v>
      </c>
      <c r="W3854" s="2" t="s">
        <v>2782</v>
      </c>
      <c r="X3854" s="2" t="s">
        <v>147</v>
      </c>
      <c r="Y3854" s="2">
        <v>46.2</v>
      </c>
      <c r="Z3854" s="2">
        <v>44.3</v>
      </c>
      <c r="AA3854" s="2" t="s">
        <v>512</v>
      </c>
      <c r="AB3854" s="2" t="s">
        <v>25504</v>
      </c>
      <c r="AC3854" s="2">
        <v>2.8211591866612999</v>
      </c>
      <c r="AD3854" s="2"/>
      <c r="AE3854" s="2">
        <v>0.13369150072630001</v>
      </c>
      <c r="AF3854" s="2">
        <v>71.379574047176504</v>
      </c>
      <c r="AG3854" s="2">
        <v>682.97287672262598</v>
      </c>
      <c r="AH3854" s="4">
        <v>0.104513043606805</v>
      </c>
      <c r="AI3854" s="4">
        <v>-3.2582450877723099</v>
      </c>
      <c r="AJ3854" s="4" t="s">
        <v>62</v>
      </c>
      <c r="AK3854" s="2">
        <v>0.15296831404302</v>
      </c>
      <c r="AL3854" s="2">
        <v>0.473994196489255</v>
      </c>
      <c r="AM3854" s="2">
        <v>8.559877937157E-6</v>
      </c>
      <c r="AN3854" s="2">
        <v>54.062779171452597</v>
      </c>
      <c r="AO3854" s="2">
        <v>8.559877937157E-6</v>
      </c>
      <c r="AP3854" s="2">
        <v>8.559877937157E-6</v>
      </c>
      <c r="AQ3854" s="2">
        <v>374.21463087209497</v>
      </c>
      <c r="AR3854" s="2">
        <v>8.559877937157E-6</v>
      </c>
      <c r="AS3854" s="2">
        <v>8.559877937157E-6</v>
      </c>
      <c r="AT3854" s="2">
        <v>360.81081097809101</v>
      </c>
      <c r="AU3854" s="2">
        <v>8.559877937157E-6</v>
      </c>
      <c r="AV3854" s="2">
        <v>1505.1382835729901</v>
      </c>
      <c r="AW3854" s="2">
        <v>1.7729539306579702E-2</v>
      </c>
      <c r="AX3854" s="2">
        <v>2231.8704191256102</v>
      </c>
    </row>
    <row r="3855" spans="1:50" x14ac:dyDescent="0.25">
      <c r="A3855" s="2" t="s">
        <v>25505</v>
      </c>
      <c r="B3855" s="2">
        <v>205.07117066357401</v>
      </c>
      <c r="C3855" s="2">
        <v>1.3012999999999999</v>
      </c>
      <c r="D3855" s="2" t="s">
        <v>51</v>
      </c>
      <c r="E3855" s="2" t="s">
        <v>25506</v>
      </c>
      <c r="F3855" s="2">
        <v>201947</v>
      </c>
      <c r="G3855" s="3" t="str">
        <f>HYPERLINK("https://cloud.oebiotech.com/#/lm/network/201947", "https://cloud.oebiotech.com/#/lm/network/201947")</f>
        <v>https://cloud.oebiotech.com/#/lm/network/201947</v>
      </c>
      <c r="H3855" s="2" t="s">
        <v>25507</v>
      </c>
      <c r="I3855" s="2"/>
      <c r="J3855" s="2"/>
      <c r="K3855" s="2">
        <v>18534704</v>
      </c>
      <c r="L3855" s="2"/>
      <c r="M3855" s="2"/>
      <c r="N3855" s="2"/>
      <c r="O3855" s="2"/>
      <c r="P3855" s="2"/>
      <c r="Q3855" s="2"/>
      <c r="R3855" s="2"/>
      <c r="S3855" s="2" t="s">
        <v>25508</v>
      </c>
      <c r="T3855" s="2" t="s">
        <v>25509</v>
      </c>
      <c r="U3855" s="2" t="s">
        <v>266</v>
      </c>
      <c r="V3855" s="2" t="s">
        <v>25510</v>
      </c>
      <c r="W3855" s="2" t="s">
        <v>25511</v>
      </c>
      <c r="X3855" s="2" t="s">
        <v>83</v>
      </c>
      <c r="Y3855" s="2">
        <v>39.200000000000003</v>
      </c>
      <c r="Z3855" s="2">
        <v>0</v>
      </c>
      <c r="AA3855" s="2" t="s">
        <v>163</v>
      </c>
      <c r="AB3855" s="2" t="s">
        <v>25512</v>
      </c>
      <c r="AC3855" s="2">
        <v>-2.8681751006510701</v>
      </c>
      <c r="AD3855" s="2"/>
      <c r="AE3855" s="2">
        <v>0.13366732470207801</v>
      </c>
      <c r="AF3855" s="2">
        <v>1447.1400723690699</v>
      </c>
      <c r="AG3855" s="2">
        <v>909.30066319933405</v>
      </c>
      <c r="AH3855" s="5">
        <v>1.59148687660401</v>
      </c>
      <c r="AI3855" s="5">
        <v>0.67037526056392605</v>
      </c>
      <c r="AJ3855" s="5" t="s">
        <v>139</v>
      </c>
      <c r="AK3855" s="2">
        <v>0.118618600067738</v>
      </c>
      <c r="AL3855" s="2">
        <v>0.43690844816567598</v>
      </c>
      <c r="AM3855" s="2">
        <v>1357.6891380725301</v>
      </c>
      <c r="AN3855" s="2">
        <v>2555.3183838210198</v>
      </c>
      <c r="AO3855" s="2">
        <v>1704.9380979540799</v>
      </c>
      <c r="AP3855" s="2">
        <v>730.70311643896798</v>
      </c>
      <c r="AQ3855" s="2">
        <v>1070.3489781958499</v>
      </c>
      <c r="AR3855" s="2">
        <v>1263.84271973196</v>
      </c>
      <c r="AS3855" s="2">
        <v>1504.14103099871</v>
      </c>
      <c r="AT3855" s="2">
        <v>386.96892333064602</v>
      </c>
      <c r="AU3855" s="2">
        <v>1370.91072861878</v>
      </c>
      <c r="AV3855" s="2">
        <v>585.03364443644102</v>
      </c>
      <c r="AW3855" s="2">
        <v>903.82506286855198</v>
      </c>
      <c r="AX3855" s="2">
        <v>704.92458894287699</v>
      </c>
    </row>
    <row r="3856" spans="1:50" x14ac:dyDescent="0.25">
      <c r="A3856" s="2" t="s">
        <v>25513</v>
      </c>
      <c r="B3856" s="2">
        <v>812.35132156247403</v>
      </c>
      <c r="C3856" s="2">
        <v>4.8526333333333298</v>
      </c>
      <c r="D3856" s="2" t="s">
        <v>51</v>
      </c>
      <c r="E3856" s="2" t="s">
        <v>25514</v>
      </c>
      <c r="F3856" s="2">
        <v>257776</v>
      </c>
      <c r="G3856" s="3" t="str">
        <f>HYPERLINK("https://cloud.oebiotech.com/#/lm/network/257776", "https://cloud.oebiotech.com/#/lm/network/257776")</f>
        <v>https://cloud.oebiotech.com/#/lm/network/257776</v>
      </c>
      <c r="H3856" s="2"/>
      <c r="I3856" s="2">
        <v>551</v>
      </c>
      <c r="J3856" s="2"/>
      <c r="K3856" s="2">
        <v>451415</v>
      </c>
      <c r="L3856" s="2" t="s">
        <v>25515</v>
      </c>
      <c r="M3856" s="2"/>
      <c r="N3856" s="2"/>
      <c r="O3856" s="2"/>
      <c r="P3856" s="2"/>
      <c r="Q3856" s="2"/>
      <c r="R3856" s="2" t="s">
        <v>25516</v>
      </c>
      <c r="S3856" s="2" t="s">
        <v>25517</v>
      </c>
      <c r="T3856" s="2" t="s">
        <v>25518</v>
      </c>
      <c r="U3856" s="2" t="s">
        <v>540</v>
      </c>
      <c r="V3856" s="2" t="s">
        <v>3486</v>
      </c>
      <c r="W3856" s="2" t="s">
        <v>240</v>
      </c>
      <c r="X3856" s="2" t="s">
        <v>147</v>
      </c>
      <c r="Y3856" s="2">
        <v>36.6</v>
      </c>
      <c r="Z3856" s="2">
        <v>0</v>
      </c>
      <c r="AA3856" s="2" t="s">
        <v>259</v>
      </c>
      <c r="AB3856" s="2" t="s">
        <v>25519</v>
      </c>
      <c r="AC3856" s="2">
        <v>3.11229303891183</v>
      </c>
      <c r="AD3856" s="2"/>
      <c r="AE3856" s="2">
        <v>0.13363694255750999</v>
      </c>
      <c r="AF3856" s="2">
        <v>7563.6437823347596</v>
      </c>
      <c r="AG3856" s="2">
        <v>8867.2037398146495</v>
      </c>
      <c r="AH3856" s="4">
        <v>0.85299086434353899</v>
      </c>
      <c r="AI3856" s="4">
        <v>-0.22939780473518201</v>
      </c>
      <c r="AJ3856" s="4" t="s">
        <v>62</v>
      </c>
      <c r="AK3856" s="2">
        <v>0.78977683478920901</v>
      </c>
      <c r="AL3856" s="2">
        <v>0.90720404853569203</v>
      </c>
      <c r="AM3856" s="2">
        <v>4573.6049323970101</v>
      </c>
      <c r="AN3856" s="2">
        <v>8872.2019716502</v>
      </c>
      <c r="AO3856" s="2">
        <v>11182.7458981399</v>
      </c>
      <c r="AP3856" s="2">
        <v>7516.7310364516597</v>
      </c>
      <c r="AQ3856" s="2">
        <v>8945.5982603582997</v>
      </c>
      <c r="AR3856" s="2">
        <v>4290.9805950114596</v>
      </c>
      <c r="AS3856" s="2">
        <v>8.559877937157E-6</v>
      </c>
      <c r="AT3856" s="2">
        <v>2057.3093508371999</v>
      </c>
      <c r="AU3856" s="2">
        <v>346.15060236229198</v>
      </c>
      <c r="AV3856" s="2">
        <v>15507.8394663749</v>
      </c>
      <c r="AW3856" s="2">
        <v>6520.0108116683996</v>
      </c>
      <c r="AX3856" s="2">
        <v>28771.9121990852</v>
      </c>
    </row>
    <row r="3857" spans="1:50" x14ac:dyDescent="0.25">
      <c r="A3857" s="2" t="s">
        <v>25520</v>
      </c>
      <c r="B3857" s="2">
        <v>464.30189974299498</v>
      </c>
      <c r="C3857" s="2">
        <v>6.8612500000000001</v>
      </c>
      <c r="D3857" s="2" t="s">
        <v>51</v>
      </c>
      <c r="E3857" s="2" t="s">
        <v>25521</v>
      </c>
      <c r="F3857" s="2">
        <v>46741</v>
      </c>
      <c r="G3857" s="3" t="str">
        <f>HYPERLINK("https://cloud.oebiotech.com/#/lm/network/46741", "https://cloud.oebiotech.com/#/lm/network/46741")</f>
        <v>https://cloud.oebiotech.com/#/lm/network/46741</v>
      </c>
      <c r="H3857" s="2"/>
      <c r="I3857" s="2"/>
      <c r="J3857" s="2" t="s">
        <v>25522</v>
      </c>
      <c r="K3857" s="2">
        <v>121304245</v>
      </c>
      <c r="L3857" s="2"/>
      <c r="M3857" s="2"/>
      <c r="N3857" s="2"/>
      <c r="O3857" s="2"/>
      <c r="P3857" s="2"/>
      <c r="Q3857" s="2"/>
      <c r="R3857" s="2"/>
      <c r="S3857" s="2" t="s">
        <v>25523</v>
      </c>
      <c r="T3857" s="2" t="s">
        <v>25524</v>
      </c>
      <c r="U3857" s="2" t="s">
        <v>56</v>
      </c>
      <c r="V3857" s="2" t="s">
        <v>283</v>
      </c>
      <c r="W3857" s="2" t="s">
        <v>2042</v>
      </c>
      <c r="X3857" s="2" t="s">
        <v>83</v>
      </c>
      <c r="Y3857" s="2">
        <v>40.5</v>
      </c>
      <c r="Z3857" s="2">
        <v>0.38800000000000001</v>
      </c>
      <c r="AA3857" s="2" t="s">
        <v>163</v>
      </c>
      <c r="AB3857" s="2" t="s">
        <v>4671</v>
      </c>
      <c r="AC3857" s="2">
        <v>0.29673574622013699</v>
      </c>
      <c r="AD3857" s="2"/>
      <c r="AE3857" s="2">
        <v>0.13356310834467</v>
      </c>
      <c r="AF3857" s="2">
        <v>1521.74798616266</v>
      </c>
      <c r="AG3857" s="2">
        <v>568.135979728861</v>
      </c>
      <c r="AH3857" s="5">
        <v>2.67849254484622</v>
      </c>
      <c r="AI3857" s="5">
        <v>1.42142128055322</v>
      </c>
      <c r="AJ3857" s="5" t="s">
        <v>139</v>
      </c>
      <c r="AK3857" s="2">
        <v>0.39928136482555698</v>
      </c>
      <c r="AL3857" s="2">
        <v>0.66817789881723599</v>
      </c>
      <c r="AM3857" s="2">
        <v>8.559877937157E-6</v>
      </c>
      <c r="AN3857" s="2">
        <v>6616.0762242500796</v>
      </c>
      <c r="AO3857" s="2">
        <v>8.559877937157E-6</v>
      </c>
      <c r="AP3857" s="2">
        <v>1517.0752731570301</v>
      </c>
      <c r="AQ3857" s="2">
        <v>8.559877937157E-6</v>
      </c>
      <c r="AR3857" s="2">
        <v>997.33639388918698</v>
      </c>
      <c r="AS3857" s="2">
        <v>8.559877937157E-6</v>
      </c>
      <c r="AT3857" s="2">
        <v>1720.9730225041201</v>
      </c>
      <c r="AU3857" s="2">
        <v>541.28939043927096</v>
      </c>
      <c r="AV3857" s="2">
        <v>720.33149461278697</v>
      </c>
      <c r="AW3857" s="2">
        <v>426.22195369723198</v>
      </c>
      <c r="AX3857" s="2">
        <v>8.559877937157E-6</v>
      </c>
    </row>
    <row r="3858" spans="1:50" x14ac:dyDescent="0.25">
      <c r="A3858" s="2" t="s">
        <v>25525</v>
      </c>
      <c r="B3858" s="2">
        <v>459.14575335084203</v>
      </c>
      <c r="C3858" s="2">
        <v>10.74095</v>
      </c>
      <c r="D3858" s="2" t="s">
        <v>51</v>
      </c>
      <c r="E3858" s="2" t="s">
        <v>25526</v>
      </c>
      <c r="F3858" s="2">
        <v>82858</v>
      </c>
      <c r="G3858" s="3" t="str">
        <f>HYPERLINK("https://cloud.oebiotech.com/#/lm/network/82858", "https://cloud.oebiotech.com/#/lm/network/82858")</f>
        <v>https://cloud.oebiotech.com/#/lm/network/82858</v>
      </c>
      <c r="H3858" s="2" t="s">
        <v>25527</v>
      </c>
      <c r="I3858" s="2"/>
      <c r="J3858" s="2"/>
      <c r="K3858" s="2">
        <v>468304</v>
      </c>
      <c r="L3858" s="2"/>
      <c r="M3858" s="2"/>
      <c r="N3858" s="2"/>
      <c r="O3858" s="2"/>
      <c r="P3858" s="2"/>
      <c r="Q3858" s="2"/>
      <c r="R3858" s="2"/>
      <c r="S3858" s="2" t="s">
        <v>25528</v>
      </c>
      <c r="T3858" s="2" t="s">
        <v>25529</v>
      </c>
      <c r="U3858" s="2" t="s">
        <v>266</v>
      </c>
      <c r="V3858" s="2" t="s">
        <v>2781</v>
      </c>
      <c r="W3858" s="2" t="s">
        <v>2782</v>
      </c>
      <c r="X3858" s="2" t="s">
        <v>147</v>
      </c>
      <c r="Y3858" s="2">
        <v>38.4</v>
      </c>
      <c r="Z3858" s="2">
        <v>0</v>
      </c>
      <c r="AA3858" s="2" t="s">
        <v>218</v>
      </c>
      <c r="AB3858" s="2" t="s">
        <v>25530</v>
      </c>
      <c r="AC3858" s="2">
        <v>0.34018762069240299</v>
      </c>
      <c r="AD3858" s="2"/>
      <c r="AE3858" s="2">
        <v>0.13352846601533999</v>
      </c>
      <c r="AF3858" s="2">
        <v>2312.43657834738</v>
      </c>
      <c r="AG3858" s="2">
        <v>1482.81410614743</v>
      </c>
      <c r="AH3858" s="5">
        <v>1.55949189366388</v>
      </c>
      <c r="AI3858" s="5">
        <v>0.64107605351276198</v>
      </c>
      <c r="AJ3858" s="5" t="s">
        <v>139</v>
      </c>
      <c r="AK3858" s="2">
        <v>9.0355995365156802E-2</v>
      </c>
      <c r="AL3858" s="2">
        <v>0.386027550791123</v>
      </c>
      <c r="AM3858" s="2">
        <v>924.43729012200504</v>
      </c>
      <c r="AN3858" s="2">
        <v>3003.5356141263101</v>
      </c>
      <c r="AO3858" s="2">
        <v>2666.9559416899801</v>
      </c>
      <c r="AP3858" s="2">
        <v>1485.77381187691</v>
      </c>
      <c r="AQ3858" s="2">
        <v>3304.1658042970898</v>
      </c>
      <c r="AR3858" s="2">
        <v>2489.75100797198</v>
      </c>
      <c r="AS3858" s="2">
        <v>1580.8426266429899</v>
      </c>
      <c r="AT3858" s="2">
        <v>1165.35521218394</v>
      </c>
      <c r="AU3858" s="2">
        <v>1176.88573100402</v>
      </c>
      <c r="AV3858" s="2">
        <v>1457.2585174200599</v>
      </c>
      <c r="AW3858" s="2">
        <v>2562.2057058550999</v>
      </c>
      <c r="AX3858" s="2">
        <v>954.33684377849499</v>
      </c>
    </row>
    <row r="3859" spans="1:50" x14ac:dyDescent="0.25">
      <c r="A3859" s="2" t="s">
        <v>25531</v>
      </c>
      <c r="B3859" s="2">
        <v>318.24117978669602</v>
      </c>
      <c r="C3859" s="2">
        <v>9.5437499999999993</v>
      </c>
      <c r="D3859" s="2" t="s">
        <v>51</v>
      </c>
      <c r="E3859" s="2" t="s">
        <v>25532</v>
      </c>
      <c r="F3859" s="2">
        <v>44899</v>
      </c>
      <c r="G3859" s="3" t="str">
        <f>HYPERLINK("https://cloud.oebiotech.com/#/lm/network/44899", "https://cloud.oebiotech.com/#/lm/network/44899")</f>
        <v>https://cloud.oebiotech.com/#/lm/network/44899</v>
      </c>
      <c r="H3859" s="2" t="s">
        <v>25533</v>
      </c>
      <c r="I3859" s="2">
        <v>41840</v>
      </c>
      <c r="J3859" s="2" t="s">
        <v>25534</v>
      </c>
      <c r="K3859" s="2">
        <v>6300</v>
      </c>
      <c r="L3859" s="2"/>
      <c r="M3859" s="2"/>
      <c r="N3859" s="2"/>
      <c r="O3859" s="2"/>
      <c r="P3859" s="2"/>
      <c r="Q3859" s="2"/>
      <c r="R3859" s="2" t="s">
        <v>25535</v>
      </c>
      <c r="S3859" s="2" t="s">
        <v>25536</v>
      </c>
      <c r="T3859" s="2" t="s">
        <v>25537</v>
      </c>
      <c r="U3859" s="2" t="s">
        <v>56</v>
      </c>
      <c r="V3859" s="2" t="s">
        <v>283</v>
      </c>
      <c r="W3859" s="2" t="s">
        <v>284</v>
      </c>
      <c r="X3859" s="2" t="s">
        <v>83</v>
      </c>
      <c r="Y3859" s="2">
        <v>45.7</v>
      </c>
      <c r="Z3859" s="2">
        <v>23.2</v>
      </c>
      <c r="AA3859" s="2" t="s">
        <v>512</v>
      </c>
      <c r="AB3859" s="2" t="s">
        <v>1261</v>
      </c>
      <c r="AC3859" s="2">
        <v>-5.2492788374045496</v>
      </c>
      <c r="AD3859" s="2"/>
      <c r="AE3859" s="2">
        <v>0.13348681622148301</v>
      </c>
      <c r="AF3859" s="2">
        <v>34302.319643511197</v>
      </c>
      <c r="AG3859" s="2">
        <v>49687.291811687901</v>
      </c>
      <c r="AH3859" s="4">
        <v>0.69036404265128903</v>
      </c>
      <c r="AI3859" s="4">
        <v>-0.53457077063643199</v>
      </c>
      <c r="AJ3859" s="4" t="s">
        <v>62</v>
      </c>
      <c r="AK3859" s="2">
        <v>0.75955009971954701</v>
      </c>
      <c r="AL3859" s="2">
        <v>0.89152062866139503</v>
      </c>
      <c r="AM3859" s="2">
        <v>1567.2420812328101</v>
      </c>
      <c r="AN3859" s="2">
        <v>760.48193458500202</v>
      </c>
      <c r="AO3859" s="2">
        <v>86653.945952796304</v>
      </c>
      <c r="AP3859" s="2">
        <v>413.41419354296801</v>
      </c>
      <c r="AQ3859" s="2">
        <v>113719.136465711</v>
      </c>
      <c r="AR3859" s="2">
        <v>2699.69723319883</v>
      </c>
      <c r="AS3859" s="2">
        <v>22200.935570957299</v>
      </c>
      <c r="AT3859" s="2">
        <v>8.559877937157E-6</v>
      </c>
      <c r="AU3859" s="2">
        <v>269556.25181045203</v>
      </c>
      <c r="AV3859" s="2">
        <v>4960.10540783734</v>
      </c>
      <c r="AW3859" s="2">
        <v>625.01727642440096</v>
      </c>
      <c r="AX3859" s="2">
        <v>781.44079589654496</v>
      </c>
    </row>
    <row r="3860" spans="1:50" x14ac:dyDescent="0.25">
      <c r="A3860" s="2" t="s">
        <v>25538</v>
      </c>
      <c r="B3860" s="2">
        <v>382.27281254521</v>
      </c>
      <c r="C3860" s="2">
        <v>9.8490833333333292</v>
      </c>
      <c r="D3860" s="2" t="s">
        <v>51</v>
      </c>
      <c r="E3860" s="2" t="s">
        <v>25539</v>
      </c>
      <c r="F3860" s="2">
        <v>38934</v>
      </c>
      <c r="G3860" s="3" t="str">
        <f>HYPERLINK("https://cloud.oebiotech.com/#/lm/network/38934", "https://cloud.oebiotech.com/#/lm/network/38934")</f>
        <v>https://cloud.oebiotech.com/#/lm/network/38934</v>
      </c>
      <c r="H3860" s="2" t="s">
        <v>25540</v>
      </c>
      <c r="I3860" s="2">
        <v>3512</v>
      </c>
      <c r="J3860" s="2" t="s">
        <v>25541</v>
      </c>
      <c r="K3860" s="2">
        <v>644260</v>
      </c>
      <c r="L3860" s="2" t="s">
        <v>25542</v>
      </c>
      <c r="M3860" s="2" t="s">
        <v>2204</v>
      </c>
      <c r="N3860" s="2" t="s">
        <v>2205</v>
      </c>
      <c r="O3860" s="2">
        <v>16893</v>
      </c>
      <c r="P3860" s="2" t="s">
        <v>2206</v>
      </c>
      <c r="Q3860" s="2" t="s">
        <v>2207</v>
      </c>
      <c r="R3860" s="2" t="s">
        <v>25543</v>
      </c>
      <c r="S3860" s="2" t="s">
        <v>25544</v>
      </c>
      <c r="T3860" s="2" t="s">
        <v>25545</v>
      </c>
      <c r="U3860" s="2" t="s">
        <v>56</v>
      </c>
      <c r="V3860" s="2" t="s">
        <v>344</v>
      </c>
      <c r="W3860" s="2" t="s">
        <v>1239</v>
      </c>
      <c r="X3860" s="2" t="s">
        <v>69</v>
      </c>
      <c r="Y3860" s="2">
        <v>57.4</v>
      </c>
      <c r="Z3860" s="2">
        <v>66.2</v>
      </c>
      <c r="AA3860" s="2" t="s">
        <v>60</v>
      </c>
      <c r="AB3860" s="2" t="s">
        <v>25546</v>
      </c>
      <c r="AC3860" s="2">
        <v>2.9535875377664902</v>
      </c>
      <c r="AD3860" s="2"/>
      <c r="AE3860" s="2">
        <v>0.13345259621033101</v>
      </c>
      <c r="AF3860" s="2">
        <v>43617.817814185699</v>
      </c>
      <c r="AG3860" s="2">
        <v>37729.016783400897</v>
      </c>
      <c r="AH3860" s="5">
        <v>1.1560814866868101</v>
      </c>
      <c r="AI3860" s="5">
        <v>0.20924309013593101</v>
      </c>
      <c r="AJ3860" s="5" t="s">
        <v>139</v>
      </c>
      <c r="AK3860" s="2">
        <v>0.67616768557839102</v>
      </c>
      <c r="AL3860" s="2">
        <v>0.84336293052077804</v>
      </c>
      <c r="AM3860" s="2">
        <v>17918.330237139799</v>
      </c>
      <c r="AN3860" s="2">
        <v>48132.899021370002</v>
      </c>
      <c r="AO3860" s="2">
        <v>37217.324753594097</v>
      </c>
      <c r="AP3860" s="2">
        <v>64166.639686851697</v>
      </c>
      <c r="AQ3860" s="2">
        <v>50543.682204377597</v>
      </c>
      <c r="AR3860" s="2">
        <v>43728.030981781099</v>
      </c>
      <c r="AS3860" s="2">
        <v>86884.626533403905</v>
      </c>
      <c r="AT3860" s="2">
        <v>60327.4717996072</v>
      </c>
      <c r="AU3860" s="2">
        <v>30863.9042445247</v>
      </c>
      <c r="AV3860" s="2">
        <v>13374.476516017699</v>
      </c>
      <c r="AW3860" s="2">
        <v>12976.425418446201</v>
      </c>
      <c r="AX3860" s="2">
        <v>21947.1961884056</v>
      </c>
    </row>
    <row r="3861" spans="1:50" x14ac:dyDescent="0.25">
      <c r="A3861" s="2" t="s">
        <v>25547</v>
      </c>
      <c r="B3861" s="2">
        <v>121.06868020002</v>
      </c>
      <c r="C3861" s="2">
        <v>3.4837333333333298</v>
      </c>
      <c r="D3861" s="2" t="s">
        <v>51</v>
      </c>
      <c r="E3861" s="2" t="s">
        <v>25548</v>
      </c>
      <c r="F3861" s="2">
        <v>64564</v>
      </c>
      <c r="G3861" s="3" t="str">
        <f>HYPERLINK("https://cloud.oebiotech.com/#/lm/network/64564", "https://cloud.oebiotech.com/#/lm/network/64564")</f>
        <v>https://cloud.oebiotech.com/#/lm/network/64564</v>
      </c>
      <c r="H3861" s="2" t="s">
        <v>25549</v>
      </c>
      <c r="I3861" s="2">
        <v>95865</v>
      </c>
      <c r="J3861" s="2"/>
      <c r="K3861" s="2">
        <v>12659797</v>
      </c>
      <c r="L3861" s="2"/>
      <c r="M3861" s="2"/>
      <c r="N3861" s="2"/>
      <c r="O3861" s="2"/>
      <c r="P3861" s="2"/>
      <c r="Q3861" s="2"/>
      <c r="R3861" s="2" t="s">
        <v>25550</v>
      </c>
      <c r="S3861" s="2" t="s">
        <v>25551</v>
      </c>
      <c r="T3861" s="2" t="s">
        <v>25552</v>
      </c>
      <c r="U3861" s="2" t="s">
        <v>331</v>
      </c>
      <c r="V3861" s="2" t="s">
        <v>332</v>
      </c>
      <c r="W3861" s="2" t="s">
        <v>519</v>
      </c>
      <c r="X3861" s="2" t="s">
        <v>147</v>
      </c>
      <c r="Y3861" s="2">
        <v>37.299999999999997</v>
      </c>
      <c r="Z3861" s="2">
        <v>0</v>
      </c>
      <c r="AA3861" s="2" t="s">
        <v>259</v>
      </c>
      <c r="AB3861" s="2" t="s">
        <v>25553</v>
      </c>
      <c r="AC3861" s="2">
        <v>4.3125087355977101</v>
      </c>
      <c r="AD3861" s="2"/>
      <c r="AE3861" s="2">
        <v>0.133434691346103</v>
      </c>
      <c r="AF3861" s="2">
        <v>73.915810219110796</v>
      </c>
      <c r="AG3861" s="2">
        <v>979.16020553746398</v>
      </c>
      <c r="AH3861" s="4">
        <v>7.5488985153903607E-2</v>
      </c>
      <c r="AI3861" s="4">
        <v>-3.7275900383587501</v>
      </c>
      <c r="AJ3861" s="4" t="s">
        <v>62</v>
      </c>
      <c r="AK3861" s="2">
        <v>0.34339348593360502</v>
      </c>
      <c r="AL3861" s="2">
        <v>0.63883639734105901</v>
      </c>
      <c r="AM3861" s="2">
        <v>41.473197512037302</v>
      </c>
      <c r="AN3861" s="2">
        <v>96.597831407570496</v>
      </c>
      <c r="AO3861" s="2">
        <v>31.374656318512201</v>
      </c>
      <c r="AP3861" s="2">
        <v>128.485015986006</v>
      </c>
      <c r="AQ3861" s="2">
        <v>59.212868369439001</v>
      </c>
      <c r="AR3861" s="2">
        <v>86.351291721099599</v>
      </c>
      <c r="AS3861" s="2">
        <v>113.43892373141</v>
      </c>
      <c r="AT3861" s="2">
        <v>75.530879167531594</v>
      </c>
      <c r="AU3861" s="2">
        <v>59.1141093060223</v>
      </c>
      <c r="AV3861" s="2">
        <v>8.559877937157E-6</v>
      </c>
      <c r="AW3861" s="2">
        <v>98.187778055599793</v>
      </c>
      <c r="AX3861" s="2">
        <v>5528.6895344043396</v>
      </c>
    </row>
    <row r="3862" spans="1:50" x14ac:dyDescent="0.25">
      <c r="A3862" s="2" t="s">
        <v>25554</v>
      </c>
      <c r="B3862" s="2">
        <v>240.10276238342101</v>
      </c>
      <c r="C3862" s="2">
        <v>2.1991166666666699</v>
      </c>
      <c r="D3862" s="2" t="s">
        <v>51</v>
      </c>
      <c r="E3862" s="2" t="s">
        <v>25555</v>
      </c>
      <c r="F3862" s="2">
        <v>204356</v>
      </c>
      <c r="G3862" s="3" t="str">
        <f>HYPERLINK("https://cloud.oebiotech.com/#/lm/network/204356", "https://cloud.oebiotech.com/#/lm/network/204356")</f>
        <v>https://cloud.oebiotech.com/#/lm/network/204356</v>
      </c>
      <c r="H3862" s="2" t="s">
        <v>25556</v>
      </c>
      <c r="I3862" s="2"/>
      <c r="J3862" s="2"/>
      <c r="K3862" s="2">
        <v>3021749</v>
      </c>
      <c r="L3862" s="2"/>
      <c r="M3862" s="2"/>
      <c r="N3862" s="2"/>
      <c r="O3862" s="2"/>
      <c r="P3862" s="2"/>
      <c r="Q3862" s="2"/>
      <c r="R3862" s="2"/>
      <c r="S3862" s="2" t="s">
        <v>25557</v>
      </c>
      <c r="T3862" s="2" t="s">
        <v>25558</v>
      </c>
      <c r="U3862" s="2" t="s">
        <v>56</v>
      </c>
      <c r="V3862" s="2" t="s">
        <v>145</v>
      </c>
      <c r="W3862" s="2" t="s">
        <v>231</v>
      </c>
      <c r="X3862" s="2" t="s">
        <v>147</v>
      </c>
      <c r="Y3862" s="2">
        <v>36.299999999999997</v>
      </c>
      <c r="Z3862" s="2">
        <v>0</v>
      </c>
      <c r="AA3862" s="2" t="s">
        <v>95</v>
      </c>
      <c r="AB3862" s="2" t="s">
        <v>25559</v>
      </c>
      <c r="AC3862" s="2">
        <v>-0.498125426619978</v>
      </c>
      <c r="AD3862" s="2"/>
      <c r="AE3862" s="2">
        <v>0.13343295015774201</v>
      </c>
      <c r="AF3862" s="2">
        <v>3614.6292166110102</v>
      </c>
      <c r="AG3862" s="2">
        <v>2735.3471043057798</v>
      </c>
      <c r="AH3862" s="5">
        <v>1.3214517495498601</v>
      </c>
      <c r="AI3862" s="5">
        <v>0.40212374850882099</v>
      </c>
      <c r="AJ3862" s="5" t="s">
        <v>139</v>
      </c>
      <c r="AK3862" s="2">
        <v>0.36642511571505698</v>
      </c>
      <c r="AL3862" s="2">
        <v>0.65122678586673299</v>
      </c>
      <c r="AM3862" s="2">
        <v>6486.4656904168496</v>
      </c>
      <c r="AN3862" s="2">
        <v>1786.4450490081599</v>
      </c>
      <c r="AO3862" s="2">
        <v>4424.7677042836704</v>
      </c>
      <c r="AP3862" s="2">
        <v>4286.2142952947597</v>
      </c>
      <c r="AQ3862" s="2">
        <v>1550.3600925886999</v>
      </c>
      <c r="AR3862" s="2">
        <v>3153.5224680739402</v>
      </c>
      <c r="AS3862" s="2">
        <v>4343.7060615487899</v>
      </c>
      <c r="AT3862" s="2">
        <v>2478.9584255317</v>
      </c>
      <c r="AU3862" s="2">
        <v>1747.5087663224199</v>
      </c>
      <c r="AV3862" s="2">
        <v>1148.3128998842899</v>
      </c>
      <c r="AW3862" s="2">
        <v>4308.4692520302297</v>
      </c>
      <c r="AX3862" s="2">
        <v>2385.12722051726</v>
      </c>
    </row>
    <row r="3863" spans="1:50" x14ac:dyDescent="0.25">
      <c r="A3863" s="2" t="s">
        <v>25560</v>
      </c>
      <c r="B3863" s="2">
        <v>146.06038740324499</v>
      </c>
      <c r="C3863" s="2">
        <v>3.60421666666667</v>
      </c>
      <c r="D3863" s="2" t="s">
        <v>51</v>
      </c>
      <c r="E3863" s="2" t="s">
        <v>25561</v>
      </c>
      <c r="F3863" s="2">
        <v>266802</v>
      </c>
      <c r="G3863" s="3" t="str">
        <f>HYPERLINK("https://cloud.oebiotech.com/#/lm/network/266802", "https://cloud.oebiotech.com/#/lm/network/266802")</f>
        <v>https://cloud.oebiotech.com/#/lm/network/266802</v>
      </c>
      <c r="H3863" s="2"/>
      <c r="I3863" s="2">
        <v>44006</v>
      </c>
      <c r="J3863" s="2"/>
      <c r="K3863" s="2">
        <v>1923</v>
      </c>
      <c r="L3863" s="2" t="s">
        <v>25562</v>
      </c>
      <c r="M3863" s="2"/>
      <c r="N3863" s="2"/>
      <c r="O3863" s="2"/>
      <c r="P3863" s="2"/>
      <c r="Q3863" s="2"/>
      <c r="R3863" s="2" t="s">
        <v>25563</v>
      </c>
      <c r="S3863" s="2" t="s">
        <v>25564</v>
      </c>
      <c r="T3863" s="2" t="s">
        <v>25565</v>
      </c>
      <c r="U3863" s="2" t="s">
        <v>266</v>
      </c>
      <c r="V3863" s="2" t="s">
        <v>1393</v>
      </c>
      <c r="W3863" s="2" t="s">
        <v>25566</v>
      </c>
      <c r="X3863" s="2" t="s">
        <v>69</v>
      </c>
      <c r="Y3863" s="2">
        <v>69.900000000000006</v>
      </c>
      <c r="Z3863" s="2">
        <v>73.099999999999994</v>
      </c>
      <c r="AA3863" s="2" t="s">
        <v>259</v>
      </c>
      <c r="AB3863" s="2" t="s">
        <v>23543</v>
      </c>
      <c r="AC3863" s="2">
        <v>2.3930767412795899</v>
      </c>
      <c r="AD3863" s="2"/>
      <c r="AE3863" s="2">
        <v>0.13338741514977101</v>
      </c>
      <c r="AF3863" s="2">
        <v>50672.658195138698</v>
      </c>
      <c r="AG3863" s="2">
        <v>46185.022055838897</v>
      </c>
      <c r="AH3863" s="5">
        <v>1.0971664825422001</v>
      </c>
      <c r="AI3863" s="5">
        <v>0.13378245492483101</v>
      </c>
      <c r="AJ3863" s="5" t="s">
        <v>139</v>
      </c>
      <c r="AK3863" s="2">
        <v>0.63614502656708005</v>
      </c>
      <c r="AL3863" s="2">
        <v>0.82157777305389501</v>
      </c>
      <c r="AM3863" s="2">
        <v>35249.056561293102</v>
      </c>
      <c r="AN3863" s="2">
        <v>62176.773048101102</v>
      </c>
      <c r="AO3863" s="2">
        <v>37747.910771548602</v>
      </c>
      <c r="AP3863" s="2">
        <v>72536.105489683498</v>
      </c>
      <c r="AQ3863" s="2">
        <v>55895.6069242866</v>
      </c>
      <c r="AR3863" s="2">
        <v>40430.496375919502</v>
      </c>
      <c r="AS3863" s="2">
        <v>44926.3658648809</v>
      </c>
      <c r="AT3863" s="2">
        <v>63613.033633716099</v>
      </c>
      <c r="AU3863" s="2">
        <v>32812.5977053143</v>
      </c>
      <c r="AV3863" s="2">
        <v>22122.578210621999</v>
      </c>
      <c r="AW3863" s="2">
        <v>49698.875791505503</v>
      </c>
      <c r="AX3863" s="2">
        <v>63936.681128994402</v>
      </c>
    </row>
    <row r="3864" spans="1:50" x14ac:dyDescent="0.25">
      <c r="A3864" s="2" t="s">
        <v>25567</v>
      </c>
      <c r="B3864" s="2">
        <v>422.182306572622</v>
      </c>
      <c r="C3864" s="2">
        <v>6.18488333333333</v>
      </c>
      <c r="D3864" s="2" t="s">
        <v>51</v>
      </c>
      <c r="E3864" s="2" t="s">
        <v>25568</v>
      </c>
      <c r="F3864" s="2">
        <v>55148</v>
      </c>
      <c r="G3864" s="3" t="str">
        <f>HYPERLINK("https://cloud.oebiotech.com/#/lm/network/55148", "https://cloud.oebiotech.com/#/lm/network/55148")</f>
        <v>https://cloud.oebiotech.com/#/lm/network/55148</v>
      </c>
      <c r="H3864" s="2" t="s">
        <v>25569</v>
      </c>
      <c r="I3864" s="2"/>
      <c r="J3864" s="2"/>
      <c r="K3864" s="2">
        <v>6440206</v>
      </c>
      <c r="L3864" s="2"/>
      <c r="M3864" s="2"/>
      <c r="N3864" s="2"/>
      <c r="O3864" s="2">
        <v>168828</v>
      </c>
      <c r="P3864" s="2"/>
      <c r="Q3864" s="2"/>
      <c r="R3864" s="2" t="s">
        <v>25570</v>
      </c>
      <c r="S3864" s="2" t="s">
        <v>25571</v>
      </c>
      <c r="T3864" s="2" t="s">
        <v>25572</v>
      </c>
      <c r="U3864" s="2" t="s">
        <v>266</v>
      </c>
      <c r="V3864" s="2" t="s">
        <v>25573</v>
      </c>
      <c r="W3864" s="2" t="s">
        <v>240</v>
      </c>
      <c r="X3864" s="2" t="s">
        <v>147</v>
      </c>
      <c r="Y3864" s="2">
        <v>41.2</v>
      </c>
      <c r="Z3864" s="2">
        <v>16.2</v>
      </c>
      <c r="AA3864" s="2" t="s">
        <v>163</v>
      </c>
      <c r="AB3864" s="2" t="s">
        <v>25574</v>
      </c>
      <c r="AC3864" s="2">
        <v>0.62882804693577998</v>
      </c>
      <c r="AD3864" s="2"/>
      <c r="AE3864" s="2">
        <v>0.13326084057188001</v>
      </c>
      <c r="AF3864" s="2">
        <v>1823.01529331291</v>
      </c>
      <c r="AG3864" s="2">
        <v>3132.7661657875101</v>
      </c>
      <c r="AH3864" s="4">
        <v>0.58191872512599196</v>
      </c>
      <c r="AI3864" s="4">
        <v>-0.78111042465005598</v>
      </c>
      <c r="AJ3864" s="4" t="s">
        <v>62</v>
      </c>
      <c r="AK3864" s="2">
        <v>0.27852521956975801</v>
      </c>
      <c r="AL3864" s="2">
        <v>0.598264916275561</v>
      </c>
      <c r="AM3864" s="2">
        <v>1596.1633734969801</v>
      </c>
      <c r="AN3864" s="2">
        <v>4680.4235137575597</v>
      </c>
      <c r="AO3864" s="2">
        <v>771.16435261410902</v>
      </c>
      <c r="AP3864" s="2">
        <v>803.50247193636199</v>
      </c>
      <c r="AQ3864" s="2">
        <v>2986.7995555931402</v>
      </c>
      <c r="AR3864" s="2">
        <v>100.038492479306</v>
      </c>
      <c r="AS3864" s="2">
        <v>3846.4749885390502</v>
      </c>
      <c r="AT3864" s="2">
        <v>6136.4599752005897</v>
      </c>
      <c r="AU3864" s="2">
        <v>501.895998238868</v>
      </c>
      <c r="AV3864" s="2">
        <v>1388.10524709018</v>
      </c>
      <c r="AW3864" s="2">
        <v>1913.3733245523199</v>
      </c>
      <c r="AX3864" s="2">
        <v>5010.2874611040497</v>
      </c>
    </row>
    <row r="3865" spans="1:50" x14ac:dyDescent="0.25">
      <c r="A3865" s="2" t="s">
        <v>25575</v>
      </c>
      <c r="B3865" s="2">
        <v>621.32832589098302</v>
      </c>
      <c r="C3865" s="2">
        <v>9.6238666666666699</v>
      </c>
      <c r="D3865" s="2" t="s">
        <v>51</v>
      </c>
      <c r="E3865" s="2" t="s">
        <v>25576</v>
      </c>
      <c r="F3865" s="2">
        <v>206914</v>
      </c>
      <c r="G3865" s="3" t="str">
        <f>HYPERLINK("https://cloud.oebiotech.com/#/lm/network/206914", "https://cloud.oebiotech.com/#/lm/network/206914")</f>
        <v>https://cloud.oebiotech.com/#/lm/network/206914</v>
      </c>
      <c r="H3865" s="2" t="s">
        <v>25577</v>
      </c>
      <c r="I3865" s="2"/>
      <c r="J3865" s="2"/>
      <c r="K3865" s="2">
        <v>200145</v>
      </c>
      <c r="L3865" s="2"/>
      <c r="M3865" s="2"/>
      <c r="N3865" s="2"/>
      <c r="O3865" s="2"/>
      <c r="P3865" s="2"/>
      <c r="Q3865" s="2"/>
      <c r="R3865" s="2"/>
      <c r="S3865" s="2" t="s">
        <v>25578</v>
      </c>
      <c r="T3865" s="2" t="s">
        <v>25579</v>
      </c>
      <c r="U3865" s="2" t="s">
        <v>56</v>
      </c>
      <c r="V3865" s="2" t="s">
        <v>283</v>
      </c>
      <c r="W3865" s="2" t="s">
        <v>1338</v>
      </c>
      <c r="X3865" s="2" t="s">
        <v>83</v>
      </c>
      <c r="Y3865" s="2">
        <v>48.9</v>
      </c>
      <c r="Z3865" s="2">
        <v>7.2300000000000003E-2</v>
      </c>
      <c r="AA3865" s="2" t="s">
        <v>218</v>
      </c>
      <c r="AB3865" s="2" t="s">
        <v>25580</v>
      </c>
      <c r="AC3865" s="2">
        <v>0.50302026171168601</v>
      </c>
      <c r="AD3865" s="2"/>
      <c r="AE3865" s="2">
        <v>0.13317602972995601</v>
      </c>
      <c r="AF3865" s="2">
        <v>570.35319136282499</v>
      </c>
      <c r="AG3865" s="2">
        <v>1718.4202254853701</v>
      </c>
      <c r="AH3865" s="4">
        <v>0.331905539113245</v>
      </c>
      <c r="AI3865" s="4">
        <v>-1.5911553883861</v>
      </c>
      <c r="AJ3865" s="4" t="s">
        <v>62</v>
      </c>
      <c r="AK3865" s="2">
        <v>0.451421520064057</v>
      </c>
      <c r="AL3865" s="2">
        <v>0.70528155934299797</v>
      </c>
      <c r="AM3865" s="2">
        <v>464.42995750800497</v>
      </c>
      <c r="AN3865" s="2">
        <v>2544.6358362692499</v>
      </c>
      <c r="AO3865" s="2">
        <v>8.559877937157E-6</v>
      </c>
      <c r="AP3865" s="2">
        <v>8.559877937157E-6</v>
      </c>
      <c r="AQ3865" s="2">
        <v>8.559877937157E-6</v>
      </c>
      <c r="AR3865" s="2">
        <v>413.05332872005903</v>
      </c>
      <c r="AS3865" s="2">
        <v>8695.6126117384702</v>
      </c>
      <c r="AT3865" s="2">
        <v>1184.0769092696901</v>
      </c>
      <c r="AU3865" s="2">
        <v>8.559877937157E-6</v>
      </c>
      <c r="AV3865" s="2">
        <v>8.559877937157E-6</v>
      </c>
      <c r="AW3865" s="2">
        <v>430.83180622440199</v>
      </c>
      <c r="AX3865" s="2">
        <v>8.559877937157E-6</v>
      </c>
    </row>
    <row r="3866" spans="1:50" x14ac:dyDescent="0.25">
      <c r="A3866" s="2" t="s">
        <v>25581</v>
      </c>
      <c r="B3866" s="2">
        <v>185.09251041901101</v>
      </c>
      <c r="C3866" s="2">
        <v>11.6971333333333</v>
      </c>
      <c r="D3866" s="2" t="s">
        <v>51</v>
      </c>
      <c r="E3866" s="2" t="s">
        <v>25582</v>
      </c>
      <c r="F3866" s="2">
        <v>54037</v>
      </c>
      <c r="G3866" s="3" t="str">
        <f>HYPERLINK("https://cloud.oebiotech.com/#/lm/network/54037", "https://cloud.oebiotech.com/#/lm/network/54037")</f>
        <v>https://cloud.oebiotech.com/#/lm/network/54037</v>
      </c>
      <c r="H3866" s="2" t="s">
        <v>25583</v>
      </c>
      <c r="I3866" s="2"/>
      <c r="J3866" s="2"/>
      <c r="K3866" s="2">
        <v>18218236</v>
      </c>
      <c r="L3866" s="2"/>
      <c r="M3866" s="2"/>
      <c r="N3866" s="2"/>
      <c r="O3866" s="2"/>
      <c r="P3866" s="2"/>
      <c r="Q3866" s="2"/>
      <c r="R3866" s="2"/>
      <c r="S3866" s="2" t="s">
        <v>25584</v>
      </c>
      <c r="T3866" s="2" t="s">
        <v>25585</v>
      </c>
      <c r="U3866" s="2" t="s">
        <v>103</v>
      </c>
      <c r="V3866" s="2" t="s">
        <v>104</v>
      </c>
      <c r="W3866" s="2" t="s">
        <v>105</v>
      </c>
      <c r="X3866" s="2" t="s">
        <v>147</v>
      </c>
      <c r="Y3866" s="2">
        <v>37.5</v>
      </c>
      <c r="Z3866" s="2">
        <v>0</v>
      </c>
      <c r="AA3866" s="2" t="s">
        <v>156</v>
      </c>
      <c r="AB3866" s="2" t="s">
        <v>25586</v>
      </c>
      <c r="AC3866" s="2">
        <v>2.1857612034036999</v>
      </c>
      <c r="AD3866" s="2"/>
      <c r="AE3866" s="2">
        <v>0.133011210454344</v>
      </c>
      <c r="AF3866" s="2">
        <v>1637.6244002631599</v>
      </c>
      <c r="AG3866" s="2">
        <v>2102.5648990585701</v>
      </c>
      <c r="AH3866" s="4">
        <v>0.77886984653668101</v>
      </c>
      <c r="AI3866" s="4">
        <v>-0.36054582878791702</v>
      </c>
      <c r="AJ3866" s="4" t="s">
        <v>62</v>
      </c>
      <c r="AK3866" s="2">
        <v>5.13624374803031E-3</v>
      </c>
      <c r="AL3866" s="2">
        <v>0.123740271492219</v>
      </c>
      <c r="AM3866" s="2">
        <v>1760.16324150991</v>
      </c>
      <c r="AN3866" s="2">
        <v>1859.8195959720399</v>
      </c>
      <c r="AO3866" s="2">
        <v>1824.4286707368999</v>
      </c>
      <c r="AP3866" s="2">
        <v>1739.76298708939</v>
      </c>
      <c r="AQ3866" s="2">
        <v>1167.9211586020599</v>
      </c>
      <c r="AR3866" s="2">
        <v>1473.65074766866</v>
      </c>
      <c r="AS3866" s="2">
        <v>2262.6020090593502</v>
      </c>
      <c r="AT3866" s="2">
        <v>2244.9518250306701</v>
      </c>
      <c r="AU3866" s="2">
        <v>1816.80344212523</v>
      </c>
      <c r="AV3866" s="2">
        <v>2003.6589135405</v>
      </c>
      <c r="AW3866" s="2">
        <v>2065.3791475312</v>
      </c>
      <c r="AX3866" s="2">
        <v>2221.9940570644699</v>
      </c>
    </row>
    <row r="3867" spans="1:50" x14ac:dyDescent="0.25">
      <c r="A3867" s="2" t="s">
        <v>25587</v>
      </c>
      <c r="B3867" s="2">
        <v>398.20499803360099</v>
      </c>
      <c r="C3867" s="2">
        <v>1.7760499999999999</v>
      </c>
      <c r="D3867" s="2" t="s">
        <v>51</v>
      </c>
      <c r="E3867" s="2" t="s">
        <v>25588</v>
      </c>
      <c r="F3867" s="2">
        <v>261333</v>
      </c>
      <c r="G3867" s="3" t="str">
        <f>HYPERLINK("https://cloud.oebiotech.com/#/lm/network/261333", "https://cloud.oebiotech.com/#/lm/network/261333")</f>
        <v>https://cloud.oebiotech.com/#/lm/network/261333</v>
      </c>
      <c r="H3867" s="2"/>
      <c r="I3867" s="2">
        <v>18643</v>
      </c>
      <c r="J3867" s="2"/>
      <c r="K3867" s="2">
        <v>145455394</v>
      </c>
      <c r="L3867" s="2"/>
      <c r="M3867" s="2"/>
      <c r="N3867" s="2"/>
      <c r="O3867" s="2"/>
      <c r="P3867" s="2"/>
      <c r="Q3867" s="2"/>
      <c r="R3867" s="2"/>
      <c r="S3867" s="2" t="s">
        <v>25589</v>
      </c>
      <c r="T3867" s="2" t="s">
        <v>25590</v>
      </c>
      <c r="U3867" s="2" t="s">
        <v>103</v>
      </c>
      <c r="V3867" s="2" t="s">
        <v>104</v>
      </c>
      <c r="W3867" s="2" t="s">
        <v>105</v>
      </c>
      <c r="X3867" s="2" t="s">
        <v>69</v>
      </c>
      <c r="Y3867" s="2">
        <v>51.7</v>
      </c>
      <c r="Z3867" s="2">
        <v>64.599999999999994</v>
      </c>
      <c r="AA3867" s="2" t="s">
        <v>259</v>
      </c>
      <c r="AB3867" s="2" t="s">
        <v>25591</v>
      </c>
      <c r="AC3867" s="2">
        <v>3.99801059676274</v>
      </c>
      <c r="AD3867" s="2"/>
      <c r="AE3867" s="2">
        <v>0.13300075008759299</v>
      </c>
      <c r="AF3867" s="2">
        <v>5149.0327339320702</v>
      </c>
      <c r="AG3867" s="2">
        <v>4483.3021172230801</v>
      </c>
      <c r="AH3867" s="5">
        <v>1.1484911342805799</v>
      </c>
      <c r="AI3867" s="5">
        <v>0.19973971994717399</v>
      </c>
      <c r="AJ3867" s="5" t="s">
        <v>139</v>
      </c>
      <c r="AK3867" s="2">
        <v>0.87547324737805299</v>
      </c>
      <c r="AL3867" s="2">
        <v>0.94709997625428299</v>
      </c>
      <c r="AM3867" s="2">
        <v>10403.5883587751</v>
      </c>
      <c r="AN3867" s="2">
        <v>185.12304163301999</v>
      </c>
      <c r="AO3867" s="2">
        <v>12100.4220510787</v>
      </c>
      <c r="AP3867" s="2">
        <v>1474.5565380580399</v>
      </c>
      <c r="AQ3867" s="2">
        <v>1619.0810434145201</v>
      </c>
      <c r="AR3867" s="2">
        <v>5111.4253706330201</v>
      </c>
      <c r="AS3867" s="2">
        <v>8.559877937157E-6</v>
      </c>
      <c r="AT3867" s="2">
        <v>8.559877937157E-6</v>
      </c>
      <c r="AU3867" s="2">
        <v>22214.956901697002</v>
      </c>
      <c r="AV3867" s="2">
        <v>3751.5582605689601</v>
      </c>
      <c r="AW3867" s="2">
        <v>933.29751539291203</v>
      </c>
      <c r="AX3867" s="2">
        <v>8.559877937157E-6</v>
      </c>
    </row>
    <row r="3868" spans="1:50" x14ac:dyDescent="0.25">
      <c r="A3868" s="2" t="s">
        <v>25592</v>
      </c>
      <c r="B3868" s="2">
        <v>254.06118242371201</v>
      </c>
      <c r="C3868" s="2">
        <v>2.0634666666666699</v>
      </c>
      <c r="D3868" s="2" t="s">
        <v>51</v>
      </c>
      <c r="E3868" s="2" t="s">
        <v>25593</v>
      </c>
      <c r="F3868" s="2">
        <v>53153</v>
      </c>
      <c r="G3868" s="3" t="str">
        <f>HYPERLINK("https://cloud.oebiotech.com/#/lm/network/53153", "https://cloud.oebiotech.com/#/lm/network/53153")</f>
        <v>https://cloud.oebiotech.com/#/lm/network/53153</v>
      </c>
      <c r="H3868" s="2" t="s">
        <v>25594</v>
      </c>
      <c r="I3868" s="2">
        <v>857</v>
      </c>
      <c r="J3868" s="2"/>
      <c r="K3868" s="2">
        <v>6883</v>
      </c>
      <c r="L3868" s="2" t="s">
        <v>25595</v>
      </c>
      <c r="M3868" s="2"/>
      <c r="N3868" s="2"/>
      <c r="O3868" s="2">
        <v>6061</v>
      </c>
      <c r="P3868" s="2"/>
      <c r="Q3868" s="2"/>
      <c r="R3868" s="2" t="s">
        <v>25596</v>
      </c>
      <c r="S3868" s="2" t="s">
        <v>25597</v>
      </c>
      <c r="T3868" s="2" t="s">
        <v>25598</v>
      </c>
      <c r="U3868" s="2" t="s">
        <v>266</v>
      </c>
      <c r="V3868" s="2" t="s">
        <v>7486</v>
      </c>
      <c r="W3868" s="2" t="s">
        <v>7487</v>
      </c>
      <c r="X3868" s="2" t="s">
        <v>147</v>
      </c>
      <c r="Y3868" s="2">
        <v>38.9</v>
      </c>
      <c r="Z3868" s="2">
        <v>4.17</v>
      </c>
      <c r="AA3868" s="2" t="s">
        <v>512</v>
      </c>
      <c r="AB3868" s="2" t="s">
        <v>25599</v>
      </c>
      <c r="AC3868" s="2">
        <v>-3.0010368800235199</v>
      </c>
      <c r="AD3868" s="2"/>
      <c r="AE3868" s="2">
        <v>0.13290632975490499</v>
      </c>
      <c r="AF3868" s="2">
        <v>23123.249001674802</v>
      </c>
      <c r="AG3868" s="2">
        <v>25059.969817045199</v>
      </c>
      <c r="AH3868" s="4">
        <v>0.92271655434903799</v>
      </c>
      <c r="AI3868" s="4">
        <v>-0.116040554748381</v>
      </c>
      <c r="AJ3868" s="4" t="s">
        <v>62</v>
      </c>
      <c r="AK3868" s="2">
        <v>0.56278322911326695</v>
      </c>
      <c r="AL3868" s="2">
        <v>0.78064040599162898</v>
      </c>
      <c r="AM3868" s="2">
        <v>24095.3801085671</v>
      </c>
      <c r="AN3868" s="2">
        <v>25141.148405594002</v>
      </c>
      <c r="AO3868" s="2">
        <v>17760.424971280801</v>
      </c>
      <c r="AP3868" s="2">
        <v>28159.446880063799</v>
      </c>
      <c r="AQ3868" s="2">
        <v>26510.892839239899</v>
      </c>
      <c r="AR3868" s="2">
        <v>17072.200805303499</v>
      </c>
      <c r="AS3868" s="2">
        <v>20783.914623706802</v>
      </c>
      <c r="AT3868" s="2">
        <v>22953.298928371401</v>
      </c>
      <c r="AU3868" s="2">
        <v>29562.641353134</v>
      </c>
      <c r="AV3868" s="2">
        <v>18507.8916509015</v>
      </c>
      <c r="AW3868" s="2">
        <v>22742.289401980899</v>
      </c>
      <c r="AX3868" s="2">
        <v>35809.782944176703</v>
      </c>
    </row>
    <row r="3869" spans="1:50" x14ac:dyDescent="0.25">
      <c r="A3869" s="2" t="s">
        <v>25600</v>
      </c>
      <c r="B3869" s="2">
        <v>397.13123146971401</v>
      </c>
      <c r="C3869" s="2">
        <v>1.30125</v>
      </c>
      <c r="D3869" s="2" t="s">
        <v>51</v>
      </c>
      <c r="E3869" s="2" t="s">
        <v>25601</v>
      </c>
      <c r="F3869" s="2">
        <v>62203</v>
      </c>
      <c r="G3869" s="3" t="str">
        <f>HYPERLINK("https://cloud.oebiotech.com/#/lm/network/62203", "https://cloud.oebiotech.com/#/lm/network/62203")</f>
        <v>https://cloud.oebiotech.com/#/lm/network/62203</v>
      </c>
      <c r="H3869" s="2" t="s">
        <v>25602</v>
      </c>
      <c r="I3869" s="2">
        <v>93488</v>
      </c>
      <c r="J3869" s="2"/>
      <c r="K3869" s="2">
        <v>131752478</v>
      </c>
      <c r="L3869" s="2"/>
      <c r="M3869" s="2"/>
      <c r="N3869" s="2"/>
      <c r="O3869" s="2">
        <v>167935</v>
      </c>
      <c r="P3869" s="2"/>
      <c r="Q3869" s="2"/>
      <c r="R3869" s="2" t="s">
        <v>25603</v>
      </c>
      <c r="S3869" s="2" t="s">
        <v>25604</v>
      </c>
      <c r="T3869" s="2" t="s">
        <v>25605</v>
      </c>
      <c r="U3869" s="2" t="s">
        <v>331</v>
      </c>
      <c r="V3869" s="2" t="s">
        <v>332</v>
      </c>
      <c r="W3869" s="2" t="s">
        <v>333</v>
      </c>
      <c r="X3869" s="2" t="s">
        <v>83</v>
      </c>
      <c r="Y3869" s="2">
        <v>39.4</v>
      </c>
      <c r="Z3869" s="2">
        <v>11.7</v>
      </c>
      <c r="AA3869" s="2" t="s">
        <v>156</v>
      </c>
      <c r="AB3869" s="2" t="s">
        <v>18361</v>
      </c>
      <c r="AC3869" s="2">
        <v>-6.8121565186162796</v>
      </c>
      <c r="AD3869" s="2"/>
      <c r="AE3869" s="2">
        <v>0.13283395006157001</v>
      </c>
      <c r="AF3869" s="2">
        <v>2471.2805052517701</v>
      </c>
      <c r="AG3869" s="2">
        <v>1848.00298894304</v>
      </c>
      <c r="AH3869" s="5">
        <v>1.3372708377843201</v>
      </c>
      <c r="AI3869" s="5">
        <v>0.41929168439737402</v>
      </c>
      <c r="AJ3869" s="5" t="s">
        <v>139</v>
      </c>
      <c r="AK3869" s="2">
        <v>0.17406669057708499</v>
      </c>
      <c r="AL3869" s="2">
        <v>0.495176781004385</v>
      </c>
      <c r="AM3869" s="2">
        <v>2847.8852954527501</v>
      </c>
      <c r="AN3869" s="2">
        <v>2188.0355890072801</v>
      </c>
      <c r="AO3869" s="2">
        <v>3060.5516723487699</v>
      </c>
      <c r="AP3869" s="2">
        <v>2501.1214640186799</v>
      </c>
      <c r="AQ3869" s="2">
        <v>2533.8457728920298</v>
      </c>
      <c r="AR3869" s="2">
        <v>1696.24323779113</v>
      </c>
      <c r="AS3869" s="2">
        <v>412.17242577077002</v>
      </c>
      <c r="AT3869" s="2">
        <v>1127.3211537019499</v>
      </c>
      <c r="AU3869" s="2">
        <v>2827.8913322194999</v>
      </c>
      <c r="AV3869" s="2">
        <v>2277.51874264445</v>
      </c>
      <c r="AW3869" s="2">
        <v>1859.3376852840599</v>
      </c>
      <c r="AX3869" s="2">
        <v>2583.7765940374802</v>
      </c>
    </row>
    <row r="3870" spans="1:50" x14ac:dyDescent="0.25">
      <c r="A3870" s="2" t="s">
        <v>25606</v>
      </c>
      <c r="B3870" s="2">
        <v>600.31855261403803</v>
      </c>
      <c r="C3870" s="2">
        <v>4.2797999999999998</v>
      </c>
      <c r="D3870" s="2" t="s">
        <v>51</v>
      </c>
      <c r="E3870" s="2" t="s">
        <v>25607</v>
      </c>
      <c r="F3870" s="2">
        <v>204339</v>
      </c>
      <c r="G3870" s="3" t="str">
        <f>HYPERLINK("https://cloud.oebiotech.com/#/lm/network/204339", "https://cloud.oebiotech.com/#/lm/network/204339")</f>
        <v>https://cloud.oebiotech.com/#/lm/network/204339</v>
      </c>
      <c r="H3870" s="2" t="s">
        <v>25608</v>
      </c>
      <c r="I3870" s="2"/>
      <c r="J3870" s="2"/>
      <c r="K3870" s="2">
        <v>56674991</v>
      </c>
      <c r="L3870" s="2"/>
      <c r="M3870" s="2"/>
      <c r="N3870" s="2"/>
      <c r="O3870" s="2"/>
      <c r="P3870" s="2"/>
      <c r="Q3870" s="2"/>
      <c r="R3870" s="2"/>
      <c r="S3870" s="2" t="s">
        <v>25609</v>
      </c>
      <c r="T3870" s="2" t="s">
        <v>25610</v>
      </c>
      <c r="U3870" s="2" t="s">
        <v>266</v>
      </c>
      <c r="V3870" s="2" t="s">
        <v>3926</v>
      </c>
      <c r="W3870" s="2" t="s">
        <v>4115</v>
      </c>
      <c r="X3870" s="2" t="s">
        <v>147</v>
      </c>
      <c r="Y3870" s="2">
        <v>43.3</v>
      </c>
      <c r="Z3870" s="2">
        <v>31.2</v>
      </c>
      <c r="AA3870" s="2" t="s">
        <v>395</v>
      </c>
      <c r="AB3870" s="2" t="s">
        <v>25611</v>
      </c>
      <c r="AC3870" s="2">
        <v>1.97181192344108</v>
      </c>
      <c r="AD3870" s="2"/>
      <c r="AE3870" s="2">
        <v>0.13282466533258799</v>
      </c>
      <c r="AF3870" s="2">
        <v>11771.576434840001</v>
      </c>
      <c r="AG3870" s="2">
        <v>12974.845904039599</v>
      </c>
      <c r="AH3870" s="4">
        <v>0.90726136725640005</v>
      </c>
      <c r="AI3870" s="4">
        <v>-0.14040986725913701</v>
      </c>
      <c r="AJ3870" s="4" t="s">
        <v>62</v>
      </c>
      <c r="AK3870" s="2">
        <v>0.90243901303185003</v>
      </c>
      <c r="AL3870" s="2">
        <v>0.95948789763074704</v>
      </c>
      <c r="AM3870" s="2">
        <v>13549.368084109999</v>
      </c>
      <c r="AN3870" s="2">
        <v>3797.8211604303701</v>
      </c>
      <c r="AO3870" s="2">
        <v>8389.84540037642</v>
      </c>
      <c r="AP3870" s="2">
        <v>1673.8106702976199</v>
      </c>
      <c r="AQ3870" s="2">
        <v>3427.33998095163</v>
      </c>
      <c r="AR3870" s="2">
        <v>39791.273312874197</v>
      </c>
      <c r="AS3870" s="2">
        <v>8.559877937157E-6</v>
      </c>
      <c r="AT3870" s="2">
        <v>521.94282636638297</v>
      </c>
      <c r="AU3870" s="2">
        <v>697.89037351332502</v>
      </c>
      <c r="AV3870" s="2">
        <v>47869.319520997902</v>
      </c>
      <c r="AW3870" s="2">
        <v>17312.102738387799</v>
      </c>
      <c r="AX3870" s="2">
        <v>11447.819956412101</v>
      </c>
    </row>
    <row r="3871" spans="1:50" x14ac:dyDescent="0.25">
      <c r="A3871" s="2" t="s">
        <v>25612</v>
      </c>
      <c r="B3871" s="2">
        <v>583.25706302446804</v>
      </c>
      <c r="C3871" s="2">
        <v>8.1076499999999996</v>
      </c>
      <c r="D3871" s="2" t="s">
        <v>51</v>
      </c>
      <c r="E3871" s="2" t="s">
        <v>25613</v>
      </c>
      <c r="F3871" s="2">
        <v>203830</v>
      </c>
      <c r="G3871" s="3" t="str">
        <f>HYPERLINK("https://cloud.oebiotech.com/#/lm/network/203830", "https://cloud.oebiotech.com/#/lm/network/203830")</f>
        <v>https://cloud.oebiotech.com/#/lm/network/203830</v>
      </c>
      <c r="H3871" s="2" t="s">
        <v>25614</v>
      </c>
      <c r="I3871" s="2"/>
      <c r="J3871" s="2"/>
      <c r="K3871" s="2">
        <v>65948</v>
      </c>
      <c r="L3871" s="2"/>
      <c r="M3871" s="2"/>
      <c r="N3871" s="2"/>
      <c r="O3871" s="2"/>
      <c r="P3871" s="2"/>
      <c r="Q3871" s="2"/>
      <c r="R3871" s="2"/>
      <c r="S3871" s="2" t="s">
        <v>25615</v>
      </c>
      <c r="T3871" s="2" t="s">
        <v>25616</v>
      </c>
      <c r="U3871" s="2" t="s">
        <v>610</v>
      </c>
      <c r="V3871" s="2" t="s">
        <v>611</v>
      </c>
      <c r="W3871" s="2" t="s">
        <v>2327</v>
      </c>
      <c r="X3871" s="2" t="s">
        <v>83</v>
      </c>
      <c r="Y3871" s="2">
        <v>42.2</v>
      </c>
      <c r="Z3871" s="2">
        <v>0</v>
      </c>
      <c r="AA3871" s="2" t="s">
        <v>259</v>
      </c>
      <c r="AB3871" s="2" t="s">
        <v>25617</v>
      </c>
      <c r="AC3871" s="2">
        <v>3.35212157428102</v>
      </c>
      <c r="AD3871" s="2"/>
      <c r="AE3871" s="2">
        <v>0.13276828959669601</v>
      </c>
      <c r="AF3871" s="2">
        <v>1964.0284891640099</v>
      </c>
      <c r="AG3871" s="2">
        <v>2900.3747053956699</v>
      </c>
      <c r="AH3871" s="4">
        <v>0.67716370767896095</v>
      </c>
      <c r="AI3871" s="4">
        <v>-0.56242344025190705</v>
      </c>
      <c r="AJ3871" s="4" t="s">
        <v>62</v>
      </c>
      <c r="AK3871" s="2">
        <v>0.60509028014105803</v>
      </c>
      <c r="AL3871" s="2">
        <v>0.80366240140314105</v>
      </c>
      <c r="AM3871" s="2">
        <v>8.559877937157E-6</v>
      </c>
      <c r="AN3871" s="2">
        <v>2193.16029739953</v>
      </c>
      <c r="AO3871" s="2">
        <v>3923.37832359308</v>
      </c>
      <c r="AP3871" s="2">
        <v>3160.84104223745</v>
      </c>
      <c r="AQ3871" s="2">
        <v>564.27268822276801</v>
      </c>
      <c r="AR3871" s="2">
        <v>1942.5185749713501</v>
      </c>
      <c r="AS3871" s="2">
        <v>10897.1876815287</v>
      </c>
      <c r="AT3871" s="2">
        <v>2333.99105694022</v>
      </c>
      <c r="AU3871" s="2">
        <v>8.559877937157E-6</v>
      </c>
      <c r="AV3871" s="2">
        <v>1011.8062359719599</v>
      </c>
      <c r="AW3871" s="2">
        <v>2417.0096094600799</v>
      </c>
      <c r="AX3871" s="2">
        <v>742.25363991320296</v>
      </c>
    </row>
    <row r="3872" spans="1:50" x14ac:dyDescent="0.25">
      <c r="A3872" s="2" t="s">
        <v>25618</v>
      </c>
      <c r="B3872" s="2">
        <v>235.17002597824899</v>
      </c>
      <c r="C3872" s="2">
        <v>7.9849666666666703</v>
      </c>
      <c r="D3872" s="2" t="s">
        <v>51</v>
      </c>
      <c r="E3872" s="2" t="s">
        <v>25619</v>
      </c>
      <c r="F3872" s="2">
        <v>534673</v>
      </c>
      <c r="G3872" s="3" t="str">
        <f>HYPERLINK("https://cloud.oebiotech.com/#/lm/network/534673", "https://cloud.oebiotech.com/#/lm/network/534673")</f>
        <v>https://cloud.oebiotech.com/#/lm/network/534673</v>
      </c>
      <c r="H3872" s="2"/>
      <c r="I3872" s="2">
        <v>984974</v>
      </c>
      <c r="J3872" s="2"/>
      <c r="K3872" s="2">
        <v>11876195</v>
      </c>
      <c r="L3872" s="2"/>
      <c r="M3872" s="2"/>
      <c r="N3872" s="2"/>
      <c r="O3872" s="2"/>
      <c r="P3872" s="2"/>
      <c r="Q3872" s="2"/>
      <c r="R3872" s="2"/>
      <c r="S3872" s="2" t="s">
        <v>25620</v>
      </c>
      <c r="T3872" s="2" t="s">
        <v>25621</v>
      </c>
      <c r="U3872" s="2" t="s">
        <v>56</v>
      </c>
      <c r="V3872" s="2" t="s">
        <v>177</v>
      </c>
      <c r="W3872" s="2" t="s">
        <v>1996</v>
      </c>
      <c r="X3872" s="2" t="s">
        <v>83</v>
      </c>
      <c r="Y3872" s="2">
        <v>56.7</v>
      </c>
      <c r="Z3872" s="2">
        <v>17.600000000000001</v>
      </c>
      <c r="AA3872" s="2" t="s">
        <v>156</v>
      </c>
      <c r="AB3872" s="2" t="s">
        <v>18466</v>
      </c>
      <c r="AC3872" s="2">
        <v>3.05187818915519</v>
      </c>
      <c r="AD3872" s="2"/>
      <c r="AE3872" s="2">
        <v>0.132645058378727</v>
      </c>
      <c r="AF3872" s="2">
        <v>16198.863176315999</v>
      </c>
      <c r="AG3872" s="2">
        <v>17847.5653131053</v>
      </c>
      <c r="AH3872" s="4">
        <v>0.90762313470405398</v>
      </c>
      <c r="AI3872" s="4">
        <v>-0.139834712080906</v>
      </c>
      <c r="AJ3872" s="4" t="s">
        <v>62</v>
      </c>
      <c r="AK3872" s="2">
        <v>0.41985875610415002</v>
      </c>
      <c r="AL3872" s="2">
        <v>0.68072239494470299</v>
      </c>
      <c r="AM3872" s="2">
        <v>15153.1109628141</v>
      </c>
      <c r="AN3872" s="2">
        <v>23567.698685957799</v>
      </c>
      <c r="AO3872" s="2">
        <v>14849.4579018284</v>
      </c>
      <c r="AP3872" s="2">
        <v>17279.848576302698</v>
      </c>
      <c r="AQ3872" s="2">
        <v>13543.286663265601</v>
      </c>
      <c r="AR3872" s="2">
        <v>12799.7762677271</v>
      </c>
      <c r="AS3872" s="2">
        <v>18811.148389943701</v>
      </c>
      <c r="AT3872" s="2">
        <v>15022.2312040631</v>
      </c>
      <c r="AU3872" s="2">
        <v>21453.634814767302</v>
      </c>
      <c r="AV3872" s="2">
        <v>14832.081691866701</v>
      </c>
      <c r="AW3872" s="2">
        <v>16691.8646747483</v>
      </c>
      <c r="AX3872" s="2">
        <v>20274.431103242601</v>
      </c>
    </row>
    <row r="3873" spans="1:50" x14ac:dyDescent="0.25">
      <c r="A3873" s="2" t="s">
        <v>25622</v>
      </c>
      <c r="B3873" s="2">
        <v>336.11679930340603</v>
      </c>
      <c r="C3873" s="2">
        <v>5.0999999999999996</v>
      </c>
      <c r="D3873" s="2" t="s">
        <v>51</v>
      </c>
      <c r="E3873" s="2" t="s">
        <v>25623</v>
      </c>
      <c r="F3873" s="2">
        <v>19865</v>
      </c>
      <c r="G3873" s="3" t="str">
        <f>HYPERLINK("https://cloud.oebiotech.com/#/lm/network/19865", "https://cloud.oebiotech.com/#/lm/network/19865")</f>
        <v>https://cloud.oebiotech.com/#/lm/network/19865</v>
      </c>
      <c r="H3873" s="2"/>
      <c r="I3873" s="2">
        <v>40352</v>
      </c>
      <c r="J3873" s="2" t="s">
        <v>25624</v>
      </c>
      <c r="K3873" s="2">
        <v>24779496</v>
      </c>
      <c r="L3873" s="2"/>
      <c r="M3873" s="2"/>
      <c r="N3873" s="2"/>
      <c r="O3873" s="2"/>
      <c r="P3873" s="2"/>
      <c r="Q3873" s="2"/>
      <c r="R3873" s="2"/>
      <c r="S3873" s="2" t="s">
        <v>25625</v>
      </c>
      <c r="T3873" s="2" t="s">
        <v>25626</v>
      </c>
      <c r="U3873" s="2" t="s">
        <v>56</v>
      </c>
      <c r="V3873" s="2" t="s">
        <v>57</v>
      </c>
      <c r="W3873" s="2" t="s">
        <v>58</v>
      </c>
      <c r="X3873" s="2" t="s">
        <v>59</v>
      </c>
      <c r="Y3873" s="2">
        <v>50.4</v>
      </c>
      <c r="Z3873" s="2">
        <v>61.6</v>
      </c>
      <c r="AA3873" s="2" t="s">
        <v>95</v>
      </c>
      <c r="AB3873" s="2" t="s">
        <v>25627</v>
      </c>
      <c r="AC3873" s="2">
        <v>-4.6629913355312098</v>
      </c>
      <c r="AD3873" s="2"/>
      <c r="AE3873" s="2">
        <v>0.13251204460309801</v>
      </c>
      <c r="AF3873" s="2">
        <v>1759.6464489887101</v>
      </c>
      <c r="AG3873" s="2">
        <v>486.72113292656701</v>
      </c>
      <c r="AH3873" s="5">
        <v>3.6153072672400102</v>
      </c>
      <c r="AI3873" s="5">
        <v>1.85411826794679</v>
      </c>
      <c r="AJ3873" s="5" t="s">
        <v>139</v>
      </c>
      <c r="AK3873" s="2">
        <v>0.34126067677654498</v>
      </c>
      <c r="AL3873" s="2">
        <v>0.63815037094278604</v>
      </c>
      <c r="AM3873" s="2">
        <v>1762.4668990329701</v>
      </c>
      <c r="AN3873" s="2">
        <v>8.559877937157E-6</v>
      </c>
      <c r="AO3873" s="2">
        <v>8.559877937157E-6</v>
      </c>
      <c r="AP3873" s="2">
        <v>8.559877937157E-6</v>
      </c>
      <c r="AQ3873" s="2">
        <v>7677.3436099938999</v>
      </c>
      <c r="AR3873" s="2">
        <v>1118.0681592257399</v>
      </c>
      <c r="AS3873" s="2">
        <v>2266.2393299084101</v>
      </c>
      <c r="AT3873" s="2">
        <v>8.559877937157E-6</v>
      </c>
      <c r="AU3873" s="2">
        <v>467.71602997677797</v>
      </c>
      <c r="AV3873" s="2">
        <v>186.37141199457901</v>
      </c>
      <c r="AW3873" s="2">
        <v>8.559877937157E-6</v>
      </c>
      <c r="AX3873" s="2">
        <v>8.559877937157E-6</v>
      </c>
    </row>
    <row r="3874" spans="1:50" x14ac:dyDescent="0.25">
      <c r="A3874" s="2" t="s">
        <v>25628</v>
      </c>
      <c r="B3874" s="2">
        <v>529.19275281455702</v>
      </c>
      <c r="C3874" s="2">
        <v>5.5590666666666699</v>
      </c>
      <c r="D3874" s="2" t="s">
        <v>51</v>
      </c>
      <c r="E3874" s="2" t="s">
        <v>25629</v>
      </c>
      <c r="F3874" s="2">
        <v>256458</v>
      </c>
      <c r="G3874" s="3" t="str">
        <f>HYPERLINK("https://cloud.oebiotech.com/#/lm/network/256458", "https://cloud.oebiotech.com/#/lm/network/256458")</f>
        <v>https://cloud.oebiotech.com/#/lm/network/256458</v>
      </c>
      <c r="H3874" s="2" t="s">
        <v>25630</v>
      </c>
      <c r="I3874" s="2"/>
      <c r="J3874" s="2"/>
      <c r="K3874" s="2"/>
      <c r="L3874" s="2"/>
      <c r="M3874" s="2"/>
      <c r="N3874" s="2"/>
      <c r="O3874" s="2"/>
      <c r="P3874" s="2"/>
      <c r="Q3874" s="2"/>
      <c r="R3874" s="2"/>
      <c r="S3874" s="2" t="s">
        <v>25631</v>
      </c>
      <c r="T3874" s="2" t="s">
        <v>25632</v>
      </c>
      <c r="U3874" s="2" t="s">
        <v>266</v>
      </c>
      <c r="V3874" s="2" t="s">
        <v>445</v>
      </c>
      <c r="W3874" s="2" t="s">
        <v>911</v>
      </c>
      <c r="X3874" s="2" t="s">
        <v>147</v>
      </c>
      <c r="Y3874" s="2">
        <v>36.799999999999997</v>
      </c>
      <c r="Z3874" s="2">
        <v>0</v>
      </c>
      <c r="AA3874" s="2" t="s">
        <v>218</v>
      </c>
      <c r="AB3874" s="2" t="s">
        <v>25633</v>
      </c>
      <c r="AC3874" s="2">
        <v>1.2415794921605301</v>
      </c>
      <c r="AD3874" s="2"/>
      <c r="AE3874" s="2">
        <v>0.13245701476886501</v>
      </c>
      <c r="AF3874" s="2">
        <v>94343.664298375705</v>
      </c>
      <c r="AG3874" s="2">
        <v>86589.845714642797</v>
      </c>
      <c r="AH3874" s="5">
        <v>1.0895465111381</v>
      </c>
      <c r="AI3874" s="5">
        <v>0.123727784297819</v>
      </c>
      <c r="AJ3874" s="5" t="s">
        <v>139</v>
      </c>
      <c r="AK3874" s="2">
        <v>0.89323103249387903</v>
      </c>
      <c r="AL3874" s="2">
        <v>0.95462268632708103</v>
      </c>
      <c r="AM3874" s="2">
        <v>60801.691457390203</v>
      </c>
      <c r="AN3874" s="2">
        <v>79592.518850101595</v>
      </c>
      <c r="AO3874" s="2">
        <v>60828.861597394403</v>
      </c>
      <c r="AP3874" s="2">
        <v>8.559877937157E-6</v>
      </c>
      <c r="AQ3874" s="2">
        <v>34603.154639907902</v>
      </c>
      <c r="AR3874" s="2">
        <v>330235.75923690002</v>
      </c>
      <c r="AS3874" s="2">
        <v>42015.466237644199</v>
      </c>
      <c r="AT3874" s="2">
        <v>178427.496518967</v>
      </c>
      <c r="AU3874" s="2">
        <v>40996.303144659301</v>
      </c>
      <c r="AV3874" s="2">
        <v>169142.354992373</v>
      </c>
      <c r="AW3874" s="2">
        <v>73781.059641348693</v>
      </c>
      <c r="AX3874" s="2">
        <v>15176.3937528646</v>
      </c>
    </row>
    <row r="3875" spans="1:50" x14ac:dyDescent="0.25">
      <c r="A3875" s="2" t="s">
        <v>25634</v>
      </c>
      <c r="B3875" s="2">
        <v>332.31677546809499</v>
      </c>
      <c r="C3875" s="2">
        <v>8.6367333333333303</v>
      </c>
      <c r="D3875" s="2" t="s">
        <v>51</v>
      </c>
      <c r="E3875" s="2" t="s">
        <v>25635</v>
      </c>
      <c r="F3875" s="2">
        <v>1699</v>
      </c>
      <c r="G3875" s="3" t="str">
        <f>HYPERLINK("https://cloud.oebiotech.com/#/lm/network/1699", "https://cloud.oebiotech.com/#/lm/network/1699")</f>
        <v>https://cloud.oebiotech.com/#/lm/network/1699</v>
      </c>
      <c r="H3875" s="2"/>
      <c r="I3875" s="2">
        <v>74502</v>
      </c>
      <c r="J3875" s="2" t="s">
        <v>25636</v>
      </c>
      <c r="K3875" s="2">
        <v>5282917</v>
      </c>
      <c r="L3875" s="2"/>
      <c r="M3875" s="2"/>
      <c r="N3875" s="2"/>
      <c r="O3875" s="2">
        <v>79179</v>
      </c>
      <c r="P3875" s="2"/>
      <c r="Q3875" s="2"/>
      <c r="R3875" s="2"/>
      <c r="S3875" s="2" t="s">
        <v>25637</v>
      </c>
      <c r="T3875" s="2" t="s">
        <v>25638</v>
      </c>
      <c r="U3875" s="2" t="s">
        <v>56</v>
      </c>
      <c r="V3875" s="2" t="s">
        <v>145</v>
      </c>
      <c r="W3875" s="2" t="s">
        <v>231</v>
      </c>
      <c r="X3875" s="2" t="s">
        <v>147</v>
      </c>
      <c r="Y3875" s="2">
        <v>43.6</v>
      </c>
      <c r="Z3875" s="2">
        <v>27.8</v>
      </c>
      <c r="AA3875" s="2" t="s">
        <v>512</v>
      </c>
      <c r="AB3875" s="2" t="s">
        <v>2711</v>
      </c>
      <c r="AC3875" s="2">
        <v>2.7200428157302499</v>
      </c>
      <c r="AD3875" s="2"/>
      <c r="AE3875" s="2">
        <v>0.132275676864093</v>
      </c>
      <c r="AF3875" s="2">
        <v>6821.2800504576699</v>
      </c>
      <c r="AG3875" s="2">
        <v>5871.0843600923799</v>
      </c>
      <c r="AH3875" s="5">
        <v>1.16184330390891</v>
      </c>
      <c r="AI3875" s="5">
        <v>0.21641550771201301</v>
      </c>
      <c r="AJ3875" s="5" t="s">
        <v>139</v>
      </c>
      <c r="AK3875" s="2">
        <v>0.42753345824280797</v>
      </c>
      <c r="AL3875" s="2">
        <v>0.68606977764313104</v>
      </c>
      <c r="AM3875" s="2">
        <v>9282.0406877160294</v>
      </c>
      <c r="AN3875" s="2">
        <v>9057.4253783659005</v>
      </c>
      <c r="AO3875" s="2">
        <v>4899.8140125713198</v>
      </c>
      <c r="AP3875" s="2">
        <v>5529.9866949239704</v>
      </c>
      <c r="AQ3875" s="2">
        <v>8323.2660554485101</v>
      </c>
      <c r="AR3875" s="2">
        <v>3835.1474737202898</v>
      </c>
      <c r="AS3875" s="2">
        <v>5879.1734903112902</v>
      </c>
      <c r="AT3875" s="2">
        <v>5419.8459474195097</v>
      </c>
      <c r="AU3875" s="2">
        <v>3143.2237050444201</v>
      </c>
      <c r="AV3875" s="2">
        <v>6513.15204132899</v>
      </c>
      <c r="AW3875" s="2">
        <v>7752.5466566146897</v>
      </c>
      <c r="AX3875" s="2">
        <v>6518.56431983537</v>
      </c>
    </row>
    <row r="3876" spans="1:50" x14ac:dyDescent="0.25">
      <c r="A3876" s="2" t="s">
        <v>25639</v>
      </c>
      <c r="B3876" s="2">
        <v>246.019805869767</v>
      </c>
      <c r="C3876" s="2">
        <v>1.00901666666667</v>
      </c>
      <c r="D3876" s="2" t="s">
        <v>51</v>
      </c>
      <c r="E3876" s="2" t="s">
        <v>25640</v>
      </c>
      <c r="F3876" s="2">
        <v>55227</v>
      </c>
      <c r="G3876" s="3" t="str">
        <f>HYPERLINK("https://cloud.oebiotech.com/#/lm/network/55227", "https://cloud.oebiotech.com/#/lm/network/55227")</f>
        <v>https://cloud.oebiotech.com/#/lm/network/55227</v>
      </c>
      <c r="H3876" s="2" t="s">
        <v>25641</v>
      </c>
      <c r="I3876" s="2">
        <v>86955</v>
      </c>
      <c r="J3876" s="2"/>
      <c r="K3876" s="2">
        <v>14889929</v>
      </c>
      <c r="L3876" s="2"/>
      <c r="M3876" s="2"/>
      <c r="N3876" s="2"/>
      <c r="O3876" s="2">
        <v>172450</v>
      </c>
      <c r="P3876" s="2"/>
      <c r="Q3876" s="2"/>
      <c r="R3876" s="2" t="s">
        <v>25642</v>
      </c>
      <c r="S3876" s="2" t="s">
        <v>25643</v>
      </c>
      <c r="T3876" s="2" t="s">
        <v>25644</v>
      </c>
      <c r="U3876" s="2" t="s">
        <v>103</v>
      </c>
      <c r="V3876" s="2" t="s">
        <v>104</v>
      </c>
      <c r="W3876" s="2" t="s">
        <v>105</v>
      </c>
      <c r="X3876" s="2" t="s">
        <v>83</v>
      </c>
      <c r="Y3876" s="2">
        <v>36.799999999999997</v>
      </c>
      <c r="Z3876" s="2">
        <v>0</v>
      </c>
      <c r="AA3876" s="2" t="s">
        <v>395</v>
      </c>
      <c r="AB3876" s="2" t="s">
        <v>25645</v>
      </c>
      <c r="AC3876" s="2">
        <v>0.57419013958082499</v>
      </c>
      <c r="AD3876" s="2"/>
      <c r="AE3876" s="2">
        <v>0.132190108630098</v>
      </c>
      <c r="AF3876" s="2">
        <v>8746.6635162292605</v>
      </c>
      <c r="AG3876" s="2">
        <v>10164.143098414999</v>
      </c>
      <c r="AH3876" s="4">
        <v>0.86054116235270195</v>
      </c>
      <c r="AI3876" s="4">
        <v>-0.21668389239316199</v>
      </c>
      <c r="AJ3876" s="4" t="s">
        <v>62</v>
      </c>
      <c r="AK3876" s="2">
        <v>0.248233990670091</v>
      </c>
      <c r="AL3876" s="2">
        <v>0.57166997773790895</v>
      </c>
      <c r="AM3876" s="2">
        <v>11394.410287671</v>
      </c>
      <c r="AN3876" s="2">
        <v>8421.6184860864596</v>
      </c>
      <c r="AO3876" s="2">
        <v>8803.3357399099095</v>
      </c>
      <c r="AP3876" s="2">
        <v>9758.0254970435599</v>
      </c>
      <c r="AQ3876" s="2">
        <v>9448.9825846635304</v>
      </c>
      <c r="AR3876" s="2">
        <v>4653.6085020010896</v>
      </c>
      <c r="AS3876" s="2">
        <v>9624.8242915669798</v>
      </c>
      <c r="AT3876" s="2">
        <v>11473.2479577224</v>
      </c>
      <c r="AU3876" s="2">
        <v>9330.8787719125194</v>
      </c>
      <c r="AV3876" s="2">
        <v>7679.0684721481302</v>
      </c>
      <c r="AW3876" s="2">
        <v>10302.074324208001</v>
      </c>
      <c r="AX3876" s="2">
        <v>12574.7647729321</v>
      </c>
    </row>
    <row r="3877" spans="1:50" x14ac:dyDescent="0.25">
      <c r="A3877" s="2" t="s">
        <v>25646</v>
      </c>
      <c r="B3877" s="2">
        <v>488.23793268252098</v>
      </c>
      <c r="C3877" s="2">
        <v>9.4598666666666702</v>
      </c>
      <c r="D3877" s="2" t="s">
        <v>51</v>
      </c>
      <c r="E3877" s="2" t="s">
        <v>25647</v>
      </c>
      <c r="F3877" s="2">
        <v>213039</v>
      </c>
      <c r="G3877" s="3" t="str">
        <f>HYPERLINK("https://cloud.oebiotech.com/#/lm/network/213039", "https://cloud.oebiotech.com/#/lm/network/213039")</f>
        <v>https://cloud.oebiotech.com/#/lm/network/213039</v>
      </c>
      <c r="H3877" s="2" t="s">
        <v>25648</v>
      </c>
      <c r="I3877" s="2">
        <v>416020</v>
      </c>
      <c r="J3877" s="2"/>
      <c r="K3877" s="2">
        <v>60806</v>
      </c>
      <c r="L3877" s="2"/>
      <c r="M3877" s="2"/>
      <c r="N3877" s="2"/>
      <c r="O3877" s="2"/>
      <c r="P3877" s="2"/>
      <c r="Q3877" s="2"/>
      <c r="R3877" s="2"/>
      <c r="S3877" s="2" t="s">
        <v>25649</v>
      </c>
      <c r="T3877" s="2" t="s">
        <v>25650</v>
      </c>
      <c r="U3877" s="2" t="s">
        <v>103</v>
      </c>
      <c r="V3877" s="2" t="s">
        <v>104</v>
      </c>
      <c r="W3877" s="2" t="s">
        <v>105</v>
      </c>
      <c r="X3877" s="2" t="s">
        <v>147</v>
      </c>
      <c r="Y3877" s="2">
        <v>36.6</v>
      </c>
      <c r="Z3877" s="2">
        <v>0</v>
      </c>
      <c r="AA3877" s="2" t="s">
        <v>379</v>
      </c>
      <c r="AB3877" s="2" t="s">
        <v>25651</v>
      </c>
      <c r="AC3877" s="2">
        <v>3.4132726140448399</v>
      </c>
      <c r="AD3877" s="2"/>
      <c r="AE3877" s="2">
        <v>0.13211301283948099</v>
      </c>
      <c r="AF3877" s="2">
        <v>2015.33682125572</v>
      </c>
      <c r="AG3877" s="2">
        <v>1431.5013976585601</v>
      </c>
      <c r="AH3877" s="5">
        <v>1.4078483084628</v>
      </c>
      <c r="AI3877" s="5">
        <v>0.49349189617834899</v>
      </c>
      <c r="AJ3877" s="5" t="s">
        <v>139</v>
      </c>
      <c r="AK3877" s="2">
        <v>4.6670601688567397E-2</v>
      </c>
      <c r="AL3877" s="2">
        <v>0.30315466326589102</v>
      </c>
      <c r="AM3877" s="2">
        <v>2010.8453093415201</v>
      </c>
      <c r="AN3877" s="2">
        <v>1920.52271145293</v>
      </c>
      <c r="AO3877" s="2">
        <v>2227.4772800740998</v>
      </c>
      <c r="AP3877" s="2">
        <v>1473.6421090092399</v>
      </c>
      <c r="AQ3877" s="2">
        <v>2932.2954894694899</v>
      </c>
      <c r="AR3877" s="2">
        <v>1527.2380281870701</v>
      </c>
      <c r="AS3877" s="2">
        <v>1432.76688969271</v>
      </c>
      <c r="AT3877" s="2">
        <v>977.41240108246302</v>
      </c>
      <c r="AU3877" s="2">
        <v>1206.0536973369899</v>
      </c>
      <c r="AV3877" s="2">
        <v>1631.3012871819799</v>
      </c>
      <c r="AW3877" s="2">
        <v>1943.4947145885201</v>
      </c>
      <c r="AX3877" s="2">
        <v>1397.97939606867</v>
      </c>
    </row>
    <row r="3878" spans="1:50" x14ac:dyDescent="0.25">
      <c r="A3878" s="2" t="s">
        <v>25652</v>
      </c>
      <c r="B3878" s="2">
        <v>453.33781683153802</v>
      </c>
      <c r="C3878" s="2">
        <v>8.2118333333333293</v>
      </c>
      <c r="D3878" s="2" t="s">
        <v>51</v>
      </c>
      <c r="E3878" s="2" t="s">
        <v>25653</v>
      </c>
      <c r="F3878" s="2">
        <v>45804</v>
      </c>
      <c r="G3878" s="3" t="str">
        <f>HYPERLINK("https://cloud.oebiotech.com/#/lm/network/45804", "https://cloud.oebiotech.com/#/lm/network/45804")</f>
        <v>https://cloud.oebiotech.com/#/lm/network/45804</v>
      </c>
      <c r="H3878" s="2"/>
      <c r="I3878" s="2">
        <v>42569</v>
      </c>
      <c r="J3878" s="2" t="s">
        <v>25654</v>
      </c>
      <c r="K3878" s="2">
        <v>9890108</v>
      </c>
      <c r="L3878" s="2"/>
      <c r="M3878" s="2"/>
      <c r="N3878" s="2"/>
      <c r="O3878" s="2"/>
      <c r="P3878" s="2"/>
      <c r="Q3878" s="2"/>
      <c r="R3878" s="2"/>
      <c r="S3878" s="2" t="s">
        <v>25655</v>
      </c>
      <c r="T3878" s="2" t="s">
        <v>25656</v>
      </c>
      <c r="U3878" s="2" t="s">
        <v>56</v>
      </c>
      <c r="V3878" s="2" t="s">
        <v>283</v>
      </c>
      <c r="W3878" s="2" t="s">
        <v>420</v>
      </c>
      <c r="X3878" s="2" t="s">
        <v>147</v>
      </c>
      <c r="Y3878" s="2">
        <v>42.8</v>
      </c>
      <c r="Z3878" s="2">
        <v>30.4</v>
      </c>
      <c r="AA3878" s="2" t="s">
        <v>179</v>
      </c>
      <c r="AB3878" s="2" t="s">
        <v>25657</v>
      </c>
      <c r="AC3878" s="2">
        <v>3.3054029888173702</v>
      </c>
      <c r="AD3878" s="2"/>
      <c r="AE3878" s="2">
        <v>0.13199371368822499</v>
      </c>
      <c r="AF3878" s="2">
        <v>1287.5725102931699</v>
      </c>
      <c r="AG3878" s="2">
        <v>3589.65869523745</v>
      </c>
      <c r="AH3878" s="4">
        <v>0.358689396293148</v>
      </c>
      <c r="AI3878" s="4">
        <v>-1.4791929984389001</v>
      </c>
      <c r="AJ3878" s="4" t="s">
        <v>62</v>
      </c>
      <c r="AK3878" s="2">
        <v>0.41143989215542698</v>
      </c>
      <c r="AL3878" s="2">
        <v>0.67548655599718399</v>
      </c>
      <c r="AM3878" s="2">
        <v>7713.2756178193904</v>
      </c>
      <c r="AN3878" s="2">
        <v>8.559877937157E-6</v>
      </c>
      <c r="AO3878" s="2">
        <v>8.559877937157E-6</v>
      </c>
      <c r="AP3878" s="2">
        <v>8.559877937157E-6</v>
      </c>
      <c r="AQ3878" s="2">
        <v>12.159409700106</v>
      </c>
      <c r="AR3878" s="2">
        <v>8.559877937157E-6</v>
      </c>
      <c r="AS3878" s="2">
        <v>13241.6336206778</v>
      </c>
      <c r="AT3878" s="2">
        <v>8296.3185165073592</v>
      </c>
      <c r="AU3878" s="2">
        <v>8.559877937157E-6</v>
      </c>
      <c r="AV3878" s="2">
        <v>8.559877937157E-6</v>
      </c>
      <c r="AW3878" s="2">
        <v>8.559877937157E-6</v>
      </c>
      <c r="AX3878" s="2">
        <v>8.559877937157E-6</v>
      </c>
    </row>
    <row r="3879" spans="1:50" x14ac:dyDescent="0.25">
      <c r="A3879" s="2" t="s">
        <v>25658</v>
      </c>
      <c r="B3879" s="2">
        <v>394.97593907111298</v>
      </c>
      <c r="C3879" s="2">
        <v>5.0332333333333299</v>
      </c>
      <c r="D3879" s="2" t="s">
        <v>51</v>
      </c>
      <c r="E3879" s="2" t="s">
        <v>25659</v>
      </c>
      <c r="F3879" s="2">
        <v>210180</v>
      </c>
      <c r="G3879" s="3" t="str">
        <f>HYPERLINK("https://cloud.oebiotech.com/#/lm/network/210180", "https://cloud.oebiotech.com/#/lm/network/210180")</f>
        <v>https://cloud.oebiotech.com/#/lm/network/210180</v>
      </c>
      <c r="H3879" s="2" t="s">
        <v>25660</v>
      </c>
      <c r="I3879" s="2">
        <v>336803</v>
      </c>
      <c r="J3879" s="2"/>
      <c r="K3879" s="2">
        <v>9637</v>
      </c>
      <c r="L3879" s="2"/>
      <c r="M3879" s="2"/>
      <c r="N3879" s="2"/>
      <c r="O3879" s="2"/>
      <c r="P3879" s="2"/>
      <c r="Q3879" s="2"/>
      <c r="R3879" s="2"/>
      <c r="S3879" s="2" t="s">
        <v>25661</v>
      </c>
      <c r="T3879" s="2" t="s">
        <v>25662</v>
      </c>
      <c r="U3879" s="2" t="s">
        <v>1357</v>
      </c>
      <c r="V3879" s="2" t="s">
        <v>4878</v>
      </c>
      <c r="W3879" s="2" t="s">
        <v>8945</v>
      </c>
      <c r="X3879" s="2" t="s">
        <v>147</v>
      </c>
      <c r="Y3879" s="2">
        <v>39.5</v>
      </c>
      <c r="Z3879" s="2">
        <v>0</v>
      </c>
      <c r="AA3879" s="2" t="s">
        <v>218</v>
      </c>
      <c r="AB3879" s="2" t="s">
        <v>25663</v>
      </c>
      <c r="AC3879" s="2">
        <v>0.26036266641760297</v>
      </c>
      <c r="AD3879" s="2"/>
      <c r="AE3879" s="2">
        <v>0.13192839207717699</v>
      </c>
      <c r="AF3879" s="2">
        <v>4788.9052272708504</v>
      </c>
      <c r="AG3879" s="2">
        <v>3915.5835966189902</v>
      </c>
      <c r="AH3879" s="5">
        <v>1.2230374116915701</v>
      </c>
      <c r="AI3879" s="5">
        <v>0.29046853537501699</v>
      </c>
      <c r="AJ3879" s="5" t="s">
        <v>139</v>
      </c>
      <c r="AK3879" s="2">
        <v>0.21668928349397301</v>
      </c>
      <c r="AL3879" s="2">
        <v>0.54190576078505404</v>
      </c>
      <c r="AM3879" s="2">
        <v>4890.6182985457699</v>
      </c>
      <c r="AN3879" s="2">
        <v>7117.2879545072901</v>
      </c>
      <c r="AO3879" s="2">
        <v>4689.1267493690602</v>
      </c>
      <c r="AP3879" s="2">
        <v>4927.2544472887203</v>
      </c>
      <c r="AQ3879" s="2">
        <v>3165.7463302148699</v>
      </c>
      <c r="AR3879" s="2">
        <v>3943.3975836994</v>
      </c>
      <c r="AS3879" s="2">
        <v>4434.3111336646998</v>
      </c>
      <c r="AT3879" s="2">
        <v>3246.9583735994302</v>
      </c>
      <c r="AU3879" s="2">
        <v>2422.6510534720001</v>
      </c>
      <c r="AV3879" s="2">
        <v>4340.2672068668098</v>
      </c>
      <c r="AW3879" s="2">
        <v>5015.1505266492804</v>
      </c>
      <c r="AX3879" s="2">
        <v>4034.1632854617201</v>
      </c>
    </row>
    <row r="3880" spans="1:50" x14ac:dyDescent="0.25">
      <c r="A3880" s="2" t="s">
        <v>25664</v>
      </c>
      <c r="B3880" s="2">
        <v>310.99494721567902</v>
      </c>
      <c r="C3880" s="2">
        <v>7.92268333333333</v>
      </c>
      <c r="D3880" s="2" t="s">
        <v>51</v>
      </c>
      <c r="E3880" s="2" t="s">
        <v>25665</v>
      </c>
      <c r="F3880" s="2">
        <v>209794</v>
      </c>
      <c r="G3880" s="3" t="str">
        <f>HYPERLINK("https://cloud.oebiotech.com/#/lm/network/209794", "https://cloud.oebiotech.com/#/lm/network/209794")</f>
        <v>https://cloud.oebiotech.com/#/lm/network/209794</v>
      </c>
      <c r="H3880" s="2" t="s">
        <v>25666</v>
      </c>
      <c r="I3880" s="2">
        <v>432522</v>
      </c>
      <c r="J3880" s="2"/>
      <c r="K3880" s="2">
        <v>9039</v>
      </c>
      <c r="L3880" s="2"/>
      <c r="M3880" s="2"/>
      <c r="N3880" s="2"/>
      <c r="O3880" s="2"/>
      <c r="P3880" s="2"/>
      <c r="Q3880" s="2"/>
      <c r="R3880" s="2"/>
      <c r="S3880" s="2" t="s">
        <v>25667</v>
      </c>
      <c r="T3880" s="2" t="s">
        <v>25668</v>
      </c>
      <c r="U3880" s="2" t="s">
        <v>21173</v>
      </c>
      <c r="V3880" s="2" t="s">
        <v>24253</v>
      </c>
      <c r="W3880" s="2" t="s">
        <v>240</v>
      </c>
      <c r="X3880" s="2" t="s">
        <v>147</v>
      </c>
      <c r="Y3880" s="2">
        <v>38.6</v>
      </c>
      <c r="Z3880" s="2">
        <v>0</v>
      </c>
      <c r="AA3880" s="2" t="s">
        <v>478</v>
      </c>
      <c r="AB3880" s="2" t="s">
        <v>25669</v>
      </c>
      <c r="AC3880" s="2">
        <v>0.70542194136133296</v>
      </c>
      <c r="AD3880" s="2"/>
      <c r="AE3880" s="2">
        <v>0.131818589460765</v>
      </c>
      <c r="AF3880" s="2">
        <v>5314.46454208054</v>
      </c>
      <c r="AG3880" s="2">
        <v>5888.9423112364102</v>
      </c>
      <c r="AH3880" s="4">
        <v>0.90244805623927804</v>
      </c>
      <c r="AI3880" s="4">
        <v>-0.148084200186894</v>
      </c>
      <c r="AJ3880" s="4" t="s">
        <v>62</v>
      </c>
      <c r="AK3880" s="2">
        <v>0.29827480837109699</v>
      </c>
      <c r="AL3880" s="2">
        <v>0.60937974442505205</v>
      </c>
      <c r="AM3880" s="2">
        <v>4444.7999896129404</v>
      </c>
      <c r="AN3880" s="2">
        <v>4398.60467934606</v>
      </c>
      <c r="AO3880" s="2">
        <v>4551.2687995024799</v>
      </c>
      <c r="AP3880" s="2">
        <v>5848.8311498905596</v>
      </c>
      <c r="AQ3880" s="2">
        <v>6795.01051797521</v>
      </c>
      <c r="AR3880" s="2">
        <v>5848.2721161559602</v>
      </c>
      <c r="AS3880" s="2">
        <v>5635.4080207942898</v>
      </c>
      <c r="AT3880" s="2">
        <v>6666.3754677982197</v>
      </c>
      <c r="AU3880" s="2">
        <v>4894.5408258243197</v>
      </c>
      <c r="AV3880" s="2">
        <v>5895.5884905213998</v>
      </c>
      <c r="AW3880" s="2">
        <v>5249.33815831627</v>
      </c>
      <c r="AX3880" s="2">
        <v>6992.4029041639496</v>
      </c>
    </row>
    <row r="3881" spans="1:50" x14ac:dyDescent="0.25">
      <c r="A3881" s="2" t="s">
        <v>25670</v>
      </c>
      <c r="B3881" s="2">
        <v>413.26758857869402</v>
      </c>
      <c r="C3881" s="2">
        <v>12.030433333333299</v>
      </c>
      <c r="D3881" s="2" t="s">
        <v>51</v>
      </c>
      <c r="E3881" s="2" t="s">
        <v>25671</v>
      </c>
      <c r="F3881" s="2">
        <v>54894</v>
      </c>
      <c r="G3881" s="3" t="str">
        <f>HYPERLINK("https://cloud.oebiotech.com/#/lm/network/54894", "https://cloud.oebiotech.com/#/lm/network/54894")</f>
        <v>https://cloud.oebiotech.com/#/lm/network/54894</v>
      </c>
      <c r="H3881" s="2" t="s">
        <v>25672</v>
      </c>
      <c r="I3881" s="2"/>
      <c r="J3881" s="2"/>
      <c r="K3881" s="2">
        <v>51397980</v>
      </c>
      <c r="L3881" s="2" t="s">
        <v>25673</v>
      </c>
      <c r="M3881" s="2"/>
      <c r="N3881" s="2"/>
      <c r="O3881" s="2"/>
      <c r="P3881" s="2"/>
      <c r="Q3881" s="2"/>
      <c r="R3881" s="2" t="s">
        <v>25674</v>
      </c>
      <c r="S3881" s="2" t="s">
        <v>25675</v>
      </c>
      <c r="T3881" s="2" t="s">
        <v>25676</v>
      </c>
      <c r="U3881" s="2" t="s">
        <v>331</v>
      </c>
      <c r="V3881" s="2" t="s">
        <v>332</v>
      </c>
      <c r="W3881" s="2" t="s">
        <v>1207</v>
      </c>
      <c r="X3881" s="2" t="s">
        <v>69</v>
      </c>
      <c r="Y3881" s="2">
        <v>66.400000000000006</v>
      </c>
      <c r="Z3881" s="2">
        <v>64.7</v>
      </c>
      <c r="AA3881" s="2" t="s">
        <v>163</v>
      </c>
      <c r="AB3881" s="2" t="s">
        <v>25677</v>
      </c>
      <c r="AC3881" s="2">
        <v>-5.1769375457436704</v>
      </c>
      <c r="AD3881" s="2"/>
      <c r="AE3881" s="2">
        <v>0.13167986686244701</v>
      </c>
      <c r="AF3881" s="2">
        <v>11455.643329720901</v>
      </c>
      <c r="AG3881" s="2">
        <v>9448.1309435637504</v>
      </c>
      <c r="AH3881" s="5">
        <v>1.21247719767524</v>
      </c>
      <c r="AI3881" s="5">
        <v>0.27795761566249499</v>
      </c>
      <c r="AJ3881" s="5" t="s">
        <v>139</v>
      </c>
      <c r="AK3881" s="2">
        <v>0.530934225075821</v>
      </c>
      <c r="AL3881" s="2">
        <v>0.75833705623970704</v>
      </c>
      <c r="AM3881" s="2">
        <v>8255.2872438394697</v>
      </c>
      <c r="AN3881" s="2">
        <v>12079.4155019433</v>
      </c>
      <c r="AO3881" s="2">
        <v>10918.185120955101</v>
      </c>
      <c r="AP3881" s="2">
        <v>14649.302469201501</v>
      </c>
      <c r="AQ3881" s="2">
        <v>16367.3724003998</v>
      </c>
      <c r="AR3881" s="2">
        <v>6464.2972419860198</v>
      </c>
      <c r="AS3881" s="2">
        <v>7190.0948447159999</v>
      </c>
      <c r="AT3881" s="2">
        <v>14010.1518369971</v>
      </c>
      <c r="AU3881" s="2">
        <v>4358.9107719986896</v>
      </c>
      <c r="AV3881" s="2">
        <v>505.911118745392</v>
      </c>
      <c r="AW3881" s="2">
        <v>12456.364742779901</v>
      </c>
      <c r="AX3881" s="2">
        <v>18167.352346145399</v>
      </c>
    </row>
    <row r="3882" spans="1:50" x14ac:dyDescent="0.25">
      <c r="A3882" s="2" t="s">
        <v>25678</v>
      </c>
      <c r="B3882" s="2">
        <v>391.21302896250597</v>
      </c>
      <c r="C3882" s="2">
        <v>9.8078500000000002</v>
      </c>
      <c r="D3882" s="2" t="s">
        <v>51</v>
      </c>
      <c r="E3882" s="2" t="s">
        <v>25679</v>
      </c>
      <c r="F3882" s="2">
        <v>2205</v>
      </c>
      <c r="G3882" s="3" t="str">
        <f>HYPERLINK("https://cloud.oebiotech.com/#/lm/network/2205", "https://cloud.oebiotech.com/#/lm/network/2205")</f>
        <v>https://cloud.oebiotech.com/#/lm/network/2205</v>
      </c>
      <c r="H3882" s="2"/>
      <c r="I3882" s="2"/>
      <c r="J3882" s="2" t="s">
        <v>25680</v>
      </c>
      <c r="K3882" s="2">
        <v>134812119</v>
      </c>
      <c r="L3882" s="2"/>
      <c r="M3882" s="2"/>
      <c r="N3882" s="2"/>
      <c r="O3882" s="2"/>
      <c r="P3882" s="2"/>
      <c r="Q3882" s="2"/>
      <c r="R3882" s="2"/>
      <c r="S3882" s="2" t="s">
        <v>25681</v>
      </c>
      <c r="T3882" s="2" t="s">
        <v>25682</v>
      </c>
      <c r="U3882" s="2" t="s">
        <v>56</v>
      </c>
      <c r="V3882" s="2" t="s">
        <v>145</v>
      </c>
      <c r="W3882" s="2" t="s">
        <v>231</v>
      </c>
      <c r="X3882" s="2" t="s">
        <v>147</v>
      </c>
      <c r="Y3882" s="2">
        <v>39.200000000000003</v>
      </c>
      <c r="Z3882" s="2">
        <v>1.42</v>
      </c>
      <c r="AA3882" s="2" t="s">
        <v>478</v>
      </c>
      <c r="AB3882" s="2" t="s">
        <v>11306</v>
      </c>
      <c r="AC3882" s="2">
        <v>1.0622890838683801</v>
      </c>
      <c r="AD3882" s="2"/>
      <c r="AE3882" s="2">
        <v>0.13163709171591501</v>
      </c>
      <c r="AF3882" s="2">
        <v>6329.3017759592603</v>
      </c>
      <c r="AG3882" s="2">
        <v>5543.5831268493703</v>
      </c>
      <c r="AH3882" s="5">
        <v>1.14173480060295</v>
      </c>
      <c r="AI3882" s="5">
        <v>0.19122758390001801</v>
      </c>
      <c r="AJ3882" s="5" t="s">
        <v>139</v>
      </c>
      <c r="AK3882" s="2">
        <v>0.66467899306882805</v>
      </c>
      <c r="AL3882" s="2">
        <v>0.83759272513972005</v>
      </c>
      <c r="AM3882" s="2">
        <v>13890.989739322</v>
      </c>
      <c r="AN3882" s="2">
        <v>4791.0229287682296</v>
      </c>
      <c r="AO3882" s="2">
        <v>3366.7091658726599</v>
      </c>
      <c r="AP3882" s="2">
        <v>4956.7286377205501</v>
      </c>
      <c r="AQ3882" s="2">
        <v>3717.5735863273999</v>
      </c>
      <c r="AR3882" s="2">
        <v>7252.78659774475</v>
      </c>
      <c r="AS3882" s="2">
        <v>4464.8986848222903</v>
      </c>
      <c r="AT3882" s="2">
        <v>3158.3651932737798</v>
      </c>
      <c r="AU3882" s="2">
        <v>7649.8163064420696</v>
      </c>
      <c r="AV3882" s="2">
        <v>5403.2381551223898</v>
      </c>
      <c r="AW3882" s="2">
        <v>7420.9055999625798</v>
      </c>
      <c r="AX3882" s="2">
        <v>5164.27482147312</v>
      </c>
    </row>
    <row r="3883" spans="1:50" x14ac:dyDescent="0.25">
      <c r="A3883" s="2" t="s">
        <v>25683</v>
      </c>
      <c r="B3883" s="2">
        <v>271.073280267369</v>
      </c>
      <c r="C3883" s="2">
        <v>7.8818000000000001</v>
      </c>
      <c r="D3883" s="2" t="s">
        <v>51</v>
      </c>
      <c r="E3883" s="2" t="s">
        <v>25684</v>
      </c>
      <c r="F3883" s="2">
        <v>202839</v>
      </c>
      <c r="G3883" s="3" t="str">
        <f>HYPERLINK("https://cloud.oebiotech.com/#/lm/network/202839", "https://cloud.oebiotech.com/#/lm/network/202839")</f>
        <v>https://cloud.oebiotech.com/#/lm/network/202839</v>
      </c>
      <c r="H3883" s="2" t="s">
        <v>25685</v>
      </c>
      <c r="I3883" s="2"/>
      <c r="J3883" s="2"/>
      <c r="K3883" s="2">
        <v>13285535</v>
      </c>
      <c r="L3883" s="2"/>
      <c r="M3883" s="2"/>
      <c r="N3883" s="2"/>
      <c r="O3883" s="2"/>
      <c r="P3883" s="2"/>
      <c r="Q3883" s="2"/>
      <c r="R3883" s="2"/>
      <c r="S3883" s="2" t="s">
        <v>25686</v>
      </c>
      <c r="T3883" s="2" t="s">
        <v>25687</v>
      </c>
      <c r="U3883" s="2" t="s">
        <v>266</v>
      </c>
      <c r="V3883" s="2" t="s">
        <v>6667</v>
      </c>
      <c r="W3883" s="2" t="s">
        <v>14241</v>
      </c>
      <c r="X3883" s="2" t="s">
        <v>147</v>
      </c>
      <c r="Y3883" s="2">
        <v>39</v>
      </c>
      <c r="Z3883" s="2">
        <v>8.6300000000000008</v>
      </c>
      <c r="AA3883" s="2" t="s">
        <v>218</v>
      </c>
      <c r="AB3883" s="2" t="s">
        <v>25688</v>
      </c>
      <c r="AC3883" s="2">
        <v>3.7590660296051901</v>
      </c>
      <c r="AD3883" s="2"/>
      <c r="AE3883" s="2">
        <v>0.13158293680069</v>
      </c>
      <c r="AF3883" s="2">
        <v>2277.3015179375502</v>
      </c>
      <c r="AG3883" s="2">
        <v>3352.7175815379601</v>
      </c>
      <c r="AH3883" s="4">
        <v>0.67924048553260596</v>
      </c>
      <c r="AI3883" s="4">
        <v>-0.55800564286273002</v>
      </c>
      <c r="AJ3883" s="4" t="s">
        <v>62</v>
      </c>
      <c r="AK3883" s="2">
        <v>0.165954765827103</v>
      </c>
      <c r="AL3883" s="2">
        <v>0.48810754884306401</v>
      </c>
      <c r="AM3883" s="2">
        <v>3950.5653562838002</v>
      </c>
      <c r="AN3883" s="2">
        <v>713.86916109489903</v>
      </c>
      <c r="AO3883" s="2">
        <v>3475.3026634832099</v>
      </c>
      <c r="AP3883" s="2">
        <v>8.559877937157E-6</v>
      </c>
      <c r="AQ3883" s="2">
        <v>2343.1996416537399</v>
      </c>
      <c r="AR3883" s="2">
        <v>3180.87227654977</v>
      </c>
      <c r="AS3883" s="2">
        <v>4233.6269667327697</v>
      </c>
      <c r="AT3883" s="2">
        <v>2614.0648422152299</v>
      </c>
      <c r="AU3883" s="2">
        <v>4137.4006352534398</v>
      </c>
      <c r="AV3883" s="2">
        <v>3300.4701445308101</v>
      </c>
      <c r="AW3883" s="2">
        <v>3429.3763712463301</v>
      </c>
      <c r="AX3883" s="2">
        <v>2401.3665292492001</v>
      </c>
    </row>
    <row r="3884" spans="1:50" x14ac:dyDescent="0.25">
      <c r="A3884" s="2" t="s">
        <v>25689</v>
      </c>
      <c r="B3884" s="2">
        <v>543.40420539183197</v>
      </c>
      <c r="C3884" s="2">
        <v>14.459250000000001</v>
      </c>
      <c r="D3884" s="2" t="s">
        <v>51</v>
      </c>
      <c r="E3884" s="2" t="s">
        <v>25690</v>
      </c>
      <c r="F3884" s="2">
        <v>56162</v>
      </c>
      <c r="G3884" s="3" t="str">
        <f>HYPERLINK("https://cloud.oebiotech.com/#/lm/network/56162", "https://cloud.oebiotech.com/#/lm/network/56162")</f>
        <v>https://cloud.oebiotech.com/#/lm/network/56162</v>
      </c>
      <c r="H3884" s="2" t="s">
        <v>25691</v>
      </c>
      <c r="I3884" s="2">
        <v>87853</v>
      </c>
      <c r="J3884" s="2"/>
      <c r="K3884" s="2">
        <v>131751180</v>
      </c>
      <c r="L3884" s="2"/>
      <c r="M3884" s="2"/>
      <c r="N3884" s="2"/>
      <c r="O3884" s="2"/>
      <c r="P3884" s="2"/>
      <c r="Q3884" s="2"/>
      <c r="R3884" s="2" t="s">
        <v>25692</v>
      </c>
      <c r="S3884" s="2" t="s">
        <v>25693</v>
      </c>
      <c r="T3884" s="2" t="s">
        <v>25694</v>
      </c>
      <c r="U3884" s="2" t="s">
        <v>56</v>
      </c>
      <c r="V3884" s="2" t="s">
        <v>177</v>
      </c>
      <c r="W3884" s="2" t="s">
        <v>3270</v>
      </c>
      <c r="X3884" s="2" t="s">
        <v>147</v>
      </c>
      <c r="Y3884" s="2">
        <v>37.5</v>
      </c>
      <c r="Z3884" s="2">
        <v>0</v>
      </c>
      <c r="AA3884" s="2" t="s">
        <v>259</v>
      </c>
      <c r="AB3884" s="2" t="s">
        <v>25695</v>
      </c>
      <c r="AC3884" s="2">
        <v>-0.361118706548548</v>
      </c>
      <c r="AD3884" s="2"/>
      <c r="AE3884" s="2">
        <v>0.13155640231228899</v>
      </c>
      <c r="AF3884" s="2">
        <v>13890.511956439899</v>
      </c>
      <c r="AG3884" s="2">
        <v>12117.1712813056</v>
      </c>
      <c r="AH3884" s="5">
        <v>1.14634939409252</v>
      </c>
      <c r="AI3884" s="5">
        <v>0.197046827951319</v>
      </c>
      <c r="AJ3884" s="5" t="s">
        <v>139</v>
      </c>
      <c r="AK3884" s="2">
        <v>0.53772652868034698</v>
      </c>
      <c r="AL3884" s="2">
        <v>0.76430031141374699</v>
      </c>
      <c r="AM3884" s="2">
        <v>10483.516431989299</v>
      </c>
      <c r="AN3884" s="2">
        <v>13879.787692198301</v>
      </c>
      <c r="AO3884" s="2">
        <v>15554.541406428099</v>
      </c>
      <c r="AP3884" s="2">
        <v>14257.531430909999</v>
      </c>
      <c r="AQ3884" s="2">
        <v>19762.498255946899</v>
      </c>
      <c r="AR3884" s="2">
        <v>9405.1965211667193</v>
      </c>
      <c r="AS3884" s="2">
        <v>7527.1951659853003</v>
      </c>
      <c r="AT3884" s="2">
        <v>15633.0990950373</v>
      </c>
      <c r="AU3884" s="2">
        <v>9172.9511602820494</v>
      </c>
      <c r="AV3884" s="2">
        <v>4826.7991690874496</v>
      </c>
      <c r="AW3884" s="2">
        <v>19071.225524538098</v>
      </c>
      <c r="AX3884" s="2">
        <v>16471.757572903301</v>
      </c>
    </row>
    <row r="3885" spans="1:50" x14ac:dyDescent="0.25">
      <c r="A3885" s="2" t="s">
        <v>25696</v>
      </c>
      <c r="B3885" s="2">
        <v>198.18572740906501</v>
      </c>
      <c r="C3885" s="2">
        <v>13.3237166666667</v>
      </c>
      <c r="D3885" s="2" t="s">
        <v>51</v>
      </c>
      <c r="E3885" s="2" t="s">
        <v>25697</v>
      </c>
      <c r="F3885" s="2">
        <v>274779</v>
      </c>
      <c r="G3885" s="3" t="str">
        <f>HYPERLINK("https://cloud.oebiotech.com/#/lm/network/274779", "https://cloud.oebiotech.com/#/lm/network/274779")</f>
        <v>https://cloud.oebiotech.com/#/lm/network/274779</v>
      </c>
      <c r="H3885" s="2"/>
      <c r="I3885" s="2">
        <v>65467</v>
      </c>
      <c r="J3885" s="2"/>
      <c r="K3885" s="2">
        <v>17825027</v>
      </c>
      <c r="L3885" s="2"/>
      <c r="M3885" s="2"/>
      <c r="N3885" s="2"/>
      <c r="O3885" s="2"/>
      <c r="P3885" s="2"/>
      <c r="Q3885" s="2"/>
      <c r="R3885" s="2"/>
      <c r="S3885" s="2" t="s">
        <v>25698</v>
      </c>
      <c r="T3885" s="2" t="s">
        <v>25699</v>
      </c>
      <c r="U3885" s="2" t="s">
        <v>56</v>
      </c>
      <c r="V3885" s="2" t="s">
        <v>145</v>
      </c>
      <c r="W3885" s="2" t="s">
        <v>1617</v>
      </c>
      <c r="X3885" s="2" t="s">
        <v>147</v>
      </c>
      <c r="Y3885" s="2">
        <v>37.4</v>
      </c>
      <c r="Z3885" s="2">
        <v>0</v>
      </c>
      <c r="AA3885" s="2" t="s">
        <v>259</v>
      </c>
      <c r="AB3885" s="2" t="s">
        <v>25700</v>
      </c>
      <c r="AC3885" s="2">
        <v>2.46789795525586</v>
      </c>
      <c r="AD3885" s="2"/>
      <c r="AE3885" s="2">
        <v>0.13154260397530099</v>
      </c>
      <c r="AF3885" s="2">
        <v>2686.94528937628</v>
      </c>
      <c r="AG3885" s="2">
        <v>3253.5911921389602</v>
      </c>
      <c r="AH3885" s="4">
        <v>0.82583985839039697</v>
      </c>
      <c r="AI3885" s="4">
        <v>-0.27606604436253801</v>
      </c>
      <c r="AJ3885" s="4" t="s">
        <v>62</v>
      </c>
      <c r="AK3885" s="2">
        <v>0.30131822899233701</v>
      </c>
      <c r="AL3885" s="2">
        <v>0.61055505990699699</v>
      </c>
      <c r="AM3885" s="2">
        <v>2169.67748813458</v>
      </c>
      <c r="AN3885" s="2">
        <v>2630.3109389803099</v>
      </c>
      <c r="AO3885" s="2">
        <v>3154.2625087756901</v>
      </c>
      <c r="AP3885" s="2">
        <v>2840.6436519168001</v>
      </c>
      <c r="AQ3885" s="2">
        <v>3432.7096053945302</v>
      </c>
      <c r="AR3885" s="2">
        <v>1894.0675430557701</v>
      </c>
      <c r="AS3885" s="2">
        <v>2568.8492822237099</v>
      </c>
      <c r="AT3885" s="2">
        <v>2374.2845931056499</v>
      </c>
      <c r="AU3885" s="2">
        <v>2168.4625808559199</v>
      </c>
      <c r="AV3885" s="2">
        <v>4550.4856895061503</v>
      </c>
      <c r="AW3885" s="2">
        <v>4765.0376528504503</v>
      </c>
      <c r="AX3885" s="2">
        <v>3094.42735429187</v>
      </c>
    </row>
    <row r="3886" spans="1:50" x14ac:dyDescent="0.25">
      <c r="A3886" s="2" t="s">
        <v>25701</v>
      </c>
      <c r="B3886" s="2">
        <v>235.076463232934</v>
      </c>
      <c r="C3886" s="2">
        <v>4.7092833333333299</v>
      </c>
      <c r="D3886" s="2" t="s">
        <v>51</v>
      </c>
      <c r="E3886" s="2" t="s">
        <v>25702</v>
      </c>
      <c r="F3886" s="2">
        <v>29140</v>
      </c>
      <c r="G3886" s="3" t="str">
        <f>HYPERLINK("https://cloud.oebiotech.com/#/lm/network/29140", "https://cloud.oebiotech.com/#/lm/network/29140")</f>
        <v>https://cloud.oebiotech.com/#/lm/network/29140</v>
      </c>
      <c r="H3886" s="2" t="s">
        <v>25703</v>
      </c>
      <c r="I3886" s="2">
        <v>47524</v>
      </c>
      <c r="J3886" s="2" t="s">
        <v>25704</v>
      </c>
      <c r="K3886" s="2">
        <v>5380976</v>
      </c>
      <c r="L3886" s="2"/>
      <c r="M3886" s="2"/>
      <c r="N3886" s="2"/>
      <c r="O3886" s="2"/>
      <c r="P3886" s="2"/>
      <c r="Q3886" s="2"/>
      <c r="R3886" s="2" t="s">
        <v>25705</v>
      </c>
      <c r="S3886" s="2" t="s">
        <v>25706</v>
      </c>
      <c r="T3886" s="2" t="s">
        <v>25707</v>
      </c>
      <c r="U3886" s="2" t="s">
        <v>540</v>
      </c>
      <c r="V3886" s="2" t="s">
        <v>784</v>
      </c>
      <c r="W3886" s="2" t="s">
        <v>785</v>
      </c>
      <c r="X3886" s="2" t="s">
        <v>147</v>
      </c>
      <c r="Y3886" s="2">
        <v>39.1</v>
      </c>
      <c r="Z3886" s="2">
        <v>12.6</v>
      </c>
      <c r="AA3886" s="2" t="s">
        <v>156</v>
      </c>
      <c r="AB3886" s="2" t="s">
        <v>25708</v>
      </c>
      <c r="AC3886" s="2">
        <v>4.3924364063510302</v>
      </c>
      <c r="AD3886" s="2"/>
      <c r="AE3886" s="2">
        <v>0.13149124089071501</v>
      </c>
      <c r="AF3886" s="2">
        <v>1824.27221238572</v>
      </c>
      <c r="AG3886" s="2">
        <v>1373.49504001281</v>
      </c>
      <c r="AH3886" s="5">
        <v>1.3281971607037599</v>
      </c>
      <c r="AI3886" s="5">
        <v>0.40946931961921901</v>
      </c>
      <c r="AJ3886" s="5" t="s">
        <v>139</v>
      </c>
      <c r="AK3886" s="2">
        <v>0.29045495766700002</v>
      </c>
      <c r="AL3886" s="2">
        <v>0.60463922989795804</v>
      </c>
      <c r="AM3886" s="2">
        <v>2903.7568398385902</v>
      </c>
      <c r="AN3886" s="2">
        <v>2668.6293854794799</v>
      </c>
      <c r="AO3886" s="2">
        <v>1277.42223681219</v>
      </c>
      <c r="AP3886" s="2">
        <v>1029.96845767951</v>
      </c>
      <c r="AQ3886" s="2">
        <v>1606.06455545228</v>
      </c>
      <c r="AR3886" s="2">
        <v>1459.7917990522899</v>
      </c>
      <c r="AS3886" s="2">
        <v>1271.37123228004</v>
      </c>
      <c r="AT3886" s="2">
        <v>992.40052754984595</v>
      </c>
      <c r="AU3886" s="2">
        <v>2521.3918042076298</v>
      </c>
      <c r="AV3886" s="2">
        <v>769.16523712309004</v>
      </c>
      <c r="AW3886" s="2">
        <v>1164.20234873033</v>
      </c>
      <c r="AX3886" s="2">
        <v>1522.4390901859499</v>
      </c>
    </row>
    <row r="3887" spans="1:50" x14ac:dyDescent="0.25">
      <c r="A3887" s="2" t="s">
        <v>25709</v>
      </c>
      <c r="B3887" s="2">
        <v>345.14329578627502</v>
      </c>
      <c r="C3887" s="2">
        <v>4.5012333333333299</v>
      </c>
      <c r="D3887" s="2" t="s">
        <v>51</v>
      </c>
      <c r="E3887" s="2" t="s">
        <v>25710</v>
      </c>
      <c r="F3887" s="2">
        <v>208195</v>
      </c>
      <c r="G3887" s="3" t="str">
        <f>HYPERLINK("https://cloud.oebiotech.com/#/lm/network/208195", "https://cloud.oebiotech.com/#/lm/network/208195")</f>
        <v>https://cloud.oebiotech.com/#/lm/network/208195</v>
      </c>
      <c r="H3887" s="2" t="s">
        <v>25711</v>
      </c>
      <c r="I3887" s="2"/>
      <c r="J3887" s="2"/>
      <c r="K3887" s="2">
        <v>73086473</v>
      </c>
      <c r="L3887" s="2"/>
      <c r="M3887" s="2"/>
      <c r="N3887" s="2"/>
      <c r="O3887" s="2"/>
      <c r="P3887" s="2"/>
      <c r="Q3887" s="2"/>
      <c r="R3887" s="2"/>
      <c r="S3887" s="2" t="s">
        <v>25712</v>
      </c>
      <c r="T3887" s="2" t="s">
        <v>25713</v>
      </c>
      <c r="U3887" s="2" t="s">
        <v>103</v>
      </c>
      <c r="V3887" s="2" t="s">
        <v>104</v>
      </c>
      <c r="W3887" s="2" t="s">
        <v>9173</v>
      </c>
      <c r="X3887" s="2" t="s">
        <v>59</v>
      </c>
      <c r="Y3887" s="2">
        <v>49.7</v>
      </c>
      <c r="Z3887" s="2">
        <v>57.3</v>
      </c>
      <c r="AA3887" s="2" t="s">
        <v>163</v>
      </c>
      <c r="AB3887" s="2" t="s">
        <v>25714</v>
      </c>
      <c r="AC3887" s="2">
        <v>4.9780798615614597</v>
      </c>
      <c r="AD3887" s="2"/>
      <c r="AE3887" s="2">
        <v>0.13147916491313799</v>
      </c>
      <c r="AF3887" s="2">
        <v>26539.425766718501</v>
      </c>
      <c r="AG3887" s="2">
        <v>23414.790139744699</v>
      </c>
      <c r="AH3887" s="5">
        <v>1.13344709084836</v>
      </c>
      <c r="AI3887" s="5">
        <v>0.180717047847783</v>
      </c>
      <c r="AJ3887" s="5" t="s">
        <v>139</v>
      </c>
      <c r="AK3887" s="2">
        <v>0.66551046844686501</v>
      </c>
      <c r="AL3887" s="2">
        <v>0.83799271498813099</v>
      </c>
      <c r="AM3887" s="2">
        <v>14736.9398461405</v>
      </c>
      <c r="AN3887" s="2">
        <v>26754.049733629599</v>
      </c>
      <c r="AO3887" s="2">
        <v>22331.208680682699</v>
      </c>
      <c r="AP3887" s="2">
        <v>21665.027310487199</v>
      </c>
      <c r="AQ3887" s="2">
        <v>21824.328682873202</v>
      </c>
      <c r="AR3887" s="2">
        <v>51925.000346497502</v>
      </c>
      <c r="AS3887" s="2">
        <v>12468.1356126102</v>
      </c>
      <c r="AT3887" s="2">
        <v>19407.253084345499</v>
      </c>
      <c r="AU3887" s="2">
        <v>37860.3435569465</v>
      </c>
      <c r="AV3887" s="2">
        <v>16950.5547419139</v>
      </c>
      <c r="AW3887" s="2">
        <v>16454.931179376301</v>
      </c>
      <c r="AX3887" s="2">
        <v>37347.5226632759</v>
      </c>
    </row>
    <row r="3888" spans="1:50" x14ac:dyDescent="0.25">
      <c r="A3888" s="2" t="s">
        <v>25715</v>
      </c>
      <c r="B3888" s="2">
        <v>378.26480582054302</v>
      </c>
      <c r="C3888" s="2">
        <v>10.21335</v>
      </c>
      <c r="D3888" s="2" t="s">
        <v>51</v>
      </c>
      <c r="E3888" s="2" t="s">
        <v>25716</v>
      </c>
      <c r="F3888" s="2">
        <v>55103</v>
      </c>
      <c r="G3888" s="3" t="str">
        <f>HYPERLINK("https://cloud.oebiotech.com/#/lm/network/55103", "https://cloud.oebiotech.com/#/lm/network/55103")</f>
        <v>https://cloud.oebiotech.com/#/lm/network/55103</v>
      </c>
      <c r="H3888" s="2" t="s">
        <v>25717</v>
      </c>
      <c r="I3888" s="2"/>
      <c r="J3888" s="2"/>
      <c r="K3888" s="2">
        <v>599113</v>
      </c>
      <c r="L3888" s="2" t="s">
        <v>25718</v>
      </c>
      <c r="M3888" s="2"/>
      <c r="N3888" s="2"/>
      <c r="O3888" s="2">
        <v>38970</v>
      </c>
      <c r="P3888" s="2"/>
      <c r="Q3888" s="2"/>
      <c r="R3888" s="2" t="s">
        <v>25719</v>
      </c>
      <c r="S3888" s="2" t="s">
        <v>25720</v>
      </c>
      <c r="T3888" s="2" t="s">
        <v>25721</v>
      </c>
      <c r="U3888" s="2" t="s">
        <v>266</v>
      </c>
      <c r="V3888" s="2" t="s">
        <v>445</v>
      </c>
      <c r="W3888" s="2" t="s">
        <v>25722</v>
      </c>
      <c r="X3888" s="2" t="s">
        <v>147</v>
      </c>
      <c r="Y3888" s="2">
        <v>38</v>
      </c>
      <c r="Z3888" s="2">
        <v>0</v>
      </c>
      <c r="AA3888" s="2" t="s">
        <v>512</v>
      </c>
      <c r="AB3888" s="2" t="s">
        <v>25723</v>
      </c>
      <c r="AC3888" s="2">
        <v>-1.1565527619306399</v>
      </c>
      <c r="AD3888" s="2"/>
      <c r="AE3888" s="2">
        <v>0.13123444310625301</v>
      </c>
      <c r="AF3888" s="2">
        <v>8024.7385806975199</v>
      </c>
      <c r="AG3888" s="2">
        <v>6462.5739483717498</v>
      </c>
      <c r="AH3888" s="5">
        <v>1.2417248366990601</v>
      </c>
      <c r="AI3888" s="5">
        <v>0.312345511150177</v>
      </c>
      <c r="AJ3888" s="5" t="s">
        <v>139</v>
      </c>
      <c r="AK3888" s="2">
        <v>0.44544516475429702</v>
      </c>
      <c r="AL3888" s="2">
        <v>0.700312309697811</v>
      </c>
      <c r="AM3888" s="2">
        <v>10570.436048257299</v>
      </c>
      <c r="AN3888" s="2">
        <v>4059.4204924975602</v>
      </c>
      <c r="AO3888" s="2">
        <v>10296.833200286401</v>
      </c>
      <c r="AP3888" s="2">
        <v>14057.474431197599</v>
      </c>
      <c r="AQ3888" s="2">
        <v>3718.93187759482</v>
      </c>
      <c r="AR3888" s="2">
        <v>5445.3354343514102</v>
      </c>
      <c r="AS3888" s="2">
        <v>4752.0695666581696</v>
      </c>
      <c r="AT3888" s="2">
        <v>6204.5430191533696</v>
      </c>
      <c r="AU3888" s="2">
        <v>5573.8330660812398</v>
      </c>
      <c r="AV3888" s="2">
        <v>6657.3302649604102</v>
      </c>
      <c r="AW3888" s="2">
        <v>10933.285732721901</v>
      </c>
      <c r="AX3888" s="2">
        <v>4654.3820406554196</v>
      </c>
    </row>
    <row r="3889" spans="1:50" x14ac:dyDescent="0.25">
      <c r="A3889" s="2" t="s">
        <v>25724</v>
      </c>
      <c r="B3889" s="2">
        <v>236.128963668897</v>
      </c>
      <c r="C3889" s="2">
        <v>6.23515</v>
      </c>
      <c r="D3889" s="2" t="s">
        <v>51</v>
      </c>
      <c r="E3889" s="2" t="s">
        <v>25725</v>
      </c>
      <c r="F3889" s="2">
        <v>205613</v>
      </c>
      <c r="G3889" s="3" t="str">
        <f>HYPERLINK("https://cloud.oebiotech.com/#/lm/network/205613", "https://cloud.oebiotech.com/#/lm/network/205613")</f>
        <v>https://cloud.oebiotech.com/#/lm/network/205613</v>
      </c>
      <c r="H3889" s="2" t="s">
        <v>25726</v>
      </c>
      <c r="I3889" s="2">
        <v>3982</v>
      </c>
      <c r="J3889" s="2"/>
      <c r="K3889" s="2">
        <v>4284</v>
      </c>
      <c r="L3889" s="2" t="s">
        <v>25727</v>
      </c>
      <c r="M3889" s="2"/>
      <c r="N3889" s="2"/>
      <c r="O3889" s="2">
        <v>7071</v>
      </c>
      <c r="P3889" s="2"/>
      <c r="Q3889" s="2"/>
      <c r="R3889" s="2" t="s">
        <v>25728</v>
      </c>
      <c r="S3889" s="2" t="s">
        <v>25729</v>
      </c>
      <c r="T3889" s="2" t="s">
        <v>25730</v>
      </c>
      <c r="U3889" s="2" t="s">
        <v>610</v>
      </c>
      <c r="V3889" s="2" t="s">
        <v>611</v>
      </c>
      <c r="W3889" s="2" t="s">
        <v>6372</v>
      </c>
      <c r="X3889" s="2" t="s">
        <v>147</v>
      </c>
      <c r="Y3889" s="2">
        <v>38.799999999999997</v>
      </c>
      <c r="Z3889" s="2">
        <v>0</v>
      </c>
      <c r="AA3889" s="2" t="s">
        <v>218</v>
      </c>
      <c r="AB3889" s="2" t="s">
        <v>25731</v>
      </c>
      <c r="AC3889" s="2">
        <v>-1.3256386148097199</v>
      </c>
      <c r="AD3889" s="2"/>
      <c r="AE3889" s="2">
        <v>0.13102862249310601</v>
      </c>
      <c r="AF3889" s="2">
        <v>22.305993740970901</v>
      </c>
      <c r="AG3889" s="2">
        <v>525.95245223342397</v>
      </c>
      <c r="AH3889" s="4">
        <v>4.2410665919038797E-2</v>
      </c>
      <c r="AI3889" s="4">
        <v>-4.5594290539153004</v>
      </c>
      <c r="AJ3889" s="4" t="s">
        <v>62</v>
      </c>
      <c r="AK3889" s="2">
        <v>7.8543558194994506E-2</v>
      </c>
      <c r="AL3889" s="2">
        <v>0.36259246282337698</v>
      </c>
      <c r="AM3889" s="2">
        <v>8.559877937157E-6</v>
      </c>
      <c r="AN3889" s="2">
        <v>8.559877937157E-6</v>
      </c>
      <c r="AO3889" s="2">
        <v>8.559877937157E-6</v>
      </c>
      <c r="AP3889" s="2">
        <v>133.835919646436</v>
      </c>
      <c r="AQ3889" s="2">
        <v>8.559877937157E-6</v>
      </c>
      <c r="AR3889" s="2">
        <v>8.559877937157E-6</v>
      </c>
      <c r="AS3889" s="2">
        <v>293.601487611967</v>
      </c>
      <c r="AT3889" s="2">
        <v>8.559877937157E-6</v>
      </c>
      <c r="AU3889" s="2">
        <v>719.17012898128701</v>
      </c>
      <c r="AV3889" s="2">
        <v>1709.7989585893599</v>
      </c>
      <c r="AW3889" s="2">
        <v>274.70957312831399</v>
      </c>
      <c r="AX3889" s="2">
        <v>158.43455652973901</v>
      </c>
    </row>
    <row r="3890" spans="1:50" x14ac:dyDescent="0.25">
      <c r="A3890" s="2" t="s">
        <v>25732</v>
      </c>
      <c r="B3890" s="2">
        <v>265.01037619854299</v>
      </c>
      <c r="C3890" s="2">
        <v>6.0315500000000002</v>
      </c>
      <c r="D3890" s="2" t="s">
        <v>51</v>
      </c>
      <c r="E3890" s="2" t="s">
        <v>25733</v>
      </c>
      <c r="F3890" s="2">
        <v>200787</v>
      </c>
      <c r="G3890" s="3" t="str">
        <f>HYPERLINK("https://cloud.oebiotech.com/#/lm/network/200787", "https://cloud.oebiotech.com/#/lm/network/200787")</f>
        <v>https://cloud.oebiotech.com/#/lm/network/200787</v>
      </c>
      <c r="H3890" s="2" t="s">
        <v>25734</v>
      </c>
      <c r="I3890" s="2">
        <v>452491</v>
      </c>
      <c r="J3890" s="2"/>
      <c r="K3890" s="2">
        <v>65093</v>
      </c>
      <c r="L3890" s="2"/>
      <c r="M3890" s="2"/>
      <c r="N3890" s="2"/>
      <c r="O3890" s="2">
        <v>143170</v>
      </c>
      <c r="P3890" s="2"/>
      <c r="Q3890" s="2"/>
      <c r="R3890" s="2"/>
      <c r="S3890" s="2" t="s">
        <v>25735</v>
      </c>
      <c r="T3890" s="2" t="s">
        <v>25736</v>
      </c>
      <c r="U3890" s="2" t="s">
        <v>266</v>
      </c>
      <c r="V3890" s="2" t="s">
        <v>2143</v>
      </c>
      <c r="W3890" s="2" t="s">
        <v>240</v>
      </c>
      <c r="X3890" s="2" t="s">
        <v>147</v>
      </c>
      <c r="Y3890" s="2">
        <v>36.299999999999997</v>
      </c>
      <c r="Z3890" s="2">
        <v>0</v>
      </c>
      <c r="AA3890" s="2" t="s">
        <v>218</v>
      </c>
      <c r="AB3890" s="2" t="s">
        <v>25737</v>
      </c>
      <c r="AC3890" s="2">
        <v>-3.2586164203705499</v>
      </c>
      <c r="AD3890" s="2"/>
      <c r="AE3890" s="2">
        <v>0.13096130169762299</v>
      </c>
      <c r="AF3890" s="2">
        <v>2158.4137068970199</v>
      </c>
      <c r="AG3890" s="2">
        <v>2645.4681975684798</v>
      </c>
      <c r="AH3890" s="4">
        <v>0.81589100518421398</v>
      </c>
      <c r="AI3890" s="4">
        <v>-0.29355165933643501</v>
      </c>
      <c r="AJ3890" s="4" t="s">
        <v>62</v>
      </c>
      <c r="AK3890" s="2">
        <v>0.135087963164714</v>
      </c>
      <c r="AL3890" s="2">
        <v>0.45558053561409101</v>
      </c>
      <c r="AM3890" s="2">
        <v>2018.5418590459001</v>
      </c>
      <c r="AN3890" s="2">
        <v>1689.0718387534</v>
      </c>
      <c r="AO3890" s="2">
        <v>1708.3582129643401</v>
      </c>
      <c r="AP3890" s="2">
        <v>2428.1709254905199</v>
      </c>
      <c r="AQ3890" s="2">
        <v>2833.7794069010401</v>
      </c>
      <c r="AR3890" s="2">
        <v>2272.55999822692</v>
      </c>
      <c r="AS3890" s="2">
        <v>1812.97971128111</v>
      </c>
      <c r="AT3890" s="2">
        <v>2100.4993662167399</v>
      </c>
      <c r="AU3890" s="2">
        <v>2727.9148330318699</v>
      </c>
      <c r="AV3890" s="2">
        <v>2886.4752800343699</v>
      </c>
      <c r="AW3890" s="2">
        <v>2950.8011334683601</v>
      </c>
      <c r="AX3890" s="2">
        <v>3394.1388613784402</v>
      </c>
    </row>
    <row r="3891" spans="1:50" x14ac:dyDescent="0.25">
      <c r="A3891" s="2" t="s">
        <v>25738</v>
      </c>
      <c r="B3891" s="2">
        <v>316.10463361650602</v>
      </c>
      <c r="C3891" s="2">
        <v>6.1269833333333299</v>
      </c>
      <c r="D3891" s="2" t="s">
        <v>51</v>
      </c>
      <c r="E3891" s="2" t="s">
        <v>25739</v>
      </c>
      <c r="F3891" s="2">
        <v>207403</v>
      </c>
      <c r="G3891" s="3" t="str">
        <f>HYPERLINK("https://cloud.oebiotech.com/#/lm/network/207403", "https://cloud.oebiotech.com/#/lm/network/207403")</f>
        <v>https://cloud.oebiotech.com/#/lm/network/207403</v>
      </c>
      <c r="H3891" s="2" t="s">
        <v>25740</v>
      </c>
      <c r="I3891" s="2">
        <v>70534</v>
      </c>
      <c r="J3891" s="2"/>
      <c r="K3891" s="2">
        <v>3538</v>
      </c>
      <c r="L3891" s="2" t="s">
        <v>25741</v>
      </c>
      <c r="M3891" s="2"/>
      <c r="N3891" s="2"/>
      <c r="O3891" s="2"/>
      <c r="P3891" s="2"/>
      <c r="Q3891" s="2"/>
      <c r="R3891" s="2" t="s">
        <v>25742</v>
      </c>
      <c r="S3891" s="2" t="s">
        <v>25743</v>
      </c>
      <c r="T3891" s="2" t="s">
        <v>25744</v>
      </c>
      <c r="U3891" s="2" t="s">
        <v>266</v>
      </c>
      <c r="V3891" s="2" t="s">
        <v>4415</v>
      </c>
      <c r="W3891" s="2" t="s">
        <v>240</v>
      </c>
      <c r="X3891" s="2" t="s">
        <v>147</v>
      </c>
      <c r="Y3891" s="2">
        <v>42</v>
      </c>
      <c r="Z3891" s="2">
        <v>24.7</v>
      </c>
      <c r="AA3891" s="2" t="s">
        <v>95</v>
      </c>
      <c r="AB3891" s="2" t="s">
        <v>25745</v>
      </c>
      <c r="AC3891" s="2">
        <v>-3.45868730345794</v>
      </c>
      <c r="AD3891" s="2"/>
      <c r="AE3891" s="2">
        <v>0.130876459350557</v>
      </c>
      <c r="AF3891" s="2">
        <v>1675.2932865728101</v>
      </c>
      <c r="AG3891" s="2">
        <v>100.589166431808</v>
      </c>
      <c r="AH3891" s="5">
        <v>16.654808325790501</v>
      </c>
      <c r="AI3891" s="5">
        <v>4.0578668455358997</v>
      </c>
      <c r="AJ3891" s="5" t="s">
        <v>139</v>
      </c>
      <c r="AK3891" s="2">
        <v>0.35745508689827998</v>
      </c>
      <c r="AL3891" s="2">
        <v>0.64449606579735297</v>
      </c>
      <c r="AM3891" s="2">
        <v>8.559877937157E-6</v>
      </c>
      <c r="AN3891" s="2">
        <v>8.559877937157E-6</v>
      </c>
      <c r="AO3891" s="2">
        <v>95.843646721805698</v>
      </c>
      <c r="AP3891" s="2">
        <v>36.493011661332297</v>
      </c>
      <c r="AQ3891" s="2">
        <v>88.958160388209194</v>
      </c>
      <c r="AR3891" s="2">
        <v>9830.4648835457301</v>
      </c>
      <c r="AS3891" s="2">
        <v>8.559877937157E-6</v>
      </c>
      <c r="AT3891" s="2">
        <v>8.559877937157E-6</v>
      </c>
      <c r="AU3891" s="2">
        <v>307.75713644432801</v>
      </c>
      <c r="AV3891" s="2">
        <v>8.559877937157E-6</v>
      </c>
      <c r="AW3891" s="2">
        <v>295.77782790701099</v>
      </c>
      <c r="AX3891" s="2">
        <v>8.559877937157E-6</v>
      </c>
    </row>
    <row r="3892" spans="1:50" x14ac:dyDescent="0.25">
      <c r="A3892" s="2" t="s">
        <v>25746</v>
      </c>
      <c r="B3892" s="2">
        <v>289.069587475812</v>
      </c>
      <c r="C3892" s="2">
        <v>7.6115166666666703</v>
      </c>
      <c r="D3892" s="2" t="s">
        <v>51</v>
      </c>
      <c r="E3892" s="2" t="s">
        <v>25747</v>
      </c>
      <c r="F3892" s="2">
        <v>55381</v>
      </c>
      <c r="G3892" s="3" t="str">
        <f>HYPERLINK("https://cloud.oebiotech.com/#/lm/network/55381", "https://cloud.oebiotech.com/#/lm/network/55381")</f>
        <v>https://cloud.oebiotech.com/#/lm/network/55381</v>
      </c>
      <c r="H3892" s="2" t="s">
        <v>25748</v>
      </c>
      <c r="I3892" s="2">
        <v>87084</v>
      </c>
      <c r="J3892" s="2"/>
      <c r="K3892" s="2">
        <v>5321539</v>
      </c>
      <c r="L3892" s="2"/>
      <c r="M3892" s="2"/>
      <c r="N3892" s="2"/>
      <c r="O3892" s="2">
        <v>174256</v>
      </c>
      <c r="P3892" s="2"/>
      <c r="Q3892" s="2"/>
      <c r="R3892" s="2" t="s">
        <v>25749</v>
      </c>
      <c r="S3892" s="2" t="s">
        <v>25750</v>
      </c>
      <c r="T3892" s="2" t="s">
        <v>25751</v>
      </c>
      <c r="U3892" s="2" t="s">
        <v>540</v>
      </c>
      <c r="V3892" s="2" t="s">
        <v>1826</v>
      </c>
      <c r="W3892" s="2" t="s">
        <v>240</v>
      </c>
      <c r="X3892" s="2" t="s">
        <v>83</v>
      </c>
      <c r="Y3892" s="2">
        <v>39.5</v>
      </c>
      <c r="Z3892" s="2">
        <v>0</v>
      </c>
      <c r="AA3892" s="2" t="s">
        <v>218</v>
      </c>
      <c r="AB3892" s="2" t="s">
        <v>25752</v>
      </c>
      <c r="AC3892" s="2">
        <v>-8.9082048790459805</v>
      </c>
      <c r="AD3892" s="2"/>
      <c r="AE3892" s="2">
        <v>0.13082572923107899</v>
      </c>
      <c r="AF3892" s="2">
        <v>597.09216881702605</v>
      </c>
      <c r="AG3892" s="2">
        <v>1497.9197514499201</v>
      </c>
      <c r="AH3892" s="4">
        <v>0.39861425703150499</v>
      </c>
      <c r="AI3892" s="4">
        <v>-1.3269347836546601</v>
      </c>
      <c r="AJ3892" s="4" t="s">
        <v>62</v>
      </c>
      <c r="AK3892" s="2">
        <v>0.254027123353047</v>
      </c>
      <c r="AL3892" s="2">
        <v>0.57717528945543195</v>
      </c>
      <c r="AM3892" s="2">
        <v>336.78262187085301</v>
      </c>
      <c r="AN3892" s="2">
        <v>262.08429852845302</v>
      </c>
      <c r="AO3892" s="2">
        <v>909.96853062468199</v>
      </c>
      <c r="AP3892" s="2">
        <v>813.55379456178605</v>
      </c>
      <c r="AQ3892" s="2">
        <v>468.674448180225</v>
      </c>
      <c r="AR3892" s="2">
        <v>791.48931913615797</v>
      </c>
      <c r="AS3892" s="2">
        <v>219.577194884736</v>
      </c>
      <c r="AT3892" s="2">
        <v>208.28604964267299</v>
      </c>
      <c r="AU3892" s="2">
        <v>3431.2987351360898</v>
      </c>
      <c r="AV3892" s="2">
        <v>511.25348316714798</v>
      </c>
      <c r="AW3892" s="2">
        <v>448.45321563886898</v>
      </c>
      <c r="AX3892" s="2">
        <v>4168.6498302299997</v>
      </c>
    </row>
    <row r="3893" spans="1:50" x14ac:dyDescent="0.25">
      <c r="A3893" s="2" t="s">
        <v>25753</v>
      </c>
      <c r="B3893" s="2">
        <v>724.46516420405703</v>
      </c>
      <c r="C3893" s="2">
        <v>13.3257833333333</v>
      </c>
      <c r="D3893" s="2" t="s">
        <v>51</v>
      </c>
      <c r="E3893" s="2" t="s">
        <v>25754</v>
      </c>
      <c r="F3893" s="2">
        <v>207721</v>
      </c>
      <c r="G3893" s="3" t="str">
        <f>HYPERLINK("https://cloud.oebiotech.com/#/lm/network/207721", "https://cloud.oebiotech.com/#/lm/network/207721")</f>
        <v>https://cloud.oebiotech.com/#/lm/network/207721</v>
      </c>
      <c r="H3893" s="2" t="s">
        <v>25755</v>
      </c>
      <c r="I3893" s="2"/>
      <c r="J3893" s="2"/>
      <c r="K3893" s="2">
        <v>14487402</v>
      </c>
      <c r="L3893" s="2"/>
      <c r="M3893" s="2"/>
      <c r="N3893" s="2"/>
      <c r="O3893" s="2"/>
      <c r="P3893" s="2"/>
      <c r="Q3893" s="2"/>
      <c r="R3893" s="2"/>
      <c r="S3893" s="2" t="s">
        <v>25756</v>
      </c>
      <c r="T3893" s="2" t="s">
        <v>25757</v>
      </c>
      <c r="U3893" s="2" t="s">
        <v>331</v>
      </c>
      <c r="V3893" s="2" t="s">
        <v>332</v>
      </c>
      <c r="W3893" s="2" t="s">
        <v>333</v>
      </c>
      <c r="X3893" s="2" t="s">
        <v>147</v>
      </c>
      <c r="Y3893" s="2">
        <v>38</v>
      </c>
      <c r="Z3893" s="2">
        <v>3.6</v>
      </c>
      <c r="AA3893" s="2" t="s">
        <v>379</v>
      </c>
      <c r="AB3893" s="2" t="s">
        <v>25758</v>
      </c>
      <c r="AC3893" s="2">
        <v>1.38358660923528</v>
      </c>
      <c r="AD3893" s="2"/>
      <c r="AE3893" s="2">
        <v>0.13075357464967</v>
      </c>
      <c r="AF3893" s="2">
        <v>12793.863342234399</v>
      </c>
      <c r="AG3893" s="2">
        <v>18504.654397537299</v>
      </c>
      <c r="AH3893" s="4">
        <v>0.69138623545096201</v>
      </c>
      <c r="AI3893" s="4">
        <v>-0.53243621307517397</v>
      </c>
      <c r="AJ3893" s="4" t="s">
        <v>62</v>
      </c>
      <c r="AK3893" s="2">
        <v>0.53470808597427999</v>
      </c>
      <c r="AL3893" s="2">
        <v>0.76110331010052801</v>
      </c>
      <c r="AM3893" s="2">
        <v>18021.342431949</v>
      </c>
      <c r="AN3893" s="2">
        <v>31726.169510564101</v>
      </c>
      <c r="AO3893" s="2">
        <v>12061.0672045842</v>
      </c>
      <c r="AP3893" s="2">
        <v>7150.1065606126904</v>
      </c>
      <c r="AQ3893" s="2">
        <v>3819.0677699440298</v>
      </c>
      <c r="AR3893" s="2">
        <v>3985.4265757524799</v>
      </c>
      <c r="AS3893" s="2">
        <v>8.559877937157E-6</v>
      </c>
      <c r="AT3893" s="2">
        <v>4019.20946975078</v>
      </c>
      <c r="AU3893" s="2">
        <v>51973.342211426097</v>
      </c>
      <c r="AV3893" s="2">
        <v>14757.4985315576</v>
      </c>
      <c r="AW3893" s="2">
        <v>13118.4964332827</v>
      </c>
      <c r="AX3893" s="2">
        <v>27159.3797306468</v>
      </c>
    </row>
    <row r="3894" spans="1:50" x14ac:dyDescent="0.25">
      <c r="A3894" s="2" t="s">
        <v>25759</v>
      </c>
      <c r="B3894" s="2">
        <v>297.20708471503298</v>
      </c>
      <c r="C3894" s="2">
        <v>10.1619166666667</v>
      </c>
      <c r="D3894" s="2" t="s">
        <v>51</v>
      </c>
      <c r="E3894" s="2" t="s">
        <v>25760</v>
      </c>
      <c r="F3894" s="2">
        <v>2866</v>
      </c>
      <c r="G3894" s="3" t="str">
        <f>HYPERLINK("https://cloud.oebiotech.com/#/lm/network/2866", "https://cloud.oebiotech.com/#/lm/network/2866")</f>
        <v>https://cloud.oebiotech.com/#/lm/network/2866</v>
      </c>
      <c r="H3894" s="2"/>
      <c r="I3894" s="2">
        <v>74925</v>
      </c>
      <c r="J3894" s="2" t="s">
        <v>25761</v>
      </c>
      <c r="K3894" s="2">
        <v>9543673</v>
      </c>
      <c r="L3894" s="2"/>
      <c r="M3894" s="2"/>
      <c r="N3894" s="2"/>
      <c r="O3894" s="2"/>
      <c r="P3894" s="2"/>
      <c r="Q3894" s="2"/>
      <c r="R3894" s="2"/>
      <c r="S3894" s="2" t="s">
        <v>25762</v>
      </c>
      <c r="T3894" s="2" t="s">
        <v>25763</v>
      </c>
      <c r="U3894" s="2" t="s">
        <v>56</v>
      </c>
      <c r="V3894" s="2" t="s">
        <v>145</v>
      </c>
      <c r="W3894" s="2" t="s">
        <v>231</v>
      </c>
      <c r="X3894" s="2" t="s">
        <v>83</v>
      </c>
      <c r="Y3894" s="2">
        <v>43.7</v>
      </c>
      <c r="Z3894" s="2">
        <v>0</v>
      </c>
      <c r="AA3894" s="2" t="s">
        <v>163</v>
      </c>
      <c r="AB3894" s="2" t="s">
        <v>25764</v>
      </c>
      <c r="AC3894" s="2">
        <v>-0.16194156099092699</v>
      </c>
      <c r="AD3894" s="2"/>
      <c r="AE3894" s="2">
        <v>0.13073691256648501</v>
      </c>
      <c r="AF3894" s="2">
        <v>1476.09725978028</v>
      </c>
      <c r="AG3894" s="2">
        <v>756.024055417775</v>
      </c>
      <c r="AH3894" s="5">
        <v>1.95244747730228</v>
      </c>
      <c r="AI3894" s="5">
        <v>0.96528373901784703</v>
      </c>
      <c r="AJ3894" s="5" t="s">
        <v>139</v>
      </c>
      <c r="AK3894" s="2">
        <v>0.15977975956423801</v>
      </c>
      <c r="AL3894" s="2">
        <v>0.482327607117922</v>
      </c>
      <c r="AM3894" s="2">
        <v>805.35415855134897</v>
      </c>
      <c r="AN3894" s="2">
        <v>1311.2519884071501</v>
      </c>
      <c r="AO3894" s="2">
        <v>3584.2942263480099</v>
      </c>
      <c r="AP3894" s="2">
        <v>1319.01868744437</v>
      </c>
      <c r="AQ3894" s="2">
        <v>413.90884693206999</v>
      </c>
      <c r="AR3894" s="2">
        <v>1422.7556509987201</v>
      </c>
      <c r="AS3894" s="2">
        <v>845.44223549049002</v>
      </c>
      <c r="AT3894" s="2">
        <v>701.06355691101703</v>
      </c>
      <c r="AU3894" s="2">
        <v>708.57653766447095</v>
      </c>
      <c r="AV3894" s="2">
        <v>1419.77023816619</v>
      </c>
      <c r="AW3894" s="2">
        <v>413.88539246905299</v>
      </c>
      <c r="AX3894" s="2">
        <v>447.406371805432</v>
      </c>
    </row>
    <row r="3895" spans="1:50" x14ac:dyDescent="0.25">
      <c r="A3895" s="2" t="s">
        <v>25765</v>
      </c>
      <c r="B3895" s="2">
        <v>175.10825637906299</v>
      </c>
      <c r="C3895" s="2">
        <v>1.1703666666666701</v>
      </c>
      <c r="D3895" s="2" t="s">
        <v>51</v>
      </c>
      <c r="E3895" s="2" t="s">
        <v>25766</v>
      </c>
      <c r="F3895" s="2">
        <v>53881</v>
      </c>
      <c r="G3895" s="3" t="str">
        <f>HYPERLINK("https://cloud.oebiotech.com/#/lm/network/53881", "https://cloud.oebiotech.com/#/lm/network/53881")</f>
        <v>https://cloud.oebiotech.com/#/lm/network/53881</v>
      </c>
      <c r="H3895" s="2" t="s">
        <v>25767</v>
      </c>
      <c r="I3895" s="2">
        <v>23847</v>
      </c>
      <c r="J3895" s="2"/>
      <c r="K3895" s="2">
        <v>2724807</v>
      </c>
      <c r="L3895" s="2"/>
      <c r="M3895" s="2"/>
      <c r="N3895" s="2"/>
      <c r="O3895" s="2">
        <v>73922</v>
      </c>
      <c r="P3895" s="2"/>
      <c r="Q3895" s="2"/>
      <c r="R3895" s="2" t="s">
        <v>25768</v>
      </c>
      <c r="S3895" s="2" t="s">
        <v>25769</v>
      </c>
      <c r="T3895" s="2" t="s">
        <v>25770</v>
      </c>
      <c r="U3895" s="2" t="s">
        <v>103</v>
      </c>
      <c r="V3895" s="2" t="s">
        <v>104</v>
      </c>
      <c r="W3895" s="2" t="s">
        <v>105</v>
      </c>
      <c r="X3895" s="2" t="s">
        <v>69</v>
      </c>
      <c r="Y3895" s="2">
        <v>53.4</v>
      </c>
      <c r="Z3895" s="2">
        <v>71.5</v>
      </c>
      <c r="AA3895" s="2" t="s">
        <v>60</v>
      </c>
      <c r="AB3895" s="2" t="s">
        <v>3811</v>
      </c>
      <c r="AC3895" s="2">
        <v>3.08804386394459</v>
      </c>
      <c r="AD3895" s="2"/>
      <c r="AE3895" s="2">
        <v>0.13063959652170001</v>
      </c>
      <c r="AF3895" s="2">
        <v>14900.025028964999</v>
      </c>
      <c r="AG3895" s="2">
        <v>11833.2322512355</v>
      </c>
      <c r="AH3895" s="5">
        <v>1.2591678007003699</v>
      </c>
      <c r="AI3895" s="5">
        <v>0.332470553991836</v>
      </c>
      <c r="AJ3895" s="5" t="s">
        <v>139</v>
      </c>
      <c r="AK3895" s="2">
        <v>0.67417641879075696</v>
      </c>
      <c r="AL3895" s="2">
        <v>0.84229490706244103</v>
      </c>
      <c r="AM3895" s="2">
        <v>17879.338103556202</v>
      </c>
      <c r="AN3895" s="2">
        <v>2555.3859078466699</v>
      </c>
      <c r="AO3895" s="2">
        <v>14793.5051553922</v>
      </c>
      <c r="AP3895" s="2">
        <v>4416.7000412746302</v>
      </c>
      <c r="AQ3895" s="2">
        <v>34168.5285395541</v>
      </c>
      <c r="AR3895" s="2">
        <v>15586.692426165901</v>
      </c>
      <c r="AS3895" s="2">
        <v>11014.9548516061</v>
      </c>
      <c r="AT3895" s="2">
        <v>13385.4960635345</v>
      </c>
      <c r="AU3895" s="2">
        <v>3687.1670557144798</v>
      </c>
      <c r="AV3895" s="2">
        <v>36837.064836736899</v>
      </c>
      <c r="AW3895" s="2">
        <v>552.23569174249201</v>
      </c>
      <c r="AX3895" s="2">
        <v>5522.4750080785598</v>
      </c>
    </row>
    <row r="3896" spans="1:50" x14ac:dyDescent="0.25">
      <c r="A3896" s="2" t="s">
        <v>25771</v>
      </c>
      <c r="B3896" s="2">
        <v>94.991893903321198</v>
      </c>
      <c r="C3896" s="2">
        <v>8.6853666666666705</v>
      </c>
      <c r="D3896" s="2" t="s">
        <v>51</v>
      </c>
      <c r="E3896" s="2" t="s">
        <v>25772</v>
      </c>
      <c r="F3896" s="2">
        <v>212065</v>
      </c>
      <c r="G3896" s="3" t="str">
        <f>HYPERLINK("https://cloud.oebiotech.com/#/lm/network/212065", "https://cloud.oebiotech.com/#/lm/network/212065")</f>
        <v>https://cloud.oebiotech.com/#/lm/network/212065</v>
      </c>
      <c r="H3896" s="2" t="s">
        <v>25773</v>
      </c>
      <c r="I3896" s="2">
        <v>354969</v>
      </c>
      <c r="J3896" s="2"/>
      <c r="K3896" s="2">
        <v>82267</v>
      </c>
      <c r="L3896" s="2"/>
      <c r="M3896" s="2"/>
      <c r="N3896" s="2"/>
      <c r="O3896" s="2">
        <v>29368</v>
      </c>
      <c r="P3896" s="2"/>
      <c r="Q3896" s="2"/>
      <c r="R3896" s="2"/>
      <c r="S3896" s="2" t="s">
        <v>25774</v>
      </c>
      <c r="T3896" s="2" t="s">
        <v>25775</v>
      </c>
      <c r="U3896" s="2" t="s">
        <v>683</v>
      </c>
      <c r="V3896" s="2" t="s">
        <v>25776</v>
      </c>
      <c r="W3896" s="2" t="s">
        <v>25777</v>
      </c>
      <c r="X3896" s="2" t="s">
        <v>147</v>
      </c>
      <c r="Y3896" s="2">
        <v>38.299999999999997</v>
      </c>
      <c r="Z3896" s="2">
        <v>0</v>
      </c>
      <c r="AA3896" s="2" t="s">
        <v>163</v>
      </c>
      <c r="AB3896" s="2" t="s">
        <v>25778</v>
      </c>
      <c r="AC3896" s="2">
        <v>-1.85461340984529</v>
      </c>
      <c r="AD3896" s="2"/>
      <c r="AE3896" s="2">
        <v>0.13059111571013901</v>
      </c>
      <c r="AF3896" s="2">
        <v>496.495694736578</v>
      </c>
      <c r="AG3896" s="2">
        <v>818.28578745950699</v>
      </c>
      <c r="AH3896" s="4">
        <v>0.60675096933801698</v>
      </c>
      <c r="AI3896" s="4">
        <v>-0.72082358667694801</v>
      </c>
      <c r="AJ3896" s="4" t="s">
        <v>62</v>
      </c>
      <c r="AK3896" s="2">
        <v>6.0178012443612102E-4</v>
      </c>
      <c r="AL3896" s="2">
        <v>6.2440111341753798E-2</v>
      </c>
      <c r="AM3896" s="2">
        <v>433.32522116408501</v>
      </c>
      <c r="AN3896" s="2">
        <v>396.965312461103</v>
      </c>
      <c r="AO3896" s="2">
        <v>630.69138963449905</v>
      </c>
      <c r="AP3896" s="2">
        <v>647.70362173076796</v>
      </c>
      <c r="AQ3896" s="2">
        <v>380.992275669202</v>
      </c>
      <c r="AR3896" s="2">
        <v>489.29634775980998</v>
      </c>
      <c r="AS3896" s="2">
        <v>768.937242251199</v>
      </c>
      <c r="AT3896" s="2">
        <v>810.23288519127902</v>
      </c>
      <c r="AU3896" s="2">
        <v>648.19519549761696</v>
      </c>
      <c r="AV3896" s="2">
        <v>924.49051786903601</v>
      </c>
      <c r="AW3896" s="2">
        <v>808.48197872150695</v>
      </c>
      <c r="AX3896" s="2">
        <v>949.37690522640105</v>
      </c>
    </row>
    <row r="3897" spans="1:50" x14ac:dyDescent="0.25">
      <c r="A3897" s="2" t="s">
        <v>25779</v>
      </c>
      <c r="B3897" s="2">
        <v>578.38314709838505</v>
      </c>
      <c r="C3897" s="2">
        <v>12.320349999999999</v>
      </c>
      <c r="D3897" s="2" t="s">
        <v>51</v>
      </c>
      <c r="E3897" s="2" t="s">
        <v>25780</v>
      </c>
      <c r="F3897" s="2">
        <v>18371</v>
      </c>
      <c r="G3897" s="3" t="str">
        <f>HYPERLINK("https://cloud.oebiotech.com/#/lm/network/18371", "https://cloud.oebiotech.com/#/lm/network/18371")</f>
        <v>https://cloud.oebiotech.com/#/lm/network/18371</v>
      </c>
      <c r="H3897" s="2"/>
      <c r="I3897" s="2">
        <v>39570</v>
      </c>
      <c r="J3897" s="2" t="s">
        <v>25781</v>
      </c>
      <c r="K3897" s="2">
        <v>24778884</v>
      </c>
      <c r="L3897" s="2"/>
      <c r="M3897" s="2"/>
      <c r="N3897" s="2"/>
      <c r="O3897" s="2"/>
      <c r="P3897" s="2"/>
      <c r="Q3897" s="2"/>
      <c r="R3897" s="2"/>
      <c r="S3897" s="2" t="s">
        <v>25782</v>
      </c>
      <c r="T3897" s="2" t="s">
        <v>25783</v>
      </c>
      <c r="U3897" s="2" t="s">
        <v>56</v>
      </c>
      <c r="V3897" s="2" t="s">
        <v>57</v>
      </c>
      <c r="W3897" s="2" t="s">
        <v>58</v>
      </c>
      <c r="X3897" s="2" t="s">
        <v>147</v>
      </c>
      <c r="Y3897" s="2">
        <v>38</v>
      </c>
      <c r="Z3897" s="2">
        <v>0</v>
      </c>
      <c r="AA3897" s="2" t="s">
        <v>163</v>
      </c>
      <c r="AB3897" s="2" t="s">
        <v>25784</v>
      </c>
      <c r="AC3897" s="2">
        <v>0.72331079536399501</v>
      </c>
      <c r="AD3897" s="2"/>
      <c r="AE3897" s="2">
        <v>0.130546299021323</v>
      </c>
      <c r="AF3897" s="2">
        <v>21295.515815936698</v>
      </c>
      <c r="AG3897" s="2">
        <v>22657.617690981599</v>
      </c>
      <c r="AH3897" s="4">
        <v>0.93988327044695796</v>
      </c>
      <c r="AI3897" s="4">
        <v>-8.9446503633759E-2</v>
      </c>
      <c r="AJ3897" s="4" t="s">
        <v>62</v>
      </c>
      <c r="AK3897" s="2">
        <v>0.76162921148233098</v>
      </c>
      <c r="AL3897" s="2">
        <v>0.89152062866139503</v>
      </c>
      <c r="AM3897" s="2">
        <v>18878.951038933901</v>
      </c>
      <c r="AN3897" s="2">
        <v>24580.151280453701</v>
      </c>
      <c r="AO3897" s="2">
        <v>28894.790924008401</v>
      </c>
      <c r="AP3897" s="2">
        <v>21305.994247240302</v>
      </c>
      <c r="AQ3897" s="2">
        <v>13475.9011915711</v>
      </c>
      <c r="AR3897" s="2">
        <v>20637.306213412499</v>
      </c>
      <c r="AS3897" s="2">
        <v>19610.119907362001</v>
      </c>
      <c r="AT3897" s="2">
        <v>8737.7760289628295</v>
      </c>
      <c r="AU3897" s="2">
        <v>24146.057765979898</v>
      </c>
      <c r="AV3897" s="2">
        <v>21071.162854464201</v>
      </c>
      <c r="AW3897" s="2">
        <v>37645.090058031303</v>
      </c>
      <c r="AX3897" s="2">
        <v>24735.499531089401</v>
      </c>
    </row>
    <row r="3898" spans="1:50" x14ac:dyDescent="0.25">
      <c r="A3898" s="2" t="s">
        <v>25785</v>
      </c>
      <c r="B3898" s="2">
        <v>487.34188989455998</v>
      </c>
      <c r="C3898" s="2">
        <v>11.96875</v>
      </c>
      <c r="D3898" s="2" t="s">
        <v>51</v>
      </c>
      <c r="E3898" s="2" t="s">
        <v>25786</v>
      </c>
      <c r="F3898" s="2">
        <v>44430</v>
      </c>
      <c r="G3898" s="3" t="str">
        <f>HYPERLINK("https://cloud.oebiotech.com/#/lm/network/44430", "https://cloud.oebiotech.com/#/lm/network/44430")</f>
        <v>https://cloud.oebiotech.com/#/lm/network/44430</v>
      </c>
      <c r="H3898" s="2"/>
      <c r="I3898" s="2"/>
      <c r="J3898" s="2" t="s">
        <v>25787</v>
      </c>
      <c r="K3898" s="2">
        <v>137647069</v>
      </c>
      <c r="L3898" s="2"/>
      <c r="M3898" s="2"/>
      <c r="N3898" s="2"/>
      <c r="O3898" s="2"/>
      <c r="P3898" s="2"/>
      <c r="Q3898" s="2"/>
      <c r="R3898" s="2"/>
      <c r="S3898" s="2" t="s">
        <v>25788</v>
      </c>
      <c r="T3898" s="2" t="s">
        <v>25789</v>
      </c>
      <c r="U3898" s="2" t="s">
        <v>56</v>
      </c>
      <c r="V3898" s="2" t="s">
        <v>177</v>
      </c>
      <c r="W3898" s="2" t="s">
        <v>1996</v>
      </c>
      <c r="X3898" s="2" t="s">
        <v>83</v>
      </c>
      <c r="Y3898" s="2">
        <v>38.1</v>
      </c>
      <c r="Z3898" s="2">
        <v>0</v>
      </c>
      <c r="AA3898" s="2" t="s">
        <v>163</v>
      </c>
      <c r="AB3898" s="2" t="s">
        <v>25790</v>
      </c>
      <c r="AC3898" s="2">
        <v>-2.0647286557542301</v>
      </c>
      <c r="AD3898" s="2"/>
      <c r="AE3898" s="2">
        <v>0.13050895493367901</v>
      </c>
      <c r="AF3898" s="2">
        <v>11726.7696801701</v>
      </c>
      <c r="AG3898" s="2">
        <v>9805.8282810653509</v>
      </c>
      <c r="AH3898" s="5">
        <v>1.1958979235659299</v>
      </c>
      <c r="AI3898" s="5">
        <v>0.25809425287214899</v>
      </c>
      <c r="AJ3898" s="5" t="s">
        <v>139</v>
      </c>
      <c r="AK3898" s="2">
        <v>0.47651282884595803</v>
      </c>
      <c r="AL3898" s="2">
        <v>0.72225087180455805</v>
      </c>
      <c r="AM3898" s="2">
        <v>8979.7830271818493</v>
      </c>
      <c r="AN3898" s="2">
        <v>14536.3200596157</v>
      </c>
      <c r="AO3898" s="2">
        <v>10978.4686179621</v>
      </c>
      <c r="AP3898" s="2">
        <v>18747.609552809899</v>
      </c>
      <c r="AQ3898" s="2">
        <v>8827.4865375897098</v>
      </c>
      <c r="AR3898" s="2">
        <v>8290.9502858615906</v>
      </c>
      <c r="AS3898" s="2">
        <v>7709.3322838141503</v>
      </c>
      <c r="AT3898" s="2">
        <v>12147.136172538199</v>
      </c>
      <c r="AU3898" s="2">
        <v>7149.5728625551101</v>
      </c>
      <c r="AV3898" s="2">
        <v>2528.98268156626</v>
      </c>
      <c r="AW3898" s="2">
        <v>14759.575193066999</v>
      </c>
      <c r="AX3898" s="2">
        <v>14540.3704928514</v>
      </c>
    </row>
    <row r="3899" spans="1:50" x14ac:dyDescent="0.25">
      <c r="A3899" s="2" t="s">
        <v>25791</v>
      </c>
      <c r="B3899" s="2">
        <v>667.30783824031096</v>
      </c>
      <c r="C3899" s="2">
        <v>11.0279666666667</v>
      </c>
      <c r="D3899" s="2" t="s">
        <v>51</v>
      </c>
      <c r="E3899" s="2" t="s">
        <v>25792</v>
      </c>
      <c r="F3899" s="2">
        <v>206233</v>
      </c>
      <c r="G3899" s="3" t="str">
        <f>HYPERLINK("https://cloud.oebiotech.com/#/lm/network/206233", "https://cloud.oebiotech.com/#/lm/network/206233")</f>
        <v>https://cloud.oebiotech.com/#/lm/network/206233</v>
      </c>
      <c r="H3899" s="2" t="s">
        <v>25793</v>
      </c>
      <c r="I3899" s="2"/>
      <c r="J3899" s="2"/>
      <c r="K3899" s="2">
        <v>4291056</v>
      </c>
      <c r="L3899" s="2"/>
      <c r="M3899" s="2"/>
      <c r="N3899" s="2"/>
      <c r="O3899" s="2"/>
      <c r="P3899" s="2"/>
      <c r="Q3899" s="2"/>
      <c r="R3899" s="2"/>
      <c r="S3899" s="2" t="s">
        <v>25794</v>
      </c>
      <c r="T3899" s="2" t="s">
        <v>25795</v>
      </c>
      <c r="U3899" s="2" t="s">
        <v>103</v>
      </c>
      <c r="V3899" s="2" t="s">
        <v>104</v>
      </c>
      <c r="W3899" s="2" t="s">
        <v>105</v>
      </c>
      <c r="X3899" s="2" t="s">
        <v>147</v>
      </c>
      <c r="Y3899" s="2">
        <v>37.5</v>
      </c>
      <c r="Z3899" s="2">
        <v>0</v>
      </c>
      <c r="AA3899" s="2" t="s">
        <v>379</v>
      </c>
      <c r="AB3899" s="2" t="s">
        <v>25796</v>
      </c>
      <c r="AC3899" s="2">
        <v>-2.7134847360486098</v>
      </c>
      <c r="AD3899" s="2"/>
      <c r="AE3899" s="2">
        <v>0.13048108830000599</v>
      </c>
      <c r="AF3899" s="2">
        <v>2192.1247343432801</v>
      </c>
      <c r="AG3899" s="2">
        <v>1604.4382892562301</v>
      </c>
      <c r="AH3899" s="5">
        <v>1.3662879707012501</v>
      </c>
      <c r="AI3899" s="5">
        <v>0.45026159059521098</v>
      </c>
      <c r="AJ3899" s="5" t="s">
        <v>139</v>
      </c>
      <c r="AK3899" s="2">
        <v>0.25279956376393198</v>
      </c>
      <c r="AL3899" s="2">
        <v>0.57619502323734795</v>
      </c>
      <c r="AM3899" s="2">
        <v>2712.2181742626699</v>
      </c>
      <c r="AN3899" s="2">
        <v>1760.58993675028</v>
      </c>
      <c r="AO3899" s="2">
        <v>3153.38299519265</v>
      </c>
      <c r="AP3899" s="2">
        <v>1509.9089724932701</v>
      </c>
      <c r="AQ3899" s="2">
        <v>1869.9655475725301</v>
      </c>
      <c r="AR3899" s="2">
        <v>2146.6827797882702</v>
      </c>
      <c r="AS3899" s="2">
        <v>1192.8379361930399</v>
      </c>
      <c r="AT3899" s="2">
        <v>889.03510996281898</v>
      </c>
      <c r="AU3899" s="2">
        <v>2724.6432475545198</v>
      </c>
      <c r="AV3899" s="2">
        <v>535.65036426314202</v>
      </c>
      <c r="AW3899" s="2">
        <v>1297.67202015363</v>
      </c>
      <c r="AX3899" s="2">
        <v>2986.7910574102202</v>
      </c>
    </row>
    <row r="3900" spans="1:50" x14ac:dyDescent="0.25">
      <c r="A3900" s="2" t="s">
        <v>25797</v>
      </c>
      <c r="B3900" s="2">
        <v>277.14267035698902</v>
      </c>
      <c r="C3900" s="2">
        <v>8.2687333333333299</v>
      </c>
      <c r="D3900" s="2" t="s">
        <v>51</v>
      </c>
      <c r="E3900" s="2" t="s">
        <v>25798</v>
      </c>
      <c r="F3900" s="2">
        <v>59749</v>
      </c>
      <c r="G3900" s="3" t="str">
        <f>HYPERLINK("https://cloud.oebiotech.com/#/lm/network/59749", "https://cloud.oebiotech.com/#/lm/network/59749")</f>
        <v>https://cloud.oebiotech.com/#/lm/network/59749</v>
      </c>
      <c r="H3900" s="2" t="s">
        <v>25799</v>
      </c>
      <c r="I3900" s="2"/>
      <c r="J3900" s="2"/>
      <c r="K3900" s="2">
        <v>605266</v>
      </c>
      <c r="L3900" s="2" t="s">
        <v>25800</v>
      </c>
      <c r="M3900" s="2"/>
      <c r="N3900" s="2"/>
      <c r="O3900" s="2"/>
      <c r="P3900" s="2"/>
      <c r="Q3900" s="2"/>
      <c r="R3900" s="2" t="s">
        <v>25801</v>
      </c>
      <c r="S3900" s="2" t="s">
        <v>25802</v>
      </c>
      <c r="T3900" s="2" t="s">
        <v>25803</v>
      </c>
      <c r="U3900" s="2" t="s">
        <v>56</v>
      </c>
      <c r="V3900" s="2" t="s">
        <v>177</v>
      </c>
      <c r="W3900" s="2" t="s">
        <v>806</v>
      </c>
      <c r="X3900" s="2" t="s">
        <v>83</v>
      </c>
      <c r="Y3900" s="2">
        <v>43.5</v>
      </c>
      <c r="Z3900" s="2">
        <v>1.56</v>
      </c>
      <c r="AA3900" s="2" t="s">
        <v>218</v>
      </c>
      <c r="AB3900" s="2" t="s">
        <v>14542</v>
      </c>
      <c r="AC3900" s="2">
        <v>-8.0224982757306496</v>
      </c>
      <c r="AD3900" s="2"/>
      <c r="AE3900" s="2">
        <v>0.13046305250034099</v>
      </c>
      <c r="AF3900" s="2">
        <v>1138.9545665452899</v>
      </c>
      <c r="AG3900" s="2">
        <v>1762.4086073931501</v>
      </c>
      <c r="AH3900" s="4">
        <v>0.64624886746891597</v>
      </c>
      <c r="AI3900" s="4">
        <v>-0.62983824773585995</v>
      </c>
      <c r="AJ3900" s="4" t="s">
        <v>62</v>
      </c>
      <c r="AK3900" s="2">
        <v>0.247234565007836</v>
      </c>
      <c r="AL3900" s="2">
        <v>0.57119796911972998</v>
      </c>
      <c r="AM3900" s="2">
        <v>1408.2154014796699</v>
      </c>
      <c r="AN3900" s="2">
        <v>988.97717249775997</v>
      </c>
      <c r="AO3900" s="2">
        <v>1028.3756975896599</v>
      </c>
      <c r="AP3900" s="2">
        <v>907.998026974818</v>
      </c>
      <c r="AQ3900" s="2">
        <v>1083.25823000175</v>
      </c>
      <c r="AR3900" s="2">
        <v>1416.90287072809</v>
      </c>
      <c r="AS3900" s="2">
        <v>1250.34069276491</v>
      </c>
      <c r="AT3900" s="2">
        <v>970.36913777577502</v>
      </c>
      <c r="AU3900" s="2">
        <v>816.73107949886401</v>
      </c>
      <c r="AV3900" s="2">
        <v>2641.27232333955</v>
      </c>
      <c r="AW3900" s="2">
        <v>3859.2948656619801</v>
      </c>
      <c r="AX3900" s="2">
        <v>1036.44354531781</v>
      </c>
    </row>
    <row r="3901" spans="1:50" x14ac:dyDescent="0.25">
      <c r="A3901" s="2" t="s">
        <v>25804</v>
      </c>
      <c r="B3901" s="2">
        <v>346.102088409884</v>
      </c>
      <c r="C3901" s="2">
        <v>3.4782999999999999</v>
      </c>
      <c r="D3901" s="2" t="s">
        <v>51</v>
      </c>
      <c r="E3901" s="2" t="s">
        <v>25805</v>
      </c>
      <c r="F3901" s="2">
        <v>256921</v>
      </c>
      <c r="G3901" s="3" t="str">
        <f>HYPERLINK("https://cloud.oebiotech.com/#/lm/network/256921", "https://cloud.oebiotech.com/#/lm/network/256921")</f>
        <v>https://cloud.oebiotech.com/#/lm/network/256921</v>
      </c>
      <c r="H3901" s="2" t="s">
        <v>25806</v>
      </c>
      <c r="I3901" s="2"/>
      <c r="J3901" s="2"/>
      <c r="K3901" s="2"/>
      <c r="L3901" s="2"/>
      <c r="M3901" s="2"/>
      <c r="N3901" s="2"/>
      <c r="O3901" s="2"/>
      <c r="P3901" s="2"/>
      <c r="Q3901" s="2"/>
      <c r="R3901" s="2"/>
      <c r="S3901" s="2" t="s">
        <v>25807</v>
      </c>
      <c r="T3901" s="2" t="s">
        <v>25808</v>
      </c>
      <c r="U3901" s="2" t="s">
        <v>103</v>
      </c>
      <c r="V3901" s="2" t="s">
        <v>104</v>
      </c>
      <c r="W3901" s="2" t="s">
        <v>105</v>
      </c>
      <c r="X3901" s="2" t="s">
        <v>147</v>
      </c>
      <c r="Y3901" s="2">
        <v>40.700000000000003</v>
      </c>
      <c r="Z3901" s="2">
        <v>10.9</v>
      </c>
      <c r="AA3901" s="2" t="s">
        <v>218</v>
      </c>
      <c r="AB3901" s="2" t="s">
        <v>25809</v>
      </c>
      <c r="AC3901" s="2">
        <v>1.0283776041672701</v>
      </c>
      <c r="AD3901" s="2"/>
      <c r="AE3901" s="2">
        <v>0.13042339991938401</v>
      </c>
      <c r="AF3901" s="2">
        <v>2629.4919140335001</v>
      </c>
      <c r="AG3901" s="2">
        <v>1751.4098030095699</v>
      </c>
      <c r="AH3901" s="5">
        <v>1.5013573119866399</v>
      </c>
      <c r="AI3901" s="5">
        <v>0.58626736862058004</v>
      </c>
      <c r="AJ3901" s="5" t="s">
        <v>139</v>
      </c>
      <c r="AK3901" s="2">
        <v>0.37573779076750802</v>
      </c>
      <c r="AL3901" s="2">
        <v>0.65726436764487195</v>
      </c>
      <c r="AM3901" s="2">
        <v>2636.5556646160398</v>
      </c>
      <c r="AN3901" s="2">
        <v>2892.1883447929399</v>
      </c>
      <c r="AO3901" s="2">
        <v>2415.3568331584202</v>
      </c>
      <c r="AP3901" s="2">
        <v>1870.08783061648</v>
      </c>
      <c r="AQ3901" s="2">
        <v>1624.5076083065801</v>
      </c>
      <c r="AR3901" s="2">
        <v>4338.2552027105303</v>
      </c>
      <c r="AS3901" s="2">
        <v>124.11552084994101</v>
      </c>
      <c r="AT3901" s="2">
        <v>2273.6988629615798</v>
      </c>
      <c r="AU3901" s="2">
        <v>1687.3235885169699</v>
      </c>
      <c r="AV3901" s="2">
        <v>8.559877937157E-6</v>
      </c>
      <c r="AW3901" s="2">
        <v>758.45675347415204</v>
      </c>
      <c r="AX3901" s="2">
        <v>5664.8640836948998</v>
      </c>
    </row>
    <row r="3902" spans="1:50" x14ac:dyDescent="0.25">
      <c r="A3902" s="2" t="s">
        <v>25810</v>
      </c>
      <c r="B3902" s="2">
        <v>254.17612508833</v>
      </c>
      <c r="C3902" s="2">
        <v>9.0315999999999992</v>
      </c>
      <c r="D3902" s="2" t="s">
        <v>51</v>
      </c>
      <c r="E3902" s="2" t="s">
        <v>25811</v>
      </c>
      <c r="F3902" s="2">
        <v>7780</v>
      </c>
      <c r="G3902" s="3" t="str">
        <f>HYPERLINK("https://cloud.oebiotech.com/#/lm/network/7780", "https://cloud.oebiotech.com/#/lm/network/7780")</f>
        <v>https://cloud.oebiotech.com/#/lm/network/7780</v>
      </c>
      <c r="H3902" s="2"/>
      <c r="I3902" s="2">
        <v>97396</v>
      </c>
      <c r="J3902" s="2" t="s">
        <v>25812</v>
      </c>
      <c r="K3902" s="2">
        <v>25265919</v>
      </c>
      <c r="L3902" s="2"/>
      <c r="M3902" s="2"/>
      <c r="N3902" s="2"/>
      <c r="O3902" s="2"/>
      <c r="P3902" s="2"/>
      <c r="Q3902" s="2"/>
      <c r="R3902" s="2"/>
      <c r="S3902" s="2" t="s">
        <v>25813</v>
      </c>
      <c r="T3902" s="2" t="s">
        <v>25814</v>
      </c>
      <c r="U3902" s="2" t="s">
        <v>266</v>
      </c>
      <c r="V3902" s="2" t="s">
        <v>7754</v>
      </c>
      <c r="W3902" s="2" t="s">
        <v>240</v>
      </c>
      <c r="X3902" s="2" t="s">
        <v>83</v>
      </c>
      <c r="Y3902" s="2">
        <v>53.5</v>
      </c>
      <c r="Z3902" s="2">
        <v>0</v>
      </c>
      <c r="AA3902" s="2" t="s">
        <v>512</v>
      </c>
      <c r="AB3902" s="2" t="s">
        <v>21274</v>
      </c>
      <c r="AC3902" s="2">
        <v>4.4679117890710298</v>
      </c>
      <c r="AD3902" s="2"/>
      <c r="AE3902" s="2">
        <v>0.13034188337848701</v>
      </c>
      <c r="AF3902" s="2">
        <v>773.02221534077898</v>
      </c>
      <c r="AG3902" s="2">
        <v>1614.8679008649499</v>
      </c>
      <c r="AH3902" s="4">
        <v>0.47869068109331903</v>
      </c>
      <c r="AI3902" s="4">
        <v>-1.0628343742095001</v>
      </c>
      <c r="AJ3902" s="4" t="s">
        <v>62</v>
      </c>
      <c r="AK3902" s="2">
        <v>0.14717592298405499</v>
      </c>
      <c r="AL3902" s="2">
        <v>0.46813495501649</v>
      </c>
      <c r="AM3902" s="2">
        <v>687.783685672552</v>
      </c>
      <c r="AN3902" s="2">
        <v>582.82420955822499</v>
      </c>
      <c r="AO3902" s="2">
        <v>704.87492325113703</v>
      </c>
      <c r="AP3902" s="2">
        <v>1257.0402653902399</v>
      </c>
      <c r="AQ3902" s="2">
        <v>1012.17466444243</v>
      </c>
      <c r="AR3902" s="2">
        <v>393.43554373009198</v>
      </c>
      <c r="AS3902" s="2">
        <v>75.555960643344704</v>
      </c>
      <c r="AT3902" s="2">
        <v>1576.3279698592</v>
      </c>
      <c r="AU3902" s="2">
        <v>3659.59699676848</v>
      </c>
      <c r="AV3902" s="2">
        <v>2296.57715629124</v>
      </c>
      <c r="AW3902" s="2">
        <v>1515.38053440204</v>
      </c>
      <c r="AX3902" s="2">
        <v>565.76878722536799</v>
      </c>
    </row>
    <row r="3903" spans="1:50" x14ac:dyDescent="0.25">
      <c r="A3903" s="2" t="s">
        <v>25815</v>
      </c>
      <c r="B3903" s="2">
        <v>188.99732440306201</v>
      </c>
      <c r="C3903" s="2">
        <v>4.7279666666666698</v>
      </c>
      <c r="D3903" s="2" t="s">
        <v>51</v>
      </c>
      <c r="E3903" s="2" t="s">
        <v>25816</v>
      </c>
      <c r="F3903" s="2">
        <v>209735</v>
      </c>
      <c r="G3903" s="3" t="str">
        <f>HYPERLINK("https://cloud.oebiotech.com/#/lm/network/209735", "https://cloud.oebiotech.com/#/lm/network/209735")</f>
        <v>https://cloud.oebiotech.com/#/lm/network/209735</v>
      </c>
      <c r="H3903" s="2" t="s">
        <v>25817</v>
      </c>
      <c r="I3903" s="2"/>
      <c r="J3903" s="2"/>
      <c r="K3903" s="2">
        <v>239921</v>
      </c>
      <c r="L3903" s="2"/>
      <c r="M3903" s="2"/>
      <c r="N3903" s="2"/>
      <c r="O3903" s="2"/>
      <c r="P3903" s="2"/>
      <c r="Q3903" s="2"/>
      <c r="R3903" s="2"/>
      <c r="S3903" s="2" t="s">
        <v>25818</v>
      </c>
      <c r="T3903" s="2" t="s">
        <v>25819</v>
      </c>
      <c r="U3903" s="2" t="s">
        <v>266</v>
      </c>
      <c r="V3903" s="2" t="s">
        <v>3926</v>
      </c>
      <c r="W3903" s="2" t="s">
        <v>4115</v>
      </c>
      <c r="X3903" s="2" t="s">
        <v>147</v>
      </c>
      <c r="Y3903" s="2">
        <v>37.799999999999997</v>
      </c>
      <c r="Z3903" s="2">
        <v>0</v>
      </c>
      <c r="AA3903" s="2" t="s">
        <v>218</v>
      </c>
      <c r="AB3903" s="2" t="s">
        <v>25820</v>
      </c>
      <c r="AC3903" s="2">
        <v>-1.5753122502457999</v>
      </c>
      <c r="AD3903" s="2"/>
      <c r="AE3903" s="2">
        <v>0.13033775011756699</v>
      </c>
      <c r="AF3903" s="2">
        <v>13840.5346053759</v>
      </c>
      <c r="AG3903" s="2">
        <v>14541.99324125</v>
      </c>
      <c r="AH3903" s="4">
        <v>0.95176324013930202</v>
      </c>
      <c r="AI3903" s="4">
        <v>-7.1325360385667599E-2</v>
      </c>
      <c r="AJ3903" s="4" t="s">
        <v>62</v>
      </c>
      <c r="AK3903" s="2">
        <v>0.50614164554984498</v>
      </c>
      <c r="AL3903" s="2">
        <v>0.74196312845079004</v>
      </c>
      <c r="AM3903" s="2">
        <v>11232.664778693101</v>
      </c>
      <c r="AN3903" s="2">
        <v>12863.438659998899</v>
      </c>
      <c r="AO3903" s="2">
        <v>13261.9837277434</v>
      </c>
      <c r="AP3903" s="2">
        <v>15962.194480942901</v>
      </c>
      <c r="AQ3903" s="2">
        <v>16513.298686895301</v>
      </c>
      <c r="AR3903" s="2">
        <v>13209.6272979819</v>
      </c>
      <c r="AS3903" s="2">
        <v>14281.320833718</v>
      </c>
      <c r="AT3903" s="2">
        <v>16651.8594319037</v>
      </c>
      <c r="AU3903" s="2">
        <v>13455.4316066023</v>
      </c>
      <c r="AV3903" s="2">
        <v>15913.4420298654</v>
      </c>
      <c r="AW3903" s="2">
        <v>12750.267217512101</v>
      </c>
      <c r="AX3903" s="2">
        <v>14199.638327898399</v>
      </c>
    </row>
    <row r="3904" spans="1:50" x14ac:dyDescent="0.25">
      <c r="A3904" s="2" t="s">
        <v>25821</v>
      </c>
      <c r="B3904" s="2">
        <v>197.03103347122601</v>
      </c>
      <c r="C3904" s="2">
        <v>1.4308333333333301</v>
      </c>
      <c r="D3904" s="2" t="s">
        <v>51</v>
      </c>
      <c r="E3904" s="2" t="s">
        <v>25822</v>
      </c>
      <c r="F3904" s="2">
        <v>47221</v>
      </c>
      <c r="G3904" s="3" t="str">
        <f>HYPERLINK("https://cloud.oebiotech.com/#/lm/network/47221", "https://cloud.oebiotech.com/#/lm/network/47221")</f>
        <v>https://cloud.oebiotech.com/#/lm/network/47221</v>
      </c>
      <c r="H3904" s="2" t="s">
        <v>25823</v>
      </c>
      <c r="I3904" s="2">
        <v>866</v>
      </c>
      <c r="J3904" s="2"/>
      <c r="K3904" s="2">
        <v>4644</v>
      </c>
      <c r="L3904" s="2" t="s">
        <v>25824</v>
      </c>
      <c r="M3904" s="2"/>
      <c r="N3904" s="2"/>
      <c r="O3904" s="2">
        <v>28315</v>
      </c>
      <c r="P3904" s="2"/>
      <c r="Q3904" s="2"/>
      <c r="R3904" s="2" t="s">
        <v>25825</v>
      </c>
      <c r="S3904" s="2" t="s">
        <v>25826</v>
      </c>
      <c r="T3904" s="2" t="s">
        <v>25827</v>
      </c>
      <c r="U3904" s="2" t="s">
        <v>266</v>
      </c>
      <c r="V3904" s="2" t="s">
        <v>2772</v>
      </c>
      <c r="W3904" s="2" t="s">
        <v>2773</v>
      </c>
      <c r="X3904" s="2" t="s">
        <v>83</v>
      </c>
      <c r="Y3904" s="2">
        <v>38</v>
      </c>
      <c r="Z3904" s="2">
        <v>0</v>
      </c>
      <c r="AA3904" s="2" t="s">
        <v>218</v>
      </c>
      <c r="AB3904" s="2" t="s">
        <v>25828</v>
      </c>
      <c r="AC3904" s="2">
        <v>-3.9122013599191399</v>
      </c>
      <c r="AD3904" s="2"/>
      <c r="AE3904" s="2">
        <v>0.13027297638881899</v>
      </c>
      <c r="AF3904" s="2">
        <v>1413.2695165939001</v>
      </c>
      <c r="AG3904" s="2">
        <v>875.74506416468103</v>
      </c>
      <c r="AH3904" s="5">
        <v>1.6137910157015101</v>
      </c>
      <c r="AI3904" s="5">
        <v>0.69045376316821805</v>
      </c>
      <c r="AJ3904" s="5" t="s">
        <v>139</v>
      </c>
      <c r="AK3904" s="2">
        <v>0.38969001311384199</v>
      </c>
      <c r="AL3904" s="2">
        <v>0.66463361328838799</v>
      </c>
      <c r="AM3904" s="2">
        <v>3217.6007873068602</v>
      </c>
      <c r="AN3904" s="2">
        <v>664.40114742130299</v>
      </c>
      <c r="AO3904" s="2">
        <v>1080.7818958974501</v>
      </c>
      <c r="AP3904" s="2">
        <v>1826.9306286539099</v>
      </c>
      <c r="AQ3904" s="2">
        <v>888.16748635324495</v>
      </c>
      <c r="AR3904" s="2">
        <v>801.73515393065497</v>
      </c>
      <c r="AS3904" s="2">
        <v>28.6792843281664</v>
      </c>
      <c r="AT3904" s="2">
        <v>904.62101120160401</v>
      </c>
      <c r="AU3904" s="2">
        <v>2957.3288575780198</v>
      </c>
      <c r="AV3904" s="2">
        <v>926.43164465582595</v>
      </c>
      <c r="AW3904" s="2">
        <v>385.11425869484901</v>
      </c>
      <c r="AX3904" s="2">
        <v>52.295328529619603</v>
      </c>
    </row>
    <row r="3905" spans="1:50" x14ac:dyDescent="0.25">
      <c r="A3905" s="2" t="s">
        <v>25829</v>
      </c>
      <c r="B3905" s="2">
        <v>161.04460428838601</v>
      </c>
      <c r="C3905" s="2">
        <v>1.8889</v>
      </c>
      <c r="D3905" s="2" t="s">
        <v>51</v>
      </c>
      <c r="E3905" s="2" t="s">
        <v>25830</v>
      </c>
      <c r="F3905" s="2">
        <v>2042</v>
      </c>
      <c r="G3905" s="3" t="str">
        <f>HYPERLINK("https://cloud.oebiotech.com/#/lm/network/2042", "https://cloud.oebiotech.com/#/lm/network/2042")</f>
        <v>https://cloud.oebiotech.com/#/lm/network/2042</v>
      </c>
      <c r="H3905" s="2" t="s">
        <v>25831</v>
      </c>
      <c r="I3905" s="2">
        <v>2195</v>
      </c>
      <c r="J3905" s="2" t="s">
        <v>25832</v>
      </c>
      <c r="K3905" s="2">
        <v>11579</v>
      </c>
      <c r="L3905" s="2"/>
      <c r="M3905" s="2"/>
      <c r="N3905" s="2"/>
      <c r="O3905" s="2">
        <v>45630</v>
      </c>
      <c r="P3905" s="2"/>
      <c r="Q3905" s="2"/>
      <c r="R3905" s="2" t="s">
        <v>25833</v>
      </c>
      <c r="S3905" s="2" t="s">
        <v>25834</v>
      </c>
      <c r="T3905" s="2" t="s">
        <v>25835</v>
      </c>
      <c r="U3905" s="2" t="s">
        <v>103</v>
      </c>
      <c r="V3905" s="2" t="s">
        <v>2602</v>
      </c>
      <c r="W3905" s="2" t="s">
        <v>3042</v>
      </c>
      <c r="X3905" s="2" t="s">
        <v>83</v>
      </c>
      <c r="Y3905" s="2">
        <v>39</v>
      </c>
      <c r="Z3905" s="2">
        <v>0</v>
      </c>
      <c r="AA3905" s="2" t="s">
        <v>218</v>
      </c>
      <c r="AB3905" s="2" t="s">
        <v>25836</v>
      </c>
      <c r="AC3905" s="2">
        <v>-8.1233815513331997</v>
      </c>
      <c r="AD3905" s="2"/>
      <c r="AE3905" s="2">
        <v>0.13022372517450301</v>
      </c>
      <c r="AF3905" s="2">
        <v>735.94754128334898</v>
      </c>
      <c r="AG3905" s="2">
        <v>1246.9058482816099</v>
      </c>
      <c r="AH3905" s="4">
        <v>0.59021901476969996</v>
      </c>
      <c r="AI3905" s="4">
        <v>-0.76067769483574899</v>
      </c>
      <c r="AJ3905" s="4" t="s">
        <v>62</v>
      </c>
      <c r="AK3905" s="2">
        <v>5.4319716768559803E-2</v>
      </c>
      <c r="AL3905" s="2">
        <v>0.31944806275085003</v>
      </c>
      <c r="AM3905" s="2">
        <v>526.86455101015702</v>
      </c>
      <c r="AN3905" s="2">
        <v>841.65844671118998</v>
      </c>
      <c r="AO3905" s="2">
        <v>865.27455913646395</v>
      </c>
      <c r="AP3905" s="2">
        <v>619.45624264938897</v>
      </c>
      <c r="AQ3905" s="2">
        <v>618.11777935904502</v>
      </c>
      <c r="AR3905" s="2">
        <v>944.31366883384601</v>
      </c>
      <c r="AS3905" s="2">
        <v>1993.62216634886</v>
      </c>
      <c r="AT3905" s="2">
        <v>1125.19534187408</v>
      </c>
      <c r="AU3905" s="2">
        <v>1366.1793443152401</v>
      </c>
      <c r="AV3905" s="2">
        <v>1604.7157826717701</v>
      </c>
      <c r="AW3905" s="2">
        <v>391.83195804880501</v>
      </c>
      <c r="AX3905" s="2">
        <v>999.890496430903</v>
      </c>
    </row>
    <row r="3906" spans="1:50" x14ac:dyDescent="0.25">
      <c r="A3906" s="2" t="s">
        <v>25837</v>
      </c>
      <c r="B3906" s="2">
        <v>321.09041838009898</v>
      </c>
      <c r="C3906" s="2">
        <v>4.8042499999999997</v>
      </c>
      <c r="D3906" s="2" t="s">
        <v>51</v>
      </c>
      <c r="E3906" s="2" t="s">
        <v>25838</v>
      </c>
      <c r="F3906" s="2">
        <v>205548</v>
      </c>
      <c r="G3906" s="3" t="str">
        <f>HYPERLINK("https://cloud.oebiotech.com/#/lm/network/205548", "https://cloud.oebiotech.com/#/lm/network/205548")</f>
        <v>https://cloud.oebiotech.com/#/lm/network/205548</v>
      </c>
      <c r="H3906" s="2" t="s">
        <v>25839</v>
      </c>
      <c r="I3906" s="2"/>
      <c r="J3906" s="2"/>
      <c r="K3906" s="2">
        <v>122239</v>
      </c>
      <c r="L3906" s="2"/>
      <c r="M3906" s="2"/>
      <c r="N3906" s="2"/>
      <c r="O3906" s="2"/>
      <c r="P3906" s="2"/>
      <c r="Q3906" s="2"/>
      <c r="R3906" s="2"/>
      <c r="S3906" s="2" t="s">
        <v>25840</v>
      </c>
      <c r="T3906" s="2" t="s">
        <v>25841</v>
      </c>
      <c r="U3906" s="2" t="s">
        <v>610</v>
      </c>
      <c r="V3906" s="2" t="s">
        <v>813</v>
      </c>
      <c r="W3906" s="2" t="s">
        <v>814</v>
      </c>
      <c r="X3906" s="2" t="s">
        <v>147</v>
      </c>
      <c r="Y3906" s="2">
        <v>37.4</v>
      </c>
      <c r="Z3906" s="2">
        <v>0</v>
      </c>
      <c r="AA3906" s="2" t="s">
        <v>163</v>
      </c>
      <c r="AB3906" s="2" t="s">
        <v>25842</v>
      </c>
      <c r="AC3906" s="2">
        <v>-3.20787668756831</v>
      </c>
      <c r="AD3906" s="2"/>
      <c r="AE3906" s="2">
        <v>0.13019790679777701</v>
      </c>
      <c r="AF3906" s="2">
        <v>576.49329848067498</v>
      </c>
      <c r="AG3906" s="2">
        <v>1254.91844653005</v>
      </c>
      <c r="AH3906" s="4">
        <v>0.45938706222282999</v>
      </c>
      <c r="AI3906" s="4">
        <v>-1.1222178684061701</v>
      </c>
      <c r="AJ3906" s="4" t="s">
        <v>62</v>
      </c>
      <c r="AK3906" s="2">
        <v>0.30768571836634401</v>
      </c>
      <c r="AL3906" s="2">
        <v>0.61756871527620305</v>
      </c>
      <c r="AM3906" s="2">
        <v>567.98328703802395</v>
      </c>
      <c r="AN3906" s="2">
        <v>948.95373489555004</v>
      </c>
      <c r="AO3906" s="2">
        <v>433.42767873775603</v>
      </c>
      <c r="AP3906" s="2">
        <v>711.85447242785199</v>
      </c>
      <c r="AQ3906" s="2">
        <v>362.94882995145599</v>
      </c>
      <c r="AR3906" s="2">
        <v>433.79178783341001</v>
      </c>
      <c r="AS3906" s="2">
        <v>2475.3103630051601</v>
      </c>
      <c r="AT3906" s="2">
        <v>475.28044280578001</v>
      </c>
      <c r="AU3906" s="2">
        <v>187.235386593031</v>
      </c>
      <c r="AV3906" s="2">
        <v>295.03685111521497</v>
      </c>
      <c r="AW3906" s="2">
        <v>3821.78615160558</v>
      </c>
      <c r="AX3906" s="2">
        <v>274.86148405550699</v>
      </c>
    </row>
    <row r="3907" spans="1:50" x14ac:dyDescent="0.25">
      <c r="A3907" s="2" t="s">
        <v>25843</v>
      </c>
      <c r="B3907" s="2">
        <v>287.127901582638</v>
      </c>
      <c r="C3907" s="2">
        <v>7.8820833333333304</v>
      </c>
      <c r="D3907" s="2" t="s">
        <v>51</v>
      </c>
      <c r="E3907" s="2" t="s">
        <v>25844</v>
      </c>
      <c r="F3907" s="2">
        <v>267465</v>
      </c>
      <c r="G3907" s="3" t="str">
        <f>HYPERLINK("https://cloud.oebiotech.com/#/lm/network/267465", "https://cloud.oebiotech.com/#/lm/network/267465")</f>
        <v>https://cloud.oebiotech.com/#/lm/network/267465</v>
      </c>
      <c r="H3907" s="2"/>
      <c r="I3907" s="2">
        <v>45520</v>
      </c>
      <c r="J3907" s="2"/>
      <c r="K3907" s="2">
        <v>130593</v>
      </c>
      <c r="L3907" s="2"/>
      <c r="M3907" s="2"/>
      <c r="N3907" s="2"/>
      <c r="O3907" s="2"/>
      <c r="P3907" s="2"/>
      <c r="Q3907" s="2"/>
      <c r="R3907" s="2" t="s">
        <v>25845</v>
      </c>
      <c r="S3907" s="2" t="s">
        <v>25846</v>
      </c>
      <c r="T3907" s="2" t="s">
        <v>25847</v>
      </c>
      <c r="U3907" s="2" t="s">
        <v>540</v>
      </c>
      <c r="V3907" s="2" t="s">
        <v>7590</v>
      </c>
      <c r="W3907" s="2" t="s">
        <v>240</v>
      </c>
      <c r="X3907" s="2" t="s">
        <v>147</v>
      </c>
      <c r="Y3907" s="2">
        <v>38.299999999999997</v>
      </c>
      <c r="Z3907" s="2">
        <v>0</v>
      </c>
      <c r="AA3907" s="2" t="s">
        <v>259</v>
      </c>
      <c r="AB3907" s="2" t="s">
        <v>25848</v>
      </c>
      <c r="AC3907" s="2">
        <v>0.40575608472573499</v>
      </c>
      <c r="AD3907" s="2"/>
      <c r="AE3907" s="2">
        <v>0.13014518829608401</v>
      </c>
      <c r="AF3907" s="2">
        <v>810.96580186677397</v>
      </c>
      <c r="AG3907" s="2">
        <v>330.97146115222301</v>
      </c>
      <c r="AH3907" s="5">
        <v>2.4502590013154899</v>
      </c>
      <c r="AI3907" s="5">
        <v>1.29293425541729</v>
      </c>
      <c r="AJ3907" s="5" t="s">
        <v>139</v>
      </c>
      <c r="AK3907" s="2">
        <v>7.0746351384170403E-2</v>
      </c>
      <c r="AL3907" s="2">
        <v>0.350894810499431</v>
      </c>
      <c r="AM3907" s="2">
        <v>868.01649238913205</v>
      </c>
      <c r="AN3907" s="2">
        <v>1485.3933753495201</v>
      </c>
      <c r="AO3907" s="2">
        <v>607.91472759436999</v>
      </c>
      <c r="AP3907" s="2">
        <v>267.423306466393</v>
      </c>
      <c r="AQ3907" s="2">
        <v>441.26303919752797</v>
      </c>
      <c r="AR3907" s="2">
        <v>1195.7838702037</v>
      </c>
      <c r="AS3907" s="2">
        <v>594.36518201710999</v>
      </c>
      <c r="AT3907" s="2">
        <v>299.21423178187501</v>
      </c>
      <c r="AU3907" s="2">
        <v>207.739564097342</v>
      </c>
      <c r="AV3907" s="2">
        <v>8.559877937157E-6</v>
      </c>
      <c r="AW3907" s="2">
        <v>8.559877937157E-6</v>
      </c>
      <c r="AX3907" s="2">
        <v>884.50977189725404</v>
      </c>
    </row>
    <row r="3908" spans="1:50" x14ac:dyDescent="0.25">
      <c r="A3908" s="2" t="s">
        <v>25849</v>
      </c>
      <c r="B3908" s="2">
        <v>492.27355953129199</v>
      </c>
      <c r="C3908" s="2">
        <v>8.3100500000000004</v>
      </c>
      <c r="D3908" s="2" t="s">
        <v>51</v>
      </c>
      <c r="E3908" s="2" t="s">
        <v>25850</v>
      </c>
      <c r="F3908" s="2">
        <v>22476</v>
      </c>
      <c r="G3908" s="3" t="str">
        <f>HYPERLINK("https://cloud.oebiotech.com/#/lm/network/22476", "https://cloud.oebiotech.com/#/lm/network/22476")</f>
        <v>https://cloud.oebiotech.com/#/lm/network/22476</v>
      </c>
      <c r="H3908" s="2"/>
      <c r="I3908" s="2"/>
      <c r="J3908" s="2" t="s">
        <v>25851</v>
      </c>
      <c r="K3908" s="2">
        <v>137323949</v>
      </c>
      <c r="L3908" s="2"/>
      <c r="M3908" s="2"/>
      <c r="N3908" s="2"/>
      <c r="O3908" s="2"/>
      <c r="P3908" s="2"/>
      <c r="Q3908" s="2"/>
      <c r="R3908" s="2"/>
      <c r="S3908" s="2" t="s">
        <v>25852</v>
      </c>
      <c r="T3908" s="2" t="s">
        <v>25853</v>
      </c>
      <c r="U3908" s="2" t="s">
        <v>56</v>
      </c>
      <c r="V3908" s="2" t="s">
        <v>57</v>
      </c>
      <c r="W3908" s="2" t="s">
        <v>82</v>
      </c>
      <c r="X3908" s="2" t="s">
        <v>147</v>
      </c>
      <c r="Y3908" s="2">
        <v>38.6</v>
      </c>
      <c r="Z3908" s="2">
        <v>0.95799999999999996</v>
      </c>
      <c r="AA3908" s="2" t="s">
        <v>379</v>
      </c>
      <c r="AB3908" s="2" t="s">
        <v>22446</v>
      </c>
      <c r="AC3908" s="2">
        <v>0.74706032050936699</v>
      </c>
      <c r="AD3908" s="2"/>
      <c r="AE3908" s="2">
        <v>0.130116253522223</v>
      </c>
      <c r="AF3908" s="2">
        <v>8372.9246644000395</v>
      </c>
      <c r="AG3908" s="2">
        <v>11641.0085748725</v>
      </c>
      <c r="AH3908" s="4">
        <v>0.71926110272551802</v>
      </c>
      <c r="AI3908" s="4">
        <v>-0.475412508886767</v>
      </c>
      <c r="AJ3908" s="4" t="s">
        <v>62</v>
      </c>
      <c r="AK3908" s="2">
        <v>0.39167146420315202</v>
      </c>
      <c r="AL3908" s="2">
        <v>0.66528673878009803</v>
      </c>
      <c r="AM3908" s="2">
        <v>13904.789958924501</v>
      </c>
      <c r="AN3908" s="2">
        <v>9170.1511715279303</v>
      </c>
      <c r="AO3908" s="2">
        <v>8577.8544527854101</v>
      </c>
      <c r="AP3908" s="2">
        <v>4543.6705221246102</v>
      </c>
      <c r="AQ3908" s="2">
        <v>5923.4822491254699</v>
      </c>
      <c r="AR3908" s="2">
        <v>8117.5996319123196</v>
      </c>
      <c r="AS3908" s="2">
        <v>5566.9851430892304</v>
      </c>
      <c r="AT3908" s="2">
        <v>6331.3430527041</v>
      </c>
      <c r="AU3908" s="2">
        <v>28014.1636842964</v>
      </c>
      <c r="AV3908" s="2">
        <v>8968.6362078292095</v>
      </c>
      <c r="AW3908" s="2">
        <v>8942.9052929341105</v>
      </c>
      <c r="AX3908" s="2">
        <v>12022.0180683822</v>
      </c>
    </row>
    <row r="3909" spans="1:50" x14ac:dyDescent="0.25">
      <c r="A3909" s="2" t="s">
        <v>25854</v>
      </c>
      <c r="B3909" s="2">
        <v>451.07111892044099</v>
      </c>
      <c r="C3909" s="2">
        <v>3.6124666666666698</v>
      </c>
      <c r="D3909" s="2" t="s">
        <v>51</v>
      </c>
      <c r="E3909" s="2" t="s">
        <v>25855</v>
      </c>
      <c r="F3909" s="2">
        <v>60724</v>
      </c>
      <c r="G3909" s="3" t="str">
        <f>HYPERLINK("https://cloud.oebiotech.com/#/lm/network/60724", "https://cloud.oebiotech.com/#/lm/network/60724")</f>
        <v>https://cloud.oebiotech.com/#/lm/network/60724</v>
      </c>
      <c r="H3909" s="2" t="s">
        <v>25856</v>
      </c>
      <c r="I3909" s="2">
        <v>92052</v>
      </c>
      <c r="J3909" s="2"/>
      <c r="K3909" s="2">
        <v>131752141</v>
      </c>
      <c r="L3909" s="2"/>
      <c r="M3909" s="2"/>
      <c r="N3909" s="2"/>
      <c r="O3909" s="2"/>
      <c r="P3909" s="2"/>
      <c r="Q3909" s="2"/>
      <c r="R3909" s="2"/>
      <c r="S3909" s="2" t="s">
        <v>25857</v>
      </c>
      <c r="T3909" s="2" t="s">
        <v>25858</v>
      </c>
      <c r="U3909" s="2" t="s">
        <v>540</v>
      </c>
      <c r="V3909" s="2" t="s">
        <v>7590</v>
      </c>
      <c r="W3909" s="2" t="s">
        <v>7591</v>
      </c>
      <c r="X3909" s="2" t="s">
        <v>147</v>
      </c>
      <c r="Y3909" s="2">
        <v>36.4</v>
      </c>
      <c r="Z3909" s="2">
        <v>0</v>
      </c>
      <c r="AA3909" s="2" t="s">
        <v>379</v>
      </c>
      <c r="AB3909" s="2" t="s">
        <v>25859</v>
      </c>
      <c r="AC3909" s="2">
        <v>1.4412606444879701</v>
      </c>
      <c r="AD3909" s="2"/>
      <c r="AE3909" s="2">
        <v>0.130021031863016</v>
      </c>
      <c r="AF3909" s="2">
        <v>3760.9084407692098</v>
      </c>
      <c r="AG3909" s="2">
        <v>2980.6814655940202</v>
      </c>
      <c r="AH3909" s="5">
        <v>1.2617612731119801</v>
      </c>
      <c r="AI3909" s="5">
        <v>0.33543897634515701</v>
      </c>
      <c r="AJ3909" s="5" t="s">
        <v>139</v>
      </c>
      <c r="AK3909" s="2">
        <v>0.32005559593236799</v>
      </c>
      <c r="AL3909" s="2">
        <v>0.62815539604974202</v>
      </c>
      <c r="AM3909" s="2">
        <v>3534.4406035106499</v>
      </c>
      <c r="AN3909" s="2">
        <v>3589.4966008190599</v>
      </c>
      <c r="AO3909" s="2">
        <v>3235.52208795447</v>
      </c>
      <c r="AP3909" s="2">
        <v>5199.6494555748604</v>
      </c>
      <c r="AQ3909" s="2">
        <v>3791.8043798886902</v>
      </c>
      <c r="AR3909" s="2">
        <v>3214.53751686752</v>
      </c>
      <c r="AS3909" s="2">
        <v>3584.1208291039702</v>
      </c>
      <c r="AT3909" s="2">
        <v>5754.8602829186802</v>
      </c>
      <c r="AU3909" s="2">
        <v>2629.0998456950201</v>
      </c>
      <c r="AV3909" s="2">
        <v>700.39406744900805</v>
      </c>
      <c r="AW3909" s="2">
        <v>2224.0920241242102</v>
      </c>
      <c r="AX3909" s="2">
        <v>2991.5217442732601</v>
      </c>
    </row>
    <row r="3910" spans="1:50" x14ac:dyDescent="0.25">
      <c r="A3910" s="2" t="s">
        <v>25860</v>
      </c>
      <c r="B3910" s="2">
        <v>177.12765073657499</v>
      </c>
      <c r="C3910" s="2">
        <v>8.7080833333333292</v>
      </c>
      <c r="D3910" s="2" t="s">
        <v>51</v>
      </c>
      <c r="E3910" s="2" t="s">
        <v>25861</v>
      </c>
      <c r="F3910" s="2">
        <v>35426</v>
      </c>
      <c r="G3910" s="3" t="str">
        <f>HYPERLINK("https://cloud.oebiotech.com/#/lm/network/35426", "https://cloud.oebiotech.com/#/lm/network/35426")</f>
        <v>https://cloud.oebiotech.com/#/lm/network/35426</v>
      </c>
      <c r="H3910" s="2"/>
      <c r="I3910" s="2">
        <v>41094</v>
      </c>
      <c r="J3910" s="2" t="s">
        <v>25862</v>
      </c>
      <c r="K3910" s="2">
        <v>442460</v>
      </c>
      <c r="L3910" s="2" t="s">
        <v>25863</v>
      </c>
      <c r="M3910" s="2"/>
      <c r="N3910" s="2"/>
      <c r="O3910" s="2">
        <v>157</v>
      </c>
      <c r="P3910" s="2"/>
      <c r="Q3910" s="2"/>
      <c r="R3910" s="2"/>
      <c r="S3910" s="2" t="s">
        <v>25864</v>
      </c>
      <c r="T3910" s="2" t="s">
        <v>25865</v>
      </c>
      <c r="U3910" s="2" t="s">
        <v>56</v>
      </c>
      <c r="V3910" s="2" t="s">
        <v>177</v>
      </c>
      <c r="W3910" s="2" t="s">
        <v>584</v>
      </c>
      <c r="X3910" s="2" t="s">
        <v>147</v>
      </c>
      <c r="Y3910" s="2">
        <v>38.6</v>
      </c>
      <c r="Z3910" s="2">
        <v>0</v>
      </c>
      <c r="AA3910" s="2" t="s">
        <v>379</v>
      </c>
      <c r="AB3910" s="2" t="s">
        <v>7868</v>
      </c>
      <c r="AC3910" s="2">
        <v>-4.2724426489717304</v>
      </c>
      <c r="AD3910" s="2"/>
      <c r="AE3910" s="2">
        <v>0.13001455909005599</v>
      </c>
      <c r="AF3910" s="2">
        <v>531.78574248878601</v>
      </c>
      <c r="AG3910" s="2">
        <v>133.33274436758799</v>
      </c>
      <c r="AH3910" s="5">
        <v>3.9884106864454498</v>
      </c>
      <c r="AI3910" s="5">
        <v>1.9958139716198999</v>
      </c>
      <c r="AJ3910" s="5" t="s">
        <v>139</v>
      </c>
      <c r="AK3910" s="2">
        <v>2.8584936381245599E-2</v>
      </c>
      <c r="AL3910" s="2">
        <v>0.25769393072317198</v>
      </c>
      <c r="AM3910" s="2">
        <v>776.67391092170897</v>
      </c>
      <c r="AN3910" s="2">
        <v>978.97981230726703</v>
      </c>
      <c r="AO3910" s="2">
        <v>245.94168514700601</v>
      </c>
      <c r="AP3910" s="2">
        <v>155.41955754883799</v>
      </c>
      <c r="AQ3910" s="2">
        <v>272.67429057763798</v>
      </c>
      <c r="AR3910" s="2">
        <v>761.02519843025902</v>
      </c>
      <c r="AS3910" s="2">
        <v>380.86995723668502</v>
      </c>
      <c r="AT3910" s="2">
        <v>8.559877937157E-6</v>
      </c>
      <c r="AU3910" s="2">
        <v>211.19105340672201</v>
      </c>
      <c r="AV3910" s="2">
        <v>8.559877937157E-6</v>
      </c>
      <c r="AW3910" s="2">
        <v>8.559877937157E-6</v>
      </c>
      <c r="AX3910" s="2">
        <v>207.93542988248501</v>
      </c>
    </row>
    <row r="3911" spans="1:50" x14ac:dyDescent="0.25">
      <c r="A3911" s="2" t="s">
        <v>25866</v>
      </c>
      <c r="B3911" s="2">
        <v>244.19154657597599</v>
      </c>
      <c r="C3911" s="2">
        <v>6.9113499999999997</v>
      </c>
      <c r="D3911" s="2" t="s">
        <v>51</v>
      </c>
      <c r="E3911" s="2" t="s">
        <v>25867</v>
      </c>
      <c r="F3911" s="2">
        <v>52235</v>
      </c>
      <c r="G3911" s="3" t="str">
        <f>HYPERLINK("https://cloud.oebiotech.com/#/lm/network/52235", "https://cloud.oebiotech.com/#/lm/network/52235")</f>
        <v>https://cloud.oebiotech.com/#/lm/network/52235</v>
      </c>
      <c r="H3911" s="2" t="s">
        <v>25868</v>
      </c>
      <c r="I3911" s="2">
        <v>331610</v>
      </c>
      <c r="J3911" s="2"/>
      <c r="K3911" s="2">
        <v>454092</v>
      </c>
      <c r="L3911" s="2"/>
      <c r="M3911" s="2"/>
      <c r="N3911" s="2"/>
      <c r="O3911" s="2">
        <v>74438</v>
      </c>
      <c r="P3911" s="2"/>
      <c r="Q3911" s="2"/>
      <c r="R3911" s="2"/>
      <c r="S3911" s="2" t="s">
        <v>25869</v>
      </c>
      <c r="T3911" s="2" t="s">
        <v>25870</v>
      </c>
      <c r="U3911" s="2" t="s">
        <v>103</v>
      </c>
      <c r="V3911" s="2" t="s">
        <v>104</v>
      </c>
      <c r="W3911" s="2" t="s">
        <v>105</v>
      </c>
      <c r="X3911" s="2" t="s">
        <v>147</v>
      </c>
      <c r="Y3911" s="2">
        <v>44.5</v>
      </c>
      <c r="Z3911" s="2">
        <v>29.9</v>
      </c>
      <c r="AA3911" s="2" t="s">
        <v>196</v>
      </c>
      <c r="AB3911" s="2" t="s">
        <v>25871</v>
      </c>
      <c r="AC3911" s="2">
        <v>3.3985814704120298</v>
      </c>
      <c r="AD3911" s="2"/>
      <c r="AE3911" s="2">
        <v>0.129822058518371</v>
      </c>
      <c r="AF3911" s="2">
        <v>78447.797761819398</v>
      </c>
      <c r="AG3911" s="2">
        <v>75649.161720458593</v>
      </c>
      <c r="AH3911" s="5">
        <v>1.0369949379175201</v>
      </c>
      <c r="AI3911" s="5">
        <v>5.2408851664044902E-2</v>
      </c>
      <c r="AJ3911" s="5" t="s">
        <v>139</v>
      </c>
      <c r="AK3911" s="2">
        <v>0.86249762316059497</v>
      </c>
      <c r="AL3911" s="2">
        <v>0.94043129269135906</v>
      </c>
      <c r="AM3911" s="2">
        <v>61516.058956266002</v>
      </c>
      <c r="AN3911" s="2">
        <v>66122.846995999702</v>
      </c>
      <c r="AO3911" s="2">
        <v>153465.44400503999</v>
      </c>
      <c r="AP3911" s="2">
        <v>54319.005392791099</v>
      </c>
      <c r="AQ3911" s="2">
        <v>71795.240786903407</v>
      </c>
      <c r="AR3911" s="2">
        <v>63468.190433916003</v>
      </c>
      <c r="AS3911" s="2">
        <v>73721.758859894995</v>
      </c>
      <c r="AT3911" s="2">
        <v>79410.083041505699</v>
      </c>
      <c r="AU3911" s="2">
        <v>68900.370794716597</v>
      </c>
      <c r="AV3911" s="2">
        <v>90954.689933673406</v>
      </c>
      <c r="AW3911" s="2">
        <v>79712.411814656603</v>
      </c>
      <c r="AX3911" s="2">
        <v>61195.655878304402</v>
      </c>
    </row>
    <row r="3912" spans="1:50" x14ac:dyDescent="0.25">
      <c r="A3912" s="2" t="s">
        <v>25872</v>
      </c>
      <c r="B3912" s="2">
        <v>399.22538816424702</v>
      </c>
      <c r="C3912" s="2">
        <v>3.5649500000000001</v>
      </c>
      <c r="D3912" s="2" t="s">
        <v>51</v>
      </c>
      <c r="E3912" s="2" t="s">
        <v>25873</v>
      </c>
      <c r="F3912" s="2">
        <v>260567</v>
      </c>
      <c r="G3912" s="3" t="str">
        <f>HYPERLINK("https://cloud.oebiotech.com/#/lm/network/260567", "https://cloud.oebiotech.com/#/lm/network/260567")</f>
        <v>https://cloud.oebiotech.com/#/lm/network/260567</v>
      </c>
      <c r="H3912" s="2"/>
      <c r="I3912" s="2">
        <v>17832</v>
      </c>
      <c r="J3912" s="2"/>
      <c r="K3912" s="2">
        <v>145456320</v>
      </c>
      <c r="L3912" s="2"/>
      <c r="M3912" s="2"/>
      <c r="N3912" s="2"/>
      <c r="O3912" s="2"/>
      <c r="P3912" s="2"/>
      <c r="Q3912" s="2"/>
      <c r="R3912" s="2"/>
      <c r="S3912" s="2" t="s">
        <v>25874</v>
      </c>
      <c r="T3912" s="2" t="s">
        <v>25875</v>
      </c>
      <c r="U3912" s="2" t="s">
        <v>103</v>
      </c>
      <c r="V3912" s="2" t="s">
        <v>104</v>
      </c>
      <c r="W3912" s="2" t="s">
        <v>105</v>
      </c>
      <c r="X3912" s="2" t="s">
        <v>83</v>
      </c>
      <c r="Y3912" s="2">
        <v>38.5</v>
      </c>
      <c r="Z3912" s="2">
        <v>5.9200000000000003E-2</v>
      </c>
      <c r="AA3912" s="2" t="s">
        <v>512</v>
      </c>
      <c r="AB3912" s="2" t="s">
        <v>25876</v>
      </c>
      <c r="AC3912" s="2">
        <v>4.1371406821418804</v>
      </c>
      <c r="AD3912" s="2"/>
      <c r="AE3912" s="2">
        <v>0.12979754892899101</v>
      </c>
      <c r="AF3912" s="2">
        <v>3668.80883509365</v>
      </c>
      <c r="AG3912" s="2">
        <v>4870.0202443960497</v>
      </c>
      <c r="AH3912" s="4">
        <v>0.75334570514678301</v>
      </c>
      <c r="AI3912" s="4">
        <v>-0.40861603523907802</v>
      </c>
      <c r="AJ3912" s="4" t="s">
        <v>62</v>
      </c>
      <c r="AK3912" s="2">
        <v>0.83872633269141394</v>
      </c>
      <c r="AL3912" s="2">
        <v>0.92909683994561798</v>
      </c>
      <c r="AM3912" s="2">
        <v>1101.9107823049801</v>
      </c>
      <c r="AN3912" s="2">
        <v>8.559877937157E-6</v>
      </c>
      <c r="AO3912" s="2">
        <v>43.652121572192499</v>
      </c>
      <c r="AP3912" s="2">
        <v>8.559877937157E-6</v>
      </c>
      <c r="AQ3912" s="2">
        <v>18869.3465592342</v>
      </c>
      <c r="AR3912" s="2">
        <v>1997.94353033078</v>
      </c>
      <c r="AS3912" s="2">
        <v>8.559877937157E-6</v>
      </c>
      <c r="AT3912" s="2">
        <v>8.559877937157E-6</v>
      </c>
      <c r="AU3912" s="2">
        <v>8.559877937157E-6</v>
      </c>
      <c r="AV3912" s="2">
        <v>29220.1214235769</v>
      </c>
      <c r="AW3912" s="2">
        <v>8.559877937157E-6</v>
      </c>
      <c r="AX3912" s="2">
        <v>8.559877937157E-6</v>
      </c>
    </row>
    <row r="3913" spans="1:50" x14ac:dyDescent="0.25">
      <c r="A3913" s="2" t="s">
        <v>25877</v>
      </c>
      <c r="B3913" s="2">
        <v>556.32594602524796</v>
      </c>
      <c r="C3913" s="2">
        <v>7.9022333333333297</v>
      </c>
      <c r="D3913" s="2" t="s">
        <v>51</v>
      </c>
      <c r="E3913" s="2" t="s">
        <v>25878</v>
      </c>
      <c r="F3913" s="2">
        <v>46747</v>
      </c>
      <c r="G3913" s="3" t="str">
        <f>HYPERLINK("https://cloud.oebiotech.com/#/lm/network/46747", "https://cloud.oebiotech.com/#/lm/network/46747")</f>
        <v>https://cloud.oebiotech.com/#/lm/network/46747</v>
      </c>
      <c r="H3913" s="2"/>
      <c r="I3913" s="2"/>
      <c r="J3913" s="2" t="s">
        <v>25879</v>
      </c>
      <c r="K3913" s="2">
        <v>101941270</v>
      </c>
      <c r="L3913" s="2"/>
      <c r="M3913" s="2"/>
      <c r="N3913" s="2"/>
      <c r="O3913" s="2"/>
      <c r="P3913" s="2"/>
      <c r="Q3913" s="2"/>
      <c r="R3913" s="2"/>
      <c r="S3913" s="2" t="s">
        <v>25880</v>
      </c>
      <c r="T3913" s="2" t="s">
        <v>25881</v>
      </c>
      <c r="U3913" s="2" t="s">
        <v>56</v>
      </c>
      <c r="V3913" s="2" t="s">
        <v>283</v>
      </c>
      <c r="W3913" s="2" t="s">
        <v>2042</v>
      </c>
      <c r="X3913" s="2" t="s">
        <v>83</v>
      </c>
      <c r="Y3913" s="2">
        <v>37.1</v>
      </c>
      <c r="Z3913" s="2">
        <v>7.2599999999999997E-4</v>
      </c>
      <c r="AA3913" s="2" t="s">
        <v>163</v>
      </c>
      <c r="AB3913" s="2" t="s">
        <v>25882</v>
      </c>
      <c r="AC3913" s="2">
        <v>-9.6916305635211994</v>
      </c>
      <c r="AD3913" s="2"/>
      <c r="AE3913" s="2">
        <v>0.129655011667063</v>
      </c>
      <c r="AF3913" s="2">
        <v>22557.691657122301</v>
      </c>
      <c r="AG3913" s="2">
        <v>18560.530104538098</v>
      </c>
      <c r="AH3913" s="5">
        <v>1.2153581568021501</v>
      </c>
      <c r="AI3913" s="5">
        <v>0.28138152774006098</v>
      </c>
      <c r="AJ3913" s="5" t="s">
        <v>139</v>
      </c>
      <c r="AK3913" s="2">
        <v>0.56730627884319496</v>
      </c>
      <c r="AL3913" s="2">
        <v>0.78255050592287401</v>
      </c>
      <c r="AM3913" s="2">
        <v>26615.183390182799</v>
      </c>
      <c r="AN3913" s="2">
        <v>10270.2022275783</v>
      </c>
      <c r="AO3913" s="2">
        <v>20522.1444671147</v>
      </c>
      <c r="AP3913" s="2">
        <v>38649.414111079597</v>
      </c>
      <c r="AQ3913" s="2">
        <v>17812.861201417501</v>
      </c>
      <c r="AR3913" s="2">
        <v>21476.3445453612</v>
      </c>
      <c r="AS3913" s="2">
        <v>11079.831808135301</v>
      </c>
      <c r="AT3913" s="2">
        <v>11269.3591891041</v>
      </c>
      <c r="AU3913" s="2">
        <v>17773.702362773201</v>
      </c>
      <c r="AV3913" s="2">
        <v>12764.1205559561</v>
      </c>
      <c r="AW3913" s="2">
        <v>45735.689879690202</v>
      </c>
      <c r="AX3913" s="2">
        <v>12740.4768315699</v>
      </c>
    </row>
    <row r="3914" spans="1:50" x14ac:dyDescent="0.25">
      <c r="A3914" s="2" t="s">
        <v>25883</v>
      </c>
      <c r="B3914" s="2">
        <v>526.25880415731604</v>
      </c>
      <c r="C3914" s="2">
        <v>3.9216000000000002</v>
      </c>
      <c r="D3914" s="2" t="s">
        <v>51</v>
      </c>
      <c r="E3914" s="2" t="s">
        <v>25884</v>
      </c>
      <c r="F3914" s="2">
        <v>60952</v>
      </c>
      <c r="G3914" s="3" t="str">
        <f>HYPERLINK("https://cloud.oebiotech.com/#/lm/network/60952", "https://cloud.oebiotech.com/#/lm/network/60952")</f>
        <v>https://cloud.oebiotech.com/#/lm/network/60952</v>
      </c>
      <c r="H3914" s="2" t="s">
        <v>25885</v>
      </c>
      <c r="I3914" s="2"/>
      <c r="J3914" s="2"/>
      <c r="K3914" s="2">
        <v>92649</v>
      </c>
      <c r="L3914" s="2"/>
      <c r="M3914" s="2"/>
      <c r="N3914" s="2"/>
      <c r="O3914" s="2"/>
      <c r="P3914" s="2"/>
      <c r="Q3914" s="2"/>
      <c r="R3914" s="2" t="s">
        <v>25886</v>
      </c>
      <c r="S3914" s="2" t="s">
        <v>25887</v>
      </c>
      <c r="T3914" s="2" t="s">
        <v>25888</v>
      </c>
      <c r="U3914" s="2" t="s">
        <v>56</v>
      </c>
      <c r="V3914" s="2" t="s">
        <v>283</v>
      </c>
      <c r="W3914" s="2" t="s">
        <v>1338</v>
      </c>
      <c r="X3914" s="2" t="s">
        <v>147</v>
      </c>
      <c r="Y3914" s="2">
        <v>41.1</v>
      </c>
      <c r="Z3914" s="2">
        <v>30.7</v>
      </c>
      <c r="AA3914" s="2" t="s">
        <v>122</v>
      </c>
      <c r="AB3914" s="2" t="s">
        <v>25889</v>
      </c>
      <c r="AC3914" s="2">
        <v>4.0586320427421398</v>
      </c>
      <c r="AD3914" s="2"/>
      <c r="AE3914" s="2">
        <v>0.12964688278088399</v>
      </c>
      <c r="AF3914" s="2">
        <v>3993.66269294431</v>
      </c>
      <c r="AG3914" s="2">
        <v>5421.0583138125003</v>
      </c>
      <c r="AH3914" s="4">
        <v>0.73669428767602796</v>
      </c>
      <c r="AI3914" s="4">
        <v>-0.44086203886979702</v>
      </c>
      <c r="AJ3914" s="4" t="s">
        <v>62</v>
      </c>
      <c r="AK3914" s="2">
        <v>0.79758750685406898</v>
      </c>
      <c r="AL3914" s="2">
        <v>0.90954932814260703</v>
      </c>
      <c r="AM3914" s="2">
        <v>6135.0386956981902</v>
      </c>
      <c r="AN3914" s="2">
        <v>8.559877937157E-6</v>
      </c>
      <c r="AO3914" s="2">
        <v>8.559877937157E-6</v>
      </c>
      <c r="AP3914" s="2">
        <v>8.559877937157E-6</v>
      </c>
      <c r="AQ3914" s="2">
        <v>5415.8699313635498</v>
      </c>
      <c r="AR3914" s="2">
        <v>12411.0675049245</v>
      </c>
      <c r="AS3914" s="2">
        <v>8.559877937157E-6</v>
      </c>
      <c r="AT3914" s="2">
        <v>8.559877937157E-6</v>
      </c>
      <c r="AU3914" s="2">
        <v>8.559877937157E-6</v>
      </c>
      <c r="AV3914" s="2">
        <v>30458.5639571221</v>
      </c>
      <c r="AW3914" s="2">
        <v>8.559877937157E-6</v>
      </c>
      <c r="AX3914" s="2">
        <v>2067.7858915134102</v>
      </c>
    </row>
    <row r="3915" spans="1:50" x14ac:dyDescent="0.25">
      <c r="A3915" s="2" t="s">
        <v>25890</v>
      </c>
      <c r="B3915" s="2">
        <v>309.18182928973499</v>
      </c>
      <c r="C3915" s="2">
        <v>4.8935333333333304</v>
      </c>
      <c r="D3915" s="2" t="s">
        <v>51</v>
      </c>
      <c r="E3915" s="2" t="s">
        <v>25891</v>
      </c>
      <c r="F3915" s="2">
        <v>82828</v>
      </c>
      <c r="G3915" s="3" t="str">
        <f>HYPERLINK("https://cloud.oebiotech.com/#/lm/network/82828", "https://cloud.oebiotech.com/#/lm/network/82828")</f>
        <v>https://cloud.oebiotech.com/#/lm/network/82828</v>
      </c>
      <c r="H3915" s="2" t="s">
        <v>25892</v>
      </c>
      <c r="I3915" s="2">
        <v>1553</v>
      </c>
      <c r="J3915" s="2"/>
      <c r="K3915" s="2">
        <v>124688</v>
      </c>
      <c r="L3915" s="2"/>
      <c r="M3915" s="2"/>
      <c r="N3915" s="2"/>
      <c r="O3915" s="2"/>
      <c r="P3915" s="2"/>
      <c r="Q3915" s="2"/>
      <c r="R3915" s="2" t="s">
        <v>25893</v>
      </c>
      <c r="S3915" s="2" t="s">
        <v>25894</v>
      </c>
      <c r="T3915" s="2" t="s">
        <v>25895</v>
      </c>
      <c r="U3915" s="2" t="s">
        <v>266</v>
      </c>
      <c r="V3915" s="2" t="s">
        <v>1393</v>
      </c>
      <c r="W3915" s="2" t="s">
        <v>19215</v>
      </c>
      <c r="X3915" s="2" t="s">
        <v>147</v>
      </c>
      <c r="Y3915" s="2">
        <v>41.4</v>
      </c>
      <c r="Z3915" s="2">
        <v>17.3</v>
      </c>
      <c r="AA3915" s="2" t="s">
        <v>60</v>
      </c>
      <c r="AB3915" s="2" t="s">
        <v>25896</v>
      </c>
      <c r="AC3915" s="2">
        <v>3.0684010333095899</v>
      </c>
      <c r="AD3915" s="2"/>
      <c r="AE3915" s="2">
        <v>0.129637820925218</v>
      </c>
      <c r="AF3915" s="2">
        <v>1271.2353193880299</v>
      </c>
      <c r="AG3915" s="2">
        <v>216.63476330671699</v>
      </c>
      <c r="AH3915" s="5">
        <v>5.8681039921011298</v>
      </c>
      <c r="AI3915" s="5">
        <v>2.55289443808002</v>
      </c>
      <c r="AJ3915" s="5" t="s">
        <v>139</v>
      </c>
      <c r="AK3915" s="2">
        <v>0.20122015921466899</v>
      </c>
      <c r="AL3915" s="2">
        <v>0.524812102806965</v>
      </c>
      <c r="AM3915" s="2">
        <v>1.07909898739928</v>
      </c>
      <c r="AN3915" s="2">
        <v>235.173091524082</v>
      </c>
      <c r="AO3915" s="2">
        <v>296.80652859872202</v>
      </c>
      <c r="AP3915" s="2">
        <v>261.20753125017501</v>
      </c>
      <c r="AQ3915" s="2">
        <v>4791.0034062806299</v>
      </c>
      <c r="AR3915" s="2">
        <v>2042.14225968715</v>
      </c>
      <c r="AS3915" s="2">
        <v>122.376756830242</v>
      </c>
      <c r="AT3915" s="2">
        <v>431.43698127041603</v>
      </c>
      <c r="AU3915" s="2">
        <v>189.56345550883199</v>
      </c>
      <c r="AV3915" s="2">
        <v>74.0125243224374</v>
      </c>
      <c r="AW3915" s="2">
        <v>474.00793455245798</v>
      </c>
      <c r="AX3915" s="2">
        <v>8.4109273559143993</v>
      </c>
    </row>
    <row r="3916" spans="1:50" x14ac:dyDescent="0.25">
      <c r="A3916" s="2" t="s">
        <v>25897</v>
      </c>
      <c r="B3916" s="2">
        <v>522.28478455403604</v>
      </c>
      <c r="C3916" s="2">
        <v>10.073</v>
      </c>
      <c r="D3916" s="2" t="s">
        <v>51</v>
      </c>
      <c r="E3916" s="2" t="s">
        <v>25898</v>
      </c>
      <c r="F3916" s="2">
        <v>203915</v>
      </c>
      <c r="G3916" s="3" t="str">
        <f>HYPERLINK("https://cloud.oebiotech.com/#/lm/network/203915", "https://cloud.oebiotech.com/#/lm/network/203915")</f>
        <v>https://cloud.oebiotech.com/#/lm/network/203915</v>
      </c>
      <c r="H3916" s="2" t="s">
        <v>25899</v>
      </c>
      <c r="I3916" s="2"/>
      <c r="J3916" s="2"/>
      <c r="K3916" s="2">
        <v>73715310</v>
      </c>
      <c r="L3916" s="2"/>
      <c r="M3916" s="2"/>
      <c r="N3916" s="2"/>
      <c r="O3916" s="2"/>
      <c r="P3916" s="2"/>
      <c r="Q3916" s="2"/>
      <c r="R3916" s="2"/>
      <c r="S3916" s="2" t="s">
        <v>25900</v>
      </c>
      <c r="T3916" s="2" t="s">
        <v>25901</v>
      </c>
      <c r="U3916" s="2" t="s">
        <v>610</v>
      </c>
      <c r="V3916" s="2" t="s">
        <v>611</v>
      </c>
      <c r="W3916" s="2" t="s">
        <v>1122</v>
      </c>
      <c r="X3916" s="2" t="s">
        <v>147</v>
      </c>
      <c r="Y3916" s="2">
        <v>38.700000000000003</v>
      </c>
      <c r="Z3916" s="2">
        <v>0</v>
      </c>
      <c r="AA3916" s="2" t="s">
        <v>259</v>
      </c>
      <c r="AB3916" s="2" t="s">
        <v>25902</v>
      </c>
      <c r="AC3916" s="2">
        <v>-0.44093740787822999</v>
      </c>
      <c r="AD3916" s="2"/>
      <c r="AE3916" s="2">
        <v>0.12957256611083001</v>
      </c>
      <c r="AF3916" s="2">
        <v>4584.1375913159</v>
      </c>
      <c r="AG3916" s="2">
        <v>3277.0567699691901</v>
      </c>
      <c r="AH3916" s="5">
        <v>1.39885815629584</v>
      </c>
      <c r="AI3916" s="5">
        <v>0.48424968117079198</v>
      </c>
      <c r="AJ3916" s="5" t="s">
        <v>139</v>
      </c>
      <c r="AK3916" s="2">
        <v>0.44802633206313602</v>
      </c>
      <c r="AL3916" s="2">
        <v>0.70256160283375202</v>
      </c>
      <c r="AM3916" s="2">
        <v>7142.6594534450596</v>
      </c>
      <c r="AN3916" s="2">
        <v>3544.2518140781899</v>
      </c>
      <c r="AO3916" s="2">
        <v>1689.00476699198</v>
      </c>
      <c r="AP3916" s="2">
        <v>7364.2382366851798</v>
      </c>
      <c r="AQ3916" s="2">
        <v>2413.3228894353301</v>
      </c>
      <c r="AR3916" s="2">
        <v>5351.3483872596898</v>
      </c>
      <c r="AS3916" s="2">
        <v>600.32432634244003</v>
      </c>
      <c r="AT3916" s="2">
        <v>8.559877937157E-6</v>
      </c>
      <c r="AU3916" s="2">
        <v>7353.6338482711399</v>
      </c>
      <c r="AV3916" s="2">
        <v>6592.6775208517502</v>
      </c>
      <c r="AW3916" s="2">
        <v>4374.2254032041101</v>
      </c>
      <c r="AX3916" s="2">
        <v>741.47951258583601</v>
      </c>
    </row>
    <row r="3917" spans="1:50" x14ac:dyDescent="0.25">
      <c r="A3917" s="2" t="s">
        <v>25903</v>
      </c>
      <c r="B3917" s="2">
        <v>338.270350469915</v>
      </c>
      <c r="C3917" s="2">
        <v>12.1956333333333</v>
      </c>
      <c r="D3917" s="2" t="s">
        <v>51</v>
      </c>
      <c r="E3917" s="2" t="s">
        <v>25904</v>
      </c>
      <c r="F3917" s="2">
        <v>8659</v>
      </c>
      <c r="G3917" s="3" t="str">
        <f>HYPERLINK("https://cloud.oebiotech.com/#/lm/network/8659", "https://cloud.oebiotech.com/#/lm/network/8659")</f>
        <v>https://cloud.oebiotech.com/#/lm/network/8659</v>
      </c>
      <c r="H3917" s="2" t="s">
        <v>25905</v>
      </c>
      <c r="I3917" s="2">
        <v>46559</v>
      </c>
      <c r="J3917" s="2" t="s">
        <v>25906</v>
      </c>
      <c r="K3917" s="2">
        <v>6436908</v>
      </c>
      <c r="L3917" s="2"/>
      <c r="M3917" s="2"/>
      <c r="N3917" s="2"/>
      <c r="O3917" s="2">
        <v>73723</v>
      </c>
      <c r="P3917" s="2"/>
      <c r="Q3917" s="2"/>
      <c r="R3917" s="2" t="s">
        <v>25907</v>
      </c>
      <c r="S3917" s="2" t="s">
        <v>25908</v>
      </c>
      <c r="T3917" s="2" t="s">
        <v>25909</v>
      </c>
      <c r="U3917" s="2" t="s">
        <v>103</v>
      </c>
      <c r="V3917" s="2" t="s">
        <v>104</v>
      </c>
      <c r="W3917" s="2" t="s">
        <v>105</v>
      </c>
      <c r="X3917" s="2" t="s">
        <v>83</v>
      </c>
      <c r="Y3917" s="2">
        <v>58.1</v>
      </c>
      <c r="Z3917" s="2">
        <v>22.5</v>
      </c>
      <c r="AA3917" s="2" t="s">
        <v>163</v>
      </c>
      <c r="AB3917" s="2" t="s">
        <v>25910</v>
      </c>
      <c r="AC3917" s="2">
        <v>0.83368916249746805</v>
      </c>
      <c r="AD3917" s="2"/>
      <c r="AE3917" s="2">
        <v>0.12952225871765199</v>
      </c>
      <c r="AF3917" s="2">
        <v>1397.9723290485899</v>
      </c>
      <c r="AG3917" s="2">
        <v>2733.0318268317001</v>
      </c>
      <c r="AH3917" s="4">
        <v>0.51150971434870096</v>
      </c>
      <c r="AI3917" s="4">
        <v>-0.96716645567997594</v>
      </c>
      <c r="AJ3917" s="4" t="s">
        <v>62</v>
      </c>
      <c r="AK3917" s="2">
        <v>0.30332492380871801</v>
      </c>
      <c r="AL3917" s="2">
        <v>0.61289698630618406</v>
      </c>
      <c r="AM3917" s="2">
        <v>1210.8519473405399</v>
      </c>
      <c r="AN3917" s="2">
        <v>1256.7959480505799</v>
      </c>
      <c r="AO3917" s="2">
        <v>1781.6853345459201</v>
      </c>
      <c r="AP3917" s="2">
        <v>952.23375381518599</v>
      </c>
      <c r="AQ3917" s="2">
        <v>1949.26577325326</v>
      </c>
      <c r="AR3917" s="2">
        <v>1237.00121728607</v>
      </c>
      <c r="AS3917" s="2">
        <v>862.80320928594301</v>
      </c>
      <c r="AT3917" s="2">
        <v>710.23940439135504</v>
      </c>
      <c r="AU3917" s="2">
        <v>8653.79381313874</v>
      </c>
      <c r="AV3917" s="2">
        <v>1923.10138945414</v>
      </c>
      <c r="AW3917" s="2">
        <v>2688.2881422535102</v>
      </c>
      <c r="AX3917" s="2">
        <v>1559.96500246652</v>
      </c>
    </row>
    <row r="3918" spans="1:50" x14ac:dyDescent="0.25">
      <c r="A3918" s="2" t="s">
        <v>25911</v>
      </c>
      <c r="B3918" s="2">
        <v>147.117076768706</v>
      </c>
      <c r="C3918" s="2">
        <v>6.8702833333333304</v>
      </c>
      <c r="D3918" s="2" t="s">
        <v>51</v>
      </c>
      <c r="E3918" s="2" t="s">
        <v>25912</v>
      </c>
      <c r="F3918" s="2">
        <v>201497</v>
      </c>
      <c r="G3918" s="3" t="str">
        <f>HYPERLINK("https://cloud.oebiotech.com/#/lm/network/201497", "https://cloud.oebiotech.com/#/lm/network/201497")</f>
        <v>https://cloud.oebiotech.com/#/lm/network/201497</v>
      </c>
      <c r="H3918" s="2" t="s">
        <v>25913</v>
      </c>
      <c r="I3918" s="2"/>
      <c r="J3918" s="2"/>
      <c r="K3918" s="2">
        <v>169211</v>
      </c>
      <c r="L3918" s="2"/>
      <c r="M3918" s="2"/>
      <c r="N3918" s="2"/>
      <c r="O3918" s="2"/>
      <c r="P3918" s="2"/>
      <c r="Q3918" s="2"/>
      <c r="R3918" s="2"/>
      <c r="S3918" s="2" t="s">
        <v>25914</v>
      </c>
      <c r="T3918" s="2" t="s">
        <v>25915</v>
      </c>
      <c r="U3918" s="2" t="s">
        <v>56</v>
      </c>
      <c r="V3918" s="2" t="s">
        <v>177</v>
      </c>
      <c r="W3918" s="2" t="s">
        <v>584</v>
      </c>
      <c r="X3918" s="2" t="s">
        <v>147</v>
      </c>
      <c r="Y3918" s="2">
        <v>38.299999999999997</v>
      </c>
      <c r="Z3918" s="2">
        <v>0</v>
      </c>
      <c r="AA3918" s="2" t="s">
        <v>156</v>
      </c>
      <c r="AB3918" s="2" t="s">
        <v>25916</v>
      </c>
      <c r="AC3918" s="2">
        <v>1.52258013037608</v>
      </c>
      <c r="AD3918" s="2"/>
      <c r="AE3918" s="2">
        <v>0.12952036006366899</v>
      </c>
      <c r="AF3918" s="2">
        <v>1137.7153851969999</v>
      </c>
      <c r="AG3918" s="2">
        <v>715.22213803000602</v>
      </c>
      <c r="AH3918" s="5">
        <v>1.5907161211909699</v>
      </c>
      <c r="AI3918" s="5">
        <v>0.669676395636293</v>
      </c>
      <c r="AJ3918" s="5" t="s">
        <v>139</v>
      </c>
      <c r="AK3918" s="2">
        <v>0.231118750184061</v>
      </c>
      <c r="AL3918" s="2">
        <v>0.55533919412968602</v>
      </c>
      <c r="AM3918" s="2">
        <v>2496.2571338871999</v>
      </c>
      <c r="AN3918" s="2">
        <v>1506.6077204642099</v>
      </c>
      <c r="AO3918" s="2">
        <v>854.89241734910502</v>
      </c>
      <c r="AP3918" s="2">
        <v>561.76289148190904</v>
      </c>
      <c r="AQ3918" s="2">
        <v>664.29906477144198</v>
      </c>
      <c r="AR3918" s="2">
        <v>742.47308322815297</v>
      </c>
      <c r="AS3918" s="2">
        <v>1230.5522173848599</v>
      </c>
      <c r="AT3918" s="2">
        <v>718.00121136026996</v>
      </c>
      <c r="AU3918" s="2">
        <v>742.55594980722196</v>
      </c>
      <c r="AV3918" s="2">
        <v>345.39891524171901</v>
      </c>
      <c r="AW3918" s="2">
        <v>402.02138955460998</v>
      </c>
      <c r="AX3918" s="2">
        <v>852.80314483135703</v>
      </c>
    </row>
    <row r="3919" spans="1:50" x14ac:dyDescent="0.25">
      <c r="A3919" s="2" t="s">
        <v>25917</v>
      </c>
      <c r="B3919" s="2">
        <v>83.022139999999993</v>
      </c>
      <c r="C3919" s="2">
        <v>24.344999999999999</v>
      </c>
      <c r="D3919" s="2" t="s">
        <v>125</v>
      </c>
      <c r="E3919" s="2" t="s">
        <v>25918</v>
      </c>
      <c r="F3919" s="2">
        <v>545910</v>
      </c>
      <c r="G3919" s="3" t="str">
        <f>HYPERLINK("https://cloud.oebiotech.com/#/lm/network/545910", "https://cloud.oebiotech.com/#/lm/network/545910")</f>
        <v>https://cloud.oebiotech.com/#/lm/network/545910</v>
      </c>
      <c r="H3919" s="2"/>
      <c r="I3919" s="2"/>
      <c r="J3919" s="2"/>
      <c r="K3919" s="2">
        <v>578847</v>
      </c>
      <c r="L3919" s="2"/>
      <c r="M3919" s="2"/>
      <c r="N3919" s="2"/>
      <c r="O3919" s="2"/>
      <c r="P3919" s="2"/>
      <c r="Q3919" s="2"/>
      <c r="R3919" s="2"/>
      <c r="S3919" s="2" t="s">
        <v>25919</v>
      </c>
      <c r="T3919" s="2" t="s">
        <v>25920</v>
      </c>
      <c r="U3919" s="2" t="s">
        <v>266</v>
      </c>
      <c r="V3919" s="2" t="s">
        <v>19336</v>
      </c>
      <c r="W3919" s="2" t="s">
        <v>240</v>
      </c>
      <c r="X3919" s="2" t="s">
        <v>59</v>
      </c>
      <c r="Y3919" s="2">
        <v>77</v>
      </c>
      <c r="Z3919" s="2">
        <v>64</v>
      </c>
      <c r="AA3919" s="2"/>
      <c r="AB3919" s="2" t="s">
        <v>25921</v>
      </c>
      <c r="AC3919" s="2"/>
      <c r="AD3919" s="2">
        <v>878072.91095890396</v>
      </c>
      <c r="AE3919" s="2">
        <v>0.12942708754851701</v>
      </c>
      <c r="AF3919" s="2">
        <v>17406.260503620801</v>
      </c>
      <c r="AG3919" s="2">
        <v>22993.100436608202</v>
      </c>
      <c r="AH3919" s="4">
        <v>0.75702102687759398</v>
      </c>
      <c r="AI3919" s="4">
        <v>-0.40159472208622099</v>
      </c>
      <c r="AJ3919" s="4" t="s">
        <v>62</v>
      </c>
      <c r="AK3919" s="2">
        <v>9.1579439301067198E-2</v>
      </c>
      <c r="AL3919" s="2">
        <v>0.38940149641808502</v>
      </c>
      <c r="AM3919" s="2">
        <v>18995.809366321599</v>
      </c>
      <c r="AN3919" s="2">
        <v>19591.1673498403</v>
      </c>
      <c r="AO3919" s="2">
        <v>16108.0819014799</v>
      </c>
      <c r="AP3919" s="2">
        <v>13727.7049271954</v>
      </c>
      <c r="AQ3919" s="2">
        <v>21886.693128358798</v>
      </c>
      <c r="AR3919" s="2">
        <v>14128.1063485287</v>
      </c>
      <c r="AS3919" s="2">
        <v>34068.752133435497</v>
      </c>
      <c r="AT3919" s="2">
        <v>15372.501905687899</v>
      </c>
      <c r="AU3919" s="2">
        <v>24138.288126340001</v>
      </c>
      <c r="AV3919" s="2">
        <v>24290.106360292899</v>
      </c>
      <c r="AW3919" s="2">
        <v>22728.287333922799</v>
      </c>
      <c r="AX3919" s="2">
        <v>17360.666759970001</v>
      </c>
    </row>
    <row r="3920" spans="1:50" x14ac:dyDescent="0.25">
      <c r="A3920" s="2" t="s">
        <v>25922</v>
      </c>
      <c r="B3920" s="2">
        <v>389.18762228764001</v>
      </c>
      <c r="C3920" s="2">
        <v>1.27705</v>
      </c>
      <c r="D3920" s="2" t="s">
        <v>51</v>
      </c>
      <c r="E3920" s="2" t="s">
        <v>25923</v>
      </c>
      <c r="F3920" s="2">
        <v>204831</v>
      </c>
      <c r="G3920" s="3" t="str">
        <f>HYPERLINK("https://cloud.oebiotech.com/#/lm/network/204831", "https://cloud.oebiotech.com/#/lm/network/204831")</f>
        <v>https://cloud.oebiotech.com/#/lm/network/204831</v>
      </c>
      <c r="H3920" s="2" t="s">
        <v>25924</v>
      </c>
      <c r="I3920" s="2"/>
      <c r="J3920" s="2"/>
      <c r="K3920" s="2">
        <v>22229302</v>
      </c>
      <c r="L3920" s="2"/>
      <c r="M3920" s="2"/>
      <c r="N3920" s="2"/>
      <c r="O3920" s="2"/>
      <c r="P3920" s="2"/>
      <c r="Q3920" s="2"/>
      <c r="R3920" s="2"/>
      <c r="S3920" s="2" t="s">
        <v>25925</v>
      </c>
      <c r="T3920" s="2" t="s">
        <v>25926</v>
      </c>
      <c r="U3920" s="2" t="s">
        <v>103</v>
      </c>
      <c r="V3920" s="2" t="s">
        <v>104</v>
      </c>
      <c r="W3920" s="2" t="s">
        <v>105</v>
      </c>
      <c r="X3920" s="2" t="s">
        <v>147</v>
      </c>
      <c r="Y3920" s="2">
        <v>42.7</v>
      </c>
      <c r="Z3920" s="2">
        <v>30.5</v>
      </c>
      <c r="AA3920" s="2" t="s">
        <v>379</v>
      </c>
      <c r="AB3920" s="2" t="s">
        <v>25927</v>
      </c>
      <c r="AC3920" s="2">
        <v>1.3621145397391301</v>
      </c>
      <c r="AD3920" s="2"/>
      <c r="AE3920" s="2">
        <v>0.12939013369991201</v>
      </c>
      <c r="AF3920" s="2">
        <v>5060.3943169350096</v>
      </c>
      <c r="AG3920" s="2">
        <v>6423.8263860838697</v>
      </c>
      <c r="AH3920" s="4">
        <v>0.78775390441707605</v>
      </c>
      <c r="AI3920" s="4">
        <v>-0.34418309506480199</v>
      </c>
      <c r="AJ3920" s="4" t="s">
        <v>62</v>
      </c>
      <c r="AK3920" s="2">
        <v>0.73510924348426798</v>
      </c>
      <c r="AL3920" s="2">
        <v>0.87826542457706702</v>
      </c>
      <c r="AM3920" s="2">
        <v>787.44562470074698</v>
      </c>
      <c r="AN3920" s="2">
        <v>2107.7844717201601</v>
      </c>
      <c r="AO3920" s="2">
        <v>19443.585801658599</v>
      </c>
      <c r="AP3920" s="2">
        <v>2608.96077977093</v>
      </c>
      <c r="AQ3920" s="2">
        <v>3759.5345354578599</v>
      </c>
      <c r="AR3920" s="2">
        <v>1655.05468830175</v>
      </c>
      <c r="AS3920" s="2">
        <v>292.855136501007</v>
      </c>
      <c r="AT3920" s="2">
        <v>8.559877937157E-6</v>
      </c>
      <c r="AU3920" s="2">
        <v>2846.3896987817002</v>
      </c>
      <c r="AV3920" s="2">
        <v>15592.1354217803</v>
      </c>
      <c r="AW3920" s="2">
        <v>7957.6241827710501</v>
      </c>
      <c r="AX3920" s="2">
        <v>11853.9538681093</v>
      </c>
    </row>
    <row r="3921" spans="1:50" x14ac:dyDescent="0.25">
      <c r="A3921" s="2" t="s">
        <v>25928</v>
      </c>
      <c r="B3921" s="2">
        <v>327.098778986772</v>
      </c>
      <c r="C3921" s="2">
        <v>7.3937166666666698</v>
      </c>
      <c r="D3921" s="2" t="s">
        <v>51</v>
      </c>
      <c r="E3921" s="2" t="s">
        <v>25929</v>
      </c>
      <c r="F3921" s="2">
        <v>203974</v>
      </c>
      <c r="G3921" s="3" t="str">
        <f>HYPERLINK("https://cloud.oebiotech.com/#/lm/network/203974", "https://cloud.oebiotech.com/#/lm/network/203974")</f>
        <v>https://cloud.oebiotech.com/#/lm/network/203974</v>
      </c>
      <c r="H3921" s="2" t="s">
        <v>25930</v>
      </c>
      <c r="I3921" s="2">
        <v>320649</v>
      </c>
      <c r="J3921" s="2"/>
      <c r="K3921" s="2">
        <v>2313</v>
      </c>
      <c r="L3921" s="2"/>
      <c r="M3921" s="2"/>
      <c r="N3921" s="2"/>
      <c r="O3921" s="2">
        <v>31257</v>
      </c>
      <c r="P3921" s="2"/>
      <c r="Q3921" s="2"/>
      <c r="R3921" s="2"/>
      <c r="S3921" s="2" t="s">
        <v>25931</v>
      </c>
      <c r="T3921" s="2" t="s">
        <v>25932</v>
      </c>
      <c r="U3921" s="2" t="s">
        <v>266</v>
      </c>
      <c r="V3921" s="2" t="s">
        <v>12134</v>
      </c>
      <c r="W3921" s="2" t="s">
        <v>12135</v>
      </c>
      <c r="X3921" s="2" t="s">
        <v>147</v>
      </c>
      <c r="Y3921" s="2">
        <v>38.5</v>
      </c>
      <c r="Z3921" s="2">
        <v>0</v>
      </c>
      <c r="AA3921" s="2" t="s">
        <v>218</v>
      </c>
      <c r="AB3921" s="2" t="s">
        <v>25933</v>
      </c>
      <c r="AC3921" s="2">
        <v>0.47429742055163798</v>
      </c>
      <c r="AD3921" s="2"/>
      <c r="AE3921" s="2">
        <v>0.129227842556663</v>
      </c>
      <c r="AF3921" s="2">
        <v>2221.87806408498</v>
      </c>
      <c r="AG3921" s="2">
        <v>2740.78254617535</v>
      </c>
      <c r="AH3921" s="4">
        <v>0.81067287413425904</v>
      </c>
      <c r="AI3921" s="4">
        <v>-0.302808224922685</v>
      </c>
      <c r="AJ3921" s="4" t="s">
        <v>62</v>
      </c>
      <c r="AK3921" s="2">
        <v>0.15640472318467799</v>
      </c>
      <c r="AL3921" s="2">
        <v>0.47717103882190898</v>
      </c>
      <c r="AM3921" s="2">
        <v>1187.366968113</v>
      </c>
      <c r="AN3921" s="2">
        <v>3042.8106267947101</v>
      </c>
      <c r="AO3921" s="2">
        <v>2353.7488045724199</v>
      </c>
      <c r="AP3921" s="2">
        <v>2254.79169808898</v>
      </c>
      <c r="AQ3921" s="2">
        <v>2229.9742595155099</v>
      </c>
      <c r="AR3921" s="2">
        <v>2262.5760274252698</v>
      </c>
      <c r="AS3921" s="2">
        <v>3000.5455706429698</v>
      </c>
      <c r="AT3921" s="2">
        <v>3343.62682013518</v>
      </c>
      <c r="AU3921" s="2">
        <v>1655.3465420381999</v>
      </c>
      <c r="AV3921" s="2">
        <v>2655.6812324626098</v>
      </c>
      <c r="AW3921" s="2">
        <v>2970.4817356181202</v>
      </c>
      <c r="AX3921" s="2">
        <v>2819.0133761550001</v>
      </c>
    </row>
    <row r="3922" spans="1:50" x14ac:dyDescent="0.25">
      <c r="A3922" s="2" t="s">
        <v>25934</v>
      </c>
      <c r="B3922" s="2">
        <v>219.17510826115</v>
      </c>
      <c r="C3922" s="2">
        <v>8.4987499999999994</v>
      </c>
      <c r="D3922" s="2" t="s">
        <v>51</v>
      </c>
      <c r="E3922" s="2" t="s">
        <v>25935</v>
      </c>
      <c r="F3922" s="2">
        <v>60962</v>
      </c>
      <c r="G3922" s="3" t="str">
        <f>HYPERLINK("https://cloud.oebiotech.com/#/lm/network/60962", "https://cloud.oebiotech.com/#/lm/network/60962")</f>
        <v>https://cloud.oebiotech.com/#/lm/network/60962</v>
      </c>
      <c r="H3922" s="2" t="s">
        <v>25936</v>
      </c>
      <c r="I3922" s="2">
        <v>92312</v>
      </c>
      <c r="J3922" s="2"/>
      <c r="K3922" s="2">
        <v>131752182</v>
      </c>
      <c r="L3922" s="2"/>
      <c r="M3922" s="2"/>
      <c r="N3922" s="2"/>
      <c r="O3922" s="2"/>
      <c r="P3922" s="2"/>
      <c r="Q3922" s="2"/>
      <c r="R3922" s="2"/>
      <c r="S3922" s="2" t="s">
        <v>25937</v>
      </c>
      <c r="T3922" s="2" t="s">
        <v>25938</v>
      </c>
      <c r="U3922" s="2" t="s">
        <v>56</v>
      </c>
      <c r="V3922" s="2" t="s">
        <v>177</v>
      </c>
      <c r="W3922" s="2" t="s">
        <v>1996</v>
      </c>
      <c r="X3922" s="2" t="s">
        <v>83</v>
      </c>
      <c r="Y3922" s="2">
        <v>45.4</v>
      </c>
      <c r="Z3922" s="2">
        <v>18.7</v>
      </c>
      <c r="AA3922" s="2" t="s">
        <v>156</v>
      </c>
      <c r="AB3922" s="2" t="s">
        <v>4139</v>
      </c>
      <c r="AC3922" s="2">
        <v>3.24544856134911</v>
      </c>
      <c r="AD3922" s="2"/>
      <c r="AE3922" s="2">
        <v>0.129187284567162</v>
      </c>
      <c r="AF3922" s="2">
        <v>2532.83087362161</v>
      </c>
      <c r="AG3922" s="2">
        <v>2005.3714667647801</v>
      </c>
      <c r="AH3922" s="5">
        <v>1.26302329299008</v>
      </c>
      <c r="AI3922" s="5">
        <v>0.33688124591201102</v>
      </c>
      <c r="AJ3922" s="5" t="s">
        <v>139</v>
      </c>
      <c r="AK3922" s="2">
        <v>5.6584768181265302E-2</v>
      </c>
      <c r="AL3922" s="2">
        <v>0.325203556477003</v>
      </c>
      <c r="AM3922" s="2">
        <v>2290.06281238479</v>
      </c>
      <c r="AN3922" s="2">
        <v>3306.0392967100302</v>
      </c>
      <c r="AO3922" s="2">
        <v>2510.7821228603998</v>
      </c>
      <c r="AP3922" s="2">
        <v>2637.1810613258399</v>
      </c>
      <c r="AQ3922" s="2">
        <v>2646.3417953398098</v>
      </c>
      <c r="AR3922" s="2">
        <v>1806.5781531088001</v>
      </c>
      <c r="AS3922" s="2">
        <v>2546.76564621847</v>
      </c>
      <c r="AT3922" s="2">
        <v>1906.4961844081299</v>
      </c>
      <c r="AU3922" s="2">
        <v>1931.61701352977</v>
      </c>
      <c r="AV3922" s="2">
        <v>1681.04951420784</v>
      </c>
      <c r="AW3922" s="2">
        <v>1687.9867299970499</v>
      </c>
      <c r="AX3922" s="2">
        <v>2278.3137122274402</v>
      </c>
    </row>
    <row r="3923" spans="1:50" x14ac:dyDescent="0.25">
      <c r="A3923" s="2" t="s">
        <v>25939</v>
      </c>
      <c r="B3923" s="2">
        <v>224.056044685872</v>
      </c>
      <c r="C3923" s="2">
        <v>4.5305499999999999</v>
      </c>
      <c r="D3923" s="2" t="s">
        <v>51</v>
      </c>
      <c r="E3923" s="2" t="s">
        <v>25940</v>
      </c>
      <c r="F3923" s="2">
        <v>274721</v>
      </c>
      <c r="G3923" s="3" t="str">
        <f>HYPERLINK("https://cloud.oebiotech.com/#/lm/network/274721", "https://cloud.oebiotech.com/#/lm/network/274721")</f>
        <v>https://cloud.oebiotech.com/#/lm/network/274721</v>
      </c>
      <c r="H3923" s="2" t="s">
        <v>25941</v>
      </c>
      <c r="I3923" s="2">
        <v>64954</v>
      </c>
      <c r="J3923" s="2"/>
      <c r="K3923" s="2">
        <v>5898</v>
      </c>
      <c r="L3923" s="2"/>
      <c r="M3923" s="2"/>
      <c r="N3923" s="2"/>
      <c r="O3923" s="2"/>
      <c r="P3923" s="2"/>
      <c r="Q3923" s="2"/>
      <c r="R3923" s="2" t="s">
        <v>25942</v>
      </c>
      <c r="S3923" s="2" t="s">
        <v>25943</v>
      </c>
      <c r="T3923" s="2" t="s">
        <v>25944</v>
      </c>
      <c r="U3923" s="2" t="s">
        <v>266</v>
      </c>
      <c r="V3923" s="2" t="s">
        <v>445</v>
      </c>
      <c r="W3923" s="2" t="s">
        <v>240</v>
      </c>
      <c r="X3923" s="2" t="s">
        <v>83</v>
      </c>
      <c r="Y3923" s="2">
        <v>41.4</v>
      </c>
      <c r="Z3923" s="2">
        <v>0</v>
      </c>
      <c r="AA3923" s="2" t="s">
        <v>218</v>
      </c>
      <c r="AB3923" s="2" t="s">
        <v>9786</v>
      </c>
      <c r="AC3923" s="2">
        <v>-2.2413725868130498</v>
      </c>
      <c r="AD3923" s="2"/>
      <c r="AE3923" s="2">
        <v>0.128910840702884</v>
      </c>
      <c r="AF3923" s="2">
        <v>1107.38435829473</v>
      </c>
      <c r="AG3923" s="2">
        <v>2044.3716229450499</v>
      </c>
      <c r="AH3923" s="4">
        <v>0.54167468666947804</v>
      </c>
      <c r="AI3923" s="4">
        <v>-0.88450142196598203</v>
      </c>
      <c r="AJ3923" s="4" t="s">
        <v>62</v>
      </c>
      <c r="AK3923" s="2">
        <v>9.7890553413994705E-2</v>
      </c>
      <c r="AL3923" s="2">
        <v>0.39915948874923501</v>
      </c>
      <c r="AM3923" s="2">
        <v>1850.68623085694</v>
      </c>
      <c r="AN3923" s="2">
        <v>800.44889262363301</v>
      </c>
      <c r="AO3923" s="2">
        <v>701.41326030811297</v>
      </c>
      <c r="AP3923" s="2">
        <v>986.61281354706</v>
      </c>
      <c r="AQ3923" s="2">
        <v>821.90041251192895</v>
      </c>
      <c r="AR3923" s="2">
        <v>1483.2445399207099</v>
      </c>
      <c r="AS3923" s="2">
        <v>1553.9337199991201</v>
      </c>
      <c r="AT3923" s="2">
        <v>2453.2323399658299</v>
      </c>
      <c r="AU3923" s="2">
        <v>3998.00932964197</v>
      </c>
      <c r="AV3923" s="2">
        <v>946.88054856203303</v>
      </c>
      <c r="AW3923" s="2">
        <v>2407.3240929375002</v>
      </c>
      <c r="AX3923" s="2">
        <v>906.84970656383098</v>
      </c>
    </row>
    <row r="3924" spans="1:50" x14ac:dyDescent="0.25">
      <c r="A3924" s="2" t="s">
        <v>25945</v>
      </c>
      <c r="B3924" s="2">
        <v>221.10652241687399</v>
      </c>
      <c r="C3924" s="2">
        <v>10.9667166666667</v>
      </c>
      <c r="D3924" s="2" t="s">
        <v>51</v>
      </c>
      <c r="E3924" s="2" t="s">
        <v>25946</v>
      </c>
      <c r="F3924" s="2">
        <v>267479</v>
      </c>
      <c r="G3924" s="3" t="str">
        <f>HYPERLINK("https://cloud.oebiotech.com/#/lm/network/267479", "https://cloud.oebiotech.com/#/lm/network/267479")</f>
        <v>https://cloud.oebiotech.com/#/lm/network/267479</v>
      </c>
      <c r="H3924" s="2"/>
      <c r="I3924" s="2">
        <v>45544</v>
      </c>
      <c r="J3924" s="2"/>
      <c r="K3924" s="2">
        <v>5329098</v>
      </c>
      <c r="L3924" s="2"/>
      <c r="M3924" s="2"/>
      <c r="N3924" s="2"/>
      <c r="O3924" s="2"/>
      <c r="P3924" s="2"/>
      <c r="Q3924" s="2"/>
      <c r="R3924" s="2" t="s">
        <v>25947</v>
      </c>
      <c r="S3924" s="2" t="s">
        <v>25948</v>
      </c>
      <c r="T3924" s="2" t="s">
        <v>25949</v>
      </c>
      <c r="U3924" s="2" t="s">
        <v>266</v>
      </c>
      <c r="V3924" s="2" t="s">
        <v>445</v>
      </c>
      <c r="W3924" s="2" t="s">
        <v>8002</v>
      </c>
      <c r="X3924" s="2" t="s">
        <v>147</v>
      </c>
      <c r="Y3924" s="2">
        <v>37.1</v>
      </c>
      <c r="Z3924" s="2">
        <v>0</v>
      </c>
      <c r="AA3924" s="2" t="s">
        <v>156</v>
      </c>
      <c r="AB3924" s="2" t="s">
        <v>25950</v>
      </c>
      <c r="AC3924" s="2">
        <v>-3.3699097047809499</v>
      </c>
      <c r="AD3924" s="2"/>
      <c r="AE3924" s="2">
        <v>0.12876828577719401</v>
      </c>
      <c r="AF3924" s="2">
        <v>1854.40367788258</v>
      </c>
      <c r="AG3924" s="2">
        <v>1270.5649375110399</v>
      </c>
      <c r="AH3924" s="5">
        <v>1.45951113802593</v>
      </c>
      <c r="AI3924" s="5">
        <v>0.54548522057876403</v>
      </c>
      <c r="AJ3924" s="5" t="s">
        <v>139</v>
      </c>
      <c r="AK3924" s="2">
        <v>3.3740926010967599E-2</v>
      </c>
      <c r="AL3924" s="2">
        <v>0.27023848021491997</v>
      </c>
      <c r="AM3924" s="2">
        <v>1601.3008588800801</v>
      </c>
      <c r="AN3924" s="2">
        <v>1983.2148812396299</v>
      </c>
      <c r="AO3924" s="2">
        <v>1972.8089994883501</v>
      </c>
      <c r="AP3924" s="2">
        <v>1860.06905002601</v>
      </c>
      <c r="AQ3924" s="2">
        <v>1737.36326955141</v>
      </c>
      <c r="AR3924" s="2">
        <v>1971.6650081100199</v>
      </c>
      <c r="AS3924" s="2">
        <v>1915.44631609629</v>
      </c>
      <c r="AT3924" s="2">
        <v>1037.9091953963</v>
      </c>
      <c r="AU3924" s="2">
        <v>954.75752509908898</v>
      </c>
      <c r="AV3924" s="2">
        <v>509.13451182248002</v>
      </c>
      <c r="AW3924" s="2">
        <v>1918.15527409846</v>
      </c>
      <c r="AX3924" s="2">
        <v>1287.98680255362</v>
      </c>
    </row>
    <row r="3925" spans="1:50" x14ac:dyDescent="0.25">
      <c r="A3925" s="2" t="s">
        <v>25951</v>
      </c>
      <c r="B3925" s="2">
        <v>146.11790296318699</v>
      </c>
      <c r="C3925" s="2">
        <v>3.5241333333333298</v>
      </c>
      <c r="D3925" s="2" t="s">
        <v>51</v>
      </c>
      <c r="E3925" s="2" t="s">
        <v>25952</v>
      </c>
      <c r="F3925" s="2">
        <v>47284</v>
      </c>
      <c r="G3925" s="3" t="str">
        <f>HYPERLINK("https://cloud.oebiotech.com/#/lm/network/47284", "https://cloud.oebiotech.com/#/lm/network/47284")</f>
        <v>https://cloud.oebiotech.com/#/lm/network/47284</v>
      </c>
      <c r="H3925" s="2" t="s">
        <v>25953</v>
      </c>
      <c r="I3925" s="2">
        <v>57</v>
      </c>
      <c r="J3925" s="2"/>
      <c r="K3925" s="2">
        <v>187</v>
      </c>
      <c r="L3925" s="2" t="s">
        <v>25954</v>
      </c>
      <c r="M3925" s="2" t="s">
        <v>25955</v>
      </c>
      <c r="N3925" s="2" t="s">
        <v>25956</v>
      </c>
      <c r="O3925" s="2">
        <v>15355</v>
      </c>
      <c r="P3925" s="2" t="s">
        <v>25957</v>
      </c>
      <c r="Q3925" s="2" t="s">
        <v>25958</v>
      </c>
      <c r="R3925" s="2" t="s">
        <v>25959</v>
      </c>
      <c r="S3925" s="2" t="s">
        <v>25960</v>
      </c>
      <c r="T3925" s="2" t="s">
        <v>25961</v>
      </c>
      <c r="U3925" s="2" t="s">
        <v>119</v>
      </c>
      <c r="V3925" s="2" t="s">
        <v>120</v>
      </c>
      <c r="W3925" s="2" t="s">
        <v>121</v>
      </c>
      <c r="X3925" s="2" t="s">
        <v>147</v>
      </c>
      <c r="Y3925" s="2">
        <v>36.200000000000003</v>
      </c>
      <c r="Z3925" s="2">
        <v>0</v>
      </c>
      <c r="AA3925" s="2" t="s">
        <v>122</v>
      </c>
      <c r="AB3925" s="2" t="s">
        <v>25962</v>
      </c>
      <c r="AC3925" s="2">
        <v>-1.3748731183698799</v>
      </c>
      <c r="AD3925" s="2"/>
      <c r="AE3925" s="2">
        <v>0.12875673993343301</v>
      </c>
      <c r="AF3925" s="2">
        <v>3119.8549198331498</v>
      </c>
      <c r="AG3925" s="2">
        <v>2464.1473123236201</v>
      </c>
      <c r="AH3925" s="5">
        <v>1.2660991914851201</v>
      </c>
      <c r="AI3925" s="5">
        <v>0.34039043593361801</v>
      </c>
      <c r="AJ3925" s="5" t="s">
        <v>139</v>
      </c>
      <c r="AK3925" s="2">
        <v>0.213592450546991</v>
      </c>
      <c r="AL3925" s="2">
        <v>0.53768212145991301</v>
      </c>
      <c r="AM3925" s="2">
        <v>2830.2348984806899</v>
      </c>
      <c r="AN3925" s="2">
        <v>5386.3333905499303</v>
      </c>
      <c r="AO3925" s="2">
        <v>2617.5757096358798</v>
      </c>
      <c r="AP3925" s="2">
        <v>3007.50568491387</v>
      </c>
      <c r="AQ3925" s="2">
        <v>2725.19279154179</v>
      </c>
      <c r="AR3925" s="2">
        <v>2152.28704387676</v>
      </c>
      <c r="AS3925" s="2">
        <v>2763.8291612470398</v>
      </c>
      <c r="AT3925" s="2">
        <v>2362.49292406519</v>
      </c>
      <c r="AU3925" s="2">
        <v>2272.6242851342899</v>
      </c>
      <c r="AV3925" s="2">
        <v>1888.80810017619</v>
      </c>
      <c r="AW3925" s="2">
        <v>2521.4719520622002</v>
      </c>
      <c r="AX3925" s="2">
        <v>2975.6574512568</v>
      </c>
    </row>
    <row r="3926" spans="1:50" x14ac:dyDescent="0.25">
      <c r="A3926" s="2" t="s">
        <v>25963</v>
      </c>
      <c r="B3926" s="2">
        <v>372.34845908830403</v>
      </c>
      <c r="C3926" s="2">
        <v>10.9667166666667</v>
      </c>
      <c r="D3926" s="2" t="s">
        <v>51</v>
      </c>
      <c r="E3926" s="2" t="s">
        <v>25964</v>
      </c>
      <c r="F3926" s="2">
        <v>2142</v>
      </c>
      <c r="G3926" s="3" t="str">
        <f>HYPERLINK("https://cloud.oebiotech.com/#/lm/network/2142", "https://cloud.oebiotech.com/#/lm/network/2142")</f>
        <v>https://cloud.oebiotech.com/#/lm/network/2142</v>
      </c>
      <c r="H3926" s="2"/>
      <c r="I3926" s="2">
        <v>74779</v>
      </c>
      <c r="J3926" s="2" t="s">
        <v>25965</v>
      </c>
      <c r="K3926" s="2">
        <v>5312929</v>
      </c>
      <c r="L3926" s="2"/>
      <c r="M3926" s="2"/>
      <c r="N3926" s="2"/>
      <c r="O3926" s="2"/>
      <c r="P3926" s="2"/>
      <c r="Q3926" s="2"/>
      <c r="R3926" s="2"/>
      <c r="S3926" s="2" t="s">
        <v>25966</v>
      </c>
      <c r="T3926" s="2" t="s">
        <v>25967</v>
      </c>
      <c r="U3926" s="2" t="s">
        <v>56</v>
      </c>
      <c r="V3926" s="2" t="s">
        <v>145</v>
      </c>
      <c r="W3926" s="2" t="s">
        <v>231</v>
      </c>
      <c r="X3926" s="2" t="s">
        <v>147</v>
      </c>
      <c r="Y3926" s="2">
        <v>37.299999999999997</v>
      </c>
      <c r="Z3926" s="2">
        <v>0</v>
      </c>
      <c r="AA3926" s="2" t="s">
        <v>512</v>
      </c>
      <c r="AB3926" s="2" t="s">
        <v>3342</v>
      </c>
      <c r="AC3926" s="2">
        <v>3.4950772406167698</v>
      </c>
      <c r="AD3926" s="2"/>
      <c r="AE3926" s="2">
        <v>0.12875392909348199</v>
      </c>
      <c r="AF3926" s="2">
        <v>2616.43290714761</v>
      </c>
      <c r="AG3926" s="2">
        <v>3333.1370527459999</v>
      </c>
      <c r="AH3926" s="4">
        <v>0.784976094814965</v>
      </c>
      <c r="AI3926" s="4">
        <v>-0.349279375172312</v>
      </c>
      <c r="AJ3926" s="4" t="s">
        <v>62</v>
      </c>
      <c r="AK3926" s="2">
        <v>0.13967776687785</v>
      </c>
      <c r="AL3926" s="2">
        <v>0.45949604540634398</v>
      </c>
      <c r="AM3926" s="2">
        <v>2682.28524825662</v>
      </c>
      <c r="AN3926" s="2">
        <v>3267.3647624921</v>
      </c>
      <c r="AO3926" s="2">
        <v>3661.94575998139</v>
      </c>
      <c r="AP3926" s="2">
        <v>1865.2044331638699</v>
      </c>
      <c r="AQ3926" s="2">
        <v>2200.7270732772299</v>
      </c>
      <c r="AR3926" s="2">
        <v>2021.07016571447</v>
      </c>
      <c r="AS3926" s="2">
        <v>2770.7414375887702</v>
      </c>
      <c r="AT3926" s="2">
        <v>3366.63687493833</v>
      </c>
      <c r="AU3926" s="2">
        <v>1973.22058780768</v>
      </c>
      <c r="AV3926" s="2">
        <v>3949.0058481473402</v>
      </c>
      <c r="AW3926" s="2">
        <v>3878.7464376662901</v>
      </c>
      <c r="AX3926" s="2">
        <v>4060.4711303275699</v>
      </c>
    </row>
    <row r="3927" spans="1:50" x14ac:dyDescent="0.25">
      <c r="A3927" s="2" t="s">
        <v>25968</v>
      </c>
      <c r="B3927" s="2">
        <v>206.08191183415801</v>
      </c>
      <c r="C3927" s="2">
        <v>4.9764666666666697</v>
      </c>
      <c r="D3927" s="2" t="s">
        <v>51</v>
      </c>
      <c r="E3927" s="2" t="s">
        <v>25969</v>
      </c>
      <c r="F3927" s="2">
        <v>47151</v>
      </c>
      <c r="G3927" s="3" t="str">
        <f>HYPERLINK("https://cloud.oebiotech.com/#/lm/network/47151", "https://cloud.oebiotech.com/#/lm/network/47151")</f>
        <v>https://cloud.oebiotech.com/#/lm/network/47151</v>
      </c>
      <c r="H3927" s="2" t="s">
        <v>25970</v>
      </c>
      <c r="I3927" s="2"/>
      <c r="J3927" s="2"/>
      <c r="K3927" s="2">
        <v>676157</v>
      </c>
      <c r="L3927" s="2" t="s">
        <v>25971</v>
      </c>
      <c r="M3927" s="2"/>
      <c r="N3927" s="2"/>
      <c r="O3927" s="2"/>
      <c r="P3927" s="2"/>
      <c r="Q3927" s="2"/>
      <c r="R3927" s="2" t="s">
        <v>25972</v>
      </c>
      <c r="S3927" s="2" t="s">
        <v>25973</v>
      </c>
      <c r="T3927" s="2" t="s">
        <v>25974</v>
      </c>
      <c r="U3927" s="2" t="s">
        <v>266</v>
      </c>
      <c r="V3927" s="2" t="s">
        <v>445</v>
      </c>
      <c r="W3927" s="2" t="s">
        <v>3768</v>
      </c>
      <c r="X3927" s="2" t="s">
        <v>69</v>
      </c>
      <c r="Y3927" s="2">
        <v>62.9</v>
      </c>
      <c r="Z3927" s="2">
        <v>84.3</v>
      </c>
      <c r="AA3927" s="2" t="s">
        <v>179</v>
      </c>
      <c r="AB3927" s="2" t="s">
        <v>25975</v>
      </c>
      <c r="AC3927" s="2">
        <v>3.6191145345591398</v>
      </c>
      <c r="AD3927" s="2"/>
      <c r="AE3927" s="2">
        <v>0.12866406984017401</v>
      </c>
      <c r="AF3927" s="2">
        <v>11290.2853868033</v>
      </c>
      <c r="AG3927" s="2">
        <v>10706.3559744061</v>
      </c>
      <c r="AH3927" s="5">
        <v>1.05454044436717</v>
      </c>
      <c r="AI3927" s="5">
        <v>7.6614427297571702E-2</v>
      </c>
      <c r="AJ3927" s="5" t="s">
        <v>139</v>
      </c>
      <c r="AK3927" s="2">
        <v>0.87939702901292105</v>
      </c>
      <c r="AL3927" s="2">
        <v>0.94771830844975702</v>
      </c>
      <c r="AM3927" s="2">
        <v>18090.0531722251</v>
      </c>
      <c r="AN3927" s="2">
        <v>9120.8671798505802</v>
      </c>
      <c r="AO3927" s="2">
        <v>5655.3493187928098</v>
      </c>
      <c r="AP3927" s="2">
        <v>10266.481383402501</v>
      </c>
      <c r="AQ3927" s="2">
        <v>12816.4587610039</v>
      </c>
      <c r="AR3927" s="2">
        <v>11792.5025055447</v>
      </c>
      <c r="AS3927" s="2">
        <v>12078.277433859101</v>
      </c>
      <c r="AT3927" s="2">
        <v>26540.821217956502</v>
      </c>
      <c r="AU3927" s="2">
        <v>7139.3527026871398</v>
      </c>
      <c r="AV3927" s="2">
        <v>3781.8641459202399</v>
      </c>
      <c r="AW3927" s="2">
        <v>7405.3114857866303</v>
      </c>
      <c r="AX3927" s="2">
        <v>7292.5088602269398</v>
      </c>
    </row>
    <row r="3928" spans="1:50" x14ac:dyDescent="0.25">
      <c r="A3928" s="2" t="s">
        <v>25976</v>
      </c>
      <c r="B3928" s="2">
        <v>169.122496826005</v>
      </c>
      <c r="C3928" s="2">
        <v>7.2658333333333296</v>
      </c>
      <c r="D3928" s="2" t="s">
        <v>51</v>
      </c>
      <c r="E3928" s="2" t="s">
        <v>25977</v>
      </c>
      <c r="F3928" s="2">
        <v>6343</v>
      </c>
      <c r="G3928" s="3" t="str">
        <f>HYPERLINK("https://cloud.oebiotech.com/#/lm/network/6343", "https://cloud.oebiotech.com/#/lm/network/6343")</f>
        <v>https://cloud.oebiotech.com/#/lm/network/6343</v>
      </c>
      <c r="H3928" s="2" t="s">
        <v>25978</v>
      </c>
      <c r="I3928" s="2">
        <v>92922</v>
      </c>
      <c r="J3928" s="2" t="s">
        <v>25979</v>
      </c>
      <c r="K3928" s="2">
        <v>15241411</v>
      </c>
      <c r="L3928" s="2"/>
      <c r="M3928" s="2"/>
      <c r="N3928" s="2"/>
      <c r="O3928" s="2"/>
      <c r="P3928" s="2"/>
      <c r="Q3928" s="2"/>
      <c r="R3928" s="2" t="s">
        <v>25980</v>
      </c>
      <c r="S3928" s="2" t="s">
        <v>25981</v>
      </c>
      <c r="T3928" s="2" t="s">
        <v>25982</v>
      </c>
      <c r="U3928" s="2" t="s">
        <v>56</v>
      </c>
      <c r="V3928" s="2" t="s">
        <v>145</v>
      </c>
      <c r="W3928" s="2" t="s">
        <v>146</v>
      </c>
      <c r="X3928" s="2" t="s">
        <v>147</v>
      </c>
      <c r="Y3928" s="2">
        <v>40.5</v>
      </c>
      <c r="Z3928" s="2">
        <v>13.1</v>
      </c>
      <c r="AA3928" s="2" t="s">
        <v>379</v>
      </c>
      <c r="AB3928" s="2" t="s">
        <v>16206</v>
      </c>
      <c r="AC3928" s="2">
        <v>-4.8184760208569903</v>
      </c>
      <c r="AD3928" s="2"/>
      <c r="AE3928" s="2">
        <v>0.128649716138862</v>
      </c>
      <c r="AF3928" s="2">
        <v>1391.2359060804799</v>
      </c>
      <c r="AG3928" s="2">
        <v>829.844286316541</v>
      </c>
      <c r="AH3928" s="5">
        <v>1.6765023619742001</v>
      </c>
      <c r="AI3928" s="5">
        <v>0.74545451570316601</v>
      </c>
      <c r="AJ3928" s="5" t="s">
        <v>139</v>
      </c>
      <c r="AK3928" s="2">
        <v>8.1650622325460998E-2</v>
      </c>
      <c r="AL3928" s="2">
        <v>0.36976334458143501</v>
      </c>
      <c r="AM3928" s="2">
        <v>968.31612991682005</v>
      </c>
      <c r="AN3928" s="2">
        <v>2326.49651119283</v>
      </c>
      <c r="AO3928" s="2">
        <v>838.91670907629202</v>
      </c>
      <c r="AP3928" s="2">
        <v>974.20593157334099</v>
      </c>
      <c r="AQ3928" s="2">
        <v>1658.19259244827</v>
      </c>
      <c r="AR3928" s="2">
        <v>1581.2875622753099</v>
      </c>
      <c r="AS3928" s="2">
        <v>801.48581523093003</v>
      </c>
      <c r="AT3928" s="2">
        <v>355.205281496086</v>
      </c>
      <c r="AU3928" s="2">
        <v>1536.1975995641701</v>
      </c>
      <c r="AV3928" s="2">
        <v>561.745598730143</v>
      </c>
      <c r="AW3928" s="2">
        <v>1067.44196384833</v>
      </c>
      <c r="AX3928" s="2">
        <v>656.98945902958803</v>
      </c>
    </row>
    <row r="3929" spans="1:50" x14ac:dyDescent="0.25">
      <c r="A3929" s="2" t="s">
        <v>25983</v>
      </c>
      <c r="B3929" s="2">
        <v>241.10796478784999</v>
      </c>
      <c r="C3929" s="2">
        <v>5.1084166666666704</v>
      </c>
      <c r="D3929" s="2" t="s">
        <v>51</v>
      </c>
      <c r="E3929" s="2" t="s">
        <v>25984</v>
      </c>
      <c r="F3929" s="2">
        <v>255389</v>
      </c>
      <c r="G3929" s="3" t="str">
        <f>HYPERLINK("https://cloud.oebiotech.com/#/lm/network/255389", "https://cloud.oebiotech.com/#/lm/network/255389")</f>
        <v>https://cloud.oebiotech.com/#/lm/network/255389</v>
      </c>
      <c r="H3929" s="2" t="s">
        <v>25985</v>
      </c>
      <c r="I3929" s="2"/>
      <c r="J3929" s="2"/>
      <c r="K3929" s="2">
        <v>100332</v>
      </c>
      <c r="L3929" s="2"/>
      <c r="M3929" s="2"/>
      <c r="N3929" s="2"/>
      <c r="O3929" s="2"/>
      <c r="P3929" s="2"/>
      <c r="Q3929" s="2"/>
      <c r="R3929" s="2"/>
      <c r="S3929" s="2" t="s">
        <v>25986</v>
      </c>
      <c r="T3929" s="2" t="s">
        <v>25987</v>
      </c>
      <c r="U3929" s="2" t="s">
        <v>266</v>
      </c>
      <c r="V3929" s="2" t="s">
        <v>4611</v>
      </c>
      <c r="W3929" s="2" t="s">
        <v>240</v>
      </c>
      <c r="X3929" s="2" t="s">
        <v>83</v>
      </c>
      <c r="Y3929" s="2">
        <v>53.8</v>
      </c>
      <c r="Z3929" s="2">
        <v>0</v>
      </c>
      <c r="AA3929" s="2" t="s">
        <v>218</v>
      </c>
      <c r="AB3929" s="2" t="s">
        <v>11306</v>
      </c>
      <c r="AC3929" s="2">
        <v>-0.93036562270994505</v>
      </c>
      <c r="AD3929" s="2"/>
      <c r="AE3929" s="2">
        <v>0.12863137635499799</v>
      </c>
      <c r="AF3929" s="2">
        <v>2166.8417143427901</v>
      </c>
      <c r="AG3929" s="2">
        <v>1696.34486077924</v>
      </c>
      <c r="AH3929" s="5">
        <v>1.27735920003166</v>
      </c>
      <c r="AI3929" s="5">
        <v>0.35316427542043799</v>
      </c>
      <c r="AJ3929" s="5" t="s">
        <v>139</v>
      </c>
      <c r="AK3929" s="2">
        <v>9.8856510525539801E-2</v>
      </c>
      <c r="AL3929" s="2">
        <v>0.400621913303843</v>
      </c>
      <c r="AM3929" s="2">
        <v>2535.5932052503299</v>
      </c>
      <c r="AN3929" s="2">
        <v>2130.9576362246398</v>
      </c>
      <c r="AO3929" s="2">
        <v>2773.2336899300199</v>
      </c>
      <c r="AP3929" s="2">
        <v>1753.5912729648401</v>
      </c>
      <c r="AQ3929" s="2">
        <v>2117.27565879854</v>
      </c>
      <c r="AR3929" s="2">
        <v>1690.39882288837</v>
      </c>
      <c r="AS3929" s="2">
        <v>2270.5929641790499</v>
      </c>
      <c r="AT3929" s="2">
        <v>1247.5937587979199</v>
      </c>
      <c r="AU3929" s="2">
        <v>2086.6654686849101</v>
      </c>
      <c r="AV3929" s="2">
        <v>1944.7517600167</v>
      </c>
      <c r="AW3929" s="2">
        <v>1135.9599192253199</v>
      </c>
      <c r="AX3929" s="2">
        <v>1492.50529377154</v>
      </c>
    </row>
    <row r="3930" spans="1:50" x14ac:dyDescent="0.25">
      <c r="A3930" s="2" t="s">
        <v>25988</v>
      </c>
      <c r="B3930" s="2">
        <v>283.24313251116803</v>
      </c>
      <c r="C3930" s="2">
        <v>12.363666666666701</v>
      </c>
      <c r="D3930" s="2" t="s">
        <v>51</v>
      </c>
      <c r="E3930" s="2" t="s">
        <v>25989</v>
      </c>
      <c r="F3930" s="2">
        <v>210558</v>
      </c>
      <c r="G3930" s="3" t="str">
        <f>HYPERLINK("https://cloud.oebiotech.com/#/lm/network/210558", "https://cloud.oebiotech.com/#/lm/network/210558")</f>
        <v>https://cloud.oebiotech.com/#/lm/network/210558</v>
      </c>
      <c r="H3930" s="2" t="s">
        <v>25990</v>
      </c>
      <c r="I3930" s="2"/>
      <c r="J3930" s="2"/>
      <c r="K3930" s="2">
        <v>536978</v>
      </c>
      <c r="L3930" s="2"/>
      <c r="M3930" s="2"/>
      <c r="N3930" s="2"/>
      <c r="O3930" s="2"/>
      <c r="P3930" s="2"/>
      <c r="Q3930" s="2"/>
      <c r="R3930" s="2"/>
      <c r="S3930" s="2" t="s">
        <v>25991</v>
      </c>
      <c r="T3930" s="2" t="s">
        <v>25992</v>
      </c>
      <c r="U3930" s="2" t="s">
        <v>56</v>
      </c>
      <c r="V3930" s="2" t="s">
        <v>283</v>
      </c>
      <c r="W3930" s="2" t="s">
        <v>3686</v>
      </c>
      <c r="X3930" s="2" t="s">
        <v>147</v>
      </c>
      <c r="Y3930" s="2">
        <v>38.200000000000003</v>
      </c>
      <c r="Z3930" s="2">
        <v>0</v>
      </c>
      <c r="AA3930" s="2" t="s">
        <v>379</v>
      </c>
      <c r="AB3930" s="2" t="s">
        <v>25993</v>
      </c>
      <c r="AC3930" s="2">
        <v>2.6206587026597301E-2</v>
      </c>
      <c r="AD3930" s="2"/>
      <c r="AE3930" s="2">
        <v>0.128495317279611</v>
      </c>
      <c r="AF3930" s="2">
        <v>815.56795546401304</v>
      </c>
      <c r="AG3930" s="2">
        <v>1552.15465365467</v>
      </c>
      <c r="AH3930" s="4">
        <v>0.52544245738895501</v>
      </c>
      <c r="AI3930" s="4">
        <v>-0.92839531544796805</v>
      </c>
      <c r="AJ3930" s="4" t="s">
        <v>62</v>
      </c>
      <c r="AK3930" s="2">
        <v>0.20174446474502999</v>
      </c>
      <c r="AL3930" s="2">
        <v>0.52510166032058003</v>
      </c>
      <c r="AM3930" s="2">
        <v>1932.6985674156699</v>
      </c>
      <c r="AN3930" s="2">
        <v>532.59331333178</v>
      </c>
      <c r="AO3930" s="2">
        <v>628.22304266670994</v>
      </c>
      <c r="AP3930" s="2">
        <v>607.67133824321297</v>
      </c>
      <c r="AQ3930" s="2">
        <v>467.41847869180299</v>
      </c>
      <c r="AR3930" s="2">
        <v>724.80299243490299</v>
      </c>
      <c r="AS3930" s="2">
        <v>402.36607873804502</v>
      </c>
      <c r="AT3930" s="2">
        <v>565.55789841911098</v>
      </c>
      <c r="AU3930" s="2">
        <v>1005.9077146242701</v>
      </c>
      <c r="AV3930" s="2">
        <v>1848.62487942302</v>
      </c>
      <c r="AW3930" s="2">
        <v>3654.4547794753198</v>
      </c>
      <c r="AX3930" s="2">
        <v>1836.0165712482701</v>
      </c>
    </row>
    <row r="3931" spans="1:50" x14ac:dyDescent="0.25">
      <c r="A3931" s="2" t="s">
        <v>25994</v>
      </c>
      <c r="B3931" s="2">
        <v>310.17719064654398</v>
      </c>
      <c r="C3931" s="2">
        <v>4.3206499999999997</v>
      </c>
      <c r="D3931" s="2" t="s">
        <v>51</v>
      </c>
      <c r="E3931" s="2" t="s">
        <v>25995</v>
      </c>
      <c r="F3931" s="2">
        <v>51469</v>
      </c>
      <c r="G3931" s="3" t="str">
        <f>HYPERLINK("https://cloud.oebiotech.com/#/lm/network/51469", "https://cloud.oebiotech.com/#/lm/network/51469")</f>
        <v>https://cloud.oebiotech.com/#/lm/network/51469</v>
      </c>
      <c r="H3931" s="2" t="s">
        <v>25996</v>
      </c>
      <c r="I3931" s="2">
        <v>62425</v>
      </c>
      <c r="J3931" s="2"/>
      <c r="K3931" s="2">
        <v>9943917</v>
      </c>
      <c r="L3931" s="2"/>
      <c r="M3931" s="2"/>
      <c r="N3931" s="2"/>
      <c r="O3931" s="2">
        <v>165896</v>
      </c>
      <c r="P3931" s="2"/>
      <c r="Q3931" s="2"/>
      <c r="R3931" s="2"/>
      <c r="S3931" s="2" t="s">
        <v>25997</v>
      </c>
      <c r="T3931" s="2" t="s">
        <v>25998</v>
      </c>
      <c r="U3931" s="2" t="s">
        <v>103</v>
      </c>
      <c r="V3931" s="2" t="s">
        <v>104</v>
      </c>
      <c r="W3931" s="2" t="s">
        <v>105</v>
      </c>
      <c r="X3931" s="2" t="s">
        <v>83</v>
      </c>
      <c r="Y3931" s="2">
        <v>42.1</v>
      </c>
      <c r="Z3931" s="2">
        <v>0</v>
      </c>
      <c r="AA3931" s="2" t="s">
        <v>512</v>
      </c>
      <c r="AB3931" s="2" t="s">
        <v>24029</v>
      </c>
      <c r="AC3931" s="2">
        <v>3.6214792510586298</v>
      </c>
      <c r="AD3931" s="2"/>
      <c r="AE3931" s="2">
        <v>0.128406530472117</v>
      </c>
      <c r="AF3931" s="2">
        <v>2822.4407417708699</v>
      </c>
      <c r="AG3931" s="2">
        <v>1831.7307087730001</v>
      </c>
      <c r="AH3931" s="5">
        <v>1.54086008835955</v>
      </c>
      <c r="AI3931" s="5">
        <v>0.62373586964397199</v>
      </c>
      <c r="AJ3931" s="5" t="s">
        <v>139</v>
      </c>
      <c r="AK3931" s="2">
        <v>0.167953034017613</v>
      </c>
      <c r="AL3931" s="2">
        <v>0.49098458663462602</v>
      </c>
      <c r="AM3931" s="2">
        <v>1533.7714191308</v>
      </c>
      <c r="AN3931" s="2">
        <v>2162.81178248791</v>
      </c>
      <c r="AO3931" s="2">
        <v>4283.1442219823803</v>
      </c>
      <c r="AP3931" s="2">
        <v>2738.4485775316898</v>
      </c>
      <c r="AQ3931" s="2">
        <v>2989.4145746404301</v>
      </c>
      <c r="AR3931" s="2">
        <v>3227.0538748520198</v>
      </c>
      <c r="AS3931" s="2">
        <v>2534.8322769735601</v>
      </c>
      <c r="AT3931" s="2">
        <v>1112.41436700286</v>
      </c>
      <c r="AU3931" s="2">
        <v>1363.4184551230501</v>
      </c>
      <c r="AV3931" s="2">
        <v>8.559877937157E-6</v>
      </c>
      <c r="AW3931" s="2">
        <v>2087.9838815156299</v>
      </c>
      <c r="AX3931" s="2">
        <v>3891.7352634630502</v>
      </c>
    </row>
    <row r="3932" spans="1:50" x14ac:dyDescent="0.25">
      <c r="A3932" s="2" t="s">
        <v>25999</v>
      </c>
      <c r="B3932" s="2">
        <v>335.29578409961499</v>
      </c>
      <c r="C3932" s="2">
        <v>14.757666666666699</v>
      </c>
      <c r="D3932" s="2" t="s">
        <v>51</v>
      </c>
      <c r="E3932" s="2" t="s">
        <v>26000</v>
      </c>
      <c r="F3932" s="2">
        <v>896</v>
      </c>
      <c r="G3932" s="3" t="str">
        <f>HYPERLINK("https://cloud.oebiotech.com/#/lm/network/896", "https://cloud.oebiotech.com/#/lm/network/896")</f>
        <v>https://cloud.oebiotech.com/#/lm/network/896</v>
      </c>
      <c r="H3932" s="2" t="s">
        <v>26001</v>
      </c>
      <c r="I3932" s="2">
        <v>35068</v>
      </c>
      <c r="J3932" s="2" t="s">
        <v>26002</v>
      </c>
      <c r="K3932" s="2">
        <v>5312554</v>
      </c>
      <c r="L3932" s="2" t="s">
        <v>26003</v>
      </c>
      <c r="M3932" s="2" t="s">
        <v>3305</v>
      </c>
      <c r="N3932" s="2" t="s">
        <v>3306</v>
      </c>
      <c r="O3932" s="2">
        <v>75117</v>
      </c>
      <c r="P3932" s="2"/>
      <c r="Q3932" s="2"/>
      <c r="R3932" s="2" t="s">
        <v>26004</v>
      </c>
      <c r="S3932" s="2" t="s">
        <v>26005</v>
      </c>
      <c r="T3932" s="2" t="s">
        <v>26006</v>
      </c>
      <c r="U3932" s="2" t="s">
        <v>56</v>
      </c>
      <c r="V3932" s="2" t="s">
        <v>145</v>
      </c>
      <c r="W3932" s="2" t="s">
        <v>231</v>
      </c>
      <c r="X3932" s="2" t="s">
        <v>83</v>
      </c>
      <c r="Y3932" s="2">
        <v>43</v>
      </c>
      <c r="Z3932" s="2">
        <v>0</v>
      </c>
      <c r="AA3932" s="2" t="s">
        <v>163</v>
      </c>
      <c r="AB3932" s="2" t="s">
        <v>26007</v>
      </c>
      <c r="AC3932" s="2">
        <v>0.68393624414756504</v>
      </c>
      <c r="AD3932" s="2"/>
      <c r="AE3932" s="2">
        <v>0.12837041716691</v>
      </c>
      <c r="AF3932" s="2">
        <v>1398.4047687063701</v>
      </c>
      <c r="AG3932" s="2">
        <v>1967.0239968787901</v>
      </c>
      <c r="AH3932" s="4">
        <v>0.71092410205738099</v>
      </c>
      <c r="AI3932" s="4">
        <v>-0.49223254830593299</v>
      </c>
      <c r="AJ3932" s="4" t="s">
        <v>62</v>
      </c>
      <c r="AK3932" s="2">
        <v>4.7174006850961903E-2</v>
      </c>
      <c r="AL3932" s="2">
        <v>0.30522279231324101</v>
      </c>
      <c r="AM3932" s="2">
        <v>1397.4217451131001</v>
      </c>
      <c r="AN3932" s="2">
        <v>645.94718764098502</v>
      </c>
      <c r="AO3932" s="2">
        <v>1738.68366673385</v>
      </c>
      <c r="AP3932" s="2">
        <v>1177.5056562047801</v>
      </c>
      <c r="AQ3932" s="2">
        <v>1717.2172078650699</v>
      </c>
      <c r="AR3932" s="2">
        <v>1713.6531486804399</v>
      </c>
      <c r="AS3932" s="2">
        <v>1631.3292436870599</v>
      </c>
      <c r="AT3932" s="2">
        <v>1935.4863491612</v>
      </c>
      <c r="AU3932" s="2">
        <v>2794.02278361459</v>
      </c>
      <c r="AV3932" s="2">
        <v>2064.8595276124101</v>
      </c>
      <c r="AW3932" s="2">
        <v>1705.3555644230701</v>
      </c>
      <c r="AX3932" s="2">
        <v>1671.0905127743799</v>
      </c>
    </row>
    <row r="3933" spans="1:50" x14ac:dyDescent="0.25">
      <c r="A3933" s="2" t="s">
        <v>26008</v>
      </c>
      <c r="B3933" s="2">
        <v>448.30528356247697</v>
      </c>
      <c r="C3933" s="2">
        <v>8.1293166666666696</v>
      </c>
      <c r="D3933" s="2" t="s">
        <v>51</v>
      </c>
      <c r="E3933" s="2" t="s">
        <v>26009</v>
      </c>
      <c r="F3933" s="2">
        <v>46739</v>
      </c>
      <c r="G3933" s="3" t="str">
        <f>HYPERLINK("https://cloud.oebiotech.com/#/lm/network/46739", "https://cloud.oebiotech.com/#/lm/network/46739")</f>
        <v>https://cloud.oebiotech.com/#/lm/network/46739</v>
      </c>
      <c r="H3933" s="2"/>
      <c r="I3933" s="2"/>
      <c r="J3933" s="2" t="s">
        <v>26010</v>
      </c>
      <c r="K3933" s="2"/>
      <c r="L3933" s="2"/>
      <c r="M3933" s="2"/>
      <c r="N3933" s="2"/>
      <c r="O3933" s="2"/>
      <c r="P3933" s="2"/>
      <c r="Q3933" s="2"/>
      <c r="R3933" s="2"/>
      <c r="S3933" s="2" t="s">
        <v>26011</v>
      </c>
      <c r="T3933" s="2" t="s">
        <v>26012</v>
      </c>
      <c r="U3933" s="2" t="s">
        <v>56</v>
      </c>
      <c r="V3933" s="2" t="s">
        <v>283</v>
      </c>
      <c r="W3933" s="2" t="s">
        <v>2042</v>
      </c>
      <c r="X3933" s="2" t="s">
        <v>147</v>
      </c>
      <c r="Y3933" s="2">
        <v>45</v>
      </c>
      <c r="Z3933" s="2">
        <v>39.1</v>
      </c>
      <c r="AA3933" s="2" t="s">
        <v>259</v>
      </c>
      <c r="AB3933" s="2" t="s">
        <v>26013</v>
      </c>
      <c r="AC3933" s="2">
        <v>-1.04245156269492</v>
      </c>
      <c r="AD3933" s="2"/>
      <c r="AE3933" s="2">
        <v>0.128267890897551</v>
      </c>
      <c r="AF3933" s="2">
        <v>1120.11073448297</v>
      </c>
      <c r="AG3933" s="2">
        <v>1678.04417121027</v>
      </c>
      <c r="AH3933" s="4">
        <v>0.66750968401213395</v>
      </c>
      <c r="AI3933" s="4">
        <v>-0.58313932778763999</v>
      </c>
      <c r="AJ3933" s="4" t="s">
        <v>62</v>
      </c>
      <c r="AK3933" s="2">
        <v>0.138631170585785</v>
      </c>
      <c r="AL3933" s="2">
        <v>0.45923352345858398</v>
      </c>
      <c r="AM3933" s="2">
        <v>1378.96267479327</v>
      </c>
      <c r="AN3933" s="2">
        <v>332.612248847329</v>
      </c>
      <c r="AO3933" s="2">
        <v>1520.4414866879399</v>
      </c>
      <c r="AP3933" s="2">
        <v>695.95994402120596</v>
      </c>
      <c r="AQ3933" s="2">
        <v>1486.50843461308</v>
      </c>
      <c r="AR3933" s="2">
        <v>1306.1796179349899</v>
      </c>
      <c r="AS3933" s="2">
        <v>1409.66494196809</v>
      </c>
      <c r="AT3933" s="2">
        <v>1262.2244246114899</v>
      </c>
      <c r="AU3933" s="2">
        <v>1175.6524413857101</v>
      </c>
      <c r="AV3933" s="2">
        <v>3015.17931726079</v>
      </c>
      <c r="AW3933" s="2">
        <v>1364.92844971625</v>
      </c>
      <c r="AX3933" s="2">
        <v>1840.6154523192799</v>
      </c>
    </row>
    <row r="3934" spans="1:50" x14ac:dyDescent="0.25">
      <c r="A3934" s="2" t="s">
        <v>26014</v>
      </c>
      <c r="B3934" s="2">
        <v>267.05835222130997</v>
      </c>
      <c r="C3934" s="2">
        <v>7.8818000000000001</v>
      </c>
      <c r="D3934" s="2" t="s">
        <v>51</v>
      </c>
      <c r="E3934" s="2" t="s">
        <v>26015</v>
      </c>
      <c r="F3934" s="2">
        <v>213200</v>
      </c>
      <c r="G3934" s="3" t="str">
        <f>HYPERLINK("https://cloud.oebiotech.com/#/lm/network/213200", "https://cloud.oebiotech.com/#/lm/network/213200")</f>
        <v>https://cloud.oebiotech.com/#/lm/network/213200</v>
      </c>
      <c r="H3934" s="2" t="s">
        <v>26016</v>
      </c>
      <c r="I3934" s="2"/>
      <c r="J3934" s="2"/>
      <c r="K3934" s="2"/>
      <c r="L3934" s="2"/>
      <c r="M3934" s="2"/>
      <c r="N3934" s="2"/>
      <c r="O3934" s="2">
        <v>46548</v>
      </c>
      <c r="P3934" s="2"/>
      <c r="Q3934" s="2"/>
      <c r="R3934" s="2"/>
      <c r="S3934" s="2" t="s">
        <v>26017</v>
      </c>
      <c r="T3934" s="2" t="s">
        <v>26018</v>
      </c>
      <c r="U3934" s="2" t="s">
        <v>266</v>
      </c>
      <c r="V3934" s="2" t="s">
        <v>3926</v>
      </c>
      <c r="W3934" s="2" t="s">
        <v>23400</v>
      </c>
      <c r="X3934" s="2" t="s">
        <v>147</v>
      </c>
      <c r="Y3934" s="2">
        <v>38.700000000000003</v>
      </c>
      <c r="Z3934" s="2">
        <v>0</v>
      </c>
      <c r="AA3934" s="2" t="s">
        <v>163</v>
      </c>
      <c r="AB3934" s="2" t="s">
        <v>26019</v>
      </c>
      <c r="AC3934" s="2">
        <v>-1.1936453382501599</v>
      </c>
      <c r="AD3934" s="2"/>
      <c r="AE3934" s="2">
        <v>0.12824680161381599</v>
      </c>
      <c r="AF3934" s="2">
        <v>1491.1688484695001</v>
      </c>
      <c r="AG3934" s="2">
        <v>2559.3879400799801</v>
      </c>
      <c r="AH3934" s="4">
        <v>0.58262712936863204</v>
      </c>
      <c r="AI3934" s="4">
        <v>-0.77935521439376698</v>
      </c>
      <c r="AJ3934" s="4" t="s">
        <v>62</v>
      </c>
      <c r="AK3934" s="2">
        <v>0.15253103607461599</v>
      </c>
      <c r="AL3934" s="2">
        <v>0.47381118742890099</v>
      </c>
      <c r="AM3934" s="2">
        <v>3161.6321968454199</v>
      </c>
      <c r="AN3934" s="2">
        <v>414.30389522309099</v>
      </c>
      <c r="AO3934" s="2">
        <v>2311.0991032418701</v>
      </c>
      <c r="AP3934" s="2">
        <v>8.559877937157E-6</v>
      </c>
      <c r="AQ3934" s="2">
        <v>938.69459140036895</v>
      </c>
      <c r="AR3934" s="2">
        <v>2121.28329554635</v>
      </c>
      <c r="AS3934" s="2">
        <v>3217.5950133257702</v>
      </c>
      <c r="AT3934" s="2">
        <v>1567.5879171970801</v>
      </c>
      <c r="AU3934" s="2">
        <v>4402.4254780505698</v>
      </c>
      <c r="AV3934" s="2">
        <v>1750.7870894918599</v>
      </c>
      <c r="AW3934" s="2">
        <v>2921.06260879923</v>
      </c>
      <c r="AX3934" s="2">
        <v>1496.8695336153701</v>
      </c>
    </row>
    <row r="3935" spans="1:50" x14ac:dyDescent="0.25">
      <c r="A3935" s="2" t="s">
        <v>26020</v>
      </c>
      <c r="B3935" s="2">
        <v>175.06037811891201</v>
      </c>
      <c r="C3935" s="2">
        <v>3.9329999999999998</v>
      </c>
      <c r="D3935" s="2" t="s">
        <v>51</v>
      </c>
      <c r="E3935" s="2" t="s">
        <v>26021</v>
      </c>
      <c r="F3935" s="2">
        <v>349</v>
      </c>
      <c r="G3935" s="3" t="str">
        <f>HYPERLINK("https://cloud.oebiotech.com/#/lm/network/349", "https://cloud.oebiotech.com/#/lm/network/349")</f>
        <v>https://cloud.oebiotech.com/#/lm/network/349</v>
      </c>
      <c r="H3935" s="2" t="s">
        <v>26022</v>
      </c>
      <c r="I3935" s="2">
        <v>5478</v>
      </c>
      <c r="J3935" s="2" t="s">
        <v>26023</v>
      </c>
      <c r="K3935" s="2">
        <v>439286</v>
      </c>
      <c r="L3935" s="2" t="s">
        <v>26024</v>
      </c>
      <c r="M3935" s="2" t="s">
        <v>26025</v>
      </c>
      <c r="N3935" s="2" t="s">
        <v>26026</v>
      </c>
      <c r="O3935" s="2">
        <v>15614</v>
      </c>
      <c r="P3935" s="2"/>
      <c r="Q3935" s="2"/>
      <c r="R3935" s="2" t="s">
        <v>26027</v>
      </c>
      <c r="S3935" s="2" t="s">
        <v>26028</v>
      </c>
      <c r="T3935" s="2" t="s">
        <v>26029</v>
      </c>
      <c r="U3935" s="2" t="s">
        <v>103</v>
      </c>
      <c r="V3935" s="2" t="s">
        <v>2602</v>
      </c>
      <c r="W3935" s="2" t="s">
        <v>19845</v>
      </c>
      <c r="X3935" s="2" t="s">
        <v>83</v>
      </c>
      <c r="Y3935" s="2">
        <v>54.9</v>
      </c>
      <c r="Z3935" s="2">
        <v>0</v>
      </c>
      <c r="AA3935" s="2" t="s">
        <v>218</v>
      </c>
      <c r="AB3935" s="2" t="s">
        <v>15268</v>
      </c>
      <c r="AC3935" s="2">
        <v>-6.2964140784061602</v>
      </c>
      <c r="AD3935" s="2"/>
      <c r="AE3935" s="2">
        <v>0.128156396605272</v>
      </c>
      <c r="AF3935" s="2">
        <v>3928.8967328242602</v>
      </c>
      <c r="AG3935" s="2">
        <v>3021.28248556887</v>
      </c>
      <c r="AH3935" s="5">
        <v>1.3004069469143</v>
      </c>
      <c r="AI3935" s="5">
        <v>0.37896316819414699</v>
      </c>
      <c r="AJ3935" s="5" t="s">
        <v>139</v>
      </c>
      <c r="AK3935" s="2">
        <v>0.67606284319622101</v>
      </c>
      <c r="AL3935" s="2">
        <v>0.84336293052077804</v>
      </c>
      <c r="AM3935" s="2">
        <v>9782.4818591623298</v>
      </c>
      <c r="AN3935" s="2">
        <v>411.63980239928901</v>
      </c>
      <c r="AO3935" s="2">
        <v>369.46358557689302</v>
      </c>
      <c r="AP3935" s="2">
        <v>4281.4487512264504</v>
      </c>
      <c r="AQ3935" s="2">
        <v>2941.0329761579701</v>
      </c>
      <c r="AR3935" s="2">
        <v>5787.3134224225996</v>
      </c>
      <c r="AS3935" s="2">
        <v>3375.88824239521</v>
      </c>
      <c r="AT3935" s="2">
        <v>713.82432933343296</v>
      </c>
      <c r="AU3935" s="2">
        <v>10310.1945000345</v>
      </c>
      <c r="AV3935" s="2">
        <v>2243.16583443326</v>
      </c>
      <c r="AW3935" s="2">
        <v>782.95519760981904</v>
      </c>
      <c r="AX3935" s="2">
        <v>701.66680960702297</v>
      </c>
    </row>
    <row r="3936" spans="1:50" x14ac:dyDescent="0.25">
      <c r="A3936" s="2" t="s">
        <v>26030</v>
      </c>
      <c r="B3936" s="2">
        <v>507.36748868931301</v>
      </c>
      <c r="C3936" s="2">
        <v>14.4369666666667</v>
      </c>
      <c r="D3936" s="2" t="s">
        <v>51</v>
      </c>
      <c r="E3936" s="2" t="s">
        <v>26031</v>
      </c>
      <c r="F3936" s="2">
        <v>44142</v>
      </c>
      <c r="G3936" s="3" t="str">
        <f>HYPERLINK("https://cloud.oebiotech.com/#/lm/network/44142", "https://cloud.oebiotech.com/#/lm/network/44142")</f>
        <v>https://cloud.oebiotech.com/#/lm/network/44142</v>
      </c>
      <c r="H3936" s="2"/>
      <c r="I3936" s="2"/>
      <c r="J3936" s="2" t="s">
        <v>26032</v>
      </c>
      <c r="K3936" s="2">
        <v>146682903</v>
      </c>
      <c r="L3936" s="2"/>
      <c r="M3936" s="2"/>
      <c r="N3936" s="2"/>
      <c r="O3936" s="2"/>
      <c r="P3936" s="2"/>
      <c r="Q3936" s="2"/>
      <c r="R3936" s="2"/>
      <c r="S3936" s="2" t="s">
        <v>26033</v>
      </c>
      <c r="T3936" s="2" t="s">
        <v>26034</v>
      </c>
      <c r="U3936" s="2" t="s">
        <v>56</v>
      </c>
      <c r="V3936" s="2" t="s">
        <v>283</v>
      </c>
      <c r="W3936" s="2" t="s">
        <v>1215</v>
      </c>
      <c r="X3936" s="2" t="s">
        <v>147</v>
      </c>
      <c r="Y3936" s="2">
        <v>39.4</v>
      </c>
      <c r="Z3936" s="2">
        <v>10.8</v>
      </c>
      <c r="AA3936" s="2" t="s">
        <v>259</v>
      </c>
      <c r="AB3936" s="2" t="s">
        <v>16512</v>
      </c>
      <c r="AC3936" s="2">
        <v>-1.04088549234405</v>
      </c>
      <c r="AD3936" s="2"/>
      <c r="AE3936" s="2">
        <v>0.128035350951692</v>
      </c>
      <c r="AF3936" s="2">
        <v>32484.843659990001</v>
      </c>
      <c r="AG3936" s="2">
        <v>33403.664698950699</v>
      </c>
      <c r="AH3936" s="4">
        <v>0.97249340612050805</v>
      </c>
      <c r="AI3936" s="4">
        <v>-4.0239626782871497E-2</v>
      </c>
      <c r="AJ3936" s="4" t="s">
        <v>62</v>
      </c>
      <c r="AK3936" s="2">
        <v>0.91480302739378805</v>
      </c>
      <c r="AL3936" s="2">
        <v>0.96366058811687005</v>
      </c>
      <c r="AM3936" s="2">
        <v>58643.380332489302</v>
      </c>
      <c r="AN3936" s="2">
        <v>44462.920554780299</v>
      </c>
      <c r="AO3936" s="2">
        <v>20346.882860173399</v>
      </c>
      <c r="AP3936" s="2">
        <v>23671.2144412167</v>
      </c>
      <c r="AQ3936" s="2">
        <v>21979.338852383498</v>
      </c>
      <c r="AR3936" s="2">
        <v>25805.3249188966</v>
      </c>
      <c r="AS3936" s="2">
        <v>13874.8434725304</v>
      </c>
      <c r="AT3936" s="2">
        <v>26424.347016018499</v>
      </c>
      <c r="AU3936" s="2">
        <v>51389.482630434301</v>
      </c>
      <c r="AV3936" s="2">
        <v>28858.828450334699</v>
      </c>
      <c r="AW3936" s="2">
        <v>35662.867136126202</v>
      </c>
      <c r="AX3936" s="2">
        <v>44211.619488260301</v>
      </c>
    </row>
    <row r="3937" spans="1:50" x14ac:dyDescent="0.25">
      <c r="A3937" s="2" t="s">
        <v>26035</v>
      </c>
      <c r="B3937" s="2">
        <v>307.07972688196003</v>
      </c>
      <c r="C3937" s="2">
        <v>8.0600333333333296</v>
      </c>
      <c r="D3937" s="2" t="s">
        <v>51</v>
      </c>
      <c r="E3937" s="2" t="s">
        <v>26036</v>
      </c>
      <c r="F3937" s="2">
        <v>257885</v>
      </c>
      <c r="G3937" s="3" t="str">
        <f>HYPERLINK("https://cloud.oebiotech.com/#/lm/network/257885", "https://cloud.oebiotech.com/#/lm/network/257885")</f>
        <v>https://cloud.oebiotech.com/#/lm/network/257885</v>
      </c>
      <c r="H3937" s="2"/>
      <c r="I3937" s="2">
        <v>1288</v>
      </c>
      <c r="J3937" s="2"/>
      <c r="K3937" s="2">
        <v>9837</v>
      </c>
      <c r="L3937" s="2"/>
      <c r="M3937" s="2"/>
      <c r="N3937" s="2"/>
      <c r="O3937" s="2"/>
      <c r="P3937" s="2"/>
      <c r="Q3937" s="2"/>
      <c r="R3937" s="2" t="s">
        <v>26037</v>
      </c>
      <c r="S3937" s="2" t="s">
        <v>26038</v>
      </c>
      <c r="T3937" s="2" t="s">
        <v>26039</v>
      </c>
      <c r="U3937" s="2" t="s">
        <v>610</v>
      </c>
      <c r="V3937" s="2" t="s">
        <v>611</v>
      </c>
      <c r="W3937" s="2" t="s">
        <v>1409</v>
      </c>
      <c r="X3937" s="2" t="s">
        <v>147</v>
      </c>
      <c r="Y3937" s="2">
        <v>39</v>
      </c>
      <c r="Z3937" s="2">
        <v>0</v>
      </c>
      <c r="AA3937" s="2" t="s">
        <v>478</v>
      </c>
      <c r="AB3937" s="2" t="s">
        <v>26040</v>
      </c>
      <c r="AC3937" s="2">
        <v>3.2067237407003999</v>
      </c>
      <c r="AD3937" s="2"/>
      <c r="AE3937" s="2">
        <v>0.128020991224325</v>
      </c>
      <c r="AF3937" s="2">
        <v>1677.2735840196599</v>
      </c>
      <c r="AG3937" s="2">
        <v>1219.94019068834</v>
      </c>
      <c r="AH3937" s="5">
        <v>1.3748818153726701</v>
      </c>
      <c r="AI3937" s="5">
        <v>0.45930761012542798</v>
      </c>
      <c r="AJ3937" s="5" t="s">
        <v>139</v>
      </c>
      <c r="AK3937" s="2">
        <v>0.127034830118541</v>
      </c>
      <c r="AL3937" s="2">
        <v>0.44626309510015799</v>
      </c>
      <c r="AM3937" s="2">
        <v>1998.7172839487</v>
      </c>
      <c r="AN3937" s="2">
        <v>1509.0131505638101</v>
      </c>
      <c r="AO3937" s="2">
        <v>1861.3136900512</v>
      </c>
      <c r="AP3937" s="2">
        <v>1409.8005205530001</v>
      </c>
      <c r="AQ3937" s="2">
        <v>1335.30501002305</v>
      </c>
      <c r="AR3937" s="2">
        <v>1949.4918489781901</v>
      </c>
      <c r="AS3937" s="2">
        <v>1315.33990553942</v>
      </c>
      <c r="AT3937" s="2">
        <v>2301.7884679448998</v>
      </c>
      <c r="AU3937" s="2">
        <v>777.41213936793304</v>
      </c>
      <c r="AV3937" s="2">
        <v>1325.08189215278</v>
      </c>
      <c r="AW3937" s="2">
        <v>1021.6401453867099</v>
      </c>
      <c r="AX3937" s="2">
        <v>578.37859373828803</v>
      </c>
    </row>
    <row r="3938" spans="1:50" x14ac:dyDescent="0.25">
      <c r="A3938" s="2" t="s">
        <v>26041</v>
      </c>
      <c r="B3938" s="2">
        <v>207.17487912691101</v>
      </c>
      <c r="C3938" s="2">
        <v>11.371549999999999</v>
      </c>
      <c r="D3938" s="2" t="s">
        <v>51</v>
      </c>
      <c r="E3938" s="2" t="s">
        <v>26042</v>
      </c>
      <c r="F3938" s="2">
        <v>1075</v>
      </c>
      <c r="G3938" s="3" t="str">
        <f>HYPERLINK("https://cloud.oebiotech.com/#/lm/network/1075", "https://cloud.oebiotech.com/#/lm/network/1075")</f>
        <v>https://cloud.oebiotech.com/#/lm/network/1075</v>
      </c>
      <c r="H3938" s="2"/>
      <c r="I3938" s="2">
        <v>74247</v>
      </c>
      <c r="J3938" s="2" t="s">
        <v>26043</v>
      </c>
      <c r="K3938" s="2">
        <v>5312711</v>
      </c>
      <c r="L3938" s="2"/>
      <c r="M3938" s="2"/>
      <c r="N3938" s="2"/>
      <c r="O3938" s="2"/>
      <c r="P3938" s="2"/>
      <c r="Q3938" s="2"/>
      <c r="R3938" s="2"/>
      <c r="S3938" s="2" t="s">
        <v>26044</v>
      </c>
      <c r="T3938" s="2" t="s">
        <v>26045</v>
      </c>
      <c r="U3938" s="2" t="s">
        <v>56</v>
      </c>
      <c r="V3938" s="2" t="s">
        <v>145</v>
      </c>
      <c r="W3938" s="2" t="s">
        <v>231</v>
      </c>
      <c r="X3938" s="2" t="s">
        <v>69</v>
      </c>
      <c r="Y3938" s="2">
        <v>54.8</v>
      </c>
      <c r="Z3938" s="2">
        <v>66.8</v>
      </c>
      <c r="AA3938" s="2" t="s">
        <v>156</v>
      </c>
      <c r="AB3938" s="2" t="s">
        <v>26046</v>
      </c>
      <c r="AC3938" s="2">
        <v>2.3970639288202298</v>
      </c>
      <c r="AD3938" s="2"/>
      <c r="AE3938" s="2">
        <v>0.12800127738630701</v>
      </c>
      <c r="AF3938" s="2">
        <v>13117.6309660561</v>
      </c>
      <c r="AG3938" s="2">
        <v>10266.3283964486</v>
      </c>
      <c r="AH3938" s="5">
        <v>1.2777334271319301</v>
      </c>
      <c r="AI3938" s="5">
        <v>0.353586878953352</v>
      </c>
      <c r="AJ3938" s="5" t="s">
        <v>139</v>
      </c>
      <c r="AK3938" s="2">
        <v>0.371153871935677</v>
      </c>
      <c r="AL3938" s="2">
        <v>0.65386959575136905</v>
      </c>
      <c r="AM3938" s="2">
        <v>5575.9196780681996</v>
      </c>
      <c r="AN3938" s="2">
        <v>12487.283622658</v>
      </c>
      <c r="AO3938" s="2">
        <v>15103.224472468701</v>
      </c>
      <c r="AP3938" s="2">
        <v>21424.899254961401</v>
      </c>
      <c r="AQ3938" s="2">
        <v>9572.0049439875202</v>
      </c>
      <c r="AR3938" s="2">
        <v>14542.4538241927</v>
      </c>
      <c r="AS3938" s="2">
        <v>12015.414652638399</v>
      </c>
      <c r="AT3938" s="2">
        <v>13107.1955245585</v>
      </c>
      <c r="AU3938" s="2">
        <v>5010.4557777147102</v>
      </c>
      <c r="AV3938" s="2">
        <v>6291.3384207977197</v>
      </c>
      <c r="AW3938" s="2">
        <v>18419.004764743098</v>
      </c>
      <c r="AX3938" s="2">
        <v>6754.56123823913</v>
      </c>
    </row>
    <row r="3939" spans="1:50" x14ac:dyDescent="0.25">
      <c r="A3939" s="2" t="s">
        <v>26047</v>
      </c>
      <c r="B3939" s="2">
        <v>327.06632309747198</v>
      </c>
      <c r="C3939" s="2">
        <v>7.2455166666666697</v>
      </c>
      <c r="D3939" s="2" t="s">
        <v>51</v>
      </c>
      <c r="E3939" s="2" t="s">
        <v>26048</v>
      </c>
      <c r="F3939" s="2">
        <v>210219</v>
      </c>
      <c r="G3939" s="3" t="str">
        <f>HYPERLINK("https://cloud.oebiotech.com/#/lm/network/210219", "https://cloud.oebiotech.com/#/lm/network/210219")</f>
        <v>https://cloud.oebiotech.com/#/lm/network/210219</v>
      </c>
      <c r="H3939" s="2" t="s">
        <v>26049</v>
      </c>
      <c r="I3939" s="2"/>
      <c r="J3939" s="2"/>
      <c r="K3939" s="2"/>
      <c r="L3939" s="2"/>
      <c r="M3939" s="2"/>
      <c r="N3939" s="2"/>
      <c r="O3939" s="2"/>
      <c r="P3939" s="2"/>
      <c r="Q3939" s="2"/>
      <c r="R3939" s="2"/>
      <c r="S3939" s="2" t="s">
        <v>26050</v>
      </c>
      <c r="T3939" s="2" t="s">
        <v>26051</v>
      </c>
      <c r="U3939" s="2" t="s">
        <v>610</v>
      </c>
      <c r="V3939" s="2" t="s">
        <v>5991</v>
      </c>
      <c r="W3939" s="2" t="s">
        <v>240</v>
      </c>
      <c r="X3939" s="2" t="s">
        <v>147</v>
      </c>
      <c r="Y3939" s="2">
        <v>39.9</v>
      </c>
      <c r="Z3939" s="2">
        <v>10.4</v>
      </c>
      <c r="AA3939" s="2" t="s">
        <v>218</v>
      </c>
      <c r="AB3939" s="2" t="s">
        <v>26052</v>
      </c>
      <c r="AC3939" s="2">
        <v>0.144176724217604</v>
      </c>
      <c r="AD3939" s="2"/>
      <c r="AE3939" s="2">
        <v>0.12785267396374</v>
      </c>
      <c r="AF3939" s="2">
        <v>6996.5655523976102</v>
      </c>
      <c r="AG3939" s="2">
        <v>6013.6273831947601</v>
      </c>
      <c r="AH3939" s="5">
        <v>1.1634517915010301</v>
      </c>
      <c r="AI3939" s="5">
        <v>0.21841143282895201</v>
      </c>
      <c r="AJ3939" s="5" t="s">
        <v>139</v>
      </c>
      <c r="AK3939" s="2">
        <v>0.74788167693270502</v>
      </c>
      <c r="AL3939" s="2">
        <v>0.88463645213384701</v>
      </c>
      <c r="AM3939" s="2">
        <v>17861.7280654772</v>
      </c>
      <c r="AN3939" s="2">
        <v>2337.2613603181098</v>
      </c>
      <c r="AO3939" s="2">
        <v>6770.5224534073504</v>
      </c>
      <c r="AP3939" s="2">
        <v>5621.6651173437904</v>
      </c>
      <c r="AQ3939" s="2">
        <v>6980.21629542765</v>
      </c>
      <c r="AR3939" s="2">
        <v>2408.0000224115802</v>
      </c>
      <c r="AS3939" s="2">
        <v>13643.933244322699</v>
      </c>
      <c r="AT3939" s="2">
        <v>3173.4688451765601</v>
      </c>
      <c r="AU3939" s="2">
        <v>7068.0608894302304</v>
      </c>
      <c r="AV3939" s="2">
        <v>3945.7609091281802</v>
      </c>
      <c r="AW3939" s="2">
        <v>7580.55805475341</v>
      </c>
      <c r="AX3939" s="2">
        <v>669.98235635745903</v>
      </c>
    </row>
    <row r="3940" spans="1:50" x14ac:dyDescent="0.25">
      <c r="A3940" s="2" t="s">
        <v>26053</v>
      </c>
      <c r="B3940" s="2">
        <v>433.29580898800299</v>
      </c>
      <c r="C3940" s="2">
        <v>11.0881833333333</v>
      </c>
      <c r="D3940" s="2" t="s">
        <v>51</v>
      </c>
      <c r="E3940" s="2" t="s">
        <v>26054</v>
      </c>
      <c r="F3940" s="2">
        <v>36174</v>
      </c>
      <c r="G3940" s="3" t="str">
        <f>HYPERLINK("https://cloud.oebiotech.com/#/lm/network/36174", "https://cloud.oebiotech.com/#/lm/network/36174")</f>
        <v>https://cloud.oebiotech.com/#/lm/network/36174</v>
      </c>
      <c r="H3940" s="2"/>
      <c r="I3940" s="2">
        <v>53746</v>
      </c>
      <c r="J3940" s="2" t="s">
        <v>26055</v>
      </c>
      <c r="K3940" s="2">
        <v>42608280</v>
      </c>
      <c r="L3940" s="2"/>
      <c r="M3940" s="2"/>
      <c r="N3940" s="2"/>
      <c r="O3940" s="2">
        <v>137131</v>
      </c>
      <c r="P3940" s="2"/>
      <c r="Q3940" s="2"/>
      <c r="R3940" s="2"/>
      <c r="S3940" s="2" t="s">
        <v>26056</v>
      </c>
      <c r="T3940" s="2" t="s">
        <v>26057</v>
      </c>
      <c r="U3940" s="2" t="s">
        <v>56</v>
      </c>
      <c r="V3940" s="2" t="s">
        <v>177</v>
      </c>
      <c r="W3940" s="2" t="s">
        <v>959</v>
      </c>
      <c r="X3940" s="2" t="s">
        <v>83</v>
      </c>
      <c r="Y3940" s="2">
        <v>51.1</v>
      </c>
      <c r="Z3940" s="2">
        <v>0</v>
      </c>
      <c r="AA3940" s="2" t="s">
        <v>218</v>
      </c>
      <c r="AB3940" s="2" t="s">
        <v>26058</v>
      </c>
      <c r="AC3940" s="2">
        <v>-0.35803318164328302</v>
      </c>
      <c r="AD3940" s="2"/>
      <c r="AE3940" s="2">
        <v>0.12767536680692201</v>
      </c>
      <c r="AF3940" s="2">
        <v>3908.75831187104</v>
      </c>
      <c r="AG3940" s="2">
        <v>2564.9576301889201</v>
      </c>
      <c r="AH3940" s="5">
        <v>1.5239075553786601</v>
      </c>
      <c r="AI3940" s="5">
        <v>0.60777538744936599</v>
      </c>
      <c r="AJ3940" s="5" t="s">
        <v>139</v>
      </c>
      <c r="AK3940" s="2">
        <v>0.28286231078268897</v>
      </c>
      <c r="AL3940" s="2">
        <v>0.60000138164408201</v>
      </c>
      <c r="AM3940" s="2">
        <v>1646.74956493323</v>
      </c>
      <c r="AN3940" s="2">
        <v>5077.5020080123604</v>
      </c>
      <c r="AO3940" s="2">
        <v>4469.7893240370404</v>
      </c>
      <c r="AP3940" s="2">
        <v>7029.6049180539003</v>
      </c>
      <c r="AQ3940" s="2">
        <v>2408.7764523412502</v>
      </c>
      <c r="AR3940" s="2">
        <v>2820.1276038484302</v>
      </c>
      <c r="AS3940" s="2">
        <v>2445.2909522266</v>
      </c>
      <c r="AT3940" s="2">
        <v>3010.7833001146701</v>
      </c>
      <c r="AU3940" s="2">
        <v>1084.8206193880101</v>
      </c>
      <c r="AV3940" s="2">
        <v>202.670504868969</v>
      </c>
      <c r="AW3940" s="2">
        <v>2333.4376445143098</v>
      </c>
      <c r="AX3940" s="2">
        <v>6312.7427600209503</v>
      </c>
    </row>
    <row r="3941" spans="1:50" x14ac:dyDescent="0.25">
      <c r="A3941" s="2" t="s">
        <v>26059</v>
      </c>
      <c r="B3941" s="2">
        <v>131.085937971101</v>
      </c>
      <c r="C3941" s="2">
        <v>9.9291999999999998</v>
      </c>
      <c r="D3941" s="2" t="s">
        <v>51</v>
      </c>
      <c r="E3941" s="2" t="s">
        <v>26060</v>
      </c>
      <c r="F3941" s="2">
        <v>204426</v>
      </c>
      <c r="G3941" s="3" t="str">
        <f>HYPERLINK("https://cloud.oebiotech.com/#/lm/network/204426", "https://cloud.oebiotech.com/#/lm/network/204426")</f>
        <v>https://cloud.oebiotech.com/#/lm/network/204426</v>
      </c>
      <c r="H3941" s="2" t="s">
        <v>26061</v>
      </c>
      <c r="I3941" s="2">
        <v>316907</v>
      </c>
      <c r="J3941" s="2"/>
      <c r="K3941" s="2">
        <v>10315</v>
      </c>
      <c r="L3941" s="2"/>
      <c r="M3941" s="2"/>
      <c r="N3941" s="2"/>
      <c r="O3941" s="2"/>
      <c r="P3941" s="2"/>
      <c r="Q3941" s="2"/>
      <c r="R3941" s="2"/>
      <c r="S3941" s="2" t="s">
        <v>26062</v>
      </c>
      <c r="T3941" s="2" t="s">
        <v>26063</v>
      </c>
      <c r="U3941" s="2" t="s">
        <v>331</v>
      </c>
      <c r="V3941" s="2" t="s">
        <v>332</v>
      </c>
      <c r="W3941" s="2" t="s">
        <v>1207</v>
      </c>
      <c r="X3941" s="2" t="s">
        <v>147</v>
      </c>
      <c r="Y3941" s="2">
        <v>39.1</v>
      </c>
      <c r="Z3941" s="2">
        <v>0</v>
      </c>
      <c r="AA3941" s="2" t="s">
        <v>156</v>
      </c>
      <c r="AB3941" s="2" t="s">
        <v>26064</v>
      </c>
      <c r="AC3941" s="2">
        <v>2.7768248440283601</v>
      </c>
      <c r="AD3941" s="2"/>
      <c r="AE3941" s="2">
        <v>0.12765481593465</v>
      </c>
      <c r="AF3941" s="2">
        <v>1297.9512072808</v>
      </c>
      <c r="AG3941" s="2">
        <v>747.55861787931497</v>
      </c>
      <c r="AH3941" s="5">
        <v>1.7362534204512901</v>
      </c>
      <c r="AI3941" s="5">
        <v>0.79597753634532797</v>
      </c>
      <c r="AJ3941" s="5" t="s">
        <v>139</v>
      </c>
      <c r="AK3941" s="2">
        <v>0.22900225306920499</v>
      </c>
      <c r="AL3941" s="2">
        <v>0.55425453586297302</v>
      </c>
      <c r="AM3941" s="2">
        <v>1741.3439706783099</v>
      </c>
      <c r="AN3941" s="2">
        <v>554.83678154786503</v>
      </c>
      <c r="AO3941" s="2">
        <v>1351.4368030851299</v>
      </c>
      <c r="AP3941" s="2">
        <v>1218.0458006613701</v>
      </c>
      <c r="AQ3941" s="2">
        <v>1664.5192807968001</v>
      </c>
      <c r="AR3941" s="2">
        <v>1257.52460691531</v>
      </c>
      <c r="AS3941" s="2">
        <v>1119.8154614673099</v>
      </c>
      <c r="AT3941" s="2">
        <v>593.725642395676</v>
      </c>
      <c r="AU3941" s="2">
        <v>2522.4283596616801</v>
      </c>
      <c r="AV3941" s="2">
        <v>53.978011038531598</v>
      </c>
      <c r="AW3941" s="2">
        <v>139.26206329693201</v>
      </c>
      <c r="AX3941" s="2">
        <v>56.142169415762503</v>
      </c>
    </row>
    <row r="3942" spans="1:50" x14ac:dyDescent="0.25">
      <c r="A3942" s="2" t="s">
        <v>26065</v>
      </c>
      <c r="B3942" s="2">
        <v>499.22778062724399</v>
      </c>
      <c r="C3942" s="2">
        <v>4.5660166666666697</v>
      </c>
      <c r="D3942" s="2" t="s">
        <v>51</v>
      </c>
      <c r="E3942" s="2" t="s">
        <v>26066</v>
      </c>
      <c r="F3942" s="2">
        <v>82720</v>
      </c>
      <c r="G3942" s="3" t="str">
        <f>HYPERLINK("https://cloud.oebiotech.com/#/lm/network/82720", "https://cloud.oebiotech.com/#/lm/network/82720")</f>
        <v>https://cloud.oebiotech.com/#/lm/network/82720</v>
      </c>
      <c r="H3942" s="2" t="s">
        <v>26067</v>
      </c>
      <c r="I3942" s="2">
        <v>1797</v>
      </c>
      <c r="J3942" s="2"/>
      <c r="K3942" s="2">
        <v>179962</v>
      </c>
      <c r="L3942" s="2"/>
      <c r="M3942" s="2"/>
      <c r="N3942" s="2"/>
      <c r="O3942" s="2"/>
      <c r="P3942" s="2"/>
      <c r="Q3942" s="2"/>
      <c r="R3942" s="2" t="s">
        <v>26068</v>
      </c>
      <c r="S3942" s="2" t="s">
        <v>26069</v>
      </c>
      <c r="T3942" s="2" t="s">
        <v>26070</v>
      </c>
      <c r="U3942" s="2" t="s">
        <v>103</v>
      </c>
      <c r="V3942" s="2" t="s">
        <v>1372</v>
      </c>
      <c r="W3942" s="2" t="s">
        <v>10005</v>
      </c>
      <c r="X3942" s="2" t="s">
        <v>83</v>
      </c>
      <c r="Y3942" s="2">
        <v>39</v>
      </c>
      <c r="Z3942" s="2">
        <v>0</v>
      </c>
      <c r="AA3942" s="2" t="s">
        <v>156</v>
      </c>
      <c r="AB3942" s="2" t="s">
        <v>26071</v>
      </c>
      <c r="AC3942" s="2">
        <v>-1.6293104324148699</v>
      </c>
      <c r="AD3942" s="2"/>
      <c r="AE3942" s="2">
        <v>0.12753429769341401</v>
      </c>
      <c r="AF3942" s="2">
        <v>2665.1827424671901</v>
      </c>
      <c r="AG3942" s="2">
        <v>720.32474435329004</v>
      </c>
      <c r="AH3942" s="5">
        <v>3.69997388450121</v>
      </c>
      <c r="AI3942" s="5">
        <v>1.8875150878136</v>
      </c>
      <c r="AJ3942" s="5" t="s">
        <v>139</v>
      </c>
      <c r="AK3942" s="2">
        <v>0.264041355647675</v>
      </c>
      <c r="AL3942" s="2">
        <v>0.58602374896457698</v>
      </c>
      <c r="AM3942" s="2">
        <v>1439.15535729004</v>
      </c>
      <c r="AN3942" s="2">
        <v>8.559877937157E-6</v>
      </c>
      <c r="AO3942" s="2">
        <v>1252.4169574887101</v>
      </c>
      <c r="AP3942" s="2">
        <v>10451.9600776193</v>
      </c>
      <c r="AQ3942" s="2">
        <v>855.13655161642396</v>
      </c>
      <c r="AR3942" s="2">
        <v>1992.42750222876</v>
      </c>
      <c r="AS3942" s="2">
        <v>8.559877937157E-6</v>
      </c>
      <c r="AT3942" s="2">
        <v>8.559877937157E-6</v>
      </c>
      <c r="AU3942" s="2">
        <v>8.559877937157E-6</v>
      </c>
      <c r="AV3942" s="2">
        <v>2754.7899053033798</v>
      </c>
      <c r="AW3942" s="2">
        <v>1211.9461345193199</v>
      </c>
      <c r="AX3942" s="2">
        <v>355.212400617404</v>
      </c>
    </row>
    <row r="3943" spans="1:50" x14ac:dyDescent="0.25">
      <c r="A3943" s="2" t="s">
        <v>26072</v>
      </c>
      <c r="B3943" s="2">
        <v>697.29575518647403</v>
      </c>
      <c r="C3943" s="2">
        <v>5.08686666666667</v>
      </c>
      <c r="D3943" s="2" t="s">
        <v>51</v>
      </c>
      <c r="E3943" s="2" t="s">
        <v>26073</v>
      </c>
      <c r="F3943" s="2">
        <v>210945</v>
      </c>
      <c r="G3943" s="3" t="str">
        <f>HYPERLINK("https://cloud.oebiotech.com/#/lm/network/210945", "https://cloud.oebiotech.com/#/lm/network/210945")</f>
        <v>https://cloud.oebiotech.com/#/lm/network/210945</v>
      </c>
      <c r="H3943" s="2" t="s">
        <v>26074</v>
      </c>
      <c r="I3943" s="2"/>
      <c r="J3943" s="2"/>
      <c r="K3943" s="2">
        <v>31745</v>
      </c>
      <c r="L3943" s="2"/>
      <c r="M3943" s="2"/>
      <c r="N3943" s="2"/>
      <c r="O3943" s="2"/>
      <c r="P3943" s="2"/>
      <c r="Q3943" s="2"/>
      <c r="R3943" s="2"/>
      <c r="S3943" s="2" t="s">
        <v>26075</v>
      </c>
      <c r="T3943" s="2" t="s">
        <v>26076</v>
      </c>
      <c r="U3943" s="2" t="s">
        <v>238</v>
      </c>
      <c r="V3943" s="2" t="s">
        <v>240</v>
      </c>
      <c r="W3943" s="2" t="s">
        <v>240</v>
      </c>
      <c r="X3943" s="2" t="s">
        <v>147</v>
      </c>
      <c r="Y3943" s="2">
        <v>36.9</v>
      </c>
      <c r="Z3943" s="2">
        <v>3.1600000000000003E-2</v>
      </c>
      <c r="AA3943" s="2" t="s">
        <v>478</v>
      </c>
      <c r="AB3943" s="2" t="s">
        <v>26077</v>
      </c>
      <c r="AC3943" s="2">
        <v>-2.92608651871002</v>
      </c>
      <c r="AD3943" s="2"/>
      <c r="AE3943" s="2">
        <v>0.12748862677338799</v>
      </c>
      <c r="AF3943" s="2">
        <v>6256.0818084737803</v>
      </c>
      <c r="AG3943" s="2">
        <v>4926.1327926029999</v>
      </c>
      <c r="AH3943" s="5">
        <v>1.2699783119667001</v>
      </c>
      <c r="AI3943" s="5">
        <v>0.344803859607479</v>
      </c>
      <c r="AJ3943" s="5" t="s">
        <v>139</v>
      </c>
      <c r="AK3943" s="2">
        <v>0.78036284683158197</v>
      </c>
      <c r="AL3943" s="2">
        <v>0.90329776206650503</v>
      </c>
      <c r="AM3943" s="2">
        <v>20879.101198594301</v>
      </c>
      <c r="AN3943" s="2">
        <v>1226.5922478469499</v>
      </c>
      <c r="AO3943" s="2">
        <v>3845.48419932149</v>
      </c>
      <c r="AP3943" s="2">
        <v>414.48706319261299</v>
      </c>
      <c r="AQ3943" s="2">
        <v>4626.6423480114699</v>
      </c>
      <c r="AR3943" s="2">
        <v>6544.1837938758599</v>
      </c>
      <c r="AS3943" s="2">
        <v>8.559877937157E-6</v>
      </c>
      <c r="AT3943" s="2">
        <v>8.559877937157E-6</v>
      </c>
      <c r="AU3943" s="2">
        <v>3577.5278161147098</v>
      </c>
      <c r="AV3943" s="2">
        <v>21937.232612984299</v>
      </c>
      <c r="AW3943" s="2">
        <v>4042.0363008393401</v>
      </c>
      <c r="AX3943" s="2">
        <v>8.559877937157E-6</v>
      </c>
    </row>
    <row r="3944" spans="1:50" x14ac:dyDescent="0.25">
      <c r="A3944" s="2" t="s">
        <v>26078</v>
      </c>
      <c r="B3944" s="2">
        <v>201.112178949949</v>
      </c>
      <c r="C3944" s="2">
        <v>3.77301666666667</v>
      </c>
      <c r="D3944" s="2" t="s">
        <v>51</v>
      </c>
      <c r="E3944" s="2" t="s">
        <v>26079</v>
      </c>
      <c r="F3944" s="2">
        <v>2098</v>
      </c>
      <c r="G3944" s="3" t="str">
        <f>HYPERLINK("https://cloud.oebiotech.com/#/lm/network/2098", "https://cloud.oebiotech.com/#/lm/network/2098")</f>
        <v>https://cloud.oebiotech.com/#/lm/network/2098</v>
      </c>
      <c r="H3944" s="2"/>
      <c r="I3944" s="2">
        <v>74717</v>
      </c>
      <c r="J3944" s="2" t="s">
        <v>26080</v>
      </c>
      <c r="K3944" s="2">
        <v>5312880</v>
      </c>
      <c r="L3944" s="2"/>
      <c r="M3944" s="2"/>
      <c r="N3944" s="2"/>
      <c r="O3944" s="2"/>
      <c r="P3944" s="2"/>
      <c r="Q3944" s="2"/>
      <c r="R3944" s="2"/>
      <c r="S3944" s="2" t="s">
        <v>26081</v>
      </c>
      <c r="T3944" s="2" t="s">
        <v>26082</v>
      </c>
      <c r="U3944" s="2" t="s">
        <v>103</v>
      </c>
      <c r="V3944" s="2" t="s">
        <v>2602</v>
      </c>
      <c r="W3944" s="2" t="s">
        <v>2603</v>
      </c>
      <c r="X3944" s="2" t="s">
        <v>147</v>
      </c>
      <c r="Y3944" s="2">
        <v>39.6</v>
      </c>
      <c r="Z3944" s="2">
        <v>0</v>
      </c>
      <c r="AA3944" s="2" t="s">
        <v>60</v>
      </c>
      <c r="AB3944" s="2" t="s">
        <v>6355</v>
      </c>
      <c r="AC3944" s="2">
        <v>0.217518899781973</v>
      </c>
      <c r="AD3944" s="2"/>
      <c r="AE3944" s="2">
        <v>0.12744355933988699</v>
      </c>
      <c r="AF3944" s="2">
        <v>10413.545113549901</v>
      </c>
      <c r="AG3944" s="2">
        <v>9766.9568656505799</v>
      </c>
      <c r="AH3944" s="5">
        <v>1.06620160780819</v>
      </c>
      <c r="AI3944" s="5">
        <v>9.2480262753891401E-2</v>
      </c>
      <c r="AJ3944" s="5" t="s">
        <v>139</v>
      </c>
      <c r="AK3944" s="2">
        <v>0.46700847537523599</v>
      </c>
      <c r="AL3944" s="2">
        <v>0.714043089956934</v>
      </c>
      <c r="AM3944" s="2">
        <v>11056.021925893599</v>
      </c>
      <c r="AN3944" s="2">
        <v>11917.1947074584</v>
      </c>
      <c r="AO3944" s="2">
        <v>10532.7339297326</v>
      </c>
      <c r="AP3944" s="2">
        <v>11035.569090736801</v>
      </c>
      <c r="AQ3944" s="2">
        <v>9704.4228405653503</v>
      </c>
      <c r="AR3944" s="2">
        <v>8235.3281869123803</v>
      </c>
      <c r="AS3944" s="2">
        <v>11092.9947738188</v>
      </c>
      <c r="AT3944" s="2">
        <v>11623.7368811777</v>
      </c>
      <c r="AU3944" s="2">
        <v>9503.0063044108902</v>
      </c>
      <c r="AV3944" s="2">
        <v>7051.7490143384703</v>
      </c>
      <c r="AW3944" s="2">
        <v>8977.3471928659201</v>
      </c>
      <c r="AX3944" s="2">
        <v>10352.9070272917</v>
      </c>
    </row>
    <row r="3945" spans="1:50" x14ac:dyDescent="0.25">
      <c r="A3945" s="2" t="s">
        <v>26083</v>
      </c>
      <c r="B3945" s="2">
        <v>276.11997813174997</v>
      </c>
      <c r="C3945" s="2">
        <v>5.0586333333333302</v>
      </c>
      <c r="D3945" s="2" t="s">
        <v>51</v>
      </c>
      <c r="E3945" s="2" t="s">
        <v>26084</v>
      </c>
      <c r="F3945" s="2">
        <v>54155</v>
      </c>
      <c r="G3945" s="3" t="str">
        <f>HYPERLINK("https://cloud.oebiotech.com/#/lm/network/54155", "https://cloud.oebiotech.com/#/lm/network/54155")</f>
        <v>https://cloud.oebiotech.com/#/lm/network/54155</v>
      </c>
      <c r="H3945" s="2" t="s">
        <v>26085</v>
      </c>
      <c r="I3945" s="2"/>
      <c r="J3945" s="2"/>
      <c r="K3945" s="2">
        <v>21122973</v>
      </c>
      <c r="L3945" s="2"/>
      <c r="M3945" s="2"/>
      <c r="N3945" s="2"/>
      <c r="O3945" s="2"/>
      <c r="P3945" s="2"/>
      <c r="Q3945" s="2"/>
      <c r="R3945" s="2" t="s">
        <v>26086</v>
      </c>
      <c r="S3945" s="2" t="s">
        <v>26087</v>
      </c>
      <c r="T3945" s="2" t="s">
        <v>26088</v>
      </c>
      <c r="U3945" s="2" t="s">
        <v>103</v>
      </c>
      <c r="V3945" s="2" t="s">
        <v>104</v>
      </c>
      <c r="W3945" s="2" t="s">
        <v>105</v>
      </c>
      <c r="X3945" s="2" t="s">
        <v>147</v>
      </c>
      <c r="Y3945" s="2">
        <v>36.700000000000003</v>
      </c>
      <c r="Z3945" s="2">
        <v>0</v>
      </c>
      <c r="AA3945" s="2" t="s">
        <v>259</v>
      </c>
      <c r="AB3945" s="2" t="s">
        <v>26089</v>
      </c>
      <c r="AC3945" s="2">
        <v>3.51283742612637</v>
      </c>
      <c r="AD3945" s="2"/>
      <c r="AE3945" s="2">
        <v>0.127257329086302</v>
      </c>
      <c r="AF3945" s="2">
        <v>1630.66780566027</v>
      </c>
      <c r="AG3945" s="2">
        <v>1078.0309622337099</v>
      </c>
      <c r="AH3945" s="5">
        <v>1.51263540917366</v>
      </c>
      <c r="AI3945" s="5">
        <v>0.59706429637013603</v>
      </c>
      <c r="AJ3945" s="5" t="s">
        <v>139</v>
      </c>
      <c r="AK3945" s="2">
        <v>0.122779200816172</v>
      </c>
      <c r="AL3945" s="2">
        <v>0.44047290513653697</v>
      </c>
      <c r="AM3945" s="2">
        <v>1595.6464773096</v>
      </c>
      <c r="AN3945" s="2">
        <v>2849.4945190798799</v>
      </c>
      <c r="AO3945" s="2">
        <v>916.73869892153095</v>
      </c>
      <c r="AP3945" s="2">
        <v>1194.04325569669</v>
      </c>
      <c r="AQ3945" s="2">
        <v>1329.48723817616</v>
      </c>
      <c r="AR3945" s="2">
        <v>1898.59664477774</v>
      </c>
      <c r="AS3945" s="2">
        <v>1670.2195158315999</v>
      </c>
      <c r="AT3945" s="2">
        <v>659.30233852279196</v>
      </c>
      <c r="AU3945" s="2">
        <v>1444.5020635573501</v>
      </c>
      <c r="AV3945" s="2">
        <v>618.41686608327996</v>
      </c>
      <c r="AW3945" s="2">
        <v>1022.62149605499</v>
      </c>
      <c r="AX3945" s="2">
        <v>1053.1234933522701</v>
      </c>
    </row>
    <row r="3946" spans="1:50" x14ac:dyDescent="0.25">
      <c r="A3946" s="2" t="s">
        <v>26090</v>
      </c>
      <c r="B3946" s="2">
        <v>430.31786112076497</v>
      </c>
      <c r="C3946" s="2">
        <v>7.7165666666666697</v>
      </c>
      <c r="D3946" s="2" t="s">
        <v>51</v>
      </c>
      <c r="E3946" s="2" t="s">
        <v>26091</v>
      </c>
      <c r="F3946" s="2">
        <v>8289</v>
      </c>
      <c r="G3946" s="3" t="str">
        <f>HYPERLINK("https://cloud.oebiotech.com/#/lm/network/8289", "https://cloud.oebiotech.com/#/lm/network/8289")</f>
        <v>https://cloud.oebiotech.com/#/lm/network/8289</v>
      </c>
      <c r="H3946" s="2" t="s">
        <v>26092</v>
      </c>
      <c r="I3946" s="2"/>
      <c r="J3946" s="2" t="s">
        <v>26093</v>
      </c>
      <c r="K3946" s="2">
        <v>44256593</v>
      </c>
      <c r="L3946" s="2"/>
      <c r="M3946" s="2"/>
      <c r="N3946" s="2"/>
      <c r="O3946" s="2">
        <v>77237</v>
      </c>
      <c r="P3946" s="2"/>
      <c r="Q3946" s="2"/>
      <c r="R3946" s="2"/>
      <c r="S3946" s="2" t="s">
        <v>26094</v>
      </c>
      <c r="T3946" s="2" t="s">
        <v>26095</v>
      </c>
      <c r="U3946" s="2" t="s">
        <v>56</v>
      </c>
      <c r="V3946" s="2" t="s">
        <v>145</v>
      </c>
      <c r="W3946" s="2" t="s">
        <v>1188</v>
      </c>
      <c r="X3946" s="2" t="s">
        <v>147</v>
      </c>
      <c r="Y3946" s="2">
        <v>40.5</v>
      </c>
      <c r="Z3946" s="2">
        <v>13.1</v>
      </c>
      <c r="AA3946" s="2" t="s">
        <v>259</v>
      </c>
      <c r="AB3946" s="2" t="s">
        <v>26096</v>
      </c>
      <c r="AC3946" s="2">
        <v>3.6025041577123198</v>
      </c>
      <c r="AD3946" s="2"/>
      <c r="AE3946" s="2">
        <v>0.12725037132702899</v>
      </c>
      <c r="AF3946" s="2">
        <v>5931.0668881108704</v>
      </c>
      <c r="AG3946" s="2">
        <v>6949.5456460102096</v>
      </c>
      <c r="AH3946" s="4">
        <v>0.85344671295395402</v>
      </c>
      <c r="AI3946" s="4">
        <v>-0.228627017038011</v>
      </c>
      <c r="AJ3946" s="4" t="s">
        <v>62</v>
      </c>
      <c r="AK3946" s="2">
        <v>0.684084067694951</v>
      </c>
      <c r="AL3946" s="2">
        <v>0.84771285350859205</v>
      </c>
      <c r="AM3946" s="2">
        <v>4499.2562578243696</v>
      </c>
      <c r="AN3946" s="2">
        <v>4321.1891014836301</v>
      </c>
      <c r="AO3946" s="2">
        <v>11566.0156707322</v>
      </c>
      <c r="AP3946" s="2">
        <v>3022.8111587000199</v>
      </c>
      <c r="AQ3946" s="2">
        <v>4703.7924589869599</v>
      </c>
      <c r="AR3946" s="2">
        <v>7473.3366809380695</v>
      </c>
      <c r="AS3946" s="2">
        <v>15951.1934423435</v>
      </c>
      <c r="AT3946" s="2">
        <v>4146.4364253236399</v>
      </c>
      <c r="AU3946" s="2">
        <v>1902.8465906602801</v>
      </c>
      <c r="AV3946" s="2">
        <v>9206.9979664080802</v>
      </c>
      <c r="AW3946" s="2">
        <v>6522.6889072252197</v>
      </c>
      <c r="AX3946" s="2">
        <v>3967.1105441005502</v>
      </c>
    </row>
    <row r="3947" spans="1:50" x14ac:dyDescent="0.25">
      <c r="A3947" s="2" t="s">
        <v>26097</v>
      </c>
      <c r="B3947" s="2">
        <v>275.17651562062201</v>
      </c>
      <c r="C3947" s="2">
        <v>5.0999999999999996</v>
      </c>
      <c r="D3947" s="2" t="s">
        <v>51</v>
      </c>
      <c r="E3947" s="2" t="s">
        <v>26098</v>
      </c>
      <c r="F3947" s="2">
        <v>293284</v>
      </c>
      <c r="G3947" s="3" t="str">
        <f>HYPERLINK("https://cloud.oebiotech.com/#/lm/network/293284", "https://cloud.oebiotech.com/#/lm/network/293284")</f>
        <v>https://cloud.oebiotech.com/#/lm/network/293284</v>
      </c>
      <c r="H3947" s="2"/>
      <c r="I3947" s="2">
        <v>317173</v>
      </c>
      <c r="J3947" s="2"/>
      <c r="K3947" s="2">
        <v>162268</v>
      </c>
      <c r="L3947" s="2"/>
      <c r="M3947" s="2"/>
      <c r="N3947" s="2"/>
      <c r="O3947" s="2"/>
      <c r="P3947" s="2"/>
      <c r="Q3947" s="2"/>
      <c r="R3947" s="2"/>
      <c r="S3947" s="2" t="s">
        <v>26099</v>
      </c>
      <c r="T3947" s="2" t="s">
        <v>26100</v>
      </c>
      <c r="U3947" s="2" t="s">
        <v>331</v>
      </c>
      <c r="V3947" s="2" t="s">
        <v>332</v>
      </c>
      <c r="W3947" s="2" t="s">
        <v>1207</v>
      </c>
      <c r="X3947" s="2" t="s">
        <v>147</v>
      </c>
      <c r="Y3947" s="2">
        <v>38.799999999999997</v>
      </c>
      <c r="Z3947" s="2">
        <v>0</v>
      </c>
      <c r="AA3947" s="2" t="s">
        <v>395</v>
      </c>
      <c r="AB3947" s="2" t="s">
        <v>2024</v>
      </c>
      <c r="AC3947" s="2">
        <v>-2.78551167549506</v>
      </c>
      <c r="AD3947" s="2"/>
      <c r="AE3947" s="2">
        <v>0.12724543241139499</v>
      </c>
      <c r="AF3947" s="2">
        <v>129.54293059691199</v>
      </c>
      <c r="AG3947" s="2">
        <v>873.75951275571799</v>
      </c>
      <c r="AH3947" s="4">
        <v>0.14825925063562501</v>
      </c>
      <c r="AI3947" s="4">
        <v>-2.7538059703536799</v>
      </c>
      <c r="AJ3947" s="4" t="s">
        <v>62</v>
      </c>
      <c r="AK3947" s="2">
        <v>0.357223460108824</v>
      </c>
      <c r="AL3947" s="2">
        <v>0.64449606579735297</v>
      </c>
      <c r="AM3947" s="2">
        <v>0.42703593948830698</v>
      </c>
      <c r="AN3947" s="2">
        <v>16.813462380357599</v>
      </c>
      <c r="AO3947" s="2">
        <v>13.2226835762541</v>
      </c>
      <c r="AP3947" s="2">
        <v>732.35690609989001</v>
      </c>
      <c r="AQ3947" s="2">
        <v>4.7893989799654699</v>
      </c>
      <c r="AR3947" s="2">
        <v>9.6480966055143593</v>
      </c>
      <c r="AS3947" s="2">
        <v>552.62355801111403</v>
      </c>
      <c r="AT3947" s="2">
        <v>5.3470532742049803</v>
      </c>
      <c r="AU3947" s="2">
        <v>10.6044940934589</v>
      </c>
      <c r="AV3947" s="2">
        <v>8.559877937157E-6</v>
      </c>
      <c r="AW3947" s="2">
        <v>18.2864492763523</v>
      </c>
      <c r="AX3947" s="2">
        <v>4655.6955133192996</v>
      </c>
    </row>
    <row r="3948" spans="1:50" x14ac:dyDescent="0.25">
      <c r="A3948" s="2" t="s">
        <v>26101</v>
      </c>
      <c r="B3948" s="2">
        <v>649.29948297882095</v>
      </c>
      <c r="C3948" s="2">
        <v>4.9422166666666696</v>
      </c>
      <c r="D3948" s="2" t="s">
        <v>51</v>
      </c>
      <c r="E3948" s="2" t="s">
        <v>26102</v>
      </c>
      <c r="F3948" s="2">
        <v>28073</v>
      </c>
      <c r="G3948" s="3" t="str">
        <f>HYPERLINK("https://cloud.oebiotech.com/#/lm/network/28073", "https://cloud.oebiotech.com/#/lm/network/28073")</f>
        <v>https://cloud.oebiotech.com/#/lm/network/28073</v>
      </c>
      <c r="H3948" s="2"/>
      <c r="I3948" s="2"/>
      <c r="J3948" s="2" t="s">
        <v>26103</v>
      </c>
      <c r="K3948" s="2">
        <v>134812518</v>
      </c>
      <c r="L3948" s="2"/>
      <c r="M3948" s="2"/>
      <c r="N3948" s="2"/>
      <c r="O3948" s="2"/>
      <c r="P3948" s="2"/>
      <c r="Q3948" s="2"/>
      <c r="R3948" s="2"/>
      <c r="S3948" s="2" t="s">
        <v>26104</v>
      </c>
      <c r="T3948" s="2" t="s">
        <v>26105</v>
      </c>
      <c r="U3948" s="2" t="s">
        <v>56</v>
      </c>
      <c r="V3948" s="2" t="s">
        <v>57</v>
      </c>
      <c r="W3948" s="2" t="s">
        <v>702</v>
      </c>
      <c r="X3948" s="2" t="s">
        <v>147</v>
      </c>
      <c r="Y3948" s="2">
        <v>37.700000000000003</v>
      </c>
      <c r="Z3948" s="2">
        <v>0</v>
      </c>
      <c r="AA3948" s="2" t="s">
        <v>218</v>
      </c>
      <c r="AB3948" s="2" t="s">
        <v>26106</v>
      </c>
      <c r="AC3948" s="2">
        <v>5.1451541816650903E-2</v>
      </c>
      <c r="AD3948" s="2"/>
      <c r="AE3948" s="2">
        <v>0.127231521751895</v>
      </c>
      <c r="AF3948" s="2">
        <v>2019.8237537288101</v>
      </c>
      <c r="AG3948" s="2">
        <v>906.739749031428</v>
      </c>
      <c r="AH3948" s="5">
        <v>2.2275672329203302</v>
      </c>
      <c r="AI3948" s="5">
        <v>1.1554689761408801</v>
      </c>
      <c r="AJ3948" s="5" t="s">
        <v>139</v>
      </c>
      <c r="AK3948" s="2">
        <v>0.32381494485072199</v>
      </c>
      <c r="AL3948" s="2">
        <v>0.62992073899545697</v>
      </c>
      <c r="AM3948" s="2">
        <v>1132.3512221533699</v>
      </c>
      <c r="AN3948" s="2">
        <v>275.23618637709802</v>
      </c>
      <c r="AO3948" s="2">
        <v>4926.9625088439998</v>
      </c>
      <c r="AP3948" s="2">
        <v>8.559877937157E-6</v>
      </c>
      <c r="AQ3948" s="2">
        <v>241.56696214485601</v>
      </c>
      <c r="AR3948" s="2">
        <v>5542.8256342936502</v>
      </c>
      <c r="AS3948" s="2">
        <v>501.84568709644202</v>
      </c>
      <c r="AT3948" s="2">
        <v>8.559877937157E-6</v>
      </c>
      <c r="AU3948" s="2">
        <v>734.01056503970199</v>
      </c>
      <c r="AV3948" s="2">
        <v>2136.92678176149</v>
      </c>
      <c r="AW3948" s="2">
        <v>950.09327112117501</v>
      </c>
      <c r="AX3948" s="2">
        <v>1117.56218060988</v>
      </c>
    </row>
    <row r="3949" spans="1:50" x14ac:dyDescent="0.25">
      <c r="A3949" s="2" t="s">
        <v>26107</v>
      </c>
      <c r="B3949" s="2">
        <v>225.112925346026</v>
      </c>
      <c r="C3949" s="2">
        <v>6.0356166666666704</v>
      </c>
      <c r="D3949" s="2" t="s">
        <v>51</v>
      </c>
      <c r="E3949" s="2" t="s">
        <v>26108</v>
      </c>
      <c r="F3949" s="2">
        <v>3365</v>
      </c>
      <c r="G3949" s="3" t="str">
        <f>HYPERLINK("https://cloud.oebiotech.com/#/lm/network/3365", "https://cloud.oebiotech.com/#/lm/network/3365")</f>
        <v>https://cloud.oebiotech.com/#/lm/network/3365</v>
      </c>
      <c r="H3949" s="2" t="s">
        <v>26109</v>
      </c>
      <c r="I3949" s="2">
        <v>36075</v>
      </c>
      <c r="J3949" s="2" t="s">
        <v>26110</v>
      </c>
      <c r="K3949" s="2">
        <v>6443968</v>
      </c>
      <c r="L3949" s="2"/>
      <c r="M3949" s="2"/>
      <c r="N3949" s="2"/>
      <c r="O3949" s="2">
        <v>133220</v>
      </c>
      <c r="P3949" s="2"/>
      <c r="Q3949" s="2"/>
      <c r="R3949" s="2"/>
      <c r="S3949" s="2" t="s">
        <v>26111</v>
      </c>
      <c r="T3949" s="2" t="s">
        <v>26112</v>
      </c>
      <c r="U3949" s="2" t="s">
        <v>56</v>
      </c>
      <c r="V3949" s="2" t="s">
        <v>145</v>
      </c>
      <c r="W3949" s="2" t="s">
        <v>203</v>
      </c>
      <c r="X3949" s="2" t="s">
        <v>83</v>
      </c>
      <c r="Y3949" s="2">
        <v>44.9</v>
      </c>
      <c r="Z3949" s="2">
        <v>0</v>
      </c>
      <c r="AA3949" s="2" t="s">
        <v>163</v>
      </c>
      <c r="AB3949" s="2" t="s">
        <v>15408</v>
      </c>
      <c r="AC3949" s="2">
        <v>-1.3589102343447399</v>
      </c>
      <c r="AD3949" s="2"/>
      <c r="AE3949" s="2">
        <v>0.12719427455277199</v>
      </c>
      <c r="AF3949" s="2">
        <v>1575.20702749979</v>
      </c>
      <c r="AG3949" s="2">
        <v>1108.7212349341301</v>
      </c>
      <c r="AH3949" s="5">
        <v>1.4207421828566</v>
      </c>
      <c r="AI3949" s="5">
        <v>0.50664477747966197</v>
      </c>
      <c r="AJ3949" s="5" t="s">
        <v>139</v>
      </c>
      <c r="AK3949" s="2">
        <v>3.1379411362486703E-2</v>
      </c>
      <c r="AL3949" s="2">
        <v>0.26202470500574299</v>
      </c>
      <c r="AM3949" s="2">
        <v>1323.87630245116</v>
      </c>
      <c r="AN3949" s="2">
        <v>1572.0929636013</v>
      </c>
      <c r="AO3949" s="2">
        <v>1864.4477192966999</v>
      </c>
      <c r="AP3949" s="2">
        <v>1038.49546366408</v>
      </c>
      <c r="AQ3949" s="2">
        <v>1581.6394318002499</v>
      </c>
      <c r="AR3949" s="2">
        <v>2070.6902841852698</v>
      </c>
      <c r="AS3949" s="2">
        <v>1055.9488507221999</v>
      </c>
      <c r="AT3949" s="2">
        <v>778.94124113032001</v>
      </c>
      <c r="AU3949" s="2">
        <v>1438.15335799288</v>
      </c>
      <c r="AV3949" s="2">
        <v>889.40927323911797</v>
      </c>
      <c r="AW3949" s="2">
        <v>1074.9918172013499</v>
      </c>
      <c r="AX3949" s="2">
        <v>1414.88286931894</v>
      </c>
    </row>
    <row r="3950" spans="1:50" x14ac:dyDescent="0.25">
      <c r="A3950" s="2" t="s">
        <v>26113</v>
      </c>
      <c r="B3950" s="2">
        <v>365.20760909555003</v>
      </c>
      <c r="C3950" s="2">
        <v>10.9667166666667</v>
      </c>
      <c r="D3950" s="2" t="s">
        <v>51</v>
      </c>
      <c r="E3950" s="2" t="s">
        <v>26114</v>
      </c>
      <c r="F3950" s="2">
        <v>4863</v>
      </c>
      <c r="G3950" s="3" t="str">
        <f>HYPERLINK("https://cloud.oebiotech.com/#/lm/network/4863", "https://cloud.oebiotech.com/#/lm/network/4863")</f>
        <v>https://cloud.oebiotech.com/#/lm/network/4863</v>
      </c>
      <c r="H3950" s="2"/>
      <c r="I3950" s="2">
        <v>75212</v>
      </c>
      <c r="J3950" s="2" t="s">
        <v>26115</v>
      </c>
      <c r="K3950" s="2">
        <v>52921993</v>
      </c>
      <c r="L3950" s="2"/>
      <c r="M3950" s="2"/>
      <c r="N3950" s="2"/>
      <c r="O3950" s="2"/>
      <c r="P3950" s="2"/>
      <c r="Q3950" s="2"/>
      <c r="R3950" s="2"/>
      <c r="S3950" s="2" t="s">
        <v>26116</v>
      </c>
      <c r="T3950" s="2" t="s">
        <v>26117</v>
      </c>
      <c r="U3950" s="2" t="s">
        <v>56</v>
      </c>
      <c r="V3950" s="2" t="s">
        <v>145</v>
      </c>
      <c r="W3950" s="2" t="s">
        <v>231</v>
      </c>
      <c r="X3950" s="2" t="s">
        <v>83</v>
      </c>
      <c r="Y3950" s="2">
        <v>53.2</v>
      </c>
      <c r="Z3950" s="2">
        <v>21.2</v>
      </c>
      <c r="AA3950" s="2" t="s">
        <v>95</v>
      </c>
      <c r="AB3950" s="2" t="s">
        <v>2007</v>
      </c>
      <c r="AC3950" s="2">
        <v>-3.2330280623705501</v>
      </c>
      <c r="AD3950" s="2"/>
      <c r="AE3950" s="2">
        <v>0.127190537513171</v>
      </c>
      <c r="AF3950" s="2">
        <v>33266.777853572297</v>
      </c>
      <c r="AG3950" s="2">
        <v>33892.566558713603</v>
      </c>
      <c r="AH3950" s="4">
        <v>0.98153610751026399</v>
      </c>
      <c r="AI3950" s="4">
        <v>-2.6886754177234899E-2</v>
      </c>
      <c r="AJ3950" s="4" t="s">
        <v>62</v>
      </c>
      <c r="AK3950" s="2">
        <v>0.80318388010723096</v>
      </c>
      <c r="AL3950" s="2">
        <v>0.91158529845089398</v>
      </c>
      <c r="AM3950" s="2">
        <v>27170.407893533298</v>
      </c>
      <c r="AN3950" s="2">
        <v>33258.8372934328</v>
      </c>
      <c r="AO3950" s="2">
        <v>31975.122426944701</v>
      </c>
      <c r="AP3950" s="2">
        <v>34611.767643429899</v>
      </c>
      <c r="AQ3950" s="2">
        <v>36578.282633786097</v>
      </c>
      <c r="AR3950" s="2">
        <v>36006.249230307003</v>
      </c>
      <c r="AS3950" s="2">
        <v>42791.368207964697</v>
      </c>
      <c r="AT3950" s="2">
        <v>29797.5749924339</v>
      </c>
      <c r="AU3950" s="2">
        <v>36241.474750359303</v>
      </c>
      <c r="AV3950" s="2">
        <v>30979.195575008998</v>
      </c>
      <c r="AW3950" s="2">
        <v>32574.406909066998</v>
      </c>
      <c r="AX3950" s="2">
        <v>30971.378917447699</v>
      </c>
    </row>
    <row r="3951" spans="1:50" x14ac:dyDescent="0.25">
      <c r="A3951" s="2" t="s">
        <v>26118</v>
      </c>
      <c r="B3951" s="2">
        <v>280.144781486564</v>
      </c>
      <c r="C3951" s="2">
        <v>8.6573499999999992</v>
      </c>
      <c r="D3951" s="2" t="s">
        <v>51</v>
      </c>
      <c r="E3951" s="2" t="s">
        <v>26119</v>
      </c>
      <c r="F3951" s="2">
        <v>202810</v>
      </c>
      <c r="G3951" s="3" t="str">
        <f>HYPERLINK("https://cloud.oebiotech.com/#/lm/network/202810", "https://cloud.oebiotech.com/#/lm/network/202810")</f>
        <v>https://cloud.oebiotech.com/#/lm/network/202810</v>
      </c>
      <c r="H3951" s="2" t="s">
        <v>26120</v>
      </c>
      <c r="I3951" s="2"/>
      <c r="J3951" s="2"/>
      <c r="K3951" s="2">
        <v>91643</v>
      </c>
      <c r="L3951" s="2"/>
      <c r="M3951" s="2"/>
      <c r="N3951" s="2"/>
      <c r="O3951" s="2">
        <v>88297</v>
      </c>
      <c r="P3951" s="2"/>
      <c r="Q3951" s="2"/>
      <c r="R3951" s="2"/>
      <c r="S3951" s="2" t="s">
        <v>26121</v>
      </c>
      <c r="T3951" s="2" t="s">
        <v>26122</v>
      </c>
      <c r="U3951" s="2" t="s">
        <v>266</v>
      </c>
      <c r="V3951" s="2" t="s">
        <v>445</v>
      </c>
      <c r="W3951" s="2" t="s">
        <v>911</v>
      </c>
      <c r="X3951" s="2" t="s">
        <v>147</v>
      </c>
      <c r="Y3951" s="2">
        <v>36.200000000000003</v>
      </c>
      <c r="Z3951" s="2">
        <v>0</v>
      </c>
      <c r="AA3951" s="2" t="s">
        <v>512</v>
      </c>
      <c r="AB3951" s="2" t="s">
        <v>26123</v>
      </c>
      <c r="AC3951" s="2">
        <v>1.3081439937332</v>
      </c>
      <c r="AD3951" s="2"/>
      <c r="AE3951" s="2">
        <v>0.12715964723439599</v>
      </c>
      <c r="AF3951" s="2">
        <v>852.93172249017096</v>
      </c>
      <c r="AG3951" s="2">
        <v>344.126962438362</v>
      </c>
      <c r="AH3951" s="5">
        <v>2.4785379106786598</v>
      </c>
      <c r="AI3951" s="5">
        <v>1.30948932583661</v>
      </c>
      <c r="AJ3951" s="5" t="s">
        <v>139</v>
      </c>
      <c r="AK3951" s="2">
        <v>0.14914342140995099</v>
      </c>
      <c r="AL3951" s="2">
        <v>0.47024664296044399</v>
      </c>
      <c r="AM3951" s="2">
        <v>718.11290227555003</v>
      </c>
      <c r="AN3951" s="2">
        <v>2267.88415086127</v>
      </c>
      <c r="AO3951" s="2">
        <v>682.43496982764896</v>
      </c>
      <c r="AP3951" s="2">
        <v>148.51886546713999</v>
      </c>
      <c r="AQ3951" s="2">
        <v>313.69335894892203</v>
      </c>
      <c r="AR3951" s="2">
        <v>986.94608756049502</v>
      </c>
      <c r="AS3951" s="2">
        <v>573.53644150993</v>
      </c>
      <c r="AT3951" s="2">
        <v>135.34034912000499</v>
      </c>
      <c r="AU3951" s="2">
        <v>553.08492259236698</v>
      </c>
      <c r="AV3951" s="2">
        <v>227.58134651747599</v>
      </c>
      <c r="AW3951" s="2">
        <v>8.559877937157E-6</v>
      </c>
      <c r="AX3951" s="2">
        <v>575.21870633051606</v>
      </c>
    </row>
    <row r="3952" spans="1:50" x14ac:dyDescent="0.25">
      <c r="A3952" s="2" t="s">
        <v>26124</v>
      </c>
      <c r="B3952" s="2">
        <v>443.33598075237597</v>
      </c>
      <c r="C3952" s="2">
        <v>13.30415</v>
      </c>
      <c r="D3952" s="2" t="s">
        <v>51</v>
      </c>
      <c r="E3952" s="2" t="s">
        <v>26125</v>
      </c>
      <c r="F3952" s="2">
        <v>10286</v>
      </c>
      <c r="G3952" s="3" t="str">
        <f>HYPERLINK("https://cloud.oebiotech.com/#/lm/network/10286", "https://cloud.oebiotech.com/#/lm/network/10286")</f>
        <v>https://cloud.oebiotech.com/#/lm/network/10286</v>
      </c>
      <c r="H3952" s="2"/>
      <c r="I3952" s="2"/>
      <c r="J3952" s="2" t="s">
        <v>26126</v>
      </c>
      <c r="K3952" s="2">
        <v>86289704</v>
      </c>
      <c r="L3952" s="2"/>
      <c r="M3952" s="2"/>
      <c r="N3952" s="2"/>
      <c r="O3952" s="2">
        <v>78971</v>
      </c>
      <c r="P3952" s="2"/>
      <c r="Q3952" s="2"/>
      <c r="R3952" s="2"/>
      <c r="S3952" s="2" t="s">
        <v>26127</v>
      </c>
      <c r="T3952" s="2" t="s">
        <v>26128</v>
      </c>
      <c r="U3952" s="2" t="s">
        <v>56</v>
      </c>
      <c r="V3952" s="2" t="s">
        <v>145</v>
      </c>
      <c r="W3952" s="2" t="s">
        <v>231</v>
      </c>
      <c r="X3952" s="2" t="s">
        <v>147</v>
      </c>
      <c r="Y3952" s="2">
        <v>37.4</v>
      </c>
      <c r="Z3952" s="2">
        <v>0</v>
      </c>
      <c r="AA3952" s="2" t="s">
        <v>259</v>
      </c>
      <c r="AB3952" s="2" t="s">
        <v>26129</v>
      </c>
      <c r="AC3952" s="2">
        <v>-1.66136851636121</v>
      </c>
      <c r="AD3952" s="2"/>
      <c r="AE3952" s="2">
        <v>0.12713467255226599</v>
      </c>
      <c r="AF3952" s="2">
        <v>7978.2603970968203</v>
      </c>
      <c r="AG3952" s="2">
        <v>8812.2921389994299</v>
      </c>
      <c r="AH3952" s="4">
        <v>0.90535586783244004</v>
      </c>
      <c r="AI3952" s="4">
        <v>-0.14344311170679799</v>
      </c>
      <c r="AJ3952" s="4" t="s">
        <v>62</v>
      </c>
      <c r="AK3952" s="2">
        <v>0.45497709638274397</v>
      </c>
      <c r="AL3952" s="2">
        <v>0.70729521921970095</v>
      </c>
      <c r="AM3952" s="2">
        <v>6148.6136412473197</v>
      </c>
      <c r="AN3952" s="2">
        <v>7548.3820660826304</v>
      </c>
      <c r="AO3952" s="2">
        <v>10812.436055317999</v>
      </c>
      <c r="AP3952" s="2">
        <v>7457.2290721953996</v>
      </c>
      <c r="AQ3952" s="2">
        <v>8826.7772122819097</v>
      </c>
      <c r="AR3952" s="2">
        <v>7076.12433545566</v>
      </c>
      <c r="AS3952" s="2">
        <v>8351.0395551007405</v>
      </c>
      <c r="AT3952" s="2">
        <v>10476.5628320705</v>
      </c>
      <c r="AU3952" s="2">
        <v>5116.5679586809201</v>
      </c>
      <c r="AV3952" s="2">
        <v>10867.4139609831</v>
      </c>
      <c r="AW3952" s="2">
        <v>8708.1795528301409</v>
      </c>
      <c r="AX3952" s="2">
        <v>9353.9889743311996</v>
      </c>
    </row>
    <row r="3953" spans="1:50" x14ac:dyDescent="0.25">
      <c r="A3953" s="2" t="s">
        <v>26130</v>
      </c>
      <c r="B3953" s="2">
        <v>547.22086196837404</v>
      </c>
      <c r="C3953" s="2">
        <v>9.4626166666666691</v>
      </c>
      <c r="D3953" s="2" t="s">
        <v>51</v>
      </c>
      <c r="E3953" s="2" t="s">
        <v>26131</v>
      </c>
      <c r="F3953" s="2">
        <v>206680</v>
      </c>
      <c r="G3953" s="3" t="str">
        <f>HYPERLINK("https://cloud.oebiotech.com/#/lm/network/206680", "https://cloud.oebiotech.com/#/lm/network/206680")</f>
        <v>https://cloud.oebiotech.com/#/lm/network/206680</v>
      </c>
      <c r="H3953" s="2" t="s">
        <v>26132</v>
      </c>
      <c r="I3953" s="2"/>
      <c r="J3953" s="2"/>
      <c r="K3953" s="2">
        <v>5098</v>
      </c>
      <c r="L3953" s="2"/>
      <c r="M3953" s="2"/>
      <c r="N3953" s="2"/>
      <c r="O3953" s="2"/>
      <c r="P3953" s="2"/>
      <c r="Q3953" s="2"/>
      <c r="R3953" s="2"/>
      <c r="S3953" s="2" t="s">
        <v>26133</v>
      </c>
      <c r="T3953" s="2" t="s">
        <v>26134</v>
      </c>
      <c r="U3953" s="2" t="s">
        <v>103</v>
      </c>
      <c r="V3953" s="2" t="s">
        <v>104</v>
      </c>
      <c r="W3953" s="2" t="s">
        <v>105</v>
      </c>
      <c r="X3953" s="2" t="s">
        <v>59</v>
      </c>
      <c r="Y3953" s="2">
        <v>49.5</v>
      </c>
      <c r="Z3953" s="2">
        <v>61.6</v>
      </c>
      <c r="AA3953" s="2" t="s">
        <v>259</v>
      </c>
      <c r="AB3953" s="2" t="s">
        <v>26135</v>
      </c>
      <c r="AC3953" s="2">
        <v>-3.4538258657102299</v>
      </c>
      <c r="AD3953" s="2"/>
      <c r="AE3953" s="2">
        <v>0.12705000822099</v>
      </c>
      <c r="AF3953" s="2">
        <v>8790.5046358235395</v>
      </c>
      <c r="AG3953" s="2">
        <v>10773.132484833901</v>
      </c>
      <c r="AH3953" s="4">
        <v>0.81596551868257305</v>
      </c>
      <c r="AI3953" s="4">
        <v>-0.29341990724540901</v>
      </c>
      <c r="AJ3953" s="4" t="s">
        <v>62</v>
      </c>
      <c r="AK3953" s="2">
        <v>0.72484254083162103</v>
      </c>
      <c r="AL3953" s="2">
        <v>0.87307570803760004</v>
      </c>
      <c r="AM3953" s="2">
        <v>1097.7338240257</v>
      </c>
      <c r="AN3953" s="2">
        <v>11771.9794814621</v>
      </c>
      <c r="AO3953" s="2">
        <v>10617.891660527899</v>
      </c>
      <c r="AP3953" s="2">
        <v>15347.705836104</v>
      </c>
      <c r="AQ3953" s="2">
        <v>5159.5429255716299</v>
      </c>
      <c r="AR3953" s="2">
        <v>8748.1740872499104</v>
      </c>
      <c r="AS3953" s="2">
        <v>25836.417015489598</v>
      </c>
      <c r="AT3953" s="2">
        <v>27263.171389084298</v>
      </c>
      <c r="AU3953" s="2">
        <v>8.559877937157E-6</v>
      </c>
      <c r="AV3953" s="2">
        <v>1757.0060657399299</v>
      </c>
      <c r="AW3953" s="2">
        <v>3069.87329183469</v>
      </c>
      <c r="AX3953" s="2">
        <v>6712.3271382947496</v>
      </c>
    </row>
    <row r="3954" spans="1:50" x14ac:dyDescent="0.25">
      <c r="A3954" s="2" t="s">
        <v>26136</v>
      </c>
      <c r="B3954" s="2">
        <v>226.066111785484</v>
      </c>
      <c r="C3954" s="2">
        <v>2.0634666666666699</v>
      </c>
      <c r="D3954" s="2" t="s">
        <v>51</v>
      </c>
      <c r="E3954" s="2" t="s">
        <v>26137</v>
      </c>
      <c r="F3954" s="2">
        <v>277140</v>
      </c>
      <c r="G3954" s="3" t="str">
        <f>HYPERLINK("https://cloud.oebiotech.com/#/lm/network/277140", "https://cloud.oebiotech.com/#/lm/network/277140")</f>
        <v>https://cloud.oebiotech.com/#/lm/network/277140</v>
      </c>
      <c r="H3954" s="2"/>
      <c r="I3954" s="2">
        <v>68828</v>
      </c>
      <c r="J3954" s="2"/>
      <c r="K3954" s="2">
        <v>16653</v>
      </c>
      <c r="L3954" s="2" t="s">
        <v>26138</v>
      </c>
      <c r="M3954" s="2"/>
      <c r="N3954" s="2"/>
      <c r="O3954" s="2"/>
      <c r="P3954" s="2"/>
      <c r="Q3954" s="2"/>
      <c r="R3954" s="2" t="s">
        <v>26139</v>
      </c>
      <c r="S3954" s="2" t="s">
        <v>26140</v>
      </c>
      <c r="T3954" s="2" t="s">
        <v>26141</v>
      </c>
      <c r="U3954" s="2" t="s">
        <v>266</v>
      </c>
      <c r="V3954" s="2" t="s">
        <v>26142</v>
      </c>
      <c r="W3954" s="2" t="s">
        <v>240</v>
      </c>
      <c r="X3954" s="2" t="s">
        <v>147</v>
      </c>
      <c r="Y3954" s="2">
        <v>37.9</v>
      </c>
      <c r="Z3954" s="2">
        <v>0</v>
      </c>
      <c r="AA3954" s="2" t="s">
        <v>395</v>
      </c>
      <c r="AB3954" s="2" t="s">
        <v>26143</v>
      </c>
      <c r="AC3954" s="2">
        <v>-0.702629067565407</v>
      </c>
      <c r="AD3954" s="2"/>
      <c r="AE3954" s="2">
        <v>0.12704483674758801</v>
      </c>
      <c r="AF3954" s="2">
        <v>12520.1257468189</v>
      </c>
      <c r="AG3954" s="2">
        <v>13973.2453798141</v>
      </c>
      <c r="AH3954" s="4">
        <v>0.89600700528064403</v>
      </c>
      <c r="AI3954" s="4">
        <v>-0.158418083090936</v>
      </c>
      <c r="AJ3954" s="4" t="s">
        <v>62</v>
      </c>
      <c r="AK3954" s="2">
        <v>0.451673775276761</v>
      </c>
      <c r="AL3954" s="2">
        <v>0.70528155934299797</v>
      </c>
      <c r="AM3954" s="2">
        <v>12925.970857107</v>
      </c>
      <c r="AN3954" s="2">
        <v>13713.8413002332</v>
      </c>
      <c r="AO3954" s="2">
        <v>10405.946438000699</v>
      </c>
      <c r="AP3954" s="2">
        <v>15252.6930454954</v>
      </c>
      <c r="AQ3954" s="2">
        <v>14599.0523513846</v>
      </c>
      <c r="AR3954" s="2">
        <v>8223.2504886922397</v>
      </c>
      <c r="AS3954" s="2">
        <v>11675.6007128113</v>
      </c>
      <c r="AT3954" s="2">
        <v>13544.869333586599</v>
      </c>
      <c r="AU3954" s="2">
        <v>16099.3969125599</v>
      </c>
      <c r="AV3954" s="2">
        <v>9272.8917956176592</v>
      </c>
      <c r="AW3954" s="2">
        <v>13395.071198121501</v>
      </c>
      <c r="AX3954" s="2">
        <v>19851.642326187801</v>
      </c>
    </row>
    <row r="3955" spans="1:50" x14ac:dyDescent="0.25">
      <c r="A3955" s="2" t="s">
        <v>26144</v>
      </c>
      <c r="B3955" s="2">
        <v>833.39064889291296</v>
      </c>
      <c r="C3955" s="2">
        <v>4.23708333333333</v>
      </c>
      <c r="D3955" s="2" t="s">
        <v>51</v>
      </c>
      <c r="E3955" s="2" t="s">
        <v>26145</v>
      </c>
      <c r="F3955" s="2">
        <v>57657</v>
      </c>
      <c r="G3955" s="3" t="str">
        <f>HYPERLINK("https://cloud.oebiotech.com/#/lm/network/57657", "https://cloud.oebiotech.com/#/lm/network/57657")</f>
        <v>https://cloud.oebiotech.com/#/lm/network/57657</v>
      </c>
      <c r="H3955" s="2" t="s">
        <v>26146</v>
      </c>
      <c r="I3955" s="2"/>
      <c r="J3955" s="2"/>
      <c r="K3955" s="2">
        <v>85212072</v>
      </c>
      <c r="L3955" s="2"/>
      <c r="M3955" s="2"/>
      <c r="N3955" s="2"/>
      <c r="O3955" s="2"/>
      <c r="P3955" s="2"/>
      <c r="Q3955" s="2"/>
      <c r="R3955" s="2" t="s">
        <v>26147</v>
      </c>
      <c r="S3955" s="2" t="s">
        <v>26148</v>
      </c>
      <c r="T3955" s="2" t="s">
        <v>26149</v>
      </c>
      <c r="U3955" s="2" t="s">
        <v>56</v>
      </c>
      <c r="V3955" s="2" t="s">
        <v>177</v>
      </c>
      <c r="W3955" s="2" t="s">
        <v>394</v>
      </c>
      <c r="X3955" s="2" t="s">
        <v>147</v>
      </c>
      <c r="Y3955" s="2">
        <v>39.5</v>
      </c>
      <c r="Z3955" s="2">
        <v>8.73</v>
      </c>
      <c r="AA3955" s="2" t="s">
        <v>95</v>
      </c>
      <c r="AB3955" s="2" t="s">
        <v>26150</v>
      </c>
      <c r="AC3955" s="2">
        <v>-2.90927612653757</v>
      </c>
      <c r="AD3955" s="2"/>
      <c r="AE3955" s="2">
        <v>0.12703659091004699</v>
      </c>
      <c r="AF3955" s="2">
        <v>17442.105221354501</v>
      </c>
      <c r="AG3955" s="2">
        <v>16008.4185121092</v>
      </c>
      <c r="AH3955" s="5">
        <v>1.0895582976020299</v>
      </c>
      <c r="AI3955" s="5">
        <v>0.123743390957021</v>
      </c>
      <c r="AJ3955" s="5" t="s">
        <v>139</v>
      </c>
      <c r="AK3955" s="2">
        <v>0.88068191387924299</v>
      </c>
      <c r="AL3955" s="2">
        <v>0.94789857191825</v>
      </c>
      <c r="AM3955" s="2">
        <v>28777.107429441101</v>
      </c>
      <c r="AN3955" s="2">
        <v>17562.549549289899</v>
      </c>
      <c r="AO3955" s="2">
        <v>20110.485939905298</v>
      </c>
      <c r="AP3955" s="2">
        <v>7798.2036400115103</v>
      </c>
      <c r="AQ3955" s="2">
        <v>7892.8546662722601</v>
      </c>
      <c r="AR3955" s="2">
        <v>22511.430103206902</v>
      </c>
      <c r="AS3955" s="2">
        <v>8.559877937157E-6</v>
      </c>
      <c r="AT3955" s="2">
        <v>1440.1983044856399</v>
      </c>
      <c r="AU3955" s="2">
        <v>36716.9240126605</v>
      </c>
      <c r="AV3955" s="2">
        <v>48848.988819430597</v>
      </c>
      <c r="AW3955" s="2">
        <v>7283.1955205964196</v>
      </c>
      <c r="AX3955" s="2">
        <v>1761.2044069219601</v>
      </c>
    </row>
    <row r="3956" spans="1:50" x14ac:dyDescent="0.25">
      <c r="A3956" s="2" t="s">
        <v>26151</v>
      </c>
      <c r="B3956" s="2">
        <v>323.25918331515101</v>
      </c>
      <c r="C3956" s="2">
        <v>12.2162666666667</v>
      </c>
      <c r="D3956" s="2" t="s">
        <v>51</v>
      </c>
      <c r="E3956" s="2" t="s">
        <v>26152</v>
      </c>
      <c r="F3956" s="2">
        <v>9994</v>
      </c>
      <c r="G3956" s="3" t="str">
        <f>HYPERLINK("https://cloud.oebiotech.com/#/lm/network/9994", "https://cloud.oebiotech.com/#/lm/network/9994")</f>
        <v>https://cloud.oebiotech.com/#/lm/network/9994</v>
      </c>
      <c r="H3956" s="2"/>
      <c r="I3956" s="2">
        <v>98200</v>
      </c>
      <c r="J3956" s="2" t="s">
        <v>26153</v>
      </c>
      <c r="K3956" s="2">
        <v>13671273</v>
      </c>
      <c r="L3956" s="2"/>
      <c r="M3956" s="2"/>
      <c r="N3956" s="2"/>
      <c r="O3956" s="2"/>
      <c r="P3956" s="2"/>
      <c r="Q3956" s="2"/>
      <c r="R3956" s="2"/>
      <c r="S3956" s="2" t="s">
        <v>26154</v>
      </c>
      <c r="T3956" s="2" t="s">
        <v>26155</v>
      </c>
      <c r="U3956" s="2" t="s">
        <v>331</v>
      </c>
      <c r="V3956" s="2" t="s">
        <v>332</v>
      </c>
      <c r="W3956" s="2" t="s">
        <v>1207</v>
      </c>
      <c r="X3956" s="2" t="s">
        <v>83</v>
      </c>
      <c r="Y3956" s="2">
        <v>44.3</v>
      </c>
      <c r="Z3956" s="2">
        <v>0</v>
      </c>
      <c r="AA3956" s="2" t="s">
        <v>218</v>
      </c>
      <c r="AB3956" s="2" t="s">
        <v>10991</v>
      </c>
      <c r="AC3956" s="2">
        <v>5.2954645761296902E-2</v>
      </c>
      <c r="AD3956" s="2"/>
      <c r="AE3956" s="2">
        <v>0.126994773985487</v>
      </c>
      <c r="AF3956" s="2">
        <v>2681.5530914536398</v>
      </c>
      <c r="AG3956" s="2">
        <v>2201.6668487598999</v>
      </c>
      <c r="AH3956" s="5">
        <v>1.2179649672992201</v>
      </c>
      <c r="AI3956" s="5">
        <v>0.284472637160055</v>
      </c>
      <c r="AJ3956" s="5" t="s">
        <v>139</v>
      </c>
      <c r="AK3956" s="2">
        <v>0.240863224046208</v>
      </c>
      <c r="AL3956" s="2">
        <v>0.56499603364770301</v>
      </c>
      <c r="AM3956" s="2">
        <v>3983.4986267250001</v>
      </c>
      <c r="AN3956" s="2">
        <v>2618.64384896415</v>
      </c>
      <c r="AO3956" s="2">
        <v>2628.2591695479</v>
      </c>
      <c r="AP3956" s="2">
        <v>2490.8492214780799</v>
      </c>
      <c r="AQ3956" s="2">
        <v>1903.84801272145</v>
      </c>
      <c r="AR3956" s="2">
        <v>2464.2196692852399</v>
      </c>
      <c r="AS3956" s="2">
        <v>1246.63589378796</v>
      </c>
      <c r="AT3956" s="2">
        <v>1754.82802620441</v>
      </c>
      <c r="AU3956" s="2">
        <v>2822.31462351852</v>
      </c>
      <c r="AV3956" s="2">
        <v>2043.5753270687801</v>
      </c>
      <c r="AW3956" s="2">
        <v>2884.0591624272702</v>
      </c>
      <c r="AX3956" s="2">
        <v>2458.58805955247</v>
      </c>
    </row>
    <row r="3957" spans="1:50" x14ac:dyDescent="0.25">
      <c r="A3957" s="2" t="s">
        <v>26156</v>
      </c>
      <c r="B3957" s="2">
        <v>276.28129196127799</v>
      </c>
      <c r="C3957" s="2">
        <v>7.8409500000000003</v>
      </c>
      <c r="D3957" s="2" t="s">
        <v>51</v>
      </c>
      <c r="E3957" s="2" t="s">
        <v>26157</v>
      </c>
      <c r="F3957" s="2">
        <v>212204</v>
      </c>
      <c r="G3957" s="3" t="str">
        <f>HYPERLINK("https://cloud.oebiotech.com/#/lm/network/212204", "https://cloud.oebiotech.com/#/lm/network/212204")</f>
        <v>https://cloud.oebiotech.com/#/lm/network/212204</v>
      </c>
      <c r="H3957" s="2" t="s">
        <v>26158</v>
      </c>
      <c r="I3957" s="2"/>
      <c r="J3957" s="2"/>
      <c r="K3957" s="2">
        <v>108169</v>
      </c>
      <c r="L3957" s="2"/>
      <c r="M3957" s="2"/>
      <c r="N3957" s="2"/>
      <c r="O3957" s="2"/>
      <c r="P3957" s="2"/>
      <c r="Q3957" s="2"/>
      <c r="R3957" s="2"/>
      <c r="S3957" s="2" t="s">
        <v>26159</v>
      </c>
      <c r="T3957" s="2" t="s">
        <v>26160</v>
      </c>
      <c r="U3957" s="2" t="s">
        <v>56</v>
      </c>
      <c r="V3957" s="2" t="s">
        <v>177</v>
      </c>
      <c r="W3957" s="2" t="s">
        <v>178</v>
      </c>
      <c r="X3957" s="2" t="s">
        <v>147</v>
      </c>
      <c r="Y3957" s="2">
        <v>36.799999999999997</v>
      </c>
      <c r="Z3957" s="2">
        <v>0</v>
      </c>
      <c r="AA3957" s="2" t="s">
        <v>122</v>
      </c>
      <c r="AB3957" s="2" t="s">
        <v>26161</v>
      </c>
      <c r="AC3957" s="2">
        <v>-1.4814344953068901</v>
      </c>
      <c r="AD3957" s="2"/>
      <c r="AE3957" s="2">
        <v>0.12681248696257999</v>
      </c>
      <c r="AF3957" s="2">
        <v>629.83970095971699</v>
      </c>
      <c r="AG3957" s="2">
        <v>1595.76155735625</v>
      </c>
      <c r="AH3957" s="4">
        <v>0.394695371658905</v>
      </c>
      <c r="AI3957" s="4">
        <v>-1.34118849312251</v>
      </c>
      <c r="AJ3957" s="4" t="s">
        <v>62</v>
      </c>
      <c r="AK3957" s="2">
        <v>0.36119246498166302</v>
      </c>
      <c r="AL3957" s="2">
        <v>0.64590351343257002</v>
      </c>
      <c r="AM3957" s="2">
        <v>161.26765126543501</v>
      </c>
      <c r="AN3957" s="2">
        <v>8.559877937157E-6</v>
      </c>
      <c r="AO3957" s="2">
        <v>8.559877937157E-6</v>
      </c>
      <c r="AP3957" s="2">
        <v>3049.5314475002601</v>
      </c>
      <c r="AQ3957" s="2">
        <v>568.23908131297105</v>
      </c>
      <c r="AR3957" s="2">
        <v>8.559877937157E-6</v>
      </c>
      <c r="AS3957" s="2">
        <v>934.86552509236003</v>
      </c>
      <c r="AT3957" s="2">
        <v>4758.1869914483996</v>
      </c>
      <c r="AU3957" s="2">
        <v>8.559877937157E-6</v>
      </c>
      <c r="AV3957" s="2">
        <v>8.559877937157E-6</v>
      </c>
      <c r="AW3957" s="2">
        <v>8.559877937157E-6</v>
      </c>
      <c r="AX3957" s="2">
        <v>3881.5168019170901</v>
      </c>
    </row>
    <row r="3958" spans="1:50" x14ac:dyDescent="0.25">
      <c r="A3958" s="2" t="s">
        <v>26162</v>
      </c>
      <c r="B3958" s="2">
        <v>801.278188172348</v>
      </c>
      <c r="C3958" s="2">
        <v>8.4268833333333308</v>
      </c>
      <c r="D3958" s="2" t="s">
        <v>51</v>
      </c>
      <c r="E3958" s="2" t="s">
        <v>26163</v>
      </c>
      <c r="F3958" s="2">
        <v>211835</v>
      </c>
      <c r="G3958" s="3" t="str">
        <f>HYPERLINK("https://cloud.oebiotech.com/#/lm/network/211835", "https://cloud.oebiotech.com/#/lm/network/211835")</f>
        <v>https://cloud.oebiotech.com/#/lm/network/211835</v>
      </c>
      <c r="H3958" s="2" t="s">
        <v>26164</v>
      </c>
      <c r="I3958" s="2">
        <v>58459</v>
      </c>
      <c r="J3958" s="2"/>
      <c r="K3958" s="2">
        <v>4300193</v>
      </c>
      <c r="L3958" s="2"/>
      <c r="M3958" s="2"/>
      <c r="N3958" s="2"/>
      <c r="O3958" s="2"/>
      <c r="P3958" s="2"/>
      <c r="Q3958" s="2"/>
      <c r="R3958" s="2" t="s">
        <v>26165</v>
      </c>
      <c r="S3958" s="2" t="s">
        <v>26166</v>
      </c>
      <c r="T3958" s="2" t="s">
        <v>26167</v>
      </c>
      <c r="U3958" s="2" t="s">
        <v>331</v>
      </c>
      <c r="V3958" s="2" t="s">
        <v>332</v>
      </c>
      <c r="W3958" s="2" t="s">
        <v>333</v>
      </c>
      <c r="X3958" s="2" t="s">
        <v>147</v>
      </c>
      <c r="Y3958" s="2">
        <v>36.4</v>
      </c>
      <c r="Z3958" s="2">
        <v>0</v>
      </c>
      <c r="AA3958" s="2" t="s">
        <v>379</v>
      </c>
      <c r="AB3958" s="2" t="s">
        <v>26168</v>
      </c>
      <c r="AC3958" s="2">
        <v>-6.9041864930487196E-2</v>
      </c>
      <c r="AD3958" s="2"/>
      <c r="AE3958" s="2">
        <v>0.12662009355968601</v>
      </c>
      <c r="AF3958" s="2">
        <v>3543.1162949756999</v>
      </c>
      <c r="AG3958" s="2">
        <v>2601.4296184108498</v>
      </c>
      <c r="AH3958" s="5">
        <v>1.36198814294276</v>
      </c>
      <c r="AI3958" s="5">
        <v>0.44571414373755203</v>
      </c>
      <c r="AJ3958" s="5" t="s">
        <v>139</v>
      </c>
      <c r="AK3958" s="2">
        <v>0.387848128142115</v>
      </c>
      <c r="AL3958" s="2">
        <v>0.66381813062748596</v>
      </c>
      <c r="AM3958" s="2">
        <v>2943.0507111156799</v>
      </c>
      <c r="AN3958" s="2">
        <v>4292.4540151616402</v>
      </c>
      <c r="AO3958" s="2">
        <v>4753.1308923808601</v>
      </c>
      <c r="AP3958" s="2">
        <v>1519.33256362878</v>
      </c>
      <c r="AQ3958" s="2">
        <v>2047.13526493482</v>
      </c>
      <c r="AR3958" s="2">
        <v>5703.5943226324098</v>
      </c>
      <c r="AS3958" s="2">
        <v>3049.1810647314301</v>
      </c>
      <c r="AT3958" s="2">
        <v>1634.9904499965501</v>
      </c>
      <c r="AU3958" s="2">
        <v>2732.4025349144699</v>
      </c>
      <c r="AV3958" s="2">
        <v>601.51041485087603</v>
      </c>
      <c r="AW3958" s="2">
        <v>1423.5997209505399</v>
      </c>
      <c r="AX3958" s="2">
        <v>6166.8935250212298</v>
      </c>
    </row>
    <row r="3959" spans="1:50" x14ac:dyDescent="0.25">
      <c r="A3959" s="2" t="s">
        <v>26169</v>
      </c>
      <c r="B3959" s="2">
        <v>227.12853165112401</v>
      </c>
      <c r="C3959" s="2">
        <v>5.2853833333333302</v>
      </c>
      <c r="D3959" s="2" t="s">
        <v>51</v>
      </c>
      <c r="E3959" s="2" t="s">
        <v>26170</v>
      </c>
      <c r="F3959" s="2">
        <v>289913</v>
      </c>
      <c r="G3959" s="3" t="str">
        <f>HYPERLINK("https://cloud.oebiotech.com/#/lm/network/289913", "https://cloud.oebiotech.com/#/lm/network/289913")</f>
        <v>https://cloud.oebiotech.com/#/lm/network/289913</v>
      </c>
      <c r="H3959" s="2"/>
      <c r="I3959" s="2">
        <v>985232</v>
      </c>
      <c r="J3959" s="2"/>
      <c r="K3959" s="2">
        <v>12176070</v>
      </c>
      <c r="L3959" s="2"/>
      <c r="M3959" s="2"/>
      <c r="N3959" s="2"/>
      <c r="O3959" s="2"/>
      <c r="P3959" s="2"/>
      <c r="Q3959" s="2"/>
      <c r="R3959" s="2"/>
      <c r="S3959" s="2" t="s">
        <v>26171</v>
      </c>
      <c r="T3959" s="2" t="s">
        <v>26172</v>
      </c>
      <c r="U3959" s="2" t="s">
        <v>331</v>
      </c>
      <c r="V3959" s="2" t="s">
        <v>332</v>
      </c>
      <c r="W3959" s="2" t="s">
        <v>519</v>
      </c>
      <c r="X3959" s="2" t="s">
        <v>83</v>
      </c>
      <c r="Y3959" s="2">
        <v>37.4</v>
      </c>
      <c r="Z3959" s="2">
        <v>0</v>
      </c>
      <c r="AA3959" s="2" t="s">
        <v>163</v>
      </c>
      <c r="AB3959" s="2" t="s">
        <v>7377</v>
      </c>
      <c r="AC3959" s="2">
        <v>-1.5387149385685901</v>
      </c>
      <c r="AD3959" s="2"/>
      <c r="AE3959" s="2">
        <v>0.126613889720634</v>
      </c>
      <c r="AF3959" s="2">
        <v>1106.10410584909</v>
      </c>
      <c r="AG3959" s="2">
        <v>732.93758872859496</v>
      </c>
      <c r="AH3959" s="5">
        <v>1.5091381897438501</v>
      </c>
      <c r="AI3959" s="5">
        <v>0.59372491754786605</v>
      </c>
      <c r="AJ3959" s="5" t="s">
        <v>139</v>
      </c>
      <c r="AK3959" s="2">
        <v>7.7592411221954399E-2</v>
      </c>
      <c r="AL3959" s="2">
        <v>0.361870085436303</v>
      </c>
      <c r="AM3959" s="2">
        <v>1673.01684986544</v>
      </c>
      <c r="AN3959" s="2">
        <v>1438.8078500137301</v>
      </c>
      <c r="AO3959" s="2">
        <v>1083.2602420954299</v>
      </c>
      <c r="AP3959" s="2">
        <v>738.92860982726097</v>
      </c>
      <c r="AQ3959" s="2">
        <v>745.38549944351701</v>
      </c>
      <c r="AR3959" s="2">
        <v>957.22558384919</v>
      </c>
      <c r="AS3959" s="2">
        <v>845.90035580877804</v>
      </c>
      <c r="AT3959" s="2">
        <v>607.92981765999502</v>
      </c>
      <c r="AU3959" s="2">
        <v>745.15546995215198</v>
      </c>
      <c r="AV3959" s="2">
        <v>486.74850564530999</v>
      </c>
      <c r="AW3959" s="2">
        <v>508.70095403166698</v>
      </c>
      <c r="AX3959" s="2">
        <v>1203.1904292736699</v>
      </c>
    </row>
    <row r="3960" spans="1:50" x14ac:dyDescent="0.25">
      <c r="A3960" s="2" t="s">
        <v>26173</v>
      </c>
      <c r="B3960" s="2">
        <v>522.37525009111096</v>
      </c>
      <c r="C3960" s="2">
        <v>9.4819833333333303</v>
      </c>
      <c r="D3960" s="2" t="s">
        <v>51</v>
      </c>
      <c r="E3960" s="2" t="s">
        <v>26174</v>
      </c>
      <c r="F3960" s="2">
        <v>59759</v>
      </c>
      <c r="G3960" s="3" t="str">
        <f>HYPERLINK("https://cloud.oebiotech.com/#/lm/network/59759", "https://cloud.oebiotech.com/#/lm/network/59759")</f>
        <v>https://cloud.oebiotech.com/#/lm/network/59759</v>
      </c>
      <c r="H3960" s="2" t="s">
        <v>26175</v>
      </c>
      <c r="I3960" s="2"/>
      <c r="J3960" s="2"/>
      <c r="K3960" s="2"/>
      <c r="L3960" s="2"/>
      <c r="M3960" s="2"/>
      <c r="N3960" s="2"/>
      <c r="O3960" s="2"/>
      <c r="P3960" s="2"/>
      <c r="Q3960" s="2"/>
      <c r="R3960" s="2" t="s">
        <v>26176</v>
      </c>
      <c r="S3960" s="2" t="s">
        <v>26177</v>
      </c>
      <c r="T3960" s="2" t="s">
        <v>26178</v>
      </c>
      <c r="U3960" s="2" t="s">
        <v>56</v>
      </c>
      <c r="V3960" s="2" t="s">
        <v>283</v>
      </c>
      <c r="W3960" s="2" t="s">
        <v>4007</v>
      </c>
      <c r="X3960" s="2" t="s">
        <v>83</v>
      </c>
      <c r="Y3960" s="2">
        <v>39.799999999999997</v>
      </c>
      <c r="Z3960" s="2">
        <v>0</v>
      </c>
      <c r="AA3960" s="2" t="s">
        <v>512</v>
      </c>
      <c r="AB3960" s="2" t="s">
        <v>26179</v>
      </c>
      <c r="AC3960" s="2">
        <v>-7.2662462422056002</v>
      </c>
      <c r="AD3960" s="2"/>
      <c r="AE3960" s="2">
        <v>0.12655997539762001</v>
      </c>
      <c r="AF3960" s="2">
        <v>7494.02519004023</v>
      </c>
      <c r="AG3960" s="2">
        <v>6581.45271187255</v>
      </c>
      <c r="AH3960" s="5">
        <v>1.1386582139413499</v>
      </c>
      <c r="AI3960" s="5">
        <v>0.18733476456204401</v>
      </c>
      <c r="AJ3960" s="5" t="s">
        <v>139</v>
      </c>
      <c r="AK3960" s="2">
        <v>0.247892504895628</v>
      </c>
      <c r="AL3960" s="2">
        <v>0.57136317761251598</v>
      </c>
      <c r="AM3960" s="2">
        <v>7393.7417095877299</v>
      </c>
      <c r="AN3960" s="2">
        <v>6147.1437695852601</v>
      </c>
      <c r="AO3960" s="2">
        <v>7631.1047878696099</v>
      </c>
      <c r="AP3960" s="2">
        <v>6070.4751358459198</v>
      </c>
      <c r="AQ3960" s="2">
        <v>7110.8984779030698</v>
      </c>
      <c r="AR3960" s="2">
        <v>10610.7872594498</v>
      </c>
      <c r="AS3960" s="2">
        <v>7018.4324249766696</v>
      </c>
      <c r="AT3960" s="2">
        <v>7289.3637970510199</v>
      </c>
      <c r="AU3960" s="2">
        <v>5495.8662304865802</v>
      </c>
      <c r="AV3960" s="2">
        <v>6413.4570594918396</v>
      </c>
      <c r="AW3960" s="2">
        <v>7327.5189634067601</v>
      </c>
      <c r="AX3960" s="2">
        <v>5944.0777958224498</v>
      </c>
    </row>
    <row r="3961" spans="1:50" x14ac:dyDescent="0.25">
      <c r="A3961" s="2" t="s">
        <v>26180</v>
      </c>
      <c r="B3961" s="2">
        <v>304.21283211209402</v>
      </c>
      <c r="C3961" s="2">
        <v>4.7092833333333299</v>
      </c>
      <c r="D3961" s="2" t="s">
        <v>51</v>
      </c>
      <c r="E3961" s="2" t="s">
        <v>26181</v>
      </c>
      <c r="F3961" s="2">
        <v>198223</v>
      </c>
      <c r="G3961" s="3" t="str">
        <f>HYPERLINK("https://cloud.oebiotech.com/#/lm/network/198223", "https://cloud.oebiotech.com/#/lm/network/198223")</f>
        <v>https://cloud.oebiotech.com/#/lm/network/198223</v>
      </c>
      <c r="H3961" s="2" t="s">
        <v>26182</v>
      </c>
      <c r="I3961" s="2"/>
      <c r="J3961" s="2"/>
      <c r="K3961" s="2"/>
      <c r="L3961" s="2"/>
      <c r="M3961" s="2"/>
      <c r="N3961" s="2"/>
      <c r="O3961" s="2"/>
      <c r="P3961" s="2"/>
      <c r="Q3961" s="2"/>
      <c r="R3961" s="2"/>
      <c r="S3961" s="2" t="s">
        <v>26183</v>
      </c>
      <c r="T3961" s="2" t="s">
        <v>26184</v>
      </c>
      <c r="U3961" s="2" t="s">
        <v>56</v>
      </c>
      <c r="V3961" s="2" t="s">
        <v>145</v>
      </c>
      <c r="W3961" s="2" t="s">
        <v>1188</v>
      </c>
      <c r="X3961" s="2" t="s">
        <v>69</v>
      </c>
      <c r="Y3961" s="2">
        <v>50.7</v>
      </c>
      <c r="Z3961" s="2">
        <v>52.9</v>
      </c>
      <c r="AA3961" s="2" t="s">
        <v>259</v>
      </c>
      <c r="AB3961" s="2" t="s">
        <v>26185</v>
      </c>
      <c r="AC3961" s="2">
        <v>3.2408728344206201</v>
      </c>
      <c r="AD3961" s="2"/>
      <c r="AE3961" s="2">
        <v>0.12653289435769</v>
      </c>
      <c r="AF3961" s="2">
        <v>18138.593726460302</v>
      </c>
      <c r="AG3961" s="2">
        <v>19024.51442612</v>
      </c>
      <c r="AH3961" s="4">
        <v>0.95343267744887406</v>
      </c>
      <c r="AI3961" s="4">
        <v>-6.8797022463261998E-2</v>
      </c>
      <c r="AJ3961" s="4" t="s">
        <v>62</v>
      </c>
      <c r="AK3961" s="2">
        <v>0.90498191125143801</v>
      </c>
      <c r="AL3961" s="2">
        <v>0.96038450174894097</v>
      </c>
      <c r="AM3961" s="2">
        <v>16976.082791631001</v>
      </c>
      <c r="AN3961" s="2">
        <v>13945.906744325501</v>
      </c>
      <c r="AO3961" s="2">
        <v>16490.111018536401</v>
      </c>
      <c r="AP3961" s="2">
        <v>23991.068611345399</v>
      </c>
      <c r="AQ3961" s="2">
        <v>13600.337736753199</v>
      </c>
      <c r="AR3961" s="2">
        <v>23828.055456170601</v>
      </c>
      <c r="AS3961" s="2">
        <v>24045.3697882097</v>
      </c>
      <c r="AT3961" s="2">
        <v>13079.080848719201</v>
      </c>
      <c r="AU3961" s="2">
        <v>10109.8188355365</v>
      </c>
      <c r="AV3961" s="2">
        <v>7878.7498488819501</v>
      </c>
      <c r="AW3961" s="2">
        <v>51624.447245937299</v>
      </c>
      <c r="AX3961" s="2">
        <v>7409.6199894355505</v>
      </c>
    </row>
    <row r="3962" spans="1:50" x14ac:dyDescent="0.25">
      <c r="A3962" s="2" t="s">
        <v>26186</v>
      </c>
      <c r="B3962" s="2">
        <v>309.16533240658799</v>
      </c>
      <c r="C3962" s="2">
        <v>12.0589833333333</v>
      </c>
      <c r="D3962" s="2" t="s">
        <v>51</v>
      </c>
      <c r="E3962" s="2" t="s">
        <v>26187</v>
      </c>
      <c r="F3962" s="2">
        <v>198638</v>
      </c>
      <c r="G3962" s="3" t="str">
        <f>HYPERLINK("https://cloud.oebiotech.com/#/lm/network/198638", "https://cloud.oebiotech.com/#/lm/network/198638")</f>
        <v>https://cloud.oebiotech.com/#/lm/network/198638</v>
      </c>
      <c r="H3962" s="2" t="s">
        <v>26188</v>
      </c>
      <c r="I3962" s="2"/>
      <c r="J3962" s="2"/>
      <c r="K3962" s="2">
        <v>123708</v>
      </c>
      <c r="L3962" s="2"/>
      <c r="M3962" s="2"/>
      <c r="N3962" s="2"/>
      <c r="O3962" s="2"/>
      <c r="P3962" s="2"/>
      <c r="Q3962" s="2"/>
      <c r="R3962" s="2"/>
      <c r="S3962" s="2" t="s">
        <v>26189</v>
      </c>
      <c r="T3962" s="2" t="s">
        <v>26190</v>
      </c>
      <c r="U3962" s="2" t="s">
        <v>103</v>
      </c>
      <c r="V3962" s="2" t="s">
        <v>104</v>
      </c>
      <c r="W3962" s="2" t="s">
        <v>105</v>
      </c>
      <c r="X3962" s="2" t="s">
        <v>147</v>
      </c>
      <c r="Y3962" s="2">
        <v>36.9</v>
      </c>
      <c r="Z3962" s="2">
        <v>0</v>
      </c>
      <c r="AA3962" s="2" t="s">
        <v>259</v>
      </c>
      <c r="AB3962" s="2" t="s">
        <v>7916</v>
      </c>
      <c r="AC3962" s="2">
        <v>-0.95775957736885897</v>
      </c>
      <c r="AD3962" s="2"/>
      <c r="AE3962" s="2">
        <v>0.12648225108203201</v>
      </c>
      <c r="AF3962" s="2">
        <v>3284.3120352404899</v>
      </c>
      <c r="AG3962" s="2">
        <v>2712.9269091127999</v>
      </c>
      <c r="AH3962" s="5">
        <v>1.2106157464870799</v>
      </c>
      <c r="AI3962" s="5">
        <v>0.27574102142680001</v>
      </c>
      <c r="AJ3962" s="5" t="s">
        <v>139</v>
      </c>
      <c r="AK3962" s="2">
        <v>0.63365013811477899</v>
      </c>
      <c r="AL3962" s="2">
        <v>0.820119264563689</v>
      </c>
      <c r="AM3962" s="2">
        <v>7758.8438166932001</v>
      </c>
      <c r="AN3962" s="2">
        <v>4018.3444530259198</v>
      </c>
      <c r="AO3962" s="2">
        <v>2528.7170314769101</v>
      </c>
      <c r="AP3962" s="2">
        <v>1930.8853643606999</v>
      </c>
      <c r="AQ3962" s="2">
        <v>1985.4014462008599</v>
      </c>
      <c r="AR3962" s="2">
        <v>1483.6800996853499</v>
      </c>
      <c r="AS3962" s="2">
        <v>1291.4549144938601</v>
      </c>
      <c r="AT3962" s="2">
        <v>681.54373519972398</v>
      </c>
      <c r="AU3962" s="2">
        <v>4657.8361255783902</v>
      </c>
      <c r="AV3962" s="2">
        <v>2727.9126537779698</v>
      </c>
      <c r="AW3962" s="2">
        <v>4353.8591733073399</v>
      </c>
      <c r="AX3962" s="2">
        <v>2564.9548523195399</v>
      </c>
    </row>
    <row r="3963" spans="1:50" x14ac:dyDescent="0.25">
      <c r="A3963" s="2" t="s">
        <v>26191</v>
      </c>
      <c r="B3963" s="2">
        <v>443.167698974833</v>
      </c>
      <c r="C3963" s="2">
        <v>4.0687333333333298</v>
      </c>
      <c r="D3963" s="2" t="s">
        <v>51</v>
      </c>
      <c r="E3963" s="2" t="s">
        <v>26192</v>
      </c>
      <c r="F3963" s="2">
        <v>264837</v>
      </c>
      <c r="G3963" s="3" t="str">
        <f>HYPERLINK("https://cloud.oebiotech.com/#/lm/network/264837", "https://cloud.oebiotech.com/#/lm/network/264837")</f>
        <v>https://cloud.oebiotech.com/#/lm/network/264837</v>
      </c>
      <c r="H3963" s="2"/>
      <c r="I3963" s="2">
        <v>22304</v>
      </c>
      <c r="J3963" s="2"/>
      <c r="K3963" s="2">
        <v>9955062</v>
      </c>
      <c r="L3963" s="2"/>
      <c r="M3963" s="2"/>
      <c r="N3963" s="2"/>
      <c r="O3963" s="2"/>
      <c r="P3963" s="2"/>
      <c r="Q3963" s="2"/>
      <c r="R3963" s="2"/>
      <c r="S3963" s="2" t="s">
        <v>26193</v>
      </c>
      <c r="T3963" s="2" t="s">
        <v>26194</v>
      </c>
      <c r="U3963" s="2" t="s">
        <v>103</v>
      </c>
      <c r="V3963" s="2" t="s">
        <v>104</v>
      </c>
      <c r="W3963" s="2" t="s">
        <v>105</v>
      </c>
      <c r="X3963" s="2" t="s">
        <v>83</v>
      </c>
      <c r="Y3963" s="2">
        <v>41</v>
      </c>
      <c r="Z3963" s="2">
        <v>6.5</v>
      </c>
      <c r="AA3963" s="2" t="s">
        <v>122</v>
      </c>
      <c r="AB3963" s="2" t="s">
        <v>26195</v>
      </c>
      <c r="AC3963" s="2">
        <v>-3.5004193908434198</v>
      </c>
      <c r="AD3963" s="2"/>
      <c r="AE3963" s="2">
        <v>0.12640877274415999</v>
      </c>
      <c r="AF3963" s="2">
        <v>2484.6191555547498</v>
      </c>
      <c r="AG3963" s="2">
        <v>3680.6456725031899</v>
      </c>
      <c r="AH3963" s="4">
        <v>0.67504980827588801</v>
      </c>
      <c r="AI3963" s="4">
        <v>-0.56693414012901799</v>
      </c>
      <c r="AJ3963" s="4" t="s">
        <v>62</v>
      </c>
      <c r="AK3963" s="2">
        <v>0.58271862897139204</v>
      </c>
      <c r="AL3963" s="2">
        <v>0.78986312790026303</v>
      </c>
      <c r="AM3963" s="2">
        <v>8.559877937157E-6</v>
      </c>
      <c r="AN3963" s="2">
        <v>3877.68420098552</v>
      </c>
      <c r="AO3963" s="2">
        <v>2420.0613537836798</v>
      </c>
      <c r="AP3963" s="2">
        <v>242.67790987544601</v>
      </c>
      <c r="AQ3963" s="2">
        <v>2378.31300101016</v>
      </c>
      <c r="AR3963" s="2">
        <v>5988.9784591138296</v>
      </c>
      <c r="AS3963" s="2">
        <v>11546.6525908036</v>
      </c>
      <c r="AT3963" s="2">
        <v>5526.7982489533597</v>
      </c>
      <c r="AU3963" s="2">
        <v>8.559877937157E-6</v>
      </c>
      <c r="AV3963" s="2">
        <v>8.559877937157E-6</v>
      </c>
      <c r="AW3963" s="2">
        <v>8.559877937157E-6</v>
      </c>
      <c r="AX3963" s="2">
        <v>5010.4231695825201</v>
      </c>
    </row>
    <row r="3964" spans="1:50" x14ac:dyDescent="0.25">
      <c r="A3964" s="2" t="s">
        <v>26196</v>
      </c>
      <c r="B3964" s="2">
        <v>307.11893260994299</v>
      </c>
      <c r="C3964" s="2">
        <v>7.65811666666667</v>
      </c>
      <c r="D3964" s="2" t="s">
        <v>51</v>
      </c>
      <c r="E3964" s="2" t="s">
        <v>26197</v>
      </c>
      <c r="F3964" s="2">
        <v>256354</v>
      </c>
      <c r="G3964" s="3" t="str">
        <f>HYPERLINK("https://cloud.oebiotech.com/#/lm/network/256354", "https://cloud.oebiotech.com/#/lm/network/256354")</f>
        <v>https://cloud.oebiotech.com/#/lm/network/256354</v>
      </c>
      <c r="H3964" s="2" t="s">
        <v>26198</v>
      </c>
      <c r="I3964" s="2"/>
      <c r="J3964" s="2"/>
      <c r="K3964" s="2"/>
      <c r="L3964" s="2"/>
      <c r="M3964" s="2"/>
      <c r="N3964" s="2"/>
      <c r="O3964" s="2"/>
      <c r="P3964" s="2"/>
      <c r="Q3964" s="2"/>
      <c r="R3964" s="2"/>
      <c r="S3964" s="2" t="s">
        <v>26199</v>
      </c>
      <c r="T3964" s="2" t="s">
        <v>26200</v>
      </c>
      <c r="U3964" s="2" t="s">
        <v>56</v>
      </c>
      <c r="V3964" s="2" t="s">
        <v>177</v>
      </c>
      <c r="W3964" s="2" t="s">
        <v>806</v>
      </c>
      <c r="X3964" s="2" t="s">
        <v>83</v>
      </c>
      <c r="Y3964" s="2">
        <v>41.6</v>
      </c>
      <c r="Z3964" s="2">
        <v>0</v>
      </c>
      <c r="AA3964" s="2" t="s">
        <v>218</v>
      </c>
      <c r="AB3964" s="2" t="s">
        <v>26201</v>
      </c>
      <c r="AC3964" s="2">
        <v>0.84191978785783705</v>
      </c>
      <c r="AD3964" s="2"/>
      <c r="AE3964" s="2">
        <v>0.12616398508585</v>
      </c>
      <c r="AF3964" s="2">
        <v>169.72261905608201</v>
      </c>
      <c r="AG3964" s="2">
        <v>1109.40969666663</v>
      </c>
      <c r="AH3964" s="4">
        <v>0.152984618365998</v>
      </c>
      <c r="AI3964" s="4">
        <v>-2.70854148852264</v>
      </c>
      <c r="AJ3964" s="4" t="s">
        <v>62</v>
      </c>
      <c r="AK3964" s="2">
        <v>0.16488778610611299</v>
      </c>
      <c r="AL3964" s="2">
        <v>0.48630838853054797</v>
      </c>
      <c r="AM3964" s="2">
        <v>402.13766814988901</v>
      </c>
      <c r="AN3964" s="2">
        <v>8.559877937157E-6</v>
      </c>
      <c r="AO3964" s="2">
        <v>8.559877937157E-6</v>
      </c>
      <c r="AP3964" s="2">
        <v>306.34863865349001</v>
      </c>
      <c r="AQ3964" s="2">
        <v>107.679799373449</v>
      </c>
      <c r="AR3964" s="2">
        <v>202.16959103990999</v>
      </c>
      <c r="AS3964" s="2">
        <v>113.170856197609</v>
      </c>
      <c r="AT3964" s="2">
        <v>3962.8796826081498</v>
      </c>
      <c r="AU3964" s="2">
        <v>8.559877937157E-6</v>
      </c>
      <c r="AV3964" s="2">
        <v>1289.4697366006701</v>
      </c>
      <c r="AW3964" s="2">
        <v>8.559877937157E-6</v>
      </c>
      <c r="AX3964" s="2">
        <v>1290.9378874736101</v>
      </c>
    </row>
    <row r="3965" spans="1:50" x14ac:dyDescent="0.25">
      <c r="A3965" s="2" t="s">
        <v>26202</v>
      </c>
      <c r="B3965" s="2">
        <v>204.13885642994299</v>
      </c>
      <c r="C3965" s="2">
        <v>10.691333333333301</v>
      </c>
      <c r="D3965" s="2" t="s">
        <v>51</v>
      </c>
      <c r="E3965" s="2" t="s">
        <v>26203</v>
      </c>
      <c r="F3965" s="2">
        <v>55644</v>
      </c>
      <c r="G3965" s="3" t="str">
        <f>HYPERLINK("https://cloud.oebiotech.com/#/lm/network/55644", "https://cloud.oebiotech.com/#/lm/network/55644")</f>
        <v>https://cloud.oebiotech.com/#/lm/network/55644</v>
      </c>
      <c r="H3965" s="2" t="s">
        <v>26204</v>
      </c>
      <c r="I3965" s="2">
        <v>87296</v>
      </c>
      <c r="J3965" s="2"/>
      <c r="K3965" s="2">
        <v>101412523</v>
      </c>
      <c r="L3965" s="2"/>
      <c r="M3965" s="2"/>
      <c r="N3965" s="2"/>
      <c r="O3965" s="2">
        <v>173890</v>
      </c>
      <c r="P3965" s="2"/>
      <c r="Q3965" s="2"/>
      <c r="R3965" s="2"/>
      <c r="S3965" s="2" t="s">
        <v>26205</v>
      </c>
      <c r="T3965" s="2" t="s">
        <v>26206</v>
      </c>
      <c r="U3965" s="2" t="s">
        <v>56</v>
      </c>
      <c r="V3965" s="2" t="s">
        <v>145</v>
      </c>
      <c r="W3965" s="2" t="s">
        <v>146</v>
      </c>
      <c r="X3965" s="2" t="s">
        <v>83</v>
      </c>
      <c r="Y3965" s="2">
        <v>62.6</v>
      </c>
      <c r="Z3965" s="2">
        <v>37.200000000000003</v>
      </c>
      <c r="AA3965" s="2" t="s">
        <v>512</v>
      </c>
      <c r="AB3965" s="2" t="s">
        <v>26207</v>
      </c>
      <c r="AC3965" s="2">
        <v>3.04039670578043</v>
      </c>
      <c r="AD3965" s="2"/>
      <c r="AE3965" s="2">
        <v>0.12611061532018</v>
      </c>
      <c r="AF3965" s="2">
        <v>46819.304730454198</v>
      </c>
      <c r="AG3965" s="2">
        <v>48670.700938505797</v>
      </c>
      <c r="AH3965" s="4">
        <v>0.961960765463585</v>
      </c>
      <c r="AI3965" s="4">
        <v>-5.5950041459006498E-2</v>
      </c>
      <c r="AJ3965" s="4" t="s">
        <v>62</v>
      </c>
      <c r="AK3965" s="2">
        <v>0.88121595574188505</v>
      </c>
      <c r="AL3965" s="2">
        <v>0.94812959935476104</v>
      </c>
      <c r="AM3965" s="2">
        <v>65273.603309247803</v>
      </c>
      <c r="AN3965" s="2">
        <v>31076.167107695001</v>
      </c>
      <c r="AO3965" s="2">
        <v>63914.279249509302</v>
      </c>
      <c r="AP3965" s="2">
        <v>43143.525637795698</v>
      </c>
      <c r="AQ3965" s="2">
        <v>33305.487996138399</v>
      </c>
      <c r="AR3965" s="2">
        <v>44202.765082339203</v>
      </c>
      <c r="AS3965" s="2">
        <v>21027.312934102301</v>
      </c>
      <c r="AT3965" s="2">
        <v>66982.628579091004</v>
      </c>
      <c r="AU3965" s="2">
        <v>85687.333621071695</v>
      </c>
      <c r="AV3965" s="2">
        <v>48354.432828255201</v>
      </c>
      <c r="AW3965" s="2">
        <v>49952.4921012501</v>
      </c>
      <c r="AX3965" s="2">
        <v>20020.005567264401</v>
      </c>
    </row>
    <row r="3966" spans="1:50" x14ac:dyDescent="0.25">
      <c r="A3966" s="2" t="s">
        <v>26208</v>
      </c>
      <c r="B3966" s="2">
        <v>404.22551775045298</v>
      </c>
      <c r="C3966" s="2">
        <v>13.710283333333299</v>
      </c>
      <c r="D3966" s="2" t="s">
        <v>51</v>
      </c>
      <c r="E3966" s="2" t="s">
        <v>26209</v>
      </c>
      <c r="F3966" s="2">
        <v>205284</v>
      </c>
      <c r="G3966" s="3" t="str">
        <f>HYPERLINK("https://cloud.oebiotech.com/#/lm/network/205284", "https://cloud.oebiotech.com/#/lm/network/205284")</f>
        <v>https://cloud.oebiotech.com/#/lm/network/205284</v>
      </c>
      <c r="H3966" s="2" t="s">
        <v>26210</v>
      </c>
      <c r="I3966" s="2"/>
      <c r="J3966" s="2"/>
      <c r="K3966" s="2">
        <v>14697824</v>
      </c>
      <c r="L3966" s="2"/>
      <c r="M3966" s="2"/>
      <c r="N3966" s="2"/>
      <c r="O3966" s="2"/>
      <c r="P3966" s="2"/>
      <c r="Q3966" s="2"/>
      <c r="R3966" s="2"/>
      <c r="S3966" s="2" t="s">
        <v>26211</v>
      </c>
      <c r="T3966" s="2" t="s">
        <v>26212</v>
      </c>
      <c r="U3966" s="2" t="s">
        <v>266</v>
      </c>
      <c r="V3966" s="2" t="s">
        <v>1393</v>
      </c>
      <c r="W3966" s="2" t="s">
        <v>26213</v>
      </c>
      <c r="X3966" s="2" t="s">
        <v>147</v>
      </c>
      <c r="Y3966" s="2">
        <v>37.9</v>
      </c>
      <c r="Z3966" s="2">
        <v>0</v>
      </c>
      <c r="AA3966" s="2" t="s">
        <v>122</v>
      </c>
      <c r="AB3966" s="2" t="s">
        <v>26214</v>
      </c>
      <c r="AC3966" s="2">
        <v>2.2768676103221099</v>
      </c>
      <c r="AD3966" s="2"/>
      <c r="AE3966" s="2">
        <v>0.125985685354945</v>
      </c>
      <c r="AF3966" s="2">
        <v>6317.3770598984102</v>
      </c>
      <c r="AG3966" s="2">
        <v>5586.2309245016304</v>
      </c>
      <c r="AH3966" s="5">
        <v>1.1308836217618401</v>
      </c>
      <c r="AI3966" s="5">
        <v>0.17745047048963</v>
      </c>
      <c r="AJ3966" s="5" t="s">
        <v>139</v>
      </c>
      <c r="AK3966" s="2">
        <v>0.50694273012322999</v>
      </c>
      <c r="AL3966" s="2">
        <v>0.74196312845079004</v>
      </c>
      <c r="AM3966" s="2">
        <v>8023.7067064625198</v>
      </c>
      <c r="AN3966" s="2">
        <v>5845.2359032860604</v>
      </c>
      <c r="AO3966" s="2">
        <v>7773.4314211855699</v>
      </c>
      <c r="AP3966" s="2">
        <v>5058.3515772209503</v>
      </c>
      <c r="AQ3966" s="2">
        <v>6200.0540598483303</v>
      </c>
      <c r="AR3966" s="2">
        <v>5003.4826913870402</v>
      </c>
      <c r="AS3966" s="2">
        <v>1465.03054608207</v>
      </c>
      <c r="AT3966" s="2">
        <v>4615.0909938068598</v>
      </c>
      <c r="AU3966" s="2">
        <v>6748.01097632458</v>
      </c>
      <c r="AV3966" s="2">
        <v>7535.1297866137102</v>
      </c>
      <c r="AW3966" s="2">
        <v>6232.9166016609597</v>
      </c>
      <c r="AX3966" s="2">
        <v>6921.2066425216199</v>
      </c>
    </row>
    <row r="3967" spans="1:50" x14ac:dyDescent="0.25">
      <c r="A3967" s="2" t="s">
        <v>26215</v>
      </c>
      <c r="B3967" s="2">
        <v>411.23919369408799</v>
      </c>
      <c r="C3967" s="2">
        <v>6.5423833333333299</v>
      </c>
      <c r="D3967" s="2" t="s">
        <v>51</v>
      </c>
      <c r="E3967" s="2" t="s">
        <v>26216</v>
      </c>
      <c r="F3967" s="2">
        <v>47313</v>
      </c>
      <c r="G3967" s="3" t="str">
        <f>HYPERLINK("https://cloud.oebiotech.com/#/lm/network/47313", "https://cloud.oebiotech.com/#/lm/network/47313")</f>
        <v>https://cloud.oebiotech.com/#/lm/network/47313</v>
      </c>
      <c r="H3967" s="2" t="s">
        <v>26217</v>
      </c>
      <c r="I3967" s="2">
        <v>5897</v>
      </c>
      <c r="J3967" s="2"/>
      <c r="K3967" s="2">
        <v>387316</v>
      </c>
      <c r="L3967" s="2" t="s">
        <v>26218</v>
      </c>
      <c r="M3967" s="2" t="s">
        <v>3331</v>
      </c>
      <c r="N3967" s="2" t="s">
        <v>3332</v>
      </c>
      <c r="O3967" s="2">
        <v>16525</v>
      </c>
      <c r="P3967" s="2" t="s">
        <v>26219</v>
      </c>
      <c r="Q3967" s="2" t="s">
        <v>26220</v>
      </c>
      <c r="R3967" s="2" t="s">
        <v>26221</v>
      </c>
      <c r="S3967" s="2" t="s">
        <v>26222</v>
      </c>
      <c r="T3967" s="2" t="s">
        <v>26223</v>
      </c>
      <c r="U3967" s="2" t="s">
        <v>56</v>
      </c>
      <c r="V3967" s="2" t="s">
        <v>283</v>
      </c>
      <c r="W3967" s="2" t="s">
        <v>492</v>
      </c>
      <c r="X3967" s="2" t="s">
        <v>83</v>
      </c>
      <c r="Y3967" s="2">
        <v>44.2</v>
      </c>
      <c r="Z3967" s="2">
        <v>15.8</v>
      </c>
      <c r="AA3967" s="2" t="s">
        <v>218</v>
      </c>
      <c r="AB3967" s="2" t="s">
        <v>9482</v>
      </c>
      <c r="AC3967" s="2">
        <v>1.00107930144129</v>
      </c>
      <c r="AD3967" s="2"/>
      <c r="AE3967" s="2">
        <v>0.12597673651959199</v>
      </c>
      <c r="AF3967" s="2">
        <v>16589.098611161098</v>
      </c>
      <c r="AG3967" s="2">
        <v>22530.460973507299</v>
      </c>
      <c r="AH3967" s="4">
        <v>0.73629645796717302</v>
      </c>
      <c r="AI3967" s="4">
        <v>-0.44164133359888802</v>
      </c>
      <c r="AJ3967" s="4" t="s">
        <v>62</v>
      </c>
      <c r="AK3967" s="2">
        <v>0.521156727824579</v>
      </c>
      <c r="AL3967" s="2">
        <v>0.75192102353561097</v>
      </c>
      <c r="AM3967" s="2">
        <v>26305.242935300601</v>
      </c>
      <c r="AN3967" s="2">
        <v>16080.6168334131</v>
      </c>
      <c r="AO3967" s="2">
        <v>6149.22370120903</v>
      </c>
      <c r="AP3967" s="2">
        <v>11996.330078003401</v>
      </c>
      <c r="AQ3967" s="2">
        <v>17471.898820556002</v>
      </c>
      <c r="AR3967" s="2">
        <v>21531.279298484202</v>
      </c>
      <c r="AS3967" s="2">
        <v>13803.8603580897</v>
      </c>
      <c r="AT3967" s="2">
        <v>64394.412247887602</v>
      </c>
      <c r="AU3967" s="2">
        <v>11883.635803069201</v>
      </c>
      <c r="AV3967" s="2">
        <v>14679.0212278244</v>
      </c>
      <c r="AW3967" s="2">
        <v>11050.5126549286</v>
      </c>
      <c r="AX3967" s="2">
        <v>19371.3235492444</v>
      </c>
    </row>
    <row r="3968" spans="1:50" x14ac:dyDescent="0.25">
      <c r="A3968" s="2" t="s">
        <v>26224</v>
      </c>
      <c r="B3968" s="2">
        <v>169.08609033161699</v>
      </c>
      <c r="C3968" s="2">
        <v>5.5183</v>
      </c>
      <c r="D3968" s="2" t="s">
        <v>51</v>
      </c>
      <c r="E3968" s="2" t="s">
        <v>26225</v>
      </c>
      <c r="F3968" s="2">
        <v>51490</v>
      </c>
      <c r="G3968" s="3" t="str">
        <f>HYPERLINK("https://cloud.oebiotech.com/#/lm/network/51490", "https://cloud.oebiotech.com/#/lm/network/51490")</f>
        <v>https://cloud.oebiotech.com/#/lm/network/51490</v>
      </c>
      <c r="H3968" s="2" t="s">
        <v>26226</v>
      </c>
      <c r="I3968" s="2">
        <v>62450</v>
      </c>
      <c r="J3968" s="2"/>
      <c r="K3968" s="2">
        <v>16058309</v>
      </c>
      <c r="L3968" s="2"/>
      <c r="M3968" s="2"/>
      <c r="N3968" s="2"/>
      <c r="O3968" s="2">
        <v>88404</v>
      </c>
      <c r="P3968" s="2"/>
      <c r="Q3968" s="2"/>
      <c r="R3968" s="2"/>
      <c r="S3968" s="2" t="s">
        <v>26227</v>
      </c>
      <c r="T3968" s="2" t="s">
        <v>26228</v>
      </c>
      <c r="U3968" s="2" t="s">
        <v>56</v>
      </c>
      <c r="V3968" s="2" t="s">
        <v>145</v>
      </c>
      <c r="W3968" s="2" t="s">
        <v>231</v>
      </c>
      <c r="X3968" s="2" t="s">
        <v>83</v>
      </c>
      <c r="Y3968" s="2">
        <v>57.9</v>
      </c>
      <c r="Z3968" s="2">
        <v>39.700000000000003</v>
      </c>
      <c r="AA3968" s="2" t="s">
        <v>379</v>
      </c>
      <c r="AB3968" s="2" t="s">
        <v>3431</v>
      </c>
      <c r="AC3968" s="2">
        <v>-4.93097173644097</v>
      </c>
      <c r="AD3968" s="2"/>
      <c r="AE3968" s="2">
        <v>0.12597459561982299</v>
      </c>
      <c r="AF3968" s="2">
        <v>1837.6377780719999</v>
      </c>
      <c r="AG3968" s="2">
        <v>1450.1907169925801</v>
      </c>
      <c r="AH3968" s="5">
        <v>1.26716972915323</v>
      </c>
      <c r="AI3968" s="5">
        <v>0.34160977704993101</v>
      </c>
      <c r="AJ3968" s="5" t="s">
        <v>139</v>
      </c>
      <c r="AK3968" s="2">
        <v>0.15632836409054801</v>
      </c>
      <c r="AL3968" s="2">
        <v>0.47717103882190898</v>
      </c>
      <c r="AM3968" s="2">
        <v>1804.95491232412</v>
      </c>
      <c r="AN3968" s="2">
        <v>2581.8121676181199</v>
      </c>
      <c r="AO3968" s="2">
        <v>2101.6564467468502</v>
      </c>
      <c r="AP3968" s="2">
        <v>1434.4512339734699</v>
      </c>
      <c r="AQ3968" s="2">
        <v>1393.9265306032701</v>
      </c>
      <c r="AR3968" s="2">
        <v>1709.0253771662001</v>
      </c>
      <c r="AS3968" s="2">
        <v>1609.0893105607699</v>
      </c>
      <c r="AT3968" s="2">
        <v>2090.7572390497598</v>
      </c>
      <c r="AU3968" s="2">
        <v>1703.6646332412899</v>
      </c>
      <c r="AV3968" s="2">
        <v>1027.85528412295</v>
      </c>
      <c r="AW3968" s="2">
        <v>994.87613817009003</v>
      </c>
      <c r="AX3968" s="2">
        <v>1274.9016968106</v>
      </c>
    </row>
    <row r="3969" spans="1:50" x14ac:dyDescent="0.25">
      <c r="A3969" s="2" t="s">
        <v>26229</v>
      </c>
      <c r="B3969" s="2">
        <v>233.154518073286</v>
      </c>
      <c r="C3969" s="2">
        <v>7.5919499999999998</v>
      </c>
      <c r="D3969" s="2" t="s">
        <v>51</v>
      </c>
      <c r="E3969" s="2" t="s">
        <v>26230</v>
      </c>
      <c r="F3969" s="2">
        <v>60264</v>
      </c>
      <c r="G3969" s="3" t="str">
        <f>HYPERLINK("https://cloud.oebiotech.com/#/lm/network/60264", "https://cloud.oebiotech.com/#/lm/network/60264")</f>
        <v>https://cloud.oebiotech.com/#/lm/network/60264</v>
      </c>
      <c r="H3969" s="2" t="s">
        <v>26231</v>
      </c>
      <c r="I3969" s="2">
        <v>91639</v>
      </c>
      <c r="J3969" s="2"/>
      <c r="K3969" s="2">
        <v>6439586</v>
      </c>
      <c r="L3969" s="2"/>
      <c r="M3969" s="2"/>
      <c r="N3969" s="2"/>
      <c r="O3969" s="2">
        <v>174304</v>
      </c>
      <c r="P3969" s="2"/>
      <c r="Q3969" s="2"/>
      <c r="R3969" s="2" t="s">
        <v>26232</v>
      </c>
      <c r="S3969" s="2" t="s">
        <v>26233</v>
      </c>
      <c r="T3969" s="2" t="s">
        <v>26234</v>
      </c>
      <c r="U3969" s="2" t="s">
        <v>56</v>
      </c>
      <c r="V3969" s="2" t="s">
        <v>177</v>
      </c>
      <c r="W3969" s="2" t="s">
        <v>1996</v>
      </c>
      <c r="X3969" s="2" t="s">
        <v>83</v>
      </c>
      <c r="Y3969" s="2">
        <v>44.5</v>
      </c>
      <c r="Z3969" s="2">
        <v>0</v>
      </c>
      <c r="AA3969" s="2" t="s">
        <v>156</v>
      </c>
      <c r="AB3969" s="2" t="s">
        <v>8328</v>
      </c>
      <c r="AC3969" s="2">
        <v>3.6447489004856002</v>
      </c>
      <c r="AD3969" s="2"/>
      <c r="AE3969" s="2">
        <v>0.12594743230462599</v>
      </c>
      <c r="AF3969" s="2">
        <v>1473.9071348047401</v>
      </c>
      <c r="AG3969" s="2">
        <v>1069.6489341005599</v>
      </c>
      <c r="AH3969" s="5">
        <v>1.3779354027441799</v>
      </c>
      <c r="AI3969" s="5">
        <v>0.46250825645653998</v>
      </c>
      <c r="AJ3969" s="5" t="s">
        <v>139</v>
      </c>
      <c r="AK3969" s="2">
        <v>4.12761889103141E-2</v>
      </c>
      <c r="AL3969" s="2">
        <v>0.29213774394777098</v>
      </c>
      <c r="AM3969" s="2">
        <v>1680.63286788869</v>
      </c>
      <c r="AN3969" s="2">
        <v>1822.5558252005801</v>
      </c>
      <c r="AO3969" s="2">
        <v>1198.19047952438</v>
      </c>
      <c r="AP3969" s="2">
        <v>1321.0917815847599</v>
      </c>
      <c r="AQ3969" s="2">
        <v>1236.84946279991</v>
      </c>
      <c r="AR3969" s="2">
        <v>1584.1223918301</v>
      </c>
      <c r="AS3969" s="2">
        <v>1384.8865749742599</v>
      </c>
      <c r="AT3969" s="2">
        <v>901.97222059060198</v>
      </c>
      <c r="AU3969" s="2">
        <v>1308.0855170642801</v>
      </c>
      <c r="AV3969" s="2">
        <v>731.06551168463102</v>
      </c>
      <c r="AW3969" s="2">
        <v>683.60299690452405</v>
      </c>
      <c r="AX3969" s="2">
        <v>1408.28078338504</v>
      </c>
    </row>
    <row r="3970" spans="1:50" x14ac:dyDescent="0.25">
      <c r="A3970" s="2" t="s">
        <v>26235</v>
      </c>
      <c r="B3970" s="2">
        <v>190.11909255067499</v>
      </c>
      <c r="C3970" s="2">
        <v>0.69773333333333298</v>
      </c>
      <c r="D3970" s="2" t="s">
        <v>51</v>
      </c>
      <c r="E3970" s="2" t="s">
        <v>26236</v>
      </c>
      <c r="F3970" s="2">
        <v>467000</v>
      </c>
      <c r="G3970" s="3" t="str">
        <f>HYPERLINK("https://cloud.oebiotech.com/#/lm/network/467000", "https://cloud.oebiotech.com/#/lm/network/467000")</f>
        <v>https://cloud.oebiotech.com/#/lm/network/467000</v>
      </c>
      <c r="H3970" s="2"/>
      <c r="I3970" s="2">
        <v>85017</v>
      </c>
      <c r="J3970" s="2"/>
      <c r="K3970" s="2">
        <v>231356</v>
      </c>
      <c r="L3970" s="2"/>
      <c r="M3970" s="2"/>
      <c r="N3970" s="2"/>
      <c r="O3970" s="2"/>
      <c r="P3970" s="2"/>
      <c r="Q3970" s="2"/>
      <c r="R3970" s="2"/>
      <c r="S3970" s="2" t="s">
        <v>26237</v>
      </c>
      <c r="T3970" s="2" t="s">
        <v>26238</v>
      </c>
      <c r="U3970" s="2" t="s">
        <v>103</v>
      </c>
      <c r="V3970" s="2" t="s">
        <v>104</v>
      </c>
      <c r="W3970" s="2" t="s">
        <v>105</v>
      </c>
      <c r="X3970" s="2" t="s">
        <v>83</v>
      </c>
      <c r="Y3970" s="2">
        <v>38.799999999999997</v>
      </c>
      <c r="Z3970" s="2">
        <v>0</v>
      </c>
      <c r="AA3970" s="2" t="s">
        <v>259</v>
      </c>
      <c r="AB3970" s="2" t="s">
        <v>26239</v>
      </c>
      <c r="AC3970" s="2">
        <v>2.51050276069929</v>
      </c>
      <c r="AD3970" s="2"/>
      <c r="AE3970" s="2">
        <v>0.12592295255813299</v>
      </c>
      <c r="AF3970" s="2">
        <v>769.91644691416195</v>
      </c>
      <c r="AG3970" s="2">
        <v>1511.8801591178999</v>
      </c>
      <c r="AH3970" s="4">
        <v>0.50924436190985201</v>
      </c>
      <c r="AI3970" s="4">
        <v>-0.97356999238097897</v>
      </c>
      <c r="AJ3970" s="4" t="s">
        <v>62</v>
      </c>
      <c r="AK3970" s="2">
        <v>0.21330003437385001</v>
      </c>
      <c r="AL3970" s="2">
        <v>0.53768212145991301</v>
      </c>
      <c r="AM3970" s="2">
        <v>1192.0636104732</v>
      </c>
      <c r="AN3970" s="2">
        <v>8.559877937157E-6</v>
      </c>
      <c r="AO3970" s="2">
        <v>188.22628571262501</v>
      </c>
      <c r="AP3970" s="2">
        <v>626.47151915346603</v>
      </c>
      <c r="AQ3970" s="2">
        <v>975.77467021192399</v>
      </c>
      <c r="AR3970" s="2">
        <v>1636.9625873738801</v>
      </c>
      <c r="AS3970" s="2">
        <v>634.97782156945505</v>
      </c>
      <c r="AT3970" s="2">
        <v>1497.2508276819201</v>
      </c>
      <c r="AU3970" s="2">
        <v>1985.4880931287701</v>
      </c>
      <c r="AV3970" s="2">
        <v>3683.93462969442</v>
      </c>
      <c r="AW3970" s="2">
        <v>340.31234775274902</v>
      </c>
      <c r="AX3970" s="2">
        <v>929.31723488009902</v>
      </c>
    </row>
    <row r="3971" spans="1:50" x14ac:dyDescent="0.25">
      <c r="A3971" s="2" t="s">
        <v>26240</v>
      </c>
      <c r="B3971" s="2">
        <v>566.41305220437698</v>
      </c>
      <c r="C3971" s="2">
        <v>14.919600000000001</v>
      </c>
      <c r="D3971" s="2" t="s">
        <v>51</v>
      </c>
      <c r="E3971" s="2" t="s">
        <v>26241</v>
      </c>
      <c r="F3971" s="2">
        <v>37094</v>
      </c>
      <c r="G3971" s="3" t="str">
        <f>HYPERLINK("https://cloud.oebiotech.com/#/lm/network/37094", "https://cloud.oebiotech.com/#/lm/network/37094")</f>
        <v>https://cloud.oebiotech.com/#/lm/network/37094</v>
      </c>
      <c r="H3971" s="2"/>
      <c r="I3971" s="2"/>
      <c r="J3971" s="2" t="s">
        <v>26242</v>
      </c>
      <c r="K3971" s="2">
        <v>11757672</v>
      </c>
      <c r="L3971" s="2"/>
      <c r="M3971" s="2"/>
      <c r="N3971" s="2"/>
      <c r="O3971" s="2">
        <v>140610</v>
      </c>
      <c r="P3971" s="2"/>
      <c r="Q3971" s="2"/>
      <c r="R3971" s="2"/>
      <c r="S3971" s="2" t="s">
        <v>26243</v>
      </c>
      <c r="T3971" s="2" t="s">
        <v>26244</v>
      </c>
      <c r="U3971" s="2" t="s">
        <v>56</v>
      </c>
      <c r="V3971" s="2" t="s">
        <v>177</v>
      </c>
      <c r="W3971" s="2" t="s">
        <v>928</v>
      </c>
      <c r="X3971" s="2" t="s">
        <v>83</v>
      </c>
      <c r="Y3971" s="2">
        <v>40.5</v>
      </c>
      <c r="Z3971" s="2">
        <v>0</v>
      </c>
      <c r="AA3971" s="2" t="s">
        <v>122</v>
      </c>
      <c r="AB3971" s="2" t="s">
        <v>26245</v>
      </c>
      <c r="AC3971" s="2">
        <v>1.1848848989160501</v>
      </c>
      <c r="AD3971" s="2"/>
      <c r="AE3971" s="2">
        <v>0.12590483226306801</v>
      </c>
      <c r="AF3971" s="2">
        <v>2680.37558806367</v>
      </c>
      <c r="AG3971" s="2">
        <v>3526.3112471126401</v>
      </c>
      <c r="AH3971" s="4">
        <v>0.76010748916686699</v>
      </c>
      <c r="AI3971" s="4">
        <v>-0.39572464590651202</v>
      </c>
      <c r="AJ3971" s="4" t="s">
        <v>62</v>
      </c>
      <c r="AK3971" s="2">
        <v>0.62995651560756405</v>
      </c>
      <c r="AL3971" s="2">
        <v>0.81892967662844496</v>
      </c>
      <c r="AM3971" s="2">
        <v>1389.14228882467</v>
      </c>
      <c r="AN3971" s="2">
        <v>2776.0633282025901</v>
      </c>
      <c r="AO3971" s="2">
        <v>4277.8683210029803</v>
      </c>
      <c r="AP3971" s="2">
        <v>1617.7527089996399</v>
      </c>
      <c r="AQ3971" s="2">
        <v>2422.07247173531</v>
      </c>
      <c r="AR3971" s="2">
        <v>3599.3544096168298</v>
      </c>
      <c r="AS3971" s="2">
        <v>9607.0022267717995</v>
      </c>
      <c r="AT3971" s="2">
        <v>934.20845325367702</v>
      </c>
      <c r="AU3971" s="2">
        <v>8.559877937157E-6</v>
      </c>
      <c r="AV3971" s="2">
        <v>1456.1415419095299</v>
      </c>
      <c r="AW3971" s="2">
        <v>1578.60453422509</v>
      </c>
      <c r="AX3971" s="2">
        <v>7581.9107179558496</v>
      </c>
    </row>
    <row r="3972" spans="1:50" x14ac:dyDescent="0.25">
      <c r="A3972" s="2" t="s">
        <v>26246</v>
      </c>
      <c r="B3972" s="2">
        <v>334.14103412884799</v>
      </c>
      <c r="C3972" s="2">
        <v>4.0687333333333298</v>
      </c>
      <c r="D3972" s="2" t="s">
        <v>51</v>
      </c>
      <c r="E3972" s="2" t="s">
        <v>26247</v>
      </c>
      <c r="F3972" s="2">
        <v>53862</v>
      </c>
      <c r="G3972" s="3" t="str">
        <f>HYPERLINK("https://cloud.oebiotech.com/#/lm/network/53862", "https://cloud.oebiotech.com/#/lm/network/53862")</f>
        <v>https://cloud.oebiotech.com/#/lm/network/53862</v>
      </c>
      <c r="H3972" s="2" t="s">
        <v>26248</v>
      </c>
      <c r="I3972" s="2"/>
      <c r="J3972" s="2"/>
      <c r="K3972" s="2">
        <v>100094</v>
      </c>
      <c r="L3972" s="2"/>
      <c r="M3972" s="2"/>
      <c r="N3972" s="2"/>
      <c r="O3972" s="2">
        <v>73512</v>
      </c>
      <c r="P3972" s="2"/>
      <c r="Q3972" s="2"/>
      <c r="R3972" s="2" t="s">
        <v>26249</v>
      </c>
      <c r="S3972" s="2" t="s">
        <v>26250</v>
      </c>
      <c r="T3972" s="2" t="s">
        <v>26251</v>
      </c>
      <c r="U3972" s="2" t="s">
        <v>103</v>
      </c>
      <c r="V3972" s="2" t="s">
        <v>104</v>
      </c>
      <c r="W3972" s="2" t="s">
        <v>105</v>
      </c>
      <c r="X3972" s="2" t="s">
        <v>69</v>
      </c>
      <c r="Y3972" s="2">
        <v>62.8</v>
      </c>
      <c r="Z3972" s="2">
        <v>92.7</v>
      </c>
      <c r="AA3972" s="2" t="s">
        <v>259</v>
      </c>
      <c r="AB3972" s="2" t="s">
        <v>7339</v>
      </c>
      <c r="AC3972" s="2">
        <v>3.8632539041782401</v>
      </c>
      <c r="AD3972" s="2"/>
      <c r="AE3972" s="2">
        <v>0.12590382146953299</v>
      </c>
      <c r="AF3972" s="2">
        <v>1809.54965208456</v>
      </c>
      <c r="AG3972" s="2">
        <v>1072.7539221038701</v>
      </c>
      <c r="AH3972" s="5">
        <v>1.6868264145198399</v>
      </c>
      <c r="AI3972" s="5">
        <v>0.754311518500137</v>
      </c>
      <c r="AJ3972" s="5" t="s">
        <v>139</v>
      </c>
      <c r="AK3972" s="2">
        <v>0.29697279374791402</v>
      </c>
      <c r="AL3972" s="2">
        <v>0.60839457435519995</v>
      </c>
      <c r="AM3972" s="2">
        <v>1078.5741645150299</v>
      </c>
      <c r="AN3972" s="2">
        <v>1724.4727801424799</v>
      </c>
      <c r="AO3972" s="2">
        <v>1879.0332172762401</v>
      </c>
      <c r="AP3972" s="2">
        <v>1657.36715409526</v>
      </c>
      <c r="AQ3972" s="2">
        <v>1178.04866273319</v>
      </c>
      <c r="AR3972" s="2">
        <v>3339.8019337451501</v>
      </c>
      <c r="AS3972" s="2">
        <v>1173.64307846869</v>
      </c>
      <c r="AT3972" s="2">
        <v>670.50074792878195</v>
      </c>
      <c r="AU3972" s="2">
        <v>3856.6486542503199</v>
      </c>
      <c r="AV3972" s="2">
        <v>174.17770641135601</v>
      </c>
      <c r="AW3972" s="2">
        <v>8.559877937157E-6</v>
      </c>
      <c r="AX3972" s="2">
        <v>561.55333700417998</v>
      </c>
    </row>
    <row r="3973" spans="1:50" x14ac:dyDescent="0.25">
      <c r="A3973" s="2" t="s">
        <v>26252</v>
      </c>
      <c r="B3973" s="2">
        <v>563.35557915275297</v>
      </c>
      <c r="C3973" s="2">
        <v>8.8446666666666705</v>
      </c>
      <c r="D3973" s="2" t="s">
        <v>51</v>
      </c>
      <c r="E3973" s="2" t="s">
        <v>26253</v>
      </c>
      <c r="F3973" s="2">
        <v>202280</v>
      </c>
      <c r="G3973" s="3" t="str">
        <f>HYPERLINK("https://cloud.oebiotech.com/#/lm/network/202280", "https://cloud.oebiotech.com/#/lm/network/202280")</f>
        <v>https://cloud.oebiotech.com/#/lm/network/202280</v>
      </c>
      <c r="H3973" s="2" t="s">
        <v>26254</v>
      </c>
      <c r="I3973" s="2"/>
      <c r="J3973" s="2"/>
      <c r="K3973" s="2">
        <v>14165743</v>
      </c>
      <c r="L3973" s="2"/>
      <c r="M3973" s="2"/>
      <c r="N3973" s="2"/>
      <c r="O3973" s="2"/>
      <c r="P3973" s="2"/>
      <c r="Q3973" s="2"/>
      <c r="R3973" s="2"/>
      <c r="S3973" s="2" t="s">
        <v>26255</v>
      </c>
      <c r="T3973" s="2" t="s">
        <v>26256</v>
      </c>
      <c r="U3973" s="2" t="s">
        <v>56</v>
      </c>
      <c r="V3973" s="2" t="s">
        <v>283</v>
      </c>
      <c r="W3973" s="2" t="s">
        <v>18279</v>
      </c>
      <c r="X3973" s="2" t="s">
        <v>83</v>
      </c>
      <c r="Y3973" s="2">
        <v>39.1</v>
      </c>
      <c r="Z3973" s="2">
        <v>0</v>
      </c>
      <c r="AA3973" s="2" t="s">
        <v>259</v>
      </c>
      <c r="AB3973" s="2" t="s">
        <v>26257</v>
      </c>
      <c r="AC3973" s="2">
        <v>-4.0292290146033602</v>
      </c>
      <c r="AD3973" s="2"/>
      <c r="AE3973" s="2">
        <v>0.12583864616476501</v>
      </c>
      <c r="AF3973" s="2">
        <v>3920.9670449260002</v>
      </c>
      <c r="AG3973" s="2">
        <v>3268.7866127534398</v>
      </c>
      <c r="AH3973" s="5">
        <v>1.1995175915209699</v>
      </c>
      <c r="AI3973" s="5">
        <v>0.26245431562548299</v>
      </c>
      <c r="AJ3973" s="5" t="s">
        <v>139</v>
      </c>
      <c r="AK3973" s="2">
        <v>0.66602538754567697</v>
      </c>
      <c r="AL3973" s="2">
        <v>0.83819654843918501</v>
      </c>
      <c r="AM3973" s="2">
        <v>8967.0990818917908</v>
      </c>
      <c r="AN3973" s="2">
        <v>3360.31194200765</v>
      </c>
      <c r="AO3973" s="2">
        <v>1779.52342952206</v>
      </c>
      <c r="AP3973" s="2">
        <v>2306.1873054392599</v>
      </c>
      <c r="AQ3973" s="2">
        <v>3031.0100883874902</v>
      </c>
      <c r="AR3973" s="2">
        <v>4081.67042230774</v>
      </c>
      <c r="AS3973" s="2">
        <v>2246.51157147504</v>
      </c>
      <c r="AT3973" s="2">
        <v>703.67690515295101</v>
      </c>
      <c r="AU3973" s="2">
        <v>6935.8515502837599</v>
      </c>
      <c r="AV3973" s="2">
        <v>1689.2771784694201</v>
      </c>
      <c r="AW3973" s="2">
        <v>2279.2780373140199</v>
      </c>
      <c r="AX3973" s="2">
        <v>5758.1244338254601</v>
      </c>
    </row>
    <row r="3974" spans="1:50" x14ac:dyDescent="0.25">
      <c r="A3974" s="2" t="s">
        <v>26258</v>
      </c>
      <c r="B3974" s="2">
        <v>199.09452778103</v>
      </c>
      <c r="C3974" s="2">
        <v>5.4438333333333304</v>
      </c>
      <c r="D3974" s="2" t="s">
        <v>51</v>
      </c>
      <c r="E3974" s="2" t="s">
        <v>26259</v>
      </c>
      <c r="F3974" s="2">
        <v>198666</v>
      </c>
      <c r="G3974" s="3" t="str">
        <f>HYPERLINK("https://cloud.oebiotech.com/#/lm/network/198666", "https://cloud.oebiotech.com/#/lm/network/198666")</f>
        <v>https://cloud.oebiotech.com/#/lm/network/198666</v>
      </c>
      <c r="H3974" s="2" t="s">
        <v>26260</v>
      </c>
      <c r="I3974" s="2"/>
      <c r="J3974" s="2"/>
      <c r="K3974" s="2">
        <v>17789717</v>
      </c>
      <c r="L3974" s="2"/>
      <c r="M3974" s="2"/>
      <c r="N3974" s="2"/>
      <c r="O3974" s="2"/>
      <c r="P3974" s="2"/>
      <c r="Q3974" s="2"/>
      <c r="R3974" s="2"/>
      <c r="S3974" s="2" t="s">
        <v>26261</v>
      </c>
      <c r="T3974" s="2" t="s">
        <v>26262</v>
      </c>
      <c r="U3974" s="2" t="s">
        <v>56</v>
      </c>
      <c r="V3974" s="2" t="s">
        <v>145</v>
      </c>
      <c r="W3974" s="2" t="s">
        <v>231</v>
      </c>
      <c r="X3974" s="2" t="s">
        <v>83</v>
      </c>
      <c r="Y3974" s="2">
        <v>40.9</v>
      </c>
      <c r="Z3974" s="2">
        <v>0</v>
      </c>
      <c r="AA3974" s="2" t="s">
        <v>259</v>
      </c>
      <c r="AB3974" s="2" t="s">
        <v>15887</v>
      </c>
      <c r="AC3974" s="2">
        <v>-9.8823060594291903</v>
      </c>
      <c r="AD3974" s="2"/>
      <c r="AE3974" s="2">
        <v>0.125431893425792</v>
      </c>
      <c r="AF3974" s="2">
        <v>1256.1542008922299</v>
      </c>
      <c r="AG3974" s="2">
        <v>621.12461462116596</v>
      </c>
      <c r="AH3974" s="5">
        <v>2.0223867663953001</v>
      </c>
      <c r="AI3974" s="5">
        <v>1.01605892830015</v>
      </c>
      <c r="AJ3974" s="5" t="s">
        <v>139</v>
      </c>
      <c r="AK3974" s="2">
        <v>3.41231257744481E-2</v>
      </c>
      <c r="AL3974" s="2">
        <v>0.27081853690800001</v>
      </c>
      <c r="AM3974" s="2">
        <v>379.32125332707602</v>
      </c>
      <c r="AN3974" s="2">
        <v>1698.0322974043299</v>
      </c>
      <c r="AO3974" s="2">
        <v>1192.6641252709201</v>
      </c>
      <c r="AP3974" s="2">
        <v>1292.75923588465</v>
      </c>
      <c r="AQ3974" s="2">
        <v>1392.0948825360599</v>
      </c>
      <c r="AR3974" s="2">
        <v>1582.0534109303201</v>
      </c>
      <c r="AS3974" s="2">
        <v>1453.65995921832</v>
      </c>
      <c r="AT3974" s="2">
        <v>400.31603236961899</v>
      </c>
      <c r="AU3974" s="2">
        <v>512.957266867822</v>
      </c>
      <c r="AV3974" s="2">
        <v>225.47929505242701</v>
      </c>
      <c r="AW3974" s="2">
        <v>595.53062827119004</v>
      </c>
      <c r="AX3974" s="2">
        <v>538.80450594761601</v>
      </c>
    </row>
    <row r="3975" spans="1:50" x14ac:dyDescent="0.25">
      <c r="A3975" s="2" t="s">
        <v>26263</v>
      </c>
      <c r="B3975" s="2">
        <v>156.138629130938</v>
      </c>
      <c r="C3975" s="2">
        <v>12.6778666666667</v>
      </c>
      <c r="D3975" s="2" t="s">
        <v>51</v>
      </c>
      <c r="E3975" s="2" t="s">
        <v>26264</v>
      </c>
      <c r="F3975" s="2">
        <v>63523</v>
      </c>
      <c r="G3975" s="3" t="str">
        <f>HYPERLINK("https://cloud.oebiotech.com/#/lm/network/63523", "https://cloud.oebiotech.com/#/lm/network/63523")</f>
        <v>https://cloud.oebiotech.com/#/lm/network/63523</v>
      </c>
      <c r="H3975" s="2" t="s">
        <v>26265</v>
      </c>
      <c r="I3975" s="2">
        <v>94854</v>
      </c>
      <c r="J3975" s="2"/>
      <c r="K3975" s="2">
        <v>10108</v>
      </c>
      <c r="L3975" s="2"/>
      <c r="M3975" s="2"/>
      <c r="N3975" s="2"/>
      <c r="O3975" s="2"/>
      <c r="P3975" s="2"/>
      <c r="Q3975" s="2"/>
      <c r="R3975" s="2" t="s">
        <v>26266</v>
      </c>
      <c r="S3975" s="2" t="s">
        <v>26267</v>
      </c>
      <c r="T3975" s="2" t="s">
        <v>26268</v>
      </c>
      <c r="U3975" s="2" t="s">
        <v>331</v>
      </c>
      <c r="V3975" s="2" t="s">
        <v>332</v>
      </c>
      <c r="W3975" s="2" t="s">
        <v>1207</v>
      </c>
      <c r="X3975" s="2" t="s">
        <v>147</v>
      </c>
      <c r="Y3975" s="2">
        <v>44.4</v>
      </c>
      <c r="Z3975" s="2">
        <v>34.6</v>
      </c>
      <c r="AA3975" s="2" t="s">
        <v>3354</v>
      </c>
      <c r="AB3975" s="2" t="s">
        <v>26269</v>
      </c>
      <c r="AC3975" s="2">
        <v>2.45127772157855</v>
      </c>
      <c r="AD3975" s="2"/>
      <c r="AE3975" s="2">
        <v>0.125428085768787</v>
      </c>
      <c r="AF3975" s="2">
        <v>11304.4501342772</v>
      </c>
      <c r="AG3975" s="2">
        <v>14178.4856033493</v>
      </c>
      <c r="AH3975" s="4">
        <v>0.79729601951331397</v>
      </c>
      <c r="AI3975" s="4">
        <v>-0.32681262839597103</v>
      </c>
      <c r="AJ3975" s="4" t="s">
        <v>62</v>
      </c>
      <c r="AK3975" s="2">
        <v>0.79954396536824002</v>
      </c>
      <c r="AL3975" s="2">
        <v>0.90954932814260703</v>
      </c>
      <c r="AM3975" s="2">
        <v>387.27792464819498</v>
      </c>
      <c r="AN3975" s="2">
        <v>432.69728900416402</v>
      </c>
      <c r="AO3975" s="2">
        <v>27076.925632819799</v>
      </c>
      <c r="AP3975" s="2">
        <v>451.79555282953601</v>
      </c>
      <c r="AQ3975" s="2">
        <v>38289.132774400903</v>
      </c>
      <c r="AR3975" s="2">
        <v>1188.8716319605401</v>
      </c>
      <c r="AS3975" s="2">
        <v>45578.195607961497</v>
      </c>
      <c r="AT3975" s="2">
        <v>518.60266947166099</v>
      </c>
      <c r="AU3975" s="2">
        <v>36541.281105957802</v>
      </c>
      <c r="AV3975" s="2">
        <v>1198.137116251</v>
      </c>
      <c r="AW3975" s="2">
        <v>393.68808592715101</v>
      </c>
      <c r="AX3975" s="2">
        <v>841.00903452639898</v>
      </c>
    </row>
    <row r="3976" spans="1:50" x14ac:dyDescent="0.25">
      <c r="A3976" s="2" t="s">
        <v>26270</v>
      </c>
      <c r="B3976" s="2">
        <v>337.27463342126998</v>
      </c>
      <c r="C3976" s="2">
        <v>13.079549999999999</v>
      </c>
      <c r="D3976" s="2" t="s">
        <v>51</v>
      </c>
      <c r="E3976" s="2" t="s">
        <v>26271</v>
      </c>
      <c r="F3976" s="2">
        <v>61550</v>
      </c>
      <c r="G3976" s="3" t="str">
        <f>HYPERLINK("https://cloud.oebiotech.com/#/lm/network/61550", "https://cloud.oebiotech.com/#/lm/network/61550")</f>
        <v>https://cloud.oebiotech.com/#/lm/network/61550</v>
      </c>
      <c r="H3976" s="2" t="s">
        <v>26272</v>
      </c>
      <c r="I3976" s="2">
        <v>92862</v>
      </c>
      <c r="J3976" s="2"/>
      <c r="K3976" s="2">
        <v>24991154</v>
      </c>
      <c r="L3976" s="2"/>
      <c r="M3976" s="2"/>
      <c r="N3976" s="2"/>
      <c r="O3976" s="2">
        <v>166559</v>
      </c>
      <c r="P3976" s="2"/>
      <c r="Q3976" s="2"/>
      <c r="R3976" s="2" t="s">
        <v>26273</v>
      </c>
      <c r="S3976" s="2" t="s">
        <v>26274</v>
      </c>
      <c r="T3976" s="2" t="s">
        <v>26275</v>
      </c>
      <c r="U3976" s="2" t="s">
        <v>266</v>
      </c>
      <c r="V3976" s="2" t="s">
        <v>26276</v>
      </c>
      <c r="W3976" s="2" t="s">
        <v>240</v>
      </c>
      <c r="X3976" s="2" t="s">
        <v>83</v>
      </c>
      <c r="Y3976" s="2">
        <v>43.4</v>
      </c>
      <c r="Z3976" s="2">
        <v>7.8200000000000006E-2</v>
      </c>
      <c r="AA3976" s="2" t="s">
        <v>259</v>
      </c>
      <c r="AB3976" s="2" t="s">
        <v>19104</v>
      </c>
      <c r="AC3976" s="2">
        <v>2.7120638505927199</v>
      </c>
      <c r="AD3976" s="2"/>
      <c r="AE3976" s="2">
        <v>0.12540835598911901</v>
      </c>
      <c r="AF3976" s="2">
        <v>3832.2589525557601</v>
      </c>
      <c r="AG3976" s="2">
        <v>2647.1910382531901</v>
      </c>
      <c r="AH3976" s="5">
        <v>1.44766996305811</v>
      </c>
      <c r="AI3976" s="5">
        <v>0.53373273713777702</v>
      </c>
      <c r="AJ3976" s="5" t="s">
        <v>139</v>
      </c>
      <c r="AK3976" s="2">
        <v>0.56924307649060002</v>
      </c>
      <c r="AL3976" s="2">
        <v>0.78311574344879098</v>
      </c>
      <c r="AM3976" s="2">
        <v>3143.3779875515302</v>
      </c>
      <c r="AN3976" s="2">
        <v>9120.5379819554601</v>
      </c>
      <c r="AO3976" s="2">
        <v>5211.8621356929198</v>
      </c>
      <c r="AP3976" s="2">
        <v>2416.6983226407801</v>
      </c>
      <c r="AQ3976" s="2">
        <v>842.15398071972402</v>
      </c>
      <c r="AR3976" s="2">
        <v>2258.9233067741502</v>
      </c>
      <c r="AS3976" s="2">
        <v>702.62550090823004</v>
      </c>
      <c r="AT3976" s="2">
        <v>917.83890173337102</v>
      </c>
      <c r="AU3976" s="2">
        <v>1450.31898330899</v>
      </c>
      <c r="AV3976" s="2">
        <v>1482.89946261365</v>
      </c>
      <c r="AW3976" s="2">
        <v>659.147946358289</v>
      </c>
      <c r="AX3976" s="2">
        <v>10670.3154345966</v>
      </c>
    </row>
    <row r="3977" spans="1:50" x14ac:dyDescent="0.25">
      <c r="A3977" s="2" t="s">
        <v>26277</v>
      </c>
      <c r="B3977" s="2">
        <v>317.21221407545897</v>
      </c>
      <c r="C3977" s="2">
        <v>12.051083333333301</v>
      </c>
      <c r="D3977" s="2" t="s">
        <v>51</v>
      </c>
      <c r="E3977" s="2" t="s">
        <v>26278</v>
      </c>
      <c r="F3977" s="2">
        <v>3599</v>
      </c>
      <c r="G3977" s="3" t="str">
        <f>HYPERLINK("https://cloud.oebiotech.com/#/lm/network/3599", "https://cloud.oebiotech.com/#/lm/network/3599")</f>
        <v>https://cloud.oebiotech.com/#/lm/network/3599</v>
      </c>
      <c r="H3977" s="2"/>
      <c r="I3977" s="2">
        <v>36079</v>
      </c>
      <c r="J3977" s="2" t="s">
        <v>26279</v>
      </c>
      <c r="K3977" s="2">
        <v>16061086</v>
      </c>
      <c r="L3977" s="2"/>
      <c r="M3977" s="2"/>
      <c r="N3977" s="2"/>
      <c r="O3977" s="2">
        <v>137193</v>
      </c>
      <c r="P3977" s="2"/>
      <c r="Q3977" s="2"/>
      <c r="R3977" s="2" t="s">
        <v>26280</v>
      </c>
      <c r="S3977" s="2" t="s">
        <v>26281</v>
      </c>
      <c r="T3977" s="2" t="s">
        <v>26282</v>
      </c>
      <c r="U3977" s="2" t="s">
        <v>56</v>
      </c>
      <c r="V3977" s="2" t="s">
        <v>145</v>
      </c>
      <c r="W3977" s="2" t="s">
        <v>231</v>
      </c>
      <c r="X3977" s="2" t="s">
        <v>147</v>
      </c>
      <c r="Y3977" s="2">
        <v>39.4</v>
      </c>
      <c r="Z3977" s="2">
        <v>0</v>
      </c>
      <c r="AA3977" s="2" t="s">
        <v>163</v>
      </c>
      <c r="AB3977" s="2" t="s">
        <v>180</v>
      </c>
      <c r="AC3977" s="2">
        <v>-1.3554546778404701E-2</v>
      </c>
      <c r="AD3977" s="2"/>
      <c r="AE3977" s="2">
        <v>0.12535410053721099</v>
      </c>
      <c r="AF3977" s="2">
        <v>683.64873390739797</v>
      </c>
      <c r="AG3977" s="2">
        <v>313.59144356579401</v>
      </c>
      <c r="AH3977" s="5">
        <v>2.18006182226704</v>
      </c>
      <c r="AI3977" s="5">
        <v>1.1243690475771699</v>
      </c>
      <c r="AJ3977" s="5" t="s">
        <v>139</v>
      </c>
      <c r="AK3977" s="2">
        <v>8.3784385531125005E-3</v>
      </c>
      <c r="AL3977" s="2">
        <v>0.15028033138921101</v>
      </c>
      <c r="AM3977" s="2">
        <v>536.58490962759197</v>
      </c>
      <c r="AN3977" s="2">
        <v>977.23694787686202</v>
      </c>
      <c r="AO3977" s="2">
        <v>709.208775242191</v>
      </c>
      <c r="AP3977" s="2">
        <v>525.12292630085301</v>
      </c>
      <c r="AQ3977" s="2">
        <v>501.34981954182001</v>
      </c>
      <c r="AR3977" s="2">
        <v>852.38902485506696</v>
      </c>
      <c r="AS3977" s="2">
        <v>382.64931629108997</v>
      </c>
      <c r="AT3977" s="2">
        <v>138.41119293539799</v>
      </c>
      <c r="AU3977" s="2">
        <v>610.67793320102896</v>
      </c>
      <c r="AV3977" s="2">
        <v>171.03651155743901</v>
      </c>
      <c r="AW3977" s="2">
        <v>143.05377335978599</v>
      </c>
      <c r="AX3977" s="2">
        <v>435.71993405002098</v>
      </c>
    </row>
    <row r="3978" spans="1:50" x14ac:dyDescent="0.25">
      <c r="A3978" s="2" t="s">
        <v>26283</v>
      </c>
      <c r="B3978" s="2">
        <v>354.984114140175</v>
      </c>
      <c r="C3978" s="2">
        <v>1.5632666666666699</v>
      </c>
      <c r="D3978" s="2" t="s">
        <v>51</v>
      </c>
      <c r="E3978" s="2" t="s">
        <v>26284</v>
      </c>
      <c r="F3978" s="2">
        <v>51470</v>
      </c>
      <c r="G3978" s="3" t="str">
        <f>HYPERLINK("https://cloud.oebiotech.com/#/lm/network/51470", "https://cloud.oebiotech.com/#/lm/network/51470")</f>
        <v>https://cloud.oebiotech.com/#/lm/network/51470</v>
      </c>
      <c r="H3978" s="2" t="s">
        <v>26285</v>
      </c>
      <c r="I3978" s="2"/>
      <c r="J3978" s="2"/>
      <c r="K3978" s="2">
        <v>14035695</v>
      </c>
      <c r="L3978" s="2" t="s">
        <v>26286</v>
      </c>
      <c r="M3978" s="2" t="s">
        <v>26287</v>
      </c>
      <c r="N3978" s="2" t="s">
        <v>26288</v>
      </c>
      <c r="O3978" s="2">
        <v>68819</v>
      </c>
      <c r="P3978" s="2"/>
      <c r="Q3978" s="2"/>
      <c r="R3978" s="2" t="s">
        <v>26289</v>
      </c>
      <c r="S3978" s="2" t="s">
        <v>26290</v>
      </c>
      <c r="T3978" s="2" t="s">
        <v>26291</v>
      </c>
      <c r="U3978" s="2" t="s">
        <v>331</v>
      </c>
      <c r="V3978" s="2" t="s">
        <v>332</v>
      </c>
      <c r="W3978" s="2" t="s">
        <v>333</v>
      </c>
      <c r="X3978" s="2" t="s">
        <v>147</v>
      </c>
      <c r="Y3978" s="2">
        <v>38.799999999999997</v>
      </c>
      <c r="Z3978" s="2">
        <v>3.58</v>
      </c>
      <c r="AA3978" s="2" t="s">
        <v>218</v>
      </c>
      <c r="AB3978" s="2" t="s">
        <v>21414</v>
      </c>
      <c r="AC3978" s="2">
        <v>1.3768714871579</v>
      </c>
      <c r="AD3978" s="2"/>
      <c r="AE3978" s="2">
        <v>0.12530329046309899</v>
      </c>
      <c r="AF3978" s="2">
        <v>11044.8642924671</v>
      </c>
      <c r="AG3978" s="2">
        <v>11784.304300026401</v>
      </c>
      <c r="AH3978" s="4">
        <v>0.93725212887130804</v>
      </c>
      <c r="AI3978" s="4">
        <v>-9.3490897437649795E-2</v>
      </c>
      <c r="AJ3978" s="4" t="s">
        <v>62</v>
      </c>
      <c r="AK3978" s="2">
        <v>0.68104586622986696</v>
      </c>
      <c r="AL3978" s="2">
        <v>0.84600609917442804</v>
      </c>
      <c r="AM3978" s="2">
        <v>9189.7620113944195</v>
      </c>
      <c r="AN3978" s="2">
        <v>10282.9012630121</v>
      </c>
      <c r="AO3978" s="2">
        <v>14376.036840095299</v>
      </c>
      <c r="AP3978" s="2">
        <v>13686.2425682016</v>
      </c>
      <c r="AQ3978" s="2">
        <v>8032.6018889032202</v>
      </c>
      <c r="AR3978" s="2">
        <v>10701.641183195699</v>
      </c>
      <c r="AS3978" s="2">
        <v>9692.8496113453693</v>
      </c>
      <c r="AT3978" s="2">
        <v>9221.9925757458896</v>
      </c>
      <c r="AU3978" s="2">
        <v>9098.1491122601492</v>
      </c>
      <c r="AV3978" s="2">
        <v>17041.917092756801</v>
      </c>
      <c r="AW3978" s="2">
        <v>10345.785380654899</v>
      </c>
      <c r="AX3978" s="2">
        <v>15305.132027395301</v>
      </c>
    </row>
    <row r="3979" spans="1:50" x14ac:dyDescent="0.25">
      <c r="A3979" s="2" t="s">
        <v>26292</v>
      </c>
      <c r="B3979" s="2">
        <v>195.10209407795799</v>
      </c>
      <c r="C3979" s="2">
        <v>8.0458666666666705</v>
      </c>
      <c r="D3979" s="2" t="s">
        <v>51</v>
      </c>
      <c r="E3979" s="2" t="s">
        <v>26293</v>
      </c>
      <c r="F3979" s="2">
        <v>267061</v>
      </c>
      <c r="G3979" s="3" t="str">
        <f>HYPERLINK("https://cloud.oebiotech.com/#/lm/network/267061", "https://cloud.oebiotech.com/#/lm/network/267061")</f>
        <v>https://cloud.oebiotech.com/#/lm/network/267061</v>
      </c>
      <c r="H3979" s="2"/>
      <c r="I3979" s="2">
        <v>44640</v>
      </c>
      <c r="J3979" s="2"/>
      <c r="K3979" s="2">
        <v>54679299</v>
      </c>
      <c r="L3979" s="2"/>
      <c r="M3979" s="2"/>
      <c r="N3979" s="2"/>
      <c r="O3979" s="2"/>
      <c r="P3979" s="2"/>
      <c r="Q3979" s="2"/>
      <c r="R3979" s="2"/>
      <c r="S3979" s="2" t="s">
        <v>26294</v>
      </c>
      <c r="T3979" s="2" t="s">
        <v>26295</v>
      </c>
      <c r="U3979" s="2" t="s">
        <v>266</v>
      </c>
      <c r="V3979" s="2" t="s">
        <v>11698</v>
      </c>
      <c r="W3979" s="2" t="s">
        <v>11699</v>
      </c>
      <c r="X3979" s="2" t="s">
        <v>83</v>
      </c>
      <c r="Y3979" s="2">
        <v>44.9</v>
      </c>
      <c r="Z3979" s="2">
        <v>8.36</v>
      </c>
      <c r="AA3979" s="2" t="s">
        <v>259</v>
      </c>
      <c r="AB3979" s="2" t="s">
        <v>2402</v>
      </c>
      <c r="AC3979" s="2">
        <v>2.6963095442313798</v>
      </c>
      <c r="AD3979" s="2"/>
      <c r="AE3979" s="2">
        <v>0.12524768101190101</v>
      </c>
      <c r="AF3979" s="2">
        <v>7058.6523604552804</v>
      </c>
      <c r="AG3979" s="2">
        <v>7715.3531354266397</v>
      </c>
      <c r="AH3979" s="4">
        <v>0.91488389922737501</v>
      </c>
      <c r="AI3979" s="4">
        <v>-0.12833942103865101</v>
      </c>
      <c r="AJ3979" s="4" t="s">
        <v>62</v>
      </c>
      <c r="AK3979" s="2">
        <v>0.22630412590165799</v>
      </c>
      <c r="AL3979" s="2">
        <v>0.55268103475036801</v>
      </c>
      <c r="AM3979" s="2">
        <v>5850.95866537437</v>
      </c>
      <c r="AN3979" s="2">
        <v>8010.3958607248196</v>
      </c>
      <c r="AO3979" s="2">
        <v>7523.98726800445</v>
      </c>
      <c r="AP3979" s="2">
        <v>8006.7380932546703</v>
      </c>
      <c r="AQ3979" s="2">
        <v>6987.1489345637601</v>
      </c>
      <c r="AR3979" s="2">
        <v>5972.6853408096003</v>
      </c>
      <c r="AS3979" s="2">
        <v>8115.9102752679</v>
      </c>
      <c r="AT3979" s="2">
        <v>8743.0222385178804</v>
      </c>
      <c r="AU3979" s="2">
        <v>6963.9297071892697</v>
      </c>
      <c r="AV3979" s="2">
        <v>6968.66598004566</v>
      </c>
      <c r="AW3979" s="2">
        <v>7126.9109209304097</v>
      </c>
      <c r="AX3979" s="2">
        <v>8373.6796906087093</v>
      </c>
    </row>
    <row r="3980" spans="1:50" x14ac:dyDescent="0.25">
      <c r="A3980" s="2" t="s">
        <v>26296</v>
      </c>
      <c r="B3980" s="2">
        <v>499.36376966327799</v>
      </c>
      <c r="C3980" s="2">
        <v>13.510733333333301</v>
      </c>
      <c r="D3980" s="2" t="s">
        <v>51</v>
      </c>
      <c r="E3980" s="2" t="s">
        <v>26297</v>
      </c>
      <c r="F3980" s="2">
        <v>10228</v>
      </c>
      <c r="G3980" s="3" t="str">
        <f>HYPERLINK("https://cloud.oebiotech.com/#/lm/network/10228", "https://cloud.oebiotech.com/#/lm/network/10228")</f>
        <v>https://cloud.oebiotech.com/#/lm/network/10228</v>
      </c>
      <c r="H3980" s="2"/>
      <c r="I3980" s="2"/>
      <c r="J3980" s="2" t="s">
        <v>26298</v>
      </c>
      <c r="K3980" s="2">
        <v>440222</v>
      </c>
      <c r="L3980" s="2" t="s">
        <v>26299</v>
      </c>
      <c r="M3980" s="2"/>
      <c r="N3980" s="2"/>
      <c r="O3980" s="2">
        <v>36486</v>
      </c>
      <c r="P3980" s="2"/>
      <c r="Q3980" s="2"/>
      <c r="R3980" s="2"/>
      <c r="S3980" s="2" t="s">
        <v>26300</v>
      </c>
      <c r="T3980" s="2" t="s">
        <v>26301</v>
      </c>
      <c r="U3980" s="2" t="s">
        <v>56</v>
      </c>
      <c r="V3980" s="2" t="s">
        <v>145</v>
      </c>
      <c r="W3980" s="2" t="s">
        <v>231</v>
      </c>
      <c r="X3980" s="2" t="s">
        <v>147</v>
      </c>
      <c r="Y3980" s="2">
        <v>37.700000000000003</v>
      </c>
      <c r="Z3980" s="2">
        <v>0</v>
      </c>
      <c r="AA3980" s="2" t="s">
        <v>379</v>
      </c>
      <c r="AB3980" s="2" t="s">
        <v>26302</v>
      </c>
      <c r="AC3980" s="2">
        <v>-0.497519295822758</v>
      </c>
      <c r="AD3980" s="2"/>
      <c r="AE3980" s="2">
        <v>0.12513954429126101</v>
      </c>
      <c r="AF3980" s="2">
        <v>10157.2426070245</v>
      </c>
      <c r="AG3980" s="2">
        <v>9438.6590999681994</v>
      </c>
      <c r="AH3980" s="5">
        <v>1.0761319483462199</v>
      </c>
      <c r="AI3980" s="5">
        <v>0.105854982684346</v>
      </c>
      <c r="AJ3980" s="5" t="s">
        <v>139</v>
      </c>
      <c r="AK3980" s="2">
        <v>0.85659549961269998</v>
      </c>
      <c r="AL3980" s="2">
        <v>0.93674847692035301</v>
      </c>
      <c r="AM3980" s="2">
        <v>23441.500437225801</v>
      </c>
      <c r="AN3980" s="2">
        <v>9127.5872010718795</v>
      </c>
      <c r="AO3980" s="2">
        <v>7114.2315157544999</v>
      </c>
      <c r="AP3980" s="2">
        <v>4987.2084112522598</v>
      </c>
      <c r="AQ3980" s="2">
        <v>4618.0783864742298</v>
      </c>
      <c r="AR3980" s="2">
        <v>11654.849690368599</v>
      </c>
      <c r="AS3980" s="2">
        <v>3185.8244927236801</v>
      </c>
      <c r="AT3980" s="2">
        <v>2471.8453080802501</v>
      </c>
      <c r="AU3980" s="2">
        <v>13763.059838483299</v>
      </c>
      <c r="AV3980" s="2">
        <v>6182.9060496052898</v>
      </c>
      <c r="AW3980" s="2">
        <v>12935.7830156321</v>
      </c>
      <c r="AX3980" s="2">
        <v>18092.5358952846</v>
      </c>
    </row>
    <row r="3981" spans="1:50" x14ac:dyDescent="0.25">
      <c r="A3981" s="2" t="s">
        <v>26303</v>
      </c>
      <c r="B3981" s="2">
        <v>715.83819002754603</v>
      </c>
      <c r="C3981" s="2">
        <v>4.9131833333333299</v>
      </c>
      <c r="D3981" s="2" t="s">
        <v>51</v>
      </c>
      <c r="E3981" s="2" t="s">
        <v>26304</v>
      </c>
      <c r="F3981" s="2">
        <v>257281</v>
      </c>
      <c r="G3981" s="3" t="str">
        <f>HYPERLINK("https://cloud.oebiotech.com/#/lm/network/257281", "https://cloud.oebiotech.com/#/lm/network/257281")</f>
        <v>https://cloud.oebiotech.com/#/lm/network/257281</v>
      </c>
      <c r="H3981" s="2" t="s">
        <v>26305</v>
      </c>
      <c r="I3981" s="2"/>
      <c r="J3981" s="2"/>
      <c r="K3981" s="2"/>
      <c r="L3981" s="2"/>
      <c r="M3981" s="2"/>
      <c r="N3981" s="2"/>
      <c r="O3981" s="2"/>
      <c r="P3981" s="2"/>
      <c r="Q3981" s="2"/>
      <c r="R3981" s="2"/>
      <c r="S3981" s="2" t="s">
        <v>26306</v>
      </c>
      <c r="T3981" s="2" t="s">
        <v>26307</v>
      </c>
      <c r="U3981" s="2" t="s">
        <v>295</v>
      </c>
      <c r="V3981" s="2" t="s">
        <v>1023</v>
      </c>
      <c r="W3981" s="2" t="s">
        <v>4858</v>
      </c>
      <c r="X3981" s="2" t="s">
        <v>147</v>
      </c>
      <c r="Y3981" s="2">
        <v>36.299999999999997</v>
      </c>
      <c r="Z3981" s="2">
        <v>0</v>
      </c>
      <c r="AA3981" s="2" t="s">
        <v>395</v>
      </c>
      <c r="AB3981" s="2" t="s">
        <v>26308</v>
      </c>
      <c r="AC3981" s="2">
        <v>-1.9782083572884199</v>
      </c>
      <c r="AD3981" s="2"/>
      <c r="AE3981" s="2">
        <v>0.125122175960549</v>
      </c>
      <c r="AF3981" s="2">
        <v>5776.8095252548301</v>
      </c>
      <c r="AG3981" s="2">
        <v>3632.3022014838898</v>
      </c>
      <c r="AH3981" s="5">
        <v>1.5903989274061101</v>
      </c>
      <c r="AI3981" s="5">
        <v>0.66938868903345405</v>
      </c>
      <c r="AJ3981" s="5" t="s">
        <v>139</v>
      </c>
      <c r="AK3981" s="2">
        <v>0.59154085223904496</v>
      </c>
      <c r="AL3981" s="2">
        <v>0.79384060507313303</v>
      </c>
      <c r="AM3981" s="2">
        <v>4593.0138451756702</v>
      </c>
      <c r="AN3981" s="2">
        <v>7818.77560785267</v>
      </c>
      <c r="AO3981" s="2">
        <v>525.88901163718003</v>
      </c>
      <c r="AP3981" s="2">
        <v>1065.8456581067801</v>
      </c>
      <c r="AQ3981" s="2">
        <v>8.559877937157E-6</v>
      </c>
      <c r="AR3981" s="2">
        <v>20657.333020196798</v>
      </c>
      <c r="AS3981" s="2">
        <v>8.559877937157E-6</v>
      </c>
      <c r="AT3981" s="2">
        <v>8.559877937157E-6</v>
      </c>
      <c r="AU3981" s="2">
        <v>3964.5787112058902</v>
      </c>
      <c r="AV3981" s="2">
        <v>2744.0683557330499</v>
      </c>
      <c r="AW3981" s="2">
        <v>1178.3594662128601</v>
      </c>
      <c r="AX3981" s="2">
        <v>13906.8066586318</v>
      </c>
    </row>
    <row r="3982" spans="1:50" x14ac:dyDescent="0.25">
      <c r="A3982" s="2" t="s">
        <v>26309</v>
      </c>
      <c r="B3982" s="2">
        <v>534.25957521390706</v>
      </c>
      <c r="C3982" s="2">
        <v>4.3824333333333296</v>
      </c>
      <c r="D3982" s="2" t="s">
        <v>51</v>
      </c>
      <c r="E3982" s="2" t="s">
        <v>26310</v>
      </c>
      <c r="F3982" s="2">
        <v>52485</v>
      </c>
      <c r="G3982" s="3" t="str">
        <f>HYPERLINK("https://cloud.oebiotech.com/#/lm/network/52485", "https://cloud.oebiotech.com/#/lm/network/52485")</f>
        <v>https://cloud.oebiotech.com/#/lm/network/52485</v>
      </c>
      <c r="H3982" s="2" t="s">
        <v>26311</v>
      </c>
      <c r="I3982" s="2">
        <v>85287</v>
      </c>
      <c r="J3982" s="2"/>
      <c r="K3982" s="2">
        <v>131750717</v>
      </c>
      <c r="L3982" s="2"/>
      <c r="M3982" s="2"/>
      <c r="N3982" s="2"/>
      <c r="O3982" s="2"/>
      <c r="P3982" s="2"/>
      <c r="Q3982" s="2"/>
      <c r="R3982" s="2"/>
      <c r="S3982" s="2" t="s">
        <v>26312</v>
      </c>
      <c r="T3982" s="2" t="s">
        <v>26313</v>
      </c>
      <c r="U3982" s="2" t="s">
        <v>266</v>
      </c>
      <c r="V3982" s="2" t="s">
        <v>3926</v>
      </c>
      <c r="W3982" s="2" t="s">
        <v>4115</v>
      </c>
      <c r="X3982" s="2" t="s">
        <v>147</v>
      </c>
      <c r="Y3982" s="2">
        <v>39</v>
      </c>
      <c r="Z3982" s="2">
        <v>0</v>
      </c>
      <c r="AA3982" s="2" t="s">
        <v>95</v>
      </c>
      <c r="AB3982" s="2" t="s">
        <v>26314</v>
      </c>
      <c r="AC3982" s="2">
        <v>1.5279666893069399</v>
      </c>
      <c r="AD3982" s="2"/>
      <c r="AE3982" s="2">
        <v>0.12508128674897401</v>
      </c>
      <c r="AF3982" s="2">
        <v>1599.1049216050001</v>
      </c>
      <c r="AG3982" s="2">
        <v>2431.7405729174902</v>
      </c>
      <c r="AH3982" s="4">
        <v>0.65759684211974601</v>
      </c>
      <c r="AI3982" s="4">
        <v>-0.60472472389258503</v>
      </c>
      <c r="AJ3982" s="4" t="s">
        <v>62</v>
      </c>
      <c r="AK3982" s="2">
        <v>0.59447720407986204</v>
      </c>
      <c r="AL3982" s="2">
        <v>0.795449889705237</v>
      </c>
      <c r="AM3982" s="2">
        <v>2247.5237617917001</v>
      </c>
      <c r="AN3982" s="2">
        <v>463.09623605270502</v>
      </c>
      <c r="AO3982" s="2">
        <v>1719.8486369454299</v>
      </c>
      <c r="AP3982" s="2">
        <v>2876.58751399326</v>
      </c>
      <c r="AQ3982" s="2">
        <v>1057.46866769752</v>
      </c>
      <c r="AR3982" s="2">
        <v>1230.1047131493999</v>
      </c>
      <c r="AS3982" s="2">
        <v>1480.96819263717</v>
      </c>
      <c r="AT3982" s="2">
        <v>355.48166055241597</v>
      </c>
      <c r="AU3982" s="2">
        <v>8.559877937157E-6</v>
      </c>
      <c r="AV3982" s="2">
        <v>9277.8294565936194</v>
      </c>
      <c r="AW3982" s="2">
        <v>8.559877937157E-6</v>
      </c>
      <c r="AX3982" s="2">
        <v>3476.1641106019601</v>
      </c>
    </row>
    <row r="3983" spans="1:50" x14ac:dyDescent="0.25">
      <c r="A3983" s="2" t="s">
        <v>26315</v>
      </c>
      <c r="B3983" s="2">
        <v>307.191627184617</v>
      </c>
      <c r="C3983" s="2">
        <v>8.2502666666666702</v>
      </c>
      <c r="D3983" s="2" t="s">
        <v>51</v>
      </c>
      <c r="E3983" s="2" t="s">
        <v>26316</v>
      </c>
      <c r="F3983" s="2">
        <v>199859</v>
      </c>
      <c r="G3983" s="3" t="str">
        <f>HYPERLINK("https://cloud.oebiotech.com/#/lm/network/199859", "https://cloud.oebiotech.com/#/lm/network/199859")</f>
        <v>https://cloud.oebiotech.com/#/lm/network/199859</v>
      </c>
      <c r="H3983" s="2" t="s">
        <v>26317</v>
      </c>
      <c r="I3983" s="2"/>
      <c r="J3983" s="2"/>
      <c r="K3983" s="2"/>
      <c r="L3983" s="2"/>
      <c r="M3983" s="2"/>
      <c r="N3983" s="2"/>
      <c r="O3983" s="2"/>
      <c r="P3983" s="2"/>
      <c r="Q3983" s="2"/>
      <c r="R3983" s="2"/>
      <c r="S3983" s="2" t="s">
        <v>26318</v>
      </c>
      <c r="T3983" s="2" t="s">
        <v>26319</v>
      </c>
      <c r="U3983" s="2" t="s">
        <v>103</v>
      </c>
      <c r="V3983" s="2" t="s">
        <v>377</v>
      </c>
      <c r="W3983" s="2" t="s">
        <v>378</v>
      </c>
      <c r="X3983" s="2" t="s">
        <v>83</v>
      </c>
      <c r="Y3983" s="2">
        <v>56.9</v>
      </c>
      <c r="Z3983" s="2">
        <v>11</v>
      </c>
      <c r="AA3983" s="2" t="s">
        <v>298</v>
      </c>
      <c r="AB3983" s="2" t="s">
        <v>12004</v>
      </c>
      <c r="AC3983" s="2">
        <v>0.44218452998722302</v>
      </c>
      <c r="AD3983" s="2"/>
      <c r="AE3983" s="2">
        <v>0.12500407879776601</v>
      </c>
      <c r="AF3983" s="2">
        <v>6587.2389799254497</v>
      </c>
      <c r="AG3983" s="2">
        <v>5733.59041129455</v>
      </c>
      <c r="AH3983" s="5">
        <v>1.1488855162987099</v>
      </c>
      <c r="AI3983" s="5">
        <v>0.200235044026673</v>
      </c>
      <c r="AJ3983" s="5" t="s">
        <v>139</v>
      </c>
      <c r="AK3983" s="2">
        <v>0.693201527674431</v>
      </c>
      <c r="AL3983" s="2">
        <v>0.85278439075903301</v>
      </c>
      <c r="AM3983" s="2">
        <v>6622.8380732617998</v>
      </c>
      <c r="AN3983" s="2">
        <v>14526.3197127883</v>
      </c>
      <c r="AO3983" s="2">
        <v>6537.5843534662499</v>
      </c>
      <c r="AP3983" s="2">
        <v>4114.1987197667304</v>
      </c>
      <c r="AQ3983" s="2">
        <v>4282.2086044145399</v>
      </c>
      <c r="AR3983" s="2">
        <v>3440.2844158550502</v>
      </c>
      <c r="AS3983" s="2">
        <v>6368.6713985636097</v>
      </c>
      <c r="AT3983" s="2">
        <v>1834.39823546348</v>
      </c>
      <c r="AU3983" s="2">
        <v>10986.3638326329</v>
      </c>
      <c r="AV3983" s="2">
        <v>3508.9501472020802</v>
      </c>
      <c r="AW3983" s="2">
        <v>5851.4607872173701</v>
      </c>
      <c r="AX3983" s="2">
        <v>5851.6980666878399</v>
      </c>
    </row>
    <row r="3984" spans="1:50" x14ac:dyDescent="0.25">
      <c r="A3984" s="2" t="s">
        <v>26320</v>
      </c>
      <c r="B3984" s="2">
        <v>276.135321465831</v>
      </c>
      <c r="C3984" s="2">
        <v>3.73206666666667</v>
      </c>
      <c r="D3984" s="2" t="s">
        <v>51</v>
      </c>
      <c r="E3984" s="2" t="s">
        <v>26321</v>
      </c>
      <c r="F3984" s="2">
        <v>266149</v>
      </c>
      <c r="G3984" s="3" t="str">
        <f>HYPERLINK("https://cloud.oebiotech.com/#/lm/network/266149", "https://cloud.oebiotech.com/#/lm/network/266149")</f>
        <v>https://cloud.oebiotech.com/#/lm/network/266149</v>
      </c>
      <c r="H3984" s="2"/>
      <c r="I3984" s="2">
        <v>23758</v>
      </c>
      <c r="J3984" s="2"/>
      <c r="K3984" s="2">
        <v>6993401</v>
      </c>
      <c r="L3984" s="2"/>
      <c r="M3984" s="2"/>
      <c r="N3984" s="2"/>
      <c r="O3984" s="2"/>
      <c r="P3984" s="2"/>
      <c r="Q3984" s="2"/>
      <c r="R3984" s="2"/>
      <c r="S3984" s="2" t="s">
        <v>26322</v>
      </c>
      <c r="T3984" s="2" t="s">
        <v>26323</v>
      </c>
      <c r="U3984" s="2" t="s">
        <v>103</v>
      </c>
      <c r="V3984" s="2" t="s">
        <v>104</v>
      </c>
      <c r="W3984" s="2" t="s">
        <v>105</v>
      </c>
      <c r="X3984" s="2" t="s">
        <v>69</v>
      </c>
      <c r="Y3984" s="2">
        <v>67.2</v>
      </c>
      <c r="Z3984" s="2">
        <v>71.599999999999994</v>
      </c>
      <c r="AA3984" s="2" t="s">
        <v>259</v>
      </c>
      <c r="AB3984" s="2" t="s">
        <v>19040</v>
      </c>
      <c r="AC3984" s="2">
        <v>3.8295608721378902</v>
      </c>
      <c r="AD3984" s="2"/>
      <c r="AE3984" s="2">
        <v>0.124969790678083</v>
      </c>
      <c r="AF3984" s="2">
        <v>4320.1451282376902</v>
      </c>
      <c r="AG3984" s="2">
        <v>3711.6317219438101</v>
      </c>
      <c r="AH3984" s="5">
        <v>1.1639476790480701</v>
      </c>
      <c r="AI3984" s="5">
        <v>0.21902620869775299</v>
      </c>
      <c r="AJ3984" s="5" t="s">
        <v>139</v>
      </c>
      <c r="AK3984" s="2">
        <v>0.83192020446752701</v>
      </c>
      <c r="AL3984" s="2">
        <v>0.92596742668235998</v>
      </c>
      <c r="AM3984" s="2">
        <v>8919.0957783541398</v>
      </c>
      <c r="AN3984" s="2">
        <v>3896.39985314566</v>
      </c>
      <c r="AO3984" s="2">
        <v>2075.0426136268002</v>
      </c>
      <c r="AP3984" s="2">
        <v>2170.3187861029201</v>
      </c>
      <c r="AQ3984" s="2">
        <v>5421.0660888717603</v>
      </c>
      <c r="AR3984" s="2">
        <v>3438.9476493248899</v>
      </c>
      <c r="AS3984" s="2">
        <v>1186.7764904318001</v>
      </c>
      <c r="AT3984" s="2">
        <v>665.09935890106203</v>
      </c>
      <c r="AU3984" s="2">
        <v>16475.4615782771</v>
      </c>
      <c r="AV3984" s="2">
        <v>263.77116235897802</v>
      </c>
      <c r="AW3984" s="2">
        <v>3180.9959582009901</v>
      </c>
      <c r="AX3984" s="2">
        <v>497.68578349292602</v>
      </c>
    </row>
    <row r="3985" spans="1:50" x14ac:dyDescent="0.25">
      <c r="A3985" s="2" t="s">
        <v>26324</v>
      </c>
      <c r="B3985" s="2">
        <v>202.08286372714599</v>
      </c>
      <c r="C3985" s="2">
        <v>0.73424999999999996</v>
      </c>
      <c r="D3985" s="2" t="s">
        <v>51</v>
      </c>
      <c r="E3985" s="2" t="s">
        <v>26325</v>
      </c>
      <c r="F3985" s="2">
        <v>53779</v>
      </c>
      <c r="G3985" s="3" t="str">
        <f>HYPERLINK("https://cloud.oebiotech.com/#/lm/network/53779", "https://cloud.oebiotech.com/#/lm/network/53779")</f>
        <v>https://cloud.oebiotech.com/#/lm/network/53779</v>
      </c>
      <c r="H3985" s="2" t="s">
        <v>26326</v>
      </c>
      <c r="I3985" s="2">
        <v>85655</v>
      </c>
      <c r="J3985" s="2"/>
      <c r="K3985" s="2">
        <v>18218185</v>
      </c>
      <c r="L3985" s="2"/>
      <c r="M3985" s="2"/>
      <c r="N3985" s="2"/>
      <c r="O3985" s="2">
        <v>168921</v>
      </c>
      <c r="P3985" s="2"/>
      <c r="Q3985" s="2"/>
      <c r="R3985" s="2"/>
      <c r="S3985" s="2" t="s">
        <v>26327</v>
      </c>
      <c r="T3985" s="2" t="s">
        <v>26328</v>
      </c>
      <c r="U3985" s="2" t="s">
        <v>103</v>
      </c>
      <c r="V3985" s="2" t="s">
        <v>104</v>
      </c>
      <c r="W3985" s="2" t="s">
        <v>105</v>
      </c>
      <c r="X3985" s="2" t="s">
        <v>83</v>
      </c>
      <c r="Y3985" s="2">
        <v>39.299999999999997</v>
      </c>
      <c r="Z3985" s="2">
        <v>0</v>
      </c>
      <c r="AA3985" s="2" t="s">
        <v>156</v>
      </c>
      <c r="AB3985" s="2" t="s">
        <v>26329</v>
      </c>
      <c r="AC3985" s="2">
        <v>2.8821988516237198</v>
      </c>
      <c r="AD3985" s="2"/>
      <c r="AE3985" s="2">
        <v>0.124947138871456</v>
      </c>
      <c r="AF3985" s="2">
        <v>1696.33482438325</v>
      </c>
      <c r="AG3985" s="2">
        <v>4264.63253628661</v>
      </c>
      <c r="AH3985" s="4">
        <v>0.39776811013600599</v>
      </c>
      <c r="AI3985" s="4">
        <v>-1.33000047782289</v>
      </c>
      <c r="AJ3985" s="4" t="s">
        <v>62</v>
      </c>
      <c r="AK3985" s="2">
        <v>0.49649640475801998</v>
      </c>
      <c r="AL3985" s="2">
        <v>0.73530398135506903</v>
      </c>
      <c r="AM3985" s="2">
        <v>3599.1213153548401</v>
      </c>
      <c r="AN3985" s="2">
        <v>8.559877937157E-6</v>
      </c>
      <c r="AO3985" s="2">
        <v>8.559877937157E-6</v>
      </c>
      <c r="AP3985" s="2">
        <v>3414.8307299174498</v>
      </c>
      <c r="AQ3985" s="2">
        <v>1183.3548389218799</v>
      </c>
      <c r="AR3985" s="2">
        <v>1980.70204498557</v>
      </c>
      <c r="AS3985" s="2">
        <v>2368.0037480856299</v>
      </c>
      <c r="AT3985" s="2">
        <v>8.559877937157E-6</v>
      </c>
      <c r="AU3985" s="2">
        <v>22076.278156491298</v>
      </c>
      <c r="AV3985" s="2">
        <v>8.559877937157E-6</v>
      </c>
      <c r="AW3985" s="2">
        <v>885.12739347317495</v>
      </c>
      <c r="AX3985" s="2">
        <v>258.38590254980602</v>
      </c>
    </row>
    <row r="3986" spans="1:50" x14ac:dyDescent="0.25">
      <c r="A3986" s="2" t="s">
        <v>26330</v>
      </c>
      <c r="B3986" s="2">
        <v>187.108261838582</v>
      </c>
      <c r="C3986" s="2">
        <v>1.00901666666667</v>
      </c>
      <c r="D3986" s="2" t="s">
        <v>51</v>
      </c>
      <c r="E3986" s="2" t="s">
        <v>26331</v>
      </c>
      <c r="F3986" s="2">
        <v>197066</v>
      </c>
      <c r="G3986" s="3" t="str">
        <f>HYPERLINK("https://cloud.oebiotech.com/#/lm/network/197066", "https://cloud.oebiotech.com/#/lm/network/197066")</f>
        <v>https://cloud.oebiotech.com/#/lm/network/197066</v>
      </c>
      <c r="H3986" s="2" t="s">
        <v>26332</v>
      </c>
      <c r="I3986" s="2"/>
      <c r="J3986" s="2"/>
      <c r="K3986" s="2">
        <v>123800</v>
      </c>
      <c r="L3986" s="2"/>
      <c r="M3986" s="2"/>
      <c r="N3986" s="2"/>
      <c r="O3986" s="2">
        <v>53014</v>
      </c>
      <c r="P3986" s="2" t="s">
        <v>26333</v>
      </c>
      <c r="Q3986" s="2" t="s">
        <v>26334</v>
      </c>
      <c r="R3986" s="2" t="s">
        <v>26335</v>
      </c>
      <c r="S3986" s="2" t="s">
        <v>26336</v>
      </c>
      <c r="T3986" s="2" t="s">
        <v>26337</v>
      </c>
      <c r="U3986" s="2" t="s">
        <v>103</v>
      </c>
      <c r="V3986" s="2" t="s">
        <v>104</v>
      </c>
      <c r="W3986" s="2" t="s">
        <v>105</v>
      </c>
      <c r="X3986" s="2" t="s">
        <v>83</v>
      </c>
      <c r="Y3986" s="2">
        <v>43.7</v>
      </c>
      <c r="Z3986" s="2">
        <v>0</v>
      </c>
      <c r="AA3986" s="2" t="s">
        <v>156</v>
      </c>
      <c r="AB3986" s="2" t="s">
        <v>18431</v>
      </c>
      <c r="AC3986" s="2">
        <v>2.6607463725741098</v>
      </c>
      <c r="AD3986" s="2"/>
      <c r="AE3986" s="2">
        <v>0.124890511882347</v>
      </c>
      <c r="AF3986" s="2">
        <v>3347.7172067553201</v>
      </c>
      <c r="AG3986" s="2">
        <v>1939.49808044921</v>
      </c>
      <c r="AH3986" s="5">
        <v>1.7260739984748801</v>
      </c>
      <c r="AI3986" s="5">
        <v>0.78749431558541505</v>
      </c>
      <c r="AJ3986" s="5" t="s">
        <v>139</v>
      </c>
      <c r="AK3986" s="2">
        <v>0.35960186619828999</v>
      </c>
      <c r="AL3986" s="2">
        <v>0.644581587543682</v>
      </c>
      <c r="AM3986" s="2">
        <v>2020.8860983351101</v>
      </c>
      <c r="AN3986" s="2">
        <v>2237.6816974046701</v>
      </c>
      <c r="AO3986" s="2">
        <v>1117.89314345449</v>
      </c>
      <c r="AP3986" s="2">
        <v>631.21593174492295</v>
      </c>
      <c r="AQ3986" s="2">
        <v>8591.3715990222809</v>
      </c>
      <c r="AR3986" s="2">
        <v>5487.2547705704501</v>
      </c>
      <c r="AS3986" s="2">
        <v>155.94494779788499</v>
      </c>
      <c r="AT3986" s="2">
        <v>1367.2891265890901</v>
      </c>
      <c r="AU3986" s="2">
        <v>1579.9269611674199</v>
      </c>
      <c r="AV3986" s="2">
        <v>5504.39702588418</v>
      </c>
      <c r="AW3986" s="2">
        <v>1065.5869408650599</v>
      </c>
      <c r="AX3986" s="2">
        <v>1963.84348039164</v>
      </c>
    </row>
    <row r="3987" spans="1:50" x14ac:dyDescent="0.25">
      <c r="A3987" s="2" t="s">
        <v>26338</v>
      </c>
      <c r="B3987" s="2">
        <v>344.28063221400498</v>
      </c>
      <c r="C3987" s="2">
        <v>11.96875</v>
      </c>
      <c r="D3987" s="2" t="s">
        <v>51</v>
      </c>
      <c r="E3987" s="2" t="s">
        <v>26339</v>
      </c>
      <c r="F3987" s="2">
        <v>9024</v>
      </c>
      <c r="G3987" s="3" t="str">
        <f>HYPERLINK("https://cloud.oebiotech.com/#/lm/network/9024", "https://cloud.oebiotech.com/#/lm/network/9024")</f>
        <v>https://cloud.oebiotech.com/#/lm/network/9024</v>
      </c>
      <c r="H3987" s="2" t="s">
        <v>26340</v>
      </c>
      <c r="I3987" s="2">
        <v>43210</v>
      </c>
      <c r="J3987" s="2" t="s">
        <v>26341</v>
      </c>
      <c r="K3987" s="2">
        <v>4671</v>
      </c>
      <c r="L3987" s="2" t="s">
        <v>26342</v>
      </c>
      <c r="M3987" s="2" t="s">
        <v>26343</v>
      </c>
      <c r="N3987" s="2" t="s">
        <v>26344</v>
      </c>
      <c r="O3987" s="2">
        <v>71464</v>
      </c>
      <c r="P3987" s="2" t="s">
        <v>14785</v>
      </c>
      <c r="Q3987" s="2" t="s">
        <v>14786</v>
      </c>
      <c r="R3987" s="2" t="s">
        <v>26345</v>
      </c>
      <c r="S3987" s="2" t="s">
        <v>26346</v>
      </c>
      <c r="T3987" s="2" t="s">
        <v>26347</v>
      </c>
      <c r="U3987" s="2" t="s">
        <v>103</v>
      </c>
      <c r="V3987" s="2" t="s">
        <v>7841</v>
      </c>
      <c r="W3987" s="2" t="s">
        <v>7842</v>
      </c>
      <c r="X3987" s="2" t="s">
        <v>83</v>
      </c>
      <c r="Y3987" s="2">
        <v>45.2</v>
      </c>
      <c r="Z3987" s="2">
        <v>0</v>
      </c>
      <c r="AA3987" s="2" t="s">
        <v>218</v>
      </c>
      <c r="AB3987" s="2" t="s">
        <v>3203</v>
      </c>
      <c r="AC3987" s="2">
        <v>-2.8904286782007799E-4</v>
      </c>
      <c r="AD3987" s="2"/>
      <c r="AE3987" s="2">
        <v>0.12481726352198801</v>
      </c>
      <c r="AF3987" s="2">
        <v>1074.7013540121</v>
      </c>
      <c r="AG3987" s="2">
        <v>1974.59179176406</v>
      </c>
      <c r="AH3987" s="4">
        <v>0.54426507721476103</v>
      </c>
      <c r="AI3987" s="4">
        <v>-0.87761862642577904</v>
      </c>
      <c r="AJ3987" s="4" t="s">
        <v>62</v>
      </c>
      <c r="AK3987" s="2">
        <v>0.23895701308079101</v>
      </c>
      <c r="AL3987" s="2">
        <v>0.56274803120216399</v>
      </c>
      <c r="AM3987" s="2">
        <v>1200.4911267740799</v>
      </c>
      <c r="AN3987" s="2">
        <v>959.01279617625198</v>
      </c>
      <c r="AO3987" s="2">
        <v>800.03972404781803</v>
      </c>
      <c r="AP3987" s="2">
        <v>804.81388163075906</v>
      </c>
      <c r="AQ3987" s="2">
        <v>1738.08173298114</v>
      </c>
      <c r="AR3987" s="2">
        <v>945.76886246256299</v>
      </c>
      <c r="AS3987" s="2">
        <v>618.73577829128101</v>
      </c>
      <c r="AT3987" s="2">
        <v>886.82141925048495</v>
      </c>
      <c r="AU3987" s="2">
        <v>4389.7903192087297</v>
      </c>
      <c r="AV3987" s="2">
        <v>1184.0785129666599</v>
      </c>
      <c r="AW3987" s="2">
        <v>3971.8293699337901</v>
      </c>
      <c r="AX3987" s="2">
        <v>796.29535093344396</v>
      </c>
    </row>
    <row r="3988" spans="1:50" x14ac:dyDescent="0.25">
      <c r="A3988" s="2" t="s">
        <v>26348</v>
      </c>
      <c r="B3988" s="2">
        <v>394.12556235110202</v>
      </c>
      <c r="C3988" s="2">
        <v>5.6952833333333297</v>
      </c>
      <c r="D3988" s="2" t="s">
        <v>51</v>
      </c>
      <c r="E3988" s="2" t="s">
        <v>26349</v>
      </c>
      <c r="F3988" s="2">
        <v>207073</v>
      </c>
      <c r="G3988" s="3" t="str">
        <f>HYPERLINK("https://cloud.oebiotech.com/#/lm/network/207073", "https://cloud.oebiotech.com/#/lm/network/207073")</f>
        <v>https://cloud.oebiotech.com/#/lm/network/207073</v>
      </c>
      <c r="H3988" s="2" t="s">
        <v>26350</v>
      </c>
      <c r="I3988" s="2"/>
      <c r="J3988" s="2"/>
      <c r="K3988" s="2">
        <v>78299124</v>
      </c>
      <c r="L3988" s="2"/>
      <c r="M3988" s="2"/>
      <c r="N3988" s="2"/>
      <c r="O3988" s="2"/>
      <c r="P3988" s="2"/>
      <c r="Q3988" s="2"/>
      <c r="R3988" s="2"/>
      <c r="S3988" s="2" t="s">
        <v>26351</v>
      </c>
      <c r="T3988" s="2" t="s">
        <v>26352</v>
      </c>
      <c r="U3988" s="2" t="s">
        <v>103</v>
      </c>
      <c r="V3988" s="2" t="s">
        <v>104</v>
      </c>
      <c r="W3988" s="2" t="s">
        <v>105</v>
      </c>
      <c r="X3988" s="2" t="s">
        <v>147</v>
      </c>
      <c r="Y3988" s="2">
        <v>38.4</v>
      </c>
      <c r="Z3988" s="2">
        <v>0</v>
      </c>
      <c r="AA3988" s="2" t="s">
        <v>218</v>
      </c>
      <c r="AB3988" s="2" t="s">
        <v>26353</v>
      </c>
      <c r="AC3988" s="2">
        <v>-7.4070350417304601E-2</v>
      </c>
      <c r="AD3988" s="2"/>
      <c r="AE3988" s="2">
        <v>0.12477465378234601</v>
      </c>
      <c r="AF3988" s="2">
        <v>1191.91535345125</v>
      </c>
      <c r="AG3988" s="2">
        <v>1842.42363093586</v>
      </c>
      <c r="AH3988" s="4">
        <v>0.64692795589351904</v>
      </c>
      <c r="AI3988" s="4">
        <v>-0.62832303717090499</v>
      </c>
      <c r="AJ3988" s="4" t="s">
        <v>62</v>
      </c>
      <c r="AK3988" s="2">
        <v>0.46287385642089601</v>
      </c>
      <c r="AL3988" s="2">
        <v>0.71230743534755303</v>
      </c>
      <c r="AM3988" s="2">
        <v>915.81363070653003</v>
      </c>
      <c r="AN3988" s="2">
        <v>1726.3184149666399</v>
      </c>
      <c r="AO3988" s="2">
        <v>811.11101355024402</v>
      </c>
      <c r="AP3988" s="2">
        <v>1239.8445658440301</v>
      </c>
      <c r="AQ3988" s="2">
        <v>1273.8138271232699</v>
      </c>
      <c r="AR3988" s="2">
        <v>1184.5906685167899</v>
      </c>
      <c r="AS3988" s="2">
        <v>5544.3493687808996</v>
      </c>
      <c r="AT3988" s="2">
        <v>611.34456343033605</v>
      </c>
      <c r="AU3988" s="2">
        <v>181.00024328710899</v>
      </c>
      <c r="AV3988" s="2">
        <v>1909.95828080398</v>
      </c>
      <c r="AW3988" s="2">
        <v>2608.11342886176</v>
      </c>
      <c r="AX3988" s="2">
        <v>199.77590045107101</v>
      </c>
    </row>
    <row r="3989" spans="1:50" x14ac:dyDescent="0.25">
      <c r="A3989" s="2" t="s">
        <v>26354</v>
      </c>
      <c r="B3989" s="2">
        <v>235.035736247199</v>
      </c>
      <c r="C3989" s="2">
        <v>5.0034000000000001</v>
      </c>
      <c r="D3989" s="2" t="s">
        <v>51</v>
      </c>
      <c r="E3989" s="2" t="s">
        <v>26355</v>
      </c>
      <c r="F3989" s="2">
        <v>199443</v>
      </c>
      <c r="G3989" s="3" t="str">
        <f>HYPERLINK("https://cloud.oebiotech.com/#/lm/network/199443", "https://cloud.oebiotech.com/#/lm/network/199443")</f>
        <v>https://cloud.oebiotech.com/#/lm/network/199443</v>
      </c>
      <c r="H3989" s="2" t="s">
        <v>26356</v>
      </c>
      <c r="I3989" s="2">
        <v>323611</v>
      </c>
      <c r="J3989" s="2"/>
      <c r="K3989" s="2">
        <v>20275</v>
      </c>
      <c r="L3989" s="2"/>
      <c r="M3989" s="2"/>
      <c r="N3989" s="2"/>
      <c r="O3989" s="2"/>
      <c r="P3989" s="2"/>
      <c r="Q3989" s="2"/>
      <c r="R3989" s="2"/>
      <c r="S3989" s="2" t="s">
        <v>26357</v>
      </c>
      <c r="T3989" s="2" t="s">
        <v>26358</v>
      </c>
      <c r="U3989" s="2" t="s">
        <v>1357</v>
      </c>
      <c r="V3989" s="2" t="s">
        <v>3792</v>
      </c>
      <c r="W3989" s="2" t="s">
        <v>240</v>
      </c>
      <c r="X3989" s="2" t="s">
        <v>147</v>
      </c>
      <c r="Y3989" s="2">
        <v>39.200000000000003</v>
      </c>
      <c r="Z3989" s="2">
        <v>0</v>
      </c>
      <c r="AA3989" s="2" t="s">
        <v>379</v>
      </c>
      <c r="AB3989" s="2" t="s">
        <v>26359</v>
      </c>
      <c r="AC3989" s="2">
        <v>1.6876699653846501</v>
      </c>
      <c r="AD3989" s="2"/>
      <c r="AE3989" s="2">
        <v>0.124672700969562</v>
      </c>
      <c r="AF3989" s="2">
        <v>156.76499703276301</v>
      </c>
      <c r="AG3989" s="2">
        <v>1806.13014862816</v>
      </c>
      <c r="AH3989" s="4">
        <v>8.6796069016307195E-2</v>
      </c>
      <c r="AI3989" s="4">
        <v>-3.52622648511305</v>
      </c>
      <c r="AJ3989" s="4" t="s">
        <v>62</v>
      </c>
      <c r="AK3989" s="2">
        <v>0.35883502488047098</v>
      </c>
      <c r="AL3989" s="2">
        <v>0.64449606579735297</v>
      </c>
      <c r="AM3989" s="2">
        <v>8.559877937157E-6</v>
      </c>
      <c r="AN3989" s="2">
        <v>182.04984286142701</v>
      </c>
      <c r="AO3989" s="2">
        <v>438.711888549462</v>
      </c>
      <c r="AP3989" s="2">
        <v>20.9913411147438</v>
      </c>
      <c r="AQ3989" s="2">
        <v>104.231330035371</v>
      </c>
      <c r="AR3989" s="2">
        <v>194.60557107569599</v>
      </c>
      <c r="AS3989" s="2">
        <v>132.005009632141</v>
      </c>
      <c r="AT3989" s="2">
        <v>8.559877937157E-6</v>
      </c>
      <c r="AU3989" s="2">
        <v>10372.9627626986</v>
      </c>
      <c r="AV3989" s="2">
        <v>177.07773927384699</v>
      </c>
      <c r="AW3989" s="2">
        <v>154.735363044617</v>
      </c>
      <c r="AX3989" s="2">
        <v>8.559877937157E-6</v>
      </c>
    </row>
    <row r="3990" spans="1:50" x14ac:dyDescent="0.25">
      <c r="A3990" s="2" t="s">
        <v>26360</v>
      </c>
      <c r="B3990" s="2">
        <v>512.18807089782104</v>
      </c>
      <c r="C3990" s="2">
        <v>9.9108499999999999</v>
      </c>
      <c r="D3990" s="2" t="s">
        <v>51</v>
      </c>
      <c r="E3990" s="2" t="s">
        <v>26361</v>
      </c>
      <c r="F3990" s="2">
        <v>204309</v>
      </c>
      <c r="G3990" s="3" t="str">
        <f>HYPERLINK("https://cloud.oebiotech.com/#/lm/network/204309", "https://cloud.oebiotech.com/#/lm/network/204309")</f>
        <v>https://cloud.oebiotech.com/#/lm/network/204309</v>
      </c>
      <c r="H3990" s="2" t="s">
        <v>26362</v>
      </c>
      <c r="I3990" s="2"/>
      <c r="J3990" s="2"/>
      <c r="K3990" s="2">
        <v>105125</v>
      </c>
      <c r="L3990" s="2"/>
      <c r="M3990" s="2"/>
      <c r="N3990" s="2"/>
      <c r="O3990" s="2"/>
      <c r="P3990" s="2"/>
      <c r="Q3990" s="2"/>
      <c r="R3990" s="2"/>
      <c r="S3990" s="2" t="s">
        <v>26363</v>
      </c>
      <c r="T3990" s="2" t="s">
        <v>26364</v>
      </c>
      <c r="U3990" s="2" t="s">
        <v>103</v>
      </c>
      <c r="V3990" s="2" t="s">
        <v>104</v>
      </c>
      <c r="W3990" s="2" t="s">
        <v>2245</v>
      </c>
      <c r="X3990" s="2" t="s">
        <v>147</v>
      </c>
      <c r="Y3990" s="2">
        <v>38.799999999999997</v>
      </c>
      <c r="Z3990" s="2">
        <v>0</v>
      </c>
      <c r="AA3990" s="2" t="s">
        <v>163</v>
      </c>
      <c r="AB3990" s="2" t="s">
        <v>26365</v>
      </c>
      <c r="AC3990" s="2">
        <v>-0.99668362454753501</v>
      </c>
      <c r="AD3990" s="2"/>
      <c r="AE3990" s="2">
        <v>0.124620325707577</v>
      </c>
      <c r="AF3990" s="2">
        <v>1025.2278255967401</v>
      </c>
      <c r="AG3990" s="2">
        <v>472.84492204942302</v>
      </c>
      <c r="AH3990" s="5">
        <v>2.1682115589888502</v>
      </c>
      <c r="AI3990" s="5">
        <v>1.11650553169787</v>
      </c>
      <c r="AJ3990" s="5" t="s">
        <v>139</v>
      </c>
      <c r="AK3990" s="2">
        <v>0.396952691927769</v>
      </c>
      <c r="AL3990" s="2">
        <v>0.66752996494649497</v>
      </c>
      <c r="AM3990" s="2">
        <v>4008.5596074741202</v>
      </c>
      <c r="AN3990" s="2">
        <v>8.559877937157E-6</v>
      </c>
      <c r="AO3990" s="2">
        <v>292.31973003802898</v>
      </c>
      <c r="AP3990" s="2">
        <v>585.18326768267798</v>
      </c>
      <c r="AQ3990" s="2">
        <v>326.17513226712299</v>
      </c>
      <c r="AR3990" s="2">
        <v>939.12920755861001</v>
      </c>
      <c r="AS3990" s="2">
        <v>331.799032904998</v>
      </c>
      <c r="AT3990" s="2">
        <v>8.559877937157E-6</v>
      </c>
      <c r="AU3990" s="2">
        <v>685.07717739683699</v>
      </c>
      <c r="AV3990" s="2">
        <v>404.438403149409</v>
      </c>
      <c r="AW3990" s="2">
        <v>938.30305722652702</v>
      </c>
      <c r="AX3990" s="2">
        <v>477.451853058891</v>
      </c>
    </row>
    <row r="3991" spans="1:50" x14ac:dyDescent="0.25">
      <c r="A3991" s="2" t="s">
        <v>26366</v>
      </c>
      <c r="B3991" s="2">
        <v>574.396987482746</v>
      </c>
      <c r="C3991" s="2">
        <v>13.470750000000001</v>
      </c>
      <c r="D3991" s="2" t="s">
        <v>51</v>
      </c>
      <c r="E3991" s="2" t="s">
        <v>26367</v>
      </c>
      <c r="F3991" s="2">
        <v>53027</v>
      </c>
      <c r="G3991" s="3" t="str">
        <f>HYPERLINK("https://cloud.oebiotech.com/#/lm/network/53027", "https://cloud.oebiotech.com/#/lm/network/53027")</f>
        <v>https://cloud.oebiotech.com/#/lm/network/53027</v>
      </c>
      <c r="H3991" s="2" t="s">
        <v>26368</v>
      </c>
      <c r="I3991" s="2">
        <v>85421</v>
      </c>
      <c r="J3991" s="2"/>
      <c r="K3991" s="2">
        <v>441290</v>
      </c>
      <c r="L3991" s="2" t="s">
        <v>26369</v>
      </c>
      <c r="M3991" s="2"/>
      <c r="N3991" s="2"/>
      <c r="O3991" s="2">
        <v>8884</v>
      </c>
      <c r="P3991" s="2"/>
      <c r="Q3991" s="2"/>
      <c r="R3991" s="2" t="s">
        <v>26370</v>
      </c>
      <c r="S3991" s="2" t="s">
        <v>26371</v>
      </c>
      <c r="T3991" s="2" t="s">
        <v>26372</v>
      </c>
      <c r="U3991" s="2" t="s">
        <v>56</v>
      </c>
      <c r="V3991" s="2" t="s">
        <v>283</v>
      </c>
      <c r="W3991" s="2" t="s">
        <v>1663</v>
      </c>
      <c r="X3991" s="2" t="s">
        <v>147</v>
      </c>
      <c r="Y3991" s="2">
        <v>37.9</v>
      </c>
      <c r="Z3991" s="2">
        <v>0</v>
      </c>
      <c r="AA3991" s="2" t="s">
        <v>218</v>
      </c>
      <c r="AB3991" s="2" t="s">
        <v>26373</v>
      </c>
      <c r="AC3991" s="2">
        <v>-3.3029335912862501</v>
      </c>
      <c r="AD3991" s="2"/>
      <c r="AE3991" s="2">
        <v>0.124610552259563</v>
      </c>
      <c r="AF3991" s="2">
        <v>1797.4809309596301</v>
      </c>
      <c r="AG3991" s="2">
        <v>1006.28852683036</v>
      </c>
      <c r="AH3991" s="5">
        <v>1.7862480620954699</v>
      </c>
      <c r="AI3991" s="5">
        <v>0.83693244613885198</v>
      </c>
      <c r="AJ3991" s="5" t="s">
        <v>139</v>
      </c>
      <c r="AK3991" s="2">
        <v>0.26741404175941602</v>
      </c>
      <c r="AL3991" s="2">
        <v>0.58823162872384205</v>
      </c>
      <c r="AM3991" s="2">
        <v>2498.2601558736701</v>
      </c>
      <c r="AN3991" s="2">
        <v>1085.8596342641999</v>
      </c>
      <c r="AO3991" s="2">
        <v>1987.5808675928499</v>
      </c>
      <c r="AP3991" s="2">
        <v>3666.2777573938702</v>
      </c>
      <c r="AQ3991" s="2">
        <v>1546.90716207331</v>
      </c>
      <c r="AR3991" s="2">
        <v>8.559877937157E-6</v>
      </c>
      <c r="AS3991" s="2">
        <v>576.45703628140404</v>
      </c>
      <c r="AT3991" s="2">
        <v>2127.9426312997598</v>
      </c>
      <c r="AU3991" s="2">
        <v>8.559877937157E-6</v>
      </c>
      <c r="AV3991" s="2">
        <v>8.559877937157E-6</v>
      </c>
      <c r="AW3991" s="2">
        <v>2519.39439666933</v>
      </c>
      <c r="AX3991" s="2">
        <v>813.9370796119</v>
      </c>
    </row>
    <row r="3992" spans="1:50" x14ac:dyDescent="0.25">
      <c r="A3992" s="2" t="s">
        <v>26374</v>
      </c>
      <c r="B3992" s="2">
        <v>189.07610567147799</v>
      </c>
      <c r="C3992" s="2">
        <v>4.6213499999999996</v>
      </c>
      <c r="D3992" s="2" t="s">
        <v>51</v>
      </c>
      <c r="E3992" s="2" t="s">
        <v>26375</v>
      </c>
      <c r="F3992" s="2">
        <v>2051</v>
      </c>
      <c r="G3992" s="3" t="str">
        <f>HYPERLINK("https://cloud.oebiotech.com/#/lm/network/2051", "https://cloud.oebiotech.com/#/lm/network/2051")</f>
        <v>https://cloud.oebiotech.com/#/lm/network/2051</v>
      </c>
      <c r="H3992" s="2"/>
      <c r="I3992" s="2">
        <v>35710</v>
      </c>
      <c r="J3992" s="2" t="s">
        <v>26376</v>
      </c>
      <c r="K3992" s="2">
        <v>98810</v>
      </c>
      <c r="L3992" s="2"/>
      <c r="M3992" s="2"/>
      <c r="N3992" s="2"/>
      <c r="O3992" s="2"/>
      <c r="P3992" s="2"/>
      <c r="Q3992" s="2"/>
      <c r="R3992" s="2"/>
      <c r="S3992" s="2" t="s">
        <v>26377</v>
      </c>
      <c r="T3992" s="2" t="s">
        <v>26378</v>
      </c>
      <c r="U3992" s="2" t="s">
        <v>103</v>
      </c>
      <c r="V3992" s="2" t="s">
        <v>2602</v>
      </c>
      <c r="W3992" s="2" t="s">
        <v>2603</v>
      </c>
      <c r="X3992" s="2" t="s">
        <v>69</v>
      </c>
      <c r="Y3992" s="2">
        <v>57.8</v>
      </c>
      <c r="Z3992" s="2">
        <v>63.2</v>
      </c>
      <c r="AA3992" s="2" t="s">
        <v>218</v>
      </c>
      <c r="AB3992" s="2" t="s">
        <v>26379</v>
      </c>
      <c r="AC3992" s="2">
        <v>-5.1460925814248197</v>
      </c>
      <c r="AD3992" s="2"/>
      <c r="AE3992" s="2">
        <v>0.124497092828928</v>
      </c>
      <c r="AF3992" s="2">
        <v>2450.0957769184301</v>
      </c>
      <c r="AG3992" s="2">
        <v>1834.54415888628</v>
      </c>
      <c r="AH3992" s="5">
        <v>1.33553382460188</v>
      </c>
      <c r="AI3992" s="5">
        <v>0.41741651507256</v>
      </c>
      <c r="AJ3992" s="5" t="s">
        <v>139</v>
      </c>
      <c r="AK3992" s="2">
        <v>0.73737336558177202</v>
      </c>
      <c r="AL3992" s="2">
        <v>0.87942661138187594</v>
      </c>
      <c r="AM3992" s="2">
        <v>8408.9087489077901</v>
      </c>
      <c r="AN3992" s="2">
        <v>214.75443410620201</v>
      </c>
      <c r="AO3992" s="2">
        <v>240.55312918550499</v>
      </c>
      <c r="AP3992" s="2">
        <v>2709.1467631986302</v>
      </c>
      <c r="AQ3992" s="2">
        <v>720.93630232838098</v>
      </c>
      <c r="AR3992" s="2">
        <v>2406.2752837840499</v>
      </c>
      <c r="AS3992" s="2">
        <v>987.74165537853196</v>
      </c>
      <c r="AT3992" s="2">
        <v>383.23709741506298</v>
      </c>
      <c r="AU3992" s="2">
        <v>8069.6189108429799</v>
      </c>
      <c r="AV3992" s="2">
        <v>957.83679918311304</v>
      </c>
      <c r="AW3992" s="2">
        <v>246.79393724355899</v>
      </c>
      <c r="AX3992" s="2">
        <v>362.03655325442298</v>
      </c>
    </row>
    <row r="3993" spans="1:50" x14ac:dyDescent="0.25">
      <c r="A3993" s="2" t="s">
        <v>26380</v>
      </c>
      <c r="B3993" s="2">
        <v>295.26426775421402</v>
      </c>
      <c r="C3993" s="2">
        <v>14.047549999999999</v>
      </c>
      <c r="D3993" s="2" t="s">
        <v>51</v>
      </c>
      <c r="E3993" s="2" t="s">
        <v>26381</v>
      </c>
      <c r="F3993" s="2">
        <v>2531</v>
      </c>
      <c r="G3993" s="3" t="str">
        <f>HYPERLINK("https://cloud.oebiotech.com/#/lm/network/2531", "https://cloud.oebiotech.com/#/lm/network/2531")</f>
        <v>https://cloud.oebiotech.com/#/lm/network/2531</v>
      </c>
      <c r="H3993" s="2"/>
      <c r="I3993" s="2">
        <v>45891</v>
      </c>
      <c r="J3993" s="2" t="s">
        <v>26382</v>
      </c>
      <c r="K3993" s="2">
        <v>23498411</v>
      </c>
      <c r="L3993" s="2"/>
      <c r="M3993" s="2"/>
      <c r="N3993" s="2"/>
      <c r="O3993" s="2"/>
      <c r="P3993" s="2"/>
      <c r="Q3993" s="2"/>
      <c r="R3993" s="2"/>
      <c r="S3993" s="2" t="s">
        <v>26383</v>
      </c>
      <c r="T3993" s="2" t="s">
        <v>26384</v>
      </c>
      <c r="U3993" s="2" t="s">
        <v>56</v>
      </c>
      <c r="V3993" s="2" t="s">
        <v>145</v>
      </c>
      <c r="W3993" s="2" t="s">
        <v>231</v>
      </c>
      <c r="X3993" s="2" t="s">
        <v>83</v>
      </c>
      <c r="Y3993" s="2">
        <v>54.1</v>
      </c>
      <c r="Z3993" s="2">
        <v>0</v>
      </c>
      <c r="AA3993" s="2" t="s">
        <v>163</v>
      </c>
      <c r="AB3993" s="2" t="s">
        <v>26385</v>
      </c>
      <c r="AC3993" s="2">
        <v>4.6553828095187502E-2</v>
      </c>
      <c r="AD3993" s="2"/>
      <c r="AE3993" s="2">
        <v>0.124373287303595</v>
      </c>
      <c r="AF3993" s="2">
        <v>2096.33077796821</v>
      </c>
      <c r="AG3993" s="2">
        <v>2932.7040226388799</v>
      </c>
      <c r="AH3993" s="4">
        <v>0.71481157381913496</v>
      </c>
      <c r="AI3993" s="4">
        <v>-0.48436510102797697</v>
      </c>
      <c r="AJ3993" s="4" t="s">
        <v>62</v>
      </c>
      <c r="AK3993" s="2">
        <v>0.29168891892098697</v>
      </c>
      <c r="AL3993" s="2">
        <v>0.60529783699192596</v>
      </c>
      <c r="AM3993" s="2">
        <v>2075.2115675233699</v>
      </c>
      <c r="AN3993" s="2">
        <v>815.07716882952502</v>
      </c>
      <c r="AO3993" s="2">
        <v>2471.20420777239</v>
      </c>
      <c r="AP3993" s="2">
        <v>1162.86171548016</v>
      </c>
      <c r="AQ3993" s="2">
        <v>4161.8362649823903</v>
      </c>
      <c r="AR3993" s="2">
        <v>1891.7937432214201</v>
      </c>
      <c r="AS3993" s="2">
        <v>1454.7625043815201</v>
      </c>
      <c r="AT3993" s="2">
        <v>1588.8652448011301</v>
      </c>
      <c r="AU3993" s="2">
        <v>4773.2520048646202</v>
      </c>
      <c r="AV3993" s="2">
        <v>3344.2704344836602</v>
      </c>
      <c r="AW3993" s="2">
        <v>4281.6815983571696</v>
      </c>
      <c r="AX3993" s="2">
        <v>2153.39234894521</v>
      </c>
    </row>
    <row r="3994" spans="1:50" x14ac:dyDescent="0.25">
      <c r="A3994" s="2" t="s">
        <v>26386</v>
      </c>
      <c r="B3994" s="2">
        <v>303.066592556535</v>
      </c>
      <c r="C3994" s="2">
        <v>5.2300666666666702</v>
      </c>
      <c r="D3994" s="2" t="s">
        <v>51</v>
      </c>
      <c r="E3994" s="2" t="s">
        <v>26387</v>
      </c>
      <c r="F3994" s="2">
        <v>57172</v>
      </c>
      <c r="G3994" s="3" t="str">
        <f>HYPERLINK("https://cloud.oebiotech.com/#/lm/network/57172", "https://cloud.oebiotech.com/#/lm/network/57172")</f>
        <v>https://cloud.oebiotech.com/#/lm/network/57172</v>
      </c>
      <c r="H3994" s="2" t="s">
        <v>26388</v>
      </c>
      <c r="I3994" s="2">
        <v>88816</v>
      </c>
      <c r="J3994" s="2"/>
      <c r="K3994" s="2">
        <v>101673656</v>
      </c>
      <c r="L3994" s="2"/>
      <c r="M3994" s="2"/>
      <c r="N3994" s="2"/>
      <c r="O3994" s="2"/>
      <c r="P3994" s="2"/>
      <c r="Q3994" s="2"/>
      <c r="R3994" s="2"/>
      <c r="S3994" s="2" t="s">
        <v>26389</v>
      </c>
      <c r="T3994" s="2" t="s">
        <v>26390</v>
      </c>
      <c r="U3994" s="2" t="s">
        <v>610</v>
      </c>
      <c r="V3994" s="2" t="s">
        <v>813</v>
      </c>
      <c r="W3994" s="2" t="s">
        <v>12504</v>
      </c>
      <c r="X3994" s="2" t="s">
        <v>147</v>
      </c>
      <c r="Y3994" s="2">
        <v>41.2</v>
      </c>
      <c r="Z3994" s="2">
        <v>21</v>
      </c>
      <c r="AA3994" s="2" t="s">
        <v>163</v>
      </c>
      <c r="AB3994" s="2" t="s">
        <v>26391</v>
      </c>
      <c r="AC3994" s="2">
        <v>1.0199027360084101</v>
      </c>
      <c r="AD3994" s="2"/>
      <c r="AE3994" s="2">
        <v>0.124284036280953</v>
      </c>
      <c r="AF3994" s="2">
        <v>1823.92528294043</v>
      </c>
      <c r="AG3994" s="2">
        <v>1332.80151988178</v>
      </c>
      <c r="AH3994" s="5">
        <v>1.3684897981675499</v>
      </c>
      <c r="AI3994" s="5">
        <v>0.45258467972446698</v>
      </c>
      <c r="AJ3994" s="5" t="s">
        <v>139</v>
      </c>
      <c r="AK3994" s="2">
        <v>0.189807764642002</v>
      </c>
      <c r="AL3994" s="2">
        <v>0.513622925560421</v>
      </c>
      <c r="AM3994" s="2">
        <v>1674.256295789</v>
      </c>
      <c r="AN3994" s="2">
        <v>2370.2716298012901</v>
      </c>
      <c r="AO3994" s="2">
        <v>2739.1991923089599</v>
      </c>
      <c r="AP3994" s="2">
        <v>970.08289307122902</v>
      </c>
      <c r="AQ3994" s="2">
        <v>1675.9505699655399</v>
      </c>
      <c r="AR3994" s="2">
        <v>1513.7911167065499</v>
      </c>
      <c r="AS3994" s="2">
        <v>1357.8899779748799</v>
      </c>
      <c r="AT3994" s="2">
        <v>664.93536039447304</v>
      </c>
      <c r="AU3994" s="2">
        <v>2291.4981337283102</v>
      </c>
      <c r="AV3994" s="2">
        <v>830.727349167527</v>
      </c>
      <c r="AW3994" s="2">
        <v>1337.7168916753201</v>
      </c>
      <c r="AX3994" s="2">
        <v>1514.0414063502001</v>
      </c>
    </row>
    <row r="3995" spans="1:50" x14ac:dyDescent="0.25">
      <c r="A3995" s="2" t="s">
        <v>26392</v>
      </c>
      <c r="B3995" s="2">
        <v>128.95841985789099</v>
      </c>
      <c r="C3995" s="2">
        <v>0.63154999999999994</v>
      </c>
      <c r="D3995" s="2" t="s">
        <v>51</v>
      </c>
      <c r="E3995" s="2" t="s">
        <v>26393</v>
      </c>
      <c r="F3995" s="2">
        <v>208723</v>
      </c>
      <c r="G3995" s="3" t="str">
        <f>HYPERLINK("https://cloud.oebiotech.com/#/lm/network/208723", "https://cloud.oebiotech.com/#/lm/network/208723")</f>
        <v>https://cloud.oebiotech.com/#/lm/network/208723</v>
      </c>
      <c r="H3995" s="2" t="s">
        <v>26394</v>
      </c>
      <c r="I3995" s="2"/>
      <c r="J3995" s="2"/>
      <c r="K3995" s="2">
        <v>22772</v>
      </c>
      <c r="L3995" s="2"/>
      <c r="M3995" s="2"/>
      <c r="N3995" s="2"/>
      <c r="O3995" s="2">
        <v>134614</v>
      </c>
      <c r="P3995" s="2"/>
      <c r="Q3995" s="2"/>
      <c r="R3995" s="2"/>
      <c r="S3995" s="2" t="s">
        <v>26395</v>
      </c>
      <c r="T3995" s="2" t="s">
        <v>26396</v>
      </c>
      <c r="U3995" s="2" t="s">
        <v>1231</v>
      </c>
      <c r="V3995" s="2" t="s">
        <v>26397</v>
      </c>
      <c r="W3995" s="2" t="s">
        <v>26398</v>
      </c>
      <c r="X3995" s="2" t="s">
        <v>147</v>
      </c>
      <c r="Y3995" s="2">
        <v>37</v>
      </c>
      <c r="Z3995" s="2">
        <v>0.75900000000000001</v>
      </c>
      <c r="AA3995" s="2" t="s">
        <v>163</v>
      </c>
      <c r="AB3995" s="2" t="s">
        <v>26399</v>
      </c>
      <c r="AC3995" s="2">
        <v>-1.87575182448477</v>
      </c>
      <c r="AD3995" s="2"/>
      <c r="AE3995" s="2">
        <v>0.124158899375234</v>
      </c>
      <c r="AF3995" s="2">
        <v>4496.7467286165001</v>
      </c>
      <c r="AG3995" s="2">
        <v>3453.5270122989</v>
      </c>
      <c r="AH3995" s="5">
        <v>1.3020737097472901</v>
      </c>
      <c r="AI3995" s="5">
        <v>0.380811121066434</v>
      </c>
      <c r="AJ3995" s="5" t="s">
        <v>139</v>
      </c>
      <c r="AK3995" s="2">
        <v>0.40710349429256298</v>
      </c>
      <c r="AL3995" s="2">
        <v>0.67338870617708801</v>
      </c>
      <c r="AM3995" s="2">
        <v>5614.5379990285001</v>
      </c>
      <c r="AN3995" s="2">
        <v>6312.0215192441901</v>
      </c>
      <c r="AO3995" s="2">
        <v>1817.3144527260299</v>
      </c>
      <c r="AP3995" s="2">
        <v>7542.1698792776997</v>
      </c>
      <c r="AQ3995" s="2">
        <v>4610.8922883004698</v>
      </c>
      <c r="AR3995" s="2">
        <v>1083.54423312212</v>
      </c>
      <c r="AS3995" s="2">
        <v>1423.88682633945</v>
      </c>
      <c r="AT3995" s="2">
        <v>4163.2486491703403</v>
      </c>
      <c r="AU3995" s="2">
        <v>2608.3226064496298</v>
      </c>
      <c r="AV3995" s="2">
        <v>5813.7029865928998</v>
      </c>
      <c r="AW3995" s="2">
        <v>3296.57244107212</v>
      </c>
      <c r="AX3995" s="2">
        <v>3415.4285641689498</v>
      </c>
    </row>
    <row r="3996" spans="1:50" x14ac:dyDescent="0.25">
      <c r="A3996" s="2" t="s">
        <v>26400</v>
      </c>
      <c r="B3996" s="2">
        <v>335.13626306255901</v>
      </c>
      <c r="C3996" s="2">
        <v>3.6886666666666699</v>
      </c>
      <c r="D3996" s="2" t="s">
        <v>51</v>
      </c>
      <c r="E3996" s="2" t="s">
        <v>26401</v>
      </c>
      <c r="F3996" s="2">
        <v>202743</v>
      </c>
      <c r="G3996" s="3" t="str">
        <f>HYPERLINK("https://cloud.oebiotech.com/#/lm/network/202743", "https://cloud.oebiotech.com/#/lm/network/202743")</f>
        <v>https://cloud.oebiotech.com/#/lm/network/202743</v>
      </c>
      <c r="H3996" s="2" t="s">
        <v>26402</v>
      </c>
      <c r="I3996" s="2"/>
      <c r="J3996" s="2"/>
      <c r="K3996" s="2">
        <v>4267593</v>
      </c>
      <c r="L3996" s="2"/>
      <c r="M3996" s="2"/>
      <c r="N3996" s="2"/>
      <c r="O3996" s="2"/>
      <c r="P3996" s="2"/>
      <c r="Q3996" s="2"/>
      <c r="R3996" s="2"/>
      <c r="S3996" s="2" t="s">
        <v>26403</v>
      </c>
      <c r="T3996" s="2" t="s">
        <v>26404</v>
      </c>
      <c r="U3996" s="2" t="s">
        <v>103</v>
      </c>
      <c r="V3996" s="2" t="s">
        <v>104</v>
      </c>
      <c r="W3996" s="2" t="s">
        <v>105</v>
      </c>
      <c r="X3996" s="2" t="s">
        <v>147</v>
      </c>
      <c r="Y3996" s="2">
        <v>44.5</v>
      </c>
      <c r="Z3996" s="2">
        <v>31.5</v>
      </c>
      <c r="AA3996" s="2" t="s">
        <v>379</v>
      </c>
      <c r="AB3996" s="2" t="s">
        <v>26405</v>
      </c>
      <c r="AC3996" s="2">
        <v>0.47928440837731201</v>
      </c>
      <c r="AD3996" s="2"/>
      <c r="AE3996" s="2">
        <v>0.124042002494874</v>
      </c>
      <c r="AF3996" s="2">
        <v>10636.4977393556</v>
      </c>
      <c r="AG3996" s="2">
        <v>12052.8919948113</v>
      </c>
      <c r="AH3996" s="4">
        <v>0.88248511178350697</v>
      </c>
      <c r="AI3996" s="4">
        <v>-0.18035615569593699</v>
      </c>
      <c r="AJ3996" s="4" t="s">
        <v>62</v>
      </c>
      <c r="AK3996" s="2">
        <v>0.88444745040577699</v>
      </c>
      <c r="AL3996" s="2">
        <v>0.94988504215975</v>
      </c>
      <c r="AM3996" s="2">
        <v>6798.6106659624002</v>
      </c>
      <c r="AN3996" s="2">
        <v>10249.7558306595</v>
      </c>
      <c r="AO3996" s="2">
        <v>16268.1009505375</v>
      </c>
      <c r="AP3996" s="2">
        <v>2576.81379351633</v>
      </c>
      <c r="AQ3996" s="2">
        <v>5194.5877905013704</v>
      </c>
      <c r="AR3996" s="2">
        <v>22731.1174049566</v>
      </c>
      <c r="AS3996" s="2">
        <v>5299.2511205139899</v>
      </c>
      <c r="AT3996" s="2">
        <v>1371.62864236365</v>
      </c>
      <c r="AU3996" s="2">
        <v>1135.88898153023</v>
      </c>
      <c r="AV3996" s="2">
        <v>3473.3785791354599</v>
      </c>
      <c r="AW3996" s="2">
        <v>56841.563992255302</v>
      </c>
      <c r="AX3996" s="2">
        <v>4195.6406530693603</v>
      </c>
    </row>
    <row r="3997" spans="1:50" x14ac:dyDescent="0.25">
      <c r="A3997" s="2" t="s">
        <v>26406</v>
      </c>
      <c r="B3997" s="2">
        <v>309.243679491553</v>
      </c>
      <c r="C3997" s="2">
        <v>13.510733333333301</v>
      </c>
      <c r="D3997" s="2" t="s">
        <v>51</v>
      </c>
      <c r="E3997" s="2" t="s">
        <v>26407</v>
      </c>
      <c r="F3997" s="2">
        <v>6739</v>
      </c>
      <c r="G3997" s="3" t="str">
        <f>HYPERLINK("https://cloud.oebiotech.com/#/lm/network/6739", "https://cloud.oebiotech.com/#/lm/network/6739")</f>
        <v>https://cloud.oebiotech.com/#/lm/network/6739</v>
      </c>
      <c r="H3997" s="2"/>
      <c r="I3997" s="2"/>
      <c r="J3997" s="2" t="s">
        <v>26408</v>
      </c>
      <c r="K3997" s="2">
        <v>129866842</v>
      </c>
      <c r="L3997" s="2"/>
      <c r="M3997" s="2"/>
      <c r="N3997" s="2"/>
      <c r="O3997" s="2"/>
      <c r="P3997" s="2"/>
      <c r="Q3997" s="2"/>
      <c r="R3997" s="2"/>
      <c r="S3997" s="2" t="s">
        <v>26409</v>
      </c>
      <c r="T3997" s="2" t="s">
        <v>26410</v>
      </c>
      <c r="U3997" s="2" t="s">
        <v>56</v>
      </c>
      <c r="V3997" s="2" t="s">
        <v>145</v>
      </c>
      <c r="W3997" s="2" t="s">
        <v>1543</v>
      </c>
      <c r="X3997" s="2" t="s">
        <v>147</v>
      </c>
      <c r="Y3997" s="2">
        <v>36.200000000000003</v>
      </c>
      <c r="Z3997" s="2">
        <v>0</v>
      </c>
      <c r="AA3997" s="2" t="s">
        <v>218</v>
      </c>
      <c r="AB3997" s="2" t="s">
        <v>1545</v>
      </c>
      <c r="AC3997" s="2">
        <v>0.60919056525302595</v>
      </c>
      <c r="AD3997" s="2"/>
      <c r="AE3997" s="2">
        <v>0.124033552538849</v>
      </c>
      <c r="AF3997" s="2">
        <v>650.42106504950505</v>
      </c>
      <c r="AG3997" s="2">
        <v>1219.8142088024399</v>
      </c>
      <c r="AH3997" s="4">
        <v>0.53321322243660296</v>
      </c>
      <c r="AI3997" s="4">
        <v>-0.90721553856551396</v>
      </c>
      <c r="AJ3997" s="4" t="s">
        <v>62</v>
      </c>
      <c r="AK3997" s="2">
        <v>0.120655031991127</v>
      </c>
      <c r="AL3997" s="2">
        <v>0.43792729332499802</v>
      </c>
      <c r="AM3997" s="2">
        <v>412.26868405185098</v>
      </c>
      <c r="AN3997" s="2">
        <v>449.16908635015898</v>
      </c>
      <c r="AO3997" s="2">
        <v>487.760657779665</v>
      </c>
      <c r="AP3997" s="2">
        <v>417.40360083718798</v>
      </c>
      <c r="AQ3997" s="2">
        <v>1322.9359448784701</v>
      </c>
      <c r="AR3997" s="2">
        <v>812.98841639969703</v>
      </c>
      <c r="AS3997" s="2">
        <v>257.12375773134897</v>
      </c>
      <c r="AT3997" s="2">
        <v>849.25660918148697</v>
      </c>
      <c r="AU3997" s="2">
        <v>2079.0865982248702</v>
      </c>
      <c r="AV3997" s="2">
        <v>1610.62661898239</v>
      </c>
      <c r="AW3997" s="2">
        <v>1879.57169930483</v>
      </c>
      <c r="AX3997" s="2">
        <v>643.21996938972802</v>
      </c>
    </row>
    <row r="3998" spans="1:50" x14ac:dyDescent="0.25">
      <c r="A3998" s="2" t="s">
        <v>26411</v>
      </c>
      <c r="B3998" s="2">
        <v>215.13971499236101</v>
      </c>
      <c r="C3998" s="2">
        <v>1.38448333333333</v>
      </c>
      <c r="D3998" s="2" t="s">
        <v>51</v>
      </c>
      <c r="E3998" s="2" t="s">
        <v>26412</v>
      </c>
      <c r="F3998" s="2">
        <v>54041</v>
      </c>
      <c r="G3998" s="3" t="str">
        <f>HYPERLINK("https://cloud.oebiotech.com/#/lm/network/54041", "https://cloud.oebiotech.com/#/lm/network/54041")</f>
        <v>https://cloud.oebiotech.com/#/lm/network/54041</v>
      </c>
      <c r="H3998" s="2" t="s">
        <v>26413</v>
      </c>
      <c r="I3998" s="2">
        <v>23999</v>
      </c>
      <c r="J3998" s="2"/>
      <c r="K3998" s="2">
        <v>142984</v>
      </c>
      <c r="L3998" s="2"/>
      <c r="M3998" s="2"/>
      <c r="N3998" s="2"/>
      <c r="O3998" s="2"/>
      <c r="P3998" s="2"/>
      <c r="Q3998" s="2"/>
      <c r="R3998" s="2"/>
      <c r="S3998" s="2" t="s">
        <v>26414</v>
      </c>
      <c r="T3998" s="2" t="s">
        <v>26415</v>
      </c>
      <c r="U3998" s="2" t="s">
        <v>103</v>
      </c>
      <c r="V3998" s="2" t="s">
        <v>104</v>
      </c>
      <c r="W3998" s="2" t="s">
        <v>105</v>
      </c>
      <c r="X3998" s="2" t="s">
        <v>83</v>
      </c>
      <c r="Y3998" s="2">
        <v>39.1</v>
      </c>
      <c r="Z3998" s="2">
        <v>0</v>
      </c>
      <c r="AA3998" s="2" t="s">
        <v>259</v>
      </c>
      <c r="AB3998" s="2" t="s">
        <v>19899</v>
      </c>
      <c r="AC3998" s="2">
        <v>3.2508716971729301</v>
      </c>
      <c r="AD3998" s="2"/>
      <c r="AE3998" s="2">
        <v>0.12384760339897399</v>
      </c>
      <c r="AF3998" s="2">
        <v>1066.7679866322601</v>
      </c>
      <c r="AG3998" s="2">
        <v>168.04289047823599</v>
      </c>
      <c r="AH3998" s="5">
        <v>6.3481887486958204</v>
      </c>
      <c r="AI3998" s="5">
        <v>2.6663450240078701</v>
      </c>
      <c r="AJ3998" s="5" t="s">
        <v>139</v>
      </c>
      <c r="AK3998" s="2">
        <v>0.234505516564678</v>
      </c>
      <c r="AL3998" s="2">
        <v>0.55997646305846605</v>
      </c>
      <c r="AM3998" s="2">
        <v>248.68179046607901</v>
      </c>
      <c r="AN3998" s="2">
        <v>364.268013376846</v>
      </c>
      <c r="AO3998" s="2">
        <v>410.41048192391798</v>
      </c>
      <c r="AP3998" s="2">
        <v>168.385195317935</v>
      </c>
      <c r="AQ3998" s="2">
        <v>4592.1244416284899</v>
      </c>
      <c r="AR3998" s="2">
        <v>616.73799708031402</v>
      </c>
      <c r="AS3998" s="2">
        <v>76.524236557307901</v>
      </c>
      <c r="AT3998" s="2">
        <v>192.28437621897899</v>
      </c>
      <c r="AU3998" s="2">
        <v>407.48745986964201</v>
      </c>
      <c r="AV3998" s="2">
        <v>246.911415935224</v>
      </c>
      <c r="AW3998" s="2">
        <v>8.559877937157E-6</v>
      </c>
      <c r="AX3998" s="2">
        <v>85.049845728387695</v>
      </c>
    </row>
    <row r="3999" spans="1:50" x14ac:dyDescent="0.25">
      <c r="A3999" s="2" t="s">
        <v>26416</v>
      </c>
      <c r="B3999" s="2">
        <v>599.25206163133896</v>
      </c>
      <c r="C3999" s="2">
        <v>8.2118333333333293</v>
      </c>
      <c r="D3999" s="2" t="s">
        <v>51</v>
      </c>
      <c r="E3999" s="2" t="s">
        <v>26417</v>
      </c>
      <c r="F3999" s="2">
        <v>46760</v>
      </c>
      <c r="G3999" s="3" t="str">
        <f>HYPERLINK("https://cloud.oebiotech.com/#/lm/network/46760", "https://cloud.oebiotech.com/#/lm/network/46760")</f>
        <v>https://cloud.oebiotech.com/#/lm/network/46760</v>
      </c>
      <c r="H3999" s="2"/>
      <c r="I3999" s="2"/>
      <c r="J3999" s="2" t="s">
        <v>26418</v>
      </c>
      <c r="K3999" s="2">
        <v>42640651</v>
      </c>
      <c r="L3999" s="2"/>
      <c r="M3999" s="2"/>
      <c r="N3999" s="2"/>
      <c r="O3999" s="2"/>
      <c r="P3999" s="2"/>
      <c r="Q3999" s="2"/>
      <c r="R3999" s="2"/>
      <c r="S3999" s="2" t="s">
        <v>26419</v>
      </c>
      <c r="T3999" s="2" t="s">
        <v>26420</v>
      </c>
      <c r="U3999" s="2" t="s">
        <v>56</v>
      </c>
      <c r="V3999" s="2" t="s">
        <v>283</v>
      </c>
      <c r="W3999" s="2" t="s">
        <v>3462</v>
      </c>
      <c r="X3999" s="2" t="s">
        <v>147</v>
      </c>
      <c r="Y3999" s="2">
        <v>44</v>
      </c>
      <c r="Z3999" s="2">
        <v>37.299999999999997</v>
      </c>
      <c r="AA3999" s="2" t="s">
        <v>95</v>
      </c>
      <c r="AB3999" s="2" t="s">
        <v>26421</v>
      </c>
      <c r="AC3999" s="2">
        <v>4.1781891656385</v>
      </c>
      <c r="AD3999" s="2"/>
      <c r="AE3999" s="2">
        <v>0.12376738123648499</v>
      </c>
      <c r="AF3999" s="2">
        <v>2154.1552904979799</v>
      </c>
      <c r="AG3999" s="2">
        <v>3213.7821248790501</v>
      </c>
      <c r="AH3999" s="4">
        <v>0.67028666125867198</v>
      </c>
      <c r="AI3999" s="4">
        <v>-0.577149870467487</v>
      </c>
      <c r="AJ3999" s="4" t="s">
        <v>62</v>
      </c>
      <c r="AK3999" s="2">
        <v>0.62062264389788302</v>
      </c>
      <c r="AL3999" s="2">
        <v>0.81248878430468197</v>
      </c>
      <c r="AM3999" s="2">
        <v>1846.0897143278901</v>
      </c>
      <c r="AN3999" s="2">
        <v>3002.4009599020901</v>
      </c>
      <c r="AO3999" s="2">
        <v>1537.1747831876</v>
      </c>
      <c r="AP3999" s="2">
        <v>2632.98545706402</v>
      </c>
      <c r="AQ3999" s="2">
        <v>1685.4731495435301</v>
      </c>
      <c r="AR3999" s="2">
        <v>2220.8076789627598</v>
      </c>
      <c r="AS3999" s="2">
        <v>13297.3196990461</v>
      </c>
      <c r="AT3999" s="2">
        <v>2456.3434542857199</v>
      </c>
      <c r="AU3999" s="2">
        <v>338.851153825918</v>
      </c>
      <c r="AV3999" s="2">
        <v>8.559877937157E-6</v>
      </c>
      <c r="AW3999" s="2">
        <v>2431.6349003044702</v>
      </c>
      <c r="AX3999" s="2">
        <v>758.54353325222803</v>
      </c>
    </row>
    <row r="4000" spans="1:50" x14ac:dyDescent="0.25">
      <c r="A4000" s="2" t="s">
        <v>26422</v>
      </c>
      <c r="B4000" s="2">
        <v>239.09175254522299</v>
      </c>
      <c r="C4000" s="2">
        <v>5.8746499999999999</v>
      </c>
      <c r="D4000" s="2" t="s">
        <v>51</v>
      </c>
      <c r="E4000" s="2" t="s">
        <v>26423</v>
      </c>
      <c r="F4000" s="2">
        <v>2660</v>
      </c>
      <c r="G4000" s="3" t="str">
        <f>HYPERLINK("https://cloud.oebiotech.com/#/lm/network/2660", "https://cloud.oebiotech.com/#/lm/network/2660")</f>
        <v>https://cloud.oebiotech.com/#/lm/network/2660</v>
      </c>
      <c r="H4000" s="2"/>
      <c r="I4000" s="2"/>
      <c r="J4000" s="2" t="s">
        <v>26424</v>
      </c>
      <c r="K4000" s="2">
        <v>126587412</v>
      </c>
      <c r="L4000" s="2"/>
      <c r="M4000" s="2"/>
      <c r="N4000" s="2"/>
      <c r="O4000" s="2"/>
      <c r="P4000" s="2"/>
      <c r="Q4000" s="2"/>
      <c r="R4000" s="2"/>
      <c r="S4000" s="2" t="s">
        <v>26425</v>
      </c>
      <c r="T4000" s="2" t="s">
        <v>26426</v>
      </c>
      <c r="U4000" s="2" t="s">
        <v>56</v>
      </c>
      <c r="V4000" s="2" t="s">
        <v>145</v>
      </c>
      <c r="W4000" s="2" t="s">
        <v>231</v>
      </c>
      <c r="X4000" s="2" t="s">
        <v>83</v>
      </c>
      <c r="Y4000" s="2">
        <v>43.8</v>
      </c>
      <c r="Z4000" s="2">
        <v>0</v>
      </c>
      <c r="AA4000" s="2" t="s">
        <v>163</v>
      </c>
      <c r="AB4000" s="2" t="s">
        <v>5920</v>
      </c>
      <c r="AC4000" s="2">
        <v>-3.1013511015318298</v>
      </c>
      <c r="AD4000" s="2"/>
      <c r="AE4000" s="2">
        <v>0.12363336895471801</v>
      </c>
      <c r="AF4000" s="2">
        <v>1126.4538630817101</v>
      </c>
      <c r="AG4000" s="2">
        <v>554.44261806951602</v>
      </c>
      <c r="AH4000" s="5">
        <v>2.03168700668042</v>
      </c>
      <c r="AI4000" s="5">
        <v>1.0226781635813</v>
      </c>
      <c r="AJ4000" s="5" t="s">
        <v>139</v>
      </c>
      <c r="AK4000" s="2">
        <v>0.15026164314072801</v>
      </c>
      <c r="AL4000" s="2">
        <v>0.47126432927971701</v>
      </c>
      <c r="AM4000" s="2">
        <v>836.03553504581805</v>
      </c>
      <c r="AN4000" s="2">
        <v>1047.83328859825</v>
      </c>
      <c r="AO4000" s="2">
        <v>1537.77980383728</v>
      </c>
      <c r="AP4000" s="2">
        <v>125.113119646301</v>
      </c>
      <c r="AQ4000" s="2">
        <v>803.781920735879</v>
      </c>
      <c r="AR4000" s="2">
        <v>2408.17951062673</v>
      </c>
      <c r="AS4000" s="2">
        <v>83.237763606220398</v>
      </c>
      <c r="AT4000" s="2">
        <v>115.351169338633</v>
      </c>
      <c r="AU4000" s="2">
        <v>1282.9514712688799</v>
      </c>
      <c r="AV4000" s="2">
        <v>406.76515382255701</v>
      </c>
      <c r="AW4000" s="2">
        <v>797.386351175051</v>
      </c>
      <c r="AX4000" s="2">
        <v>640.96379920575203</v>
      </c>
    </row>
    <row r="4001" spans="1:50" x14ac:dyDescent="0.25">
      <c r="A4001" s="2" t="s">
        <v>26427</v>
      </c>
      <c r="B4001" s="2">
        <v>563.28402192917804</v>
      </c>
      <c r="C4001" s="2">
        <v>8.0803833333333301</v>
      </c>
      <c r="D4001" s="2" t="s">
        <v>51</v>
      </c>
      <c r="E4001" s="2" t="s">
        <v>26428</v>
      </c>
      <c r="F4001" s="2">
        <v>62305</v>
      </c>
      <c r="G4001" s="3" t="str">
        <f>HYPERLINK("https://cloud.oebiotech.com/#/lm/network/62305", "https://cloud.oebiotech.com/#/lm/network/62305")</f>
        <v>https://cloud.oebiotech.com/#/lm/network/62305</v>
      </c>
      <c r="H4001" s="2" t="s">
        <v>26429</v>
      </c>
      <c r="I4001" s="2"/>
      <c r="J4001" s="2"/>
      <c r="K4001" s="2">
        <v>45115175</v>
      </c>
      <c r="L4001" s="2"/>
      <c r="M4001" s="2"/>
      <c r="N4001" s="2"/>
      <c r="O4001" s="2"/>
      <c r="P4001" s="2"/>
      <c r="Q4001" s="2"/>
      <c r="R4001" s="2" t="s">
        <v>26430</v>
      </c>
      <c r="S4001" s="2" t="s">
        <v>26431</v>
      </c>
      <c r="T4001" s="2" t="s">
        <v>26432</v>
      </c>
      <c r="U4001" s="2" t="s">
        <v>331</v>
      </c>
      <c r="V4001" s="2" t="s">
        <v>332</v>
      </c>
      <c r="W4001" s="2" t="s">
        <v>1207</v>
      </c>
      <c r="X4001" s="2" t="s">
        <v>83</v>
      </c>
      <c r="Y4001" s="2">
        <v>39.9</v>
      </c>
      <c r="Z4001" s="2">
        <v>0</v>
      </c>
      <c r="AA4001" s="2" t="s">
        <v>478</v>
      </c>
      <c r="AB4001" s="2" t="s">
        <v>26433</v>
      </c>
      <c r="AC4001" s="2">
        <v>-3.80873730049333</v>
      </c>
      <c r="AD4001" s="2"/>
      <c r="AE4001" s="2">
        <v>0.123547367349508</v>
      </c>
      <c r="AF4001" s="2">
        <v>457.23004403761797</v>
      </c>
      <c r="AG4001" s="2">
        <v>1177.09366469216</v>
      </c>
      <c r="AH4001" s="4">
        <v>0.38843981388447502</v>
      </c>
      <c r="AI4001" s="4">
        <v>-1.3642370147535401</v>
      </c>
      <c r="AJ4001" s="4" t="s">
        <v>62</v>
      </c>
      <c r="AK4001" s="2">
        <v>0.32211756788964802</v>
      </c>
      <c r="AL4001" s="2">
        <v>0.62984558729865703</v>
      </c>
      <c r="AM4001" s="2">
        <v>243.45916362939499</v>
      </c>
      <c r="AN4001" s="2">
        <v>891.92061820679999</v>
      </c>
      <c r="AO4001" s="2">
        <v>534.61319186308901</v>
      </c>
      <c r="AP4001" s="2">
        <v>8.559877937157E-6</v>
      </c>
      <c r="AQ4001" s="2">
        <v>8.559877937157E-6</v>
      </c>
      <c r="AR4001" s="2">
        <v>1073.3872734066699</v>
      </c>
      <c r="AS4001" s="2">
        <v>270.78674487220297</v>
      </c>
      <c r="AT4001" s="2">
        <v>674.769737775914</v>
      </c>
      <c r="AU4001" s="2">
        <v>609.99662404582705</v>
      </c>
      <c r="AV4001" s="2">
        <v>4417.72654789014</v>
      </c>
      <c r="AW4001" s="2">
        <v>1089.28232500901</v>
      </c>
      <c r="AX4001" s="2">
        <v>8.559877937157E-6</v>
      </c>
    </row>
    <row r="4002" spans="1:50" x14ac:dyDescent="0.25">
      <c r="A4002" s="2" t="s">
        <v>26434</v>
      </c>
      <c r="B4002" s="2">
        <v>253.144449795138</v>
      </c>
      <c r="C4002" s="2">
        <v>7.5631000000000004</v>
      </c>
      <c r="D4002" s="2" t="s">
        <v>51</v>
      </c>
      <c r="E4002" s="2" t="s">
        <v>26435</v>
      </c>
      <c r="F4002" s="2">
        <v>58663</v>
      </c>
      <c r="G4002" s="3" t="str">
        <f>HYPERLINK("https://cloud.oebiotech.com/#/lm/network/58663", "https://cloud.oebiotech.com/#/lm/network/58663")</f>
        <v>https://cloud.oebiotech.com/#/lm/network/58663</v>
      </c>
      <c r="H4002" s="2" t="s">
        <v>26436</v>
      </c>
      <c r="I4002" s="2">
        <v>90126</v>
      </c>
      <c r="J4002" s="2"/>
      <c r="K4002" s="2">
        <v>101415508</v>
      </c>
      <c r="L4002" s="2"/>
      <c r="M4002" s="2"/>
      <c r="N4002" s="2"/>
      <c r="O4002" s="2">
        <v>167940</v>
      </c>
      <c r="P4002" s="2"/>
      <c r="Q4002" s="2"/>
      <c r="R4002" s="2" t="s">
        <v>26437</v>
      </c>
      <c r="S4002" s="2" t="s">
        <v>26438</v>
      </c>
      <c r="T4002" s="2" t="s">
        <v>26439</v>
      </c>
      <c r="U4002" s="2" t="s">
        <v>266</v>
      </c>
      <c r="V4002" s="2" t="s">
        <v>1785</v>
      </c>
      <c r="W4002" s="2" t="s">
        <v>240</v>
      </c>
      <c r="X4002" s="2" t="s">
        <v>83</v>
      </c>
      <c r="Y4002" s="2">
        <v>49.8</v>
      </c>
      <c r="Z4002" s="2">
        <v>34.1</v>
      </c>
      <c r="AA4002" s="2" t="s">
        <v>218</v>
      </c>
      <c r="AB4002" s="2" t="s">
        <v>7088</v>
      </c>
      <c r="AC4002" s="2">
        <v>-0.398543574956432</v>
      </c>
      <c r="AD4002" s="2"/>
      <c r="AE4002" s="2">
        <v>0.123373572828331</v>
      </c>
      <c r="AF4002" s="2">
        <v>2258.06897522588</v>
      </c>
      <c r="AG4002" s="2">
        <v>1570.2806080005901</v>
      </c>
      <c r="AH4002" s="5">
        <v>1.43800347767209</v>
      </c>
      <c r="AI4002" s="5">
        <v>0.52406716479960802</v>
      </c>
      <c r="AJ4002" s="5" t="s">
        <v>139</v>
      </c>
      <c r="AK4002" s="2">
        <v>0.19252717390713101</v>
      </c>
      <c r="AL4002" s="2">
        <v>0.51702050946451295</v>
      </c>
      <c r="AM4002" s="2">
        <v>1353.4391159601801</v>
      </c>
      <c r="AN4002" s="2">
        <v>2149.1275315706298</v>
      </c>
      <c r="AO4002" s="2">
        <v>4407.9998710801201</v>
      </c>
      <c r="AP4002" s="2">
        <v>1087.77555139591</v>
      </c>
      <c r="AQ4002" s="2">
        <v>2428.2591828898799</v>
      </c>
      <c r="AR4002" s="2">
        <v>2121.8125984585799</v>
      </c>
      <c r="AS4002" s="2">
        <v>1629.8707761261401</v>
      </c>
      <c r="AT4002" s="2">
        <v>1435.28237006721</v>
      </c>
      <c r="AU4002" s="2">
        <v>1282.5158910047801</v>
      </c>
      <c r="AV4002" s="2">
        <v>1943.8895926330299</v>
      </c>
      <c r="AW4002" s="2">
        <v>1842.52267046968</v>
      </c>
      <c r="AX4002" s="2">
        <v>1287.6023477026799</v>
      </c>
    </row>
    <row r="4003" spans="1:50" x14ac:dyDescent="0.25">
      <c r="A4003" s="2" t="s">
        <v>26440</v>
      </c>
      <c r="B4003" s="2">
        <v>143.11818597550101</v>
      </c>
      <c r="C4003" s="2">
        <v>4.7703666666666704</v>
      </c>
      <c r="D4003" s="2" t="s">
        <v>51</v>
      </c>
      <c r="E4003" s="2" t="s">
        <v>26441</v>
      </c>
      <c r="F4003" s="2">
        <v>206359</v>
      </c>
      <c r="G4003" s="3" t="str">
        <f>HYPERLINK("https://cloud.oebiotech.com/#/lm/network/206359", "https://cloud.oebiotech.com/#/lm/network/206359")</f>
        <v>https://cloud.oebiotech.com/#/lm/network/206359</v>
      </c>
      <c r="H4003" s="2" t="s">
        <v>26442</v>
      </c>
      <c r="I4003" s="2"/>
      <c r="J4003" s="2"/>
      <c r="K4003" s="2">
        <v>5071774</v>
      </c>
      <c r="L4003" s="2"/>
      <c r="M4003" s="2"/>
      <c r="N4003" s="2"/>
      <c r="O4003" s="2"/>
      <c r="P4003" s="2"/>
      <c r="Q4003" s="2"/>
      <c r="R4003" s="2"/>
      <c r="S4003" s="2" t="s">
        <v>26443</v>
      </c>
      <c r="T4003" s="2" t="s">
        <v>26444</v>
      </c>
      <c r="U4003" s="2" t="s">
        <v>103</v>
      </c>
      <c r="V4003" s="2" t="s">
        <v>104</v>
      </c>
      <c r="W4003" s="2" t="s">
        <v>105</v>
      </c>
      <c r="X4003" s="2" t="s">
        <v>147</v>
      </c>
      <c r="Y4003" s="2">
        <v>37.9</v>
      </c>
      <c r="Z4003" s="2">
        <v>0</v>
      </c>
      <c r="AA4003" s="2" t="s">
        <v>786</v>
      </c>
      <c r="AB4003" s="2" t="s">
        <v>26445</v>
      </c>
      <c r="AC4003" s="2">
        <v>1.8514956326980601</v>
      </c>
      <c r="AD4003" s="2"/>
      <c r="AE4003" s="2">
        <v>0.123367290609772</v>
      </c>
      <c r="AF4003" s="2">
        <v>2164.9223705672898</v>
      </c>
      <c r="AG4003" s="2">
        <v>1640.8835684696201</v>
      </c>
      <c r="AH4003" s="5">
        <v>1.3193637940968701</v>
      </c>
      <c r="AI4003" s="5">
        <v>0.399842420217976</v>
      </c>
      <c r="AJ4003" s="5" t="s">
        <v>139</v>
      </c>
      <c r="AK4003" s="2">
        <v>0.15517603653838899</v>
      </c>
      <c r="AL4003" s="2">
        <v>0.475876790971616</v>
      </c>
      <c r="AM4003" s="2">
        <v>1721.79476828373</v>
      </c>
      <c r="AN4003" s="2">
        <v>3561.5974318264698</v>
      </c>
      <c r="AO4003" s="2">
        <v>1749.4445497392501</v>
      </c>
      <c r="AP4003" s="2">
        <v>2028.52479622801</v>
      </c>
      <c r="AQ4003" s="2">
        <v>1476.9581236101801</v>
      </c>
      <c r="AR4003" s="2">
        <v>2451.21455371609</v>
      </c>
      <c r="AS4003" s="2">
        <v>1718.3511788026799</v>
      </c>
      <c r="AT4003" s="2">
        <v>1912.0985661694999</v>
      </c>
      <c r="AU4003" s="2">
        <v>1922.2721502039501</v>
      </c>
      <c r="AV4003" s="2">
        <v>990.47645589550405</v>
      </c>
      <c r="AW4003" s="2">
        <v>1582.55499016046</v>
      </c>
      <c r="AX4003" s="2">
        <v>1719.54806958565</v>
      </c>
    </row>
    <row r="4004" spans="1:50" x14ac:dyDescent="0.25">
      <c r="A4004" s="2" t="s">
        <v>26446</v>
      </c>
      <c r="B4004" s="2">
        <v>479.19908840663101</v>
      </c>
      <c r="C4004" s="2">
        <v>4.1536</v>
      </c>
      <c r="D4004" s="2" t="s">
        <v>51</v>
      </c>
      <c r="E4004" s="2" t="s">
        <v>26447</v>
      </c>
      <c r="F4004" s="2">
        <v>53062</v>
      </c>
      <c r="G4004" s="3" t="str">
        <f>HYPERLINK("https://cloud.oebiotech.com/#/lm/network/53062", "https://cloud.oebiotech.com/#/lm/network/53062")</f>
        <v>https://cloud.oebiotech.com/#/lm/network/53062</v>
      </c>
      <c r="H4004" s="2" t="s">
        <v>26448</v>
      </c>
      <c r="I4004" s="2">
        <v>66774</v>
      </c>
      <c r="J4004" s="2"/>
      <c r="K4004" s="2">
        <v>60947</v>
      </c>
      <c r="L4004" s="2" t="s">
        <v>26449</v>
      </c>
      <c r="M4004" s="2"/>
      <c r="N4004" s="2"/>
      <c r="O4004" s="2">
        <v>9605</v>
      </c>
      <c r="P4004" s="2"/>
      <c r="Q4004" s="2"/>
      <c r="R4004" s="2" t="s">
        <v>26450</v>
      </c>
      <c r="S4004" s="2" t="s">
        <v>26451</v>
      </c>
      <c r="T4004" s="2" t="s">
        <v>26452</v>
      </c>
      <c r="U4004" s="2" t="s">
        <v>103</v>
      </c>
      <c r="V4004" s="2" t="s">
        <v>104</v>
      </c>
      <c r="W4004" s="2" t="s">
        <v>105</v>
      </c>
      <c r="X4004" s="2" t="s">
        <v>147</v>
      </c>
      <c r="Y4004" s="2">
        <v>38.700000000000003</v>
      </c>
      <c r="Z4004" s="2">
        <v>13.8</v>
      </c>
      <c r="AA4004" s="2" t="s">
        <v>395</v>
      </c>
      <c r="AB4004" s="2" t="s">
        <v>26453</v>
      </c>
      <c r="AC4004" s="2">
        <v>3.2643164785597998</v>
      </c>
      <c r="AD4004" s="2"/>
      <c r="AE4004" s="2">
        <v>0.12336463496379001</v>
      </c>
      <c r="AF4004" s="2">
        <v>796.60869071786396</v>
      </c>
      <c r="AG4004" s="2">
        <v>1986.74854824314</v>
      </c>
      <c r="AH4004" s="4">
        <v>0.40096100305310201</v>
      </c>
      <c r="AI4004" s="4">
        <v>-1.3184661660319299</v>
      </c>
      <c r="AJ4004" s="4" t="s">
        <v>62</v>
      </c>
      <c r="AK4004" s="2">
        <v>0.50878425398277904</v>
      </c>
      <c r="AL4004" s="2">
        <v>0.74345363423474298</v>
      </c>
      <c r="AM4004" s="2">
        <v>2590.64967970933</v>
      </c>
      <c r="AN4004" s="2">
        <v>8.559877937157E-6</v>
      </c>
      <c r="AO4004" s="2">
        <v>739.77319227288206</v>
      </c>
      <c r="AP4004" s="2">
        <v>8.559877937157E-6</v>
      </c>
      <c r="AQ4004" s="2">
        <v>8.559877937157E-6</v>
      </c>
      <c r="AR4004" s="2">
        <v>1449.22924664534</v>
      </c>
      <c r="AS4004" s="2">
        <v>8.559877937157E-6</v>
      </c>
      <c r="AT4004" s="2">
        <v>8.559877937157E-6</v>
      </c>
      <c r="AU4004" s="2">
        <v>1603.4348105158999</v>
      </c>
      <c r="AV4004" s="2">
        <v>10298.8034815106</v>
      </c>
      <c r="AW4004" s="2">
        <v>18.252971752702301</v>
      </c>
      <c r="AX4004" s="2">
        <v>8.559877937157E-6</v>
      </c>
    </row>
    <row r="4005" spans="1:50" x14ac:dyDescent="0.25">
      <c r="A4005" s="2" t="s">
        <v>26454</v>
      </c>
      <c r="B4005" s="2">
        <v>343.16419963726202</v>
      </c>
      <c r="C4005" s="2">
        <v>5.6083833333333297</v>
      </c>
      <c r="D4005" s="2" t="s">
        <v>51</v>
      </c>
      <c r="E4005" s="2" t="s">
        <v>26455</v>
      </c>
      <c r="F4005" s="2">
        <v>267168</v>
      </c>
      <c r="G4005" s="3" t="str">
        <f>HYPERLINK("https://cloud.oebiotech.com/#/lm/network/267168", "https://cloud.oebiotech.com/#/lm/network/267168")</f>
        <v>https://cloud.oebiotech.com/#/lm/network/267168</v>
      </c>
      <c r="H4005" s="2"/>
      <c r="I4005" s="2">
        <v>44931</v>
      </c>
      <c r="J4005" s="2"/>
      <c r="K4005" s="2">
        <v>10019206</v>
      </c>
      <c r="L4005" s="2"/>
      <c r="M4005" s="2"/>
      <c r="N4005" s="2"/>
      <c r="O4005" s="2"/>
      <c r="P4005" s="2"/>
      <c r="Q4005" s="2"/>
      <c r="R4005" s="2" t="s">
        <v>26456</v>
      </c>
      <c r="S4005" s="2" t="s">
        <v>26457</v>
      </c>
      <c r="T4005" s="2" t="s">
        <v>26458</v>
      </c>
      <c r="U4005" s="2" t="s">
        <v>103</v>
      </c>
      <c r="V4005" s="2" t="s">
        <v>104</v>
      </c>
      <c r="W4005" s="2" t="s">
        <v>105</v>
      </c>
      <c r="X4005" s="2" t="s">
        <v>147</v>
      </c>
      <c r="Y4005" s="2">
        <v>38.4</v>
      </c>
      <c r="Z4005" s="2">
        <v>0</v>
      </c>
      <c r="AA4005" s="2" t="s">
        <v>512</v>
      </c>
      <c r="AB4005" s="2" t="s">
        <v>26459</v>
      </c>
      <c r="AC4005" s="2">
        <v>-3.1802067782098402</v>
      </c>
      <c r="AD4005" s="2"/>
      <c r="AE4005" s="2">
        <v>0.123222940805155</v>
      </c>
      <c r="AF4005" s="2">
        <v>1658.3725982318499</v>
      </c>
      <c r="AG4005" s="2">
        <v>534.601855409672</v>
      </c>
      <c r="AH4005" s="5">
        <v>3.10207041268314</v>
      </c>
      <c r="AI4005" s="5">
        <v>1.63323143391619</v>
      </c>
      <c r="AJ4005" s="5" t="s">
        <v>139</v>
      </c>
      <c r="AK4005" s="2">
        <v>0.27891792888710998</v>
      </c>
      <c r="AL4005" s="2">
        <v>0.59871863544779103</v>
      </c>
      <c r="AM4005" s="2">
        <v>436.87904678184401</v>
      </c>
      <c r="AN4005" s="2">
        <v>266.863178221125</v>
      </c>
      <c r="AO4005" s="2">
        <v>242.18089802829101</v>
      </c>
      <c r="AP4005" s="2">
        <v>164.63259113339601</v>
      </c>
      <c r="AQ4005" s="2">
        <v>5976.2123119675298</v>
      </c>
      <c r="AR4005" s="2">
        <v>2863.4675632589301</v>
      </c>
      <c r="AS4005" s="2">
        <v>215.940352932048</v>
      </c>
      <c r="AT4005" s="2">
        <v>984.31023996590397</v>
      </c>
      <c r="AU4005" s="2">
        <v>147.95024314698901</v>
      </c>
      <c r="AV4005" s="2">
        <v>172.11180367672199</v>
      </c>
      <c r="AW4005" s="2">
        <v>1271.81088272438</v>
      </c>
      <c r="AX4005" s="2">
        <v>415.48761001198898</v>
      </c>
    </row>
    <row r="4006" spans="1:50" x14ac:dyDescent="0.25">
      <c r="A4006" s="2" t="s">
        <v>26460</v>
      </c>
      <c r="B4006" s="2">
        <v>274.103785360605</v>
      </c>
      <c r="C4006" s="2">
        <v>5.2228500000000002</v>
      </c>
      <c r="D4006" s="2" t="s">
        <v>51</v>
      </c>
      <c r="E4006" s="2" t="s">
        <v>26461</v>
      </c>
      <c r="F4006" s="2">
        <v>207245</v>
      </c>
      <c r="G4006" s="3" t="str">
        <f>HYPERLINK("https://cloud.oebiotech.com/#/lm/network/207245", "https://cloud.oebiotech.com/#/lm/network/207245")</f>
        <v>https://cloud.oebiotech.com/#/lm/network/207245</v>
      </c>
      <c r="H4006" s="2" t="s">
        <v>26462</v>
      </c>
      <c r="I4006" s="2"/>
      <c r="J4006" s="2"/>
      <c r="K4006" s="2"/>
      <c r="L4006" s="2"/>
      <c r="M4006" s="2"/>
      <c r="N4006" s="2"/>
      <c r="O4006" s="2"/>
      <c r="P4006" s="2"/>
      <c r="Q4006" s="2"/>
      <c r="R4006" s="2"/>
      <c r="S4006" s="2" t="s">
        <v>26463</v>
      </c>
      <c r="T4006" s="2" t="s">
        <v>26464</v>
      </c>
      <c r="U4006" s="2" t="s">
        <v>103</v>
      </c>
      <c r="V4006" s="2" t="s">
        <v>104</v>
      </c>
      <c r="W4006" s="2" t="s">
        <v>105</v>
      </c>
      <c r="X4006" s="2" t="s">
        <v>147</v>
      </c>
      <c r="Y4006" s="2">
        <v>41.3</v>
      </c>
      <c r="Z4006" s="2">
        <v>10.9</v>
      </c>
      <c r="AA4006" s="2" t="s">
        <v>156</v>
      </c>
      <c r="AB4006" s="2" t="s">
        <v>26465</v>
      </c>
      <c r="AC4006" s="2">
        <v>1.4555287396723899</v>
      </c>
      <c r="AD4006" s="2"/>
      <c r="AE4006" s="2">
        <v>0.123165337001197</v>
      </c>
      <c r="AF4006" s="2">
        <v>3421.3835182395901</v>
      </c>
      <c r="AG4006" s="2">
        <v>2756.4013486067502</v>
      </c>
      <c r="AH4006" s="5">
        <v>1.2412501249025101</v>
      </c>
      <c r="AI4006" s="5">
        <v>0.31179386292684402</v>
      </c>
      <c r="AJ4006" s="5" t="s">
        <v>139</v>
      </c>
      <c r="AK4006" s="2">
        <v>0.40944723222110002</v>
      </c>
      <c r="AL4006" s="2">
        <v>0.67518883530669505</v>
      </c>
      <c r="AM4006" s="2">
        <v>2927.0098992039798</v>
      </c>
      <c r="AN4006" s="2">
        <v>4776.5822499265496</v>
      </c>
      <c r="AO4006" s="2">
        <v>4005.1548247896999</v>
      </c>
      <c r="AP4006" s="2">
        <v>2010.44711421644</v>
      </c>
      <c r="AQ4006" s="2">
        <v>3922.8893210985202</v>
      </c>
      <c r="AR4006" s="2">
        <v>2886.21770020234</v>
      </c>
      <c r="AS4006" s="2">
        <v>2114.62213014599</v>
      </c>
      <c r="AT4006" s="2">
        <v>1287.6873685014</v>
      </c>
      <c r="AU4006" s="2">
        <v>5617.6466040018104</v>
      </c>
      <c r="AV4006" s="2">
        <v>1352.59680980744</v>
      </c>
      <c r="AW4006" s="2">
        <v>3147.0992677621598</v>
      </c>
      <c r="AX4006" s="2">
        <v>3018.7559114217102</v>
      </c>
    </row>
    <row r="4007" spans="1:50" x14ac:dyDescent="0.25">
      <c r="A4007" s="2" t="s">
        <v>26466</v>
      </c>
      <c r="B4007" s="2">
        <v>352.22573910220001</v>
      </c>
      <c r="C4007" s="2">
        <v>8.4163499999999996</v>
      </c>
      <c r="D4007" s="2" t="s">
        <v>51</v>
      </c>
      <c r="E4007" s="2" t="s">
        <v>26467</v>
      </c>
      <c r="F4007" s="2">
        <v>3750</v>
      </c>
      <c r="G4007" s="3" t="str">
        <f>HYPERLINK("https://cloud.oebiotech.com/#/lm/network/3750", "https://cloud.oebiotech.com/#/lm/network/3750")</f>
        <v>https://cloud.oebiotech.com/#/lm/network/3750</v>
      </c>
      <c r="H4007" s="2" t="s">
        <v>26468</v>
      </c>
      <c r="I4007" s="2">
        <v>36195</v>
      </c>
      <c r="J4007" s="2" t="s">
        <v>26469</v>
      </c>
      <c r="K4007" s="2">
        <v>5280710</v>
      </c>
      <c r="L4007" s="2" t="s">
        <v>26470</v>
      </c>
      <c r="M4007" s="2"/>
      <c r="N4007" s="2"/>
      <c r="O4007" s="2">
        <v>15548</v>
      </c>
      <c r="P4007" s="2"/>
      <c r="Q4007" s="2"/>
      <c r="R4007" s="2" t="s">
        <v>26471</v>
      </c>
      <c r="S4007" s="2" t="s">
        <v>26472</v>
      </c>
      <c r="T4007" s="2" t="s">
        <v>26473</v>
      </c>
      <c r="U4007" s="2" t="s">
        <v>56</v>
      </c>
      <c r="V4007" s="2" t="s">
        <v>145</v>
      </c>
      <c r="W4007" s="2" t="s">
        <v>187</v>
      </c>
      <c r="X4007" s="2" t="s">
        <v>83</v>
      </c>
      <c r="Y4007" s="2">
        <v>52.4</v>
      </c>
      <c r="Z4007" s="2">
        <v>2.66</v>
      </c>
      <c r="AA4007" s="2" t="s">
        <v>122</v>
      </c>
      <c r="AB4007" s="2" t="s">
        <v>380</v>
      </c>
      <c r="AC4007" s="2">
        <v>2.1715614070193801</v>
      </c>
      <c r="AD4007" s="2"/>
      <c r="AE4007" s="2">
        <v>0.123164783589212</v>
      </c>
      <c r="AF4007" s="2">
        <v>11704.1014989504</v>
      </c>
      <c r="AG4007" s="2">
        <v>10258.865927650701</v>
      </c>
      <c r="AH4007" s="5">
        <v>1.14087673837362</v>
      </c>
      <c r="AI4007" s="5">
        <v>0.19014292962555199</v>
      </c>
      <c r="AJ4007" s="5" t="s">
        <v>139</v>
      </c>
      <c r="AK4007" s="2">
        <v>0.38811276724643101</v>
      </c>
      <c r="AL4007" s="2">
        <v>0.66383134717100301</v>
      </c>
      <c r="AM4007" s="2">
        <v>11992.238318011799</v>
      </c>
      <c r="AN4007" s="2">
        <v>8553.4984357353296</v>
      </c>
      <c r="AO4007" s="2">
        <v>8884.2934556580403</v>
      </c>
      <c r="AP4007" s="2">
        <v>16712.743741477101</v>
      </c>
      <c r="AQ4007" s="2">
        <v>11162.722134505901</v>
      </c>
      <c r="AR4007" s="2">
        <v>12919.1129083141</v>
      </c>
      <c r="AS4007" s="2">
        <v>10477.138685518899</v>
      </c>
      <c r="AT4007" s="2">
        <v>10123.845352791401</v>
      </c>
      <c r="AU4007" s="2">
        <v>13626.4705059469</v>
      </c>
      <c r="AV4007" s="2">
        <v>9364.6220310876506</v>
      </c>
      <c r="AW4007" s="2">
        <v>11867.9606393494</v>
      </c>
      <c r="AX4007" s="2">
        <v>6093.1583512100297</v>
      </c>
    </row>
    <row r="4008" spans="1:50" x14ac:dyDescent="0.25">
      <c r="A4008" s="2" t="s">
        <v>26474</v>
      </c>
      <c r="B4008" s="2">
        <v>169.08639471203799</v>
      </c>
      <c r="C4008" s="2">
        <v>4.8526333333333298</v>
      </c>
      <c r="D4008" s="2" t="s">
        <v>51</v>
      </c>
      <c r="E4008" s="2" t="s">
        <v>26475</v>
      </c>
      <c r="F4008" s="2">
        <v>208650</v>
      </c>
      <c r="G4008" s="3" t="str">
        <f>HYPERLINK("https://cloud.oebiotech.com/#/lm/network/208650", "https://cloud.oebiotech.com/#/lm/network/208650")</f>
        <v>https://cloud.oebiotech.com/#/lm/network/208650</v>
      </c>
      <c r="H4008" s="2" t="s">
        <v>26476</v>
      </c>
      <c r="I4008" s="2"/>
      <c r="J4008" s="2"/>
      <c r="K4008" s="2">
        <v>129678603</v>
      </c>
      <c r="L4008" s="2"/>
      <c r="M4008" s="2"/>
      <c r="N4008" s="2"/>
      <c r="O4008" s="2"/>
      <c r="P4008" s="2"/>
      <c r="Q4008" s="2"/>
      <c r="R4008" s="2"/>
      <c r="S4008" s="2" t="s">
        <v>26477</v>
      </c>
      <c r="T4008" s="2" t="s">
        <v>26478</v>
      </c>
      <c r="U4008" s="2" t="s">
        <v>610</v>
      </c>
      <c r="V4008" s="2" t="s">
        <v>611</v>
      </c>
      <c r="W4008" s="2" t="s">
        <v>240</v>
      </c>
      <c r="X4008" s="2" t="s">
        <v>83</v>
      </c>
      <c r="Y4008" s="2">
        <v>42.8</v>
      </c>
      <c r="Z4008" s="2">
        <v>0</v>
      </c>
      <c r="AA4008" s="2" t="s">
        <v>259</v>
      </c>
      <c r="AB4008" s="2" t="s">
        <v>11998</v>
      </c>
      <c r="AC4008" s="2">
        <v>2.8203256877045599</v>
      </c>
      <c r="AD4008" s="2"/>
      <c r="AE4008" s="2">
        <v>0.123015225699924</v>
      </c>
      <c r="AF4008" s="2">
        <v>3978.08593913303</v>
      </c>
      <c r="AG4008" s="2">
        <v>3394.36242987992</v>
      </c>
      <c r="AH4008" s="5">
        <v>1.1719685276135201</v>
      </c>
      <c r="AI4008" s="5">
        <v>0.22893382772470799</v>
      </c>
      <c r="AJ4008" s="5" t="s">
        <v>139</v>
      </c>
      <c r="AK4008" s="2">
        <v>0.10748982478733</v>
      </c>
      <c r="AL4008" s="2">
        <v>0.418195995912439</v>
      </c>
      <c r="AM4008" s="2">
        <v>3847.6774266268999</v>
      </c>
      <c r="AN4008" s="2">
        <v>4621.1244049205998</v>
      </c>
      <c r="AO4008" s="2">
        <v>3902.5350695157099</v>
      </c>
      <c r="AP4008" s="2">
        <v>4814.0334197746097</v>
      </c>
      <c r="AQ4008" s="2">
        <v>3538.2680449159002</v>
      </c>
      <c r="AR4008" s="2">
        <v>3144.8772690444598</v>
      </c>
      <c r="AS4008" s="2">
        <v>3526.9196958583502</v>
      </c>
      <c r="AT4008" s="2">
        <v>3978.0754449574301</v>
      </c>
      <c r="AU4008" s="2">
        <v>2612.1345462037498</v>
      </c>
      <c r="AV4008" s="2">
        <v>2992.17283563309</v>
      </c>
      <c r="AW4008" s="2">
        <v>3574.8680193929899</v>
      </c>
      <c r="AX4008" s="2">
        <v>3682.0040372339099</v>
      </c>
    </row>
    <row r="4009" spans="1:50" x14ac:dyDescent="0.25">
      <c r="A4009" s="2" t="s">
        <v>26479</v>
      </c>
      <c r="B4009" s="2">
        <v>304.21298392834899</v>
      </c>
      <c r="C4009" s="2">
        <v>9.6251166666666705</v>
      </c>
      <c r="D4009" s="2" t="s">
        <v>51</v>
      </c>
      <c r="E4009" s="2" t="s">
        <v>26480</v>
      </c>
      <c r="F4009" s="2">
        <v>196989</v>
      </c>
      <c r="G4009" s="3" t="str">
        <f>HYPERLINK("https://cloud.oebiotech.com/#/lm/network/196989", "https://cloud.oebiotech.com/#/lm/network/196989")</f>
        <v>https://cloud.oebiotech.com/#/lm/network/196989</v>
      </c>
      <c r="H4009" s="2" t="s">
        <v>26481</v>
      </c>
      <c r="I4009" s="2"/>
      <c r="J4009" s="2"/>
      <c r="K4009" s="2"/>
      <c r="L4009" s="2"/>
      <c r="M4009" s="2"/>
      <c r="N4009" s="2"/>
      <c r="O4009" s="2"/>
      <c r="P4009" s="2"/>
      <c r="Q4009" s="2"/>
      <c r="R4009" s="2" t="s">
        <v>26482</v>
      </c>
      <c r="S4009" s="2" t="s">
        <v>26483</v>
      </c>
      <c r="T4009" s="2" t="s">
        <v>26484</v>
      </c>
      <c r="U4009" s="2" t="s">
        <v>610</v>
      </c>
      <c r="V4009" s="2" t="s">
        <v>4556</v>
      </c>
      <c r="W4009" s="2" t="s">
        <v>6949</v>
      </c>
      <c r="X4009" s="2" t="s">
        <v>147</v>
      </c>
      <c r="Y4009" s="2">
        <v>38.799999999999997</v>
      </c>
      <c r="Z4009" s="2">
        <v>0</v>
      </c>
      <c r="AA4009" s="2" t="s">
        <v>512</v>
      </c>
      <c r="AB4009" s="2" t="s">
        <v>26485</v>
      </c>
      <c r="AC4009" s="2">
        <v>-0.709156489997253</v>
      </c>
      <c r="AD4009" s="2"/>
      <c r="AE4009" s="2">
        <v>0.122933137719692</v>
      </c>
      <c r="AF4009" s="2">
        <v>2748.4130264211999</v>
      </c>
      <c r="AG4009" s="2">
        <v>2086.9358327295799</v>
      </c>
      <c r="AH4009" s="5">
        <v>1.3169609641646001</v>
      </c>
      <c r="AI4009" s="5">
        <v>0.397212583528537</v>
      </c>
      <c r="AJ4009" s="5" t="s">
        <v>139</v>
      </c>
      <c r="AK4009" s="2">
        <v>0.21645973884397299</v>
      </c>
      <c r="AL4009" s="2">
        <v>0.54190576078505404</v>
      </c>
      <c r="AM4009" s="2">
        <v>2652.4115554351802</v>
      </c>
      <c r="AN4009" s="2">
        <v>3650.8002422588502</v>
      </c>
      <c r="AO4009" s="2">
        <v>3292.0395110268501</v>
      </c>
      <c r="AP4009" s="2">
        <v>3581.8253533489001</v>
      </c>
      <c r="AQ4009" s="2">
        <v>1557.3279298933901</v>
      </c>
      <c r="AR4009" s="2">
        <v>1756.07356656406</v>
      </c>
      <c r="AS4009" s="2">
        <v>1407.9018404472099</v>
      </c>
      <c r="AT4009" s="2">
        <v>1703.4480408259999</v>
      </c>
      <c r="AU4009" s="2">
        <v>2192.21961766909</v>
      </c>
      <c r="AV4009" s="2">
        <v>1969.1037780811901</v>
      </c>
      <c r="AW4009" s="2">
        <v>1596.62658218929</v>
      </c>
      <c r="AX4009" s="2">
        <v>3652.31513716471</v>
      </c>
    </row>
    <row r="4010" spans="1:50" x14ac:dyDescent="0.25">
      <c r="A4010" s="2" t="s">
        <v>26486</v>
      </c>
      <c r="B4010" s="2">
        <v>180.10247435272501</v>
      </c>
      <c r="C4010" s="2">
        <v>3.9216000000000002</v>
      </c>
      <c r="D4010" s="2" t="s">
        <v>51</v>
      </c>
      <c r="E4010" s="2" t="s">
        <v>26487</v>
      </c>
      <c r="F4010" s="2">
        <v>201103</v>
      </c>
      <c r="G4010" s="3" t="str">
        <f>HYPERLINK("https://cloud.oebiotech.com/#/lm/network/201103", "https://cloud.oebiotech.com/#/lm/network/201103")</f>
        <v>https://cloud.oebiotech.com/#/lm/network/201103</v>
      </c>
      <c r="H4010" s="2" t="s">
        <v>26488</v>
      </c>
      <c r="I4010" s="2"/>
      <c r="J4010" s="2"/>
      <c r="K4010" s="2">
        <v>75737</v>
      </c>
      <c r="L4010" s="2"/>
      <c r="M4010" s="2"/>
      <c r="N4010" s="2"/>
      <c r="O4010" s="2"/>
      <c r="P4010" s="2"/>
      <c r="Q4010" s="2"/>
      <c r="R4010" s="2"/>
      <c r="S4010" s="2" t="s">
        <v>26489</v>
      </c>
      <c r="T4010" s="2" t="s">
        <v>26490</v>
      </c>
      <c r="U4010" s="2" t="s">
        <v>103</v>
      </c>
      <c r="V4010" s="2" t="s">
        <v>104</v>
      </c>
      <c r="W4010" s="2" t="s">
        <v>105</v>
      </c>
      <c r="X4010" s="2" t="s">
        <v>69</v>
      </c>
      <c r="Y4010" s="2">
        <v>58</v>
      </c>
      <c r="Z4010" s="2">
        <v>63.1</v>
      </c>
      <c r="AA4010" s="2" t="s">
        <v>259</v>
      </c>
      <c r="AB4010" s="2" t="s">
        <v>26491</v>
      </c>
      <c r="AC4010" s="2">
        <v>3.1785425363451001</v>
      </c>
      <c r="AD4010" s="2"/>
      <c r="AE4010" s="2">
        <v>0.12289173354829699</v>
      </c>
      <c r="AF4010" s="2">
        <v>1858.9798253824099</v>
      </c>
      <c r="AG4010" s="2">
        <v>1264.72052546021</v>
      </c>
      <c r="AH4010" s="5">
        <v>1.4698740061216</v>
      </c>
      <c r="AI4010" s="5">
        <v>0.55569249619511196</v>
      </c>
      <c r="AJ4010" s="5" t="s">
        <v>139</v>
      </c>
      <c r="AK4010" s="2">
        <v>0.16514946434994299</v>
      </c>
      <c r="AL4010" s="2">
        <v>0.48683831670586603</v>
      </c>
      <c r="AM4010" s="2">
        <v>1901.9019519755</v>
      </c>
      <c r="AN4010" s="2">
        <v>3283.2544550771099</v>
      </c>
      <c r="AO4010" s="2">
        <v>1184.38447342325</v>
      </c>
      <c r="AP4010" s="2">
        <v>2017.4584957816501</v>
      </c>
      <c r="AQ4010" s="2">
        <v>1465.5937690539499</v>
      </c>
      <c r="AR4010" s="2">
        <v>1301.2858069829899</v>
      </c>
      <c r="AS4010" s="2">
        <v>1272.23206379983</v>
      </c>
      <c r="AT4010" s="2">
        <v>944.657732872167</v>
      </c>
      <c r="AU4010" s="2">
        <v>1081.4747721706799</v>
      </c>
      <c r="AV4010" s="2">
        <v>528.16632751868406</v>
      </c>
      <c r="AW4010" s="2">
        <v>1487.12271541788</v>
      </c>
      <c r="AX4010" s="2">
        <v>2274.6695409820099</v>
      </c>
    </row>
    <row r="4011" spans="1:50" x14ac:dyDescent="0.25">
      <c r="A4011" s="2" t="s">
        <v>26492</v>
      </c>
      <c r="B4011" s="2">
        <v>573.136628709447</v>
      </c>
      <c r="C4011" s="2">
        <v>7.7615333333333298</v>
      </c>
      <c r="D4011" s="2" t="s">
        <v>51</v>
      </c>
      <c r="E4011" s="2" t="s">
        <v>26493</v>
      </c>
      <c r="F4011" s="2">
        <v>342366</v>
      </c>
      <c r="G4011" s="3" t="str">
        <f>HYPERLINK("https://cloud.oebiotech.com/#/lm/network/342366", "https://cloud.oebiotech.com/#/lm/network/342366")</f>
        <v>https://cloud.oebiotech.com/#/lm/network/342366</v>
      </c>
      <c r="H4011" s="2"/>
      <c r="I4011" s="2">
        <v>417123</v>
      </c>
      <c r="J4011" s="2"/>
      <c r="K4011" s="2">
        <v>1088438</v>
      </c>
      <c r="L4011" s="2"/>
      <c r="M4011" s="2"/>
      <c r="N4011" s="2"/>
      <c r="O4011" s="2"/>
      <c r="P4011" s="2"/>
      <c r="Q4011" s="2"/>
      <c r="R4011" s="2"/>
      <c r="S4011" s="2" t="s">
        <v>26494</v>
      </c>
      <c r="T4011" s="2" t="s">
        <v>26495</v>
      </c>
      <c r="U4011" s="2" t="s">
        <v>610</v>
      </c>
      <c r="V4011" s="2" t="s">
        <v>611</v>
      </c>
      <c r="W4011" s="2" t="s">
        <v>5656</v>
      </c>
      <c r="X4011" s="2" t="s">
        <v>147</v>
      </c>
      <c r="Y4011" s="2">
        <v>37.9</v>
      </c>
      <c r="Z4011" s="2">
        <v>0</v>
      </c>
      <c r="AA4011" s="2" t="s">
        <v>478</v>
      </c>
      <c r="AB4011" s="2" t="s">
        <v>26496</v>
      </c>
      <c r="AC4011" s="2">
        <v>-3.1180228765396198</v>
      </c>
      <c r="AD4011" s="2"/>
      <c r="AE4011" s="2">
        <v>0.122857520687563</v>
      </c>
      <c r="AF4011" s="2">
        <v>10121.1407592018</v>
      </c>
      <c r="AG4011" s="2">
        <v>6400.3364524400404</v>
      </c>
      <c r="AH4011" s="5">
        <v>1.58134511121571</v>
      </c>
      <c r="AI4011" s="5">
        <v>0.66115225441732295</v>
      </c>
      <c r="AJ4011" s="5" t="s">
        <v>139</v>
      </c>
      <c r="AK4011" s="2">
        <v>0.56235125602291203</v>
      </c>
      <c r="AL4011" s="2">
        <v>0.78064040599162898</v>
      </c>
      <c r="AM4011" s="2">
        <v>351.065654895119</v>
      </c>
      <c r="AN4011" s="2">
        <v>2855.6926099223601</v>
      </c>
      <c r="AO4011" s="2">
        <v>27486.023969106802</v>
      </c>
      <c r="AP4011" s="2">
        <v>26938.021113950301</v>
      </c>
      <c r="AQ4011" s="2">
        <v>3096.0411987760499</v>
      </c>
      <c r="AR4011" s="2">
        <v>8.559877937157E-6</v>
      </c>
      <c r="AS4011" s="2">
        <v>3533.7392339378698</v>
      </c>
      <c r="AT4011" s="2">
        <v>9199.91312524159</v>
      </c>
      <c r="AU4011" s="2">
        <v>908.38818115015602</v>
      </c>
      <c r="AV4011" s="2">
        <v>20175.750669733701</v>
      </c>
      <c r="AW4011" s="2">
        <v>1158.3630151524101</v>
      </c>
      <c r="AX4011" s="2">
        <v>3425.8644894245399</v>
      </c>
    </row>
    <row r="4012" spans="1:50" x14ac:dyDescent="0.25">
      <c r="A4012" s="2" t="s">
        <v>26497</v>
      </c>
      <c r="B4012" s="2">
        <v>247.944120210606</v>
      </c>
      <c r="C4012" s="2">
        <v>1.0683</v>
      </c>
      <c r="D4012" s="2" t="s">
        <v>51</v>
      </c>
      <c r="E4012" s="2" t="s">
        <v>26498</v>
      </c>
      <c r="F4012" s="2">
        <v>47852</v>
      </c>
      <c r="G4012" s="3" t="str">
        <f>HYPERLINK("https://cloud.oebiotech.com/#/lm/network/47852", "https://cloud.oebiotech.com/#/lm/network/47852")</f>
        <v>https://cloud.oebiotech.com/#/lm/network/47852</v>
      </c>
      <c r="H4012" s="2" t="s">
        <v>26499</v>
      </c>
      <c r="I4012" s="2"/>
      <c r="J4012" s="2"/>
      <c r="K4012" s="2">
        <v>105143</v>
      </c>
      <c r="L4012" s="2" t="s">
        <v>26500</v>
      </c>
      <c r="M4012" s="2"/>
      <c r="N4012" s="2"/>
      <c r="O4012" s="2">
        <v>85545</v>
      </c>
      <c r="P4012" s="2"/>
      <c r="Q4012" s="2"/>
      <c r="R4012" s="2" t="s">
        <v>26501</v>
      </c>
      <c r="S4012" s="2" t="s">
        <v>26502</v>
      </c>
      <c r="T4012" s="2" t="s">
        <v>26503</v>
      </c>
      <c r="U4012" s="2" t="s">
        <v>26504</v>
      </c>
      <c r="V4012" s="2" t="s">
        <v>26505</v>
      </c>
      <c r="W4012" s="2" t="s">
        <v>240</v>
      </c>
      <c r="X4012" s="2" t="s">
        <v>147</v>
      </c>
      <c r="Y4012" s="2">
        <v>39.4</v>
      </c>
      <c r="Z4012" s="2">
        <v>0</v>
      </c>
      <c r="AA4012" s="2" t="s">
        <v>395</v>
      </c>
      <c r="AB4012" s="2" t="s">
        <v>26506</v>
      </c>
      <c r="AC4012" s="2">
        <v>2.6960930742116598</v>
      </c>
      <c r="AD4012" s="2"/>
      <c r="AE4012" s="2">
        <v>0.122694753205266</v>
      </c>
      <c r="AF4012" s="2">
        <v>4446.8412544720904</v>
      </c>
      <c r="AG4012" s="2">
        <v>5504.9903443947496</v>
      </c>
      <c r="AH4012" s="4">
        <v>0.80778366105581201</v>
      </c>
      <c r="AI4012" s="4">
        <v>-0.30795912977251699</v>
      </c>
      <c r="AJ4012" s="4" t="s">
        <v>62</v>
      </c>
      <c r="AK4012" s="2">
        <v>0.31489857368583501</v>
      </c>
      <c r="AL4012" s="2">
        <v>0.62413706859245499</v>
      </c>
      <c r="AM4012" s="2">
        <v>3686.3281937740899</v>
      </c>
      <c r="AN4012" s="2">
        <v>7618.6366461379803</v>
      </c>
      <c r="AO4012" s="2">
        <v>3246.2885718934099</v>
      </c>
      <c r="AP4012" s="2">
        <v>4426.2208851430596</v>
      </c>
      <c r="AQ4012" s="2">
        <v>4568.56617485887</v>
      </c>
      <c r="AR4012" s="2">
        <v>3135.0070550251198</v>
      </c>
      <c r="AS4012" s="2">
        <v>7390.7345346820503</v>
      </c>
      <c r="AT4012" s="2">
        <v>7928.2068768671797</v>
      </c>
      <c r="AU4012" s="2">
        <v>3686.2853711981002</v>
      </c>
      <c r="AV4012" s="2">
        <v>3831.7798065368302</v>
      </c>
      <c r="AW4012" s="2">
        <v>4698.0943971260504</v>
      </c>
      <c r="AX4012" s="2">
        <v>5494.8410799583098</v>
      </c>
    </row>
    <row r="4013" spans="1:50" x14ac:dyDescent="0.25">
      <c r="A4013" s="2" t="s">
        <v>26507</v>
      </c>
      <c r="B4013" s="2">
        <v>495.14072319829103</v>
      </c>
      <c r="C4013" s="2">
        <v>0.59993333333333299</v>
      </c>
      <c r="D4013" s="2" t="s">
        <v>51</v>
      </c>
      <c r="E4013" s="2" t="s">
        <v>26508</v>
      </c>
      <c r="F4013" s="2">
        <v>267461</v>
      </c>
      <c r="G4013" s="3" t="str">
        <f>HYPERLINK("https://cloud.oebiotech.com/#/lm/network/267461", "https://cloud.oebiotech.com/#/lm/network/267461")</f>
        <v>https://cloud.oebiotech.com/#/lm/network/267461</v>
      </c>
      <c r="H4013" s="2"/>
      <c r="I4013" s="2">
        <v>45514</v>
      </c>
      <c r="J4013" s="2"/>
      <c r="K4013" s="2">
        <v>25154867</v>
      </c>
      <c r="L4013" s="2"/>
      <c r="M4013" s="2"/>
      <c r="N4013" s="2"/>
      <c r="O4013" s="2"/>
      <c r="P4013" s="2"/>
      <c r="Q4013" s="2"/>
      <c r="R4013" s="2"/>
      <c r="S4013" s="2" t="s">
        <v>26509</v>
      </c>
      <c r="T4013" s="2" t="s">
        <v>26510</v>
      </c>
      <c r="U4013" s="2" t="s">
        <v>266</v>
      </c>
      <c r="V4013" s="2" t="s">
        <v>1742</v>
      </c>
      <c r="W4013" s="2" t="s">
        <v>21672</v>
      </c>
      <c r="X4013" s="2" t="s">
        <v>147</v>
      </c>
      <c r="Y4013" s="2">
        <v>36.4</v>
      </c>
      <c r="Z4013" s="2">
        <v>0</v>
      </c>
      <c r="AA4013" s="2" t="s">
        <v>395</v>
      </c>
      <c r="AB4013" s="2" t="s">
        <v>26511</v>
      </c>
      <c r="AC4013" s="2">
        <v>0.55781459239051201</v>
      </c>
      <c r="AD4013" s="2"/>
      <c r="AE4013" s="2">
        <v>0.122629430292828</v>
      </c>
      <c r="AF4013" s="2">
        <v>7803.0836124887201</v>
      </c>
      <c r="AG4013" s="2">
        <v>6915.9366339524804</v>
      </c>
      <c r="AH4013" s="5">
        <v>1.1282757528721401</v>
      </c>
      <c r="AI4013" s="5">
        <v>0.174119708412488</v>
      </c>
      <c r="AJ4013" s="5" t="s">
        <v>139</v>
      </c>
      <c r="AK4013" s="2">
        <v>0.76383146509393396</v>
      </c>
      <c r="AL4013" s="2">
        <v>0.89233912008317295</v>
      </c>
      <c r="AM4013" s="2">
        <v>17444.477068552402</v>
      </c>
      <c r="AN4013" s="2">
        <v>7379.1722348411604</v>
      </c>
      <c r="AO4013" s="2">
        <v>4767.7431647968697</v>
      </c>
      <c r="AP4013" s="2">
        <v>9153.3588171310694</v>
      </c>
      <c r="AQ4013" s="2">
        <v>4044.8804419824201</v>
      </c>
      <c r="AR4013" s="2">
        <v>4028.86994762837</v>
      </c>
      <c r="AS4013" s="2">
        <v>595.69206316149905</v>
      </c>
      <c r="AT4013" s="2">
        <v>2365.7143789857701</v>
      </c>
      <c r="AU4013" s="2">
        <v>11100.0940327425</v>
      </c>
      <c r="AV4013" s="2">
        <v>12973.115920710799</v>
      </c>
      <c r="AW4013" s="2">
        <v>7407.1623209134896</v>
      </c>
      <c r="AX4013" s="2">
        <v>7053.8410872008199</v>
      </c>
    </row>
    <row r="4014" spans="1:50" x14ac:dyDescent="0.25">
      <c r="A4014" s="2" t="s">
        <v>26512</v>
      </c>
      <c r="B4014" s="2">
        <v>527.28442620233</v>
      </c>
      <c r="C4014" s="2">
        <v>4.3824333333333296</v>
      </c>
      <c r="D4014" s="2" t="s">
        <v>51</v>
      </c>
      <c r="E4014" s="2" t="s">
        <v>26513</v>
      </c>
      <c r="F4014" s="2">
        <v>52140</v>
      </c>
      <c r="G4014" s="3" t="str">
        <f>HYPERLINK("https://cloud.oebiotech.com/#/lm/network/52140", "https://cloud.oebiotech.com/#/lm/network/52140")</f>
        <v>https://cloud.oebiotech.com/#/lm/network/52140</v>
      </c>
      <c r="H4014" s="2" t="s">
        <v>26514</v>
      </c>
      <c r="I4014" s="2"/>
      <c r="J4014" s="2"/>
      <c r="K4014" s="2">
        <v>53481582</v>
      </c>
      <c r="L4014" s="2"/>
      <c r="M4014" s="2"/>
      <c r="N4014" s="2"/>
      <c r="O4014" s="2">
        <v>176195</v>
      </c>
      <c r="P4014" s="2"/>
      <c r="Q4014" s="2"/>
      <c r="R4014" s="2"/>
      <c r="S4014" s="2" t="s">
        <v>26515</v>
      </c>
      <c r="T4014" s="2" t="s">
        <v>26516</v>
      </c>
      <c r="U4014" s="2" t="s">
        <v>103</v>
      </c>
      <c r="V4014" s="2" t="s">
        <v>104</v>
      </c>
      <c r="W4014" s="2" t="s">
        <v>105</v>
      </c>
      <c r="X4014" s="2" t="s">
        <v>147</v>
      </c>
      <c r="Y4014" s="2">
        <v>36.5</v>
      </c>
      <c r="Z4014" s="2">
        <v>0</v>
      </c>
      <c r="AA4014" s="2" t="s">
        <v>95</v>
      </c>
      <c r="AB4014" s="2" t="s">
        <v>26517</v>
      </c>
      <c r="AC4014" s="2">
        <v>0.83384358232230504</v>
      </c>
      <c r="AD4014" s="2"/>
      <c r="AE4014" s="2">
        <v>0.12257065017348</v>
      </c>
      <c r="AF4014" s="2">
        <v>1258.94647802086</v>
      </c>
      <c r="AG4014" s="2">
        <v>2385.45268421234</v>
      </c>
      <c r="AH4014" s="4">
        <v>0.52775998717264505</v>
      </c>
      <c r="AI4014" s="4">
        <v>-0.92204611992579599</v>
      </c>
      <c r="AJ4014" s="4" t="s">
        <v>62</v>
      </c>
      <c r="AK4014" s="2">
        <v>0.62127044695353595</v>
      </c>
      <c r="AL4014" s="2">
        <v>0.81263051108791895</v>
      </c>
      <c r="AM4014" s="2">
        <v>3043.57636888757</v>
      </c>
      <c r="AN4014" s="2">
        <v>8.559877937157E-6</v>
      </c>
      <c r="AO4014" s="2">
        <v>8.559877937157E-6</v>
      </c>
      <c r="AP4014" s="2">
        <v>8.559877937157E-6</v>
      </c>
      <c r="AQ4014" s="2">
        <v>2246.96171227165</v>
      </c>
      <c r="AR4014" s="2">
        <v>2263.1407612862899</v>
      </c>
      <c r="AS4014" s="2">
        <v>8.559877937157E-6</v>
      </c>
      <c r="AT4014" s="2">
        <v>8.559877937157E-6</v>
      </c>
      <c r="AU4014" s="2">
        <v>8.559877937157E-6</v>
      </c>
      <c r="AV4014" s="2">
        <v>13033.6184175217</v>
      </c>
      <c r="AW4014" s="2">
        <v>746.66569034946804</v>
      </c>
      <c r="AX4014" s="2">
        <v>532.43197172324801</v>
      </c>
    </row>
    <row r="4015" spans="1:50" x14ac:dyDescent="0.25">
      <c r="A4015" s="2" t="s">
        <v>26518</v>
      </c>
      <c r="B4015" s="2">
        <v>396.31210585942102</v>
      </c>
      <c r="C4015" s="2">
        <v>9.3827166666666706</v>
      </c>
      <c r="D4015" s="2" t="s">
        <v>51</v>
      </c>
      <c r="E4015" s="2" t="s">
        <v>26519</v>
      </c>
      <c r="F4015" s="2">
        <v>52258</v>
      </c>
      <c r="G4015" s="3" t="str">
        <f>HYPERLINK("https://cloud.oebiotech.com/#/lm/network/52258", "https://cloud.oebiotech.com/#/lm/network/52258")</f>
        <v>https://cloud.oebiotech.com/#/lm/network/52258</v>
      </c>
      <c r="H4015" s="2" t="s">
        <v>26520</v>
      </c>
      <c r="I4015" s="2"/>
      <c r="J4015" s="2"/>
      <c r="K4015" s="2"/>
      <c r="L4015" s="2"/>
      <c r="M4015" s="2"/>
      <c r="N4015" s="2"/>
      <c r="O4015" s="2"/>
      <c r="P4015" s="2"/>
      <c r="Q4015" s="2"/>
      <c r="R4015" s="2" t="s">
        <v>26521</v>
      </c>
      <c r="S4015" s="2" t="s">
        <v>26522</v>
      </c>
      <c r="T4015" s="2" t="s">
        <v>26523</v>
      </c>
      <c r="U4015" s="2" t="s">
        <v>56</v>
      </c>
      <c r="V4015" s="2" t="s">
        <v>145</v>
      </c>
      <c r="W4015" s="2" t="s">
        <v>1188</v>
      </c>
      <c r="X4015" s="2" t="s">
        <v>69</v>
      </c>
      <c r="Y4015" s="2">
        <v>57.9</v>
      </c>
      <c r="Z4015" s="2">
        <v>71.8</v>
      </c>
      <c r="AA4015" s="2" t="s">
        <v>122</v>
      </c>
      <c r="AB4015" s="2" t="s">
        <v>26524</v>
      </c>
      <c r="AC4015" s="2">
        <v>1.8216217622122699</v>
      </c>
      <c r="AD4015" s="2"/>
      <c r="AE4015" s="2">
        <v>0.122372502657336</v>
      </c>
      <c r="AF4015" s="2">
        <v>26431.820080318801</v>
      </c>
      <c r="AG4015" s="2">
        <v>25901.838904246499</v>
      </c>
      <c r="AH4015" s="5">
        <v>1.02046114092638</v>
      </c>
      <c r="AI4015" s="5">
        <v>2.9221245711935701E-2</v>
      </c>
      <c r="AJ4015" s="5" t="s">
        <v>139</v>
      </c>
      <c r="AK4015" s="2">
        <v>0.95375435538453701</v>
      </c>
      <c r="AL4015" s="2">
        <v>0.98091773995157805</v>
      </c>
      <c r="AM4015" s="2">
        <v>9228.5423286342502</v>
      </c>
      <c r="AN4015" s="2">
        <v>30192.1894983323</v>
      </c>
      <c r="AO4015" s="2">
        <v>32596.3223413944</v>
      </c>
      <c r="AP4015" s="2">
        <v>49089.774179090797</v>
      </c>
      <c r="AQ4015" s="2">
        <v>17884.2633470894</v>
      </c>
      <c r="AR4015" s="2">
        <v>19599.8287873718</v>
      </c>
      <c r="AS4015" s="2">
        <v>14061.4496595239</v>
      </c>
      <c r="AT4015" s="2">
        <v>16002.6208683531</v>
      </c>
      <c r="AU4015" s="2">
        <v>17299.945944501102</v>
      </c>
      <c r="AV4015" s="2">
        <v>27543.615856714201</v>
      </c>
      <c r="AW4015" s="2">
        <v>58624.949006544099</v>
      </c>
      <c r="AX4015" s="2">
        <v>21878.452089842802</v>
      </c>
    </row>
    <row r="4016" spans="1:50" x14ac:dyDescent="0.25">
      <c r="A4016" s="2" t="s">
        <v>26525</v>
      </c>
      <c r="B4016" s="2">
        <v>241.07993310789499</v>
      </c>
      <c r="C4016" s="2">
        <v>0.73424999999999996</v>
      </c>
      <c r="D4016" s="2" t="s">
        <v>51</v>
      </c>
      <c r="E4016" s="2" t="s">
        <v>26526</v>
      </c>
      <c r="F4016" s="2">
        <v>467877</v>
      </c>
      <c r="G4016" s="3" t="str">
        <f>HYPERLINK("https://cloud.oebiotech.com/#/lm/network/467877", "https://cloud.oebiotech.com/#/lm/network/467877")</f>
        <v>https://cloud.oebiotech.com/#/lm/network/467877</v>
      </c>
      <c r="H4016" s="2" t="s">
        <v>26527</v>
      </c>
      <c r="I4016" s="2">
        <v>85933</v>
      </c>
      <c r="J4016" s="2"/>
      <c r="K4016" s="2">
        <v>69043006</v>
      </c>
      <c r="L4016" s="2"/>
      <c r="M4016" s="2"/>
      <c r="N4016" s="2"/>
      <c r="O4016" s="2"/>
      <c r="P4016" s="2"/>
      <c r="Q4016" s="2"/>
      <c r="R4016" s="2"/>
      <c r="S4016" s="2" t="s">
        <v>26528</v>
      </c>
      <c r="T4016" s="2" t="s">
        <v>26529</v>
      </c>
      <c r="U4016" s="2" t="s">
        <v>103</v>
      </c>
      <c r="V4016" s="2" t="s">
        <v>104</v>
      </c>
      <c r="W4016" s="2" t="s">
        <v>105</v>
      </c>
      <c r="X4016" s="2" t="s">
        <v>83</v>
      </c>
      <c r="Y4016" s="2">
        <v>43.1</v>
      </c>
      <c r="Z4016" s="2">
        <v>0</v>
      </c>
      <c r="AA4016" s="2" t="s">
        <v>95</v>
      </c>
      <c r="AB4016" s="2" t="s">
        <v>26530</v>
      </c>
      <c r="AC4016" s="2">
        <v>2.0215093111704099</v>
      </c>
      <c r="AD4016" s="2"/>
      <c r="AE4016" s="2">
        <v>0.122357608481344</v>
      </c>
      <c r="AF4016" s="2">
        <v>3074.5884470056999</v>
      </c>
      <c r="AG4016" s="2">
        <v>2339.87320399283</v>
      </c>
      <c r="AH4016" s="5">
        <v>1.3139978874749001</v>
      </c>
      <c r="AI4016" s="5">
        <v>0.39396295622954602</v>
      </c>
      <c r="AJ4016" s="5" t="s">
        <v>139</v>
      </c>
      <c r="AK4016" s="2">
        <v>0.46583659047246001</v>
      </c>
      <c r="AL4016" s="2">
        <v>0.71329029553543499</v>
      </c>
      <c r="AM4016" s="2">
        <v>3637.46433654781</v>
      </c>
      <c r="AN4016" s="2">
        <v>2637.9576042533099</v>
      </c>
      <c r="AO4016" s="2">
        <v>2643.6310646208599</v>
      </c>
      <c r="AP4016" s="2">
        <v>2470.6034492465501</v>
      </c>
      <c r="AQ4016" s="2">
        <v>2505.9665622439702</v>
      </c>
      <c r="AR4016" s="2">
        <v>4551.9076651217201</v>
      </c>
      <c r="AS4016" s="2">
        <v>747.65918321875699</v>
      </c>
      <c r="AT4016" s="2">
        <v>970.92293117033296</v>
      </c>
      <c r="AU4016" s="2">
        <v>6162.8853870581397</v>
      </c>
      <c r="AV4016" s="2">
        <v>483.06763429809303</v>
      </c>
      <c r="AW4016" s="2">
        <v>1931.58754245214</v>
      </c>
      <c r="AX4016" s="2">
        <v>3743.1165457595098</v>
      </c>
    </row>
    <row r="4017" spans="1:50" x14ac:dyDescent="0.25">
      <c r="A4017" s="2" t="s">
        <v>26531</v>
      </c>
      <c r="B4017" s="2">
        <v>667.26248521788204</v>
      </c>
      <c r="C4017" s="2">
        <v>7.3857499999999998</v>
      </c>
      <c r="D4017" s="2" t="s">
        <v>51</v>
      </c>
      <c r="E4017" s="2" t="s">
        <v>26532</v>
      </c>
      <c r="F4017" s="2">
        <v>29031</v>
      </c>
      <c r="G4017" s="3" t="str">
        <f>HYPERLINK("https://cloud.oebiotech.com/#/lm/network/29031", "https://cloud.oebiotech.com/#/lm/network/29031")</f>
        <v>https://cloud.oebiotech.com/#/lm/network/29031</v>
      </c>
      <c r="H4017" s="2"/>
      <c r="I4017" s="2"/>
      <c r="J4017" s="2" t="s">
        <v>26533</v>
      </c>
      <c r="K4017" s="2">
        <v>44257162</v>
      </c>
      <c r="L4017" s="2"/>
      <c r="M4017" s="2"/>
      <c r="N4017" s="2"/>
      <c r="O4017" s="2"/>
      <c r="P4017" s="2"/>
      <c r="Q4017" s="2"/>
      <c r="R4017" s="2"/>
      <c r="S4017" s="2" t="s">
        <v>26534</v>
      </c>
      <c r="T4017" s="2" t="s">
        <v>26535</v>
      </c>
      <c r="U4017" s="2" t="s">
        <v>540</v>
      </c>
      <c r="V4017" s="2" t="s">
        <v>541</v>
      </c>
      <c r="W4017" s="2" t="s">
        <v>542</v>
      </c>
      <c r="X4017" s="2" t="s">
        <v>147</v>
      </c>
      <c r="Y4017" s="2">
        <v>45.4</v>
      </c>
      <c r="Z4017" s="2">
        <v>42</v>
      </c>
      <c r="AA4017" s="2" t="s">
        <v>259</v>
      </c>
      <c r="AB4017" s="2" t="s">
        <v>26536</v>
      </c>
      <c r="AC4017" s="2">
        <v>4.2598655809042798</v>
      </c>
      <c r="AD4017" s="2"/>
      <c r="AE4017" s="2">
        <v>0.12232969684832901</v>
      </c>
      <c r="AF4017" s="2">
        <v>8376.0755233740892</v>
      </c>
      <c r="AG4017" s="2">
        <v>10039.4033439424</v>
      </c>
      <c r="AH4017" s="4">
        <v>0.83432005233936901</v>
      </c>
      <c r="AI4017" s="4">
        <v>-0.26132717482870699</v>
      </c>
      <c r="AJ4017" s="4" t="s">
        <v>62</v>
      </c>
      <c r="AK4017" s="2">
        <v>0.76241516490408601</v>
      </c>
      <c r="AL4017" s="2">
        <v>0.89191307074592296</v>
      </c>
      <c r="AM4017" s="2">
        <v>6390.3714931345803</v>
      </c>
      <c r="AN4017" s="2">
        <v>15098.2795230909</v>
      </c>
      <c r="AO4017" s="2">
        <v>4496.8097565731096</v>
      </c>
      <c r="AP4017" s="2">
        <v>10034.383780042899</v>
      </c>
      <c r="AQ4017" s="2">
        <v>7047.8560457377398</v>
      </c>
      <c r="AR4017" s="2">
        <v>7188.7525416653098</v>
      </c>
      <c r="AS4017" s="2">
        <v>35152.407370405599</v>
      </c>
      <c r="AT4017" s="2">
        <v>8785.4354684821992</v>
      </c>
      <c r="AU4017" s="2">
        <v>6350.4848926812901</v>
      </c>
      <c r="AV4017" s="2">
        <v>1594.5265559859399</v>
      </c>
      <c r="AW4017" s="2">
        <v>5563.0267586878699</v>
      </c>
      <c r="AX4017" s="2">
        <v>2790.5390174117101</v>
      </c>
    </row>
    <row r="4018" spans="1:50" x14ac:dyDescent="0.25">
      <c r="A4018" s="2" t="s">
        <v>26537</v>
      </c>
      <c r="B4018" s="2">
        <v>237.11302207550699</v>
      </c>
      <c r="C4018" s="2">
        <v>6.8210833333333296</v>
      </c>
      <c r="D4018" s="2" t="s">
        <v>51</v>
      </c>
      <c r="E4018" s="2" t="s">
        <v>26538</v>
      </c>
      <c r="F4018" s="2">
        <v>60410</v>
      </c>
      <c r="G4018" s="3" t="str">
        <f>HYPERLINK("https://cloud.oebiotech.com/#/lm/network/60410", "https://cloud.oebiotech.com/#/lm/network/60410")</f>
        <v>https://cloud.oebiotech.com/#/lm/network/60410</v>
      </c>
      <c r="H4018" s="2" t="s">
        <v>26539</v>
      </c>
      <c r="I4018" s="2">
        <v>91762</v>
      </c>
      <c r="J4018" s="2"/>
      <c r="K4018" s="2">
        <v>591228</v>
      </c>
      <c r="L4018" s="2"/>
      <c r="M4018" s="2"/>
      <c r="N4018" s="2"/>
      <c r="O4018" s="2"/>
      <c r="P4018" s="2"/>
      <c r="Q4018" s="2"/>
      <c r="R4018" s="2" t="s">
        <v>26540</v>
      </c>
      <c r="S4018" s="2" t="s">
        <v>26541</v>
      </c>
      <c r="T4018" s="2" t="s">
        <v>26542</v>
      </c>
      <c r="U4018" s="2" t="s">
        <v>331</v>
      </c>
      <c r="V4018" s="2" t="s">
        <v>332</v>
      </c>
      <c r="W4018" s="2" t="s">
        <v>1207</v>
      </c>
      <c r="X4018" s="2" t="s">
        <v>83</v>
      </c>
      <c r="Y4018" s="2">
        <v>42</v>
      </c>
      <c r="Z4018" s="2">
        <v>0</v>
      </c>
      <c r="AA4018" s="2" t="s">
        <v>218</v>
      </c>
      <c r="AB4018" s="2" t="s">
        <v>10866</v>
      </c>
      <c r="AC4018" s="2">
        <v>-1.0959409756476499</v>
      </c>
      <c r="AD4018" s="2"/>
      <c r="AE4018" s="2">
        <v>0.122302579537648</v>
      </c>
      <c r="AF4018" s="2">
        <v>1257.29454210781</v>
      </c>
      <c r="AG4018" s="2">
        <v>764.39915462790304</v>
      </c>
      <c r="AH4018" s="5">
        <v>1.6448141451959599</v>
      </c>
      <c r="AI4018" s="5">
        <v>0.71792457669471799</v>
      </c>
      <c r="AJ4018" s="5" t="s">
        <v>139</v>
      </c>
      <c r="AK4018" s="2">
        <v>0.12766113931217299</v>
      </c>
      <c r="AL4018" s="2">
        <v>0.44626309510015799</v>
      </c>
      <c r="AM4018" s="2">
        <v>1699.39921661372</v>
      </c>
      <c r="AN4018" s="2">
        <v>1831.3896416339401</v>
      </c>
      <c r="AO4018" s="2">
        <v>476.43460869145201</v>
      </c>
      <c r="AP4018" s="2">
        <v>797.46886877683801</v>
      </c>
      <c r="AQ4018" s="2">
        <v>728.15149498907294</v>
      </c>
      <c r="AR4018" s="2">
        <v>2010.9234219418399</v>
      </c>
      <c r="AS4018" s="2">
        <v>733.52822131931703</v>
      </c>
      <c r="AT4018" s="2">
        <v>330.01238529153699</v>
      </c>
      <c r="AU4018" s="2">
        <v>1124.17615221712</v>
      </c>
      <c r="AV4018" s="2">
        <v>650.34757383180897</v>
      </c>
      <c r="AW4018" s="2">
        <v>1087.2641901704401</v>
      </c>
      <c r="AX4018" s="2">
        <v>661.06640493719601</v>
      </c>
    </row>
    <row r="4019" spans="1:50" x14ac:dyDescent="0.25">
      <c r="A4019" s="2" t="s">
        <v>26543</v>
      </c>
      <c r="B4019" s="2">
        <v>503.32266693191798</v>
      </c>
      <c r="C4019" s="2">
        <v>8.7080833333333292</v>
      </c>
      <c r="D4019" s="2" t="s">
        <v>51</v>
      </c>
      <c r="E4019" s="2" t="s">
        <v>26544</v>
      </c>
      <c r="F4019" s="2">
        <v>10246</v>
      </c>
      <c r="G4019" s="3" t="str">
        <f>HYPERLINK("https://cloud.oebiotech.com/#/lm/network/10246", "https://cloud.oebiotech.com/#/lm/network/10246")</f>
        <v>https://cloud.oebiotech.com/#/lm/network/10246</v>
      </c>
      <c r="H4019" s="2"/>
      <c r="I4019" s="2"/>
      <c r="J4019" s="2" t="s">
        <v>26545</v>
      </c>
      <c r="K4019" s="2">
        <v>162246</v>
      </c>
      <c r="L4019" s="2"/>
      <c r="M4019" s="2"/>
      <c r="N4019" s="2"/>
      <c r="O4019" s="2">
        <v>62255</v>
      </c>
      <c r="P4019" s="2"/>
      <c r="Q4019" s="2"/>
      <c r="R4019" s="2"/>
      <c r="S4019" s="2" t="s">
        <v>26546</v>
      </c>
      <c r="T4019" s="2" t="s">
        <v>26547</v>
      </c>
      <c r="U4019" s="2" t="s">
        <v>56</v>
      </c>
      <c r="V4019" s="2" t="s">
        <v>145</v>
      </c>
      <c r="W4019" s="2" t="s">
        <v>3263</v>
      </c>
      <c r="X4019" s="2" t="s">
        <v>147</v>
      </c>
      <c r="Y4019" s="2">
        <v>38.1</v>
      </c>
      <c r="Z4019" s="2">
        <v>0</v>
      </c>
      <c r="AA4019" s="2" t="s">
        <v>163</v>
      </c>
      <c r="AB4019" s="2" t="s">
        <v>26548</v>
      </c>
      <c r="AC4019" s="2">
        <v>0.218603998700928</v>
      </c>
      <c r="AD4019" s="2"/>
      <c r="AE4019" s="2">
        <v>0.122178218778875</v>
      </c>
      <c r="AF4019" s="2">
        <v>883.39294829587197</v>
      </c>
      <c r="AG4019" s="2">
        <v>142.0809265593</v>
      </c>
      <c r="AH4019" s="5">
        <v>6.2175336949760798</v>
      </c>
      <c r="AI4019" s="5">
        <v>2.6363424209292199</v>
      </c>
      <c r="AJ4019" s="5" t="s">
        <v>139</v>
      </c>
      <c r="AK4019" s="2">
        <v>0.18932194991742701</v>
      </c>
      <c r="AL4019" s="2">
        <v>0.51332142680207204</v>
      </c>
      <c r="AM4019" s="2">
        <v>530.80211925275603</v>
      </c>
      <c r="AN4019" s="2">
        <v>356.07281890593299</v>
      </c>
      <c r="AO4019" s="2">
        <v>792.25964866640902</v>
      </c>
      <c r="AP4019" s="2">
        <v>8.559877937157E-6</v>
      </c>
      <c r="AQ4019" s="2">
        <v>206.38669556594701</v>
      </c>
      <c r="AR4019" s="2">
        <v>3414.83639882431</v>
      </c>
      <c r="AS4019" s="2">
        <v>8.559877937157E-6</v>
      </c>
      <c r="AT4019" s="2">
        <v>352.38397528741598</v>
      </c>
      <c r="AU4019" s="2">
        <v>8.559877937157E-6</v>
      </c>
      <c r="AV4019" s="2">
        <v>8.559877937157E-6</v>
      </c>
      <c r="AW4019" s="2">
        <v>500.10154982887502</v>
      </c>
      <c r="AX4019" s="2">
        <v>8.559877937157E-6</v>
      </c>
    </row>
    <row r="4020" spans="1:50" x14ac:dyDescent="0.25">
      <c r="A4020" s="2" t="s">
        <v>26549</v>
      </c>
      <c r="B4020" s="2">
        <v>591.31616497118296</v>
      </c>
      <c r="C4020" s="2">
        <v>8.3552166666666707</v>
      </c>
      <c r="D4020" s="2" t="s">
        <v>51</v>
      </c>
      <c r="E4020" s="2" t="s">
        <v>26550</v>
      </c>
      <c r="F4020" s="2">
        <v>46634</v>
      </c>
      <c r="G4020" s="3" t="str">
        <f>HYPERLINK("https://cloud.oebiotech.com/#/lm/network/46634", "https://cloud.oebiotech.com/#/lm/network/46634")</f>
        <v>https://cloud.oebiotech.com/#/lm/network/46634</v>
      </c>
      <c r="H4020" s="2"/>
      <c r="I4020" s="2"/>
      <c r="J4020" s="2" t="s">
        <v>26551</v>
      </c>
      <c r="K4020" s="2">
        <v>443097</v>
      </c>
      <c r="L4020" s="2" t="s">
        <v>26552</v>
      </c>
      <c r="M4020" s="2"/>
      <c r="N4020" s="2"/>
      <c r="O4020" s="2">
        <v>137822</v>
      </c>
      <c r="P4020" s="2"/>
      <c r="Q4020" s="2"/>
      <c r="R4020" s="2"/>
      <c r="S4020" s="2" t="s">
        <v>26553</v>
      </c>
      <c r="T4020" s="2" t="s">
        <v>26554</v>
      </c>
      <c r="U4020" s="2" t="s">
        <v>56</v>
      </c>
      <c r="V4020" s="2" t="s">
        <v>283</v>
      </c>
      <c r="W4020" s="2" t="s">
        <v>3462</v>
      </c>
      <c r="X4020" s="2" t="s">
        <v>69</v>
      </c>
      <c r="Y4020" s="2">
        <v>59.7</v>
      </c>
      <c r="Z4020" s="2">
        <v>77.7</v>
      </c>
      <c r="AA4020" s="2" t="s">
        <v>526</v>
      </c>
      <c r="AB4020" s="2" t="s">
        <v>9722</v>
      </c>
      <c r="AC4020" s="2">
        <v>3.8649666972618202</v>
      </c>
      <c r="AD4020" s="2"/>
      <c r="AE4020" s="2">
        <v>0.122111990597196</v>
      </c>
      <c r="AF4020" s="2">
        <v>5069.7744469353402</v>
      </c>
      <c r="AG4020" s="2">
        <v>7953.1977895865102</v>
      </c>
      <c r="AH4020" s="4">
        <v>0.637451070759667</v>
      </c>
      <c r="AI4020" s="4">
        <v>-0.64961348653386497</v>
      </c>
      <c r="AJ4020" s="4" t="s">
        <v>62</v>
      </c>
      <c r="AK4020" s="2">
        <v>0.39890511696759801</v>
      </c>
      <c r="AL4020" s="2">
        <v>0.66807956279695502</v>
      </c>
      <c r="AM4020" s="2">
        <v>13580.597647638901</v>
      </c>
      <c r="AN4020" s="2">
        <v>1657.7726224640301</v>
      </c>
      <c r="AO4020" s="2">
        <v>1329.8477011411101</v>
      </c>
      <c r="AP4020" s="2">
        <v>1530.5958237331899</v>
      </c>
      <c r="AQ4020" s="2">
        <v>5752.8667597457197</v>
      </c>
      <c r="AR4020" s="2">
        <v>6566.9661268890704</v>
      </c>
      <c r="AS4020" s="2">
        <v>4537.3536823678496</v>
      </c>
      <c r="AT4020" s="2">
        <v>6516.9625862810699</v>
      </c>
      <c r="AU4020" s="2">
        <v>19456.039247567998</v>
      </c>
      <c r="AV4020" s="2">
        <v>6171.71872946433</v>
      </c>
      <c r="AW4020" s="2">
        <v>10358.7031267165</v>
      </c>
      <c r="AX4020" s="2">
        <v>678.40936512131202</v>
      </c>
    </row>
    <row r="4021" spans="1:50" x14ac:dyDescent="0.25">
      <c r="A4021" s="2" t="s">
        <v>26555</v>
      </c>
      <c r="B4021" s="2">
        <v>298.18706792474501</v>
      </c>
      <c r="C4021" s="2">
        <v>3.81591666666667</v>
      </c>
      <c r="D4021" s="2" t="s">
        <v>51</v>
      </c>
      <c r="E4021" s="2" t="s">
        <v>26556</v>
      </c>
      <c r="F4021" s="2">
        <v>199179</v>
      </c>
      <c r="G4021" s="3" t="str">
        <f>HYPERLINK("https://cloud.oebiotech.com/#/lm/network/199179", "https://cloud.oebiotech.com/#/lm/network/199179")</f>
        <v>https://cloud.oebiotech.com/#/lm/network/199179</v>
      </c>
      <c r="H4021" s="2" t="s">
        <v>26557</v>
      </c>
      <c r="I4021" s="2">
        <v>314755</v>
      </c>
      <c r="J4021" s="2"/>
      <c r="K4021" s="2">
        <v>57782</v>
      </c>
      <c r="L4021" s="2"/>
      <c r="M4021" s="2"/>
      <c r="N4021" s="2"/>
      <c r="O4021" s="2">
        <v>143565</v>
      </c>
      <c r="P4021" s="2"/>
      <c r="Q4021" s="2"/>
      <c r="R4021" s="2"/>
      <c r="S4021" s="2" t="s">
        <v>26558</v>
      </c>
      <c r="T4021" s="2" t="s">
        <v>26559</v>
      </c>
      <c r="U4021" s="2" t="s">
        <v>266</v>
      </c>
      <c r="V4021" s="2" t="s">
        <v>2772</v>
      </c>
      <c r="W4021" s="2" t="s">
        <v>2773</v>
      </c>
      <c r="X4021" s="2" t="s">
        <v>147</v>
      </c>
      <c r="Y4021" s="2">
        <v>39.9</v>
      </c>
      <c r="Z4021" s="2">
        <v>9.5399999999999991</v>
      </c>
      <c r="AA4021" s="2" t="s">
        <v>512</v>
      </c>
      <c r="AB4021" s="2" t="s">
        <v>26560</v>
      </c>
      <c r="AC4021" s="2">
        <v>-1.0641469489844999</v>
      </c>
      <c r="AD4021" s="2"/>
      <c r="AE4021" s="2">
        <v>0.122082061902132</v>
      </c>
      <c r="AF4021" s="2">
        <v>10854.7374898501</v>
      </c>
      <c r="AG4021" s="2">
        <v>12391.457847641501</v>
      </c>
      <c r="AH4021" s="4">
        <v>0.87598550738048098</v>
      </c>
      <c r="AI4021" s="4">
        <v>-0.191021093329484</v>
      </c>
      <c r="AJ4021" s="4" t="s">
        <v>62</v>
      </c>
      <c r="AK4021" s="2">
        <v>0.52359500060869801</v>
      </c>
      <c r="AL4021" s="2">
        <v>0.753042437774049</v>
      </c>
      <c r="AM4021" s="2">
        <v>6797.9468400789001</v>
      </c>
      <c r="AN4021" s="2">
        <v>11644.9051091232</v>
      </c>
      <c r="AO4021" s="2">
        <v>15652.7972095897</v>
      </c>
      <c r="AP4021" s="2">
        <v>12622.2971212668</v>
      </c>
      <c r="AQ4021" s="2">
        <v>10034.1264817055</v>
      </c>
      <c r="AR4021" s="2">
        <v>8376.35217733647</v>
      </c>
      <c r="AS4021" s="2">
        <v>16051.6624100218</v>
      </c>
      <c r="AT4021" s="2">
        <v>17094.5844533905</v>
      </c>
      <c r="AU4021" s="2">
        <v>11965.3911063127</v>
      </c>
      <c r="AV4021" s="2">
        <v>3691.35385823653</v>
      </c>
      <c r="AW4021" s="2">
        <v>12293.3546643931</v>
      </c>
      <c r="AX4021" s="2">
        <v>13252.4005934945</v>
      </c>
    </row>
    <row r="4022" spans="1:50" x14ac:dyDescent="0.25">
      <c r="A4022" s="2" t="s">
        <v>26561</v>
      </c>
      <c r="B4022" s="2">
        <v>511.34107049866202</v>
      </c>
      <c r="C4022" s="2">
        <v>11.2763333333333</v>
      </c>
      <c r="D4022" s="2" t="s">
        <v>51</v>
      </c>
      <c r="E4022" s="2" t="s">
        <v>26562</v>
      </c>
      <c r="F4022" s="2">
        <v>44623</v>
      </c>
      <c r="G4022" s="3" t="str">
        <f>HYPERLINK("https://cloud.oebiotech.com/#/lm/network/44623", "https://cloud.oebiotech.com/#/lm/network/44623")</f>
        <v>https://cloud.oebiotech.com/#/lm/network/44623</v>
      </c>
      <c r="H4022" s="2"/>
      <c r="I4022" s="2"/>
      <c r="J4022" s="2" t="s">
        <v>26563</v>
      </c>
      <c r="K4022" s="2"/>
      <c r="L4022" s="2"/>
      <c r="M4022" s="2"/>
      <c r="N4022" s="2"/>
      <c r="O4022" s="2"/>
      <c r="P4022" s="2"/>
      <c r="Q4022" s="2"/>
      <c r="R4022" s="2"/>
      <c r="S4022" s="2" t="s">
        <v>26564</v>
      </c>
      <c r="T4022" s="2" t="s">
        <v>26565</v>
      </c>
      <c r="U4022" s="2" t="s">
        <v>56</v>
      </c>
      <c r="V4022" s="2" t="s">
        <v>177</v>
      </c>
      <c r="W4022" s="2" t="s">
        <v>3270</v>
      </c>
      <c r="X4022" s="2" t="s">
        <v>147</v>
      </c>
      <c r="Y4022" s="2">
        <v>37.4</v>
      </c>
      <c r="Z4022" s="2">
        <v>0</v>
      </c>
      <c r="AA4022" s="2" t="s">
        <v>218</v>
      </c>
      <c r="AB4022" s="2" t="s">
        <v>26566</v>
      </c>
      <c r="AC4022" s="2">
        <v>-3.91921524152818</v>
      </c>
      <c r="AD4022" s="2"/>
      <c r="AE4022" s="2">
        <v>0.122065960345684</v>
      </c>
      <c r="AF4022" s="2">
        <v>5465.6413022691804</v>
      </c>
      <c r="AG4022" s="2">
        <v>4252.0634209638501</v>
      </c>
      <c r="AH4022" s="5">
        <v>1.28540916754018</v>
      </c>
      <c r="AI4022" s="5">
        <v>0.36222766682713098</v>
      </c>
      <c r="AJ4022" s="5" t="s">
        <v>139</v>
      </c>
      <c r="AK4022" s="2">
        <v>0.45181567668620798</v>
      </c>
      <c r="AL4022" s="2">
        <v>0.70528155934299797</v>
      </c>
      <c r="AM4022" s="2">
        <v>4503.1480970176299</v>
      </c>
      <c r="AN4022" s="2">
        <v>8289.3711347492299</v>
      </c>
      <c r="AO4022" s="2">
        <v>5045.7955027097196</v>
      </c>
      <c r="AP4022" s="2">
        <v>4083.8107308475501</v>
      </c>
      <c r="AQ4022" s="2">
        <v>7920.6966023371697</v>
      </c>
      <c r="AR4022" s="2">
        <v>2951.0257459537602</v>
      </c>
      <c r="AS4022" s="2">
        <v>5051.4367804467302</v>
      </c>
      <c r="AT4022" s="2">
        <v>4143.6312401516197</v>
      </c>
      <c r="AU4022" s="2">
        <v>1163.1895026637501</v>
      </c>
      <c r="AV4022" s="2">
        <v>1022.57095254613</v>
      </c>
      <c r="AW4022" s="2">
        <v>4586.9420014191201</v>
      </c>
      <c r="AX4022" s="2">
        <v>9544.6100485557308</v>
      </c>
    </row>
    <row r="4023" spans="1:50" x14ac:dyDescent="0.25">
      <c r="A4023" s="2" t="s">
        <v>26567</v>
      </c>
      <c r="B4023" s="2">
        <v>532.34109890011996</v>
      </c>
      <c r="C4023" s="2">
        <v>11.4845333333333</v>
      </c>
      <c r="D4023" s="2" t="s">
        <v>51</v>
      </c>
      <c r="E4023" s="2" t="s">
        <v>26568</v>
      </c>
      <c r="F4023" s="2">
        <v>21217</v>
      </c>
      <c r="G4023" s="3" t="str">
        <f>HYPERLINK("https://cloud.oebiotech.com/#/lm/network/21217", "https://cloud.oebiotech.com/#/lm/network/21217")</f>
        <v>https://cloud.oebiotech.com/#/lm/network/21217</v>
      </c>
      <c r="H4023" s="2" t="s">
        <v>26569</v>
      </c>
      <c r="I4023" s="2">
        <v>62280</v>
      </c>
      <c r="J4023" s="2" t="s">
        <v>26570</v>
      </c>
      <c r="K4023" s="2">
        <v>53480941</v>
      </c>
      <c r="L4023" s="2"/>
      <c r="M4023" s="2"/>
      <c r="N4023" s="2"/>
      <c r="O4023" s="2"/>
      <c r="P4023" s="2"/>
      <c r="Q4023" s="2"/>
      <c r="R4023" s="2"/>
      <c r="S4023" s="2" t="s">
        <v>26571</v>
      </c>
      <c r="T4023" s="2" t="s">
        <v>26572</v>
      </c>
      <c r="U4023" s="2" t="s">
        <v>56</v>
      </c>
      <c r="V4023" s="2" t="s">
        <v>57</v>
      </c>
      <c r="W4023" s="2" t="s">
        <v>155</v>
      </c>
      <c r="X4023" s="2" t="s">
        <v>83</v>
      </c>
      <c r="Y4023" s="2">
        <v>43.9</v>
      </c>
      <c r="Z4023" s="2">
        <v>0</v>
      </c>
      <c r="AA4023" s="2" t="s">
        <v>163</v>
      </c>
      <c r="AB4023" s="2" t="s">
        <v>18794</v>
      </c>
      <c r="AC4023" s="2">
        <v>0.44191165744672001</v>
      </c>
      <c r="AD4023" s="2"/>
      <c r="AE4023" s="2">
        <v>0.12195732354227801</v>
      </c>
      <c r="AF4023" s="2">
        <v>1835.04402528227</v>
      </c>
      <c r="AG4023" s="2">
        <v>2665.7958577745899</v>
      </c>
      <c r="AH4023" s="4">
        <v>0.68836629779077096</v>
      </c>
      <c r="AI4023" s="4">
        <v>-0.53875162970035795</v>
      </c>
      <c r="AJ4023" s="4" t="s">
        <v>62</v>
      </c>
      <c r="AK4023" s="2">
        <v>0.333310184063704</v>
      </c>
      <c r="AL4023" s="2">
        <v>0.63450213499924102</v>
      </c>
      <c r="AM4023" s="2">
        <v>2251.6169941254002</v>
      </c>
      <c r="AN4023" s="2">
        <v>2348.2333584422099</v>
      </c>
      <c r="AO4023" s="2">
        <v>2480.7924444620799</v>
      </c>
      <c r="AP4023" s="2">
        <v>1221.78347298375</v>
      </c>
      <c r="AQ4023" s="2">
        <v>1360.2771213952101</v>
      </c>
      <c r="AR4023" s="2">
        <v>1347.56076028494</v>
      </c>
      <c r="AS4023" s="2">
        <v>467.01492251166098</v>
      </c>
      <c r="AT4023" s="2">
        <v>500.464045809477</v>
      </c>
      <c r="AU4023" s="2">
        <v>3020.4729801618701</v>
      </c>
      <c r="AV4023" s="2">
        <v>5491.6496156539997</v>
      </c>
      <c r="AW4023" s="2">
        <v>3202.9879879683599</v>
      </c>
      <c r="AX4023" s="2">
        <v>3312.1855945421498</v>
      </c>
    </row>
    <row r="4024" spans="1:50" x14ac:dyDescent="0.25">
      <c r="A4024" s="2" t="s">
        <v>26573</v>
      </c>
      <c r="B4024" s="2">
        <v>277.11923437617997</v>
      </c>
      <c r="C4024" s="2">
        <v>4.9970999999999997</v>
      </c>
      <c r="D4024" s="2" t="s">
        <v>51</v>
      </c>
      <c r="E4024" s="2" t="s">
        <v>26574</v>
      </c>
      <c r="F4024" s="2">
        <v>202078</v>
      </c>
      <c r="G4024" s="3" t="str">
        <f>HYPERLINK("https://cloud.oebiotech.com/#/lm/network/202078", "https://cloud.oebiotech.com/#/lm/network/202078")</f>
        <v>https://cloud.oebiotech.com/#/lm/network/202078</v>
      </c>
      <c r="H4024" s="2" t="s">
        <v>26575</v>
      </c>
      <c r="I4024" s="2"/>
      <c r="J4024" s="2"/>
      <c r="K4024" s="2">
        <v>54929</v>
      </c>
      <c r="L4024" s="2"/>
      <c r="M4024" s="2"/>
      <c r="N4024" s="2"/>
      <c r="O4024" s="2">
        <v>41037</v>
      </c>
      <c r="P4024" s="2"/>
      <c r="Q4024" s="2"/>
      <c r="R4024" s="2"/>
      <c r="S4024" s="2" t="s">
        <v>26576</v>
      </c>
      <c r="T4024" s="2" t="s">
        <v>26577</v>
      </c>
      <c r="U4024" s="2" t="s">
        <v>266</v>
      </c>
      <c r="V4024" s="2" t="s">
        <v>3926</v>
      </c>
      <c r="W4024" s="2" t="s">
        <v>4115</v>
      </c>
      <c r="X4024" s="2" t="s">
        <v>83</v>
      </c>
      <c r="Y4024" s="2">
        <v>52.8</v>
      </c>
      <c r="Z4024" s="2">
        <v>0</v>
      </c>
      <c r="AA4024" s="2" t="s">
        <v>259</v>
      </c>
      <c r="AB4024" s="2" t="s">
        <v>26578</v>
      </c>
      <c r="AC4024" s="2">
        <v>3.4440612503414898</v>
      </c>
      <c r="AD4024" s="2"/>
      <c r="AE4024" s="2">
        <v>0.12167314177699901</v>
      </c>
      <c r="AF4024" s="2">
        <v>1153.7280312968001</v>
      </c>
      <c r="AG4024" s="2">
        <v>678.87784671194902</v>
      </c>
      <c r="AH4024" s="5">
        <v>1.6994633672091699</v>
      </c>
      <c r="AI4024" s="5">
        <v>0.76507926419481398</v>
      </c>
      <c r="AJ4024" s="5" t="s">
        <v>139</v>
      </c>
      <c r="AK4024" s="2">
        <v>0.41799021858343799</v>
      </c>
      <c r="AL4024" s="2">
        <v>0.680092760795456</v>
      </c>
      <c r="AM4024" s="2">
        <v>3774.4177730769402</v>
      </c>
      <c r="AN4024" s="2">
        <v>465.50548685802801</v>
      </c>
      <c r="AO4024" s="2">
        <v>190.34446055007299</v>
      </c>
      <c r="AP4024" s="2">
        <v>797.06506931189699</v>
      </c>
      <c r="AQ4024" s="2">
        <v>827.67313949665299</v>
      </c>
      <c r="AR4024" s="2">
        <v>867.36225848719801</v>
      </c>
      <c r="AS4024" s="2">
        <v>622.40942759129496</v>
      </c>
      <c r="AT4024" s="2">
        <v>544.32119545443004</v>
      </c>
      <c r="AU4024" s="2">
        <v>1378.9767555249</v>
      </c>
      <c r="AV4024" s="2">
        <v>542.63966459344795</v>
      </c>
      <c r="AW4024" s="2">
        <v>875.88878171998203</v>
      </c>
      <c r="AX4024" s="2">
        <v>109.031255387641</v>
      </c>
    </row>
    <row r="4025" spans="1:50" x14ac:dyDescent="0.25">
      <c r="A4025" s="2" t="s">
        <v>26579</v>
      </c>
      <c r="B4025" s="2">
        <v>297.24351499799599</v>
      </c>
      <c r="C4025" s="2">
        <v>13.6765833333333</v>
      </c>
      <c r="D4025" s="2" t="s">
        <v>51</v>
      </c>
      <c r="E4025" s="2" t="s">
        <v>26580</v>
      </c>
      <c r="F4025" s="2">
        <v>3280</v>
      </c>
      <c r="G4025" s="3" t="str">
        <f>HYPERLINK("https://cloud.oebiotech.com/#/lm/network/3280", "https://cloud.oebiotech.com/#/lm/network/3280")</f>
        <v>https://cloud.oebiotech.com/#/lm/network/3280</v>
      </c>
      <c r="H4025" s="2" t="s">
        <v>26581</v>
      </c>
      <c r="I4025" s="2">
        <v>36008</v>
      </c>
      <c r="J4025" s="2" t="s">
        <v>26582</v>
      </c>
      <c r="K4025" s="2">
        <v>15868</v>
      </c>
      <c r="L4025" s="2" t="s">
        <v>26583</v>
      </c>
      <c r="M4025" s="2"/>
      <c r="N4025" s="2"/>
      <c r="O4025" s="2">
        <v>85661</v>
      </c>
      <c r="P4025" s="2"/>
      <c r="Q4025" s="2"/>
      <c r="R4025" s="2" t="s">
        <v>26584</v>
      </c>
      <c r="S4025" s="2" t="s">
        <v>26585</v>
      </c>
      <c r="T4025" s="2" t="s">
        <v>26586</v>
      </c>
      <c r="U4025" s="2" t="s">
        <v>56</v>
      </c>
      <c r="V4025" s="2" t="s">
        <v>145</v>
      </c>
      <c r="W4025" s="2" t="s">
        <v>203</v>
      </c>
      <c r="X4025" s="2" t="s">
        <v>147</v>
      </c>
      <c r="Y4025" s="2">
        <v>42.3</v>
      </c>
      <c r="Z4025" s="2">
        <v>19.899999999999999</v>
      </c>
      <c r="AA4025" s="2" t="s">
        <v>163</v>
      </c>
      <c r="AB4025" s="2" t="s">
        <v>8747</v>
      </c>
      <c r="AC4025" s="2">
        <v>-1.17990097022041E-2</v>
      </c>
      <c r="AD4025" s="2"/>
      <c r="AE4025" s="2">
        <v>0.12135167643018099</v>
      </c>
      <c r="AF4025" s="2">
        <v>7726.4269316836799</v>
      </c>
      <c r="AG4025" s="2">
        <v>8620.7285133920705</v>
      </c>
      <c r="AH4025" s="4">
        <v>0.89626148412873397</v>
      </c>
      <c r="AI4025" s="4">
        <v>-0.158008395171089</v>
      </c>
      <c r="AJ4025" s="4" t="s">
        <v>62</v>
      </c>
      <c r="AK4025" s="2">
        <v>0.61028543708641603</v>
      </c>
      <c r="AL4025" s="2">
        <v>0.80553815117069005</v>
      </c>
      <c r="AM4025" s="2">
        <v>8928.7470684501804</v>
      </c>
      <c r="AN4025" s="2">
        <v>5337.9028161947299</v>
      </c>
      <c r="AO4025" s="2">
        <v>7589.3546157655501</v>
      </c>
      <c r="AP4025" s="2">
        <v>10543.7295777443</v>
      </c>
      <c r="AQ4025" s="2">
        <v>7170.9199466167902</v>
      </c>
      <c r="AR4025" s="2">
        <v>6787.9075653304999</v>
      </c>
      <c r="AS4025" s="2">
        <v>3504.64084468091</v>
      </c>
      <c r="AT4025" s="2">
        <v>6427.8982330158096</v>
      </c>
      <c r="AU4025" s="2">
        <v>6852.5188558257796</v>
      </c>
      <c r="AV4025" s="2">
        <v>11001.6262228339</v>
      </c>
      <c r="AW4025" s="2">
        <v>9944.9804712663299</v>
      </c>
      <c r="AX4025" s="2">
        <v>13992.706452729701</v>
      </c>
    </row>
    <row r="4026" spans="1:50" x14ac:dyDescent="0.25">
      <c r="A4026" s="2" t="s">
        <v>26587</v>
      </c>
      <c r="B4026" s="2">
        <v>314.20999507515302</v>
      </c>
      <c r="C4026" s="2">
        <v>9.6451499999999992</v>
      </c>
      <c r="D4026" s="2" t="s">
        <v>51</v>
      </c>
      <c r="E4026" s="2" t="s">
        <v>26588</v>
      </c>
      <c r="F4026" s="2">
        <v>7426</v>
      </c>
      <c r="G4026" s="3" t="str">
        <f>HYPERLINK("https://cloud.oebiotech.com/#/lm/network/7426", "https://cloud.oebiotech.com/#/lm/network/7426")</f>
        <v>https://cloud.oebiotech.com/#/lm/network/7426</v>
      </c>
      <c r="H4026" s="2"/>
      <c r="I4026" s="2"/>
      <c r="J4026" s="2" t="s">
        <v>26589</v>
      </c>
      <c r="K4026" s="2">
        <v>73242181</v>
      </c>
      <c r="L4026" s="2"/>
      <c r="M4026" s="2"/>
      <c r="N4026" s="2"/>
      <c r="O4026" s="2"/>
      <c r="P4026" s="2"/>
      <c r="Q4026" s="2"/>
      <c r="R4026" s="2"/>
      <c r="S4026" s="2" t="s">
        <v>26590</v>
      </c>
      <c r="T4026" s="2" t="s">
        <v>26591</v>
      </c>
      <c r="U4026" s="2" t="s">
        <v>331</v>
      </c>
      <c r="V4026" s="2" t="s">
        <v>332</v>
      </c>
      <c r="W4026" s="2" t="s">
        <v>333</v>
      </c>
      <c r="X4026" s="2" t="s">
        <v>83</v>
      </c>
      <c r="Y4026" s="2">
        <v>44.7</v>
      </c>
      <c r="Z4026" s="2">
        <v>0</v>
      </c>
      <c r="AA4026" s="2" t="s">
        <v>122</v>
      </c>
      <c r="AB4026" s="2" t="s">
        <v>26592</v>
      </c>
      <c r="AC4026" s="2">
        <v>2.1352493443297398</v>
      </c>
      <c r="AD4026" s="2"/>
      <c r="AE4026" s="2">
        <v>0.121276544835254</v>
      </c>
      <c r="AF4026" s="2">
        <v>916.67236708599398</v>
      </c>
      <c r="AG4026" s="2">
        <v>144.68912383584399</v>
      </c>
      <c r="AH4026" s="5">
        <v>6.3354614554581001</v>
      </c>
      <c r="AI4026" s="5">
        <v>2.66344970464709</v>
      </c>
      <c r="AJ4026" s="5" t="s">
        <v>139</v>
      </c>
      <c r="AK4026" s="2">
        <v>0.388213312679421</v>
      </c>
      <c r="AL4026" s="2">
        <v>0.66383134717100301</v>
      </c>
      <c r="AM4026" s="2">
        <v>12.150701378389201</v>
      </c>
      <c r="AN4026" s="2">
        <v>10.720305957195899</v>
      </c>
      <c r="AO4026" s="2">
        <v>5124.3132613038297</v>
      </c>
      <c r="AP4026" s="2">
        <v>8.559877937157E-6</v>
      </c>
      <c r="AQ4026" s="2">
        <v>352.84991675679601</v>
      </c>
      <c r="AR4026" s="2">
        <v>8.559877937157E-6</v>
      </c>
      <c r="AS4026" s="2">
        <v>8.559877937157E-6</v>
      </c>
      <c r="AT4026" s="2">
        <v>8.559877937157E-6</v>
      </c>
      <c r="AU4026" s="2">
        <v>868.13470021567502</v>
      </c>
      <c r="AV4026" s="2">
        <v>8.559877937157E-6</v>
      </c>
      <c r="AW4026" s="2">
        <v>8.559877937157E-6</v>
      </c>
      <c r="AX4026" s="2">
        <v>8.559877937157E-6</v>
      </c>
    </row>
    <row r="4027" spans="1:50" x14ac:dyDescent="0.25">
      <c r="A4027" s="2" t="s">
        <v>26593</v>
      </c>
      <c r="B4027" s="2">
        <v>190.050314455673</v>
      </c>
      <c r="C4027" s="2">
        <v>14.7086166666667</v>
      </c>
      <c r="D4027" s="2" t="s">
        <v>51</v>
      </c>
      <c r="E4027" s="2" t="s">
        <v>26594</v>
      </c>
      <c r="F4027" s="2">
        <v>202121</v>
      </c>
      <c r="G4027" s="3" t="str">
        <f>HYPERLINK("https://cloud.oebiotech.com/#/lm/network/202121", "https://cloud.oebiotech.com/#/lm/network/202121")</f>
        <v>https://cloud.oebiotech.com/#/lm/network/202121</v>
      </c>
      <c r="H4027" s="2" t="s">
        <v>26595</v>
      </c>
      <c r="I4027" s="2">
        <v>460309</v>
      </c>
      <c r="J4027" s="2"/>
      <c r="K4027" s="2">
        <v>160640</v>
      </c>
      <c r="L4027" s="2"/>
      <c r="M4027" s="2"/>
      <c r="N4027" s="2"/>
      <c r="O4027" s="2"/>
      <c r="P4027" s="2"/>
      <c r="Q4027" s="2"/>
      <c r="R4027" s="2"/>
      <c r="S4027" s="2" t="s">
        <v>26596</v>
      </c>
      <c r="T4027" s="2" t="s">
        <v>26597</v>
      </c>
      <c r="U4027" s="2" t="s">
        <v>266</v>
      </c>
      <c r="V4027" s="2" t="s">
        <v>445</v>
      </c>
      <c r="W4027" s="2" t="s">
        <v>5555</v>
      </c>
      <c r="X4027" s="2" t="s">
        <v>147</v>
      </c>
      <c r="Y4027" s="2">
        <v>39.299999999999997</v>
      </c>
      <c r="Z4027" s="2">
        <v>2.0699999999999998</v>
      </c>
      <c r="AA4027" s="2" t="s">
        <v>156</v>
      </c>
      <c r="AB4027" s="2" t="s">
        <v>26598</v>
      </c>
      <c r="AC4027" s="2">
        <v>2.1488877931528001</v>
      </c>
      <c r="AD4027" s="2"/>
      <c r="AE4027" s="2">
        <v>0.121275057208834</v>
      </c>
      <c r="AF4027" s="2">
        <v>18796.339504282001</v>
      </c>
      <c r="AG4027" s="2">
        <v>19984.319659734101</v>
      </c>
      <c r="AH4027" s="4">
        <v>0.94055438585453799</v>
      </c>
      <c r="AI4027" s="4">
        <v>-8.8416727498141306E-2</v>
      </c>
      <c r="AJ4027" s="4" t="s">
        <v>62</v>
      </c>
      <c r="AK4027" s="2">
        <v>0.44399685990876597</v>
      </c>
      <c r="AL4027" s="2">
        <v>0.69920672606852596</v>
      </c>
      <c r="AM4027" s="2">
        <v>18181.537190658601</v>
      </c>
      <c r="AN4027" s="2">
        <v>20764.480484483902</v>
      </c>
      <c r="AO4027" s="2">
        <v>19331.8952513453</v>
      </c>
      <c r="AP4027" s="2">
        <v>18926.3312429652</v>
      </c>
      <c r="AQ4027" s="2">
        <v>20959.235902620101</v>
      </c>
      <c r="AR4027" s="2">
        <v>14614.556953618699</v>
      </c>
      <c r="AS4027" s="2">
        <v>22932.870594976001</v>
      </c>
      <c r="AT4027" s="2">
        <v>22317.793413080199</v>
      </c>
      <c r="AU4027" s="2">
        <v>16476.206515321199</v>
      </c>
      <c r="AV4027" s="2">
        <v>17347.402606253301</v>
      </c>
      <c r="AW4027" s="2">
        <v>18659.176032190699</v>
      </c>
      <c r="AX4027" s="2">
        <v>22172.4687965831</v>
      </c>
    </row>
    <row r="4028" spans="1:50" x14ac:dyDescent="0.25">
      <c r="A4028" s="2" t="s">
        <v>26599</v>
      </c>
      <c r="B4028" s="2">
        <v>317.12547603053002</v>
      </c>
      <c r="C4028" s="2">
        <v>2.4934500000000002</v>
      </c>
      <c r="D4028" s="2" t="s">
        <v>51</v>
      </c>
      <c r="E4028" s="2" t="s">
        <v>26600</v>
      </c>
      <c r="F4028" s="2">
        <v>260549</v>
      </c>
      <c r="G4028" s="3" t="str">
        <f>HYPERLINK("https://cloud.oebiotech.com/#/lm/network/260549", "https://cloud.oebiotech.com/#/lm/network/260549")</f>
        <v>https://cloud.oebiotech.com/#/lm/network/260549</v>
      </c>
      <c r="H4028" s="2"/>
      <c r="I4028" s="2">
        <v>17812</v>
      </c>
      <c r="J4028" s="2"/>
      <c r="K4028" s="2">
        <v>145455675</v>
      </c>
      <c r="L4028" s="2"/>
      <c r="M4028" s="2"/>
      <c r="N4028" s="2"/>
      <c r="O4028" s="2"/>
      <c r="P4028" s="2"/>
      <c r="Q4028" s="2"/>
      <c r="R4028" s="2"/>
      <c r="S4028" s="2" t="s">
        <v>26601</v>
      </c>
      <c r="T4028" s="2" t="s">
        <v>26602</v>
      </c>
      <c r="U4028" s="2" t="s">
        <v>103</v>
      </c>
      <c r="V4028" s="2" t="s">
        <v>104</v>
      </c>
      <c r="W4028" s="2" t="s">
        <v>105</v>
      </c>
      <c r="X4028" s="2" t="s">
        <v>83</v>
      </c>
      <c r="Y4028" s="2">
        <v>40</v>
      </c>
      <c r="Z4028" s="2">
        <v>0</v>
      </c>
      <c r="AA4028" s="2" t="s">
        <v>379</v>
      </c>
      <c r="AB4028" s="2" t="s">
        <v>26603</v>
      </c>
      <c r="AC4028" s="2">
        <v>-0.15650426290970801</v>
      </c>
      <c r="AD4028" s="2"/>
      <c r="AE4028" s="2">
        <v>0.121226895089079</v>
      </c>
      <c r="AF4028" s="2">
        <v>2122.0127498830602</v>
      </c>
      <c r="AG4028" s="2">
        <v>1457.58204346614</v>
      </c>
      <c r="AH4028" s="5">
        <v>1.4558444647389499</v>
      </c>
      <c r="AI4028" s="5">
        <v>0.54185623332800303</v>
      </c>
      <c r="AJ4028" s="5" t="s">
        <v>139</v>
      </c>
      <c r="AK4028" s="2">
        <v>0.300481329336106</v>
      </c>
      <c r="AL4028" s="2">
        <v>0.61037838979491599</v>
      </c>
      <c r="AM4028" s="2">
        <v>2162.4814881820698</v>
      </c>
      <c r="AN4028" s="2">
        <v>2373.7864205098399</v>
      </c>
      <c r="AO4028" s="2">
        <v>2182.9211558095199</v>
      </c>
      <c r="AP4028" s="2">
        <v>358.47530890039701</v>
      </c>
      <c r="AQ4028" s="2">
        <v>2825.95917675993</v>
      </c>
      <c r="AR4028" s="2">
        <v>2828.4529491366302</v>
      </c>
      <c r="AS4028" s="2">
        <v>272.52659295185202</v>
      </c>
      <c r="AT4028" s="2">
        <v>971.83849624103505</v>
      </c>
      <c r="AU4028" s="2">
        <v>1542.66078233231</v>
      </c>
      <c r="AV4028" s="2">
        <v>1371.7468635396599</v>
      </c>
      <c r="AW4028" s="2">
        <v>899.989317173583</v>
      </c>
      <c r="AX4028" s="2">
        <v>3686.7302085583801</v>
      </c>
    </row>
    <row r="4029" spans="1:50" x14ac:dyDescent="0.25">
      <c r="A4029" s="2" t="s">
        <v>26604</v>
      </c>
      <c r="B4029" s="2">
        <v>693.47801040642196</v>
      </c>
      <c r="C4029" s="2">
        <v>11.0475666666667</v>
      </c>
      <c r="D4029" s="2" t="s">
        <v>51</v>
      </c>
      <c r="E4029" s="2" t="s">
        <v>26605</v>
      </c>
      <c r="F4029" s="2">
        <v>27846</v>
      </c>
      <c r="G4029" s="3" t="str">
        <f>HYPERLINK("https://cloud.oebiotech.com/#/lm/network/27846", "https://cloud.oebiotech.com/#/lm/network/27846")</f>
        <v>https://cloud.oebiotech.com/#/lm/network/27846</v>
      </c>
      <c r="H4029" s="2"/>
      <c r="I4029" s="2"/>
      <c r="J4029" s="2" t="s">
        <v>26606</v>
      </c>
      <c r="K4029" s="2">
        <v>134812303</v>
      </c>
      <c r="L4029" s="2"/>
      <c r="M4029" s="2"/>
      <c r="N4029" s="2"/>
      <c r="O4029" s="2"/>
      <c r="P4029" s="2"/>
      <c r="Q4029" s="2"/>
      <c r="R4029" s="2"/>
      <c r="S4029" s="2" t="s">
        <v>26607</v>
      </c>
      <c r="T4029" s="2" t="s">
        <v>26608</v>
      </c>
      <c r="U4029" s="2" t="s">
        <v>56</v>
      </c>
      <c r="V4029" s="2" t="s">
        <v>57</v>
      </c>
      <c r="W4029" s="2" t="s">
        <v>58</v>
      </c>
      <c r="X4029" s="2" t="s">
        <v>147</v>
      </c>
      <c r="Y4029" s="2">
        <v>36.1</v>
      </c>
      <c r="Z4029" s="2">
        <v>0</v>
      </c>
      <c r="AA4029" s="2" t="s">
        <v>2589</v>
      </c>
      <c r="AB4029" s="2" t="s">
        <v>26609</v>
      </c>
      <c r="AC4029" s="2">
        <v>-4.9366545038863698</v>
      </c>
      <c r="AD4029" s="2"/>
      <c r="AE4029" s="2">
        <v>0.121182367448072</v>
      </c>
      <c r="AF4029" s="2">
        <v>62920.035855599999</v>
      </c>
      <c r="AG4029" s="2">
        <v>65153.017879364401</v>
      </c>
      <c r="AH4029" s="4">
        <v>0.96572711293436897</v>
      </c>
      <c r="AI4029" s="4">
        <v>-5.03125129011339E-2</v>
      </c>
      <c r="AJ4029" s="4" t="s">
        <v>62</v>
      </c>
      <c r="AK4029" s="2">
        <v>0.69611432063914902</v>
      </c>
      <c r="AL4029" s="2">
        <v>0.85378616196188595</v>
      </c>
      <c r="AM4029" s="2">
        <v>55616.043875031799</v>
      </c>
      <c r="AN4029" s="2">
        <v>59156.509324633204</v>
      </c>
      <c r="AO4029" s="2">
        <v>61623.327517281097</v>
      </c>
      <c r="AP4029" s="2">
        <v>55320.700561198799</v>
      </c>
      <c r="AQ4029" s="2">
        <v>81885.754815128894</v>
      </c>
      <c r="AR4029" s="2">
        <v>63917.879040325999</v>
      </c>
      <c r="AS4029" s="2">
        <v>74912.379792256499</v>
      </c>
      <c r="AT4029" s="2">
        <v>76558.352129773601</v>
      </c>
      <c r="AU4029" s="2">
        <v>63162.765967820902</v>
      </c>
      <c r="AV4029" s="2">
        <v>51191.6270858465</v>
      </c>
      <c r="AW4029" s="2">
        <v>62654.582030227597</v>
      </c>
      <c r="AX4029" s="2">
        <v>62438.400270261503</v>
      </c>
    </row>
    <row r="4030" spans="1:50" x14ac:dyDescent="0.25">
      <c r="A4030" s="2" t="s">
        <v>26610</v>
      </c>
      <c r="B4030" s="2">
        <v>129.04</v>
      </c>
      <c r="C4030" s="2">
        <v>25.548999999999999</v>
      </c>
      <c r="D4030" s="2" t="s">
        <v>125</v>
      </c>
      <c r="E4030" s="2" t="s">
        <v>26611</v>
      </c>
      <c r="F4030" s="2">
        <v>10436</v>
      </c>
      <c r="G4030" s="3" t="str">
        <f>HYPERLINK("https://cloud.oebiotech.com/#/lm/network/10436", "https://cloud.oebiotech.com/#/lm/network/10436")</f>
        <v>https://cloud.oebiotech.com/#/lm/network/10436</v>
      </c>
      <c r="H4030" s="2" t="s">
        <v>26612</v>
      </c>
      <c r="I4030" s="2">
        <v>4252</v>
      </c>
      <c r="J4030" s="2" t="s">
        <v>26613</v>
      </c>
      <c r="K4030" s="2">
        <v>5283469</v>
      </c>
      <c r="L4030" s="2"/>
      <c r="M4030" s="2"/>
      <c r="N4030" s="2"/>
      <c r="O4030" s="2">
        <v>75565</v>
      </c>
      <c r="P4030" s="2"/>
      <c r="Q4030" s="2"/>
      <c r="R4030" s="2" t="s">
        <v>26614</v>
      </c>
      <c r="S4030" s="2" t="s">
        <v>26615</v>
      </c>
      <c r="T4030" s="2" t="s">
        <v>26616</v>
      </c>
      <c r="U4030" s="2" t="s">
        <v>56</v>
      </c>
      <c r="V4030" s="2" t="s">
        <v>145</v>
      </c>
      <c r="W4030" s="2" t="s">
        <v>203</v>
      </c>
      <c r="X4030" s="2" t="s">
        <v>69</v>
      </c>
      <c r="Y4030" s="2">
        <v>89.2</v>
      </c>
      <c r="Z4030" s="2">
        <v>87.5</v>
      </c>
      <c r="AA4030" s="2"/>
      <c r="AB4030" s="2" t="s">
        <v>22435</v>
      </c>
      <c r="AC4030" s="2"/>
      <c r="AD4030" s="2">
        <v>953785.81371545501</v>
      </c>
      <c r="AE4030" s="2">
        <v>0.12111454458106</v>
      </c>
      <c r="AF4030" s="2">
        <v>59130.473787146097</v>
      </c>
      <c r="AG4030" s="2">
        <v>70973.261133016305</v>
      </c>
      <c r="AH4030" s="4">
        <v>0.83313733712088101</v>
      </c>
      <c r="AI4030" s="4">
        <v>-0.26337376105924798</v>
      </c>
      <c r="AJ4030" s="4" t="s">
        <v>62</v>
      </c>
      <c r="AK4030" s="2">
        <v>0.26014621358921802</v>
      </c>
      <c r="AL4030" s="2">
        <v>0.58239046601091005</v>
      </c>
      <c r="AM4030" s="2">
        <v>68248.704608257802</v>
      </c>
      <c r="AN4030" s="2">
        <v>59548.674592610398</v>
      </c>
      <c r="AO4030" s="2">
        <v>51504.970243915399</v>
      </c>
      <c r="AP4030" s="2">
        <v>53130.137026062097</v>
      </c>
      <c r="AQ4030" s="2">
        <v>54962.8829578203</v>
      </c>
      <c r="AR4030" s="2">
        <v>67387.473294210795</v>
      </c>
      <c r="AS4030" s="2">
        <v>42049.5226219873</v>
      </c>
      <c r="AT4030" s="2">
        <v>104985.045134639</v>
      </c>
      <c r="AU4030" s="2">
        <v>67307.271851856596</v>
      </c>
      <c r="AV4030" s="2">
        <v>71994.491625459996</v>
      </c>
      <c r="AW4030" s="2">
        <v>88177.025790215906</v>
      </c>
      <c r="AX4030" s="2">
        <v>51326.209773939299</v>
      </c>
    </row>
    <row r="4031" spans="1:50" x14ac:dyDescent="0.25">
      <c r="A4031" s="2" t="s">
        <v>26617</v>
      </c>
      <c r="B4031" s="2">
        <v>206.03997228182499</v>
      </c>
      <c r="C4031" s="2">
        <v>5.3260166666666704</v>
      </c>
      <c r="D4031" s="2" t="s">
        <v>51</v>
      </c>
      <c r="E4031" s="2" t="s">
        <v>26618</v>
      </c>
      <c r="F4031" s="2">
        <v>207514</v>
      </c>
      <c r="G4031" s="3" t="str">
        <f>HYPERLINK("https://cloud.oebiotech.com/#/lm/network/207514", "https://cloud.oebiotech.com/#/lm/network/207514")</f>
        <v>https://cloud.oebiotech.com/#/lm/network/207514</v>
      </c>
      <c r="H4031" s="2" t="s">
        <v>26619</v>
      </c>
      <c r="I4031" s="2"/>
      <c r="J4031" s="2"/>
      <c r="K4031" s="2"/>
      <c r="L4031" s="2"/>
      <c r="M4031" s="2"/>
      <c r="N4031" s="2"/>
      <c r="O4031" s="2">
        <v>24559</v>
      </c>
      <c r="P4031" s="2"/>
      <c r="Q4031" s="2"/>
      <c r="R4031" s="2"/>
      <c r="S4031" s="2" t="s">
        <v>26620</v>
      </c>
      <c r="T4031" s="2" t="s">
        <v>26621</v>
      </c>
      <c r="U4031" s="2" t="s">
        <v>266</v>
      </c>
      <c r="V4031" s="2" t="s">
        <v>8778</v>
      </c>
      <c r="W4031" s="2" t="s">
        <v>8779</v>
      </c>
      <c r="X4031" s="2" t="s">
        <v>147</v>
      </c>
      <c r="Y4031" s="2">
        <v>39.5</v>
      </c>
      <c r="Z4031" s="2">
        <v>1.78</v>
      </c>
      <c r="AA4031" s="2" t="s">
        <v>122</v>
      </c>
      <c r="AB4031" s="2" t="s">
        <v>26622</v>
      </c>
      <c r="AC4031" s="2">
        <v>2.3601272623813799E-2</v>
      </c>
      <c r="AD4031" s="2"/>
      <c r="AE4031" s="2">
        <v>0.121076106364279</v>
      </c>
      <c r="AF4031" s="2">
        <v>427.54809148653499</v>
      </c>
      <c r="AG4031" s="2">
        <v>1099.4454854513599</v>
      </c>
      <c r="AH4031" s="4">
        <v>0.38887611722832499</v>
      </c>
      <c r="AI4031" s="4">
        <v>-1.36261746030624</v>
      </c>
      <c r="AJ4031" s="4" t="s">
        <v>62</v>
      </c>
      <c r="AK4031" s="2">
        <v>0.35117190559729999</v>
      </c>
      <c r="AL4031" s="2">
        <v>0.64273559662805702</v>
      </c>
      <c r="AM4031" s="2">
        <v>276.30891386818399</v>
      </c>
      <c r="AN4031" s="2">
        <v>467.43233253433499</v>
      </c>
      <c r="AO4031" s="2">
        <v>281.18413460615102</v>
      </c>
      <c r="AP4031" s="2">
        <v>436.39316537144703</v>
      </c>
      <c r="AQ4031" s="2">
        <v>665.23244179799497</v>
      </c>
      <c r="AR4031" s="2">
        <v>438.73756074109701</v>
      </c>
      <c r="AS4031" s="2">
        <v>434.16886977629298</v>
      </c>
      <c r="AT4031" s="2">
        <v>526.55807133552798</v>
      </c>
      <c r="AU4031" s="2">
        <v>437.08701703130902</v>
      </c>
      <c r="AV4031" s="2">
        <v>264.14831704492502</v>
      </c>
      <c r="AW4031" s="2">
        <v>4517.8794221318904</v>
      </c>
      <c r="AX4031" s="2">
        <v>416.83121538819398</v>
      </c>
    </row>
    <row r="4032" spans="1:50" x14ac:dyDescent="0.25">
      <c r="A4032" s="2" t="s">
        <v>26623</v>
      </c>
      <c r="B4032" s="2">
        <v>338.197047755737</v>
      </c>
      <c r="C4032" s="2">
        <v>5.6289499999999997</v>
      </c>
      <c r="D4032" s="2" t="s">
        <v>51</v>
      </c>
      <c r="E4032" s="2" t="s">
        <v>26624</v>
      </c>
      <c r="F4032" s="2">
        <v>197359</v>
      </c>
      <c r="G4032" s="3" t="str">
        <f>HYPERLINK("https://cloud.oebiotech.com/#/lm/network/197359", "https://cloud.oebiotech.com/#/lm/network/197359")</f>
        <v>https://cloud.oebiotech.com/#/lm/network/197359</v>
      </c>
      <c r="H4032" s="2" t="s">
        <v>26625</v>
      </c>
      <c r="I4032" s="2"/>
      <c r="J4032" s="2"/>
      <c r="K4032" s="2"/>
      <c r="L4032" s="2"/>
      <c r="M4032" s="2"/>
      <c r="N4032" s="2"/>
      <c r="O4032" s="2"/>
      <c r="P4032" s="2"/>
      <c r="Q4032" s="2"/>
      <c r="R4032" s="2"/>
      <c r="S4032" s="2" t="s">
        <v>26626</v>
      </c>
      <c r="T4032" s="2" t="s">
        <v>26627</v>
      </c>
      <c r="U4032" s="2" t="s">
        <v>56</v>
      </c>
      <c r="V4032" s="2" t="s">
        <v>145</v>
      </c>
      <c r="W4032" s="2" t="s">
        <v>1188</v>
      </c>
      <c r="X4032" s="2" t="s">
        <v>83</v>
      </c>
      <c r="Y4032" s="2">
        <v>47.7</v>
      </c>
      <c r="Z4032" s="2">
        <v>0</v>
      </c>
      <c r="AA4032" s="2" t="s">
        <v>156</v>
      </c>
      <c r="AB4032" s="2" t="s">
        <v>26628</v>
      </c>
      <c r="AC4032" s="2">
        <v>2.3883861786864</v>
      </c>
      <c r="AD4032" s="2"/>
      <c r="AE4032" s="2">
        <v>0.12105241075162899</v>
      </c>
      <c r="AF4032" s="2">
        <v>1084.80843454809</v>
      </c>
      <c r="AG4032" s="2">
        <v>628.39390036247801</v>
      </c>
      <c r="AH4032" s="5">
        <v>1.7263191668829601</v>
      </c>
      <c r="AI4032" s="5">
        <v>0.787699218810612</v>
      </c>
      <c r="AJ4032" s="5" t="s">
        <v>139</v>
      </c>
      <c r="AK4032" s="2">
        <v>0.16906494815686399</v>
      </c>
      <c r="AL4032" s="2">
        <v>0.49098458663462602</v>
      </c>
      <c r="AM4032" s="2">
        <v>2036.2361466525899</v>
      </c>
      <c r="AN4032" s="2">
        <v>1320.4611713556001</v>
      </c>
      <c r="AO4032" s="2">
        <v>332.37316074535602</v>
      </c>
      <c r="AP4032" s="2">
        <v>1041.81246967984</v>
      </c>
      <c r="AQ4032" s="2">
        <v>845.85983884449502</v>
      </c>
      <c r="AR4032" s="2">
        <v>932.10782001063296</v>
      </c>
      <c r="AS4032" s="2">
        <v>603.87373154260297</v>
      </c>
      <c r="AT4032" s="2">
        <v>163.16638958175</v>
      </c>
      <c r="AU4032" s="2">
        <v>1030.1239022302</v>
      </c>
      <c r="AV4032" s="2">
        <v>249.85093061757499</v>
      </c>
      <c r="AW4032" s="2">
        <v>311.94411830228199</v>
      </c>
      <c r="AX4032" s="2">
        <v>1411.40432990046</v>
      </c>
    </row>
    <row r="4033" spans="1:50" x14ac:dyDescent="0.25">
      <c r="A4033" s="2" t="s">
        <v>26629</v>
      </c>
      <c r="B4033" s="2">
        <v>184.01892610762499</v>
      </c>
      <c r="C4033" s="2">
        <v>6.9113499999999997</v>
      </c>
      <c r="D4033" s="2" t="s">
        <v>51</v>
      </c>
      <c r="E4033" s="2" t="s">
        <v>26630</v>
      </c>
      <c r="F4033" s="2">
        <v>204056</v>
      </c>
      <c r="G4033" s="3" t="str">
        <f>HYPERLINK("https://cloud.oebiotech.com/#/lm/network/204056", "https://cloud.oebiotech.com/#/lm/network/204056")</f>
        <v>https://cloud.oebiotech.com/#/lm/network/204056</v>
      </c>
      <c r="H4033" s="2" t="s">
        <v>26631</v>
      </c>
      <c r="I4033" s="2"/>
      <c r="J4033" s="2"/>
      <c r="K4033" s="2">
        <v>17929084</v>
      </c>
      <c r="L4033" s="2"/>
      <c r="M4033" s="2"/>
      <c r="N4033" s="2"/>
      <c r="O4033" s="2"/>
      <c r="P4033" s="2"/>
      <c r="Q4033" s="2"/>
      <c r="R4033" s="2"/>
      <c r="S4033" s="2" t="s">
        <v>26632</v>
      </c>
      <c r="T4033" s="2" t="s">
        <v>26633</v>
      </c>
      <c r="U4033" s="2" t="s">
        <v>610</v>
      </c>
      <c r="V4033" s="2" t="s">
        <v>240</v>
      </c>
      <c r="W4033" s="2" t="s">
        <v>240</v>
      </c>
      <c r="X4033" s="2" t="s">
        <v>147</v>
      </c>
      <c r="Y4033" s="2">
        <v>37.4</v>
      </c>
      <c r="Z4033" s="2">
        <v>0</v>
      </c>
      <c r="AA4033" s="2" t="s">
        <v>95</v>
      </c>
      <c r="AB4033" s="2" t="s">
        <v>26634</v>
      </c>
      <c r="AC4033" s="2">
        <v>-1.3339239339045099</v>
      </c>
      <c r="AD4033" s="2"/>
      <c r="AE4033" s="2">
        <v>0.121023760036572</v>
      </c>
      <c r="AF4033" s="2">
        <v>1225.24869004537</v>
      </c>
      <c r="AG4033" s="2">
        <v>1725.61304183415</v>
      </c>
      <c r="AH4033" s="4">
        <v>0.71003675815005396</v>
      </c>
      <c r="AI4033" s="4">
        <v>-0.49403438093471003</v>
      </c>
      <c r="AJ4033" s="4" t="s">
        <v>62</v>
      </c>
      <c r="AK4033" s="2">
        <v>9.8788329486891605E-2</v>
      </c>
      <c r="AL4033" s="2">
        <v>0.40061906568557099</v>
      </c>
      <c r="AM4033" s="2">
        <v>1124.15059622896</v>
      </c>
      <c r="AN4033" s="2">
        <v>1132.3411778771299</v>
      </c>
      <c r="AO4033" s="2">
        <v>1596.1294548501601</v>
      </c>
      <c r="AP4033" s="2">
        <v>604.54222273871505</v>
      </c>
      <c r="AQ4033" s="2">
        <v>1105.83069255023</v>
      </c>
      <c r="AR4033" s="2">
        <v>1788.49799602705</v>
      </c>
      <c r="AS4033" s="2">
        <v>1643.03214537129</v>
      </c>
      <c r="AT4033" s="2">
        <v>1456.9845059870199</v>
      </c>
      <c r="AU4033" s="2">
        <v>1675.06536866284</v>
      </c>
      <c r="AV4033" s="2">
        <v>2474.3598136385999</v>
      </c>
      <c r="AW4033" s="2">
        <v>2140.3979473603399</v>
      </c>
      <c r="AX4033" s="2">
        <v>963.83846998481897</v>
      </c>
    </row>
    <row r="4034" spans="1:50" x14ac:dyDescent="0.25">
      <c r="A4034" s="2" t="s">
        <v>26635</v>
      </c>
      <c r="B4034" s="2">
        <v>207.00862057993399</v>
      </c>
      <c r="C4034" s="2">
        <v>1.2111499999999999</v>
      </c>
      <c r="D4034" s="2" t="s">
        <v>51</v>
      </c>
      <c r="E4034" s="2" t="s">
        <v>26636</v>
      </c>
      <c r="F4034" s="2">
        <v>53506</v>
      </c>
      <c r="G4034" s="3" t="str">
        <f>HYPERLINK("https://cloud.oebiotech.com/#/lm/network/53506", "https://cloud.oebiotech.com/#/lm/network/53506")</f>
        <v>https://cloud.oebiotech.com/#/lm/network/53506</v>
      </c>
      <c r="H4034" s="2" t="s">
        <v>26637</v>
      </c>
      <c r="I4034" s="2"/>
      <c r="J4034" s="2"/>
      <c r="K4034" s="2">
        <v>75905</v>
      </c>
      <c r="L4034" s="2"/>
      <c r="M4034" s="2"/>
      <c r="N4034" s="2"/>
      <c r="O4034" s="2"/>
      <c r="P4034" s="2"/>
      <c r="Q4034" s="2"/>
      <c r="R4034" s="2" t="s">
        <v>26638</v>
      </c>
      <c r="S4034" s="2" t="s">
        <v>26639</v>
      </c>
      <c r="T4034" s="2" t="s">
        <v>26640</v>
      </c>
      <c r="U4034" s="2" t="s">
        <v>610</v>
      </c>
      <c r="V4034" s="2" t="s">
        <v>611</v>
      </c>
      <c r="W4034" s="2" t="s">
        <v>2935</v>
      </c>
      <c r="X4034" s="2" t="s">
        <v>147</v>
      </c>
      <c r="Y4034" s="2">
        <v>40</v>
      </c>
      <c r="Z4034" s="2">
        <v>13.6</v>
      </c>
      <c r="AA4034" s="2" t="s">
        <v>95</v>
      </c>
      <c r="AB4034" s="2" t="s">
        <v>26641</v>
      </c>
      <c r="AC4034" s="2">
        <v>-8.2683157699592696E-2</v>
      </c>
      <c r="AD4034" s="2"/>
      <c r="AE4034" s="2">
        <v>0.120980747170782</v>
      </c>
      <c r="AF4034" s="2">
        <v>2564.4214442287098</v>
      </c>
      <c r="AG4034" s="2">
        <v>1994.9485012672101</v>
      </c>
      <c r="AH4034" s="5">
        <v>1.2854574654933499</v>
      </c>
      <c r="AI4034" s="5">
        <v>0.36228187362000103</v>
      </c>
      <c r="AJ4034" s="5" t="s">
        <v>139</v>
      </c>
      <c r="AK4034" s="2">
        <v>0.57171803098108398</v>
      </c>
      <c r="AL4034" s="2">
        <v>0.78371968366074696</v>
      </c>
      <c r="AM4034" s="2">
        <v>5079.3937837514904</v>
      </c>
      <c r="AN4034" s="2">
        <v>1863.2083953409799</v>
      </c>
      <c r="AO4034" s="2">
        <v>517.35857567361199</v>
      </c>
      <c r="AP4034" s="2">
        <v>2822.0101545536099</v>
      </c>
      <c r="AQ4034" s="2">
        <v>3271.9384907552399</v>
      </c>
      <c r="AR4034" s="2">
        <v>1832.6192652973</v>
      </c>
      <c r="AS4034" s="2">
        <v>1504.0488446013201</v>
      </c>
      <c r="AT4034" s="2">
        <v>1999.7211901488299</v>
      </c>
      <c r="AU4034" s="2">
        <v>5503.5174555654403</v>
      </c>
      <c r="AV4034" s="2">
        <v>569.34217866096003</v>
      </c>
      <c r="AW4034" s="2">
        <v>1692.37680026768</v>
      </c>
      <c r="AX4034" s="2">
        <v>700.68453835902596</v>
      </c>
    </row>
    <row r="4035" spans="1:50" x14ac:dyDescent="0.25">
      <c r="A4035" s="2" t="s">
        <v>26642</v>
      </c>
      <c r="B4035" s="2">
        <v>481.12500441383003</v>
      </c>
      <c r="C4035" s="2">
        <v>0.59993333333333299</v>
      </c>
      <c r="D4035" s="2" t="s">
        <v>51</v>
      </c>
      <c r="E4035" s="2" t="s">
        <v>26643</v>
      </c>
      <c r="F4035" s="2">
        <v>29577</v>
      </c>
      <c r="G4035" s="3" t="str">
        <f>HYPERLINK("https://cloud.oebiotech.com/#/lm/network/29577", "https://cloud.oebiotech.com/#/lm/network/29577")</f>
        <v>https://cloud.oebiotech.com/#/lm/network/29577</v>
      </c>
      <c r="H4035" s="2"/>
      <c r="I4035" s="2">
        <v>47943</v>
      </c>
      <c r="J4035" s="2" t="s">
        <v>26644</v>
      </c>
      <c r="K4035" s="2">
        <v>15730565</v>
      </c>
      <c r="L4035" s="2"/>
      <c r="M4035" s="2"/>
      <c r="N4035" s="2"/>
      <c r="O4035" s="2"/>
      <c r="P4035" s="2"/>
      <c r="Q4035" s="2"/>
      <c r="R4035" s="2"/>
      <c r="S4035" s="2" t="s">
        <v>26645</v>
      </c>
      <c r="T4035" s="2" t="s">
        <v>26646</v>
      </c>
      <c r="U4035" s="2" t="s">
        <v>540</v>
      </c>
      <c r="V4035" s="2" t="s">
        <v>784</v>
      </c>
      <c r="W4035" s="2" t="s">
        <v>3138</v>
      </c>
      <c r="X4035" s="2" t="s">
        <v>147</v>
      </c>
      <c r="Y4035" s="2">
        <v>36.299999999999997</v>
      </c>
      <c r="Z4035" s="2">
        <v>0</v>
      </c>
      <c r="AA4035" s="2" t="s">
        <v>395</v>
      </c>
      <c r="AB4035" s="2" t="s">
        <v>26647</v>
      </c>
      <c r="AC4035" s="2">
        <v>-2.08397571374684</v>
      </c>
      <c r="AD4035" s="2"/>
      <c r="AE4035" s="2">
        <v>0.12095956076493</v>
      </c>
      <c r="AF4035" s="2">
        <v>6617.5830145658902</v>
      </c>
      <c r="AG4035" s="2">
        <v>8785.3600657181796</v>
      </c>
      <c r="AH4035" s="4">
        <v>0.75325120029954296</v>
      </c>
      <c r="AI4035" s="4">
        <v>-0.40879702814320501</v>
      </c>
      <c r="AJ4035" s="4" t="s">
        <v>62</v>
      </c>
      <c r="AK4035" s="2">
        <v>0.60550399454859005</v>
      </c>
      <c r="AL4035" s="2">
        <v>0.80368370570869196</v>
      </c>
      <c r="AM4035" s="2">
        <v>14262.9384967396</v>
      </c>
      <c r="AN4035" s="2">
        <v>5687.7855583345299</v>
      </c>
      <c r="AO4035" s="2">
        <v>4595.7364353582998</v>
      </c>
      <c r="AP4035" s="2">
        <v>8541.6414419197208</v>
      </c>
      <c r="AQ4035" s="2">
        <v>3695.8045755789399</v>
      </c>
      <c r="AR4035" s="2">
        <v>2921.5915794642401</v>
      </c>
      <c r="AS4035" s="2">
        <v>880.62036158575302</v>
      </c>
      <c r="AT4035" s="2">
        <v>2344.3731369392399</v>
      </c>
      <c r="AU4035" s="2">
        <v>13600.840451021801</v>
      </c>
      <c r="AV4035" s="2">
        <v>24605.5710690333</v>
      </c>
      <c r="AW4035" s="2">
        <v>7790.204534083</v>
      </c>
      <c r="AX4035" s="2">
        <v>3490.5508416459602</v>
      </c>
    </row>
    <row r="4036" spans="1:50" x14ac:dyDescent="0.25">
      <c r="A4036" s="2" t="s">
        <v>26648</v>
      </c>
      <c r="B4036" s="2">
        <v>509.33713229129501</v>
      </c>
      <c r="C4036" s="2">
        <v>10.0932166666667</v>
      </c>
      <c r="D4036" s="2" t="s">
        <v>51</v>
      </c>
      <c r="E4036" s="2" t="s">
        <v>26649</v>
      </c>
      <c r="F4036" s="2">
        <v>45657</v>
      </c>
      <c r="G4036" s="3" t="str">
        <f>HYPERLINK("https://cloud.oebiotech.com/#/lm/network/45657", "https://cloud.oebiotech.com/#/lm/network/45657")</f>
        <v>https://cloud.oebiotech.com/#/lm/network/45657</v>
      </c>
      <c r="H4036" s="2"/>
      <c r="I4036" s="2">
        <v>42422</v>
      </c>
      <c r="J4036" s="2" t="s">
        <v>26650</v>
      </c>
      <c r="K4036" s="2">
        <v>9547597</v>
      </c>
      <c r="L4036" s="2"/>
      <c r="M4036" s="2"/>
      <c r="N4036" s="2"/>
      <c r="O4036" s="2"/>
      <c r="P4036" s="2"/>
      <c r="Q4036" s="2"/>
      <c r="R4036" s="2"/>
      <c r="S4036" s="2" t="s">
        <v>26651</v>
      </c>
      <c r="T4036" s="2" t="s">
        <v>26652</v>
      </c>
      <c r="U4036" s="2" t="s">
        <v>56</v>
      </c>
      <c r="V4036" s="2" t="s">
        <v>283</v>
      </c>
      <c r="W4036" s="2" t="s">
        <v>420</v>
      </c>
      <c r="X4036" s="2" t="s">
        <v>147</v>
      </c>
      <c r="Y4036" s="2">
        <v>41.5</v>
      </c>
      <c r="Z4036" s="2">
        <v>29.3</v>
      </c>
      <c r="AA4036" s="2" t="s">
        <v>395</v>
      </c>
      <c r="AB4036" s="2" t="s">
        <v>15169</v>
      </c>
      <c r="AC4036" s="2">
        <v>-4.2970961627495603</v>
      </c>
      <c r="AD4036" s="2"/>
      <c r="AE4036" s="2">
        <v>0.120917094380932</v>
      </c>
      <c r="AF4036" s="2">
        <v>35652.628376043504</v>
      </c>
      <c r="AG4036" s="2">
        <v>47160.020458589701</v>
      </c>
      <c r="AH4036" s="4">
        <v>0.755992640150557</v>
      </c>
      <c r="AI4036" s="4">
        <v>-0.403555905507123</v>
      </c>
      <c r="AJ4036" s="4" t="s">
        <v>62</v>
      </c>
      <c r="AK4036" s="2">
        <v>0.56995841796230795</v>
      </c>
      <c r="AL4036" s="2">
        <v>0.78311574344879098</v>
      </c>
      <c r="AM4036" s="2">
        <v>56682.166489951502</v>
      </c>
      <c r="AN4036" s="2">
        <v>62758.199757639297</v>
      </c>
      <c r="AO4036" s="2">
        <v>27382.7121526183</v>
      </c>
      <c r="AP4036" s="2">
        <v>21236.858663720399</v>
      </c>
      <c r="AQ4036" s="2">
        <v>23027.7183064202</v>
      </c>
      <c r="AR4036" s="2">
        <v>22828.1148859112</v>
      </c>
      <c r="AS4036" s="2">
        <v>30795.495757024899</v>
      </c>
      <c r="AT4036" s="2">
        <v>24858.062726284599</v>
      </c>
      <c r="AU4036" s="2">
        <v>133936.71958336499</v>
      </c>
      <c r="AV4036" s="2">
        <v>12675.4202783043</v>
      </c>
      <c r="AW4036" s="2">
        <v>31430.4596817579</v>
      </c>
      <c r="AX4036" s="2">
        <v>49263.964724801299</v>
      </c>
    </row>
    <row r="4037" spans="1:50" x14ac:dyDescent="0.25">
      <c r="A4037" s="2" t="s">
        <v>26653</v>
      </c>
      <c r="B4037" s="2">
        <v>197.117749322832</v>
      </c>
      <c r="C4037" s="2">
        <v>9.3782999999999994</v>
      </c>
      <c r="D4037" s="2" t="s">
        <v>51</v>
      </c>
      <c r="E4037" s="2" t="s">
        <v>26654</v>
      </c>
      <c r="F4037" s="2">
        <v>35361</v>
      </c>
      <c r="G4037" s="3" t="str">
        <f>HYPERLINK("https://cloud.oebiotech.com/#/lm/network/35361", "https://cloud.oebiotech.com/#/lm/network/35361")</f>
        <v>https://cloud.oebiotech.com/#/lm/network/35361</v>
      </c>
      <c r="H4037" s="2"/>
      <c r="I4037" s="2">
        <v>41092</v>
      </c>
      <c r="J4037" s="2" t="s">
        <v>26655</v>
      </c>
      <c r="K4037" s="2">
        <v>441245</v>
      </c>
      <c r="L4037" s="2" t="s">
        <v>26656</v>
      </c>
      <c r="M4037" s="2"/>
      <c r="N4037" s="2"/>
      <c r="O4037" s="2">
        <v>35672</v>
      </c>
      <c r="P4037" s="2"/>
      <c r="Q4037" s="2"/>
      <c r="R4037" s="2"/>
      <c r="S4037" s="2" t="s">
        <v>26657</v>
      </c>
      <c r="T4037" s="2" t="s">
        <v>26658</v>
      </c>
      <c r="U4037" s="2" t="s">
        <v>266</v>
      </c>
      <c r="V4037" s="2" t="s">
        <v>4491</v>
      </c>
      <c r="W4037" s="2" t="s">
        <v>240</v>
      </c>
      <c r="X4037" s="2" t="s">
        <v>83</v>
      </c>
      <c r="Y4037" s="2">
        <v>39.9</v>
      </c>
      <c r="Z4037" s="2">
        <v>0</v>
      </c>
      <c r="AA4037" s="2" t="s">
        <v>218</v>
      </c>
      <c r="AB4037" s="2" t="s">
        <v>26659</v>
      </c>
      <c r="AC4037" s="2">
        <v>-3.7383606236052702</v>
      </c>
      <c r="AD4037" s="2"/>
      <c r="AE4037" s="2">
        <v>0.120759385407882</v>
      </c>
      <c r="AF4037" s="2">
        <v>828.448963016535</v>
      </c>
      <c r="AG4037" s="2">
        <v>453.08203195827201</v>
      </c>
      <c r="AH4037" s="5">
        <v>1.8284745467302801</v>
      </c>
      <c r="AI4037" s="5">
        <v>0.87064054379079903</v>
      </c>
      <c r="AJ4037" s="5" t="s">
        <v>139</v>
      </c>
      <c r="AK4037" s="2">
        <v>2.6611377062842501E-2</v>
      </c>
      <c r="AL4037" s="2">
        <v>0.251579212774038</v>
      </c>
      <c r="AM4037" s="2">
        <v>916.53384151381204</v>
      </c>
      <c r="AN4037" s="2">
        <v>1223.11314845014</v>
      </c>
      <c r="AO4037" s="2">
        <v>476.58747618426702</v>
      </c>
      <c r="AP4037" s="2">
        <v>771.69679583840104</v>
      </c>
      <c r="AQ4037" s="2">
        <v>561.64579837867097</v>
      </c>
      <c r="AR4037" s="2">
        <v>1021.11671773392</v>
      </c>
      <c r="AS4037" s="2">
        <v>403.73884476053303</v>
      </c>
      <c r="AT4037" s="2">
        <v>406.91383555988102</v>
      </c>
      <c r="AU4037" s="2">
        <v>525.10532340189695</v>
      </c>
      <c r="AV4037" s="2">
        <v>81.105769574308994</v>
      </c>
      <c r="AW4037" s="2">
        <v>624.37484400502399</v>
      </c>
      <c r="AX4037" s="2">
        <v>677.25357444798897</v>
      </c>
    </row>
    <row r="4038" spans="1:50" x14ac:dyDescent="0.25">
      <c r="A4038" s="2" t="s">
        <v>26660</v>
      </c>
      <c r="B4038" s="2">
        <v>327.29044561614597</v>
      </c>
      <c r="C4038" s="2">
        <v>13.6765833333333</v>
      </c>
      <c r="D4038" s="2" t="s">
        <v>51</v>
      </c>
      <c r="E4038" s="2" t="s">
        <v>26661</v>
      </c>
      <c r="F4038" s="2">
        <v>2292</v>
      </c>
      <c r="G4038" s="3" t="str">
        <f>HYPERLINK("https://cloud.oebiotech.com/#/lm/network/2292", "https://cloud.oebiotech.com/#/lm/network/2292")</f>
        <v>https://cloud.oebiotech.com/#/lm/network/2292</v>
      </c>
      <c r="H4038" s="2"/>
      <c r="I4038" s="2"/>
      <c r="J4038" s="2" t="s">
        <v>26662</v>
      </c>
      <c r="K4038" s="2">
        <v>85843852</v>
      </c>
      <c r="L4038" s="2"/>
      <c r="M4038" s="2"/>
      <c r="N4038" s="2"/>
      <c r="O4038" s="2"/>
      <c r="P4038" s="2"/>
      <c r="Q4038" s="2"/>
      <c r="R4038" s="2"/>
      <c r="S4038" s="2" t="s">
        <v>26663</v>
      </c>
      <c r="T4038" s="2" t="s">
        <v>26664</v>
      </c>
      <c r="U4038" s="2" t="s">
        <v>56</v>
      </c>
      <c r="V4038" s="2" t="s">
        <v>145</v>
      </c>
      <c r="W4038" s="2" t="s">
        <v>231</v>
      </c>
      <c r="X4038" s="2" t="s">
        <v>83</v>
      </c>
      <c r="Y4038" s="2">
        <v>48.2</v>
      </c>
      <c r="Z4038" s="2">
        <v>0</v>
      </c>
      <c r="AA4038" s="2" t="s">
        <v>163</v>
      </c>
      <c r="AB4038" s="2" t="s">
        <v>2675</v>
      </c>
      <c r="AC4038" s="2">
        <v>-7.03426532470528E-2</v>
      </c>
      <c r="AD4038" s="2"/>
      <c r="AE4038" s="2">
        <v>0.120717082796356</v>
      </c>
      <c r="AF4038" s="2">
        <v>1773.06675775348</v>
      </c>
      <c r="AG4038" s="2">
        <v>1313.7895450050501</v>
      </c>
      <c r="AH4038" s="5">
        <v>1.34958202742179</v>
      </c>
      <c r="AI4038" s="5">
        <v>0.43251266628842899</v>
      </c>
      <c r="AJ4038" s="5" t="s">
        <v>139</v>
      </c>
      <c r="AK4038" s="2">
        <v>0.17715409106150001</v>
      </c>
      <c r="AL4038" s="2">
        <v>0.49941302879018401</v>
      </c>
      <c r="AM4038" s="2">
        <v>2023.7954863129301</v>
      </c>
      <c r="AN4038" s="2">
        <v>1722.9036593680401</v>
      </c>
      <c r="AO4038" s="2">
        <v>2585.6703332770899</v>
      </c>
      <c r="AP4038" s="2">
        <v>1379.6485189843399</v>
      </c>
      <c r="AQ4038" s="2">
        <v>1828.3967245833301</v>
      </c>
      <c r="AR4038" s="2">
        <v>1097.98582399512</v>
      </c>
      <c r="AS4038" s="2">
        <v>1463.3831338182099</v>
      </c>
      <c r="AT4038" s="2">
        <v>845.37961021361104</v>
      </c>
      <c r="AU4038" s="2">
        <v>2161.2905360237201</v>
      </c>
      <c r="AV4038" s="2">
        <v>1725.98309486263</v>
      </c>
      <c r="AW4038" s="2">
        <v>1055.2545663349599</v>
      </c>
      <c r="AX4038" s="2">
        <v>631.446328777183</v>
      </c>
    </row>
    <row r="4039" spans="1:50" x14ac:dyDescent="0.25">
      <c r="A4039" s="2" t="s">
        <v>26665</v>
      </c>
      <c r="B4039" s="2">
        <v>307.19158304267802</v>
      </c>
      <c r="C4039" s="2">
        <v>8.9220833333333296</v>
      </c>
      <c r="D4039" s="2" t="s">
        <v>51</v>
      </c>
      <c r="E4039" s="2" t="s">
        <v>26666</v>
      </c>
      <c r="F4039" s="2">
        <v>3622</v>
      </c>
      <c r="G4039" s="3" t="str">
        <f>HYPERLINK("https://cloud.oebiotech.com/#/lm/network/3622", "https://cloud.oebiotech.com/#/lm/network/3622")</f>
        <v>https://cloud.oebiotech.com/#/lm/network/3622</v>
      </c>
      <c r="H4039" s="2"/>
      <c r="I4039" s="2"/>
      <c r="J4039" s="2" t="s">
        <v>26667</v>
      </c>
      <c r="K4039" s="2">
        <v>101070489</v>
      </c>
      <c r="L4039" s="2"/>
      <c r="M4039" s="2"/>
      <c r="N4039" s="2"/>
      <c r="O4039" s="2"/>
      <c r="P4039" s="2"/>
      <c r="Q4039" s="2"/>
      <c r="R4039" s="2"/>
      <c r="S4039" s="2" t="s">
        <v>26668</v>
      </c>
      <c r="T4039" s="2" t="s">
        <v>26669</v>
      </c>
      <c r="U4039" s="2" t="s">
        <v>56</v>
      </c>
      <c r="V4039" s="2" t="s">
        <v>145</v>
      </c>
      <c r="W4039" s="2" t="s">
        <v>231</v>
      </c>
      <c r="X4039" s="2" t="s">
        <v>83</v>
      </c>
      <c r="Y4039" s="2">
        <v>47.2</v>
      </c>
      <c r="Z4039" s="2">
        <v>0</v>
      </c>
      <c r="AA4039" s="2" t="s">
        <v>379</v>
      </c>
      <c r="AB4039" s="2" t="s">
        <v>12004</v>
      </c>
      <c r="AC4039" s="2">
        <v>0.30686669792250199</v>
      </c>
      <c r="AD4039" s="2"/>
      <c r="AE4039" s="2">
        <v>0.120544025414064</v>
      </c>
      <c r="AF4039" s="2">
        <v>3335.7561661662799</v>
      </c>
      <c r="AG4039" s="2">
        <v>2658.8230310809099</v>
      </c>
      <c r="AH4039" s="5">
        <v>1.25459879321497</v>
      </c>
      <c r="AI4039" s="5">
        <v>0.32722608004918002</v>
      </c>
      <c r="AJ4039" s="5" t="s">
        <v>139</v>
      </c>
      <c r="AK4039" s="2">
        <v>0.72100009475804905</v>
      </c>
      <c r="AL4039" s="2">
        <v>0.87092117244731104</v>
      </c>
      <c r="AM4039" s="2">
        <v>2913.1371752981099</v>
      </c>
      <c r="AN4039" s="2">
        <v>6538.4590007772504</v>
      </c>
      <c r="AO4039" s="2">
        <v>3062.2906921113399</v>
      </c>
      <c r="AP4039" s="2">
        <v>1369.5014204211</v>
      </c>
      <c r="AQ4039" s="2">
        <v>3717.9595367816501</v>
      </c>
      <c r="AR4039" s="2">
        <v>2413.18917160826</v>
      </c>
      <c r="AS4039" s="2">
        <v>1111.6263747041401</v>
      </c>
      <c r="AT4039" s="2">
        <v>872.21975240336701</v>
      </c>
      <c r="AU4039" s="2">
        <v>11115.2068766641</v>
      </c>
      <c r="AV4039" s="2">
        <v>312.08066575393502</v>
      </c>
      <c r="AW4039" s="2">
        <v>1145.40363602558</v>
      </c>
      <c r="AX4039" s="2">
        <v>1396.40088093431</v>
      </c>
    </row>
    <row r="4040" spans="1:50" x14ac:dyDescent="0.25">
      <c r="A4040" s="2" t="s">
        <v>26670</v>
      </c>
      <c r="B4040" s="2">
        <v>552.35369523737404</v>
      </c>
      <c r="C4040" s="2">
        <v>13.3891333333333</v>
      </c>
      <c r="D4040" s="2" t="s">
        <v>51</v>
      </c>
      <c r="E4040" s="2" t="s">
        <v>26671</v>
      </c>
      <c r="F4040" s="2">
        <v>198833</v>
      </c>
      <c r="G4040" s="3" t="str">
        <f>HYPERLINK("https://cloud.oebiotech.com/#/lm/network/198833", "https://cloud.oebiotech.com/#/lm/network/198833")</f>
        <v>https://cloud.oebiotech.com/#/lm/network/198833</v>
      </c>
      <c r="H4040" s="2" t="s">
        <v>26672</v>
      </c>
      <c r="I4040" s="2"/>
      <c r="J4040" s="2"/>
      <c r="K4040" s="2">
        <v>85527347</v>
      </c>
      <c r="L4040" s="2"/>
      <c r="M4040" s="2"/>
      <c r="N4040" s="2"/>
      <c r="O4040" s="2"/>
      <c r="P4040" s="2"/>
      <c r="Q4040" s="2"/>
      <c r="R4040" s="2"/>
      <c r="S4040" s="2" t="s">
        <v>26673</v>
      </c>
      <c r="T4040" s="2" t="s">
        <v>26674</v>
      </c>
      <c r="U4040" s="2" t="s">
        <v>56</v>
      </c>
      <c r="V4040" s="2" t="s">
        <v>283</v>
      </c>
      <c r="W4040" s="2" t="s">
        <v>2042</v>
      </c>
      <c r="X4040" s="2" t="s">
        <v>147</v>
      </c>
      <c r="Y4040" s="2">
        <v>38.200000000000003</v>
      </c>
      <c r="Z4040" s="2">
        <v>0</v>
      </c>
      <c r="AA4040" s="2" t="s">
        <v>218</v>
      </c>
      <c r="AB4040" s="2" t="s">
        <v>26675</v>
      </c>
      <c r="AC4040" s="2">
        <v>-0.97747188788248995</v>
      </c>
      <c r="AD4040" s="2"/>
      <c r="AE4040" s="2">
        <v>0.12042839789516099</v>
      </c>
      <c r="AF4040" s="2">
        <v>2824.9364734721498</v>
      </c>
      <c r="AG4040" s="2">
        <v>1495.1665431553699</v>
      </c>
      <c r="AH4040" s="5">
        <v>1.8893791373303901</v>
      </c>
      <c r="AI4040" s="5">
        <v>0.91791223304557401</v>
      </c>
      <c r="AJ4040" s="5" t="s">
        <v>139</v>
      </c>
      <c r="AK4040" s="2">
        <v>0.25021962469484699</v>
      </c>
      <c r="AL4040" s="2">
        <v>0.57332209668232303</v>
      </c>
      <c r="AM4040" s="2">
        <v>1422.93527059653</v>
      </c>
      <c r="AN4040" s="2">
        <v>1395.21544609697</v>
      </c>
      <c r="AO4040" s="2">
        <v>3460.46761304149</v>
      </c>
      <c r="AP4040" s="2">
        <v>6478.0003725742999</v>
      </c>
      <c r="AQ4040" s="2">
        <v>3358.96841294663</v>
      </c>
      <c r="AR4040" s="2">
        <v>834.03172557696598</v>
      </c>
      <c r="AS4040" s="2">
        <v>1675.6835962236401</v>
      </c>
      <c r="AT4040" s="2">
        <v>1578.84670453176</v>
      </c>
      <c r="AU4040" s="2">
        <v>8.559877937157E-6</v>
      </c>
      <c r="AV4040" s="2">
        <v>8.559877937157E-6</v>
      </c>
      <c r="AW4040" s="2">
        <v>1219.7051674419999</v>
      </c>
      <c r="AX4040" s="2">
        <v>4496.76377361504</v>
      </c>
    </row>
    <row r="4041" spans="1:50" x14ac:dyDescent="0.25">
      <c r="A4041" s="2" t="s">
        <v>26676</v>
      </c>
      <c r="B4041" s="2">
        <v>412.22147203811602</v>
      </c>
      <c r="C4041" s="2">
        <v>4.3206499999999997</v>
      </c>
      <c r="D4041" s="2" t="s">
        <v>51</v>
      </c>
      <c r="E4041" s="2" t="s">
        <v>26677</v>
      </c>
      <c r="F4041" s="2">
        <v>56172</v>
      </c>
      <c r="G4041" s="3" t="str">
        <f>HYPERLINK("https://cloud.oebiotech.com/#/lm/network/56172", "https://cloud.oebiotech.com/#/lm/network/56172")</f>
        <v>https://cloud.oebiotech.com/#/lm/network/56172</v>
      </c>
      <c r="H4041" s="2" t="s">
        <v>26678</v>
      </c>
      <c r="I4041" s="2">
        <v>87866</v>
      </c>
      <c r="J4041" s="2"/>
      <c r="K4041" s="2">
        <v>131751183</v>
      </c>
      <c r="L4041" s="2"/>
      <c r="M4041" s="2"/>
      <c r="N4041" s="2"/>
      <c r="O4041" s="2">
        <v>168126</v>
      </c>
      <c r="P4041" s="2"/>
      <c r="Q4041" s="2"/>
      <c r="R4041" s="2" t="s">
        <v>26679</v>
      </c>
      <c r="S4041" s="2" t="s">
        <v>26680</v>
      </c>
      <c r="T4041" s="2" t="s">
        <v>26681</v>
      </c>
      <c r="U4041" s="2" t="s">
        <v>56</v>
      </c>
      <c r="V4041" s="2" t="s">
        <v>145</v>
      </c>
      <c r="W4041" s="2" t="s">
        <v>3263</v>
      </c>
      <c r="X4041" s="2" t="s">
        <v>83</v>
      </c>
      <c r="Y4041" s="2">
        <v>36.700000000000003</v>
      </c>
      <c r="Z4041" s="2">
        <v>0</v>
      </c>
      <c r="AA4041" s="2" t="s">
        <v>512</v>
      </c>
      <c r="AB4041" s="2" t="s">
        <v>26682</v>
      </c>
      <c r="AC4041" s="2">
        <v>9.5116782886800006</v>
      </c>
      <c r="AD4041" s="2"/>
      <c r="AE4041" s="2">
        <v>0.1202664055479</v>
      </c>
      <c r="AF4041" s="2">
        <v>35133.609416088097</v>
      </c>
      <c r="AG4041" s="2">
        <v>28375.816043975101</v>
      </c>
      <c r="AH4041" s="5">
        <v>1.23815326972941</v>
      </c>
      <c r="AI4041" s="5">
        <v>0.30818991535328999</v>
      </c>
      <c r="AJ4041" s="5" t="s">
        <v>139</v>
      </c>
      <c r="AK4041" s="2">
        <v>0.67754175074303602</v>
      </c>
      <c r="AL4041" s="2">
        <v>0.84366483046075402</v>
      </c>
      <c r="AM4041" s="2">
        <v>15561.5045848218</v>
      </c>
      <c r="AN4041" s="2">
        <v>2442.6735117056601</v>
      </c>
      <c r="AO4041" s="2">
        <v>85159.693710799096</v>
      </c>
      <c r="AP4041" s="2">
        <v>17478.977624025301</v>
      </c>
      <c r="AQ4041" s="2">
        <v>46408.7122412959</v>
      </c>
      <c r="AR4041" s="2">
        <v>43750.094823881103</v>
      </c>
      <c r="AS4041" s="2">
        <v>5831.6837499283902</v>
      </c>
      <c r="AT4041" s="2">
        <v>8225.4838268625099</v>
      </c>
      <c r="AU4041" s="2">
        <v>20492.783241803201</v>
      </c>
      <c r="AV4041" s="2">
        <v>58596.660045632103</v>
      </c>
      <c r="AW4041" s="2">
        <v>59834.468516921101</v>
      </c>
      <c r="AX4041" s="2">
        <v>17273.816882703399</v>
      </c>
    </row>
    <row r="4042" spans="1:50" x14ac:dyDescent="0.25">
      <c r="A4042" s="2" t="s">
        <v>26683</v>
      </c>
      <c r="B4042" s="2">
        <v>410.17671499722201</v>
      </c>
      <c r="C4042" s="2">
        <v>13.510733333333301</v>
      </c>
      <c r="D4042" s="2" t="s">
        <v>51</v>
      </c>
      <c r="E4042" s="2" t="s">
        <v>26684</v>
      </c>
      <c r="F4042" s="2">
        <v>53321</v>
      </c>
      <c r="G4042" s="3" t="str">
        <f>HYPERLINK("https://cloud.oebiotech.com/#/lm/network/53321", "https://cloud.oebiotech.com/#/lm/network/53321")</f>
        <v>https://cloud.oebiotech.com/#/lm/network/53321</v>
      </c>
      <c r="H4042" s="2" t="s">
        <v>26685</v>
      </c>
      <c r="I4042" s="2"/>
      <c r="J4042" s="2"/>
      <c r="K4042" s="2">
        <v>1548972</v>
      </c>
      <c r="L4042" s="2" t="s">
        <v>26686</v>
      </c>
      <c r="M4042" s="2"/>
      <c r="N4042" s="2"/>
      <c r="O4042" s="2">
        <v>5136</v>
      </c>
      <c r="P4042" s="2"/>
      <c r="Q4042" s="2"/>
      <c r="R4042" s="2" t="s">
        <v>26687</v>
      </c>
      <c r="S4042" s="2" t="s">
        <v>26688</v>
      </c>
      <c r="T4042" s="2" t="s">
        <v>26689</v>
      </c>
      <c r="U4042" s="2" t="s">
        <v>266</v>
      </c>
      <c r="V4042" s="2" t="s">
        <v>8513</v>
      </c>
      <c r="W4042" s="2" t="s">
        <v>8514</v>
      </c>
      <c r="X4042" s="2" t="s">
        <v>147</v>
      </c>
      <c r="Y4042" s="2">
        <v>37.6</v>
      </c>
      <c r="Z4042" s="2">
        <v>0</v>
      </c>
      <c r="AA4042" s="2" t="s">
        <v>163</v>
      </c>
      <c r="AB4042" s="2" t="s">
        <v>26690</v>
      </c>
      <c r="AC4042" s="2">
        <v>-1.4473004519621999</v>
      </c>
      <c r="AD4042" s="2"/>
      <c r="AE4042" s="2">
        <v>0.120195915536397</v>
      </c>
      <c r="AF4042" s="2">
        <v>5885.9698680926203</v>
      </c>
      <c r="AG4042" s="2">
        <v>6680.6174807318803</v>
      </c>
      <c r="AH4042" s="4">
        <v>0.88105177179636895</v>
      </c>
      <c r="AI4042" s="4">
        <v>-0.18270129853467301</v>
      </c>
      <c r="AJ4042" s="4" t="s">
        <v>62</v>
      </c>
      <c r="AK4042" s="2">
        <v>0.32539183513698999</v>
      </c>
      <c r="AL4042" s="2">
        <v>0.62992073899545697</v>
      </c>
      <c r="AM4042" s="2">
        <v>5100.5484004364798</v>
      </c>
      <c r="AN4042" s="2">
        <v>4406.3383194749404</v>
      </c>
      <c r="AO4042" s="2">
        <v>5355.2001145819404</v>
      </c>
      <c r="AP4042" s="2">
        <v>5184.51744130715</v>
      </c>
      <c r="AQ4042" s="2">
        <v>8429.5085070556306</v>
      </c>
      <c r="AR4042" s="2">
        <v>6839.70642569957</v>
      </c>
      <c r="AS4042" s="2">
        <v>6948.8188681547199</v>
      </c>
      <c r="AT4042" s="2">
        <v>8442.6930103208397</v>
      </c>
      <c r="AU4042" s="2">
        <v>6833.1914691493703</v>
      </c>
      <c r="AV4042" s="2">
        <v>6594.5890055151403</v>
      </c>
      <c r="AW4042" s="2">
        <v>6452.4841049998304</v>
      </c>
      <c r="AX4042" s="2">
        <v>4811.9284262513702</v>
      </c>
    </row>
    <row r="4043" spans="1:50" x14ac:dyDescent="0.25">
      <c r="A4043" s="2" t="s">
        <v>26691</v>
      </c>
      <c r="B4043" s="2">
        <v>167.07082800274401</v>
      </c>
      <c r="C4043" s="2">
        <v>4.9764666666666697</v>
      </c>
      <c r="D4043" s="2" t="s">
        <v>51</v>
      </c>
      <c r="E4043" s="2" t="s">
        <v>26692</v>
      </c>
      <c r="F4043" s="2">
        <v>47199</v>
      </c>
      <c r="G4043" s="3" t="str">
        <f>HYPERLINK("https://cloud.oebiotech.com/#/lm/network/47199", "https://cloud.oebiotech.com/#/lm/network/47199")</f>
        <v>https://cloud.oebiotech.com/#/lm/network/47199</v>
      </c>
      <c r="H4043" s="2" t="s">
        <v>26693</v>
      </c>
      <c r="I4043" s="2">
        <v>5745</v>
      </c>
      <c r="J4043" s="2"/>
      <c r="K4043" s="2">
        <v>643327</v>
      </c>
      <c r="L4043" s="2" t="s">
        <v>26694</v>
      </c>
      <c r="M4043" s="2" t="s">
        <v>5698</v>
      </c>
      <c r="N4043" s="2" t="s">
        <v>5699</v>
      </c>
      <c r="O4043" s="2">
        <v>32978</v>
      </c>
      <c r="P4043" s="2"/>
      <c r="Q4043" s="2"/>
      <c r="R4043" s="2" t="s">
        <v>26695</v>
      </c>
      <c r="S4043" s="2" t="s">
        <v>26696</v>
      </c>
      <c r="T4043" s="2" t="s">
        <v>26697</v>
      </c>
      <c r="U4043" s="2" t="s">
        <v>540</v>
      </c>
      <c r="V4043" s="2" t="s">
        <v>1916</v>
      </c>
      <c r="W4043" s="2" t="s">
        <v>240</v>
      </c>
      <c r="X4043" s="2" t="s">
        <v>83</v>
      </c>
      <c r="Y4043" s="2">
        <v>44.8</v>
      </c>
      <c r="Z4043" s="2">
        <v>0</v>
      </c>
      <c r="AA4043" s="2" t="s">
        <v>259</v>
      </c>
      <c r="AB4043" s="2" t="s">
        <v>4935</v>
      </c>
      <c r="AC4043" s="2">
        <v>3.3565055612818502</v>
      </c>
      <c r="AD4043" s="2"/>
      <c r="AE4043" s="2">
        <v>0.119932837049341</v>
      </c>
      <c r="AF4043" s="2">
        <v>1444.99334450061</v>
      </c>
      <c r="AG4043" s="2">
        <v>1041.29821358698</v>
      </c>
      <c r="AH4043" s="5">
        <v>1.3876844554673899</v>
      </c>
      <c r="AI4043" s="5">
        <v>0.472679551859852</v>
      </c>
      <c r="AJ4043" s="5" t="s">
        <v>139</v>
      </c>
      <c r="AK4043" s="2">
        <v>7.1888408518551397E-2</v>
      </c>
      <c r="AL4043" s="2">
        <v>0.35360520412149099</v>
      </c>
      <c r="AM4043" s="2">
        <v>1499.2011587337199</v>
      </c>
      <c r="AN4043" s="2">
        <v>2394.03663007566</v>
      </c>
      <c r="AO4043" s="2">
        <v>1067.8162682761299</v>
      </c>
      <c r="AP4043" s="2">
        <v>1271.95673544545</v>
      </c>
      <c r="AQ4043" s="2">
        <v>1285.0815740645401</v>
      </c>
      <c r="AR4043" s="2">
        <v>1151.8677004081501</v>
      </c>
      <c r="AS4043" s="2">
        <v>1053.0778352617699</v>
      </c>
      <c r="AT4043" s="2">
        <v>1016.54503072619</v>
      </c>
      <c r="AU4043" s="2">
        <v>970.42263509879797</v>
      </c>
      <c r="AV4043" s="2">
        <v>1088.9563687396501</v>
      </c>
      <c r="AW4043" s="2">
        <v>984.37210144324001</v>
      </c>
      <c r="AX4043" s="2">
        <v>1134.41531025221</v>
      </c>
    </row>
    <row r="4044" spans="1:50" x14ac:dyDescent="0.25">
      <c r="A4044" s="2" t="s">
        <v>26698</v>
      </c>
      <c r="B4044" s="2">
        <v>233.15432329024301</v>
      </c>
      <c r="C4044" s="2">
        <v>10.3521</v>
      </c>
      <c r="D4044" s="2" t="s">
        <v>51</v>
      </c>
      <c r="E4044" s="2" t="s">
        <v>26699</v>
      </c>
      <c r="F4044" s="2">
        <v>35602</v>
      </c>
      <c r="G4044" s="3" t="str">
        <f>HYPERLINK("https://cloud.oebiotech.com/#/lm/network/35602", "https://cloud.oebiotech.com/#/lm/network/35602")</f>
        <v>https://cloud.oebiotech.com/#/lm/network/35602</v>
      </c>
      <c r="H4044" s="2"/>
      <c r="I4044" s="2">
        <v>53412</v>
      </c>
      <c r="J4044" s="2" t="s">
        <v>26700</v>
      </c>
      <c r="K4044" s="2">
        <v>72724</v>
      </c>
      <c r="L4044" s="2" t="s">
        <v>26701</v>
      </c>
      <c r="M4044" s="2"/>
      <c r="N4044" s="2"/>
      <c r="O4044" s="2">
        <v>2540</v>
      </c>
      <c r="P4044" s="2"/>
      <c r="Q4044" s="2"/>
      <c r="R4044" s="2" t="s">
        <v>26702</v>
      </c>
      <c r="S4044" s="2" t="s">
        <v>26703</v>
      </c>
      <c r="T4044" s="2" t="s">
        <v>26704</v>
      </c>
      <c r="U4044" s="2" t="s">
        <v>56</v>
      </c>
      <c r="V4044" s="2" t="s">
        <v>177</v>
      </c>
      <c r="W4044" s="2" t="s">
        <v>806</v>
      </c>
      <c r="X4044" s="2" t="s">
        <v>83</v>
      </c>
      <c r="Y4044" s="2">
        <v>46.8</v>
      </c>
      <c r="Z4044" s="2">
        <v>0</v>
      </c>
      <c r="AA4044" s="2" t="s">
        <v>259</v>
      </c>
      <c r="AB4044" s="2" t="s">
        <v>14542</v>
      </c>
      <c r="AC4044" s="2">
        <v>3.08847321902886</v>
      </c>
      <c r="AD4044" s="2"/>
      <c r="AE4044" s="2">
        <v>0.119808056653188</v>
      </c>
      <c r="AF4044" s="2">
        <v>3079.33670639721</v>
      </c>
      <c r="AG4044" s="2">
        <v>2336.6557257047298</v>
      </c>
      <c r="AH4044" s="5">
        <v>1.3178392830927199</v>
      </c>
      <c r="AI4044" s="5">
        <v>0.398174437399748</v>
      </c>
      <c r="AJ4044" s="5" t="s">
        <v>139</v>
      </c>
      <c r="AK4044" s="2">
        <v>0.25518007935919401</v>
      </c>
      <c r="AL4044" s="2">
        <v>0.57802523126880301</v>
      </c>
      <c r="AM4044" s="2">
        <v>2371.0381639663301</v>
      </c>
      <c r="AN4044" s="2">
        <v>4175.1101221070503</v>
      </c>
      <c r="AO4044" s="2">
        <v>3123.9723729054899</v>
      </c>
      <c r="AP4044" s="2">
        <v>4197.0447273444497</v>
      </c>
      <c r="AQ4044" s="2">
        <v>1692.0975291516299</v>
      </c>
      <c r="AR4044" s="2">
        <v>2916.7573229083</v>
      </c>
      <c r="AS4044" s="2">
        <v>3539.6719229305199</v>
      </c>
      <c r="AT4044" s="2">
        <v>3362.93962260544</v>
      </c>
      <c r="AU4044" s="2">
        <v>1734.2312033698299</v>
      </c>
      <c r="AV4044" s="2">
        <v>739.09231324574398</v>
      </c>
      <c r="AW4044" s="2">
        <v>1602.1899487969099</v>
      </c>
      <c r="AX4044" s="2">
        <v>3041.8093432799301</v>
      </c>
    </row>
    <row r="4045" spans="1:50" x14ac:dyDescent="0.25">
      <c r="A4045" s="2" t="s">
        <v>26705</v>
      </c>
      <c r="B4045" s="2">
        <v>345.14577624185199</v>
      </c>
      <c r="C4045" s="2">
        <v>6.7833500000000004</v>
      </c>
      <c r="D4045" s="2" t="s">
        <v>51</v>
      </c>
      <c r="E4045" s="2" t="s">
        <v>26706</v>
      </c>
      <c r="F4045" s="2">
        <v>199957</v>
      </c>
      <c r="G4045" s="3" t="str">
        <f>HYPERLINK("https://cloud.oebiotech.com/#/lm/network/199957", "https://cloud.oebiotech.com/#/lm/network/199957")</f>
        <v>https://cloud.oebiotech.com/#/lm/network/199957</v>
      </c>
      <c r="H4045" s="2" t="s">
        <v>26707</v>
      </c>
      <c r="I4045" s="2">
        <v>335484</v>
      </c>
      <c r="J4045" s="2"/>
      <c r="K4045" s="2">
        <v>67108</v>
      </c>
      <c r="L4045" s="2"/>
      <c r="M4045" s="2"/>
      <c r="N4045" s="2"/>
      <c r="O4045" s="2"/>
      <c r="P4045" s="2"/>
      <c r="Q4045" s="2"/>
      <c r="R4045" s="2"/>
      <c r="S4045" s="2" t="s">
        <v>26708</v>
      </c>
      <c r="T4045" s="2" t="s">
        <v>26709</v>
      </c>
      <c r="U4045" s="2" t="s">
        <v>610</v>
      </c>
      <c r="V4045" s="2" t="s">
        <v>611</v>
      </c>
      <c r="W4045" s="2" t="s">
        <v>1267</v>
      </c>
      <c r="X4045" s="2" t="s">
        <v>147</v>
      </c>
      <c r="Y4045" s="2">
        <v>40.700000000000003</v>
      </c>
      <c r="Z4045" s="2">
        <v>7.19</v>
      </c>
      <c r="AA4045" s="2" t="s">
        <v>218</v>
      </c>
      <c r="AB4045" s="2" t="s">
        <v>26710</v>
      </c>
      <c r="AC4045" s="2">
        <v>0.60257785489424798</v>
      </c>
      <c r="AD4045" s="2"/>
      <c r="AE4045" s="2">
        <v>0.119792301057418</v>
      </c>
      <c r="AF4045" s="2">
        <v>28120.6867683725</v>
      </c>
      <c r="AG4045" s="2">
        <v>24264.1208356071</v>
      </c>
      <c r="AH4045" s="5">
        <v>1.1589410949151699</v>
      </c>
      <c r="AI4045" s="5">
        <v>0.21280724086258701</v>
      </c>
      <c r="AJ4045" s="5" t="s">
        <v>139</v>
      </c>
      <c r="AK4045" s="2">
        <v>0.63129799829803601</v>
      </c>
      <c r="AL4045" s="2">
        <v>0.81941762481316904</v>
      </c>
      <c r="AM4045" s="2">
        <v>30073.1976725893</v>
      </c>
      <c r="AN4045" s="2">
        <v>23496.6691833242</v>
      </c>
      <c r="AO4045" s="2">
        <v>32176.915359428898</v>
      </c>
      <c r="AP4045" s="2">
        <v>38174.131095899596</v>
      </c>
      <c r="AQ4045" s="2">
        <v>19608.202768687199</v>
      </c>
      <c r="AR4045" s="2">
        <v>25195.004530305901</v>
      </c>
      <c r="AS4045" s="2">
        <v>57536.686267156001</v>
      </c>
      <c r="AT4045" s="2">
        <v>24875.531377727399</v>
      </c>
      <c r="AU4045" s="2">
        <v>8319.1439190912406</v>
      </c>
      <c r="AV4045" s="2">
        <v>14600.1827307576</v>
      </c>
      <c r="AW4045" s="2">
        <v>27474.758639242998</v>
      </c>
      <c r="AX4045" s="2">
        <v>12778.4220796672</v>
      </c>
    </row>
    <row r="4046" spans="1:50" x14ac:dyDescent="0.25">
      <c r="A4046" s="2" t="s">
        <v>26711</v>
      </c>
      <c r="B4046" s="2">
        <v>316.03603888718902</v>
      </c>
      <c r="C4046" s="2">
        <v>2.0831833333333298</v>
      </c>
      <c r="D4046" s="2" t="s">
        <v>51</v>
      </c>
      <c r="E4046" s="2" t="s">
        <v>26712</v>
      </c>
      <c r="F4046" s="2">
        <v>206718</v>
      </c>
      <c r="G4046" s="3" t="str">
        <f>HYPERLINK("https://cloud.oebiotech.com/#/lm/network/206718", "https://cloud.oebiotech.com/#/lm/network/206718")</f>
        <v>https://cloud.oebiotech.com/#/lm/network/206718</v>
      </c>
      <c r="H4046" s="2" t="s">
        <v>26713</v>
      </c>
      <c r="I4046" s="2">
        <v>331442</v>
      </c>
      <c r="J4046" s="2"/>
      <c r="K4046" s="2">
        <v>86134</v>
      </c>
      <c r="L4046" s="2"/>
      <c r="M4046" s="2"/>
      <c r="N4046" s="2"/>
      <c r="O4046" s="2"/>
      <c r="P4046" s="2"/>
      <c r="Q4046" s="2"/>
      <c r="R4046" s="2"/>
      <c r="S4046" s="2" t="s">
        <v>26714</v>
      </c>
      <c r="T4046" s="2" t="s">
        <v>26715</v>
      </c>
      <c r="U4046" s="2" t="s">
        <v>610</v>
      </c>
      <c r="V4046" s="2" t="s">
        <v>611</v>
      </c>
      <c r="W4046" s="2" t="s">
        <v>26716</v>
      </c>
      <c r="X4046" s="2" t="s">
        <v>147</v>
      </c>
      <c r="Y4046" s="2">
        <v>40.4</v>
      </c>
      <c r="Z4046" s="2">
        <v>42.8</v>
      </c>
      <c r="AA4046" s="2" t="s">
        <v>156</v>
      </c>
      <c r="AB4046" s="2" t="s">
        <v>26717</v>
      </c>
      <c r="AC4046" s="2">
        <v>-3.2219822306050498</v>
      </c>
      <c r="AD4046" s="2"/>
      <c r="AE4046" s="2">
        <v>0.11968341088546</v>
      </c>
      <c r="AF4046" s="2">
        <v>2231.2752776756402</v>
      </c>
      <c r="AG4046" s="2">
        <v>2968.8065825547501</v>
      </c>
      <c r="AH4046" s="4">
        <v>0.75157313743071796</v>
      </c>
      <c r="AI4046" s="4">
        <v>-0.412014591711164</v>
      </c>
      <c r="AJ4046" s="4" t="s">
        <v>62</v>
      </c>
      <c r="AK4046" s="2">
        <v>0.24901979118163001</v>
      </c>
      <c r="AL4046" s="2">
        <v>0.57213869956601804</v>
      </c>
      <c r="AM4046" s="2">
        <v>2330.9367053716001</v>
      </c>
      <c r="AN4046" s="2">
        <v>2663.6014902992501</v>
      </c>
      <c r="AO4046" s="2">
        <v>1786.78432030303</v>
      </c>
      <c r="AP4046" s="2">
        <v>2283.9461557132799</v>
      </c>
      <c r="AQ4046" s="2">
        <v>3528.4480887357799</v>
      </c>
      <c r="AR4046" s="2">
        <v>793.934905630907</v>
      </c>
      <c r="AS4046" s="2">
        <v>2700.0747164842301</v>
      </c>
      <c r="AT4046" s="2">
        <v>1925.8923870193</v>
      </c>
      <c r="AU4046" s="2">
        <v>3753.2763860990099</v>
      </c>
      <c r="AV4046" s="2">
        <v>1342.44102115342</v>
      </c>
      <c r="AW4046" s="2">
        <v>3982.7124301737099</v>
      </c>
      <c r="AX4046" s="2">
        <v>4108.44255439884</v>
      </c>
    </row>
    <row r="4047" spans="1:50" x14ac:dyDescent="0.25">
      <c r="A4047" s="2" t="s">
        <v>26718</v>
      </c>
      <c r="B4047" s="2">
        <v>398.17957021768302</v>
      </c>
      <c r="C4047" s="2">
        <v>5.1680666666666699</v>
      </c>
      <c r="D4047" s="2" t="s">
        <v>51</v>
      </c>
      <c r="E4047" s="2" t="s">
        <v>26719</v>
      </c>
      <c r="F4047" s="2">
        <v>208978</v>
      </c>
      <c r="G4047" s="3" t="str">
        <f>HYPERLINK("https://cloud.oebiotech.com/#/lm/network/208978", "https://cloud.oebiotech.com/#/lm/network/208978")</f>
        <v>https://cloud.oebiotech.com/#/lm/network/208978</v>
      </c>
      <c r="H4047" s="2" t="s">
        <v>26720</v>
      </c>
      <c r="I4047" s="2"/>
      <c r="J4047" s="2"/>
      <c r="K4047" s="2"/>
      <c r="L4047" s="2"/>
      <c r="M4047" s="2"/>
      <c r="N4047" s="2"/>
      <c r="O4047" s="2"/>
      <c r="P4047" s="2"/>
      <c r="Q4047" s="2"/>
      <c r="R4047" s="2"/>
      <c r="S4047" s="2" t="s">
        <v>26721</v>
      </c>
      <c r="T4047" s="2" t="s">
        <v>26722</v>
      </c>
      <c r="U4047" s="2" t="s">
        <v>266</v>
      </c>
      <c r="V4047" s="2" t="s">
        <v>2143</v>
      </c>
      <c r="W4047" s="2" t="s">
        <v>2144</v>
      </c>
      <c r="X4047" s="2" t="s">
        <v>147</v>
      </c>
      <c r="Y4047" s="2">
        <v>39.5</v>
      </c>
      <c r="Z4047" s="2">
        <v>15.6</v>
      </c>
      <c r="AA4047" s="2" t="s">
        <v>163</v>
      </c>
      <c r="AB4047" s="2" t="s">
        <v>26723</v>
      </c>
      <c r="AC4047" s="2">
        <v>7.9802668646931293E-2</v>
      </c>
      <c r="AD4047" s="2"/>
      <c r="AE4047" s="2">
        <v>0.119667290084565</v>
      </c>
      <c r="AF4047" s="2">
        <v>1269.25187567597</v>
      </c>
      <c r="AG4047" s="2">
        <v>565.45479232678304</v>
      </c>
      <c r="AH4047" s="5">
        <v>2.2446566779514701</v>
      </c>
      <c r="AI4047" s="5">
        <v>1.16649480047027</v>
      </c>
      <c r="AJ4047" s="5" t="s">
        <v>139</v>
      </c>
      <c r="AK4047" s="2">
        <v>0.15213525281005499</v>
      </c>
      <c r="AL4047" s="2">
        <v>0.47358936336851498</v>
      </c>
      <c r="AM4047" s="2">
        <v>673.79289279313298</v>
      </c>
      <c r="AN4047" s="2">
        <v>1060.1668459601201</v>
      </c>
      <c r="AO4047" s="2">
        <v>2866.4371584116602</v>
      </c>
      <c r="AP4047" s="2">
        <v>1844.12349008707</v>
      </c>
      <c r="AQ4047" s="2">
        <v>8.559877937157E-6</v>
      </c>
      <c r="AR4047" s="2">
        <v>1170.99085824398</v>
      </c>
      <c r="AS4047" s="2">
        <v>8.559877937157E-6</v>
      </c>
      <c r="AT4047" s="2">
        <v>400.98220644693203</v>
      </c>
      <c r="AU4047" s="2">
        <v>322.51190862570201</v>
      </c>
      <c r="AV4047" s="2">
        <v>1126.8295845017001</v>
      </c>
      <c r="AW4047" s="2">
        <v>1259.80655104991</v>
      </c>
      <c r="AX4047" s="2">
        <v>282.59849477657701</v>
      </c>
    </row>
    <row r="4048" spans="1:50" x14ac:dyDescent="0.25">
      <c r="A4048" s="2" t="s">
        <v>26724</v>
      </c>
      <c r="B4048" s="2">
        <v>319.16750000000002</v>
      </c>
      <c r="C4048" s="2">
        <v>21.812000000000001</v>
      </c>
      <c r="D4048" s="2" t="s">
        <v>125</v>
      </c>
      <c r="E4048" s="2" t="s">
        <v>26725</v>
      </c>
      <c r="F4048" s="2">
        <v>545469</v>
      </c>
      <c r="G4048" s="3" t="str">
        <f>HYPERLINK("https://cloud.oebiotech.com/#/lm/network/545469", "https://cloud.oebiotech.com/#/lm/network/545469")</f>
        <v>https://cloud.oebiotech.com/#/lm/network/545469</v>
      </c>
      <c r="H4048" s="2"/>
      <c r="I4048" s="2"/>
      <c r="J4048" s="2"/>
      <c r="K4048" s="2">
        <v>5459879</v>
      </c>
      <c r="L4048" s="2"/>
      <c r="M4048" s="2"/>
      <c r="N4048" s="2"/>
      <c r="O4048" s="2"/>
      <c r="P4048" s="2"/>
      <c r="Q4048" s="2"/>
      <c r="R4048" s="2"/>
      <c r="S4048" s="2" t="s">
        <v>26726</v>
      </c>
      <c r="T4048" s="2" t="s">
        <v>26727</v>
      </c>
      <c r="U4048" s="2" t="s">
        <v>331</v>
      </c>
      <c r="V4048" s="2" t="s">
        <v>332</v>
      </c>
      <c r="W4048" s="2" t="s">
        <v>333</v>
      </c>
      <c r="X4048" s="2" t="s">
        <v>69</v>
      </c>
      <c r="Y4048" s="2">
        <v>95.9</v>
      </c>
      <c r="Z4048" s="2">
        <v>95.3</v>
      </c>
      <c r="AA4048" s="2"/>
      <c r="AB4048" s="2" t="s">
        <v>26728</v>
      </c>
      <c r="AC4048" s="2"/>
      <c r="AD4048" s="2">
        <v>745694.84342379996</v>
      </c>
      <c r="AE4048" s="2">
        <v>0.119627898193569</v>
      </c>
      <c r="AF4048" s="2">
        <v>98329.491509581101</v>
      </c>
      <c r="AG4048" s="2">
        <v>87361.406425356297</v>
      </c>
      <c r="AH4048" s="5">
        <v>1.12554840327114</v>
      </c>
      <c r="AI4048" s="5">
        <v>0.170628100024145</v>
      </c>
      <c r="AJ4048" s="5" t="s">
        <v>139</v>
      </c>
      <c r="AK4048" s="2">
        <v>0.79014438311049495</v>
      </c>
      <c r="AL4048" s="2">
        <v>0.90720404853569203</v>
      </c>
      <c r="AM4048" s="2">
        <v>123257.32626936999</v>
      </c>
      <c r="AN4048" s="2">
        <v>112934.347860365</v>
      </c>
      <c r="AO4048" s="2">
        <v>75352.994283672</v>
      </c>
      <c r="AP4048" s="2">
        <v>217131.503528892</v>
      </c>
      <c r="AQ4048" s="2">
        <v>47298.014466522101</v>
      </c>
      <c r="AR4048" s="2">
        <v>14002.762648665301</v>
      </c>
      <c r="AS4048" s="2">
        <v>14626.434920259901</v>
      </c>
      <c r="AT4048" s="2">
        <v>125803.382452702</v>
      </c>
      <c r="AU4048" s="2">
        <v>164434.06051061401</v>
      </c>
      <c r="AV4048" s="2">
        <v>152298.58939345099</v>
      </c>
      <c r="AW4048" s="2">
        <v>47292.112039933199</v>
      </c>
      <c r="AX4048" s="2">
        <v>19713.859235177701</v>
      </c>
    </row>
    <row r="4049" spans="1:50" x14ac:dyDescent="0.25">
      <c r="A4049" s="2" t="s">
        <v>26729</v>
      </c>
      <c r="B4049" s="2">
        <v>187.10806176122901</v>
      </c>
      <c r="C4049" s="2">
        <v>1.5769166666666701</v>
      </c>
      <c r="D4049" s="2" t="s">
        <v>51</v>
      </c>
      <c r="E4049" s="2" t="s">
        <v>26730</v>
      </c>
      <c r="F4049" s="2">
        <v>202199</v>
      </c>
      <c r="G4049" s="3" t="str">
        <f>HYPERLINK("https://cloud.oebiotech.com/#/lm/network/202199", "https://cloud.oebiotech.com/#/lm/network/202199")</f>
        <v>https://cloud.oebiotech.com/#/lm/network/202199</v>
      </c>
      <c r="H4049" s="2" t="s">
        <v>26731</v>
      </c>
      <c r="I4049" s="2"/>
      <c r="J4049" s="2"/>
      <c r="K4049" s="2">
        <v>23147649</v>
      </c>
      <c r="L4049" s="2"/>
      <c r="M4049" s="2"/>
      <c r="N4049" s="2"/>
      <c r="O4049" s="2"/>
      <c r="P4049" s="2"/>
      <c r="Q4049" s="2"/>
      <c r="R4049" s="2"/>
      <c r="S4049" s="2" t="s">
        <v>26732</v>
      </c>
      <c r="T4049" s="2" t="s">
        <v>26733</v>
      </c>
      <c r="U4049" s="2" t="s">
        <v>103</v>
      </c>
      <c r="V4049" s="2" t="s">
        <v>104</v>
      </c>
      <c r="W4049" s="2" t="s">
        <v>105</v>
      </c>
      <c r="X4049" s="2" t="s">
        <v>83</v>
      </c>
      <c r="Y4049" s="2">
        <v>45.2</v>
      </c>
      <c r="Z4049" s="2">
        <v>0</v>
      </c>
      <c r="AA4049" s="2" t="s">
        <v>163</v>
      </c>
      <c r="AB4049" s="2" t="s">
        <v>14061</v>
      </c>
      <c r="AC4049" s="2">
        <v>-4.0091634993417502</v>
      </c>
      <c r="AD4049" s="2"/>
      <c r="AE4049" s="2">
        <v>0.11951478919745601</v>
      </c>
      <c r="AF4049" s="2">
        <v>7684.6661737427303</v>
      </c>
      <c r="AG4049" s="2">
        <v>9214.3435918360701</v>
      </c>
      <c r="AH4049" s="4">
        <v>0.83398954002012304</v>
      </c>
      <c r="AI4049" s="4">
        <v>-0.26189880552884998</v>
      </c>
      <c r="AJ4049" s="4" t="s">
        <v>62</v>
      </c>
      <c r="AK4049" s="2">
        <v>0.72332496992519801</v>
      </c>
      <c r="AL4049" s="2">
        <v>0.87187773547340697</v>
      </c>
      <c r="AM4049" s="2">
        <v>9012.6844110766506</v>
      </c>
      <c r="AN4049" s="2">
        <v>4176.6987424257904</v>
      </c>
      <c r="AO4049" s="2">
        <v>9403.5457006453908</v>
      </c>
      <c r="AP4049" s="2">
        <v>7823.3244711104198</v>
      </c>
      <c r="AQ4049" s="2">
        <v>7317.0651287085502</v>
      </c>
      <c r="AR4049" s="2">
        <v>8374.6785884895908</v>
      </c>
      <c r="AS4049" s="2">
        <v>280.56220654777002</v>
      </c>
      <c r="AT4049" s="2">
        <v>4136.8704674334203</v>
      </c>
      <c r="AU4049" s="2">
        <v>6429.1799107983697</v>
      </c>
      <c r="AV4049" s="2">
        <v>11255.1101607275</v>
      </c>
      <c r="AW4049" s="2">
        <v>4648.0113560605596</v>
      </c>
      <c r="AX4049" s="2">
        <v>28536.3274494488</v>
      </c>
    </row>
    <row r="4050" spans="1:50" x14ac:dyDescent="0.25">
      <c r="A4050" s="2" t="s">
        <v>26734</v>
      </c>
      <c r="B4050" s="2">
        <v>234.98328358683901</v>
      </c>
      <c r="C4050" s="2">
        <v>8.2687333333333299</v>
      </c>
      <c r="D4050" s="2" t="s">
        <v>51</v>
      </c>
      <c r="E4050" s="2" t="s">
        <v>26735</v>
      </c>
      <c r="F4050" s="2">
        <v>210135</v>
      </c>
      <c r="G4050" s="3" t="str">
        <f>HYPERLINK("https://cloud.oebiotech.com/#/lm/network/210135", "https://cloud.oebiotech.com/#/lm/network/210135")</f>
        <v>https://cloud.oebiotech.com/#/lm/network/210135</v>
      </c>
      <c r="H4050" s="2" t="s">
        <v>26736</v>
      </c>
      <c r="I4050" s="2"/>
      <c r="J4050" s="2"/>
      <c r="K4050" s="2">
        <v>86755199</v>
      </c>
      <c r="L4050" s="2"/>
      <c r="M4050" s="2"/>
      <c r="N4050" s="2"/>
      <c r="O4050" s="2"/>
      <c r="P4050" s="2"/>
      <c r="Q4050" s="2"/>
      <c r="R4050" s="2"/>
      <c r="S4050" s="2" t="s">
        <v>26737</v>
      </c>
      <c r="T4050" s="2" t="s">
        <v>26738</v>
      </c>
      <c r="U4050" s="2" t="s">
        <v>610</v>
      </c>
      <c r="V4050" s="2" t="s">
        <v>611</v>
      </c>
      <c r="W4050" s="2" t="s">
        <v>26739</v>
      </c>
      <c r="X4050" s="2" t="s">
        <v>147</v>
      </c>
      <c r="Y4050" s="2">
        <v>42.3</v>
      </c>
      <c r="Z4050" s="2">
        <v>24.2</v>
      </c>
      <c r="AA4050" s="2" t="s">
        <v>379</v>
      </c>
      <c r="AB4050" s="2" t="s">
        <v>26740</v>
      </c>
      <c r="AC4050" s="2">
        <v>3.5025634854432002</v>
      </c>
      <c r="AD4050" s="2"/>
      <c r="AE4050" s="2">
        <v>0.119475631096835</v>
      </c>
      <c r="AF4050" s="2">
        <v>4085.8090767840199</v>
      </c>
      <c r="AG4050" s="2">
        <v>4651.4616033862803</v>
      </c>
      <c r="AH4050" s="4">
        <v>0.87839251942003305</v>
      </c>
      <c r="AI4050" s="4">
        <v>-0.187062326793768</v>
      </c>
      <c r="AJ4050" s="4" t="s">
        <v>62</v>
      </c>
      <c r="AK4050" s="2">
        <v>0.32588759135798601</v>
      </c>
      <c r="AL4050" s="2">
        <v>0.62992073899545697</v>
      </c>
      <c r="AM4050" s="2">
        <v>4350.8670193568496</v>
      </c>
      <c r="AN4050" s="2">
        <v>3880.1662125210401</v>
      </c>
      <c r="AO4050" s="2">
        <v>4334.8070992779403</v>
      </c>
      <c r="AP4050" s="2">
        <v>4548.8970447414804</v>
      </c>
      <c r="AQ4050" s="2">
        <v>4222.0211274039102</v>
      </c>
      <c r="AR4050" s="2">
        <v>3178.0959574029298</v>
      </c>
      <c r="AS4050" s="2">
        <v>6683.1676172048501</v>
      </c>
      <c r="AT4050" s="2">
        <v>3796.40293490672</v>
      </c>
      <c r="AU4050" s="2">
        <v>3433.9442976239902</v>
      </c>
      <c r="AV4050" s="2">
        <v>4728.0083247495704</v>
      </c>
      <c r="AW4050" s="2">
        <v>3792.7695945025998</v>
      </c>
      <c r="AX4050" s="2">
        <v>5474.4768513299796</v>
      </c>
    </row>
    <row r="4051" spans="1:50" x14ac:dyDescent="0.25">
      <c r="A4051" s="2" t="s">
        <v>26741</v>
      </c>
      <c r="B4051" s="2">
        <v>418.08458505374102</v>
      </c>
      <c r="C4051" s="2">
        <v>1.02813333333333</v>
      </c>
      <c r="D4051" s="2" t="s">
        <v>51</v>
      </c>
      <c r="E4051" s="2" t="s">
        <v>26742</v>
      </c>
      <c r="F4051" s="2">
        <v>203884</v>
      </c>
      <c r="G4051" s="3" t="str">
        <f>HYPERLINK("https://cloud.oebiotech.com/#/lm/network/203884", "https://cloud.oebiotech.com/#/lm/network/203884")</f>
        <v>https://cloud.oebiotech.com/#/lm/network/203884</v>
      </c>
      <c r="H4051" s="2" t="s">
        <v>26743</v>
      </c>
      <c r="I4051" s="2"/>
      <c r="J4051" s="2"/>
      <c r="K4051" s="2">
        <v>9889200</v>
      </c>
      <c r="L4051" s="2"/>
      <c r="M4051" s="2"/>
      <c r="N4051" s="2"/>
      <c r="O4051" s="2"/>
      <c r="P4051" s="2"/>
      <c r="Q4051" s="2"/>
      <c r="R4051" s="2"/>
      <c r="S4051" s="2" t="s">
        <v>26744</v>
      </c>
      <c r="T4051" s="2" t="s">
        <v>26745</v>
      </c>
      <c r="U4051" s="2" t="s">
        <v>266</v>
      </c>
      <c r="V4051" s="2" t="s">
        <v>6667</v>
      </c>
      <c r="W4051" s="2" t="s">
        <v>6668</v>
      </c>
      <c r="X4051" s="2" t="s">
        <v>147</v>
      </c>
      <c r="Y4051" s="2">
        <v>36.5</v>
      </c>
      <c r="Z4051" s="2">
        <v>0</v>
      </c>
      <c r="AA4051" s="2" t="s">
        <v>95</v>
      </c>
      <c r="AB4051" s="2" t="s">
        <v>26746</v>
      </c>
      <c r="AC4051" s="2">
        <v>3.5114073905179701</v>
      </c>
      <c r="AD4051" s="2"/>
      <c r="AE4051" s="2">
        <v>0.119464021708909</v>
      </c>
      <c r="AF4051" s="2">
        <v>1739.9032069427201</v>
      </c>
      <c r="AG4051" s="2">
        <v>2516.9053660702298</v>
      </c>
      <c r="AH4051" s="4">
        <v>0.69128670088192901</v>
      </c>
      <c r="AI4051" s="4">
        <v>-0.53264392384409898</v>
      </c>
      <c r="AJ4051" s="4" t="s">
        <v>62</v>
      </c>
      <c r="AK4051" s="2">
        <v>0.245703489386119</v>
      </c>
      <c r="AL4051" s="2">
        <v>0.57060798295178805</v>
      </c>
      <c r="AM4051" s="2">
        <v>2115.3009944978098</v>
      </c>
      <c r="AN4051" s="2">
        <v>585.19105660313801</v>
      </c>
      <c r="AO4051" s="2">
        <v>2477.1303805390698</v>
      </c>
      <c r="AP4051" s="2">
        <v>2402.42292057957</v>
      </c>
      <c r="AQ4051" s="2">
        <v>1672.8344735768101</v>
      </c>
      <c r="AR4051" s="2">
        <v>1186.5394158598999</v>
      </c>
      <c r="AS4051" s="2">
        <v>814.96109582171903</v>
      </c>
      <c r="AT4051" s="2">
        <v>1508.4953669813899</v>
      </c>
      <c r="AU4051" s="2">
        <v>4145.2687916841796</v>
      </c>
      <c r="AV4051" s="2">
        <v>2224.0090914811799</v>
      </c>
      <c r="AW4051" s="2">
        <v>2325.0812167234699</v>
      </c>
      <c r="AX4051" s="2">
        <v>4083.6166337294599</v>
      </c>
    </row>
    <row r="4052" spans="1:50" x14ac:dyDescent="0.25">
      <c r="A4052" s="2" t="s">
        <v>26747</v>
      </c>
      <c r="B4052" s="2">
        <v>695.34244612433201</v>
      </c>
      <c r="C4052" s="2">
        <v>4.5462333333333298</v>
      </c>
      <c r="D4052" s="2" t="s">
        <v>51</v>
      </c>
      <c r="E4052" s="2" t="s">
        <v>26748</v>
      </c>
      <c r="F4052" s="2">
        <v>209492</v>
      </c>
      <c r="G4052" s="3" t="str">
        <f>HYPERLINK("https://cloud.oebiotech.com/#/lm/network/209492", "https://cloud.oebiotech.com/#/lm/network/209492")</f>
        <v>https://cloud.oebiotech.com/#/lm/network/209492</v>
      </c>
      <c r="H4052" s="2" t="s">
        <v>26749</v>
      </c>
      <c r="I4052" s="2"/>
      <c r="J4052" s="2"/>
      <c r="K4052" s="2"/>
      <c r="L4052" s="2"/>
      <c r="M4052" s="2"/>
      <c r="N4052" s="2"/>
      <c r="O4052" s="2"/>
      <c r="P4052" s="2"/>
      <c r="Q4052" s="2"/>
      <c r="R4052" s="2"/>
      <c r="S4052" s="2" t="s">
        <v>26750</v>
      </c>
      <c r="T4052" s="2" t="s">
        <v>26751</v>
      </c>
      <c r="U4052" s="2" t="s">
        <v>103</v>
      </c>
      <c r="V4052" s="2" t="s">
        <v>104</v>
      </c>
      <c r="W4052" s="2" t="s">
        <v>105</v>
      </c>
      <c r="X4052" s="2" t="s">
        <v>147</v>
      </c>
      <c r="Y4052" s="2">
        <v>37.1</v>
      </c>
      <c r="Z4052" s="2">
        <v>0</v>
      </c>
      <c r="AA4052" s="2" t="s">
        <v>259</v>
      </c>
      <c r="AB4052" s="2" t="s">
        <v>26752</v>
      </c>
      <c r="AC4052" s="2">
        <v>8.9766398318134905E-2</v>
      </c>
      <c r="AD4052" s="2"/>
      <c r="AE4052" s="2">
        <v>0.119433208225444</v>
      </c>
      <c r="AF4052" s="2">
        <v>4541.2070982325204</v>
      </c>
      <c r="AG4052" s="2">
        <v>5916.7774989776399</v>
      </c>
      <c r="AH4052" s="4">
        <v>0.76751358303015305</v>
      </c>
      <c r="AI4052" s="4">
        <v>-0.38173581216110603</v>
      </c>
      <c r="AJ4052" s="4" t="s">
        <v>62</v>
      </c>
      <c r="AK4052" s="2">
        <v>0.77839525627504802</v>
      </c>
      <c r="AL4052" s="2">
        <v>0.90207547072125005</v>
      </c>
      <c r="AM4052" s="2">
        <v>5066.1134767544299</v>
      </c>
      <c r="AN4052" s="2">
        <v>5791.7302480050603</v>
      </c>
      <c r="AO4052" s="2">
        <v>5566.1932698165401</v>
      </c>
      <c r="AP4052" s="2">
        <v>8.559877937157E-6</v>
      </c>
      <c r="AQ4052" s="2">
        <v>1927.64487225365</v>
      </c>
      <c r="AR4052" s="2">
        <v>8895.5607140055399</v>
      </c>
      <c r="AS4052" s="2">
        <v>8.559877937157E-6</v>
      </c>
      <c r="AT4052" s="2">
        <v>8.559877937157E-6</v>
      </c>
      <c r="AU4052" s="2">
        <v>8.559877937157E-6</v>
      </c>
      <c r="AV4052" s="2">
        <v>28559.921396473801</v>
      </c>
      <c r="AW4052" s="2">
        <v>3259.7072038669698</v>
      </c>
      <c r="AX4052" s="2">
        <v>3681.0363678454501</v>
      </c>
    </row>
    <row r="4053" spans="1:50" x14ac:dyDescent="0.25">
      <c r="A4053" s="2" t="s">
        <v>26753</v>
      </c>
      <c r="B4053" s="2">
        <v>179.01351802178701</v>
      </c>
      <c r="C4053" s="2">
        <v>1.00901666666667</v>
      </c>
      <c r="D4053" s="2" t="s">
        <v>51</v>
      </c>
      <c r="E4053" s="2" t="s">
        <v>26754</v>
      </c>
      <c r="F4053" s="2">
        <v>56705</v>
      </c>
      <c r="G4053" s="3" t="str">
        <f>HYPERLINK("https://cloud.oebiotech.com/#/lm/network/56705", "https://cloud.oebiotech.com/#/lm/network/56705")</f>
        <v>https://cloud.oebiotech.com/#/lm/network/56705</v>
      </c>
      <c r="H4053" s="2" t="s">
        <v>26755</v>
      </c>
      <c r="I4053" s="2">
        <v>88371</v>
      </c>
      <c r="J4053" s="2"/>
      <c r="K4053" s="2">
        <v>14837639</v>
      </c>
      <c r="L4053" s="2"/>
      <c r="M4053" s="2"/>
      <c r="N4053" s="2"/>
      <c r="O4053" s="2">
        <v>173664</v>
      </c>
      <c r="P4053" s="2"/>
      <c r="Q4053" s="2"/>
      <c r="R4053" s="2" t="s">
        <v>26756</v>
      </c>
      <c r="S4053" s="2" t="s">
        <v>26757</v>
      </c>
      <c r="T4053" s="2" t="s">
        <v>26758</v>
      </c>
      <c r="U4053" s="2" t="s">
        <v>331</v>
      </c>
      <c r="V4053" s="2" t="s">
        <v>332</v>
      </c>
      <c r="W4053" s="2" t="s">
        <v>1207</v>
      </c>
      <c r="X4053" s="2" t="s">
        <v>147</v>
      </c>
      <c r="Y4053" s="2">
        <v>44</v>
      </c>
      <c r="Z4053" s="2">
        <v>33</v>
      </c>
      <c r="AA4053" s="2" t="s">
        <v>95</v>
      </c>
      <c r="AB4053" s="2" t="s">
        <v>26759</v>
      </c>
      <c r="AC4053" s="2">
        <v>-1.3020640528924401</v>
      </c>
      <c r="AD4053" s="2"/>
      <c r="AE4053" s="2">
        <v>0.119422008092172</v>
      </c>
      <c r="AF4053" s="2">
        <v>9367.6752046194306</v>
      </c>
      <c r="AG4053" s="2">
        <v>8925.2538055651094</v>
      </c>
      <c r="AH4053" s="5">
        <v>1.0495696154633101</v>
      </c>
      <c r="AI4053" s="5">
        <v>6.9797860344068499E-2</v>
      </c>
      <c r="AJ4053" s="5" t="s">
        <v>139</v>
      </c>
      <c r="AK4053" s="2">
        <v>0.72848222482957004</v>
      </c>
      <c r="AL4053" s="2">
        <v>0.87479752605444205</v>
      </c>
      <c r="AM4053" s="2">
        <v>13499.0339219989</v>
      </c>
      <c r="AN4053" s="2">
        <v>9248.0721280009093</v>
      </c>
      <c r="AO4053" s="2">
        <v>8842.76236383184</v>
      </c>
      <c r="AP4053" s="2">
        <v>10375.5423179681</v>
      </c>
      <c r="AQ4053" s="2">
        <v>8505.9641021725693</v>
      </c>
      <c r="AR4053" s="2">
        <v>5734.6763937442702</v>
      </c>
      <c r="AS4053" s="2">
        <v>7262.3360264827897</v>
      </c>
      <c r="AT4053" s="2">
        <v>10407.4189517921</v>
      </c>
      <c r="AU4053" s="2">
        <v>10543.8851497548</v>
      </c>
      <c r="AV4053" s="2">
        <v>6961.839948199</v>
      </c>
      <c r="AW4053" s="2">
        <v>10230.603262390399</v>
      </c>
      <c r="AX4053" s="2">
        <v>8145.43949477158</v>
      </c>
    </row>
    <row r="4054" spans="1:50" x14ac:dyDescent="0.25">
      <c r="A4054" s="2" t="s">
        <v>26760</v>
      </c>
      <c r="B4054" s="2">
        <v>388.17282906983303</v>
      </c>
      <c r="C4054" s="2">
        <v>3.7165666666666701</v>
      </c>
      <c r="D4054" s="2" t="s">
        <v>51</v>
      </c>
      <c r="E4054" s="2" t="s">
        <v>26761</v>
      </c>
      <c r="F4054" s="2">
        <v>259709</v>
      </c>
      <c r="G4054" s="3" t="str">
        <f>HYPERLINK("https://cloud.oebiotech.com/#/lm/network/259709", "https://cloud.oebiotech.com/#/lm/network/259709")</f>
        <v>https://cloud.oebiotech.com/#/lm/network/259709</v>
      </c>
      <c r="H4054" s="2"/>
      <c r="I4054" s="2">
        <v>16930</v>
      </c>
      <c r="J4054" s="2"/>
      <c r="K4054" s="2">
        <v>145454536</v>
      </c>
      <c r="L4054" s="2"/>
      <c r="M4054" s="2"/>
      <c r="N4054" s="2"/>
      <c r="O4054" s="2"/>
      <c r="P4054" s="2"/>
      <c r="Q4054" s="2"/>
      <c r="R4054" s="2"/>
      <c r="S4054" s="2" t="s">
        <v>26762</v>
      </c>
      <c r="T4054" s="2" t="s">
        <v>26763</v>
      </c>
      <c r="U4054" s="2" t="s">
        <v>103</v>
      </c>
      <c r="V4054" s="2" t="s">
        <v>104</v>
      </c>
      <c r="W4054" s="2" t="s">
        <v>105</v>
      </c>
      <c r="X4054" s="2" t="s">
        <v>83</v>
      </c>
      <c r="Y4054" s="2">
        <v>41.3</v>
      </c>
      <c r="Z4054" s="2">
        <v>0</v>
      </c>
      <c r="AA4054" s="2" t="s">
        <v>218</v>
      </c>
      <c r="AB4054" s="2" t="s">
        <v>12921</v>
      </c>
      <c r="AC4054" s="2">
        <v>0.84699318330693796</v>
      </c>
      <c r="AD4054" s="2"/>
      <c r="AE4054" s="2">
        <v>0.119340747283565</v>
      </c>
      <c r="AF4054" s="2">
        <v>9536.8713276202106</v>
      </c>
      <c r="AG4054" s="2">
        <v>14648.348881035399</v>
      </c>
      <c r="AH4054" s="4">
        <v>0.65105435466294903</v>
      </c>
      <c r="AI4054" s="4">
        <v>-0.61915009999233395</v>
      </c>
      <c r="AJ4054" s="4" t="s">
        <v>62</v>
      </c>
      <c r="AK4054" s="2">
        <v>0.60521721352087698</v>
      </c>
      <c r="AL4054" s="2">
        <v>0.80366240140314105</v>
      </c>
      <c r="AM4054" s="2">
        <v>20004.147747591898</v>
      </c>
      <c r="AN4054" s="2">
        <v>4974.3154534655496</v>
      </c>
      <c r="AO4054" s="2">
        <v>6207.32325080385</v>
      </c>
      <c r="AP4054" s="2">
        <v>10320.703242788701</v>
      </c>
      <c r="AQ4054" s="2">
        <v>4649.5097860478299</v>
      </c>
      <c r="AR4054" s="2">
        <v>11065.228485023399</v>
      </c>
      <c r="AS4054" s="2">
        <v>290.63569080127002</v>
      </c>
      <c r="AT4054" s="2">
        <v>1608.6144624993999</v>
      </c>
      <c r="AU4054" s="2">
        <v>58712.842359017101</v>
      </c>
      <c r="AV4054" s="2">
        <v>19836.302287300899</v>
      </c>
      <c r="AW4054" s="2">
        <v>3893.8316137587999</v>
      </c>
      <c r="AX4054" s="2">
        <v>3547.8668728347102</v>
      </c>
    </row>
    <row r="4055" spans="1:50" x14ac:dyDescent="0.25">
      <c r="A4055" s="2" t="s">
        <v>26764</v>
      </c>
      <c r="B4055" s="2">
        <v>147.028838251694</v>
      </c>
      <c r="C4055" s="2">
        <v>1.0131666666666701</v>
      </c>
      <c r="D4055" s="2" t="s">
        <v>51</v>
      </c>
      <c r="E4055" s="2" t="s">
        <v>26765</v>
      </c>
      <c r="F4055" s="2">
        <v>47080</v>
      </c>
      <c r="G4055" s="3" t="str">
        <f>HYPERLINK("https://cloud.oebiotech.com/#/lm/network/47080", "https://cloud.oebiotech.com/#/lm/network/47080")</f>
        <v>https://cloud.oebiotech.com/#/lm/network/47080</v>
      </c>
      <c r="H4055" s="2" t="s">
        <v>26766</v>
      </c>
      <c r="I4055" s="2"/>
      <c r="J4055" s="2"/>
      <c r="K4055" s="2">
        <v>122045</v>
      </c>
      <c r="L4055" s="2" t="s">
        <v>26767</v>
      </c>
      <c r="M4055" s="2" t="s">
        <v>11578</v>
      </c>
      <c r="N4055" s="2" t="s">
        <v>11579</v>
      </c>
      <c r="O4055" s="2">
        <v>20912</v>
      </c>
      <c r="P4055" s="2"/>
      <c r="Q4055" s="2"/>
      <c r="R4055" s="2" t="s">
        <v>26768</v>
      </c>
      <c r="S4055" s="2" t="s">
        <v>26769</v>
      </c>
      <c r="T4055" s="2" t="s">
        <v>26770</v>
      </c>
      <c r="U4055" s="2" t="s">
        <v>331</v>
      </c>
      <c r="V4055" s="2" t="s">
        <v>332</v>
      </c>
      <c r="W4055" s="2" t="s">
        <v>333</v>
      </c>
      <c r="X4055" s="2" t="s">
        <v>83</v>
      </c>
      <c r="Y4055" s="2">
        <v>39.700000000000003</v>
      </c>
      <c r="Z4055" s="2">
        <v>0</v>
      </c>
      <c r="AA4055" s="2" t="s">
        <v>379</v>
      </c>
      <c r="AB4055" s="2" t="s">
        <v>8098</v>
      </c>
      <c r="AC4055" s="2">
        <v>-6.3756747228225397</v>
      </c>
      <c r="AD4055" s="2"/>
      <c r="AE4055" s="2">
        <v>0.11922188239433699</v>
      </c>
      <c r="AF4055" s="2">
        <v>29453.420037366399</v>
      </c>
      <c r="AG4055" s="2">
        <v>33655.499812387803</v>
      </c>
      <c r="AH4055" s="4">
        <v>0.87514433603881003</v>
      </c>
      <c r="AI4055" s="4">
        <v>-0.19240711712556799</v>
      </c>
      <c r="AJ4055" s="4" t="s">
        <v>62</v>
      </c>
      <c r="AK4055" s="2">
        <v>0.88510759602217803</v>
      </c>
      <c r="AL4055" s="2">
        <v>0.95000757066617403</v>
      </c>
      <c r="AM4055" s="2">
        <v>87712.956745511707</v>
      </c>
      <c r="AN4055" s="2">
        <v>5569.2590835884102</v>
      </c>
      <c r="AO4055" s="2">
        <v>5077.0606585944197</v>
      </c>
      <c r="AP4055" s="2">
        <v>37671.927816253599</v>
      </c>
      <c r="AQ4055" s="2">
        <v>24124.7601425793</v>
      </c>
      <c r="AR4055" s="2">
        <v>16564.555777670899</v>
      </c>
      <c r="AS4055" s="2">
        <v>17930.691774826199</v>
      </c>
      <c r="AT4055" s="2">
        <v>6554.1654760764104</v>
      </c>
      <c r="AU4055" s="2">
        <v>160011.84807508899</v>
      </c>
      <c r="AV4055" s="2">
        <v>8366.5767763829099</v>
      </c>
      <c r="AW4055" s="2">
        <v>6080.0345304767698</v>
      </c>
      <c r="AX4055" s="2">
        <v>2989.6822414753401</v>
      </c>
    </row>
    <row r="4056" spans="1:50" x14ac:dyDescent="0.25">
      <c r="A4056" s="2" t="s">
        <v>26771</v>
      </c>
      <c r="B4056" s="2">
        <v>177.091258089267</v>
      </c>
      <c r="C4056" s="2">
        <v>8.4268833333333308</v>
      </c>
      <c r="D4056" s="2" t="s">
        <v>51</v>
      </c>
      <c r="E4056" s="2" t="s">
        <v>26772</v>
      </c>
      <c r="F4056" s="2">
        <v>63931</v>
      </c>
      <c r="G4056" s="3" t="str">
        <f>HYPERLINK("https://cloud.oebiotech.com/#/lm/network/63931", "https://cloud.oebiotech.com/#/lm/network/63931")</f>
        <v>https://cloud.oebiotech.com/#/lm/network/63931</v>
      </c>
      <c r="H4056" s="2" t="s">
        <v>26773</v>
      </c>
      <c r="I4056" s="2">
        <v>95265</v>
      </c>
      <c r="J4056" s="2"/>
      <c r="K4056" s="2">
        <v>5354280</v>
      </c>
      <c r="L4056" s="2"/>
      <c r="M4056" s="2"/>
      <c r="N4056" s="2"/>
      <c r="O4056" s="2"/>
      <c r="P4056" s="2"/>
      <c r="Q4056" s="2"/>
      <c r="R4056" s="2" t="s">
        <v>26774</v>
      </c>
      <c r="S4056" s="2" t="s">
        <v>26775</v>
      </c>
      <c r="T4056" s="2" t="s">
        <v>26776</v>
      </c>
      <c r="U4056" s="2" t="s">
        <v>610</v>
      </c>
      <c r="V4056" s="2" t="s">
        <v>4556</v>
      </c>
      <c r="W4056" s="2" t="s">
        <v>240</v>
      </c>
      <c r="X4056" s="2" t="s">
        <v>83</v>
      </c>
      <c r="Y4056" s="2">
        <v>42.8</v>
      </c>
      <c r="Z4056" s="2">
        <v>0</v>
      </c>
      <c r="AA4056" s="2" t="s">
        <v>163</v>
      </c>
      <c r="AB4056" s="2" t="s">
        <v>18413</v>
      </c>
      <c r="AC4056" s="2">
        <v>-4.7454788159462398</v>
      </c>
      <c r="AD4056" s="2"/>
      <c r="AE4056" s="2">
        <v>0.119163573376955</v>
      </c>
      <c r="AF4056" s="2">
        <v>2187.6917354642901</v>
      </c>
      <c r="AG4056" s="2">
        <v>2560.4100457600798</v>
      </c>
      <c r="AH4056" s="4">
        <v>0.85443022655179901</v>
      </c>
      <c r="AI4056" s="4">
        <v>-0.22696540979420299</v>
      </c>
      <c r="AJ4056" s="4" t="s">
        <v>62</v>
      </c>
      <c r="AK4056" s="2">
        <v>7.4680986037054906E-2</v>
      </c>
      <c r="AL4056" s="2">
        <v>0.35818559707798497</v>
      </c>
      <c r="AM4056" s="2">
        <v>1925.9046742806499</v>
      </c>
      <c r="AN4056" s="2">
        <v>1864.5290478628999</v>
      </c>
      <c r="AO4056" s="2">
        <v>2370.7479025935199</v>
      </c>
      <c r="AP4056" s="2">
        <v>2083.30592920035</v>
      </c>
      <c r="AQ4056" s="2">
        <v>2507.4456797727798</v>
      </c>
      <c r="AR4056" s="2">
        <v>2374.2171790755101</v>
      </c>
      <c r="AS4056" s="2">
        <v>2419.91431584472</v>
      </c>
      <c r="AT4056" s="2">
        <v>2722.38954169919</v>
      </c>
      <c r="AU4056" s="2">
        <v>1972.3258214683499</v>
      </c>
      <c r="AV4056" s="2">
        <v>2789.5943534302701</v>
      </c>
      <c r="AW4056" s="2">
        <v>2415.0901560986099</v>
      </c>
      <c r="AX4056" s="2">
        <v>3043.1460860193201</v>
      </c>
    </row>
    <row r="4057" spans="1:50" x14ac:dyDescent="0.25">
      <c r="A4057" s="2" t="s">
        <v>26777</v>
      </c>
      <c r="B4057" s="2">
        <v>497.23975119564801</v>
      </c>
      <c r="C4057" s="2">
        <v>7.3533833333333298</v>
      </c>
      <c r="D4057" s="2" t="s">
        <v>51</v>
      </c>
      <c r="E4057" s="2" t="s">
        <v>26778</v>
      </c>
      <c r="F4057" s="2">
        <v>3829</v>
      </c>
      <c r="G4057" s="3" t="str">
        <f>HYPERLINK("https://cloud.oebiotech.com/#/lm/network/3829", "https://cloud.oebiotech.com/#/lm/network/3829")</f>
        <v>https://cloud.oebiotech.com/#/lm/network/3829</v>
      </c>
      <c r="H4057" s="2"/>
      <c r="I4057" s="2"/>
      <c r="J4057" s="2" t="s">
        <v>26779</v>
      </c>
      <c r="K4057" s="2">
        <v>118713851</v>
      </c>
      <c r="L4057" s="2"/>
      <c r="M4057" s="2"/>
      <c r="N4057" s="2"/>
      <c r="O4057" s="2"/>
      <c r="P4057" s="2"/>
      <c r="Q4057" s="2"/>
      <c r="R4057" s="2"/>
      <c r="S4057" s="2" t="s">
        <v>26780</v>
      </c>
      <c r="T4057" s="2" t="s">
        <v>26781</v>
      </c>
      <c r="U4057" s="2" t="s">
        <v>56</v>
      </c>
      <c r="V4057" s="2" t="s">
        <v>145</v>
      </c>
      <c r="W4057" s="2" t="s">
        <v>187</v>
      </c>
      <c r="X4057" s="2" t="s">
        <v>147</v>
      </c>
      <c r="Y4057" s="2">
        <v>39.5</v>
      </c>
      <c r="Z4057" s="2">
        <v>5.26</v>
      </c>
      <c r="AA4057" s="2" t="s">
        <v>218</v>
      </c>
      <c r="AB4057" s="2" t="s">
        <v>26782</v>
      </c>
      <c r="AC4057" s="2">
        <v>1.17241609423938</v>
      </c>
      <c r="AD4057" s="2"/>
      <c r="AE4057" s="2">
        <v>0.119084237635947</v>
      </c>
      <c r="AF4057" s="2">
        <v>1284.45278117472</v>
      </c>
      <c r="AG4057" s="2">
        <v>2141.9578878310599</v>
      </c>
      <c r="AH4057" s="4">
        <v>0.599662947844114</v>
      </c>
      <c r="AI4057" s="4">
        <v>-0.73777626100806504</v>
      </c>
      <c r="AJ4057" s="4" t="s">
        <v>62</v>
      </c>
      <c r="AK4057" s="2">
        <v>0.67039122568207299</v>
      </c>
      <c r="AL4057" s="2">
        <v>0.84110581294895703</v>
      </c>
      <c r="AM4057" s="2">
        <v>8.559877937157E-6</v>
      </c>
      <c r="AN4057" s="2">
        <v>2177.9685487325701</v>
      </c>
      <c r="AO4057" s="2">
        <v>8.559877937157E-6</v>
      </c>
      <c r="AP4057" s="2">
        <v>191.21866174658101</v>
      </c>
      <c r="AQ4057" s="2">
        <v>1447.47289266757</v>
      </c>
      <c r="AR4057" s="2">
        <v>3890.0565667818701</v>
      </c>
      <c r="AS4057" s="2">
        <v>1547.6695191374299</v>
      </c>
      <c r="AT4057" s="2">
        <v>8.559877937157E-6</v>
      </c>
      <c r="AU4057" s="2">
        <v>8.559877937157E-6</v>
      </c>
      <c r="AV4057" s="2">
        <v>8.559877937157E-6</v>
      </c>
      <c r="AW4057" s="2">
        <v>11304.077773609401</v>
      </c>
      <c r="AX4057" s="2">
        <v>8.559877937157E-6</v>
      </c>
    </row>
    <row r="4058" spans="1:50" x14ac:dyDescent="0.25">
      <c r="A4058" s="2" t="s">
        <v>26783</v>
      </c>
      <c r="B4058" s="2">
        <v>287.05142198497902</v>
      </c>
      <c r="C4058" s="2">
        <v>5.0147000000000004</v>
      </c>
      <c r="D4058" s="2" t="s">
        <v>51</v>
      </c>
      <c r="E4058" s="2" t="s">
        <v>26784</v>
      </c>
      <c r="F4058" s="2">
        <v>47222</v>
      </c>
      <c r="G4058" s="3" t="str">
        <f>HYPERLINK("https://cloud.oebiotech.com/#/lm/network/47222", "https://cloud.oebiotech.com/#/lm/network/47222")</f>
        <v>https://cloud.oebiotech.com/#/lm/network/47222</v>
      </c>
      <c r="H4058" s="2" t="s">
        <v>26785</v>
      </c>
      <c r="I4058" s="2">
        <v>5754</v>
      </c>
      <c r="J4058" s="2"/>
      <c r="K4058" s="2">
        <v>92751</v>
      </c>
      <c r="L4058" s="2" t="s">
        <v>6915</v>
      </c>
      <c r="M4058" s="2" t="s">
        <v>3456</v>
      </c>
      <c r="N4058" s="2" t="s">
        <v>3457</v>
      </c>
      <c r="O4058" s="2">
        <v>25722</v>
      </c>
      <c r="P4058" s="2"/>
      <c r="Q4058" s="2"/>
      <c r="R4058" s="2" t="s">
        <v>26786</v>
      </c>
      <c r="S4058" s="2" t="s">
        <v>26787</v>
      </c>
      <c r="T4058" s="2" t="s">
        <v>26788</v>
      </c>
      <c r="U4058" s="2" t="s">
        <v>295</v>
      </c>
      <c r="V4058" s="2" t="s">
        <v>1818</v>
      </c>
      <c r="W4058" s="2" t="s">
        <v>240</v>
      </c>
      <c r="X4058" s="2" t="s">
        <v>147</v>
      </c>
      <c r="Y4058" s="2">
        <v>37.799999999999997</v>
      </c>
      <c r="Z4058" s="2">
        <v>0</v>
      </c>
      <c r="AA4058" s="2" t="s">
        <v>163</v>
      </c>
      <c r="AB4058" s="2" t="s">
        <v>26789</v>
      </c>
      <c r="AC4058" s="2">
        <v>-2.3152656060255001</v>
      </c>
      <c r="AD4058" s="2"/>
      <c r="AE4058" s="2">
        <v>0.119037671012053</v>
      </c>
      <c r="AF4058" s="2">
        <v>1071.21274878452</v>
      </c>
      <c r="AG4058" s="2">
        <v>359.06720471296802</v>
      </c>
      <c r="AH4058" s="5">
        <v>2.9833210461000799</v>
      </c>
      <c r="AI4058" s="5">
        <v>1.5769192397226699</v>
      </c>
      <c r="AJ4058" s="5" t="s">
        <v>139</v>
      </c>
      <c r="AK4058" s="2">
        <v>0.110508802221352</v>
      </c>
      <c r="AL4058" s="2">
        <v>0.42261842103963698</v>
      </c>
      <c r="AM4058" s="2">
        <v>8.559877937157E-6</v>
      </c>
      <c r="AN4058" s="2">
        <v>1785.12658803048</v>
      </c>
      <c r="AO4058" s="2">
        <v>840.79050595666104</v>
      </c>
      <c r="AP4058" s="2">
        <v>505.68218655847102</v>
      </c>
      <c r="AQ4058" s="2">
        <v>765.92234788024905</v>
      </c>
      <c r="AR4058" s="2">
        <v>2529.7548557214</v>
      </c>
      <c r="AS4058" s="2">
        <v>1012.6133914767</v>
      </c>
      <c r="AT4058" s="2">
        <v>8.559877937157E-6</v>
      </c>
      <c r="AU4058" s="2">
        <v>251.66251861826899</v>
      </c>
      <c r="AV4058" s="2">
        <v>8.559877937157E-6</v>
      </c>
      <c r="AW4058" s="2">
        <v>462.53247705556601</v>
      </c>
      <c r="AX4058" s="2">
        <v>427.59482400752</v>
      </c>
    </row>
    <row r="4059" spans="1:50" x14ac:dyDescent="0.25">
      <c r="A4059" s="2" t="s">
        <v>26790</v>
      </c>
      <c r="B4059" s="2">
        <v>181.12279976470199</v>
      </c>
      <c r="C4059" s="2">
        <v>7.82046666666667</v>
      </c>
      <c r="D4059" s="2" t="s">
        <v>51</v>
      </c>
      <c r="E4059" s="2" t="s">
        <v>26791</v>
      </c>
      <c r="F4059" s="2">
        <v>59127</v>
      </c>
      <c r="G4059" s="3" t="str">
        <f>HYPERLINK("https://cloud.oebiotech.com/#/lm/network/59127", "https://cloud.oebiotech.com/#/lm/network/59127")</f>
        <v>https://cloud.oebiotech.com/#/lm/network/59127</v>
      </c>
      <c r="H4059" s="2" t="s">
        <v>26792</v>
      </c>
      <c r="I4059" s="2">
        <v>90552</v>
      </c>
      <c r="J4059" s="2"/>
      <c r="K4059" s="2">
        <v>27209</v>
      </c>
      <c r="L4059" s="2"/>
      <c r="M4059" s="2"/>
      <c r="N4059" s="2"/>
      <c r="O4059" s="2"/>
      <c r="P4059" s="2"/>
      <c r="Q4059" s="2"/>
      <c r="R4059" s="2" t="s">
        <v>26793</v>
      </c>
      <c r="S4059" s="2" t="s">
        <v>26794</v>
      </c>
      <c r="T4059" s="2" t="s">
        <v>26795</v>
      </c>
      <c r="U4059" s="2" t="s">
        <v>266</v>
      </c>
      <c r="V4059" s="2" t="s">
        <v>4611</v>
      </c>
      <c r="W4059" s="2" t="s">
        <v>240</v>
      </c>
      <c r="X4059" s="2" t="s">
        <v>59</v>
      </c>
      <c r="Y4059" s="2">
        <v>54.9</v>
      </c>
      <c r="Z4059" s="2">
        <v>81</v>
      </c>
      <c r="AA4059" s="2" t="s">
        <v>259</v>
      </c>
      <c r="AB4059" s="2" t="s">
        <v>26796</v>
      </c>
      <c r="AC4059" s="2">
        <v>2.7403624367967301</v>
      </c>
      <c r="AD4059" s="2"/>
      <c r="AE4059" s="2">
        <v>0.11895031453795001</v>
      </c>
      <c r="AF4059" s="2">
        <v>20855.315104043199</v>
      </c>
      <c r="AG4059" s="2">
        <v>19207.723804949001</v>
      </c>
      <c r="AH4059" s="5">
        <v>1.0857775401096501</v>
      </c>
      <c r="AI4059" s="5">
        <v>0.118728546368348</v>
      </c>
      <c r="AJ4059" s="5" t="s">
        <v>139</v>
      </c>
      <c r="AK4059" s="2">
        <v>0.64699222465281803</v>
      </c>
      <c r="AL4059" s="2">
        <v>0.82748660873842805</v>
      </c>
      <c r="AM4059" s="2">
        <v>17845.978475801301</v>
      </c>
      <c r="AN4059" s="2">
        <v>21945.1665476774</v>
      </c>
      <c r="AO4059" s="2">
        <v>32725.7475048093</v>
      </c>
      <c r="AP4059" s="2">
        <v>16817.870990155101</v>
      </c>
      <c r="AQ4059" s="2">
        <v>12093.717205729299</v>
      </c>
      <c r="AR4059" s="2">
        <v>23703.409900086499</v>
      </c>
      <c r="AS4059" s="2">
        <v>17336.9580143274</v>
      </c>
      <c r="AT4059" s="2">
        <v>13103.4568247144</v>
      </c>
      <c r="AU4059" s="2">
        <v>20911.402706598899</v>
      </c>
      <c r="AV4059" s="2">
        <v>20125.023973994801</v>
      </c>
      <c r="AW4059" s="2">
        <v>16677.720764743099</v>
      </c>
      <c r="AX4059" s="2">
        <v>27091.7805453152</v>
      </c>
    </row>
    <row r="4060" spans="1:50" x14ac:dyDescent="0.25">
      <c r="A4060" s="2" t="s">
        <v>26797</v>
      </c>
      <c r="B4060" s="2">
        <v>313.23830011615797</v>
      </c>
      <c r="C4060" s="2">
        <v>10.76145</v>
      </c>
      <c r="D4060" s="2" t="s">
        <v>51</v>
      </c>
      <c r="E4060" s="2" t="s">
        <v>26798</v>
      </c>
      <c r="F4060" s="2">
        <v>3336</v>
      </c>
      <c r="G4060" s="3" t="str">
        <f>HYPERLINK("https://cloud.oebiotech.com/#/lm/network/3336", "https://cloud.oebiotech.com/#/lm/network/3336")</f>
        <v>https://cloud.oebiotech.com/#/lm/network/3336</v>
      </c>
      <c r="H4060" s="2"/>
      <c r="I4060" s="2"/>
      <c r="J4060" s="2" t="s">
        <v>26799</v>
      </c>
      <c r="K4060" s="2"/>
      <c r="L4060" s="2"/>
      <c r="M4060" s="2"/>
      <c r="N4060" s="2"/>
      <c r="O4060" s="2"/>
      <c r="P4060" s="2"/>
      <c r="Q4060" s="2"/>
      <c r="R4060" s="2"/>
      <c r="S4060" s="2" t="s">
        <v>26800</v>
      </c>
      <c r="T4060" s="2" t="s">
        <v>26801</v>
      </c>
      <c r="U4060" s="2" t="s">
        <v>56</v>
      </c>
      <c r="V4060" s="2" t="s">
        <v>145</v>
      </c>
      <c r="W4060" s="2" t="s">
        <v>231</v>
      </c>
      <c r="X4060" s="2" t="s">
        <v>83</v>
      </c>
      <c r="Y4060" s="2">
        <v>48.9</v>
      </c>
      <c r="Z4060" s="2">
        <v>0</v>
      </c>
      <c r="AA4060" s="2" t="s">
        <v>163</v>
      </c>
      <c r="AB4060" s="2" t="s">
        <v>6470</v>
      </c>
      <c r="AC4060" s="2">
        <v>-0.42330080550726401</v>
      </c>
      <c r="AD4060" s="2"/>
      <c r="AE4060" s="2">
        <v>0.118908395661425</v>
      </c>
      <c r="AF4060" s="2">
        <v>4836.2950801390498</v>
      </c>
      <c r="AG4060" s="2">
        <v>3641.3573177050298</v>
      </c>
      <c r="AH4060" s="5">
        <v>1.3281572386824001</v>
      </c>
      <c r="AI4060" s="5">
        <v>0.40942595544893501</v>
      </c>
      <c r="AJ4060" s="5" t="s">
        <v>139</v>
      </c>
      <c r="AK4060" s="2">
        <v>0.41721922937380601</v>
      </c>
      <c r="AL4060" s="2">
        <v>0.67956942792655295</v>
      </c>
      <c r="AM4060" s="2">
        <v>2834.8362493418599</v>
      </c>
      <c r="AN4060" s="2">
        <v>5974.0981660671396</v>
      </c>
      <c r="AO4060" s="2">
        <v>9781.0447997007996</v>
      </c>
      <c r="AP4060" s="2">
        <v>3712.3381344040099</v>
      </c>
      <c r="AQ4060" s="2">
        <v>2923.6793055698199</v>
      </c>
      <c r="AR4060" s="2">
        <v>3791.7738257506899</v>
      </c>
      <c r="AS4060" s="2">
        <v>4931.3173322662897</v>
      </c>
      <c r="AT4060" s="2">
        <v>1928.3945462177601</v>
      </c>
      <c r="AU4060" s="2">
        <v>3117.69896209631</v>
      </c>
      <c r="AV4060" s="2">
        <v>7411.3321568993897</v>
      </c>
      <c r="AW4060" s="2">
        <v>2931.6947565696</v>
      </c>
      <c r="AX4060" s="2">
        <v>1527.70615218085</v>
      </c>
    </row>
    <row r="4061" spans="1:50" x14ac:dyDescent="0.25">
      <c r="A4061" s="2" t="s">
        <v>26802</v>
      </c>
      <c r="B4061" s="2">
        <v>256.26438668217401</v>
      </c>
      <c r="C4061" s="2">
        <v>8.3758833333333307</v>
      </c>
      <c r="D4061" s="2" t="s">
        <v>51</v>
      </c>
      <c r="E4061" s="2" t="s">
        <v>26803</v>
      </c>
      <c r="F4061" s="2">
        <v>38928</v>
      </c>
      <c r="G4061" s="3" t="str">
        <f>HYPERLINK("https://cloud.oebiotech.com/#/lm/network/38928", "https://cloud.oebiotech.com/#/lm/network/38928")</f>
        <v>https://cloud.oebiotech.com/#/lm/network/38928</v>
      </c>
      <c r="H4061" s="2"/>
      <c r="I4061" s="2">
        <v>41556</v>
      </c>
      <c r="J4061" s="2" t="s">
        <v>26804</v>
      </c>
      <c r="K4061" s="2">
        <v>656816</v>
      </c>
      <c r="L4061" s="2" t="s">
        <v>26805</v>
      </c>
      <c r="M4061" s="2"/>
      <c r="N4061" s="2"/>
      <c r="O4061" s="2">
        <v>71050</v>
      </c>
      <c r="P4061" s="2"/>
      <c r="Q4061" s="2"/>
      <c r="R4061" s="2"/>
      <c r="S4061" s="2" t="s">
        <v>26806</v>
      </c>
      <c r="T4061" s="2" t="s">
        <v>26807</v>
      </c>
      <c r="U4061" s="2" t="s">
        <v>119</v>
      </c>
      <c r="V4061" s="2" t="s">
        <v>120</v>
      </c>
      <c r="W4061" s="2" t="s">
        <v>1887</v>
      </c>
      <c r="X4061" s="2" t="s">
        <v>59</v>
      </c>
      <c r="Y4061" s="2">
        <v>48.6</v>
      </c>
      <c r="Z4061" s="2">
        <v>53.2</v>
      </c>
      <c r="AA4061" s="2" t="s">
        <v>786</v>
      </c>
      <c r="AB4061" s="2" t="s">
        <v>26808</v>
      </c>
      <c r="AC4061" s="2">
        <v>3.2772582370953298</v>
      </c>
      <c r="AD4061" s="2"/>
      <c r="AE4061" s="2">
        <v>0.11873067146206499</v>
      </c>
      <c r="AF4061" s="2">
        <v>15275.1007364467</v>
      </c>
      <c r="AG4061" s="2">
        <v>12021.9556758537</v>
      </c>
      <c r="AH4061" s="5">
        <v>1.27060032063894</v>
      </c>
      <c r="AI4061" s="5">
        <v>0.34551028831882402</v>
      </c>
      <c r="AJ4061" s="5" t="s">
        <v>139</v>
      </c>
      <c r="AK4061" s="2">
        <v>0.64609358020732599</v>
      </c>
      <c r="AL4061" s="2">
        <v>0.82706463834029897</v>
      </c>
      <c r="AM4061" s="2">
        <v>4229.9718465443802</v>
      </c>
      <c r="AN4061" s="2">
        <v>4946.8830467592697</v>
      </c>
      <c r="AO4061" s="2">
        <v>21217.458050226898</v>
      </c>
      <c r="AP4061" s="2">
        <v>7770.14475426013</v>
      </c>
      <c r="AQ4061" s="2">
        <v>46549.595893451202</v>
      </c>
      <c r="AR4061" s="2">
        <v>6936.5508274385502</v>
      </c>
      <c r="AS4061" s="2">
        <v>15753.1500654955</v>
      </c>
      <c r="AT4061" s="2">
        <v>13210.467527434599</v>
      </c>
      <c r="AU4061" s="2">
        <v>11579.1402610444</v>
      </c>
      <c r="AV4061" s="2">
        <v>9379.8253851026693</v>
      </c>
      <c r="AW4061" s="2">
        <v>7600.0319163588401</v>
      </c>
      <c r="AX4061" s="2">
        <v>14609.1188996859</v>
      </c>
    </row>
    <row r="4062" spans="1:50" x14ac:dyDescent="0.25">
      <c r="A4062" s="2" t="s">
        <v>26809</v>
      </c>
      <c r="B4062" s="2">
        <v>291.06363294791498</v>
      </c>
      <c r="C4062" s="2">
        <v>1.20183333333333</v>
      </c>
      <c r="D4062" s="2" t="s">
        <v>51</v>
      </c>
      <c r="E4062" s="2" t="s">
        <v>26810</v>
      </c>
      <c r="F4062" s="2">
        <v>202189</v>
      </c>
      <c r="G4062" s="3" t="str">
        <f>HYPERLINK("https://cloud.oebiotech.com/#/lm/network/202189", "https://cloud.oebiotech.com/#/lm/network/202189")</f>
        <v>https://cloud.oebiotech.com/#/lm/network/202189</v>
      </c>
      <c r="H4062" s="2" t="s">
        <v>26811</v>
      </c>
      <c r="I4062" s="2"/>
      <c r="J4062" s="2"/>
      <c r="K4062" s="2">
        <v>289972</v>
      </c>
      <c r="L4062" s="2"/>
      <c r="M4062" s="2"/>
      <c r="N4062" s="2"/>
      <c r="O4062" s="2"/>
      <c r="P4062" s="2"/>
      <c r="Q4062" s="2"/>
      <c r="R4062" s="2"/>
      <c r="S4062" s="2" t="s">
        <v>26812</v>
      </c>
      <c r="T4062" s="2" t="s">
        <v>26813</v>
      </c>
      <c r="U4062" s="2" t="s">
        <v>295</v>
      </c>
      <c r="V4062" s="2" t="s">
        <v>15372</v>
      </c>
      <c r="W4062" s="2" t="s">
        <v>240</v>
      </c>
      <c r="X4062" s="2" t="s">
        <v>147</v>
      </c>
      <c r="Y4062" s="2">
        <v>40.700000000000003</v>
      </c>
      <c r="Z4062" s="2">
        <v>7.4</v>
      </c>
      <c r="AA4062" s="2" t="s">
        <v>218</v>
      </c>
      <c r="AB4062" s="2" t="s">
        <v>26814</v>
      </c>
      <c r="AC4062" s="2">
        <v>0.93632803697124301</v>
      </c>
      <c r="AD4062" s="2"/>
      <c r="AE4062" s="2">
        <v>0.118721306004264</v>
      </c>
      <c r="AF4062" s="2">
        <v>7753.6910425300202</v>
      </c>
      <c r="AG4062" s="2">
        <v>12244.9184659934</v>
      </c>
      <c r="AH4062" s="4">
        <v>0.63321704134360401</v>
      </c>
      <c r="AI4062" s="4">
        <v>-0.65922801261018504</v>
      </c>
      <c r="AJ4062" s="4" t="s">
        <v>62</v>
      </c>
      <c r="AK4062" s="2">
        <v>0.61129488381257702</v>
      </c>
      <c r="AL4062" s="2">
        <v>0.80562509339130595</v>
      </c>
      <c r="AM4062" s="2">
        <v>17445.0216360675</v>
      </c>
      <c r="AN4062" s="2">
        <v>2726.3260094382499</v>
      </c>
      <c r="AO4062" s="2">
        <v>823.94951902743196</v>
      </c>
      <c r="AP4062" s="2">
        <v>13425.304018147801</v>
      </c>
      <c r="AQ4062" s="2">
        <v>2433.1401777587098</v>
      </c>
      <c r="AR4062" s="2">
        <v>9668.4048947404008</v>
      </c>
      <c r="AS4062" s="2">
        <v>10241.263672671699</v>
      </c>
      <c r="AT4062" s="2">
        <v>1314.7075451818801</v>
      </c>
      <c r="AU4062" s="2">
        <v>52226.009438589499</v>
      </c>
      <c r="AV4062" s="2">
        <v>3466.1405674819398</v>
      </c>
      <c r="AW4062" s="2">
        <v>2212.28300257513</v>
      </c>
      <c r="AX4062" s="2">
        <v>4009.1065694603199</v>
      </c>
    </row>
    <row r="4063" spans="1:50" x14ac:dyDescent="0.25">
      <c r="A4063" s="2" t="s">
        <v>26815</v>
      </c>
      <c r="B4063" s="2">
        <v>447.19848654217702</v>
      </c>
      <c r="C4063" s="2">
        <v>9.7672000000000008</v>
      </c>
      <c r="D4063" s="2" t="s">
        <v>51</v>
      </c>
      <c r="E4063" s="2" t="s">
        <v>26816</v>
      </c>
      <c r="F4063" s="2">
        <v>82657</v>
      </c>
      <c r="G4063" s="3" t="str">
        <f>HYPERLINK("https://cloud.oebiotech.com/#/lm/network/82657", "https://cloud.oebiotech.com/#/lm/network/82657")</f>
        <v>https://cloud.oebiotech.com/#/lm/network/82657</v>
      </c>
      <c r="H4063" s="2" t="s">
        <v>26817</v>
      </c>
      <c r="I4063" s="2">
        <v>457737</v>
      </c>
      <c r="J4063" s="2"/>
      <c r="K4063" s="2">
        <v>12986413</v>
      </c>
      <c r="L4063" s="2"/>
      <c r="M4063" s="2"/>
      <c r="N4063" s="2"/>
      <c r="O4063" s="2"/>
      <c r="P4063" s="2"/>
      <c r="Q4063" s="2"/>
      <c r="R4063" s="2"/>
      <c r="S4063" s="2" t="s">
        <v>26818</v>
      </c>
      <c r="T4063" s="2" t="s">
        <v>26819</v>
      </c>
      <c r="U4063" s="2" t="s">
        <v>56</v>
      </c>
      <c r="V4063" s="2" t="s">
        <v>283</v>
      </c>
      <c r="W4063" s="2" t="s">
        <v>492</v>
      </c>
      <c r="X4063" s="2" t="s">
        <v>147</v>
      </c>
      <c r="Y4063" s="2">
        <v>40.4</v>
      </c>
      <c r="Z4063" s="2">
        <v>16</v>
      </c>
      <c r="AA4063" s="2" t="s">
        <v>379</v>
      </c>
      <c r="AB4063" s="2" t="s">
        <v>26820</v>
      </c>
      <c r="AC4063" s="2">
        <v>-0.78830601039305004</v>
      </c>
      <c r="AD4063" s="2"/>
      <c r="AE4063" s="2">
        <v>0.11870611242343999</v>
      </c>
      <c r="AF4063" s="2">
        <v>10627.033218344701</v>
      </c>
      <c r="AG4063" s="2">
        <v>9580.9299726727895</v>
      </c>
      <c r="AH4063" s="5">
        <v>1.10918598180507</v>
      </c>
      <c r="AI4063" s="5">
        <v>0.14950128843186999</v>
      </c>
      <c r="AJ4063" s="5" t="s">
        <v>139</v>
      </c>
      <c r="AK4063" s="2">
        <v>0.78789503350911005</v>
      </c>
      <c r="AL4063" s="2">
        <v>0.90628350833325799</v>
      </c>
      <c r="AM4063" s="2">
        <v>11017.2353299119</v>
      </c>
      <c r="AN4063" s="2">
        <v>19003.184212989901</v>
      </c>
      <c r="AO4063" s="2">
        <v>12040.502101853501</v>
      </c>
      <c r="AP4063" s="2">
        <v>4322.0367885027299</v>
      </c>
      <c r="AQ4063" s="2">
        <v>7610.1802596438101</v>
      </c>
      <c r="AR4063" s="2">
        <v>9769.0606171661002</v>
      </c>
      <c r="AS4063" s="2">
        <v>4299.9514092495601</v>
      </c>
      <c r="AT4063" s="2">
        <v>2773.4582244388798</v>
      </c>
      <c r="AU4063" s="2">
        <v>17895.773466281698</v>
      </c>
      <c r="AV4063" s="2">
        <v>5591.4005956654601</v>
      </c>
      <c r="AW4063" s="2">
        <v>21160.508861578099</v>
      </c>
      <c r="AX4063" s="2">
        <v>5764.4872788230496</v>
      </c>
    </row>
    <row r="4064" spans="1:50" x14ac:dyDescent="0.25">
      <c r="A4064" s="2" t="s">
        <v>26821</v>
      </c>
      <c r="B4064" s="2">
        <v>275.00961246246698</v>
      </c>
      <c r="C4064" s="2">
        <v>1.00901666666667</v>
      </c>
      <c r="D4064" s="2" t="s">
        <v>51</v>
      </c>
      <c r="E4064" s="2" t="s">
        <v>26822</v>
      </c>
      <c r="F4064" s="2">
        <v>53789</v>
      </c>
      <c r="G4064" s="3" t="str">
        <f>HYPERLINK("https://cloud.oebiotech.com/#/lm/network/53789", "https://cloud.oebiotech.com/#/lm/network/53789")</f>
        <v>https://cloud.oebiotech.com/#/lm/network/53789</v>
      </c>
      <c r="H4064" s="2" t="s">
        <v>26823</v>
      </c>
      <c r="I4064" s="2">
        <v>85665</v>
      </c>
      <c r="J4064" s="2"/>
      <c r="K4064" s="2">
        <v>18218191</v>
      </c>
      <c r="L4064" s="2"/>
      <c r="M4064" s="2"/>
      <c r="N4064" s="2"/>
      <c r="O4064" s="2">
        <v>174209</v>
      </c>
      <c r="P4064" s="2"/>
      <c r="Q4064" s="2"/>
      <c r="R4064" s="2"/>
      <c r="S4064" s="2" t="s">
        <v>26824</v>
      </c>
      <c r="T4064" s="2" t="s">
        <v>26825</v>
      </c>
      <c r="U4064" s="2" t="s">
        <v>103</v>
      </c>
      <c r="V4064" s="2" t="s">
        <v>104</v>
      </c>
      <c r="W4064" s="2" t="s">
        <v>105</v>
      </c>
      <c r="X4064" s="2" t="s">
        <v>83</v>
      </c>
      <c r="Y4064" s="2">
        <v>42.9</v>
      </c>
      <c r="Z4064" s="2">
        <v>3.9699999999999999E-2</v>
      </c>
      <c r="AA4064" s="2" t="s">
        <v>395</v>
      </c>
      <c r="AB4064" s="2" t="s">
        <v>20855</v>
      </c>
      <c r="AC4064" s="2">
        <v>-1.0087401353732</v>
      </c>
      <c r="AD4064" s="2"/>
      <c r="AE4064" s="2">
        <v>0.118589731820105</v>
      </c>
      <c r="AF4064" s="2">
        <v>21977.535018936302</v>
      </c>
      <c r="AG4064" s="2">
        <v>21260.2215168812</v>
      </c>
      <c r="AH4064" s="5">
        <v>1.0337397002888999</v>
      </c>
      <c r="AI4064" s="5">
        <v>4.7872955112479999E-2</v>
      </c>
      <c r="AJ4064" s="5" t="s">
        <v>139</v>
      </c>
      <c r="AK4064" s="2">
        <v>0.79713594070337401</v>
      </c>
      <c r="AL4064" s="2">
        <v>0.90954932814260703</v>
      </c>
      <c r="AM4064" s="2">
        <v>27369.771820120801</v>
      </c>
      <c r="AN4064" s="2">
        <v>20034.062381163702</v>
      </c>
      <c r="AO4064" s="2">
        <v>25374.1694066444</v>
      </c>
      <c r="AP4064" s="2">
        <v>27173.3081317299</v>
      </c>
      <c r="AQ4064" s="2">
        <v>20255.2036510908</v>
      </c>
      <c r="AR4064" s="2">
        <v>11658.6947228683</v>
      </c>
      <c r="AS4064" s="2">
        <v>17686.833872755</v>
      </c>
      <c r="AT4064" s="2">
        <v>25303.3908467416</v>
      </c>
      <c r="AU4064" s="2">
        <v>21687.358143570498</v>
      </c>
      <c r="AV4064" s="2">
        <v>18388.424882187599</v>
      </c>
      <c r="AW4064" s="2">
        <v>23002.765832348901</v>
      </c>
      <c r="AX4064" s="2">
        <v>21492.555523683601</v>
      </c>
    </row>
    <row r="4065" spans="1:50" x14ac:dyDescent="0.25">
      <c r="A4065" s="2" t="s">
        <v>26826</v>
      </c>
      <c r="B4065" s="2">
        <v>368.16187356589899</v>
      </c>
      <c r="C4065" s="2">
        <v>4.3824333333333296</v>
      </c>
      <c r="D4065" s="2" t="s">
        <v>51</v>
      </c>
      <c r="E4065" s="2" t="s">
        <v>26827</v>
      </c>
      <c r="F4065" s="2">
        <v>259691</v>
      </c>
      <c r="G4065" s="3" t="str">
        <f>HYPERLINK("https://cloud.oebiotech.com/#/lm/network/259691", "https://cloud.oebiotech.com/#/lm/network/259691")</f>
        <v>https://cloud.oebiotech.com/#/lm/network/259691</v>
      </c>
      <c r="H4065" s="2"/>
      <c r="I4065" s="2">
        <v>16912</v>
      </c>
      <c r="J4065" s="2"/>
      <c r="K4065" s="2">
        <v>145458652</v>
      </c>
      <c r="L4065" s="2"/>
      <c r="M4065" s="2"/>
      <c r="N4065" s="2"/>
      <c r="O4065" s="2"/>
      <c r="P4065" s="2"/>
      <c r="Q4065" s="2"/>
      <c r="R4065" s="2"/>
      <c r="S4065" s="2" t="s">
        <v>26828</v>
      </c>
      <c r="T4065" s="2" t="s">
        <v>26829</v>
      </c>
      <c r="U4065" s="2" t="s">
        <v>103</v>
      </c>
      <c r="V4065" s="2" t="s">
        <v>104</v>
      </c>
      <c r="W4065" s="2" t="s">
        <v>105</v>
      </c>
      <c r="X4065" s="2" t="s">
        <v>69</v>
      </c>
      <c r="Y4065" s="2">
        <v>60</v>
      </c>
      <c r="Z4065" s="2">
        <v>87.8</v>
      </c>
      <c r="AA4065" s="2" t="s">
        <v>156</v>
      </c>
      <c r="AB4065" s="2" t="s">
        <v>26830</v>
      </c>
      <c r="AC4065" s="2">
        <v>3.61136273430072</v>
      </c>
      <c r="AD4065" s="2"/>
      <c r="AE4065" s="2">
        <v>0.118588935312145</v>
      </c>
      <c r="AF4065" s="2">
        <v>2424.0741677688102</v>
      </c>
      <c r="AG4065" s="2">
        <v>1480.92673941761</v>
      </c>
      <c r="AH4065" s="5">
        <v>1.63686298805173</v>
      </c>
      <c r="AI4065" s="5">
        <v>0.71093356754767001</v>
      </c>
      <c r="AJ4065" s="5" t="s">
        <v>139</v>
      </c>
      <c r="AK4065" s="2">
        <v>0.53958063166111403</v>
      </c>
      <c r="AL4065" s="2">
        <v>0.76464258930367401</v>
      </c>
      <c r="AM4065" s="2">
        <v>1832.61871205483</v>
      </c>
      <c r="AN4065" s="2">
        <v>3061.3538302298698</v>
      </c>
      <c r="AO4065" s="2">
        <v>311.93191560493301</v>
      </c>
      <c r="AP4065" s="2">
        <v>976.47077887062801</v>
      </c>
      <c r="AQ4065" s="2">
        <v>1549.6041283546199</v>
      </c>
      <c r="AR4065" s="2">
        <v>6812.46564149796</v>
      </c>
      <c r="AS4065" s="2">
        <v>8.559877937157E-6</v>
      </c>
      <c r="AT4065" s="2">
        <v>153.89474488310699</v>
      </c>
      <c r="AU4065" s="2">
        <v>7057.35838084644</v>
      </c>
      <c r="AV4065" s="2">
        <v>1444.66091253223</v>
      </c>
      <c r="AW4065" s="2">
        <v>8.559877937157E-6</v>
      </c>
      <c r="AX4065" s="2">
        <v>229.64638112410199</v>
      </c>
    </row>
    <row r="4066" spans="1:50" x14ac:dyDescent="0.25">
      <c r="A4066" s="2" t="s">
        <v>26831</v>
      </c>
      <c r="B4066" s="2">
        <v>363.18155832898401</v>
      </c>
      <c r="C4066" s="2">
        <v>8.3100500000000004</v>
      </c>
      <c r="D4066" s="2" t="s">
        <v>51</v>
      </c>
      <c r="E4066" s="2" t="s">
        <v>26832</v>
      </c>
      <c r="F4066" s="2">
        <v>55947</v>
      </c>
      <c r="G4066" s="3" t="str">
        <f>HYPERLINK("https://cloud.oebiotech.com/#/lm/network/55947", "https://cloud.oebiotech.com/#/lm/network/55947")</f>
        <v>https://cloud.oebiotech.com/#/lm/network/55947</v>
      </c>
      <c r="H4066" s="2" t="s">
        <v>26833</v>
      </c>
      <c r="I4066" s="2">
        <v>87626</v>
      </c>
      <c r="J4066" s="2"/>
      <c r="K4066" s="2">
        <v>131751160</v>
      </c>
      <c r="L4066" s="2"/>
      <c r="M4066" s="2"/>
      <c r="N4066" s="2"/>
      <c r="O4066" s="2">
        <v>174324</v>
      </c>
      <c r="P4066" s="2"/>
      <c r="Q4066" s="2"/>
      <c r="R4066" s="2"/>
      <c r="S4066" s="2" t="s">
        <v>26834</v>
      </c>
      <c r="T4066" s="2" t="s">
        <v>26835</v>
      </c>
      <c r="U4066" s="2" t="s">
        <v>56</v>
      </c>
      <c r="V4066" s="2" t="s">
        <v>177</v>
      </c>
      <c r="W4066" s="2" t="s">
        <v>806</v>
      </c>
      <c r="X4066" s="2" t="s">
        <v>147</v>
      </c>
      <c r="Y4066" s="2">
        <v>42.3</v>
      </c>
      <c r="Z4066" s="2">
        <v>18.3</v>
      </c>
      <c r="AA4066" s="2" t="s">
        <v>218</v>
      </c>
      <c r="AB4066" s="2" t="s">
        <v>26836</v>
      </c>
      <c r="AC4066" s="2">
        <v>0.77360147890965303</v>
      </c>
      <c r="AD4066" s="2"/>
      <c r="AE4066" s="2">
        <v>0.118470654188637</v>
      </c>
      <c r="AF4066" s="2">
        <v>8871.7904286540706</v>
      </c>
      <c r="AG4066" s="2">
        <v>7817.5250340783195</v>
      </c>
      <c r="AH4066" s="5">
        <v>1.1348592284616901</v>
      </c>
      <c r="AI4066" s="5">
        <v>0.18251335214554101</v>
      </c>
      <c r="AJ4066" s="5" t="s">
        <v>139</v>
      </c>
      <c r="AK4066" s="2">
        <v>0.66791541872114601</v>
      </c>
      <c r="AL4066" s="2">
        <v>0.83977421451661305</v>
      </c>
      <c r="AM4066" s="2">
        <v>8104.6305128307804</v>
      </c>
      <c r="AN4066" s="2">
        <v>11087.5647610547</v>
      </c>
      <c r="AO4066" s="2">
        <v>9971.4927756956495</v>
      </c>
      <c r="AP4066" s="2">
        <v>9489.6129220794501</v>
      </c>
      <c r="AQ4066" s="2">
        <v>5541.2171102634602</v>
      </c>
      <c r="AR4066" s="2">
        <v>9036.2244900003607</v>
      </c>
      <c r="AS4066" s="2">
        <v>5711.1847666241301</v>
      </c>
      <c r="AT4066" s="2">
        <v>2727.13664643432</v>
      </c>
      <c r="AU4066" s="2">
        <v>18526.1453571481</v>
      </c>
      <c r="AV4066" s="2">
        <v>5262.4689173787101</v>
      </c>
      <c r="AW4066" s="2">
        <v>7830.13093539076</v>
      </c>
      <c r="AX4066" s="2">
        <v>6848.0835814939001</v>
      </c>
    </row>
    <row r="4067" spans="1:50" x14ac:dyDescent="0.25">
      <c r="A4067" s="2" t="s">
        <v>26837</v>
      </c>
      <c r="B4067" s="2">
        <v>345.14578362095801</v>
      </c>
      <c r="C4067" s="2">
        <v>3.5446</v>
      </c>
      <c r="D4067" s="2" t="s">
        <v>51</v>
      </c>
      <c r="E4067" s="2" t="s">
        <v>26838</v>
      </c>
      <c r="F4067" s="2">
        <v>266151</v>
      </c>
      <c r="G4067" s="3" t="str">
        <f>HYPERLINK("https://cloud.oebiotech.com/#/lm/network/266151", "https://cloud.oebiotech.com/#/lm/network/266151")</f>
        <v>https://cloud.oebiotech.com/#/lm/network/266151</v>
      </c>
      <c r="H4067" s="2"/>
      <c r="I4067" s="2">
        <v>23766</v>
      </c>
      <c r="J4067" s="2"/>
      <c r="K4067" s="2">
        <v>70590</v>
      </c>
      <c r="L4067" s="2"/>
      <c r="M4067" s="2"/>
      <c r="N4067" s="2"/>
      <c r="O4067" s="2"/>
      <c r="P4067" s="2"/>
      <c r="Q4067" s="2"/>
      <c r="R4067" s="2"/>
      <c r="S4067" s="2" t="s">
        <v>26839</v>
      </c>
      <c r="T4067" s="2" t="s">
        <v>26840</v>
      </c>
      <c r="U4067" s="2" t="s">
        <v>103</v>
      </c>
      <c r="V4067" s="2" t="s">
        <v>104</v>
      </c>
      <c r="W4067" s="2" t="s">
        <v>105</v>
      </c>
      <c r="X4067" s="2" t="s">
        <v>83</v>
      </c>
      <c r="Y4067" s="2">
        <v>46.1</v>
      </c>
      <c r="Z4067" s="2">
        <v>37.9</v>
      </c>
      <c r="AA4067" s="2" t="s">
        <v>259</v>
      </c>
      <c r="AB4067" s="2" t="s">
        <v>26841</v>
      </c>
      <c r="AC4067" s="2">
        <v>3.7352546504052899</v>
      </c>
      <c r="AD4067" s="2"/>
      <c r="AE4067" s="2">
        <v>0.11844169956641599</v>
      </c>
      <c r="AF4067" s="2">
        <v>1943.1392840256401</v>
      </c>
      <c r="AG4067" s="2">
        <v>1180.0906149776599</v>
      </c>
      <c r="AH4067" s="5">
        <v>1.6466017603762</v>
      </c>
      <c r="AI4067" s="5">
        <v>0.71949167358135302</v>
      </c>
      <c r="AJ4067" s="5" t="s">
        <v>139</v>
      </c>
      <c r="AK4067" s="2">
        <v>0.28333256234578202</v>
      </c>
      <c r="AL4067" s="2">
        <v>0.60000138164408201</v>
      </c>
      <c r="AM4067" s="2">
        <v>953.48476742485298</v>
      </c>
      <c r="AN4067" s="2">
        <v>1269.17293324466</v>
      </c>
      <c r="AO4067" s="2">
        <v>2299.8760327359901</v>
      </c>
      <c r="AP4067" s="2">
        <v>492.38675045532898</v>
      </c>
      <c r="AQ4067" s="2">
        <v>4699.7526461772604</v>
      </c>
      <c r="AR4067" s="2">
        <v>1944.16257411576</v>
      </c>
      <c r="AS4067" s="2">
        <v>509.472135847213</v>
      </c>
      <c r="AT4067" s="2">
        <v>1155.64186006519</v>
      </c>
      <c r="AU4067" s="2">
        <v>2134.37470178579</v>
      </c>
      <c r="AV4067" s="2">
        <v>917.70111328977396</v>
      </c>
      <c r="AW4067" s="2">
        <v>1850.2076731334801</v>
      </c>
      <c r="AX4067" s="2">
        <v>513.14620574450396</v>
      </c>
    </row>
    <row r="4068" spans="1:50" x14ac:dyDescent="0.25">
      <c r="A4068" s="2" t="s">
        <v>26842</v>
      </c>
      <c r="B4068" s="2">
        <v>257.08534543075098</v>
      </c>
      <c r="C4068" s="2">
        <v>7.7167000000000003</v>
      </c>
      <c r="D4068" s="2" t="s">
        <v>51</v>
      </c>
      <c r="E4068" s="2" t="s">
        <v>26843</v>
      </c>
      <c r="F4068" s="2">
        <v>60788</v>
      </c>
      <c r="G4068" s="3" t="str">
        <f>HYPERLINK("https://cloud.oebiotech.com/#/lm/network/60788", "https://cloud.oebiotech.com/#/lm/network/60788")</f>
        <v>https://cloud.oebiotech.com/#/lm/network/60788</v>
      </c>
      <c r="H4068" s="2" t="s">
        <v>26844</v>
      </c>
      <c r="I4068" s="2">
        <v>92121</v>
      </c>
      <c r="J4068" s="2"/>
      <c r="K4068" s="2">
        <v>41570</v>
      </c>
      <c r="L4068" s="2"/>
      <c r="M4068" s="2"/>
      <c r="N4068" s="2"/>
      <c r="O4068" s="2"/>
      <c r="P4068" s="2"/>
      <c r="Q4068" s="2"/>
      <c r="R4068" s="2" t="s">
        <v>26845</v>
      </c>
      <c r="S4068" s="2" t="s">
        <v>26846</v>
      </c>
      <c r="T4068" s="2" t="s">
        <v>26847</v>
      </c>
      <c r="U4068" s="2" t="s">
        <v>1231</v>
      </c>
      <c r="V4068" s="2" t="s">
        <v>15569</v>
      </c>
      <c r="W4068" s="2" t="s">
        <v>18047</v>
      </c>
      <c r="X4068" s="2" t="s">
        <v>147</v>
      </c>
      <c r="Y4068" s="2">
        <v>38</v>
      </c>
      <c r="Z4068" s="2">
        <v>0</v>
      </c>
      <c r="AA4068" s="2" t="s">
        <v>218</v>
      </c>
      <c r="AB4068" s="2" t="s">
        <v>26848</v>
      </c>
      <c r="AC4068" s="2">
        <v>0.19712896519010001</v>
      </c>
      <c r="AD4068" s="2"/>
      <c r="AE4068" s="2">
        <v>0.118431455503169</v>
      </c>
      <c r="AF4068" s="2">
        <v>2805.7609611266698</v>
      </c>
      <c r="AG4068" s="2">
        <v>1962.68938987256</v>
      </c>
      <c r="AH4068" s="5">
        <v>1.4295491561753699</v>
      </c>
      <c r="AI4068" s="5">
        <v>0.51556022902892296</v>
      </c>
      <c r="AJ4068" s="5" t="s">
        <v>139</v>
      </c>
      <c r="AK4068" s="2">
        <v>0.46750338680597803</v>
      </c>
      <c r="AL4068" s="2">
        <v>0.71424796898278198</v>
      </c>
      <c r="AM4068" s="2">
        <v>4472.5613605488197</v>
      </c>
      <c r="AN4068" s="2">
        <v>1360.67354611371</v>
      </c>
      <c r="AO4068" s="2">
        <v>2165.0006714705401</v>
      </c>
      <c r="AP4068" s="2">
        <v>8.559877937157E-6</v>
      </c>
      <c r="AQ4068" s="2">
        <v>2290.7342146354899</v>
      </c>
      <c r="AR4068" s="2">
        <v>6545.5959654316002</v>
      </c>
      <c r="AS4068" s="2">
        <v>4375.5495643024296</v>
      </c>
      <c r="AT4068" s="2">
        <v>2003.1802090748899</v>
      </c>
      <c r="AU4068" s="2">
        <v>1346.6831534632399</v>
      </c>
      <c r="AV4068" s="2">
        <v>799.93847296503395</v>
      </c>
      <c r="AW4068" s="2">
        <v>577.27448267537102</v>
      </c>
      <c r="AX4068" s="2">
        <v>2673.5104567544199</v>
      </c>
    </row>
    <row r="4069" spans="1:50" x14ac:dyDescent="0.25">
      <c r="A4069" s="2" t="s">
        <v>26849</v>
      </c>
      <c r="B4069" s="2">
        <v>225.14906545424299</v>
      </c>
      <c r="C4069" s="2">
        <v>10.2727</v>
      </c>
      <c r="D4069" s="2" t="s">
        <v>51</v>
      </c>
      <c r="E4069" s="2" t="s">
        <v>26850</v>
      </c>
      <c r="F4069" s="2">
        <v>55675</v>
      </c>
      <c r="G4069" s="3" t="str">
        <f>HYPERLINK("https://cloud.oebiotech.com/#/lm/network/55675", "https://cloud.oebiotech.com/#/lm/network/55675")</f>
        <v>https://cloud.oebiotech.com/#/lm/network/55675</v>
      </c>
      <c r="H4069" s="2" t="s">
        <v>26851</v>
      </c>
      <c r="I4069" s="2">
        <v>87331</v>
      </c>
      <c r="J4069" s="2"/>
      <c r="K4069" s="2">
        <v>85931447</v>
      </c>
      <c r="L4069" s="2"/>
      <c r="M4069" s="2"/>
      <c r="N4069" s="2"/>
      <c r="O4069" s="2">
        <v>171710</v>
      </c>
      <c r="P4069" s="2"/>
      <c r="Q4069" s="2"/>
      <c r="R4069" s="2"/>
      <c r="S4069" s="2" t="s">
        <v>26852</v>
      </c>
      <c r="T4069" s="2" t="s">
        <v>26853</v>
      </c>
      <c r="U4069" s="2" t="s">
        <v>266</v>
      </c>
      <c r="V4069" s="2" t="s">
        <v>3994</v>
      </c>
      <c r="W4069" s="2" t="s">
        <v>3995</v>
      </c>
      <c r="X4069" s="2" t="s">
        <v>83</v>
      </c>
      <c r="Y4069" s="2">
        <v>41.8</v>
      </c>
      <c r="Z4069" s="2">
        <v>0</v>
      </c>
      <c r="AA4069" s="2" t="s">
        <v>156</v>
      </c>
      <c r="AB4069" s="2" t="s">
        <v>21621</v>
      </c>
      <c r="AC4069" s="2">
        <v>2.2486739424196802</v>
      </c>
      <c r="AD4069" s="2"/>
      <c r="AE4069" s="2">
        <v>0.11839283406078301</v>
      </c>
      <c r="AF4069" s="2">
        <v>2991.2740995118202</v>
      </c>
      <c r="AG4069" s="2">
        <v>3629.37891714135</v>
      </c>
      <c r="AH4069" s="4">
        <v>0.82418346714480595</v>
      </c>
      <c r="AI4069" s="4">
        <v>-0.278962570977066</v>
      </c>
      <c r="AJ4069" s="4" t="s">
        <v>62</v>
      </c>
      <c r="AK4069" s="2">
        <v>0.23132117687093001</v>
      </c>
      <c r="AL4069" s="2">
        <v>0.55533919412968602</v>
      </c>
      <c r="AM4069" s="2">
        <v>3019.1793013936199</v>
      </c>
      <c r="AN4069" s="2">
        <v>3180.1619267042602</v>
      </c>
      <c r="AO4069" s="2">
        <v>2314.9497931394299</v>
      </c>
      <c r="AP4069" s="2">
        <v>3525.9424881544101</v>
      </c>
      <c r="AQ4069" s="2">
        <v>3226.1710550037101</v>
      </c>
      <c r="AR4069" s="2">
        <v>2681.2400326754801</v>
      </c>
      <c r="AS4069" s="2">
        <v>1792.94435533706</v>
      </c>
      <c r="AT4069" s="2">
        <v>2945.0314266742498</v>
      </c>
      <c r="AU4069" s="2">
        <v>4477.6874806580499</v>
      </c>
      <c r="AV4069" s="2">
        <v>4783.3215720288999</v>
      </c>
      <c r="AW4069" s="2">
        <v>3357.9928454418</v>
      </c>
      <c r="AX4069" s="2">
        <v>4419.2958227080298</v>
      </c>
    </row>
    <row r="4070" spans="1:50" x14ac:dyDescent="0.25">
      <c r="A4070" s="2" t="s">
        <v>26854</v>
      </c>
      <c r="B4070" s="2">
        <v>659.86075582219803</v>
      </c>
      <c r="C4070" s="2">
        <v>4.4017833333333298</v>
      </c>
      <c r="D4070" s="2" t="s">
        <v>51</v>
      </c>
      <c r="E4070" s="2" t="s">
        <v>26855</v>
      </c>
      <c r="F4070" s="2">
        <v>258355</v>
      </c>
      <c r="G4070" s="3" t="str">
        <f>HYPERLINK("https://cloud.oebiotech.com/#/lm/network/258355", "https://cloud.oebiotech.com/#/lm/network/258355")</f>
        <v>https://cloud.oebiotech.com/#/lm/network/258355</v>
      </c>
      <c r="H4070" s="2" t="s">
        <v>26856</v>
      </c>
      <c r="I4070" s="2">
        <v>4238</v>
      </c>
      <c r="J4070" s="2"/>
      <c r="K4070" s="2">
        <v>890</v>
      </c>
      <c r="L4070" s="2" t="s">
        <v>26857</v>
      </c>
      <c r="M4070" s="2" t="s">
        <v>14607</v>
      </c>
      <c r="N4070" s="2" t="s">
        <v>14608</v>
      </c>
      <c r="O4070" s="2"/>
      <c r="P4070" s="2"/>
      <c r="Q4070" s="2"/>
      <c r="R4070" s="2" t="s">
        <v>26858</v>
      </c>
      <c r="S4070" s="2" t="s">
        <v>26859</v>
      </c>
      <c r="T4070" s="2" t="s">
        <v>26860</v>
      </c>
      <c r="U4070" s="2" t="s">
        <v>331</v>
      </c>
      <c r="V4070" s="2" t="s">
        <v>332</v>
      </c>
      <c r="W4070" s="2" t="s">
        <v>519</v>
      </c>
      <c r="X4070" s="2" t="s">
        <v>147</v>
      </c>
      <c r="Y4070" s="2">
        <v>36.700000000000003</v>
      </c>
      <c r="Z4070" s="2">
        <v>0</v>
      </c>
      <c r="AA4070" s="2" t="s">
        <v>122</v>
      </c>
      <c r="AB4070" s="2" t="s">
        <v>26861</v>
      </c>
      <c r="AC4070" s="2">
        <v>-0.93277850308013199</v>
      </c>
      <c r="AD4070" s="2"/>
      <c r="AE4070" s="2">
        <v>0.11835992343917601</v>
      </c>
      <c r="AF4070" s="2">
        <v>4286.5000355984203</v>
      </c>
      <c r="AG4070" s="2">
        <v>5875.4882056558299</v>
      </c>
      <c r="AH4070" s="4">
        <v>0.72955640204879901</v>
      </c>
      <c r="AI4070" s="4">
        <v>-0.45490857759324399</v>
      </c>
      <c r="AJ4070" s="4" t="s">
        <v>62</v>
      </c>
      <c r="AK4070" s="2">
        <v>0.800074725150139</v>
      </c>
      <c r="AL4070" s="2">
        <v>0.90997004659317504</v>
      </c>
      <c r="AM4070" s="2">
        <v>9269.0378156112802</v>
      </c>
      <c r="AN4070" s="2">
        <v>8.559877937157E-6</v>
      </c>
      <c r="AO4070" s="2">
        <v>8.559877937157E-6</v>
      </c>
      <c r="AP4070" s="2">
        <v>987.83681299191596</v>
      </c>
      <c r="AQ4070" s="2">
        <v>11897.748311445501</v>
      </c>
      <c r="AR4070" s="2">
        <v>3564.3772564220799</v>
      </c>
      <c r="AS4070" s="2">
        <v>8.559877937157E-6</v>
      </c>
      <c r="AT4070" s="2">
        <v>8.559877937157E-6</v>
      </c>
      <c r="AU4070" s="2">
        <v>676.35208678859101</v>
      </c>
      <c r="AV4070" s="2">
        <v>34576.577112906903</v>
      </c>
      <c r="AW4070" s="2">
        <v>8.559877937157E-6</v>
      </c>
      <c r="AX4070" s="2">
        <v>8.559877937157E-6</v>
      </c>
    </row>
    <row r="4071" spans="1:50" x14ac:dyDescent="0.25">
      <c r="A4071" s="2" t="s">
        <v>26862</v>
      </c>
      <c r="B4071" s="2">
        <v>330.20540766760598</v>
      </c>
      <c r="C4071" s="2">
        <v>8.72068333333333</v>
      </c>
      <c r="D4071" s="2" t="s">
        <v>51</v>
      </c>
      <c r="E4071" s="2" t="s">
        <v>26863</v>
      </c>
      <c r="F4071" s="2">
        <v>202940</v>
      </c>
      <c r="G4071" s="3" t="str">
        <f>HYPERLINK("https://cloud.oebiotech.com/#/lm/network/202940", "https://cloud.oebiotech.com/#/lm/network/202940")</f>
        <v>https://cloud.oebiotech.com/#/lm/network/202940</v>
      </c>
      <c r="H4071" s="2" t="s">
        <v>26864</v>
      </c>
      <c r="I4071" s="2"/>
      <c r="J4071" s="2"/>
      <c r="K4071" s="2">
        <v>86567422</v>
      </c>
      <c r="L4071" s="2"/>
      <c r="M4071" s="2"/>
      <c r="N4071" s="2"/>
      <c r="O4071" s="2"/>
      <c r="P4071" s="2"/>
      <c r="Q4071" s="2"/>
      <c r="R4071" s="2"/>
      <c r="S4071" s="2" t="s">
        <v>26865</v>
      </c>
      <c r="T4071" s="2" t="s">
        <v>26866</v>
      </c>
      <c r="U4071" s="2" t="s">
        <v>103</v>
      </c>
      <c r="V4071" s="2" t="s">
        <v>104</v>
      </c>
      <c r="W4071" s="2" t="s">
        <v>105</v>
      </c>
      <c r="X4071" s="2" t="s">
        <v>147</v>
      </c>
      <c r="Y4071" s="2">
        <v>36</v>
      </c>
      <c r="Z4071" s="2">
        <v>0</v>
      </c>
      <c r="AA4071" s="2" t="s">
        <v>122</v>
      </c>
      <c r="AB4071" s="2" t="s">
        <v>26867</v>
      </c>
      <c r="AC4071" s="2">
        <v>-0.51036247085883402</v>
      </c>
      <c r="AD4071" s="2"/>
      <c r="AE4071" s="2">
        <v>0.11832362764851601</v>
      </c>
      <c r="AF4071" s="2">
        <v>653.69660556357701</v>
      </c>
      <c r="AG4071" s="2">
        <v>41.128343774391901</v>
      </c>
      <c r="AH4071" s="5">
        <v>15.894065881898999</v>
      </c>
      <c r="AI4071" s="5">
        <v>3.99041632450243</v>
      </c>
      <c r="AJ4071" s="5" t="s">
        <v>139</v>
      </c>
      <c r="AK4071" s="2">
        <v>0.15751333272899601</v>
      </c>
      <c r="AL4071" s="2">
        <v>0.47956751610874299</v>
      </c>
      <c r="AM4071" s="2">
        <v>53.5151181389217</v>
      </c>
      <c r="AN4071" s="2">
        <v>8.559877937157E-6</v>
      </c>
      <c r="AO4071" s="2">
        <v>1692.63653176302</v>
      </c>
      <c r="AP4071" s="2">
        <v>30.755791562468101</v>
      </c>
      <c r="AQ4071" s="2">
        <v>2117.35714661168</v>
      </c>
      <c r="AR4071" s="2">
        <v>27.915036745493801</v>
      </c>
      <c r="AS4071" s="2">
        <v>8.559877937157E-6</v>
      </c>
      <c r="AT4071" s="2">
        <v>8.559877937157E-6</v>
      </c>
      <c r="AU4071" s="2">
        <v>202.655440645163</v>
      </c>
      <c r="AV4071" s="2">
        <v>8.559877937157E-6</v>
      </c>
      <c r="AW4071" s="2">
        <v>8.559877937157E-6</v>
      </c>
      <c r="AX4071" s="2">
        <v>44.114587761676503</v>
      </c>
    </row>
    <row r="4072" spans="1:50" x14ac:dyDescent="0.25">
      <c r="A4072" s="2" t="s">
        <v>26868</v>
      </c>
      <c r="B4072" s="2">
        <v>403.285393345746</v>
      </c>
      <c r="C4072" s="2">
        <v>11.381349999999999</v>
      </c>
      <c r="D4072" s="2" t="s">
        <v>51</v>
      </c>
      <c r="E4072" s="2" t="s">
        <v>26869</v>
      </c>
      <c r="F4072" s="2">
        <v>52036</v>
      </c>
      <c r="G4072" s="3" t="str">
        <f>HYPERLINK("https://cloud.oebiotech.com/#/lm/network/52036", "https://cloud.oebiotech.com/#/lm/network/52036")</f>
        <v>https://cloud.oebiotech.com/#/lm/network/52036</v>
      </c>
      <c r="H4072" s="2" t="s">
        <v>26870</v>
      </c>
      <c r="I4072" s="2"/>
      <c r="J4072" s="2"/>
      <c r="K4072" s="2">
        <v>53481453</v>
      </c>
      <c r="L4072" s="2"/>
      <c r="M4072" s="2"/>
      <c r="N4072" s="2"/>
      <c r="O4072" s="2"/>
      <c r="P4072" s="2"/>
      <c r="Q4072" s="2"/>
      <c r="R4072" s="2"/>
      <c r="S4072" s="2" t="s">
        <v>26871</v>
      </c>
      <c r="T4072" s="2" t="s">
        <v>26872</v>
      </c>
      <c r="U4072" s="2" t="s">
        <v>56</v>
      </c>
      <c r="V4072" s="2" t="s">
        <v>177</v>
      </c>
      <c r="W4072" s="2" t="s">
        <v>1996</v>
      </c>
      <c r="X4072" s="2" t="s">
        <v>83</v>
      </c>
      <c r="Y4072" s="2">
        <v>42</v>
      </c>
      <c r="Z4072" s="2">
        <v>0</v>
      </c>
      <c r="AA4072" s="2" t="s">
        <v>163</v>
      </c>
      <c r="AB4072" s="2" t="s">
        <v>26873</v>
      </c>
      <c r="AC4072" s="2">
        <v>2.4775878741937901E-2</v>
      </c>
      <c r="AD4072" s="2"/>
      <c r="AE4072" s="2">
        <v>0.118046956195141</v>
      </c>
      <c r="AF4072" s="2">
        <v>625.76237282393402</v>
      </c>
      <c r="AG4072" s="2">
        <v>1180.1808727816799</v>
      </c>
      <c r="AH4072" s="4">
        <v>0.53022582152938702</v>
      </c>
      <c r="AI4072" s="4">
        <v>-0.91532116499660798</v>
      </c>
      <c r="AJ4072" s="4" t="s">
        <v>62</v>
      </c>
      <c r="AK4072" s="2">
        <v>0.41229513476698398</v>
      </c>
      <c r="AL4072" s="2">
        <v>0.67562688796897097</v>
      </c>
      <c r="AM4072" s="2">
        <v>219.52843015366</v>
      </c>
      <c r="AN4072" s="2">
        <v>446.02673305617202</v>
      </c>
      <c r="AO4072" s="2">
        <v>907.96187334445096</v>
      </c>
      <c r="AP4072" s="2">
        <v>1648.1392557829799</v>
      </c>
      <c r="AQ4072" s="2">
        <v>214.54466721829499</v>
      </c>
      <c r="AR4072" s="2">
        <v>318.37327738804498</v>
      </c>
      <c r="AS4072" s="2">
        <v>2553.6653715050802</v>
      </c>
      <c r="AT4072" s="2">
        <v>165.039391049805</v>
      </c>
      <c r="AU4072" s="2">
        <v>303.81768380091802</v>
      </c>
      <c r="AV4072" s="2">
        <v>179.64235732410401</v>
      </c>
      <c r="AW4072" s="2">
        <v>331.00061720139399</v>
      </c>
      <c r="AX4072" s="2">
        <v>3547.9198158087602</v>
      </c>
    </row>
    <row r="4073" spans="1:50" x14ac:dyDescent="0.25">
      <c r="A4073" s="2" t="s">
        <v>26874</v>
      </c>
      <c r="B4073" s="2">
        <v>350.23132510744102</v>
      </c>
      <c r="C4073" s="2">
        <v>6.3941333333333299</v>
      </c>
      <c r="D4073" s="2" t="s">
        <v>51</v>
      </c>
      <c r="E4073" s="2" t="s">
        <v>26875</v>
      </c>
      <c r="F4073" s="2">
        <v>207180</v>
      </c>
      <c r="G4073" s="3" t="str">
        <f>HYPERLINK("https://cloud.oebiotech.com/#/lm/network/207180", "https://cloud.oebiotech.com/#/lm/network/207180")</f>
        <v>https://cloud.oebiotech.com/#/lm/network/207180</v>
      </c>
      <c r="H4073" s="2" t="s">
        <v>26876</v>
      </c>
      <c r="I4073" s="2"/>
      <c r="J4073" s="2"/>
      <c r="K4073" s="2">
        <v>14193397</v>
      </c>
      <c r="L4073" s="2"/>
      <c r="M4073" s="2"/>
      <c r="N4073" s="2"/>
      <c r="O4073" s="2"/>
      <c r="P4073" s="2"/>
      <c r="Q4073" s="2"/>
      <c r="R4073" s="2"/>
      <c r="S4073" s="2" t="s">
        <v>26877</v>
      </c>
      <c r="T4073" s="2" t="s">
        <v>26878</v>
      </c>
      <c r="U4073" s="2" t="s">
        <v>56</v>
      </c>
      <c r="V4073" s="2" t="s">
        <v>177</v>
      </c>
      <c r="W4073" s="2" t="s">
        <v>178</v>
      </c>
      <c r="X4073" s="2" t="s">
        <v>83</v>
      </c>
      <c r="Y4073" s="2">
        <v>43.9</v>
      </c>
      <c r="Z4073" s="2">
        <v>0</v>
      </c>
      <c r="AA4073" s="2" t="s">
        <v>512</v>
      </c>
      <c r="AB4073" s="2" t="s">
        <v>1500</v>
      </c>
      <c r="AC4073" s="2">
        <v>-3.7923042253484001</v>
      </c>
      <c r="AD4073" s="2"/>
      <c r="AE4073" s="2">
        <v>0.117894240463897</v>
      </c>
      <c r="AF4073" s="2">
        <v>1413.6830494671599</v>
      </c>
      <c r="AG4073" s="2">
        <v>339.06160911172299</v>
      </c>
      <c r="AH4073" s="5">
        <v>4.1693987507778996</v>
      </c>
      <c r="AI4073" s="5">
        <v>2.0598393544586</v>
      </c>
      <c r="AJ4073" s="5" t="s">
        <v>139</v>
      </c>
      <c r="AK4073" s="2">
        <v>0.34420349622826601</v>
      </c>
      <c r="AL4073" s="2">
        <v>0.63883639734105901</v>
      </c>
      <c r="AM4073" s="2">
        <v>8.559877937157E-6</v>
      </c>
      <c r="AN4073" s="2">
        <v>8.559877937157E-6</v>
      </c>
      <c r="AO4073" s="2">
        <v>2067.2661540086801</v>
      </c>
      <c r="AP4073" s="2">
        <v>8.559877937157E-6</v>
      </c>
      <c r="AQ4073" s="2">
        <v>6414.8321085547695</v>
      </c>
      <c r="AR4073" s="2">
        <v>8.559877937157E-6</v>
      </c>
      <c r="AS4073" s="2">
        <v>1425.5797675261699</v>
      </c>
      <c r="AT4073" s="2">
        <v>8.559877937157E-6</v>
      </c>
      <c r="AU4073" s="2">
        <v>608.78985290465505</v>
      </c>
      <c r="AV4073" s="2">
        <v>8.559877937157E-6</v>
      </c>
      <c r="AW4073" s="2">
        <v>8.559877937157E-6</v>
      </c>
      <c r="AX4073" s="2">
        <v>8.559877937157E-6</v>
      </c>
    </row>
    <row r="4074" spans="1:50" x14ac:dyDescent="0.25">
      <c r="A4074" s="2" t="s">
        <v>26879</v>
      </c>
      <c r="B4074" s="2">
        <v>407.28040880311198</v>
      </c>
      <c r="C4074" s="2">
        <v>10.74095</v>
      </c>
      <c r="D4074" s="2" t="s">
        <v>51</v>
      </c>
      <c r="E4074" s="2" t="s">
        <v>26880</v>
      </c>
      <c r="F4074" s="2">
        <v>46599</v>
      </c>
      <c r="G4074" s="3" t="str">
        <f>HYPERLINK("https://cloud.oebiotech.com/#/lm/network/46599", "https://cloud.oebiotech.com/#/lm/network/46599")</f>
        <v>https://cloud.oebiotech.com/#/lm/network/46599</v>
      </c>
      <c r="H4074" s="2"/>
      <c r="I4074" s="2"/>
      <c r="J4074" s="2" t="s">
        <v>26881</v>
      </c>
      <c r="K4074" s="2">
        <v>14312275</v>
      </c>
      <c r="L4074" s="2"/>
      <c r="M4074" s="2"/>
      <c r="N4074" s="2"/>
      <c r="O4074" s="2"/>
      <c r="P4074" s="2"/>
      <c r="Q4074" s="2"/>
      <c r="R4074" s="2"/>
      <c r="S4074" s="2" t="s">
        <v>26882</v>
      </c>
      <c r="T4074" s="2" t="s">
        <v>26883</v>
      </c>
      <c r="U4074" s="2" t="s">
        <v>56</v>
      </c>
      <c r="V4074" s="2" t="s">
        <v>283</v>
      </c>
      <c r="W4074" s="2" t="s">
        <v>2042</v>
      </c>
      <c r="X4074" s="2" t="s">
        <v>83</v>
      </c>
      <c r="Y4074" s="2">
        <v>44.7</v>
      </c>
      <c r="Z4074" s="2">
        <v>0</v>
      </c>
      <c r="AA4074" s="2" t="s">
        <v>218</v>
      </c>
      <c r="AB4074" s="2" t="s">
        <v>25059</v>
      </c>
      <c r="AC4074" s="2">
        <v>0.30599296267051801</v>
      </c>
      <c r="AD4074" s="2"/>
      <c r="AE4074" s="2">
        <v>0.11786887923762</v>
      </c>
      <c r="AF4074" s="2">
        <v>1958.9744744304701</v>
      </c>
      <c r="AG4074" s="2">
        <v>1398.1690629699301</v>
      </c>
      <c r="AH4074" s="5">
        <v>1.40109985717271</v>
      </c>
      <c r="AI4074" s="5">
        <v>0.48655978111776499</v>
      </c>
      <c r="AJ4074" s="5" t="s">
        <v>139</v>
      </c>
      <c r="AK4074" s="2">
        <v>0.18782266280878601</v>
      </c>
      <c r="AL4074" s="2">
        <v>0.51257428194174204</v>
      </c>
      <c r="AM4074" s="2">
        <v>1409.9221614389701</v>
      </c>
      <c r="AN4074" s="2">
        <v>2949.1560714275201</v>
      </c>
      <c r="AO4074" s="2">
        <v>2377.2230234751</v>
      </c>
      <c r="AP4074" s="2">
        <v>2521.2063221345902</v>
      </c>
      <c r="AQ4074" s="2">
        <v>1296.1968999312701</v>
      </c>
      <c r="AR4074" s="2">
        <v>1200.1423681753499</v>
      </c>
      <c r="AS4074" s="2">
        <v>1425.5298075272799</v>
      </c>
      <c r="AT4074" s="2">
        <v>2200.06037538177</v>
      </c>
      <c r="AU4074" s="2">
        <v>933.33213093045197</v>
      </c>
      <c r="AV4074" s="2">
        <v>468.02707142235602</v>
      </c>
      <c r="AW4074" s="2">
        <v>1835.9806700525901</v>
      </c>
      <c r="AX4074" s="2">
        <v>1526.0843225051401</v>
      </c>
    </row>
    <row r="4075" spans="1:50" x14ac:dyDescent="0.25">
      <c r="A4075" s="2" t="s">
        <v>26884</v>
      </c>
      <c r="B4075" s="2">
        <v>341.21229123028002</v>
      </c>
      <c r="C4075" s="2">
        <v>10.534700000000001</v>
      </c>
      <c r="D4075" s="2" t="s">
        <v>51</v>
      </c>
      <c r="E4075" s="2" t="s">
        <v>26885</v>
      </c>
      <c r="F4075" s="2">
        <v>83731</v>
      </c>
      <c r="G4075" s="3" t="str">
        <f>HYPERLINK("https://cloud.oebiotech.com/#/lm/network/83731", "https://cloud.oebiotech.com/#/lm/network/83731")</f>
        <v>https://cloud.oebiotech.com/#/lm/network/83731</v>
      </c>
      <c r="H4075" s="2" t="s">
        <v>26886</v>
      </c>
      <c r="I4075" s="2"/>
      <c r="J4075" s="2"/>
      <c r="K4075" s="2"/>
      <c r="L4075" s="2"/>
      <c r="M4075" s="2"/>
      <c r="N4075" s="2"/>
      <c r="O4075" s="2"/>
      <c r="P4075" s="2"/>
      <c r="Q4075" s="2"/>
      <c r="R4075" s="2"/>
      <c r="S4075" s="2" t="s">
        <v>26887</v>
      </c>
      <c r="T4075" s="2" t="s">
        <v>26888</v>
      </c>
      <c r="U4075" s="2" t="s">
        <v>56</v>
      </c>
      <c r="V4075" s="2" t="s">
        <v>145</v>
      </c>
      <c r="W4075" s="2" t="s">
        <v>231</v>
      </c>
      <c r="X4075" s="2" t="s">
        <v>83</v>
      </c>
      <c r="Y4075" s="2">
        <v>43.5</v>
      </c>
      <c r="Z4075" s="2">
        <v>0</v>
      </c>
      <c r="AA4075" s="2" t="s">
        <v>163</v>
      </c>
      <c r="AB4075" s="2" t="s">
        <v>2007</v>
      </c>
      <c r="AC4075" s="2">
        <v>0.21285023634662401</v>
      </c>
      <c r="AD4075" s="2"/>
      <c r="AE4075" s="2">
        <v>0.117617884920643</v>
      </c>
      <c r="AF4075" s="2">
        <v>1459.1185087512899</v>
      </c>
      <c r="AG4075" s="2">
        <v>1024.24554127135</v>
      </c>
      <c r="AH4075" s="5">
        <v>1.4245788240778201</v>
      </c>
      <c r="AI4075" s="5">
        <v>0.51053545034550796</v>
      </c>
      <c r="AJ4075" s="5" t="s">
        <v>139</v>
      </c>
      <c r="AK4075" s="2">
        <v>0.44753795607345898</v>
      </c>
      <c r="AL4075" s="2">
        <v>0.70214849250196898</v>
      </c>
      <c r="AM4075" s="2">
        <v>3741.2794609822099</v>
      </c>
      <c r="AN4075" s="2">
        <v>692.15205688492199</v>
      </c>
      <c r="AO4075" s="2">
        <v>1424.8517253003399</v>
      </c>
      <c r="AP4075" s="2">
        <v>221.92241377306399</v>
      </c>
      <c r="AQ4075" s="2">
        <v>1209.08304212347</v>
      </c>
      <c r="AR4075" s="2">
        <v>1465.4223534437599</v>
      </c>
      <c r="AS4075" s="2">
        <v>1033.36096658</v>
      </c>
      <c r="AT4075" s="2">
        <v>458.66288862894498</v>
      </c>
      <c r="AU4075" s="2">
        <v>1917.2606555513401</v>
      </c>
      <c r="AV4075" s="2">
        <v>723.31894122042797</v>
      </c>
      <c r="AW4075" s="2">
        <v>1495.2952232397799</v>
      </c>
      <c r="AX4075" s="2">
        <v>517.57457240761801</v>
      </c>
    </row>
    <row r="4076" spans="1:50" x14ac:dyDescent="0.25">
      <c r="A4076" s="2" t="s">
        <v>26889</v>
      </c>
      <c r="B4076" s="2">
        <v>350.08277329388699</v>
      </c>
      <c r="C4076" s="2">
        <v>4.8935333333333304</v>
      </c>
      <c r="D4076" s="2" t="s">
        <v>51</v>
      </c>
      <c r="E4076" s="2" t="s">
        <v>26890</v>
      </c>
      <c r="F4076" s="2">
        <v>210232</v>
      </c>
      <c r="G4076" s="3" t="str">
        <f>HYPERLINK("https://cloud.oebiotech.com/#/lm/network/210232", "https://cloud.oebiotech.com/#/lm/network/210232")</f>
        <v>https://cloud.oebiotech.com/#/lm/network/210232</v>
      </c>
      <c r="H4076" s="2" t="s">
        <v>26891</v>
      </c>
      <c r="I4076" s="2"/>
      <c r="J4076" s="2"/>
      <c r="K4076" s="2"/>
      <c r="L4076" s="2"/>
      <c r="M4076" s="2"/>
      <c r="N4076" s="2"/>
      <c r="O4076" s="2"/>
      <c r="P4076" s="2"/>
      <c r="Q4076" s="2"/>
      <c r="R4076" s="2"/>
      <c r="S4076" s="2" t="s">
        <v>26892</v>
      </c>
      <c r="T4076" s="2" t="s">
        <v>26893</v>
      </c>
      <c r="U4076" s="2" t="s">
        <v>610</v>
      </c>
      <c r="V4076" s="2" t="s">
        <v>611</v>
      </c>
      <c r="W4076" s="2" t="s">
        <v>8482</v>
      </c>
      <c r="X4076" s="2" t="s">
        <v>147</v>
      </c>
      <c r="Y4076" s="2">
        <v>36.5</v>
      </c>
      <c r="Z4076" s="2">
        <v>0</v>
      </c>
      <c r="AA4076" s="2" t="s">
        <v>122</v>
      </c>
      <c r="AB4076" s="2" t="s">
        <v>26894</v>
      </c>
      <c r="AC4076" s="2">
        <v>-2.7808015141702702</v>
      </c>
      <c r="AD4076" s="2"/>
      <c r="AE4076" s="2">
        <v>0.117612055706837</v>
      </c>
      <c r="AF4076" s="2">
        <v>2318.4966809416201</v>
      </c>
      <c r="AG4076" s="2">
        <v>3151.4919662491002</v>
      </c>
      <c r="AH4076" s="4">
        <v>0.73568224376630398</v>
      </c>
      <c r="AI4076" s="4">
        <v>-0.44284532361861101</v>
      </c>
      <c r="AJ4076" s="4" t="s">
        <v>62</v>
      </c>
      <c r="AK4076" s="2">
        <v>0.452064098038229</v>
      </c>
      <c r="AL4076" s="2">
        <v>0.70528155934299797</v>
      </c>
      <c r="AM4076" s="2">
        <v>3212.8452346141398</v>
      </c>
      <c r="AN4076" s="2">
        <v>1638.9150298950501</v>
      </c>
      <c r="AO4076" s="2">
        <v>2717.25659384756</v>
      </c>
      <c r="AP4076" s="2">
        <v>5499.2099255193898</v>
      </c>
      <c r="AQ4076" s="2">
        <v>369.097392030094</v>
      </c>
      <c r="AR4076" s="2">
        <v>473.65590974348299</v>
      </c>
      <c r="AS4076" s="2">
        <v>5455.8567982688801</v>
      </c>
      <c r="AT4076" s="2">
        <v>2873.6571451360401</v>
      </c>
      <c r="AU4076" s="2">
        <v>2163.6278716362699</v>
      </c>
      <c r="AV4076" s="2">
        <v>640.85719087443101</v>
      </c>
      <c r="AW4076" s="2">
        <v>3019.2673117242598</v>
      </c>
      <c r="AX4076" s="2">
        <v>4755.6854798547201</v>
      </c>
    </row>
    <row r="4077" spans="1:50" x14ac:dyDescent="0.25">
      <c r="A4077" s="2" t="s">
        <v>26895</v>
      </c>
      <c r="B4077" s="2">
        <v>177.055121238867</v>
      </c>
      <c r="C4077" s="2">
        <v>8.8874666666666702</v>
      </c>
      <c r="D4077" s="2" t="s">
        <v>51</v>
      </c>
      <c r="E4077" s="2" t="s">
        <v>26896</v>
      </c>
      <c r="F4077" s="2">
        <v>256531</v>
      </c>
      <c r="G4077" s="3" t="str">
        <f>HYPERLINK("https://cloud.oebiotech.com/#/lm/network/256531", "https://cloud.oebiotech.com/#/lm/network/256531")</f>
        <v>https://cloud.oebiotech.com/#/lm/network/256531</v>
      </c>
      <c r="H4077" s="2" t="s">
        <v>26897</v>
      </c>
      <c r="I4077" s="2"/>
      <c r="J4077" s="2"/>
      <c r="K4077" s="2">
        <v>439718</v>
      </c>
      <c r="L4077" s="2"/>
      <c r="M4077" s="2"/>
      <c r="N4077" s="2"/>
      <c r="O4077" s="2"/>
      <c r="P4077" s="2"/>
      <c r="Q4077" s="2"/>
      <c r="R4077" s="2"/>
      <c r="S4077" s="2" t="s">
        <v>26898</v>
      </c>
      <c r="T4077" s="2" t="s">
        <v>26899</v>
      </c>
      <c r="U4077" s="2" t="s">
        <v>610</v>
      </c>
      <c r="V4077" s="2" t="s">
        <v>611</v>
      </c>
      <c r="W4077" s="2" t="s">
        <v>1122</v>
      </c>
      <c r="X4077" s="2" t="s">
        <v>147</v>
      </c>
      <c r="Y4077" s="2">
        <v>45.8</v>
      </c>
      <c r="Z4077" s="2">
        <v>36.799999999999997</v>
      </c>
      <c r="AA4077" s="2" t="s">
        <v>156</v>
      </c>
      <c r="AB4077" s="2" t="s">
        <v>26900</v>
      </c>
      <c r="AC4077" s="2">
        <v>2.58010575366839</v>
      </c>
      <c r="AD4077" s="2"/>
      <c r="AE4077" s="2">
        <v>0.117572387866535</v>
      </c>
      <c r="AF4077" s="2">
        <v>3782.6585161756202</v>
      </c>
      <c r="AG4077" s="2">
        <v>4337.1786163516299</v>
      </c>
      <c r="AH4077" s="4">
        <v>0.87214727609201703</v>
      </c>
      <c r="AI4077" s="4">
        <v>-0.19735631705635601</v>
      </c>
      <c r="AJ4077" s="4" t="s">
        <v>62</v>
      </c>
      <c r="AK4077" s="2">
        <v>0.35537094440487199</v>
      </c>
      <c r="AL4077" s="2">
        <v>0.64425017912743399</v>
      </c>
      <c r="AM4077" s="2">
        <v>2872.8330290681802</v>
      </c>
      <c r="AN4077" s="2">
        <v>3924.6589676189001</v>
      </c>
      <c r="AO4077" s="2">
        <v>3893.74472258163</v>
      </c>
      <c r="AP4077" s="2">
        <v>3787.2195774878301</v>
      </c>
      <c r="AQ4077" s="2">
        <v>4633.7995730922603</v>
      </c>
      <c r="AR4077" s="2">
        <v>3583.6952272049102</v>
      </c>
      <c r="AS4077" s="2">
        <v>6790.1044110578696</v>
      </c>
      <c r="AT4077" s="2">
        <v>4476.0715809536596</v>
      </c>
      <c r="AU4077" s="2">
        <v>3294.9776401884901</v>
      </c>
      <c r="AV4077" s="2">
        <v>3762.8126847613298</v>
      </c>
      <c r="AW4077" s="2">
        <v>3481.30270603177</v>
      </c>
      <c r="AX4077" s="2">
        <v>4217.8026751166599</v>
      </c>
    </row>
    <row r="4078" spans="1:50" x14ac:dyDescent="0.25">
      <c r="A4078" s="2" t="s">
        <v>26901</v>
      </c>
      <c r="B4078" s="2">
        <v>552.26813996621695</v>
      </c>
      <c r="C4078" s="2">
        <v>4.5257666666666703</v>
      </c>
      <c r="D4078" s="2" t="s">
        <v>51</v>
      </c>
      <c r="E4078" s="2" t="s">
        <v>26902</v>
      </c>
      <c r="F4078" s="2">
        <v>22477</v>
      </c>
      <c r="G4078" s="3" t="str">
        <f>HYPERLINK("https://cloud.oebiotech.com/#/lm/network/22477", "https://cloud.oebiotech.com/#/lm/network/22477")</f>
        <v>https://cloud.oebiotech.com/#/lm/network/22477</v>
      </c>
      <c r="H4078" s="2"/>
      <c r="I4078" s="2"/>
      <c r="J4078" s="2" t="s">
        <v>26903</v>
      </c>
      <c r="K4078" s="2">
        <v>137323950</v>
      </c>
      <c r="L4078" s="2"/>
      <c r="M4078" s="2"/>
      <c r="N4078" s="2"/>
      <c r="O4078" s="2"/>
      <c r="P4078" s="2"/>
      <c r="Q4078" s="2"/>
      <c r="R4078" s="2"/>
      <c r="S4078" s="2" t="s">
        <v>26904</v>
      </c>
      <c r="T4078" s="2" t="s">
        <v>26905</v>
      </c>
      <c r="U4078" s="2" t="s">
        <v>56</v>
      </c>
      <c r="V4078" s="2" t="s">
        <v>57</v>
      </c>
      <c r="W4078" s="2" t="s">
        <v>82</v>
      </c>
      <c r="X4078" s="2" t="s">
        <v>147</v>
      </c>
      <c r="Y4078" s="2">
        <v>44.2</v>
      </c>
      <c r="Z4078" s="2">
        <v>28.8</v>
      </c>
      <c r="AA4078" s="2" t="s">
        <v>395</v>
      </c>
      <c r="AB4078" s="2" t="s">
        <v>26906</v>
      </c>
      <c r="AC4078" s="2">
        <v>-3.2862693694088398</v>
      </c>
      <c r="AD4078" s="2"/>
      <c r="AE4078" s="2">
        <v>0.11755435172291299</v>
      </c>
      <c r="AF4078" s="2">
        <v>4086.61901419068</v>
      </c>
      <c r="AG4078" s="2">
        <v>2716.7595875178699</v>
      </c>
      <c r="AH4078" s="5">
        <v>1.5042254872189</v>
      </c>
      <c r="AI4078" s="5">
        <v>0.58902084687520695</v>
      </c>
      <c r="AJ4078" s="5" t="s">
        <v>139</v>
      </c>
      <c r="AK4078" s="2">
        <v>0.57097928834456402</v>
      </c>
      <c r="AL4078" s="2">
        <v>0.78325289930816699</v>
      </c>
      <c r="AM4078" s="2">
        <v>5934.9166419950197</v>
      </c>
      <c r="AN4078" s="2">
        <v>22.2365609051344</v>
      </c>
      <c r="AO4078" s="2">
        <v>1054.84012948899</v>
      </c>
      <c r="AP4078" s="2">
        <v>12299.823255434199</v>
      </c>
      <c r="AQ4078" s="2">
        <v>3999.18774452148</v>
      </c>
      <c r="AR4078" s="2">
        <v>1208.7097527992401</v>
      </c>
      <c r="AS4078" s="2">
        <v>1206.6287255555601</v>
      </c>
      <c r="AT4078" s="2">
        <v>2478.5135931165601</v>
      </c>
      <c r="AU4078" s="2">
        <v>9531.7081406608795</v>
      </c>
      <c r="AV4078" s="2">
        <v>387.19304283396201</v>
      </c>
      <c r="AW4078" s="2">
        <v>2126.0885895745701</v>
      </c>
      <c r="AX4078" s="2">
        <v>570.42543336569304</v>
      </c>
    </row>
    <row r="4079" spans="1:50" x14ac:dyDescent="0.25">
      <c r="A4079" s="2" t="s">
        <v>26907</v>
      </c>
      <c r="B4079" s="2">
        <v>388.15516984365001</v>
      </c>
      <c r="C4079" s="2">
        <v>4.26596666666667</v>
      </c>
      <c r="D4079" s="2" t="s">
        <v>51</v>
      </c>
      <c r="E4079" s="2" t="s">
        <v>26908</v>
      </c>
      <c r="F4079" s="2">
        <v>260834</v>
      </c>
      <c r="G4079" s="3" t="str">
        <f>HYPERLINK("https://cloud.oebiotech.com/#/lm/network/260834", "https://cloud.oebiotech.com/#/lm/network/260834")</f>
        <v>https://cloud.oebiotech.com/#/lm/network/260834</v>
      </c>
      <c r="H4079" s="2"/>
      <c r="I4079" s="2">
        <v>18120</v>
      </c>
      <c r="J4079" s="2"/>
      <c r="K4079" s="2">
        <v>145455484</v>
      </c>
      <c r="L4079" s="2"/>
      <c r="M4079" s="2"/>
      <c r="N4079" s="2"/>
      <c r="O4079" s="2"/>
      <c r="P4079" s="2"/>
      <c r="Q4079" s="2"/>
      <c r="R4079" s="2"/>
      <c r="S4079" s="2" t="s">
        <v>26909</v>
      </c>
      <c r="T4079" s="2" t="s">
        <v>26910</v>
      </c>
      <c r="U4079" s="2" t="s">
        <v>103</v>
      </c>
      <c r="V4079" s="2" t="s">
        <v>104</v>
      </c>
      <c r="W4079" s="2" t="s">
        <v>105</v>
      </c>
      <c r="X4079" s="2" t="s">
        <v>83</v>
      </c>
      <c r="Y4079" s="2">
        <v>36.9</v>
      </c>
      <c r="Z4079" s="2">
        <v>0</v>
      </c>
      <c r="AA4079" s="2" t="s">
        <v>379</v>
      </c>
      <c r="AB4079" s="2" t="s">
        <v>26911</v>
      </c>
      <c r="AC4079" s="2">
        <v>9.2364798631521801</v>
      </c>
      <c r="AD4079" s="2"/>
      <c r="AE4079" s="2">
        <v>0.117552815758156</v>
      </c>
      <c r="AF4079" s="2">
        <v>1204.12976131607</v>
      </c>
      <c r="AG4079" s="2">
        <v>686.39474120779096</v>
      </c>
      <c r="AH4079" s="5">
        <v>1.7542817405583</v>
      </c>
      <c r="AI4079" s="5">
        <v>0.81088046560761495</v>
      </c>
      <c r="AJ4079" s="5" t="s">
        <v>139</v>
      </c>
      <c r="AK4079" s="2">
        <v>0.55546025511665398</v>
      </c>
      <c r="AL4079" s="2">
        <v>0.77521568750060499</v>
      </c>
      <c r="AM4079" s="2">
        <v>3279.4370878428199</v>
      </c>
      <c r="AN4079" s="2">
        <v>294.52084326372102</v>
      </c>
      <c r="AO4079" s="2">
        <v>1570.37706126169</v>
      </c>
      <c r="AP4079" s="2">
        <v>1793.91397888443</v>
      </c>
      <c r="AQ4079" s="2">
        <v>27.158151064770699</v>
      </c>
      <c r="AR4079" s="2">
        <v>259.37144557897699</v>
      </c>
      <c r="AS4079" s="2">
        <v>8.559877937157E-6</v>
      </c>
      <c r="AT4079" s="2">
        <v>8.559877937157E-6</v>
      </c>
      <c r="AU4079" s="2">
        <v>4066.9624470230301</v>
      </c>
      <c r="AV4079" s="2">
        <v>51.405965984206702</v>
      </c>
      <c r="AW4079" s="2">
        <v>8.559877937157E-6</v>
      </c>
      <c r="AX4079" s="2">
        <v>8.559877937157E-6</v>
      </c>
    </row>
    <row r="4080" spans="1:50" x14ac:dyDescent="0.25">
      <c r="A4080" s="2" t="s">
        <v>26912</v>
      </c>
      <c r="B4080" s="2">
        <v>337.062507921453</v>
      </c>
      <c r="C4080" s="2">
        <v>3.6067666666666698</v>
      </c>
      <c r="D4080" s="2" t="s">
        <v>51</v>
      </c>
      <c r="E4080" s="2" t="s">
        <v>26913</v>
      </c>
      <c r="F4080" s="2">
        <v>256208</v>
      </c>
      <c r="G4080" s="3" t="str">
        <f>HYPERLINK("https://cloud.oebiotech.com/#/lm/network/256208", "https://cloud.oebiotech.com/#/lm/network/256208")</f>
        <v>https://cloud.oebiotech.com/#/lm/network/256208</v>
      </c>
      <c r="H4080" s="2" t="s">
        <v>26914</v>
      </c>
      <c r="I4080" s="2"/>
      <c r="J4080" s="2"/>
      <c r="K4080" s="2">
        <v>8887</v>
      </c>
      <c r="L4080" s="2"/>
      <c r="M4080" s="2"/>
      <c r="N4080" s="2"/>
      <c r="O4080" s="2">
        <v>64220</v>
      </c>
      <c r="P4080" s="2"/>
      <c r="Q4080" s="2"/>
      <c r="R4080" s="2"/>
      <c r="S4080" s="2" t="s">
        <v>26915</v>
      </c>
      <c r="T4080" s="2" t="s">
        <v>26916</v>
      </c>
      <c r="U4080" s="2" t="s">
        <v>103</v>
      </c>
      <c r="V4080" s="2" t="s">
        <v>104</v>
      </c>
      <c r="W4080" s="2" t="s">
        <v>105</v>
      </c>
      <c r="X4080" s="2" t="s">
        <v>147</v>
      </c>
      <c r="Y4080" s="2">
        <v>39.5</v>
      </c>
      <c r="Z4080" s="2">
        <v>0</v>
      </c>
      <c r="AA4080" s="2" t="s">
        <v>478</v>
      </c>
      <c r="AB4080" s="2" t="s">
        <v>26917</v>
      </c>
      <c r="AC4080" s="2">
        <v>-1.24142128576108</v>
      </c>
      <c r="AD4080" s="2"/>
      <c r="AE4080" s="2">
        <v>0.11741270817175201</v>
      </c>
      <c r="AF4080" s="2">
        <v>2148.2105771481301</v>
      </c>
      <c r="AG4080" s="2">
        <v>2756.2496664079099</v>
      </c>
      <c r="AH4080" s="4">
        <v>0.77939622209471104</v>
      </c>
      <c r="AI4080" s="4">
        <v>-0.35957115642433701</v>
      </c>
      <c r="AJ4080" s="4" t="s">
        <v>62</v>
      </c>
      <c r="AK4080" s="2">
        <v>0.15474421729062901</v>
      </c>
      <c r="AL4080" s="2">
        <v>0.47552609630148401</v>
      </c>
      <c r="AM4080" s="2">
        <v>2019.7306584512501</v>
      </c>
      <c r="AN4080" s="2">
        <v>2280.68909082759</v>
      </c>
      <c r="AO4080" s="2">
        <v>1359.9792365410401</v>
      </c>
      <c r="AP4080" s="2">
        <v>2567.3995680969201</v>
      </c>
      <c r="AQ4080" s="2">
        <v>2773.2760726783599</v>
      </c>
      <c r="AR4080" s="2">
        <v>1888.1888362936199</v>
      </c>
      <c r="AS4080" s="2">
        <v>3403.3808685056101</v>
      </c>
      <c r="AT4080" s="2">
        <v>3982.8048974890198</v>
      </c>
      <c r="AU4080" s="2">
        <v>2350.6636333629799</v>
      </c>
      <c r="AV4080" s="2">
        <v>1786.0739938310801</v>
      </c>
      <c r="AW4080" s="2">
        <v>2161.98559726345</v>
      </c>
      <c r="AX4080" s="2">
        <v>2852.5890079953001</v>
      </c>
    </row>
    <row r="4081" spans="1:50" x14ac:dyDescent="0.25">
      <c r="A4081" s="2" t="s">
        <v>26918</v>
      </c>
      <c r="B4081" s="2">
        <v>521.42148298903896</v>
      </c>
      <c r="C4081" s="2">
        <v>14.465633333333299</v>
      </c>
      <c r="D4081" s="2" t="s">
        <v>51</v>
      </c>
      <c r="E4081" s="2" t="s">
        <v>26919</v>
      </c>
      <c r="F4081" s="2">
        <v>10847</v>
      </c>
      <c r="G4081" s="3" t="str">
        <f>HYPERLINK("https://cloud.oebiotech.com/#/lm/network/10847", "https://cloud.oebiotech.com/#/lm/network/10847")</f>
        <v>https://cloud.oebiotech.com/#/lm/network/10847</v>
      </c>
      <c r="H4081" s="2"/>
      <c r="I4081" s="2">
        <v>98352</v>
      </c>
      <c r="J4081" s="2" t="s">
        <v>26920</v>
      </c>
      <c r="K4081" s="2">
        <v>56936302</v>
      </c>
      <c r="L4081" s="2"/>
      <c r="M4081" s="2"/>
      <c r="N4081" s="2"/>
      <c r="O4081" s="2"/>
      <c r="P4081" s="2"/>
      <c r="Q4081" s="2"/>
      <c r="R4081" s="2"/>
      <c r="S4081" s="2" t="s">
        <v>26921</v>
      </c>
      <c r="T4081" s="2" t="s">
        <v>26922</v>
      </c>
      <c r="U4081" s="2" t="s">
        <v>56</v>
      </c>
      <c r="V4081" s="2" t="s">
        <v>3215</v>
      </c>
      <c r="W4081" s="2" t="s">
        <v>3216</v>
      </c>
      <c r="X4081" s="2" t="s">
        <v>147</v>
      </c>
      <c r="Y4081" s="2">
        <v>40.299999999999997</v>
      </c>
      <c r="Z4081" s="2">
        <v>11.6</v>
      </c>
      <c r="AA4081" s="2" t="s">
        <v>163</v>
      </c>
      <c r="AB4081" s="2" t="s">
        <v>26923</v>
      </c>
      <c r="AC4081" s="2">
        <v>0.64020861662683004</v>
      </c>
      <c r="AD4081" s="2"/>
      <c r="AE4081" s="2">
        <v>0.11732850994866099</v>
      </c>
      <c r="AF4081" s="2">
        <v>79436.561638757907</v>
      </c>
      <c r="AG4081" s="2">
        <v>83049.222237061593</v>
      </c>
      <c r="AH4081" s="4">
        <v>0.95649976603042097</v>
      </c>
      <c r="AI4081" s="4">
        <v>-6.4163479213823302E-2</v>
      </c>
      <c r="AJ4081" s="4" t="s">
        <v>62</v>
      </c>
      <c r="AK4081" s="2">
        <v>0.87819238485311302</v>
      </c>
      <c r="AL4081" s="2">
        <v>0.94752328784861595</v>
      </c>
      <c r="AM4081" s="2">
        <v>57147.791780099702</v>
      </c>
      <c r="AN4081" s="2">
        <v>60780.130030599699</v>
      </c>
      <c r="AO4081" s="2">
        <v>95785.106589540796</v>
      </c>
      <c r="AP4081" s="2">
        <v>115961.79751021499</v>
      </c>
      <c r="AQ4081" s="2">
        <v>101021.366634687</v>
      </c>
      <c r="AR4081" s="2">
        <v>45923.177287405102</v>
      </c>
      <c r="AS4081" s="2">
        <v>46800.468188192302</v>
      </c>
      <c r="AT4081" s="2">
        <v>146949.21413737701</v>
      </c>
      <c r="AU4081" s="2">
        <v>48569.180402202197</v>
      </c>
      <c r="AV4081" s="2">
        <v>31084.6198496504</v>
      </c>
      <c r="AW4081" s="2">
        <v>132296.05462944301</v>
      </c>
      <c r="AX4081" s="2">
        <v>92595.796215504597</v>
      </c>
    </row>
    <row r="4082" spans="1:50" x14ac:dyDescent="0.25">
      <c r="A4082" s="2" t="s">
        <v>26924</v>
      </c>
      <c r="B4082" s="2">
        <v>357.214636666991</v>
      </c>
      <c r="C4082" s="2">
        <v>3.9009</v>
      </c>
      <c r="D4082" s="2" t="s">
        <v>51</v>
      </c>
      <c r="E4082" s="2" t="s">
        <v>26925</v>
      </c>
      <c r="F4082" s="2">
        <v>266019</v>
      </c>
      <c r="G4082" s="3" t="str">
        <f>HYPERLINK("https://cloud.oebiotech.com/#/lm/network/266019", "https://cloud.oebiotech.com/#/lm/network/266019")</f>
        <v>https://cloud.oebiotech.com/#/lm/network/266019</v>
      </c>
      <c r="H4082" s="2"/>
      <c r="I4082" s="2">
        <v>23541</v>
      </c>
      <c r="J4082" s="2"/>
      <c r="K4082" s="2">
        <v>145455189</v>
      </c>
      <c r="L4082" s="2"/>
      <c r="M4082" s="2"/>
      <c r="N4082" s="2"/>
      <c r="O4082" s="2"/>
      <c r="P4082" s="2"/>
      <c r="Q4082" s="2"/>
      <c r="R4082" s="2"/>
      <c r="S4082" s="2" t="s">
        <v>26926</v>
      </c>
      <c r="T4082" s="2" t="s">
        <v>26927</v>
      </c>
      <c r="U4082" s="2" t="s">
        <v>103</v>
      </c>
      <c r="V4082" s="2" t="s">
        <v>104</v>
      </c>
      <c r="W4082" s="2" t="s">
        <v>105</v>
      </c>
      <c r="X4082" s="2" t="s">
        <v>83</v>
      </c>
      <c r="Y4082" s="2">
        <v>42.5</v>
      </c>
      <c r="Z4082" s="2">
        <v>21.7</v>
      </c>
      <c r="AA4082" s="2" t="s">
        <v>259</v>
      </c>
      <c r="AB4082" s="2" t="s">
        <v>26928</v>
      </c>
      <c r="AC4082" s="2">
        <v>3.90285438256601</v>
      </c>
      <c r="AD4082" s="2"/>
      <c r="AE4082" s="2">
        <v>0.117287086288808</v>
      </c>
      <c r="AF4082" s="2">
        <v>3902.0279165238499</v>
      </c>
      <c r="AG4082" s="2">
        <v>4835.4350100956699</v>
      </c>
      <c r="AH4082" s="4">
        <v>0.80696522823220695</v>
      </c>
      <c r="AI4082" s="4">
        <v>-0.309421585123759</v>
      </c>
      <c r="AJ4082" s="4" t="s">
        <v>62</v>
      </c>
      <c r="AK4082" s="2">
        <v>0.84426430360663696</v>
      </c>
      <c r="AL4082" s="2">
        <v>0.93063445423553803</v>
      </c>
      <c r="AM4082" s="2">
        <v>622.98674270935601</v>
      </c>
      <c r="AN4082" s="2">
        <v>2186.4606586387899</v>
      </c>
      <c r="AO4082" s="2">
        <v>4546.5889969373102</v>
      </c>
      <c r="AP4082" s="2">
        <v>472.62916200503298</v>
      </c>
      <c r="AQ4082" s="2">
        <v>1419.34487641032</v>
      </c>
      <c r="AR4082" s="2">
        <v>14164.1570624423</v>
      </c>
      <c r="AS4082" s="2">
        <v>8.559877937157E-6</v>
      </c>
      <c r="AT4082" s="2">
        <v>8.559877937157E-6</v>
      </c>
      <c r="AU4082" s="2">
        <v>1209.51482435452</v>
      </c>
      <c r="AV4082" s="2">
        <v>25327.0525878847</v>
      </c>
      <c r="AW4082" s="2">
        <v>1212.9183386048301</v>
      </c>
      <c r="AX4082" s="2">
        <v>1263.12429261019</v>
      </c>
    </row>
    <row r="4083" spans="1:50" x14ac:dyDescent="0.25">
      <c r="A4083" s="2" t="s">
        <v>26929</v>
      </c>
      <c r="B4083" s="2">
        <v>567.31801304588396</v>
      </c>
      <c r="C4083" s="2">
        <v>8.3676499999999994</v>
      </c>
      <c r="D4083" s="2" t="s">
        <v>51</v>
      </c>
      <c r="E4083" s="2" t="s">
        <v>26930</v>
      </c>
      <c r="F4083" s="2">
        <v>47941</v>
      </c>
      <c r="G4083" s="3" t="str">
        <f>HYPERLINK("https://cloud.oebiotech.com/#/lm/network/47941", "https://cloud.oebiotech.com/#/lm/network/47941")</f>
        <v>https://cloud.oebiotech.com/#/lm/network/47941</v>
      </c>
      <c r="H4083" s="2" t="s">
        <v>26931</v>
      </c>
      <c r="I4083" s="2">
        <v>6678</v>
      </c>
      <c r="J4083" s="2"/>
      <c r="K4083" s="2">
        <v>21252299</v>
      </c>
      <c r="L4083" s="2"/>
      <c r="M4083" s="2"/>
      <c r="N4083" s="2"/>
      <c r="O4083" s="2"/>
      <c r="P4083" s="2"/>
      <c r="Q4083" s="2"/>
      <c r="R4083" s="2" t="s">
        <v>26932</v>
      </c>
      <c r="S4083" s="2" t="s">
        <v>26933</v>
      </c>
      <c r="T4083" s="2" t="s">
        <v>26934</v>
      </c>
      <c r="U4083" s="2" t="s">
        <v>56</v>
      </c>
      <c r="V4083" s="2" t="s">
        <v>283</v>
      </c>
      <c r="W4083" s="2" t="s">
        <v>3462</v>
      </c>
      <c r="X4083" s="2" t="s">
        <v>69</v>
      </c>
      <c r="Y4083" s="2">
        <v>51.9</v>
      </c>
      <c r="Z4083" s="2">
        <v>53.7</v>
      </c>
      <c r="AA4083" s="2" t="s">
        <v>163</v>
      </c>
      <c r="AB4083" s="2" t="s">
        <v>9722</v>
      </c>
      <c r="AC4083" s="2">
        <v>0.95322775674043603</v>
      </c>
      <c r="AD4083" s="2"/>
      <c r="AE4083" s="2">
        <v>0.117239504740135</v>
      </c>
      <c r="AF4083" s="2">
        <v>10274.4021020078</v>
      </c>
      <c r="AG4083" s="2">
        <v>14811.6126215727</v>
      </c>
      <c r="AH4083" s="4">
        <v>0.69367207774819994</v>
      </c>
      <c r="AI4083" s="4">
        <v>-0.527674281668985</v>
      </c>
      <c r="AJ4083" s="4" t="s">
        <v>62</v>
      </c>
      <c r="AK4083" s="2">
        <v>0.45726371036732499</v>
      </c>
      <c r="AL4083" s="2">
        <v>0.70873397123624904</v>
      </c>
      <c r="AM4083" s="2">
        <v>27424.738323478199</v>
      </c>
      <c r="AN4083" s="2">
        <v>2277.9132908299298</v>
      </c>
      <c r="AO4083" s="2">
        <v>3135.8570750869799</v>
      </c>
      <c r="AP4083" s="2">
        <v>2343.7412267311001</v>
      </c>
      <c r="AQ4083" s="2">
        <v>11751.8392681602</v>
      </c>
      <c r="AR4083" s="2">
        <v>14712.323427760401</v>
      </c>
      <c r="AS4083" s="2">
        <v>7664.7470709152403</v>
      </c>
      <c r="AT4083" s="2">
        <v>15976.972527514399</v>
      </c>
      <c r="AU4083" s="2">
        <v>32827.131562926799</v>
      </c>
      <c r="AV4083" s="2">
        <v>12979.500314598899</v>
      </c>
      <c r="AW4083" s="2">
        <v>17014.915247227302</v>
      </c>
      <c r="AX4083" s="2">
        <v>2406.4090062535602</v>
      </c>
    </row>
    <row r="4084" spans="1:50" x14ac:dyDescent="0.25">
      <c r="A4084" s="2" t="s">
        <v>26935</v>
      </c>
      <c r="B4084" s="2">
        <v>159.06539236384</v>
      </c>
      <c r="C4084" s="2">
        <v>4.59985</v>
      </c>
      <c r="D4084" s="2" t="s">
        <v>51</v>
      </c>
      <c r="E4084" s="2" t="s">
        <v>26936</v>
      </c>
      <c r="F4084" s="2">
        <v>83264</v>
      </c>
      <c r="G4084" s="3" t="str">
        <f>HYPERLINK("https://cloud.oebiotech.com/#/lm/network/83264", "https://cloud.oebiotech.com/#/lm/network/83264")</f>
        <v>https://cloud.oebiotech.com/#/lm/network/83264</v>
      </c>
      <c r="H4084" s="2" t="s">
        <v>26937</v>
      </c>
      <c r="I4084" s="2">
        <v>6598</v>
      </c>
      <c r="J4084" s="2"/>
      <c r="K4084" s="2">
        <v>12681</v>
      </c>
      <c r="L4084" s="2"/>
      <c r="M4084" s="2"/>
      <c r="N4084" s="2"/>
      <c r="O4084" s="2">
        <v>68459</v>
      </c>
      <c r="P4084" s="2"/>
      <c r="Q4084" s="2"/>
      <c r="R4084" s="2"/>
      <c r="S4084" s="2" t="s">
        <v>26938</v>
      </c>
      <c r="T4084" s="2" t="s">
        <v>26939</v>
      </c>
      <c r="U4084" s="2" t="s">
        <v>56</v>
      </c>
      <c r="V4084" s="2" t="s">
        <v>145</v>
      </c>
      <c r="W4084" s="2" t="s">
        <v>231</v>
      </c>
      <c r="X4084" s="2" t="s">
        <v>83</v>
      </c>
      <c r="Y4084" s="2">
        <v>39.799999999999997</v>
      </c>
      <c r="Z4084" s="2">
        <v>0</v>
      </c>
      <c r="AA4084" s="2" t="s">
        <v>163</v>
      </c>
      <c r="AB4084" s="2" t="s">
        <v>24147</v>
      </c>
      <c r="AC4084" s="2">
        <v>-5.5603639098511497</v>
      </c>
      <c r="AD4084" s="2"/>
      <c r="AE4084" s="2">
        <v>0.11719421908647699</v>
      </c>
      <c r="AF4084" s="2">
        <v>3885.5646057234298</v>
      </c>
      <c r="AG4084" s="2">
        <v>2886.9003388202</v>
      </c>
      <c r="AH4084" s="5">
        <v>1.34592959565461</v>
      </c>
      <c r="AI4084" s="5">
        <v>0.42860294586467201</v>
      </c>
      <c r="AJ4084" s="5" t="s">
        <v>139</v>
      </c>
      <c r="AK4084" s="2">
        <v>0.351533805479262</v>
      </c>
      <c r="AL4084" s="2">
        <v>0.64273559662805702</v>
      </c>
      <c r="AM4084" s="2">
        <v>2532.7514183172402</v>
      </c>
      <c r="AN4084" s="2">
        <v>2737.0354988408799</v>
      </c>
      <c r="AO4084" s="2">
        <v>3100.0557912709301</v>
      </c>
      <c r="AP4084" s="2">
        <v>2387.1645671998299</v>
      </c>
      <c r="AQ4084" s="2">
        <v>8776.3877137954496</v>
      </c>
      <c r="AR4084" s="2">
        <v>3779.9926449162799</v>
      </c>
      <c r="AS4084" s="2">
        <v>2641.74289895637</v>
      </c>
      <c r="AT4084" s="2">
        <v>3916.9816539927001</v>
      </c>
      <c r="AU4084" s="2">
        <v>2816.45795298754</v>
      </c>
      <c r="AV4084" s="2">
        <v>2865.13697307045</v>
      </c>
      <c r="AW4084" s="2">
        <v>2428.0453495966199</v>
      </c>
      <c r="AX4084" s="2">
        <v>2653.0372043175098</v>
      </c>
    </row>
    <row r="4085" spans="1:50" x14ac:dyDescent="0.25">
      <c r="A4085" s="2" t="s">
        <v>26940</v>
      </c>
      <c r="B4085" s="2">
        <v>138.09159074474201</v>
      </c>
      <c r="C4085" s="2">
        <v>1.1907333333333301</v>
      </c>
      <c r="D4085" s="2" t="s">
        <v>51</v>
      </c>
      <c r="E4085" s="2" t="s">
        <v>26941</v>
      </c>
      <c r="F4085" s="2">
        <v>46989</v>
      </c>
      <c r="G4085" s="3" t="str">
        <f>HYPERLINK("https://cloud.oebiotech.com/#/lm/network/46989", "https://cloud.oebiotech.com/#/lm/network/46989")</f>
        <v>https://cloud.oebiotech.com/#/lm/network/46989</v>
      </c>
      <c r="H4085" s="2" t="s">
        <v>26942</v>
      </c>
      <c r="I4085" s="2">
        <v>60</v>
      </c>
      <c r="J4085" s="2"/>
      <c r="K4085" s="2">
        <v>5610</v>
      </c>
      <c r="L4085" s="2" t="s">
        <v>26943</v>
      </c>
      <c r="M4085" s="2" t="s">
        <v>26944</v>
      </c>
      <c r="N4085" s="2" t="s">
        <v>26945</v>
      </c>
      <c r="O4085" s="2">
        <v>15760</v>
      </c>
      <c r="P4085" s="2" t="s">
        <v>26946</v>
      </c>
      <c r="Q4085" s="2" t="s">
        <v>26947</v>
      </c>
      <c r="R4085" s="2" t="s">
        <v>26948</v>
      </c>
      <c r="S4085" s="2" t="s">
        <v>26949</v>
      </c>
      <c r="T4085" s="2" t="s">
        <v>26950</v>
      </c>
      <c r="U4085" s="2" t="s">
        <v>610</v>
      </c>
      <c r="V4085" s="2" t="s">
        <v>611</v>
      </c>
      <c r="W4085" s="2" t="s">
        <v>11083</v>
      </c>
      <c r="X4085" s="2" t="s">
        <v>83</v>
      </c>
      <c r="Y4085" s="2">
        <v>39.700000000000003</v>
      </c>
      <c r="Z4085" s="2">
        <v>0</v>
      </c>
      <c r="AA4085" s="2" t="s">
        <v>259</v>
      </c>
      <c r="AB4085" s="2" t="s">
        <v>21268</v>
      </c>
      <c r="AC4085" s="2">
        <v>1.826146706754</v>
      </c>
      <c r="AD4085" s="2"/>
      <c r="AE4085" s="2">
        <v>0.117111384986441</v>
      </c>
      <c r="AF4085" s="2">
        <v>1331.33805823333</v>
      </c>
      <c r="AG4085" s="2">
        <v>254.641689906544</v>
      </c>
      <c r="AH4085" s="5">
        <v>5.2282800146431097</v>
      </c>
      <c r="AI4085" s="5">
        <v>2.3863364106281399</v>
      </c>
      <c r="AJ4085" s="5" t="s">
        <v>139</v>
      </c>
      <c r="AK4085" s="2">
        <v>0.30067988762153602</v>
      </c>
      <c r="AL4085" s="2">
        <v>0.61037838979491599</v>
      </c>
      <c r="AM4085" s="2">
        <v>297.06590254535303</v>
      </c>
      <c r="AN4085" s="2">
        <v>53.537384136031299</v>
      </c>
      <c r="AO4085" s="2">
        <v>123.419230984319</v>
      </c>
      <c r="AP4085" s="2">
        <v>49.941149814289901</v>
      </c>
      <c r="AQ4085" s="2">
        <v>6144.4157287465196</v>
      </c>
      <c r="AR4085" s="2">
        <v>1319.6489531734801</v>
      </c>
      <c r="AS4085" s="2">
        <v>552.80624461563696</v>
      </c>
      <c r="AT4085" s="2">
        <v>135.02986726612099</v>
      </c>
      <c r="AU4085" s="2">
        <v>54.680615312111598</v>
      </c>
      <c r="AV4085" s="2">
        <v>115.561650810487</v>
      </c>
      <c r="AW4085" s="2">
        <v>493.740665016344</v>
      </c>
      <c r="AX4085" s="2">
        <v>176.03109641856199</v>
      </c>
    </row>
    <row r="4086" spans="1:50" x14ac:dyDescent="0.25">
      <c r="A4086" s="2" t="s">
        <v>26951</v>
      </c>
      <c r="B4086" s="2">
        <v>183.02917168702399</v>
      </c>
      <c r="C4086" s="2">
        <v>4.1373666666666704</v>
      </c>
      <c r="D4086" s="2" t="s">
        <v>51</v>
      </c>
      <c r="E4086" s="2" t="s">
        <v>26952</v>
      </c>
      <c r="F4086" s="2">
        <v>47065</v>
      </c>
      <c r="G4086" s="3" t="str">
        <f>HYPERLINK("https://cloud.oebiotech.com/#/lm/network/47065", "https://cloud.oebiotech.com/#/lm/network/47065")</f>
        <v>https://cloud.oebiotech.com/#/lm/network/47065</v>
      </c>
      <c r="H4086" s="2" t="s">
        <v>26953</v>
      </c>
      <c r="I4086" s="2">
        <v>3263</v>
      </c>
      <c r="J4086" s="2"/>
      <c r="K4086" s="2">
        <v>135</v>
      </c>
      <c r="L4086" s="2" t="s">
        <v>26954</v>
      </c>
      <c r="M4086" s="2" t="s">
        <v>26955</v>
      </c>
      <c r="N4086" s="2" t="s">
        <v>26956</v>
      </c>
      <c r="O4086" s="2">
        <v>30763</v>
      </c>
      <c r="P4086" s="2" t="s">
        <v>26957</v>
      </c>
      <c r="Q4086" s="2" t="s">
        <v>26958</v>
      </c>
      <c r="R4086" s="2" t="s">
        <v>26959</v>
      </c>
      <c r="S4086" s="2" t="s">
        <v>26960</v>
      </c>
      <c r="T4086" s="2" t="s">
        <v>26961</v>
      </c>
      <c r="U4086" s="2" t="s">
        <v>610</v>
      </c>
      <c r="V4086" s="2" t="s">
        <v>611</v>
      </c>
      <c r="W4086" s="2" t="s">
        <v>1122</v>
      </c>
      <c r="X4086" s="2" t="s">
        <v>83</v>
      </c>
      <c r="Y4086" s="2">
        <v>42.4</v>
      </c>
      <c r="Z4086" s="2">
        <v>0</v>
      </c>
      <c r="AA4086" s="2" t="s">
        <v>218</v>
      </c>
      <c r="AB4086" s="2" t="s">
        <v>19963</v>
      </c>
      <c r="AC4086" s="2">
        <v>-5.2541126967692504</v>
      </c>
      <c r="AD4086" s="2"/>
      <c r="AE4086" s="2">
        <v>0.117030055063382</v>
      </c>
      <c r="AF4086" s="2">
        <v>6541.1915783152999</v>
      </c>
      <c r="AG4086" s="2">
        <v>6351.4618123426599</v>
      </c>
      <c r="AH4086" s="5">
        <v>1.0298718266091</v>
      </c>
      <c r="AI4086" s="5">
        <v>4.2464796998970003E-2</v>
      </c>
      <c r="AJ4086" s="5" t="s">
        <v>139</v>
      </c>
      <c r="AK4086" s="2">
        <v>0.95677775082953398</v>
      </c>
      <c r="AL4086" s="2">
        <v>0.98242641070130499</v>
      </c>
      <c r="AM4086" s="2">
        <v>646.02609203023496</v>
      </c>
      <c r="AN4086" s="2">
        <v>3057.0210797283798</v>
      </c>
      <c r="AO4086" s="2">
        <v>1129.4351556716599</v>
      </c>
      <c r="AP4086" s="2">
        <v>13991.5476619032</v>
      </c>
      <c r="AQ4086" s="2">
        <v>3112.6728356410499</v>
      </c>
      <c r="AR4086" s="2">
        <v>17310.446644917301</v>
      </c>
      <c r="AS4086" s="2">
        <v>4168.3485046706801</v>
      </c>
      <c r="AT4086" s="2">
        <v>304.27868285238497</v>
      </c>
      <c r="AU4086" s="2">
        <v>3954.1237440775899</v>
      </c>
      <c r="AV4086" s="2">
        <v>11806.940616620701</v>
      </c>
      <c r="AW4086" s="2">
        <v>8772.2231979695807</v>
      </c>
      <c r="AX4086" s="2">
        <v>9102.8561278650104</v>
      </c>
    </row>
    <row r="4087" spans="1:50" x14ac:dyDescent="0.25">
      <c r="A4087" s="2" t="s">
        <v>26962</v>
      </c>
      <c r="B4087" s="2">
        <v>198.18575044906601</v>
      </c>
      <c r="C4087" s="2">
        <v>13.1406666666667</v>
      </c>
      <c r="D4087" s="2" t="s">
        <v>51</v>
      </c>
      <c r="E4087" s="2" t="s">
        <v>26963</v>
      </c>
      <c r="F4087" s="2">
        <v>6143</v>
      </c>
      <c r="G4087" s="3" t="str">
        <f>HYPERLINK("https://cloud.oebiotech.com/#/lm/network/6143", "https://cloud.oebiotech.com/#/lm/network/6143")</f>
        <v>https://cloud.oebiotech.com/#/lm/network/6143</v>
      </c>
      <c r="H4087" s="2"/>
      <c r="I4087" s="2">
        <v>46117</v>
      </c>
      <c r="J4087" s="2" t="s">
        <v>26964</v>
      </c>
      <c r="K4087" s="2">
        <v>6442192</v>
      </c>
      <c r="L4087" s="2"/>
      <c r="M4087" s="2"/>
      <c r="N4087" s="2"/>
      <c r="O4087" s="2"/>
      <c r="P4087" s="2"/>
      <c r="Q4087" s="2"/>
      <c r="R4087" s="2"/>
      <c r="S4087" s="2" t="s">
        <v>26965</v>
      </c>
      <c r="T4087" s="2" t="s">
        <v>26966</v>
      </c>
      <c r="U4087" s="2" t="s">
        <v>56</v>
      </c>
      <c r="V4087" s="2" t="s">
        <v>145</v>
      </c>
      <c r="W4087" s="2" t="s">
        <v>146</v>
      </c>
      <c r="X4087" s="2" t="s">
        <v>59</v>
      </c>
      <c r="Y4087" s="2">
        <v>47.2</v>
      </c>
      <c r="Z4087" s="2">
        <v>48.4</v>
      </c>
      <c r="AA4087" s="2" t="s">
        <v>512</v>
      </c>
      <c r="AB4087" s="2" t="s">
        <v>8583</v>
      </c>
      <c r="AC4087" s="2">
        <v>2.82905413261815</v>
      </c>
      <c r="AD4087" s="2"/>
      <c r="AE4087" s="2">
        <v>0.11699153049543499</v>
      </c>
      <c r="AF4087" s="2">
        <v>2922.2452625344599</v>
      </c>
      <c r="AG4087" s="2">
        <v>3495.3785290752298</v>
      </c>
      <c r="AH4087" s="4">
        <v>0.83603113031297505</v>
      </c>
      <c r="AI4087" s="4">
        <v>-0.25837143163385901</v>
      </c>
      <c r="AJ4087" s="4" t="s">
        <v>62</v>
      </c>
      <c r="AK4087" s="2">
        <v>0.48882375527697602</v>
      </c>
      <c r="AL4087" s="2">
        <v>0.73154848154225005</v>
      </c>
      <c r="AM4087" s="2">
        <v>2276.5603501250198</v>
      </c>
      <c r="AN4087" s="2">
        <v>3055.9989603425302</v>
      </c>
      <c r="AO4087" s="2">
        <v>3848.0972686302098</v>
      </c>
      <c r="AP4087" s="2">
        <v>2905.0562388508301</v>
      </c>
      <c r="AQ4087" s="2">
        <v>3088.1905860755601</v>
      </c>
      <c r="AR4087" s="2">
        <v>2359.5681711826401</v>
      </c>
      <c r="AS4087" s="2">
        <v>2767.8967586554199</v>
      </c>
      <c r="AT4087" s="2">
        <v>1928.47582809657</v>
      </c>
      <c r="AU4087" s="2">
        <v>2247.1314506026401</v>
      </c>
      <c r="AV4087" s="2">
        <v>5627.5147412295</v>
      </c>
      <c r="AW4087" s="2">
        <v>6119.2888158221604</v>
      </c>
      <c r="AX4087" s="2">
        <v>2281.9635800450701</v>
      </c>
    </row>
    <row r="4088" spans="1:50" x14ac:dyDescent="0.25">
      <c r="A4088" s="2" t="s">
        <v>26967</v>
      </c>
      <c r="B4088" s="2">
        <v>401.16335441435098</v>
      </c>
      <c r="C4088" s="2">
        <v>10.926</v>
      </c>
      <c r="D4088" s="2" t="s">
        <v>51</v>
      </c>
      <c r="E4088" s="2" t="s">
        <v>26968</v>
      </c>
      <c r="F4088" s="2">
        <v>204016</v>
      </c>
      <c r="G4088" s="3" t="str">
        <f>HYPERLINK("https://cloud.oebiotech.com/#/lm/network/204016", "https://cloud.oebiotech.com/#/lm/network/204016")</f>
        <v>https://cloud.oebiotech.com/#/lm/network/204016</v>
      </c>
      <c r="H4088" s="2" t="s">
        <v>26969</v>
      </c>
      <c r="I4088" s="2">
        <v>314266</v>
      </c>
      <c r="J4088" s="2"/>
      <c r="K4088" s="2">
        <v>21847</v>
      </c>
      <c r="L4088" s="2"/>
      <c r="M4088" s="2"/>
      <c r="N4088" s="2"/>
      <c r="O4088" s="2"/>
      <c r="P4088" s="2"/>
      <c r="Q4088" s="2"/>
      <c r="R4088" s="2"/>
      <c r="S4088" s="2" t="s">
        <v>26970</v>
      </c>
      <c r="T4088" s="2" t="s">
        <v>26971</v>
      </c>
      <c r="U4088" s="2" t="s">
        <v>266</v>
      </c>
      <c r="V4088" s="2" t="s">
        <v>1742</v>
      </c>
      <c r="W4088" s="2" t="s">
        <v>21672</v>
      </c>
      <c r="X4088" s="2" t="s">
        <v>147</v>
      </c>
      <c r="Y4088" s="2">
        <v>37</v>
      </c>
      <c r="Z4088" s="2">
        <v>0</v>
      </c>
      <c r="AA4088" s="2" t="s">
        <v>395</v>
      </c>
      <c r="AB4088" s="2" t="s">
        <v>26972</v>
      </c>
      <c r="AC4088" s="2">
        <v>2.1210740579541798</v>
      </c>
      <c r="AD4088" s="2"/>
      <c r="AE4088" s="2">
        <v>0.116899491469966</v>
      </c>
      <c r="AF4088" s="2">
        <v>2446.0833857291</v>
      </c>
      <c r="AG4088" s="2">
        <v>1944.9949219380601</v>
      </c>
      <c r="AH4088" s="5">
        <v>1.2576297028537899</v>
      </c>
      <c r="AI4088" s="5">
        <v>0.33070719686136701</v>
      </c>
      <c r="AJ4088" s="5" t="s">
        <v>139</v>
      </c>
      <c r="AK4088" s="2">
        <v>0.36173253780487502</v>
      </c>
      <c r="AL4088" s="2">
        <v>0.64653383930312802</v>
      </c>
      <c r="AM4088" s="2">
        <v>4590.94670819764</v>
      </c>
      <c r="AN4088" s="2">
        <v>1965.85072205651</v>
      </c>
      <c r="AO4088" s="2">
        <v>1679.3623562728801</v>
      </c>
      <c r="AP4088" s="2">
        <v>1628.85075876622</v>
      </c>
      <c r="AQ4088" s="2">
        <v>2571.4828167697601</v>
      </c>
      <c r="AR4088" s="2">
        <v>2240.0069523115799</v>
      </c>
      <c r="AS4088" s="2">
        <v>2286.89589754289</v>
      </c>
      <c r="AT4088" s="2">
        <v>1369.86832650051</v>
      </c>
      <c r="AU4088" s="2">
        <v>2258.6218622413899</v>
      </c>
      <c r="AV4088" s="2">
        <v>2042.7447682504601</v>
      </c>
      <c r="AW4088" s="2">
        <v>2730.5378591765798</v>
      </c>
      <c r="AX4088" s="2">
        <v>981.30081791653197</v>
      </c>
    </row>
    <row r="4089" spans="1:50" x14ac:dyDescent="0.25">
      <c r="A4089" s="2" t="s">
        <v>26973</v>
      </c>
      <c r="B4089" s="2">
        <v>358.02816577260302</v>
      </c>
      <c r="C4089" s="2">
        <v>3.6478999999999999</v>
      </c>
      <c r="D4089" s="2" t="s">
        <v>51</v>
      </c>
      <c r="E4089" s="2" t="s">
        <v>26974</v>
      </c>
      <c r="F4089" s="2">
        <v>61815</v>
      </c>
      <c r="G4089" s="3" t="str">
        <f>HYPERLINK("https://cloud.oebiotech.com/#/lm/network/61815", "https://cloud.oebiotech.com/#/lm/network/61815")</f>
        <v>https://cloud.oebiotech.com/#/lm/network/61815</v>
      </c>
      <c r="H4089" s="2" t="s">
        <v>26975</v>
      </c>
      <c r="I4089" s="2">
        <v>93120</v>
      </c>
      <c r="J4089" s="2"/>
      <c r="K4089" s="2">
        <v>131752372</v>
      </c>
      <c r="L4089" s="2"/>
      <c r="M4089" s="2"/>
      <c r="N4089" s="2"/>
      <c r="O4089" s="2"/>
      <c r="P4089" s="2"/>
      <c r="Q4089" s="2"/>
      <c r="R4089" s="2" t="s">
        <v>26976</v>
      </c>
      <c r="S4089" s="2" t="s">
        <v>26977</v>
      </c>
      <c r="T4089" s="2" t="s">
        <v>26978</v>
      </c>
      <c r="U4089" s="2" t="s">
        <v>331</v>
      </c>
      <c r="V4089" s="2" t="s">
        <v>332</v>
      </c>
      <c r="W4089" s="2" t="s">
        <v>333</v>
      </c>
      <c r="X4089" s="2" t="s">
        <v>59</v>
      </c>
      <c r="Y4089" s="2">
        <v>47.9</v>
      </c>
      <c r="Z4089" s="2">
        <v>55.7</v>
      </c>
      <c r="AA4089" s="2" t="s">
        <v>379</v>
      </c>
      <c r="AB4089" s="2" t="s">
        <v>26979</v>
      </c>
      <c r="AC4089" s="2">
        <v>2.5702045528655799</v>
      </c>
      <c r="AD4089" s="2"/>
      <c r="AE4089" s="2">
        <v>0.11670895429868</v>
      </c>
      <c r="AF4089" s="2">
        <v>3434.2212606478502</v>
      </c>
      <c r="AG4089" s="2">
        <v>4208.1366927886302</v>
      </c>
      <c r="AH4089" s="4">
        <v>0.81609070982246701</v>
      </c>
      <c r="AI4089" s="4">
        <v>-0.29319857585512099</v>
      </c>
      <c r="AJ4089" s="4" t="s">
        <v>62</v>
      </c>
      <c r="AK4089" s="2">
        <v>0.38484999999040398</v>
      </c>
      <c r="AL4089" s="2">
        <v>0.66148343152754197</v>
      </c>
      <c r="AM4089" s="2">
        <v>4486.5208957508803</v>
      </c>
      <c r="AN4089" s="2">
        <v>2139.98819839514</v>
      </c>
      <c r="AO4089" s="2">
        <v>2910.7716136761001</v>
      </c>
      <c r="AP4089" s="2">
        <v>3344.5230050045102</v>
      </c>
      <c r="AQ4089" s="2">
        <v>4151.1481532573098</v>
      </c>
      <c r="AR4089" s="2">
        <v>3572.3756978031302</v>
      </c>
      <c r="AS4089" s="2">
        <v>3615.5176917357098</v>
      </c>
      <c r="AT4089" s="2">
        <v>4155.2116970070301</v>
      </c>
      <c r="AU4089" s="2">
        <v>3271.4342284694799</v>
      </c>
      <c r="AV4089" s="2">
        <v>8006.7767335797898</v>
      </c>
      <c r="AW4089" s="2">
        <v>2954.5455760405498</v>
      </c>
      <c r="AX4089" s="2">
        <v>3245.3342298992502</v>
      </c>
    </row>
    <row r="4090" spans="1:50" x14ac:dyDescent="0.25">
      <c r="A4090" s="2" t="s">
        <v>26980</v>
      </c>
      <c r="B4090" s="2">
        <v>280.18947283477303</v>
      </c>
      <c r="C4090" s="2">
        <v>8.9285833333333304</v>
      </c>
      <c r="D4090" s="2" t="s">
        <v>51</v>
      </c>
      <c r="E4090" s="2" t="s">
        <v>26981</v>
      </c>
      <c r="F4090" s="2">
        <v>255427</v>
      </c>
      <c r="G4090" s="3" t="str">
        <f>HYPERLINK("https://cloud.oebiotech.com/#/lm/network/255427", "https://cloud.oebiotech.com/#/lm/network/255427")</f>
        <v>https://cloud.oebiotech.com/#/lm/network/255427</v>
      </c>
      <c r="H4090" s="2" t="s">
        <v>26982</v>
      </c>
      <c r="I4090" s="2"/>
      <c r="J4090" s="2"/>
      <c r="K4090" s="2"/>
      <c r="L4090" s="2"/>
      <c r="M4090" s="2"/>
      <c r="N4090" s="2"/>
      <c r="O4090" s="2"/>
      <c r="P4090" s="2"/>
      <c r="Q4090" s="2"/>
      <c r="R4090" s="2"/>
      <c r="S4090" s="2" t="s">
        <v>26983</v>
      </c>
      <c r="T4090" s="2" t="s">
        <v>26984</v>
      </c>
      <c r="U4090" s="2" t="s">
        <v>610</v>
      </c>
      <c r="V4090" s="2" t="s">
        <v>895</v>
      </c>
      <c r="W4090" s="2" t="s">
        <v>896</v>
      </c>
      <c r="X4090" s="2" t="s">
        <v>147</v>
      </c>
      <c r="Y4090" s="2">
        <v>38.5</v>
      </c>
      <c r="Z4090" s="2">
        <v>0</v>
      </c>
      <c r="AA4090" s="2" t="s">
        <v>259</v>
      </c>
      <c r="AB4090" s="2" t="s">
        <v>26985</v>
      </c>
      <c r="AC4090" s="2">
        <v>-4.4675373314600497</v>
      </c>
      <c r="AD4090" s="2"/>
      <c r="AE4090" s="2">
        <v>0.11667099586813</v>
      </c>
      <c r="AF4090" s="2">
        <v>2101.2844035049202</v>
      </c>
      <c r="AG4090" s="2">
        <v>1738.3053079004301</v>
      </c>
      <c r="AH4090" s="5">
        <v>1.2088120504233599</v>
      </c>
      <c r="AI4090" s="5">
        <v>0.27358994764661798</v>
      </c>
      <c r="AJ4090" s="5" t="s">
        <v>139</v>
      </c>
      <c r="AK4090" s="2">
        <v>0.19142555341609199</v>
      </c>
      <c r="AL4090" s="2">
        <v>0.51611876050469396</v>
      </c>
      <c r="AM4090" s="2">
        <v>2642.60215248756</v>
      </c>
      <c r="AN4090" s="2">
        <v>1924.4380324086901</v>
      </c>
      <c r="AO4090" s="2">
        <v>1612.0432805789801</v>
      </c>
      <c r="AP4090" s="2">
        <v>1864.26983943251</v>
      </c>
      <c r="AQ4090" s="2">
        <v>2410.40437367714</v>
      </c>
      <c r="AR4090" s="2">
        <v>2153.9487424446502</v>
      </c>
      <c r="AS4090" s="2">
        <v>1211.94617589629</v>
      </c>
      <c r="AT4090" s="2">
        <v>2170.4720665526302</v>
      </c>
      <c r="AU4090" s="2">
        <v>2419.43251769885</v>
      </c>
      <c r="AV4090" s="2">
        <v>1913.8160999105901</v>
      </c>
      <c r="AW4090" s="2">
        <v>1205.60255044769</v>
      </c>
      <c r="AX4090" s="2">
        <v>1508.56243689653</v>
      </c>
    </row>
    <row r="4091" spans="1:50" x14ac:dyDescent="0.25">
      <c r="A4091" s="2" t="s">
        <v>26986</v>
      </c>
      <c r="B4091" s="2">
        <v>385.33228112637198</v>
      </c>
      <c r="C4091" s="2">
        <v>13.014433333333301</v>
      </c>
      <c r="D4091" s="2" t="s">
        <v>51</v>
      </c>
      <c r="E4091" s="2" t="s">
        <v>26987</v>
      </c>
      <c r="F4091" s="2">
        <v>68</v>
      </c>
      <c r="G4091" s="3" t="str">
        <f>HYPERLINK("https://cloud.oebiotech.com/#/lm/network/68", "https://cloud.oebiotech.com/#/lm/network/68")</f>
        <v>https://cloud.oebiotech.com/#/lm/network/68</v>
      </c>
      <c r="H4091" s="2" t="s">
        <v>26988</v>
      </c>
      <c r="I4091" s="2">
        <v>260</v>
      </c>
      <c r="J4091" s="2" t="s">
        <v>26989</v>
      </c>
      <c r="K4091" s="2">
        <v>8215</v>
      </c>
      <c r="L4091" s="2" t="s">
        <v>26990</v>
      </c>
      <c r="M4091" s="2" t="s">
        <v>3305</v>
      </c>
      <c r="N4091" s="2" t="s">
        <v>3306</v>
      </c>
      <c r="O4091" s="2">
        <v>28941</v>
      </c>
      <c r="P4091" s="2"/>
      <c r="Q4091" s="2"/>
      <c r="R4091" s="2" t="s">
        <v>26991</v>
      </c>
      <c r="S4091" s="2" t="s">
        <v>26992</v>
      </c>
      <c r="T4091" s="2" t="s">
        <v>26993</v>
      </c>
      <c r="U4091" s="2" t="s">
        <v>56</v>
      </c>
      <c r="V4091" s="2" t="s">
        <v>145</v>
      </c>
      <c r="W4091" s="2" t="s">
        <v>231</v>
      </c>
      <c r="X4091" s="2" t="s">
        <v>147</v>
      </c>
      <c r="Y4091" s="2">
        <v>37</v>
      </c>
      <c r="Z4091" s="2">
        <v>0</v>
      </c>
      <c r="AA4091" s="2" t="s">
        <v>218</v>
      </c>
      <c r="AB4091" s="2" t="s">
        <v>4485</v>
      </c>
      <c r="AC4091" s="2">
        <v>-0.153948203531106</v>
      </c>
      <c r="AD4091" s="2"/>
      <c r="AE4091" s="2">
        <v>0.116665173839321</v>
      </c>
      <c r="AF4091" s="2">
        <v>1897.3556593624301</v>
      </c>
      <c r="AG4091" s="2">
        <v>1034.5769881419899</v>
      </c>
      <c r="AH4091" s="5">
        <v>1.83394341949353</v>
      </c>
      <c r="AI4091" s="5">
        <v>0.87494912984066597</v>
      </c>
      <c r="AJ4091" s="5" t="s">
        <v>139</v>
      </c>
      <c r="AK4091" s="2">
        <v>0.22661165138562001</v>
      </c>
      <c r="AL4091" s="2">
        <v>0.55297713698167905</v>
      </c>
      <c r="AM4091" s="2">
        <v>158.53351236244299</v>
      </c>
      <c r="AN4091" s="2">
        <v>1791.7570192360999</v>
      </c>
      <c r="AO4091" s="2">
        <v>4147.0100409672395</v>
      </c>
      <c r="AP4091" s="2">
        <v>3319.8934069371899</v>
      </c>
      <c r="AQ4091" s="2">
        <v>511.46137197372099</v>
      </c>
      <c r="AR4091" s="2">
        <v>1455.47860469786</v>
      </c>
      <c r="AS4091" s="2">
        <v>387.36196125115703</v>
      </c>
      <c r="AT4091" s="2">
        <v>1671.3200768193501</v>
      </c>
      <c r="AU4091" s="2">
        <v>756.00151623653903</v>
      </c>
      <c r="AV4091" s="2">
        <v>1298.90180687559</v>
      </c>
      <c r="AW4091" s="2">
        <v>1397.17971705287</v>
      </c>
      <c r="AX4091" s="2">
        <v>696.69685061640496</v>
      </c>
    </row>
    <row r="4092" spans="1:50" x14ac:dyDescent="0.25">
      <c r="A4092" s="2" t="s">
        <v>26994</v>
      </c>
      <c r="B4092" s="2">
        <v>301.21736468538103</v>
      </c>
      <c r="C4092" s="2">
        <v>7.4063833333333298</v>
      </c>
      <c r="D4092" s="2" t="s">
        <v>51</v>
      </c>
      <c r="E4092" s="2" t="s">
        <v>26995</v>
      </c>
      <c r="F4092" s="2">
        <v>62324</v>
      </c>
      <c r="G4092" s="3" t="str">
        <f>HYPERLINK("https://cloud.oebiotech.com/#/lm/network/62324", "https://cloud.oebiotech.com/#/lm/network/62324")</f>
        <v>https://cloud.oebiotech.com/#/lm/network/62324</v>
      </c>
      <c r="H4092" s="2" t="s">
        <v>26996</v>
      </c>
      <c r="I4092" s="2">
        <v>93618</v>
      </c>
      <c r="J4092" s="2"/>
      <c r="K4092" s="2">
        <v>131752509</v>
      </c>
      <c r="L4092" s="2"/>
      <c r="M4092" s="2"/>
      <c r="N4092" s="2"/>
      <c r="O4092" s="2"/>
      <c r="P4092" s="2"/>
      <c r="Q4092" s="2"/>
      <c r="R4092" s="2" t="s">
        <v>26997</v>
      </c>
      <c r="S4092" s="2" t="s">
        <v>26998</v>
      </c>
      <c r="T4092" s="2" t="s">
        <v>26999</v>
      </c>
      <c r="U4092" s="2" t="s">
        <v>56</v>
      </c>
      <c r="V4092" s="2" t="s">
        <v>177</v>
      </c>
      <c r="W4092" s="2" t="s">
        <v>178</v>
      </c>
      <c r="X4092" s="2" t="s">
        <v>83</v>
      </c>
      <c r="Y4092" s="2">
        <v>40.200000000000003</v>
      </c>
      <c r="Z4092" s="2">
        <v>0</v>
      </c>
      <c r="AA4092" s="2" t="s">
        <v>156</v>
      </c>
      <c r="AB4092" s="2" t="s">
        <v>180</v>
      </c>
      <c r="AC4092" s="2">
        <v>3.6393578022686399</v>
      </c>
      <c r="AD4092" s="2"/>
      <c r="AE4092" s="2">
        <v>0.116633468330666</v>
      </c>
      <c r="AF4092" s="2">
        <v>1860.0852056341901</v>
      </c>
      <c r="AG4092" s="2">
        <v>1332.90274761927</v>
      </c>
      <c r="AH4092" s="5">
        <v>1.3955145707040699</v>
      </c>
      <c r="AI4092" s="5">
        <v>0.48079718780259501</v>
      </c>
      <c r="AJ4092" s="5" t="s">
        <v>139</v>
      </c>
      <c r="AK4092" s="2">
        <v>0.10680236242492699</v>
      </c>
      <c r="AL4092" s="2">
        <v>0.41661342031326498</v>
      </c>
      <c r="AM4092" s="2">
        <v>1828.09483100988</v>
      </c>
      <c r="AN4092" s="2">
        <v>2165.40692362046</v>
      </c>
      <c r="AO4092" s="2">
        <v>1780.1603453591299</v>
      </c>
      <c r="AP4092" s="2">
        <v>2487.076454865</v>
      </c>
      <c r="AQ4092" s="2">
        <v>1246.34672400196</v>
      </c>
      <c r="AR4092" s="2">
        <v>1653.4259549487001</v>
      </c>
      <c r="AS4092" s="2">
        <v>1626.8795059174499</v>
      </c>
      <c r="AT4092" s="2">
        <v>815.33123171830903</v>
      </c>
      <c r="AU4092" s="2">
        <v>1973.7368605829799</v>
      </c>
      <c r="AV4092" s="2">
        <v>602.75784494166101</v>
      </c>
      <c r="AW4092" s="2">
        <v>1933.8162639443001</v>
      </c>
      <c r="AX4092" s="2">
        <v>1044.89477861093</v>
      </c>
    </row>
    <row r="4093" spans="1:50" x14ac:dyDescent="0.25">
      <c r="A4093" s="2" t="s">
        <v>27000</v>
      </c>
      <c r="B4093" s="2">
        <v>420.100155770029</v>
      </c>
      <c r="C4093" s="2">
        <v>3.63276666666667</v>
      </c>
      <c r="D4093" s="2" t="s">
        <v>51</v>
      </c>
      <c r="E4093" s="2" t="s">
        <v>27001</v>
      </c>
      <c r="F4093" s="2">
        <v>53703</v>
      </c>
      <c r="G4093" s="3" t="str">
        <f>HYPERLINK("https://cloud.oebiotech.com/#/lm/network/53703", "https://cloud.oebiotech.com/#/lm/network/53703")</f>
        <v>https://cloud.oebiotech.com/#/lm/network/53703</v>
      </c>
      <c r="H4093" s="2" t="s">
        <v>27002</v>
      </c>
      <c r="I4093" s="2">
        <v>85583</v>
      </c>
      <c r="J4093" s="2"/>
      <c r="K4093" s="2">
        <v>15574941</v>
      </c>
      <c r="L4093" s="2"/>
      <c r="M4093" s="2"/>
      <c r="N4093" s="2"/>
      <c r="O4093" s="2">
        <v>51758</v>
      </c>
      <c r="P4093" s="2"/>
      <c r="Q4093" s="2"/>
      <c r="R4093" s="2" t="s">
        <v>27003</v>
      </c>
      <c r="S4093" s="2" t="s">
        <v>27004</v>
      </c>
      <c r="T4093" s="2" t="s">
        <v>27005</v>
      </c>
      <c r="U4093" s="2" t="s">
        <v>266</v>
      </c>
      <c r="V4093" s="2" t="s">
        <v>267</v>
      </c>
      <c r="W4093" s="2" t="s">
        <v>268</v>
      </c>
      <c r="X4093" s="2" t="s">
        <v>147</v>
      </c>
      <c r="Y4093" s="2">
        <v>36.700000000000003</v>
      </c>
      <c r="Z4093" s="2">
        <v>2.35</v>
      </c>
      <c r="AA4093" s="2" t="s">
        <v>241</v>
      </c>
      <c r="AB4093" s="2" t="s">
        <v>27006</v>
      </c>
      <c r="AC4093" s="2">
        <v>4.8729725128472898</v>
      </c>
      <c r="AD4093" s="2"/>
      <c r="AE4093" s="2">
        <v>0.116582935686228</v>
      </c>
      <c r="AF4093" s="2">
        <v>2000.27376275856</v>
      </c>
      <c r="AG4093" s="2">
        <v>788.65824140125505</v>
      </c>
      <c r="AH4093" s="5">
        <v>2.5362998289405501</v>
      </c>
      <c r="AI4093" s="5">
        <v>1.34272530389884</v>
      </c>
      <c r="AJ4093" s="5" t="s">
        <v>139</v>
      </c>
      <c r="AK4093" s="2">
        <v>0.32315534941455198</v>
      </c>
      <c r="AL4093" s="2">
        <v>0.62992073899545697</v>
      </c>
      <c r="AM4093" s="2">
        <v>1511.5572544557399</v>
      </c>
      <c r="AN4093" s="2">
        <v>8.559877937157E-6</v>
      </c>
      <c r="AO4093" s="2">
        <v>1879.9428686915601</v>
      </c>
      <c r="AP4093" s="2">
        <v>7012.2490962991496</v>
      </c>
      <c r="AQ4093" s="2">
        <v>940.48944505537202</v>
      </c>
      <c r="AR4093" s="2">
        <v>657.40390348965605</v>
      </c>
      <c r="AS4093" s="2">
        <v>1636.6723826945599</v>
      </c>
      <c r="AT4093" s="2">
        <v>8.559877937157E-6</v>
      </c>
      <c r="AU4093" s="2">
        <v>3086.6603184286801</v>
      </c>
      <c r="AV4093" s="2">
        <v>8.559877937157E-6</v>
      </c>
      <c r="AW4093" s="2">
        <v>8.6167216046559592</v>
      </c>
      <c r="AX4093" s="2">
        <v>8.559877937157E-6</v>
      </c>
    </row>
    <row r="4094" spans="1:50" x14ac:dyDescent="0.25">
      <c r="A4094" s="2" t="s">
        <v>27007</v>
      </c>
      <c r="B4094" s="2">
        <v>309.18201851098399</v>
      </c>
      <c r="C4094" s="2">
        <v>5.0382166666666697</v>
      </c>
      <c r="D4094" s="2" t="s">
        <v>51</v>
      </c>
      <c r="E4094" s="2" t="s">
        <v>27008</v>
      </c>
      <c r="F4094" s="2">
        <v>205772</v>
      </c>
      <c r="G4094" s="3" t="str">
        <f>HYPERLINK("https://cloud.oebiotech.com/#/lm/network/205772", "https://cloud.oebiotech.com/#/lm/network/205772")</f>
        <v>https://cloud.oebiotech.com/#/lm/network/205772</v>
      </c>
      <c r="H4094" s="2" t="s">
        <v>27009</v>
      </c>
      <c r="I4094" s="2">
        <v>775</v>
      </c>
      <c r="J4094" s="2"/>
      <c r="K4094" s="2">
        <v>50894</v>
      </c>
      <c r="L4094" s="2"/>
      <c r="M4094" s="2"/>
      <c r="N4094" s="2"/>
      <c r="O4094" s="2"/>
      <c r="P4094" s="2"/>
      <c r="Q4094" s="2"/>
      <c r="R4094" s="2" t="s">
        <v>27010</v>
      </c>
      <c r="S4094" s="2" t="s">
        <v>27011</v>
      </c>
      <c r="T4094" s="2" t="s">
        <v>27012</v>
      </c>
      <c r="U4094" s="2" t="s">
        <v>331</v>
      </c>
      <c r="V4094" s="2" t="s">
        <v>332</v>
      </c>
      <c r="W4094" s="2" t="s">
        <v>1207</v>
      </c>
      <c r="X4094" s="2" t="s">
        <v>147</v>
      </c>
      <c r="Y4094" s="2">
        <v>45.4</v>
      </c>
      <c r="Z4094" s="2">
        <v>34.4</v>
      </c>
      <c r="AA4094" s="2" t="s">
        <v>60</v>
      </c>
      <c r="AB4094" s="2" t="s">
        <v>25896</v>
      </c>
      <c r="AC4094" s="2">
        <v>3.6824096469185501</v>
      </c>
      <c r="AD4094" s="2"/>
      <c r="AE4094" s="2">
        <v>0.11654145315615</v>
      </c>
      <c r="AF4094" s="2">
        <v>3830.85720908647</v>
      </c>
      <c r="AG4094" s="2">
        <v>2391.7682384673299</v>
      </c>
      <c r="AH4094" s="5">
        <v>1.6016841211760999</v>
      </c>
      <c r="AI4094" s="5">
        <v>0.67958965227391299</v>
      </c>
      <c r="AJ4094" s="5" t="s">
        <v>139</v>
      </c>
      <c r="AK4094" s="2">
        <v>0.36962152117171099</v>
      </c>
      <c r="AL4094" s="2">
        <v>0.65308465149296302</v>
      </c>
      <c r="AM4094" s="2">
        <v>1737.2133396591501</v>
      </c>
      <c r="AN4094" s="2">
        <v>1357.9705614319701</v>
      </c>
      <c r="AO4094" s="2">
        <v>1797.59020299192</v>
      </c>
      <c r="AP4094" s="2">
        <v>1658.6973802482901</v>
      </c>
      <c r="AQ4094" s="2">
        <v>9618.0246547214592</v>
      </c>
      <c r="AR4094" s="2">
        <v>6815.6471154660303</v>
      </c>
      <c r="AS4094" s="2">
        <v>1560.4343291661901</v>
      </c>
      <c r="AT4094" s="2">
        <v>2918.9336805862399</v>
      </c>
      <c r="AU4094" s="2">
        <v>1621.5047759244701</v>
      </c>
      <c r="AV4094" s="2">
        <v>1076.23387166929</v>
      </c>
      <c r="AW4094" s="2">
        <v>4702.8250454839999</v>
      </c>
      <c r="AX4094" s="2">
        <v>2470.6777279738099</v>
      </c>
    </row>
    <row r="4095" spans="1:50" x14ac:dyDescent="0.25">
      <c r="A4095" s="2" t="s">
        <v>27013</v>
      </c>
      <c r="B4095" s="2">
        <v>269.108571876469</v>
      </c>
      <c r="C4095" s="2">
        <v>6.1879499999999998</v>
      </c>
      <c r="D4095" s="2" t="s">
        <v>51</v>
      </c>
      <c r="E4095" s="2" t="s">
        <v>27014</v>
      </c>
      <c r="F4095" s="2">
        <v>255004</v>
      </c>
      <c r="G4095" s="3" t="str">
        <f>HYPERLINK("https://cloud.oebiotech.com/#/lm/network/255004", "https://cloud.oebiotech.com/#/lm/network/255004")</f>
        <v>https://cloud.oebiotech.com/#/lm/network/255004</v>
      </c>
      <c r="H4095" s="2" t="s">
        <v>27015</v>
      </c>
      <c r="I4095" s="2"/>
      <c r="J4095" s="2"/>
      <c r="K4095" s="2"/>
      <c r="L4095" s="2"/>
      <c r="M4095" s="2"/>
      <c r="N4095" s="2"/>
      <c r="O4095" s="2"/>
      <c r="P4095" s="2"/>
      <c r="Q4095" s="2"/>
      <c r="R4095" s="2"/>
      <c r="S4095" s="2" t="s">
        <v>27016</v>
      </c>
      <c r="T4095" s="2" t="s">
        <v>27017</v>
      </c>
      <c r="U4095" s="2" t="s">
        <v>610</v>
      </c>
      <c r="V4095" s="2" t="s">
        <v>813</v>
      </c>
      <c r="W4095" s="2" t="s">
        <v>240</v>
      </c>
      <c r="X4095" s="2" t="s">
        <v>147</v>
      </c>
      <c r="Y4095" s="2">
        <v>36.6</v>
      </c>
      <c r="Z4095" s="2">
        <v>0</v>
      </c>
      <c r="AA4095" s="2" t="s">
        <v>156</v>
      </c>
      <c r="AB4095" s="2" t="s">
        <v>27018</v>
      </c>
      <c r="AC4095" s="2">
        <v>4.3586231054540603</v>
      </c>
      <c r="AD4095" s="2"/>
      <c r="AE4095" s="2">
        <v>0.116424651806813</v>
      </c>
      <c r="AF4095" s="2">
        <v>1862.06271332753</v>
      </c>
      <c r="AG4095" s="2">
        <v>1433.6074420013999</v>
      </c>
      <c r="AH4095" s="5">
        <v>1.2988651277702501</v>
      </c>
      <c r="AI4095" s="5">
        <v>0.37725163124838701</v>
      </c>
      <c r="AJ4095" s="5" t="s">
        <v>139</v>
      </c>
      <c r="AK4095" s="2">
        <v>0.283965903656201</v>
      </c>
      <c r="AL4095" s="2">
        <v>0.60000138164408201</v>
      </c>
      <c r="AM4095" s="2">
        <v>2555.72184519548</v>
      </c>
      <c r="AN4095" s="2">
        <v>2619.6815063701802</v>
      </c>
      <c r="AO4095" s="2">
        <v>1114.36734336679</v>
      </c>
      <c r="AP4095" s="2">
        <v>1378.10908830177</v>
      </c>
      <c r="AQ4095" s="2">
        <v>1550.12425602443</v>
      </c>
      <c r="AR4095" s="2">
        <v>1954.37224070654</v>
      </c>
      <c r="AS4095" s="2">
        <v>1037.6949259052501</v>
      </c>
      <c r="AT4095" s="2">
        <v>929.12409946614605</v>
      </c>
      <c r="AU4095" s="2">
        <v>2517.5736993102801</v>
      </c>
      <c r="AV4095" s="2">
        <v>767.924949783231</v>
      </c>
      <c r="AW4095" s="2">
        <v>1361.33502507242</v>
      </c>
      <c r="AX4095" s="2">
        <v>1987.9919524710999</v>
      </c>
    </row>
    <row r="4096" spans="1:50" x14ac:dyDescent="0.25">
      <c r="A4096" s="2" t="s">
        <v>27019</v>
      </c>
      <c r="B4096" s="2">
        <v>366.265020724392</v>
      </c>
      <c r="C4096" s="2">
        <v>7.8614666666666704</v>
      </c>
      <c r="D4096" s="2" t="s">
        <v>51</v>
      </c>
      <c r="E4096" s="2" t="s">
        <v>27020</v>
      </c>
      <c r="F4096" s="2">
        <v>197932</v>
      </c>
      <c r="G4096" s="3" t="str">
        <f>HYPERLINK("https://cloud.oebiotech.com/#/lm/network/197932", "https://cloud.oebiotech.com/#/lm/network/197932")</f>
        <v>https://cloud.oebiotech.com/#/lm/network/197932</v>
      </c>
      <c r="H4096" s="2" t="s">
        <v>27021</v>
      </c>
      <c r="I4096" s="2"/>
      <c r="J4096" s="2"/>
      <c r="K4096" s="2"/>
      <c r="L4096" s="2"/>
      <c r="M4096" s="2"/>
      <c r="N4096" s="2"/>
      <c r="O4096" s="2"/>
      <c r="P4096" s="2"/>
      <c r="Q4096" s="2"/>
      <c r="R4096" s="2"/>
      <c r="S4096" s="2" t="s">
        <v>27022</v>
      </c>
      <c r="T4096" s="2" t="s">
        <v>27023</v>
      </c>
      <c r="U4096" s="2" t="s">
        <v>56</v>
      </c>
      <c r="V4096" s="2" t="s">
        <v>145</v>
      </c>
      <c r="W4096" s="2" t="s">
        <v>1188</v>
      </c>
      <c r="X4096" s="2" t="s">
        <v>83</v>
      </c>
      <c r="Y4096" s="2">
        <v>42.8</v>
      </c>
      <c r="Z4096" s="2">
        <v>0.193</v>
      </c>
      <c r="AA4096" s="2" t="s">
        <v>156</v>
      </c>
      <c r="AB4096" s="2" t="s">
        <v>27024</v>
      </c>
      <c r="AC4096" s="2">
        <v>2.9631684657805</v>
      </c>
      <c r="AD4096" s="2"/>
      <c r="AE4096" s="2">
        <v>0.11640077475376299</v>
      </c>
      <c r="AF4096" s="2">
        <v>8135.5875109336002</v>
      </c>
      <c r="AG4096" s="2">
        <v>8830.8152101696996</v>
      </c>
      <c r="AH4096" s="4">
        <v>0.92127253456334701</v>
      </c>
      <c r="AI4096" s="4">
        <v>-0.118300091555987</v>
      </c>
      <c r="AJ4096" s="4" t="s">
        <v>62</v>
      </c>
      <c r="AK4096" s="2">
        <v>0.79883823587088598</v>
      </c>
      <c r="AL4096" s="2">
        <v>0.90954932814260703</v>
      </c>
      <c r="AM4096" s="2">
        <v>4772.86797321224</v>
      </c>
      <c r="AN4096" s="2">
        <v>10813.2288660186</v>
      </c>
      <c r="AO4096" s="2">
        <v>12172.8556519294</v>
      </c>
      <c r="AP4096" s="2">
        <v>10068.5487818113</v>
      </c>
      <c r="AQ4096" s="2">
        <v>5428.6528703870899</v>
      </c>
      <c r="AR4096" s="2">
        <v>5557.3709222429497</v>
      </c>
      <c r="AS4096" s="2">
        <v>9162.9334156439709</v>
      </c>
      <c r="AT4096" s="2">
        <v>4099.3406932463904</v>
      </c>
      <c r="AU4096" s="2">
        <v>3868.7356982270899</v>
      </c>
      <c r="AV4096" s="2">
        <v>6572.4080831145402</v>
      </c>
      <c r="AW4096" s="2">
        <v>19081.954018168301</v>
      </c>
      <c r="AX4096" s="2">
        <v>10199.519352617899</v>
      </c>
    </row>
    <row r="4097" spans="1:50" x14ac:dyDescent="0.25">
      <c r="A4097" s="2" t="s">
        <v>27025</v>
      </c>
      <c r="B4097" s="2">
        <v>231.11374321026099</v>
      </c>
      <c r="C4097" s="2">
        <v>4.1970666666666698</v>
      </c>
      <c r="D4097" s="2" t="s">
        <v>51</v>
      </c>
      <c r="E4097" s="2" t="s">
        <v>27026</v>
      </c>
      <c r="F4097" s="2">
        <v>61418</v>
      </c>
      <c r="G4097" s="3" t="str">
        <f>HYPERLINK("https://cloud.oebiotech.com/#/lm/network/61418", "https://cloud.oebiotech.com/#/lm/network/61418")</f>
        <v>https://cloud.oebiotech.com/#/lm/network/61418</v>
      </c>
      <c r="H4097" s="2" t="s">
        <v>27027</v>
      </c>
      <c r="I4097" s="2">
        <v>92737</v>
      </c>
      <c r="J4097" s="2"/>
      <c r="K4097" s="2">
        <v>73530</v>
      </c>
      <c r="L4097" s="2"/>
      <c r="M4097" s="2"/>
      <c r="N4097" s="2"/>
      <c r="O4097" s="2"/>
      <c r="P4097" s="2"/>
      <c r="Q4097" s="2"/>
      <c r="R4097" s="2"/>
      <c r="S4097" s="2" t="s">
        <v>27028</v>
      </c>
      <c r="T4097" s="2" t="s">
        <v>27029</v>
      </c>
      <c r="U4097" s="2" t="s">
        <v>238</v>
      </c>
      <c r="V4097" s="2" t="s">
        <v>18178</v>
      </c>
      <c r="W4097" s="2" t="s">
        <v>240</v>
      </c>
      <c r="X4097" s="2" t="s">
        <v>59</v>
      </c>
      <c r="Y4097" s="2">
        <v>48.5</v>
      </c>
      <c r="Z4097" s="2">
        <v>50</v>
      </c>
      <c r="AA4097" s="2" t="s">
        <v>259</v>
      </c>
      <c r="AB4097" s="2" t="s">
        <v>27030</v>
      </c>
      <c r="AC4097" s="2">
        <v>4.0810864917113703</v>
      </c>
      <c r="AD4097" s="2"/>
      <c r="AE4097" s="2">
        <v>0.116332689203168</v>
      </c>
      <c r="AF4097" s="2">
        <v>1656.80183875948</v>
      </c>
      <c r="AG4097" s="2">
        <v>412.50170016958498</v>
      </c>
      <c r="AH4097" s="5">
        <v>4.0164727516961696</v>
      </c>
      <c r="AI4097" s="5">
        <v>2.0059290891061901</v>
      </c>
      <c r="AJ4097" s="5" t="s">
        <v>139</v>
      </c>
      <c r="AK4097" s="2">
        <v>0.35475583864320998</v>
      </c>
      <c r="AL4097" s="2">
        <v>0.644232435870006</v>
      </c>
      <c r="AM4097" s="2">
        <v>6.0478115265395997</v>
      </c>
      <c r="AN4097" s="2">
        <v>27.3286101677256</v>
      </c>
      <c r="AO4097" s="2">
        <v>40.604709101336702</v>
      </c>
      <c r="AP4097" s="2">
        <v>395.04346300163201</v>
      </c>
      <c r="AQ4097" s="2">
        <v>7914.2502944014404</v>
      </c>
      <c r="AR4097" s="2">
        <v>1557.5361443582101</v>
      </c>
      <c r="AS4097" s="2">
        <v>33.551090320814502</v>
      </c>
      <c r="AT4097" s="2">
        <v>207.18913089155799</v>
      </c>
      <c r="AU4097" s="2">
        <v>766.69343441765398</v>
      </c>
      <c r="AV4097" s="2">
        <v>217.65418466974501</v>
      </c>
      <c r="AW4097" s="2">
        <v>359.42990414408399</v>
      </c>
      <c r="AX4097" s="2">
        <v>890.492456573656</v>
      </c>
    </row>
    <row r="4098" spans="1:50" x14ac:dyDescent="0.25">
      <c r="A4098" s="2" t="s">
        <v>27031</v>
      </c>
      <c r="B4098" s="2">
        <v>203.00141164393</v>
      </c>
      <c r="C4098" s="2">
        <v>4.5102333333333302</v>
      </c>
      <c r="D4098" s="2" t="s">
        <v>51</v>
      </c>
      <c r="E4098" s="2" t="s">
        <v>27032</v>
      </c>
      <c r="F4098" s="2">
        <v>197118</v>
      </c>
      <c r="G4098" s="3" t="str">
        <f>HYPERLINK("https://cloud.oebiotech.com/#/lm/network/197118", "https://cloud.oebiotech.com/#/lm/network/197118")</f>
        <v>https://cloud.oebiotech.com/#/lm/network/197118</v>
      </c>
      <c r="H4098" s="2" t="s">
        <v>27033</v>
      </c>
      <c r="I4098" s="2"/>
      <c r="J4098" s="2"/>
      <c r="K4098" s="2">
        <v>54104170</v>
      </c>
      <c r="L4098" s="2"/>
      <c r="M4098" s="2"/>
      <c r="N4098" s="2"/>
      <c r="O4098" s="2"/>
      <c r="P4098" s="2"/>
      <c r="Q4098" s="2"/>
      <c r="R4098" s="2" t="s">
        <v>27034</v>
      </c>
      <c r="S4098" s="2" t="s">
        <v>27035</v>
      </c>
      <c r="T4098" s="2" t="s">
        <v>27036</v>
      </c>
      <c r="U4098" s="2" t="s">
        <v>103</v>
      </c>
      <c r="V4098" s="2" t="s">
        <v>4820</v>
      </c>
      <c r="W4098" s="2" t="s">
        <v>4821</v>
      </c>
      <c r="X4098" s="2" t="s">
        <v>83</v>
      </c>
      <c r="Y4098" s="2">
        <v>46.6</v>
      </c>
      <c r="Z4098" s="2">
        <v>38.4</v>
      </c>
      <c r="AA4098" s="2" t="s">
        <v>163</v>
      </c>
      <c r="AB4098" s="2" t="s">
        <v>4913</v>
      </c>
      <c r="AC4098" s="2">
        <v>-2.7267314875773598</v>
      </c>
      <c r="AD4098" s="2"/>
      <c r="AE4098" s="2">
        <v>0.11629941575767901</v>
      </c>
      <c r="AF4098" s="2">
        <v>2454.7974520674602</v>
      </c>
      <c r="AG4098" s="2">
        <v>3091.52858998375</v>
      </c>
      <c r="AH4098" s="4">
        <v>0.79404002926602801</v>
      </c>
      <c r="AI4098" s="4">
        <v>-0.33271635632528501</v>
      </c>
      <c r="AJ4098" s="4" t="s">
        <v>62</v>
      </c>
      <c r="AK4098" s="2">
        <v>0.82421209242103699</v>
      </c>
      <c r="AL4098" s="2">
        <v>0.92318982698311502</v>
      </c>
      <c r="AM4098" s="2">
        <v>8.559877937157E-6</v>
      </c>
      <c r="AN4098" s="2">
        <v>607.80920502618505</v>
      </c>
      <c r="AO4098" s="2">
        <v>329.60129466269001</v>
      </c>
      <c r="AP4098" s="2">
        <v>217.25694538332999</v>
      </c>
      <c r="AQ4098" s="2">
        <v>1220.1994765695599</v>
      </c>
      <c r="AR4098" s="2">
        <v>12353.9177822031</v>
      </c>
      <c r="AS4098" s="2">
        <v>8.559877937157E-6</v>
      </c>
      <c r="AT4098" s="2">
        <v>10.064694278901801</v>
      </c>
      <c r="AU4098" s="2">
        <v>8.559877937157E-6</v>
      </c>
      <c r="AV4098" s="2">
        <v>8207.42752263283</v>
      </c>
      <c r="AW4098" s="2">
        <v>10266.2728693517</v>
      </c>
      <c r="AX4098" s="2">
        <v>65.406436519305799</v>
      </c>
    </row>
    <row r="4099" spans="1:50" x14ac:dyDescent="0.25">
      <c r="A4099" s="2" t="s">
        <v>27037</v>
      </c>
      <c r="B4099" s="2">
        <v>255.11379183131299</v>
      </c>
      <c r="C4099" s="2">
        <v>5.3845499999999999</v>
      </c>
      <c r="D4099" s="2" t="s">
        <v>51</v>
      </c>
      <c r="E4099" s="2" t="s">
        <v>27038</v>
      </c>
      <c r="F4099" s="2">
        <v>203085</v>
      </c>
      <c r="G4099" s="3" t="str">
        <f>HYPERLINK("https://cloud.oebiotech.com/#/lm/network/203085", "https://cloud.oebiotech.com/#/lm/network/203085")</f>
        <v>https://cloud.oebiotech.com/#/lm/network/203085</v>
      </c>
      <c r="H4099" s="2" t="s">
        <v>27039</v>
      </c>
      <c r="I4099" s="2"/>
      <c r="J4099" s="2"/>
      <c r="K4099" s="2">
        <v>38050</v>
      </c>
      <c r="L4099" s="2"/>
      <c r="M4099" s="2"/>
      <c r="N4099" s="2"/>
      <c r="O4099" s="2"/>
      <c r="P4099" s="2"/>
      <c r="Q4099" s="2"/>
      <c r="R4099" s="2"/>
      <c r="S4099" s="2" t="s">
        <v>27040</v>
      </c>
      <c r="T4099" s="2" t="s">
        <v>27041</v>
      </c>
      <c r="U4099" s="2" t="s">
        <v>266</v>
      </c>
      <c r="V4099" s="2" t="s">
        <v>1742</v>
      </c>
      <c r="W4099" s="2" t="s">
        <v>6487</v>
      </c>
      <c r="X4099" s="2" t="s">
        <v>69</v>
      </c>
      <c r="Y4099" s="2">
        <v>55.3</v>
      </c>
      <c r="Z4099" s="2">
        <v>62.7</v>
      </c>
      <c r="AA4099" s="2" t="s">
        <v>379</v>
      </c>
      <c r="AB4099" s="2" t="s">
        <v>23642</v>
      </c>
      <c r="AC4099" s="2">
        <v>-0.39942192198569099</v>
      </c>
      <c r="AD4099" s="2"/>
      <c r="AE4099" s="2">
        <v>0.11628779053308901</v>
      </c>
      <c r="AF4099" s="2">
        <v>2963.49399680737</v>
      </c>
      <c r="AG4099" s="2">
        <v>3873.0076846196898</v>
      </c>
      <c r="AH4099" s="4">
        <v>0.76516605132901205</v>
      </c>
      <c r="AI4099" s="4">
        <v>-0.38615522886901199</v>
      </c>
      <c r="AJ4099" s="4" t="s">
        <v>62</v>
      </c>
      <c r="AK4099" s="2">
        <v>0.62804038941477502</v>
      </c>
      <c r="AL4099" s="2">
        <v>0.81738402815298195</v>
      </c>
      <c r="AM4099" s="2">
        <v>1741.68682021672</v>
      </c>
      <c r="AN4099" s="2">
        <v>4240.4051170796401</v>
      </c>
      <c r="AO4099" s="2">
        <v>2035.3821134580401</v>
      </c>
      <c r="AP4099" s="2">
        <v>2715.3650197504198</v>
      </c>
      <c r="AQ4099" s="2">
        <v>5643.1663589453401</v>
      </c>
      <c r="AR4099" s="2">
        <v>1404.9585513940499</v>
      </c>
      <c r="AS4099" s="2">
        <v>12022.129159460999</v>
      </c>
      <c r="AT4099" s="2">
        <v>3701.3262716129402</v>
      </c>
      <c r="AU4099" s="2">
        <v>1178.1517231186999</v>
      </c>
      <c r="AV4099" s="2">
        <v>3419.2132139047299</v>
      </c>
      <c r="AW4099" s="2">
        <v>1202.4238661229399</v>
      </c>
      <c r="AX4099" s="2">
        <v>1714.80187349783</v>
      </c>
    </row>
    <row r="4100" spans="1:50" x14ac:dyDescent="0.25">
      <c r="A4100" s="2" t="s">
        <v>27042</v>
      </c>
      <c r="B4100" s="2">
        <v>411.26152045902501</v>
      </c>
      <c r="C4100" s="2">
        <v>4.42221666666667</v>
      </c>
      <c r="D4100" s="2" t="s">
        <v>51</v>
      </c>
      <c r="E4100" s="2" t="s">
        <v>27043</v>
      </c>
      <c r="F4100" s="2">
        <v>259819</v>
      </c>
      <c r="G4100" s="3" t="str">
        <f>HYPERLINK("https://cloud.oebiotech.com/#/lm/network/259819", "https://cloud.oebiotech.com/#/lm/network/259819")</f>
        <v>https://cloud.oebiotech.com/#/lm/network/259819</v>
      </c>
      <c r="H4100" s="2"/>
      <c r="I4100" s="2">
        <v>17041</v>
      </c>
      <c r="J4100" s="2"/>
      <c r="K4100" s="2">
        <v>9800725</v>
      </c>
      <c r="L4100" s="2"/>
      <c r="M4100" s="2"/>
      <c r="N4100" s="2"/>
      <c r="O4100" s="2"/>
      <c r="P4100" s="2"/>
      <c r="Q4100" s="2"/>
      <c r="R4100" s="2"/>
      <c r="S4100" s="2" t="s">
        <v>27044</v>
      </c>
      <c r="T4100" s="2" t="s">
        <v>27045</v>
      </c>
      <c r="U4100" s="2" t="s">
        <v>103</v>
      </c>
      <c r="V4100" s="2" t="s">
        <v>104</v>
      </c>
      <c r="W4100" s="2" t="s">
        <v>105</v>
      </c>
      <c r="X4100" s="2" t="s">
        <v>83</v>
      </c>
      <c r="Y4100" s="2">
        <v>41.2</v>
      </c>
      <c r="Z4100" s="2">
        <v>0</v>
      </c>
      <c r="AA4100" s="2" t="s">
        <v>512</v>
      </c>
      <c r="AB4100" s="2" t="s">
        <v>27046</v>
      </c>
      <c r="AC4100" s="2">
        <v>3.3665663150040199</v>
      </c>
      <c r="AD4100" s="2"/>
      <c r="AE4100" s="2">
        <v>0.11616911992958399</v>
      </c>
      <c r="AF4100" s="2">
        <v>2628.53670809084</v>
      </c>
      <c r="AG4100" s="2">
        <v>3559.2325348366799</v>
      </c>
      <c r="AH4100" s="4">
        <v>0.73851221642967302</v>
      </c>
      <c r="AI4100" s="4">
        <v>-0.437306308715532</v>
      </c>
      <c r="AJ4100" s="4" t="s">
        <v>62</v>
      </c>
      <c r="AK4100" s="2">
        <v>0.70973674360670302</v>
      </c>
      <c r="AL4100" s="2">
        <v>0.86205135981853398</v>
      </c>
      <c r="AM4100" s="2">
        <v>1688.87903878318</v>
      </c>
      <c r="AN4100" s="2">
        <v>618.66584913671898</v>
      </c>
      <c r="AO4100" s="2">
        <v>2319.3850488969701</v>
      </c>
      <c r="AP4100" s="2">
        <v>6888.8965631711499</v>
      </c>
      <c r="AQ4100" s="2">
        <v>994.25571253204998</v>
      </c>
      <c r="AR4100" s="2">
        <v>3261.13803602498</v>
      </c>
      <c r="AS4100" s="2">
        <v>8.559877937157E-6</v>
      </c>
      <c r="AT4100" s="2">
        <v>2872.7409881992398</v>
      </c>
      <c r="AU4100" s="2">
        <v>901.32468201367396</v>
      </c>
      <c r="AV4100" s="2">
        <v>951.167056352793</v>
      </c>
      <c r="AW4100" s="2">
        <v>2043.3475645619001</v>
      </c>
      <c r="AX4100" s="2">
        <v>14586.814909332599</v>
      </c>
    </row>
    <row r="4101" spans="1:50" x14ac:dyDescent="0.25">
      <c r="A4101" s="2" t="s">
        <v>27047</v>
      </c>
      <c r="B4101" s="2">
        <v>347.16119187973601</v>
      </c>
      <c r="C4101" s="2">
        <v>4.4640000000000004</v>
      </c>
      <c r="D4101" s="2" t="s">
        <v>51</v>
      </c>
      <c r="E4101" s="2" t="s">
        <v>27048</v>
      </c>
      <c r="F4101" s="2">
        <v>56947</v>
      </c>
      <c r="G4101" s="3" t="str">
        <f>HYPERLINK("https://cloud.oebiotech.com/#/lm/network/56947", "https://cloud.oebiotech.com/#/lm/network/56947")</f>
        <v>https://cloud.oebiotech.com/#/lm/network/56947</v>
      </c>
      <c r="H4101" s="2" t="s">
        <v>27049</v>
      </c>
      <c r="I4101" s="2">
        <v>88605</v>
      </c>
      <c r="J4101" s="2"/>
      <c r="K4101" s="2">
        <v>9883083</v>
      </c>
      <c r="L4101" s="2"/>
      <c r="M4101" s="2"/>
      <c r="N4101" s="2"/>
      <c r="O4101" s="2">
        <v>138783</v>
      </c>
      <c r="P4101" s="2"/>
      <c r="Q4101" s="2"/>
      <c r="R4101" s="2"/>
      <c r="S4101" s="2" t="s">
        <v>27050</v>
      </c>
      <c r="T4101" s="2" t="s">
        <v>27051</v>
      </c>
      <c r="U4101" s="2" t="s">
        <v>56</v>
      </c>
      <c r="V4101" s="2" t="s">
        <v>145</v>
      </c>
      <c r="W4101" s="2" t="s">
        <v>203</v>
      </c>
      <c r="X4101" s="2" t="s">
        <v>59</v>
      </c>
      <c r="Y4101" s="2">
        <v>49</v>
      </c>
      <c r="Z4101" s="2">
        <v>54.3</v>
      </c>
      <c r="AA4101" s="2" t="s">
        <v>395</v>
      </c>
      <c r="AB4101" s="2" t="s">
        <v>12571</v>
      </c>
      <c r="AC4101" s="2">
        <v>-2.3542484916508699</v>
      </c>
      <c r="AD4101" s="2"/>
      <c r="AE4101" s="2">
        <v>0.116125633710545</v>
      </c>
      <c r="AF4101" s="2">
        <v>1364.87090155793</v>
      </c>
      <c r="AG4101" s="2">
        <v>2338.5023800549102</v>
      </c>
      <c r="AH4101" s="4">
        <v>0.58365170512500497</v>
      </c>
      <c r="AI4101" s="4">
        <v>-0.77682039904897005</v>
      </c>
      <c r="AJ4101" s="4" t="s">
        <v>62</v>
      </c>
      <c r="AK4101" s="2">
        <v>0.39703272297155501</v>
      </c>
      <c r="AL4101" s="2">
        <v>0.66752996494649497</v>
      </c>
      <c r="AM4101" s="2">
        <v>217.20569686152001</v>
      </c>
      <c r="AN4101" s="2">
        <v>2536.0126670249301</v>
      </c>
      <c r="AO4101" s="2">
        <v>1510.3141667397399</v>
      </c>
      <c r="AP4101" s="2">
        <v>2109.89336085372</v>
      </c>
      <c r="AQ4101" s="2">
        <v>656.81222604645302</v>
      </c>
      <c r="AR4101" s="2">
        <v>1158.9872918212</v>
      </c>
      <c r="AS4101" s="2">
        <v>5311.5690740405298</v>
      </c>
      <c r="AT4101" s="2">
        <v>5884.6227936815403</v>
      </c>
      <c r="AU4101" s="2">
        <v>177.37406215477799</v>
      </c>
      <c r="AV4101" s="2">
        <v>626.98423348476501</v>
      </c>
      <c r="AW4101" s="2">
        <v>1000.78713597972</v>
      </c>
      <c r="AX4101" s="2">
        <v>1029.6769809881</v>
      </c>
    </row>
    <row r="4102" spans="1:50" x14ac:dyDescent="0.25">
      <c r="A4102" s="2" t="s">
        <v>27052</v>
      </c>
      <c r="B4102" s="2">
        <v>199.096916213589</v>
      </c>
      <c r="C4102" s="2">
        <v>4.6654666666666698</v>
      </c>
      <c r="D4102" s="2" t="s">
        <v>51</v>
      </c>
      <c r="E4102" s="2" t="s">
        <v>27053</v>
      </c>
      <c r="F4102" s="2">
        <v>205658</v>
      </c>
      <c r="G4102" s="3" t="str">
        <f>HYPERLINK("https://cloud.oebiotech.com/#/lm/network/205658", "https://cloud.oebiotech.com/#/lm/network/205658")</f>
        <v>https://cloud.oebiotech.com/#/lm/network/205658</v>
      </c>
      <c r="H4102" s="2" t="s">
        <v>27054</v>
      </c>
      <c r="I4102" s="2">
        <v>65736</v>
      </c>
      <c r="J4102" s="2"/>
      <c r="K4102" s="2">
        <v>10953</v>
      </c>
      <c r="L4102" s="2" t="s">
        <v>27055</v>
      </c>
      <c r="M4102" s="2"/>
      <c r="N4102" s="2"/>
      <c r="O4102" s="2">
        <v>16545</v>
      </c>
      <c r="P4102" s="2"/>
      <c r="Q4102" s="2"/>
      <c r="R4102" s="2" t="s">
        <v>27056</v>
      </c>
      <c r="S4102" s="2" t="s">
        <v>27057</v>
      </c>
      <c r="T4102" s="2" t="s">
        <v>27058</v>
      </c>
      <c r="U4102" s="2" t="s">
        <v>266</v>
      </c>
      <c r="V4102" s="2" t="s">
        <v>3994</v>
      </c>
      <c r="W4102" s="2" t="s">
        <v>8308</v>
      </c>
      <c r="X4102" s="2" t="s">
        <v>83</v>
      </c>
      <c r="Y4102" s="2">
        <v>51</v>
      </c>
      <c r="Z4102" s="2">
        <v>0</v>
      </c>
      <c r="AA4102" s="2" t="s">
        <v>478</v>
      </c>
      <c r="AB4102" s="2" t="s">
        <v>27059</v>
      </c>
      <c r="AC4102" s="2">
        <v>-3.32998296262407</v>
      </c>
      <c r="AD4102" s="2"/>
      <c r="AE4102" s="2">
        <v>0.11603231774628101</v>
      </c>
      <c r="AF4102" s="2">
        <v>1511.2821776840401</v>
      </c>
      <c r="AG4102" s="2">
        <v>1194.8637824647501</v>
      </c>
      <c r="AH4102" s="5">
        <v>1.2648154541654899</v>
      </c>
      <c r="AI4102" s="5">
        <v>0.338926900506343</v>
      </c>
      <c r="AJ4102" s="5" t="s">
        <v>139</v>
      </c>
      <c r="AK4102" s="2">
        <v>0.226288643606333</v>
      </c>
      <c r="AL4102" s="2">
        <v>0.55268103475036801</v>
      </c>
      <c r="AM4102" s="2">
        <v>2322.59778223987</v>
      </c>
      <c r="AN4102" s="2">
        <v>1708.8081169311199</v>
      </c>
      <c r="AO4102" s="2">
        <v>1529.44036544029</v>
      </c>
      <c r="AP4102" s="2">
        <v>1505.1463355708599</v>
      </c>
      <c r="AQ4102" s="2">
        <v>1129.75279212843</v>
      </c>
      <c r="AR4102" s="2">
        <v>871.94767379368704</v>
      </c>
      <c r="AS4102" s="2">
        <v>1340.04836887138</v>
      </c>
      <c r="AT4102" s="2">
        <v>1687.331377752</v>
      </c>
      <c r="AU4102" s="2">
        <v>1354.4771723336701</v>
      </c>
      <c r="AV4102" s="2">
        <v>1059.48503193242</v>
      </c>
      <c r="AW4102" s="2">
        <v>744.98560323646302</v>
      </c>
      <c r="AX4102" s="2">
        <v>982.85514066255996</v>
      </c>
    </row>
    <row r="4103" spans="1:50" x14ac:dyDescent="0.25">
      <c r="A4103" s="2" t="s">
        <v>27060</v>
      </c>
      <c r="B4103" s="2">
        <v>393.04428593011102</v>
      </c>
      <c r="C4103" s="2">
        <v>4.5643000000000002</v>
      </c>
      <c r="D4103" s="2" t="s">
        <v>51</v>
      </c>
      <c r="E4103" s="2" t="s">
        <v>27061</v>
      </c>
      <c r="F4103" s="2">
        <v>51867</v>
      </c>
      <c r="G4103" s="3" t="str">
        <f>HYPERLINK("https://cloud.oebiotech.com/#/lm/network/51867", "https://cloud.oebiotech.com/#/lm/network/51867")</f>
        <v>https://cloud.oebiotech.com/#/lm/network/51867</v>
      </c>
      <c r="H4103" s="2" t="s">
        <v>27062</v>
      </c>
      <c r="I4103" s="2">
        <v>62816</v>
      </c>
      <c r="J4103" s="2"/>
      <c r="K4103" s="2">
        <v>24892815</v>
      </c>
      <c r="L4103" s="2" t="s">
        <v>27063</v>
      </c>
      <c r="M4103" s="2"/>
      <c r="N4103" s="2"/>
      <c r="O4103" s="2">
        <v>61001</v>
      </c>
      <c r="P4103" s="2"/>
      <c r="Q4103" s="2"/>
      <c r="R4103" s="2"/>
      <c r="S4103" s="2" t="s">
        <v>27064</v>
      </c>
      <c r="T4103" s="2" t="s">
        <v>27065</v>
      </c>
      <c r="U4103" s="2" t="s">
        <v>331</v>
      </c>
      <c r="V4103" s="2" t="s">
        <v>332</v>
      </c>
      <c r="W4103" s="2" t="s">
        <v>333</v>
      </c>
      <c r="X4103" s="2" t="s">
        <v>147</v>
      </c>
      <c r="Y4103" s="2">
        <v>39.1</v>
      </c>
      <c r="Z4103" s="2">
        <v>0</v>
      </c>
      <c r="AA4103" s="2" t="s">
        <v>218</v>
      </c>
      <c r="AB4103" s="2" t="s">
        <v>27066</v>
      </c>
      <c r="AC4103" s="2">
        <v>0.92071283524748904</v>
      </c>
      <c r="AD4103" s="2"/>
      <c r="AE4103" s="2">
        <v>0.11596507023755399</v>
      </c>
      <c r="AF4103" s="2">
        <v>3050.04390402224</v>
      </c>
      <c r="AG4103" s="2">
        <v>3839.0823831377502</v>
      </c>
      <c r="AH4103" s="4">
        <v>0.79447211589384803</v>
      </c>
      <c r="AI4103" s="4">
        <v>-0.331931509634041</v>
      </c>
      <c r="AJ4103" s="4" t="s">
        <v>62</v>
      </c>
      <c r="AK4103" s="2">
        <v>0.16204154347069</v>
      </c>
      <c r="AL4103" s="2">
        <v>0.48399353100485398</v>
      </c>
      <c r="AM4103" s="2">
        <v>2240.9628528985099</v>
      </c>
      <c r="AN4103" s="2">
        <v>3720.9987593435799</v>
      </c>
      <c r="AO4103" s="2">
        <v>3599.0324842691898</v>
      </c>
      <c r="AP4103" s="2">
        <v>2250.6791730136501</v>
      </c>
      <c r="AQ4103" s="2">
        <v>3106.53124129854</v>
      </c>
      <c r="AR4103" s="2">
        <v>3382.0589133100002</v>
      </c>
      <c r="AS4103" s="2">
        <v>4882.40406894638</v>
      </c>
      <c r="AT4103" s="2">
        <v>5085.9615569921698</v>
      </c>
      <c r="AU4103" s="2">
        <v>4398.1548669080103</v>
      </c>
      <c r="AV4103" s="2">
        <v>2573.9895722454398</v>
      </c>
      <c r="AW4103" s="2">
        <v>2711.8057401113801</v>
      </c>
      <c r="AX4103" s="2">
        <v>3382.1784936231302</v>
      </c>
    </row>
    <row r="4104" spans="1:50" x14ac:dyDescent="0.25">
      <c r="A4104" s="2" t="s">
        <v>27067</v>
      </c>
      <c r="B4104" s="2">
        <v>377.14697115528901</v>
      </c>
      <c r="C4104" s="2">
        <v>4.2577833333333297</v>
      </c>
      <c r="D4104" s="2" t="s">
        <v>51</v>
      </c>
      <c r="E4104" s="2" t="s">
        <v>27068</v>
      </c>
      <c r="F4104" s="2">
        <v>46953</v>
      </c>
      <c r="G4104" s="3" t="str">
        <f>HYPERLINK("https://cloud.oebiotech.com/#/lm/network/46953", "https://cloud.oebiotech.com/#/lm/network/46953")</f>
        <v>https://cloud.oebiotech.com/#/lm/network/46953</v>
      </c>
      <c r="H4104" s="2" t="s">
        <v>27069</v>
      </c>
      <c r="I4104" s="2">
        <v>233</v>
      </c>
      <c r="J4104" s="2"/>
      <c r="K4104" s="2">
        <v>493570</v>
      </c>
      <c r="L4104" s="2" t="s">
        <v>27070</v>
      </c>
      <c r="M4104" s="2" t="s">
        <v>27071</v>
      </c>
      <c r="N4104" s="2" t="s">
        <v>27072</v>
      </c>
      <c r="O4104" s="2">
        <v>17015</v>
      </c>
      <c r="P4104" s="2"/>
      <c r="Q4104" s="2"/>
      <c r="R4104" s="2" t="s">
        <v>27073</v>
      </c>
      <c r="S4104" s="2" t="s">
        <v>27074</v>
      </c>
      <c r="T4104" s="2" t="s">
        <v>27075</v>
      </c>
      <c r="U4104" s="2" t="s">
        <v>266</v>
      </c>
      <c r="V4104" s="2" t="s">
        <v>13201</v>
      </c>
      <c r="W4104" s="2" t="s">
        <v>15390</v>
      </c>
      <c r="X4104" s="2" t="s">
        <v>69</v>
      </c>
      <c r="Y4104" s="2">
        <v>50.1</v>
      </c>
      <c r="Z4104" s="2">
        <v>45.4</v>
      </c>
      <c r="AA4104" s="2" t="s">
        <v>259</v>
      </c>
      <c r="AB4104" s="2" t="s">
        <v>15391</v>
      </c>
      <c r="AC4104" s="2">
        <v>3.7495394307221499</v>
      </c>
      <c r="AD4104" s="2"/>
      <c r="AE4104" s="2">
        <v>0.11590003795235899</v>
      </c>
      <c r="AF4104" s="2">
        <v>2115.7387730780401</v>
      </c>
      <c r="AG4104" s="2">
        <v>874.79802612275103</v>
      </c>
      <c r="AH4104" s="5">
        <v>2.4185454355165201</v>
      </c>
      <c r="AI4104" s="5">
        <v>1.2741396409380601</v>
      </c>
      <c r="AJ4104" s="5" t="s">
        <v>139</v>
      </c>
      <c r="AK4104" s="2">
        <v>0.29776121474804501</v>
      </c>
      <c r="AL4104" s="2">
        <v>0.60853987330779502</v>
      </c>
      <c r="AM4104" s="2">
        <v>348.37093153581998</v>
      </c>
      <c r="AN4104" s="2">
        <v>209.03179491759099</v>
      </c>
      <c r="AO4104" s="2">
        <v>797.36694587564295</v>
      </c>
      <c r="AP4104" s="2">
        <v>1889.0235022475499</v>
      </c>
      <c r="AQ4104" s="2">
        <v>7528.2122298919103</v>
      </c>
      <c r="AR4104" s="2">
        <v>1922.4272339997301</v>
      </c>
      <c r="AS4104" s="2">
        <v>1023.25719954969</v>
      </c>
      <c r="AT4104" s="2">
        <v>742.61822993973703</v>
      </c>
      <c r="AU4104" s="2">
        <v>1140.88902624242</v>
      </c>
      <c r="AV4104" s="2">
        <v>454.53544115904901</v>
      </c>
      <c r="AW4104" s="2">
        <v>1180.8332333846799</v>
      </c>
      <c r="AX4104" s="2">
        <v>706.65502646092898</v>
      </c>
    </row>
    <row r="4105" spans="1:50" x14ac:dyDescent="0.25">
      <c r="A4105" s="2" t="s">
        <v>27076</v>
      </c>
      <c r="B4105" s="2">
        <v>253.10775063424899</v>
      </c>
      <c r="C4105" s="2">
        <v>5.6687166666666702</v>
      </c>
      <c r="D4105" s="2" t="s">
        <v>51</v>
      </c>
      <c r="E4105" s="2" t="s">
        <v>27077</v>
      </c>
      <c r="F4105" s="2">
        <v>1727</v>
      </c>
      <c r="G4105" s="3" t="str">
        <f>HYPERLINK("https://cloud.oebiotech.com/#/lm/network/1727", "https://cloud.oebiotech.com/#/lm/network/1727")</f>
        <v>https://cloud.oebiotech.com/#/lm/network/1727</v>
      </c>
      <c r="H4105" s="2"/>
      <c r="I4105" s="2">
        <v>74530</v>
      </c>
      <c r="J4105" s="2" t="s">
        <v>27078</v>
      </c>
      <c r="K4105" s="2">
        <v>5282976</v>
      </c>
      <c r="L4105" s="2"/>
      <c r="M4105" s="2"/>
      <c r="N4105" s="2"/>
      <c r="O4105" s="2"/>
      <c r="P4105" s="2"/>
      <c r="Q4105" s="2"/>
      <c r="R4105" s="2"/>
      <c r="S4105" s="2" t="s">
        <v>27079</v>
      </c>
      <c r="T4105" s="2" t="s">
        <v>27080</v>
      </c>
      <c r="U4105" s="2" t="s">
        <v>56</v>
      </c>
      <c r="V4105" s="2" t="s">
        <v>145</v>
      </c>
      <c r="W4105" s="2" t="s">
        <v>1188</v>
      </c>
      <c r="X4105" s="2" t="s">
        <v>83</v>
      </c>
      <c r="Y4105" s="2">
        <v>41.6</v>
      </c>
      <c r="Z4105" s="2">
        <v>0</v>
      </c>
      <c r="AA4105" s="2" t="s">
        <v>163</v>
      </c>
      <c r="AB4105" s="2" t="s">
        <v>16869</v>
      </c>
      <c r="AC4105" s="2">
        <v>-1.56074277397991</v>
      </c>
      <c r="AD4105" s="2"/>
      <c r="AE4105" s="2">
        <v>0.11586522203758599</v>
      </c>
      <c r="AF4105" s="2">
        <v>693.723868502914</v>
      </c>
      <c r="AG4105" s="2">
        <v>341.43418148769001</v>
      </c>
      <c r="AH4105" s="5">
        <v>2.03179384524489</v>
      </c>
      <c r="AI4105" s="5">
        <v>1.02275402734087</v>
      </c>
      <c r="AJ4105" s="5" t="s">
        <v>139</v>
      </c>
      <c r="AK4105" s="2">
        <v>0.31379559882068703</v>
      </c>
      <c r="AL4105" s="2">
        <v>0.62349547195395505</v>
      </c>
      <c r="AM4105" s="2">
        <v>1894.54758353799</v>
      </c>
      <c r="AN4105" s="2">
        <v>918.56071223358595</v>
      </c>
      <c r="AO4105" s="2">
        <v>373.04235863104299</v>
      </c>
      <c r="AP4105" s="2">
        <v>89.892078065156397</v>
      </c>
      <c r="AQ4105" s="2">
        <v>167.23924409244199</v>
      </c>
      <c r="AR4105" s="2">
        <v>719.06123445726405</v>
      </c>
      <c r="AS4105" s="2">
        <v>183.24041147858301</v>
      </c>
      <c r="AT4105" s="2">
        <v>8.559877937157E-6</v>
      </c>
      <c r="AU4105" s="2">
        <v>1242.0988252305599</v>
      </c>
      <c r="AV4105" s="2">
        <v>8.559877937157E-6</v>
      </c>
      <c r="AW4105" s="2">
        <v>329.99624664207101</v>
      </c>
      <c r="AX4105" s="2">
        <v>293.26958845516998</v>
      </c>
    </row>
    <row r="4106" spans="1:50" x14ac:dyDescent="0.25">
      <c r="A4106" s="2" t="s">
        <v>27081</v>
      </c>
      <c r="B4106" s="2">
        <v>294.16260599840501</v>
      </c>
      <c r="C4106" s="2">
        <v>1.6663666666666701</v>
      </c>
      <c r="D4106" s="2" t="s">
        <v>51</v>
      </c>
      <c r="E4106" s="2" t="s">
        <v>27082</v>
      </c>
      <c r="F4106" s="2">
        <v>208880</v>
      </c>
      <c r="G4106" s="3" t="str">
        <f>HYPERLINK("https://cloud.oebiotech.com/#/lm/network/208880", "https://cloud.oebiotech.com/#/lm/network/208880")</f>
        <v>https://cloud.oebiotech.com/#/lm/network/208880</v>
      </c>
      <c r="H4106" s="2" t="s">
        <v>27083</v>
      </c>
      <c r="I4106" s="2"/>
      <c r="J4106" s="2"/>
      <c r="K4106" s="2">
        <v>265249</v>
      </c>
      <c r="L4106" s="2"/>
      <c r="M4106" s="2"/>
      <c r="N4106" s="2"/>
      <c r="O4106" s="2"/>
      <c r="P4106" s="2"/>
      <c r="Q4106" s="2"/>
      <c r="R4106" s="2"/>
      <c r="S4106" s="2" t="s">
        <v>27084</v>
      </c>
      <c r="T4106" s="2" t="s">
        <v>27085</v>
      </c>
      <c r="U4106" s="2" t="s">
        <v>56</v>
      </c>
      <c r="V4106" s="2" t="s">
        <v>283</v>
      </c>
      <c r="W4106" s="2" t="s">
        <v>1944</v>
      </c>
      <c r="X4106" s="2" t="s">
        <v>147</v>
      </c>
      <c r="Y4106" s="2">
        <v>39.200000000000003</v>
      </c>
      <c r="Z4106" s="2">
        <v>12.1</v>
      </c>
      <c r="AA4106" s="2" t="s">
        <v>122</v>
      </c>
      <c r="AB4106" s="2" t="s">
        <v>27086</v>
      </c>
      <c r="AC4106" s="2">
        <v>2.1279219858712901</v>
      </c>
      <c r="AD4106" s="2"/>
      <c r="AE4106" s="2">
        <v>0.11585770105799501</v>
      </c>
      <c r="AF4106" s="2">
        <v>2670.8241053053298</v>
      </c>
      <c r="AG4106" s="2">
        <v>3529.3296459276999</v>
      </c>
      <c r="AH4106" s="4">
        <v>0.756751103821385</v>
      </c>
      <c r="AI4106" s="4">
        <v>-0.40210922047186898</v>
      </c>
      <c r="AJ4106" s="4" t="s">
        <v>62</v>
      </c>
      <c r="AK4106" s="2">
        <v>0.49612997978173501</v>
      </c>
      <c r="AL4106" s="2">
        <v>0.73518516839452297</v>
      </c>
      <c r="AM4106" s="2">
        <v>2542.8100687880901</v>
      </c>
      <c r="AN4106" s="2">
        <v>4984.1242529069896</v>
      </c>
      <c r="AO4106" s="2">
        <v>2913.3913534964699</v>
      </c>
      <c r="AP4106" s="2">
        <v>935.20715857515597</v>
      </c>
      <c r="AQ4106" s="2">
        <v>1665.56290007181</v>
      </c>
      <c r="AR4106" s="2">
        <v>2983.84889799344</v>
      </c>
      <c r="AS4106" s="2">
        <v>4867.2766454889597</v>
      </c>
      <c r="AT4106" s="2">
        <v>2896.4119263409102</v>
      </c>
      <c r="AU4106" s="2">
        <v>45.1403543464302</v>
      </c>
      <c r="AV4106" s="2">
        <v>7883.1593406715501</v>
      </c>
      <c r="AW4106" s="2">
        <v>2388.376482309</v>
      </c>
      <c r="AX4106" s="2">
        <v>3095.6131264093601</v>
      </c>
    </row>
    <row r="4107" spans="1:50" x14ac:dyDescent="0.25">
      <c r="A4107" s="2" t="s">
        <v>27087</v>
      </c>
      <c r="B4107" s="2">
        <v>272.16044914858497</v>
      </c>
      <c r="C4107" s="2">
        <v>10.4101833333333</v>
      </c>
      <c r="D4107" s="2" t="s">
        <v>51</v>
      </c>
      <c r="E4107" s="2" t="s">
        <v>27088</v>
      </c>
      <c r="F4107" s="2">
        <v>52611</v>
      </c>
      <c r="G4107" s="3" t="str">
        <f>HYPERLINK("https://cloud.oebiotech.com/#/lm/network/52611", "https://cloud.oebiotech.com/#/lm/network/52611")</f>
        <v>https://cloud.oebiotech.com/#/lm/network/52611</v>
      </c>
      <c r="H4107" s="2" t="s">
        <v>27089</v>
      </c>
      <c r="I4107" s="2">
        <v>44344</v>
      </c>
      <c r="J4107" s="2"/>
      <c r="K4107" s="2">
        <v>4195</v>
      </c>
      <c r="L4107" s="2" t="s">
        <v>27090</v>
      </c>
      <c r="M4107" s="2"/>
      <c r="N4107" s="2"/>
      <c r="O4107" s="2">
        <v>6933</v>
      </c>
      <c r="P4107" s="2"/>
      <c r="Q4107" s="2"/>
      <c r="R4107" s="2" t="s">
        <v>27091</v>
      </c>
      <c r="S4107" s="2" t="s">
        <v>27092</v>
      </c>
      <c r="T4107" s="2" t="s">
        <v>27093</v>
      </c>
      <c r="U4107" s="2" t="s">
        <v>610</v>
      </c>
      <c r="V4107" s="2" t="s">
        <v>611</v>
      </c>
      <c r="W4107" s="2" t="s">
        <v>612</v>
      </c>
      <c r="X4107" s="2" t="s">
        <v>147</v>
      </c>
      <c r="Y4107" s="2">
        <v>37.200000000000003</v>
      </c>
      <c r="Z4107" s="2">
        <v>0</v>
      </c>
      <c r="AA4107" s="2" t="s">
        <v>512</v>
      </c>
      <c r="AB4107" s="2" t="s">
        <v>27094</v>
      </c>
      <c r="AC4107" s="2">
        <v>-0.131613562056903</v>
      </c>
      <c r="AD4107" s="2"/>
      <c r="AE4107" s="2">
        <v>0.115749667837298</v>
      </c>
      <c r="AF4107" s="2">
        <v>715.88869307434697</v>
      </c>
      <c r="AG4107" s="2">
        <v>1212.3592525894501</v>
      </c>
      <c r="AH4107" s="4">
        <v>0.59049220892676801</v>
      </c>
      <c r="AI4107" s="4">
        <v>-0.76001007034853196</v>
      </c>
      <c r="AJ4107" s="4" t="s">
        <v>62</v>
      </c>
      <c r="AK4107" s="2">
        <v>3.7408182935333698E-2</v>
      </c>
      <c r="AL4107" s="2">
        <v>0.28256028255353199</v>
      </c>
      <c r="AM4107" s="2">
        <v>865.76817217421296</v>
      </c>
      <c r="AN4107" s="2">
        <v>417.58991640727902</v>
      </c>
      <c r="AO4107" s="2">
        <v>1049.0426607412401</v>
      </c>
      <c r="AP4107" s="2">
        <v>444.68066704572101</v>
      </c>
      <c r="AQ4107" s="2">
        <v>731.43884976373397</v>
      </c>
      <c r="AR4107" s="2">
        <v>786.81189231389396</v>
      </c>
      <c r="AS4107" s="2">
        <v>532.89294010910601</v>
      </c>
      <c r="AT4107" s="2">
        <v>1573.3552869629</v>
      </c>
      <c r="AU4107" s="2">
        <v>1158.6950004448199</v>
      </c>
      <c r="AV4107" s="2">
        <v>862.55440852570598</v>
      </c>
      <c r="AW4107" s="2">
        <v>1517.55934636298</v>
      </c>
      <c r="AX4107" s="2">
        <v>1629.0985331311599</v>
      </c>
    </row>
    <row r="4108" spans="1:50" x14ac:dyDescent="0.25">
      <c r="A4108" s="2" t="s">
        <v>27095</v>
      </c>
      <c r="B4108" s="2">
        <v>427.13267328694297</v>
      </c>
      <c r="C4108" s="2">
        <v>7.7615333333333298</v>
      </c>
      <c r="D4108" s="2" t="s">
        <v>51</v>
      </c>
      <c r="E4108" s="2" t="s">
        <v>27096</v>
      </c>
      <c r="F4108" s="2">
        <v>206517</v>
      </c>
      <c r="G4108" s="3" t="str">
        <f>HYPERLINK("https://cloud.oebiotech.com/#/lm/network/206517", "https://cloud.oebiotech.com/#/lm/network/206517")</f>
        <v>https://cloud.oebiotech.com/#/lm/network/206517</v>
      </c>
      <c r="H4108" s="2" t="s">
        <v>27097</v>
      </c>
      <c r="I4108" s="2">
        <v>44130</v>
      </c>
      <c r="J4108" s="2"/>
      <c r="K4108" s="2">
        <v>3276</v>
      </c>
      <c r="L4108" s="2"/>
      <c r="M4108" s="2"/>
      <c r="N4108" s="2"/>
      <c r="O4108" s="2">
        <v>75473</v>
      </c>
      <c r="P4108" s="2"/>
      <c r="Q4108" s="2"/>
      <c r="R4108" s="2" t="s">
        <v>27098</v>
      </c>
      <c r="S4108" s="2" t="s">
        <v>27099</v>
      </c>
      <c r="T4108" s="2" t="s">
        <v>27100</v>
      </c>
      <c r="U4108" s="2" t="s">
        <v>119</v>
      </c>
      <c r="V4108" s="2" t="s">
        <v>120</v>
      </c>
      <c r="W4108" s="2" t="s">
        <v>1887</v>
      </c>
      <c r="X4108" s="2" t="s">
        <v>147</v>
      </c>
      <c r="Y4108" s="2">
        <v>38.700000000000003</v>
      </c>
      <c r="Z4108" s="2">
        <v>1</v>
      </c>
      <c r="AA4108" s="2" t="s">
        <v>478</v>
      </c>
      <c r="AB4108" s="2" t="s">
        <v>27101</v>
      </c>
      <c r="AC4108" s="2">
        <v>-1.07422080937652</v>
      </c>
      <c r="AD4108" s="2"/>
      <c r="AE4108" s="2">
        <v>0.115685837697611</v>
      </c>
      <c r="AF4108" s="2">
        <v>3803.4654008499501</v>
      </c>
      <c r="AG4108" s="2">
        <v>1990.4259894950301</v>
      </c>
      <c r="AH4108" s="5">
        <v>1.91088009346928</v>
      </c>
      <c r="AI4108" s="5">
        <v>0.93423725294405202</v>
      </c>
      <c r="AJ4108" s="5" t="s">
        <v>139</v>
      </c>
      <c r="AK4108" s="2">
        <v>0.45112020437597</v>
      </c>
      <c r="AL4108" s="2">
        <v>0.70528155934299797</v>
      </c>
      <c r="AM4108" s="2">
        <v>149.97013790623899</v>
      </c>
      <c r="AN4108" s="2">
        <v>980.39959994166895</v>
      </c>
      <c r="AO4108" s="2">
        <v>11429.741732082801</v>
      </c>
      <c r="AP4108" s="2">
        <v>9841.3810986551398</v>
      </c>
      <c r="AQ4108" s="2">
        <v>419.29982795396398</v>
      </c>
      <c r="AR4108" s="2">
        <v>8.559877937157E-6</v>
      </c>
      <c r="AS4108" s="2">
        <v>1999.2594603949201</v>
      </c>
      <c r="AT4108" s="2">
        <v>2656.6801239955898</v>
      </c>
      <c r="AU4108" s="2">
        <v>472.24746036749298</v>
      </c>
      <c r="AV4108" s="2">
        <v>5439.8120729411403</v>
      </c>
      <c r="AW4108" s="2">
        <v>200.557206490341</v>
      </c>
      <c r="AX4108" s="2">
        <v>1173.9996127807001</v>
      </c>
    </row>
    <row r="4109" spans="1:50" x14ac:dyDescent="0.25">
      <c r="A4109" s="2" t="s">
        <v>27102</v>
      </c>
      <c r="B4109" s="2">
        <v>407.20288177463601</v>
      </c>
      <c r="C4109" s="2">
        <v>12.092183333333301</v>
      </c>
      <c r="D4109" s="2" t="s">
        <v>51</v>
      </c>
      <c r="E4109" s="2" t="s">
        <v>27103</v>
      </c>
      <c r="F4109" s="2">
        <v>212260</v>
      </c>
      <c r="G4109" s="3" t="str">
        <f>HYPERLINK("https://cloud.oebiotech.com/#/lm/network/212260", "https://cloud.oebiotech.com/#/lm/network/212260")</f>
        <v>https://cloud.oebiotech.com/#/lm/network/212260</v>
      </c>
      <c r="H4109" s="2" t="s">
        <v>27104</v>
      </c>
      <c r="I4109" s="2"/>
      <c r="J4109" s="2"/>
      <c r="K4109" s="2">
        <v>22028937</v>
      </c>
      <c r="L4109" s="2"/>
      <c r="M4109" s="2"/>
      <c r="N4109" s="2"/>
      <c r="O4109" s="2"/>
      <c r="P4109" s="2"/>
      <c r="Q4109" s="2"/>
      <c r="R4109" s="2"/>
      <c r="S4109" s="2" t="s">
        <v>27105</v>
      </c>
      <c r="T4109" s="2" t="s">
        <v>27106</v>
      </c>
      <c r="U4109" s="2" t="s">
        <v>103</v>
      </c>
      <c r="V4109" s="2" t="s">
        <v>104</v>
      </c>
      <c r="W4109" s="2" t="s">
        <v>105</v>
      </c>
      <c r="X4109" s="2" t="s">
        <v>147</v>
      </c>
      <c r="Y4109" s="2">
        <v>36.299999999999997</v>
      </c>
      <c r="Z4109" s="2">
        <v>0</v>
      </c>
      <c r="AA4109" s="2" t="s">
        <v>379</v>
      </c>
      <c r="AB4109" s="2" t="s">
        <v>27107</v>
      </c>
      <c r="AC4109" s="2">
        <v>1.2723099489165799</v>
      </c>
      <c r="AD4109" s="2"/>
      <c r="AE4109" s="2">
        <v>0.115576632363043</v>
      </c>
      <c r="AF4109" s="2">
        <v>3409.46739206542</v>
      </c>
      <c r="AG4109" s="2">
        <v>4233.6785378448303</v>
      </c>
      <c r="AH4109" s="4">
        <v>0.80532032878458004</v>
      </c>
      <c r="AI4109" s="4">
        <v>-0.312365342932516</v>
      </c>
      <c r="AJ4109" s="4" t="s">
        <v>62</v>
      </c>
      <c r="AK4109" s="2">
        <v>0.27897647925330998</v>
      </c>
      <c r="AL4109" s="2">
        <v>0.59871863544779103</v>
      </c>
      <c r="AM4109" s="2">
        <v>3189.5388047961501</v>
      </c>
      <c r="AN4109" s="2">
        <v>5481.7874910071396</v>
      </c>
      <c r="AO4109" s="2">
        <v>2409.8577406235399</v>
      </c>
      <c r="AP4109" s="2">
        <v>2566.24457615553</v>
      </c>
      <c r="AQ4109" s="2">
        <v>2216.6874436959001</v>
      </c>
      <c r="AR4109" s="2">
        <v>4592.6882961142801</v>
      </c>
      <c r="AS4109" s="2">
        <v>3654.9163488722902</v>
      </c>
      <c r="AT4109" s="2">
        <v>5514.9936985192198</v>
      </c>
      <c r="AU4109" s="2">
        <v>2484.1069139696301</v>
      </c>
      <c r="AV4109" s="2">
        <v>3997.8809205878301</v>
      </c>
      <c r="AW4109" s="2">
        <v>4258.6649387705602</v>
      </c>
      <c r="AX4109" s="2">
        <v>5491.5084063494696</v>
      </c>
    </row>
    <row r="4110" spans="1:50" x14ac:dyDescent="0.25">
      <c r="A4110" s="2" t="s">
        <v>27108</v>
      </c>
      <c r="B4110" s="2">
        <v>434.17661117589103</v>
      </c>
      <c r="C4110" s="2">
        <v>13.036049999999999</v>
      </c>
      <c r="D4110" s="2" t="s">
        <v>51</v>
      </c>
      <c r="E4110" s="2" t="s">
        <v>27109</v>
      </c>
      <c r="F4110" s="2">
        <v>467811</v>
      </c>
      <c r="G4110" s="3" t="str">
        <f>HYPERLINK("https://cloud.oebiotech.com/#/lm/network/467811", "https://cloud.oebiotech.com/#/lm/network/467811")</f>
        <v>https://cloud.oebiotech.com/#/lm/network/467811</v>
      </c>
      <c r="H4110" s="2"/>
      <c r="I4110" s="2">
        <v>85212</v>
      </c>
      <c r="J4110" s="2"/>
      <c r="K4110" s="2">
        <v>131668101</v>
      </c>
      <c r="L4110" s="2"/>
      <c r="M4110" s="2"/>
      <c r="N4110" s="2"/>
      <c r="O4110" s="2"/>
      <c r="P4110" s="2"/>
      <c r="Q4110" s="2"/>
      <c r="R4110" s="2"/>
      <c r="S4110" s="2" t="s">
        <v>27110</v>
      </c>
      <c r="T4110" s="2" t="s">
        <v>27111</v>
      </c>
      <c r="U4110" s="2" t="s">
        <v>266</v>
      </c>
      <c r="V4110" s="2" t="s">
        <v>445</v>
      </c>
      <c r="W4110" s="2" t="s">
        <v>5296</v>
      </c>
      <c r="X4110" s="2" t="s">
        <v>147</v>
      </c>
      <c r="Y4110" s="2">
        <v>37.4</v>
      </c>
      <c r="Z4110" s="2">
        <v>0</v>
      </c>
      <c r="AA4110" s="2" t="s">
        <v>218</v>
      </c>
      <c r="AB4110" s="2" t="s">
        <v>27112</v>
      </c>
      <c r="AC4110" s="2">
        <v>-1.7959024407856301</v>
      </c>
      <c r="AD4110" s="2"/>
      <c r="AE4110" s="2">
        <v>0.115487663587934</v>
      </c>
      <c r="AF4110" s="2">
        <v>1296.11118751088</v>
      </c>
      <c r="AG4110" s="2">
        <v>840.10716485934302</v>
      </c>
      <c r="AH4110" s="5">
        <v>1.54279268374992</v>
      </c>
      <c r="AI4110" s="5">
        <v>0.62554420952970402</v>
      </c>
      <c r="AJ4110" s="5" t="s">
        <v>139</v>
      </c>
      <c r="AK4110" s="2">
        <v>0.22332205261124799</v>
      </c>
      <c r="AL4110" s="2">
        <v>0.54901160511510605</v>
      </c>
      <c r="AM4110" s="2">
        <v>2389.0023772066902</v>
      </c>
      <c r="AN4110" s="2">
        <v>1119.57342304447</v>
      </c>
      <c r="AO4110" s="2">
        <v>686.95319087618395</v>
      </c>
      <c r="AP4110" s="2">
        <v>1011.83858037236</v>
      </c>
      <c r="AQ4110" s="2">
        <v>1150.2058040904201</v>
      </c>
      <c r="AR4110" s="2">
        <v>1419.0937494751699</v>
      </c>
      <c r="AS4110" s="2">
        <v>1242.3112192066401</v>
      </c>
      <c r="AT4110" s="2">
        <v>8.559877937157E-6</v>
      </c>
      <c r="AU4110" s="2">
        <v>1838.7340904918899</v>
      </c>
      <c r="AV4110" s="2">
        <v>752.04947027411299</v>
      </c>
      <c r="AW4110" s="2">
        <v>567.11821953365404</v>
      </c>
      <c r="AX4110" s="2">
        <v>640.42998108988297</v>
      </c>
    </row>
    <row r="4111" spans="1:50" x14ac:dyDescent="0.25">
      <c r="A4111" s="2" t="s">
        <v>27113</v>
      </c>
      <c r="B4111" s="2">
        <v>277.03293148013302</v>
      </c>
      <c r="C4111" s="2">
        <v>4.6470166666666701</v>
      </c>
      <c r="D4111" s="2" t="s">
        <v>51</v>
      </c>
      <c r="E4111" s="2" t="s">
        <v>27114</v>
      </c>
      <c r="F4111" s="2">
        <v>57220</v>
      </c>
      <c r="G4111" s="3" t="str">
        <f>HYPERLINK("https://cloud.oebiotech.com/#/lm/network/57220", "https://cloud.oebiotech.com/#/lm/network/57220")</f>
        <v>https://cloud.oebiotech.com/#/lm/network/57220</v>
      </c>
      <c r="H4111" s="2" t="s">
        <v>27115</v>
      </c>
      <c r="I4111" s="2">
        <v>88856</v>
      </c>
      <c r="J4111" s="2"/>
      <c r="K4111" s="2">
        <v>131751352</v>
      </c>
      <c r="L4111" s="2"/>
      <c r="M4111" s="2"/>
      <c r="N4111" s="2"/>
      <c r="O4111" s="2">
        <v>174811</v>
      </c>
      <c r="P4111" s="2"/>
      <c r="Q4111" s="2"/>
      <c r="R4111" s="2" t="s">
        <v>27116</v>
      </c>
      <c r="S4111" s="2" t="s">
        <v>27117</v>
      </c>
      <c r="T4111" s="2" t="s">
        <v>27118</v>
      </c>
      <c r="U4111" s="2" t="s">
        <v>540</v>
      </c>
      <c r="V4111" s="2" t="s">
        <v>3291</v>
      </c>
      <c r="W4111" s="2" t="s">
        <v>3292</v>
      </c>
      <c r="X4111" s="2" t="s">
        <v>83</v>
      </c>
      <c r="Y4111" s="2">
        <v>42.7</v>
      </c>
      <c r="Z4111" s="2">
        <v>1.72</v>
      </c>
      <c r="AA4111" s="2" t="s">
        <v>379</v>
      </c>
      <c r="AB4111" s="2" t="s">
        <v>27119</v>
      </c>
      <c r="AC4111" s="2">
        <v>-8.2577761157833898</v>
      </c>
      <c r="AD4111" s="2"/>
      <c r="AE4111" s="2">
        <v>0.115466436194683</v>
      </c>
      <c r="AF4111" s="2">
        <v>6289.9872929078001</v>
      </c>
      <c r="AG4111" s="2">
        <v>7370.9142246981601</v>
      </c>
      <c r="AH4111" s="4">
        <v>0.85335239309006805</v>
      </c>
      <c r="AI4111" s="4">
        <v>-0.228786467320756</v>
      </c>
      <c r="AJ4111" s="4" t="s">
        <v>62</v>
      </c>
      <c r="AK4111" s="2">
        <v>0.24471357250477699</v>
      </c>
      <c r="AL4111" s="2">
        <v>0.56997429578692105</v>
      </c>
      <c r="AM4111" s="2">
        <v>5372.7736392065099</v>
      </c>
      <c r="AN4111" s="2">
        <v>7412.7537115158002</v>
      </c>
      <c r="AO4111" s="2">
        <v>7414.8789132775</v>
      </c>
      <c r="AP4111" s="2">
        <v>6481.5623143246203</v>
      </c>
      <c r="AQ4111" s="2">
        <v>6252.2592829445202</v>
      </c>
      <c r="AR4111" s="2">
        <v>4805.69589617782</v>
      </c>
      <c r="AS4111" s="2">
        <v>6724.3289874601496</v>
      </c>
      <c r="AT4111" s="2">
        <v>11118.614203667201</v>
      </c>
      <c r="AU4111" s="2">
        <v>6691.30394574405</v>
      </c>
      <c r="AV4111" s="2">
        <v>6061.80045373343</v>
      </c>
      <c r="AW4111" s="2">
        <v>7013.6952641760799</v>
      </c>
      <c r="AX4111" s="2">
        <v>6615.74249340803</v>
      </c>
    </row>
    <row r="4112" spans="1:50" x14ac:dyDescent="0.25">
      <c r="A4112" s="2" t="s">
        <v>27120</v>
      </c>
      <c r="B4112" s="2">
        <v>375.17919059131401</v>
      </c>
      <c r="C4112" s="2">
        <v>8.3861666666666697</v>
      </c>
      <c r="D4112" s="2" t="s">
        <v>51</v>
      </c>
      <c r="E4112" s="2" t="s">
        <v>27121</v>
      </c>
      <c r="F4112" s="2">
        <v>205903</v>
      </c>
      <c r="G4112" s="3" t="str">
        <f>HYPERLINK("https://cloud.oebiotech.com/#/lm/network/205903", "https://cloud.oebiotech.com/#/lm/network/205903")</f>
        <v>https://cloud.oebiotech.com/#/lm/network/205903</v>
      </c>
      <c r="H4112" s="2" t="s">
        <v>27122</v>
      </c>
      <c r="I4112" s="2"/>
      <c r="J4112" s="2"/>
      <c r="K4112" s="2">
        <v>14445457</v>
      </c>
      <c r="L4112" s="2"/>
      <c r="M4112" s="2"/>
      <c r="N4112" s="2"/>
      <c r="O4112" s="2"/>
      <c r="P4112" s="2"/>
      <c r="Q4112" s="2"/>
      <c r="R4112" s="2"/>
      <c r="S4112" s="2" t="s">
        <v>27123</v>
      </c>
      <c r="T4112" s="2" t="s">
        <v>27124</v>
      </c>
      <c r="U4112" s="2" t="s">
        <v>56</v>
      </c>
      <c r="V4112" s="2" t="s">
        <v>283</v>
      </c>
      <c r="W4112" s="2" t="s">
        <v>492</v>
      </c>
      <c r="X4112" s="2" t="s">
        <v>83</v>
      </c>
      <c r="Y4112" s="2">
        <v>49.6</v>
      </c>
      <c r="Z4112" s="2">
        <v>0</v>
      </c>
      <c r="AA4112" s="2" t="s">
        <v>379</v>
      </c>
      <c r="AB4112" s="2" t="s">
        <v>27125</v>
      </c>
      <c r="AC4112" s="2">
        <v>3.71870016009834</v>
      </c>
      <c r="AD4112" s="2"/>
      <c r="AE4112" s="2">
        <v>0.11542619402685</v>
      </c>
      <c r="AF4112" s="2">
        <v>2880.3692476973301</v>
      </c>
      <c r="AG4112" s="2">
        <v>2157.8094990917398</v>
      </c>
      <c r="AH4112" s="5">
        <v>1.3348579885804199</v>
      </c>
      <c r="AI4112" s="5">
        <v>0.41668626620600002</v>
      </c>
      <c r="AJ4112" s="5" t="s">
        <v>139</v>
      </c>
      <c r="AK4112" s="2">
        <v>0.56694612509837905</v>
      </c>
      <c r="AL4112" s="2">
        <v>0.78255050592287401</v>
      </c>
      <c r="AM4112" s="2">
        <v>2644.7696842195501</v>
      </c>
      <c r="AN4112" s="2">
        <v>8177.7961314049298</v>
      </c>
      <c r="AO4112" s="2">
        <v>1804.4236989885001</v>
      </c>
      <c r="AP4112" s="2">
        <v>1091.8668342419901</v>
      </c>
      <c r="AQ4112" s="2">
        <v>1604.50396558949</v>
      </c>
      <c r="AR4112" s="2">
        <v>1958.8551717395201</v>
      </c>
      <c r="AS4112" s="2">
        <v>1899.8388800894199</v>
      </c>
      <c r="AT4112" s="2">
        <v>257.92001612127098</v>
      </c>
      <c r="AU4112" s="2">
        <v>4113.5443901561102</v>
      </c>
      <c r="AV4112" s="2">
        <v>1165.4362446846301</v>
      </c>
      <c r="AW4112" s="2">
        <v>2240.4949796166202</v>
      </c>
      <c r="AX4112" s="2">
        <v>3269.62248388238</v>
      </c>
    </row>
    <row r="4113" spans="1:50" x14ac:dyDescent="0.25">
      <c r="A4113" s="2" t="s">
        <v>27126</v>
      </c>
      <c r="B4113" s="2">
        <v>180.91647675578301</v>
      </c>
      <c r="C4113" s="2">
        <v>0.84924999999999995</v>
      </c>
      <c r="D4113" s="2" t="s">
        <v>51</v>
      </c>
      <c r="E4113" s="2" t="s">
        <v>27127</v>
      </c>
      <c r="F4113" s="2">
        <v>55848</v>
      </c>
      <c r="G4113" s="3" t="str">
        <f>HYPERLINK("https://cloud.oebiotech.com/#/lm/network/55848", "https://cloud.oebiotech.com/#/lm/network/55848")</f>
        <v>https://cloud.oebiotech.com/#/lm/network/55848</v>
      </c>
      <c r="H4113" s="2" t="s">
        <v>27128</v>
      </c>
      <c r="I4113" s="2">
        <v>87526</v>
      </c>
      <c r="J4113" s="2"/>
      <c r="K4113" s="2">
        <v>8856</v>
      </c>
      <c r="L4113" s="2"/>
      <c r="M4113" s="2"/>
      <c r="N4113" s="2"/>
      <c r="O4113" s="2"/>
      <c r="P4113" s="2"/>
      <c r="Q4113" s="2"/>
      <c r="R4113" s="2" t="s">
        <v>27129</v>
      </c>
      <c r="S4113" s="2" t="s">
        <v>27130</v>
      </c>
      <c r="T4113" s="2" t="s">
        <v>27131</v>
      </c>
      <c r="U4113" s="2" t="s">
        <v>103</v>
      </c>
      <c r="V4113" s="2" t="s">
        <v>104</v>
      </c>
      <c r="W4113" s="2" t="s">
        <v>7932</v>
      </c>
      <c r="X4113" s="2" t="s">
        <v>147</v>
      </c>
      <c r="Y4113" s="2">
        <v>38.200000000000003</v>
      </c>
      <c r="Z4113" s="2">
        <v>0</v>
      </c>
      <c r="AA4113" s="2" t="s">
        <v>379</v>
      </c>
      <c r="AB4113" s="2" t="s">
        <v>27132</v>
      </c>
      <c r="AC4113" s="2">
        <v>4.4538640923023003</v>
      </c>
      <c r="AD4113" s="2"/>
      <c r="AE4113" s="2">
        <v>0.115262414179068</v>
      </c>
      <c r="AF4113" s="2">
        <v>5788.9224650101896</v>
      </c>
      <c r="AG4113" s="2">
        <v>5152.3424691604996</v>
      </c>
      <c r="AH4113" s="5">
        <v>1.12355156895334</v>
      </c>
      <c r="AI4113" s="5">
        <v>0.16806634308999999</v>
      </c>
      <c r="AJ4113" s="5" t="s">
        <v>139</v>
      </c>
      <c r="AK4113" s="2">
        <v>0.35668091354388698</v>
      </c>
      <c r="AL4113" s="2">
        <v>0.64439059109587704</v>
      </c>
      <c r="AM4113" s="2">
        <v>5798.2916821046701</v>
      </c>
      <c r="AN4113" s="2">
        <v>6882.7982912061498</v>
      </c>
      <c r="AO4113" s="2">
        <v>5816.6755888116904</v>
      </c>
      <c r="AP4113" s="2">
        <v>7247.62947043226</v>
      </c>
      <c r="AQ4113" s="2">
        <v>4741.1244961634102</v>
      </c>
      <c r="AR4113" s="2">
        <v>4247.01526134293</v>
      </c>
      <c r="AS4113" s="2">
        <v>5856.4230714242603</v>
      </c>
      <c r="AT4113" s="2">
        <v>6742.1297163342097</v>
      </c>
      <c r="AU4113" s="2">
        <v>4795.8553291914504</v>
      </c>
      <c r="AV4113" s="2">
        <v>4865.1166318937903</v>
      </c>
      <c r="AW4113" s="2">
        <v>5228.6197553003203</v>
      </c>
      <c r="AX4113" s="2">
        <v>3425.9103108189702</v>
      </c>
    </row>
    <row r="4114" spans="1:50" x14ac:dyDescent="0.25">
      <c r="A4114" s="2" t="s">
        <v>27133</v>
      </c>
      <c r="B4114" s="2">
        <v>356.32845893669702</v>
      </c>
      <c r="C4114" s="2">
        <v>6.7668499999999998</v>
      </c>
      <c r="D4114" s="2" t="s">
        <v>51</v>
      </c>
      <c r="E4114" s="2" t="s">
        <v>27134</v>
      </c>
      <c r="F4114" s="2">
        <v>256916</v>
      </c>
      <c r="G4114" s="3" t="str">
        <f>HYPERLINK("https://cloud.oebiotech.com/#/lm/network/256916", "https://cloud.oebiotech.com/#/lm/network/256916")</f>
        <v>https://cloud.oebiotech.com/#/lm/network/256916</v>
      </c>
      <c r="H4114" s="2" t="s">
        <v>27135</v>
      </c>
      <c r="I4114" s="2"/>
      <c r="J4114" s="2"/>
      <c r="K4114" s="2">
        <v>17802799</v>
      </c>
      <c r="L4114" s="2"/>
      <c r="M4114" s="2"/>
      <c r="N4114" s="2"/>
      <c r="O4114" s="2">
        <v>76304</v>
      </c>
      <c r="P4114" s="2"/>
      <c r="Q4114" s="2"/>
      <c r="R4114" s="2"/>
      <c r="S4114" s="2" t="s">
        <v>27136</v>
      </c>
      <c r="T4114" s="2" t="s">
        <v>27137</v>
      </c>
      <c r="U4114" s="2" t="s">
        <v>56</v>
      </c>
      <c r="V4114" s="2" t="s">
        <v>145</v>
      </c>
      <c r="W4114" s="2" t="s">
        <v>231</v>
      </c>
      <c r="X4114" s="2" t="s">
        <v>147</v>
      </c>
      <c r="Y4114" s="2">
        <v>38.799999999999997</v>
      </c>
      <c r="Z4114" s="2">
        <v>1.31</v>
      </c>
      <c r="AA4114" s="2" t="s">
        <v>259</v>
      </c>
      <c r="AB4114" s="2" t="s">
        <v>27138</v>
      </c>
      <c r="AC4114" s="2">
        <v>-0.106194033530166</v>
      </c>
      <c r="AD4114" s="2"/>
      <c r="AE4114" s="2">
        <v>0.115256044804066</v>
      </c>
      <c r="AF4114" s="2">
        <v>5748.5919992192403</v>
      </c>
      <c r="AG4114" s="2">
        <v>5813.5574222778796</v>
      </c>
      <c r="AH4114" s="4">
        <v>0.988825185967943</v>
      </c>
      <c r="AI4114" s="4">
        <v>-1.62126048729248E-2</v>
      </c>
      <c r="AJ4114" s="4" t="s">
        <v>62</v>
      </c>
      <c r="AK4114" s="2">
        <v>0.98638526398910797</v>
      </c>
      <c r="AL4114" s="2">
        <v>0.99476292038446301</v>
      </c>
      <c r="AM4114" s="2">
        <v>1295.22707262787</v>
      </c>
      <c r="AN4114" s="2">
        <v>3107.7016374411201</v>
      </c>
      <c r="AO4114" s="2">
        <v>4288.1288557710895</v>
      </c>
      <c r="AP4114" s="2">
        <v>19589.400717686702</v>
      </c>
      <c r="AQ4114" s="2">
        <v>3120.53078544871</v>
      </c>
      <c r="AR4114" s="2">
        <v>3090.5629263399601</v>
      </c>
      <c r="AS4114" s="2">
        <v>4702.0131277559303</v>
      </c>
      <c r="AT4114" s="2">
        <v>1046.8757688906001</v>
      </c>
      <c r="AU4114" s="2">
        <v>1421.1967734485299</v>
      </c>
      <c r="AV4114" s="2">
        <v>10981.5599919246</v>
      </c>
      <c r="AW4114" s="2">
        <v>1430.0891205681301</v>
      </c>
      <c r="AX4114" s="2">
        <v>15299.609751079501</v>
      </c>
    </row>
    <row r="4115" spans="1:50" x14ac:dyDescent="0.25">
      <c r="A4115" s="2" t="s">
        <v>27139</v>
      </c>
      <c r="B4115" s="2">
        <v>251.05825656833099</v>
      </c>
      <c r="C4115" s="2">
        <v>5.0586333333333302</v>
      </c>
      <c r="D4115" s="2" t="s">
        <v>51</v>
      </c>
      <c r="E4115" s="2" t="s">
        <v>27140</v>
      </c>
      <c r="F4115" s="2">
        <v>201168</v>
      </c>
      <c r="G4115" s="3" t="str">
        <f>HYPERLINK("https://cloud.oebiotech.com/#/lm/network/201168", "https://cloud.oebiotech.com/#/lm/network/201168")</f>
        <v>https://cloud.oebiotech.com/#/lm/network/201168</v>
      </c>
      <c r="H4115" s="2" t="s">
        <v>27141</v>
      </c>
      <c r="I4115" s="2">
        <v>414616</v>
      </c>
      <c r="J4115" s="2"/>
      <c r="K4115" s="2">
        <v>124404</v>
      </c>
      <c r="L4115" s="2"/>
      <c r="M4115" s="2"/>
      <c r="N4115" s="2"/>
      <c r="O4115" s="2"/>
      <c r="P4115" s="2"/>
      <c r="Q4115" s="2"/>
      <c r="R4115" s="2"/>
      <c r="S4115" s="2" t="s">
        <v>27142</v>
      </c>
      <c r="T4115" s="2" t="s">
        <v>27143</v>
      </c>
      <c r="U4115" s="2" t="s">
        <v>266</v>
      </c>
      <c r="V4115" s="2" t="s">
        <v>1393</v>
      </c>
      <c r="W4115" s="2" t="s">
        <v>240</v>
      </c>
      <c r="X4115" s="2" t="s">
        <v>59</v>
      </c>
      <c r="Y4115" s="2">
        <v>50.1</v>
      </c>
      <c r="Z4115" s="2">
        <v>55.6</v>
      </c>
      <c r="AA4115" s="2" t="s">
        <v>122</v>
      </c>
      <c r="AB4115" s="2" t="s">
        <v>27144</v>
      </c>
      <c r="AC4115" s="2">
        <v>5.3040364172377702E-2</v>
      </c>
      <c r="AD4115" s="2"/>
      <c r="AE4115" s="2">
        <v>0.11523372199633999</v>
      </c>
      <c r="AF4115" s="2">
        <v>1150.7172841310801</v>
      </c>
      <c r="AG4115" s="2">
        <v>313.88045563770498</v>
      </c>
      <c r="AH4115" s="5">
        <v>3.6661004642458299</v>
      </c>
      <c r="AI4115" s="5">
        <v>1.8742463214160701</v>
      </c>
      <c r="AJ4115" s="5" t="s">
        <v>139</v>
      </c>
      <c r="AK4115" s="2">
        <v>0.48958459329480702</v>
      </c>
      <c r="AL4115" s="2">
        <v>0.73154848154225005</v>
      </c>
      <c r="AM4115" s="2">
        <v>8.559877937157E-6</v>
      </c>
      <c r="AN4115" s="2">
        <v>6779.6925977540805</v>
      </c>
      <c r="AO4115" s="2">
        <v>8.559877937157E-6</v>
      </c>
      <c r="AP4115" s="2">
        <v>8.559877937157E-6</v>
      </c>
      <c r="AQ4115" s="2">
        <v>27.1462034759614</v>
      </c>
      <c r="AR4115" s="2">
        <v>97.464877876824005</v>
      </c>
      <c r="AS4115" s="2">
        <v>8.559877937157E-6</v>
      </c>
      <c r="AT4115" s="2">
        <v>15.567539961423</v>
      </c>
      <c r="AU4115" s="2">
        <v>26.864571529642902</v>
      </c>
      <c r="AV4115" s="2">
        <v>8.559877937157E-6</v>
      </c>
      <c r="AW4115" s="2">
        <v>1840.8505966555299</v>
      </c>
      <c r="AX4115" s="2">
        <v>8.559877937157E-6</v>
      </c>
    </row>
    <row r="4116" spans="1:50" x14ac:dyDescent="0.25">
      <c r="A4116" s="2" t="s">
        <v>27145</v>
      </c>
      <c r="B4116" s="2">
        <v>328.16224038425401</v>
      </c>
      <c r="C4116" s="2">
        <v>8.9220833333333296</v>
      </c>
      <c r="D4116" s="2" t="s">
        <v>51</v>
      </c>
      <c r="E4116" s="2" t="s">
        <v>27146</v>
      </c>
      <c r="F4116" s="2">
        <v>207554</v>
      </c>
      <c r="G4116" s="3" t="str">
        <f>HYPERLINK("https://cloud.oebiotech.com/#/lm/network/207554", "https://cloud.oebiotech.com/#/lm/network/207554")</f>
        <v>https://cloud.oebiotech.com/#/lm/network/207554</v>
      </c>
      <c r="H4116" s="2" t="s">
        <v>27147</v>
      </c>
      <c r="I4116" s="2"/>
      <c r="J4116" s="2"/>
      <c r="K4116" s="2">
        <v>435717</v>
      </c>
      <c r="L4116" s="2"/>
      <c r="M4116" s="2"/>
      <c r="N4116" s="2"/>
      <c r="O4116" s="2"/>
      <c r="P4116" s="2"/>
      <c r="Q4116" s="2"/>
      <c r="R4116" s="2"/>
      <c r="S4116" s="2" t="s">
        <v>27148</v>
      </c>
      <c r="T4116" s="2" t="s">
        <v>27149</v>
      </c>
      <c r="U4116" s="2" t="s">
        <v>103</v>
      </c>
      <c r="V4116" s="2" t="s">
        <v>104</v>
      </c>
      <c r="W4116" s="2" t="s">
        <v>105</v>
      </c>
      <c r="X4116" s="2" t="s">
        <v>147</v>
      </c>
      <c r="Y4116" s="2">
        <v>36.799999999999997</v>
      </c>
      <c r="Z4116" s="2">
        <v>0</v>
      </c>
      <c r="AA4116" s="2" t="s">
        <v>218</v>
      </c>
      <c r="AB4116" s="2" t="s">
        <v>27150</v>
      </c>
      <c r="AC4116" s="2">
        <v>-1.4198177442584601</v>
      </c>
      <c r="AD4116" s="2"/>
      <c r="AE4116" s="2">
        <v>0.115174554046195</v>
      </c>
      <c r="AF4116" s="2">
        <v>675.59283626621198</v>
      </c>
      <c r="AG4116" s="2">
        <v>1756.2071689131201</v>
      </c>
      <c r="AH4116" s="4">
        <v>0.38468857673797202</v>
      </c>
      <c r="AI4116" s="4">
        <v>-1.3782371052012801</v>
      </c>
      <c r="AJ4116" s="4" t="s">
        <v>62</v>
      </c>
      <c r="AK4116" s="2">
        <v>0.31610439783190802</v>
      </c>
      <c r="AL4116" s="2">
        <v>0.62473761981625797</v>
      </c>
      <c r="AM4116" s="2">
        <v>404.89948990799599</v>
      </c>
      <c r="AN4116" s="2">
        <v>769.08007145501995</v>
      </c>
      <c r="AO4116" s="2">
        <v>493.16898272559501</v>
      </c>
      <c r="AP4116" s="2">
        <v>570.70705402937301</v>
      </c>
      <c r="AQ4116" s="2">
        <v>120.723124633436</v>
      </c>
      <c r="AR4116" s="2">
        <v>1694.9782948458501</v>
      </c>
      <c r="AS4116" s="2">
        <v>2646.8519588254399</v>
      </c>
      <c r="AT4116" s="2">
        <v>6265.7789206315801</v>
      </c>
      <c r="AU4116" s="2">
        <v>8.559877937157E-6</v>
      </c>
      <c r="AV4116" s="2">
        <v>8.559877937157E-6</v>
      </c>
      <c r="AW4116" s="2">
        <v>1483.7192904210599</v>
      </c>
      <c r="AX4116" s="2">
        <v>140.89282648090099</v>
      </c>
    </row>
    <row r="4117" spans="1:50" x14ac:dyDescent="0.25">
      <c r="A4117" s="2" t="s">
        <v>27151</v>
      </c>
      <c r="B4117" s="2">
        <v>189.07607225037</v>
      </c>
      <c r="C4117" s="2">
        <v>3.84053333333333</v>
      </c>
      <c r="D4117" s="2" t="s">
        <v>51</v>
      </c>
      <c r="E4117" s="2" t="s">
        <v>27152</v>
      </c>
      <c r="F4117" s="2">
        <v>47755</v>
      </c>
      <c r="G4117" s="3" t="str">
        <f>HYPERLINK("https://cloud.oebiotech.com/#/lm/network/47755", "https://cloud.oebiotech.com/#/lm/network/47755")</f>
        <v>https://cloud.oebiotech.com/#/lm/network/47755</v>
      </c>
      <c r="H4117" s="2" t="s">
        <v>27153</v>
      </c>
      <c r="I4117" s="2">
        <v>44761</v>
      </c>
      <c r="J4117" s="2"/>
      <c r="K4117" s="2">
        <v>151138</v>
      </c>
      <c r="L4117" s="2"/>
      <c r="M4117" s="2"/>
      <c r="N4117" s="2"/>
      <c r="O4117" s="2">
        <v>16817</v>
      </c>
      <c r="P4117" s="2"/>
      <c r="Q4117" s="2"/>
      <c r="R4117" s="2" t="s">
        <v>27154</v>
      </c>
      <c r="S4117" s="2" t="s">
        <v>27155</v>
      </c>
      <c r="T4117" s="2" t="s">
        <v>27156</v>
      </c>
      <c r="U4117" s="2" t="s">
        <v>331</v>
      </c>
      <c r="V4117" s="2" t="s">
        <v>332</v>
      </c>
      <c r="W4117" s="2" t="s">
        <v>519</v>
      </c>
      <c r="X4117" s="2" t="s">
        <v>83</v>
      </c>
      <c r="Y4117" s="2">
        <v>42.7</v>
      </c>
      <c r="Z4117" s="2">
        <v>0</v>
      </c>
      <c r="AA4117" s="2" t="s">
        <v>218</v>
      </c>
      <c r="AB4117" s="2" t="s">
        <v>26379</v>
      </c>
      <c r="AC4117" s="2">
        <v>-5.3780569255428397</v>
      </c>
      <c r="AD4117" s="2"/>
      <c r="AE4117" s="2">
        <v>0.11516555746016401</v>
      </c>
      <c r="AF4117" s="2">
        <v>1036.0160316168301</v>
      </c>
      <c r="AG4117" s="2">
        <v>667.26524387869495</v>
      </c>
      <c r="AH4117" s="5">
        <v>1.5526299940255499</v>
      </c>
      <c r="AI4117" s="5">
        <v>0.63471406321858403</v>
      </c>
      <c r="AJ4117" s="5" t="s">
        <v>139</v>
      </c>
      <c r="AK4117" s="2">
        <v>0.13800921741375599</v>
      </c>
      <c r="AL4117" s="2">
        <v>0.458819266663407</v>
      </c>
      <c r="AM4117" s="2">
        <v>1694.6532536218001</v>
      </c>
      <c r="AN4117" s="2">
        <v>1422.43772396088</v>
      </c>
      <c r="AO4117" s="2">
        <v>512.17799598258705</v>
      </c>
      <c r="AP4117" s="2">
        <v>680.17522694031902</v>
      </c>
      <c r="AQ4117" s="2">
        <v>931.44832573484496</v>
      </c>
      <c r="AR4117" s="2">
        <v>975.20366346057403</v>
      </c>
      <c r="AS4117" s="2">
        <v>877.48052608754006</v>
      </c>
      <c r="AT4117" s="2">
        <v>343.07668422879402</v>
      </c>
      <c r="AU4117" s="2">
        <v>933.09702082616798</v>
      </c>
      <c r="AV4117" s="2">
        <v>182.721912501632</v>
      </c>
      <c r="AW4117" s="2">
        <v>659.36017558468404</v>
      </c>
      <c r="AX4117" s="2">
        <v>1007.85514404335</v>
      </c>
    </row>
    <row r="4118" spans="1:50" x14ac:dyDescent="0.25">
      <c r="A4118" s="2" t="s">
        <v>27157</v>
      </c>
      <c r="B4118" s="2">
        <v>251.200865170329</v>
      </c>
      <c r="C4118" s="2">
        <v>10.073</v>
      </c>
      <c r="D4118" s="2" t="s">
        <v>51</v>
      </c>
      <c r="E4118" s="2" t="s">
        <v>27158</v>
      </c>
      <c r="F4118" s="2">
        <v>7913</v>
      </c>
      <c r="G4118" s="3" t="str">
        <f>HYPERLINK("https://cloud.oebiotech.com/#/lm/network/7913", "https://cloud.oebiotech.com/#/lm/network/7913")</f>
        <v>https://cloud.oebiotech.com/#/lm/network/7913</v>
      </c>
      <c r="H4118" s="2"/>
      <c r="I4118" s="2"/>
      <c r="J4118" s="2" t="s">
        <v>27159</v>
      </c>
      <c r="K4118" s="2">
        <v>135338051</v>
      </c>
      <c r="L4118" s="2"/>
      <c r="M4118" s="2"/>
      <c r="N4118" s="2"/>
      <c r="O4118" s="2"/>
      <c r="P4118" s="2"/>
      <c r="Q4118" s="2"/>
      <c r="R4118" s="2"/>
      <c r="S4118" s="2" t="s">
        <v>27160</v>
      </c>
      <c r="T4118" s="2" t="s">
        <v>27161</v>
      </c>
      <c r="U4118" s="2" t="s">
        <v>540</v>
      </c>
      <c r="V4118" s="2" t="s">
        <v>563</v>
      </c>
      <c r="W4118" s="2" t="s">
        <v>240</v>
      </c>
      <c r="X4118" s="2" t="s">
        <v>83</v>
      </c>
      <c r="Y4118" s="2">
        <v>40.5</v>
      </c>
      <c r="Z4118" s="2">
        <v>0</v>
      </c>
      <c r="AA4118" s="2" t="s">
        <v>156</v>
      </c>
      <c r="AB4118" s="2" t="s">
        <v>16880</v>
      </c>
      <c r="AC4118" s="2">
        <v>1.1508548241718199</v>
      </c>
      <c r="AD4118" s="2"/>
      <c r="AE4118" s="2">
        <v>0.114909896552464</v>
      </c>
      <c r="AF4118" s="2">
        <v>1591.4086665469199</v>
      </c>
      <c r="AG4118" s="2">
        <v>1196.76735438931</v>
      </c>
      <c r="AH4118" s="5">
        <v>1.3297560805867701</v>
      </c>
      <c r="AI4118" s="5">
        <v>0.41116163399653599</v>
      </c>
      <c r="AJ4118" s="5" t="s">
        <v>139</v>
      </c>
      <c r="AK4118" s="2">
        <v>0.43608832084758298</v>
      </c>
      <c r="AL4118" s="2">
        <v>0.693559164444709</v>
      </c>
      <c r="AM4118" s="2">
        <v>3960.4837632942699</v>
      </c>
      <c r="AN4118" s="2">
        <v>1254.4809020494699</v>
      </c>
      <c r="AO4118" s="2">
        <v>893.49782365002704</v>
      </c>
      <c r="AP4118" s="2">
        <v>1230.1227933405801</v>
      </c>
      <c r="AQ4118" s="2">
        <v>1379.29073586703</v>
      </c>
      <c r="AR4118" s="2">
        <v>830.57598108013201</v>
      </c>
      <c r="AS4118" s="2">
        <v>948.59903232572594</v>
      </c>
      <c r="AT4118" s="2">
        <v>1317.1842111165599</v>
      </c>
      <c r="AU4118" s="2">
        <v>1320.4900982469801</v>
      </c>
      <c r="AV4118" s="2">
        <v>1261.28865832819</v>
      </c>
      <c r="AW4118" s="2">
        <v>1036.3534803735399</v>
      </c>
      <c r="AX4118" s="2">
        <v>1296.6886459448499</v>
      </c>
    </row>
    <row r="4119" spans="1:50" x14ac:dyDescent="0.25">
      <c r="A4119" s="2" t="s">
        <v>27162</v>
      </c>
      <c r="B4119" s="2">
        <v>457.17960742862698</v>
      </c>
      <c r="C4119" s="2">
        <v>12.4242833333333</v>
      </c>
      <c r="D4119" s="2" t="s">
        <v>51</v>
      </c>
      <c r="E4119" s="2" t="s">
        <v>27163</v>
      </c>
      <c r="F4119" s="2">
        <v>52915</v>
      </c>
      <c r="G4119" s="3" t="str">
        <f>HYPERLINK("https://cloud.oebiotech.com/#/lm/network/52915", "https://cloud.oebiotech.com/#/lm/network/52915")</f>
        <v>https://cloud.oebiotech.com/#/lm/network/52915</v>
      </c>
      <c r="H4119" s="2" t="s">
        <v>27164</v>
      </c>
      <c r="I4119" s="2">
        <v>85405</v>
      </c>
      <c r="J4119" s="2"/>
      <c r="K4119" s="2">
        <v>6436135</v>
      </c>
      <c r="L4119" s="2"/>
      <c r="M4119" s="2"/>
      <c r="N4119" s="2"/>
      <c r="O4119" s="2">
        <v>126598</v>
      </c>
      <c r="P4119" s="2"/>
      <c r="Q4119" s="2"/>
      <c r="R4119" s="2" t="s">
        <v>27165</v>
      </c>
      <c r="S4119" s="2" t="s">
        <v>27166</v>
      </c>
      <c r="T4119" s="2" t="s">
        <v>27167</v>
      </c>
      <c r="U4119" s="2" t="s">
        <v>610</v>
      </c>
      <c r="V4119" s="2" t="s">
        <v>611</v>
      </c>
      <c r="W4119" s="2" t="s">
        <v>1267</v>
      </c>
      <c r="X4119" s="2" t="s">
        <v>147</v>
      </c>
      <c r="Y4119" s="2">
        <v>37</v>
      </c>
      <c r="Z4119" s="2">
        <v>0</v>
      </c>
      <c r="AA4119" s="2" t="s">
        <v>218</v>
      </c>
      <c r="AB4119" s="2" t="s">
        <v>27168</v>
      </c>
      <c r="AC4119" s="2">
        <v>-1.59931173954143</v>
      </c>
      <c r="AD4119" s="2"/>
      <c r="AE4119" s="2">
        <v>0.11481618442201599</v>
      </c>
      <c r="AF4119" s="2">
        <v>1019.14362458944</v>
      </c>
      <c r="AG4119" s="2">
        <v>534.30274916885298</v>
      </c>
      <c r="AH4119" s="5">
        <v>1.9074272520116999</v>
      </c>
      <c r="AI4119" s="5">
        <v>0.93162803469369704</v>
      </c>
      <c r="AJ4119" s="5" t="s">
        <v>139</v>
      </c>
      <c r="AK4119" s="2">
        <v>0.112761891465815</v>
      </c>
      <c r="AL4119" s="2">
        <v>0.42668564976798301</v>
      </c>
      <c r="AM4119" s="2">
        <v>730.16850551285904</v>
      </c>
      <c r="AN4119" s="2">
        <v>565.82891391410305</v>
      </c>
      <c r="AO4119" s="2">
        <v>1849.2499772563599</v>
      </c>
      <c r="AP4119" s="2">
        <v>777.82630416907205</v>
      </c>
      <c r="AQ4119" s="2">
        <v>1724.64457099472</v>
      </c>
      <c r="AR4119" s="2">
        <v>467.14347568952797</v>
      </c>
      <c r="AS4119" s="2">
        <v>1006.39563583582</v>
      </c>
      <c r="AT4119" s="2">
        <v>444.81023894525498</v>
      </c>
      <c r="AU4119" s="2">
        <v>842.88127363154194</v>
      </c>
      <c r="AV4119" s="2">
        <v>278.32584632766202</v>
      </c>
      <c r="AW4119" s="2">
        <v>252.31668965578601</v>
      </c>
      <c r="AX4119" s="2">
        <v>381.08681061704999</v>
      </c>
    </row>
    <row r="4120" spans="1:50" x14ac:dyDescent="0.25">
      <c r="A4120" s="2" t="s">
        <v>27169</v>
      </c>
      <c r="B4120" s="2">
        <v>269.11336046647898</v>
      </c>
      <c r="C4120" s="2">
        <v>8.3552166666666707</v>
      </c>
      <c r="D4120" s="2" t="s">
        <v>51</v>
      </c>
      <c r="E4120" s="2" t="s">
        <v>27170</v>
      </c>
      <c r="F4120" s="2">
        <v>61630</v>
      </c>
      <c r="G4120" s="3" t="str">
        <f>HYPERLINK("https://cloud.oebiotech.com/#/lm/network/61630", "https://cloud.oebiotech.com/#/lm/network/61630")</f>
        <v>https://cloud.oebiotech.com/#/lm/network/61630</v>
      </c>
      <c r="H4120" s="2" t="s">
        <v>27171</v>
      </c>
      <c r="I4120" s="2"/>
      <c r="J4120" s="2"/>
      <c r="K4120" s="2">
        <v>75144776</v>
      </c>
      <c r="L4120" s="2" t="s">
        <v>27172</v>
      </c>
      <c r="M4120" s="2"/>
      <c r="N4120" s="2"/>
      <c r="O4120" s="2"/>
      <c r="P4120" s="2"/>
      <c r="Q4120" s="2"/>
      <c r="R4120" s="2" t="s">
        <v>27173</v>
      </c>
      <c r="S4120" s="2" t="s">
        <v>27174</v>
      </c>
      <c r="T4120" s="2" t="s">
        <v>27175</v>
      </c>
      <c r="U4120" s="2" t="s">
        <v>56</v>
      </c>
      <c r="V4120" s="2" t="s">
        <v>177</v>
      </c>
      <c r="W4120" s="2" t="s">
        <v>1996</v>
      </c>
      <c r="X4120" s="2" t="s">
        <v>83</v>
      </c>
      <c r="Y4120" s="2">
        <v>45.1</v>
      </c>
      <c r="Z4120" s="2">
        <v>0</v>
      </c>
      <c r="AA4120" s="2" t="s">
        <v>95</v>
      </c>
      <c r="AB4120" s="2" t="s">
        <v>18871</v>
      </c>
      <c r="AC4120" s="2">
        <v>-5.9101917618358497</v>
      </c>
      <c r="AD4120" s="2"/>
      <c r="AE4120" s="2">
        <v>0.114783131205445</v>
      </c>
      <c r="AF4120" s="2">
        <v>1207.7255451196299</v>
      </c>
      <c r="AG4120" s="2">
        <v>815.37206248095094</v>
      </c>
      <c r="AH4120" s="5">
        <v>1.48119564146564</v>
      </c>
      <c r="AI4120" s="5">
        <v>0.56676220938509903</v>
      </c>
      <c r="AJ4120" s="5" t="s">
        <v>139</v>
      </c>
      <c r="AK4120" s="2">
        <v>6.0569736559907598E-2</v>
      </c>
      <c r="AL4120" s="2">
        <v>0.33204778482206299</v>
      </c>
      <c r="AM4120" s="2">
        <v>1192.68297766756</v>
      </c>
      <c r="AN4120" s="2">
        <v>1680.5083188025001</v>
      </c>
      <c r="AO4120" s="2">
        <v>1288.7886243917301</v>
      </c>
      <c r="AP4120" s="2">
        <v>864.89521886477905</v>
      </c>
      <c r="AQ4120" s="2">
        <v>694.38267208921104</v>
      </c>
      <c r="AR4120" s="2">
        <v>1525.095458902</v>
      </c>
      <c r="AS4120" s="2">
        <v>789.43434249112101</v>
      </c>
      <c r="AT4120" s="2">
        <v>724.277323377691</v>
      </c>
      <c r="AU4120" s="2">
        <v>656.81820914622995</v>
      </c>
      <c r="AV4120" s="2">
        <v>1212.6482871375399</v>
      </c>
      <c r="AW4120" s="2">
        <v>508.20460025218398</v>
      </c>
      <c r="AX4120" s="2">
        <v>1000.84961248094</v>
      </c>
    </row>
    <row r="4121" spans="1:50" x14ac:dyDescent="0.25">
      <c r="A4121" s="2" t="s">
        <v>27176</v>
      </c>
      <c r="B4121" s="2">
        <v>159.10169769963099</v>
      </c>
      <c r="C4121" s="2">
        <v>6.3968333333333298</v>
      </c>
      <c r="D4121" s="2" t="s">
        <v>51</v>
      </c>
      <c r="E4121" s="2" t="s">
        <v>27177</v>
      </c>
      <c r="F4121" s="2">
        <v>1828</v>
      </c>
      <c r="G4121" s="3" t="str">
        <f>HYPERLINK("https://cloud.oebiotech.com/#/lm/network/1828", "https://cloud.oebiotech.com/#/lm/network/1828")</f>
        <v>https://cloud.oebiotech.com/#/lm/network/1828</v>
      </c>
      <c r="H4121" s="2" t="s">
        <v>27178</v>
      </c>
      <c r="I4121" s="2">
        <v>6582</v>
      </c>
      <c r="J4121" s="2" t="s">
        <v>27179</v>
      </c>
      <c r="K4121" s="2">
        <v>5312860</v>
      </c>
      <c r="L4121" s="2"/>
      <c r="M4121" s="2"/>
      <c r="N4121" s="2"/>
      <c r="O4121" s="2"/>
      <c r="P4121" s="2"/>
      <c r="Q4121" s="2"/>
      <c r="R4121" s="2" t="s">
        <v>27180</v>
      </c>
      <c r="S4121" s="2" t="s">
        <v>27181</v>
      </c>
      <c r="T4121" s="2" t="s">
        <v>27182</v>
      </c>
      <c r="U4121" s="2" t="s">
        <v>56</v>
      </c>
      <c r="V4121" s="2" t="s">
        <v>145</v>
      </c>
      <c r="W4121" s="2" t="s">
        <v>231</v>
      </c>
      <c r="X4121" s="2" t="s">
        <v>83</v>
      </c>
      <c r="Y4121" s="2">
        <v>41.9</v>
      </c>
      <c r="Z4121" s="2">
        <v>0</v>
      </c>
      <c r="AA4121" s="2" t="s">
        <v>163</v>
      </c>
      <c r="AB4121" s="2" t="s">
        <v>23748</v>
      </c>
      <c r="AC4121" s="2">
        <v>-6.05983702735295</v>
      </c>
      <c r="AD4121" s="2"/>
      <c r="AE4121" s="2">
        <v>0.114729143176403</v>
      </c>
      <c r="AF4121" s="2">
        <v>4308.51948993101</v>
      </c>
      <c r="AG4121" s="2">
        <v>5018.8743166016502</v>
      </c>
      <c r="AH4121" s="4">
        <v>0.85846331630164596</v>
      </c>
      <c r="AI4121" s="4">
        <v>-0.220171608324993</v>
      </c>
      <c r="AJ4121" s="4" t="s">
        <v>62</v>
      </c>
      <c r="AK4121" s="2">
        <v>0.40584666174945699</v>
      </c>
      <c r="AL4121" s="2">
        <v>0.67216736447411196</v>
      </c>
      <c r="AM4121" s="2">
        <v>2240.5453800371902</v>
      </c>
      <c r="AN4121" s="2">
        <v>5106.0236789807404</v>
      </c>
      <c r="AO4121" s="2">
        <v>4824.3605879233801</v>
      </c>
      <c r="AP4121" s="2">
        <v>4627.1355889173401</v>
      </c>
      <c r="AQ4121" s="2">
        <v>4069.0291345784099</v>
      </c>
      <c r="AR4121" s="2">
        <v>4984.0225691489904</v>
      </c>
      <c r="AS4121" s="2">
        <v>3954.7625892332799</v>
      </c>
      <c r="AT4121" s="2">
        <v>4365.6434019506596</v>
      </c>
      <c r="AU4121" s="2">
        <v>7196.59078214686</v>
      </c>
      <c r="AV4121" s="2">
        <v>4714.4098251639198</v>
      </c>
      <c r="AW4121" s="2">
        <v>6928.5690422139596</v>
      </c>
      <c r="AX4121" s="2">
        <v>2953.2702589012101</v>
      </c>
    </row>
    <row r="4122" spans="1:50" x14ac:dyDescent="0.25">
      <c r="A4122" s="2" t="s">
        <v>27183</v>
      </c>
      <c r="B4122" s="2">
        <v>313.22923172589299</v>
      </c>
      <c r="C4122" s="2">
        <v>10.514200000000001</v>
      </c>
      <c r="D4122" s="2" t="s">
        <v>51</v>
      </c>
      <c r="E4122" s="2" t="s">
        <v>27184</v>
      </c>
      <c r="F4122" s="2">
        <v>514312</v>
      </c>
      <c r="G4122" s="3" t="str">
        <f>HYPERLINK("https://cloud.oebiotech.com/#/lm/network/514312", "https://cloud.oebiotech.com/#/lm/network/514312")</f>
        <v>https://cloud.oebiotech.com/#/lm/network/514312</v>
      </c>
      <c r="H4122" s="2"/>
      <c r="I4122" s="2">
        <v>96377</v>
      </c>
      <c r="J4122" s="2"/>
      <c r="K4122" s="2">
        <v>53381675</v>
      </c>
      <c r="L4122" s="2"/>
      <c r="M4122" s="2"/>
      <c r="N4122" s="2"/>
      <c r="O4122" s="2"/>
      <c r="P4122" s="2"/>
      <c r="Q4122" s="2"/>
      <c r="R4122" s="2"/>
      <c r="S4122" s="2" t="s">
        <v>27185</v>
      </c>
      <c r="T4122" s="2" t="s">
        <v>27186</v>
      </c>
      <c r="U4122" s="2" t="s">
        <v>331</v>
      </c>
      <c r="V4122" s="2" t="s">
        <v>332</v>
      </c>
      <c r="W4122" s="2" t="s">
        <v>1207</v>
      </c>
      <c r="X4122" s="2" t="s">
        <v>147</v>
      </c>
      <c r="Y4122" s="2">
        <v>39.5</v>
      </c>
      <c r="Z4122" s="2">
        <v>0</v>
      </c>
      <c r="AA4122" s="2" t="s">
        <v>478</v>
      </c>
      <c r="AB4122" s="2" t="s">
        <v>27187</v>
      </c>
      <c r="AC4122" s="2">
        <v>0.28102188989606097</v>
      </c>
      <c r="AD4122" s="2"/>
      <c r="AE4122" s="2">
        <v>0.114671373489692</v>
      </c>
      <c r="AF4122" s="2">
        <v>1595.53754999497</v>
      </c>
      <c r="AG4122" s="2">
        <v>1003.65044219294</v>
      </c>
      <c r="AH4122" s="5">
        <v>1.58973431676947</v>
      </c>
      <c r="AI4122" s="5">
        <v>0.66878567626012597</v>
      </c>
      <c r="AJ4122" s="5" t="s">
        <v>139</v>
      </c>
      <c r="AK4122" s="2">
        <v>0.23371808874146199</v>
      </c>
      <c r="AL4122" s="2">
        <v>0.55905894152218505</v>
      </c>
      <c r="AM4122" s="2">
        <v>1228.4551383107701</v>
      </c>
      <c r="AN4122" s="2">
        <v>1249.35630960616</v>
      </c>
      <c r="AO4122" s="2">
        <v>3371.36825795408</v>
      </c>
      <c r="AP4122" s="2">
        <v>596.48201334822102</v>
      </c>
      <c r="AQ4122" s="2">
        <v>1983.5812983416099</v>
      </c>
      <c r="AR4122" s="2">
        <v>1143.9822824089799</v>
      </c>
      <c r="AS4122" s="2">
        <v>1995.4606536736301</v>
      </c>
      <c r="AT4122" s="2">
        <v>920.85260612017203</v>
      </c>
      <c r="AU4122" s="2">
        <v>810.18219653673304</v>
      </c>
      <c r="AV4122" s="2">
        <v>1334.54269218025</v>
      </c>
      <c r="AW4122" s="2">
        <v>700.46405536868303</v>
      </c>
      <c r="AX4122" s="2">
        <v>260.40044927817797</v>
      </c>
    </row>
    <row r="4123" spans="1:50" x14ac:dyDescent="0.25">
      <c r="A4123" s="2" t="s">
        <v>27188</v>
      </c>
      <c r="B4123" s="2">
        <v>481.35354881789902</v>
      </c>
      <c r="C4123" s="2">
        <v>10.926083333333301</v>
      </c>
      <c r="D4123" s="2" t="s">
        <v>51</v>
      </c>
      <c r="E4123" s="2" t="s">
        <v>27189</v>
      </c>
      <c r="F4123" s="2">
        <v>46409</v>
      </c>
      <c r="G4123" s="3" t="str">
        <f>HYPERLINK("https://cloud.oebiotech.com/#/lm/network/46409", "https://cloud.oebiotech.com/#/lm/network/46409")</f>
        <v>https://cloud.oebiotech.com/#/lm/network/46409</v>
      </c>
      <c r="H4123" s="2"/>
      <c r="I4123" s="2">
        <v>84829</v>
      </c>
      <c r="J4123" s="2" t="s">
        <v>27190</v>
      </c>
      <c r="K4123" s="2">
        <v>5284256</v>
      </c>
      <c r="L4123" s="2"/>
      <c r="M4123" s="2"/>
      <c r="N4123" s="2"/>
      <c r="O4123" s="2"/>
      <c r="P4123" s="2"/>
      <c r="Q4123" s="2"/>
      <c r="R4123" s="2"/>
      <c r="S4123" s="2" t="s">
        <v>27191</v>
      </c>
      <c r="T4123" s="2" t="s">
        <v>27192</v>
      </c>
      <c r="U4123" s="2" t="s">
        <v>56</v>
      </c>
      <c r="V4123" s="2" t="s">
        <v>283</v>
      </c>
      <c r="W4123" s="2" t="s">
        <v>2042</v>
      </c>
      <c r="X4123" s="2" t="s">
        <v>83</v>
      </c>
      <c r="Y4123" s="2">
        <v>46.6</v>
      </c>
      <c r="Z4123" s="2">
        <v>0</v>
      </c>
      <c r="AA4123" s="2" t="s">
        <v>218</v>
      </c>
      <c r="AB4123" s="2" t="s">
        <v>13755</v>
      </c>
      <c r="AC4123" s="2">
        <v>0.19692738167965501</v>
      </c>
      <c r="AD4123" s="2"/>
      <c r="AE4123" s="2">
        <v>0.114649958675678</v>
      </c>
      <c r="AF4123" s="2">
        <v>3581.8660173392</v>
      </c>
      <c r="AG4123" s="2">
        <v>2740.4950041457801</v>
      </c>
      <c r="AH4123" s="5">
        <v>1.30701424812693</v>
      </c>
      <c r="AI4123" s="5">
        <v>0.38627486844016701</v>
      </c>
      <c r="AJ4123" s="5" t="s">
        <v>139</v>
      </c>
      <c r="AK4123" s="2">
        <v>0.51397501879528895</v>
      </c>
      <c r="AL4123" s="2">
        <v>0.74681098545952795</v>
      </c>
      <c r="AM4123" s="2">
        <v>5378.1494375367101</v>
      </c>
      <c r="AN4123" s="2">
        <v>3389.45200183726</v>
      </c>
      <c r="AO4123" s="2">
        <v>2515.86424511102</v>
      </c>
      <c r="AP4123" s="2">
        <v>5869.9779124520601</v>
      </c>
      <c r="AQ4123" s="2">
        <v>3014.0553298190298</v>
      </c>
      <c r="AR4123" s="2">
        <v>1323.6971772791101</v>
      </c>
      <c r="AS4123" s="2">
        <v>347.60715161199897</v>
      </c>
      <c r="AT4123" s="2">
        <v>4688.3113944817496</v>
      </c>
      <c r="AU4123" s="2">
        <v>1271.7757237394901</v>
      </c>
      <c r="AV4123" s="2">
        <v>8.559877937157E-6</v>
      </c>
      <c r="AW4123" s="2">
        <v>5876.4648132269704</v>
      </c>
      <c r="AX4123" s="2">
        <v>4258.8109332546201</v>
      </c>
    </row>
    <row r="4124" spans="1:50" x14ac:dyDescent="0.25">
      <c r="A4124" s="2" t="s">
        <v>27193</v>
      </c>
      <c r="B4124" s="2">
        <v>355.24950113201203</v>
      </c>
      <c r="C4124" s="2">
        <v>6.75875</v>
      </c>
      <c r="D4124" s="2" t="s">
        <v>51</v>
      </c>
      <c r="E4124" s="2" t="s">
        <v>27194</v>
      </c>
      <c r="F4124" s="2">
        <v>266956</v>
      </c>
      <c r="G4124" s="3" t="str">
        <f>HYPERLINK("https://cloud.oebiotech.com/#/lm/network/266956", "https://cloud.oebiotech.com/#/lm/network/266956")</f>
        <v>https://cloud.oebiotech.com/#/lm/network/266956</v>
      </c>
      <c r="H4124" s="2"/>
      <c r="I4124" s="2">
        <v>44390</v>
      </c>
      <c r="J4124" s="2"/>
      <c r="K4124" s="2">
        <v>7061097</v>
      </c>
      <c r="L4124" s="2"/>
      <c r="M4124" s="2"/>
      <c r="N4124" s="2"/>
      <c r="O4124" s="2"/>
      <c r="P4124" s="2"/>
      <c r="Q4124" s="2"/>
      <c r="R4124" s="2" t="s">
        <v>27195</v>
      </c>
      <c r="S4124" s="2" t="s">
        <v>27196</v>
      </c>
      <c r="T4124" s="2" t="s">
        <v>27197</v>
      </c>
      <c r="U4124" s="2" t="s">
        <v>56</v>
      </c>
      <c r="V4124" s="2" t="s">
        <v>177</v>
      </c>
      <c r="W4124" s="2" t="s">
        <v>178</v>
      </c>
      <c r="X4124" s="2" t="s">
        <v>83</v>
      </c>
      <c r="Y4124" s="2">
        <v>45.5</v>
      </c>
      <c r="Z4124" s="2">
        <v>0</v>
      </c>
      <c r="AA4124" s="2" t="s">
        <v>163</v>
      </c>
      <c r="AB4124" s="2" t="s">
        <v>6303</v>
      </c>
      <c r="AC4124" s="2">
        <v>1.41277986784514</v>
      </c>
      <c r="AD4124" s="2"/>
      <c r="AE4124" s="2">
        <v>0.114618830055288</v>
      </c>
      <c r="AF4124" s="2">
        <v>1427.73599608067</v>
      </c>
      <c r="AG4124" s="2">
        <v>987.44072189486803</v>
      </c>
      <c r="AH4124" s="5">
        <v>1.44589539850138</v>
      </c>
      <c r="AI4124" s="5">
        <v>0.53196318609136595</v>
      </c>
      <c r="AJ4124" s="5" t="s">
        <v>139</v>
      </c>
      <c r="AK4124" s="2">
        <v>0.39650572482003099</v>
      </c>
      <c r="AL4124" s="2">
        <v>0.66752996494649497</v>
      </c>
      <c r="AM4124" s="2">
        <v>3141.3457087684901</v>
      </c>
      <c r="AN4124" s="2">
        <v>1476.5345116785099</v>
      </c>
      <c r="AO4124" s="2">
        <v>973.04273222510199</v>
      </c>
      <c r="AP4124" s="2">
        <v>1310.4187739947099</v>
      </c>
      <c r="AQ4124" s="2">
        <v>696.61602021600004</v>
      </c>
      <c r="AR4124" s="2">
        <v>968.45822960122302</v>
      </c>
      <c r="AS4124" s="2">
        <v>384.68696190670403</v>
      </c>
      <c r="AT4124" s="2">
        <v>45.954522850534701</v>
      </c>
      <c r="AU4124" s="2">
        <v>2487.1017134662302</v>
      </c>
      <c r="AV4124" s="2">
        <v>937.48904551594205</v>
      </c>
      <c r="AW4124" s="2">
        <v>1013.5361578299101</v>
      </c>
      <c r="AX4124" s="2">
        <v>1055.8759297998899</v>
      </c>
    </row>
    <row r="4125" spans="1:50" x14ac:dyDescent="0.25">
      <c r="A4125" s="2" t="s">
        <v>27198</v>
      </c>
      <c r="B4125" s="2">
        <v>297.22246080184499</v>
      </c>
      <c r="C4125" s="2">
        <v>11.528283333333301</v>
      </c>
      <c r="D4125" s="2" t="s">
        <v>51</v>
      </c>
      <c r="E4125" s="2" t="s">
        <v>27199</v>
      </c>
      <c r="F4125" s="2">
        <v>44983</v>
      </c>
      <c r="G4125" s="3" t="str">
        <f>HYPERLINK("https://cloud.oebiotech.com/#/lm/network/44983", "https://cloud.oebiotech.com/#/lm/network/44983")</f>
        <v>https://cloud.oebiotech.com/#/lm/network/44983</v>
      </c>
      <c r="H4125" s="2" t="s">
        <v>27200</v>
      </c>
      <c r="I4125" s="2">
        <v>24078</v>
      </c>
      <c r="J4125" s="2" t="s">
        <v>27201</v>
      </c>
      <c r="K4125" s="2">
        <v>8955</v>
      </c>
      <c r="L4125" s="2" t="s">
        <v>27202</v>
      </c>
      <c r="M4125" s="2" t="s">
        <v>27203</v>
      </c>
      <c r="N4125" s="2" t="s">
        <v>27204</v>
      </c>
      <c r="O4125" s="2">
        <v>16581</v>
      </c>
      <c r="P4125" s="2" t="s">
        <v>27205</v>
      </c>
      <c r="Q4125" s="2" t="s">
        <v>27206</v>
      </c>
      <c r="R4125" s="2" t="s">
        <v>27207</v>
      </c>
      <c r="S4125" s="2" t="s">
        <v>27208</v>
      </c>
      <c r="T4125" s="2" t="s">
        <v>27209</v>
      </c>
      <c r="U4125" s="2" t="s">
        <v>56</v>
      </c>
      <c r="V4125" s="2" t="s">
        <v>283</v>
      </c>
      <c r="W4125" s="2" t="s">
        <v>3686</v>
      </c>
      <c r="X4125" s="2" t="s">
        <v>147</v>
      </c>
      <c r="Y4125" s="2">
        <v>38.299999999999997</v>
      </c>
      <c r="Z4125" s="2">
        <v>0</v>
      </c>
      <c r="AA4125" s="2" t="s">
        <v>379</v>
      </c>
      <c r="AB4125" s="2" t="s">
        <v>3701</v>
      </c>
      <c r="AC4125" s="2">
        <v>0.22658877163632701</v>
      </c>
      <c r="AD4125" s="2"/>
      <c r="AE4125" s="2">
        <v>0.11459773163326301</v>
      </c>
      <c r="AF4125" s="2">
        <v>1822.3514720654</v>
      </c>
      <c r="AG4125" s="2">
        <v>1313.21619300618</v>
      </c>
      <c r="AH4125" s="5">
        <v>1.38770103641025</v>
      </c>
      <c r="AI4125" s="5">
        <v>0.47269679000144499</v>
      </c>
      <c r="AJ4125" s="5" t="s">
        <v>139</v>
      </c>
      <c r="AK4125" s="2">
        <v>0.24517626697316799</v>
      </c>
      <c r="AL4125" s="2">
        <v>0.57060798295178805</v>
      </c>
      <c r="AM4125" s="2">
        <v>2532.1458585506298</v>
      </c>
      <c r="AN4125" s="2">
        <v>1474.7545152846001</v>
      </c>
      <c r="AO4125" s="2">
        <v>2017.0761975010701</v>
      </c>
      <c r="AP4125" s="2">
        <v>1991.2596623752399</v>
      </c>
      <c r="AQ4125" s="2">
        <v>1257.9838312530701</v>
      </c>
      <c r="AR4125" s="2">
        <v>1660.8887674277601</v>
      </c>
      <c r="AS4125" s="2">
        <v>696.37073093368599</v>
      </c>
      <c r="AT4125" s="2">
        <v>2413.0189867279601</v>
      </c>
      <c r="AU4125" s="2">
        <v>333.41740767379702</v>
      </c>
      <c r="AV4125" s="2">
        <v>2454.4600609065201</v>
      </c>
      <c r="AW4125" s="2">
        <v>1043.53598812872</v>
      </c>
      <c r="AX4125" s="2">
        <v>938.49398366636797</v>
      </c>
    </row>
    <row r="4126" spans="1:50" x14ac:dyDescent="0.25">
      <c r="A4126" s="2" t="s">
        <v>27210</v>
      </c>
      <c r="B4126" s="2">
        <v>285.13210923556801</v>
      </c>
      <c r="C4126" s="2">
        <v>4.5012333333333299</v>
      </c>
      <c r="D4126" s="2" t="s">
        <v>51</v>
      </c>
      <c r="E4126" s="2" t="s">
        <v>27211</v>
      </c>
      <c r="F4126" s="2">
        <v>205392</v>
      </c>
      <c r="G4126" s="3" t="str">
        <f>HYPERLINK("https://cloud.oebiotech.com/#/lm/network/205392", "https://cloud.oebiotech.com/#/lm/network/205392")</f>
        <v>https://cloud.oebiotech.com/#/lm/network/205392</v>
      </c>
      <c r="H4126" s="2" t="s">
        <v>27212</v>
      </c>
      <c r="I4126" s="2">
        <v>44140</v>
      </c>
      <c r="J4126" s="2"/>
      <c r="K4126" s="2">
        <v>2896</v>
      </c>
      <c r="L4126" s="2"/>
      <c r="M4126" s="2"/>
      <c r="N4126" s="2"/>
      <c r="O4126" s="2"/>
      <c r="P4126" s="2"/>
      <c r="Q4126" s="2"/>
      <c r="R4126" s="2" t="s">
        <v>27213</v>
      </c>
      <c r="S4126" s="2" t="s">
        <v>27214</v>
      </c>
      <c r="T4126" s="2" t="s">
        <v>27215</v>
      </c>
      <c r="U4126" s="2" t="s">
        <v>103</v>
      </c>
      <c r="V4126" s="2" t="s">
        <v>104</v>
      </c>
      <c r="W4126" s="2" t="s">
        <v>105</v>
      </c>
      <c r="X4126" s="2" t="s">
        <v>147</v>
      </c>
      <c r="Y4126" s="2">
        <v>39.1</v>
      </c>
      <c r="Z4126" s="2">
        <v>0</v>
      </c>
      <c r="AA4126" s="2" t="s">
        <v>478</v>
      </c>
      <c r="AB4126" s="2" t="s">
        <v>27216</v>
      </c>
      <c r="AC4126" s="2">
        <v>1.5117944041890801</v>
      </c>
      <c r="AD4126" s="2"/>
      <c r="AE4126" s="2">
        <v>0.11453263268037001</v>
      </c>
      <c r="AF4126" s="2">
        <v>684.04361119330997</v>
      </c>
      <c r="AG4126" s="2">
        <v>199.50154561374899</v>
      </c>
      <c r="AH4126" s="5">
        <v>3.4287634669140399</v>
      </c>
      <c r="AI4126" s="5">
        <v>1.7776883834569199</v>
      </c>
      <c r="AJ4126" s="5" t="s">
        <v>139</v>
      </c>
      <c r="AK4126" s="2">
        <v>6.3093981116837797E-2</v>
      </c>
      <c r="AL4126" s="2">
        <v>0.33601027492909402</v>
      </c>
      <c r="AM4126" s="2">
        <v>1066.6068681389499</v>
      </c>
      <c r="AN4126" s="2">
        <v>419.53101249409298</v>
      </c>
      <c r="AO4126" s="2">
        <v>278.31857107262101</v>
      </c>
      <c r="AP4126" s="2">
        <v>1562.1707946777301</v>
      </c>
      <c r="AQ4126" s="2">
        <v>681.64015492253998</v>
      </c>
      <c r="AR4126" s="2">
        <v>95.994265853923807</v>
      </c>
      <c r="AS4126" s="2">
        <v>82.722961836607396</v>
      </c>
      <c r="AT4126" s="2">
        <v>93.5780716777506</v>
      </c>
      <c r="AU4126" s="2">
        <v>167.774190987894</v>
      </c>
      <c r="AV4126" s="2">
        <v>489.58635458748802</v>
      </c>
      <c r="AW4126" s="2">
        <v>223.277616529764</v>
      </c>
      <c r="AX4126" s="2">
        <v>140.070078062992</v>
      </c>
    </row>
    <row r="4127" spans="1:50" x14ac:dyDescent="0.25">
      <c r="A4127" s="2" t="s">
        <v>27217</v>
      </c>
      <c r="B4127" s="2">
        <v>342.264862155694</v>
      </c>
      <c r="C4127" s="2">
        <v>11.505183333333299</v>
      </c>
      <c r="D4127" s="2" t="s">
        <v>51</v>
      </c>
      <c r="E4127" s="2" t="s">
        <v>27218</v>
      </c>
      <c r="F4127" s="2">
        <v>198450</v>
      </c>
      <c r="G4127" s="3" t="str">
        <f>HYPERLINK("https://cloud.oebiotech.com/#/lm/network/198450", "https://cloud.oebiotech.com/#/lm/network/198450")</f>
        <v>https://cloud.oebiotech.com/#/lm/network/198450</v>
      </c>
      <c r="H4127" s="2" t="s">
        <v>27219</v>
      </c>
      <c r="I4127" s="2"/>
      <c r="J4127" s="2"/>
      <c r="K4127" s="2">
        <v>85997</v>
      </c>
      <c r="L4127" s="2"/>
      <c r="M4127" s="2"/>
      <c r="N4127" s="2"/>
      <c r="O4127" s="2"/>
      <c r="P4127" s="2"/>
      <c r="Q4127" s="2"/>
      <c r="R4127" s="2"/>
      <c r="S4127" s="2" t="s">
        <v>27220</v>
      </c>
      <c r="T4127" s="2" t="s">
        <v>27221</v>
      </c>
      <c r="U4127" s="2" t="s">
        <v>103</v>
      </c>
      <c r="V4127" s="2" t="s">
        <v>104</v>
      </c>
      <c r="W4127" s="2" t="s">
        <v>105</v>
      </c>
      <c r="X4127" s="2" t="s">
        <v>83</v>
      </c>
      <c r="Y4127" s="2">
        <v>54.5</v>
      </c>
      <c r="Z4127" s="2">
        <v>0</v>
      </c>
      <c r="AA4127" s="2" t="s">
        <v>163</v>
      </c>
      <c r="AB4127" s="2" t="s">
        <v>27222</v>
      </c>
      <c r="AC4127" s="2">
        <v>-0.349815439285449</v>
      </c>
      <c r="AD4127" s="2"/>
      <c r="AE4127" s="2">
        <v>0.114504952725573</v>
      </c>
      <c r="AF4127" s="2">
        <v>15938.708318287399</v>
      </c>
      <c r="AG4127" s="2">
        <v>17981.282642313701</v>
      </c>
      <c r="AH4127" s="4">
        <v>0.88640552708850195</v>
      </c>
      <c r="AI4127" s="4">
        <v>-0.17396121769891601</v>
      </c>
      <c r="AJ4127" s="4" t="s">
        <v>62</v>
      </c>
      <c r="AK4127" s="2">
        <v>0.61251410077656498</v>
      </c>
      <c r="AL4127" s="2">
        <v>0.80685516226103005</v>
      </c>
      <c r="AM4127" s="2">
        <v>24717.196990920202</v>
      </c>
      <c r="AN4127" s="2">
        <v>17381.663082338699</v>
      </c>
      <c r="AO4127" s="2">
        <v>12156.323852613899</v>
      </c>
      <c r="AP4127" s="2">
        <v>14402.027300902701</v>
      </c>
      <c r="AQ4127" s="2">
        <v>14387.0193479052</v>
      </c>
      <c r="AR4127" s="2">
        <v>12588.0193350436</v>
      </c>
      <c r="AS4127" s="2">
        <v>7728.0440899090399</v>
      </c>
      <c r="AT4127" s="2">
        <v>8115.1021720713597</v>
      </c>
      <c r="AU4127" s="2">
        <v>19438.865403890399</v>
      </c>
      <c r="AV4127" s="2">
        <v>22902.781668387601</v>
      </c>
      <c r="AW4127" s="2">
        <v>21293.732824443799</v>
      </c>
      <c r="AX4127" s="2">
        <v>28409.1696951798</v>
      </c>
    </row>
    <row r="4128" spans="1:50" x14ac:dyDescent="0.25">
      <c r="A4128" s="2" t="s">
        <v>27223</v>
      </c>
      <c r="B4128" s="2">
        <v>230.17595740880799</v>
      </c>
      <c r="C4128" s="2">
        <v>4.7092833333333299</v>
      </c>
      <c r="D4128" s="2" t="s">
        <v>51</v>
      </c>
      <c r="E4128" s="2" t="s">
        <v>27224</v>
      </c>
      <c r="F4128" s="2">
        <v>2033</v>
      </c>
      <c r="G4128" s="3" t="str">
        <f>HYPERLINK("https://cloud.oebiotech.com/#/lm/network/2033", "https://cloud.oebiotech.com/#/lm/network/2033")</f>
        <v>https://cloud.oebiotech.com/#/lm/network/2033</v>
      </c>
      <c r="H4128" s="2"/>
      <c r="I4128" s="2"/>
      <c r="J4128" s="2" t="s">
        <v>27225</v>
      </c>
      <c r="K4128" s="2"/>
      <c r="L4128" s="2"/>
      <c r="M4128" s="2"/>
      <c r="N4128" s="2"/>
      <c r="O4128" s="2"/>
      <c r="P4128" s="2"/>
      <c r="Q4128" s="2"/>
      <c r="R4128" s="2"/>
      <c r="S4128" s="2" t="s">
        <v>27226</v>
      </c>
      <c r="T4128" s="2" t="s">
        <v>27227</v>
      </c>
      <c r="U4128" s="2" t="s">
        <v>103</v>
      </c>
      <c r="V4128" s="2" t="s">
        <v>377</v>
      </c>
      <c r="W4128" s="2" t="s">
        <v>378</v>
      </c>
      <c r="X4128" s="2" t="s">
        <v>59</v>
      </c>
      <c r="Y4128" s="2">
        <v>47</v>
      </c>
      <c r="Z4128" s="2">
        <v>45.5</v>
      </c>
      <c r="AA4128" s="2" t="s">
        <v>512</v>
      </c>
      <c r="AB4128" s="2" t="s">
        <v>16641</v>
      </c>
      <c r="AC4128" s="2">
        <v>4.1829618277676097</v>
      </c>
      <c r="AD4128" s="2"/>
      <c r="AE4128" s="2">
        <v>0.114489165654949</v>
      </c>
      <c r="AF4128" s="2">
        <v>3280.7972419852899</v>
      </c>
      <c r="AG4128" s="2">
        <v>2273.4176528981602</v>
      </c>
      <c r="AH4128" s="5">
        <v>1.4431124161470801</v>
      </c>
      <c r="AI4128" s="5">
        <v>0.52918368784080505</v>
      </c>
      <c r="AJ4128" s="5" t="s">
        <v>139</v>
      </c>
      <c r="AK4128" s="2">
        <v>0.29958986191102699</v>
      </c>
      <c r="AL4128" s="2">
        <v>0.61037838979491599</v>
      </c>
      <c r="AM4128" s="2">
        <v>1773.35541771373</v>
      </c>
      <c r="AN4128" s="2">
        <v>3363.4486603778801</v>
      </c>
      <c r="AO4128" s="2">
        <v>3968.1042725013499</v>
      </c>
      <c r="AP4128" s="2">
        <v>6677.2467310864904</v>
      </c>
      <c r="AQ4128" s="2">
        <v>1767.09938119654</v>
      </c>
      <c r="AR4128" s="2">
        <v>2135.5289890357399</v>
      </c>
      <c r="AS4128" s="2">
        <v>1758.2155479458199</v>
      </c>
      <c r="AT4128" s="2">
        <v>3892.8293435174201</v>
      </c>
      <c r="AU4128" s="2">
        <v>1564.7645531985099</v>
      </c>
      <c r="AV4128" s="2">
        <v>807.58822161524597</v>
      </c>
      <c r="AW4128" s="2">
        <v>3655.2208867550598</v>
      </c>
      <c r="AX4128" s="2">
        <v>1961.88736435692</v>
      </c>
    </row>
    <row r="4129" spans="1:50" x14ac:dyDescent="0.25">
      <c r="A4129" s="2" t="s">
        <v>27228</v>
      </c>
      <c r="B4129" s="2">
        <v>212.99762539466599</v>
      </c>
      <c r="C4129" s="2">
        <v>7.3994666666666697</v>
      </c>
      <c r="D4129" s="2" t="s">
        <v>51</v>
      </c>
      <c r="E4129" s="2" t="s">
        <v>27229</v>
      </c>
      <c r="F4129" s="2">
        <v>210132</v>
      </c>
      <c r="G4129" s="3" t="str">
        <f>HYPERLINK("https://cloud.oebiotech.com/#/lm/network/210132", "https://cloud.oebiotech.com/#/lm/network/210132")</f>
        <v>https://cloud.oebiotech.com/#/lm/network/210132</v>
      </c>
      <c r="H4129" s="2" t="s">
        <v>27230</v>
      </c>
      <c r="I4129" s="2">
        <v>336888</v>
      </c>
      <c r="J4129" s="2"/>
      <c r="K4129" s="2">
        <v>9696</v>
      </c>
      <c r="L4129" s="2"/>
      <c r="M4129" s="2"/>
      <c r="N4129" s="2"/>
      <c r="O4129" s="2"/>
      <c r="P4129" s="2"/>
      <c r="Q4129" s="2"/>
      <c r="R4129" s="2"/>
      <c r="S4129" s="2" t="s">
        <v>27231</v>
      </c>
      <c r="T4129" s="2" t="s">
        <v>27232</v>
      </c>
      <c r="U4129" s="2" t="s">
        <v>610</v>
      </c>
      <c r="V4129" s="2" t="s">
        <v>611</v>
      </c>
      <c r="W4129" s="2" t="s">
        <v>1409</v>
      </c>
      <c r="X4129" s="2" t="s">
        <v>147</v>
      </c>
      <c r="Y4129" s="2">
        <v>40.799999999999997</v>
      </c>
      <c r="Z4129" s="2">
        <v>13</v>
      </c>
      <c r="AA4129" s="2" t="s">
        <v>218</v>
      </c>
      <c r="AB4129" s="2" t="s">
        <v>27233</v>
      </c>
      <c r="AC4129" s="2">
        <v>-2.4917130932693001</v>
      </c>
      <c r="AD4129" s="2"/>
      <c r="AE4129" s="2">
        <v>0.114447967017343</v>
      </c>
      <c r="AF4129" s="2">
        <v>2616.3574065858402</v>
      </c>
      <c r="AG4129" s="2">
        <v>3020.29439136461</v>
      </c>
      <c r="AH4129" s="4">
        <v>0.86625906867433899</v>
      </c>
      <c r="AI4129" s="4">
        <v>-0.20712954430358499</v>
      </c>
      <c r="AJ4129" s="4" t="s">
        <v>62</v>
      </c>
      <c r="AK4129" s="2">
        <v>0.34860483972348599</v>
      </c>
      <c r="AL4129" s="2">
        <v>0.64167546020235899</v>
      </c>
      <c r="AM4129" s="2">
        <v>1466.10539427048</v>
      </c>
      <c r="AN4129" s="2">
        <v>1905.7420765183299</v>
      </c>
      <c r="AO4129" s="2">
        <v>3031.3129792299201</v>
      </c>
      <c r="AP4129" s="2">
        <v>3652.4398145290802</v>
      </c>
      <c r="AQ4129" s="2">
        <v>3333.8697383369999</v>
      </c>
      <c r="AR4129" s="2">
        <v>2308.67443663023</v>
      </c>
      <c r="AS4129" s="2">
        <v>2665.0808648347402</v>
      </c>
      <c r="AT4129" s="2">
        <v>3647.5465983644199</v>
      </c>
      <c r="AU4129" s="2">
        <v>2289.96480686417</v>
      </c>
      <c r="AV4129" s="2">
        <v>3583.9050112856899</v>
      </c>
      <c r="AW4129" s="2">
        <v>3000.7898938746298</v>
      </c>
      <c r="AX4129" s="2">
        <v>2934.4791729640301</v>
      </c>
    </row>
    <row r="4130" spans="1:50" x14ac:dyDescent="0.25">
      <c r="A4130" s="2" t="s">
        <v>27234</v>
      </c>
      <c r="B4130" s="2">
        <v>247.094906361992</v>
      </c>
      <c r="C4130" s="2">
        <v>6.8097833333333302</v>
      </c>
      <c r="D4130" s="2" t="s">
        <v>51</v>
      </c>
      <c r="E4130" s="2" t="s">
        <v>27235</v>
      </c>
      <c r="F4130" s="2">
        <v>202186</v>
      </c>
      <c r="G4130" s="3" t="str">
        <f>HYPERLINK("https://cloud.oebiotech.com/#/lm/network/202186", "https://cloud.oebiotech.com/#/lm/network/202186")</f>
        <v>https://cloud.oebiotech.com/#/lm/network/202186</v>
      </c>
      <c r="H4130" s="2" t="s">
        <v>27236</v>
      </c>
      <c r="I4130" s="2"/>
      <c r="J4130" s="2"/>
      <c r="K4130" s="2">
        <v>266234</v>
      </c>
      <c r="L4130" s="2"/>
      <c r="M4130" s="2"/>
      <c r="N4130" s="2"/>
      <c r="O4130" s="2"/>
      <c r="P4130" s="2"/>
      <c r="Q4130" s="2"/>
      <c r="R4130" s="2"/>
      <c r="S4130" s="2" t="s">
        <v>27237</v>
      </c>
      <c r="T4130" s="2" t="s">
        <v>27238</v>
      </c>
      <c r="U4130" s="2" t="s">
        <v>295</v>
      </c>
      <c r="V4130" s="2" t="s">
        <v>15372</v>
      </c>
      <c r="W4130" s="2" t="s">
        <v>240</v>
      </c>
      <c r="X4130" s="2" t="s">
        <v>147</v>
      </c>
      <c r="Y4130" s="2">
        <v>38.9</v>
      </c>
      <c r="Z4130" s="2">
        <v>0</v>
      </c>
      <c r="AA4130" s="2" t="s">
        <v>379</v>
      </c>
      <c r="AB4130" s="2" t="s">
        <v>27239</v>
      </c>
      <c r="AC4130" s="2">
        <v>3.4367131684853801E-2</v>
      </c>
      <c r="AD4130" s="2"/>
      <c r="AE4130" s="2">
        <v>0.114083357160824</v>
      </c>
      <c r="AF4130" s="2">
        <v>624.35073473786701</v>
      </c>
      <c r="AG4130" s="2">
        <v>279.31103632019</v>
      </c>
      <c r="AH4130" s="5">
        <v>2.2353242570126701</v>
      </c>
      <c r="AI4130" s="5">
        <v>1.1604841244969999</v>
      </c>
      <c r="AJ4130" s="5" t="s">
        <v>139</v>
      </c>
      <c r="AK4130" s="2">
        <v>0.398281517399244</v>
      </c>
      <c r="AL4130" s="2">
        <v>0.66800311346169094</v>
      </c>
      <c r="AM4130" s="2">
        <v>2254.8740773341901</v>
      </c>
      <c r="AN4130" s="2">
        <v>727.59928709162705</v>
      </c>
      <c r="AO4130" s="2">
        <v>176.00419877184399</v>
      </c>
      <c r="AP4130" s="2">
        <v>8.559877937157E-6</v>
      </c>
      <c r="AQ4130" s="2">
        <v>263.951123075922</v>
      </c>
      <c r="AR4130" s="2">
        <v>323.67571359374301</v>
      </c>
      <c r="AS4130" s="2">
        <v>8.559877937157E-6</v>
      </c>
      <c r="AT4130" s="2">
        <v>8.559877937157E-6</v>
      </c>
      <c r="AU4130" s="2">
        <v>1129.9562339782101</v>
      </c>
      <c r="AV4130" s="2">
        <v>8.559877937157E-6</v>
      </c>
      <c r="AW4130" s="2">
        <v>8.559877937157E-6</v>
      </c>
      <c r="AX4130" s="2">
        <v>545.90994970342103</v>
      </c>
    </row>
    <row r="4131" spans="1:50" x14ac:dyDescent="0.25">
      <c r="A4131" s="2" t="s">
        <v>27240</v>
      </c>
      <c r="B4131" s="2">
        <v>323.25921017620499</v>
      </c>
      <c r="C4131" s="2">
        <v>11.297000000000001</v>
      </c>
      <c r="D4131" s="2" t="s">
        <v>51</v>
      </c>
      <c r="E4131" s="2" t="s">
        <v>27241</v>
      </c>
      <c r="F4131" s="2">
        <v>3603</v>
      </c>
      <c r="G4131" s="3" t="str">
        <f>HYPERLINK("https://cloud.oebiotech.com/#/lm/network/3603", "https://cloud.oebiotech.com/#/lm/network/3603")</f>
        <v>https://cloud.oebiotech.com/#/lm/network/3603</v>
      </c>
      <c r="H4131" s="2"/>
      <c r="I4131" s="2">
        <v>36083</v>
      </c>
      <c r="J4131" s="2" t="s">
        <v>27242</v>
      </c>
      <c r="K4131" s="2">
        <v>16061090</v>
      </c>
      <c r="L4131" s="2"/>
      <c r="M4131" s="2"/>
      <c r="N4131" s="2"/>
      <c r="O4131" s="2"/>
      <c r="P4131" s="2"/>
      <c r="Q4131" s="2"/>
      <c r="R4131" s="2"/>
      <c r="S4131" s="2" t="s">
        <v>27243</v>
      </c>
      <c r="T4131" s="2" t="s">
        <v>27244</v>
      </c>
      <c r="U4131" s="2" t="s">
        <v>56</v>
      </c>
      <c r="V4131" s="2" t="s">
        <v>145</v>
      </c>
      <c r="W4131" s="2" t="s">
        <v>187</v>
      </c>
      <c r="X4131" s="2" t="s">
        <v>69</v>
      </c>
      <c r="Y4131" s="2">
        <v>63.4</v>
      </c>
      <c r="Z4131" s="2">
        <v>85</v>
      </c>
      <c r="AA4131" s="2" t="s">
        <v>163</v>
      </c>
      <c r="AB4131" s="2" t="s">
        <v>27245</v>
      </c>
      <c r="AC4131" s="2">
        <v>0.12827415869643699</v>
      </c>
      <c r="AD4131" s="2"/>
      <c r="AE4131" s="2">
        <v>0.11406200310607501</v>
      </c>
      <c r="AF4131" s="2">
        <v>40046.989047068098</v>
      </c>
      <c r="AG4131" s="2">
        <v>41710.3730662218</v>
      </c>
      <c r="AH4131" s="4">
        <v>0.96012061516417602</v>
      </c>
      <c r="AI4131" s="4">
        <v>-5.8712439086179201E-2</v>
      </c>
      <c r="AJ4131" s="4" t="s">
        <v>62</v>
      </c>
      <c r="AK4131" s="2">
        <v>0.91455533617545703</v>
      </c>
      <c r="AL4131" s="2">
        <v>0.96366058811687005</v>
      </c>
      <c r="AM4131" s="2">
        <v>63708.555393072602</v>
      </c>
      <c r="AN4131" s="2">
        <v>46358.764141013198</v>
      </c>
      <c r="AO4131" s="2">
        <v>35607.438324324103</v>
      </c>
      <c r="AP4131" s="2">
        <v>24087.858149294199</v>
      </c>
      <c r="AQ4131" s="2">
        <v>31398.121484928801</v>
      </c>
      <c r="AR4131" s="2">
        <v>39121.196789775699</v>
      </c>
      <c r="AS4131" s="2">
        <v>21849.024640732801</v>
      </c>
      <c r="AT4131" s="2">
        <v>12681.6341752832</v>
      </c>
      <c r="AU4131" s="2">
        <v>109117.606038087</v>
      </c>
      <c r="AV4131" s="2">
        <v>35890.216529457</v>
      </c>
      <c r="AW4131" s="2">
        <v>33132.5375198127</v>
      </c>
      <c r="AX4131" s="2">
        <v>37591.219493957899</v>
      </c>
    </row>
    <row r="4132" spans="1:50" x14ac:dyDescent="0.25">
      <c r="A4132" s="2" t="s">
        <v>27246</v>
      </c>
      <c r="B4132" s="2">
        <v>335.061134388281</v>
      </c>
      <c r="C4132" s="2">
        <v>1.27705</v>
      </c>
      <c r="D4132" s="2" t="s">
        <v>51</v>
      </c>
      <c r="E4132" s="2" t="s">
        <v>27247</v>
      </c>
      <c r="F4132" s="2">
        <v>207224</v>
      </c>
      <c r="G4132" s="3" t="str">
        <f>HYPERLINK("https://cloud.oebiotech.com/#/lm/network/207224", "https://cloud.oebiotech.com/#/lm/network/207224")</f>
        <v>https://cloud.oebiotech.com/#/lm/network/207224</v>
      </c>
      <c r="H4132" s="2" t="s">
        <v>27248</v>
      </c>
      <c r="I4132" s="2"/>
      <c r="J4132" s="2"/>
      <c r="K4132" s="2"/>
      <c r="L4132" s="2"/>
      <c r="M4132" s="2"/>
      <c r="N4132" s="2"/>
      <c r="O4132" s="2"/>
      <c r="P4132" s="2"/>
      <c r="Q4132" s="2"/>
      <c r="R4132" s="2"/>
      <c r="S4132" s="2" t="s">
        <v>27249</v>
      </c>
      <c r="T4132" s="2" t="s">
        <v>27250</v>
      </c>
      <c r="U4132" s="2" t="s">
        <v>331</v>
      </c>
      <c r="V4132" s="2" t="s">
        <v>332</v>
      </c>
      <c r="W4132" s="2" t="s">
        <v>333</v>
      </c>
      <c r="X4132" s="2" t="s">
        <v>69</v>
      </c>
      <c r="Y4132" s="2">
        <v>58.9</v>
      </c>
      <c r="Z4132" s="2">
        <v>96.7</v>
      </c>
      <c r="AA4132" s="2" t="s">
        <v>379</v>
      </c>
      <c r="AB4132" s="2" t="s">
        <v>27251</v>
      </c>
      <c r="AC4132" s="2">
        <v>-2.4020111756558902</v>
      </c>
      <c r="AD4132" s="2"/>
      <c r="AE4132" s="2">
        <v>0.113817916149055</v>
      </c>
      <c r="AF4132" s="2">
        <v>34234.599598914203</v>
      </c>
      <c r="AG4132" s="2">
        <v>36006.4093489187</v>
      </c>
      <c r="AH4132" s="4">
        <v>0.95079182339913904</v>
      </c>
      <c r="AI4132" s="4">
        <v>-7.2798598414163307E-2</v>
      </c>
      <c r="AJ4132" s="4" t="s">
        <v>62</v>
      </c>
      <c r="AK4132" s="2">
        <v>0.95105234135946204</v>
      </c>
      <c r="AL4132" s="2">
        <v>0.98007203563658896</v>
      </c>
      <c r="AM4132" s="2">
        <v>119.27765620352601</v>
      </c>
      <c r="AN4132" s="2">
        <v>45837.046801820899</v>
      </c>
      <c r="AO4132" s="2">
        <v>63931.354086859203</v>
      </c>
      <c r="AP4132" s="2">
        <v>8287.22384786164</v>
      </c>
      <c r="AQ4132" s="2">
        <v>80744.465390576996</v>
      </c>
      <c r="AR4132" s="2">
        <v>6488.2298101627703</v>
      </c>
      <c r="AS4132" s="2">
        <v>129.04659852937499</v>
      </c>
      <c r="AT4132" s="2">
        <v>154694.08269376599</v>
      </c>
      <c r="AU4132" s="2">
        <v>4662.0845592077903</v>
      </c>
      <c r="AV4132" s="2">
        <v>17411.208064908798</v>
      </c>
      <c r="AW4132" s="2">
        <v>300.60350562918899</v>
      </c>
      <c r="AX4132" s="2">
        <v>38841.430671470902</v>
      </c>
    </row>
    <row r="4133" spans="1:50" x14ac:dyDescent="0.25">
      <c r="A4133" s="2" t="s">
        <v>27252</v>
      </c>
      <c r="B4133" s="2">
        <v>289.19215189920902</v>
      </c>
      <c r="C4133" s="2">
        <v>6.4146666666666698</v>
      </c>
      <c r="D4133" s="2" t="s">
        <v>51</v>
      </c>
      <c r="E4133" s="2" t="s">
        <v>27253</v>
      </c>
      <c r="F4133" s="2">
        <v>10072</v>
      </c>
      <c r="G4133" s="3" t="str">
        <f>HYPERLINK("https://cloud.oebiotech.com/#/lm/network/10072", "https://cloud.oebiotech.com/#/lm/network/10072")</f>
        <v>https://cloud.oebiotech.com/#/lm/network/10072</v>
      </c>
      <c r="H4133" s="2"/>
      <c r="I4133" s="2">
        <v>98277</v>
      </c>
      <c r="J4133" s="2" t="s">
        <v>27254</v>
      </c>
      <c r="K4133" s="2">
        <v>56936249</v>
      </c>
      <c r="L4133" s="2"/>
      <c r="M4133" s="2"/>
      <c r="N4133" s="2"/>
      <c r="O4133" s="2"/>
      <c r="P4133" s="2"/>
      <c r="Q4133" s="2"/>
      <c r="R4133" s="2"/>
      <c r="S4133" s="2" t="s">
        <v>27255</v>
      </c>
      <c r="T4133" s="2" t="s">
        <v>27256</v>
      </c>
      <c r="U4133" s="2" t="s">
        <v>266</v>
      </c>
      <c r="V4133" s="2" t="s">
        <v>1593</v>
      </c>
      <c r="W4133" s="2" t="s">
        <v>240</v>
      </c>
      <c r="X4133" s="2" t="s">
        <v>147</v>
      </c>
      <c r="Y4133" s="2">
        <v>38.700000000000003</v>
      </c>
      <c r="Z4133" s="2">
        <v>0</v>
      </c>
      <c r="AA4133" s="2" t="s">
        <v>395</v>
      </c>
      <c r="AB4133" s="2" t="s">
        <v>11613</v>
      </c>
      <c r="AC4133" s="2">
        <v>-2.68458357646734</v>
      </c>
      <c r="AD4133" s="2"/>
      <c r="AE4133" s="2">
        <v>0.11379668342936899</v>
      </c>
      <c r="AF4133" s="2">
        <v>2758.0944230761502</v>
      </c>
      <c r="AG4133" s="2">
        <v>4389.7670831738596</v>
      </c>
      <c r="AH4133" s="4">
        <v>0.62830085761224896</v>
      </c>
      <c r="AI4133" s="4">
        <v>-0.67047254556556901</v>
      </c>
      <c r="AJ4133" s="4" t="s">
        <v>62</v>
      </c>
      <c r="AK4133" s="2">
        <v>0.65637844695942205</v>
      </c>
      <c r="AL4133" s="2">
        <v>0.83263445021276405</v>
      </c>
      <c r="AM4133" s="2">
        <v>10674.961627947599</v>
      </c>
      <c r="AN4133" s="2">
        <v>63.680329909640498</v>
      </c>
      <c r="AO4133" s="2">
        <v>18.818463628382201</v>
      </c>
      <c r="AP4133" s="2">
        <v>5763.1451288508497</v>
      </c>
      <c r="AQ4133" s="2">
        <v>23.073671804101402</v>
      </c>
      <c r="AR4133" s="2">
        <v>4.8873163163531599</v>
      </c>
      <c r="AS4133" s="2">
        <v>6577.0862660208304</v>
      </c>
      <c r="AT4133" s="2">
        <v>22.9092116580523</v>
      </c>
      <c r="AU4133" s="2">
        <v>19.877387016106098</v>
      </c>
      <c r="AV4133" s="2">
        <v>6.0982354433816104</v>
      </c>
      <c r="AW4133" s="2">
        <v>1012.43480919466</v>
      </c>
      <c r="AX4133" s="2">
        <v>18700.1965897101</v>
      </c>
    </row>
    <row r="4134" spans="1:50" x14ac:dyDescent="0.25">
      <c r="A4134" s="2" t="s">
        <v>27257</v>
      </c>
      <c r="B4134" s="2">
        <v>586.35168253437996</v>
      </c>
      <c r="C4134" s="2">
        <v>9.0727166666666701</v>
      </c>
      <c r="D4134" s="2" t="s">
        <v>51</v>
      </c>
      <c r="E4134" s="2" t="s">
        <v>27258</v>
      </c>
      <c r="F4134" s="2">
        <v>55330</v>
      </c>
      <c r="G4134" s="3" t="str">
        <f>HYPERLINK("https://cloud.oebiotech.com/#/lm/network/55330", "https://cloud.oebiotech.com/#/lm/network/55330")</f>
        <v>https://cloud.oebiotech.com/#/lm/network/55330</v>
      </c>
      <c r="H4134" s="2" t="s">
        <v>27259</v>
      </c>
      <c r="I4134" s="2">
        <v>87041</v>
      </c>
      <c r="J4134" s="2"/>
      <c r="K4134" s="2">
        <v>10371106</v>
      </c>
      <c r="L4134" s="2"/>
      <c r="M4134" s="2"/>
      <c r="N4134" s="2"/>
      <c r="O4134" s="2"/>
      <c r="P4134" s="2"/>
      <c r="Q4134" s="2"/>
      <c r="R4134" s="2" t="s">
        <v>27260</v>
      </c>
      <c r="S4134" s="2" t="s">
        <v>27261</v>
      </c>
      <c r="T4134" s="2" t="s">
        <v>27262</v>
      </c>
      <c r="U4134" s="2" t="s">
        <v>266</v>
      </c>
      <c r="V4134" s="2" t="s">
        <v>1988</v>
      </c>
      <c r="W4134" s="2" t="s">
        <v>240</v>
      </c>
      <c r="X4134" s="2" t="s">
        <v>69</v>
      </c>
      <c r="Y4134" s="2">
        <v>59.7</v>
      </c>
      <c r="Z4134" s="2">
        <v>99.8</v>
      </c>
      <c r="AA4134" s="2" t="s">
        <v>259</v>
      </c>
      <c r="AB4134" s="2" t="s">
        <v>27263</v>
      </c>
      <c r="AC4134" s="2">
        <v>-1.7383026653778999</v>
      </c>
      <c r="AD4134" s="2"/>
      <c r="AE4134" s="2">
        <v>0.11376323778052901</v>
      </c>
      <c r="AF4134" s="2">
        <v>40716.103229790097</v>
      </c>
      <c r="AG4134" s="2">
        <v>40193.027953404402</v>
      </c>
      <c r="AH4134" s="5">
        <v>1.01301407987953</v>
      </c>
      <c r="AI4134" s="5">
        <v>1.8654226292267199E-2</v>
      </c>
      <c r="AJ4134" s="5" t="s">
        <v>139</v>
      </c>
      <c r="AK4134" s="2">
        <v>0.94879560076917602</v>
      </c>
      <c r="AL4134" s="2">
        <v>0.97875606918993896</v>
      </c>
      <c r="AM4134" s="2">
        <v>55809.297106632897</v>
      </c>
      <c r="AN4134" s="2">
        <v>57653.6426463967</v>
      </c>
      <c r="AO4134" s="2">
        <v>26379.311485040202</v>
      </c>
      <c r="AP4134" s="2">
        <v>26748.707530052001</v>
      </c>
      <c r="AQ4134" s="2">
        <v>34979.873777007102</v>
      </c>
      <c r="AR4134" s="2">
        <v>42725.786833611797</v>
      </c>
      <c r="AS4134" s="2">
        <v>38250.186099542298</v>
      </c>
      <c r="AT4134" s="2">
        <v>18313.119755340998</v>
      </c>
      <c r="AU4134" s="2">
        <v>60986.659740206698</v>
      </c>
      <c r="AV4134" s="2">
        <v>37891.571298237599</v>
      </c>
      <c r="AW4134" s="2">
        <v>44638.234119710803</v>
      </c>
      <c r="AX4134" s="2">
        <v>41078.396707387699</v>
      </c>
    </row>
    <row r="4135" spans="1:50" x14ac:dyDescent="0.25">
      <c r="A4135" s="2" t="s">
        <v>27264</v>
      </c>
      <c r="B4135" s="2">
        <v>237.12549999999999</v>
      </c>
      <c r="C4135" s="2">
        <v>27.991</v>
      </c>
      <c r="D4135" s="2" t="s">
        <v>125</v>
      </c>
      <c r="E4135" s="2" t="s">
        <v>27265</v>
      </c>
      <c r="F4135" s="2">
        <v>198686</v>
      </c>
      <c r="G4135" s="3" t="str">
        <f>HYPERLINK("https://cloud.oebiotech.com/#/lm/network/198686", "https://cloud.oebiotech.com/#/lm/network/198686")</f>
        <v>https://cloud.oebiotech.com/#/lm/network/198686</v>
      </c>
      <c r="H4135" s="2" t="s">
        <v>27266</v>
      </c>
      <c r="I4135" s="2">
        <v>84993</v>
      </c>
      <c r="J4135" s="2"/>
      <c r="K4135" s="2">
        <v>2116</v>
      </c>
      <c r="L4135" s="2"/>
      <c r="M4135" s="2"/>
      <c r="N4135" s="2"/>
      <c r="O4135" s="2"/>
      <c r="P4135" s="2"/>
      <c r="Q4135" s="2"/>
      <c r="R4135" s="2" t="s">
        <v>27267</v>
      </c>
      <c r="S4135" s="2" t="s">
        <v>27268</v>
      </c>
      <c r="T4135" s="2" t="s">
        <v>27269</v>
      </c>
      <c r="U4135" s="2" t="s">
        <v>56</v>
      </c>
      <c r="V4135" s="2" t="s">
        <v>177</v>
      </c>
      <c r="W4135" s="2" t="s">
        <v>1463</v>
      </c>
      <c r="X4135" s="2" t="s">
        <v>69</v>
      </c>
      <c r="Y4135" s="2">
        <v>86.7</v>
      </c>
      <c r="Z4135" s="2">
        <v>80.5</v>
      </c>
      <c r="AA4135" s="2"/>
      <c r="AB4135" s="2" t="s">
        <v>27270</v>
      </c>
      <c r="AC4135" s="2"/>
      <c r="AD4135" s="2">
        <v>1109253.9815762499</v>
      </c>
      <c r="AE4135" s="2">
        <v>0.113710567509394</v>
      </c>
      <c r="AF4135" s="2">
        <v>12248.192904940001</v>
      </c>
      <c r="AG4135" s="2">
        <v>8145.16995650647</v>
      </c>
      <c r="AH4135" s="5">
        <v>1.50373693493725</v>
      </c>
      <c r="AI4135" s="5">
        <v>0.58855220274923403</v>
      </c>
      <c r="AJ4135" s="5" t="s">
        <v>139</v>
      </c>
      <c r="AK4135" s="2">
        <v>3.5019982875409902E-2</v>
      </c>
      <c r="AL4135" s="2">
        <v>0.27321044354644902</v>
      </c>
      <c r="AM4135" s="2">
        <v>10247.329178542701</v>
      </c>
      <c r="AN4135" s="2">
        <v>9887.1616521134601</v>
      </c>
      <c r="AO4135" s="2">
        <v>13717.4646881184</v>
      </c>
      <c r="AP4135" s="2">
        <v>13352.006438311</v>
      </c>
      <c r="AQ4135" s="2">
        <v>9707.8508206275692</v>
      </c>
      <c r="AR4135" s="2">
        <v>16577.344651926898</v>
      </c>
      <c r="AS4135" s="2">
        <v>10032.0823385577</v>
      </c>
      <c r="AT4135" s="2">
        <v>8937.7979026039302</v>
      </c>
      <c r="AU4135" s="2">
        <v>8593.1511209824203</v>
      </c>
      <c r="AV4135" s="2">
        <v>7982.7665845739202</v>
      </c>
      <c r="AW4135" s="2">
        <v>2299.8352172700202</v>
      </c>
      <c r="AX4135" s="2">
        <v>11025.386575050799</v>
      </c>
    </row>
    <row r="4136" spans="1:50" x14ac:dyDescent="0.25">
      <c r="A4136" s="2" t="s">
        <v>27271</v>
      </c>
      <c r="B4136" s="2">
        <v>345.279964595602</v>
      </c>
      <c r="C4136" s="2">
        <v>11.672833333333299</v>
      </c>
      <c r="D4136" s="2" t="s">
        <v>51</v>
      </c>
      <c r="E4136" s="2" t="s">
        <v>27272</v>
      </c>
      <c r="F4136" s="2">
        <v>267184</v>
      </c>
      <c r="G4136" s="3" t="str">
        <f>HYPERLINK("https://cloud.oebiotech.com/#/lm/network/267184", "https://cloud.oebiotech.com/#/lm/network/267184")</f>
        <v>https://cloud.oebiotech.com/#/lm/network/267184</v>
      </c>
      <c r="H4136" s="2"/>
      <c r="I4136" s="2">
        <v>44959</v>
      </c>
      <c r="J4136" s="2"/>
      <c r="K4136" s="2">
        <v>137701031</v>
      </c>
      <c r="L4136" s="2"/>
      <c r="M4136" s="2"/>
      <c r="N4136" s="2"/>
      <c r="O4136" s="2"/>
      <c r="P4136" s="2"/>
      <c r="Q4136" s="2"/>
      <c r="R4136" s="2"/>
      <c r="S4136" s="2" t="s">
        <v>27273</v>
      </c>
      <c r="T4136" s="2" t="s">
        <v>27274</v>
      </c>
      <c r="U4136" s="2" t="s">
        <v>56</v>
      </c>
      <c r="V4136" s="2" t="s">
        <v>145</v>
      </c>
      <c r="W4136" s="2" t="s">
        <v>231</v>
      </c>
      <c r="X4136" s="2" t="s">
        <v>147</v>
      </c>
      <c r="Y4136" s="2">
        <v>38.299999999999997</v>
      </c>
      <c r="Z4136" s="2">
        <v>0</v>
      </c>
      <c r="AA4136" s="2" t="s">
        <v>163</v>
      </c>
      <c r="AB4136" s="2" t="s">
        <v>6839</v>
      </c>
      <c r="AC4136" s="2">
        <v>0.17491211086299099</v>
      </c>
      <c r="AD4136" s="2"/>
      <c r="AE4136" s="2">
        <v>0.113687661484469</v>
      </c>
      <c r="AF4136" s="2">
        <v>3098.4711115708101</v>
      </c>
      <c r="AG4136" s="2">
        <v>2146.6529577936699</v>
      </c>
      <c r="AH4136" s="5">
        <v>1.44339638147911</v>
      </c>
      <c r="AI4136" s="5">
        <v>0.52946754311813105</v>
      </c>
      <c r="AJ4136" s="5" t="s">
        <v>139</v>
      </c>
      <c r="AK4136" s="2">
        <v>0.32918094088640898</v>
      </c>
      <c r="AL4136" s="2">
        <v>0.63135842857913305</v>
      </c>
      <c r="AM4136" s="2">
        <v>2516.9879944436302</v>
      </c>
      <c r="AN4136" s="2">
        <v>2576.39596886955</v>
      </c>
      <c r="AO4136" s="2">
        <v>3353.4753697845699</v>
      </c>
      <c r="AP4136" s="2">
        <v>4782.5240314019802</v>
      </c>
      <c r="AQ4136" s="2">
        <v>3794.2452997144301</v>
      </c>
      <c r="AR4136" s="2">
        <v>1567.1980052106701</v>
      </c>
      <c r="AS4136" s="2">
        <v>1261.46135456197</v>
      </c>
      <c r="AT4136" s="2">
        <v>3419.8938404967398</v>
      </c>
      <c r="AU4136" s="2">
        <v>317.71215681449303</v>
      </c>
      <c r="AV4136" s="2">
        <v>8.559877937157E-6</v>
      </c>
      <c r="AW4136" s="2">
        <v>2779.0800892163102</v>
      </c>
      <c r="AX4136" s="2">
        <v>5101.77029711261</v>
      </c>
    </row>
    <row r="4137" spans="1:50" x14ac:dyDescent="0.25">
      <c r="A4137" s="2" t="s">
        <v>27275</v>
      </c>
      <c r="B4137" s="2">
        <v>367.03882571907798</v>
      </c>
      <c r="C4137" s="2">
        <v>5.8543500000000002</v>
      </c>
      <c r="D4137" s="2" t="s">
        <v>51</v>
      </c>
      <c r="E4137" s="2" t="s">
        <v>27276</v>
      </c>
      <c r="F4137" s="2">
        <v>54933</v>
      </c>
      <c r="G4137" s="3" t="str">
        <f>HYPERLINK("https://cloud.oebiotech.com/#/lm/network/54933", "https://cloud.oebiotech.com/#/lm/network/54933")</f>
        <v>https://cloud.oebiotech.com/#/lm/network/54933</v>
      </c>
      <c r="H4137" s="2" t="s">
        <v>27277</v>
      </c>
      <c r="I4137" s="2"/>
      <c r="J4137" s="2"/>
      <c r="K4137" s="2">
        <v>101957720</v>
      </c>
      <c r="L4137" s="2" t="s">
        <v>27278</v>
      </c>
      <c r="M4137" s="2" t="s">
        <v>2788</v>
      </c>
      <c r="N4137" s="2" t="s">
        <v>2789</v>
      </c>
      <c r="O4137" s="2"/>
      <c r="P4137" s="2"/>
      <c r="Q4137" s="2"/>
      <c r="R4137" s="2" t="s">
        <v>27279</v>
      </c>
      <c r="S4137" s="2" t="s">
        <v>27280</v>
      </c>
      <c r="T4137" s="2" t="s">
        <v>27281</v>
      </c>
      <c r="U4137" s="2" t="s">
        <v>266</v>
      </c>
      <c r="V4137" s="2" t="s">
        <v>2772</v>
      </c>
      <c r="W4137" s="2" t="s">
        <v>2773</v>
      </c>
      <c r="X4137" s="2" t="s">
        <v>147</v>
      </c>
      <c r="Y4137" s="2">
        <v>38.200000000000003</v>
      </c>
      <c r="Z4137" s="2">
        <v>0</v>
      </c>
      <c r="AA4137" s="2" t="s">
        <v>478</v>
      </c>
      <c r="AB4137" s="2" t="s">
        <v>27282</v>
      </c>
      <c r="AC4137" s="2">
        <v>-1.10611118834072</v>
      </c>
      <c r="AD4137" s="2"/>
      <c r="AE4137" s="2">
        <v>0.11367991443818801</v>
      </c>
      <c r="AF4137" s="2">
        <v>927.87760908999303</v>
      </c>
      <c r="AG4137" s="2">
        <v>471.51304285771101</v>
      </c>
      <c r="AH4137" s="5">
        <v>1.96787262440585</v>
      </c>
      <c r="AI4137" s="5">
        <v>0.97663684156883002</v>
      </c>
      <c r="AJ4137" s="5" t="s">
        <v>139</v>
      </c>
      <c r="AK4137" s="2">
        <v>0.185517999520149</v>
      </c>
      <c r="AL4137" s="2">
        <v>0.51040020334889302</v>
      </c>
      <c r="AM4137" s="2">
        <v>1068.43734482013</v>
      </c>
      <c r="AN4137" s="2">
        <v>2271.06087665936</v>
      </c>
      <c r="AO4137" s="2">
        <v>281.66435000456698</v>
      </c>
      <c r="AP4137" s="2">
        <v>220.29248971622101</v>
      </c>
      <c r="AQ4137" s="2">
        <v>684.70166675341204</v>
      </c>
      <c r="AR4137" s="2">
        <v>1041.1089265862699</v>
      </c>
      <c r="AS4137" s="2">
        <v>724.35819051938199</v>
      </c>
      <c r="AT4137" s="2">
        <v>441.57934252063302</v>
      </c>
      <c r="AU4137" s="2">
        <v>180.738488190705</v>
      </c>
      <c r="AV4137" s="2">
        <v>627.77470124758804</v>
      </c>
      <c r="AW4137" s="2">
        <v>649.809265803421</v>
      </c>
      <c r="AX4137" s="2">
        <v>204.818268864537</v>
      </c>
    </row>
    <row r="4138" spans="1:50" x14ac:dyDescent="0.25">
      <c r="A4138" s="2" t="s">
        <v>27283</v>
      </c>
      <c r="B4138" s="2">
        <v>347.19930418899202</v>
      </c>
      <c r="C4138" s="2">
        <v>9.31598333333333</v>
      </c>
      <c r="D4138" s="2" t="s">
        <v>51</v>
      </c>
      <c r="E4138" s="2" t="s">
        <v>27284</v>
      </c>
      <c r="F4138" s="2">
        <v>6538</v>
      </c>
      <c r="G4138" s="3" t="str">
        <f>HYPERLINK("https://cloud.oebiotech.com/#/lm/network/6538", "https://cloud.oebiotech.com/#/lm/network/6538")</f>
        <v>https://cloud.oebiotech.com/#/lm/network/6538</v>
      </c>
      <c r="H4138" s="2"/>
      <c r="I4138" s="2">
        <v>75350</v>
      </c>
      <c r="J4138" s="2" t="s">
        <v>27285</v>
      </c>
      <c r="K4138" s="2">
        <v>5283362</v>
      </c>
      <c r="L4138" s="2"/>
      <c r="M4138" s="2"/>
      <c r="N4138" s="2"/>
      <c r="O4138" s="2">
        <v>137718</v>
      </c>
      <c r="P4138" s="2"/>
      <c r="Q4138" s="2"/>
      <c r="R4138" s="2"/>
      <c r="S4138" s="2" t="s">
        <v>27286</v>
      </c>
      <c r="T4138" s="2" t="s">
        <v>27287</v>
      </c>
      <c r="U4138" s="2" t="s">
        <v>331</v>
      </c>
      <c r="V4138" s="2" t="s">
        <v>332</v>
      </c>
      <c r="W4138" s="2" t="s">
        <v>1207</v>
      </c>
      <c r="X4138" s="2" t="s">
        <v>83</v>
      </c>
      <c r="Y4138" s="2">
        <v>41.1</v>
      </c>
      <c r="Z4138" s="2">
        <v>0</v>
      </c>
      <c r="AA4138" s="2" t="s">
        <v>478</v>
      </c>
      <c r="AB4138" s="2" t="s">
        <v>27288</v>
      </c>
      <c r="AC4138" s="2">
        <v>-6.74743202993346</v>
      </c>
      <c r="AD4138" s="2"/>
      <c r="AE4138" s="2">
        <v>0.11365531198680601</v>
      </c>
      <c r="AF4138" s="2">
        <v>2774.63552176858</v>
      </c>
      <c r="AG4138" s="2">
        <v>1983.7234378446799</v>
      </c>
      <c r="AH4138" s="5">
        <v>1.3987007809834799</v>
      </c>
      <c r="AI4138" s="5">
        <v>0.48408736496010102</v>
      </c>
      <c r="AJ4138" s="5" t="s">
        <v>139</v>
      </c>
      <c r="AK4138" s="2">
        <v>0.44523272399038999</v>
      </c>
      <c r="AL4138" s="2">
        <v>0.700312309697811</v>
      </c>
      <c r="AM4138" s="2">
        <v>2899.6898091499102</v>
      </c>
      <c r="AN4138" s="2">
        <v>4359.6459697834698</v>
      </c>
      <c r="AO4138" s="2">
        <v>3422.77896769683</v>
      </c>
      <c r="AP4138" s="2">
        <v>1239.25287533347</v>
      </c>
      <c r="AQ4138" s="2">
        <v>1927.2158196371799</v>
      </c>
      <c r="AR4138" s="2">
        <v>2799.2296890106199</v>
      </c>
      <c r="AS4138" s="2">
        <v>1433.7295331726</v>
      </c>
      <c r="AT4138" s="2">
        <v>8.559877937157E-6</v>
      </c>
      <c r="AU4138" s="2">
        <v>3113.2910916953101</v>
      </c>
      <c r="AV4138" s="2">
        <v>774.13060188271004</v>
      </c>
      <c r="AW4138" s="2">
        <v>5869.0838813389901</v>
      </c>
      <c r="AX4138" s="2">
        <v>712.10551041857696</v>
      </c>
    </row>
    <row r="4139" spans="1:50" x14ac:dyDescent="0.25">
      <c r="A4139" s="2" t="s">
        <v>27289</v>
      </c>
      <c r="B4139" s="2">
        <v>451.163301902608</v>
      </c>
      <c r="C4139" s="2">
        <v>12.5362333333333</v>
      </c>
      <c r="D4139" s="2" t="s">
        <v>51</v>
      </c>
      <c r="E4139" s="2" t="s">
        <v>27290</v>
      </c>
      <c r="F4139" s="2">
        <v>204287</v>
      </c>
      <c r="G4139" s="3" t="str">
        <f>HYPERLINK("https://cloud.oebiotech.com/#/lm/network/204287", "https://cloud.oebiotech.com/#/lm/network/204287")</f>
        <v>https://cloud.oebiotech.com/#/lm/network/204287</v>
      </c>
      <c r="H4139" s="2" t="s">
        <v>27291</v>
      </c>
      <c r="I4139" s="2"/>
      <c r="J4139" s="2"/>
      <c r="K4139" s="2">
        <v>507773</v>
      </c>
      <c r="L4139" s="2"/>
      <c r="M4139" s="2"/>
      <c r="N4139" s="2"/>
      <c r="O4139" s="2"/>
      <c r="P4139" s="2"/>
      <c r="Q4139" s="2"/>
      <c r="R4139" s="2"/>
      <c r="S4139" s="2" t="s">
        <v>27292</v>
      </c>
      <c r="T4139" s="2" t="s">
        <v>27293</v>
      </c>
      <c r="U4139" s="2" t="s">
        <v>266</v>
      </c>
      <c r="V4139" s="2" t="s">
        <v>6065</v>
      </c>
      <c r="W4139" s="2" t="s">
        <v>240</v>
      </c>
      <c r="X4139" s="2" t="s">
        <v>147</v>
      </c>
      <c r="Y4139" s="2">
        <v>37.299999999999997</v>
      </c>
      <c r="Z4139" s="2">
        <v>0</v>
      </c>
      <c r="AA4139" s="2" t="s">
        <v>218</v>
      </c>
      <c r="AB4139" s="2" t="s">
        <v>27294</v>
      </c>
      <c r="AC4139" s="2">
        <v>2.44686720184795</v>
      </c>
      <c r="AD4139" s="2"/>
      <c r="AE4139" s="2">
        <v>0.11330848309648001</v>
      </c>
      <c r="AF4139" s="2">
        <v>2798.9245070959801</v>
      </c>
      <c r="AG4139" s="2">
        <v>3218.5163452542902</v>
      </c>
      <c r="AH4139" s="4">
        <v>0.86963190701920701</v>
      </c>
      <c r="AI4139" s="4">
        <v>-0.201523220697504</v>
      </c>
      <c r="AJ4139" s="4" t="s">
        <v>62</v>
      </c>
      <c r="AK4139" s="2">
        <v>0.194947163655427</v>
      </c>
      <c r="AL4139" s="2">
        <v>0.51854897429313196</v>
      </c>
      <c r="AM4139" s="2">
        <v>2506.0936840282402</v>
      </c>
      <c r="AN4139" s="2">
        <v>2882.0411184058198</v>
      </c>
      <c r="AO4139" s="2">
        <v>2721.6362424625099</v>
      </c>
      <c r="AP4139" s="2">
        <v>2365.51126268506</v>
      </c>
      <c r="AQ4139" s="2">
        <v>3355.6279974017002</v>
      </c>
      <c r="AR4139" s="2">
        <v>2962.6367375925402</v>
      </c>
      <c r="AS4139" s="2">
        <v>2552.6571168538999</v>
      </c>
      <c r="AT4139" s="2">
        <v>2361.2568693377598</v>
      </c>
      <c r="AU4139" s="2">
        <v>3245.7399814738701</v>
      </c>
      <c r="AV4139" s="2">
        <v>4013.6933642521899</v>
      </c>
      <c r="AW4139" s="2">
        <v>3737.7895452978501</v>
      </c>
      <c r="AX4139" s="2">
        <v>3399.96119431019</v>
      </c>
    </row>
    <row r="4140" spans="1:50" x14ac:dyDescent="0.25">
      <c r="A4140" s="2" t="s">
        <v>27295</v>
      </c>
      <c r="B4140" s="2">
        <v>244.07996016365499</v>
      </c>
      <c r="C4140" s="2">
        <v>0.71519999999999995</v>
      </c>
      <c r="D4140" s="2" t="s">
        <v>51</v>
      </c>
      <c r="E4140" s="2" t="s">
        <v>27296</v>
      </c>
      <c r="F4140" s="2">
        <v>209321</v>
      </c>
      <c r="G4140" s="3" t="str">
        <f>HYPERLINK("https://cloud.oebiotech.com/#/lm/network/209321", "https://cloud.oebiotech.com/#/lm/network/209321")</f>
        <v>https://cloud.oebiotech.com/#/lm/network/209321</v>
      </c>
      <c r="H4140" s="2" t="s">
        <v>27297</v>
      </c>
      <c r="I4140" s="2"/>
      <c r="J4140" s="2"/>
      <c r="K4140" s="2">
        <v>76090650</v>
      </c>
      <c r="L4140" s="2"/>
      <c r="M4140" s="2"/>
      <c r="N4140" s="2"/>
      <c r="O4140" s="2"/>
      <c r="P4140" s="2"/>
      <c r="Q4140" s="2"/>
      <c r="R4140" s="2"/>
      <c r="S4140" s="2" t="s">
        <v>27298</v>
      </c>
      <c r="T4140" s="2" t="s">
        <v>27299</v>
      </c>
      <c r="U4140" s="2" t="s">
        <v>331</v>
      </c>
      <c r="V4140" s="2" t="s">
        <v>332</v>
      </c>
      <c r="W4140" s="2" t="s">
        <v>333</v>
      </c>
      <c r="X4140" s="2" t="s">
        <v>83</v>
      </c>
      <c r="Y4140" s="2">
        <v>42.9</v>
      </c>
      <c r="Z4140" s="2">
        <v>15.5</v>
      </c>
      <c r="AA4140" s="2" t="s">
        <v>8321</v>
      </c>
      <c r="AB4140" s="2" t="s">
        <v>27300</v>
      </c>
      <c r="AC4140" s="2">
        <v>3.6287515145365798</v>
      </c>
      <c r="AD4140" s="2"/>
      <c r="AE4140" s="2">
        <v>0.11320245802380501</v>
      </c>
      <c r="AF4140" s="2">
        <v>41605.026231704796</v>
      </c>
      <c r="AG4140" s="2">
        <v>35187.825102857998</v>
      </c>
      <c r="AH4140" s="5">
        <v>1.1823699279534501</v>
      </c>
      <c r="AI4140" s="5">
        <v>0.24168148198494299</v>
      </c>
      <c r="AJ4140" s="5" t="s">
        <v>139</v>
      </c>
      <c r="AK4140" s="2">
        <v>0.65435023942223802</v>
      </c>
      <c r="AL4140" s="2">
        <v>0.83240942988891198</v>
      </c>
      <c r="AM4140" s="2">
        <v>16535.397917015998</v>
      </c>
      <c r="AN4140" s="2">
        <v>24339.024013239701</v>
      </c>
      <c r="AO4140" s="2">
        <v>29482.4622003236</v>
      </c>
      <c r="AP4140" s="2">
        <v>22782.9152253629</v>
      </c>
      <c r="AQ4140" s="2">
        <v>105305.722914421</v>
      </c>
      <c r="AR4140" s="2">
        <v>51184.635119865401</v>
      </c>
      <c r="AS4140" s="2">
        <v>46635.578772294102</v>
      </c>
      <c r="AT4140" s="2">
        <v>36327.379013440303</v>
      </c>
      <c r="AU4140" s="2">
        <v>29352.927890012499</v>
      </c>
      <c r="AV4140" s="2">
        <v>30486.361096126999</v>
      </c>
      <c r="AW4140" s="2">
        <v>30049.4806327769</v>
      </c>
      <c r="AX4140" s="2">
        <v>38275.223212497403</v>
      </c>
    </row>
    <row r="4141" spans="1:50" x14ac:dyDescent="0.25">
      <c r="A4141" s="2" t="s">
        <v>27301</v>
      </c>
      <c r="B4141" s="2">
        <v>387.17553779588297</v>
      </c>
      <c r="C4141" s="2">
        <v>4.4017833333333298</v>
      </c>
      <c r="D4141" s="2" t="s">
        <v>51</v>
      </c>
      <c r="E4141" s="2" t="s">
        <v>27302</v>
      </c>
      <c r="F4141" s="2">
        <v>209320</v>
      </c>
      <c r="G4141" s="3" t="str">
        <f>HYPERLINK("https://cloud.oebiotech.com/#/lm/network/209320", "https://cloud.oebiotech.com/#/lm/network/209320")</f>
        <v>https://cloud.oebiotech.com/#/lm/network/209320</v>
      </c>
      <c r="H4141" s="2" t="s">
        <v>27303</v>
      </c>
      <c r="I4141" s="2"/>
      <c r="J4141" s="2"/>
      <c r="K4141" s="2">
        <v>44282903</v>
      </c>
      <c r="L4141" s="2"/>
      <c r="M4141" s="2"/>
      <c r="N4141" s="2"/>
      <c r="O4141" s="2"/>
      <c r="P4141" s="2"/>
      <c r="Q4141" s="2"/>
      <c r="R4141" s="2"/>
      <c r="S4141" s="2" t="s">
        <v>27304</v>
      </c>
      <c r="T4141" s="2" t="s">
        <v>27305</v>
      </c>
      <c r="U4141" s="2" t="s">
        <v>295</v>
      </c>
      <c r="V4141" s="2" t="s">
        <v>5395</v>
      </c>
      <c r="W4141" s="2" t="s">
        <v>240</v>
      </c>
      <c r="X4141" s="2" t="s">
        <v>147</v>
      </c>
      <c r="Y4141" s="2">
        <v>37.299999999999997</v>
      </c>
      <c r="Z4141" s="2">
        <v>1.08</v>
      </c>
      <c r="AA4141" s="2" t="s">
        <v>95</v>
      </c>
      <c r="AB4141" s="2" t="s">
        <v>27306</v>
      </c>
      <c r="AC4141" s="2">
        <v>1.13634042258665</v>
      </c>
      <c r="AD4141" s="2"/>
      <c r="AE4141" s="2">
        <v>0.112792372859166</v>
      </c>
      <c r="AF4141" s="2">
        <v>1046.1666983888799</v>
      </c>
      <c r="AG4141" s="2">
        <v>1797.95697931617</v>
      </c>
      <c r="AH4141" s="4">
        <v>0.58186414381659601</v>
      </c>
      <c r="AI4141" s="4">
        <v>-0.781245749179314</v>
      </c>
      <c r="AJ4141" s="4" t="s">
        <v>62</v>
      </c>
      <c r="AK4141" s="2">
        <v>0.63255648112097795</v>
      </c>
      <c r="AL4141" s="2">
        <v>0.81961759677329704</v>
      </c>
      <c r="AM4141" s="2">
        <v>5.9493401133002798E-3</v>
      </c>
      <c r="AN4141" s="2">
        <v>8.559877937157E-6</v>
      </c>
      <c r="AO4141" s="2">
        <v>1123.18515719528</v>
      </c>
      <c r="AP4141" s="2">
        <v>120.39182108131099</v>
      </c>
      <c r="AQ4141" s="2">
        <v>882.568671294159</v>
      </c>
      <c r="AR4141" s="2">
        <v>4150.8485828625298</v>
      </c>
      <c r="AS4141" s="2">
        <v>8602.8236358718095</v>
      </c>
      <c r="AT4141" s="2">
        <v>1129.5916786481801</v>
      </c>
      <c r="AU4141" s="2">
        <v>8.559877937157E-6</v>
      </c>
      <c r="AV4141" s="2">
        <v>8.559877937157E-6</v>
      </c>
      <c r="AW4141" s="2">
        <v>8.559877937157E-6</v>
      </c>
      <c r="AX4141" s="2">
        <v>1055.32653569742</v>
      </c>
    </row>
    <row r="4142" spans="1:50" x14ac:dyDescent="0.25">
      <c r="A4142" s="2" t="s">
        <v>27307</v>
      </c>
      <c r="B4142" s="2">
        <v>229.119120970252</v>
      </c>
      <c r="C4142" s="2">
        <v>3.60421666666667</v>
      </c>
      <c r="D4142" s="2" t="s">
        <v>51</v>
      </c>
      <c r="E4142" s="2" t="s">
        <v>27308</v>
      </c>
      <c r="F4142" s="2">
        <v>208948</v>
      </c>
      <c r="G4142" s="3" t="str">
        <f>HYPERLINK("https://cloud.oebiotech.com/#/lm/network/208948", "https://cloud.oebiotech.com/#/lm/network/208948")</f>
        <v>https://cloud.oebiotech.com/#/lm/network/208948</v>
      </c>
      <c r="H4142" s="2" t="s">
        <v>27309</v>
      </c>
      <c r="I4142" s="2"/>
      <c r="J4142" s="2"/>
      <c r="K4142" s="2">
        <v>115379</v>
      </c>
      <c r="L4142" s="2"/>
      <c r="M4142" s="2"/>
      <c r="N4142" s="2"/>
      <c r="O4142" s="2"/>
      <c r="P4142" s="2"/>
      <c r="Q4142" s="2"/>
      <c r="R4142" s="2"/>
      <c r="S4142" s="2" t="s">
        <v>27310</v>
      </c>
      <c r="T4142" s="2" t="s">
        <v>27311</v>
      </c>
      <c r="U4142" s="2" t="s">
        <v>266</v>
      </c>
      <c r="V4142" s="2" t="s">
        <v>12382</v>
      </c>
      <c r="W4142" s="2" t="s">
        <v>12383</v>
      </c>
      <c r="X4142" s="2" t="s">
        <v>83</v>
      </c>
      <c r="Y4142" s="2">
        <v>41.8</v>
      </c>
      <c r="Z4142" s="2">
        <v>0</v>
      </c>
      <c r="AA4142" s="2" t="s">
        <v>259</v>
      </c>
      <c r="AB4142" s="2" t="s">
        <v>4907</v>
      </c>
      <c r="AC4142" s="2">
        <v>3.6716215607329601</v>
      </c>
      <c r="AD4142" s="2"/>
      <c r="AE4142" s="2">
        <v>0.112675692080192</v>
      </c>
      <c r="AF4142" s="2">
        <v>4940.4415392511701</v>
      </c>
      <c r="AG4142" s="2">
        <v>9426.2867189829394</v>
      </c>
      <c r="AH4142" s="4">
        <v>0.52411322576279695</v>
      </c>
      <c r="AI4142" s="4">
        <v>-0.93204957968819702</v>
      </c>
      <c r="AJ4142" s="4" t="s">
        <v>62</v>
      </c>
      <c r="AK4142" s="2">
        <v>0.57672933282941197</v>
      </c>
      <c r="AL4142" s="2">
        <v>0.78657023126793102</v>
      </c>
      <c r="AM4142" s="2">
        <v>9770.3234067046305</v>
      </c>
      <c r="AN4142" s="2">
        <v>3655.9049629538499</v>
      </c>
      <c r="AO4142" s="2">
        <v>3838.8249203310102</v>
      </c>
      <c r="AP4142" s="2">
        <v>4748.2876235323201</v>
      </c>
      <c r="AQ4142" s="2">
        <v>5298.5631265277798</v>
      </c>
      <c r="AR4142" s="2">
        <v>2330.7451954573999</v>
      </c>
      <c r="AS4142" s="2">
        <v>92.766686319991393</v>
      </c>
      <c r="AT4142" s="2">
        <v>845.20788052866101</v>
      </c>
      <c r="AU4142" s="2">
        <v>47839.012645167502</v>
      </c>
      <c r="AV4142" s="2">
        <v>2139.6903929770601</v>
      </c>
      <c r="AW4142" s="2">
        <v>4188.1093299696804</v>
      </c>
      <c r="AX4142" s="2">
        <v>1452.93337893477</v>
      </c>
    </row>
    <row r="4143" spans="1:50" x14ac:dyDescent="0.25">
      <c r="A4143" s="2" t="s">
        <v>27312</v>
      </c>
      <c r="B4143" s="2">
        <v>313.27458666118798</v>
      </c>
      <c r="C4143" s="2">
        <v>14.459250000000001</v>
      </c>
      <c r="D4143" s="2" t="s">
        <v>51</v>
      </c>
      <c r="E4143" s="2" t="s">
        <v>27313</v>
      </c>
      <c r="F4143" s="2">
        <v>267294</v>
      </c>
      <c r="G4143" s="3" t="str">
        <f>HYPERLINK("https://cloud.oebiotech.com/#/lm/network/267294", "https://cloud.oebiotech.com/#/lm/network/267294")</f>
        <v>https://cloud.oebiotech.com/#/lm/network/267294</v>
      </c>
      <c r="H4143" s="2"/>
      <c r="I4143" s="2">
        <v>45190</v>
      </c>
      <c r="J4143" s="2"/>
      <c r="K4143" s="2">
        <v>5354133</v>
      </c>
      <c r="L4143" s="2"/>
      <c r="M4143" s="2"/>
      <c r="N4143" s="2"/>
      <c r="O4143" s="2"/>
      <c r="P4143" s="2"/>
      <c r="Q4143" s="2"/>
      <c r="R4143" s="2" t="s">
        <v>27314</v>
      </c>
      <c r="S4143" s="2" t="s">
        <v>27315</v>
      </c>
      <c r="T4143" s="2" t="s">
        <v>27316</v>
      </c>
      <c r="U4143" s="2" t="s">
        <v>56</v>
      </c>
      <c r="V4143" s="2" t="s">
        <v>145</v>
      </c>
      <c r="W4143" s="2" t="s">
        <v>146</v>
      </c>
      <c r="X4143" s="2" t="s">
        <v>147</v>
      </c>
      <c r="Y4143" s="2">
        <v>39.9</v>
      </c>
      <c r="Z4143" s="2">
        <v>10.9</v>
      </c>
      <c r="AA4143" s="2" t="s">
        <v>60</v>
      </c>
      <c r="AB4143" s="2" t="s">
        <v>27317</v>
      </c>
      <c r="AC4143" s="2">
        <v>2.77076196329473</v>
      </c>
      <c r="AD4143" s="2"/>
      <c r="AE4143" s="2">
        <v>0.112446960185473</v>
      </c>
      <c r="AF4143" s="2">
        <v>21806.658081209302</v>
      </c>
      <c r="AG4143" s="2">
        <v>25264.636788545798</v>
      </c>
      <c r="AH4143" s="4">
        <v>0.86312968849390803</v>
      </c>
      <c r="AI4143" s="4">
        <v>-0.21235074882032201</v>
      </c>
      <c r="AJ4143" s="4" t="s">
        <v>62</v>
      </c>
      <c r="AK4143" s="2">
        <v>0.55373916284101898</v>
      </c>
      <c r="AL4143" s="2">
        <v>0.77408745226916198</v>
      </c>
      <c r="AM4143" s="2">
        <v>21479.906414606001</v>
      </c>
      <c r="AN4143" s="2">
        <v>43593.994146572899</v>
      </c>
      <c r="AO4143" s="2">
        <v>20381.8671148914</v>
      </c>
      <c r="AP4143" s="2">
        <v>12388.3342926072</v>
      </c>
      <c r="AQ4143" s="2">
        <v>21402.781420118699</v>
      </c>
      <c r="AR4143" s="2">
        <v>11593.065098459499</v>
      </c>
      <c r="AS4143" s="2">
        <v>13680.162905835101</v>
      </c>
      <c r="AT4143" s="2">
        <v>25091.540190604599</v>
      </c>
      <c r="AU4143" s="2">
        <v>27035.034415641399</v>
      </c>
      <c r="AV4143" s="2">
        <v>36994.463855887399</v>
      </c>
      <c r="AW4143" s="2">
        <v>22267.020804418</v>
      </c>
      <c r="AX4143" s="2">
        <v>26519.598558888501</v>
      </c>
    </row>
    <row r="4144" spans="1:50" x14ac:dyDescent="0.25">
      <c r="A4144" s="2" t="s">
        <v>27318</v>
      </c>
      <c r="B4144" s="2">
        <v>437.17926649681601</v>
      </c>
      <c r="C4144" s="2">
        <v>6.2822500000000003</v>
      </c>
      <c r="D4144" s="2" t="s">
        <v>51</v>
      </c>
      <c r="E4144" s="2" t="s">
        <v>27319</v>
      </c>
      <c r="F4144" s="2">
        <v>61933</v>
      </c>
      <c r="G4144" s="3" t="str">
        <f>HYPERLINK("https://cloud.oebiotech.com/#/lm/network/61933", "https://cloud.oebiotech.com/#/lm/network/61933")</f>
        <v>https://cloud.oebiotech.com/#/lm/network/61933</v>
      </c>
      <c r="H4144" s="2" t="s">
        <v>27320</v>
      </c>
      <c r="I4144" s="2"/>
      <c r="J4144" s="2"/>
      <c r="K4144" s="2">
        <v>167736</v>
      </c>
      <c r="L4144" s="2"/>
      <c r="M4144" s="2"/>
      <c r="N4144" s="2"/>
      <c r="O4144" s="2"/>
      <c r="P4144" s="2"/>
      <c r="Q4144" s="2"/>
      <c r="R4144" s="2" t="s">
        <v>27321</v>
      </c>
      <c r="S4144" s="2" t="s">
        <v>27322</v>
      </c>
      <c r="T4144" s="2" t="s">
        <v>27323</v>
      </c>
      <c r="U4144" s="2" t="s">
        <v>56</v>
      </c>
      <c r="V4144" s="2" t="s">
        <v>177</v>
      </c>
      <c r="W4144" s="2" t="s">
        <v>1996</v>
      </c>
      <c r="X4144" s="2" t="s">
        <v>83</v>
      </c>
      <c r="Y4144" s="2">
        <v>38.9</v>
      </c>
      <c r="Z4144" s="2">
        <v>0</v>
      </c>
      <c r="AA4144" s="2" t="s">
        <v>163</v>
      </c>
      <c r="AB4144" s="2" t="s">
        <v>27324</v>
      </c>
      <c r="AC4144" s="2">
        <v>-5.5674821160795904</v>
      </c>
      <c r="AD4144" s="2"/>
      <c r="AE4144" s="2">
        <v>0.11235315238137999</v>
      </c>
      <c r="AF4144" s="2">
        <v>1951.09472079949</v>
      </c>
      <c r="AG4144" s="2">
        <v>2769.4774282909798</v>
      </c>
      <c r="AH4144" s="4">
        <v>0.70449923182926699</v>
      </c>
      <c r="AI4144" s="4">
        <v>-0.50532996143507802</v>
      </c>
      <c r="AJ4144" s="4" t="s">
        <v>62</v>
      </c>
      <c r="AK4144" s="2">
        <v>0.44530716164828998</v>
      </c>
      <c r="AL4144" s="2">
        <v>0.700312309697811</v>
      </c>
      <c r="AM4144" s="2">
        <v>1886.7971901569499</v>
      </c>
      <c r="AN4144" s="2">
        <v>3645.3772740136101</v>
      </c>
      <c r="AO4144" s="2">
        <v>1766.7770312976299</v>
      </c>
      <c r="AP4144" s="2">
        <v>1303.8250971422301</v>
      </c>
      <c r="AQ4144" s="2">
        <v>721.23829225331394</v>
      </c>
      <c r="AR4144" s="2">
        <v>2382.55343993319</v>
      </c>
      <c r="AS4144" s="2">
        <v>2148.8430361687501</v>
      </c>
      <c r="AT4144" s="2">
        <v>479.33430516888097</v>
      </c>
      <c r="AU4144" s="2">
        <v>3562.2068808816598</v>
      </c>
      <c r="AV4144" s="2">
        <v>3349.1108912618802</v>
      </c>
      <c r="AW4144" s="2">
        <v>6622.5496383587097</v>
      </c>
      <c r="AX4144" s="2">
        <v>454.81981790597899</v>
      </c>
    </row>
    <row r="4145" spans="1:50" x14ac:dyDescent="0.25">
      <c r="A4145" s="2" t="s">
        <v>27325</v>
      </c>
      <c r="B4145" s="2">
        <v>561.23222639620803</v>
      </c>
      <c r="C4145" s="2">
        <v>7.6115166666666703</v>
      </c>
      <c r="D4145" s="2" t="s">
        <v>51</v>
      </c>
      <c r="E4145" s="2" t="s">
        <v>27326</v>
      </c>
      <c r="F4145" s="2">
        <v>24874</v>
      </c>
      <c r="G4145" s="3" t="str">
        <f>HYPERLINK("https://cloud.oebiotech.com/#/lm/network/24874", "https://cloud.oebiotech.com/#/lm/network/24874")</f>
        <v>https://cloud.oebiotech.com/#/lm/network/24874</v>
      </c>
      <c r="H4145" s="2"/>
      <c r="I4145" s="2"/>
      <c r="J4145" s="2" t="s">
        <v>27327</v>
      </c>
      <c r="K4145" s="2">
        <v>52928602</v>
      </c>
      <c r="L4145" s="2"/>
      <c r="M4145" s="2"/>
      <c r="N4145" s="2"/>
      <c r="O4145" s="2"/>
      <c r="P4145" s="2"/>
      <c r="Q4145" s="2"/>
      <c r="R4145" s="2"/>
      <c r="S4145" s="2" t="s">
        <v>27328</v>
      </c>
      <c r="T4145" s="2" t="s">
        <v>27329</v>
      </c>
      <c r="U4145" s="2" t="s">
        <v>56</v>
      </c>
      <c r="V4145" s="2" t="s">
        <v>57</v>
      </c>
      <c r="W4145" s="2" t="s">
        <v>1097</v>
      </c>
      <c r="X4145" s="2" t="s">
        <v>83</v>
      </c>
      <c r="Y4145" s="2">
        <v>52.2</v>
      </c>
      <c r="Z4145" s="2">
        <v>28.8</v>
      </c>
      <c r="AA4145" s="2" t="s">
        <v>218</v>
      </c>
      <c r="AB4145" s="2" t="s">
        <v>27330</v>
      </c>
      <c r="AC4145" s="2">
        <v>0.89135354633645503</v>
      </c>
      <c r="AD4145" s="2"/>
      <c r="AE4145" s="2">
        <v>0.112332301493019</v>
      </c>
      <c r="AF4145" s="2">
        <v>2527.98042834539</v>
      </c>
      <c r="AG4145" s="2">
        <v>2194.7285843474101</v>
      </c>
      <c r="AH4145" s="5">
        <v>1.1518419390783501</v>
      </c>
      <c r="AI4145" s="5">
        <v>0.20394275727240099</v>
      </c>
      <c r="AJ4145" s="5" t="s">
        <v>139</v>
      </c>
      <c r="AK4145" s="2">
        <v>0.88929830379837504</v>
      </c>
      <c r="AL4145" s="2">
        <v>0.95222097208274104</v>
      </c>
      <c r="AM4145" s="2">
        <v>12652.6176133314</v>
      </c>
      <c r="AN4145" s="2">
        <v>8.559877937157E-6</v>
      </c>
      <c r="AO4145" s="2">
        <v>8.559877937157E-6</v>
      </c>
      <c r="AP4145" s="2">
        <v>848.98749402238104</v>
      </c>
      <c r="AQ4145" s="2">
        <v>878.98273068353296</v>
      </c>
      <c r="AR4145" s="2">
        <v>787.29471491529705</v>
      </c>
      <c r="AS4145" s="2">
        <v>8.559877937157E-6</v>
      </c>
      <c r="AT4145" s="2">
        <v>5252.5187885074802</v>
      </c>
      <c r="AU4145" s="2">
        <v>1008.77262148097</v>
      </c>
      <c r="AV4145" s="2">
        <v>624.40156569586998</v>
      </c>
      <c r="AW4145" s="2">
        <v>6282.6785132803598</v>
      </c>
      <c r="AX4145" s="2">
        <v>8.559877937157E-6</v>
      </c>
    </row>
    <row r="4146" spans="1:50" x14ac:dyDescent="0.25">
      <c r="A4146" s="2" t="s">
        <v>27331</v>
      </c>
      <c r="B4146" s="2">
        <v>294.17094365384901</v>
      </c>
      <c r="C4146" s="2">
        <v>4.8526333333333298</v>
      </c>
      <c r="D4146" s="2" t="s">
        <v>51</v>
      </c>
      <c r="E4146" s="2" t="s">
        <v>27332</v>
      </c>
      <c r="F4146" s="2">
        <v>55511</v>
      </c>
      <c r="G4146" s="3" t="str">
        <f>HYPERLINK("https://cloud.oebiotech.com/#/lm/network/55511", "https://cloud.oebiotech.com/#/lm/network/55511")</f>
        <v>https://cloud.oebiotech.com/#/lm/network/55511</v>
      </c>
      <c r="H4146" s="2" t="s">
        <v>27333</v>
      </c>
      <c r="I4146" s="2">
        <v>87183</v>
      </c>
      <c r="J4146" s="2"/>
      <c r="K4146" s="2">
        <v>5316039</v>
      </c>
      <c r="L4146" s="2"/>
      <c r="M4146" s="2"/>
      <c r="N4146" s="2"/>
      <c r="O4146" s="2">
        <v>168987</v>
      </c>
      <c r="P4146" s="2"/>
      <c r="Q4146" s="2"/>
      <c r="R4146" s="2"/>
      <c r="S4146" s="2" t="s">
        <v>27334</v>
      </c>
      <c r="T4146" s="2" t="s">
        <v>27335</v>
      </c>
      <c r="U4146" s="2" t="s">
        <v>610</v>
      </c>
      <c r="V4146" s="2" t="s">
        <v>14762</v>
      </c>
      <c r="W4146" s="2" t="s">
        <v>23206</v>
      </c>
      <c r="X4146" s="2" t="s">
        <v>147</v>
      </c>
      <c r="Y4146" s="2">
        <v>47.6</v>
      </c>
      <c r="Z4146" s="2">
        <v>43.1</v>
      </c>
      <c r="AA4146" s="2" t="s">
        <v>512</v>
      </c>
      <c r="AB4146" s="2" t="s">
        <v>27336</v>
      </c>
      <c r="AC4146" s="2">
        <v>3.4729396236865999</v>
      </c>
      <c r="AD4146" s="2"/>
      <c r="AE4146" s="2">
        <v>0.11227756044776201</v>
      </c>
      <c r="AF4146" s="2">
        <v>3022.24456711537</v>
      </c>
      <c r="AG4146" s="2">
        <v>1828.3131247623501</v>
      </c>
      <c r="AH4146" s="5">
        <v>1.6530235035687399</v>
      </c>
      <c r="AI4146" s="5">
        <v>0.72510723778267305</v>
      </c>
      <c r="AJ4146" s="5" t="s">
        <v>139</v>
      </c>
      <c r="AK4146" s="2">
        <v>0.34036273897754299</v>
      </c>
      <c r="AL4146" s="2">
        <v>0.63815037094278604</v>
      </c>
      <c r="AM4146" s="2">
        <v>756.38792390318304</v>
      </c>
      <c r="AN4146" s="2">
        <v>3651.73572208523</v>
      </c>
      <c r="AO4146" s="2">
        <v>2140.2988261570199</v>
      </c>
      <c r="AP4146" s="2">
        <v>7330.3240396102601</v>
      </c>
      <c r="AQ4146" s="2">
        <v>1892.31382428799</v>
      </c>
      <c r="AR4146" s="2">
        <v>2362.40706664855</v>
      </c>
      <c r="AS4146" s="2">
        <v>2939.9523765659601</v>
      </c>
      <c r="AT4146" s="2">
        <v>4788.6375777041803</v>
      </c>
      <c r="AU4146" s="2">
        <v>396.29198686882199</v>
      </c>
      <c r="AV4146" s="2">
        <v>8.559877937157E-6</v>
      </c>
      <c r="AW4146" s="2">
        <v>1849.05523110172</v>
      </c>
      <c r="AX4146" s="2">
        <v>995.94156777356898</v>
      </c>
    </row>
    <row r="4147" spans="1:50" x14ac:dyDescent="0.25">
      <c r="A4147" s="2" t="s">
        <v>27337</v>
      </c>
      <c r="B4147" s="2">
        <v>465.24943726200502</v>
      </c>
      <c r="C4147" s="2">
        <v>7.6020666666666701</v>
      </c>
      <c r="D4147" s="2" t="s">
        <v>51</v>
      </c>
      <c r="E4147" s="2" t="s">
        <v>27338</v>
      </c>
      <c r="F4147" s="2">
        <v>46632</v>
      </c>
      <c r="G4147" s="3" t="str">
        <f>HYPERLINK("https://cloud.oebiotech.com/#/lm/network/46632", "https://cloud.oebiotech.com/#/lm/network/46632")</f>
        <v>https://cloud.oebiotech.com/#/lm/network/46632</v>
      </c>
      <c r="H4147" s="2" t="s">
        <v>27339</v>
      </c>
      <c r="I4147" s="2">
        <v>2796</v>
      </c>
      <c r="J4147" s="2" t="s">
        <v>27340</v>
      </c>
      <c r="K4147" s="2">
        <v>114833</v>
      </c>
      <c r="L4147" s="2" t="s">
        <v>27341</v>
      </c>
      <c r="M4147" s="2" t="s">
        <v>2681</v>
      </c>
      <c r="N4147" s="2" t="s">
        <v>2682</v>
      </c>
      <c r="O4147" s="2">
        <v>28832</v>
      </c>
      <c r="P4147" s="2"/>
      <c r="Q4147" s="2"/>
      <c r="R4147" s="2" t="s">
        <v>27342</v>
      </c>
      <c r="S4147" s="2" t="s">
        <v>27343</v>
      </c>
      <c r="T4147" s="2" t="s">
        <v>27344</v>
      </c>
      <c r="U4147" s="2" t="s">
        <v>56</v>
      </c>
      <c r="V4147" s="2" t="s">
        <v>283</v>
      </c>
      <c r="W4147" s="2" t="s">
        <v>3462</v>
      </c>
      <c r="X4147" s="2" t="s">
        <v>83</v>
      </c>
      <c r="Y4147" s="2">
        <v>41.7</v>
      </c>
      <c r="Z4147" s="2">
        <v>2.8000000000000001E-2</v>
      </c>
      <c r="AA4147" s="2" t="s">
        <v>163</v>
      </c>
      <c r="AB4147" s="2" t="s">
        <v>25401</v>
      </c>
      <c r="AC4147" s="2">
        <v>9.7626195465218404E-2</v>
      </c>
      <c r="AD4147" s="2"/>
      <c r="AE4147" s="2">
        <v>0.11226671367466499</v>
      </c>
      <c r="AF4147" s="2">
        <v>4199.3301817585798</v>
      </c>
      <c r="AG4147" s="2">
        <v>5130.8808705946403</v>
      </c>
      <c r="AH4147" s="4">
        <v>0.81844234697109497</v>
      </c>
      <c r="AI4147" s="4">
        <v>-0.28904730148466301</v>
      </c>
      <c r="AJ4147" s="4" t="s">
        <v>62</v>
      </c>
      <c r="AK4147" s="2">
        <v>0.59770794008292705</v>
      </c>
      <c r="AL4147" s="2">
        <v>0.79813782014335899</v>
      </c>
      <c r="AM4147" s="2">
        <v>1242.09521825768</v>
      </c>
      <c r="AN4147" s="2">
        <v>4016.8443792913799</v>
      </c>
      <c r="AO4147" s="2">
        <v>10286.4546038587</v>
      </c>
      <c r="AP4147" s="2">
        <v>4329.5051613967898</v>
      </c>
      <c r="AQ4147" s="2">
        <v>2525.7379570521098</v>
      </c>
      <c r="AR4147" s="2">
        <v>2795.3437706947898</v>
      </c>
      <c r="AS4147" s="2">
        <v>3255.69344646529</v>
      </c>
      <c r="AT4147" s="2">
        <v>4753.8837908845899</v>
      </c>
      <c r="AU4147" s="2">
        <v>4393.3667640993099</v>
      </c>
      <c r="AV4147" s="2">
        <v>9250.3755047046907</v>
      </c>
      <c r="AW4147" s="2">
        <v>7324.7339234625597</v>
      </c>
      <c r="AX4147" s="2">
        <v>1807.2317939514201</v>
      </c>
    </row>
    <row r="4148" spans="1:50" x14ac:dyDescent="0.25">
      <c r="A4148" s="2" t="s">
        <v>27345</v>
      </c>
      <c r="B4148" s="2">
        <v>227.08974494920699</v>
      </c>
      <c r="C4148" s="2">
        <v>5.8194666666666697</v>
      </c>
      <c r="D4148" s="2" t="s">
        <v>51</v>
      </c>
      <c r="E4148" s="2" t="s">
        <v>27346</v>
      </c>
      <c r="F4148" s="2">
        <v>53126</v>
      </c>
      <c r="G4148" s="3" t="str">
        <f>HYPERLINK("https://cloud.oebiotech.com/#/lm/network/53126", "https://cloud.oebiotech.com/#/lm/network/53126")</f>
        <v>https://cloud.oebiotech.com/#/lm/network/53126</v>
      </c>
      <c r="H4148" s="2" t="s">
        <v>27347</v>
      </c>
      <c r="I4148" s="2"/>
      <c r="J4148" s="2"/>
      <c r="K4148" s="2">
        <v>2942</v>
      </c>
      <c r="L4148" s="2"/>
      <c r="M4148" s="2"/>
      <c r="N4148" s="2"/>
      <c r="O4148" s="2">
        <v>4305</v>
      </c>
      <c r="P4148" s="2"/>
      <c r="Q4148" s="2"/>
      <c r="R4148" s="2" t="s">
        <v>27348</v>
      </c>
      <c r="S4148" s="2" t="s">
        <v>27349</v>
      </c>
      <c r="T4148" s="2" t="s">
        <v>27350</v>
      </c>
      <c r="U4148" s="2" t="s">
        <v>103</v>
      </c>
      <c r="V4148" s="2" t="s">
        <v>104</v>
      </c>
      <c r="W4148" s="2" t="s">
        <v>9173</v>
      </c>
      <c r="X4148" s="2" t="s">
        <v>147</v>
      </c>
      <c r="Y4148" s="2">
        <v>39.700000000000003</v>
      </c>
      <c r="Z4148" s="2">
        <v>0.81599999999999995</v>
      </c>
      <c r="AA4148" s="2" t="s">
        <v>218</v>
      </c>
      <c r="AB4148" s="2" t="s">
        <v>27351</v>
      </c>
      <c r="AC4148" s="2">
        <v>-0.36734176625049902</v>
      </c>
      <c r="AD4148" s="2"/>
      <c r="AE4148" s="2">
        <v>0.112089353474833</v>
      </c>
      <c r="AF4148" s="2">
        <v>7345.2711619306801</v>
      </c>
      <c r="AG4148" s="2">
        <v>6421.8718525868799</v>
      </c>
      <c r="AH4148" s="5">
        <v>1.14378974394698</v>
      </c>
      <c r="AI4148" s="5">
        <v>0.19382187445593199</v>
      </c>
      <c r="AJ4148" s="5" t="s">
        <v>139</v>
      </c>
      <c r="AK4148" s="2">
        <v>0.45943147206754897</v>
      </c>
      <c r="AL4148" s="2">
        <v>0.70976962000131105</v>
      </c>
      <c r="AM4148" s="2">
        <v>7181.3935744135197</v>
      </c>
      <c r="AN4148" s="2">
        <v>9217.2489305272502</v>
      </c>
      <c r="AO4148" s="2">
        <v>6860.6953490787701</v>
      </c>
      <c r="AP4148" s="2">
        <v>5971.1842727250696</v>
      </c>
      <c r="AQ4148" s="2">
        <v>6872.6873733705797</v>
      </c>
      <c r="AR4148" s="2">
        <v>7968.4174714688797</v>
      </c>
      <c r="AS4148" s="2">
        <v>5619.9495512063604</v>
      </c>
      <c r="AT4148" s="2">
        <v>3559.9523615042899</v>
      </c>
      <c r="AU4148" s="2">
        <v>8203.7563692299409</v>
      </c>
      <c r="AV4148" s="2">
        <v>3494.07528472269</v>
      </c>
      <c r="AW4148" s="2">
        <v>10375.203612706</v>
      </c>
      <c r="AX4148" s="2">
        <v>7278.2939361519802</v>
      </c>
    </row>
    <row r="4149" spans="1:50" x14ac:dyDescent="0.25">
      <c r="A4149" s="2" t="s">
        <v>27352</v>
      </c>
      <c r="B4149" s="2">
        <v>305.17593138025597</v>
      </c>
      <c r="C4149" s="2">
        <v>8.9855999999999998</v>
      </c>
      <c r="D4149" s="2" t="s">
        <v>51</v>
      </c>
      <c r="E4149" s="2" t="s">
        <v>27353</v>
      </c>
      <c r="F4149" s="2">
        <v>266884</v>
      </c>
      <c r="G4149" s="3" t="str">
        <f>HYPERLINK("https://cloud.oebiotech.com/#/lm/network/266884", "https://cloud.oebiotech.com/#/lm/network/266884")</f>
        <v>https://cloud.oebiotech.com/#/lm/network/266884</v>
      </c>
      <c r="H4149" s="2"/>
      <c r="I4149" s="2">
        <v>44203</v>
      </c>
      <c r="J4149" s="2"/>
      <c r="K4149" s="2">
        <v>93868</v>
      </c>
      <c r="L4149" s="2"/>
      <c r="M4149" s="2"/>
      <c r="N4149" s="2"/>
      <c r="O4149" s="2"/>
      <c r="P4149" s="2"/>
      <c r="Q4149" s="2"/>
      <c r="R4149" s="2" t="s">
        <v>27354</v>
      </c>
      <c r="S4149" s="2" t="s">
        <v>27355</v>
      </c>
      <c r="T4149" s="2" t="s">
        <v>27356</v>
      </c>
      <c r="U4149" s="2" t="s">
        <v>56</v>
      </c>
      <c r="V4149" s="2" t="s">
        <v>177</v>
      </c>
      <c r="W4149" s="2" t="s">
        <v>584</v>
      </c>
      <c r="X4149" s="2" t="s">
        <v>147</v>
      </c>
      <c r="Y4149" s="2">
        <v>38.5</v>
      </c>
      <c r="Z4149" s="2">
        <v>0</v>
      </c>
      <c r="AA4149" s="2" t="s">
        <v>218</v>
      </c>
      <c r="AB4149" s="2" t="s">
        <v>27357</v>
      </c>
      <c r="AC4149" s="2">
        <v>0.37859310137077201</v>
      </c>
      <c r="AD4149" s="2"/>
      <c r="AE4149" s="2">
        <v>0.11198382891952</v>
      </c>
      <c r="AF4149" s="2">
        <v>2418.8094312337198</v>
      </c>
      <c r="AG4149" s="2">
        <v>1858.5147817796601</v>
      </c>
      <c r="AH4149" s="5">
        <v>1.3014744111518599</v>
      </c>
      <c r="AI4149" s="5">
        <v>0.38014694657319797</v>
      </c>
      <c r="AJ4149" s="5" t="s">
        <v>139</v>
      </c>
      <c r="AK4149" s="2">
        <v>0.55419642820521398</v>
      </c>
      <c r="AL4149" s="2">
        <v>0.77434749273136905</v>
      </c>
      <c r="AM4149" s="2">
        <v>2938.5615293033002</v>
      </c>
      <c r="AN4149" s="2">
        <v>6125.33011181445</v>
      </c>
      <c r="AO4149" s="2">
        <v>1508.2693640687</v>
      </c>
      <c r="AP4149" s="2">
        <v>987.71799318111505</v>
      </c>
      <c r="AQ4149" s="2">
        <v>909.71446333783797</v>
      </c>
      <c r="AR4149" s="2">
        <v>2043.2631256969</v>
      </c>
      <c r="AS4149" s="2">
        <v>2254.8849687709699</v>
      </c>
      <c r="AT4149" s="2">
        <v>539.98037120020297</v>
      </c>
      <c r="AU4149" s="2">
        <v>3650.9650197290298</v>
      </c>
      <c r="AV4149" s="2">
        <v>1002.93983334493</v>
      </c>
      <c r="AW4149" s="2">
        <v>1864.3019592202099</v>
      </c>
      <c r="AX4149" s="2">
        <v>1838.0165384126301</v>
      </c>
    </row>
    <row r="4150" spans="1:50" x14ac:dyDescent="0.25">
      <c r="A4150" s="2" t="s">
        <v>27358</v>
      </c>
      <c r="B4150" s="2">
        <v>274.14074602905401</v>
      </c>
      <c r="C4150" s="2">
        <v>1.08738333333333</v>
      </c>
      <c r="D4150" s="2" t="s">
        <v>51</v>
      </c>
      <c r="E4150" s="2" t="s">
        <v>27359</v>
      </c>
      <c r="F4150" s="2">
        <v>261751</v>
      </c>
      <c r="G4150" s="3" t="str">
        <f>HYPERLINK("https://cloud.oebiotech.com/#/lm/network/261751", "https://cloud.oebiotech.com/#/lm/network/261751")</f>
        <v>https://cloud.oebiotech.com/#/lm/network/261751</v>
      </c>
      <c r="H4150" s="2"/>
      <c r="I4150" s="2">
        <v>19080</v>
      </c>
      <c r="J4150" s="2"/>
      <c r="K4150" s="2">
        <v>145457940</v>
      </c>
      <c r="L4150" s="2"/>
      <c r="M4150" s="2"/>
      <c r="N4150" s="2"/>
      <c r="O4150" s="2"/>
      <c r="P4150" s="2"/>
      <c r="Q4150" s="2"/>
      <c r="R4150" s="2"/>
      <c r="S4150" s="2" t="s">
        <v>27360</v>
      </c>
      <c r="T4150" s="2" t="s">
        <v>27361</v>
      </c>
      <c r="U4150" s="2" t="s">
        <v>103</v>
      </c>
      <c r="V4150" s="2" t="s">
        <v>104</v>
      </c>
      <c r="W4150" s="2" t="s">
        <v>105</v>
      </c>
      <c r="X4150" s="2" t="s">
        <v>83</v>
      </c>
      <c r="Y4150" s="2">
        <v>47.6</v>
      </c>
      <c r="Z4150" s="2">
        <v>41.9</v>
      </c>
      <c r="AA4150" s="2" t="s">
        <v>156</v>
      </c>
      <c r="AB4150" s="2" t="s">
        <v>27362</v>
      </c>
      <c r="AC4150" s="2">
        <v>3.43086971725673</v>
      </c>
      <c r="AD4150" s="2"/>
      <c r="AE4150" s="2">
        <v>0.11196967934487601</v>
      </c>
      <c r="AF4150" s="2">
        <v>6288.0929386513699</v>
      </c>
      <c r="AG4150" s="2">
        <v>7670.5133175447199</v>
      </c>
      <c r="AH4150" s="4">
        <v>0.81977472410727104</v>
      </c>
      <c r="AI4150" s="4">
        <v>-0.28670058645559698</v>
      </c>
      <c r="AJ4150" s="4" t="s">
        <v>62</v>
      </c>
      <c r="AK4150" s="2">
        <v>0.85930889425713797</v>
      </c>
      <c r="AL4150" s="2">
        <v>0.93850568528414802</v>
      </c>
      <c r="AM4150" s="2">
        <v>11718.4603741801</v>
      </c>
      <c r="AN4150" s="2">
        <v>8.559877937157E-6</v>
      </c>
      <c r="AO4150" s="2">
        <v>8.559877937157E-6</v>
      </c>
      <c r="AP4150" s="2">
        <v>8.559877937157E-6</v>
      </c>
      <c r="AQ4150" s="2">
        <v>15670.439205828299</v>
      </c>
      <c r="AR4150" s="2">
        <v>10339.658026220201</v>
      </c>
      <c r="AS4150" s="2">
        <v>8.559877937157E-6</v>
      </c>
      <c r="AT4150" s="2">
        <v>8.559877937157E-6</v>
      </c>
      <c r="AU4150" s="2">
        <v>8.559877937157E-6</v>
      </c>
      <c r="AV4150" s="2">
        <v>42690.071071857703</v>
      </c>
      <c r="AW4150" s="2">
        <v>8.559877937157E-6</v>
      </c>
      <c r="AX4150" s="2">
        <v>3333.0087991710898</v>
      </c>
    </row>
    <row r="4151" spans="1:50" x14ac:dyDescent="0.25">
      <c r="A4151" s="2" t="s">
        <v>27363</v>
      </c>
      <c r="B4151" s="2">
        <v>191.10707667321799</v>
      </c>
      <c r="C4151" s="2">
        <v>6.6433166666666699</v>
      </c>
      <c r="D4151" s="2" t="s">
        <v>51</v>
      </c>
      <c r="E4151" s="2" t="s">
        <v>27364</v>
      </c>
      <c r="F4151" s="2">
        <v>278774</v>
      </c>
      <c r="G4151" s="3" t="str">
        <f>HYPERLINK("https://cloud.oebiotech.com/#/lm/network/278774", "https://cloud.oebiotech.com/#/lm/network/278774")</f>
        <v>https://cloud.oebiotech.com/#/lm/network/278774</v>
      </c>
      <c r="H4151" s="2"/>
      <c r="I4151" s="2">
        <v>71096</v>
      </c>
      <c r="J4151" s="2"/>
      <c r="K4151" s="2">
        <v>114969</v>
      </c>
      <c r="L4151" s="2" t="s">
        <v>27365</v>
      </c>
      <c r="M4151" s="2"/>
      <c r="N4151" s="2"/>
      <c r="O4151" s="2"/>
      <c r="P4151" s="2"/>
      <c r="Q4151" s="2"/>
      <c r="R4151" s="2" t="s">
        <v>27366</v>
      </c>
      <c r="S4151" s="2" t="s">
        <v>27367</v>
      </c>
      <c r="T4151" s="2" t="s">
        <v>27368</v>
      </c>
      <c r="U4151" s="2" t="s">
        <v>331</v>
      </c>
      <c r="V4151" s="2" t="s">
        <v>332</v>
      </c>
      <c r="W4151" s="2" t="s">
        <v>1207</v>
      </c>
      <c r="X4151" s="2" t="s">
        <v>83</v>
      </c>
      <c r="Y4151" s="2">
        <v>45.3</v>
      </c>
      <c r="Z4151" s="2">
        <v>19.399999999999999</v>
      </c>
      <c r="AA4151" s="2" t="s">
        <v>156</v>
      </c>
      <c r="AB4151" s="2" t="s">
        <v>2604</v>
      </c>
      <c r="AC4151" s="2">
        <v>2.0208136598144102</v>
      </c>
      <c r="AD4151" s="2"/>
      <c r="AE4151" s="2">
        <v>0.111810852568154</v>
      </c>
      <c r="AF4151" s="2">
        <v>1152.8070322927499</v>
      </c>
      <c r="AG4151" s="2">
        <v>780.38952322583305</v>
      </c>
      <c r="AH4151" s="5">
        <v>1.4772200266444999</v>
      </c>
      <c r="AI4151" s="5">
        <v>0.56288472637864995</v>
      </c>
      <c r="AJ4151" s="5" t="s">
        <v>139</v>
      </c>
      <c r="AK4151" s="2">
        <v>0.31147967700456902</v>
      </c>
      <c r="AL4151" s="2">
        <v>0.62015055657616003</v>
      </c>
      <c r="AM4151" s="2">
        <v>2806.88259229398</v>
      </c>
      <c r="AN4151" s="2">
        <v>1036.1511362138499</v>
      </c>
      <c r="AO4151" s="2">
        <v>608.10317466062304</v>
      </c>
      <c r="AP4151" s="2">
        <v>899.84828956876595</v>
      </c>
      <c r="AQ4151" s="2">
        <v>712.05530648096601</v>
      </c>
      <c r="AR4151" s="2">
        <v>853.80169453832696</v>
      </c>
      <c r="AS4151" s="2">
        <v>947.02827247236303</v>
      </c>
      <c r="AT4151" s="2">
        <v>721.13681892783802</v>
      </c>
      <c r="AU4151" s="2">
        <v>737.20156833024896</v>
      </c>
      <c r="AV4151" s="2">
        <v>523.17433863945098</v>
      </c>
      <c r="AW4151" s="2">
        <v>603.37162749159597</v>
      </c>
      <c r="AX4151" s="2">
        <v>1150.4245134934999</v>
      </c>
    </row>
    <row r="4152" spans="1:50" x14ac:dyDescent="0.25">
      <c r="A4152" s="2" t="s">
        <v>27369</v>
      </c>
      <c r="B4152" s="2">
        <v>319.16634144072498</v>
      </c>
      <c r="C4152" s="2">
        <v>4.4640000000000004</v>
      </c>
      <c r="D4152" s="2" t="s">
        <v>51</v>
      </c>
      <c r="E4152" s="2" t="s">
        <v>27370</v>
      </c>
      <c r="F4152" s="2">
        <v>10510</v>
      </c>
      <c r="G4152" s="3" t="str">
        <f>HYPERLINK("https://cloud.oebiotech.com/#/lm/network/10510", "https://cloud.oebiotech.com/#/lm/network/10510")</f>
        <v>https://cloud.oebiotech.com/#/lm/network/10510</v>
      </c>
      <c r="H4152" s="2"/>
      <c r="I4152" s="2"/>
      <c r="J4152" s="2" t="s">
        <v>27371</v>
      </c>
      <c r="K4152" s="2">
        <v>21591334</v>
      </c>
      <c r="L4152" s="2"/>
      <c r="M4152" s="2"/>
      <c r="N4152" s="2"/>
      <c r="O4152" s="2"/>
      <c r="P4152" s="2"/>
      <c r="Q4152" s="2"/>
      <c r="R4152" s="2"/>
      <c r="S4152" s="2" t="s">
        <v>27372</v>
      </c>
      <c r="T4152" s="2" t="s">
        <v>27373</v>
      </c>
      <c r="U4152" s="2" t="s">
        <v>56</v>
      </c>
      <c r="V4152" s="2" t="s">
        <v>3215</v>
      </c>
      <c r="W4152" s="2" t="s">
        <v>27374</v>
      </c>
      <c r="X4152" s="2" t="s">
        <v>147</v>
      </c>
      <c r="Y4152" s="2">
        <v>39.299999999999997</v>
      </c>
      <c r="Z4152" s="2">
        <v>2.21</v>
      </c>
      <c r="AA4152" s="2" t="s">
        <v>395</v>
      </c>
      <c r="AB4152" s="2" t="s">
        <v>10077</v>
      </c>
      <c r="AC4152" s="2">
        <v>-2.3604098478267499</v>
      </c>
      <c r="AD4152" s="2"/>
      <c r="AE4152" s="2">
        <v>0.11178375967420701</v>
      </c>
      <c r="AF4152" s="2">
        <v>1858.99832989368</v>
      </c>
      <c r="AG4152" s="2">
        <v>990.16254439483305</v>
      </c>
      <c r="AH4152" s="5">
        <v>1.8774678363842401</v>
      </c>
      <c r="AI4152" s="5">
        <v>0.90878819259365196</v>
      </c>
      <c r="AJ4152" s="5" t="s">
        <v>139</v>
      </c>
      <c r="AK4152" s="2">
        <v>0.20126746658080799</v>
      </c>
      <c r="AL4152" s="2">
        <v>0.524812102806965</v>
      </c>
      <c r="AM4152" s="2">
        <v>895.84454853039699</v>
      </c>
      <c r="AN4152" s="2">
        <v>2188.52428495097</v>
      </c>
      <c r="AO4152" s="2">
        <v>2453.1732091270101</v>
      </c>
      <c r="AP4152" s="2">
        <v>3768.1800969865399</v>
      </c>
      <c r="AQ4152" s="2">
        <v>1529.38275161914</v>
      </c>
      <c r="AR4152" s="2">
        <v>318.88508814803498</v>
      </c>
      <c r="AS4152" s="2">
        <v>2592.4778504185801</v>
      </c>
      <c r="AT4152" s="2">
        <v>1100.1240721264401</v>
      </c>
      <c r="AU4152" s="2">
        <v>8.559877937157E-6</v>
      </c>
      <c r="AV4152" s="2">
        <v>8.559877937157E-6</v>
      </c>
      <c r="AW4152" s="2">
        <v>1195.43311316671</v>
      </c>
      <c r="AX4152" s="2">
        <v>1052.9402135375101</v>
      </c>
    </row>
    <row r="4153" spans="1:50" x14ac:dyDescent="0.25">
      <c r="A4153" s="2" t="s">
        <v>27375</v>
      </c>
      <c r="B4153" s="2">
        <v>597.36523318982597</v>
      </c>
      <c r="C4153" s="2">
        <v>12.4447833333333</v>
      </c>
      <c r="D4153" s="2" t="s">
        <v>51</v>
      </c>
      <c r="E4153" s="2" t="s">
        <v>27376</v>
      </c>
      <c r="F4153" s="2">
        <v>250210</v>
      </c>
      <c r="G4153" s="3" t="str">
        <f>HYPERLINK("https://cloud.oebiotech.com/#/lm/network/250210", "https://cloud.oebiotech.com/#/lm/network/250210")</f>
        <v>https://cloud.oebiotech.com/#/lm/network/250210</v>
      </c>
      <c r="H4153" s="2" t="s">
        <v>27377</v>
      </c>
      <c r="I4153" s="2"/>
      <c r="J4153" s="2"/>
      <c r="K4153" s="2"/>
      <c r="L4153" s="2"/>
      <c r="M4153" s="2"/>
      <c r="N4153" s="2"/>
      <c r="O4153" s="2"/>
      <c r="P4153" s="2"/>
      <c r="Q4153" s="2"/>
      <c r="R4153" s="2"/>
      <c r="S4153" s="2" t="s">
        <v>27378</v>
      </c>
      <c r="T4153" s="2" t="s">
        <v>27379</v>
      </c>
      <c r="U4153" s="2" t="s">
        <v>56</v>
      </c>
      <c r="V4153" s="2" t="s">
        <v>145</v>
      </c>
      <c r="W4153" s="2" t="s">
        <v>187</v>
      </c>
      <c r="X4153" s="2" t="s">
        <v>147</v>
      </c>
      <c r="Y4153" s="2">
        <v>36.6</v>
      </c>
      <c r="Z4153" s="2">
        <v>0</v>
      </c>
      <c r="AA4153" s="2" t="s">
        <v>218</v>
      </c>
      <c r="AB4153" s="2" t="s">
        <v>27380</v>
      </c>
      <c r="AC4153" s="2">
        <v>1.4694883180960601</v>
      </c>
      <c r="AD4153" s="2"/>
      <c r="AE4153" s="2">
        <v>0.11160421427598199</v>
      </c>
      <c r="AF4153" s="2">
        <v>4747.6329335597502</v>
      </c>
      <c r="AG4153" s="2">
        <v>3851.5028371206799</v>
      </c>
      <c r="AH4153" s="5">
        <v>1.23267024180852</v>
      </c>
      <c r="AI4153" s="5">
        <v>0.30178690830863097</v>
      </c>
      <c r="AJ4153" s="5" t="s">
        <v>139</v>
      </c>
      <c r="AK4153" s="2">
        <v>0.60476367406935305</v>
      </c>
      <c r="AL4153" s="2">
        <v>0.80366240140314105</v>
      </c>
      <c r="AM4153" s="2">
        <v>6574.5639027267098</v>
      </c>
      <c r="AN4153" s="2">
        <v>4251.2326639663597</v>
      </c>
      <c r="AO4153" s="2">
        <v>7775.7294099133096</v>
      </c>
      <c r="AP4153" s="2">
        <v>4256.8137500216399</v>
      </c>
      <c r="AQ4153" s="2">
        <v>1646.3661678109399</v>
      </c>
      <c r="AR4153" s="2">
        <v>3981.0917069195598</v>
      </c>
      <c r="AS4153" s="2">
        <v>418.38905998048801</v>
      </c>
      <c r="AT4153" s="2">
        <v>8.559877937157E-6</v>
      </c>
      <c r="AU4153" s="2">
        <v>6506.6889348741997</v>
      </c>
      <c r="AV4153" s="2">
        <v>6119.9219932144597</v>
      </c>
      <c r="AW4153" s="2">
        <v>1904.2131428842899</v>
      </c>
      <c r="AX4153" s="2">
        <v>8159.8038832107604</v>
      </c>
    </row>
    <row r="4154" spans="1:50" x14ac:dyDescent="0.25">
      <c r="A4154" s="2" t="s">
        <v>27381</v>
      </c>
      <c r="B4154" s="2">
        <v>231.08716745467899</v>
      </c>
      <c r="C4154" s="2">
        <v>8.4163499999999996</v>
      </c>
      <c r="D4154" s="2" t="s">
        <v>51</v>
      </c>
      <c r="E4154" s="2" t="s">
        <v>27382</v>
      </c>
      <c r="F4154" s="2">
        <v>82962</v>
      </c>
      <c r="G4154" s="3" t="str">
        <f>HYPERLINK("https://cloud.oebiotech.com/#/lm/network/82962", "https://cloud.oebiotech.com/#/lm/network/82962")</f>
        <v>https://cloud.oebiotech.com/#/lm/network/82962</v>
      </c>
      <c r="H4154" s="2" t="s">
        <v>27383</v>
      </c>
      <c r="I4154" s="2"/>
      <c r="J4154" s="2"/>
      <c r="K4154" s="2">
        <v>9576792</v>
      </c>
      <c r="L4154" s="2"/>
      <c r="M4154" s="2"/>
      <c r="N4154" s="2"/>
      <c r="O4154" s="2"/>
      <c r="P4154" s="2"/>
      <c r="Q4154" s="2"/>
      <c r="R4154" s="2" t="s">
        <v>27384</v>
      </c>
      <c r="S4154" s="2" t="s">
        <v>27385</v>
      </c>
      <c r="T4154" s="2" t="s">
        <v>27386</v>
      </c>
      <c r="U4154" s="2" t="s">
        <v>266</v>
      </c>
      <c r="V4154" s="2" t="s">
        <v>6667</v>
      </c>
      <c r="W4154" s="2" t="s">
        <v>6668</v>
      </c>
      <c r="X4154" s="2" t="s">
        <v>147</v>
      </c>
      <c r="Y4154" s="2">
        <v>39.5</v>
      </c>
      <c r="Z4154" s="2">
        <v>5.07</v>
      </c>
      <c r="AA4154" s="2" t="s">
        <v>259</v>
      </c>
      <c r="AB4154" s="2" t="s">
        <v>27387</v>
      </c>
      <c r="AC4154" s="2">
        <v>-2.1060307276915999</v>
      </c>
      <c r="AD4154" s="2"/>
      <c r="AE4154" s="2">
        <v>0.111520956588127</v>
      </c>
      <c r="AF4154" s="2">
        <v>50.027194996570501</v>
      </c>
      <c r="AG4154" s="2">
        <v>1456.1901061759399</v>
      </c>
      <c r="AH4154" s="4">
        <v>3.4354851598288598E-2</v>
      </c>
      <c r="AI4154" s="4">
        <v>-4.8633423386923003</v>
      </c>
      <c r="AJ4154" s="4" t="s">
        <v>62</v>
      </c>
      <c r="AK4154" s="2">
        <v>0.322840788917926</v>
      </c>
      <c r="AL4154" s="2">
        <v>0.62992073899545697</v>
      </c>
      <c r="AM4154" s="2">
        <v>8.559877937157E-6</v>
      </c>
      <c r="AN4154" s="2">
        <v>8.559877937157E-6</v>
      </c>
      <c r="AO4154" s="2">
        <v>75.377236320542195</v>
      </c>
      <c r="AP4154" s="2">
        <v>8.559877937157E-6</v>
      </c>
      <c r="AQ4154" s="2">
        <v>132.87147482099601</v>
      </c>
      <c r="AR4154" s="2">
        <v>91.914433158250702</v>
      </c>
      <c r="AS4154" s="2">
        <v>282.65638215352402</v>
      </c>
      <c r="AT4154" s="2">
        <v>8211.9166316484898</v>
      </c>
      <c r="AU4154" s="2">
        <v>180.52498103900299</v>
      </c>
      <c r="AV4154" s="2">
        <v>8.559877937157E-6</v>
      </c>
      <c r="AW4154" s="2">
        <v>62.042625094858501</v>
      </c>
      <c r="AX4154" s="2">
        <v>8.559877937157E-6</v>
      </c>
    </row>
    <row r="4155" spans="1:50" x14ac:dyDescent="0.25">
      <c r="A4155" s="2" t="s">
        <v>27388</v>
      </c>
      <c r="B4155" s="2">
        <v>423.29033258406099</v>
      </c>
      <c r="C4155" s="2">
        <v>8.1498833333333298</v>
      </c>
      <c r="D4155" s="2" t="s">
        <v>51</v>
      </c>
      <c r="E4155" s="2" t="s">
        <v>27389</v>
      </c>
      <c r="F4155" s="2">
        <v>52043</v>
      </c>
      <c r="G4155" s="3" t="str">
        <f>HYPERLINK("https://cloud.oebiotech.com/#/lm/network/52043", "https://cloud.oebiotech.com/#/lm/network/52043")</f>
        <v>https://cloud.oebiotech.com/#/lm/network/52043</v>
      </c>
      <c r="H4155" s="2" t="s">
        <v>27390</v>
      </c>
      <c r="I4155" s="2"/>
      <c r="J4155" s="2"/>
      <c r="K4155" s="2">
        <v>53481464</v>
      </c>
      <c r="L4155" s="2"/>
      <c r="M4155" s="2"/>
      <c r="N4155" s="2"/>
      <c r="O4155" s="2">
        <v>139534</v>
      </c>
      <c r="P4155" s="2"/>
      <c r="Q4155" s="2"/>
      <c r="R4155" s="2"/>
      <c r="S4155" s="2" t="s">
        <v>27391</v>
      </c>
      <c r="T4155" s="2" t="s">
        <v>27392</v>
      </c>
      <c r="U4155" s="2" t="s">
        <v>56</v>
      </c>
      <c r="V4155" s="2" t="s">
        <v>177</v>
      </c>
      <c r="W4155" s="2" t="s">
        <v>1463</v>
      </c>
      <c r="X4155" s="2" t="s">
        <v>147</v>
      </c>
      <c r="Y4155" s="2">
        <v>37.4</v>
      </c>
      <c r="Z4155" s="2">
        <v>1.1000000000000001</v>
      </c>
      <c r="AA4155" s="2" t="s">
        <v>156</v>
      </c>
      <c r="AB4155" s="2" t="s">
        <v>27393</v>
      </c>
      <c r="AC4155" s="2">
        <v>2.1828050036337898</v>
      </c>
      <c r="AD4155" s="2"/>
      <c r="AE4155" s="2">
        <v>0.11141447828221</v>
      </c>
      <c r="AF4155" s="2">
        <v>5544.4787976668404</v>
      </c>
      <c r="AG4155" s="2">
        <v>6160.8196961226604</v>
      </c>
      <c r="AH4155" s="4">
        <v>0.89995797168943104</v>
      </c>
      <c r="AI4155" s="4">
        <v>-0.15207046616841299</v>
      </c>
      <c r="AJ4155" s="4" t="s">
        <v>62</v>
      </c>
      <c r="AK4155" s="2">
        <v>0.224741182029772</v>
      </c>
      <c r="AL4155" s="2">
        <v>0.55090354983928802</v>
      </c>
      <c r="AM4155" s="2">
        <v>5481.1922114367999</v>
      </c>
      <c r="AN4155" s="2">
        <v>5875.4204578782401</v>
      </c>
      <c r="AO4155" s="2">
        <v>5920.1517657438299</v>
      </c>
      <c r="AP4155" s="2">
        <v>5705.5743459687201</v>
      </c>
      <c r="AQ4155" s="2">
        <v>6024.2267269947197</v>
      </c>
      <c r="AR4155" s="2">
        <v>4260.3072779787599</v>
      </c>
      <c r="AS4155" s="2">
        <v>6322.3104467433004</v>
      </c>
      <c r="AT4155" s="2">
        <v>6744.2730329798096</v>
      </c>
      <c r="AU4155" s="2">
        <v>5002.9326281245603</v>
      </c>
      <c r="AV4155" s="2">
        <v>5151.7969839103498</v>
      </c>
      <c r="AW4155" s="2">
        <v>6197.4366034291297</v>
      </c>
      <c r="AX4155" s="2">
        <v>7546.1684815488197</v>
      </c>
    </row>
    <row r="4156" spans="1:50" x14ac:dyDescent="0.25">
      <c r="A4156" s="2" t="s">
        <v>27394</v>
      </c>
      <c r="B4156" s="2">
        <v>464.30187283000799</v>
      </c>
      <c r="C4156" s="2">
        <v>5.9310166666666699</v>
      </c>
      <c r="D4156" s="2" t="s">
        <v>51</v>
      </c>
      <c r="E4156" s="2" t="s">
        <v>27395</v>
      </c>
      <c r="F4156" s="2">
        <v>8675</v>
      </c>
      <c r="G4156" s="3" t="str">
        <f>HYPERLINK("https://cloud.oebiotech.com/#/lm/network/8675", "https://cloud.oebiotech.com/#/lm/network/8675")</f>
        <v>https://cloud.oebiotech.com/#/lm/network/8675</v>
      </c>
      <c r="H4156" s="2" t="s">
        <v>27396</v>
      </c>
      <c r="I4156" s="2">
        <v>75480</v>
      </c>
      <c r="J4156" s="2" t="s">
        <v>27397</v>
      </c>
      <c r="K4156" s="2">
        <v>6710112</v>
      </c>
      <c r="L4156" s="2"/>
      <c r="M4156" s="2"/>
      <c r="N4156" s="2"/>
      <c r="O4156" s="2"/>
      <c r="P4156" s="2"/>
      <c r="Q4156" s="2"/>
      <c r="R4156" s="2"/>
      <c r="S4156" s="2" t="s">
        <v>27398</v>
      </c>
      <c r="T4156" s="2" t="s">
        <v>27399</v>
      </c>
      <c r="U4156" s="2" t="s">
        <v>103</v>
      </c>
      <c r="V4156" s="2" t="s">
        <v>104</v>
      </c>
      <c r="W4156" s="2" t="s">
        <v>105</v>
      </c>
      <c r="X4156" s="2" t="s">
        <v>147</v>
      </c>
      <c r="Y4156" s="2">
        <v>45.6</v>
      </c>
      <c r="Z4156" s="2">
        <v>31.7</v>
      </c>
      <c r="AA4156" s="2" t="s">
        <v>218</v>
      </c>
      <c r="AB4156" s="2" t="s">
        <v>27400</v>
      </c>
      <c r="AC4156" s="2">
        <v>0.26511126803533103</v>
      </c>
      <c r="AD4156" s="2"/>
      <c r="AE4156" s="2">
        <v>0.111292549087043</v>
      </c>
      <c r="AF4156" s="2">
        <v>4079.6454148719699</v>
      </c>
      <c r="AG4156" s="2">
        <v>2232.2300468870199</v>
      </c>
      <c r="AH4156" s="5">
        <v>1.8276097575880601</v>
      </c>
      <c r="AI4156" s="5">
        <v>0.86995805021225003</v>
      </c>
      <c r="AJ4156" s="5" t="s">
        <v>139</v>
      </c>
      <c r="AK4156" s="2">
        <v>0.59895288630098498</v>
      </c>
      <c r="AL4156" s="2">
        <v>0.79875554632939605</v>
      </c>
      <c r="AM4156" s="2">
        <v>8.559877937157E-6</v>
      </c>
      <c r="AN4156" s="2">
        <v>987.16658427599498</v>
      </c>
      <c r="AO4156" s="2">
        <v>374.55568418132299</v>
      </c>
      <c r="AP4156" s="2">
        <v>399.07905457416598</v>
      </c>
      <c r="AQ4156" s="2">
        <v>2445.3315708550399</v>
      </c>
      <c r="AR4156" s="2">
        <v>20271.739586785399</v>
      </c>
      <c r="AS4156" s="2">
        <v>168.418056112268</v>
      </c>
      <c r="AT4156" s="2">
        <v>3765.2428913282301</v>
      </c>
      <c r="AU4156" s="2">
        <v>6332.1976859995702</v>
      </c>
      <c r="AV4156" s="2">
        <v>1392.54026942922</v>
      </c>
      <c r="AW4156" s="2">
        <v>1551.4783323895699</v>
      </c>
      <c r="AX4156" s="2">
        <v>183.50304606326799</v>
      </c>
    </row>
    <row r="4157" spans="1:50" x14ac:dyDescent="0.25">
      <c r="A4157" s="2" t="s">
        <v>27401</v>
      </c>
      <c r="B4157" s="2">
        <v>227.18006236846901</v>
      </c>
      <c r="C4157" s="2">
        <v>9.7054500000000008</v>
      </c>
      <c r="D4157" s="2" t="s">
        <v>51</v>
      </c>
      <c r="E4157" s="2" t="s">
        <v>27402</v>
      </c>
      <c r="F4157" s="2">
        <v>56332</v>
      </c>
      <c r="G4157" s="3" t="str">
        <f>HYPERLINK("https://cloud.oebiotech.com/#/lm/network/56332", "https://cloud.oebiotech.com/#/lm/network/56332")</f>
        <v>https://cloud.oebiotech.com/#/lm/network/56332</v>
      </c>
      <c r="H4157" s="2" t="s">
        <v>27403</v>
      </c>
      <c r="I4157" s="2">
        <v>87985</v>
      </c>
      <c r="J4157" s="2"/>
      <c r="K4157" s="2">
        <v>61585</v>
      </c>
      <c r="L4157" s="2"/>
      <c r="M4157" s="2"/>
      <c r="N4157" s="2"/>
      <c r="O4157" s="2"/>
      <c r="P4157" s="2"/>
      <c r="Q4157" s="2"/>
      <c r="R4157" s="2" t="s">
        <v>27404</v>
      </c>
      <c r="S4157" s="2" t="s">
        <v>27405</v>
      </c>
      <c r="T4157" s="2" t="s">
        <v>27406</v>
      </c>
      <c r="U4157" s="2" t="s">
        <v>610</v>
      </c>
      <c r="V4157" s="2" t="s">
        <v>14762</v>
      </c>
      <c r="W4157" s="2" t="s">
        <v>240</v>
      </c>
      <c r="X4157" s="2" t="s">
        <v>147</v>
      </c>
      <c r="Y4157" s="2">
        <v>36.799999999999997</v>
      </c>
      <c r="Z4157" s="2">
        <v>0</v>
      </c>
      <c r="AA4157" s="2" t="s">
        <v>156</v>
      </c>
      <c r="AB4157" s="2" t="s">
        <v>27407</v>
      </c>
      <c r="AC4157" s="2">
        <v>2.6014504243909902</v>
      </c>
      <c r="AD4157" s="2"/>
      <c r="AE4157" s="2">
        <v>0.111232851025111</v>
      </c>
      <c r="AF4157" s="2">
        <v>1035.8028110774701</v>
      </c>
      <c r="AG4157" s="2">
        <v>634.97717845538102</v>
      </c>
      <c r="AH4157" s="5">
        <v>1.63124415525786</v>
      </c>
      <c r="AI4157" s="5">
        <v>0.70597273252046799</v>
      </c>
      <c r="AJ4157" s="5" t="s">
        <v>139</v>
      </c>
      <c r="AK4157" s="2">
        <v>0.39526359210852802</v>
      </c>
      <c r="AL4157" s="2">
        <v>0.66736513623488802</v>
      </c>
      <c r="AM4157" s="2">
        <v>2979.2557521968602</v>
      </c>
      <c r="AN4157" s="2">
        <v>566.216000731083</v>
      </c>
      <c r="AO4157" s="2">
        <v>428.41724253368398</v>
      </c>
      <c r="AP4157" s="2">
        <v>1003.41306412509</v>
      </c>
      <c r="AQ4157" s="2">
        <v>302.54253025800102</v>
      </c>
      <c r="AR4157" s="2">
        <v>934.97227662010198</v>
      </c>
      <c r="AS4157" s="2">
        <v>481.83893543309199</v>
      </c>
      <c r="AT4157" s="2">
        <v>286.24372085757602</v>
      </c>
      <c r="AU4157" s="2">
        <v>1577.82348013617</v>
      </c>
      <c r="AV4157" s="2">
        <v>350.224025275266</v>
      </c>
      <c r="AW4157" s="2">
        <v>738.653726006856</v>
      </c>
      <c r="AX4157" s="2">
        <v>375.07918302332598</v>
      </c>
    </row>
    <row r="4158" spans="1:50" x14ac:dyDescent="0.25">
      <c r="A4158" s="2" t="s">
        <v>27408</v>
      </c>
      <c r="B4158" s="2">
        <v>357.28017934046801</v>
      </c>
      <c r="C4158" s="2">
        <v>7.2826500000000003</v>
      </c>
      <c r="D4158" s="2" t="s">
        <v>51</v>
      </c>
      <c r="E4158" s="2" t="s">
        <v>27409</v>
      </c>
      <c r="F4158" s="2">
        <v>202737</v>
      </c>
      <c r="G4158" s="3" t="str">
        <f>HYPERLINK("https://cloud.oebiotech.com/#/lm/network/202737", "https://cloud.oebiotech.com/#/lm/network/202737")</f>
        <v>https://cloud.oebiotech.com/#/lm/network/202737</v>
      </c>
      <c r="H4158" s="2" t="s">
        <v>27410</v>
      </c>
      <c r="I4158" s="2"/>
      <c r="J4158" s="2"/>
      <c r="K4158" s="2">
        <v>121839</v>
      </c>
      <c r="L4158" s="2"/>
      <c r="M4158" s="2"/>
      <c r="N4158" s="2"/>
      <c r="O4158" s="2">
        <v>95352</v>
      </c>
      <c r="P4158" s="2"/>
      <c r="Q4158" s="2"/>
      <c r="R4158" s="2"/>
      <c r="S4158" s="2" t="s">
        <v>27411</v>
      </c>
      <c r="T4158" s="2" t="s">
        <v>27412</v>
      </c>
      <c r="U4158" s="2" t="s">
        <v>56</v>
      </c>
      <c r="V4158" s="2" t="s">
        <v>145</v>
      </c>
      <c r="W4158" s="2" t="s">
        <v>1188</v>
      </c>
      <c r="X4158" s="2" t="s">
        <v>147</v>
      </c>
      <c r="Y4158" s="2">
        <v>42.2</v>
      </c>
      <c r="Z4158" s="2">
        <v>23.3</v>
      </c>
      <c r="AA4158" s="2" t="s">
        <v>259</v>
      </c>
      <c r="AB4158" s="2" t="s">
        <v>9642</v>
      </c>
      <c r="AC4158" s="2">
        <v>3.85244037395322</v>
      </c>
      <c r="AD4158" s="2"/>
      <c r="AE4158" s="2">
        <v>0.111081840397229</v>
      </c>
      <c r="AF4158" s="2">
        <v>2670.2433749004399</v>
      </c>
      <c r="AG4158" s="2">
        <v>3469.3784504923301</v>
      </c>
      <c r="AH4158" s="4">
        <v>0.76966044869550498</v>
      </c>
      <c r="AI4158" s="4">
        <v>-0.37770598287858898</v>
      </c>
      <c r="AJ4158" s="4" t="s">
        <v>62</v>
      </c>
      <c r="AK4158" s="2">
        <v>0.43723689537808802</v>
      </c>
      <c r="AL4158" s="2">
        <v>0.69389880990636499</v>
      </c>
      <c r="AM4158" s="2">
        <v>2141.9980287806802</v>
      </c>
      <c r="AN4158" s="2">
        <v>2056.5296069256201</v>
      </c>
      <c r="AO4158" s="2">
        <v>911.16740954385705</v>
      </c>
      <c r="AP4158" s="2">
        <v>1990.7033034082899</v>
      </c>
      <c r="AQ4158" s="2">
        <v>3970.7247293404998</v>
      </c>
      <c r="AR4158" s="2">
        <v>4950.3371714036903</v>
      </c>
      <c r="AS4158" s="2">
        <v>4964.8447032436297</v>
      </c>
      <c r="AT4158" s="2">
        <v>5886.0351747774503</v>
      </c>
      <c r="AU4158" s="2">
        <v>2284.70898776187</v>
      </c>
      <c r="AV4158" s="2">
        <v>1949.6587435885499</v>
      </c>
      <c r="AW4158" s="2">
        <v>4544.5643355838702</v>
      </c>
      <c r="AX4158" s="2">
        <v>1186.45875799858</v>
      </c>
    </row>
    <row r="4159" spans="1:50" x14ac:dyDescent="0.25">
      <c r="A4159" s="2" t="s">
        <v>27413</v>
      </c>
      <c r="B4159" s="2">
        <v>820.47594017457004</v>
      </c>
      <c r="C4159" s="2">
        <v>10.3901166666667</v>
      </c>
      <c r="D4159" s="2" t="s">
        <v>51</v>
      </c>
      <c r="E4159" s="2" t="s">
        <v>27414</v>
      </c>
      <c r="F4159" s="2">
        <v>215738</v>
      </c>
      <c r="G4159" s="3" t="str">
        <f>HYPERLINK("https://cloud.oebiotech.com/#/lm/network/215738", "https://cloud.oebiotech.com/#/lm/network/215738")</f>
        <v>https://cloud.oebiotech.com/#/lm/network/215738</v>
      </c>
      <c r="H4159" s="2" t="s">
        <v>27415</v>
      </c>
      <c r="I4159" s="2"/>
      <c r="J4159" s="2"/>
      <c r="K4159" s="2"/>
      <c r="L4159" s="2"/>
      <c r="M4159" s="2"/>
      <c r="N4159" s="2"/>
      <c r="O4159" s="2"/>
      <c r="P4159" s="2"/>
      <c r="Q4159" s="2"/>
      <c r="R4159" s="2"/>
      <c r="S4159" s="2" t="s">
        <v>27416</v>
      </c>
      <c r="T4159" s="2" t="s">
        <v>27417</v>
      </c>
      <c r="U4159" s="2" t="s">
        <v>56</v>
      </c>
      <c r="V4159" s="2" t="s">
        <v>57</v>
      </c>
      <c r="W4159" s="2" t="s">
        <v>155</v>
      </c>
      <c r="X4159" s="2" t="s">
        <v>147</v>
      </c>
      <c r="Y4159" s="2">
        <v>36.6</v>
      </c>
      <c r="Z4159" s="2">
        <v>0</v>
      </c>
      <c r="AA4159" s="2" t="s">
        <v>218</v>
      </c>
      <c r="AB4159" s="2" t="s">
        <v>27418</v>
      </c>
      <c r="AC4159" s="2">
        <v>-1.3954619298470901</v>
      </c>
      <c r="AD4159" s="2"/>
      <c r="AE4159" s="2">
        <v>0.11107206422574301</v>
      </c>
      <c r="AF4159" s="2">
        <v>1990.96967556859</v>
      </c>
      <c r="AG4159" s="2">
        <v>3005.5824001226401</v>
      </c>
      <c r="AH4159" s="4">
        <v>0.66242392006532602</v>
      </c>
      <c r="AI4159" s="4">
        <v>-0.59417332552755198</v>
      </c>
      <c r="AJ4159" s="4" t="s">
        <v>62</v>
      </c>
      <c r="AK4159" s="2">
        <v>0.59566344618793399</v>
      </c>
      <c r="AL4159" s="2">
        <v>0.79649862162562302</v>
      </c>
      <c r="AM4159" s="2">
        <v>5937.2006106656299</v>
      </c>
      <c r="AN4159" s="2">
        <v>826.92827118580203</v>
      </c>
      <c r="AO4159" s="2">
        <v>8.559877937157E-6</v>
      </c>
      <c r="AP4159" s="2">
        <v>5181.6891458805003</v>
      </c>
      <c r="AQ4159" s="2">
        <v>8.559877937157E-6</v>
      </c>
      <c r="AR4159" s="2">
        <v>8.559877937157E-6</v>
      </c>
      <c r="AS4159" s="2">
        <v>8.559877937157E-6</v>
      </c>
      <c r="AT4159" s="2">
        <v>8.559877937157E-6</v>
      </c>
      <c r="AU4159" s="2">
        <v>2410.8282755823798</v>
      </c>
      <c r="AV4159" s="2">
        <v>9081.9672893246097</v>
      </c>
      <c r="AW4159" s="2">
        <v>5311.0038125126202</v>
      </c>
      <c r="AX4159" s="2">
        <v>1229.6950061964999</v>
      </c>
    </row>
    <row r="4160" spans="1:50" x14ac:dyDescent="0.25">
      <c r="A4160" s="2" t="s">
        <v>27419</v>
      </c>
      <c r="B4160" s="2">
        <v>453.35877484071898</v>
      </c>
      <c r="C4160" s="2">
        <v>13.3257833333333</v>
      </c>
      <c r="D4160" s="2" t="s">
        <v>51</v>
      </c>
      <c r="E4160" s="2" t="s">
        <v>27420</v>
      </c>
      <c r="F4160" s="2">
        <v>2150</v>
      </c>
      <c r="G4160" s="3" t="str">
        <f>HYPERLINK("https://cloud.oebiotech.com/#/lm/network/2150", "https://cloud.oebiotech.com/#/lm/network/2150")</f>
        <v>https://cloud.oebiotech.com/#/lm/network/2150</v>
      </c>
      <c r="H4160" s="2"/>
      <c r="I4160" s="2">
        <v>74787</v>
      </c>
      <c r="J4160" s="2" t="s">
        <v>27421</v>
      </c>
      <c r="K4160" s="2">
        <v>5312936</v>
      </c>
      <c r="L4160" s="2"/>
      <c r="M4160" s="2"/>
      <c r="N4160" s="2"/>
      <c r="O4160" s="2"/>
      <c r="P4160" s="2"/>
      <c r="Q4160" s="2"/>
      <c r="R4160" s="2"/>
      <c r="S4160" s="2" t="s">
        <v>27422</v>
      </c>
      <c r="T4160" s="2" t="s">
        <v>27423</v>
      </c>
      <c r="U4160" s="2" t="s">
        <v>56</v>
      </c>
      <c r="V4160" s="2" t="s">
        <v>145</v>
      </c>
      <c r="W4160" s="2" t="s">
        <v>231</v>
      </c>
      <c r="X4160" s="2" t="s">
        <v>147</v>
      </c>
      <c r="Y4160" s="2">
        <v>36.9</v>
      </c>
      <c r="Z4160" s="2">
        <v>0</v>
      </c>
      <c r="AA4160" s="2" t="s">
        <v>218</v>
      </c>
      <c r="AB4160" s="2" t="s">
        <v>27424</v>
      </c>
      <c r="AC4160" s="2">
        <v>0.55483516424437396</v>
      </c>
      <c r="AD4160" s="2"/>
      <c r="AE4160" s="2">
        <v>0.111025205959128</v>
      </c>
      <c r="AF4160" s="2">
        <v>2169.08656016532</v>
      </c>
      <c r="AG4160" s="2">
        <v>1366.6187000172399</v>
      </c>
      <c r="AH4160" s="5">
        <v>1.5871922139935299</v>
      </c>
      <c r="AI4160" s="5">
        <v>0.66647685368238996</v>
      </c>
      <c r="AJ4160" s="5" t="s">
        <v>139</v>
      </c>
      <c r="AK4160" s="2">
        <v>0.34476351403907302</v>
      </c>
      <c r="AL4160" s="2">
        <v>0.63883639734105901</v>
      </c>
      <c r="AM4160" s="2">
        <v>2303.4955947119201</v>
      </c>
      <c r="AN4160" s="2">
        <v>1686.5820597965701</v>
      </c>
      <c r="AO4160" s="2">
        <v>2182.5079780915898</v>
      </c>
      <c r="AP4160" s="2">
        <v>3582.0164085162201</v>
      </c>
      <c r="AQ4160" s="2">
        <v>481.57432208241198</v>
      </c>
      <c r="AR4160" s="2">
        <v>2778.3429977932101</v>
      </c>
      <c r="AS4160" s="2">
        <v>8.559877937157E-6</v>
      </c>
      <c r="AT4160" s="2">
        <v>1595.38908121179</v>
      </c>
      <c r="AU4160" s="2">
        <v>1693.6847369618599</v>
      </c>
      <c r="AV4160" s="2">
        <v>8.559877937157E-6</v>
      </c>
      <c r="AW4160" s="2">
        <v>4444.6042656416703</v>
      </c>
      <c r="AX4160" s="2">
        <v>466.03409916835</v>
      </c>
    </row>
    <row r="4161" spans="1:50" x14ac:dyDescent="0.25">
      <c r="A4161" s="2" t="s">
        <v>27425</v>
      </c>
      <c r="B4161" s="2">
        <v>202.99703155401599</v>
      </c>
      <c r="C4161" s="2">
        <v>0.74113333333333298</v>
      </c>
      <c r="D4161" s="2" t="s">
        <v>51</v>
      </c>
      <c r="E4161" s="2" t="s">
        <v>27426</v>
      </c>
      <c r="F4161" s="2">
        <v>200588</v>
      </c>
      <c r="G4161" s="3" t="str">
        <f>HYPERLINK("https://cloud.oebiotech.com/#/lm/network/200588", "https://cloud.oebiotech.com/#/lm/network/200588")</f>
        <v>https://cloud.oebiotech.com/#/lm/network/200588</v>
      </c>
      <c r="H4161" s="2" t="s">
        <v>27427</v>
      </c>
      <c r="I4161" s="2">
        <v>458292</v>
      </c>
      <c r="J4161" s="2"/>
      <c r="K4161" s="2">
        <v>2775103</v>
      </c>
      <c r="L4161" s="2"/>
      <c r="M4161" s="2"/>
      <c r="N4161" s="2"/>
      <c r="O4161" s="2"/>
      <c r="P4161" s="2"/>
      <c r="Q4161" s="2"/>
      <c r="R4161" s="2"/>
      <c r="S4161" s="2" t="s">
        <v>27428</v>
      </c>
      <c r="T4161" s="2" t="s">
        <v>27429</v>
      </c>
      <c r="U4161" s="2" t="s">
        <v>610</v>
      </c>
      <c r="V4161" s="2" t="s">
        <v>611</v>
      </c>
      <c r="W4161" s="2" t="s">
        <v>1122</v>
      </c>
      <c r="X4161" s="2" t="s">
        <v>147</v>
      </c>
      <c r="Y4161" s="2">
        <v>37.299999999999997</v>
      </c>
      <c r="Z4161" s="2">
        <v>0</v>
      </c>
      <c r="AA4161" s="2" t="s">
        <v>379</v>
      </c>
      <c r="AB4161" s="2" t="s">
        <v>27430</v>
      </c>
      <c r="AC4161" s="2">
        <v>3.96090090274607</v>
      </c>
      <c r="AD4161" s="2"/>
      <c r="AE4161" s="2">
        <v>0.111004628893091</v>
      </c>
      <c r="AF4161" s="2">
        <v>11061.8267528949</v>
      </c>
      <c r="AG4161" s="2">
        <v>11320.552435220099</v>
      </c>
      <c r="AH4161" s="4">
        <v>0.97714548969180703</v>
      </c>
      <c r="AI4161" s="4">
        <v>-3.33547101450586E-2</v>
      </c>
      <c r="AJ4161" s="4" t="s">
        <v>62</v>
      </c>
      <c r="AK4161" s="2">
        <v>0.93577445360519096</v>
      </c>
      <c r="AL4161" s="2">
        <v>0.97258208518168698</v>
      </c>
      <c r="AM4161" s="2">
        <v>2238.8728863862302</v>
      </c>
      <c r="AN4161" s="2">
        <v>15873.612054994301</v>
      </c>
      <c r="AO4161" s="2">
        <v>15835.992552424001</v>
      </c>
      <c r="AP4161" s="2">
        <v>14874.7420463417</v>
      </c>
      <c r="AQ4161" s="2">
        <v>7519.1467138784501</v>
      </c>
      <c r="AR4161" s="2">
        <v>10028.594263344999</v>
      </c>
      <c r="AS4161" s="2">
        <v>9768.4975065528506</v>
      </c>
      <c r="AT4161" s="2">
        <v>8204.3598792637895</v>
      </c>
      <c r="AU4161" s="2">
        <v>3857.1356412187401</v>
      </c>
      <c r="AV4161" s="2">
        <v>11700.6041995498</v>
      </c>
      <c r="AW4161" s="2">
        <v>18799.361560407</v>
      </c>
      <c r="AX4161" s="2">
        <v>15593.355824328601</v>
      </c>
    </row>
    <row r="4162" spans="1:50" x14ac:dyDescent="0.25">
      <c r="A4162" s="2" t="s">
        <v>27431</v>
      </c>
      <c r="B4162" s="2">
        <v>363.08791223383002</v>
      </c>
      <c r="C4162" s="2">
        <v>0.70636666666666703</v>
      </c>
      <c r="D4162" s="2" t="s">
        <v>51</v>
      </c>
      <c r="E4162" s="2" t="s">
        <v>27432</v>
      </c>
      <c r="F4162" s="2">
        <v>29683</v>
      </c>
      <c r="G4162" s="3" t="str">
        <f>HYPERLINK("https://cloud.oebiotech.com/#/lm/network/29683", "https://cloud.oebiotech.com/#/lm/network/29683")</f>
        <v>https://cloud.oebiotech.com/#/lm/network/29683</v>
      </c>
      <c r="H4162" s="2"/>
      <c r="I4162" s="2">
        <v>48047</v>
      </c>
      <c r="J4162" s="2" t="s">
        <v>27433</v>
      </c>
      <c r="K4162" s="2">
        <v>44257409</v>
      </c>
      <c r="L4162" s="2"/>
      <c r="M4162" s="2"/>
      <c r="N4162" s="2"/>
      <c r="O4162" s="2"/>
      <c r="P4162" s="2"/>
      <c r="Q4162" s="2"/>
      <c r="R4162" s="2"/>
      <c r="S4162" s="2" t="s">
        <v>27434</v>
      </c>
      <c r="T4162" s="2" t="s">
        <v>27435</v>
      </c>
      <c r="U4162" s="2" t="s">
        <v>540</v>
      </c>
      <c r="V4162" s="2" t="s">
        <v>784</v>
      </c>
      <c r="W4162" s="2" t="s">
        <v>27436</v>
      </c>
      <c r="X4162" s="2" t="s">
        <v>147</v>
      </c>
      <c r="Y4162" s="2">
        <v>38.700000000000003</v>
      </c>
      <c r="Z4162" s="2">
        <v>0</v>
      </c>
      <c r="AA4162" s="2" t="s">
        <v>379</v>
      </c>
      <c r="AB4162" s="2" t="s">
        <v>27437</v>
      </c>
      <c r="AC4162" s="2">
        <v>1.30969057981258</v>
      </c>
      <c r="AD4162" s="2"/>
      <c r="AE4162" s="2">
        <v>0.11083280384956901</v>
      </c>
      <c r="AF4162" s="2">
        <v>50.289649856197599</v>
      </c>
      <c r="AG4162" s="2">
        <v>1010.58990828299</v>
      </c>
      <c r="AH4162" s="4">
        <v>4.9762667768610901E-2</v>
      </c>
      <c r="AI4162" s="4">
        <v>-4.3287923595839999</v>
      </c>
      <c r="AJ4162" s="4" t="s">
        <v>62</v>
      </c>
      <c r="AK4162" s="2">
        <v>0.18975964799294801</v>
      </c>
      <c r="AL4162" s="2">
        <v>0.513622925560421</v>
      </c>
      <c r="AM4162" s="2">
        <v>301.73785633779602</v>
      </c>
      <c r="AN4162" s="2">
        <v>8.559877937157E-6</v>
      </c>
      <c r="AO4162" s="2">
        <v>8.559877937157E-6</v>
      </c>
      <c r="AP4162" s="2">
        <v>8.559877937157E-6</v>
      </c>
      <c r="AQ4162" s="2">
        <v>8.559877937157E-6</v>
      </c>
      <c r="AR4162" s="2">
        <v>8.559877937157E-6</v>
      </c>
      <c r="AS4162" s="2">
        <v>1042.5592518544199</v>
      </c>
      <c r="AT4162" s="2">
        <v>4290.3923602818204</v>
      </c>
      <c r="AU4162" s="2">
        <v>730.58781188208798</v>
      </c>
      <c r="AV4162" s="2">
        <v>8.559877937157E-6</v>
      </c>
      <c r="AW4162" s="2">
        <v>8.559877937157E-6</v>
      </c>
      <c r="AX4162" s="2">
        <v>8.559877937157E-6</v>
      </c>
    </row>
    <row r="4163" spans="1:50" x14ac:dyDescent="0.25">
      <c r="A4163" s="2" t="s">
        <v>27438</v>
      </c>
      <c r="B4163" s="2">
        <v>292.07608184177002</v>
      </c>
      <c r="C4163" s="2">
        <v>4.8125</v>
      </c>
      <c r="D4163" s="2" t="s">
        <v>51</v>
      </c>
      <c r="E4163" s="2" t="s">
        <v>27439</v>
      </c>
      <c r="F4163" s="2">
        <v>53524</v>
      </c>
      <c r="G4163" s="3" t="str">
        <f>HYPERLINK("https://cloud.oebiotech.com/#/lm/network/53524", "https://cloud.oebiotech.com/#/lm/network/53524")</f>
        <v>https://cloud.oebiotech.com/#/lm/network/53524</v>
      </c>
      <c r="H4163" s="2" t="s">
        <v>27440</v>
      </c>
      <c r="I4163" s="2">
        <v>3133</v>
      </c>
      <c r="J4163" s="2"/>
      <c r="K4163" s="2">
        <v>9565</v>
      </c>
      <c r="L4163" s="2" t="s">
        <v>27441</v>
      </c>
      <c r="M4163" s="2"/>
      <c r="N4163" s="2"/>
      <c r="O4163" s="2">
        <v>1178587</v>
      </c>
      <c r="P4163" s="2"/>
      <c r="Q4163" s="2"/>
      <c r="R4163" s="2" t="s">
        <v>27442</v>
      </c>
      <c r="S4163" s="2" t="s">
        <v>27443</v>
      </c>
      <c r="T4163" s="2" t="s">
        <v>27444</v>
      </c>
      <c r="U4163" s="2" t="s">
        <v>610</v>
      </c>
      <c r="V4163" s="2" t="s">
        <v>611</v>
      </c>
      <c r="W4163" s="2" t="s">
        <v>5656</v>
      </c>
      <c r="X4163" s="2" t="s">
        <v>147</v>
      </c>
      <c r="Y4163" s="2">
        <v>41.8</v>
      </c>
      <c r="Z4163" s="2">
        <v>23.9</v>
      </c>
      <c r="AA4163" s="2" t="s">
        <v>156</v>
      </c>
      <c r="AB4163" s="2" t="s">
        <v>27445</v>
      </c>
      <c r="AC4163" s="2">
        <v>3.3749311700117999</v>
      </c>
      <c r="AD4163" s="2"/>
      <c r="AE4163" s="2">
        <v>0.11078446251865399</v>
      </c>
      <c r="AF4163" s="2">
        <v>303.31589154821</v>
      </c>
      <c r="AG4163" s="2">
        <v>1990.5684618156599</v>
      </c>
      <c r="AH4163" s="4">
        <v>0.15237651824923701</v>
      </c>
      <c r="AI4163" s="4">
        <v>-2.7142874992446102</v>
      </c>
      <c r="AJ4163" s="4" t="s">
        <v>62</v>
      </c>
      <c r="AK4163" s="2">
        <v>0.41946355543464697</v>
      </c>
      <c r="AL4163" s="2">
        <v>0.68072239494470299</v>
      </c>
      <c r="AM4163" s="2">
        <v>32.6557049276268</v>
      </c>
      <c r="AN4163" s="2">
        <v>75.432007314006796</v>
      </c>
      <c r="AO4163" s="2">
        <v>1661.7321035785401</v>
      </c>
      <c r="AP4163" s="2">
        <v>9.0606439986781098</v>
      </c>
      <c r="AQ4163" s="2">
        <v>33.807064433958097</v>
      </c>
      <c r="AR4163" s="2">
        <v>7.2078250364492202</v>
      </c>
      <c r="AS4163" s="2">
        <v>3.414875615828</v>
      </c>
      <c r="AT4163" s="2">
        <v>2.0836488414639098</v>
      </c>
      <c r="AU4163" s="2">
        <v>11917.1158387994</v>
      </c>
      <c r="AV4163" s="2">
        <v>2.8167820563993198</v>
      </c>
      <c r="AW4163" s="2">
        <v>16.122962769586</v>
      </c>
      <c r="AX4163" s="2">
        <v>1.8566628112583401</v>
      </c>
    </row>
    <row r="4164" spans="1:50" x14ac:dyDescent="0.25">
      <c r="A4164" s="2" t="s">
        <v>27446</v>
      </c>
      <c r="B4164" s="2">
        <v>375.12727567956199</v>
      </c>
      <c r="C4164" s="2">
        <v>11.56945</v>
      </c>
      <c r="D4164" s="2" t="s">
        <v>51</v>
      </c>
      <c r="E4164" s="2" t="s">
        <v>27447</v>
      </c>
      <c r="F4164" s="2">
        <v>206546</v>
      </c>
      <c r="G4164" s="3" t="str">
        <f>HYPERLINK("https://cloud.oebiotech.com/#/lm/network/206546", "https://cloud.oebiotech.com/#/lm/network/206546")</f>
        <v>https://cloud.oebiotech.com/#/lm/network/206546</v>
      </c>
      <c r="H4164" s="2" t="s">
        <v>27448</v>
      </c>
      <c r="I4164" s="2"/>
      <c r="J4164" s="2"/>
      <c r="K4164" s="2">
        <v>53461774</v>
      </c>
      <c r="L4164" s="2"/>
      <c r="M4164" s="2"/>
      <c r="N4164" s="2"/>
      <c r="O4164" s="2"/>
      <c r="P4164" s="2"/>
      <c r="Q4164" s="2"/>
      <c r="R4164" s="2"/>
      <c r="S4164" s="2" t="s">
        <v>27449</v>
      </c>
      <c r="T4164" s="2" t="s">
        <v>27450</v>
      </c>
      <c r="U4164" s="2" t="s">
        <v>56</v>
      </c>
      <c r="V4164" s="2" t="s">
        <v>283</v>
      </c>
      <c r="W4164" s="2" t="s">
        <v>2305</v>
      </c>
      <c r="X4164" s="2" t="s">
        <v>147</v>
      </c>
      <c r="Y4164" s="2">
        <v>37.6</v>
      </c>
      <c r="Z4164" s="2">
        <v>0</v>
      </c>
      <c r="AA4164" s="2" t="s">
        <v>163</v>
      </c>
      <c r="AB4164" s="2" t="s">
        <v>27451</v>
      </c>
      <c r="AC4164" s="2">
        <v>0.28512167132078098</v>
      </c>
      <c r="AD4164" s="2"/>
      <c r="AE4164" s="2">
        <v>0.110753631079706</v>
      </c>
      <c r="AF4164" s="2">
        <v>144.02701627460399</v>
      </c>
      <c r="AG4164" s="2">
        <v>1052.5196137179601</v>
      </c>
      <c r="AH4164" s="4">
        <v>0.13684022074024599</v>
      </c>
      <c r="AI4164" s="4">
        <v>-2.8694357584210199</v>
      </c>
      <c r="AJ4164" s="4" t="s">
        <v>62</v>
      </c>
      <c r="AK4164" s="2">
        <v>0.237823279868767</v>
      </c>
      <c r="AL4164" s="2">
        <v>0.56163755472588195</v>
      </c>
      <c r="AM4164" s="2">
        <v>397.98499213518102</v>
      </c>
      <c r="AN4164" s="2">
        <v>188.51853618858101</v>
      </c>
      <c r="AO4164" s="2">
        <v>158.18789621437799</v>
      </c>
      <c r="AP4164" s="2">
        <v>8.559877937157E-6</v>
      </c>
      <c r="AQ4164" s="2">
        <v>119.470655989726</v>
      </c>
      <c r="AR4164" s="2">
        <v>8.559877937157E-6</v>
      </c>
      <c r="AS4164" s="2">
        <v>254.366455787859</v>
      </c>
      <c r="AT4164" s="2">
        <v>8.559877937157E-6</v>
      </c>
      <c r="AU4164" s="2">
        <v>4610.3006114229302</v>
      </c>
      <c r="AV4164" s="2">
        <v>461.76119658866901</v>
      </c>
      <c r="AW4164" s="2">
        <v>828.68004516587496</v>
      </c>
      <c r="AX4164" s="2">
        <v>160.00936478251899</v>
      </c>
    </row>
    <row r="4165" spans="1:50" x14ac:dyDescent="0.25">
      <c r="A4165" s="2" t="s">
        <v>27452</v>
      </c>
      <c r="B4165" s="2">
        <v>625.35970351832498</v>
      </c>
      <c r="C4165" s="2">
        <v>8.2687333333333299</v>
      </c>
      <c r="D4165" s="2" t="s">
        <v>51</v>
      </c>
      <c r="E4165" s="2" t="s">
        <v>27453</v>
      </c>
      <c r="F4165" s="2">
        <v>58195</v>
      </c>
      <c r="G4165" s="3" t="str">
        <f>HYPERLINK("https://cloud.oebiotech.com/#/lm/network/58195", "https://cloud.oebiotech.com/#/lm/network/58195")</f>
        <v>https://cloud.oebiotech.com/#/lm/network/58195</v>
      </c>
      <c r="H4165" s="2" t="s">
        <v>27454</v>
      </c>
      <c r="I4165" s="2"/>
      <c r="J4165" s="2"/>
      <c r="K4165" s="2">
        <v>12314455</v>
      </c>
      <c r="L4165" s="2"/>
      <c r="M4165" s="2"/>
      <c r="N4165" s="2"/>
      <c r="O4165" s="2">
        <v>176258</v>
      </c>
      <c r="P4165" s="2"/>
      <c r="Q4165" s="2"/>
      <c r="R4165" s="2" t="s">
        <v>27455</v>
      </c>
      <c r="S4165" s="2" t="s">
        <v>27456</v>
      </c>
      <c r="T4165" s="2" t="s">
        <v>27457</v>
      </c>
      <c r="U4165" s="2" t="s">
        <v>56</v>
      </c>
      <c r="V4165" s="2" t="s">
        <v>283</v>
      </c>
      <c r="W4165" s="2" t="s">
        <v>3462</v>
      </c>
      <c r="X4165" s="2" t="s">
        <v>59</v>
      </c>
      <c r="Y4165" s="2">
        <v>48.7</v>
      </c>
      <c r="Z4165" s="2">
        <v>53.1</v>
      </c>
      <c r="AA4165" s="2" t="s">
        <v>163</v>
      </c>
      <c r="AB4165" s="2" t="s">
        <v>27458</v>
      </c>
      <c r="AC4165" s="2">
        <v>0.58656285006246101</v>
      </c>
      <c r="AD4165" s="2"/>
      <c r="AE4165" s="2">
        <v>0.110706374360003</v>
      </c>
      <c r="AF4165" s="2">
        <v>13836.326440821</v>
      </c>
      <c r="AG4165" s="2">
        <v>14630.866127165</v>
      </c>
      <c r="AH4165" s="4">
        <v>0.94569428224971697</v>
      </c>
      <c r="AI4165" s="4">
        <v>-8.0554220800099302E-2</v>
      </c>
      <c r="AJ4165" s="4" t="s">
        <v>62</v>
      </c>
      <c r="AK4165" s="2">
        <v>0.85381943226252099</v>
      </c>
      <c r="AL4165" s="2">
        <v>0.93549430478880702</v>
      </c>
      <c r="AM4165" s="2">
        <v>10756.851734415901</v>
      </c>
      <c r="AN4165" s="2">
        <v>7866.1540947953799</v>
      </c>
      <c r="AO4165" s="2">
        <v>12988.071608272399</v>
      </c>
      <c r="AP4165" s="2">
        <v>12279.180932634399</v>
      </c>
      <c r="AQ4165" s="2">
        <v>12645.922389470299</v>
      </c>
      <c r="AR4165" s="2">
        <v>26481.777885337699</v>
      </c>
      <c r="AS4165" s="2">
        <v>27635.739285016902</v>
      </c>
      <c r="AT4165" s="2">
        <v>14986.152386737</v>
      </c>
      <c r="AU4165" s="2">
        <v>9741.6572213346408</v>
      </c>
      <c r="AV4165" s="2">
        <v>4485.3805059517499</v>
      </c>
      <c r="AW4165" s="2">
        <v>18837.382236724101</v>
      </c>
      <c r="AX4165" s="2">
        <v>12098.8851272257</v>
      </c>
    </row>
    <row r="4166" spans="1:50" x14ac:dyDescent="0.25">
      <c r="A4166" s="2" t="s">
        <v>27459</v>
      </c>
      <c r="B4166" s="2">
        <v>261.03569037908602</v>
      </c>
      <c r="C4166" s="2">
        <v>4.5305499999999999</v>
      </c>
      <c r="D4166" s="2" t="s">
        <v>51</v>
      </c>
      <c r="E4166" s="2" t="s">
        <v>27460</v>
      </c>
      <c r="F4166" s="2">
        <v>82261</v>
      </c>
      <c r="G4166" s="3" t="str">
        <f>HYPERLINK("https://cloud.oebiotech.com/#/lm/network/82261", "https://cloud.oebiotech.com/#/lm/network/82261")</f>
        <v>https://cloud.oebiotech.com/#/lm/network/82261</v>
      </c>
      <c r="H4166" s="2" t="s">
        <v>27461</v>
      </c>
      <c r="I4166" s="2"/>
      <c r="J4166" s="2"/>
      <c r="K4166" s="2">
        <v>439716</v>
      </c>
      <c r="L4166" s="2" t="s">
        <v>27462</v>
      </c>
      <c r="M4166" s="2" t="s">
        <v>15956</v>
      </c>
      <c r="N4166" s="2" t="s">
        <v>15957</v>
      </c>
      <c r="O4166" s="2">
        <v>16327</v>
      </c>
      <c r="P4166" s="2"/>
      <c r="Q4166" s="2"/>
      <c r="R4166" s="2"/>
      <c r="S4166" s="2" t="s">
        <v>27463</v>
      </c>
      <c r="T4166" s="2" t="s">
        <v>27464</v>
      </c>
      <c r="U4166" s="2" t="s">
        <v>103</v>
      </c>
      <c r="V4166" s="2" t="s">
        <v>2602</v>
      </c>
      <c r="W4166" s="2" t="s">
        <v>19845</v>
      </c>
      <c r="X4166" s="2" t="s">
        <v>147</v>
      </c>
      <c r="Y4166" s="2">
        <v>39.799999999999997</v>
      </c>
      <c r="Z4166" s="2">
        <v>4.95</v>
      </c>
      <c r="AA4166" s="2" t="s">
        <v>478</v>
      </c>
      <c r="AB4166" s="2" t="s">
        <v>27465</v>
      </c>
      <c r="AC4166" s="2">
        <v>-2.85630087769283</v>
      </c>
      <c r="AD4166" s="2"/>
      <c r="AE4166" s="2">
        <v>0.110668410283707</v>
      </c>
      <c r="AF4166" s="2">
        <v>1540.33210374143</v>
      </c>
      <c r="AG4166" s="2">
        <v>1029.7742806676099</v>
      </c>
      <c r="AH4166" s="5">
        <v>1.4957958580426201</v>
      </c>
      <c r="AI4166" s="5">
        <v>0.58091329375102596</v>
      </c>
      <c r="AJ4166" s="5" t="s">
        <v>139</v>
      </c>
      <c r="AK4166" s="2">
        <v>0.320028178466439</v>
      </c>
      <c r="AL4166" s="2">
        <v>0.62815539604974202</v>
      </c>
      <c r="AM4166" s="2">
        <v>1214.2852917389901</v>
      </c>
      <c r="AN4166" s="2">
        <v>2955.5777841160998</v>
      </c>
      <c r="AO4166" s="2">
        <v>1321.02853173474</v>
      </c>
      <c r="AP4166" s="2">
        <v>596.21053129895597</v>
      </c>
      <c r="AQ4166" s="2">
        <v>909.72793146411095</v>
      </c>
      <c r="AR4166" s="2">
        <v>2245.16255209567</v>
      </c>
      <c r="AS4166" s="2">
        <v>1826.07862978609</v>
      </c>
      <c r="AT4166" s="2">
        <v>579.29077227661298</v>
      </c>
      <c r="AU4166" s="2">
        <v>2058.0396474365698</v>
      </c>
      <c r="AV4166" s="2">
        <v>74.170783711522702</v>
      </c>
      <c r="AW4166" s="2">
        <v>430.49687509302697</v>
      </c>
      <c r="AX4166" s="2">
        <v>1210.5689757018199</v>
      </c>
    </row>
    <row r="4167" spans="1:50" x14ac:dyDescent="0.25">
      <c r="A4167" s="2" t="s">
        <v>27466</v>
      </c>
      <c r="B4167" s="2">
        <v>258.14588994936901</v>
      </c>
      <c r="C4167" s="2">
        <v>2.6437333333333299</v>
      </c>
      <c r="D4167" s="2" t="s">
        <v>51</v>
      </c>
      <c r="E4167" s="2" t="s">
        <v>27467</v>
      </c>
      <c r="F4167" s="2">
        <v>53837</v>
      </c>
      <c r="G4167" s="3" t="str">
        <f>HYPERLINK("https://cloud.oebiotech.com/#/lm/network/53837", "https://cloud.oebiotech.com/#/lm/network/53837")</f>
        <v>https://cloud.oebiotech.com/#/lm/network/53837</v>
      </c>
      <c r="H4167" s="2" t="s">
        <v>27468</v>
      </c>
      <c r="I4167" s="2">
        <v>806826</v>
      </c>
      <c r="J4167" s="2"/>
      <c r="K4167" s="2">
        <v>44232492</v>
      </c>
      <c r="L4167" s="2"/>
      <c r="M4167" s="2"/>
      <c r="N4167" s="2"/>
      <c r="O4167" s="2">
        <v>141429</v>
      </c>
      <c r="P4167" s="2"/>
      <c r="Q4167" s="2"/>
      <c r="R4167" s="2" t="s">
        <v>27469</v>
      </c>
      <c r="S4167" s="2" t="s">
        <v>27470</v>
      </c>
      <c r="T4167" s="2" t="s">
        <v>27471</v>
      </c>
      <c r="U4167" s="2" t="s">
        <v>103</v>
      </c>
      <c r="V4167" s="2" t="s">
        <v>104</v>
      </c>
      <c r="W4167" s="2" t="s">
        <v>105</v>
      </c>
      <c r="X4167" s="2" t="s">
        <v>83</v>
      </c>
      <c r="Y4167" s="2">
        <v>43.2</v>
      </c>
      <c r="Z4167" s="2">
        <v>0</v>
      </c>
      <c r="AA4167" s="2" t="s">
        <v>163</v>
      </c>
      <c r="AB4167" s="2" t="s">
        <v>10828</v>
      </c>
      <c r="AC4167" s="2">
        <v>-0.15351822816559599</v>
      </c>
      <c r="AD4167" s="2"/>
      <c r="AE4167" s="2">
        <v>0.11061478480795001</v>
      </c>
      <c r="AF4167" s="2">
        <v>1865.4638094556699</v>
      </c>
      <c r="AG4167" s="2">
        <v>3128.4083493652702</v>
      </c>
      <c r="AH4167" s="4">
        <v>0.59629805355626098</v>
      </c>
      <c r="AI4167" s="4">
        <v>-0.74589446738121301</v>
      </c>
      <c r="AJ4167" s="4" t="s">
        <v>62</v>
      </c>
      <c r="AK4167" s="2">
        <v>0.69678653473594399</v>
      </c>
      <c r="AL4167" s="2">
        <v>0.85378616196188595</v>
      </c>
      <c r="AM4167" s="2">
        <v>5520.5990042724397</v>
      </c>
      <c r="AN4167" s="2">
        <v>8.559877937157E-6</v>
      </c>
      <c r="AO4167" s="2">
        <v>8.559877937157E-6</v>
      </c>
      <c r="AP4167" s="2">
        <v>8.559877937157E-6</v>
      </c>
      <c r="AQ4167" s="2">
        <v>1685.5783494626901</v>
      </c>
      <c r="AR4167" s="2">
        <v>3986.60547731924</v>
      </c>
      <c r="AS4167" s="2">
        <v>8.559877937157E-6</v>
      </c>
      <c r="AT4167" s="2">
        <v>8.559877937157E-6</v>
      </c>
      <c r="AU4167" s="2">
        <v>148.30153003071999</v>
      </c>
      <c r="AV4167" s="2">
        <v>18097.793109511698</v>
      </c>
      <c r="AW4167" s="2">
        <v>8.559877937157E-6</v>
      </c>
      <c r="AX4167" s="2">
        <v>524.35543096958895</v>
      </c>
    </row>
    <row r="4168" spans="1:50" x14ac:dyDescent="0.25">
      <c r="A4168" s="2" t="s">
        <v>27472</v>
      </c>
      <c r="B4168" s="2">
        <v>676.367797428926</v>
      </c>
      <c r="C4168" s="2">
        <v>4.8329666666666702</v>
      </c>
      <c r="D4168" s="2" t="s">
        <v>51</v>
      </c>
      <c r="E4168" s="2" t="s">
        <v>27473</v>
      </c>
      <c r="F4168" s="2">
        <v>63971</v>
      </c>
      <c r="G4168" s="3" t="str">
        <f>HYPERLINK("https://cloud.oebiotech.com/#/lm/network/63971", "https://cloud.oebiotech.com/#/lm/network/63971")</f>
        <v>https://cloud.oebiotech.com/#/lm/network/63971</v>
      </c>
      <c r="H4168" s="2" t="s">
        <v>27474</v>
      </c>
      <c r="I4168" s="2">
        <v>95304</v>
      </c>
      <c r="J4168" s="2"/>
      <c r="K4168" s="2">
        <v>131752952</v>
      </c>
      <c r="L4168" s="2"/>
      <c r="M4168" s="2"/>
      <c r="N4168" s="2"/>
      <c r="O4168" s="2">
        <v>173307</v>
      </c>
      <c r="P4168" s="2"/>
      <c r="Q4168" s="2"/>
      <c r="R4168" s="2" t="s">
        <v>27475</v>
      </c>
      <c r="S4168" s="2" t="s">
        <v>27476</v>
      </c>
      <c r="T4168" s="2" t="s">
        <v>27477</v>
      </c>
      <c r="U4168" s="2" t="s">
        <v>331</v>
      </c>
      <c r="V4168" s="2" t="s">
        <v>332</v>
      </c>
      <c r="W4168" s="2" t="s">
        <v>333</v>
      </c>
      <c r="X4168" s="2" t="s">
        <v>147</v>
      </c>
      <c r="Y4168" s="2">
        <v>42.9</v>
      </c>
      <c r="Z4168" s="2">
        <v>19.5</v>
      </c>
      <c r="AA4168" s="2" t="s">
        <v>122</v>
      </c>
      <c r="AB4168" s="2" t="s">
        <v>27478</v>
      </c>
      <c r="AC4168" s="2">
        <v>1.1692751984341001</v>
      </c>
      <c r="AD4168" s="2"/>
      <c r="AE4168" s="2">
        <v>0.110436904356029</v>
      </c>
      <c r="AF4168" s="2">
        <v>8230.7259950467906</v>
      </c>
      <c r="AG4168" s="2">
        <v>10084.3700710023</v>
      </c>
      <c r="AH4168" s="4">
        <v>0.81618642880970005</v>
      </c>
      <c r="AI4168" s="4">
        <v>-0.29302937259289302</v>
      </c>
      <c r="AJ4168" s="4" t="s">
        <v>62</v>
      </c>
      <c r="AK4168" s="2">
        <v>0.86789013335946896</v>
      </c>
      <c r="AL4168" s="2">
        <v>0.94267539732074102</v>
      </c>
      <c r="AM4168" s="2">
        <v>18653.135927514999</v>
      </c>
      <c r="AN4168" s="2">
        <v>8.7018679438396696</v>
      </c>
      <c r="AO4168" s="2">
        <v>441.21700626665898</v>
      </c>
      <c r="AP4168" s="2">
        <v>4.36021203597174</v>
      </c>
      <c r="AQ4168" s="2">
        <v>26339.6918254015</v>
      </c>
      <c r="AR4168" s="2">
        <v>3937.2491311177801</v>
      </c>
      <c r="AS4168" s="2">
        <v>8.559877937157E-6</v>
      </c>
      <c r="AT4168" s="2">
        <v>2.5776194830956398</v>
      </c>
      <c r="AU4168" s="2">
        <v>2.8671997676996002</v>
      </c>
      <c r="AV4168" s="2">
        <v>59137.6302653198</v>
      </c>
      <c r="AW4168" s="2">
        <v>558.33353476008301</v>
      </c>
      <c r="AX4168" s="2">
        <v>804.81179812326798</v>
      </c>
    </row>
    <row r="4169" spans="1:50" x14ac:dyDescent="0.25">
      <c r="A4169" s="2" t="s">
        <v>27479</v>
      </c>
      <c r="B4169" s="2">
        <v>254.16143182626101</v>
      </c>
      <c r="C4169" s="2">
        <v>3.9009</v>
      </c>
      <c r="D4169" s="2" t="s">
        <v>51</v>
      </c>
      <c r="E4169" s="2" t="s">
        <v>27480</v>
      </c>
      <c r="F4169" s="2">
        <v>54028</v>
      </c>
      <c r="G4169" s="3" t="str">
        <f>HYPERLINK("https://cloud.oebiotech.com/#/lm/network/54028", "https://cloud.oebiotech.com/#/lm/network/54028")</f>
        <v>https://cloud.oebiotech.com/#/lm/network/54028</v>
      </c>
      <c r="H4169" s="2" t="s">
        <v>27481</v>
      </c>
      <c r="I4169" s="2"/>
      <c r="J4169" s="2"/>
      <c r="K4169" s="2">
        <v>9814075</v>
      </c>
      <c r="L4169" s="2"/>
      <c r="M4169" s="2"/>
      <c r="N4169" s="2"/>
      <c r="O4169" s="2"/>
      <c r="P4169" s="2"/>
      <c r="Q4169" s="2"/>
      <c r="R4169" s="2"/>
      <c r="S4169" s="2" t="s">
        <v>27482</v>
      </c>
      <c r="T4169" s="2" t="s">
        <v>27483</v>
      </c>
      <c r="U4169" s="2" t="s">
        <v>103</v>
      </c>
      <c r="V4169" s="2" t="s">
        <v>104</v>
      </c>
      <c r="W4169" s="2" t="s">
        <v>105</v>
      </c>
      <c r="X4169" s="2" t="s">
        <v>147</v>
      </c>
      <c r="Y4169" s="2">
        <v>41.6</v>
      </c>
      <c r="Z4169" s="2">
        <v>24.3</v>
      </c>
      <c r="AA4169" s="2" t="s">
        <v>156</v>
      </c>
      <c r="AB4169" s="2" t="s">
        <v>13382</v>
      </c>
      <c r="AC4169" s="2">
        <v>1.0345018377815201</v>
      </c>
      <c r="AD4169" s="2"/>
      <c r="AE4169" s="2">
        <v>0.11043683629090401</v>
      </c>
      <c r="AF4169" s="2">
        <v>2263.18215630841</v>
      </c>
      <c r="AG4169" s="2">
        <v>2897.1789945546602</v>
      </c>
      <c r="AH4169" s="4">
        <v>0.78116752902120901</v>
      </c>
      <c r="AI4169" s="4">
        <v>-0.35629611326850202</v>
      </c>
      <c r="AJ4169" s="4" t="s">
        <v>62</v>
      </c>
      <c r="AK4169" s="2">
        <v>0.40599497540915702</v>
      </c>
      <c r="AL4169" s="2">
        <v>0.67216736447411196</v>
      </c>
      <c r="AM4169" s="2">
        <v>1547.3864701067801</v>
      </c>
      <c r="AN4169" s="2">
        <v>2216.0877762927798</v>
      </c>
      <c r="AO4169" s="2">
        <v>2111.1492606276902</v>
      </c>
      <c r="AP4169" s="2">
        <v>3109.4713453561799</v>
      </c>
      <c r="AQ4169" s="2">
        <v>3450.9693902661802</v>
      </c>
      <c r="AR4169" s="2">
        <v>1144.0286952008701</v>
      </c>
      <c r="AS4169" s="2">
        <v>2107.3291085784999</v>
      </c>
      <c r="AT4169" s="2">
        <v>4230.4290828907097</v>
      </c>
      <c r="AU4169" s="2">
        <v>1262.3594196875499</v>
      </c>
      <c r="AV4169" s="2">
        <v>1433.6647114329101</v>
      </c>
      <c r="AW4169" s="2">
        <v>5076.2625171795398</v>
      </c>
      <c r="AX4169" s="2">
        <v>3273.0291275587501</v>
      </c>
    </row>
    <row r="4170" spans="1:50" x14ac:dyDescent="0.25">
      <c r="A4170" s="2" t="s">
        <v>27484</v>
      </c>
      <c r="B4170" s="2">
        <v>276.23312557476402</v>
      </c>
      <c r="C4170" s="2">
        <v>11.1675166666667</v>
      </c>
      <c r="D4170" s="2" t="s">
        <v>51</v>
      </c>
      <c r="E4170" s="2" t="s">
        <v>27485</v>
      </c>
      <c r="F4170" s="2">
        <v>10158</v>
      </c>
      <c r="G4170" s="3" t="str">
        <f>HYPERLINK("https://cloud.oebiotech.com/#/lm/network/10158", "https://cloud.oebiotech.com/#/lm/network/10158")</f>
        <v>https://cloud.oebiotech.com/#/lm/network/10158</v>
      </c>
      <c r="H4170" s="2"/>
      <c r="I4170" s="2"/>
      <c r="J4170" s="2" t="s">
        <v>27486</v>
      </c>
      <c r="K4170" s="2"/>
      <c r="L4170" s="2"/>
      <c r="M4170" s="2"/>
      <c r="N4170" s="2"/>
      <c r="O4170" s="2"/>
      <c r="P4170" s="2"/>
      <c r="Q4170" s="2"/>
      <c r="R4170" s="2"/>
      <c r="S4170" s="2" t="s">
        <v>27487</v>
      </c>
      <c r="T4170" s="2" t="s">
        <v>27488</v>
      </c>
      <c r="U4170" s="2" t="s">
        <v>331</v>
      </c>
      <c r="V4170" s="2" t="s">
        <v>332</v>
      </c>
      <c r="W4170" s="2" t="s">
        <v>1207</v>
      </c>
      <c r="X4170" s="2" t="s">
        <v>69</v>
      </c>
      <c r="Y4170" s="2">
        <v>58.9</v>
      </c>
      <c r="Z4170" s="2">
        <v>84</v>
      </c>
      <c r="AA4170" s="2" t="s">
        <v>512</v>
      </c>
      <c r="AB4170" s="2" t="s">
        <v>27489</v>
      </c>
      <c r="AC4170" s="2">
        <v>3.61966421623899</v>
      </c>
      <c r="AD4170" s="2"/>
      <c r="AE4170" s="2">
        <v>0.110395011792978</v>
      </c>
      <c r="AF4170" s="2">
        <v>2046.3430888615301</v>
      </c>
      <c r="AG4170" s="2">
        <v>856.33918796886405</v>
      </c>
      <c r="AH4170" s="5">
        <v>2.38964083112349</v>
      </c>
      <c r="AI4170" s="5">
        <v>1.2567937938979801</v>
      </c>
      <c r="AJ4170" s="5" t="s">
        <v>139</v>
      </c>
      <c r="AK4170" s="2">
        <v>0.57476538156627499</v>
      </c>
      <c r="AL4170" s="2">
        <v>0.78564459545109699</v>
      </c>
      <c r="AM4170" s="2">
        <v>8.559877937157E-6</v>
      </c>
      <c r="AN4170" s="2">
        <v>8.559877937157E-6</v>
      </c>
      <c r="AO4170" s="2">
        <v>11450.1882776125</v>
      </c>
      <c r="AP4170" s="2">
        <v>8.559877937157E-6</v>
      </c>
      <c r="AQ4170" s="2">
        <v>827.87022131718197</v>
      </c>
      <c r="AR4170" s="2">
        <v>8.559877937157E-6</v>
      </c>
      <c r="AS4170" s="2">
        <v>4896.2364329655502</v>
      </c>
      <c r="AT4170" s="2">
        <v>8.559877937157E-6</v>
      </c>
      <c r="AU4170" s="2">
        <v>241.79866060812401</v>
      </c>
      <c r="AV4170" s="2">
        <v>8.559877937157E-6</v>
      </c>
      <c r="AW4170" s="2">
        <v>8.559877937157E-6</v>
      </c>
      <c r="AX4170" s="2">
        <v>8.559877937157E-6</v>
      </c>
    </row>
    <row r="4171" spans="1:50" x14ac:dyDescent="0.25">
      <c r="A4171" s="2" t="s">
        <v>27490</v>
      </c>
      <c r="B4171" s="2">
        <v>233.15437830695299</v>
      </c>
      <c r="C4171" s="2">
        <v>5.14096666666667</v>
      </c>
      <c r="D4171" s="2" t="s">
        <v>51</v>
      </c>
      <c r="E4171" s="2" t="s">
        <v>27491</v>
      </c>
      <c r="F4171" s="2">
        <v>60712</v>
      </c>
      <c r="G4171" s="3" t="str">
        <f>HYPERLINK("https://cloud.oebiotech.com/#/lm/network/60712", "https://cloud.oebiotech.com/#/lm/network/60712")</f>
        <v>https://cloud.oebiotech.com/#/lm/network/60712</v>
      </c>
      <c r="H4171" s="2" t="s">
        <v>27492</v>
      </c>
      <c r="I4171" s="2">
        <v>92042</v>
      </c>
      <c r="J4171" s="2"/>
      <c r="K4171" s="2">
        <v>14408096</v>
      </c>
      <c r="L4171" s="2"/>
      <c r="M4171" s="2"/>
      <c r="N4171" s="2"/>
      <c r="O4171" s="2">
        <v>138771</v>
      </c>
      <c r="P4171" s="2"/>
      <c r="Q4171" s="2"/>
      <c r="R4171" s="2"/>
      <c r="S4171" s="2" t="s">
        <v>27493</v>
      </c>
      <c r="T4171" s="2" t="s">
        <v>27494</v>
      </c>
      <c r="U4171" s="2" t="s">
        <v>331</v>
      </c>
      <c r="V4171" s="2" t="s">
        <v>332</v>
      </c>
      <c r="W4171" s="2" t="s">
        <v>519</v>
      </c>
      <c r="X4171" s="2" t="s">
        <v>83</v>
      </c>
      <c r="Y4171" s="2">
        <v>44.3</v>
      </c>
      <c r="Z4171" s="2">
        <v>0</v>
      </c>
      <c r="AA4171" s="2" t="s">
        <v>156</v>
      </c>
      <c r="AB4171" s="2" t="s">
        <v>8328</v>
      </c>
      <c r="AC4171" s="2">
        <v>3.0860342046304599</v>
      </c>
      <c r="AD4171" s="2"/>
      <c r="AE4171" s="2">
        <v>0.110366057068606</v>
      </c>
      <c r="AF4171" s="2">
        <v>1300.49310719705</v>
      </c>
      <c r="AG4171" s="2">
        <v>960.03166071170006</v>
      </c>
      <c r="AH4171" s="5">
        <v>1.3546356442379801</v>
      </c>
      <c r="AI4171" s="5">
        <v>0.43790486269564699</v>
      </c>
      <c r="AJ4171" s="5" t="s">
        <v>139</v>
      </c>
      <c r="AK4171" s="2">
        <v>0.19775563659385201</v>
      </c>
      <c r="AL4171" s="2">
        <v>0.52099301167963796</v>
      </c>
      <c r="AM4171" s="2">
        <v>1352.9186508646201</v>
      </c>
      <c r="AN4171" s="2">
        <v>2060.5261860854598</v>
      </c>
      <c r="AO4171" s="2">
        <v>879.603165469347</v>
      </c>
      <c r="AP4171" s="2">
        <v>1168.86661967084</v>
      </c>
      <c r="AQ4171" s="2">
        <v>1111.1717231914099</v>
      </c>
      <c r="AR4171" s="2">
        <v>1229.87229790065</v>
      </c>
      <c r="AS4171" s="2">
        <v>874.10633126621497</v>
      </c>
      <c r="AT4171" s="2">
        <v>1261.1173653200501</v>
      </c>
      <c r="AU4171" s="2">
        <v>1681.5936975865</v>
      </c>
      <c r="AV4171" s="2">
        <v>895.38254016384406</v>
      </c>
      <c r="AW4171" s="2">
        <v>587.42621889185295</v>
      </c>
      <c r="AX4171" s="2">
        <v>460.56381104173801</v>
      </c>
    </row>
    <row r="4172" spans="1:50" x14ac:dyDescent="0.25">
      <c r="A4172" s="2" t="s">
        <v>27495</v>
      </c>
      <c r="B4172" s="2">
        <v>147.092083358434</v>
      </c>
      <c r="C4172" s="2">
        <v>2.6807833333333302</v>
      </c>
      <c r="D4172" s="2" t="s">
        <v>51</v>
      </c>
      <c r="E4172" s="2" t="s">
        <v>27496</v>
      </c>
      <c r="F4172" s="2">
        <v>200922</v>
      </c>
      <c r="G4172" s="3" t="str">
        <f>HYPERLINK("https://cloud.oebiotech.com/#/lm/network/200922", "https://cloud.oebiotech.com/#/lm/network/200922")</f>
        <v>https://cloud.oebiotech.com/#/lm/network/200922</v>
      </c>
      <c r="H4172" s="2" t="s">
        <v>27497</v>
      </c>
      <c r="I4172" s="2"/>
      <c r="J4172" s="2"/>
      <c r="K4172" s="2">
        <v>119351</v>
      </c>
      <c r="L4172" s="2"/>
      <c r="M4172" s="2"/>
      <c r="N4172" s="2"/>
      <c r="O4172" s="2"/>
      <c r="P4172" s="2"/>
      <c r="Q4172" s="2"/>
      <c r="R4172" s="2"/>
      <c r="S4172" s="2" t="s">
        <v>27498</v>
      </c>
      <c r="T4172" s="2" t="s">
        <v>27499</v>
      </c>
      <c r="U4172" s="2" t="s">
        <v>103</v>
      </c>
      <c r="V4172" s="2" t="s">
        <v>104</v>
      </c>
      <c r="W4172" s="2" t="s">
        <v>105</v>
      </c>
      <c r="X4172" s="2" t="s">
        <v>147</v>
      </c>
      <c r="Y4172" s="2">
        <v>37.5</v>
      </c>
      <c r="Z4172" s="2">
        <v>0</v>
      </c>
      <c r="AA4172" s="2" t="s">
        <v>156</v>
      </c>
      <c r="AB4172" s="2" t="s">
        <v>27500</v>
      </c>
      <c r="AC4172" s="2">
        <v>-4.4746777615356299</v>
      </c>
      <c r="AD4172" s="2"/>
      <c r="AE4172" s="2">
        <v>0.110360077537944</v>
      </c>
      <c r="AF4172" s="2">
        <v>2803.97889740458</v>
      </c>
      <c r="AG4172" s="2">
        <v>3386.7295832188502</v>
      </c>
      <c r="AH4172" s="4">
        <v>0.82793114374947996</v>
      </c>
      <c r="AI4172" s="4">
        <v>-0.272417306271304</v>
      </c>
      <c r="AJ4172" s="4" t="s">
        <v>62</v>
      </c>
      <c r="AK4172" s="2">
        <v>0.144571272329311</v>
      </c>
      <c r="AL4172" s="2">
        <v>0.46795150714190697</v>
      </c>
      <c r="AM4172" s="2">
        <v>2643.7773889382001</v>
      </c>
      <c r="AN4172" s="2">
        <v>3138.2811944753898</v>
      </c>
      <c r="AO4172" s="2">
        <v>2847.2360367126398</v>
      </c>
      <c r="AP4172" s="2">
        <v>3253.4318626008999</v>
      </c>
      <c r="AQ4172" s="2">
        <v>2728.9910575504</v>
      </c>
      <c r="AR4172" s="2">
        <v>2212.1558441499601</v>
      </c>
      <c r="AS4172" s="2">
        <v>3560.31501532018</v>
      </c>
      <c r="AT4172" s="2">
        <v>4651.3840365291499</v>
      </c>
      <c r="AU4172" s="2">
        <v>2725.2397326058199</v>
      </c>
      <c r="AV4172" s="2">
        <v>2353.6868623692499</v>
      </c>
      <c r="AW4172" s="2">
        <v>3196.38016840311</v>
      </c>
      <c r="AX4172" s="2">
        <v>3833.37168408559</v>
      </c>
    </row>
    <row r="4173" spans="1:50" x14ac:dyDescent="0.25">
      <c r="A4173" s="2" t="s">
        <v>27501</v>
      </c>
      <c r="B4173" s="2">
        <v>227.091843086258</v>
      </c>
      <c r="C4173" s="2">
        <v>5.4175500000000003</v>
      </c>
      <c r="D4173" s="2" t="s">
        <v>51</v>
      </c>
      <c r="E4173" s="2" t="s">
        <v>27502</v>
      </c>
      <c r="F4173" s="2">
        <v>2949</v>
      </c>
      <c r="G4173" s="3" t="str">
        <f>HYPERLINK("https://cloud.oebiotech.com/#/lm/network/2949", "https://cloud.oebiotech.com/#/lm/network/2949")</f>
        <v>https://cloud.oebiotech.com/#/lm/network/2949</v>
      </c>
      <c r="H4173" s="2"/>
      <c r="I4173" s="2"/>
      <c r="J4173" s="2" t="s">
        <v>27503</v>
      </c>
      <c r="K4173" s="2">
        <v>139589571</v>
      </c>
      <c r="L4173" s="2"/>
      <c r="M4173" s="2"/>
      <c r="N4173" s="2"/>
      <c r="O4173" s="2"/>
      <c r="P4173" s="2"/>
      <c r="Q4173" s="2"/>
      <c r="R4173" s="2"/>
      <c r="S4173" s="2" t="s">
        <v>27504</v>
      </c>
      <c r="T4173" s="2" t="s">
        <v>27505</v>
      </c>
      <c r="U4173" s="2" t="s">
        <v>103</v>
      </c>
      <c r="V4173" s="2" t="s">
        <v>2602</v>
      </c>
      <c r="W4173" s="2" t="s">
        <v>2603</v>
      </c>
      <c r="X4173" s="2" t="s">
        <v>83</v>
      </c>
      <c r="Y4173" s="2">
        <v>50.1</v>
      </c>
      <c r="Z4173" s="2">
        <v>0</v>
      </c>
      <c r="AA4173" s="2" t="s">
        <v>163</v>
      </c>
      <c r="AB4173" s="2" t="s">
        <v>27506</v>
      </c>
      <c r="AC4173" s="2">
        <v>-2.8675726045198799</v>
      </c>
      <c r="AD4173" s="2"/>
      <c r="AE4173" s="2">
        <v>0.110299205865345</v>
      </c>
      <c r="AF4173" s="2">
        <v>1611.53013589342</v>
      </c>
      <c r="AG4173" s="2">
        <v>2095.2272129109701</v>
      </c>
      <c r="AH4173" s="4">
        <v>0.76914337784610398</v>
      </c>
      <c r="AI4173" s="4">
        <v>-0.37867553541729199</v>
      </c>
      <c r="AJ4173" s="4" t="s">
        <v>62</v>
      </c>
      <c r="AK4173" s="2">
        <v>0.15921473952533099</v>
      </c>
      <c r="AL4173" s="2">
        <v>0.48227444314382201</v>
      </c>
      <c r="AM4173" s="2">
        <v>1413.86396641687</v>
      </c>
      <c r="AN4173" s="2">
        <v>1364.22745381963</v>
      </c>
      <c r="AO4173" s="2">
        <v>1898.9049698930901</v>
      </c>
      <c r="AP4173" s="2">
        <v>2204.5008709024401</v>
      </c>
      <c r="AQ4173" s="2">
        <v>1573.03208065842</v>
      </c>
      <c r="AR4173" s="2">
        <v>1214.6514736700899</v>
      </c>
      <c r="AS4173" s="2">
        <v>2689.0812407469298</v>
      </c>
      <c r="AT4173" s="2">
        <v>3073.1426755449702</v>
      </c>
      <c r="AU4173" s="2">
        <v>1500.6980252364999</v>
      </c>
      <c r="AV4173" s="2">
        <v>2258.9160345611199</v>
      </c>
      <c r="AW4173" s="2">
        <v>1534.56390107379</v>
      </c>
      <c r="AX4173" s="2">
        <v>1514.9614003025199</v>
      </c>
    </row>
    <row r="4174" spans="1:50" x14ac:dyDescent="0.25">
      <c r="A4174" s="2" t="s">
        <v>27507</v>
      </c>
      <c r="B4174" s="2">
        <v>237.14917217833701</v>
      </c>
      <c r="C4174" s="2">
        <v>8.72068333333333</v>
      </c>
      <c r="D4174" s="2" t="s">
        <v>51</v>
      </c>
      <c r="E4174" s="2" t="s">
        <v>27508</v>
      </c>
      <c r="F4174" s="2">
        <v>63910</v>
      </c>
      <c r="G4174" s="3" t="str">
        <f>HYPERLINK("https://cloud.oebiotech.com/#/lm/network/63910", "https://cloud.oebiotech.com/#/lm/network/63910")</f>
        <v>https://cloud.oebiotech.com/#/lm/network/63910</v>
      </c>
      <c r="H4174" s="2" t="s">
        <v>27509</v>
      </c>
      <c r="I4174" s="2">
        <v>95243</v>
      </c>
      <c r="J4174" s="2"/>
      <c r="K4174" s="2">
        <v>72755911</v>
      </c>
      <c r="L4174" s="2"/>
      <c r="M4174" s="2"/>
      <c r="N4174" s="2"/>
      <c r="O4174" s="2">
        <v>174214</v>
      </c>
      <c r="P4174" s="2"/>
      <c r="Q4174" s="2"/>
      <c r="R4174" s="2" t="s">
        <v>27510</v>
      </c>
      <c r="S4174" s="2" t="s">
        <v>27511</v>
      </c>
      <c r="T4174" s="2" t="s">
        <v>27512</v>
      </c>
      <c r="U4174" s="2" t="s">
        <v>56</v>
      </c>
      <c r="V4174" s="2" t="s">
        <v>177</v>
      </c>
      <c r="W4174" s="2" t="s">
        <v>1996</v>
      </c>
      <c r="X4174" s="2" t="s">
        <v>147</v>
      </c>
      <c r="Y4174" s="2">
        <v>40</v>
      </c>
      <c r="Z4174" s="2">
        <v>9.9600000000000009</v>
      </c>
      <c r="AA4174" s="2" t="s">
        <v>259</v>
      </c>
      <c r="AB4174" s="2" t="s">
        <v>21274</v>
      </c>
      <c r="AC4174" s="2">
        <v>2.7578674699658299</v>
      </c>
      <c r="AD4174" s="2"/>
      <c r="AE4174" s="2">
        <v>0.110293500670276</v>
      </c>
      <c r="AF4174" s="2">
        <v>1708.9674695648901</v>
      </c>
      <c r="AG4174" s="2">
        <v>1387.6424543482501</v>
      </c>
      <c r="AH4174" s="5">
        <v>1.2315618221464399</v>
      </c>
      <c r="AI4174" s="5">
        <v>0.30048905030171402</v>
      </c>
      <c r="AJ4174" s="5" t="s">
        <v>139</v>
      </c>
      <c r="AK4174" s="2">
        <v>5.2410611741756701E-2</v>
      </c>
      <c r="AL4174" s="2">
        <v>0.31653622285434502</v>
      </c>
      <c r="AM4174" s="2">
        <v>2057.9532766519401</v>
      </c>
      <c r="AN4174" s="2">
        <v>1867.81708145331</v>
      </c>
      <c r="AO4174" s="2">
        <v>1817.9957003428499</v>
      </c>
      <c r="AP4174" s="2">
        <v>1497.9503001215301</v>
      </c>
      <c r="AQ4174" s="2">
        <v>1559.08667423168</v>
      </c>
      <c r="AR4174" s="2">
        <v>1453.001784588</v>
      </c>
      <c r="AS4174" s="2">
        <v>1252.32088503559</v>
      </c>
      <c r="AT4174" s="2">
        <v>1137.97769527585</v>
      </c>
      <c r="AU4174" s="2">
        <v>1334.43469998931</v>
      </c>
      <c r="AV4174" s="2">
        <v>1532.3532912891501</v>
      </c>
      <c r="AW4174" s="2">
        <v>1851.30121304569</v>
      </c>
      <c r="AX4174" s="2">
        <v>1217.4669414538801</v>
      </c>
    </row>
    <row r="4175" spans="1:50" x14ac:dyDescent="0.25">
      <c r="A4175" s="2" t="s">
        <v>27513</v>
      </c>
      <c r="B4175" s="2">
        <v>132.10224610496201</v>
      </c>
      <c r="C4175" s="2">
        <v>1.2938333333333301</v>
      </c>
      <c r="D4175" s="2" t="s">
        <v>51</v>
      </c>
      <c r="E4175" s="2" t="s">
        <v>27514</v>
      </c>
      <c r="F4175" s="2">
        <v>47159</v>
      </c>
      <c r="G4175" s="3" t="str">
        <f>HYPERLINK("https://cloud.oebiotech.com/#/lm/network/47159", "https://cloud.oebiotech.com/#/lm/network/47159")</f>
        <v>https://cloud.oebiotech.com/#/lm/network/47159</v>
      </c>
      <c r="H4175" s="2" t="s">
        <v>27515</v>
      </c>
      <c r="I4175" s="2">
        <v>24</v>
      </c>
      <c r="J4175" s="2"/>
      <c r="K4175" s="2">
        <v>6106</v>
      </c>
      <c r="L4175" s="2" t="s">
        <v>27516</v>
      </c>
      <c r="M4175" s="2" t="s">
        <v>27517</v>
      </c>
      <c r="N4175" s="2" t="s">
        <v>27518</v>
      </c>
      <c r="O4175" s="2">
        <v>15603</v>
      </c>
      <c r="P4175" s="2"/>
      <c r="Q4175" s="2"/>
      <c r="R4175" s="2" t="s">
        <v>27519</v>
      </c>
      <c r="S4175" s="2" t="s">
        <v>27520</v>
      </c>
      <c r="T4175" s="2" t="s">
        <v>27521</v>
      </c>
      <c r="U4175" s="2" t="s">
        <v>103</v>
      </c>
      <c r="V4175" s="2" t="s">
        <v>104</v>
      </c>
      <c r="W4175" s="2" t="s">
        <v>105</v>
      </c>
      <c r="X4175" s="2" t="s">
        <v>69</v>
      </c>
      <c r="Y4175" s="2">
        <v>54.5</v>
      </c>
      <c r="Z4175" s="2">
        <v>79.5</v>
      </c>
      <c r="AA4175" s="2" t="s">
        <v>60</v>
      </c>
      <c r="AB4175" s="2" t="s">
        <v>5212</v>
      </c>
      <c r="AC4175" s="2">
        <v>2.60126700771188</v>
      </c>
      <c r="AD4175" s="2"/>
      <c r="AE4175" s="2">
        <v>0.110185570425144</v>
      </c>
      <c r="AF4175" s="2">
        <v>3928192.7787425201</v>
      </c>
      <c r="AG4175" s="2">
        <v>3819237.25992371</v>
      </c>
      <c r="AH4175" s="5">
        <v>1.0285280833327901</v>
      </c>
      <c r="AI4175" s="5">
        <v>4.0581186309921698E-2</v>
      </c>
      <c r="AJ4175" s="5" t="s">
        <v>139</v>
      </c>
      <c r="AK4175" s="2">
        <v>0.83512081830495599</v>
      </c>
      <c r="AL4175" s="2">
        <v>0.92761689397128599</v>
      </c>
      <c r="AM4175" s="2">
        <v>3811664.9415361001</v>
      </c>
      <c r="AN4175" s="2">
        <v>3788324.4218931501</v>
      </c>
      <c r="AO4175" s="2">
        <v>3891857.7604711102</v>
      </c>
      <c r="AP4175" s="2">
        <v>4795239.2179528903</v>
      </c>
      <c r="AQ4175" s="2">
        <v>3900362.1120392801</v>
      </c>
      <c r="AR4175" s="2">
        <v>3381708.2185625802</v>
      </c>
      <c r="AS4175" s="2">
        <v>2262093.1143698799</v>
      </c>
      <c r="AT4175" s="2">
        <v>2564743.4844035199</v>
      </c>
      <c r="AU4175" s="2">
        <v>4461650.7639722498</v>
      </c>
      <c r="AV4175" s="2">
        <v>4027408.4114073599</v>
      </c>
      <c r="AW4175" s="2">
        <v>5212005.8710702201</v>
      </c>
      <c r="AX4175" s="2">
        <v>4387521.9143190496</v>
      </c>
    </row>
    <row r="4176" spans="1:50" x14ac:dyDescent="0.25">
      <c r="A4176" s="2" t="s">
        <v>27522</v>
      </c>
      <c r="B4176" s="2">
        <v>676.34477812424598</v>
      </c>
      <c r="C4176" s="2">
        <v>9.5006666666666693</v>
      </c>
      <c r="D4176" s="2" t="s">
        <v>51</v>
      </c>
      <c r="E4176" s="2" t="s">
        <v>27523</v>
      </c>
      <c r="F4176" s="2">
        <v>27917</v>
      </c>
      <c r="G4176" s="3" t="str">
        <f>HYPERLINK("https://cloud.oebiotech.com/#/lm/network/27917", "https://cloud.oebiotech.com/#/lm/network/27917")</f>
        <v>https://cloud.oebiotech.com/#/lm/network/27917</v>
      </c>
      <c r="H4176" s="2"/>
      <c r="I4176" s="2"/>
      <c r="J4176" s="2" t="s">
        <v>27524</v>
      </c>
      <c r="K4176" s="2">
        <v>134812374</v>
      </c>
      <c r="L4176" s="2"/>
      <c r="M4176" s="2"/>
      <c r="N4176" s="2"/>
      <c r="O4176" s="2"/>
      <c r="P4176" s="2"/>
      <c r="Q4176" s="2"/>
      <c r="R4176" s="2"/>
      <c r="S4176" s="2" t="s">
        <v>27525</v>
      </c>
      <c r="T4176" s="2" t="s">
        <v>27526</v>
      </c>
      <c r="U4176" s="2" t="s">
        <v>56</v>
      </c>
      <c r="V4176" s="2" t="s">
        <v>57</v>
      </c>
      <c r="W4176" s="2" t="s">
        <v>155</v>
      </c>
      <c r="X4176" s="2" t="s">
        <v>147</v>
      </c>
      <c r="Y4176" s="2">
        <v>37.1</v>
      </c>
      <c r="Z4176" s="2">
        <v>0</v>
      </c>
      <c r="AA4176" s="2" t="s">
        <v>218</v>
      </c>
      <c r="AB4176" s="2" t="s">
        <v>27527</v>
      </c>
      <c r="AC4176" s="2">
        <v>-3.10178582818157</v>
      </c>
      <c r="AD4176" s="2"/>
      <c r="AE4176" s="2">
        <v>0.11016329550705201</v>
      </c>
      <c r="AF4176" s="2">
        <v>4061.6188759061902</v>
      </c>
      <c r="AG4176" s="2">
        <v>3369.24262013513</v>
      </c>
      <c r="AH4176" s="5">
        <v>1.2054990791204301</v>
      </c>
      <c r="AI4176" s="5">
        <v>0.26963054886752102</v>
      </c>
      <c r="AJ4176" s="5" t="s">
        <v>139</v>
      </c>
      <c r="AK4176" s="2">
        <v>0.69945051627423604</v>
      </c>
      <c r="AL4176" s="2">
        <v>0.85547950942087603</v>
      </c>
      <c r="AM4176" s="2">
        <v>3740.8208954449601</v>
      </c>
      <c r="AN4176" s="2">
        <v>9449.9235449409607</v>
      </c>
      <c r="AO4176" s="2">
        <v>4052.14109225637</v>
      </c>
      <c r="AP4176" s="2">
        <v>2369.5112310634299</v>
      </c>
      <c r="AQ4176" s="2">
        <v>1785.74744837819</v>
      </c>
      <c r="AR4176" s="2">
        <v>2971.56904335323</v>
      </c>
      <c r="AS4176" s="2">
        <v>1630.52795603037</v>
      </c>
      <c r="AT4176" s="2">
        <v>8.559877937157E-6</v>
      </c>
      <c r="AU4176" s="2">
        <v>9355.0317002192405</v>
      </c>
      <c r="AV4176" s="2">
        <v>3865.9428322742501</v>
      </c>
      <c r="AW4176" s="2">
        <v>1869.9697884785501</v>
      </c>
      <c r="AX4176" s="2">
        <v>3493.98343524849</v>
      </c>
    </row>
    <row r="4177" spans="1:50" x14ac:dyDescent="0.25">
      <c r="A4177" s="2" t="s">
        <v>27528</v>
      </c>
      <c r="B4177" s="2">
        <v>433.33230521133498</v>
      </c>
      <c r="C4177" s="2">
        <v>12.708216666666701</v>
      </c>
      <c r="D4177" s="2" t="s">
        <v>51</v>
      </c>
      <c r="E4177" s="2" t="s">
        <v>27529</v>
      </c>
      <c r="F4177" s="2">
        <v>45725</v>
      </c>
      <c r="G4177" s="3" t="str">
        <f>HYPERLINK("https://cloud.oebiotech.com/#/lm/network/45725", "https://cloud.oebiotech.com/#/lm/network/45725")</f>
        <v>https://cloud.oebiotech.com/#/lm/network/45725</v>
      </c>
      <c r="H4177" s="2"/>
      <c r="I4177" s="2"/>
      <c r="J4177" s="2" t="s">
        <v>27530</v>
      </c>
      <c r="K4177" s="2">
        <v>9547657</v>
      </c>
      <c r="L4177" s="2"/>
      <c r="M4177" s="2"/>
      <c r="N4177" s="2"/>
      <c r="O4177" s="2"/>
      <c r="P4177" s="2"/>
      <c r="Q4177" s="2"/>
      <c r="R4177" s="2"/>
      <c r="S4177" s="2" t="s">
        <v>27531</v>
      </c>
      <c r="T4177" s="2" t="s">
        <v>27532</v>
      </c>
      <c r="U4177" s="2" t="s">
        <v>56</v>
      </c>
      <c r="V4177" s="2" t="s">
        <v>283</v>
      </c>
      <c r="W4177" s="2" t="s">
        <v>420</v>
      </c>
      <c r="X4177" s="2" t="s">
        <v>83</v>
      </c>
      <c r="Y4177" s="2">
        <v>46.5</v>
      </c>
      <c r="Z4177" s="2">
        <v>0</v>
      </c>
      <c r="AA4177" s="2" t="s">
        <v>218</v>
      </c>
      <c r="AB4177" s="2" t="s">
        <v>23259</v>
      </c>
      <c r="AC4177" s="2">
        <v>-7.2898215458008606E-2</v>
      </c>
      <c r="AD4177" s="2"/>
      <c r="AE4177" s="2">
        <v>0.11012535697157699</v>
      </c>
      <c r="AF4177" s="2">
        <v>19763.747547660201</v>
      </c>
      <c r="AG4177" s="2">
        <v>17767.028423102402</v>
      </c>
      <c r="AH4177" s="5">
        <v>1.1123834035162301</v>
      </c>
      <c r="AI4177" s="5">
        <v>0.15365412530654701</v>
      </c>
      <c r="AJ4177" s="5" t="s">
        <v>139</v>
      </c>
      <c r="AK4177" s="2">
        <v>0.64576353576760503</v>
      </c>
      <c r="AL4177" s="2">
        <v>0.826984062090653</v>
      </c>
      <c r="AM4177" s="2">
        <v>8050.1913502793604</v>
      </c>
      <c r="AN4177" s="2">
        <v>21401.753562996</v>
      </c>
      <c r="AO4177" s="2">
        <v>25729.748893513301</v>
      </c>
      <c r="AP4177" s="2">
        <v>27720.436168891199</v>
      </c>
      <c r="AQ4177" s="2">
        <v>24853.073954369898</v>
      </c>
      <c r="AR4177" s="2">
        <v>10827.2813559116</v>
      </c>
      <c r="AS4177" s="2">
        <v>15145.382858481</v>
      </c>
      <c r="AT4177" s="2">
        <v>22713.421104294499</v>
      </c>
      <c r="AU4177" s="2">
        <v>23566.902327430202</v>
      </c>
      <c r="AV4177" s="2">
        <v>6854.8080077419399</v>
      </c>
      <c r="AW4177" s="2">
        <v>18904.605784100899</v>
      </c>
      <c r="AX4177" s="2">
        <v>19417.050456565601</v>
      </c>
    </row>
    <row r="4178" spans="1:50" x14ac:dyDescent="0.25">
      <c r="A4178" s="2" t="s">
        <v>27533</v>
      </c>
      <c r="B4178" s="2">
        <v>191.09</v>
      </c>
      <c r="C4178" s="2">
        <v>25.125</v>
      </c>
      <c r="D4178" s="2" t="s">
        <v>125</v>
      </c>
      <c r="E4178" s="2" t="s">
        <v>27534</v>
      </c>
      <c r="F4178" s="2">
        <v>64696</v>
      </c>
      <c r="G4178" s="3" t="str">
        <f>HYPERLINK("https://cloud.oebiotech.com/#/lm/network/64696", "https://cloud.oebiotech.com/#/lm/network/64696")</f>
        <v>https://cloud.oebiotech.com/#/lm/network/64696</v>
      </c>
      <c r="H4178" s="2" t="s">
        <v>27535</v>
      </c>
      <c r="I4178" s="2">
        <v>267</v>
      </c>
      <c r="J4178" s="2"/>
      <c r="K4178" s="2">
        <v>6134</v>
      </c>
      <c r="L4178" s="2" t="s">
        <v>27536</v>
      </c>
      <c r="M4178" s="2"/>
      <c r="N4178" s="2"/>
      <c r="O4178" s="2">
        <v>36218</v>
      </c>
      <c r="P4178" s="2"/>
      <c r="Q4178" s="2"/>
      <c r="R4178" s="2" t="s">
        <v>27537</v>
      </c>
      <c r="S4178" s="2" t="s">
        <v>27538</v>
      </c>
      <c r="T4178" s="2" t="s">
        <v>27539</v>
      </c>
      <c r="U4178" s="2" t="s">
        <v>331</v>
      </c>
      <c r="V4178" s="2" t="s">
        <v>332</v>
      </c>
      <c r="W4178" s="2" t="s">
        <v>333</v>
      </c>
      <c r="X4178" s="2" t="s">
        <v>69</v>
      </c>
      <c r="Y4178" s="2">
        <v>91.5</v>
      </c>
      <c r="Z4178" s="2">
        <v>87.4</v>
      </c>
      <c r="AA4178" s="2"/>
      <c r="AB4178" s="2" t="s">
        <v>18083</v>
      </c>
      <c r="AC4178" s="2"/>
      <c r="AD4178" s="2">
        <v>926792.15967246704</v>
      </c>
      <c r="AE4178" s="2">
        <v>0.110100409558006</v>
      </c>
      <c r="AF4178" s="2">
        <v>2299.8352172700202</v>
      </c>
      <c r="AG4178" s="2">
        <v>9748.2188467203396</v>
      </c>
      <c r="AH4178" s="4">
        <v>0.23592363419741699</v>
      </c>
      <c r="AI4178" s="4">
        <v>-2.0836081437475298</v>
      </c>
      <c r="AJ4178" s="4" t="s">
        <v>62</v>
      </c>
      <c r="AK4178" s="2">
        <v>0.123646875418525</v>
      </c>
      <c r="AL4178" s="2">
        <v>0.44128813217080598</v>
      </c>
      <c r="AM4178" s="2">
        <v>2299.8352172700202</v>
      </c>
      <c r="AN4178" s="2">
        <v>2299.8352172700202</v>
      </c>
      <c r="AO4178" s="2">
        <v>2299.8352172700202</v>
      </c>
      <c r="AP4178" s="2">
        <v>2299.8352172700202</v>
      </c>
      <c r="AQ4178" s="2">
        <v>2299.8352172700202</v>
      </c>
      <c r="AR4178" s="2">
        <v>2299.8352172700202</v>
      </c>
      <c r="AS4178" s="2">
        <v>17712.779738980698</v>
      </c>
      <c r="AT4178" s="2">
        <v>28243.4971513198</v>
      </c>
      <c r="AU4178" s="2">
        <v>2299.8352172700202</v>
      </c>
      <c r="AV4178" s="2">
        <v>5633.5305382114802</v>
      </c>
      <c r="AW4178" s="2">
        <v>2299.8352172700202</v>
      </c>
      <c r="AX4178" s="2">
        <v>2299.8352172700202</v>
      </c>
    </row>
    <row r="4179" spans="1:50" x14ac:dyDescent="0.25">
      <c r="A4179" s="2" t="s">
        <v>27540</v>
      </c>
      <c r="B4179" s="2">
        <v>259.093462544592</v>
      </c>
      <c r="C4179" s="2">
        <v>1.02813333333333</v>
      </c>
      <c r="D4179" s="2" t="s">
        <v>51</v>
      </c>
      <c r="E4179" s="2" t="s">
        <v>27541</v>
      </c>
      <c r="F4179" s="2">
        <v>61087</v>
      </c>
      <c r="G4179" s="3" t="str">
        <f>HYPERLINK("https://cloud.oebiotech.com/#/lm/network/61087", "https://cloud.oebiotech.com/#/lm/network/61087")</f>
        <v>https://cloud.oebiotech.com/#/lm/network/61087</v>
      </c>
      <c r="H4179" s="2" t="s">
        <v>27542</v>
      </c>
      <c r="I4179" s="2">
        <v>92406</v>
      </c>
      <c r="J4179" s="2"/>
      <c r="K4179" s="2">
        <v>11139254</v>
      </c>
      <c r="L4179" s="2"/>
      <c r="M4179" s="2"/>
      <c r="N4179" s="2"/>
      <c r="O4179" s="2"/>
      <c r="P4179" s="2"/>
      <c r="Q4179" s="2"/>
      <c r="R4179" s="2" t="s">
        <v>27543</v>
      </c>
      <c r="S4179" s="2" t="s">
        <v>27544</v>
      </c>
      <c r="T4179" s="2" t="s">
        <v>27545</v>
      </c>
      <c r="U4179" s="2" t="s">
        <v>266</v>
      </c>
      <c r="V4179" s="2" t="s">
        <v>19336</v>
      </c>
      <c r="W4179" s="2" t="s">
        <v>19337</v>
      </c>
      <c r="X4179" s="2" t="s">
        <v>147</v>
      </c>
      <c r="Y4179" s="2">
        <v>42.7</v>
      </c>
      <c r="Z4179" s="2">
        <v>22.8</v>
      </c>
      <c r="AA4179" s="2" t="s">
        <v>526</v>
      </c>
      <c r="AB4179" s="2" t="s">
        <v>27546</v>
      </c>
      <c r="AC4179" s="2">
        <v>4.1481179585390402</v>
      </c>
      <c r="AD4179" s="2"/>
      <c r="AE4179" s="2">
        <v>0.10993671390120199</v>
      </c>
      <c r="AF4179" s="2">
        <v>17510.700199224801</v>
      </c>
      <c r="AG4179" s="2">
        <v>17053.6197880728</v>
      </c>
      <c r="AH4179" s="5">
        <v>1.02680254496302</v>
      </c>
      <c r="AI4179" s="5">
        <v>3.81587767962972E-2</v>
      </c>
      <c r="AJ4179" s="5" t="s">
        <v>139</v>
      </c>
      <c r="AK4179" s="2">
        <v>0.92989546228606801</v>
      </c>
      <c r="AL4179" s="2">
        <v>0.97001844110086</v>
      </c>
      <c r="AM4179" s="2">
        <v>29807.959546489099</v>
      </c>
      <c r="AN4179" s="2">
        <v>7535.6216737157902</v>
      </c>
      <c r="AO4179" s="2">
        <v>17882.274423761701</v>
      </c>
      <c r="AP4179" s="2">
        <v>20090.969883505401</v>
      </c>
      <c r="AQ4179" s="2">
        <v>18374.3370778182</v>
      </c>
      <c r="AR4179" s="2">
        <v>11373.038590058701</v>
      </c>
      <c r="AS4179" s="2">
        <v>8238.0102500429493</v>
      </c>
      <c r="AT4179" s="2">
        <v>11155.2658872878</v>
      </c>
      <c r="AU4179" s="2">
        <v>35665.049328783804</v>
      </c>
      <c r="AV4179" s="2">
        <v>13231.709877618599</v>
      </c>
      <c r="AW4179" s="2">
        <v>17570.116054340298</v>
      </c>
      <c r="AX4179" s="2">
        <v>16461.567330363399</v>
      </c>
    </row>
    <row r="4180" spans="1:50" x14ac:dyDescent="0.25">
      <c r="A4180" s="2" t="s">
        <v>27547</v>
      </c>
      <c r="B4180" s="2">
        <v>203.180112077319</v>
      </c>
      <c r="C4180" s="2">
        <v>9.1758500000000005</v>
      </c>
      <c r="D4180" s="2" t="s">
        <v>51</v>
      </c>
      <c r="E4180" s="2" t="s">
        <v>27548</v>
      </c>
      <c r="F4180" s="2">
        <v>35139</v>
      </c>
      <c r="G4180" s="3" t="str">
        <f>HYPERLINK("https://cloud.oebiotech.com/#/lm/network/35139", "https://cloud.oebiotech.com/#/lm/network/35139")</f>
        <v>https://cloud.oebiotech.com/#/lm/network/35139</v>
      </c>
      <c r="H4180" s="2" t="s">
        <v>27549</v>
      </c>
      <c r="I4180" s="2">
        <v>44536</v>
      </c>
      <c r="J4180" s="2" t="s">
        <v>27550</v>
      </c>
      <c r="K4180" s="2">
        <v>1752</v>
      </c>
      <c r="L4180" s="2" t="s">
        <v>27551</v>
      </c>
      <c r="M4180" s="2"/>
      <c r="N4180" s="2"/>
      <c r="O4180" s="2">
        <v>34440</v>
      </c>
      <c r="P4180" s="2"/>
      <c r="Q4180" s="2"/>
      <c r="R4180" s="2" t="s">
        <v>27552</v>
      </c>
      <c r="S4180" s="2" t="s">
        <v>27553</v>
      </c>
      <c r="T4180" s="2" t="s">
        <v>27554</v>
      </c>
      <c r="U4180" s="2" t="s">
        <v>610</v>
      </c>
      <c r="V4180" s="2" t="s">
        <v>895</v>
      </c>
      <c r="W4180" s="2" t="s">
        <v>919</v>
      </c>
      <c r="X4180" s="2" t="s">
        <v>147</v>
      </c>
      <c r="Y4180" s="2">
        <v>37.9</v>
      </c>
      <c r="Z4180" s="2">
        <v>0</v>
      </c>
      <c r="AA4180" s="2" t="s">
        <v>156</v>
      </c>
      <c r="AB4180" s="2" t="s">
        <v>4168</v>
      </c>
      <c r="AC4180" s="2">
        <v>3.1107713310277401</v>
      </c>
      <c r="AD4180" s="2"/>
      <c r="AE4180" s="2">
        <v>0.109813257556412</v>
      </c>
      <c r="AF4180" s="2">
        <v>1977.58944507212</v>
      </c>
      <c r="AG4180" s="2">
        <v>1548.3727295328099</v>
      </c>
      <c r="AH4180" s="5">
        <v>1.27720503426124</v>
      </c>
      <c r="AI4180" s="5">
        <v>0.35299014459237199</v>
      </c>
      <c r="AJ4180" s="5" t="s">
        <v>139</v>
      </c>
      <c r="AK4180" s="2">
        <v>0.16841596262664801</v>
      </c>
      <c r="AL4180" s="2">
        <v>0.49098458663462602</v>
      </c>
      <c r="AM4180" s="2">
        <v>2228.6573584598</v>
      </c>
      <c r="AN4180" s="2">
        <v>2230.1600173910501</v>
      </c>
      <c r="AO4180" s="2">
        <v>1449.49258674878</v>
      </c>
      <c r="AP4180" s="2">
        <v>2027.9899412274799</v>
      </c>
      <c r="AQ4180" s="2">
        <v>1664.4749737357799</v>
      </c>
      <c r="AR4180" s="2">
        <v>2264.7617928698101</v>
      </c>
      <c r="AS4180" s="2">
        <v>2379.5468890306602</v>
      </c>
      <c r="AT4180" s="2">
        <v>1834.43116280255</v>
      </c>
      <c r="AU4180" s="2">
        <v>1585.0403806521499</v>
      </c>
      <c r="AV4180" s="2">
        <v>827.08979626866403</v>
      </c>
      <c r="AW4180" s="2">
        <v>817.17436160475495</v>
      </c>
      <c r="AX4180" s="2">
        <v>1846.9537868380601</v>
      </c>
    </row>
    <row r="4181" spans="1:50" x14ac:dyDescent="0.25">
      <c r="A4181" s="2" t="s">
        <v>27555</v>
      </c>
      <c r="B4181" s="2">
        <v>239.08629999999999</v>
      </c>
      <c r="C4181" s="2">
        <v>12.433999999999999</v>
      </c>
      <c r="D4181" s="2" t="s">
        <v>125</v>
      </c>
      <c r="E4181" s="2" t="s">
        <v>27556</v>
      </c>
      <c r="F4181" s="2">
        <v>56495</v>
      </c>
      <c r="G4181" s="3" t="str">
        <f>HYPERLINK("https://cloud.oebiotech.com/#/lm/network/56495", "https://cloud.oebiotech.com/#/lm/network/56495")</f>
        <v>https://cloud.oebiotech.com/#/lm/network/56495</v>
      </c>
      <c r="H4181" s="2" t="s">
        <v>27557</v>
      </c>
      <c r="I4181" s="2">
        <v>43324</v>
      </c>
      <c r="J4181" s="2"/>
      <c r="K4181" s="2">
        <v>5054</v>
      </c>
      <c r="L4181" s="2" t="s">
        <v>27558</v>
      </c>
      <c r="M4181" s="2"/>
      <c r="N4181" s="2"/>
      <c r="O4181" s="2">
        <v>27810</v>
      </c>
      <c r="P4181" s="2"/>
      <c r="Q4181" s="2"/>
      <c r="R4181" s="2" t="s">
        <v>27559</v>
      </c>
      <c r="S4181" s="2" t="s">
        <v>27560</v>
      </c>
      <c r="T4181" s="2" t="s">
        <v>27561</v>
      </c>
      <c r="U4181" s="2" t="s">
        <v>610</v>
      </c>
      <c r="V4181" s="2" t="s">
        <v>895</v>
      </c>
      <c r="W4181" s="2" t="s">
        <v>5219</v>
      </c>
      <c r="X4181" s="2" t="s">
        <v>69</v>
      </c>
      <c r="Y4181" s="2">
        <v>87.5</v>
      </c>
      <c r="Z4181" s="2">
        <v>79.5</v>
      </c>
      <c r="AA4181" s="2"/>
      <c r="AB4181" s="2" t="s">
        <v>27562</v>
      </c>
      <c r="AC4181" s="2"/>
      <c r="AD4181" s="2">
        <v>419956.31377471</v>
      </c>
      <c r="AE4181" s="2">
        <v>0.10979636139914099</v>
      </c>
      <c r="AF4181" s="2">
        <v>19518.8467862383</v>
      </c>
      <c r="AG4181" s="2">
        <v>17183.313092747401</v>
      </c>
      <c r="AH4181" s="5">
        <v>1.13591870676422</v>
      </c>
      <c r="AI4181" s="5">
        <v>0.183859590525075</v>
      </c>
      <c r="AJ4181" s="5" t="s">
        <v>139</v>
      </c>
      <c r="AK4181" s="2">
        <v>6.0910394507785797E-3</v>
      </c>
      <c r="AL4181" s="2">
        <v>0.13235881236838801</v>
      </c>
      <c r="AM4181" s="2">
        <v>19487.040107731202</v>
      </c>
      <c r="AN4181" s="2">
        <v>20076.647361190899</v>
      </c>
      <c r="AO4181" s="2">
        <v>19343.171530130701</v>
      </c>
      <c r="AP4181" s="2">
        <v>19256.707945894901</v>
      </c>
      <c r="AQ4181" s="2">
        <v>17996.2051427443</v>
      </c>
      <c r="AR4181" s="2">
        <v>20953.308629738</v>
      </c>
      <c r="AS4181" s="2">
        <v>16565.9202506035</v>
      </c>
      <c r="AT4181" s="2">
        <v>19225.0337622468</v>
      </c>
      <c r="AU4181" s="2">
        <v>17491.2448756167</v>
      </c>
      <c r="AV4181" s="2">
        <v>17923.8662087841</v>
      </c>
      <c r="AW4181" s="2">
        <v>16497.53487449</v>
      </c>
      <c r="AX4181" s="2">
        <v>15396.278584743601</v>
      </c>
    </row>
    <row r="4182" spans="1:50" x14ac:dyDescent="0.25">
      <c r="A4182" s="2" t="s">
        <v>27563</v>
      </c>
      <c r="B4182" s="2">
        <v>283.22794391762699</v>
      </c>
      <c r="C4182" s="2">
        <v>12.993866666666699</v>
      </c>
      <c r="D4182" s="2" t="s">
        <v>51</v>
      </c>
      <c r="E4182" s="2" t="s">
        <v>27564</v>
      </c>
      <c r="F4182" s="2">
        <v>61082</v>
      </c>
      <c r="G4182" s="3" t="str">
        <f>HYPERLINK("https://cloud.oebiotech.com/#/lm/network/61082", "https://cloud.oebiotech.com/#/lm/network/61082")</f>
        <v>https://cloud.oebiotech.com/#/lm/network/61082</v>
      </c>
      <c r="H4182" s="2" t="s">
        <v>27565</v>
      </c>
      <c r="I4182" s="2">
        <v>92403</v>
      </c>
      <c r="J4182" s="2"/>
      <c r="K4182" s="2">
        <v>161875</v>
      </c>
      <c r="L4182" s="2"/>
      <c r="M4182" s="2"/>
      <c r="N4182" s="2"/>
      <c r="O4182" s="2"/>
      <c r="P4182" s="2"/>
      <c r="Q4182" s="2"/>
      <c r="R4182" s="2"/>
      <c r="S4182" s="2" t="s">
        <v>27566</v>
      </c>
      <c r="T4182" s="2" t="s">
        <v>27567</v>
      </c>
      <c r="U4182" s="2" t="s">
        <v>331</v>
      </c>
      <c r="V4182" s="2" t="s">
        <v>332</v>
      </c>
      <c r="W4182" s="2" t="s">
        <v>1207</v>
      </c>
      <c r="X4182" s="2" t="s">
        <v>83</v>
      </c>
      <c r="Y4182" s="2">
        <v>49.1</v>
      </c>
      <c r="Z4182" s="2">
        <v>0</v>
      </c>
      <c r="AA4182" s="2" t="s">
        <v>218</v>
      </c>
      <c r="AB4182" s="2" t="s">
        <v>27568</v>
      </c>
      <c r="AC4182" s="2">
        <v>0.31677821082410501</v>
      </c>
      <c r="AD4182" s="2"/>
      <c r="AE4182" s="2">
        <v>0.109767360588174</v>
      </c>
      <c r="AF4182" s="2">
        <v>907.65362841235196</v>
      </c>
      <c r="AG4182" s="2">
        <v>1505.23715769314</v>
      </c>
      <c r="AH4182" s="4">
        <v>0.60299709170306603</v>
      </c>
      <c r="AI4182" s="4">
        <v>-0.72977705096379697</v>
      </c>
      <c r="AJ4182" s="4" t="s">
        <v>62</v>
      </c>
      <c r="AK4182" s="2">
        <v>0.14614612769992399</v>
      </c>
      <c r="AL4182" s="2">
        <v>0.46813495501649</v>
      </c>
      <c r="AM4182" s="2">
        <v>1780.9307241198501</v>
      </c>
      <c r="AN4182" s="2">
        <v>347.10432824885203</v>
      </c>
      <c r="AO4182" s="2">
        <v>107.17054192231301</v>
      </c>
      <c r="AP4182" s="2">
        <v>361.18480088948598</v>
      </c>
      <c r="AQ4182" s="2">
        <v>1815.0570054109401</v>
      </c>
      <c r="AR4182" s="2">
        <v>1034.4743698826701</v>
      </c>
      <c r="AS4182" s="2">
        <v>673.09053515834</v>
      </c>
      <c r="AT4182" s="2">
        <v>1285.56619664041</v>
      </c>
      <c r="AU4182" s="2">
        <v>1919.8793133203201</v>
      </c>
      <c r="AV4182" s="2">
        <v>1561.35618377637</v>
      </c>
      <c r="AW4182" s="2">
        <v>2228.1786583711601</v>
      </c>
      <c r="AX4182" s="2">
        <v>1363.3520588922299</v>
      </c>
    </row>
    <row r="4183" spans="1:50" x14ac:dyDescent="0.25">
      <c r="A4183" s="2" t="s">
        <v>27569</v>
      </c>
      <c r="B4183" s="2">
        <v>452.18064336524998</v>
      </c>
      <c r="C4183" s="2">
        <v>4.6064833333333297</v>
      </c>
      <c r="D4183" s="2" t="s">
        <v>51</v>
      </c>
      <c r="E4183" s="2" t="s">
        <v>27570</v>
      </c>
      <c r="F4183" s="2">
        <v>261029</v>
      </c>
      <c r="G4183" s="3" t="str">
        <f>HYPERLINK("https://cloud.oebiotech.com/#/lm/network/261029", "https://cloud.oebiotech.com/#/lm/network/261029")</f>
        <v>https://cloud.oebiotech.com/#/lm/network/261029</v>
      </c>
      <c r="H4183" s="2"/>
      <c r="I4183" s="2">
        <v>18327</v>
      </c>
      <c r="J4183" s="2"/>
      <c r="K4183" s="2">
        <v>145458775</v>
      </c>
      <c r="L4183" s="2"/>
      <c r="M4183" s="2"/>
      <c r="N4183" s="2"/>
      <c r="O4183" s="2"/>
      <c r="P4183" s="2"/>
      <c r="Q4183" s="2"/>
      <c r="R4183" s="2"/>
      <c r="S4183" s="2" t="s">
        <v>27571</v>
      </c>
      <c r="T4183" s="2" t="s">
        <v>27572</v>
      </c>
      <c r="U4183" s="2" t="s">
        <v>103</v>
      </c>
      <c r="V4183" s="2" t="s">
        <v>104</v>
      </c>
      <c r="W4183" s="2" t="s">
        <v>105</v>
      </c>
      <c r="X4183" s="2" t="s">
        <v>83</v>
      </c>
      <c r="Y4183" s="2">
        <v>36.200000000000003</v>
      </c>
      <c r="Z4183" s="2">
        <v>0</v>
      </c>
      <c r="AA4183" s="2" t="s">
        <v>95</v>
      </c>
      <c r="AB4183" s="2" t="s">
        <v>27573</v>
      </c>
      <c r="AC4183" s="2">
        <v>3.3483716950724398</v>
      </c>
      <c r="AD4183" s="2"/>
      <c r="AE4183" s="2">
        <v>0.109650955215138</v>
      </c>
      <c r="AF4183" s="2">
        <v>710.46915336498398</v>
      </c>
      <c r="AG4183" s="2">
        <v>1236.3714414214101</v>
      </c>
      <c r="AH4183" s="4">
        <v>0.57464054050632496</v>
      </c>
      <c r="AI4183" s="4">
        <v>-0.79926831725491498</v>
      </c>
      <c r="AJ4183" s="4" t="s">
        <v>62</v>
      </c>
      <c r="AK4183" s="2">
        <v>0.51779026502990699</v>
      </c>
      <c r="AL4183" s="2">
        <v>0.75015148938081</v>
      </c>
      <c r="AM4183" s="2">
        <v>8.559877937157E-6</v>
      </c>
      <c r="AN4183" s="2">
        <v>560.77109824735101</v>
      </c>
      <c r="AO4183" s="2">
        <v>165.890632834352</v>
      </c>
      <c r="AP4183" s="2">
        <v>796.54362695245095</v>
      </c>
      <c r="AQ4183" s="2">
        <v>951.03177147547103</v>
      </c>
      <c r="AR4183" s="2">
        <v>1788.5777821203999</v>
      </c>
      <c r="AS4183" s="2">
        <v>4695.83650701037</v>
      </c>
      <c r="AT4183" s="2">
        <v>717.96393201839999</v>
      </c>
      <c r="AU4183" s="2">
        <v>8.559877937157E-6</v>
      </c>
      <c r="AV4183" s="2">
        <v>8.559877937157E-6</v>
      </c>
      <c r="AW4183" s="2">
        <v>292.65773707194398</v>
      </c>
      <c r="AX4183" s="2">
        <v>1711.770455308</v>
      </c>
    </row>
    <row r="4184" spans="1:50" x14ac:dyDescent="0.25">
      <c r="A4184" s="2" t="s">
        <v>27574</v>
      </c>
      <c r="B4184" s="2">
        <v>354.33766741890702</v>
      </c>
      <c r="C4184" s="2">
        <v>12.9385666666667</v>
      </c>
      <c r="D4184" s="2" t="s">
        <v>51</v>
      </c>
      <c r="E4184" s="2" t="s">
        <v>27575</v>
      </c>
      <c r="F4184" s="2">
        <v>9022</v>
      </c>
      <c r="G4184" s="3" t="str">
        <f>HYPERLINK("https://cloud.oebiotech.com/#/lm/network/9022", "https://cloud.oebiotech.com/#/lm/network/9022")</f>
        <v>https://cloud.oebiotech.com/#/lm/network/9022</v>
      </c>
      <c r="H4184" s="2"/>
      <c r="I4184" s="2">
        <v>3722</v>
      </c>
      <c r="J4184" s="2" t="s">
        <v>27576</v>
      </c>
      <c r="K4184" s="2">
        <v>5283452</v>
      </c>
      <c r="L4184" s="2"/>
      <c r="M4184" s="2"/>
      <c r="N4184" s="2"/>
      <c r="O4184" s="2">
        <v>73725</v>
      </c>
      <c r="P4184" s="2"/>
      <c r="Q4184" s="2"/>
      <c r="R4184" s="2"/>
      <c r="S4184" s="2" t="s">
        <v>27577</v>
      </c>
      <c r="T4184" s="2" t="s">
        <v>27578</v>
      </c>
      <c r="U4184" s="2" t="s">
        <v>119</v>
      </c>
      <c r="V4184" s="2" t="s">
        <v>120</v>
      </c>
      <c r="W4184" s="2" t="s">
        <v>1887</v>
      </c>
      <c r="X4184" s="2" t="s">
        <v>147</v>
      </c>
      <c r="Y4184" s="2">
        <v>41</v>
      </c>
      <c r="Z4184" s="2">
        <v>14.9</v>
      </c>
      <c r="AA4184" s="2" t="s">
        <v>60</v>
      </c>
      <c r="AB4184" s="2" t="s">
        <v>27579</v>
      </c>
      <c r="AC4184" s="2">
        <v>2.8623829082835899</v>
      </c>
      <c r="AD4184" s="2"/>
      <c r="AE4184" s="2">
        <v>0.109617547722378</v>
      </c>
      <c r="AF4184" s="2">
        <v>17392.1607505389</v>
      </c>
      <c r="AG4184" s="2">
        <v>16004.128902897301</v>
      </c>
      <c r="AH4184" s="5">
        <v>1.0867296093441401</v>
      </c>
      <c r="AI4184" s="5">
        <v>0.119993026120653</v>
      </c>
      <c r="AJ4184" s="5" t="s">
        <v>139</v>
      </c>
      <c r="AK4184" s="2">
        <v>0.81617464556195496</v>
      </c>
      <c r="AL4184" s="2">
        <v>0.91889489993959605</v>
      </c>
      <c r="AM4184" s="2">
        <v>19083.915168805001</v>
      </c>
      <c r="AN4184" s="2">
        <v>9925.8453568424102</v>
      </c>
      <c r="AO4184" s="2">
        <v>42248.2848377341</v>
      </c>
      <c r="AP4184" s="2">
        <v>4238.2674647804197</v>
      </c>
      <c r="AQ4184" s="2">
        <v>18821.426985665999</v>
      </c>
      <c r="AR4184" s="2">
        <v>10035.224689405401</v>
      </c>
      <c r="AS4184" s="2">
        <v>18611.0086267306</v>
      </c>
      <c r="AT4184" s="2">
        <v>11892.674652805201</v>
      </c>
      <c r="AU4184" s="2">
        <v>12220.751648429399</v>
      </c>
      <c r="AV4184" s="2">
        <v>22321.638536370701</v>
      </c>
      <c r="AW4184" s="2">
        <v>19395.2087885769</v>
      </c>
      <c r="AX4184" s="2">
        <v>11583.491164470899</v>
      </c>
    </row>
    <row r="4185" spans="1:50" x14ac:dyDescent="0.25">
      <c r="A4185" s="2" t="s">
        <v>27580</v>
      </c>
      <c r="B4185" s="2">
        <v>414.35890977398401</v>
      </c>
      <c r="C4185" s="2">
        <v>10.331950000000001</v>
      </c>
      <c r="D4185" s="2" t="s">
        <v>51</v>
      </c>
      <c r="E4185" s="2" t="s">
        <v>27581</v>
      </c>
      <c r="F4185" s="2">
        <v>197418</v>
      </c>
      <c r="G4185" s="3" t="str">
        <f>HYPERLINK("https://cloud.oebiotech.com/#/lm/network/197418", "https://cloud.oebiotech.com/#/lm/network/197418")</f>
        <v>https://cloud.oebiotech.com/#/lm/network/197418</v>
      </c>
      <c r="H4185" s="2" t="s">
        <v>27582</v>
      </c>
      <c r="I4185" s="2"/>
      <c r="J4185" s="2"/>
      <c r="K4185" s="2"/>
      <c r="L4185" s="2"/>
      <c r="M4185" s="2"/>
      <c r="N4185" s="2"/>
      <c r="O4185" s="2"/>
      <c r="P4185" s="2"/>
      <c r="Q4185" s="2"/>
      <c r="R4185" s="2"/>
      <c r="S4185" s="2" t="s">
        <v>27583</v>
      </c>
      <c r="T4185" s="2" t="s">
        <v>27584</v>
      </c>
      <c r="U4185" s="2" t="s">
        <v>56</v>
      </c>
      <c r="V4185" s="2" t="s">
        <v>145</v>
      </c>
      <c r="W4185" s="2" t="s">
        <v>1188</v>
      </c>
      <c r="X4185" s="2" t="s">
        <v>83</v>
      </c>
      <c r="Y4185" s="2">
        <v>46.9</v>
      </c>
      <c r="Z4185" s="2">
        <v>0</v>
      </c>
      <c r="AA4185" s="2" t="s">
        <v>259</v>
      </c>
      <c r="AB4185" s="2" t="s">
        <v>18680</v>
      </c>
      <c r="AC4185" s="2">
        <v>2.7200925845191102</v>
      </c>
      <c r="AD4185" s="2"/>
      <c r="AE4185" s="2">
        <v>0.109512352419812</v>
      </c>
      <c r="AF4185" s="2">
        <v>6532.6950816977496</v>
      </c>
      <c r="AG4185" s="2">
        <v>6102.86350841483</v>
      </c>
      <c r="AH4185" s="5">
        <v>1.0704311300245</v>
      </c>
      <c r="AI4185" s="5">
        <v>9.8191977817450302E-2</v>
      </c>
      <c r="AJ4185" s="5" t="s">
        <v>139</v>
      </c>
      <c r="AK4185" s="2">
        <v>0.88001549127786904</v>
      </c>
      <c r="AL4185" s="2">
        <v>0.947767478779867</v>
      </c>
      <c r="AM4185" s="2">
        <v>15495.921612513301</v>
      </c>
      <c r="AN4185" s="2">
        <v>1897.94482233291</v>
      </c>
      <c r="AO4185" s="2">
        <v>6410.60970408088</v>
      </c>
      <c r="AP4185" s="2">
        <v>4206.5202753335698</v>
      </c>
      <c r="AQ4185" s="2">
        <v>7573.14057456112</v>
      </c>
      <c r="AR4185" s="2">
        <v>3612.03350136473</v>
      </c>
      <c r="AS4185" s="2">
        <v>2186.2049137378099</v>
      </c>
      <c r="AT4185" s="2">
        <v>2047.1339876469599</v>
      </c>
      <c r="AU4185" s="2">
        <v>14556.1633895993</v>
      </c>
      <c r="AV4185" s="2">
        <v>5653.3777825664602</v>
      </c>
      <c r="AW4185" s="2">
        <v>8413.3677044959495</v>
      </c>
      <c r="AX4185" s="2">
        <v>3760.9332724425199</v>
      </c>
    </row>
    <row r="4186" spans="1:50" x14ac:dyDescent="0.25">
      <c r="A4186" s="2" t="s">
        <v>27585</v>
      </c>
      <c r="B4186" s="2">
        <v>399.07869497724198</v>
      </c>
      <c r="C4186" s="2">
        <v>4.2136500000000003</v>
      </c>
      <c r="D4186" s="2" t="s">
        <v>51</v>
      </c>
      <c r="E4186" s="2" t="s">
        <v>27586</v>
      </c>
      <c r="F4186" s="2">
        <v>207219</v>
      </c>
      <c r="G4186" s="3" t="str">
        <f>HYPERLINK("https://cloud.oebiotech.com/#/lm/network/207219", "https://cloud.oebiotech.com/#/lm/network/207219")</f>
        <v>https://cloud.oebiotech.com/#/lm/network/207219</v>
      </c>
      <c r="H4186" s="2" t="s">
        <v>27587</v>
      </c>
      <c r="I4186" s="2"/>
      <c r="J4186" s="2"/>
      <c r="K4186" s="2"/>
      <c r="L4186" s="2"/>
      <c r="M4186" s="2"/>
      <c r="N4186" s="2"/>
      <c r="O4186" s="2"/>
      <c r="P4186" s="2"/>
      <c r="Q4186" s="2"/>
      <c r="R4186" s="2"/>
      <c r="S4186" s="2" t="s">
        <v>27588</v>
      </c>
      <c r="T4186" s="2" t="s">
        <v>27589</v>
      </c>
      <c r="U4186" s="2" t="s">
        <v>331</v>
      </c>
      <c r="V4186" s="2" t="s">
        <v>332</v>
      </c>
      <c r="W4186" s="2" t="s">
        <v>333</v>
      </c>
      <c r="X4186" s="2" t="s">
        <v>147</v>
      </c>
      <c r="Y4186" s="2">
        <v>41.6</v>
      </c>
      <c r="Z4186" s="2">
        <v>14.1</v>
      </c>
      <c r="AA4186" s="2" t="s">
        <v>218</v>
      </c>
      <c r="AB4186" s="2" t="s">
        <v>27251</v>
      </c>
      <c r="AC4186" s="2">
        <v>1.8812008292597</v>
      </c>
      <c r="AD4186" s="2"/>
      <c r="AE4186" s="2">
        <v>0.10947106758698801</v>
      </c>
      <c r="AF4186" s="2">
        <v>4352.9872650561101</v>
      </c>
      <c r="AG4186" s="2">
        <v>3126.0194306073699</v>
      </c>
      <c r="AH4186" s="5">
        <v>1.39250166599583</v>
      </c>
      <c r="AI4186" s="5">
        <v>0.47767905361377</v>
      </c>
      <c r="AJ4186" s="5" t="s">
        <v>139</v>
      </c>
      <c r="AK4186" s="2">
        <v>0.45900374006244399</v>
      </c>
      <c r="AL4186" s="2">
        <v>0.70929339009649395</v>
      </c>
      <c r="AM4186" s="2">
        <v>958.70706102623001</v>
      </c>
      <c r="AN4186" s="2">
        <v>4805.5710501899703</v>
      </c>
      <c r="AO4186" s="2">
        <v>3726.5478855858901</v>
      </c>
      <c r="AP4186" s="2">
        <v>4126.1633061080902</v>
      </c>
      <c r="AQ4186" s="2">
        <v>1690.7747718665601</v>
      </c>
      <c r="AR4186" s="2">
        <v>10810.159515559901</v>
      </c>
      <c r="AS4186" s="2">
        <v>490.342144440325</v>
      </c>
      <c r="AT4186" s="2">
        <v>5422.9533431022901</v>
      </c>
      <c r="AU4186" s="2">
        <v>3475.9123850025899</v>
      </c>
      <c r="AV4186" s="2">
        <v>2226.3403215705198</v>
      </c>
      <c r="AW4186" s="2">
        <v>4475.1586347393004</v>
      </c>
      <c r="AX4186" s="2">
        <v>2665.4097547892202</v>
      </c>
    </row>
    <row r="4187" spans="1:50" x14ac:dyDescent="0.25">
      <c r="A4187" s="2" t="s">
        <v>27590</v>
      </c>
      <c r="B4187" s="2">
        <v>683.45056420860396</v>
      </c>
      <c r="C4187" s="2">
        <v>13.5068</v>
      </c>
      <c r="D4187" s="2" t="s">
        <v>51</v>
      </c>
      <c r="E4187" s="2" t="s">
        <v>27591</v>
      </c>
      <c r="F4187" s="2">
        <v>39718</v>
      </c>
      <c r="G4187" s="3" t="str">
        <f>HYPERLINK("https://cloud.oebiotech.com/#/lm/network/39718", "https://cloud.oebiotech.com/#/lm/network/39718")</f>
        <v>https://cloud.oebiotech.com/#/lm/network/39718</v>
      </c>
      <c r="H4187" s="2"/>
      <c r="I4187" s="2">
        <v>103078</v>
      </c>
      <c r="J4187" s="2" t="s">
        <v>27592</v>
      </c>
      <c r="K4187" s="2">
        <v>70699022</v>
      </c>
      <c r="L4187" s="2"/>
      <c r="M4187" s="2"/>
      <c r="N4187" s="2"/>
      <c r="O4187" s="2"/>
      <c r="P4187" s="2"/>
      <c r="Q4187" s="2"/>
      <c r="R4187" s="2"/>
      <c r="S4187" s="2" t="s">
        <v>27593</v>
      </c>
      <c r="T4187" s="2" t="s">
        <v>27594</v>
      </c>
      <c r="U4187" s="2" t="s">
        <v>56</v>
      </c>
      <c r="V4187" s="2" t="s">
        <v>344</v>
      </c>
      <c r="W4187" s="2" t="s">
        <v>1239</v>
      </c>
      <c r="X4187" s="2" t="s">
        <v>147</v>
      </c>
      <c r="Y4187" s="2">
        <v>36.700000000000003</v>
      </c>
      <c r="Z4187" s="2">
        <v>0</v>
      </c>
      <c r="AA4187" s="2" t="s">
        <v>395</v>
      </c>
      <c r="AB4187" s="2" t="s">
        <v>27595</v>
      </c>
      <c r="AC4187" s="2">
        <v>-2.9766841940704998</v>
      </c>
      <c r="AD4187" s="2"/>
      <c r="AE4187" s="2">
        <v>0.10947069566654</v>
      </c>
      <c r="AF4187" s="2">
        <v>12926.848777248901</v>
      </c>
      <c r="AG4187" s="2">
        <v>13119.2175719594</v>
      </c>
      <c r="AH4187" s="4">
        <v>0.98533686985101399</v>
      </c>
      <c r="AI4187" s="4">
        <v>-2.1311053184963999E-2</v>
      </c>
      <c r="AJ4187" s="4" t="s">
        <v>62</v>
      </c>
      <c r="AK4187" s="2">
        <v>0.97518249827107795</v>
      </c>
      <c r="AL4187" s="2">
        <v>0.98980639530347603</v>
      </c>
      <c r="AM4187" s="2">
        <v>19552.4731203349</v>
      </c>
      <c r="AN4187" s="2">
        <v>32249.788513965901</v>
      </c>
      <c r="AO4187" s="2">
        <v>14690.9939830519</v>
      </c>
      <c r="AP4187" s="2">
        <v>7203.74284491652</v>
      </c>
      <c r="AQ4187" s="2">
        <v>21.554860313468499</v>
      </c>
      <c r="AR4187" s="2">
        <v>3842.5393409107301</v>
      </c>
      <c r="AS4187" s="2">
        <v>837.57498169408802</v>
      </c>
      <c r="AT4187" s="2">
        <v>6922.2503532269502</v>
      </c>
      <c r="AU4187" s="2">
        <v>26573.601410566898</v>
      </c>
      <c r="AV4187" s="2">
        <v>17225.4531753966</v>
      </c>
      <c r="AW4187" s="2">
        <v>14434.5623220664</v>
      </c>
      <c r="AX4187" s="2">
        <v>12721.863188805501</v>
      </c>
    </row>
    <row r="4188" spans="1:50" x14ac:dyDescent="0.25">
      <c r="A4188" s="2" t="s">
        <v>27596</v>
      </c>
      <c r="B4188" s="2">
        <v>371.23886431931697</v>
      </c>
      <c r="C4188" s="2">
        <v>4.8730833333333301</v>
      </c>
      <c r="D4188" s="2" t="s">
        <v>51</v>
      </c>
      <c r="E4188" s="2" t="s">
        <v>27597</v>
      </c>
      <c r="F4188" s="2">
        <v>266262</v>
      </c>
      <c r="G4188" s="3" t="str">
        <f>HYPERLINK("https://cloud.oebiotech.com/#/lm/network/266262", "https://cloud.oebiotech.com/#/lm/network/266262")</f>
        <v>https://cloud.oebiotech.com/#/lm/network/266262</v>
      </c>
      <c r="H4188" s="2"/>
      <c r="I4188" s="2">
        <v>34493</v>
      </c>
      <c r="J4188" s="2"/>
      <c r="K4188" s="2">
        <v>93321</v>
      </c>
      <c r="L4188" s="2"/>
      <c r="M4188" s="2"/>
      <c r="N4188" s="2"/>
      <c r="O4188" s="2"/>
      <c r="P4188" s="2"/>
      <c r="Q4188" s="2"/>
      <c r="R4188" s="2" t="s">
        <v>27598</v>
      </c>
      <c r="S4188" s="2" t="s">
        <v>27599</v>
      </c>
      <c r="T4188" s="2" t="s">
        <v>27600</v>
      </c>
      <c r="U4188" s="2" t="s">
        <v>56</v>
      </c>
      <c r="V4188" s="2" t="s">
        <v>145</v>
      </c>
      <c r="W4188" s="2" t="s">
        <v>3263</v>
      </c>
      <c r="X4188" s="2" t="s">
        <v>147</v>
      </c>
      <c r="Y4188" s="2">
        <v>36.1</v>
      </c>
      <c r="Z4188" s="2">
        <v>0</v>
      </c>
      <c r="AA4188" s="2" t="s">
        <v>95</v>
      </c>
      <c r="AB4188" s="2" t="s">
        <v>27601</v>
      </c>
      <c r="AC4188" s="2">
        <v>-4.4371207125985803</v>
      </c>
      <c r="AD4188" s="2"/>
      <c r="AE4188" s="2">
        <v>0.109301957493107</v>
      </c>
      <c r="AF4188" s="2">
        <v>1940.87187281353</v>
      </c>
      <c r="AG4188" s="2">
        <v>1135.05186196712</v>
      </c>
      <c r="AH4188" s="5">
        <v>1.70994113824004</v>
      </c>
      <c r="AI4188" s="5">
        <v>0.77394666368966303</v>
      </c>
      <c r="AJ4188" s="5" t="s">
        <v>139</v>
      </c>
      <c r="AK4188" s="2">
        <v>0.44324798519195602</v>
      </c>
      <c r="AL4188" s="2">
        <v>0.69908803275019105</v>
      </c>
      <c r="AM4188" s="2">
        <v>200.11245362122801</v>
      </c>
      <c r="AN4188" s="2">
        <v>355.75735529265899</v>
      </c>
      <c r="AO4188" s="2">
        <v>6452.2387841527798</v>
      </c>
      <c r="AP4188" s="2">
        <v>1985.8893807649199</v>
      </c>
      <c r="AQ4188" s="2">
        <v>1439.963502346</v>
      </c>
      <c r="AR4188" s="2">
        <v>1211.26976070357</v>
      </c>
      <c r="AS4188" s="2">
        <v>502.442932045985</v>
      </c>
      <c r="AT4188" s="2">
        <v>2697.0959452645002</v>
      </c>
      <c r="AU4188" s="2">
        <v>1009.19352422408</v>
      </c>
      <c r="AV4188" s="2">
        <v>576.809733971078</v>
      </c>
      <c r="AW4188" s="2">
        <v>424.81193374854502</v>
      </c>
      <c r="AX4188" s="2">
        <v>1599.95710254851</v>
      </c>
    </row>
    <row r="4189" spans="1:50" x14ac:dyDescent="0.25">
      <c r="A4189" s="2" t="s">
        <v>27602</v>
      </c>
      <c r="B4189" s="2">
        <v>211.13343365029101</v>
      </c>
      <c r="C4189" s="2">
        <v>8.2914999999999992</v>
      </c>
      <c r="D4189" s="2" t="s">
        <v>51</v>
      </c>
      <c r="E4189" s="2" t="s">
        <v>27603</v>
      </c>
      <c r="F4189" s="2">
        <v>2174</v>
      </c>
      <c r="G4189" s="3" t="str">
        <f>HYPERLINK("https://cloud.oebiotech.com/#/lm/network/2174", "https://cloud.oebiotech.com/#/lm/network/2174")</f>
        <v>https://cloud.oebiotech.com/#/lm/network/2174</v>
      </c>
      <c r="H4189" s="2"/>
      <c r="I4189" s="2">
        <v>43202</v>
      </c>
      <c r="J4189" s="2" t="s">
        <v>27604</v>
      </c>
      <c r="K4189" s="2">
        <v>4374065</v>
      </c>
      <c r="L4189" s="2"/>
      <c r="M4189" s="2"/>
      <c r="N4189" s="2"/>
      <c r="O4189" s="2"/>
      <c r="P4189" s="2"/>
      <c r="Q4189" s="2"/>
      <c r="R4189" s="2" t="s">
        <v>27605</v>
      </c>
      <c r="S4189" s="2" t="s">
        <v>27606</v>
      </c>
      <c r="T4189" s="2" t="s">
        <v>27607</v>
      </c>
      <c r="U4189" s="2" t="s">
        <v>56</v>
      </c>
      <c r="V4189" s="2" t="s">
        <v>145</v>
      </c>
      <c r="W4189" s="2" t="s">
        <v>231</v>
      </c>
      <c r="X4189" s="2" t="s">
        <v>83</v>
      </c>
      <c r="Y4189" s="2">
        <v>42</v>
      </c>
      <c r="Z4189" s="2">
        <v>0</v>
      </c>
      <c r="AA4189" s="2" t="s">
        <v>163</v>
      </c>
      <c r="AB4189" s="2" t="s">
        <v>16641</v>
      </c>
      <c r="AC4189" s="2">
        <v>-2.51916024492184</v>
      </c>
      <c r="AD4189" s="2"/>
      <c r="AE4189" s="2">
        <v>0.109267510345462</v>
      </c>
      <c r="AF4189" s="2">
        <v>1059.3645227479601</v>
      </c>
      <c r="AG4189" s="2">
        <v>741.29509923236401</v>
      </c>
      <c r="AH4189" s="5">
        <v>1.4290726106849601</v>
      </c>
      <c r="AI4189" s="5">
        <v>0.51507922113196003</v>
      </c>
      <c r="AJ4189" s="5" t="s">
        <v>139</v>
      </c>
      <c r="AK4189" s="2">
        <v>4.7715952921232103E-2</v>
      </c>
      <c r="AL4189" s="2">
        <v>0.30625904053335701</v>
      </c>
      <c r="AM4189" s="2">
        <v>1302.5900407463801</v>
      </c>
      <c r="AN4189" s="2">
        <v>1441.1580153064101</v>
      </c>
      <c r="AO4189" s="2">
        <v>933.82627374106505</v>
      </c>
      <c r="AP4189" s="2">
        <v>1052.1579311343</v>
      </c>
      <c r="AQ4189" s="2">
        <v>668.48167411588895</v>
      </c>
      <c r="AR4189" s="2">
        <v>957.97320144370303</v>
      </c>
      <c r="AS4189" s="2">
        <v>977.50476816574098</v>
      </c>
      <c r="AT4189" s="2">
        <v>537.93656425882398</v>
      </c>
      <c r="AU4189" s="2">
        <v>761.98381661545602</v>
      </c>
      <c r="AV4189" s="2">
        <v>684.24942590605303</v>
      </c>
      <c r="AW4189" s="2">
        <v>506.56704496406002</v>
      </c>
      <c r="AX4189" s="2">
        <v>979.52897548404906</v>
      </c>
    </row>
    <row r="4190" spans="1:50" x14ac:dyDescent="0.25">
      <c r="A4190" s="2" t="s">
        <v>27608</v>
      </c>
      <c r="B4190" s="2">
        <v>629.79038929613603</v>
      </c>
      <c r="C4190" s="2">
        <v>4.1742499999999998</v>
      </c>
      <c r="D4190" s="2" t="s">
        <v>51</v>
      </c>
      <c r="E4190" s="2" t="s">
        <v>27609</v>
      </c>
      <c r="F4190" s="2">
        <v>201387</v>
      </c>
      <c r="G4190" s="3" t="str">
        <f>HYPERLINK("https://cloud.oebiotech.com/#/lm/network/201387", "https://cloud.oebiotech.com/#/lm/network/201387")</f>
        <v>https://cloud.oebiotech.com/#/lm/network/201387</v>
      </c>
      <c r="H4190" s="2" t="s">
        <v>27610</v>
      </c>
      <c r="I4190" s="2"/>
      <c r="J4190" s="2"/>
      <c r="K4190" s="2">
        <v>165262</v>
      </c>
      <c r="L4190" s="2"/>
      <c r="M4190" s="2"/>
      <c r="N4190" s="2"/>
      <c r="O4190" s="2"/>
      <c r="P4190" s="2"/>
      <c r="Q4190" s="2"/>
      <c r="R4190" s="2"/>
      <c r="S4190" s="2" t="s">
        <v>27611</v>
      </c>
      <c r="T4190" s="2" t="s">
        <v>27612</v>
      </c>
      <c r="U4190" s="2" t="s">
        <v>610</v>
      </c>
      <c r="V4190" s="2" t="s">
        <v>611</v>
      </c>
      <c r="W4190" s="2" t="s">
        <v>4746</v>
      </c>
      <c r="X4190" s="2" t="s">
        <v>147</v>
      </c>
      <c r="Y4190" s="2">
        <v>38.299999999999997</v>
      </c>
      <c r="Z4190" s="2">
        <v>0</v>
      </c>
      <c r="AA4190" s="2" t="s">
        <v>95</v>
      </c>
      <c r="AB4190" s="2" t="s">
        <v>27613</v>
      </c>
      <c r="AC4190" s="2">
        <v>1.5589766465713699</v>
      </c>
      <c r="AD4190" s="2"/>
      <c r="AE4190" s="2">
        <v>0.109263401305843</v>
      </c>
      <c r="AF4190" s="2">
        <v>9196.5906381689692</v>
      </c>
      <c r="AG4190" s="2">
        <v>13350.3197653159</v>
      </c>
      <c r="AH4190" s="4">
        <v>0.688866693819702</v>
      </c>
      <c r="AI4190" s="4">
        <v>-0.53770326837647997</v>
      </c>
      <c r="AJ4190" s="4" t="s">
        <v>62</v>
      </c>
      <c r="AK4190" s="2">
        <v>0.59761001725074703</v>
      </c>
      <c r="AL4190" s="2">
        <v>0.79813782014335899</v>
      </c>
      <c r="AM4190" s="2">
        <v>11697.9150552554</v>
      </c>
      <c r="AN4190" s="2">
        <v>9307.1669665938898</v>
      </c>
      <c r="AO4190" s="2">
        <v>11507.292083624199</v>
      </c>
      <c r="AP4190" s="2">
        <v>12116.463021384199</v>
      </c>
      <c r="AQ4190" s="2">
        <v>5518.5003375763699</v>
      </c>
      <c r="AR4190" s="2">
        <v>5032.2063645797398</v>
      </c>
      <c r="AS4190" s="2">
        <v>8.559877937157E-6</v>
      </c>
      <c r="AT4190" s="2">
        <v>6151.7117762139897</v>
      </c>
      <c r="AU4190" s="2">
        <v>49457.132536921003</v>
      </c>
      <c r="AV4190" s="2">
        <v>13673.5735987026</v>
      </c>
      <c r="AW4190" s="2">
        <v>9335.0792211008993</v>
      </c>
      <c r="AX4190" s="2">
        <v>1484.4214503968401</v>
      </c>
    </row>
    <row r="4191" spans="1:50" x14ac:dyDescent="0.25">
      <c r="A4191" s="2" t="s">
        <v>27614</v>
      </c>
      <c r="B4191" s="2">
        <v>153.05474273589499</v>
      </c>
      <c r="C4191" s="2">
        <v>4.7055833333333297</v>
      </c>
      <c r="D4191" s="2" t="s">
        <v>51</v>
      </c>
      <c r="E4191" s="2" t="s">
        <v>27615</v>
      </c>
      <c r="F4191" s="2">
        <v>47001</v>
      </c>
      <c r="G4191" s="3" t="str">
        <f>HYPERLINK("https://cloud.oebiotech.com/#/lm/network/47001", "https://cloud.oebiotech.com/#/lm/network/47001")</f>
        <v>https://cloud.oebiotech.com/#/lm/network/47001</v>
      </c>
      <c r="H4191" s="2" t="s">
        <v>27616</v>
      </c>
      <c r="I4191" s="2">
        <v>5330</v>
      </c>
      <c r="J4191" s="2"/>
      <c r="K4191" s="2">
        <v>6079438</v>
      </c>
      <c r="L4191" s="2"/>
      <c r="M4191" s="2"/>
      <c r="N4191" s="2"/>
      <c r="O4191" s="2">
        <v>89192</v>
      </c>
      <c r="P4191" s="2"/>
      <c r="Q4191" s="2"/>
      <c r="R4191" s="2" t="s">
        <v>27617</v>
      </c>
      <c r="S4191" s="2" t="s">
        <v>27618</v>
      </c>
      <c r="T4191" s="2" t="s">
        <v>27619</v>
      </c>
      <c r="U4191" s="2" t="s">
        <v>56</v>
      </c>
      <c r="V4191" s="2" t="s">
        <v>145</v>
      </c>
      <c r="W4191" s="2" t="s">
        <v>231</v>
      </c>
      <c r="X4191" s="2" t="s">
        <v>83</v>
      </c>
      <c r="Y4191" s="2">
        <v>44.3</v>
      </c>
      <c r="Z4191" s="2">
        <v>0</v>
      </c>
      <c r="AA4191" s="2" t="s">
        <v>379</v>
      </c>
      <c r="AB4191" s="2" t="s">
        <v>21181</v>
      </c>
      <c r="AC4191" s="2">
        <v>-5.6662231634520603</v>
      </c>
      <c r="AD4191" s="2"/>
      <c r="AE4191" s="2">
        <v>0.10925704636484899</v>
      </c>
      <c r="AF4191" s="2">
        <v>343.56184131482098</v>
      </c>
      <c r="AG4191" s="2">
        <v>699.16858084271303</v>
      </c>
      <c r="AH4191" s="4">
        <v>0.49138627039093202</v>
      </c>
      <c r="AI4191" s="4">
        <v>-1.0250705463359</v>
      </c>
      <c r="AJ4191" s="4" t="s">
        <v>62</v>
      </c>
      <c r="AK4191" s="2">
        <v>9.3621421841565897E-2</v>
      </c>
      <c r="AL4191" s="2">
        <v>0.39400231232185801</v>
      </c>
      <c r="AM4191" s="2">
        <v>145.539352420923</v>
      </c>
      <c r="AN4191" s="2">
        <v>418.21309496097302</v>
      </c>
      <c r="AO4191" s="2">
        <v>226.01873033212701</v>
      </c>
      <c r="AP4191" s="2">
        <v>618.53743259892599</v>
      </c>
      <c r="AQ4191" s="2">
        <v>244.21488114306501</v>
      </c>
      <c r="AR4191" s="2">
        <v>408.84755643291402</v>
      </c>
      <c r="AS4191" s="2">
        <v>1099.62049239116</v>
      </c>
      <c r="AT4191" s="2">
        <v>185.579884320888</v>
      </c>
      <c r="AU4191" s="2">
        <v>1308.2529656990801</v>
      </c>
      <c r="AV4191" s="2">
        <v>758.29626543834104</v>
      </c>
      <c r="AW4191" s="2">
        <v>467.16436788222899</v>
      </c>
      <c r="AX4191" s="2">
        <v>376.09750932457803</v>
      </c>
    </row>
    <row r="4192" spans="1:50" x14ac:dyDescent="0.25">
      <c r="A4192" s="2" t="s">
        <v>27620</v>
      </c>
      <c r="B4192" s="2">
        <v>295.11627525245501</v>
      </c>
      <c r="C4192" s="2">
        <v>6.2201000000000004</v>
      </c>
      <c r="D4192" s="2" t="s">
        <v>51</v>
      </c>
      <c r="E4192" s="2" t="s">
        <v>27621</v>
      </c>
      <c r="F4192" s="2">
        <v>56564</v>
      </c>
      <c r="G4192" s="3" t="str">
        <f>HYPERLINK("https://cloud.oebiotech.com/#/lm/network/56564", "https://cloud.oebiotech.com/#/lm/network/56564")</f>
        <v>https://cloud.oebiotech.com/#/lm/network/56564</v>
      </c>
      <c r="H4192" s="2" t="s">
        <v>27622</v>
      </c>
      <c r="I4192" s="2">
        <v>88199</v>
      </c>
      <c r="J4192" s="2"/>
      <c r="K4192" s="2">
        <v>10610669</v>
      </c>
      <c r="L4192" s="2"/>
      <c r="M4192" s="2"/>
      <c r="N4192" s="2"/>
      <c r="O4192" s="2"/>
      <c r="P4192" s="2"/>
      <c r="Q4192" s="2"/>
      <c r="R4192" s="2" t="s">
        <v>27623</v>
      </c>
      <c r="S4192" s="2" t="s">
        <v>27624</v>
      </c>
      <c r="T4192" s="2" t="s">
        <v>27625</v>
      </c>
      <c r="U4192" s="2" t="s">
        <v>56</v>
      </c>
      <c r="V4192" s="2" t="s">
        <v>177</v>
      </c>
      <c r="W4192" s="2" t="s">
        <v>584</v>
      </c>
      <c r="X4192" s="2" t="s">
        <v>83</v>
      </c>
      <c r="Y4192" s="2">
        <v>38.200000000000003</v>
      </c>
      <c r="Z4192" s="2">
        <v>0</v>
      </c>
      <c r="AA4192" s="2" t="s">
        <v>218</v>
      </c>
      <c r="AB4192" s="2" t="s">
        <v>27626</v>
      </c>
      <c r="AC4192" s="2">
        <v>-9.7419961841566494</v>
      </c>
      <c r="AD4192" s="2"/>
      <c r="AE4192" s="2">
        <v>0.109235195114326</v>
      </c>
      <c r="AF4192" s="2">
        <v>1205.70372068343</v>
      </c>
      <c r="AG4192" s="2">
        <v>826.04533032457596</v>
      </c>
      <c r="AH4192" s="5">
        <v>1.45960963208844</v>
      </c>
      <c r="AI4192" s="5">
        <v>0.54558257653405895</v>
      </c>
      <c r="AJ4192" s="5" t="s">
        <v>139</v>
      </c>
      <c r="AK4192" s="2">
        <v>0.21492543197491401</v>
      </c>
      <c r="AL4192" s="2">
        <v>0.53954008018395805</v>
      </c>
      <c r="AM4192" s="2">
        <v>1550.0787687991599</v>
      </c>
      <c r="AN4192" s="2">
        <v>2378.90814295064</v>
      </c>
      <c r="AO4192" s="2">
        <v>882.77155164362296</v>
      </c>
      <c r="AP4192" s="2">
        <v>854.67242206949697</v>
      </c>
      <c r="AQ4192" s="2">
        <v>535.77222350095701</v>
      </c>
      <c r="AR4192" s="2">
        <v>1032.01921513671</v>
      </c>
      <c r="AS4192" s="2">
        <v>1168.85562432592</v>
      </c>
      <c r="AT4192" s="2">
        <v>634.34432355249203</v>
      </c>
      <c r="AU4192" s="2">
        <v>975.472226221038</v>
      </c>
      <c r="AV4192" s="2">
        <v>900.89530229860804</v>
      </c>
      <c r="AW4192" s="2">
        <v>716.267707327793</v>
      </c>
      <c r="AX4192" s="2">
        <v>560.43679822160505</v>
      </c>
    </row>
    <row r="4193" spans="1:50" x14ac:dyDescent="0.25">
      <c r="A4193" s="2" t="s">
        <v>27627</v>
      </c>
      <c r="B4193" s="2">
        <v>331.145711125177</v>
      </c>
      <c r="C4193" s="2">
        <v>1.3012999999999999</v>
      </c>
      <c r="D4193" s="2" t="s">
        <v>51</v>
      </c>
      <c r="E4193" s="2" t="s">
        <v>27628</v>
      </c>
      <c r="F4193" s="2">
        <v>266258</v>
      </c>
      <c r="G4193" s="3" t="str">
        <f>HYPERLINK("https://cloud.oebiotech.com/#/lm/network/266258", "https://cloud.oebiotech.com/#/lm/network/266258")</f>
        <v>https://cloud.oebiotech.com/#/lm/network/266258</v>
      </c>
      <c r="H4193" s="2"/>
      <c r="I4193" s="2">
        <v>34472</v>
      </c>
      <c r="J4193" s="2"/>
      <c r="K4193" s="2">
        <v>73393</v>
      </c>
      <c r="L4193" s="2"/>
      <c r="M4193" s="2"/>
      <c r="N4193" s="2"/>
      <c r="O4193" s="2"/>
      <c r="P4193" s="2"/>
      <c r="Q4193" s="2"/>
      <c r="R4193" s="2"/>
      <c r="S4193" s="2" t="s">
        <v>27629</v>
      </c>
      <c r="T4193" s="2" t="s">
        <v>27630</v>
      </c>
      <c r="U4193" s="2" t="s">
        <v>238</v>
      </c>
      <c r="V4193" s="2" t="s">
        <v>4892</v>
      </c>
      <c r="W4193" s="2" t="s">
        <v>240</v>
      </c>
      <c r="X4193" s="2" t="s">
        <v>147</v>
      </c>
      <c r="Y4193" s="2">
        <v>37.4</v>
      </c>
      <c r="Z4193" s="2">
        <v>2.7</v>
      </c>
      <c r="AA4193" s="2" t="s">
        <v>298</v>
      </c>
      <c r="AB4193" s="2" t="s">
        <v>27631</v>
      </c>
      <c r="AC4193" s="2">
        <v>1.4555258406151399</v>
      </c>
      <c r="AD4193" s="2"/>
      <c r="AE4193" s="2">
        <v>0.109145563949269</v>
      </c>
      <c r="AF4193" s="2">
        <v>6825.8647981123604</v>
      </c>
      <c r="AG4193" s="2">
        <v>7753.90504764461</v>
      </c>
      <c r="AH4193" s="4">
        <v>0.88031317847848101</v>
      </c>
      <c r="AI4193" s="4">
        <v>-0.18391122947969499</v>
      </c>
      <c r="AJ4193" s="4" t="s">
        <v>62</v>
      </c>
      <c r="AK4193" s="2">
        <v>0.54675660902655099</v>
      </c>
      <c r="AL4193" s="2">
        <v>0.77012905997405201</v>
      </c>
      <c r="AM4193" s="2">
        <v>7291.6906364386105</v>
      </c>
      <c r="AN4193" s="2">
        <v>6999.7773418659599</v>
      </c>
      <c r="AO4193" s="2">
        <v>4403.889316582</v>
      </c>
      <c r="AP4193" s="2">
        <v>7258.9907720516303</v>
      </c>
      <c r="AQ4193" s="2">
        <v>9066.4226468202105</v>
      </c>
      <c r="AR4193" s="2">
        <v>5934.4180749157804</v>
      </c>
      <c r="AS4193" s="2">
        <v>4797.0258577935201</v>
      </c>
      <c r="AT4193" s="2">
        <v>3306.0262519497401</v>
      </c>
      <c r="AU4193" s="2">
        <v>11823.306400293201</v>
      </c>
      <c r="AV4193" s="2">
        <v>9183.8683438595399</v>
      </c>
      <c r="AW4193" s="2">
        <v>7071.3724072244704</v>
      </c>
      <c r="AX4193" s="2">
        <v>10341.8310247472</v>
      </c>
    </row>
    <row r="4194" spans="1:50" x14ac:dyDescent="0.25">
      <c r="A4194" s="2" t="s">
        <v>27632</v>
      </c>
      <c r="B4194" s="2">
        <v>420.34601848244398</v>
      </c>
      <c r="C4194" s="2">
        <v>14.459250000000001</v>
      </c>
      <c r="D4194" s="2" t="s">
        <v>51</v>
      </c>
      <c r="E4194" s="2" t="s">
        <v>27633</v>
      </c>
      <c r="F4194" s="2">
        <v>273726</v>
      </c>
      <c r="G4194" s="3" t="str">
        <f>HYPERLINK("https://cloud.oebiotech.com/#/lm/network/273726", "https://cloud.oebiotech.com/#/lm/network/273726")</f>
        <v>https://cloud.oebiotech.com/#/lm/network/273726</v>
      </c>
      <c r="H4194" s="2"/>
      <c r="I4194" s="2">
        <v>63012</v>
      </c>
      <c r="J4194" s="2"/>
      <c r="K4194" s="2">
        <v>5702613</v>
      </c>
      <c r="L4194" s="2"/>
      <c r="M4194" s="2"/>
      <c r="N4194" s="2"/>
      <c r="O4194" s="2"/>
      <c r="P4194" s="2"/>
      <c r="Q4194" s="2"/>
      <c r="R4194" s="2" t="s">
        <v>27634</v>
      </c>
      <c r="S4194" s="2" t="s">
        <v>27635</v>
      </c>
      <c r="T4194" s="2" t="s">
        <v>27636</v>
      </c>
      <c r="U4194" s="2" t="s">
        <v>56</v>
      </c>
      <c r="V4194" s="2" t="s">
        <v>344</v>
      </c>
      <c r="W4194" s="2" t="s">
        <v>3012</v>
      </c>
      <c r="X4194" s="2" t="s">
        <v>147</v>
      </c>
      <c r="Y4194" s="2">
        <v>37.6</v>
      </c>
      <c r="Z4194" s="2">
        <v>0</v>
      </c>
      <c r="AA4194" s="2" t="s">
        <v>95</v>
      </c>
      <c r="AB4194" s="2" t="s">
        <v>7565</v>
      </c>
      <c r="AC4194" s="2">
        <v>3.0286013110666898</v>
      </c>
      <c r="AD4194" s="2"/>
      <c r="AE4194" s="2">
        <v>0.109117088020876</v>
      </c>
      <c r="AF4194" s="2">
        <v>635.29337481459697</v>
      </c>
      <c r="AG4194" s="2">
        <v>95.666659940982896</v>
      </c>
      <c r="AH4194" s="5">
        <v>6.6406977645766201</v>
      </c>
      <c r="AI4194" s="5">
        <v>2.7313348392537602</v>
      </c>
      <c r="AJ4194" s="5" t="s">
        <v>139</v>
      </c>
      <c r="AK4194" s="2">
        <v>0.23469076037645101</v>
      </c>
      <c r="AL4194" s="2">
        <v>0.55997646305846605</v>
      </c>
      <c r="AM4194" s="2">
        <v>8.559877937157E-6</v>
      </c>
      <c r="AN4194" s="2">
        <v>8.559877937157E-6</v>
      </c>
      <c r="AO4194" s="2">
        <v>2321.13004792024</v>
      </c>
      <c r="AP4194" s="2">
        <v>8.559877937157E-6</v>
      </c>
      <c r="AQ4194" s="2">
        <v>1490.6301667278301</v>
      </c>
      <c r="AR4194" s="2">
        <v>8.559877937157E-6</v>
      </c>
      <c r="AS4194" s="2">
        <v>8.559877937157E-6</v>
      </c>
      <c r="AT4194" s="2">
        <v>8.559877937157E-6</v>
      </c>
      <c r="AU4194" s="2">
        <v>573.99991684650797</v>
      </c>
      <c r="AV4194" s="2">
        <v>8.559877937157E-6</v>
      </c>
      <c r="AW4194" s="2">
        <v>8.559877937157E-6</v>
      </c>
      <c r="AX4194" s="2">
        <v>8.559877937157E-6</v>
      </c>
    </row>
    <row r="4195" spans="1:50" x14ac:dyDescent="0.25">
      <c r="A4195" s="2" t="s">
        <v>27637</v>
      </c>
      <c r="B4195" s="2">
        <v>197.08151281967301</v>
      </c>
      <c r="C4195" s="2">
        <v>6.1052666666666697</v>
      </c>
      <c r="D4195" s="2" t="s">
        <v>51</v>
      </c>
      <c r="E4195" s="2" t="s">
        <v>27638</v>
      </c>
      <c r="F4195" s="2">
        <v>59574</v>
      </c>
      <c r="G4195" s="3" t="str">
        <f>HYPERLINK("https://cloud.oebiotech.com/#/lm/network/59574", "https://cloud.oebiotech.com/#/lm/network/59574")</f>
        <v>https://cloud.oebiotech.com/#/lm/network/59574</v>
      </c>
      <c r="H4195" s="2" t="s">
        <v>27639</v>
      </c>
      <c r="I4195" s="2">
        <v>90977</v>
      </c>
      <c r="J4195" s="2"/>
      <c r="K4195" s="2">
        <v>12300005</v>
      </c>
      <c r="L4195" s="2"/>
      <c r="M4195" s="2"/>
      <c r="N4195" s="2"/>
      <c r="O4195" s="2">
        <v>173968</v>
      </c>
      <c r="P4195" s="2"/>
      <c r="Q4195" s="2"/>
      <c r="R4195" s="2"/>
      <c r="S4195" s="2" t="s">
        <v>27640</v>
      </c>
      <c r="T4195" s="2" t="s">
        <v>27641</v>
      </c>
      <c r="U4195" s="2" t="s">
        <v>56</v>
      </c>
      <c r="V4195" s="2" t="s">
        <v>145</v>
      </c>
      <c r="W4195" s="2" t="s">
        <v>231</v>
      </c>
      <c r="X4195" s="2" t="s">
        <v>83</v>
      </c>
      <c r="Y4195" s="2">
        <v>45.7</v>
      </c>
      <c r="Z4195" s="2">
        <v>0</v>
      </c>
      <c r="AA4195" s="2" t="s">
        <v>259</v>
      </c>
      <c r="AB4195" s="2" t="s">
        <v>12250</v>
      </c>
      <c r="AC4195" s="2">
        <v>3.4554612942156102</v>
      </c>
      <c r="AD4195" s="2"/>
      <c r="AE4195" s="2">
        <v>0.109090929472117</v>
      </c>
      <c r="AF4195" s="2">
        <v>1655.95787115758</v>
      </c>
      <c r="AG4195" s="2">
        <v>2217.8899041781501</v>
      </c>
      <c r="AH4195" s="4">
        <v>0.74663664235001903</v>
      </c>
      <c r="AI4195" s="4">
        <v>-0.42152178201459101</v>
      </c>
      <c r="AJ4195" s="4" t="s">
        <v>62</v>
      </c>
      <c r="AK4195" s="2">
        <v>0.22555749146815601</v>
      </c>
      <c r="AL4195" s="2">
        <v>0.552476161261518</v>
      </c>
      <c r="AM4195" s="2">
        <v>2189.9799028037801</v>
      </c>
      <c r="AN4195" s="2">
        <v>1521.37584397819</v>
      </c>
      <c r="AO4195" s="2">
        <v>781.04645258059497</v>
      </c>
      <c r="AP4195" s="2">
        <v>1583.4710321757</v>
      </c>
      <c r="AQ4195" s="2">
        <v>1113.17736105328</v>
      </c>
      <c r="AR4195" s="2">
        <v>2746.6966343539402</v>
      </c>
      <c r="AS4195" s="2">
        <v>2277.0749270547699</v>
      </c>
      <c r="AT4195" s="2">
        <v>2870.1811358478899</v>
      </c>
      <c r="AU4195" s="2">
        <v>1356.8233786301701</v>
      </c>
      <c r="AV4195" s="2">
        <v>1916.63108893762</v>
      </c>
      <c r="AW4195" s="2">
        <v>3380.74401210212</v>
      </c>
      <c r="AX4195" s="2">
        <v>1505.88488249634</v>
      </c>
    </row>
    <row r="4196" spans="1:50" x14ac:dyDescent="0.25">
      <c r="A4196" s="2" t="s">
        <v>27642</v>
      </c>
      <c r="B4196" s="2">
        <v>215.06676047043399</v>
      </c>
      <c r="C4196" s="2">
        <v>0.74113333333333298</v>
      </c>
      <c r="D4196" s="2" t="s">
        <v>51</v>
      </c>
      <c r="E4196" s="2" t="s">
        <v>27643</v>
      </c>
      <c r="F4196" s="2">
        <v>54161</v>
      </c>
      <c r="G4196" s="3" t="str">
        <f>HYPERLINK("https://cloud.oebiotech.com/#/lm/network/54161", "https://cloud.oebiotech.com/#/lm/network/54161")</f>
        <v>https://cloud.oebiotech.com/#/lm/network/54161</v>
      </c>
      <c r="H4196" s="2" t="s">
        <v>27644</v>
      </c>
      <c r="I4196" s="2"/>
      <c r="J4196" s="2"/>
      <c r="K4196" s="2">
        <v>22844748</v>
      </c>
      <c r="L4196" s="2"/>
      <c r="M4196" s="2"/>
      <c r="N4196" s="2"/>
      <c r="O4196" s="2"/>
      <c r="P4196" s="2"/>
      <c r="Q4196" s="2"/>
      <c r="R4196" s="2" t="s">
        <v>27645</v>
      </c>
      <c r="S4196" s="2" t="s">
        <v>27646</v>
      </c>
      <c r="T4196" s="2" t="s">
        <v>27647</v>
      </c>
      <c r="U4196" s="2" t="s">
        <v>103</v>
      </c>
      <c r="V4196" s="2" t="s">
        <v>104</v>
      </c>
      <c r="W4196" s="2" t="s">
        <v>105</v>
      </c>
      <c r="X4196" s="2" t="s">
        <v>83</v>
      </c>
      <c r="Y4196" s="2">
        <v>51.4</v>
      </c>
      <c r="Z4196" s="2">
        <v>0</v>
      </c>
      <c r="AA4196" s="2" t="s">
        <v>379</v>
      </c>
      <c r="AB4196" s="2" t="s">
        <v>22101</v>
      </c>
      <c r="AC4196" s="2">
        <v>-2.4973195242595798</v>
      </c>
      <c r="AD4196" s="2"/>
      <c r="AE4196" s="2">
        <v>0.109061760230779</v>
      </c>
      <c r="AF4196" s="2">
        <v>2787.3442968078002</v>
      </c>
      <c r="AG4196" s="2">
        <v>2205.8224395167599</v>
      </c>
      <c r="AH4196" s="5">
        <v>1.26363040237202</v>
      </c>
      <c r="AI4196" s="5">
        <v>0.33757455320066998</v>
      </c>
      <c r="AJ4196" s="5" t="s">
        <v>139</v>
      </c>
      <c r="AK4196" s="2">
        <v>0.57744530094420898</v>
      </c>
      <c r="AL4196" s="2">
        <v>0.78657023126793102</v>
      </c>
      <c r="AM4196" s="2">
        <v>2874.7081025345901</v>
      </c>
      <c r="AN4196" s="2">
        <v>1623.11484790647</v>
      </c>
      <c r="AO4196" s="2">
        <v>2271.4681210543099</v>
      </c>
      <c r="AP4196" s="2">
        <v>1700.51506999409</v>
      </c>
      <c r="AQ4196" s="2">
        <v>4361.7533662435098</v>
      </c>
      <c r="AR4196" s="2">
        <v>3892.50627311383</v>
      </c>
      <c r="AS4196" s="2">
        <v>8.559877937157E-6</v>
      </c>
      <c r="AT4196" s="2">
        <v>2752.3190924621499</v>
      </c>
      <c r="AU4196" s="2">
        <v>6176.0199054095101</v>
      </c>
      <c r="AV4196" s="2">
        <v>2121.5712850995701</v>
      </c>
      <c r="AW4196" s="2">
        <v>513.46443788264901</v>
      </c>
      <c r="AX4196" s="2">
        <v>1671.5599076868</v>
      </c>
    </row>
    <row r="4197" spans="1:50" x14ac:dyDescent="0.25">
      <c r="A4197" s="2" t="s">
        <v>27648</v>
      </c>
      <c r="B4197" s="2">
        <v>429.17420787429103</v>
      </c>
      <c r="C4197" s="2">
        <v>12.708216666666701</v>
      </c>
      <c r="D4197" s="2" t="s">
        <v>51</v>
      </c>
      <c r="E4197" s="2" t="s">
        <v>27649</v>
      </c>
      <c r="F4197" s="2">
        <v>212185</v>
      </c>
      <c r="G4197" s="3" t="str">
        <f>HYPERLINK("https://cloud.oebiotech.com/#/lm/network/212185", "https://cloud.oebiotech.com/#/lm/network/212185")</f>
        <v>https://cloud.oebiotech.com/#/lm/network/212185</v>
      </c>
      <c r="H4197" s="2" t="s">
        <v>27650</v>
      </c>
      <c r="I4197" s="2"/>
      <c r="J4197" s="2"/>
      <c r="K4197" s="2">
        <v>65993</v>
      </c>
      <c r="L4197" s="2"/>
      <c r="M4197" s="2"/>
      <c r="N4197" s="2"/>
      <c r="O4197" s="2"/>
      <c r="P4197" s="2"/>
      <c r="Q4197" s="2"/>
      <c r="R4197" s="2"/>
      <c r="S4197" s="2" t="s">
        <v>27651</v>
      </c>
      <c r="T4197" s="2" t="s">
        <v>27652</v>
      </c>
      <c r="U4197" s="2" t="s">
        <v>103</v>
      </c>
      <c r="V4197" s="2" t="s">
        <v>104</v>
      </c>
      <c r="W4197" s="2" t="s">
        <v>105</v>
      </c>
      <c r="X4197" s="2" t="s">
        <v>147</v>
      </c>
      <c r="Y4197" s="2">
        <v>38.6</v>
      </c>
      <c r="Z4197" s="2">
        <v>8.2899999999999991</v>
      </c>
      <c r="AA4197" s="2" t="s">
        <v>379</v>
      </c>
      <c r="AB4197" s="2" t="s">
        <v>27653</v>
      </c>
      <c r="AC4197" s="2">
        <v>4.7367559325896096</v>
      </c>
      <c r="AD4197" s="2"/>
      <c r="AE4197" s="2">
        <v>0.10903250896283399</v>
      </c>
      <c r="AF4197" s="2">
        <v>9130.4075646997699</v>
      </c>
      <c r="AG4197" s="2">
        <v>10696.0741923158</v>
      </c>
      <c r="AH4197" s="4">
        <v>0.85362231044163694</v>
      </c>
      <c r="AI4197" s="4">
        <v>-0.22833021166916501</v>
      </c>
      <c r="AJ4197" s="4" t="s">
        <v>62</v>
      </c>
      <c r="AK4197" s="2">
        <v>0.44217495881764501</v>
      </c>
      <c r="AL4197" s="2">
        <v>0.69893310183715696</v>
      </c>
      <c r="AM4197" s="2">
        <v>13621.538310883299</v>
      </c>
      <c r="AN4197" s="2">
        <v>9825.5803190811494</v>
      </c>
      <c r="AO4197" s="2">
        <v>10685.3266639955</v>
      </c>
      <c r="AP4197" s="2">
        <v>6225.0143339524002</v>
      </c>
      <c r="AQ4197" s="2">
        <v>6502.8619299724496</v>
      </c>
      <c r="AR4197" s="2">
        <v>7922.1238303137998</v>
      </c>
      <c r="AS4197" s="2">
        <v>6844.8393720457098</v>
      </c>
      <c r="AT4197" s="2">
        <v>4780.92666027628</v>
      </c>
      <c r="AU4197" s="2">
        <v>13474.418690709699</v>
      </c>
      <c r="AV4197" s="2">
        <v>12171.7340080592</v>
      </c>
      <c r="AW4197" s="2">
        <v>13289.9775331898</v>
      </c>
      <c r="AX4197" s="2">
        <v>13614.548889614</v>
      </c>
    </row>
    <row r="4198" spans="1:50" x14ac:dyDescent="0.25">
      <c r="A4198" s="2" t="s">
        <v>27654</v>
      </c>
      <c r="B4198" s="2">
        <v>223.14262825220499</v>
      </c>
      <c r="C4198" s="2">
        <v>4.3619500000000002</v>
      </c>
      <c r="D4198" s="2" t="s">
        <v>51</v>
      </c>
      <c r="E4198" s="2" t="s">
        <v>27655</v>
      </c>
      <c r="F4198" s="2">
        <v>64919</v>
      </c>
      <c r="G4198" s="3" t="str">
        <f>HYPERLINK("https://cloud.oebiotech.com/#/lm/network/64919", "https://cloud.oebiotech.com/#/lm/network/64919")</f>
        <v>https://cloud.oebiotech.com/#/lm/network/64919</v>
      </c>
      <c r="H4198" s="2" t="s">
        <v>27656</v>
      </c>
      <c r="I4198" s="2">
        <v>96170</v>
      </c>
      <c r="J4198" s="2"/>
      <c r="K4198" s="2">
        <v>3616</v>
      </c>
      <c r="L4198" s="2"/>
      <c r="M4198" s="2"/>
      <c r="N4198" s="2"/>
      <c r="O4198" s="2"/>
      <c r="P4198" s="2"/>
      <c r="Q4198" s="2"/>
      <c r="R4198" s="2" t="s">
        <v>27657</v>
      </c>
      <c r="S4198" s="2" t="s">
        <v>27658</v>
      </c>
      <c r="T4198" s="2" t="s">
        <v>27659</v>
      </c>
      <c r="U4198" s="2" t="s">
        <v>103</v>
      </c>
      <c r="V4198" s="2" t="s">
        <v>7841</v>
      </c>
      <c r="W4198" s="2" t="s">
        <v>7842</v>
      </c>
      <c r="X4198" s="2" t="s">
        <v>147</v>
      </c>
      <c r="Y4198" s="2">
        <v>36.6</v>
      </c>
      <c r="Z4198" s="2">
        <v>0</v>
      </c>
      <c r="AA4198" s="2" t="s">
        <v>95</v>
      </c>
      <c r="AB4198" s="2" t="s">
        <v>27660</v>
      </c>
      <c r="AC4198" s="2">
        <v>4.6448692278384298</v>
      </c>
      <c r="AD4198" s="2"/>
      <c r="AE4198" s="2">
        <v>0.10901135846536</v>
      </c>
      <c r="AF4198" s="2">
        <v>735.17579666930806</v>
      </c>
      <c r="AG4198" s="2">
        <v>136.79157863779699</v>
      </c>
      <c r="AH4198" s="5">
        <v>5.3744229285922502</v>
      </c>
      <c r="AI4198" s="5">
        <v>2.42610985558527</v>
      </c>
      <c r="AJ4198" s="5" t="s">
        <v>139</v>
      </c>
      <c r="AK4198" s="2">
        <v>0.20364278757700299</v>
      </c>
      <c r="AL4198" s="2">
        <v>0.52867214213176905</v>
      </c>
      <c r="AM4198" s="2">
        <v>125.66107410908501</v>
      </c>
      <c r="AN4198" s="2">
        <v>8.559877937157E-6</v>
      </c>
      <c r="AO4198" s="2">
        <v>1443.50597317852</v>
      </c>
      <c r="AP4198" s="2">
        <v>8.559877937157E-6</v>
      </c>
      <c r="AQ4198" s="2">
        <v>2596.6507626427501</v>
      </c>
      <c r="AR4198" s="2">
        <v>245.236952965737</v>
      </c>
      <c r="AS4198" s="2">
        <v>417.31338142278298</v>
      </c>
      <c r="AT4198" s="2">
        <v>243.61527087820801</v>
      </c>
      <c r="AU4198" s="2">
        <v>159.82079384616</v>
      </c>
      <c r="AV4198" s="2">
        <v>8.559877937157E-6</v>
      </c>
      <c r="AW4198" s="2">
        <v>8.559877937157E-6</v>
      </c>
      <c r="AX4198" s="2">
        <v>8.559877937157E-6</v>
      </c>
    </row>
    <row r="4199" spans="1:50" x14ac:dyDescent="0.25">
      <c r="A4199" s="2" t="s">
        <v>27661</v>
      </c>
      <c r="B4199" s="2">
        <v>225.01685045005999</v>
      </c>
      <c r="C4199" s="2">
        <v>5.0034000000000001</v>
      </c>
      <c r="D4199" s="2" t="s">
        <v>51</v>
      </c>
      <c r="E4199" s="2" t="s">
        <v>27662</v>
      </c>
      <c r="F4199" s="2">
        <v>200406</v>
      </c>
      <c r="G4199" s="3" t="str">
        <f>HYPERLINK("https://cloud.oebiotech.com/#/lm/network/200406", "https://cloud.oebiotech.com/#/lm/network/200406")</f>
        <v>https://cloud.oebiotech.com/#/lm/network/200406</v>
      </c>
      <c r="H4199" s="2" t="s">
        <v>27663</v>
      </c>
      <c r="I4199" s="2"/>
      <c r="J4199" s="2"/>
      <c r="K4199" s="2">
        <v>10130754</v>
      </c>
      <c r="L4199" s="2"/>
      <c r="M4199" s="2"/>
      <c r="N4199" s="2"/>
      <c r="O4199" s="2"/>
      <c r="P4199" s="2"/>
      <c r="Q4199" s="2"/>
      <c r="R4199" s="2"/>
      <c r="S4199" s="2" t="s">
        <v>27664</v>
      </c>
      <c r="T4199" s="2" t="s">
        <v>27665</v>
      </c>
      <c r="U4199" s="2" t="s">
        <v>103</v>
      </c>
      <c r="V4199" s="2" t="s">
        <v>104</v>
      </c>
      <c r="W4199" s="2" t="s">
        <v>3415</v>
      </c>
      <c r="X4199" s="2" t="s">
        <v>147</v>
      </c>
      <c r="Y4199" s="2">
        <v>38.299999999999997</v>
      </c>
      <c r="Z4199" s="2">
        <v>0</v>
      </c>
      <c r="AA4199" s="2" t="s">
        <v>163</v>
      </c>
      <c r="AB4199" s="2" t="s">
        <v>27666</v>
      </c>
      <c r="AC4199" s="2">
        <v>-0.49745828438316497</v>
      </c>
      <c r="AD4199" s="2"/>
      <c r="AE4199" s="2">
        <v>0.108947857633443</v>
      </c>
      <c r="AF4199" s="2">
        <v>805.61333780845803</v>
      </c>
      <c r="AG4199" s="2">
        <v>1109.54065829864</v>
      </c>
      <c r="AH4199" s="4">
        <v>0.72607824849228697</v>
      </c>
      <c r="AI4199" s="4">
        <v>-0.46180306095197399</v>
      </c>
      <c r="AJ4199" s="4" t="s">
        <v>62</v>
      </c>
      <c r="AK4199" s="2">
        <v>4.52250025190188E-2</v>
      </c>
      <c r="AL4199" s="2">
        <v>0.30146105023562703</v>
      </c>
      <c r="AM4199" s="2">
        <v>562.79223369418901</v>
      </c>
      <c r="AN4199" s="2">
        <v>1070.4403082993999</v>
      </c>
      <c r="AO4199" s="2">
        <v>938.40604966584795</v>
      </c>
      <c r="AP4199" s="2">
        <v>576.06901489582503</v>
      </c>
      <c r="AQ4199" s="2">
        <v>875.46450072836001</v>
      </c>
      <c r="AR4199" s="2">
        <v>810.50791956712396</v>
      </c>
      <c r="AS4199" s="2">
        <v>996.278932964408</v>
      </c>
      <c r="AT4199" s="2">
        <v>878.46918409081002</v>
      </c>
      <c r="AU4199" s="2">
        <v>876.46383281929104</v>
      </c>
      <c r="AV4199" s="2">
        <v>1550.1618605076301</v>
      </c>
      <c r="AW4199" s="2">
        <v>1152.11660395382</v>
      </c>
      <c r="AX4199" s="2">
        <v>1203.7535354559</v>
      </c>
    </row>
    <row r="4200" spans="1:50" x14ac:dyDescent="0.25">
      <c r="A4200" s="2" t="s">
        <v>27667</v>
      </c>
      <c r="B4200" s="2">
        <v>219.045088370028</v>
      </c>
      <c r="C4200" s="2">
        <v>4.1837666666666697</v>
      </c>
      <c r="D4200" s="2" t="s">
        <v>51</v>
      </c>
      <c r="E4200" s="2" t="s">
        <v>27668</v>
      </c>
      <c r="F4200" s="2">
        <v>64952</v>
      </c>
      <c r="G4200" s="3" t="str">
        <f>HYPERLINK("https://cloud.oebiotech.com/#/lm/network/64952", "https://cloud.oebiotech.com/#/lm/network/64952")</f>
        <v>https://cloud.oebiotech.com/#/lm/network/64952</v>
      </c>
      <c r="H4200" s="2" t="s">
        <v>27669</v>
      </c>
      <c r="I4200" s="2">
        <v>69065</v>
      </c>
      <c r="J4200" s="2"/>
      <c r="K4200" s="2">
        <v>108218</v>
      </c>
      <c r="L4200" s="2" t="s">
        <v>27670</v>
      </c>
      <c r="M4200" s="2"/>
      <c r="N4200" s="2"/>
      <c r="O4200" s="2"/>
      <c r="P4200" s="2"/>
      <c r="Q4200" s="2"/>
      <c r="R4200" s="2" t="s">
        <v>27671</v>
      </c>
      <c r="S4200" s="2" t="s">
        <v>27672</v>
      </c>
      <c r="T4200" s="2" t="s">
        <v>27673</v>
      </c>
      <c r="U4200" s="2" t="s">
        <v>103</v>
      </c>
      <c r="V4200" s="2" t="s">
        <v>104</v>
      </c>
      <c r="W4200" s="2" t="s">
        <v>105</v>
      </c>
      <c r="X4200" s="2" t="s">
        <v>147</v>
      </c>
      <c r="Y4200" s="2">
        <v>40.6</v>
      </c>
      <c r="Z4200" s="2">
        <v>16.3</v>
      </c>
      <c r="AA4200" s="2" t="s">
        <v>163</v>
      </c>
      <c r="AB4200" s="2" t="s">
        <v>27674</v>
      </c>
      <c r="AC4200" s="2">
        <v>2.6672329283751601</v>
      </c>
      <c r="AD4200" s="2"/>
      <c r="AE4200" s="2">
        <v>0.10892779319673</v>
      </c>
      <c r="AF4200" s="2">
        <v>1760.44489684987</v>
      </c>
      <c r="AG4200" s="2">
        <v>1017.87734275399</v>
      </c>
      <c r="AH4200" s="5">
        <v>1.7295255753377701</v>
      </c>
      <c r="AI4200" s="5">
        <v>0.79037634770341303</v>
      </c>
      <c r="AJ4200" s="5" t="s">
        <v>139</v>
      </c>
      <c r="AK4200" s="2">
        <v>0.15938342193545901</v>
      </c>
      <c r="AL4200" s="2">
        <v>0.482327607117922</v>
      </c>
      <c r="AM4200" s="2">
        <v>976.01827870852696</v>
      </c>
      <c r="AN4200" s="2">
        <v>767.39050760576799</v>
      </c>
      <c r="AO4200" s="2">
        <v>1612.2641573262799</v>
      </c>
      <c r="AP4200" s="2">
        <v>1090.7052669094401</v>
      </c>
      <c r="AQ4200" s="2">
        <v>2908.2287408339898</v>
      </c>
      <c r="AR4200" s="2">
        <v>3208.0624297152099</v>
      </c>
      <c r="AS4200" s="2">
        <v>549.69507319323998</v>
      </c>
      <c r="AT4200" s="2">
        <v>760.45936323571198</v>
      </c>
      <c r="AU4200" s="2">
        <v>706.52653291438605</v>
      </c>
      <c r="AV4200" s="2">
        <v>651.57311381719205</v>
      </c>
      <c r="AW4200" s="2">
        <v>1427.8139092446099</v>
      </c>
      <c r="AX4200" s="2">
        <v>2011.19606411879</v>
      </c>
    </row>
    <row r="4201" spans="1:50" x14ac:dyDescent="0.25">
      <c r="A4201" s="2" t="s">
        <v>27675</v>
      </c>
      <c r="B4201" s="2">
        <v>233.05413996943801</v>
      </c>
      <c r="C4201" s="2">
        <v>3.4002666666666701</v>
      </c>
      <c r="D4201" s="2" t="s">
        <v>51</v>
      </c>
      <c r="E4201" s="2" t="s">
        <v>27676</v>
      </c>
      <c r="F4201" s="2">
        <v>48882</v>
      </c>
      <c r="G4201" s="3" t="str">
        <f>HYPERLINK("https://cloud.oebiotech.com/#/lm/network/48882", "https://cloud.oebiotech.com/#/lm/network/48882")</f>
        <v>https://cloud.oebiotech.com/#/lm/network/48882</v>
      </c>
      <c r="H4201" s="2" t="s">
        <v>27677</v>
      </c>
      <c r="I4201" s="2">
        <v>3352</v>
      </c>
      <c r="J4201" s="2"/>
      <c r="K4201" s="2">
        <v>440901</v>
      </c>
      <c r="L4201" s="2" t="s">
        <v>27678</v>
      </c>
      <c r="M4201" s="2" t="s">
        <v>14994</v>
      </c>
      <c r="N4201" s="2" t="s">
        <v>14995</v>
      </c>
      <c r="O4201" s="2">
        <v>18336</v>
      </c>
      <c r="P4201" s="2"/>
      <c r="Q4201" s="2"/>
      <c r="R4201" s="2" t="s">
        <v>27679</v>
      </c>
      <c r="S4201" s="2" t="s">
        <v>27680</v>
      </c>
      <c r="T4201" s="2" t="s">
        <v>27681</v>
      </c>
      <c r="U4201" s="2" t="s">
        <v>103</v>
      </c>
      <c r="V4201" s="2" t="s">
        <v>104</v>
      </c>
      <c r="W4201" s="2" t="s">
        <v>105</v>
      </c>
      <c r="X4201" s="2" t="s">
        <v>147</v>
      </c>
      <c r="Y4201" s="2">
        <v>38.700000000000003</v>
      </c>
      <c r="Z4201" s="2">
        <v>0</v>
      </c>
      <c r="AA4201" s="2" t="s">
        <v>512</v>
      </c>
      <c r="AB4201" s="2" t="s">
        <v>27682</v>
      </c>
      <c r="AC4201" s="2">
        <v>3.8421960014893299</v>
      </c>
      <c r="AD4201" s="2"/>
      <c r="AE4201" s="2">
        <v>0.108926961547355</v>
      </c>
      <c r="AF4201" s="2">
        <v>301.13715252070699</v>
      </c>
      <c r="AG4201" s="2">
        <v>1917.6289496802301</v>
      </c>
      <c r="AH4201" s="4">
        <v>0.15703619439564701</v>
      </c>
      <c r="AI4201" s="4">
        <v>-2.6708309787195699</v>
      </c>
      <c r="AJ4201" s="4" t="s">
        <v>62</v>
      </c>
      <c r="AK4201" s="2">
        <v>0.41712943221227</v>
      </c>
      <c r="AL4201" s="2">
        <v>0.67956942792655295</v>
      </c>
      <c r="AM4201" s="2">
        <v>22.3950253291679</v>
      </c>
      <c r="AN4201" s="2">
        <v>315.48442135231301</v>
      </c>
      <c r="AO4201" s="2">
        <v>1344.4264915025899</v>
      </c>
      <c r="AP4201" s="2">
        <v>82.311055951996295</v>
      </c>
      <c r="AQ4201" s="2">
        <v>13.4548625202672</v>
      </c>
      <c r="AR4201" s="2">
        <v>28.751058467905001</v>
      </c>
      <c r="AS4201" s="2">
        <v>42.150476196373397</v>
      </c>
      <c r="AT4201" s="2">
        <v>34.0263988371889</v>
      </c>
      <c r="AU4201" s="2">
        <v>11406.888442498401</v>
      </c>
      <c r="AV4201" s="2">
        <v>15.822018924250401</v>
      </c>
      <c r="AW4201" s="2">
        <v>8.559877937157E-6</v>
      </c>
      <c r="AX4201" s="2">
        <v>6.8863530653142302</v>
      </c>
    </row>
    <row r="4202" spans="1:50" x14ac:dyDescent="0.25">
      <c r="A4202" s="2" t="s">
        <v>27683</v>
      </c>
      <c r="B4202" s="2">
        <v>221.0813</v>
      </c>
      <c r="C4202" s="2">
        <v>24.536000000000001</v>
      </c>
      <c r="D4202" s="2" t="s">
        <v>125</v>
      </c>
      <c r="E4202" s="2" t="s">
        <v>27684</v>
      </c>
      <c r="F4202" s="2">
        <v>267101</v>
      </c>
      <c r="G4202" s="3" t="str">
        <f>HYPERLINK("https://cloud.oebiotech.com/#/lm/network/267101", "https://cloud.oebiotech.com/#/lm/network/267101")</f>
        <v>https://cloud.oebiotech.com/#/lm/network/267101</v>
      </c>
      <c r="H4202" s="2"/>
      <c r="I4202" s="2">
        <v>44768</v>
      </c>
      <c r="J4202" s="2"/>
      <c r="K4202" s="2">
        <v>165577</v>
      </c>
      <c r="L4202" s="2"/>
      <c r="M4202" s="2"/>
      <c r="N4202" s="2"/>
      <c r="O4202" s="2"/>
      <c r="P4202" s="2"/>
      <c r="Q4202" s="2"/>
      <c r="R4202" s="2" t="s">
        <v>27685</v>
      </c>
      <c r="S4202" s="2" t="s">
        <v>27686</v>
      </c>
      <c r="T4202" s="2" t="s">
        <v>27687</v>
      </c>
      <c r="U4202" s="2" t="s">
        <v>56</v>
      </c>
      <c r="V4202" s="2" t="s">
        <v>145</v>
      </c>
      <c r="W4202" s="2" t="s">
        <v>3263</v>
      </c>
      <c r="X4202" s="2" t="s">
        <v>83</v>
      </c>
      <c r="Y4202" s="2">
        <v>80.8</v>
      </c>
      <c r="Z4202" s="2">
        <v>69.7</v>
      </c>
      <c r="AA4202" s="2"/>
      <c r="AB4202" s="2" t="s">
        <v>18083</v>
      </c>
      <c r="AC4202" s="2"/>
      <c r="AD4202" s="2">
        <v>889293.89969293796</v>
      </c>
      <c r="AE4202" s="2">
        <v>0.1089106023971</v>
      </c>
      <c r="AF4202" s="2">
        <v>19764.437851063802</v>
      </c>
      <c r="AG4202" s="2">
        <v>25967.7071634606</v>
      </c>
      <c r="AH4202" s="4">
        <v>0.76111601716128696</v>
      </c>
      <c r="AI4202" s="4">
        <v>-0.39381171392344999</v>
      </c>
      <c r="AJ4202" s="4" t="s">
        <v>62</v>
      </c>
      <c r="AK4202" s="2">
        <v>0.49440130366694601</v>
      </c>
      <c r="AL4202" s="2">
        <v>0.73513085382097298</v>
      </c>
      <c r="AM4202" s="2">
        <v>19699.880296065301</v>
      </c>
      <c r="AN4202" s="2">
        <v>15297.1925444513</v>
      </c>
      <c r="AO4202" s="2">
        <v>21311.231970519701</v>
      </c>
      <c r="AP4202" s="2">
        <v>20835.235360842998</v>
      </c>
      <c r="AQ4202" s="2">
        <v>21421.5234030428</v>
      </c>
      <c r="AR4202" s="2">
        <v>20021.563531460601</v>
      </c>
      <c r="AS4202" s="2">
        <v>14124.6002946835</v>
      </c>
      <c r="AT4202" s="2">
        <v>15564.732554124699</v>
      </c>
      <c r="AU4202" s="2">
        <v>68946.837245200004</v>
      </c>
      <c r="AV4202" s="2">
        <v>23424.308372285799</v>
      </c>
      <c r="AW4202" s="2">
        <v>17681.5411631514</v>
      </c>
      <c r="AX4202" s="2">
        <v>16064.2233513184</v>
      </c>
    </row>
    <row r="4203" spans="1:50" x14ac:dyDescent="0.25">
      <c r="A4203" s="2" t="s">
        <v>27688</v>
      </c>
      <c r="B4203" s="2">
        <v>470.18357139961302</v>
      </c>
      <c r="C4203" s="2">
        <v>4.9626666666666699</v>
      </c>
      <c r="D4203" s="2" t="s">
        <v>51</v>
      </c>
      <c r="E4203" s="2" t="s">
        <v>27689</v>
      </c>
      <c r="F4203" s="2">
        <v>208516</v>
      </c>
      <c r="G4203" s="3" t="str">
        <f>HYPERLINK("https://cloud.oebiotech.com/#/lm/network/208516", "https://cloud.oebiotech.com/#/lm/network/208516")</f>
        <v>https://cloud.oebiotech.com/#/lm/network/208516</v>
      </c>
      <c r="H4203" s="2" t="s">
        <v>27690</v>
      </c>
      <c r="I4203" s="2"/>
      <c r="J4203" s="2"/>
      <c r="K4203" s="2">
        <v>33455</v>
      </c>
      <c r="L4203" s="2"/>
      <c r="M4203" s="2"/>
      <c r="N4203" s="2"/>
      <c r="O4203" s="2"/>
      <c r="P4203" s="2"/>
      <c r="Q4203" s="2"/>
      <c r="R4203" s="2"/>
      <c r="S4203" s="2" t="s">
        <v>27691</v>
      </c>
      <c r="T4203" s="2" t="s">
        <v>27692</v>
      </c>
      <c r="U4203" s="2" t="s">
        <v>540</v>
      </c>
      <c r="V4203" s="2" t="s">
        <v>10873</v>
      </c>
      <c r="W4203" s="2" t="s">
        <v>18007</v>
      </c>
      <c r="X4203" s="2" t="s">
        <v>147</v>
      </c>
      <c r="Y4203" s="2">
        <v>36.700000000000003</v>
      </c>
      <c r="Z4203" s="2">
        <v>0</v>
      </c>
      <c r="AA4203" s="2" t="s">
        <v>218</v>
      </c>
      <c r="AB4203" s="2" t="s">
        <v>27693</v>
      </c>
      <c r="AC4203" s="2">
        <v>3.6006579442495799</v>
      </c>
      <c r="AD4203" s="2"/>
      <c r="AE4203" s="2">
        <v>0.108765901737274</v>
      </c>
      <c r="AF4203" s="2">
        <v>584.22529983545303</v>
      </c>
      <c r="AG4203" s="2">
        <v>1091.0266101515699</v>
      </c>
      <c r="AH4203" s="4">
        <v>0.53548217284479505</v>
      </c>
      <c r="AI4203" s="4">
        <v>-0.901089548999637</v>
      </c>
      <c r="AJ4203" s="4" t="s">
        <v>62</v>
      </c>
      <c r="AK4203" s="2">
        <v>0.49801242492014097</v>
      </c>
      <c r="AL4203" s="2">
        <v>0.73659685270325703</v>
      </c>
      <c r="AM4203" s="2">
        <v>218.049724088624</v>
      </c>
      <c r="AN4203" s="2">
        <v>8.559877937157E-6</v>
      </c>
      <c r="AO4203" s="2">
        <v>337.49801146978501</v>
      </c>
      <c r="AP4203" s="2">
        <v>603.28721207545505</v>
      </c>
      <c r="AQ4203" s="2">
        <v>8.559877937157E-6</v>
      </c>
      <c r="AR4203" s="2">
        <v>2346.5168342591001</v>
      </c>
      <c r="AS4203" s="2">
        <v>8.559877937157E-6</v>
      </c>
      <c r="AT4203" s="2">
        <v>8.559877937157E-6</v>
      </c>
      <c r="AU4203" s="2">
        <v>758.49123272178599</v>
      </c>
      <c r="AV4203" s="2">
        <v>3736.4017124810398</v>
      </c>
      <c r="AW4203" s="2">
        <v>2051.2666900269501</v>
      </c>
      <c r="AX4203" s="2">
        <v>8.559877937157E-6</v>
      </c>
    </row>
    <row r="4204" spans="1:50" x14ac:dyDescent="0.25">
      <c r="A4204" s="2" t="s">
        <v>27694</v>
      </c>
      <c r="B4204" s="2">
        <v>409.14170061499402</v>
      </c>
      <c r="C4204" s="2">
        <v>4.6687166666666702</v>
      </c>
      <c r="D4204" s="2" t="s">
        <v>51</v>
      </c>
      <c r="E4204" s="2" t="s">
        <v>27695</v>
      </c>
      <c r="F4204" s="2">
        <v>205174</v>
      </c>
      <c r="G4204" s="3" t="str">
        <f>HYPERLINK("https://cloud.oebiotech.com/#/lm/network/205174", "https://cloud.oebiotech.com/#/lm/network/205174")</f>
        <v>https://cloud.oebiotech.com/#/lm/network/205174</v>
      </c>
      <c r="H4204" s="2" t="s">
        <v>27696</v>
      </c>
      <c r="I4204" s="2"/>
      <c r="J4204" s="2"/>
      <c r="K4204" s="2">
        <v>126010</v>
      </c>
      <c r="L4204" s="2"/>
      <c r="M4204" s="2"/>
      <c r="N4204" s="2"/>
      <c r="O4204" s="2"/>
      <c r="P4204" s="2"/>
      <c r="Q4204" s="2"/>
      <c r="R4204" s="2"/>
      <c r="S4204" s="2" t="s">
        <v>27697</v>
      </c>
      <c r="T4204" s="2" t="s">
        <v>27698</v>
      </c>
      <c r="U4204" s="2" t="s">
        <v>103</v>
      </c>
      <c r="V4204" s="2" t="s">
        <v>104</v>
      </c>
      <c r="W4204" s="2" t="s">
        <v>105</v>
      </c>
      <c r="X4204" s="2" t="s">
        <v>147</v>
      </c>
      <c r="Y4204" s="2">
        <v>40.799999999999997</v>
      </c>
      <c r="Z4204" s="2">
        <v>14.6</v>
      </c>
      <c r="AA4204" s="2" t="s">
        <v>122</v>
      </c>
      <c r="AB4204" s="2" t="s">
        <v>27699</v>
      </c>
      <c r="AC4204" s="2">
        <v>-0.70719804557584198</v>
      </c>
      <c r="AD4204" s="2"/>
      <c r="AE4204" s="2">
        <v>0.108732811566947</v>
      </c>
      <c r="AF4204" s="2">
        <v>1885.7080071253399</v>
      </c>
      <c r="AG4204" s="2">
        <v>1187.4186826283501</v>
      </c>
      <c r="AH4204" s="5">
        <v>1.5880733853297</v>
      </c>
      <c r="AI4204" s="5">
        <v>0.66727758137570203</v>
      </c>
      <c r="AJ4204" s="5" t="s">
        <v>139</v>
      </c>
      <c r="AK4204" s="2">
        <v>0.61616129895448202</v>
      </c>
      <c r="AL4204" s="2">
        <v>0.80961248686495102</v>
      </c>
      <c r="AM4204" s="2">
        <v>7421.23828004387</v>
      </c>
      <c r="AN4204" s="2">
        <v>8.559877937157E-6</v>
      </c>
      <c r="AO4204" s="2">
        <v>8.559877937157E-6</v>
      </c>
      <c r="AP4204" s="2">
        <v>3893.0097284686699</v>
      </c>
      <c r="AQ4204" s="2">
        <v>8.559877937157E-6</v>
      </c>
      <c r="AR4204" s="2">
        <v>8.559877937157E-6</v>
      </c>
      <c r="AS4204" s="2">
        <v>2046.4857786058799</v>
      </c>
      <c r="AT4204" s="2">
        <v>8.559877937157E-6</v>
      </c>
      <c r="AU4204" s="2">
        <v>1520.1994171779199</v>
      </c>
      <c r="AV4204" s="2">
        <v>8.559877937157E-6</v>
      </c>
      <c r="AW4204" s="2">
        <v>945.01846044385195</v>
      </c>
      <c r="AX4204" s="2">
        <v>2612.80842242271</v>
      </c>
    </row>
    <row r="4205" spans="1:50" x14ac:dyDescent="0.25">
      <c r="A4205" s="2" t="s">
        <v>27700</v>
      </c>
      <c r="B4205" s="2">
        <v>249.06182073326701</v>
      </c>
      <c r="C4205" s="2">
        <v>3.60421666666667</v>
      </c>
      <c r="D4205" s="2" t="s">
        <v>51</v>
      </c>
      <c r="E4205" s="2" t="s">
        <v>27701</v>
      </c>
      <c r="F4205" s="2">
        <v>208420</v>
      </c>
      <c r="G4205" s="3" t="str">
        <f>HYPERLINK("https://cloud.oebiotech.com/#/lm/network/208420", "https://cloud.oebiotech.com/#/lm/network/208420")</f>
        <v>https://cloud.oebiotech.com/#/lm/network/208420</v>
      </c>
      <c r="H4205" s="2" t="s">
        <v>27702</v>
      </c>
      <c r="I4205" s="2"/>
      <c r="J4205" s="2"/>
      <c r="K4205" s="2">
        <v>76500745</v>
      </c>
      <c r="L4205" s="2"/>
      <c r="M4205" s="2"/>
      <c r="N4205" s="2"/>
      <c r="O4205" s="2"/>
      <c r="P4205" s="2"/>
      <c r="Q4205" s="2"/>
      <c r="R4205" s="2"/>
      <c r="S4205" s="2" t="s">
        <v>27703</v>
      </c>
      <c r="T4205" s="2" t="s">
        <v>27704</v>
      </c>
      <c r="U4205" s="2" t="s">
        <v>103</v>
      </c>
      <c r="V4205" s="2" t="s">
        <v>104</v>
      </c>
      <c r="W4205" s="2" t="s">
        <v>105</v>
      </c>
      <c r="X4205" s="2" t="s">
        <v>147</v>
      </c>
      <c r="Y4205" s="2">
        <v>40.1</v>
      </c>
      <c r="Z4205" s="2">
        <v>15.8</v>
      </c>
      <c r="AA4205" s="2" t="s">
        <v>60</v>
      </c>
      <c r="AB4205" s="2" t="s">
        <v>27705</v>
      </c>
      <c r="AC4205" s="2">
        <v>3.2814115956417198</v>
      </c>
      <c r="AD4205" s="2"/>
      <c r="AE4205" s="2">
        <v>0.10870105089670699</v>
      </c>
      <c r="AF4205" s="2">
        <v>161011.61647982799</v>
      </c>
      <c r="AG4205" s="2">
        <v>163309.058827295</v>
      </c>
      <c r="AH4205" s="4">
        <v>0.98593193565645099</v>
      </c>
      <c r="AI4205" s="4">
        <v>-2.0440042077615898E-2</v>
      </c>
      <c r="AJ4205" s="4" t="s">
        <v>62</v>
      </c>
      <c r="AK4205" s="2">
        <v>0.94625452044218605</v>
      </c>
      <c r="AL4205" s="2">
        <v>0.97787449727725695</v>
      </c>
      <c r="AM4205" s="2">
        <v>97827.067584905395</v>
      </c>
      <c r="AN4205" s="2">
        <v>210649.92358182301</v>
      </c>
      <c r="AO4205" s="2">
        <v>128357.52133148399</v>
      </c>
      <c r="AP4205" s="2">
        <v>241948.08233220599</v>
      </c>
      <c r="AQ4205" s="2">
        <v>164528.97469215401</v>
      </c>
      <c r="AR4205" s="2">
        <v>122758.129356395</v>
      </c>
      <c r="AS4205" s="2">
        <v>152979.28951402</v>
      </c>
      <c r="AT4205" s="2">
        <v>212300.63025354099</v>
      </c>
      <c r="AU4205" s="2">
        <v>174520.88443266699</v>
      </c>
      <c r="AV4205" s="2">
        <v>51705.100243165798</v>
      </c>
      <c r="AW4205" s="2">
        <v>176870.54399847201</v>
      </c>
      <c r="AX4205" s="2">
        <v>211477.90452190299</v>
      </c>
    </row>
    <row r="4206" spans="1:50" x14ac:dyDescent="0.25">
      <c r="A4206" s="2" t="s">
        <v>27706</v>
      </c>
      <c r="B4206" s="2">
        <v>290.29709573914403</v>
      </c>
      <c r="C4206" s="2">
        <v>8.2944666666666702</v>
      </c>
      <c r="D4206" s="2" t="s">
        <v>51</v>
      </c>
      <c r="E4206" s="2" t="s">
        <v>27707</v>
      </c>
      <c r="F4206" s="2">
        <v>9251</v>
      </c>
      <c r="G4206" s="3" t="str">
        <f>HYPERLINK("https://cloud.oebiotech.com/#/lm/network/9251", "https://cloud.oebiotech.com/#/lm/network/9251")</f>
        <v>https://cloud.oebiotech.com/#/lm/network/9251</v>
      </c>
      <c r="H4206" s="2"/>
      <c r="I4206" s="2">
        <v>97550</v>
      </c>
      <c r="J4206" s="2" t="s">
        <v>27708</v>
      </c>
      <c r="K4206" s="2">
        <v>56936112</v>
      </c>
      <c r="L4206" s="2"/>
      <c r="M4206" s="2"/>
      <c r="N4206" s="2"/>
      <c r="O4206" s="2"/>
      <c r="P4206" s="2"/>
      <c r="Q4206" s="2"/>
      <c r="R4206" s="2"/>
      <c r="S4206" s="2" t="s">
        <v>27709</v>
      </c>
      <c r="T4206" s="2" t="s">
        <v>27710</v>
      </c>
      <c r="U4206" s="2" t="s">
        <v>1491</v>
      </c>
      <c r="V4206" s="2" t="s">
        <v>1492</v>
      </c>
      <c r="W4206" s="2" t="s">
        <v>6421</v>
      </c>
      <c r="X4206" s="2" t="s">
        <v>147</v>
      </c>
      <c r="Y4206" s="2">
        <v>36.4</v>
      </c>
      <c r="Z4206" s="2">
        <v>0</v>
      </c>
      <c r="AA4206" s="2" t="s">
        <v>122</v>
      </c>
      <c r="AB4206" s="2" t="s">
        <v>27711</v>
      </c>
      <c r="AC4206" s="2">
        <v>-0.88040595431073798</v>
      </c>
      <c r="AD4206" s="2"/>
      <c r="AE4206" s="2">
        <v>0.108582498690732</v>
      </c>
      <c r="AF4206" s="2">
        <v>7073.1318793240598</v>
      </c>
      <c r="AG4206" s="2">
        <v>8046.7206969683502</v>
      </c>
      <c r="AH4206" s="4">
        <v>0.87900800160603298</v>
      </c>
      <c r="AI4206" s="4">
        <v>-0.18605179661219801</v>
      </c>
      <c r="AJ4206" s="4" t="s">
        <v>62</v>
      </c>
      <c r="AK4206" s="2">
        <v>0.60748099053419202</v>
      </c>
      <c r="AL4206" s="2">
        <v>0.80448616752299296</v>
      </c>
      <c r="AM4206" s="2">
        <v>8642.8214427027597</v>
      </c>
      <c r="AN4206" s="2">
        <v>7982.6947761375204</v>
      </c>
      <c r="AO4206" s="2">
        <v>5194.9712852702996</v>
      </c>
      <c r="AP4206" s="2">
        <v>5608.3777715554197</v>
      </c>
      <c r="AQ4206" s="2">
        <v>10272.0898530057</v>
      </c>
      <c r="AR4206" s="2">
        <v>4737.8361472726401</v>
      </c>
      <c r="AS4206" s="2">
        <v>5183.4800163047403</v>
      </c>
      <c r="AT4206" s="2">
        <v>6911.4837272696896</v>
      </c>
      <c r="AU4206" s="2">
        <v>4041.7769908067698</v>
      </c>
      <c r="AV4206" s="2">
        <v>10218.831690319699</v>
      </c>
      <c r="AW4206" s="2">
        <v>14784.8254564089</v>
      </c>
      <c r="AX4206" s="2">
        <v>7139.9263007003301</v>
      </c>
    </row>
    <row r="4207" spans="1:50" x14ac:dyDescent="0.25">
      <c r="A4207" s="2" t="s">
        <v>27712</v>
      </c>
      <c r="B4207" s="2">
        <v>467.24500059309099</v>
      </c>
      <c r="C4207" s="2">
        <v>4.0892666666666697</v>
      </c>
      <c r="D4207" s="2" t="s">
        <v>51</v>
      </c>
      <c r="E4207" s="2" t="s">
        <v>27713</v>
      </c>
      <c r="F4207" s="2">
        <v>206215</v>
      </c>
      <c r="G4207" s="3" t="str">
        <f>HYPERLINK("https://cloud.oebiotech.com/#/lm/network/206215", "https://cloud.oebiotech.com/#/lm/network/206215")</f>
        <v>https://cloud.oebiotech.com/#/lm/network/206215</v>
      </c>
      <c r="H4207" s="2" t="s">
        <v>27714</v>
      </c>
      <c r="I4207" s="2"/>
      <c r="J4207" s="2"/>
      <c r="K4207" s="2">
        <v>5190</v>
      </c>
      <c r="L4207" s="2"/>
      <c r="M4207" s="2"/>
      <c r="N4207" s="2"/>
      <c r="O4207" s="2"/>
      <c r="P4207" s="2"/>
      <c r="Q4207" s="2"/>
      <c r="R4207" s="2"/>
      <c r="S4207" s="2" t="s">
        <v>27715</v>
      </c>
      <c r="T4207" s="2" t="s">
        <v>27716</v>
      </c>
      <c r="U4207" s="2" t="s">
        <v>610</v>
      </c>
      <c r="V4207" s="2" t="s">
        <v>611</v>
      </c>
      <c r="W4207" s="2" t="s">
        <v>2327</v>
      </c>
      <c r="X4207" s="2" t="s">
        <v>147</v>
      </c>
      <c r="Y4207" s="2">
        <v>37.6</v>
      </c>
      <c r="Z4207" s="2">
        <v>18.8</v>
      </c>
      <c r="AA4207" s="2" t="s">
        <v>259</v>
      </c>
      <c r="AB4207" s="2" t="s">
        <v>27717</v>
      </c>
      <c r="AC4207" s="2">
        <v>1.8186907007347699</v>
      </c>
      <c r="AD4207" s="2"/>
      <c r="AE4207" s="2">
        <v>0.108550617398533</v>
      </c>
      <c r="AF4207" s="2">
        <v>398.39440144287198</v>
      </c>
      <c r="AG4207" s="2">
        <v>968.87057849477105</v>
      </c>
      <c r="AH4207" s="4">
        <v>0.41119465312055797</v>
      </c>
      <c r="AI4207" s="4">
        <v>-1.2821065900019899</v>
      </c>
      <c r="AJ4207" s="4" t="s">
        <v>62</v>
      </c>
      <c r="AK4207" s="2">
        <v>0.21656726292158299</v>
      </c>
      <c r="AL4207" s="2">
        <v>0.54190576078505404</v>
      </c>
      <c r="AM4207" s="2">
        <v>274.23918153035498</v>
      </c>
      <c r="AN4207" s="2">
        <v>8.559877937157E-6</v>
      </c>
      <c r="AO4207" s="2">
        <v>1118.74882979782</v>
      </c>
      <c r="AP4207" s="2">
        <v>8.559877937157E-6</v>
      </c>
      <c r="AQ4207" s="2">
        <v>659.86770785901797</v>
      </c>
      <c r="AR4207" s="2">
        <v>337.51067235028302</v>
      </c>
      <c r="AS4207" s="2">
        <v>2483.6363431208001</v>
      </c>
      <c r="AT4207" s="2">
        <v>1832.78168062841</v>
      </c>
      <c r="AU4207" s="2">
        <v>8.559877937157E-6</v>
      </c>
      <c r="AV4207" s="2">
        <v>395.57838706687602</v>
      </c>
      <c r="AW4207" s="2">
        <v>428.681561203613</v>
      </c>
      <c r="AX4207" s="2">
        <v>672.54549038904997</v>
      </c>
    </row>
    <row r="4208" spans="1:50" x14ac:dyDescent="0.25">
      <c r="A4208" s="2" t="s">
        <v>27718</v>
      </c>
      <c r="B4208" s="2">
        <v>317.24835156954401</v>
      </c>
      <c r="C4208" s="2">
        <v>11.940049999999999</v>
      </c>
      <c r="D4208" s="2" t="s">
        <v>51</v>
      </c>
      <c r="E4208" s="2" t="s">
        <v>27719</v>
      </c>
      <c r="F4208" s="2">
        <v>63785</v>
      </c>
      <c r="G4208" s="3" t="str">
        <f>HYPERLINK("https://cloud.oebiotech.com/#/lm/network/63785", "https://cloud.oebiotech.com/#/lm/network/63785")</f>
        <v>https://cloud.oebiotech.com/#/lm/network/63785</v>
      </c>
      <c r="H4208" s="2" t="s">
        <v>27720</v>
      </c>
      <c r="I4208" s="2">
        <v>95120</v>
      </c>
      <c r="J4208" s="2"/>
      <c r="K4208" s="2">
        <v>51352076</v>
      </c>
      <c r="L4208" s="2"/>
      <c r="M4208" s="2"/>
      <c r="N4208" s="2"/>
      <c r="O4208" s="2"/>
      <c r="P4208" s="2"/>
      <c r="Q4208" s="2"/>
      <c r="R4208" s="2" t="s">
        <v>27721</v>
      </c>
      <c r="S4208" s="2" t="s">
        <v>27722</v>
      </c>
      <c r="T4208" s="2" t="s">
        <v>27723</v>
      </c>
      <c r="U4208" s="2" t="s">
        <v>610</v>
      </c>
      <c r="V4208" s="2" t="s">
        <v>895</v>
      </c>
      <c r="W4208" s="2" t="s">
        <v>896</v>
      </c>
      <c r="X4208" s="2" t="s">
        <v>69</v>
      </c>
      <c r="Y4208" s="2">
        <v>71.599999999999994</v>
      </c>
      <c r="Z4208" s="2">
        <v>70.8</v>
      </c>
      <c r="AA4208" s="2" t="s">
        <v>156</v>
      </c>
      <c r="AB4208" s="2" t="s">
        <v>14551</v>
      </c>
      <c r="AC4208" s="2">
        <v>2.5276543745772102</v>
      </c>
      <c r="AD4208" s="2"/>
      <c r="AE4208" s="2">
        <v>0.108546525450707</v>
      </c>
      <c r="AF4208" s="2">
        <v>33666.891801356498</v>
      </c>
      <c r="AG4208" s="2">
        <v>34178.101754326402</v>
      </c>
      <c r="AH4208" s="4">
        <v>0.98504276344413499</v>
      </c>
      <c r="AI4208" s="4">
        <v>-2.17417375573348E-2</v>
      </c>
      <c r="AJ4208" s="4" t="s">
        <v>62</v>
      </c>
      <c r="AK4208" s="2">
        <v>0.945505769000202</v>
      </c>
      <c r="AL4208" s="2">
        <v>0.97761542155245595</v>
      </c>
      <c r="AM4208" s="2">
        <v>19344.728239970202</v>
      </c>
      <c r="AN4208" s="2">
        <v>50402.754796059002</v>
      </c>
      <c r="AO4208" s="2">
        <v>35361.605073597297</v>
      </c>
      <c r="AP4208" s="2">
        <v>45698.432378177502</v>
      </c>
      <c r="AQ4208" s="2">
        <v>19291.5280098277</v>
      </c>
      <c r="AR4208" s="2">
        <v>31902.302310507399</v>
      </c>
      <c r="AS4208" s="2">
        <v>42336.523927067297</v>
      </c>
      <c r="AT4208" s="2">
        <v>35833.087340930397</v>
      </c>
      <c r="AU4208" s="2">
        <v>17236.650394718701</v>
      </c>
      <c r="AV4208" s="2">
        <v>28440.461900992999</v>
      </c>
      <c r="AW4208" s="2">
        <v>28748.905650229099</v>
      </c>
      <c r="AX4208" s="2">
        <v>52472.981312019903</v>
      </c>
    </row>
    <row r="4209" spans="1:50" x14ac:dyDescent="0.25">
      <c r="A4209" s="2" t="s">
        <v>27724</v>
      </c>
      <c r="B4209" s="2">
        <v>295.02162776269398</v>
      </c>
      <c r="C4209" s="2">
        <v>7.13835</v>
      </c>
      <c r="D4209" s="2" t="s">
        <v>51</v>
      </c>
      <c r="E4209" s="2" t="s">
        <v>27725</v>
      </c>
      <c r="F4209" s="2">
        <v>55545</v>
      </c>
      <c r="G4209" s="3" t="str">
        <f>HYPERLINK("https://cloud.oebiotech.com/#/lm/network/55545", "https://cloud.oebiotech.com/#/lm/network/55545")</f>
        <v>https://cloud.oebiotech.com/#/lm/network/55545</v>
      </c>
      <c r="H4209" s="2" t="s">
        <v>27726</v>
      </c>
      <c r="I4209" s="2">
        <v>43637</v>
      </c>
      <c r="J4209" s="2"/>
      <c r="K4209" s="2">
        <v>120693</v>
      </c>
      <c r="L4209" s="2"/>
      <c r="M4209" s="2"/>
      <c r="N4209" s="2"/>
      <c r="O4209" s="2"/>
      <c r="P4209" s="2"/>
      <c r="Q4209" s="2"/>
      <c r="R4209" s="2" t="s">
        <v>27727</v>
      </c>
      <c r="S4209" s="2" t="s">
        <v>27728</v>
      </c>
      <c r="T4209" s="2" t="s">
        <v>27729</v>
      </c>
      <c r="U4209" s="2" t="s">
        <v>540</v>
      </c>
      <c r="V4209" s="2" t="s">
        <v>1916</v>
      </c>
      <c r="W4209" s="2" t="s">
        <v>240</v>
      </c>
      <c r="X4209" s="2" t="s">
        <v>147</v>
      </c>
      <c r="Y4209" s="2">
        <v>38.5</v>
      </c>
      <c r="Z4209" s="2">
        <v>0</v>
      </c>
      <c r="AA4209" s="2" t="s">
        <v>395</v>
      </c>
      <c r="AB4209" s="2" t="s">
        <v>27730</v>
      </c>
      <c r="AC4209" s="2">
        <v>0.65204265051668797</v>
      </c>
      <c r="AD4209" s="2"/>
      <c r="AE4209" s="2">
        <v>0.108510320862153</v>
      </c>
      <c r="AF4209" s="2">
        <v>1739.5028284299401</v>
      </c>
      <c r="AG4209" s="2">
        <v>2051.0027664658701</v>
      </c>
      <c r="AH4209" s="4">
        <v>0.84812310196310103</v>
      </c>
      <c r="AI4209" s="4">
        <v>-0.237654412997268</v>
      </c>
      <c r="AJ4209" s="4" t="s">
        <v>62</v>
      </c>
      <c r="AK4209" s="2">
        <v>2.2798530049409401E-2</v>
      </c>
      <c r="AL4209" s="2">
        <v>0.23417798080163299</v>
      </c>
      <c r="AM4209" s="2">
        <v>1453.4743963758499</v>
      </c>
      <c r="AN4209" s="2">
        <v>2073.8113590391599</v>
      </c>
      <c r="AO4209" s="2">
        <v>1581.6758808161201</v>
      </c>
      <c r="AP4209" s="2">
        <v>1730.5551323287</v>
      </c>
      <c r="AQ4209" s="2">
        <v>1919.2232186492699</v>
      </c>
      <c r="AR4209" s="2">
        <v>1678.2769833705299</v>
      </c>
      <c r="AS4209" s="2">
        <v>2094.9301820285</v>
      </c>
      <c r="AT4209" s="2">
        <v>2198.2616102951802</v>
      </c>
      <c r="AU4209" s="2">
        <v>1984.7819697954999</v>
      </c>
      <c r="AV4209" s="2">
        <v>1732.4100259900799</v>
      </c>
      <c r="AW4209" s="2">
        <v>2157.38049853449</v>
      </c>
      <c r="AX4209" s="2">
        <v>2138.2523121514901</v>
      </c>
    </row>
    <row r="4210" spans="1:50" x14ac:dyDescent="0.25">
      <c r="A4210" s="2" t="s">
        <v>27731</v>
      </c>
      <c r="B4210" s="2">
        <v>398.17220784348098</v>
      </c>
      <c r="C4210" s="2">
        <v>4.2766000000000002</v>
      </c>
      <c r="D4210" s="2" t="s">
        <v>51</v>
      </c>
      <c r="E4210" s="2" t="s">
        <v>27732</v>
      </c>
      <c r="F4210" s="2">
        <v>265052</v>
      </c>
      <c r="G4210" s="3" t="str">
        <f>HYPERLINK("https://cloud.oebiotech.com/#/lm/network/265052", "https://cloud.oebiotech.com/#/lm/network/265052")</f>
        <v>https://cloud.oebiotech.com/#/lm/network/265052</v>
      </c>
      <c r="H4210" s="2"/>
      <c r="I4210" s="2">
        <v>22528</v>
      </c>
      <c r="J4210" s="2"/>
      <c r="K4210" s="2">
        <v>102359493</v>
      </c>
      <c r="L4210" s="2"/>
      <c r="M4210" s="2"/>
      <c r="N4210" s="2"/>
      <c r="O4210" s="2"/>
      <c r="P4210" s="2"/>
      <c r="Q4210" s="2"/>
      <c r="R4210" s="2"/>
      <c r="S4210" s="2" t="s">
        <v>27733</v>
      </c>
      <c r="T4210" s="2" t="s">
        <v>27734</v>
      </c>
      <c r="U4210" s="2" t="s">
        <v>103</v>
      </c>
      <c r="V4210" s="2" t="s">
        <v>104</v>
      </c>
      <c r="W4210" s="2" t="s">
        <v>105</v>
      </c>
      <c r="X4210" s="2" t="s">
        <v>83</v>
      </c>
      <c r="Y4210" s="2">
        <v>39.799999999999997</v>
      </c>
      <c r="Z4210" s="2">
        <v>0</v>
      </c>
      <c r="AA4210" s="2" t="s">
        <v>163</v>
      </c>
      <c r="AB4210" s="2" t="s">
        <v>27735</v>
      </c>
      <c r="AC4210" s="2">
        <v>0.15872945147527201</v>
      </c>
      <c r="AD4210" s="2"/>
      <c r="AE4210" s="2">
        <v>0.10847432756966099</v>
      </c>
      <c r="AF4210" s="2">
        <v>742.51253306847002</v>
      </c>
      <c r="AG4210" s="2">
        <v>1410.8622855209501</v>
      </c>
      <c r="AH4210" s="4">
        <v>0.52628278513682403</v>
      </c>
      <c r="AI4210" s="4">
        <v>-0.92608989025983302</v>
      </c>
      <c r="AJ4210" s="4" t="s">
        <v>62</v>
      </c>
      <c r="AK4210" s="2">
        <v>0.31636716944153098</v>
      </c>
      <c r="AL4210" s="2">
        <v>0.62484349118312199</v>
      </c>
      <c r="AM4210" s="2">
        <v>768.82729438137801</v>
      </c>
      <c r="AN4210" s="2">
        <v>725.753676064557</v>
      </c>
      <c r="AO4210" s="2">
        <v>629.92973067970399</v>
      </c>
      <c r="AP4210" s="2">
        <v>62.492809382080203</v>
      </c>
      <c r="AQ4210" s="2">
        <v>578.25384874981796</v>
      </c>
      <c r="AR4210" s="2">
        <v>1689.8178391532799</v>
      </c>
      <c r="AS4210" s="2">
        <v>4170.12690159667</v>
      </c>
      <c r="AT4210" s="2">
        <v>1146.6798131942401</v>
      </c>
      <c r="AU4210" s="2">
        <v>1664.1218327116501</v>
      </c>
      <c r="AV4210" s="2">
        <v>966.73357531023396</v>
      </c>
      <c r="AW4210" s="2">
        <v>106.54671159142001</v>
      </c>
      <c r="AX4210" s="2">
        <v>410.96487872146702</v>
      </c>
    </row>
    <row r="4211" spans="1:50" x14ac:dyDescent="0.25">
      <c r="A4211" s="2" t="s">
        <v>27736</v>
      </c>
      <c r="B4211" s="2">
        <v>193.07310000000001</v>
      </c>
      <c r="C4211" s="2">
        <v>15.265000000000001</v>
      </c>
      <c r="D4211" s="2" t="s">
        <v>125</v>
      </c>
      <c r="E4211" s="2" t="s">
        <v>27737</v>
      </c>
      <c r="F4211" s="2">
        <v>47216</v>
      </c>
      <c r="G4211" s="3" t="str">
        <f>HYPERLINK("https://cloud.oebiotech.com/#/lm/network/47216", "https://cloud.oebiotech.com/#/lm/network/47216")</f>
        <v>https://cloud.oebiotech.com/#/lm/network/47216</v>
      </c>
      <c r="H4211" s="2" t="s">
        <v>27738</v>
      </c>
      <c r="I4211" s="2">
        <v>34529</v>
      </c>
      <c r="J4211" s="2"/>
      <c r="K4211" s="2">
        <v>3848</v>
      </c>
      <c r="L4211" s="2" t="s">
        <v>27739</v>
      </c>
      <c r="M4211" s="2"/>
      <c r="N4211" s="2"/>
      <c r="O4211" s="2">
        <v>25998</v>
      </c>
      <c r="P4211" s="2"/>
      <c r="Q4211" s="2"/>
      <c r="R4211" s="2" t="s">
        <v>27740</v>
      </c>
      <c r="S4211" s="2" t="s">
        <v>27741</v>
      </c>
      <c r="T4211" s="2" t="s">
        <v>27742</v>
      </c>
      <c r="U4211" s="2" t="s">
        <v>540</v>
      </c>
      <c r="V4211" s="2" t="s">
        <v>1916</v>
      </c>
      <c r="W4211" s="2" t="s">
        <v>240</v>
      </c>
      <c r="X4211" s="2" t="s">
        <v>59</v>
      </c>
      <c r="Y4211" s="2">
        <v>77.2</v>
      </c>
      <c r="Z4211" s="2">
        <v>66.5</v>
      </c>
      <c r="AA4211" s="2"/>
      <c r="AB4211" s="2" t="s">
        <v>4935</v>
      </c>
      <c r="AC4211" s="2"/>
      <c r="AD4211" s="2">
        <v>513505.287435456</v>
      </c>
      <c r="AE4211" s="2">
        <v>0.10840364631438</v>
      </c>
      <c r="AF4211" s="2">
        <v>13264.630089685301</v>
      </c>
      <c r="AG4211" s="2">
        <v>10079.073522816299</v>
      </c>
      <c r="AH4211" s="5">
        <v>1.3160564867056299</v>
      </c>
      <c r="AI4211" s="5">
        <v>0.39622141258468502</v>
      </c>
      <c r="AJ4211" s="5" t="s">
        <v>139</v>
      </c>
      <c r="AK4211" s="2">
        <v>0.228912351843885</v>
      </c>
      <c r="AL4211" s="2">
        <v>0.55425453586297302</v>
      </c>
      <c r="AM4211" s="2">
        <v>13273.624517775101</v>
      </c>
      <c r="AN4211" s="2">
        <v>11559.1315803953</v>
      </c>
      <c r="AO4211" s="2">
        <v>10350.299051997999</v>
      </c>
      <c r="AP4211" s="2">
        <v>14609.1236234932</v>
      </c>
      <c r="AQ4211" s="2">
        <v>18353.922754573799</v>
      </c>
      <c r="AR4211" s="2">
        <v>11441.6790098765</v>
      </c>
      <c r="AS4211" s="2">
        <v>9467.4343569804205</v>
      </c>
      <c r="AT4211" s="2">
        <v>18496.7447759854</v>
      </c>
      <c r="AU4211" s="2">
        <v>2299.8352172700202</v>
      </c>
      <c r="AV4211" s="2">
        <v>10809.9474266415</v>
      </c>
      <c r="AW4211" s="2">
        <v>7424.8799863437598</v>
      </c>
      <c r="AX4211" s="2">
        <v>11975.599373676499</v>
      </c>
    </row>
    <row r="4212" spans="1:50" x14ac:dyDescent="0.25">
      <c r="A4212" s="2" t="s">
        <v>27743</v>
      </c>
      <c r="B4212" s="2">
        <v>347.22265658572098</v>
      </c>
      <c r="C4212" s="2">
        <v>7.1589166666666699</v>
      </c>
      <c r="D4212" s="2" t="s">
        <v>51</v>
      </c>
      <c r="E4212" s="2" t="s">
        <v>27744</v>
      </c>
      <c r="F4212" s="2">
        <v>44991</v>
      </c>
      <c r="G4212" s="3" t="str">
        <f>HYPERLINK("https://cloud.oebiotech.com/#/lm/network/44991", "https://cloud.oebiotech.com/#/lm/network/44991")</f>
        <v>https://cloud.oebiotech.com/#/lm/network/44991</v>
      </c>
      <c r="H4212" s="2"/>
      <c r="I4212" s="2">
        <v>1915</v>
      </c>
      <c r="J4212" s="2" t="s">
        <v>27745</v>
      </c>
      <c r="K4212" s="2">
        <v>5866</v>
      </c>
      <c r="L4212" s="2" t="s">
        <v>27746</v>
      </c>
      <c r="M4212" s="2" t="s">
        <v>2681</v>
      </c>
      <c r="N4212" s="2" t="s">
        <v>2682</v>
      </c>
      <c r="O4212" s="2">
        <v>9901</v>
      </c>
      <c r="P4212" s="2"/>
      <c r="Q4212" s="2"/>
      <c r="R4212" s="2" t="s">
        <v>27747</v>
      </c>
      <c r="S4212" s="2" t="s">
        <v>27748</v>
      </c>
      <c r="T4212" s="2" t="s">
        <v>27749</v>
      </c>
      <c r="U4212" s="2" t="s">
        <v>56</v>
      </c>
      <c r="V4212" s="2" t="s">
        <v>283</v>
      </c>
      <c r="W4212" s="2" t="s">
        <v>492</v>
      </c>
      <c r="X4212" s="2" t="s">
        <v>83</v>
      </c>
      <c r="Y4212" s="2">
        <v>46</v>
      </c>
      <c r="Z4212" s="2">
        <v>0</v>
      </c>
      <c r="AA4212" s="2" t="s">
        <v>156</v>
      </c>
      <c r="AB4212" s="2" t="s">
        <v>4492</v>
      </c>
      <c r="AC4212" s="2">
        <v>2.6651431114180499</v>
      </c>
      <c r="AD4212" s="2"/>
      <c r="AE4212" s="2">
        <v>0.10825613166645801</v>
      </c>
      <c r="AF4212" s="2">
        <v>1334.4258530483701</v>
      </c>
      <c r="AG4212" s="2">
        <v>1949.4809602391199</v>
      </c>
      <c r="AH4212" s="4">
        <v>0.68450314738374995</v>
      </c>
      <c r="AI4212" s="4">
        <v>-0.54687091979646196</v>
      </c>
      <c r="AJ4212" s="4" t="s">
        <v>62</v>
      </c>
      <c r="AK4212" s="2">
        <v>0.59539483159828599</v>
      </c>
      <c r="AL4212" s="2">
        <v>0.79631879143929296</v>
      </c>
      <c r="AM4212" s="2">
        <v>87.428364986706598</v>
      </c>
      <c r="AN4212" s="2">
        <v>1861.7738776185499</v>
      </c>
      <c r="AO4212" s="2">
        <v>227.680010282544</v>
      </c>
      <c r="AP4212" s="2">
        <v>391.31033370552899</v>
      </c>
      <c r="AQ4212" s="2">
        <v>5241.5680255625903</v>
      </c>
      <c r="AR4212" s="2">
        <v>196.79450613432701</v>
      </c>
      <c r="AS4212" s="2">
        <v>5065.9270292523397</v>
      </c>
      <c r="AT4212" s="2">
        <v>1245.4805667568301</v>
      </c>
      <c r="AU4212" s="2">
        <v>8.559877937157E-6</v>
      </c>
      <c r="AV4212" s="2">
        <v>1977.32985729142</v>
      </c>
      <c r="AW4212" s="2">
        <v>461.49641410069501</v>
      </c>
      <c r="AX4212" s="2">
        <v>2946.65188547358</v>
      </c>
    </row>
    <row r="4213" spans="1:50" x14ac:dyDescent="0.25">
      <c r="A4213" s="2" t="s">
        <v>27750</v>
      </c>
      <c r="B4213" s="2">
        <v>327.28230000000002</v>
      </c>
      <c r="C4213" s="2">
        <v>21.978000000000002</v>
      </c>
      <c r="D4213" s="2" t="s">
        <v>125</v>
      </c>
      <c r="E4213" s="2" t="s">
        <v>27751</v>
      </c>
      <c r="F4213" s="2">
        <v>63</v>
      </c>
      <c r="G4213" s="3" t="str">
        <f>HYPERLINK("https://cloud.oebiotech.com/#/lm/network/63", "https://cloud.oebiotech.com/#/lm/network/63")</f>
        <v>https://cloud.oebiotech.com/#/lm/network/63</v>
      </c>
      <c r="H4213" s="2" t="s">
        <v>27752</v>
      </c>
      <c r="I4213" s="2">
        <v>4206</v>
      </c>
      <c r="J4213" s="2" t="s">
        <v>27753</v>
      </c>
      <c r="K4213" s="2">
        <v>10465</v>
      </c>
      <c r="L4213" s="2"/>
      <c r="M4213" s="2"/>
      <c r="N4213" s="2"/>
      <c r="O4213" s="2">
        <v>32365</v>
      </c>
      <c r="P4213" s="2"/>
      <c r="Q4213" s="2"/>
      <c r="R4213" s="2" t="s">
        <v>27754</v>
      </c>
      <c r="S4213" s="2" t="s">
        <v>27755</v>
      </c>
      <c r="T4213" s="2" t="s">
        <v>27756</v>
      </c>
      <c r="U4213" s="2" t="s">
        <v>56</v>
      </c>
      <c r="V4213" s="2" t="s">
        <v>145</v>
      </c>
      <c r="W4213" s="2" t="s">
        <v>231</v>
      </c>
      <c r="X4213" s="2" t="s">
        <v>69</v>
      </c>
      <c r="Y4213" s="2">
        <v>94.8</v>
      </c>
      <c r="Z4213" s="2">
        <v>94.2</v>
      </c>
      <c r="AA4213" s="2"/>
      <c r="AB4213" s="2" t="s">
        <v>11738</v>
      </c>
      <c r="AC4213" s="2"/>
      <c r="AD4213" s="2">
        <v>753502.06521739101</v>
      </c>
      <c r="AE4213" s="2">
        <v>0.10818736373674299</v>
      </c>
      <c r="AF4213" s="2">
        <v>28640.557945179102</v>
      </c>
      <c r="AG4213" s="2">
        <v>32606.6139189071</v>
      </c>
      <c r="AH4213" s="4">
        <v>0.87836651841275004</v>
      </c>
      <c r="AI4213" s="4">
        <v>-0.18710503216594501</v>
      </c>
      <c r="AJ4213" s="4" t="s">
        <v>62</v>
      </c>
      <c r="AK4213" s="2">
        <v>0.46580144408199903</v>
      </c>
      <c r="AL4213" s="2">
        <v>0.71329029553543499</v>
      </c>
      <c r="AM4213" s="2">
        <v>24025.491886459698</v>
      </c>
      <c r="AN4213" s="2">
        <v>25376.443139671799</v>
      </c>
      <c r="AO4213" s="2">
        <v>31609.031543662</v>
      </c>
      <c r="AP4213" s="2">
        <v>24235.122817048599</v>
      </c>
      <c r="AQ4213" s="2">
        <v>38332.676162362302</v>
      </c>
      <c r="AR4213" s="2">
        <v>28264.582121870499</v>
      </c>
      <c r="AS4213" s="2">
        <v>18059.882513980599</v>
      </c>
      <c r="AT4213" s="2">
        <v>22041.549599039801</v>
      </c>
      <c r="AU4213" s="2">
        <v>39257.930128398802</v>
      </c>
      <c r="AV4213" s="2">
        <v>40376.709184915802</v>
      </c>
      <c r="AW4213" s="2">
        <v>47479.177066245298</v>
      </c>
      <c r="AX4213" s="2">
        <v>28424.435020862398</v>
      </c>
    </row>
    <row r="4214" spans="1:50" x14ac:dyDescent="0.25">
      <c r="A4214" s="2" t="s">
        <v>27757</v>
      </c>
      <c r="B4214" s="2">
        <v>431.31650991362199</v>
      </c>
      <c r="C4214" s="2">
        <v>13.28515</v>
      </c>
      <c r="D4214" s="2" t="s">
        <v>51</v>
      </c>
      <c r="E4214" s="2" t="s">
        <v>27758</v>
      </c>
      <c r="F4214" s="2">
        <v>45212</v>
      </c>
      <c r="G4214" s="3" t="str">
        <f>HYPERLINK("https://cloud.oebiotech.com/#/lm/network/45212", "https://cloud.oebiotech.com/#/lm/network/45212")</f>
        <v>https://cloud.oebiotech.com/#/lm/network/45212</v>
      </c>
      <c r="H4214" s="2"/>
      <c r="I4214" s="2">
        <v>41981</v>
      </c>
      <c r="J4214" s="2" t="s">
        <v>27759</v>
      </c>
      <c r="K4214" s="2">
        <v>6444145</v>
      </c>
      <c r="L4214" s="2"/>
      <c r="M4214" s="2"/>
      <c r="N4214" s="2"/>
      <c r="O4214" s="2"/>
      <c r="P4214" s="2"/>
      <c r="Q4214" s="2"/>
      <c r="R4214" s="2"/>
      <c r="S4214" s="2" t="s">
        <v>27760</v>
      </c>
      <c r="T4214" s="2" t="s">
        <v>27761</v>
      </c>
      <c r="U4214" s="2" t="s">
        <v>56</v>
      </c>
      <c r="V4214" s="2" t="s">
        <v>177</v>
      </c>
      <c r="W4214" s="2" t="s">
        <v>1996</v>
      </c>
      <c r="X4214" s="2" t="s">
        <v>147</v>
      </c>
      <c r="Y4214" s="2">
        <v>37.700000000000003</v>
      </c>
      <c r="Z4214" s="2">
        <v>0</v>
      </c>
      <c r="AA4214" s="2" t="s">
        <v>218</v>
      </c>
      <c r="AB4214" s="2" t="s">
        <v>18623</v>
      </c>
      <c r="AC4214" s="2">
        <v>-0.44922116465973999</v>
      </c>
      <c r="AD4214" s="2"/>
      <c r="AE4214" s="2">
        <v>0.108134562725846</v>
      </c>
      <c r="AF4214" s="2">
        <v>1576.3425007139101</v>
      </c>
      <c r="AG4214" s="2">
        <v>1014.89127308615</v>
      </c>
      <c r="AH4214" s="5">
        <v>1.55321317910288</v>
      </c>
      <c r="AI4214" s="5">
        <v>0.63525585376110405</v>
      </c>
      <c r="AJ4214" s="5" t="s">
        <v>139</v>
      </c>
      <c r="AK4214" s="2">
        <v>0.343744696000994</v>
      </c>
      <c r="AL4214" s="2">
        <v>0.63883639734105901</v>
      </c>
      <c r="AM4214" s="2">
        <v>2034.5323409047201</v>
      </c>
      <c r="AN4214" s="2">
        <v>3344.6484128233901</v>
      </c>
      <c r="AO4214" s="2">
        <v>675.58914304495795</v>
      </c>
      <c r="AP4214" s="2">
        <v>797.814934716062</v>
      </c>
      <c r="AQ4214" s="2">
        <v>310.85878064218502</v>
      </c>
      <c r="AR4214" s="2">
        <v>2294.6113921521201</v>
      </c>
      <c r="AS4214" s="2">
        <v>1358.7310037330701</v>
      </c>
      <c r="AT4214" s="2">
        <v>8.559877937157E-6</v>
      </c>
      <c r="AU4214" s="2">
        <v>1242.21983102186</v>
      </c>
      <c r="AV4214" s="2">
        <v>485.15224365232098</v>
      </c>
      <c r="AW4214" s="2">
        <v>889.81955693509997</v>
      </c>
      <c r="AX4214" s="2">
        <v>2113.4249946146601</v>
      </c>
    </row>
    <row r="4215" spans="1:50" x14ac:dyDescent="0.25">
      <c r="A4215" s="2" t="s">
        <v>27762</v>
      </c>
      <c r="B4215" s="2">
        <v>301.13057402982298</v>
      </c>
      <c r="C4215" s="2">
        <v>1.52351666666667</v>
      </c>
      <c r="D4215" s="2" t="s">
        <v>51</v>
      </c>
      <c r="E4215" s="2" t="s">
        <v>27763</v>
      </c>
      <c r="F4215" s="2">
        <v>266134</v>
      </c>
      <c r="G4215" s="3" t="str">
        <f>HYPERLINK("https://cloud.oebiotech.com/#/lm/network/266134", "https://cloud.oebiotech.com/#/lm/network/266134")</f>
        <v>https://cloud.oebiotech.com/#/lm/network/266134</v>
      </c>
      <c r="H4215" s="2"/>
      <c r="I4215" s="2">
        <v>23702</v>
      </c>
      <c r="J4215" s="2"/>
      <c r="K4215" s="2">
        <v>4466133</v>
      </c>
      <c r="L4215" s="2"/>
      <c r="M4215" s="2"/>
      <c r="N4215" s="2"/>
      <c r="O4215" s="2"/>
      <c r="P4215" s="2"/>
      <c r="Q4215" s="2"/>
      <c r="R4215" s="2"/>
      <c r="S4215" s="2" t="s">
        <v>27764</v>
      </c>
      <c r="T4215" s="2" t="s">
        <v>27765</v>
      </c>
      <c r="U4215" s="2" t="s">
        <v>103</v>
      </c>
      <c r="V4215" s="2" t="s">
        <v>104</v>
      </c>
      <c r="W4215" s="2" t="s">
        <v>105</v>
      </c>
      <c r="X4215" s="2" t="s">
        <v>83</v>
      </c>
      <c r="Y4215" s="2">
        <v>39.799999999999997</v>
      </c>
      <c r="Z4215" s="2">
        <v>0</v>
      </c>
      <c r="AA4215" s="2" t="s">
        <v>163</v>
      </c>
      <c r="AB4215" s="2" t="s">
        <v>8858</v>
      </c>
      <c r="AC4215" s="2">
        <v>-0.13236776459605501</v>
      </c>
      <c r="AD4215" s="2"/>
      <c r="AE4215" s="2">
        <v>0.107977385687274</v>
      </c>
      <c r="AF4215" s="2">
        <v>6518.8070517782799</v>
      </c>
      <c r="AG4215" s="2">
        <v>5423.3609661223099</v>
      </c>
      <c r="AH4215" s="5">
        <v>1.2019865711500299</v>
      </c>
      <c r="AI4215" s="5">
        <v>0.265420778042878</v>
      </c>
      <c r="AJ4215" s="5" t="s">
        <v>139</v>
      </c>
      <c r="AK4215" s="2">
        <v>0.65744466832324999</v>
      </c>
      <c r="AL4215" s="2">
        <v>0.83295966620468098</v>
      </c>
      <c r="AM4215" s="2">
        <v>10448.9130208885</v>
      </c>
      <c r="AN4215" s="2">
        <v>7185.91771481659</v>
      </c>
      <c r="AO4215" s="2">
        <v>4360.4802356458504</v>
      </c>
      <c r="AP4215" s="2">
        <v>3956.9718832991698</v>
      </c>
      <c r="AQ4215" s="2">
        <v>4551.07203885531</v>
      </c>
      <c r="AR4215" s="2">
        <v>8609.4874171642696</v>
      </c>
      <c r="AS4215" s="2">
        <v>8.559877937157E-6</v>
      </c>
      <c r="AT4215" s="2">
        <v>1250.91390655489</v>
      </c>
      <c r="AU4215" s="2">
        <v>7048.5500434776704</v>
      </c>
      <c r="AV4215" s="2">
        <v>14715.382697950999</v>
      </c>
      <c r="AW4215" s="2">
        <v>5179.8453722279701</v>
      </c>
      <c r="AX4215" s="2">
        <v>4345.4737679624704</v>
      </c>
    </row>
    <row r="4216" spans="1:50" x14ac:dyDescent="0.25">
      <c r="A4216" s="2" t="s">
        <v>27766</v>
      </c>
      <c r="B4216" s="2">
        <v>227.066956267873</v>
      </c>
      <c r="C4216" s="2">
        <v>3.9216000000000002</v>
      </c>
      <c r="D4216" s="2" t="s">
        <v>51</v>
      </c>
      <c r="E4216" s="2" t="s">
        <v>27767</v>
      </c>
      <c r="F4216" s="2">
        <v>258427</v>
      </c>
      <c r="G4216" s="3" t="str">
        <f>HYPERLINK("https://cloud.oebiotech.com/#/lm/network/258427", "https://cloud.oebiotech.com/#/lm/network/258427")</f>
        <v>https://cloud.oebiotech.com/#/lm/network/258427</v>
      </c>
      <c r="H4216" s="2" t="s">
        <v>27768</v>
      </c>
      <c r="I4216" s="2">
        <v>6383</v>
      </c>
      <c r="J4216" s="2"/>
      <c r="K4216" s="2">
        <v>9834478</v>
      </c>
      <c r="L4216" s="2"/>
      <c r="M4216" s="2"/>
      <c r="N4216" s="2"/>
      <c r="O4216" s="2"/>
      <c r="P4216" s="2"/>
      <c r="Q4216" s="2"/>
      <c r="R4216" s="2" t="s">
        <v>27769</v>
      </c>
      <c r="S4216" s="2" t="s">
        <v>27770</v>
      </c>
      <c r="T4216" s="2" t="s">
        <v>27771</v>
      </c>
      <c r="U4216" s="2" t="s">
        <v>103</v>
      </c>
      <c r="V4216" s="2" t="s">
        <v>104</v>
      </c>
      <c r="W4216" s="2" t="s">
        <v>105</v>
      </c>
      <c r="X4216" s="2" t="s">
        <v>147</v>
      </c>
      <c r="Y4216" s="2">
        <v>42.4</v>
      </c>
      <c r="Z4216" s="2">
        <v>18.2</v>
      </c>
      <c r="AA4216" s="2" t="s">
        <v>60</v>
      </c>
      <c r="AB4216" s="2" t="s">
        <v>10310</v>
      </c>
      <c r="AC4216" s="2">
        <v>3.1337299680766599</v>
      </c>
      <c r="AD4216" s="2"/>
      <c r="AE4216" s="2">
        <v>0.107861811320781</v>
      </c>
      <c r="AF4216" s="2">
        <v>3032.4288015829902</v>
      </c>
      <c r="AG4216" s="2">
        <v>7547.5197097488999</v>
      </c>
      <c r="AH4216" s="4">
        <v>0.40177818915346403</v>
      </c>
      <c r="AI4216" s="4">
        <v>-1.31552884653096</v>
      </c>
      <c r="AJ4216" s="4" t="s">
        <v>62</v>
      </c>
      <c r="AK4216" s="2">
        <v>0.56985836006424995</v>
      </c>
      <c r="AL4216" s="2">
        <v>0.78311574344879098</v>
      </c>
      <c r="AM4216" s="2">
        <v>3396.6287783030598</v>
      </c>
      <c r="AN4216" s="2">
        <v>6160.4166110548204</v>
      </c>
      <c r="AO4216" s="2">
        <v>8579.1477617742294</v>
      </c>
      <c r="AP4216" s="2">
        <v>58.379641246064097</v>
      </c>
      <c r="AQ4216" s="2">
        <v>8.559877937157E-6</v>
      </c>
      <c r="AR4216" s="2">
        <v>8.559877937157E-6</v>
      </c>
      <c r="AS4216" s="2">
        <v>8.559877937157E-6</v>
      </c>
      <c r="AT4216" s="2">
        <v>8.559877937157E-6</v>
      </c>
      <c r="AU4216" s="2">
        <v>45226.338506394197</v>
      </c>
      <c r="AV4216" s="2">
        <v>58.779717859686897</v>
      </c>
      <c r="AW4216" s="2">
        <v>8.559877937157E-6</v>
      </c>
      <c r="AX4216" s="2">
        <v>8.559877937157E-6</v>
      </c>
    </row>
    <row r="4217" spans="1:50" x14ac:dyDescent="0.25">
      <c r="A4217" s="2" t="s">
        <v>27772</v>
      </c>
      <c r="B4217" s="2">
        <v>82.053444358720498</v>
      </c>
      <c r="C4217" s="2">
        <v>3.0969500000000001</v>
      </c>
      <c r="D4217" s="2" t="s">
        <v>51</v>
      </c>
      <c r="E4217" s="2" t="s">
        <v>27773</v>
      </c>
      <c r="F4217" s="2">
        <v>199474</v>
      </c>
      <c r="G4217" s="3" t="str">
        <f>HYPERLINK("https://cloud.oebiotech.com/#/lm/network/199474", "https://cloud.oebiotech.com/#/lm/network/199474")</f>
        <v>https://cloud.oebiotech.com/#/lm/network/199474</v>
      </c>
      <c r="H4217" s="2" t="s">
        <v>27774</v>
      </c>
      <c r="I4217" s="2">
        <v>327537</v>
      </c>
      <c r="J4217" s="2"/>
      <c r="K4217" s="2">
        <v>1390</v>
      </c>
      <c r="L4217" s="2"/>
      <c r="M4217" s="2"/>
      <c r="N4217" s="2"/>
      <c r="O4217" s="2">
        <v>113454</v>
      </c>
      <c r="P4217" s="2"/>
      <c r="Q4217" s="2"/>
      <c r="R4217" s="2"/>
      <c r="S4217" s="2" t="s">
        <v>27775</v>
      </c>
      <c r="T4217" s="2" t="s">
        <v>27776</v>
      </c>
      <c r="U4217" s="2" t="s">
        <v>266</v>
      </c>
      <c r="V4217" s="2" t="s">
        <v>1585</v>
      </c>
      <c r="W4217" s="2" t="s">
        <v>1586</v>
      </c>
      <c r="X4217" s="2" t="s">
        <v>147</v>
      </c>
      <c r="Y4217" s="2">
        <v>38</v>
      </c>
      <c r="Z4217" s="2">
        <v>0</v>
      </c>
      <c r="AA4217" s="2" t="s">
        <v>122</v>
      </c>
      <c r="AB4217" s="2" t="s">
        <v>27777</v>
      </c>
      <c r="AC4217" s="2">
        <v>4.2174726859570297</v>
      </c>
      <c r="AD4217" s="2"/>
      <c r="AE4217" s="2">
        <v>0.107775137721623</v>
      </c>
      <c r="AF4217" s="2">
        <v>8.559877937157E-6</v>
      </c>
      <c r="AG4217" s="2">
        <v>425.64067507529899</v>
      </c>
      <c r="AH4217" s="4">
        <v>2.01105731627803E-8</v>
      </c>
      <c r="AI4217" s="4">
        <v>-25.56747055924</v>
      </c>
      <c r="AJ4217" s="4" t="s">
        <v>62</v>
      </c>
      <c r="AK4217" s="2">
        <v>6.3466023530388299E-2</v>
      </c>
      <c r="AL4217" s="2">
        <v>0.33601027492909402</v>
      </c>
      <c r="AM4217" s="2">
        <v>8.559877937157E-6</v>
      </c>
      <c r="AN4217" s="2">
        <v>8.559877937157E-6</v>
      </c>
      <c r="AO4217" s="2">
        <v>8.559877937157E-6</v>
      </c>
      <c r="AP4217" s="2">
        <v>8.559877937157E-6</v>
      </c>
      <c r="AQ4217" s="2">
        <v>8.559877937157E-6</v>
      </c>
      <c r="AR4217" s="2">
        <v>8.559877937157E-6</v>
      </c>
      <c r="AS4217" s="2">
        <v>667.10846248056203</v>
      </c>
      <c r="AT4217" s="2">
        <v>1178.0536573871</v>
      </c>
      <c r="AU4217" s="2">
        <v>8.559877937157E-6</v>
      </c>
      <c r="AV4217" s="2">
        <v>708.68190490450104</v>
      </c>
      <c r="AW4217" s="2">
        <v>8.559877937157E-6</v>
      </c>
      <c r="AX4217" s="2">
        <v>8.559877937157E-6</v>
      </c>
    </row>
    <row r="4218" spans="1:50" x14ac:dyDescent="0.25">
      <c r="A4218" s="2" t="s">
        <v>27778</v>
      </c>
      <c r="B4218" s="2">
        <v>453.15687986907898</v>
      </c>
      <c r="C4218" s="2">
        <v>5.0147000000000004</v>
      </c>
      <c r="D4218" s="2" t="s">
        <v>51</v>
      </c>
      <c r="E4218" s="2" t="s">
        <v>27779</v>
      </c>
      <c r="F4218" s="2">
        <v>211977</v>
      </c>
      <c r="G4218" s="3" t="str">
        <f>HYPERLINK("https://cloud.oebiotech.com/#/lm/network/211977", "https://cloud.oebiotech.com/#/lm/network/211977")</f>
        <v>https://cloud.oebiotech.com/#/lm/network/211977</v>
      </c>
      <c r="H4218" s="2" t="s">
        <v>27780</v>
      </c>
      <c r="I4218" s="2">
        <v>317955</v>
      </c>
      <c r="J4218" s="2"/>
      <c r="K4218" s="2">
        <v>10201497</v>
      </c>
      <c r="L4218" s="2"/>
      <c r="M4218" s="2"/>
      <c r="N4218" s="2"/>
      <c r="O4218" s="2"/>
      <c r="P4218" s="2"/>
      <c r="Q4218" s="2"/>
      <c r="R4218" s="2"/>
      <c r="S4218" s="2" t="s">
        <v>27781</v>
      </c>
      <c r="T4218" s="2" t="s">
        <v>27782</v>
      </c>
      <c r="U4218" s="2" t="s">
        <v>266</v>
      </c>
      <c r="V4218" s="2" t="s">
        <v>1393</v>
      </c>
      <c r="W4218" s="2" t="s">
        <v>4835</v>
      </c>
      <c r="X4218" s="2" t="s">
        <v>147</v>
      </c>
      <c r="Y4218" s="2">
        <v>38.6</v>
      </c>
      <c r="Z4218" s="2">
        <v>0</v>
      </c>
      <c r="AA4218" s="2" t="s">
        <v>218</v>
      </c>
      <c r="AB4218" s="2" t="s">
        <v>27783</v>
      </c>
      <c r="AC4218" s="2">
        <v>0.125194853240579</v>
      </c>
      <c r="AD4218" s="2"/>
      <c r="AE4218" s="2">
        <v>0.107757804670793</v>
      </c>
      <c r="AF4218" s="2">
        <v>2772.0114628347801</v>
      </c>
      <c r="AG4218" s="2">
        <v>3829.41419592695</v>
      </c>
      <c r="AH4218" s="4">
        <v>0.72387350153534002</v>
      </c>
      <c r="AI4218" s="4">
        <v>-0.466190489640676</v>
      </c>
      <c r="AJ4218" s="4" t="s">
        <v>62</v>
      </c>
      <c r="AK4218" s="2">
        <v>0.495020153782811</v>
      </c>
      <c r="AL4218" s="2">
        <v>0.73518516839452297</v>
      </c>
      <c r="AM4218" s="2">
        <v>0.40725348037750703</v>
      </c>
      <c r="AN4218" s="2">
        <v>3712.6908570314499</v>
      </c>
      <c r="AO4218" s="2">
        <v>6880.0147628813302</v>
      </c>
      <c r="AP4218" s="2">
        <v>1114.8770826565601</v>
      </c>
      <c r="AQ4218" s="2">
        <v>1050.59852349533</v>
      </c>
      <c r="AR4218" s="2">
        <v>3873.48029746362</v>
      </c>
      <c r="AS4218" s="2">
        <v>383.73895859381003</v>
      </c>
      <c r="AT4218" s="2">
        <v>4070.8028974169702</v>
      </c>
      <c r="AU4218" s="2">
        <v>5099.9898424743797</v>
      </c>
      <c r="AV4218" s="2">
        <v>4602.4332313146397</v>
      </c>
      <c r="AW4218" s="2">
        <v>7548.6243046883401</v>
      </c>
      <c r="AX4218" s="2">
        <v>1270.8959410735499</v>
      </c>
    </row>
    <row r="4219" spans="1:50" x14ac:dyDescent="0.25">
      <c r="A4219" s="2" t="s">
        <v>27784</v>
      </c>
      <c r="B4219" s="2">
        <v>497.27598633121698</v>
      </c>
      <c r="C4219" s="2">
        <v>7.6785666666666703</v>
      </c>
      <c r="D4219" s="2" t="s">
        <v>51</v>
      </c>
      <c r="E4219" s="2" t="s">
        <v>27785</v>
      </c>
      <c r="F4219" s="2">
        <v>250101</v>
      </c>
      <c r="G4219" s="3" t="str">
        <f>HYPERLINK("https://cloud.oebiotech.com/#/lm/network/250101", "https://cloud.oebiotech.com/#/lm/network/250101")</f>
        <v>https://cloud.oebiotech.com/#/lm/network/250101</v>
      </c>
      <c r="H4219" s="2" t="s">
        <v>27786</v>
      </c>
      <c r="I4219" s="2"/>
      <c r="J4219" s="2"/>
      <c r="K4219" s="2"/>
      <c r="L4219" s="2"/>
      <c r="M4219" s="2"/>
      <c r="N4219" s="2"/>
      <c r="O4219" s="2"/>
      <c r="P4219" s="2"/>
      <c r="Q4219" s="2"/>
      <c r="R4219" s="2"/>
      <c r="S4219" s="2" t="s">
        <v>27787</v>
      </c>
      <c r="T4219" s="2" t="s">
        <v>27788</v>
      </c>
      <c r="U4219" s="2" t="s">
        <v>56</v>
      </c>
      <c r="V4219" s="2" t="s">
        <v>145</v>
      </c>
      <c r="W4219" s="2" t="s">
        <v>187</v>
      </c>
      <c r="X4219" s="2" t="s">
        <v>147</v>
      </c>
      <c r="Y4219" s="2">
        <v>38</v>
      </c>
      <c r="Z4219" s="2">
        <v>0</v>
      </c>
      <c r="AA4219" s="2" t="s">
        <v>218</v>
      </c>
      <c r="AB4219" s="2" t="s">
        <v>27789</v>
      </c>
      <c r="AC4219" s="2">
        <v>0.83984186161871999</v>
      </c>
      <c r="AD4219" s="2"/>
      <c r="AE4219" s="2">
        <v>0.107744564310016</v>
      </c>
      <c r="AF4219" s="2">
        <v>6220.4061499352201</v>
      </c>
      <c r="AG4219" s="2">
        <v>4785.2363450682396</v>
      </c>
      <c r="AH4219" s="5">
        <v>1.29991617997011</v>
      </c>
      <c r="AI4219" s="5">
        <v>0.37841859968441</v>
      </c>
      <c r="AJ4219" s="5" t="s">
        <v>139</v>
      </c>
      <c r="AK4219" s="2">
        <v>0.402698766730955</v>
      </c>
      <c r="AL4219" s="2">
        <v>0.67024796707061796</v>
      </c>
      <c r="AM4219" s="2">
        <v>4143.6654852472702</v>
      </c>
      <c r="AN4219" s="2">
        <v>7582.5375238945899</v>
      </c>
      <c r="AO4219" s="2">
        <v>7590.9293083556604</v>
      </c>
      <c r="AP4219" s="2">
        <v>10769.903603180301</v>
      </c>
      <c r="AQ4219" s="2">
        <v>1795.44503018559</v>
      </c>
      <c r="AR4219" s="2">
        <v>5439.95594874792</v>
      </c>
      <c r="AS4219" s="2">
        <v>3427.0670107933202</v>
      </c>
      <c r="AT4219" s="2">
        <v>3313.7201490570101</v>
      </c>
      <c r="AU4219" s="2">
        <v>4508.7236103784699</v>
      </c>
      <c r="AV4219" s="2">
        <v>3591.1240719283301</v>
      </c>
      <c r="AW4219" s="2">
        <v>9870.3105538877207</v>
      </c>
      <c r="AX4219" s="2">
        <v>4000.4726743645901</v>
      </c>
    </row>
    <row r="4220" spans="1:50" x14ac:dyDescent="0.25">
      <c r="A4220" s="2" t="s">
        <v>27790</v>
      </c>
      <c r="B4220" s="2">
        <v>291.19681586823799</v>
      </c>
      <c r="C4220" s="2">
        <v>10.0372166666667</v>
      </c>
      <c r="D4220" s="2" t="s">
        <v>51</v>
      </c>
      <c r="E4220" s="2" t="s">
        <v>27791</v>
      </c>
      <c r="F4220" s="2">
        <v>2979</v>
      </c>
      <c r="G4220" s="3" t="str">
        <f>HYPERLINK("https://cloud.oebiotech.com/#/lm/network/2979", "https://cloud.oebiotech.com/#/lm/network/2979")</f>
        <v>https://cloud.oebiotech.com/#/lm/network/2979</v>
      </c>
      <c r="H4220" s="2"/>
      <c r="I4220" s="2">
        <v>74947</v>
      </c>
      <c r="J4220" s="2" t="s">
        <v>27792</v>
      </c>
      <c r="K4220" s="2">
        <v>16061053</v>
      </c>
      <c r="L4220" s="2"/>
      <c r="M4220" s="2"/>
      <c r="N4220" s="2"/>
      <c r="O4220" s="2"/>
      <c r="P4220" s="2"/>
      <c r="Q4220" s="2"/>
      <c r="R4220" s="2"/>
      <c r="S4220" s="2" t="s">
        <v>27793</v>
      </c>
      <c r="T4220" s="2" t="s">
        <v>27794</v>
      </c>
      <c r="U4220" s="2" t="s">
        <v>103</v>
      </c>
      <c r="V4220" s="2" t="s">
        <v>377</v>
      </c>
      <c r="W4220" s="2" t="s">
        <v>378</v>
      </c>
      <c r="X4220" s="2" t="s">
        <v>83</v>
      </c>
      <c r="Y4220" s="2">
        <v>51</v>
      </c>
      <c r="Z4220" s="2">
        <v>0</v>
      </c>
      <c r="AA4220" s="2" t="s">
        <v>379</v>
      </c>
      <c r="AB4220" s="2" t="s">
        <v>5579</v>
      </c>
      <c r="AC4220" s="2">
        <v>0.79798968172803697</v>
      </c>
      <c r="AD4220" s="2"/>
      <c r="AE4220" s="2">
        <v>0.10764749948667</v>
      </c>
      <c r="AF4220" s="2">
        <v>1069.42040692771</v>
      </c>
      <c r="AG4220" s="2">
        <v>2899.2894528125598</v>
      </c>
      <c r="AH4220" s="4">
        <v>0.36885603329128802</v>
      </c>
      <c r="AI4220" s="4">
        <v>-1.4388702612161199</v>
      </c>
      <c r="AJ4220" s="4" t="s">
        <v>62</v>
      </c>
      <c r="AK4220" s="2">
        <v>0.44355389290666702</v>
      </c>
      <c r="AL4220" s="2">
        <v>0.69908803275019105</v>
      </c>
      <c r="AM4220" s="2">
        <v>1639.03605396638</v>
      </c>
      <c r="AN4220" s="2">
        <v>1644.67187599723</v>
      </c>
      <c r="AO4220" s="2">
        <v>943.48184317472601</v>
      </c>
      <c r="AP4220" s="2">
        <v>309.58396284646398</v>
      </c>
      <c r="AQ4220" s="2">
        <v>1146.84804495546</v>
      </c>
      <c r="AR4220" s="2">
        <v>732.90066062600602</v>
      </c>
      <c r="AS4220" s="2">
        <v>8.559877937157E-6</v>
      </c>
      <c r="AT4220" s="2">
        <v>8.559877937157E-6</v>
      </c>
      <c r="AU4220" s="2">
        <v>14231.2085702486</v>
      </c>
      <c r="AV4220" s="2">
        <v>1143.83853392231</v>
      </c>
      <c r="AW4220" s="2">
        <v>1731.2439430321699</v>
      </c>
      <c r="AX4220" s="2">
        <v>289.44565255254702</v>
      </c>
    </row>
    <row r="4221" spans="1:50" x14ac:dyDescent="0.25">
      <c r="A4221" s="2" t="s">
        <v>27795</v>
      </c>
      <c r="B4221" s="2">
        <v>302.17605720568901</v>
      </c>
      <c r="C4221" s="2">
        <v>7.8409500000000003</v>
      </c>
      <c r="D4221" s="2" t="s">
        <v>51</v>
      </c>
      <c r="E4221" s="2" t="s">
        <v>27796</v>
      </c>
      <c r="F4221" s="2">
        <v>296362</v>
      </c>
      <c r="G4221" s="3" t="str">
        <f>HYPERLINK("https://cloud.oebiotech.com/#/lm/network/296362", "https://cloud.oebiotech.com/#/lm/network/296362")</f>
        <v>https://cloud.oebiotech.com/#/lm/network/296362</v>
      </c>
      <c r="H4221" s="2"/>
      <c r="I4221" s="2">
        <v>320807</v>
      </c>
      <c r="J4221" s="2"/>
      <c r="K4221" s="2">
        <v>56052</v>
      </c>
      <c r="L4221" s="2"/>
      <c r="M4221" s="2"/>
      <c r="N4221" s="2"/>
      <c r="O4221" s="2"/>
      <c r="P4221" s="2"/>
      <c r="Q4221" s="2"/>
      <c r="R4221" s="2"/>
      <c r="S4221" s="2" t="s">
        <v>27797</v>
      </c>
      <c r="T4221" s="2" t="s">
        <v>27798</v>
      </c>
      <c r="U4221" s="2" t="s">
        <v>610</v>
      </c>
      <c r="V4221" s="2" t="s">
        <v>895</v>
      </c>
      <c r="W4221" s="2" t="s">
        <v>919</v>
      </c>
      <c r="X4221" s="2" t="s">
        <v>147</v>
      </c>
      <c r="Y4221" s="2">
        <v>42.4</v>
      </c>
      <c r="Z4221" s="2">
        <v>22.9</v>
      </c>
      <c r="AA4221" s="2" t="s">
        <v>259</v>
      </c>
      <c r="AB4221" s="2" t="s">
        <v>27799</v>
      </c>
      <c r="AC4221" s="2">
        <v>3.2778159564120002</v>
      </c>
      <c r="AD4221" s="2"/>
      <c r="AE4221" s="2">
        <v>0.107480455898204</v>
      </c>
      <c r="AF4221" s="2">
        <v>3999.1989306823898</v>
      </c>
      <c r="AG4221" s="2">
        <v>3355.57025264499</v>
      </c>
      <c r="AH4221" s="5">
        <v>1.1918090308286899</v>
      </c>
      <c r="AI4221" s="5">
        <v>0.25315308450108698</v>
      </c>
      <c r="AJ4221" s="5" t="s">
        <v>139</v>
      </c>
      <c r="AK4221" s="2">
        <v>0.44880280341657303</v>
      </c>
      <c r="AL4221" s="2">
        <v>0.70329351074037805</v>
      </c>
      <c r="AM4221" s="2">
        <v>4755.49808034545</v>
      </c>
      <c r="AN4221" s="2">
        <v>5573.29332756043</v>
      </c>
      <c r="AO4221" s="2">
        <v>2856.61679606798</v>
      </c>
      <c r="AP4221" s="2">
        <v>4272.1114679458897</v>
      </c>
      <c r="AQ4221" s="2">
        <v>3031.3362123596398</v>
      </c>
      <c r="AR4221" s="2">
        <v>3506.3376998149702</v>
      </c>
      <c r="AS4221" s="2">
        <v>2575.82284791966</v>
      </c>
      <c r="AT4221" s="2">
        <v>1516.8643316861201</v>
      </c>
      <c r="AU4221" s="2">
        <v>5295.3692653976505</v>
      </c>
      <c r="AV4221" s="2">
        <v>1503.9575494205601</v>
      </c>
      <c r="AW4221" s="2">
        <v>4684.6910445700896</v>
      </c>
      <c r="AX4221" s="2">
        <v>4556.7164768758603</v>
      </c>
    </row>
    <row r="4222" spans="1:50" x14ac:dyDescent="0.25">
      <c r="A4222" s="2" t="s">
        <v>27800</v>
      </c>
      <c r="B4222" s="2">
        <v>157.049640207436</v>
      </c>
      <c r="C4222" s="2">
        <v>4.3268333333333304</v>
      </c>
      <c r="D4222" s="2" t="s">
        <v>51</v>
      </c>
      <c r="E4222" s="2" t="s">
        <v>27801</v>
      </c>
      <c r="F4222" s="2">
        <v>57786</v>
      </c>
      <c r="G4222" s="3" t="str">
        <f>HYPERLINK("https://cloud.oebiotech.com/#/lm/network/57786", "https://cloud.oebiotech.com/#/lm/network/57786")</f>
        <v>https://cloud.oebiotech.com/#/lm/network/57786</v>
      </c>
      <c r="H4222" s="2" t="s">
        <v>27802</v>
      </c>
      <c r="I4222" s="2">
        <v>89378</v>
      </c>
      <c r="J4222" s="2"/>
      <c r="K4222" s="2">
        <v>12281547</v>
      </c>
      <c r="L4222" s="2"/>
      <c r="M4222" s="2"/>
      <c r="N4222" s="2"/>
      <c r="O4222" s="2">
        <v>173376</v>
      </c>
      <c r="P4222" s="2"/>
      <c r="Q4222" s="2"/>
      <c r="R4222" s="2" t="s">
        <v>27803</v>
      </c>
      <c r="S4222" s="2" t="s">
        <v>27804</v>
      </c>
      <c r="T4222" s="2" t="s">
        <v>27805</v>
      </c>
      <c r="U4222" s="2" t="s">
        <v>331</v>
      </c>
      <c r="V4222" s="2" t="s">
        <v>332</v>
      </c>
      <c r="W4222" s="2" t="s">
        <v>1207</v>
      </c>
      <c r="X4222" s="2" t="s">
        <v>83</v>
      </c>
      <c r="Y4222" s="2">
        <v>45</v>
      </c>
      <c r="Z4222" s="2">
        <v>0</v>
      </c>
      <c r="AA4222" s="2" t="s">
        <v>218</v>
      </c>
      <c r="AB4222" s="2" t="s">
        <v>16331</v>
      </c>
      <c r="AC4222" s="2">
        <v>-8.8544108208606005</v>
      </c>
      <c r="AD4222" s="2"/>
      <c r="AE4222" s="2">
        <v>0.107451535430197</v>
      </c>
      <c r="AF4222" s="2">
        <v>1212.3453417651799</v>
      </c>
      <c r="AG4222" s="2">
        <v>1546.7858965656201</v>
      </c>
      <c r="AH4222" s="4">
        <v>0.78378355042995396</v>
      </c>
      <c r="AI4222" s="4">
        <v>-0.35147280003114101</v>
      </c>
      <c r="AJ4222" s="4" t="s">
        <v>62</v>
      </c>
      <c r="AK4222" s="2">
        <v>9.6294767146245797E-2</v>
      </c>
      <c r="AL4222" s="2">
        <v>0.39564154501540599</v>
      </c>
      <c r="AM4222" s="2">
        <v>971.44001751515805</v>
      </c>
      <c r="AN4222" s="2">
        <v>1524.1986366538599</v>
      </c>
      <c r="AO4222" s="2">
        <v>967.73744564578999</v>
      </c>
      <c r="AP4222" s="2">
        <v>1514.63600935412</v>
      </c>
      <c r="AQ4222" s="2">
        <v>1263.67213023825</v>
      </c>
      <c r="AR4222" s="2">
        <v>1032.3878111839099</v>
      </c>
      <c r="AS4222" s="2">
        <v>1876.0086830837399</v>
      </c>
      <c r="AT4222" s="2">
        <v>1680.00377044779</v>
      </c>
      <c r="AU4222" s="2">
        <v>1253.93442027533</v>
      </c>
      <c r="AV4222" s="2">
        <v>1984.79471576995</v>
      </c>
      <c r="AW4222" s="2">
        <v>1061.2583547353399</v>
      </c>
      <c r="AX4222" s="2">
        <v>1424.7154350815699</v>
      </c>
    </row>
    <row r="4223" spans="1:50" x14ac:dyDescent="0.25">
      <c r="A4223" s="2" t="s">
        <v>27806</v>
      </c>
      <c r="B4223" s="2">
        <v>135.08079220394399</v>
      </c>
      <c r="C4223" s="2">
        <v>9.6638500000000001</v>
      </c>
      <c r="D4223" s="2" t="s">
        <v>51</v>
      </c>
      <c r="E4223" s="2" t="s">
        <v>27807</v>
      </c>
      <c r="F4223" s="2">
        <v>58210</v>
      </c>
      <c r="G4223" s="3" t="str">
        <f>HYPERLINK("https://cloud.oebiotech.com/#/lm/network/58210", "https://cloud.oebiotech.com/#/lm/network/58210")</f>
        <v>https://cloud.oebiotech.com/#/lm/network/58210</v>
      </c>
      <c r="H4223" s="2" t="s">
        <v>27808</v>
      </c>
      <c r="I4223" s="2">
        <v>71442</v>
      </c>
      <c r="J4223" s="2"/>
      <c r="K4223" s="2">
        <v>68148</v>
      </c>
      <c r="L4223" s="2" t="s">
        <v>27809</v>
      </c>
      <c r="M4223" s="2"/>
      <c r="N4223" s="2"/>
      <c r="O4223" s="2">
        <v>50158</v>
      </c>
      <c r="P4223" s="2"/>
      <c r="Q4223" s="2"/>
      <c r="R4223" s="2" t="s">
        <v>27810</v>
      </c>
      <c r="S4223" s="2" t="s">
        <v>27811</v>
      </c>
      <c r="T4223" s="2" t="s">
        <v>27812</v>
      </c>
      <c r="U4223" s="2" t="s">
        <v>610</v>
      </c>
      <c r="V4223" s="2" t="s">
        <v>895</v>
      </c>
      <c r="W4223" s="2" t="s">
        <v>919</v>
      </c>
      <c r="X4223" s="2" t="s">
        <v>147</v>
      </c>
      <c r="Y4223" s="2">
        <v>43.2</v>
      </c>
      <c r="Z4223" s="2">
        <v>24.5</v>
      </c>
      <c r="AA4223" s="2" t="s">
        <v>259</v>
      </c>
      <c r="AB4223" s="2" t="s">
        <v>27813</v>
      </c>
      <c r="AC4223" s="2">
        <v>2.6167181519332701</v>
      </c>
      <c r="AD4223" s="2"/>
      <c r="AE4223" s="2">
        <v>0.107412433964167</v>
      </c>
      <c r="AF4223" s="2">
        <v>3212.41823495581</v>
      </c>
      <c r="AG4223" s="2">
        <v>3975.0293348615301</v>
      </c>
      <c r="AH4223" s="4">
        <v>0.80814956679249705</v>
      </c>
      <c r="AI4223" s="4">
        <v>-0.30730577307228601</v>
      </c>
      <c r="AJ4223" s="4" t="s">
        <v>62</v>
      </c>
      <c r="AK4223" s="2">
        <v>0.38293251704668502</v>
      </c>
      <c r="AL4223" s="2">
        <v>0.66023025420912795</v>
      </c>
      <c r="AM4223" s="2">
        <v>2457.4634910683499</v>
      </c>
      <c r="AN4223" s="2">
        <v>2105.6593737113999</v>
      </c>
      <c r="AO4223" s="2">
        <v>4203.5876899402401</v>
      </c>
      <c r="AP4223" s="2">
        <v>3134.4008113876698</v>
      </c>
      <c r="AQ4223" s="2">
        <v>5576.6746788444998</v>
      </c>
      <c r="AR4223" s="2">
        <v>1796.7233647826999</v>
      </c>
      <c r="AS4223" s="2">
        <v>5411.8357912218198</v>
      </c>
      <c r="AT4223" s="2">
        <v>4054.35861078993</v>
      </c>
      <c r="AU4223" s="2">
        <v>4962.7224152691697</v>
      </c>
      <c r="AV4223" s="2">
        <v>2031.61215977952</v>
      </c>
      <c r="AW4223" s="2">
        <v>2354.6319175394101</v>
      </c>
      <c r="AX4223" s="2">
        <v>5035.0151145693198</v>
      </c>
    </row>
    <row r="4224" spans="1:50" x14ac:dyDescent="0.25">
      <c r="A4224" s="2" t="s">
        <v>27814</v>
      </c>
      <c r="B4224" s="2">
        <v>515.37427739776604</v>
      </c>
      <c r="C4224" s="2">
        <v>14.088383333333301</v>
      </c>
      <c r="D4224" s="2" t="s">
        <v>51</v>
      </c>
      <c r="E4224" s="2" t="s">
        <v>27815</v>
      </c>
      <c r="F4224" s="2">
        <v>206276</v>
      </c>
      <c r="G4224" s="3" t="str">
        <f>HYPERLINK("https://cloud.oebiotech.com/#/lm/network/206276", "https://cloud.oebiotech.com/#/lm/network/206276")</f>
        <v>https://cloud.oebiotech.com/#/lm/network/206276</v>
      </c>
      <c r="H4224" s="2" t="s">
        <v>27816</v>
      </c>
      <c r="I4224" s="2"/>
      <c r="J4224" s="2"/>
      <c r="K4224" s="2">
        <v>237891</v>
      </c>
      <c r="L4224" s="2"/>
      <c r="M4224" s="2"/>
      <c r="N4224" s="2"/>
      <c r="O4224" s="2"/>
      <c r="P4224" s="2"/>
      <c r="Q4224" s="2"/>
      <c r="R4224" s="2"/>
      <c r="S4224" s="2" t="s">
        <v>27817</v>
      </c>
      <c r="T4224" s="2" t="s">
        <v>27818</v>
      </c>
      <c r="U4224" s="2" t="s">
        <v>56</v>
      </c>
      <c r="V4224" s="2" t="s">
        <v>177</v>
      </c>
      <c r="W4224" s="2" t="s">
        <v>3270</v>
      </c>
      <c r="X4224" s="2" t="s">
        <v>83</v>
      </c>
      <c r="Y4224" s="2">
        <v>41.5</v>
      </c>
      <c r="Z4224" s="2">
        <v>0</v>
      </c>
      <c r="AA4224" s="2" t="s">
        <v>218</v>
      </c>
      <c r="AB4224" s="2" t="s">
        <v>15169</v>
      </c>
      <c r="AC4224" s="2">
        <v>0.16809018143380999</v>
      </c>
      <c r="AD4224" s="2"/>
      <c r="AE4224" s="2">
        <v>0.107393465293752</v>
      </c>
      <c r="AF4224" s="2">
        <v>2225.51442547128</v>
      </c>
      <c r="AG4224" s="2">
        <v>1259.13755452905</v>
      </c>
      <c r="AH4224" s="5">
        <v>1.7674911033081599</v>
      </c>
      <c r="AI4224" s="5">
        <v>0.82170295322675302</v>
      </c>
      <c r="AJ4224" s="5" t="s">
        <v>139</v>
      </c>
      <c r="AK4224" s="2">
        <v>0.32788984900128598</v>
      </c>
      <c r="AL4224" s="2">
        <v>0.63051205010879297</v>
      </c>
      <c r="AM4224" s="2">
        <v>831.740647198136</v>
      </c>
      <c r="AN4224" s="2">
        <v>2054.44843805766</v>
      </c>
      <c r="AO4224" s="2">
        <v>3748.74484803</v>
      </c>
      <c r="AP4224" s="2">
        <v>5310.3283011492404</v>
      </c>
      <c r="AQ4224" s="2">
        <v>995.54132645019695</v>
      </c>
      <c r="AR4224" s="2">
        <v>412.28299194247398</v>
      </c>
      <c r="AS4224" s="2">
        <v>8.559877937157E-6</v>
      </c>
      <c r="AT4224" s="2">
        <v>1543.8899771817</v>
      </c>
      <c r="AU4224" s="2">
        <v>918.28085484447604</v>
      </c>
      <c r="AV4224" s="2">
        <v>8.559877937157E-6</v>
      </c>
      <c r="AW4224" s="2">
        <v>1775.6587470893201</v>
      </c>
      <c r="AX4224" s="2">
        <v>3316.9957309390302</v>
      </c>
    </row>
    <row r="4225" spans="1:50" x14ac:dyDescent="0.25">
      <c r="A4225" s="2" t="s">
        <v>27819</v>
      </c>
      <c r="B4225" s="2">
        <v>78.917664107119194</v>
      </c>
      <c r="C4225" s="2">
        <v>0.69093333333333296</v>
      </c>
      <c r="D4225" s="2" t="s">
        <v>51</v>
      </c>
      <c r="E4225" s="2" t="s">
        <v>27820</v>
      </c>
      <c r="F4225" s="2">
        <v>47045</v>
      </c>
      <c r="G4225" s="3" t="str">
        <f>HYPERLINK("https://cloud.oebiotech.com/#/lm/network/47045", "https://cloud.oebiotech.com/#/lm/network/47045")</f>
        <v>https://cloud.oebiotech.com/#/lm/network/47045</v>
      </c>
      <c r="H4225" s="2" t="s">
        <v>27821</v>
      </c>
      <c r="I4225" s="2"/>
      <c r="J4225" s="2"/>
      <c r="K4225" s="2">
        <v>271</v>
      </c>
      <c r="L4225" s="2" t="s">
        <v>27822</v>
      </c>
      <c r="M4225" s="2" t="s">
        <v>27823</v>
      </c>
      <c r="N4225" s="2" t="s">
        <v>27824</v>
      </c>
      <c r="O4225" s="2">
        <v>29108</v>
      </c>
      <c r="P4225" s="2" t="s">
        <v>27825</v>
      </c>
      <c r="Q4225" s="2" t="s">
        <v>27826</v>
      </c>
      <c r="R4225" s="2" t="s">
        <v>27827</v>
      </c>
      <c r="S4225" s="2" t="s">
        <v>27828</v>
      </c>
      <c r="T4225" s="2" t="s">
        <v>27829</v>
      </c>
      <c r="U4225" s="2" t="s">
        <v>26504</v>
      </c>
      <c r="V4225" s="2" t="s">
        <v>27830</v>
      </c>
      <c r="W4225" s="2" t="s">
        <v>240</v>
      </c>
      <c r="X4225" s="2" t="s">
        <v>147</v>
      </c>
      <c r="Y4225" s="2">
        <v>38.700000000000003</v>
      </c>
      <c r="Z4225" s="2">
        <v>0</v>
      </c>
      <c r="AA4225" s="2" t="s">
        <v>478</v>
      </c>
      <c r="AB4225" s="2" t="s">
        <v>27831</v>
      </c>
      <c r="AC4225" s="2">
        <v>-3.0205859386107701</v>
      </c>
      <c r="AD4225" s="2"/>
      <c r="AE4225" s="2">
        <v>0.107360620197473</v>
      </c>
      <c r="AF4225" s="2">
        <v>16261.551793554499</v>
      </c>
      <c r="AG4225" s="2">
        <v>17716.960352807098</v>
      </c>
      <c r="AH4225" s="4">
        <v>0.91785224269455301</v>
      </c>
      <c r="AI4225" s="4">
        <v>-0.12366616988555799</v>
      </c>
      <c r="AJ4225" s="4" t="s">
        <v>62</v>
      </c>
      <c r="AK4225" s="2">
        <v>0.38383887669532502</v>
      </c>
      <c r="AL4225" s="2">
        <v>0.66085990731923905</v>
      </c>
      <c r="AM4225" s="2">
        <v>18978.316801159399</v>
      </c>
      <c r="AN4225" s="2">
        <v>15789.1585529042</v>
      </c>
      <c r="AO4225" s="2">
        <v>14402.0903900018</v>
      </c>
      <c r="AP4225" s="2">
        <v>18590.217295102499</v>
      </c>
      <c r="AQ4225" s="2">
        <v>16356.109042550601</v>
      </c>
      <c r="AR4225" s="2">
        <v>13453.418679608199</v>
      </c>
      <c r="AS4225" s="2">
        <v>12892.049441169</v>
      </c>
      <c r="AT4225" s="2">
        <v>17525.7945111831</v>
      </c>
      <c r="AU4225" s="2">
        <v>22634.039703913899</v>
      </c>
      <c r="AV4225" s="2">
        <v>18787.265744534201</v>
      </c>
      <c r="AW4225" s="2">
        <v>15983.155318704399</v>
      </c>
      <c r="AX4225" s="2">
        <v>18479.457397337799</v>
      </c>
    </row>
    <row r="4226" spans="1:50" x14ac:dyDescent="0.25">
      <c r="A4226" s="2" t="s">
        <v>27832</v>
      </c>
      <c r="B4226" s="2">
        <v>670.49071531426796</v>
      </c>
      <c r="C4226" s="2">
        <v>14.465633333333299</v>
      </c>
      <c r="D4226" s="2" t="s">
        <v>51</v>
      </c>
      <c r="E4226" s="2" t="s">
        <v>27833</v>
      </c>
      <c r="F4226" s="2">
        <v>243271</v>
      </c>
      <c r="G4226" s="3" t="str">
        <f>HYPERLINK("https://cloud.oebiotech.com/#/lm/network/243271", "https://cloud.oebiotech.com/#/lm/network/243271")</f>
        <v>https://cloud.oebiotech.com/#/lm/network/243271</v>
      </c>
      <c r="H4226" s="2" t="s">
        <v>27834</v>
      </c>
      <c r="I4226" s="2"/>
      <c r="J4226" s="2"/>
      <c r="K4226" s="2"/>
      <c r="L4226" s="2"/>
      <c r="M4226" s="2"/>
      <c r="N4226" s="2"/>
      <c r="O4226" s="2"/>
      <c r="P4226" s="2"/>
      <c r="Q4226" s="2"/>
      <c r="R4226" s="2"/>
      <c r="S4226" s="2" t="s">
        <v>27835</v>
      </c>
      <c r="T4226" s="2" t="s">
        <v>27836</v>
      </c>
      <c r="U4226" s="2" t="s">
        <v>56</v>
      </c>
      <c r="V4226" s="2" t="s">
        <v>344</v>
      </c>
      <c r="W4226" s="2" t="s">
        <v>3012</v>
      </c>
      <c r="X4226" s="2" t="s">
        <v>147</v>
      </c>
      <c r="Y4226" s="2">
        <v>37.799999999999997</v>
      </c>
      <c r="Z4226" s="2">
        <v>0.114</v>
      </c>
      <c r="AA4226" s="2" t="s">
        <v>218</v>
      </c>
      <c r="AB4226" s="2" t="s">
        <v>27837</v>
      </c>
      <c r="AC4226" s="2">
        <v>1.2133714846971799</v>
      </c>
      <c r="AD4226" s="2"/>
      <c r="AE4226" s="2">
        <v>0.107341427879718</v>
      </c>
      <c r="AF4226" s="2">
        <v>24422.743341030699</v>
      </c>
      <c r="AG4226" s="2">
        <v>28742.373849743701</v>
      </c>
      <c r="AH4226" s="4">
        <v>0.849712117332595</v>
      </c>
      <c r="AI4226" s="4">
        <v>-0.234953956278323</v>
      </c>
      <c r="AJ4226" s="4" t="s">
        <v>62</v>
      </c>
      <c r="AK4226" s="2">
        <v>0.52035991111407398</v>
      </c>
      <c r="AL4226" s="2">
        <v>0.75192102353561097</v>
      </c>
      <c r="AM4226" s="2">
        <v>46186.165326917799</v>
      </c>
      <c r="AN4226" s="2">
        <v>23592.728913504499</v>
      </c>
      <c r="AO4226" s="2">
        <v>18417.992005321299</v>
      </c>
      <c r="AP4226" s="2">
        <v>21696.366279657501</v>
      </c>
      <c r="AQ4226" s="2">
        <v>11428.8223439264</v>
      </c>
      <c r="AR4226" s="2">
        <v>25214.3851768569</v>
      </c>
      <c r="AS4226" s="2">
        <v>19428.249051790601</v>
      </c>
      <c r="AT4226" s="2">
        <v>22602.766619895199</v>
      </c>
      <c r="AU4226" s="2">
        <v>37990.736904033503</v>
      </c>
      <c r="AV4226" s="2">
        <v>22179.505175049999</v>
      </c>
      <c r="AW4226" s="2">
        <v>24185.051945928099</v>
      </c>
      <c r="AX4226" s="2">
        <v>46067.933401764902</v>
      </c>
    </row>
    <row r="4227" spans="1:50" x14ac:dyDescent="0.25">
      <c r="A4227" s="2" t="s">
        <v>27838</v>
      </c>
      <c r="B4227" s="2">
        <v>344.18286499284301</v>
      </c>
      <c r="C4227" s="2">
        <v>4.16346666666667</v>
      </c>
      <c r="D4227" s="2" t="s">
        <v>51</v>
      </c>
      <c r="E4227" s="2" t="s">
        <v>27839</v>
      </c>
      <c r="F4227" s="2">
        <v>263105</v>
      </c>
      <c r="G4227" s="3" t="str">
        <f>HYPERLINK("https://cloud.oebiotech.com/#/lm/network/263105", "https://cloud.oebiotech.com/#/lm/network/263105")</f>
        <v>https://cloud.oebiotech.com/#/lm/network/263105</v>
      </c>
      <c r="H4227" s="2"/>
      <c r="I4227" s="2">
        <v>20504</v>
      </c>
      <c r="J4227" s="2"/>
      <c r="K4227" s="2">
        <v>145456092</v>
      </c>
      <c r="L4227" s="2"/>
      <c r="M4227" s="2"/>
      <c r="N4227" s="2"/>
      <c r="O4227" s="2"/>
      <c r="P4227" s="2"/>
      <c r="Q4227" s="2"/>
      <c r="R4227" s="2"/>
      <c r="S4227" s="2" t="s">
        <v>27840</v>
      </c>
      <c r="T4227" s="2" t="s">
        <v>27841</v>
      </c>
      <c r="U4227" s="2" t="s">
        <v>103</v>
      </c>
      <c r="V4227" s="2" t="s">
        <v>1372</v>
      </c>
      <c r="W4227" s="2" t="s">
        <v>1373</v>
      </c>
      <c r="X4227" s="2" t="s">
        <v>83</v>
      </c>
      <c r="Y4227" s="2">
        <v>47.2</v>
      </c>
      <c r="Z4227" s="2">
        <v>0</v>
      </c>
      <c r="AA4227" s="2" t="s">
        <v>163</v>
      </c>
      <c r="AB4227" s="2" t="s">
        <v>24630</v>
      </c>
      <c r="AC4227" s="2">
        <v>0.45142443229465901</v>
      </c>
      <c r="AD4227" s="2"/>
      <c r="AE4227" s="2">
        <v>0.107322580697848</v>
      </c>
      <c r="AF4227" s="2">
        <v>2171.7073073449301</v>
      </c>
      <c r="AG4227" s="2">
        <v>1434.0859934688499</v>
      </c>
      <c r="AH4227" s="5">
        <v>1.5143494303935601</v>
      </c>
      <c r="AI4227" s="5">
        <v>0.59869814015150702</v>
      </c>
      <c r="AJ4227" s="5" t="s">
        <v>139</v>
      </c>
      <c r="AK4227" s="2">
        <v>0.42413032589303101</v>
      </c>
      <c r="AL4227" s="2">
        <v>0.68369640456422398</v>
      </c>
      <c r="AM4227" s="2">
        <v>2244.8829642849601</v>
      </c>
      <c r="AN4227" s="2">
        <v>472.66091991072699</v>
      </c>
      <c r="AO4227" s="2">
        <v>1171.92373206344</v>
      </c>
      <c r="AP4227" s="2">
        <v>2999.1320359446499</v>
      </c>
      <c r="AQ4227" s="2">
        <v>3843.71667553927</v>
      </c>
      <c r="AR4227" s="2">
        <v>2297.9275163265302</v>
      </c>
      <c r="AS4227" s="2">
        <v>1523.2518230140299</v>
      </c>
      <c r="AT4227" s="2">
        <v>924.61490161472398</v>
      </c>
      <c r="AU4227" s="2">
        <v>4980.1578347076602</v>
      </c>
      <c r="AV4227" s="2">
        <v>504.086502474258</v>
      </c>
      <c r="AW4227" s="2">
        <v>318.35888944000601</v>
      </c>
      <c r="AX4227" s="2">
        <v>354.046009562417</v>
      </c>
    </row>
    <row r="4228" spans="1:50" x14ac:dyDescent="0.25">
      <c r="A4228" s="2" t="s">
        <v>27842</v>
      </c>
      <c r="B4228" s="2">
        <v>636.349868539868</v>
      </c>
      <c r="C4228" s="2">
        <v>9.2139500000000005</v>
      </c>
      <c r="D4228" s="2" t="s">
        <v>51</v>
      </c>
      <c r="E4228" s="2" t="s">
        <v>27843</v>
      </c>
      <c r="F4228" s="2">
        <v>63844</v>
      </c>
      <c r="G4228" s="3" t="str">
        <f>HYPERLINK("https://cloud.oebiotech.com/#/lm/network/63844", "https://cloud.oebiotech.com/#/lm/network/63844")</f>
        <v>https://cloud.oebiotech.com/#/lm/network/63844</v>
      </c>
      <c r="H4228" s="2" t="s">
        <v>27844</v>
      </c>
      <c r="I4228" s="2"/>
      <c r="J4228" s="2"/>
      <c r="K4228" s="2">
        <v>101601848</v>
      </c>
      <c r="L4228" s="2"/>
      <c r="M4228" s="2"/>
      <c r="N4228" s="2"/>
      <c r="O4228" s="2"/>
      <c r="P4228" s="2"/>
      <c r="Q4228" s="2"/>
      <c r="R4228" s="2" t="s">
        <v>27845</v>
      </c>
      <c r="S4228" s="2" t="s">
        <v>27846</v>
      </c>
      <c r="T4228" s="2" t="s">
        <v>27847</v>
      </c>
      <c r="U4228" s="2" t="s">
        <v>103</v>
      </c>
      <c r="V4228" s="2" t="s">
        <v>104</v>
      </c>
      <c r="W4228" s="2" t="s">
        <v>2245</v>
      </c>
      <c r="X4228" s="2" t="s">
        <v>147</v>
      </c>
      <c r="Y4228" s="2">
        <v>36.1</v>
      </c>
      <c r="Z4228" s="2">
        <v>0</v>
      </c>
      <c r="AA4228" s="2" t="s">
        <v>379</v>
      </c>
      <c r="AB4228" s="2" t="s">
        <v>27848</v>
      </c>
      <c r="AC4228" s="2">
        <v>1.59117018104649</v>
      </c>
      <c r="AD4228" s="2"/>
      <c r="AE4228" s="2">
        <v>0.10719102638805</v>
      </c>
      <c r="AF4228" s="2">
        <v>14341.406845814299</v>
      </c>
      <c r="AG4228" s="2">
        <v>17180.6845198638</v>
      </c>
      <c r="AH4228" s="4">
        <v>0.834740130943745</v>
      </c>
      <c r="AI4228" s="4">
        <v>-0.260600963349716</v>
      </c>
      <c r="AJ4228" s="4" t="s">
        <v>62</v>
      </c>
      <c r="AK4228" s="2">
        <v>0.61759797192965404</v>
      </c>
      <c r="AL4228" s="2">
        <v>0.81049495122598503</v>
      </c>
      <c r="AM4228" s="2">
        <v>26230.4611894728</v>
      </c>
      <c r="AN4228" s="2">
        <v>20874.074954752701</v>
      </c>
      <c r="AO4228" s="2">
        <v>10237.7235274634</v>
      </c>
      <c r="AP4228" s="2">
        <v>9061.0147294803501</v>
      </c>
      <c r="AQ4228" s="2">
        <v>8333.2608332639702</v>
      </c>
      <c r="AR4228" s="2">
        <v>11311.9058404525</v>
      </c>
      <c r="AS4228" s="2">
        <v>4530.4757459574603</v>
      </c>
      <c r="AT4228" s="2">
        <v>2014.2260699255301</v>
      </c>
      <c r="AU4228" s="2">
        <v>25458.529027071902</v>
      </c>
      <c r="AV4228" s="2">
        <v>22481.411785017401</v>
      </c>
      <c r="AW4228" s="2">
        <v>29250.785484582499</v>
      </c>
      <c r="AX4228" s="2">
        <v>19348.679006628001</v>
      </c>
    </row>
    <row r="4229" spans="1:50" x14ac:dyDescent="0.25">
      <c r="A4229" s="2" t="s">
        <v>27849</v>
      </c>
      <c r="B4229" s="2">
        <v>297.07898003892501</v>
      </c>
      <c r="C4229" s="2">
        <v>4.0687333333333298</v>
      </c>
      <c r="D4229" s="2" t="s">
        <v>51</v>
      </c>
      <c r="E4229" s="2" t="s">
        <v>27850</v>
      </c>
      <c r="F4229" s="2">
        <v>209043</v>
      </c>
      <c r="G4229" s="3" t="str">
        <f>HYPERLINK("https://cloud.oebiotech.com/#/lm/network/209043", "https://cloud.oebiotech.com/#/lm/network/209043")</f>
        <v>https://cloud.oebiotech.com/#/lm/network/209043</v>
      </c>
      <c r="H4229" s="2" t="s">
        <v>27851</v>
      </c>
      <c r="I4229" s="2"/>
      <c r="J4229" s="2"/>
      <c r="K4229" s="2">
        <v>92324</v>
      </c>
      <c r="L4229" s="2"/>
      <c r="M4229" s="2"/>
      <c r="N4229" s="2"/>
      <c r="O4229" s="2"/>
      <c r="P4229" s="2"/>
      <c r="Q4229" s="2"/>
      <c r="R4229" s="2"/>
      <c r="S4229" s="2" t="s">
        <v>27852</v>
      </c>
      <c r="T4229" s="2" t="s">
        <v>27853</v>
      </c>
      <c r="U4229" s="2" t="s">
        <v>610</v>
      </c>
      <c r="V4229" s="2" t="s">
        <v>15860</v>
      </c>
      <c r="W4229" s="2" t="s">
        <v>240</v>
      </c>
      <c r="X4229" s="2" t="s">
        <v>147</v>
      </c>
      <c r="Y4229" s="2">
        <v>36</v>
      </c>
      <c r="Z4229" s="2">
        <v>0</v>
      </c>
      <c r="AA4229" s="2" t="s">
        <v>122</v>
      </c>
      <c r="AB4229" s="2" t="s">
        <v>27854</v>
      </c>
      <c r="AC4229" s="2">
        <v>4.5181091003967198E-3</v>
      </c>
      <c r="AD4229" s="2"/>
      <c r="AE4229" s="2">
        <v>0.107162172774755</v>
      </c>
      <c r="AF4229" s="2">
        <v>759.62377437356099</v>
      </c>
      <c r="AG4229" s="2">
        <v>1902.5781060351601</v>
      </c>
      <c r="AH4229" s="4">
        <v>0.39926023113792902</v>
      </c>
      <c r="AI4229" s="4">
        <v>-1.32459871737526</v>
      </c>
      <c r="AJ4229" s="4" t="s">
        <v>62</v>
      </c>
      <c r="AK4229" s="2">
        <v>0.347940201718826</v>
      </c>
      <c r="AL4229" s="2">
        <v>0.64093111312586704</v>
      </c>
      <c r="AM4229" s="2">
        <v>177.719113137774</v>
      </c>
      <c r="AN4229" s="2">
        <v>1154.27517732469</v>
      </c>
      <c r="AO4229" s="2">
        <v>1146.0689868613099</v>
      </c>
      <c r="AP4229" s="2">
        <v>654.44256032176304</v>
      </c>
      <c r="AQ4229" s="2">
        <v>831.09833361885103</v>
      </c>
      <c r="AR4229" s="2">
        <v>594.138474976976</v>
      </c>
      <c r="AS4229" s="2">
        <v>1450.32343095069</v>
      </c>
      <c r="AT4229" s="2">
        <v>860.53474118535303</v>
      </c>
      <c r="AU4229" s="2">
        <v>7596.3704116050103</v>
      </c>
      <c r="AV4229" s="2">
        <v>206.35997552186399</v>
      </c>
      <c r="AW4229" s="2">
        <v>667.72226762882201</v>
      </c>
      <c r="AX4229" s="2">
        <v>634.15780931921302</v>
      </c>
    </row>
    <row r="4230" spans="1:50" x14ac:dyDescent="0.25">
      <c r="A4230" s="2" t="s">
        <v>27855</v>
      </c>
      <c r="B4230" s="2">
        <v>185.08109963687701</v>
      </c>
      <c r="C4230" s="2">
        <v>5.61656666666667</v>
      </c>
      <c r="D4230" s="2" t="s">
        <v>51</v>
      </c>
      <c r="E4230" s="2" t="s">
        <v>27856</v>
      </c>
      <c r="F4230" s="2">
        <v>63684</v>
      </c>
      <c r="G4230" s="3" t="str">
        <f>HYPERLINK("https://cloud.oebiotech.com/#/lm/network/63684", "https://cloud.oebiotech.com/#/lm/network/63684")</f>
        <v>https://cloud.oebiotech.com/#/lm/network/63684</v>
      </c>
      <c r="H4230" s="2" t="s">
        <v>27857</v>
      </c>
      <c r="I4230" s="2"/>
      <c r="J4230" s="2"/>
      <c r="K4230" s="2">
        <v>6428785</v>
      </c>
      <c r="L4230" s="2"/>
      <c r="M4230" s="2"/>
      <c r="N4230" s="2"/>
      <c r="O4230" s="2"/>
      <c r="P4230" s="2"/>
      <c r="Q4230" s="2"/>
      <c r="R4230" s="2" t="s">
        <v>27858</v>
      </c>
      <c r="S4230" s="2" t="s">
        <v>27859</v>
      </c>
      <c r="T4230" s="2" t="s">
        <v>27860</v>
      </c>
      <c r="U4230" s="2" t="s">
        <v>331</v>
      </c>
      <c r="V4230" s="2" t="s">
        <v>332</v>
      </c>
      <c r="W4230" s="2" t="s">
        <v>1207</v>
      </c>
      <c r="X4230" s="2" t="s">
        <v>83</v>
      </c>
      <c r="Y4230" s="2">
        <v>43.1</v>
      </c>
      <c r="Z4230" s="2">
        <v>0</v>
      </c>
      <c r="AA4230" s="2" t="s">
        <v>218</v>
      </c>
      <c r="AB4230" s="2" t="s">
        <v>2068</v>
      </c>
      <c r="AC4230" s="2">
        <v>-5.9454233942008798</v>
      </c>
      <c r="AD4230" s="2"/>
      <c r="AE4230" s="2">
        <v>0.10715173814482901</v>
      </c>
      <c r="AF4230" s="2">
        <v>1808.6563915624799</v>
      </c>
      <c r="AG4230" s="2">
        <v>1376.1552031025501</v>
      </c>
      <c r="AH4230" s="5">
        <v>1.31428227534572</v>
      </c>
      <c r="AI4230" s="5">
        <v>0.394275164173228</v>
      </c>
      <c r="AJ4230" s="5" t="s">
        <v>139</v>
      </c>
      <c r="AK4230" s="2">
        <v>0.18821538199415899</v>
      </c>
      <c r="AL4230" s="2">
        <v>0.51281997379500799</v>
      </c>
      <c r="AM4230" s="2">
        <v>1882.4680619036801</v>
      </c>
      <c r="AN4230" s="2">
        <v>2477.9027520550699</v>
      </c>
      <c r="AO4230" s="2">
        <v>1584.5321571511899</v>
      </c>
      <c r="AP4230" s="2">
        <v>1309.2763165460101</v>
      </c>
      <c r="AQ4230" s="2">
        <v>1318.8339953428199</v>
      </c>
      <c r="AR4230" s="2">
        <v>2278.92506637611</v>
      </c>
      <c r="AS4230" s="2">
        <v>854.06378283580102</v>
      </c>
      <c r="AT4230" s="2">
        <v>1730.3412164392601</v>
      </c>
      <c r="AU4230" s="2">
        <v>787.08780185680598</v>
      </c>
      <c r="AV4230" s="2">
        <v>2130.8494935625099</v>
      </c>
      <c r="AW4230" s="2">
        <v>999.91941321324305</v>
      </c>
      <c r="AX4230" s="2">
        <v>1754.6695107077001</v>
      </c>
    </row>
    <row r="4231" spans="1:50" x14ac:dyDescent="0.25">
      <c r="A4231" s="2" t="s">
        <v>27861</v>
      </c>
      <c r="B4231" s="2">
        <v>215.16499376596099</v>
      </c>
      <c r="C4231" s="2">
        <v>2.5478000000000001</v>
      </c>
      <c r="D4231" s="2" t="s">
        <v>51</v>
      </c>
      <c r="E4231" s="2" t="s">
        <v>27862</v>
      </c>
      <c r="F4231" s="2">
        <v>257356</v>
      </c>
      <c r="G4231" s="3" t="str">
        <f>HYPERLINK("https://cloud.oebiotech.com/#/lm/network/257356", "https://cloud.oebiotech.com/#/lm/network/257356")</f>
        <v>https://cloud.oebiotech.com/#/lm/network/257356</v>
      </c>
      <c r="H4231" s="2" t="s">
        <v>27863</v>
      </c>
      <c r="I4231" s="2"/>
      <c r="J4231" s="2"/>
      <c r="K4231" s="2">
        <v>9548810</v>
      </c>
      <c r="L4231" s="2"/>
      <c r="M4231" s="2"/>
      <c r="N4231" s="2"/>
      <c r="O4231" s="2">
        <v>36204</v>
      </c>
      <c r="P4231" s="2"/>
      <c r="Q4231" s="2"/>
      <c r="R4231" s="2"/>
      <c r="S4231" s="2" t="s">
        <v>27864</v>
      </c>
      <c r="T4231" s="2" t="s">
        <v>27865</v>
      </c>
      <c r="U4231" s="2" t="s">
        <v>103</v>
      </c>
      <c r="V4231" s="2" t="s">
        <v>377</v>
      </c>
      <c r="W4231" s="2" t="s">
        <v>378</v>
      </c>
      <c r="X4231" s="2" t="s">
        <v>147</v>
      </c>
      <c r="Y4231" s="2">
        <v>38.799999999999997</v>
      </c>
      <c r="Z4231" s="2">
        <v>0</v>
      </c>
      <c r="AA4231" s="2" t="s">
        <v>122</v>
      </c>
      <c r="AB4231" s="2" t="s">
        <v>27866</v>
      </c>
      <c r="AC4231" s="2">
        <v>1.2737667772705299</v>
      </c>
      <c r="AD4231" s="2"/>
      <c r="AE4231" s="2">
        <v>0.106999246778583</v>
      </c>
      <c r="AF4231" s="2">
        <v>1870.06998315334</v>
      </c>
      <c r="AG4231" s="2">
        <v>2352.1297099461099</v>
      </c>
      <c r="AH4231" s="4">
        <v>0.795053935693108</v>
      </c>
      <c r="AI4231" s="4">
        <v>-0.33087536012868002</v>
      </c>
      <c r="AJ4231" s="4" t="s">
        <v>62</v>
      </c>
      <c r="AK4231" s="2">
        <v>7.6633063731660095E-2</v>
      </c>
      <c r="AL4231" s="2">
        <v>0.36102259885854299</v>
      </c>
      <c r="AM4231" s="2">
        <v>1857.4700550687301</v>
      </c>
      <c r="AN4231" s="2">
        <v>2228.5474570535898</v>
      </c>
      <c r="AO4231" s="2">
        <v>1934.7135388659101</v>
      </c>
      <c r="AP4231" s="2">
        <v>2008.9472992431499</v>
      </c>
      <c r="AQ4231" s="2">
        <v>1750.47962999381</v>
      </c>
      <c r="AR4231" s="2">
        <v>1440.26191869488</v>
      </c>
      <c r="AS4231" s="2">
        <v>2365.6167620995402</v>
      </c>
      <c r="AT4231" s="2">
        <v>2930.4589802062301</v>
      </c>
      <c r="AU4231" s="2">
        <v>2098.31398170693</v>
      </c>
      <c r="AV4231" s="2">
        <v>1432.94315013247</v>
      </c>
      <c r="AW4231" s="2">
        <v>2530.8240272256298</v>
      </c>
      <c r="AX4231" s="2">
        <v>2754.6213583058702</v>
      </c>
    </row>
    <row r="4232" spans="1:50" x14ac:dyDescent="0.25">
      <c r="A4232" s="2" t="s">
        <v>27867</v>
      </c>
      <c r="B4232" s="2">
        <v>171.00663179651499</v>
      </c>
      <c r="C4232" s="2">
        <v>5.0332333333333299</v>
      </c>
      <c r="D4232" s="2" t="s">
        <v>51</v>
      </c>
      <c r="E4232" s="2" t="s">
        <v>27868</v>
      </c>
      <c r="F4232" s="2">
        <v>83299</v>
      </c>
      <c r="G4232" s="3" t="str">
        <f>HYPERLINK("https://cloud.oebiotech.com/#/lm/network/83299", "https://cloud.oebiotech.com/#/lm/network/83299")</f>
        <v>https://cloud.oebiotech.com/#/lm/network/83299</v>
      </c>
      <c r="H4232" s="2" t="s">
        <v>27869</v>
      </c>
      <c r="I4232" s="2">
        <v>2928</v>
      </c>
      <c r="J4232" s="2"/>
      <c r="K4232" s="2">
        <v>13134</v>
      </c>
      <c r="L4232" s="2"/>
      <c r="M4232" s="2"/>
      <c r="N4232" s="2"/>
      <c r="O4232" s="2"/>
      <c r="P4232" s="2"/>
      <c r="Q4232" s="2"/>
      <c r="R4232" s="2" t="s">
        <v>27870</v>
      </c>
      <c r="S4232" s="2" t="s">
        <v>27871</v>
      </c>
      <c r="T4232" s="2" t="s">
        <v>27872</v>
      </c>
      <c r="U4232" s="2" t="s">
        <v>103</v>
      </c>
      <c r="V4232" s="2" t="s">
        <v>1567</v>
      </c>
      <c r="W4232" s="2" t="s">
        <v>1568</v>
      </c>
      <c r="X4232" s="2" t="s">
        <v>147</v>
      </c>
      <c r="Y4232" s="2">
        <v>38.9</v>
      </c>
      <c r="Z4232" s="2">
        <v>0</v>
      </c>
      <c r="AA4232" s="2" t="s">
        <v>218</v>
      </c>
      <c r="AB4232" s="2" t="s">
        <v>27873</v>
      </c>
      <c r="AC4232" s="2">
        <v>1.85379835376584</v>
      </c>
      <c r="AD4232" s="2"/>
      <c r="AE4232" s="2">
        <v>0.10688976746102501</v>
      </c>
      <c r="AF4232" s="2">
        <v>1752.9648754437101</v>
      </c>
      <c r="AG4232" s="2">
        <v>2082.0714737154099</v>
      </c>
      <c r="AH4232" s="4">
        <v>0.84193309287100604</v>
      </c>
      <c r="AI4232" s="4">
        <v>-0.24822250579819499</v>
      </c>
      <c r="AJ4232" s="4" t="s">
        <v>62</v>
      </c>
      <c r="AK4232" s="2">
        <v>8.83372365886088E-2</v>
      </c>
      <c r="AL4232" s="2">
        <v>0.38072356452622402</v>
      </c>
      <c r="AM4232" s="2">
        <v>1501.8625478481899</v>
      </c>
      <c r="AN4232" s="2">
        <v>1751.89018895193</v>
      </c>
      <c r="AO4232" s="2">
        <v>1785.00044187144</v>
      </c>
      <c r="AP4232" s="2">
        <v>1613.9255825006401</v>
      </c>
      <c r="AQ4232" s="2">
        <v>2256.97399237032</v>
      </c>
      <c r="AR4232" s="2">
        <v>1608.1364991197199</v>
      </c>
      <c r="AS4232" s="2">
        <v>2161.93636187328</v>
      </c>
      <c r="AT4232" s="2">
        <v>2304.58409969782</v>
      </c>
      <c r="AU4232" s="2">
        <v>1542.2773466005401</v>
      </c>
      <c r="AV4232" s="2">
        <v>2489.72873922598</v>
      </c>
      <c r="AW4232" s="2">
        <v>1884.89351334091</v>
      </c>
      <c r="AX4232" s="2">
        <v>2109.00878155392</v>
      </c>
    </row>
    <row r="4233" spans="1:50" x14ac:dyDescent="0.25">
      <c r="A4233" s="2" t="s">
        <v>27874</v>
      </c>
      <c r="B4233" s="2">
        <v>453.08027633899798</v>
      </c>
      <c r="C4233" s="2">
        <v>9.3362833333333306</v>
      </c>
      <c r="D4233" s="2" t="s">
        <v>51</v>
      </c>
      <c r="E4233" s="2" t="s">
        <v>27875</v>
      </c>
      <c r="F4233" s="2">
        <v>48876</v>
      </c>
      <c r="G4233" s="3" t="str">
        <f>HYPERLINK("https://cloud.oebiotech.com/#/lm/network/48876", "https://cloud.oebiotech.com/#/lm/network/48876")</f>
        <v>https://cloud.oebiotech.com/#/lm/network/48876</v>
      </c>
      <c r="H4233" s="2" t="s">
        <v>27876</v>
      </c>
      <c r="I4233" s="2"/>
      <c r="J4233" s="2"/>
      <c r="K4233" s="2"/>
      <c r="L4233" s="2" t="s">
        <v>27877</v>
      </c>
      <c r="M4233" s="2" t="s">
        <v>15319</v>
      </c>
      <c r="N4233" s="2" t="s">
        <v>15320</v>
      </c>
      <c r="O4233" s="2"/>
      <c r="P4233" s="2"/>
      <c r="Q4233" s="2"/>
      <c r="R4233" s="2"/>
      <c r="S4233" s="2" t="s">
        <v>27878</v>
      </c>
      <c r="T4233" s="2" t="s">
        <v>27879</v>
      </c>
      <c r="U4233" s="2" t="s">
        <v>266</v>
      </c>
      <c r="V4233" s="2" t="s">
        <v>2143</v>
      </c>
      <c r="W4233" s="2" t="s">
        <v>6504</v>
      </c>
      <c r="X4233" s="2" t="s">
        <v>147</v>
      </c>
      <c r="Y4233" s="2">
        <v>38.1</v>
      </c>
      <c r="Z4233" s="2">
        <v>0</v>
      </c>
      <c r="AA4233" s="2" t="s">
        <v>478</v>
      </c>
      <c r="AB4233" s="2" t="s">
        <v>27880</v>
      </c>
      <c r="AC4233" s="2">
        <v>3.4767632307082699</v>
      </c>
      <c r="AD4233" s="2"/>
      <c r="AE4233" s="2">
        <v>0.10670535525455301</v>
      </c>
      <c r="AF4233" s="2">
        <v>2191.0890684818401</v>
      </c>
      <c r="AG4233" s="2">
        <v>2582.4896945533801</v>
      </c>
      <c r="AH4233" s="4">
        <v>0.84844058549506396</v>
      </c>
      <c r="AI4233" s="4">
        <v>-0.23711446047339901</v>
      </c>
      <c r="AJ4233" s="4" t="s">
        <v>62</v>
      </c>
      <c r="AK4233" s="2">
        <v>0.11550295301305</v>
      </c>
      <c r="AL4233" s="2">
        <v>0.43155508624196298</v>
      </c>
      <c r="AM4233" s="2">
        <v>1735.8939425402</v>
      </c>
      <c r="AN4233" s="2">
        <v>2073.8642525720602</v>
      </c>
      <c r="AO4233" s="2">
        <v>2352.2726225363299</v>
      </c>
      <c r="AP4233" s="2">
        <v>2088.6902799976701</v>
      </c>
      <c r="AQ4233" s="2">
        <v>2450.81399437134</v>
      </c>
      <c r="AR4233" s="2">
        <v>2444.9993188734202</v>
      </c>
      <c r="AS4233" s="2">
        <v>1901.3237170944601</v>
      </c>
      <c r="AT4233" s="2">
        <v>3214.0259385399499</v>
      </c>
      <c r="AU4233" s="2">
        <v>2139.8841497196499</v>
      </c>
      <c r="AV4233" s="2">
        <v>2694.0248162841899</v>
      </c>
      <c r="AW4233" s="2">
        <v>2689.0003130414898</v>
      </c>
      <c r="AX4233" s="2">
        <v>2856.6792326405198</v>
      </c>
    </row>
    <row r="4234" spans="1:50" x14ac:dyDescent="0.25">
      <c r="A4234" s="2" t="s">
        <v>27881</v>
      </c>
      <c r="B4234" s="2">
        <v>393.22086897966801</v>
      </c>
      <c r="C4234" s="2">
        <v>13.30415</v>
      </c>
      <c r="D4234" s="2" t="s">
        <v>51</v>
      </c>
      <c r="E4234" s="2" t="s">
        <v>27882</v>
      </c>
      <c r="F4234" s="2">
        <v>208025</v>
      </c>
      <c r="G4234" s="3" t="str">
        <f>HYPERLINK("https://cloud.oebiotech.com/#/lm/network/208025", "https://cloud.oebiotech.com/#/lm/network/208025")</f>
        <v>https://cloud.oebiotech.com/#/lm/network/208025</v>
      </c>
      <c r="H4234" s="2" t="s">
        <v>27883</v>
      </c>
      <c r="I4234" s="2"/>
      <c r="J4234" s="2"/>
      <c r="K4234" s="2">
        <v>9821941</v>
      </c>
      <c r="L4234" s="2"/>
      <c r="M4234" s="2"/>
      <c r="N4234" s="2"/>
      <c r="O4234" s="2"/>
      <c r="P4234" s="2"/>
      <c r="Q4234" s="2"/>
      <c r="R4234" s="2"/>
      <c r="S4234" s="2" t="s">
        <v>27884</v>
      </c>
      <c r="T4234" s="2" t="s">
        <v>27885</v>
      </c>
      <c r="U4234" s="2" t="s">
        <v>331</v>
      </c>
      <c r="V4234" s="2" t="s">
        <v>332</v>
      </c>
      <c r="W4234" s="2" t="s">
        <v>1207</v>
      </c>
      <c r="X4234" s="2" t="s">
        <v>147</v>
      </c>
      <c r="Y4234" s="2">
        <v>39.5</v>
      </c>
      <c r="Z4234" s="2">
        <v>6.95</v>
      </c>
      <c r="AA4234" s="2" t="s">
        <v>122</v>
      </c>
      <c r="AB4234" s="2" t="s">
        <v>27886</v>
      </c>
      <c r="AC4234" s="2">
        <v>-1.96294448748436</v>
      </c>
      <c r="AD4234" s="2"/>
      <c r="AE4234" s="2">
        <v>0.10649463650343199</v>
      </c>
      <c r="AF4234" s="2">
        <v>221410.01664329399</v>
      </c>
      <c r="AG4234" s="2">
        <v>227294.384243484</v>
      </c>
      <c r="AH4234" s="4">
        <v>0.97411124951557604</v>
      </c>
      <c r="AI4234" s="4">
        <v>-3.7841548494448402E-2</v>
      </c>
      <c r="AJ4234" s="4" t="s">
        <v>62</v>
      </c>
      <c r="AK4234" s="2">
        <v>0.80205717402630206</v>
      </c>
      <c r="AL4234" s="2">
        <v>0.91089831239276597</v>
      </c>
      <c r="AM4234" s="2">
        <v>267484.62077285198</v>
      </c>
      <c r="AN4234" s="2">
        <v>232004.93390374101</v>
      </c>
      <c r="AO4234" s="2">
        <v>237948.939811082</v>
      </c>
      <c r="AP4234" s="2">
        <v>199925.85485392899</v>
      </c>
      <c r="AQ4234" s="2">
        <v>226387.142949406</v>
      </c>
      <c r="AR4234" s="2">
        <v>164708.60756875199</v>
      </c>
      <c r="AS4234" s="2">
        <v>159191.70134981599</v>
      </c>
      <c r="AT4234" s="2">
        <v>211316.64707423901</v>
      </c>
      <c r="AU4234" s="2">
        <v>293165.27888552699</v>
      </c>
      <c r="AV4234" s="2">
        <v>224425.45705266399</v>
      </c>
      <c r="AW4234" s="2">
        <v>237273.60372231799</v>
      </c>
      <c r="AX4234" s="2">
        <v>238393.61737634</v>
      </c>
    </row>
    <row r="4235" spans="1:50" x14ac:dyDescent="0.25">
      <c r="A4235" s="2" t="s">
        <v>27887</v>
      </c>
      <c r="B4235" s="2">
        <v>322.088535762204</v>
      </c>
      <c r="C4235" s="2">
        <v>4.5305499999999999</v>
      </c>
      <c r="D4235" s="2" t="s">
        <v>51</v>
      </c>
      <c r="E4235" s="2" t="s">
        <v>27888</v>
      </c>
      <c r="F4235" s="2">
        <v>203716</v>
      </c>
      <c r="G4235" s="3" t="str">
        <f>HYPERLINK("https://cloud.oebiotech.com/#/lm/network/203716", "https://cloud.oebiotech.com/#/lm/network/203716")</f>
        <v>https://cloud.oebiotech.com/#/lm/network/203716</v>
      </c>
      <c r="H4235" s="2" t="s">
        <v>27889</v>
      </c>
      <c r="I4235" s="2"/>
      <c r="J4235" s="2"/>
      <c r="K4235" s="2"/>
      <c r="L4235" s="2"/>
      <c r="M4235" s="2"/>
      <c r="N4235" s="2"/>
      <c r="O4235" s="2"/>
      <c r="P4235" s="2"/>
      <c r="Q4235" s="2"/>
      <c r="R4235" s="2"/>
      <c r="S4235" s="2" t="s">
        <v>27890</v>
      </c>
      <c r="T4235" s="2" t="s">
        <v>27891</v>
      </c>
      <c r="U4235" s="2" t="s">
        <v>103</v>
      </c>
      <c r="V4235" s="2" t="s">
        <v>104</v>
      </c>
      <c r="W4235" s="2" t="s">
        <v>105</v>
      </c>
      <c r="X4235" s="2" t="s">
        <v>147</v>
      </c>
      <c r="Y4235" s="2">
        <v>40.5</v>
      </c>
      <c r="Z4235" s="2">
        <v>10.199999999999999</v>
      </c>
      <c r="AA4235" s="2" t="s">
        <v>218</v>
      </c>
      <c r="AB4235" s="2" t="s">
        <v>27892</v>
      </c>
      <c r="AC4235" s="2">
        <v>-2.4069355080877401</v>
      </c>
      <c r="AD4235" s="2"/>
      <c r="AE4235" s="2">
        <v>0.106364120215396</v>
      </c>
      <c r="AF4235" s="2">
        <v>1044.1440377783499</v>
      </c>
      <c r="AG4235" s="2">
        <v>307.12637650690101</v>
      </c>
      <c r="AH4235" s="5">
        <v>3.3997211494952499</v>
      </c>
      <c r="AI4235" s="5">
        <v>1.7654164190869801</v>
      </c>
      <c r="AJ4235" s="5" t="s">
        <v>139</v>
      </c>
      <c r="AK4235" s="2">
        <v>0.34997662314405398</v>
      </c>
      <c r="AL4235" s="2">
        <v>0.64268828073190598</v>
      </c>
      <c r="AM4235" s="2">
        <v>325.964695108797</v>
      </c>
      <c r="AN4235" s="2">
        <v>8.559877937157E-6</v>
      </c>
      <c r="AO4235" s="2">
        <v>1299.9556404965001</v>
      </c>
      <c r="AP4235" s="2">
        <v>8.559877937157E-6</v>
      </c>
      <c r="AQ4235" s="2">
        <v>4496.9830722840597</v>
      </c>
      <c r="AR4235" s="2">
        <v>141.96080166100299</v>
      </c>
      <c r="AS4235" s="2">
        <v>520.32555742198599</v>
      </c>
      <c r="AT4235" s="2">
        <v>8.559877937157E-6</v>
      </c>
      <c r="AU4235" s="2">
        <v>1322.4326673799101</v>
      </c>
      <c r="AV4235" s="2">
        <v>8.559877937157E-6</v>
      </c>
      <c r="AW4235" s="2">
        <v>8.559877937157E-6</v>
      </c>
      <c r="AX4235" s="2">
        <v>8.559877937157E-6</v>
      </c>
    </row>
    <row r="4236" spans="1:50" x14ac:dyDescent="0.25">
      <c r="A4236" s="2" t="s">
        <v>27893</v>
      </c>
      <c r="B4236" s="2">
        <v>307.202391583973</v>
      </c>
      <c r="C4236" s="2">
        <v>6.4777333333333296</v>
      </c>
      <c r="D4236" s="2" t="s">
        <v>51</v>
      </c>
      <c r="E4236" s="2" t="s">
        <v>27894</v>
      </c>
      <c r="F4236" s="2">
        <v>37369</v>
      </c>
      <c r="G4236" s="3" t="str">
        <f>HYPERLINK("https://cloud.oebiotech.com/#/lm/network/37369", "https://cloud.oebiotech.com/#/lm/network/37369")</f>
        <v>https://cloud.oebiotech.com/#/lm/network/37369</v>
      </c>
      <c r="H4236" s="2" t="s">
        <v>27895</v>
      </c>
      <c r="I4236" s="2">
        <v>2276</v>
      </c>
      <c r="J4236" s="2" t="s">
        <v>27896</v>
      </c>
      <c r="K4236" s="2">
        <v>638015</v>
      </c>
      <c r="L4236" s="2" t="s">
        <v>27897</v>
      </c>
      <c r="M4236" s="2" t="s">
        <v>27898</v>
      </c>
      <c r="N4236" s="2" t="s">
        <v>27899</v>
      </c>
      <c r="O4236" s="2">
        <v>17898</v>
      </c>
      <c r="P4236" s="2" t="s">
        <v>27900</v>
      </c>
      <c r="Q4236" s="2" t="s">
        <v>27901</v>
      </c>
      <c r="R4236" s="2" t="s">
        <v>27902</v>
      </c>
      <c r="S4236" s="2" t="s">
        <v>27903</v>
      </c>
      <c r="T4236" s="2" t="s">
        <v>27904</v>
      </c>
      <c r="U4236" s="2" t="s">
        <v>56</v>
      </c>
      <c r="V4236" s="2" t="s">
        <v>177</v>
      </c>
      <c r="W4236" s="2" t="s">
        <v>3987</v>
      </c>
      <c r="X4236" s="2" t="s">
        <v>147</v>
      </c>
      <c r="Y4236" s="2">
        <v>37.1</v>
      </c>
      <c r="Z4236" s="2">
        <v>0</v>
      </c>
      <c r="AA4236" s="2" t="s">
        <v>95</v>
      </c>
      <c r="AB4236" s="2" t="s">
        <v>11750</v>
      </c>
      <c r="AC4236" s="2">
        <v>-2.9717519217533601</v>
      </c>
      <c r="AD4236" s="2"/>
      <c r="AE4236" s="2">
        <v>0.10634120507294501</v>
      </c>
      <c r="AF4236" s="2">
        <v>990.66233825623306</v>
      </c>
      <c r="AG4236" s="2">
        <v>275.18634697607803</v>
      </c>
      <c r="AH4236" s="5">
        <v>3.59996907238407</v>
      </c>
      <c r="AI4236" s="5">
        <v>1.84798451230223</v>
      </c>
      <c r="AJ4236" s="5" t="s">
        <v>139</v>
      </c>
      <c r="AK4236" s="2">
        <v>0.21391362150721199</v>
      </c>
      <c r="AL4236" s="2">
        <v>0.53768212145991301</v>
      </c>
      <c r="AM4236" s="2">
        <v>188.640495856413</v>
      </c>
      <c r="AN4236" s="2">
        <v>447.47204067404402</v>
      </c>
      <c r="AO4236" s="2">
        <v>319.45033387353999</v>
      </c>
      <c r="AP4236" s="2">
        <v>356.49246398382297</v>
      </c>
      <c r="AQ4236" s="2">
        <v>3604.4569881087</v>
      </c>
      <c r="AR4236" s="2">
        <v>1027.4617070408799</v>
      </c>
      <c r="AS4236" s="2">
        <v>427.094032695669</v>
      </c>
      <c r="AT4236" s="2">
        <v>379.73749258011799</v>
      </c>
      <c r="AU4236" s="2">
        <v>128.49710008615901</v>
      </c>
      <c r="AV4236" s="2">
        <v>178.912920939462</v>
      </c>
      <c r="AW4236" s="2">
        <v>150.239993977578</v>
      </c>
      <c r="AX4236" s="2">
        <v>386.63654157748198</v>
      </c>
    </row>
    <row r="4237" spans="1:50" x14ac:dyDescent="0.25">
      <c r="A4237" s="2" t="s">
        <v>27905</v>
      </c>
      <c r="B4237" s="2">
        <v>698.34339527175996</v>
      </c>
      <c r="C4237" s="2">
        <v>3.77301666666667</v>
      </c>
      <c r="D4237" s="2" t="s">
        <v>51</v>
      </c>
      <c r="E4237" s="2" t="s">
        <v>27906</v>
      </c>
      <c r="F4237" s="2">
        <v>27848</v>
      </c>
      <c r="G4237" s="3" t="str">
        <f>HYPERLINK("https://cloud.oebiotech.com/#/lm/network/27848", "https://cloud.oebiotech.com/#/lm/network/27848")</f>
        <v>https://cloud.oebiotech.com/#/lm/network/27848</v>
      </c>
      <c r="H4237" s="2"/>
      <c r="I4237" s="2"/>
      <c r="J4237" s="2" t="s">
        <v>27907</v>
      </c>
      <c r="K4237" s="2">
        <v>134812307</v>
      </c>
      <c r="L4237" s="2"/>
      <c r="M4237" s="2"/>
      <c r="N4237" s="2"/>
      <c r="O4237" s="2"/>
      <c r="P4237" s="2"/>
      <c r="Q4237" s="2"/>
      <c r="R4237" s="2"/>
      <c r="S4237" s="2" t="s">
        <v>27908</v>
      </c>
      <c r="T4237" s="2" t="s">
        <v>27909</v>
      </c>
      <c r="U4237" s="2" t="s">
        <v>56</v>
      </c>
      <c r="V4237" s="2" t="s">
        <v>57</v>
      </c>
      <c r="W4237" s="2" t="s">
        <v>58</v>
      </c>
      <c r="X4237" s="2" t="s">
        <v>147</v>
      </c>
      <c r="Y4237" s="2">
        <v>37.200000000000003</v>
      </c>
      <c r="Z4237" s="2">
        <v>0</v>
      </c>
      <c r="AA4237" s="2" t="s">
        <v>395</v>
      </c>
      <c r="AB4237" s="2" t="s">
        <v>27910</v>
      </c>
      <c r="AC4237" s="2">
        <v>0.61194061367017005</v>
      </c>
      <c r="AD4237" s="2"/>
      <c r="AE4237" s="2">
        <v>0.10626752121227601</v>
      </c>
      <c r="AF4237" s="2">
        <v>2715.6364624182502</v>
      </c>
      <c r="AG4237" s="2">
        <v>3698.5506572580598</v>
      </c>
      <c r="AH4237" s="4">
        <v>0.73424341426527995</v>
      </c>
      <c r="AI4237" s="4">
        <v>-0.44566967441136801</v>
      </c>
      <c r="AJ4237" s="4" t="s">
        <v>62</v>
      </c>
      <c r="AK4237" s="2">
        <v>0.786946951580484</v>
      </c>
      <c r="AL4237" s="2">
        <v>0.90579760595838199</v>
      </c>
      <c r="AM4237" s="2">
        <v>4503.7486574966897</v>
      </c>
      <c r="AN4237" s="2">
        <v>8.559877937157E-6</v>
      </c>
      <c r="AO4237" s="2">
        <v>8.559877937157E-6</v>
      </c>
      <c r="AP4237" s="2">
        <v>8.559877937157E-6</v>
      </c>
      <c r="AQ4237" s="2">
        <v>6236.1229968818698</v>
      </c>
      <c r="AR4237" s="2">
        <v>5553.9470944513296</v>
      </c>
      <c r="AS4237" s="2">
        <v>435.57478430889699</v>
      </c>
      <c r="AT4237" s="2">
        <v>8.559877937157E-6</v>
      </c>
      <c r="AU4237" s="2">
        <v>8.559877937157E-6</v>
      </c>
      <c r="AV4237" s="2">
        <v>20244.556537517201</v>
      </c>
      <c r="AW4237" s="2">
        <v>8.559877937157E-6</v>
      </c>
      <c r="AX4237" s="2">
        <v>1511.17259604264</v>
      </c>
    </row>
    <row r="4238" spans="1:50" x14ac:dyDescent="0.25">
      <c r="A4238" s="2" t="s">
        <v>27911</v>
      </c>
      <c r="B4238" s="2">
        <v>221.98294127911399</v>
      </c>
      <c r="C4238" s="2">
        <v>1.3642000000000001</v>
      </c>
      <c r="D4238" s="2" t="s">
        <v>51</v>
      </c>
      <c r="E4238" s="2" t="s">
        <v>27912</v>
      </c>
      <c r="F4238" s="2">
        <v>47858</v>
      </c>
      <c r="G4238" s="3" t="str">
        <f>HYPERLINK("https://cloud.oebiotech.com/#/lm/network/47858", "https://cloud.oebiotech.com/#/lm/network/47858")</f>
        <v>https://cloud.oebiotech.com/#/lm/network/47858</v>
      </c>
      <c r="H4238" s="2" t="s">
        <v>27913</v>
      </c>
      <c r="I4238" s="2">
        <v>6545</v>
      </c>
      <c r="J4238" s="2"/>
      <c r="K4238" s="2">
        <v>177491</v>
      </c>
      <c r="L4238" s="2" t="s">
        <v>27914</v>
      </c>
      <c r="M4238" s="2" t="s">
        <v>26343</v>
      </c>
      <c r="N4238" s="2" t="s">
        <v>26344</v>
      </c>
      <c r="O4238" s="2">
        <v>132223</v>
      </c>
      <c r="P4238" s="2"/>
      <c r="Q4238" s="2"/>
      <c r="R4238" s="2" t="s">
        <v>27915</v>
      </c>
      <c r="S4238" s="2" t="s">
        <v>27916</v>
      </c>
      <c r="T4238" s="2" t="s">
        <v>27917</v>
      </c>
      <c r="U4238" s="2" t="s">
        <v>103</v>
      </c>
      <c r="V4238" s="2" t="s">
        <v>104</v>
      </c>
      <c r="W4238" s="2" t="s">
        <v>105</v>
      </c>
      <c r="X4238" s="2" t="s">
        <v>147</v>
      </c>
      <c r="Y4238" s="2">
        <v>37.4</v>
      </c>
      <c r="Z4238" s="2">
        <v>0</v>
      </c>
      <c r="AA4238" s="2" t="s">
        <v>395</v>
      </c>
      <c r="AB4238" s="2" t="s">
        <v>27918</v>
      </c>
      <c r="AC4238" s="2">
        <v>-1.96804629941875</v>
      </c>
      <c r="AD4238" s="2"/>
      <c r="AE4238" s="2">
        <v>0.10617264370991999</v>
      </c>
      <c r="AF4238" s="2">
        <v>804.45042154760802</v>
      </c>
      <c r="AG4238" s="2">
        <v>409.75781565111203</v>
      </c>
      <c r="AH4238" s="5">
        <v>1.96323386844818</v>
      </c>
      <c r="AI4238" s="5">
        <v>0.97323204277521103</v>
      </c>
      <c r="AJ4238" s="5" t="s">
        <v>139</v>
      </c>
      <c r="AK4238" s="2">
        <v>4.5503108583406303E-2</v>
      </c>
      <c r="AL4238" s="2">
        <v>0.30218339559248703</v>
      </c>
      <c r="AM4238" s="2">
        <v>668.13363728687204</v>
      </c>
      <c r="AN4238" s="2">
        <v>488.77416636555802</v>
      </c>
      <c r="AO4238" s="2">
        <v>1401.1307474693299</v>
      </c>
      <c r="AP4238" s="2">
        <v>1207.88679609418</v>
      </c>
      <c r="AQ4238" s="2">
        <v>477.204338385612</v>
      </c>
      <c r="AR4238" s="2">
        <v>583.57284368409796</v>
      </c>
      <c r="AS4238" s="2">
        <v>248.627427504369</v>
      </c>
      <c r="AT4238" s="2">
        <v>404.00636756171298</v>
      </c>
      <c r="AU4238" s="2">
        <v>329.794463223234</v>
      </c>
      <c r="AV4238" s="2">
        <v>640.69289015572997</v>
      </c>
      <c r="AW4238" s="2">
        <v>324.41553748276198</v>
      </c>
      <c r="AX4238" s="2">
        <v>511.01020797886599</v>
      </c>
    </row>
    <row r="4239" spans="1:50" x14ac:dyDescent="0.25">
      <c r="A4239" s="2" t="s">
        <v>27919</v>
      </c>
      <c r="B4239" s="2">
        <v>409.17259874436002</v>
      </c>
      <c r="C4239" s="2">
        <v>4.1970666666666698</v>
      </c>
      <c r="D4239" s="2" t="s">
        <v>51</v>
      </c>
      <c r="E4239" s="2" t="s">
        <v>27920</v>
      </c>
      <c r="F4239" s="2">
        <v>209861</v>
      </c>
      <c r="G4239" s="3" t="str">
        <f>HYPERLINK("https://cloud.oebiotech.com/#/lm/network/209861", "https://cloud.oebiotech.com/#/lm/network/209861")</f>
        <v>https://cloud.oebiotech.com/#/lm/network/209861</v>
      </c>
      <c r="H4239" s="2" t="s">
        <v>27921</v>
      </c>
      <c r="I4239" s="2"/>
      <c r="J4239" s="2"/>
      <c r="K4239" s="2">
        <v>9800339</v>
      </c>
      <c r="L4239" s="2"/>
      <c r="M4239" s="2"/>
      <c r="N4239" s="2"/>
      <c r="O4239" s="2"/>
      <c r="P4239" s="2"/>
      <c r="Q4239" s="2"/>
      <c r="R4239" s="2"/>
      <c r="S4239" s="2" t="s">
        <v>27922</v>
      </c>
      <c r="T4239" s="2" t="s">
        <v>27923</v>
      </c>
      <c r="U4239" s="2" t="s">
        <v>266</v>
      </c>
      <c r="V4239" s="2" t="s">
        <v>19336</v>
      </c>
      <c r="W4239" s="2" t="s">
        <v>19337</v>
      </c>
      <c r="X4239" s="2" t="s">
        <v>147</v>
      </c>
      <c r="Y4239" s="2">
        <v>38.700000000000003</v>
      </c>
      <c r="Z4239" s="2">
        <v>7.65</v>
      </c>
      <c r="AA4239" s="2" t="s">
        <v>95</v>
      </c>
      <c r="AB4239" s="2" t="s">
        <v>27924</v>
      </c>
      <c r="AC4239" s="2">
        <v>-2.0556949711577102</v>
      </c>
      <c r="AD4239" s="2"/>
      <c r="AE4239" s="2">
        <v>0.106140152146082</v>
      </c>
      <c r="AF4239" s="2">
        <v>2134.6081493523702</v>
      </c>
      <c r="AG4239" s="2">
        <v>3161.1010306994999</v>
      </c>
      <c r="AH4239" s="4">
        <v>0.67527362416506298</v>
      </c>
      <c r="AI4239" s="4">
        <v>-0.56645588718815298</v>
      </c>
      <c r="AJ4239" s="4" t="s">
        <v>62</v>
      </c>
      <c r="AK4239" s="2">
        <v>0.682197980941184</v>
      </c>
      <c r="AL4239" s="2">
        <v>0.84661567994310405</v>
      </c>
      <c r="AM4239" s="2">
        <v>3427.0891309947201</v>
      </c>
      <c r="AN4239" s="2">
        <v>1477.4801565407099</v>
      </c>
      <c r="AO4239" s="2">
        <v>1676.61002976686</v>
      </c>
      <c r="AP4239" s="2">
        <v>682.16120934904404</v>
      </c>
      <c r="AQ4239" s="2">
        <v>3251.65582034616</v>
      </c>
      <c r="AR4239" s="2">
        <v>2292.6525491166999</v>
      </c>
      <c r="AS4239" s="2">
        <v>335.63686082687002</v>
      </c>
      <c r="AT4239" s="2">
        <v>1084.39000519929</v>
      </c>
      <c r="AU4239" s="2">
        <v>585.38362284394498</v>
      </c>
      <c r="AV4239" s="2">
        <v>15117.5385719926</v>
      </c>
      <c r="AW4239" s="2">
        <v>617.33366637610197</v>
      </c>
      <c r="AX4239" s="2">
        <v>1226.32345695818</v>
      </c>
    </row>
    <row r="4240" spans="1:50" x14ac:dyDescent="0.25">
      <c r="A4240" s="2" t="s">
        <v>27925</v>
      </c>
      <c r="B4240" s="2">
        <v>433.044754615567</v>
      </c>
      <c r="C4240" s="2">
        <v>3.6067666666666698</v>
      </c>
      <c r="D4240" s="2" t="s">
        <v>51</v>
      </c>
      <c r="E4240" s="2" t="s">
        <v>27926</v>
      </c>
      <c r="F4240" s="2">
        <v>256992</v>
      </c>
      <c r="G4240" s="3" t="str">
        <f>HYPERLINK("https://cloud.oebiotech.com/#/lm/network/256992", "https://cloud.oebiotech.com/#/lm/network/256992")</f>
        <v>https://cloud.oebiotech.com/#/lm/network/256992</v>
      </c>
      <c r="H4240" s="2" t="s">
        <v>27927</v>
      </c>
      <c r="I4240" s="2"/>
      <c r="J4240" s="2"/>
      <c r="K4240" s="2"/>
      <c r="L4240" s="2"/>
      <c r="M4240" s="2"/>
      <c r="N4240" s="2"/>
      <c r="O4240" s="2">
        <v>58354</v>
      </c>
      <c r="P4240" s="2"/>
      <c r="Q4240" s="2"/>
      <c r="R4240" s="2"/>
      <c r="S4240" s="2" t="s">
        <v>27928</v>
      </c>
      <c r="T4240" s="2" t="s">
        <v>27929</v>
      </c>
      <c r="U4240" s="2" t="s">
        <v>266</v>
      </c>
      <c r="V4240" s="2" t="s">
        <v>3926</v>
      </c>
      <c r="W4240" s="2" t="s">
        <v>4115</v>
      </c>
      <c r="X4240" s="2" t="s">
        <v>147</v>
      </c>
      <c r="Y4240" s="2">
        <v>38.200000000000003</v>
      </c>
      <c r="Z4240" s="2">
        <v>0</v>
      </c>
      <c r="AA4240" s="2" t="s">
        <v>478</v>
      </c>
      <c r="AB4240" s="2" t="s">
        <v>27930</v>
      </c>
      <c r="AC4240" s="2">
        <v>3.5624638637185</v>
      </c>
      <c r="AD4240" s="2"/>
      <c r="AE4240" s="2">
        <v>0.106094824037421</v>
      </c>
      <c r="AF4240" s="2">
        <v>2876.9056799763998</v>
      </c>
      <c r="AG4240" s="2">
        <v>3576.5169515523098</v>
      </c>
      <c r="AH4240" s="4">
        <v>0.80438754211069696</v>
      </c>
      <c r="AI4240" s="4">
        <v>-0.31403735669796901</v>
      </c>
      <c r="AJ4240" s="4" t="s">
        <v>62</v>
      </c>
      <c r="AK4240" s="2">
        <v>0.27803891921531998</v>
      </c>
      <c r="AL4240" s="2">
        <v>0.59786927322758199</v>
      </c>
      <c r="AM4240" s="2">
        <v>2524.2789861102501</v>
      </c>
      <c r="AN4240" s="2">
        <v>3045.2444115488802</v>
      </c>
      <c r="AO4240" s="2">
        <v>2138.2730134737199</v>
      </c>
      <c r="AP4240" s="2">
        <v>3518.5769512686402</v>
      </c>
      <c r="AQ4240" s="2">
        <v>3710.6789600788702</v>
      </c>
      <c r="AR4240" s="2">
        <v>2324.3817573780402</v>
      </c>
      <c r="AS4240" s="2">
        <v>3895.71751814872</v>
      </c>
      <c r="AT4240" s="2">
        <v>5692.8431965599202</v>
      </c>
      <c r="AU4240" s="2">
        <v>2915.85045592287</v>
      </c>
      <c r="AV4240" s="2">
        <v>1840.1499652666701</v>
      </c>
      <c r="AW4240" s="2">
        <v>2844.6956285518399</v>
      </c>
      <c r="AX4240" s="2">
        <v>4269.8449448638103</v>
      </c>
    </row>
    <row r="4241" spans="1:50" x14ac:dyDescent="0.25">
      <c r="A4241" s="2" t="s">
        <v>27931</v>
      </c>
      <c r="B4241" s="2">
        <v>579.27908530104196</v>
      </c>
      <c r="C4241" s="2">
        <v>7.21756666666667</v>
      </c>
      <c r="D4241" s="2" t="s">
        <v>51</v>
      </c>
      <c r="E4241" s="2" t="s">
        <v>27932</v>
      </c>
      <c r="F4241" s="2">
        <v>58014</v>
      </c>
      <c r="G4241" s="3" t="str">
        <f>HYPERLINK("https://cloud.oebiotech.com/#/lm/network/58014", "https://cloud.oebiotech.com/#/lm/network/58014")</f>
        <v>https://cloud.oebiotech.com/#/lm/network/58014</v>
      </c>
      <c r="H4241" s="2" t="s">
        <v>27933</v>
      </c>
      <c r="I4241" s="2">
        <v>89568</v>
      </c>
      <c r="J4241" s="2"/>
      <c r="K4241" s="2">
        <v>5091219</v>
      </c>
      <c r="L4241" s="2"/>
      <c r="M4241" s="2"/>
      <c r="N4241" s="2"/>
      <c r="O4241" s="2"/>
      <c r="P4241" s="2"/>
      <c r="Q4241" s="2"/>
      <c r="R4241" s="2" t="s">
        <v>27934</v>
      </c>
      <c r="S4241" s="2" t="s">
        <v>27935</v>
      </c>
      <c r="T4241" s="2" t="s">
        <v>27936</v>
      </c>
      <c r="U4241" s="2" t="s">
        <v>56</v>
      </c>
      <c r="V4241" s="2" t="s">
        <v>283</v>
      </c>
      <c r="W4241" s="2" t="s">
        <v>1338</v>
      </c>
      <c r="X4241" s="2" t="s">
        <v>147</v>
      </c>
      <c r="Y4241" s="2">
        <v>36.9</v>
      </c>
      <c r="Z4241" s="2">
        <v>0</v>
      </c>
      <c r="AA4241" s="2" t="s">
        <v>218</v>
      </c>
      <c r="AB4241" s="2" t="s">
        <v>27937</v>
      </c>
      <c r="AC4241" s="2">
        <v>-3.7442560890860501</v>
      </c>
      <c r="AD4241" s="2"/>
      <c r="AE4241" s="2">
        <v>0.106028570419026</v>
      </c>
      <c r="AF4241" s="2">
        <v>3370.9051972981702</v>
      </c>
      <c r="AG4241" s="2">
        <v>4130.3380172238903</v>
      </c>
      <c r="AH4241" s="4">
        <v>0.81613300975396996</v>
      </c>
      <c r="AI4241" s="4">
        <v>-0.29312379946179901</v>
      </c>
      <c r="AJ4241" s="4" t="s">
        <v>62</v>
      </c>
      <c r="AK4241" s="2">
        <v>0.62666302797905005</v>
      </c>
      <c r="AL4241" s="2">
        <v>0.81661510033178697</v>
      </c>
      <c r="AM4241" s="2">
        <v>1328.37133782976</v>
      </c>
      <c r="AN4241" s="2">
        <v>2765.02689598495</v>
      </c>
      <c r="AO4241" s="2">
        <v>2145.2818339568598</v>
      </c>
      <c r="AP4241" s="2">
        <v>2067.8797346108699</v>
      </c>
      <c r="AQ4241" s="2">
        <v>3124.4872316767401</v>
      </c>
      <c r="AR4241" s="2">
        <v>8794.3841497298599</v>
      </c>
      <c r="AS4241" s="2">
        <v>2019.83395494142</v>
      </c>
      <c r="AT4241" s="2">
        <v>6259.3057531668001</v>
      </c>
      <c r="AU4241" s="2">
        <v>2517.55605835912</v>
      </c>
      <c r="AV4241" s="2">
        <v>6790.9699495846198</v>
      </c>
      <c r="AW4241" s="2">
        <v>6073.1100728555302</v>
      </c>
      <c r="AX4241" s="2">
        <v>1121.2523144358299</v>
      </c>
    </row>
    <row r="4242" spans="1:50" x14ac:dyDescent="0.25">
      <c r="A4242" s="2" t="s">
        <v>27938</v>
      </c>
      <c r="B4242" s="2">
        <v>651.31573800066303</v>
      </c>
      <c r="C4242" s="2">
        <v>4.9338333333333297</v>
      </c>
      <c r="D4242" s="2" t="s">
        <v>51</v>
      </c>
      <c r="E4242" s="2" t="s">
        <v>27939</v>
      </c>
      <c r="F4242" s="2">
        <v>209430</v>
      </c>
      <c r="G4242" s="3" t="str">
        <f>HYPERLINK("https://cloud.oebiotech.com/#/lm/network/209430", "https://cloud.oebiotech.com/#/lm/network/209430")</f>
        <v>https://cloud.oebiotech.com/#/lm/network/209430</v>
      </c>
      <c r="H4242" s="2" t="s">
        <v>27940</v>
      </c>
      <c r="I4242" s="2"/>
      <c r="J4242" s="2"/>
      <c r="K4242" s="2">
        <v>4424</v>
      </c>
      <c r="L4242" s="2"/>
      <c r="M4242" s="2"/>
      <c r="N4242" s="2"/>
      <c r="O4242" s="2"/>
      <c r="P4242" s="2"/>
      <c r="Q4242" s="2"/>
      <c r="R4242" s="2"/>
      <c r="S4242" s="2" t="s">
        <v>27941</v>
      </c>
      <c r="T4242" s="2" t="s">
        <v>27942</v>
      </c>
      <c r="U4242" s="2" t="s">
        <v>610</v>
      </c>
      <c r="V4242" s="2" t="s">
        <v>5991</v>
      </c>
      <c r="W4242" s="2" t="s">
        <v>240</v>
      </c>
      <c r="X4242" s="2" t="s">
        <v>147</v>
      </c>
      <c r="Y4242" s="2">
        <v>37.4</v>
      </c>
      <c r="Z4242" s="2">
        <v>7.6300000000000007E-2</v>
      </c>
      <c r="AA4242" s="2" t="s">
        <v>259</v>
      </c>
      <c r="AB4242" s="2" t="s">
        <v>27943</v>
      </c>
      <c r="AC4242" s="2">
        <v>-3.03472730880666</v>
      </c>
      <c r="AD4242" s="2"/>
      <c r="AE4242" s="2">
        <v>0.105896638910096</v>
      </c>
      <c r="AF4242" s="2">
        <v>6051.5268558297303</v>
      </c>
      <c r="AG4242" s="2">
        <v>4436.7957936535104</v>
      </c>
      <c r="AH4242" s="5">
        <v>1.3639408116294101</v>
      </c>
      <c r="AI4242" s="5">
        <v>0.44778103980089101</v>
      </c>
      <c r="AJ4242" s="5" t="s">
        <v>139</v>
      </c>
      <c r="AK4242" s="2">
        <v>0.570556213020329</v>
      </c>
      <c r="AL4242" s="2">
        <v>0.78325289930816699</v>
      </c>
      <c r="AM4242" s="2">
        <v>3815.8003848308299</v>
      </c>
      <c r="AN4242" s="2">
        <v>2295.0399956084898</v>
      </c>
      <c r="AO4242" s="2">
        <v>11806.5374980411</v>
      </c>
      <c r="AP4242" s="2">
        <v>1244.26098103185</v>
      </c>
      <c r="AQ4242" s="2">
        <v>949.57493397224005</v>
      </c>
      <c r="AR4242" s="2">
        <v>16197.9473414939</v>
      </c>
      <c r="AS4242" s="2">
        <v>5126.1303399765402</v>
      </c>
      <c r="AT4242" s="2">
        <v>377.33203006963902</v>
      </c>
      <c r="AU4242" s="2">
        <v>5978.3229586868301</v>
      </c>
      <c r="AV4242" s="2">
        <v>5864.1167345063504</v>
      </c>
      <c r="AW4242" s="2">
        <v>3729.7380558403001</v>
      </c>
      <c r="AX4242" s="2">
        <v>5545.1346428414099</v>
      </c>
    </row>
    <row r="4243" spans="1:50" x14ac:dyDescent="0.25">
      <c r="A4243" s="2" t="s">
        <v>27944</v>
      </c>
      <c r="B4243" s="2">
        <v>262.16588072511303</v>
      </c>
      <c r="C4243" s="2">
        <v>1.5076000000000001</v>
      </c>
      <c r="D4243" s="2" t="s">
        <v>51</v>
      </c>
      <c r="E4243" s="2" t="s">
        <v>27945</v>
      </c>
      <c r="F4243" s="2">
        <v>213021</v>
      </c>
      <c r="G4243" s="3" t="str">
        <f>HYPERLINK("https://cloud.oebiotech.com/#/lm/network/213021", "https://cloud.oebiotech.com/#/lm/network/213021")</f>
        <v>https://cloud.oebiotech.com/#/lm/network/213021</v>
      </c>
      <c r="H4243" s="2" t="s">
        <v>27946</v>
      </c>
      <c r="I4243" s="2"/>
      <c r="J4243" s="2"/>
      <c r="K4243" s="2"/>
      <c r="L4243" s="2"/>
      <c r="M4243" s="2"/>
      <c r="N4243" s="2"/>
      <c r="O4243" s="2"/>
      <c r="P4243" s="2"/>
      <c r="Q4243" s="2"/>
      <c r="R4243" s="2"/>
      <c r="S4243" s="2" t="s">
        <v>27947</v>
      </c>
      <c r="T4243" s="2" t="s">
        <v>27948</v>
      </c>
      <c r="U4243" s="2" t="s">
        <v>266</v>
      </c>
      <c r="V4243" s="2" t="s">
        <v>2963</v>
      </c>
      <c r="W4243" s="2" t="s">
        <v>240</v>
      </c>
      <c r="X4243" s="2" t="s">
        <v>147</v>
      </c>
      <c r="Y4243" s="2">
        <v>38</v>
      </c>
      <c r="Z4243" s="2">
        <v>1.1499999999999999</v>
      </c>
      <c r="AA4243" s="2" t="s">
        <v>512</v>
      </c>
      <c r="AB4243" s="2" t="s">
        <v>27949</v>
      </c>
      <c r="AC4243" s="2">
        <v>-1.4580479714245</v>
      </c>
      <c r="AD4243" s="2"/>
      <c r="AE4243" s="2">
        <v>0.105882981924317</v>
      </c>
      <c r="AF4243" s="2">
        <v>6193.3480673157101</v>
      </c>
      <c r="AG4243" s="2">
        <v>5494.8206102059203</v>
      </c>
      <c r="AH4243" s="5">
        <v>1.12712470645764</v>
      </c>
      <c r="AI4243" s="5">
        <v>0.17264714588698599</v>
      </c>
      <c r="AJ4243" s="5" t="s">
        <v>139</v>
      </c>
      <c r="AK4243" s="2">
        <v>0.41934539958397998</v>
      </c>
      <c r="AL4243" s="2">
        <v>0.68072239494470299</v>
      </c>
      <c r="AM4243" s="2">
        <v>7934.27950639354</v>
      </c>
      <c r="AN4243" s="2">
        <v>6282.5638384293397</v>
      </c>
      <c r="AO4243" s="2">
        <v>4609.6823599578802</v>
      </c>
      <c r="AP4243" s="2">
        <v>8216.3695563477395</v>
      </c>
      <c r="AQ4243" s="2">
        <v>4394.9971044705699</v>
      </c>
      <c r="AR4243" s="2">
        <v>5722.1960382952002</v>
      </c>
      <c r="AS4243" s="2">
        <v>5249.3301308585596</v>
      </c>
      <c r="AT4243" s="2">
        <v>4593.3348447058797</v>
      </c>
      <c r="AU4243" s="2">
        <v>6464.7672269023897</v>
      </c>
      <c r="AV4243" s="2">
        <v>3905.1208616938002</v>
      </c>
      <c r="AW4243" s="2">
        <v>7283.4429151203103</v>
      </c>
      <c r="AX4243" s="2">
        <v>5472.9276819545603</v>
      </c>
    </row>
    <row r="4244" spans="1:50" x14ac:dyDescent="0.25">
      <c r="A4244" s="2" t="s">
        <v>27950</v>
      </c>
      <c r="B4244" s="2">
        <v>506.02324507095602</v>
      </c>
      <c r="C4244" s="2">
        <v>10.011466666666699</v>
      </c>
      <c r="D4244" s="2" t="s">
        <v>51</v>
      </c>
      <c r="E4244" s="2" t="s">
        <v>27951</v>
      </c>
      <c r="F4244" s="2">
        <v>203367</v>
      </c>
      <c r="G4244" s="3" t="str">
        <f>HYPERLINK("https://cloud.oebiotech.com/#/lm/network/203367", "https://cloud.oebiotech.com/#/lm/network/203367")</f>
        <v>https://cloud.oebiotech.com/#/lm/network/203367</v>
      </c>
      <c r="H4244" s="2" t="s">
        <v>27952</v>
      </c>
      <c r="I4244" s="2"/>
      <c r="J4244" s="2"/>
      <c r="K4244" s="2">
        <v>3104</v>
      </c>
      <c r="L4244" s="2"/>
      <c r="M4244" s="2"/>
      <c r="N4244" s="2"/>
      <c r="O4244" s="2"/>
      <c r="P4244" s="2"/>
      <c r="Q4244" s="2"/>
      <c r="R4244" s="2"/>
      <c r="S4244" s="2" t="s">
        <v>27953</v>
      </c>
      <c r="T4244" s="2" t="s">
        <v>27954</v>
      </c>
      <c r="U4244" s="2" t="s">
        <v>295</v>
      </c>
      <c r="V4244" s="2" t="s">
        <v>1023</v>
      </c>
      <c r="W4244" s="2" t="s">
        <v>4858</v>
      </c>
      <c r="X4244" s="2" t="s">
        <v>147</v>
      </c>
      <c r="Y4244" s="2">
        <v>36.700000000000003</v>
      </c>
      <c r="Z4244" s="2">
        <v>0</v>
      </c>
      <c r="AA4244" s="2" t="s">
        <v>259</v>
      </c>
      <c r="AB4244" s="2" t="s">
        <v>27955</v>
      </c>
      <c r="AC4244" s="2">
        <v>-1.0143966451172</v>
      </c>
      <c r="AD4244" s="2"/>
      <c r="AE4244" s="2">
        <v>0.10573723394803</v>
      </c>
      <c r="AF4244" s="2">
        <v>2152.1875463216902</v>
      </c>
      <c r="AG4244" s="2">
        <v>2606.0288867690301</v>
      </c>
      <c r="AH4244" s="4">
        <v>0.82584945901731099</v>
      </c>
      <c r="AI4244" s="4">
        <v>-0.276049272713424</v>
      </c>
      <c r="AJ4244" s="4" t="s">
        <v>62</v>
      </c>
      <c r="AK4244" s="2">
        <v>0.48544343785247601</v>
      </c>
      <c r="AL4244" s="2">
        <v>0.72908618530992897</v>
      </c>
      <c r="AM4244" s="2">
        <v>1405.0271675987899</v>
      </c>
      <c r="AN4244" s="2">
        <v>1760.96825417126</v>
      </c>
      <c r="AO4244" s="2">
        <v>1572.3699467959</v>
      </c>
      <c r="AP4244" s="2">
        <v>1683.0288751396799</v>
      </c>
      <c r="AQ4244" s="2">
        <v>3080.0608391811402</v>
      </c>
      <c r="AR4244" s="2">
        <v>3411.6701950433498</v>
      </c>
      <c r="AS4244" s="2">
        <v>2657.4672649543299</v>
      </c>
      <c r="AT4244" s="2">
        <v>3134.5877822023999</v>
      </c>
      <c r="AU4244" s="2">
        <v>579.48871170793302</v>
      </c>
      <c r="AV4244" s="2">
        <v>2222.3574247676102</v>
      </c>
      <c r="AW4244" s="2">
        <v>4483.07686670972</v>
      </c>
      <c r="AX4244" s="2">
        <v>2559.1952702721701</v>
      </c>
    </row>
    <row r="4245" spans="1:50" x14ac:dyDescent="0.25">
      <c r="A4245" s="2" t="s">
        <v>27956</v>
      </c>
      <c r="B4245" s="2">
        <v>425.20084720367998</v>
      </c>
      <c r="C4245" s="2">
        <v>8.94478333333333</v>
      </c>
      <c r="D4245" s="2" t="s">
        <v>51</v>
      </c>
      <c r="E4245" s="2" t="s">
        <v>27957</v>
      </c>
      <c r="F4245" s="2">
        <v>202512</v>
      </c>
      <c r="G4245" s="3" t="str">
        <f>HYPERLINK("https://cloud.oebiotech.com/#/lm/network/202512", "https://cloud.oebiotech.com/#/lm/network/202512")</f>
        <v>https://cloud.oebiotech.com/#/lm/network/202512</v>
      </c>
      <c r="H4245" s="2" t="s">
        <v>27958</v>
      </c>
      <c r="I4245" s="2">
        <v>2350</v>
      </c>
      <c r="J4245" s="2"/>
      <c r="K4245" s="2">
        <v>475100</v>
      </c>
      <c r="L4245" s="2"/>
      <c r="M4245" s="2"/>
      <c r="N4245" s="2"/>
      <c r="O4245" s="2"/>
      <c r="P4245" s="2"/>
      <c r="Q4245" s="2"/>
      <c r="R4245" s="2" t="s">
        <v>27959</v>
      </c>
      <c r="S4245" s="2" t="s">
        <v>27960</v>
      </c>
      <c r="T4245" s="2" t="s">
        <v>27961</v>
      </c>
      <c r="U4245" s="2" t="s">
        <v>266</v>
      </c>
      <c r="V4245" s="2" t="s">
        <v>27962</v>
      </c>
      <c r="W4245" s="2" t="s">
        <v>240</v>
      </c>
      <c r="X4245" s="2" t="s">
        <v>147</v>
      </c>
      <c r="Y4245" s="2">
        <v>37.4</v>
      </c>
      <c r="Z4245" s="2">
        <v>0</v>
      </c>
      <c r="AA4245" s="2" t="s">
        <v>163</v>
      </c>
      <c r="AB4245" s="2" t="s">
        <v>27963</v>
      </c>
      <c r="AC4245" s="2">
        <v>3.2957526187781498</v>
      </c>
      <c r="AD4245" s="2"/>
      <c r="AE4245" s="2">
        <v>0.10559157764688</v>
      </c>
      <c r="AF4245" s="2">
        <v>17633.436305094099</v>
      </c>
      <c r="AG4245" s="2">
        <v>17811.500274958998</v>
      </c>
      <c r="AH4245" s="4">
        <v>0.99000286516486202</v>
      </c>
      <c r="AI4245" s="4">
        <v>-1.4495394388897199E-2</v>
      </c>
      <c r="AJ4245" s="4" t="s">
        <v>62</v>
      </c>
      <c r="AK4245" s="2">
        <v>0.97580206025117799</v>
      </c>
      <c r="AL4245" s="2">
        <v>0.98980639530347603</v>
      </c>
      <c r="AM4245" s="2">
        <v>7784.2879596936</v>
      </c>
      <c r="AN4245" s="2">
        <v>9603.5112489091407</v>
      </c>
      <c r="AO4245" s="2">
        <v>5947.7378993104603</v>
      </c>
      <c r="AP4245" s="2">
        <v>15930.222737232099</v>
      </c>
      <c r="AQ4245" s="2">
        <v>32730.922043206599</v>
      </c>
      <c r="AR4245" s="2">
        <v>33803.9359422126</v>
      </c>
      <c r="AS4245" s="2">
        <v>18770.786604172299</v>
      </c>
      <c r="AT4245" s="2">
        <v>26501.620414525099</v>
      </c>
      <c r="AU4245" s="2">
        <v>7667.6562339208404</v>
      </c>
      <c r="AV4245" s="2">
        <v>15040.8302713413</v>
      </c>
      <c r="AW4245" s="2">
        <v>20065.2808123297</v>
      </c>
      <c r="AX4245" s="2">
        <v>18822.827313464499</v>
      </c>
    </row>
    <row r="4246" spans="1:50" x14ac:dyDescent="0.25">
      <c r="A4246" s="2" t="s">
        <v>27964</v>
      </c>
      <c r="B4246" s="2">
        <v>369.09881281324698</v>
      </c>
      <c r="C4246" s="2">
        <v>4.6271666666666702</v>
      </c>
      <c r="D4246" s="2" t="s">
        <v>51</v>
      </c>
      <c r="E4246" s="2" t="s">
        <v>27965</v>
      </c>
      <c r="F4246" s="2">
        <v>33101</v>
      </c>
      <c r="G4246" s="3" t="str">
        <f>HYPERLINK("https://cloud.oebiotech.com/#/lm/network/33101", "https://cloud.oebiotech.com/#/lm/network/33101")</f>
        <v>https://cloud.oebiotech.com/#/lm/network/33101</v>
      </c>
      <c r="H4246" s="2" t="s">
        <v>27966</v>
      </c>
      <c r="I4246" s="2">
        <v>51428</v>
      </c>
      <c r="J4246" s="2" t="s">
        <v>27967</v>
      </c>
      <c r="K4246" s="2">
        <v>9843255</v>
      </c>
      <c r="L4246" s="2"/>
      <c r="M4246" s="2"/>
      <c r="N4246" s="2"/>
      <c r="O4246" s="2"/>
      <c r="P4246" s="2"/>
      <c r="Q4246" s="2"/>
      <c r="R4246" s="2"/>
      <c r="S4246" s="2" t="s">
        <v>27968</v>
      </c>
      <c r="T4246" s="2" t="s">
        <v>27969</v>
      </c>
      <c r="U4246" s="2" t="s">
        <v>540</v>
      </c>
      <c r="V4246" s="2" t="s">
        <v>541</v>
      </c>
      <c r="W4246" s="2" t="s">
        <v>6898</v>
      </c>
      <c r="X4246" s="2" t="s">
        <v>147</v>
      </c>
      <c r="Y4246" s="2">
        <v>36.1</v>
      </c>
      <c r="Z4246" s="2">
        <v>1.33</v>
      </c>
      <c r="AA4246" s="2" t="s">
        <v>379</v>
      </c>
      <c r="AB4246" s="2" t="s">
        <v>27970</v>
      </c>
      <c r="AC4246" s="2">
        <v>2.1548602996606299</v>
      </c>
      <c r="AD4246" s="2"/>
      <c r="AE4246" s="2">
        <v>0.105572163649739</v>
      </c>
      <c r="AF4246" s="2">
        <v>8837.6047765143903</v>
      </c>
      <c r="AG4246" s="2">
        <v>6915.3066253788802</v>
      </c>
      <c r="AH4246" s="5">
        <v>1.2779772836219201</v>
      </c>
      <c r="AI4246" s="5">
        <v>0.35386219223383802</v>
      </c>
      <c r="AJ4246" s="5" t="s">
        <v>139</v>
      </c>
      <c r="AK4246" s="2">
        <v>0.57114549767897305</v>
      </c>
      <c r="AL4246" s="2">
        <v>0.78325289930816699</v>
      </c>
      <c r="AM4246" s="2">
        <v>2701.60228792609</v>
      </c>
      <c r="AN4246" s="2">
        <v>10264.053793602499</v>
      </c>
      <c r="AO4246" s="2">
        <v>10086.9013999259</v>
      </c>
      <c r="AP4246" s="2">
        <v>6251.5061404775897</v>
      </c>
      <c r="AQ4246" s="2">
        <v>9040.5870858417893</v>
      </c>
      <c r="AR4246" s="2">
        <v>14680.977951312499</v>
      </c>
      <c r="AS4246" s="2">
        <v>10102.4909258839</v>
      </c>
      <c r="AT4246" s="2">
        <v>8261.7228900631708</v>
      </c>
      <c r="AU4246" s="2">
        <v>2547.9370269689398</v>
      </c>
      <c r="AV4246" s="2">
        <v>1022.1303375426201</v>
      </c>
      <c r="AW4246" s="2">
        <v>862.16937718902295</v>
      </c>
      <c r="AX4246" s="2">
        <v>18695.389194625601</v>
      </c>
    </row>
    <row r="4247" spans="1:50" x14ac:dyDescent="0.25">
      <c r="A4247" s="2" t="s">
        <v>27971</v>
      </c>
      <c r="B4247" s="2">
        <v>315.25405888386598</v>
      </c>
      <c r="C4247" s="2">
        <v>10.0576666666667</v>
      </c>
      <c r="D4247" s="2" t="s">
        <v>51</v>
      </c>
      <c r="E4247" s="2" t="s">
        <v>27972</v>
      </c>
      <c r="F4247" s="2">
        <v>3128</v>
      </c>
      <c r="G4247" s="3" t="str">
        <f>HYPERLINK("https://cloud.oebiotech.com/#/lm/network/3128", "https://cloud.oebiotech.com/#/lm/network/3128")</f>
        <v>https://cloud.oebiotech.com/#/lm/network/3128</v>
      </c>
      <c r="H4247" s="2" t="s">
        <v>27973</v>
      </c>
      <c r="I4247" s="2">
        <v>74574</v>
      </c>
      <c r="J4247" s="2" t="s">
        <v>27974</v>
      </c>
      <c r="K4247" s="2">
        <v>5312766</v>
      </c>
      <c r="L4247" s="2"/>
      <c r="M4247" s="2"/>
      <c r="N4247" s="2"/>
      <c r="O4247" s="2"/>
      <c r="P4247" s="2"/>
      <c r="Q4247" s="2"/>
      <c r="R4247" s="2"/>
      <c r="S4247" s="2" t="s">
        <v>27975</v>
      </c>
      <c r="T4247" s="2" t="s">
        <v>27976</v>
      </c>
      <c r="U4247" s="2" t="s">
        <v>56</v>
      </c>
      <c r="V4247" s="2" t="s">
        <v>145</v>
      </c>
      <c r="W4247" s="2" t="s">
        <v>231</v>
      </c>
      <c r="X4247" s="2" t="s">
        <v>83</v>
      </c>
      <c r="Y4247" s="2">
        <v>43.7</v>
      </c>
      <c r="Z4247" s="2">
        <v>0</v>
      </c>
      <c r="AA4247" s="2" t="s">
        <v>163</v>
      </c>
      <c r="AB4247" s="2" t="s">
        <v>4702</v>
      </c>
      <c r="AC4247" s="2">
        <v>-7.6888604173649594E-2</v>
      </c>
      <c r="AD4247" s="2"/>
      <c r="AE4247" s="2">
        <v>0.105504985468534</v>
      </c>
      <c r="AF4247" s="2">
        <v>3320.1681346718201</v>
      </c>
      <c r="AG4247" s="2">
        <v>2449.3209001738101</v>
      </c>
      <c r="AH4247" s="5">
        <v>1.35554640244821</v>
      </c>
      <c r="AI4247" s="5">
        <v>0.438874499701702</v>
      </c>
      <c r="AJ4247" s="5" t="s">
        <v>139</v>
      </c>
      <c r="AK4247" s="2">
        <v>0.52824216312628303</v>
      </c>
      <c r="AL4247" s="2">
        <v>0.75588665280326495</v>
      </c>
      <c r="AM4247" s="2">
        <v>2777.2492148188398</v>
      </c>
      <c r="AN4247" s="2">
        <v>1625.3707781102</v>
      </c>
      <c r="AO4247" s="2">
        <v>1983.14183977428</v>
      </c>
      <c r="AP4247" s="2">
        <v>1624.11524755147</v>
      </c>
      <c r="AQ4247" s="2">
        <v>8787.6304762844993</v>
      </c>
      <c r="AR4247" s="2">
        <v>3123.5012514916598</v>
      </c>
      <c r="AS4247" s="2">
        <v>1089.7947728353499</v>
      </c>
      <c r="AT4247" s="2">
        <v>1981.91033942787</v>
      </c>
      <c r="AU4247" s="2">
        <v>5876.8145126871505</v>
      </c>
      <c r="AV4247" s="2">
        <v>1857.0131171835901</v>
      </c>
      <c r="AW4247" s="2">
        <v>2599.1031123387502</v>
      </c>
      <c r="AX4247" s="2">
        <v>1291.2895465701599</v>
      </c>
    </row>
    <row r="4248" spans="1:50" x14ac:dyDescent="0.25">
      <c r="A4248" s="2" t="s">
        <v>27977</v>
      </c>
      <c r="B4248" s="2">
        <v>248.071777650353</v>
      </c>
      <c r="C4248" s="2">
        <v>1.1502333333333301</v>
      </c>
      <c r="D4248" s="2" t="s">
        <v>51</v>
      </c>
      <c r="E4248" s="2" t="s">
        <v>27978</v>
      </c>
      <c r="F4248" s="2">
        <v>209789</v>
      </c>
      <c r="G4248" s="3" t="str">
        <f>HYPERLINK("https://cloud.oebiotech.com/#/lm/network/209789", "https://cloud.oebiotech.com/#/lm/network/209789")</f>
        <v>https://cloud.oebiotech.com/#/lm/network/209789</v>
      </c>
      <c r="H4248" s="2" t="s">
        <v>27979</v>
      </c>
      <c r="I4248" s="2"/>
      <c r="J4248" s="2"/>
      <c r="K4248" s="2"/>
      <c r="L4248" s="2"/>
      <c r="M4248" s="2"/>
      <c r="N4248" s="2"/>
      <c r="O4248" s="2"/>
      <c r="P4248" s="2"/>
      <c r="Q4248" s="2"/>
      <c r="R4248" s="2"/>
      <c r="S4248" s="2" t="s">
        <v>27980</v>
      </c>
      <c r="T4248" s="2" t="s">
        <v>27981</v>
      </c>
      <c r="U4248" s="2" t="s">
        <v>331</v>
      </c>
      <c r="V4248" s="2" t="s">
        <v>332</v>
      </c>
      <c r="W4248" s="2" t="s">
        <v>1207</v>
      </c>
      <c r="X4248" s="2" t="s">
        <v>147</v>
      </c>
      <c r="Y4248" s="2">
        <v>38.299999999999997</v>
      </c>
      <c r="Z4248" s="2">
        <v>5.55</v>
      </c>
      <c r="AA4248" s="2" t="s">
        <v>156</v>
      </c>
      <c r="AB4248" s="2" t="s">
        <v>23228</v>
      </c>
      <c r="AC4248" s="2">
        <v>4.4239894331203198</v>
      </c>
      <c r="AD4248" s="2"/>
      <c r="AE4248" s="2">
        <v>0.105407416067408</v>
      </c>
      <c r="AF4248" s="2">
        <v>2143.2294913436799</v>
      </c>
      <c r="AG4248" s="2">
        <v>2594.70818254094</v>
      </c>
      <c r="AH4248" s="4">
        <v>0.82600020525038897</v>
      </c>
      <c r="AI4248" s="4">
        <v>-0.27578595475150203</v>
      </c>
      <c r="AJ4248" s="4" t="s">
        <v>62</v>
      </c>
      <c r="AK4248" s="2">
        <v>0.22713453959284</v>
      </c>
      <c r="AL4248" s="2">
        <v>0.55318612061801498</v>
      </c>
      <c r="AM4248" s="2">
        <v>2187.9295808637098</v>
      </c>
      <c r="AN4248" s="2">
        <v>2331.0552010905799</v>
      </c>
      <c r="AO4248" s="2">
        <v>1431.4190423626201</v>
      </c>
      <c r="AP4248" s="2">
        <v>2446.12828847848</v>
      </c>
      <c r="AQ4248" s="2">
        <v>2475.5174833276001</v>
      </c>
      <c r="AR4248" s="2">
        <v>1987.32735193909</v>
      </c>
      <c r="AS4248" s="2">
        <v>1848.9001381210201</v>
      </c>
      <c r="AT4248" s="2">
        <v>2240.9955984221001</v>
      </c>
      <c r="AU4248" s="2">
        <v>2490.8488732055498</v>
      </c>
      <c r="AV4248" s="2">
        <v>2677.7145997310199</v>
      </c>
      <c r="AW4248" s="2">
        <v>2261.70483254686</v>
      </c>
      <c r="AX4248" s="2">
        <v>4048.0850532190898</v>
      </c>
    </row>
    <row r="4249" spans="1:50" x14ac:dyDescent="0.25">
      <c r="A4249" s="2" t="s">
        <v>27982</v>
      </c>
      <c r="B4249" s="2">
        <v>179.179792166531</v>
      </c>
      <c r="C4249" s="2">
        <v>11.89995</v>
      </c>
      <c r="D4249" s="2" t="s">
        <v>51</v>
      </c>
      <c r="E4249" s="2" t="s">
        <v>27983</v>
      </c>
      <c r="F4249" s="2">
        <v>6540</v>
      </c>
      <c r="G4249" s="3" t="str">
        <f>HYPERLINK("https://cloud.oebiotech.com/#/lm/network/6540", "https://cloud.oebiotech.com/#/lm/network/6540")</f>
        <v>https://cloud.oebiotech.com/#/lm/network/6540</v>
      </c>
      <c r="H4249" s="2" t="s">
        <v>27984</v>
      </c>
      <c r="I4249" s="2">
        <v>36595</v>
      </c>
      <c r="J4249" s="2" t="s">
        <v>27985</v>
      </c>
      <c r="K4249" s="2">
        <v>5283363</v>
      </c>
      <c r="L4249" s="2"/>
      <c r="M4249" s="2"/>
      <c r="N4249" s="2"/>
      <c r="O4249" s="2"/>
      <c r="P4249" s="2"/>
      <c r="Q4249" s="2"/>
      <c r="R4249" s="2" t="s">
        <v>27986</v>
      </c>
      <c r="S4249" s="2" t="s">
        <v>27987</v>
      </c>
      <c r="T4249" s="2" t="s">
        <v>27988</v>
      </c>
      <c r="U4249" s="2" t="s">
        <v>56</v>
      </c>
      <c r="V4249" s="2" t="s">
        <v>145</v>
      </c>
      <c r="W4249" s="2" t="s">
        <v>1543</v>
      </c>
      <c r="X4249" s="2" t="s">
        <v>147</v>
      </c>
      <c r="Y4249" s="2">
        <v>38.1</v>
      </c>
      <c r="Z4249" s="2">
        <v>0</v>
      </c>
      <c r="AA4249" s="2" t="s">
        <v>156</v>
      </c>
      <c r="AB4249" s="2" t="s">
        <v>27989</v>
      </c>
      <c r="AC4249" s="2">
        <v>1.86064959838271</v>
      </c>
      <c r="AD4249" s="2"/>
      <c r="AE4249" s="2">
        <v>0.10525991937488401</v>
      </c>
      <c r="AF4249" s="2">
        <v>2878.2748328248999</v>
      </c>
      <c r="AG4249" s="2">
        <v>1865.6491906687099</v>
      </c>
      <c r="AH4249" s="5">
        <v>1.5427738758288401</v>
      </c>
      <c r="AI4249" s="5">
        <v>0.62552662177461704</v>
      </c>
      <c r="AJ4249" s="5" t="s">
        <v>139</v>
      </c>
      <c r="AK4249" s="2">
        <v>0.66259283001885705</v>
      </c>
      <c r="AL4249" s="2">
        <v>0.83663677386975799</v>
      </c>
      <c r="AM4249" s="2">
        <v>8.559877937157E-6</v>
      </c>
      <c r="AN4249" s="2">
        <v>8.559877937157E-6</v>
      </c>
      <c r="AO4249" s="2">
        <v>8686.0660913063402</v>
      </c>
      <c r="AP4249" s="2">
        <v>161.51063431647</v>
      </c>
      <c r="AQ4249" s="2">
        <v>8088.9299100116896</v>
      </c>
      <c r="AR4249" s="2">
        <v>333.142344195134</v>
      </c>
      <c r="AS4249" s="2">
        <v>2505.6468355171401</v>
      </c>
      <c r="AT4249" s="2">
        <v>8.559877937157E-6</v>
      </c>
      <c r="AU4249" s="2">
        <v>8688.2482742556094</v>
      </c>
      <c r="AV4249" s="2">
        <v>8.559877937157E-6</v>
      </c>
      <c r="AW4249" s="2">
        <v>8.559877937157E-6</v>
      </c>
      <c r="AX4249" s="2">
        <v>8.559877937157E-6</v>
      </c>
    </row>
    <row r="4250" spans="1:50" x14ac:dyDescent="0.25">
      <c r="A4250" s="2" t="s">
        <v>27990</v>
      </c>
      <c r="B4250" s="2">
        <v>331.19158797856898</v>
      </c>
      <c r="C4250" s="2">
        <v>11.360616666666701</v>
      </c>
      <c r="D4250" s="2" t="s">
        <v>51</v>
      </c>
      <c r="E4250" s="2" t="s">
        <v>27991</v>
      </c>
      <c r="F4250" s="2">
        <v>55949</v>
      </c>
      <c r="G4250" s="3" t="str">
        <f>HYPERLINK("https://cloud.oebiotech.com/#/lm/network/55949", "https://cloud.oebiotech.com/#/lm/network/55949")</f>
        <v>https://cloud.oebiotech.com/#/lm/network/55949</v>
      </c>
      <c r="H4250" s="2" t="s">
        <v>27992</v>
      </c>
      <c r="I4250" s="2">
        <v>87628</v>
      </c>
      <c r="J4250" s="2"/>
      <c r="K4250" s="2">
        <v>131751162</v>
      </c>
      <c r="L4250" s="2"/>
      <c r="M4250" s="2"/>
      <c r="N4250" s="2"/>
      <c r="O4250" s="2"/>
      <c r="P4250" s="2"/>
      <c r="Q4250" s="2"/>
      <c r="R4250" s="2"/>
      <c r="S4250" s="2" t="s">
        <v>27993</v>
      </c>
      <c r="T4250" s="2" t="s">
        <v>27994</v>
      </c>
      <c r="U4250" s="2" t="s">
        <v>56</v>
      </c>
      <c r="V4250" s="2" t="s">
        <v>177</v>
      </c>
      <c r="W4250" s="2" t="s">
        <v>806</v>
      </c>
      <c r="X4250" s="2" t="s">
        <v>83</v>
      </c>
      <c r="Y4250" s="2">
        <v>45.3</v>
      </c>
      <c r="Z4250" s="2">
        <v>0</v>
      </c>
      <c r="AA4250" s="2" t="s">
        <v>163</v>
      </c>
      <c r="AB4250" s="2" t="s">
        <v>1500</v>
      </c>
      <c r="AC4250" s="2">
        <v>0.31617929363181801</v>
      </c>
      <c r="AD4250" s="2"/>
      <c r="AE4250" s="2">
        <v>0.10515862403026199</v>
      </c>
      <c r="AF4250" s="2">
        <v>1748.1757904159599</v>
      </c>
      <c r="AG4250" s="2">
        <v>1044.3427143128999</v>
      </c>
      <c r="AH4250" s="5">
        <v>1.67394837581275</v>
      </c>
      <c r="AI4250" s="5">
        <v>0.74325503618731703</v>
      </c>
      <c r="AJ4250" s="5" t="s">
        <v>139</v>
      </c>
      <c r="AK4250" s="2">
        <v>0.17464754527724199</v>
      </c>
      <c r="AL4250" s="2">
        <v>0.49564171907790799</v>
      </c>
      <c r="AM4250" s="2">
        <v>378.12041899154099</v>
      </c>
      <c r="AN4250" s="2">
        <v>1218.4187689406899</v>
      </c>
      <c r="AO4250" s="2">
        <v>3180.0892169007898</v>
      </c>
      <c r="AP4250" s="2">
        <v>2579.1224780359298</v>
      </c>
      <c r="AQ4250" s="2">
        <v>1613.6556317205</v>
      </c>
      <c r="AR4250" s="2">
        <v>1519.64822790631</v>
      </c>
      <c r="AS4250" s="2">
        <v>984.98211119842301</v>
      </c>
      <c r="AT4250" s="2">
        <v>1792.4238010179499</v>
      </c>
      <c r="AU4250" s="2">
        <v>329.56595116977098</v>
      </c>
      <c r="AV4250" s="2">
        <v>1783.3949115220701</v>
      </c>
      <c r="AW4250" s="2">
        <v>446.15788866552202</v>
      </c>
      <c r="AX4250" s="2">
        <v>929.53162230369105</v>
      </c>
    </row>
    <row r="4251" spans="1:50" x14ac:dyDescent="0.25">
      <c r="A4251" s="2" t="s">
        <v>27995</v>
      </c>
      <c r="B4251" s="2">
        <v>193.009006234997</v>
      </c>
      <c r="C4251" s="2">
        <v>0.84268333333333301</v>
      </c>
      <c r="D4251" s="2" t="s">
        <v>51</v>
      </c>
      <c r="E4251" s="2" t="s">
        <v>27996</v>
      </c>
      <c r="F4251" s="2">
        <v>63736</v>
      </c>
      <c r="G4251" s="3" t="str">
        <f>HYPERLINK("https://cloud.oebiotech.com/#/lm/network/63736", "https://cloud.oebiotech.com/#/lm/network/63736")</f>
        <v>https://cloud.oebiotech.com/#/lm/network/63736</v>
      </c>
      <c r="H4251" s="2" t="s">
        <v>27997</v>
      </c>
      <c r="I4251" s="2">
        <v>95072</v>
      </c>
      <c r="J4251" s="2"/>
      <c r="K4251" s="2">
        <v>520191</v>
      </c>
      <c r="L4251" s="2"/>
      <c r="M4251" s="2"/>
      <c r="N4251" s="2"/>
      <c r="O4251" s="2"/>
      <c r="P4251" s="2"/>
      <c r="Q4251" s="2"/>
      <c r="R4251" s="2" t="s">
        <v>27998</v>
      </c>
      <c r="S4251" s="2" t="s">
        <v>27999</v>
      </c>
      <c r="T4251" s="2" t="s">
        <v>28000</v>
      </c>
      <c r="U4251" s="2" t="s">
        <v>331</v>
      </c>
      <c r="V4251" s="2" t="s">
        <v>332</v>
      </c>
      <c r="W4251" s="2" t="s">
        <v>1207</v>
      </c>
      <c r="X4251" s="2" t="s">
        <v>147</v>
      </c>
      <c r="Y4251" s="2">
        <v>37</v>
      </c>
      <c r="Z4251" s="2">
        <v>1.18</v>
      </c>
      <c r="AA4251" s="2" t="s">
        <v>395</v>
      </c>
      <c r="AB4251" s="2" t="s">
        <v>28001</v>
      </c>
      <c r="AC4251" s="2">
        <v>3.9742529754390299</v>
      </c>
      <c r="AD4251" s="2"/>
      <c r="AE4251" s="2">
        <v>0.105125162695186</v>
      </c>
      <c r="AF4251" s="2">
        <v>3305.89581620637</v>
      </c>
      <c r="AG4251" s="2">
        <v>6399.85693869439</v>
      </c>
      <c r="AH4251" s="4">
        <v>0.51655776806798304</v>
      </c>
      <c r="AI4251" s="4">
        <v>-0.95299839624260096</v>
      </c>
      <c r="AJ4251" s="4" t="s">
        <v>62</v>
      </c>
      <c r="AK4251" s="2">
        <v>0.59165440670375402</v>
      </c>
      <c r="AL4251" s="2">
        <v>0.79384060507313303</v>
      </c>
      <c r="AM4251" s="2">
        <v>8735.9345779507094</v>
      </c>
      <c r="AN4251" s="2">
        <v>26.404306595299701</v>
      </c>
      <c r="AO4251" s="2">
        <v>3.0079960066742499</v>
      </c>
      <c r="AP4251" s="2">
        <v>7783.3544539448803</v>
      </c>
      <c r="AQ4251" s="2">
        <v>247.67816271660399</v>
      </c>
      <c r="AR4251" s="2">
        <v>3038.99540002403</v>
      </c>
      <c r="AS4251" s="2">
        <v>5695.6711655897398</v>
      </c>
      <c r="AT4251" s="2">
        <v>8.559877937157E-6</v>
      </c>
      <c r="AU4251" s="2">
        <v>32678.470058454401</v>
      </c>
      <c r="AV4251" s="2">
        <v>8.559877937157E-6</v>
      </c>
      <c r="AW4251" s="2">
        <v>5.2341641611753502</v>
      </c>
      <c r="AX4251" s="2">
        <v>19.7662268412471</v>
      </c>
    </row>
    <row r="4252" spans="1:50" x14ac:dyDescent="0.25">
      <c r="A4252" s="2" t="s">
        <v>28002</v>
      </c>
      <c r="B4252" s="2">
        <v>390.26515157863201</v>
      </c>
      <c r="C4252" s="2">
        <v>11.1512666666667</v>
      </c>
      <c r="D4252" s="2" t="s">
        <v>51</v>
      </c>
      <c r="E4252" s="2" t="s">
        <v>28003</v>
      </c>
      <c r="F4252" s="2">
        <v>9020</v>
      </c>
      <c r="G4252" s="3" t="str">
        <f>HYPERLINK("https://cloud.oebiotech.com/#/lm/network/9020", "https://cloud.oebiotech.com/#/lm/network/9020")</f>
        <v>https://cloud.oebiotech.com/#/lm/network/9020</v>
      </c>
      <c r="H4252" s="2" t="s">
        <v>28004</v>
      </c>
      <c r="I4252" s="2">
        <v>36743</v>
      </c>
      <c r="J4252" s="2" t="s">
        <v>28005</v>
      </c>
      <c r="K4252" s="2">
        <v>5283450</v>
      </c>
      <c r="L4252" s="2"/>
      <c r="M4252" s="2"/>
      <c r="N4252" s="2"/>
      <c r="O4252" s="2">
        <v>71467</v>
      </c>
      <c r="P4252" s="2"/>
      <c r="Q4252" s="2"/>
      <c r="R4252" s="2" t="s">
        <v>28006</v>
      </c>
      <c r="S4252" s="2" t="s">
        <v>28007</v>
      </c>
      <c r="T4252" s="2" t="s">
        <v>28008</v>
      </c>
      <c r="U4252" s="2" t="s">
        <v>119</v>
      </c>
      <c r="V4252" s="2" t="s">
        <v>120</v>
      </c>
      <c r="W4252" s="2" t="s">
        <v>1887</v>
      </c>
      <c r="X4252" s="2" t="s">
        <v>83</v>
      </c>
      <c r="Y4252" s="2">
        <v>50.1</v>
      </c>
      <c r="Z4252" s="2">
        <v>0</v>
      </c>
      <c r="AA4252" s="2" t="s">
        <v>218</v>
      </c>
      <c r="AB4252" s="2" t="s">
        <v>28009</v>
      </c>
      <c r="AC4252" s="2">
        <v>0.49046787118853902</v>
      </c>
      <c r="AD4252" s="2"/>
      <c r="AE4252" s="2">
        <v>0.105077546099601</v>
      </c>
      <c r="AF4252" s="2">
        <v>2216.6822262585401</v>
      </c>
      <c r="AG4252" s="2">
        <v>2819.9734222234401</v>
      </c>
      <c r="AH4252" s="4">
        <v>0.78606493550239598</v>
      </c>
      <c r="AI4252" s="4">
        <v>-0.34727959886949</v>
      </c>
      <c r="AJ4252" s="4" t="s">
        <v>62</v>
      </c>
      <c r="AK4252" s="2">
        <v>0.40579367542477701</v>
      </c>
      <c r="AL4252" s="2">
        <v>0.67216736447411196</v>
      </c>
      <c r="AM4252" s="2">
        <v>2323.30831271433</v>
      </c>
      <c r="AN4252" s="2">
        <v>2634.9714755130999</v>
      </c>
      <c r="AO4252" s="2">
        <v>1803.9276233000701</v>
      </c>
      <c r="AP4252" s="2">
        <v>1994.29759125088</v>
      </c>
      <c r="AQ4252" s="2">
        <v>2598.8955196956399</v>
      </c>
      <c r="AR4252" s="2">
        <v>1944.69283507724</v>
      </c>
      <c r="AS4252" s="2">
        <v>646.06334195516104</v>
      </c>
      <c r="AT4252" s="2">
        <v>859.71101225689301</v>
      </c>
      <c r="AU4252" s="2">
        <v>3398.7517386899199</v>
      </c>
      <c r="AV4252" s="2">
        <v>4558.6079853697902</v>
      </c>
      <c r="AW4252" s="2">
        <v>3345.8447656522899</v>
      </c>
      <c r="AX4252" s="2">
        <v>4110.8616894166098</v>
      </c>
    </row>
    <row r="4253" spans="1:50" x14ac:dyDescent="0.25">
      <c r="A4253" s="2" t="s">
        <v>28010</v>
      </c>
      <c r="B4253" s="2">
        <v>527.21322049686796</v>
      </c>
      <c r="C4253" s="2">
        <v>6.1322666666666699</v>
      </c>
      <c r="D4253" s="2" t="s">
        <v>51</v>
      </c>
      <c r="E4253" s="2" t="s">
        <v>28011</v>
      </c>
      <c r="F4253" s="2">
        <v>53349</v>
      </c>
      <c r="G4253" s="3" t="str">
        <f>HYPERLINK("https://cloud.oebiotech.com/#/lm/network/53349", "https://cloud.oebiotech.com/#/lm/network/53349")</f>
        <v>https://cloud.oebiotech.com/#/lm/network/53349</v>
      </c>
      <c r="H4253" s="2" t="s">
        <v>28012</v>
      </c>
      <c r="I4253" s="2">
        <v>85470</v>
      </c>
      <c r="J4253" s="2"/>
      <c r="K4253" s="2">
        <v>6918296</v>
      </c>
      <c r="L4253" s="2"/>
      <c r="M4253" s="2"/>
      <c r="N4253" s="2"/>
      <c r="O4253" s="2">
        <v>521033</v>
      </c>
      <c r="P4253" s="2"/>
      <c r="Q4253" s="2"/>
      <c r="R4253" s="2" t="s">
        <v>28013</v>
      </c>
      <c r="S4253" s="2" t="s">
        <v>28014</v>
      </c>
      <c r="T4253" s="2" t="s">
        <v>28015</v>
      </c>
      <c r="U4253" s="2" t="s">
        <v>56</v>
      </c>
      <c r="V4253" s="2" t="s">
        <v>283</v>
      </c>
      <c r="W4253" s="2" t="s">
        <v>284</v>
      </c>
      <c r="X4253" s="2" t="s">
        <v>147</v>
      </c>
      <c r="Y4253" s="2">
        <v>45.1</v>
      </c>
      <c r="Z4253" s="2">
        <v>35.9</v>
      </c>
      <c r="AA4253" s="2" t="s">
        <v>163</v>
      </c>
      <c r="AB4253" s="2" t="s">
        <v>28016</v>
      </c>
      <c r="AC4253" s="2">
        <v>-1.2316847881675601</v>
      </c>
      <c r="AD4253" s="2"/>
      <c r="AE4253" s="2">
        <v>0.105030353661548</v>
      </c>
      <c r="AF4253" s="2">
        <v>24515.9677095447</v>
      </c>
      <c r="AG4253" s="2">
        <v>26119.153859900802</v>
      </c>
      <c r="AH4253" s="4">
        <v>0.938620287664931</v>
      </c>
      <c r="AI4253" s="4">
        <v>-9.1386451272442604E-2</v>
      </c>
      <c r="AJ4253" s="4" t="s">
        <v>62</v>
      </c>
      <c r="AK4253" s="2">
        <v>0.77068733324142402</v>
      </c>
      <c r="AL4253" s="2">
        <v>0.897487451709018</v>
      </c>
      <c r="AM4253" s="2">
        <v>31416.0647033969</v>
      </c>
      <c r="AN4253" s="2">
        <v>18173.844337836901</v>
      </c>
      <c r="AO4253" s="2">
        <v>16327.8336916347</v>
      </c>
      <c r="AP4253" s="2">
        <v>16558.8612529532</v>
      </c>
      <c r="AQ4253" s="2">
        <v>28073.952973857198</v>
      </c>
      <c r="AR4253" s="2">
        <v>36545.249297589296</v>
      </c>
      <c r="AS4253" s="2">
        <v>36905.850433663101</v>
      </c>
      <c r="AT4253" s="2">
        <v>28552.151218755</v>
      </c>
      <c r="AU4253" s="2">
        <v>16562.4133990511</v>
      </c>
      <c r="AV4253" s="2">
        <v>21034.3862840904</v>
      </c>
      <c r="AW4253" s="2">
        <v>37865.061555512897</v>
      </c>
      <c r="AX4253" s="2">
        <v>15795.0602683324</v>
      </c>
    </row>
    <row r="4254" spans="1:50" x14ac:dyDescent="0.25">
      <c r="A4254" s="2" t="s">
        <v>28017</v>
      </c>
      <c r="B4254" s="2">
        <v>492.09231139484598</v>
      </c>
      <c r="C4254" s="2">
        <v>3.6124666666666698</v>
      </c>
      <c r="D4254" s="2" t="s">
        <v>51</v>
      </c>
      <c r="E4254" s="2" t="s">
        <v>28018</v>
      </c>
      <c r="F4254" s="2">
        <v>257121</v>
      </c>
      <c r="G4254" s="3" t="str">
        <f>HYPERLINK("https://cloud.oebiotech.com/#/lm/network/257121", "https://cloud.oebiotech.com/#/lm/network/257121")</f>
        <v>https://cloud.oebiotech.com/#/lm/network/257121</v>
      </c>
      <c r="H4254" s="2" t="s">
        <v>28019</v>
      </c>
      <c r="I4254" s="2"/>
      <c r="J4254" s="2"/>
      <c r="K4254" s="2">
        <v>25203612</v>
      </c>
      <c r="L4254" s="2"/>
      <c r="M4254" s="2"/>
      <c r="N4254" s="2"/>
      <c r="O4254" s="2"/>
      <c r="P4254" s="2"/>
      <c r="Q4254" s="2"/>
      <c r="R4254" s="2"/>
      <c r="S4254" s="2" t="s">
        <v>28020</v>
      </c>
      <c r="T4254" s="2" t="s">
        <v>28021</v>
      </c>
      <c r="U4254" s="2" t="s">
        <v>540</v>
      </c>
      <c r="V4254" s="2" t="s">
        <v>541</v>
      </c>
      <c r="W4254" s="2" t="s">
        <v>542</v>
      </c>
      <c r="X4254" s="2" t="s">
        <v>147</v>
      </c>
      <c r="Y4254" s="2">
        <v>41.9</v>
      </c>
      <c r="Z4254" s="2">
        <v>29.3</v>
      </c>
      <c r="AA4254" s="2" t="s">
        <v>218</v>
      </c>
      <c r="AB4254" s="2" t="s">
        <v>28022</v>
      </c>
      <c r="AC4254" s="2">
        <v>3.0689390465984601</v>
      </c>
      <c r="AD4254" s="2"/>
      <c r="AE4254" s="2">
        <v>0.10478822578918399</v>
      </c>
      <c r="AF4254" s="2">
        <v>7565.1617915090301</v>
      </c>
      <c r="AG4254" s="2">
        <v>8328.2024332883793</v>
      </c>
      <c r="AH4254" s="4">
        <v>0.90837871102539203</v>
      </c>
      <c r="AI4254" s="4">
        <v>-0.138634199782669</v>
      </c>
      <c r="AJ4254" s="4" t="s">
        <v>62</v>
      </c>
      <c r="AK4254" s="2">
        <v>0.65368158775887497</v>
      </c>
      <c r="AL4254" s="2">
        <v>0.83240942988891198</v>
      </c>
      <c r="AM4254" s="2">
        <v>4509.8873045105502</v>
      </c>
      <c r="AN4254" s="2">
        <v>8246.2952012187106</v>
      </c>
      <c r="AO4254" s="2">
        <v>5723.0621017523799</v>
      </c>
      <c r="AP4254" s="2">
        <v>10226.9199931896</v>
      </c>
      <c r="AQ4254" s="2">
        <v>9205.0372478240006</v>
      </c>
      <c r="AR4254" s="2">
        <v>7479.76890055896</v>
      </c>
      <c r="AS4254" s="2">
        <v>10200.3643332958</v>
      </c>
      <c r="AT4254" s="2">
        <v>11667.7953639718</v>
      </c>
      <c r="AU4254" s="2">
        <v>6261.1794383762299</v>
      </c>
      <c r="AV4254" s="2">
        <v>2904.1382741286602</v>
      </c>
      <c r="AW4254" s="2">
        <v>7497.4619328934996</v>
      </c>
      <c r="AX4254" s="2">
        <v>11438.275257064301</v>
      </c>
    </row>
    <row r="4255" spans="1:50" x14ac:dyDescent="0.25">
      <c r="A4255" s="2" t="s">
        <v>28023</v>
      </c>
      <c r="B4255" s="2">
        <v>488.31495949399402</v>
      </c>
      <c r="C4255" s="2">
        <v>11.3173666666667</v>
      </c>
      <c r="D4255" s="2" t="s">
        <v>51</v>
      </c>
      <c r="E4255" s="2" t="s">
        <v>28024</v>
      </c>
      <c r="F4255" s="2">
        <v>21207</v>
      </c>
      <c r="G4255" s="3" t="str">
        <f>HYPERLINK("https://cloud.oebiotech.com/#/lm/network/21207", "https://cloud.oebiotech.com/#/lm/network/21207")</f>
        <v>https://cloud.oebiotech.com/#/lm/network/21207</v>
      </c>
      <c r="H4255" s="2" t="s">
        <v>28025</v>
      </c>
      <c r="I4255" s="2">
        <v>62270</v>
      </c>
      <c r="J4255" s="2" t="s">
        <v>28026</v>
      </c>
      <c r="K4255" s="2">
        <v>53480931</v>
      </c>
      <c r="L4255" s="2"/>
      <c r="M4255" s="2"/>
      <c r="N4255" s="2"/>
      <c r="O4255" s="2"/>
      <c r="P4255" s="2"/>
      <c r="Q4255" s="2"/>
      <c r="R4255" s="2"/>
      <c r="S4255" s="2" t="s">
        <v>28027</v>
      </c>
      <c r="T4255" s="2" t="s">
        <v>28028</v>
      </c>
      <c r="U4255" s="2" t="s">
        <v>56</v>
      </c>
      <c r="V4255" s="2" t="s">
        <v>57</v>
      </c>
      <c r="W4255" s="2" t="s">
        <v>155</v>
      </c>
      <c r="X4255" s="2" t="s">
        <v>147</v>
      </c>
      <c r="Y4255" s="2">
        <v>38.1</v>
      </c>
      <c r="Z4255" s="2">
        <v>0</v>
      </c>
      <c r="AA4255" s="2" t="s">
        <v>379</v>
      </c>
      <c r="AB4255" s="2" t="s">
        <v>3666</v>
      </c>
      <c r="AC4255" s="2">
        <v>0.61308664555356696</v>
      </c>
      <c r="AD4255" s="2"/>
      <c r="AE4255" s="2">
        <v>0.104664533168637</v>
      </c>
      <c r="AF4255" s="2">
        <v>5399.8214710942702</v>
      </c>
      <c r="AG4255" s="2">
        <v>4492.5511005017497</v>
      </c>
      <c r="AH4255" s="5">
        <v>1.2019499278463801</v>
      </c>
      <c r="AI4255" s="5">
        <v>0.265376795922317</v>
      </c>
      <c r="AJ4255" s="5" t="s">
        <v>139</v>
      </c>
      <c r="AK4255" s="2">
        <v>0.38901366245973601</v>
      </c>
      <c r="AL4255" s="2">
        <v>0.66405236170887005</v>
      </c>
      <c r="AM4255" s="2">
        <v>7033.6546123380103</v>
      </c>
      <c r="AN4255" s="2">
        <v>5183.5827127453304</v>
      </c>
      <c r="AO4255" s="2">
        <v>5582.2534536758103</v>
      </c>
      <c r="AP4255" s="2">
        <v>6606.2513745082297</v>
      </c>
      <c r="AQ4255" s="2">
        <v>3669.2122240593199</v>
      </c>
      <c r="AR4255" s="2">
        <v>4323.9744492389</v>
      </c>
      <c r="AS4255" s="2">
        <v>3234.9394038853202</v>
      </c>
      <c r="AT4255" s="2">
        <v>2902.1270953286698</v>
      </c>
      <c r="AU4255" s="2">
        <v>3040.4786084846801</v>
      </c>
      <c r="AV4255" s="2">
        <v>8470.0132308918492</v>
      </c>
      <c r="AW4255" s="2">
        <v>4622.2532457182097</v>
      </c>
      <c r="AX4255" s="2">
        <v>4685.4950187017603</v>
      </c>
    </row>
    <row r="4256" spans="1:50" x14ac:dyDescent="0.25">
      <c r="A4256" s="2" t="s">
        <v>28029</v>
      </c>
      <c r="B4256" s="2">
        <v>362.15708898329098</v>
      </c>
      <c r="C4256" s="2">
        <v>1.81718333333333</v>
      </c>
      <c r="D4256" s="2" t="s">
        <v>51</v>
      </c>
      <c r="E4256" s="2" t="s">
        <v>28030</v>
      </c>
      <c r="F4256" s="2">
        <v>262631</v>
      </c>
      <c r="G4256" s="3" t="str">
        <f>HYPERLINK("https://cloud.oebiotech.com/#/lm/network/262631", "https://cloud.oebiotech.com/#/lm/network/262631")</f>
        <v>https://cloud.oebiotech.com/#/lm/network/262631</v>
      </c>
      <c r="H4256" s="2"/>
      <c r="I4256" s="2">
        <v>20004</v>
      </c>
      <c r="J4256" s="2"/>
      <c r="K4256" s="2">
        <v>145458913</v>
      </c>
      <c r="L4256" s="2"/>
      <c r="M4256" s="2"/>
      <c r="N4256" s="2"/>
      <c r="O4256" s="2"/>
      <c r="P4256" s="2"/>
      <c r="Q4256" s="2"/>
      <c r="R4256" s="2"/>
      <c r="S4256" s="2" t="s">
        <v>28031</v>
      </c>
      <c r="T4256" s="2" t="s">
        <v>28032</v>
      </c>
      <c r="U4256" s="2" t="s">
        <v>103</v>
      </c>
      <c r="V4256" s="2" t="s">
        <v>104</v>
      </c>
      <c r="W4256" s="2" t="s">
        <v>105</v>
      </c>
      <c r="X4256" s="2" t="s">
        <v>69</v>
      </c>
      <c r="Y4256" s="2">
        <v>52.5</v>
      </c>
      <c r="Z4256" s="2">
        <v>65</v>
      </c>
      <c r="AA4256" s="2" t="s">
        <v>259</v>
      </c>
      <c r="AB4256" s="2" t="s">
        <v>28033</v>
      </c>
      <c r="AC4256" s="2">
        <v>3.5936539891786401</v>
      </c>
      <c r="AD4256" s="2"/>
      <c r="AE4256" s="2">
        <v>0.104650361956308</v>
      </c>
      <c r="AF4256" s="2">
        <v>9345.6421767554293</v>
      </c>
      <c r="AG4256" s="2">
        <v>13361.483759926799</v>
      </c>
      <c r="AH4256" s="4">
        <v>0.69944643459317501</v>
      </c>
      <c r="AI4256" s="4">
        <v>-0.51571451856353701</v>
      </c>
      <c r="AJ4256" s="4" t="s">
        <v>62</v>
      </c>
      <c r="AK4256" s="2">
        <v>0.61638006411143298</v>
      </c>
      <c r="AL4256" s="2">
        <v>0.80961248686495102</v>
      </c>
      <c r="AM4256" s="2">
        <v>15304.142309254101</v>
      </c>
      <c r="AN4256" s="2">
        <v>6653.6386077896404</v>
      </c>
      <c r="AO4256" s="2">
        <v>8691.7337356808093</v>
      </c>
      <c r="AP4256" s="2">
        <v>9264.0860258855701</v>
      </c>
      <c r="AQ4256" s="2">
        <v>7876.3306901522401</v>
      </c>
      <c r="AR4256" s="2">
        <v>8283.9216917702506</v>
      </c>
      <c r="AS4256" s="2">
        <v>171.05781141369999</v>
      </c>
      <c r="AT4256" s="2">
        <v>2178.3473030896398</v>
      </c>
      <c r="AU4256" s="2">
        <v>49982.310175207</v>
      </c>
      <c r="AV4256" s="2">
        <v>15648.352756046599</v>
      </c>
      <c r="AW4256" s="2">
        <v>8587.2722516373706</v>
      </c>
      <c r="AX4256" s="2">
        <v>3601.5622621666998</v>
      </c>
    </row>
    <row r="4257" spans="1:50" x14ac:dyDescent="0.25">
      <c r="A4257" s="2" t="s">
        <v>28034</v>
      </c>
      <c r="B4257" s="2">
        <v>221.08155563049101</v>
      </c>
      <c r="C4257" s="2">
        <v>7.6115166666666703</v>
      </c>
      <c r="D4257" s="2" t="s">
        <v>51</v>
      </c>
      <c r="E4257" s="2" t="s">
        <v>28035</v>
      </c>
      <c r="F4257" s="2">
        <v>47783</v>
      </c>
      <c r="G4257" s="3" t="str">
        <f>HYPERLINK("https://cloud.oebiotech.com/#/lm/network/47783", "https://cloud.oebiotech.com/#/lm/network/47783")</f>
        <v>https://cloud.oebiotech.com/#/lm/network/47783</v>
      </c>
      <c r="H4257" s="2" t="s">
        <v>28036</v>
      </c>
      <c r="I4257" s="2">
        <v>58086</v>
      </c>
      <c r="J4257" s="2"/>
      <c r="K4257" s="2">
        <v>92272</v>
      </c>
      <c r="L4257" s="2"/>
      <c r="M4257" s="2"/>
      <c r="N4257" s="2"/>
      <c r="O4257" s="2">
        <v>90038</v>
      </c>
      <c r="P4257" s="2"/>
      <c r="Q4257" s="2"/>
      <c r="R4257" s="2" t="s">
        <v>28037</v>
      </c>
      <c r="S4257" s="2" t="s">
        <v>28038</v>
      </c>
      <c r="T4257" s="2" t="s">
        <v>28039</v>
      </c>
      <c r="U4257" s="2" t="s">
        <v>610</v>
      </c>
      <c r="V4257" s="2" t="s">
        <v>611</v>
      </c>
      <c r="W4257" s="2" t="s">
        <v>1122</v>
      </c>
      <c r="X4257" s="2" t="s">
        <v>83</v>
      </c>
      <c r="Y4257" s="2">
        <v>52.6</v>
      </c>
      <c r="Z4257" s="2">
        <v>31</v>
      </c>
      <c r="AA4257" s="2" t="s">
        <v>163</v>
      </c>
      <c r="AB4257" s="2" t="s">
        <v>28040</v>
      </c>
      <c r="AC4257" s="2">
        <v>-1.6969069792765901</v>
      </c>
      <c r="AD4257" s="2"/>
      <c r="AE4257" s="2">
        <v>0.10465032104153001</v>
      </c>
      <c r="AF4257" s="2">
        <v>4500.3185024996101</v>
      </c>
      <c r="AG4257" s="2">
        <v>5591.6841325642099</v>
      </c>
      <c r="AH4257" s="4">
        <v>0.80482344778582304</v>
      </c>
      <c r="AI4257" s="4">
        <v>-0.31325575754766399</v>
      </c>
      <c r="AJ4257" s="4" t="s">
        <v>62</v>
      </c>
      <c r="AK4257" s="2">
        <v>0.56964610062448595</v>
      </c>
      <c r="AL4257" s="2">
        <v>0.78311574344879098</v>
      </c>
      <c r="AM4257" s="2">
        <v>3853.4273586674499</v>
      </c>
      <c r="AN4257" s="2">
        <v>2708.4074813133102</v>
      </c>
      <c r="AO4257" s="2">
        <v>5290.5557745369597</v>
      </c>
      <c r="AP4257" s="2">
        <v>4503.64445757047</v>
      </c>
      <c r="AQ4257" s="2">
        <v>4762.1444283810597</v>
      </c>
      <c r="AR4257" s="2">
        <v>5883.7315145284101</v>
      </c>
      <c r="AS4257" s="2">
        <v>3016.7855642473401</v>
      </c>
      <c r="AT4257" s="2">
        <v>3047.2650049181898</v>
      </c>
      <c r="AU4257" s="2">
        <v>9328.2806621671807</v>
      </c>
      <c r="AV4257" s="2">
        <v>2410.2060548152499</v>
      </c>
      <c r="AW4257" s="2">
        <v>2896.3823734611201</v>
      </c>
      <c r="AX4257" s="2">
        <v>12851.185135776201</v>
      </c>
    </row>
    <row r="4258" spans="1:50" x14ac:dyDescent="0.25">
      <c r="A4258" s="2" t="s">
        <v>28041</v>
      </c>
      <c r="B4258" s="2">
        <v>355.26436900516501</v>
      </c>
      <c r="C4258" s="2">
        <v>13.056616666666701</v>
      </c>
      <c r="D4258" s="2" t="s">
        <v>51</v>
      </c>
      <c r="E4258" s="2" t="s">
        <v>28042</v>
      </c>
      <c r="F4258" s="2">
        <v>82103</v>
      </c>
      <c r="G4258" s="3" t="str">
        <f>HYPERLINK("https://cloud.oebiotech.com/#/lm/network/82103", "https://cloud.oebiotech.com/#/lm/network/82103")</f>
        <v>https://cloud.oebiotech.com/#/lm/network/82103</v>
      </c>
      <c r="H4258" s="2" t="s">
        <v>28043</v>
      </c>
      <c r="I4258" s="2"/>
      <c r="J4258" s="2"/>
      <c r="K4258" s="2">
        <v>131769829</v>
      </c>
      <c r="L4258" s="2"/>
      <c r="M4258" s="2"/>
      <c r="N4258" s="2"/>
      <c r="O4258" s="2"/>
      <c r="P4258" s="2"/>
      <c r="Q4258" s="2"/>
      <c r="R4258" s="2"/>
      <c r="S4258" s="2" t="s">
        <v>28044</v>
      </c>
      <c r="T4258" s="2" t="s">
        <v>28045</v>
      </c>
      <c r="U4258" s="2" t="s">
        <v>56</v>
      </c>
      <c r="V4258" s="2" t="s">
        <v>145</v>
      </c>
      <c r="W4258" s="2" t="s">
        <v>231</v>
      </c>
      <c r="X4258" s="2" t="s">
        <v>83</v>
      </c>
      <c r="Y4258" s="2">
        <v>49.3</v>
      </c>
      <c r="Z4258" s="2">
        <v>0</v>
      </c>
      <c r="AA4258" s="2" t="s">
        <v>163</v>
      </c>
      <c r="AB4258" s="2" t="s">
        <v>9642</v>
      </c>
      <c r="AC4258" s="2">
        <v>0.32290967850740698</v>
      </c>
      <c r="AD4258" s="2"/>
      <c r="AE4258" s="2">
        <v>0.104613102786959</v>
      </c>
      <c r="AF4258" s="2">
        <v>1504.2039555731301</v>
      </c>
      <c r="AG4258" s="2">
        <v>2526.3869254501801</v>
      </c>
      <c r="AH4258" s="4">
        <v>0.595397300556049</v>
      </c>
      <c r="AI4258" s="4">
        <v>-0.74807541426409896</v>
      </c>
      <c r="AJ4258" s="4" t="s">
        <v>62</v>
      </c>
      <c r="AK4258" s="2">
        <v>0.28511987979534897</v>
      </c>
      <c r="AL4258" s="2">
        <v>0.60031658841593905</v>
      </c>
      <c r="AM4258" s="2">
        <v>3609.0085676477001</v>
      </c>
      <c r="AN4258" s="2">
        <v>965.75249206361696</v>
      </c>
      <c r="AO4258" s="2">
        <v>1006.56706127379</v>
      </c>
      <c r="AP4258" s="2">
        <v>943.54219962856303</v>
      </c>
      <c r="AQ4258" s="2">
        <v>1050.5738468843199</v>
      </c>
      <c r="AR4258" s="2">
        <v>1449.7795659408</v>
      </c>
      <c r="AS4258" s="2">
        <v>874.90591497575201</v>
      </c>
      <c r="AT4258" s="2">
        <v>839.35359978959104</v>
      </c>
      <c r="AU4258" s="2">
        <v>5648.6977489799801</v>
      </c>
      <c r="AV4258" s="2">
        <v>1684.60011545107</v>
      </c>
      <c r="AW4258" s="2">
        <v>4172.5049456487504</v>
      </c>
      <c r="AX4258" s="2">
        <v>1938.25922785591</v>
      </c>
    </row>
    <row r="4259" spans="1:50" x14ac:dyDescent="0.25">
      <c r="A4259" s="2" t="s">
        <v>28046</v>
      </c>
      <c r="B4259" s="2">
        <v>294.07127099368199</v>
      </c>
      <c r="C4259" s="2">
        <v>1.04843333333333</v>
      </c>
      <c r="D4259" s="2" t="s">
        <v>51</v>
      </c>
      <c r="E4259" s="2" t="s">
        <v>28047</v>
      </c>
      <c r="F4259" s="2">
        <v>202226</v>
      </c>
      <c r="G4259" s="3" t="str">
        <f>HYPERLINK("https://cloud.oebiotech.com/#/lm/network/202226", "https://cloud.oebiotech.com/#/lm/network/202226")</f>
        <v>https://cloud.oebiotech.com/#/lm/network/202226</v>
      </c>
      <c r="H4259" s="2" t="s">
        <v>28048</v>
      </c>
      <c r="I4259" s="2"/>
      <c r="J4259" s="2"/>
      <c r="K4259" s="2">
        <v>3017450</v>
      </c>
      <c r="L4259" s="2"/>
      <c r="M4259" s="2"/>
      <c r="N4259" s="2"/>
      <c r="O4259" s="2"/>
      <c r="P4259" s="2"/>
      <c r="Q4259" s="2"/>
      <c r="R4259" s="2"/>
      <c r="S4259" s="2" t="s">
        <v>28049</v>
      </c>
      <c r="T4259" s="2" t="s">
        <v>28050</v>
      </c>
      <c r="U4259" s="2" t="s">
        <v>103</v>
      </c>
      <c r="V4259" s="2" t="s">
        <v>104</v>
      </c>
      <c r="W4259" s="2" t="s">
        <v>105</v>
      </c>
      <c r="X4259" s="2" t="s">
        <v>147</v>
      </c>
      <c r="Y4259" s="2">
        <v>36.5</v>
      </c>
      <c r="Z4259" s="2">
        <v>0</v>
      </c>
      <c r="AA4259" s="2" t="s">
        <v>156</v>
      </c>
      <c r="AB4259" s="2" t="s">
        <v>28051</v>
      </c>
      <c r="AC4259" s="2">
        <v>-2.541263873059</v>
      </c>
      <c r="AD4259" s="2"/>
      <c r="AE4259" s="2">
        <v>0.10453148765369601</v>
      </c>
      <c r="AF4259" s="2">
        <v>1104.3270074351699</v>
      </c>
      <c r="AG4259" s="2">
        <v>1492.8127110442199</v>
      </c>
      <c r="AH4259" s="4">
        <v>0.73976259665064903</v>
      </c>
      <c r="AI4259" s="4">
        <v>-0.43486573710020798</v>
      </c>
      <c r="AJ4259" s="4" t="s">
        <v>62</v>
      </c>
      <c r="AK4259" s="2">
        <v>9.6633774903010894E-2</v>
      </c>
      <c r="AL4259" s="2">
        <v>0.39675983513082702</v>
      </c>
      <c r="AM4259" s="2">
        <v>1315.9700463147999</v>
      </c>
      <c r="AN4259" s="2">
        <v>741.36286771388905</v>
      </c>
      <c r="AO4259" s="2">
        <v>1074.8882503992099</v>
      </c>
      <c r="AP4259" s="2">
        <v>1420.8194778069601</v>
      </c>
      <c r="AQ4259" s="2">
        <v>1245.6719451690201</v>
      </c>
      <c r="AR4259" s="2">
        <v>827.24945720713697</v>
      </c>
      <c r="AS4259" s="2">
        <v>1010.51207037448</v>
      </c>
      <c r="AT4259" s="2">
        <v>1308.47662009021</v>
      </c>
      <c r="AU4259" s="2">
        <v>1636.6129807474299</v>
      </c>
      <c r="AV4259" s="2">
        <v>1179.7288457540801</v>
      </c>
      <c r="AW4259" s="2">
        <v>1565.8506539140999</v>
      </c>
      <c r="AX4259" s="2">
        <v>2255.6950953850401</v>
      </c>
    </row>
    <row r="4260" spans="1:50" x14ac:dyDescent="0.25">
      <c r="A4260" s="2" t="s">
        <v>28052</v>
      </c>
      <c r="B4260" s="2">
        <v>342.94772365026103</v>
      </c>
      <c r="C4260" s="2">
        <v>4.0390499999999996</v>
      </c>
      <c r="D4260" s="2" t="s">
        <v>51</v>
      </c>
      <c r="E4260" s="2" t="s">
        <v>28053</v>
      </c>
      <c r="F4260" s="2">
        <v>209796</v>
      </c>
      <c r="G4260" s="3" t="str">
        <f>HYPERLINK("https://cloud.oebiotech.com/#/lm/network/209796", "https://cloud.oebiotech.com/#/lm/network/209796")</f>
        <v>https://cloud.oebiotech.com/#/lm/network/209796</v>
      </c>
      <c r="H4260" s="2" t="s">
        <v>28054</v>
      </c>
      <c r="I4260" s="2">
        <v>455500</v>
      </c>
      <c r="J4260" s="2"/>
      <c r="K4260" s="2">
        <v>31435</v>
      </c>
      <c r="L4260" s="2"/>
      <c r="M4260" s="2"/>
      <c r="N4260" s="2"/>
      <c r="O4260" s="2"/>
      <c r="P4260" s="2"/>
      <c r="Q4260" s="2"/>
      <c r="R4260" s="2"/>
      <c r="S4260" s="2" t="s">
        <v>28055</v>
      </c>
      <c r="T4260" s="2" t="s">
        <v>28056</v>
      </c>
      <c r="U4260" s="2" t="s">
        <v>21173</v>
      </c>
      <c r="V4260" s="2" t="s">
        <v>24253</v>
      </c>
      <c r="W4260" s="2" t="s">
        <v>240</v>
      </c>
      <c r="X4260" s="2" t="s">
        <v>147</v>
      </c>
      <c r="Y4260" s="2">
        <v>36.5</v>
      </c>
      <c r="Z4260" s="2">
        <v>0</v>
      </c>
      <c r="AA4260" s="2" t="s">
        <v>478</v>
      </c>
      <c r="AB4260" s="2" t="s">
        <v>28057</v>
      </c>
      <c r="AC4260" s="2">
        <v>-3.8267453633057098</v>
      </c>
      <c r="AD4260" s="2"/>
      <c r="AE4260" s="2">
        <v>0.10451779214444901</v>
      </c>
      <c r="AF4260" s="2">
        <v>5652.1537297282202</v>
      </c>
      <c r="AG4260" s="2">
        <v>6486.0401479394404</v>
      </c>
      <c r="AH4260" s="4">
        <v>0.87143366380855103</v>
      </c>
      <c r="AI4260" s="4">
        <v>-0.19853724870845199</v>
      </c>
      <c r="AJ4260" s="4" t="s">
        <v>62</v>
      </c>
      <c r="AK4260" s="2">
        <v>0.54470565995686504</v>
      </c>
      <c r="AL4260" s="2">
        <v>0.769018528661641</v>
      </c>
      <c r="AM4260" s="2">
        <v>3086.4361059293001</v>
      </c>
      <c r="AN4260" s="2">
        <v>7704.4573139219201</v>
      </c>
      <c r="AO4260" s="2">
        <v>6248.29180111201</v>
      </c>
      <c r="AP4260" s="2">
        <v>7865.5458852821603</v>
      </c>
      <c r="AQ4260" s="2">
        <v>4870.1111120579199</v>
      </c>
      <c r="AR4260" s="2">
        <v>4138.0801600659897</v>
      </c>
      <c r="AS4260" s="2">
        <v>8861.5406903147305</v>
      </c>
      <c r="AT4260" s="2">
        <v>8584.7135261584899</v>
      </c>
      <c r="AU4260" s="2">
        <v>5471.5740303627499</v>
      </c>
      <c r="AV4260" s="2">
        <v>1895.44773298789</v>
      </c>
      <c r="AW4260" s="2">
        <v>6238.9014281034697</v>
      </c>
      <c r="AX4260" s="2">
        <v>7864.0634797092898</v>
      </c>
    </row>
    <row r="4261" spans="1:50" x14ac:dyDescent="0.25">
      <c r="A4261" s="2" t="s">
        <v>28058</v>
      </c>
      <c r="B4261" s="2">
        <v>321.05914163187998</v>
      </c>
      <c r="C4261" s="2">
        <v>4.59985</v>
      </c>
      <c r="D4261" s="2" t="s">
        <v>51</v>
      </c>
      <c r="E4261" s="2" t="s">
        <v>28059</v>
      </c>
      <c r="F4261" s="2">
        <v>197199</v>
      </c>
      <c r="G4261" s="3" t="str">
        <f>HYPERLINK("https://cloud.oebiotech.com/#/lm/network/197199", "https://cloud.oebiotech.com/#/lm/network/197199")</f>
        <v>https://cloud.oebiotech.com/#/lm/network/197199</v>
      </c>
      <c r="H4261" s="2" t="s">
        <v>28060</v>
      </c>
      <c r="I4261" s="2"/>
      <c r="J4261" s="2"/>
      <c r="K4261" s="2">
        <v>131837805</v>
      </c>
      <c r="L4261" s="2"/>
      <c r="M4261" s="2"/>
      <c r="N4261" s="2"/>
      <c r="O4261" s="2"/>
      <c r="P4261" s="2"/>
      <c r="Q4261" s="2"/>
      <c r="R4261" s="2"/>
      <c r="S4261" s="2" t="s">
        <v>28061</v>
      </c>
      <c r="T4261" s="2" t="s">
        <v>28062</v>
      </c>
      <c r="U4261" s="2" t="s">
        <v>331</v>
      </c>
      <c r="V4261" s="2" t="s">
        <v>332</v>
      </c>
      <c r="W4261" s="2" t="s">
        <v>333</v>
      </c>
      <c r="X4261" s="2" t="s">
        <v>83</v>
      </c>
      <c r="Y4261" s="2">
        <v>38.1</v>
      </c>
      <c r="Z4261" s="2">
        <v>0.108</v>
      </c>
      <c r="AA4261" s="2" t="s">
        <v>379</v>
      </c>
      <c r="AB4261" s="2" t="s">
        <v>28063</v>
      </c>
      <c r="AC4261" s="2">
        <v>-7.2022505608433898</v>
      </c>
      <c r="AD4261" s="2"/>
      <c r="AE4261" s="2">
        <v>0.10437600703350899</v>
      </c>
      <c r="AF4261" s="2">
        <v>1289.8405826580499</v>
      </c>
      <c r="AG4261" s="2">
        <v>424.66675566940199</v>
      </c>
      <c r="AH4261" s="5">
        <v>3.03730057848506</v>
      </c>
      <c r="AI4261" s="5">
        <v>1.602789688101</v>
      </c>
      <c r="AJ4261" s="5" t="s">
        <v>139</v>
      </c>
      <c r="AK4261" s="2">
        <v>0.34288355790929598</v>
      </c>
      <c r="AL4261" s="2">
        <v>0.63815037094278604</v>
      </c>
      <c r="AM4261" s="2">
        <v>83.617527981148598</v>
      </c>
      <c r="AN4261" s="2">
        <v>125.321996418919</v>
      </c>
      <c r="AO4261" s="2">
        <v>219.46949686165399</v>
      </c>
      <c r="AP4261" s="2">
        <v>171.28578636888699</v>
      </c>
      <c r="AQ4261" s="2">
        <v>5021.1532981753999</v>
      </c>
      <c r="AR4261" s="2">
        <v>2118.1953901422899</v>
      </c>
      <c r="AS4261" s="2">
        <v>8.559877937157E-6</v>
      </c>
      <c r="AT4261" s="2">
        <v>8.559877937157E-6</v>
      </c>
      <c r="AU4261" s="2">
        <v>1901.60659225427</v>
      </c>
      <c r="AV4261" s="2">
        <v>536.35148559558195</v>
      </c>
      <c r="AW4261" s="2">
        <v>110.042430486927</v>
      </c>
      <c r="AX4261" s="2">
        <v>8.559877937157E-6</v>
      </c>
    </row>
    <row r="4262" spans="1:50" x14ac:dyDescent="0.25">
      <c r="A4262" s="2" t="s">
        <v>28064</v>
      </c>
      <c r="B4262" s="2">
        <v>124.990226949</v>
      </c>
      <c r="C4262" s="2">
        <v>0.68473333333333297</v>
      </c>
      <c r="D4262" s="2" t="s">
        <v>51</v>
      </c>
      <c r="E4262" s="2" t="s">
        <v>28065</v>
      </c>
      <c r="F4262" s="2">
        <v>48178</v>
      </c>
      <c r="G4262" s="3" t="str">
        <f>HYPERLINK("https://cloud.oebiotech.com/#/lm/network/48178", "https://cloud.oebiotech.com/#/lm/network/48178")</f>
        <v>https://cloud.oebiotech.com/#/lm/network/48178</v>
      </c>
      <c r="H4262" s="2" t="s">
        <v>28066</v>
      </c>
      <c r="I4262" s="2">
        <v>6987</v>
      </c>
      <c r="J4262" s="2"/>
      <c r="K4262" s="2">
        <v>7866</v>
      </c>
      <c r="L4262" s="2" t="s">
        <v>28067</v>
      </c>
      <c r="M4262" s="2" t="s">
        <v>24921</v>
      </c>
      <c r="N4262" s="2" t="s">
        <v>24922</v>
      </c>
      <c r="O4262" s="2">
        <v>1157</v>
      </c>
      <c r="P4262" s="2"/>
      <c r="Q4262" s="2"/>
      <c r="R4262" s="2" t="s">
        <v>28068</v>
      </c>
      <c r="S4262" s="2" t="s">
        <v>28069</v>
      </c>
      <c r="T4262" s="2" t="s">
        <v>28070</v>
      </c>
      <c r="U4262" s="2" t="s">
        <v>103</v>
      </c>
      <c r="V4262" s="2" t="s">
        <v>12842</v>
      </c>
      <c r="W4262" s="2" t="s">
        <v>12843</v>
      </c>
      <c r="X4262" s="2" t="s">
        <v>83</v>
      </c>
      <c r="Y4262" s="2">
        <v>37.1</v>
      </c>
      <c r="Z4262" s="2">
        <v>0</v>
      </c>
      <c r="AA4262" s="2" t="s">
        <v>163</v>
      </c>
      <c r="AB4262" s="2" t="s">
        <v>28071</v>
      </c>
      <c r="AC4262" s="2">
        <v>-9.3357300500323195</v>
      </c>
      <c r="AD4262" s="2"/>
      <c r="AE4262" s="2">
        <v>0.10420244612109</v>
      </c>
      <c r="AF4262" s="2">
        <v>6064.8640619288799</v>
      </c>
      <c r="AG4262" s="2">
        <v>5076.0152909403396</v>
      </c>
      <c r="AH4262" s="5">
        <v>1.1948080756875199</v>
      </c>
      <c r="AI4262" s="5">
        <v>0.25677889394561298</v>
      </c>
      <c r="AJ4262" s="5" t="s">
        <v>139</v>
      </c>
      <c r="AK4262" s="2">
        <v>0.45773286999621099</v>
      </c>
      <c r="AL4262" s="2">
        <v>0.70873397123624904</v>
      </c>
      <c r="AM4262" s="2">
        <v>5555.06563769484</v>
      </c>
      <c r="AN4262" s="2">
        <v>7151.5839884443103</v>
      </c>
      <c r="AO4262" s="2">
        <v>2595.5811019191801</v>
      </c>
      <c r="AP4262" s="2">
        <v>3811.7302720020398</v>
      </c>
      <c r="AQ4262" s="2">
        <v>6337.0527936809904</v>
      </c>
      <c r="AR4262" s="2">
        <v>10938.170577831899</v>
      </c>
      <c r="AS4262" s="2">
        <v>5767.6637630400301</v>
      </c>
      <c r="AT4262" s="2">
        <v>5657.6478300191602</v>
      </c>
      <c r="AU4262" s="2">
        <v>4356.3568818869298</v>
      </c>
      <c r="AV4262" s="2">
        <v>4103.4572154869502</v>
      </c>
      <c r="AW4262" s="2">
        <v>6772.4746043724799</v>
      </c>
      <c r="AX4262" s="2">
        <v>3798.49145083651</v>
      </c>
    </row>
    <row r="4263" spans="1:50" x14ac:dyDescent="0.25">
      <c r="A4263" s="2" t="s">
        <v>28072</v>
      </c>
      <c r="B4263" s="2">
        <v>231.09832359106801</v>
      </c>
      <c r="C4263" s="2">
        <v>0.74113333333333298</v>
      </c>
      <c r="D4263" s="2" t="s">
        <v>51</v>
      </c>
      <c r="E4263" s="2" t="s">
        <v>28073</v>
      </c>
      <c r="F4263" s="2">
        <v>266205</v>
      </c>
      <c r="G4263" s="3" t="str">
        <f>HYPERLINK("https://cloud.oebiotech.com/#/lm/network/266205", "https://cloud.oebiotech.com/#/lm/network/266205")</f>
        <v>https://cloud.oebiotech.com/#/lm/network/266205</v>
      </c>
      <c r="H4263" s="2"/>
      <c r="I4263" s="2">
        <v>23941</v>
      </c>
      <c r="J4263" s="2"/>
      <c r="K4263" s="2">
        <v>6347578</v>
      </c>
      <c r="L4263" s="2"/>
      <c r="M4263" s="2"/>
      <c r="N4263" s="2"/>
      <c r="O4263" s="2"/>
      <c r="P4263" s="2"/>
      <c r="Q4263" s="2"/>
      <c r="R4263" s="2"/>
      <c r="S4263" s="2" t="s">
        <v>28074</v>
      </c>
      <c r="T4263" s="2" t="s">
        <v>28075</v>
      </c>
      <c r="U4263" s="2" t="s">
        <v>103</v>
      </c>
      <c r="V4263" s="2" t="s">
        <v>104</v>
      </c>
      <c r="W4263" s="2" t="s">
        <v>105</v>
      </c>
      <c r="X4263" s="2" t="s">
        <v>83</v>
      </c>
      <c r="Y4263" s="2">
        <v>44.9</v>
      </c>
      <c r="Z4263" s="2">
        <v>0</v>
      </c>
      <c r="AA4263" s="2" t="s">
        <v>218</v>
      </c>
      <c r="AB4263" s="2" t="s">
        <v>28076</v>
      </c>
      <c r="AC4263" s="2">
        <v>-1.72807860209065</v>
      </c>
      <c r="AD4263" s="2"/>
      <c r="AE4263" s="2">
        <v>0.10415630592422701</v>
      </c>
      <c r="AF4263" s="2">
        <v>16197.108552523699</v>
      </c>
      <c r="AG4263" s="2">
        <v>13625.154262554999</v>
      </c>
      <c r="AH4263" s="5">
        <v>1.1887651501339001</v>
      </c>
      <c r="AI4263" s="5">
        <v>0.24946372752854301</v>
      </c>
      <c r="AJ4263" s="5" t="s">
        <v>139</v>
      </c>
      <c r="AK4263" s="2">
        <v>0.75263206408340699</v>
      </c>
      <c r="AL4263" s="2">
        <v>0.88799216304912298</v>
      </c>
      <c r="AM4263" s="2">
        <v>19272.2243240065</v>
      </c>
      <c r="AN4263" s="2">
        <v>15993.089738087599</v>
      </c>
      <c r="AO4263" s="2">
        <v>12906.565273406901</v>
      </c>
      <c r="AP4263" s="2">
        <v>4791.4303483430404</v>
      </c>
      <c r="AQ4263" s="2">
        <v>31387.310218962801</v>
      </c>
      <c r="AR4263" s="2">
        <v>12832.0314123352</v>
      </c>
      <c r="AS4263" s="2">
        <v>990.498671139149</v>
      </c>
      <c r="AT4263" s="2">
        <v>3831.03992138998</v>
      </c>
      <c r="AU4263" s="2">
        <v>10247.6660505542</v>
      </c>
      <c r="AV4263" s="2">
        <v>46665.311923896203</v>
      </c>
      <c r="AW4263" s="2">
        <v>2476.35157736377</v>
      </c>
      <c r="AX4263" s="2">
        <v>17540.057430986501</v>
      </c>
    </row>
    <row r="4264" spans="1:50" x14ac:dyDescent="0.25">
      <c r="A4264" s="2" t="s">
        <v>28077</v>
      </c>
      <c r="B4264" s="2">
        <v>190.03492018287901</v>
      </c>
      <c r="C4264" s="2">
        <v>0.75693333333333301</v>
      </c>
      <c r="D4264" s="2" t="s">
        <v>51</v>
      </c>
      <c r="E4264" s="2" t="s">
        <v>28078</v>
      </c>
      <c r="F4264" s="2">
        <v>198975</v>
      </c>
      <c r="G4264" s="3" t="str">
        <f>HYPERLINK("https://cloud.oebiotech.com/#/lm/network/198975", "https://cloud.oebiotech.com/#/lm/network/198975")</f>
        <v>https://cloud.oebiotech.com/#/lm/network/198975</v>
      </c>
      <c r="H4264" s="2" t="s">
        <v>28079</v>
      </c>
      <c r="I4264" s="2"/>
      <c r="J4264" s="2"/>
      <c r="K4264" s="2">
        <v>451784</v>
      </c>
      <c r="L4264" s="2"/>
      <c r="M4264" s="2"/>
      <c r="N4264" s="2"/>
      <c r="O4264" s="2"/>
      <c r="P4264" s="2"/>
      <c r="Q4264" s="2"/>
      <c r="R4264" s="2"/>
      <c r="S4264" s="2" t="s">
        <v>28080</v>
      </c>
      <c r="T4264" s="2" t="s">
        <v>28081</v>
      </c>
      <c r="U4264" s="2" t="s">
        <v>103</v>
      </c>
      <c r="V4264" s="2" t="s">
        <v>104</v>
      </c>
      <c r="W4264" s="2" t="s">
        <v>105</v>
      </c>
      <c r="X4264" s="2" t="s">
        <v>83</v>
      </c>
      <c r="Y4264" s="2">
        <v>38.299999999999997</v>
      </c>
      <c r="Z4264" s="2">
        <v>0</v>
      </c>
      <c r="AA4264" s="2" t="s">
        <v>163</v>
      </c>
      <c r="AB4264" s="2" t="s">
        <v>28082</v>
      </c>
      <c r="AC4264" s="2">
        <v>-4.1372673415752299</v>
      </c>
      <c r="AD4264" s="2"/>
      <c r="AE4264" s="2">
        <v>0.10403125353053599</v>
      </c>
      <c r="AF4264" s="2">
        <v>1025.38216068215</v>
      </c>
      <c r="AG4264" s="2">
        <v>1918.6630580073199</v>
      </c>
      <c r="AH4264" s="4">
        <v>0.53442534185605595</v>
      </c>
      <c r="AI4264" s="4">
        <v>-0.90393967445710799</v>
      </c>
      <c r="AJ4264" s="4" t="s">
        <v>62</v>
      </c>
      <c r="AK4264" s="2">
        <v>0.34200604751915098</v>
      </c>
      <c r="AL4264" s="2">
        <v>0.63815037094278604</v>
      </c>
      <c r="AM4264" s="2">
        <v>977.22553167636897</v>
      </c>
      <c r="AN4264" s="2">
        <v>1810.7948277128901</v>
      </c>
      <c r="AO4264" s="2">
        <v>769.54180439948902</v>
      </c>
      <c r="AP4264" s="2">
        <v>1038.4942412356399</v>
      </c>
      <c r="AQ4264" s="2">
        <v>1124.45997677883</v>
      </c>
      <c r="AR4264" s="2">
        <v>431.77658228968102</v>
      </c>
      <c r="AS4264" s="2">
        <v>4035.4149018385501</v>
      </c>
      <c r="AT4264" s="2">
        <v>5017.0404570128403</v>
      </c>
      <c r="AU4264" s="2">
        <v>8.559877937157E-6</v>
      </c>
      <c r="AV4264" s="2">
        <v>675.16077122909201</v>
      </c>
      <c r="AW4264" s="2">
        <v>8.559877937157E-6</v>
      </c>
      <c r="AX4264" s="2">
        <v>1784.3622008437101</v>
      </c>
    </row>
    <row r="4265" spans="1:50" x14ac:dyDescent="0.25">
      <c r="A4265" s="2" t="s">
        <v>28083</v>
      </c>
      <c r="B4265" s="2">
        <v>177.127874401931</v>
      </c>
      <c r="C4265" s="2">
        <v>9.7668833333333307</v>
      </c>
      <c r="D4265" s="2" t="s">
        <v>51</v>
      </c>
      <c r="E4265" s="2" t="s">
        <v>28084</v>
      </c>
      <c r="F4265" s="2">
        <v>255562</v>
      </c>
      <c r="G4265" s="3" t="str">
        <f>HYPERLINK("https://cloud.oebiotech.com/#/lm/network/255562", "https://cloud.oebiotech.com/#/lm/network/255562")</f>
        <v>https://cloud.oebiotech.com/#/lm/network/255562</v>
      </c>
      <c r="H4265" s="2" t="s">
        <v>28085</v>
      </c>
      <c r="I4265" s="2">
        <v>835509</v>
      </c>
      <c r="J4265" s="2"/>
      <c r="K4265" s="2">
        <v>54225634</v>
      </c>
      <c r="L4265" s="2"/>
      <c r="M4265" s="2"/>
      <c r="N4265" s="2"/>
      <c r="O4265" s="2"/>
      <c r="P4265" s="2"/>
      <c r="Q4265" s="2"/>
      <c r="R4265" s="2"/>
      <c r="S4265" s="2" t="s">
        <v>28086</v>
      </c>
      <c r="T4265" s="2" t="s">
        <v>28087</v>
      </c>
      <c r="U4265" s="2" t="s">
        <v>56</v>
      </c>
      <c r="V4265" s="2" t="s">
        <v>145</v>
      </c>
      <c r="W4265" s="2" t="s">
        <v>231</v>
      </c>
      <c r="X4265" s="2" t="s">
        <v>69</v>
      </c>
      <c r="Y4265" s="2">
        <v>67.599999999999994</v>
      </c>
      <c r="Z4265" s="2">
        <v>72.599999999999994</v>
      </c>
      <c r="AA4265" s="2" t="s">
        <v>156</v>
      </c>
      <c r="AB4265" s="2" t="s">
        <v>5717</v>
      </c>
      <c r="AC4265" s="2">
        <v>2.4871676697320502</v>
      </c>
      <c r="AD4265" s="2"/>
      <c r="AE4265" s="2">
        <v>0.104028245474922</v>
      </c>
      <c r="AF4265" s="2">
        <v>2019.0052675668901</v>
      </c>
      <c r="AG4265" s="2">
        <v>2584.4843857823798</v>
      </c>
      <c r="AH4265" s="4">
        <v>0.78120234684865097</v>
      </c>
      <c r="AI4265" s="4">
        <v>-0.35623181158454198</v>
      </c>
      <c r="AJ4265" s="4" t="s">
        <v>62</v>
      </c>
      <c r="AK4265" s="2">
        <v>0.147397775828742</v>
      </c>
      <c r="AL4265" s="2">
        <v>0.46813495501649</v>
      </c>
      <c r="AM4265" s="2">
        <v>2333.1658750196598</v>
      </c>
      <c r="AN4265" s="2">
        <v>2317.8728791970998</v>
      </c>
      <c r="AO4265" s="2">
        <v>2156.11052929982</v>
      </c>
      <c r="AP4265" s="2">
        <v>1359.7588729679401</v>
      </c>
      <c r="AQ4265" s="2">
        <v>2175.6265206386402</v>
      </c>
      <c r="AR4265" s="2">
        <v>1771.4969282781799</v>
      </c>
      <c r="AS4265" s="2">
        <v>2496.9792929381802</v>
      </c>
      <c r="AT4265" s="2">
        <v>1534.15105299723</v>
      </c>
      <c r="AU4265" s="2">
        <v>3815.8475756757998</v>
      </c>
      <c r="AV4265" s="2">
        <v>3117.3430168930699</v>
      </c>
      <c r="AW4265" s="2">
        <v>2437.8295984296901</v>
      </c>
      <c r="AX4265" s="2">
        <v>2104.7557777603201</v>
      </c>
    </row>
    <row r="4266" spans="1:50" x14ac:dyDescent="0.25">
      <c r="A4266" s="2" t="s">
        <v>28088</v>
      </c>
      <c r="B4266" s="2">
        <v>577.37497681737204</v>
      </c>
      <c r="C4266" s="2">
        <v>10.555249999999999</v>
      </c>
      <c r="D4266" s="2" t="s">
        <v>51</v>
      </c>
      <c r="E4266" s="2" t="s">
        <v>28089</v>
      </c>
      <c r="F4266" s="2">
        <v>44407</v>
      </c>
      <c r="G4266" s="3" t="str">
        <f>HYPERLINK("https://cloud.oebiotech.com/#/lm/network/44407", "https://cloud.oebiotech.com/#/lm/network/44407")</f>
        <v>https://cloud.oebiotech.com/#/lm/network/44407</v>
      </c>
      <c r="H4266" s="2"/>
      <c r="I4266" s="2"/>
      <c r="J4266" s="2" t="s">
        <v>28090</v>
      </c>
      <c r="K4266" s="2"/>
      <c r="L4266" s="2"/>
      <c r="M4266" s="2"/>
      <c r="N4266" s="2"/>
      <c r="O4266" s="2"/>
      <c r="P4266" s="2"/>
      <c r="Q4266" s="2"/>
      <c r="R4266" s="2"/>
      <c r="S4266" s="2" t="s">
        <v>28091</v>
      </c>
      <c r="T4266" s="2" t="s">
        <v>28092</v>
      </c>
      <c r="U4266" s="2" t="s">
        <v>56</v>
      </c>
      <c r="V4266" s="2" t="s">
        <v>283</v>
      </c>
      <c r="W4266" s="2" t="s">
        <v>5968</v>
      </c>
      <c r="X4266" s="2" t="s">
        <v>83</v>
      </c>
      <c r="Y4266" s="2">
        <v>42.8</v>
      </c>
      <c r="Z4266" s="2">
        <v>0</v>
      </c>
      <c r="AA4266" s="2" t="s">
        <v>218</v>
      </c>
      <c r="AB4266" s="2" t="s">
        <v>24345</v>
      </c>
      <c r="AC4266" s="2">
        <v>0.72235053998291299</v>
      </c>
      <c r="AD4266" s="2"/>
      <c r="AE4266" s="2">
        <v>0.103982543200085</v>
      </c>
      <c r="AF4266" s="2">
        <v>334.675200589084</v>
      </c>
      <c r="AG4266" s="2">
        <v>801.240697296284</v>
      </c>
      <c r="AH4266" s="4">
        <v>0.41769620754214798</v>
      </c>
      <c r="AI4266" s="4">
        <v>-1.25947405022547</v>
      </c>
      <c r="AJ4266" s="4" t="s">
        <v>62</v>
      </c>
      <c r="AK4266" s="2">
        <v>0.213528274699782</v>
      </c>
      <c r="AL4266" s="2">
        <v>0.53768212145991301</v>
      </c>
      <c r="AM4266" s="2">
        <v>8.559877937157E-6</v>
      </c>
      <c r="AN4266" s="2">
        <v>258.83796275810698</v>
      </c>
      <c r="AO4266" s="2">
        <v>8.559877937157E-6</v>
      </c>
      <c r="AP4266" s="2">
        <v>311.712374335047</v>
      </c>
      <c r="AQ4266" s="2">
        <v>375.41586526497503</v>
      </c>
      <c r="AR4266" s="2">
        <v>1062.08498405662</v>
      </c>
      <c r="AS4266" s="2">
        <v>729.201670953806</v>
      </c>
      <c r="AT4266" s="2">
        <v>2046.2712063538299</v>
      </c>
      <c r="AU4266" s="2">
        <v>8.559877937157E-6</v>
      </c>
      <c r="AV4266" s="2">
        <v>1077.40717975809</v>
      </c>
      <c r="AW4266" s="2">
        <v>954.56410959222205</v>
      </c>
      <c r="AX4266" s="2">
        <v>8.559877937157E-6</v>
      </c>
    </row>
    <row r="4267" spans="1:50" x14ac:dyDescent="0.25">
      <c r="A4267" s="2" t="s">
        <v>28093</v>
      </c>
      <c r="B4267" s="2">
        <v>849.29609505711505</v>
      </c>
      <c r="C4267" s="2">
        <v>4.1837666666666697</v>
      </c>
      <c r="D4267" s="2" t="s">
        <v>51</v>
      </c>
      <c r="E4267" s="2" t="s">
        <v>28094</v>
      </c>
      <c r="F4267" s="2">
        <v>206759</v>
      </c>
      <c r="G4267" s="3" t="str">
        <f>HYPERLINK("https://cloud.oebiotech.com/#/lm/network/206759", "https://cloud.oebiotech.com/#/lm/network/206759")</f>
        <v>https://cloud.oebiotech.com/#/lm/network/206759</v>
      </c>
      <c r="H4267" s="2" t="s">
        <v>28095</v>
      </c>
      <c r="I4267" s="2">
        <v>410229</v>
      </c>
      <c r="J4267" s="2"/>
      <c r="K4267" s="2">
        <v>49831257</v>
      </c>
      <c r="L4267" s="2"/>
      <c r="M4267" s="2"/>
      <c r="N4267" s="2"/>
      <c r="O4267" s="2"/>
      <c r="P4267" s="2"/>
      <c r="Q4267" s="2"/>
      <c r="R4267" s="2"/>
      <c r="S4267" s="2" t="s">
        <v>28096</v>
      </c>
      <c r="T4267" s="2" t="s">
        <v>28097</v>
      </c>
      <c r="U4267" s="2" t="s">
        <v>266</v>
      </c>
      <c r="V4267" s="2" t="s">
        <v>2143</v>
      </c>
      <c r="W4267" s="2" t="s">
        <v>2144</v>
      </c>
      <c r="X4267" s="2" t="s">
        <v>147</v>
      </c>
      <c r="Y4267" s="2">
        <v>37</v>
      </c>
      <c r="Z4267" s="2">
        <v>0</v>
      </c>
      <c r="AA4267" s="2" t="s">
        <v>478</v>
      </c>
      <c r="AB4267" s="2" t="s">
        <v>28098</v>
      </c>
      <c r="AC4267" s="2">
        <v>-1.1169547676405001</v>
      </c>
      <c r="AD4267" s="2"/>
      <c r="AE4267" s="2">
        <v>0.10392814060061099</v>
      </c>
      <c r="AF4267" s="2">
        <v>1206.7155387364701</v>
      </c>
      <c r="AG4267" s="2">
        <v>722.05428987439404</v>
      </c>
      <c r="AH4267" s="5">
        <v>1.6712254960030499</v>
      </c>
      <c r="AI4267" s="5">
        <v>0.74090640725711898</v>
      </c>
      <c r="AJ4267" s="5" t="s">
        <v>139</v>
      </c>
      <c r="AK4267" s="2">
        <v>0.54928684252859294</v>
      </c>
      <c r="AL4267" s="2">
        <v>0.77131409273705298</v>
      </c>
      <c r="AM4267" s="2">
        <v>3276.7137496504101</v>
      </c>
      <c r="AN4267" s="2">
        <v>8.559877937157E-6</v>
      </c>
      <c r="AO4267" s="2">
        <v>993.36766786738303</v>
      </c>
      <c r="AP4267" s="2">
        <v>8.559877937157E-6</v>
      </c>
      <c r="AQ4267" s="2">
        <v>8.559877937157E-6</v>
      </c>
      <c r="AR4267" s="2">
        <v>2970.2117892213701</v>
      </c>
      <c r="AS4267" s="2">
        <v>4.8220647461825497</v>
      </c>
      <c r="AT4267" s="2">
        <v>8.559877937157E-6</v>
      </c>
      <c r="AU4267" s="2">
        <v>2553.0439257415001</v>
      </c>
      <c r="AV4267" s="2">
        <v>1774.45972307905</v>
      </c>
      <c r="AW4267" s="2">
        <v>8.559877937157E-6</v>
      </c>
      <c r="AX4267" s="2">
        <v>8.559877937157E-6</v>
      </c>
    </row>
    <row r="4268" spans="1:50" x14ac:dyDescent="0.25">
      <c r="A4268" s="2" t="s">
        <v>28099</v>
      </c>
      <c r="B4268" s="2">
        <v>482.36193649914497</v>
      </c>
      <c r="C4268" s="2">
        <v>13.526899999999999</v>
      </c>
      <c r="D4268" s="2" t="s">
        <v>51</v>
      </c>
      <c r="E4268" s="2" t="s">
        <v>28100</v>
      </c>
      <c r="F4268" s="2">
        <v>198172</v>
      </c>
      <c r="G4268" s="3" t="str">
        <f>HYPERLINK("https://cloud.oebiotech.com/#/lm/network/198172", "https://cloud.oebiotech.com/#/lm/network/198172")</f>
        <v>https://cloud.oebiotech.com/#/lm/network/198172</v>
      </c>
      <c r="H4268" s="2" t="s">
        <v>28101</v>
      </c>
      <c r="I4268" s="2"/>
      <c r="J4268" s="2"/>
      <c r="K4268" s="2"/>
      <c r="L4268" s="2"/>
      <c r="M4268" s="2"/>
      <c r="N4268" s="2"/>
      <c r="O4268" s="2"/>
      <c r="P4268" s="2"/>
      <c r="Q4268" s="2"/>
      <c r="R4268" s="2"/>
      <c r="S4268" s="2" t="s">
        <v>28102</v>
      </c>
      <c r="T4268" s="2" t="s">
        <v>28103</v>
      </c>
      <c r="U4268" s="2" t="s">
        <v>56</v>
      </c>
      <c r="V4268" s="2" t="s">
        <v>145</v>
      </c>
      <c r="W4268" s="2" t="s">
        <v>1188</v>
      </c>
      <c r="X4268" s="2" t="s">
        <v>147</v>
      </c>
      <c r="Y4268" s="2">
        <v>38.299999999999997</v>
      </c>
      <c r="Z4268" s="2">
        <v>0</v>
      </c>
      <c r="AA4268" s="2" t="s">
        <v>3659</v>
      </c>
      <c r="AB4268" s="2" t="s">
        <v>28104</v>
      </c>
      <c r="AC4268" s="2">
        <v>-1.8709824602777301</v>
      </c>
      <c r="AD4268" s="2"/>
      <c r="AE4268" s="2">
        <v>0.103922029650747</v>
      </c>
      <c r="AF4268" s="2">
        <v>14781.5319728866</v>
      </c>
      <c r="AG4268" s="2">
        <v>13527.2561208852</v>
      </c>
      <c r="AH4268" s="5">
        <v>1.0927221190160601</v>
      </c>
      <c r="AI4268" s="5">
        <v>0.12792656799278901</v>
      </c>
      <c r="AJ4268" s="5" t="s">
        <v>139</v>
      </c>
      <c r="AK4268" s="2">
        <v>0.65542965056094304</v>
      </c>
      <c r="AL4268" s="2">
        <v>0.83240942988891198</v>
      </c>
      <c r="AM4268" s="2">
        <v>14225.899915568099</v>
      </c>
      <c r="AN4268" s="2">
        <v>11730.270932105899</v>
      </c>
      <c r="AO4268" s="2">
        <v>19775.386374391601</v>
      </c>
      <c r="AP4268" s="2">
        <v>10898.8163045779</v>
      </c>
      <c r="AQ4268" s="2">
        <v>18500.531277469301</v>
      </c>
      <c r="AR4268" s="2">
        <v>13558.2870332068</v>
      </c>
      <c r="AS4268" s="2">
        <v>5188.2909234695499</v>
      </c>
      <c r="AT4268" s="2">
        <v>9786.3600436418892</v>
      </c>
      <c r="AU4268" s="2">
        <v>15636.9381022708</v>
      </c>
      <c r="AV4268" s="2">
        <v>18982.448639999599</v>
      </c>
      <c r="AW4268" s="2">
        <v>11895.4641440781</v>
      </c>
      <c r="AX4268" s="2">
        <v>19674.034871851301</v>
      </c>
    </row>
    <row r="4269" spans="1:50" x14ac:dyDescent="0.25">
      <c r="A4269" s="2" t="s">
        <v>28105</v>
      </c>
      <c r="B4269" s="2">
        <v>253.03553153577101</v>
      </c>
      <c r="C4269" s="2">
        <v>4.1373666666666704</v>
      </c>
      <c r="D4269" s="2" t="s">
        <v>51</v>
      </c>
      <c r="E4269" s="2" t="s">
        <v>28106</v>
      </c>
      <c r="F4269" s="2">
        <v>62786</v>
      </c>
      <c r="G4269" s="3" t="str">
        <f>HYPERLINK("https://cloud.oebiotech.com/#/lm/network/62786", "https://cloud.oebiotech.com/#/lm/network/62786")</f>
        <v>https://cloud.oebiotech.com/#/lm/network/62786</v>
      </c>
      <c r="H4269" s="2" t="s">
        <v>28107</v>
      </c>
      <c r="I4269" s="2">
        <v>94080</v>
      </c>
      <c r="J4269" s="2"/>
      <c r="K4269" s="2">
        <v>13708642</v>
      </c>
      <c r="L4269" s="2"/>
      <c r="M4269" s="2"/>
      <c r="N4269" s="2"/>
      <c r="O4269" s="2">
        <v>174347</v>
      </c>
      <c r="P4269" s="2"/>
      <c r="Q4269" s="2"/>
      <c r="R4269" s="2" t="s">
        <v>28108</v>
      </c>
      <c r="S4269" s="2" t="s">
        <v>28109</v>
      </c>
      <c r="T4269" s="2" t="s">
        <v>28110</v>
      </c>
      <c r="U4269" s="2" t="s">
        <v>610</v>
      </c>
      <c r="V4269" s="2" t="s">
        <v>611</v>
      </c>
      <c r="W4269" s="2" t="s">
        <v>1122</v>
      </c>
      <c r="X4269" s="2" t="s">
        <v>147</v>
      </c>
      <c r="Y4269" s="2">
        <v>39.299999999999997</v>
      </c>
      <c r="Z4269" s="2">
        <v>5.26</v>
      </c>
      <c r="AA4269" s="2" t="s">
        <v>163</v>
      </c>
      <c r="AB4269" s="2" t="s">
        <v>28111</v>
      </c>
      <c r="AC4269" s="2">
        <v>0.61135462593700696</v>
      </c>
      <c r="AD4269" s="2"/>
      <c r="AE4269" s="2">
        <v>0.103887486306176</v>
      </c>
      <c r="AF4269" s="2">
        <v>630.18289881711098</v>
      </c>
      <c r="AG4269" s="2">
        <v>1028.6224663901</v>
      </c>
      <c r="AH4269" s="4">
        <v>0.61264741866732497</v>
      </c>
      <c r="AI4269" s="4">
        <v>-0.706871059604674</v>
      </c>
      <c r="AJ4269" s="4" t="s">
        <v>62</v>
      </c>
      <c r="AK4269" s="2">
        <v>0.23774627776079199</v>
      </c>
      <c r="AL4269" s="2">
        <v>0.56163755472588195</v>
      </c>
      <c r="AM4269" s="2">
        <v>214.619838563206</v>
      </c>
      <c r="AN4269" s="2">
        <v>662.435161353789</v>
      </c>
      <c r="AO4269" s="2">
        <v>704.77891078837297</v>
      </c>
      <c r="AP4269" s="2">
        <v>585.44422547017996</v>
      </c>
      <c r="AQ4269" s="2">
        <v>885.53914073148997</v>
      </c>
      <c r="AR4269" s="2">
        <v>728.28011599562603</v>
      </c>
      <c r="AS4269" s="2">
        <v>1104.99000629742</v>
      </c>
      <c r="AT4269" s="2">
        <v>1317.0536290841001</v>
      </c>
      <c r="AU4269" s="2">
        <v>390.44571501717002</v>
      </c>
      <c r="AV4269" s="2">
        <v>2331.1299730689402</v>
      </c>
      <c r="AW4269" s="2">
        <v>369.79848061265699</v>
      </c>
      <c r="AX4269" s="2">
        <v>658.31699426029502</v>
      </c>
    </row>
    <row r="4270" spans="1:50" x14ac:dyDescent="0.25">
      <c r="A4270" s="2" t="s">
        <v>28112</v>
      </c>
      <c r="B4270" s="2">
        <v>248.06521262371299</v>
      </c>
      <c r="C4270" s="2">
        <v>4.23708333333333</v>
      </c>
      <c r="D4270" s="2" t="s">
        <v>51</v>
      </c>
      <c r="E4270" s="2" t="s">
        <v>28113</v>
      </c>
      <c r="F4270" s="2">
        <v>198719</v>
      </c>
      <c r="G4270" s="3" t="str">
        <f>HYPERLINK("https://cloud.oebiotech.com/#/lm/network/198719", "https://cloud.oebiotech.com/#/lm/network/198719")</f>
        <v>https://cloud.oebiotech.com/#/lm/network/198719</v>
      </c>
      <c r="H4270" s="2" t="s">
        <v>28114</v>
      </c>
      <c r="I4270" s="2"/>
      <c r="J4270" s="2"/>
      <c r="K4270" s="2">
        <v>3122</v>
      </c>
      <c r="L4270" s="2"/>
      <c r="M4270" s="2"/>
      <c r="N4270" s="2"/>
      <c r="O4270" s="2"/>
      <c r="P4270" s="2"/>
      <c r="Q4270" s="2"/>
      <c r="R4270" s="2"/>
      <c r="S4270" s="2" t="s">
        <v>28115</v>
      </c>
      <c r="T4270" s="2" t="s">
        <v>28116</v>
      </c>
      <c r="U4270" s="2" t="s">
        <v>103</v>
      </c>
      <c r="V4270" s="2" t="s">
        <v>104</v>
      </c>
      <c r="W4270" s="2" t="s">
        <v>105</v>
      </c>
      <c r="X4270" s="2" t="s">
        <v>147</v>
      </c>
      <c r="Y4270" s="2">
        <v>39</v>
      </c>
      <c r="Z4270" s="2">
        <v>0</v>
      </c>
      <c r="AA4270" s="2" t="s">
        <v>95</v>
      </c>
      <c r="AB4270" s="2" t="s">
        <v>28117</v>
      </c>
      <c r="AC4270" s="2">
        <v>-2.7426306479126001</v>
      </c>
      <c r="AD4270" s="2"/>
      <c r="AE4270" s="2">
        <v>0.10384384669117</v>
      </c>
      <c r="AF4270" s="2">
        <v>156.77625253074601</v>
      </c>
      <c r="AG4270" s="2">
        <v>1510.13025608821</v>
      </c>
      <c r="AH4270" s="4">
        <v>0.103816377361284</v>
      </c>
      <c r="AI4270" s="4">
        <v>-3.2678940435407999</v>
      </c>
      <c r="AJ4270" s="4" t="s">
        <v>62</v>
      </c>
      <c r="AK4270" s="2">
        <v>0.39207800400485399</v>
      </c>
      <c r="AL4270" s="2">
        <v>0.66528673878009803</v>
      </c>
      <c r="AM4270" s="2">
        <v>55.870224760076503</v>
      </c>
      <c r="AN4270" s="2">
        <v>518.487583868868</v>
      </c>
      <c r="AO4270" s="2">
        <v>366.29968087589998</v>
      </c>
      <c r="AP4270" s="2">
        <v>8.559877937157E-6</v>
      </c>
      <c r="AQ4270" s="2">
        <v>8.559877937157E-6</v>
      </c>
      <c r="AR4270" s="2">
        <v>8.559877937157E-6</v>
      </c>
      <c r="AS4270" s="2">
        <v>8.559877937157E-6</v>
      </c>
      <c r="AT4270" s="2">
        <v>8.559877937157E-6</v>
      </c>
      <c r="AU4270" s="2">
        <v>9060.7814937299008</v>
      </c>
      <c r="AV4270" s="2">
        <v>8.559877937157E-6</v>
      </c>
      <c r="AW4270" s="2">
        <v>8.559877937157E-6</v>
      </c>
      <c r="AX4270" s="2">
        <v>8.559877937157E-6</v>
      </c>
    </row>
    <row r="4271" spans="1:50" x14ac:dyDescent="0.25">
      <c r="A4271" s="2" t="s">
        <v>28118</v>
      </c>
      <c r="B4271" s="2">
        <v>240.993651264633</v>
      </c>
      <c r="C4271" s="2">
        <v>1.17966666666667</v>
      </c>
      <c r="D4271" s="2" t="s">
        <v>51</v>
      </c>
      <c r="E4271" s="2" t="s">
        <v>28119</v>
      </c>
      <c r="F4271" s="2">
        <v>47501</v>
      </c>
      <c r="G4271" s="3" t="str">
        <f>HYPERLINK("https://cloud.oebiotech.com/#/lm/network/47501", "https://cloud.oebiotech.com/#/lm/network/47501")</f>
        <v>https://cloud.oebiotech.com/#/lm/network/47501</v>
      </c>
      <c r="H4271" s="2" t="s">
        <v>28120</v>
      </c>
      <c r="I4271" s="2">
        <v>6143</v>
      </c>
      <c r="J4271" s="2"/>
      <c r="K4271" s="2">
        <v>174549</v>
      </c>
      <c r="L4271" s="2" t="s">
        <v>28121</v>
      </c>
      <c r="M4271" s="2" t="s">
        <v>8993</v>
      </c>
      <c r="N4271" s="2" t="s">
        <v>8994</v>
      </c>
      <c r="O4271" s="2">
        <v>28096</v>
      </c>
      <c r="P4271" s="2"/>
      <c r="Q4271" s="2"/>
      <c r="R4271" s="2" t="s">
        <v>28122</v>
      </c>
      <c r="S4271" s="2" t="s">
        <v>28123</v>
      </c>
      <c r="T4271" s="2" t="s">
        <v>28124</v>
      </c>
      <c r="U4271" s="2" t="s">
        <v>331</v>
      </c>
      <c r="V4271" s="2" t="s">
        <v>332</v>
      </c>
      <c r="W4271" s="2" t="s">
        <v>1207</v>
      </c>
      <c r="X4271" s="2" t="s">
        <v>83</v>
      </c>
      <c r="Y4271" s="2">
        <v>39.200000000000003</v>
      </c>
      <c r="Z4271" s="2">
        <v>0.17799999999999999</v>
      </c>
      <c r="AA4271" s="2" t="s">
        <v>379</v>
      </c>
      <c r="AB4271" s="2" t="s">
        <v>28125</v>
      </c>
      <c r="AC4271" s="2">
        <v>-1.7999141149611699</v>
      </c>
      <c r="AD4271" s="2"/>
      <c r="AE4271" s="2">
        <v>0.10384134683966099</v>
      </c>
      <c r="AF4271" s="2">
        <v>14435.08460527</v>
      </c>
      <c r="AG4271" s="2">
        <v>14800.5984425243</v>
      </c>
      <c r="AH4271" s="4">
        <v>0.97530411768999004</v>
      </c>
      <c r="AI4271" s="4">
        <v>-3.6075947131695402E-2</v>
      </c>
      <c r="AJ4271" s="4" t="s">
        <v>62</v>
      </c>
      <c r="AK4271" s="2">
        <v>0.86692805393513905</v>
      </c>
      <c r="AL4271" s="2">
        <v>0.94245475055747796</v>
      </c>
      <c r="AM4271" s="2">
        <v>7378.3428526335601</v>
      </c>
      <c r="AN4271" s="2">
        <v>16779.383443869701</v>
      </c>
      <c r="AO4271" s="2">
        <v>17131.156560082101</v>
      </c>
      <c r="AP4271" s="2">
        <v>13864.619258000501</v>
      </c>
      <c r="AQ4271" s="2">
        <v>13832.0112436299</v>
      </c>
      <c r="AR4271" s="2">
        <v>17624.994273404001</v>
      </c>
      <c r="AS4271" s="2">
        <v>14931.558416477301</v>
      </c>
      <c r="AT4271" s="2">
        <v>16088.7321668235</v>
      </c>
      <c r="AU4271" s="2">
        <v>8609.4298455766602</v>
      </c>
      <c r="AV4271" s="2">
        <v>19264.078669620001</v>
      </c>
      <c r="AW4271" s="2">
        <v>16003.101962013699</v>
      </c>
      <c r="AX4271" s="2">
        <v>13906.689594634399</v>
      </c>
    </row>
    <row r="4272" spans="1:50" x14ac:dyDescent="0.25">
      <c r="A4272" s="2" t="s">
        <v>28126</v>
      </c>
      <c r="B4272" s="2">
        <v>367.24346880719202</v>
      </c>
      <c r="C4272" s="2">
        <v>12.6872166666667</v>
      </c>
      <c r="D4272" s="2" t="s">
        <v>51</v>
      </c>
      <c r="E4272" s="2" t="s">
        <v>28127</v>
      </c>
      <c r="F4272" s="2">
        <v>35657</v>
      </c>
      <c r="G4272" s="3" t="str">
        <f>HYPERLINK("https://cloud.oebiotech.com/#/lm/network/35657", "https://cloud.oebiotech.com/#/lm/network/35657")</f>
        <v>https://cloud.oebiotech.com/#/lm/network/35657</v>
      </c>
      <c r="H4272" s="2" t="s">
        <v>28128</v>
      </c>
      <c r="I4272" s="2">
        <v>41200</v>
      </c>
      <c r="J4272" s="2" t="s">
        <v>28129</v>
      </c>
      <c r="K4272" s="2">
        <v>10719</v>
      </c>
      <c r="L4272" s="2" t="s">
        <v>28130</v>
      </c>
      <c r="M4272" s="2"/>
      <c r="N4272" s="2"/>
      <c r="O4272" s="2"/>
      <c r="P4272" s="2"/>
      <c r="Q4272" s="2"/>
      <c r="R4272" s="2" t="s">
        <v>28131</v>
      </c>
      <c r="S4272" s="2" t="s">
        <v>28132</v>
      </c>
      <c r="T4272" s="2" t="s">
        <v>28133</v>
      </c>
      <c r="U4272" s="2" t="s">
        <v>56</v>
      </c>
      <c r="V4272" s="2" t="s">
        <v>177</v>
      </c>
      <c r="W4272" s="2" t="s">
        <v>1996</v>
      </c>
      <c r="X4272" s="2" t="s">
        <v>147</v>
      </c>
      <c r="Y4272" s="2">
        <v>37.9</v>
      </c>
      <c r="Z4272" s="2">
        <v>0</v>
      </c>
      <c r="AA4272" s="2" t="s">
        <v>478</v>
      </c>
      <c r="AB4272" s="2" t="s">
        <v>28134</v>
      </c>
      <c r="AC4272" s="2">
        <v>0.93472526096575403</v>
      </c>
      <c r="AD4272" s="2"/>
      <c r="AE4272" s="2">
        <v>0.10383087122612</v>
      </c>
      <c r="AF4272" s="2">
        <v>1127.6944040783101</v>
      </c>
      <c r="AG4272" s="2">
        <v>2096.2076371377402</v>
      </c>
      <c r="AH4272" s="4">
        <v>0.53796884626282304</v>
      </c>
      <c r="AI4272" s="4">
        <v>-0.89440546605248195</v>
      </c>
      <c r="AJ4272" s="4" t="s">
        <v>62</v>
      </c>
      <c r="AK4272" s="2">
        <v>0.380864755086883</v>
      </c>
      <c r="AL4272" s="2">
        <v>0.65913977412323299</v>
      </c>
      <c r="AM4272" s="2">
        <v>1201.82719339355</v>
      </c>
      <c r="AN4272" s="2">
        <v>408.48351573287601</v>
      </c>
      <c r="AO4272" s="2">
        <v>1432.98267881119</v>
      </c>
      <c r="AP4272" s="2">
        <v>174.00214478246201</v>
      </c>
      <c r="AQ4272" s="2">
        <v>3548.8708831899098</v>
      </c>
      <c r="AR4272" s="2">
        <v>8.559877937157E-6</v>
      </c>
      <c r="AS4272" s="2">
        <v>2136.66412722112</v>
      </c>
      <c r="AT4272" s="2">
        <v>282.18579284882497</v>
      </c>
      <c r="AU4272" s="2">
        <v>6392.6240521253903</v>
      </c>
      <c r="AV4272" s="2">
        <v>1840.89718734897</v>
      </c>
      <c r="AW4272" s="2">
        <v>1430.74574363482</v>
      </c>
      <c r="AX4272" s="2">
        <v>494.12891964734303</v>
      </c>
    </row>
    <row r="4273" spans="1:50" x14ac:dyDescent="0.25">
      <c r="A4273" s="2" t="s">
        <v>28135</v>
      </c>
      <c r="B4273" s="2">
        <v>305.18687759330498</v>
      </c>
      <c r="C4273" s="2">
        <v>5.2635500000000004</v>
      </c>
      <c r="D4273" s="2" t="s">
        <v>51</v>
      </c>
      <c r="E4273" s="2" t="s">
        <v>28136</v>
      </c>
      <c r="F4273" s="2">
        <v>53138</v>
      </c>
      <c r="G4273" s="3" t="str">
        <f>HYPERLINK("https://cloud.oebiotech.com/#/lm/network/53138", "https://cloud.oebiotech.com/#/lm/network/53138")</f>
        <v>https://cloud.oebiotech.com/#/lm/network/53138</v>
      </c>
      <c r="H4273" s="2" t="s">
        <v>28137</v>
      </c>
      <c r="I4273" s="2">
        <v>2353</v>
      </c>
      <c r="J4273" s="2"/>
      <c r="K4273" s="2">
        <v>33572</v>
      </c>
      <c r="L4273" s="2" t="s">
        <v>28138</v>
      </c>
      <c r="M4273" s="2"/>
      <c r="N4273" s="2"/>
      <c r="O4273" s="2">
        <v>147138</v>
      </c>
      <c r="P4273" s="2"/>
      <c r="Q4273" s="2"/>
      <c r="R4273" s="2" t="s">
        <v>28139</v>
      </c>
      <c r="S4273" s="2" t="s">
        <v>28140</v>
      </c>
      <c r="T4273" s="2" t="s">
        <v>28141</v>
      </c>
      <c r="U4273" s="2" t="s">
        <v>610</v>
      </c>
      <c r="V4273" s="2" t="s">
        <v>611</v>
      </c>
      <c r="W4273" s="2" t="s">
        <v>11083</v>
      </c>
      <c r="X4273" s="2" t="s">
        <v>147</v>
      </c>
      <c r="Y4273" s="2">
        <v>44.3</v>
      </c>
      <c r="Z4273" s="2">
        <v>32.5</v>
      </c>
      <c r="AA4273" s="2" t="s">
        <v>512</v>
      </c>
      <c r="AB4273" s="2" t="s">
        <v>28142</v>
      </c>
      <c r="AC4273" s="2">
        <v>3.16391980845337</v>
      </c>
      <c r="AD4273" s="2"/>
      <c r="AE4273" s="2">
        <v>0.10371841272358601</v>
      </c>
      <c r="AF4273" s="2">
        <v>2194.68241809034</v>
      </c>
      <c r="AG4273" s="2">
        <v>3143.0887185819602</v>
      </c>
      <c r="AH4273" s="4">
        <v>0.69825659234986404</v>
      </c>
      <c r="AI4273" s="4">
        <v>-0.51817080560797302</v>
      </c>
      <c r="AJ4273" s="4" t="s">
        <v>62</v>
      </c>
      <c r="AK4273" s="2">
        <v>0.66182418334821802</v>
      </c>
      <c r="AL4273" s="2">
        <v>0.83636657653009105</v>
      </c>
      <c r="AM4273" s="2">
        <v>5028.8589291676299</v>
      </c>
      <c r="AN4273" s="2">
        <v>729.660864926773</v>
      </c>
      <c r="AO4273" s="2">
        <v>459.72105526726301</v>
      </c>
      <c r="AP4273" s="2">
        <v>3976.6362198809202</v>
      </c>
      <c r="AQ4273" s="2">
        <v>2436.6243466048099</v>
      </c>
      <c r="AR4273" s="2">
        <v>536.59309269465803</v>
      </c>
      <c r="AS4273" s="2">
        <v>5591.7540345141297</v>
      </c>
      <c r="AT4273" s="2">
        <v>108.928026236631</v>
      </c>
      <c r="AU4273" s="2">
        <v>724.84794252271195</v>
      </c>
      <c r="AV4273" s="2">
        <v>566.17662197612503</v>
      </c>
      <c r="AW4273" s="2">
        <v>8.559877937157E-6</v>
      </c>
      <c r="AX4273" s="2">
        <v>11866.8256776823</v>
      </c>
    </row>
    <row r="4274" spans="1:50" x14ac:dyDescent="0.25">
      <c r="A4274" s="2" t="s">
        <v>28143</v>
      </c>
      <c r="B4274" s="2">
        <v>187.07499999999999</v>
      </c>
      <c r="C4274" s="2">
        <v>20.52</v>
      </c>
      <c r="D4274" s="2" t="s">
        <v>125</v>
      </c>
      <c r="E4274" s="2" t="s">
        <v>28144</v>
      </c>
      <c r="F4274" s="2">
        <v>47095</v>
      </c>
      <c r="G4274" s="3" t="str">
        <f>HYPERLINK("https://cloud.oebiotech.com/#/lm/network/47095", "https://cloud.oebiotech.com/#/lm/network/47095")</f>
        <v>https://cloud.oebiotech.com/#/lm/network/47095</v>
      </c>
      <c r="H4274" s="2" t="s">
        <v>28145</v>
      </c>
      <c r="I4274" s="2">
        <v>3336</v>
      </c>
      <c r="J4274" s="2"/>
      <c r="K4274" s="2">
        <v>128869</v>
      </c>
      <c r="L4274" s="2" t="s">
        <v>28146</v>
      </c>
      <c r="M4274" s="2" t="s">
        <v>6688</v>
      </c>
      <c r="N4274" s="2" t="s">
        <v>6689</v>
      </c>
      <c r="O4274" s="2">
        <v>16534</v>
      </c>
      <c r="P4274" s="2"/>
      <c r="Q4274" s="2"/>
      <c r="R4274" s="2" t="s">
        <v>28147</v>
      </c>
      <c r="S4274" s="2" t="s">
        <v>28148</v>
      </c>
      <c r="T4274" s="2" t="s">
        <v>28149</v>
      </c>
      <c r="U4274" s="2" t="s">
        <v>103</v>
      </c>
      <c r="V4274" s="2" t="s">
        <v>377</v>
      </c>
      <c r="W4274" s="2" t="s">
        <v>378</v>
      </c>
      <c r="X4274" s="2" t="s">
        <v>59</v>
      </c>
      <c r="Y4274" s="2">
        <v>79.7</v>
      </c>
      <c r="Z4274" s="2">
        <v>69</v>
      </c>
      <c r="AA4274" s="2"/>
      <c r="AB4274" s="2" t="s">
        <v>12657</v>
      </c>
      <c r="AC4274" s="2"/>
      <c r="AD4274" s="2">
        <v>692625.74112734897</v>
      </c>
      <c r="AE4274" s="2">
        <v>0.103714100256264</v>
      </c>
      <c r="AF4274" s="2">
        <v>16572.951723971601</v>
      </c>
      <c r="AG4274" s="2">
        <v>20580.362357616101</v>
      </c>
      <c r="AH4274" s="4">
        <v>0.80527987972177495</v>
      </c>
      <c r="AI4274" s="4">
        <v>-0.31243780742373101</v>
      </c>
      <c r="AJ4274" s="4" t="s">
        <v>62</v>
      </c>
      <c r="AK4274" s="2">
        <v>0.10228608839475201</v>
      </c>
      <c r="AL4274" s="2">
        <v>0.40647423480565198</v>
      </c>
      <c r="AM4274" s="2">
        <v>19997.710507545598</v>
      </c>
      <c r="AN4274" s="2">
        <v>16457.337702897199</v>
      </c>
      <c r="AO4274" s="2">
        <v>15273.373591568899</v>
      </c>
      <c r="AP4274" s="2">
        <v>14162.318113614199</v>
      </c>
      <c r="AQ4274" s="2">
        <v>13125.263884140601</v>
      </c>
      <c r="AR4274" s="2">
        <v>20421.706544063301</v>
      </c>
      <c r="AS4274" s="2">
        <v>15649.297983038699</v>
      </c>
      <c r="AT4274" s="2">
        <v>23912.2667507101</v>
      </c>
      <c r="AU4274" s="2">
        <v>20464.254969338599</v>
      </c>
      <c r="AV4274" s="2">
        <v>16838.9683078446</v>
      </c>
      <c r="AW4274" s="2">
        <v>18911.415030972701</v>
      </c>
      <c r="AX4274" s="2">
        <v>27705.971103791799</v>
      </c>
    </row>
    <row r="4275" spans="1:50" x14ac:dyDescent="0.25">
      <c r="A4275" s="2" t="s">
        <v>28150</v>
      </c>
      <c r="B4275" s="2">
        <v>297.07031659156797</v>
      </c>
      <c r="C4275" s="2">
        <v>0.72640000000000005</v>
      </c>
      <c r="D4275" s="2" t="s">
        <v>51</v>
      </c>
      <c r="E4275" s="2" t="s">
        <v>28151</v>
      </c>
      <c r="F4275" s="2">
        <v>206695</v>
      </c>
      <c r="G4275" s="3" t="str">
        <f>HYPERLINK("https://cloud.oebiotech.com/#/lm/network/206695", "https://cloud.oebiotech.com/#/lm/network/206695")</f>
        <v>https://cloud.oebiotech.com/#/lm/network/206695</v>
      </c>
      <c r="H4275" s="2" t="s">
        <v>28152</v>
      </c>
      <c r="I4275" s="2">
        <v>321691</v>
      </c>
      <c r="J4275" s="2"/>
      <c r="K4275" s="2">
        <v>134018</v>
      </c>
      <c r="L4275" s="2"/>
      <c r="M4275" s="2"/>
      <c r="N4275" s="2"/>
      <c r="O4275" s="2">
        <v>31596</v>
      </c>
      <c r="P4275" s="2"/>
      <c r="Q4275" s="2"/>
      <c r="R4275" s="2"/>
      <c r="S4275" s="2" t="s">
        <v>28153</v>
      </c>
      <c r="T4275" s="2" t="s">
        <v>28154</v>
      </c>
      <c r="U4275" s="2" t="s">
        <v>266</v>
      </c>
      <c r="V4275" s="2" t="s">
        <v>1585</v>
      </c>
      <c r="W4275" s="2" t="s">
        <v>12356</v>
      </c>
      <c r="X4275" s="2" t="s">
        <v>147</v>
      </c>
      <c r="Y4275" s="2">
        <v>40</v>
      </c>
      <c r="Z4275" s="2">
        <v>17.3</v>
      </c>
      <c r="AA4275" s="2" t="s">
        <v>379</v>
      </c>
      <c r="AB4275" s="2" t="s">
        <v>28155</v>
      </c>
      <c r="AC4275" s="2">
        <v>-1.7937503170737099E-2</v>
      </c>
      <c r="AD4275" s="2"/>
      <c r="AE4275" s="2">
        <v>0.10358269940176</v>
      </c>
      <c r="AF4275" s="2">
        <v>40135.255587310799</v>
      </c>
      <c r="AG4275" s="2">
        <v>34763.167727517801</v>
      </c>
      <c r="AH4275" s="5">
        <v>1.1545338992666201</v>
      </c>
      <c r="AI4275" s="5">
        <v>0.207310533948625</v>
      </c>
      <c r="AJ4275" s="5" t="s">
        <v>139</v>
      </c>
      <c r="AK4275" s="2">
        <v>0.67754655745947001</v>
      </c>
      <c r="AL4275" s="2">
        <v>0.84366483046075402</v>
      </c>
      <c r="AM4275" s="2">
        <v>30270.5998733948</v>
      </c>
      <c r="AN4275" s="2">
        <v>8388.7466583307996</v>
      </c>
      <c r="AO4275" s="2">
        <v>63582.617974391796</v>
      </c>
      <c r="AP4275" s="2">
        <v>53262.2406368624</v>
      </c>
      <c r="AQ4275" s="2">
        <v>50485.058729695302</v>
      </c>
      <c r="AR4275" s="2">
        <v>34822.269651189898</v>
      </c>
      <c r="AS4275" s="2">
        <v>46850.4609351568</v>
      </c>
      <c r="AT4275" s="2">
        <v>13187.578588987701</v>
      </c>
      <c r="AU4275" s="2">
        <v>45158.0289816562</v>
      </c>
      <c r="AV4275" s="2">
        <v>26561.8515080953</v>
      </c>
      <c r="AW4275" s="2">
        <v>7228.3889328737996</v>
      </c>
      <c r="AX4275" s="2">
        <v>69592.697418337193</v>
      </c>
    </row>
    <row r="4276" spans="1:50" x14ac:dyDescent="0.25">
      <c r="A4276" s="2" t="s">
        <v>28156</v>
      </c>
      <c r="B4276" s="2">
        <v>445.16875966435799</v>
      </c>
      <c r="C4276" s="2">
        <v>11.2129333333333</v>
      </c>
      <c r="D4276" s="2" t="s">
        <v>51</v>
      </c>
      <c r="E4276" s="2" t="s">
        <v>28157</v>
      </c>
      <c r="F4276" s="2">
        <v>55620</v>
      </c>
      <c r="G4276" s="3" t="str">
        <f>HYPERLINK("https://cloud.oebiotech.com/#/lm/network/55620", "https://cloud.oebiotech.com/#/lm/network/55620")</f>
        <v>https://cloud.oebiotech.com/#/lm/network/55620</v>
      </c>
      <c r="H4276" s="2" t="s">
        <v>28158</v>
      </c>
      <c r="I4276" s="2">
        <v>87269</v>
      </c>
      <c r="J4276" s="2"/>
      <c r="K4276" s="2">
        <v>131752438</v>
      </c>
      <c r="L4276" s="2"/>
      <c r="M4276" s="2"/>
      <c r="N4276" s="2"/>
      <c r="O4276" s="2"/>
      <c r="P4276" s="2"/>
      <c r="Q4276" s="2"/>
      <c r="R4276" s="2" t="s">
        <v>28159</v>
      </c>
      <c r="S4276" s="2" t="s">
        <v>28160</v>
      </c>
      <c r="T4276" s="2" t="s">
        <v>28161</v>
      </c>
      <c r="U4276" s="2" t="s">
        <v>266</v>
      </c>
      <c r="V4276" s="2" t="s">
        <v>17476</v>
      </c>
      <c r="W4276" s="2" t="s">
        <v>240</v>
      </c>
      <c r="X4276" s="2" t="s">
        <v>147</v>
      </c>
      <c r="Y4276" s="2">
        <v>37.700000000000003</v>
      </c>
      <c r="Z4276" s="2">
        <v>0</v>
      </c>
      <c r="AA4276" s="2" t="s">
        <v>379</v>
      </c>
      <c r="AB4276" s="2" t="s">
        <v>28162</v>
      </c>
      <c r="AC4276" s="2">
        <v>-0.58937211884209695</v>
      </c>
      <c r="AD4276" s="2"/>
      <c r="AE4276" s="2">
        <v>0.103470939638047</v>
      </c>
      <c r="AF4276" s="2">
        <v>515.450037266408</v>
      </c>
      <c r="AG4276" s="2">
        <v>188.07984942968099</v>
      </c>
      <c r="AH4276" s="5">
        <v>2.7405915031802701</v>
      </c>
      <c r="AI4276" s="5">
        <v>1.4544873043565301</v>
      </c>
      <c r="AJ4276" s="5" t="s">
        <v>139</v>
      </c>
      <c r="AK4276" s="2">
        <v>5.7534017619522197E-2</v>
      </c>
      <c r="AL4276" s="2">
        <v>0.32662753223950203</v>
      </c>
      <c r="AM4276" s="2">
        <v>927.60399037483705</v>
      </c>
      <c r="AN4276" s="2">
        <v>371.30231920707701</v>
      </c>
      <c r="AO4276" s="2">
        <v>291.00895368969498</v>
      </c>
      <c r="AP4276" s="2">
        <v>199.97783349837999</v>
      </c>
      <c r="AQ4276" s="2">
        <v>766.67466740808698</v>
      </c>
      <c r="AR4276" s="2">
        <v>536.13245942037099</v>
      </c>
      <c r="AS4276" s="2">
        <v>196.03209580829201</v>
      </c>
      <c r="AT4276" s="2">
        <v>8.559877937157E-6</v>
      </c>
      <c r="AU4276" s="2">
        <v>8.559877937157E-6</v>
      </c>
      <c r="AV4276" s="2">
        <v>336.42692992465902</v>
      </c>
      <c r="AW4276" s="2">
        <v>596.02004516550096</v>
      </c>
      <c r="AX4276" s="2">
        <v>8.559877937157E-6</v>
      </c>
    </row>
    <row r="4277" spans="1:50" x14ac:dyDescent="0.25">
      <c r="A4277" s="2" t="s">
        <v>28163</v>
      </c>
      <c r="B4277" s="2">
        <v>143.03398362910201</v>
      </c>
      <c r="C4277" s="2">
        <v>0.94110000000000005</v>
      </c>
      <c r="D4277" s="2" t="s">
        <v>51</v>
      </c>
      <c r="E4277" s="2" t="s">
        <v>28164</v>
      </c>
      <c r="F4277" s="2">
        <v>47427</v>
      </c>
      <c r="G4277" s="3" t="str">
        <f>HYPERLINK("https://cloud.oebiotech.com/#/lm/network/47427", "https://cloud.oebiotech.com/#/lm/network/47427")</f>
        <v>https://cloud.oebiotech.com/#/lm/network/47427</v>
      </c>
      <c r="H4277" s="2" t="s">
        <v>28165</v>
      </c>
      <c r="I4277" s="2">
        <v>3211</v>
      </c>
      <c r="J4277" s="2"/>
      <c r="K4277" s="2">
        <v>880</v>
      </c>
      <c r="L4277" s="2" t="s">
        <v>28166</v>
      </c>
      <c r="M4277" s="2" t="s">
        <v>28167</v>
      </c>
      <c r="N4277" s="2" t="s">
        <v>28168</v>
      </c>
      <c r="O4277" s="2">
        <v>17158</v>
      </c>
      <c r="P4277" s="2" t="s">
        <v>14247</v>
      </c>
      <c r="Q4277" s="2" t="s">
        <v>14248</v>
      </c>
      <c r="R4277" s="2" t="s">
        <v>28169</v>
      </c>
      <c r="S4277" s="2" t="s">
        <v>28170</v>
      </c>
      <c r="T4277" s="2" t="s">
        <v>28171</v>
      </c>
      <c r="U4277" s="2" t="s">
        <v>331</v>
      </c>
      <c r="V4277" s="2" t="s">
        <v>332</v>
      </c>
      <c r="W4277" s="2" t="s">
        <v>1207</v>
      </c>
      <c r="X4277" s="2" t="s">
        <v>83</v>
      </c>
      <c r="Y4277" s="2">
        <v>38.5</v>
      </c>
      <c r="Z4277" s="2">
        <v>0</v>
      </c>
      <c r="AA4277" s="2" t="s">
        <v>478</v>
      </c>
      <c r="AB4277" s="2" t="s">
        <v>28172</v>
      </c>
      <c r="AC4277" s="2">
        <v>-6.9331993710567499</v>
      </c>
      <c r="AD4277" s="2"/>
      <c r="AE4277" s="2">
        <v>0.103466329948077</v>
      </c>
      <c r="AF4277" s="2">
        <v>837.81152401489805</v>
      </c>
      <c r="AG4277" s="2">
        <v>1177.05403020371</v>
      </c>
      <c r="AH4277" s="4">
        <v>0.71178680206370504</v>
      </c>
      <c r="AI4277" s="4">
        <v>-0.49048291221354301</v>
      </c>
      <c r="AJ4277" s="4" t="s">
        <v>62</v>
      </c>
      <c r="AK4277" s="2">
        <v>0.25856793246764498</v>
      </c>
      <c r="AL4277" s="2">
        <v>0.58060626803014403</v>
      </c>
      <c r="AM4277" s="2">
        <v>75.333890072784598</v>
      </c>
      <c r="AN4277" s="2">
        <v>1375.8962167577399</v>
      </c>
      <c r="AO4277" s="2">
        <v>860.13162334466995</v>
      </c>
      <c r="AP4277" s="2">
        <v>523.19081743087895</v>
      </c>
      <c r="AQ4277" s="2">
        <v>703.01355708870301</v>
      </c>
      <c r="AR4277" s="2">
        <v>1489.3030393946101</v>
      </c>
      <c r="AS4277" s="2">
        <v>1896.4422316272601</v>
      </c>
      <c r="AT4277" s="2">
        <v>1007.55382880641</v>
      </c>
      <c r="AU4277" s="2">
        <v>591.43313105791594</v>
      </c>
      <c r="AV4277" s="2">
        <v>1433.31994105781</v>
      </c>
      <c r="AW4277" s="2">
        <v>983.91675933768101</v>
      </c>
      <c r="AX4277" s="2">
        <v>1149.6582893352099</v>
      </c>
    </row>
    <row r="4278" spans="1:50" x14ac:dyDescent="0.25">
      <c r="A4278" s="2" t="s">
        <v>28173</v>
      </c>
      <c r="B4278" s="2">
        <v>188.06713960336501</v>
      </c>
      <c r="C4278" s="2">
        <v>4.3619500000000002</v>
      </c>
      <c r="D4278" s="2" t="s">
        <v>51</v>
      </c>
      <c r="E4278" s="2" t="s">
        <v>28174</v>
      </c>
      <c r="F4278" s="2">
        <v>210288</v>
      </c>
      <c r="G4278" s="3" t="str">
        <f>HYPERLINK("https://cloud.oebiotech.com/#/lm/network/210288", "https://cloud.oebiotech.com/#/lm/network/210288")</f>
        <v>https://cloud.oebiotech.com/#/lm/network/210288</v>
      </c>
      <c r="H4278" s="2" t="s">
        <v>28175</v>
      </c>
      <c r="I4278" s="2">
        <v>449331</v>
      </c>
      <c r="J4278" s="2"/>
      <c r="K4278" s="2">
        <v>2760357</v>
      </c>
      <c r="L4278" s="2"/>
      <c r="M4278" s="2"/>
      <c r="N4278" s="2"/>
      <c r="O4278" s="2"/>
      <c r="P4278" s="2"/>
      <c r="Q4278" s="2"/>
      <c r="R4278" s="2"/>
      <c r="S4278" s="2" t="s">
        <v>28176</v>
      </c>
      <c r="T4278" s="2" t="s">
        <v>28177</v>
      </c>
      <c r="U4278" s="2" t="s">
        <v>103</v>
      </c>
      <c r="V4278" s="2" t="s">
        <v>104</v>
      </c>
      <c r="W4278" s="2" t="s">
        <v>105</v>
      </c>
      <c r="X4278" s="2" t="s">
        <v>83</v>
      </c>
      <c r="Y4278" s="2">
        <v>40.700000000000003</v>
      </c>
      <c r="Z4278" s="2">
        <v>0</v>
      </c>
      <c r="AA4278" s="2" t="s">
        <v>95</v>
      </c>
      <c r="AB4278" s="2" t="s">
        <v>12406</v>
      </c>
      <c r="AC4278" s="2">
        <v>-6.41918997887299</v>
      </c>
      <c r="AD4278" s="2"/>
      <c r="AE4278" s="2">
        <v>0.103463962228126</v>
      </c>
      <c r="AF4278" s="2">
        <v>100.387085727521</v>
      </c>
      <c r="AG4278" s="2">
        <v>646.53974012773199</v>
      </c>
      <c r="AH4278" s="4">
        <v>0.15526823719712601</v>
      </c>
      <c r="AI4278" s="4">
        <v>-2.6871653631977002</v>
      </c>
      <c r="AJ4278" s="4" t="s">
        <v>62</v>
      </c>
      <c r="AK4278" s="2">
        <v>0.152749640009924</v>
      </c>
      <c r="AL4278" s="2">
        <v>0.47381118742890099</v>
      </c>
      <c r="AM4278" s="2">
        <v>131.53020192934599</v>
      </c>
      <c r="AN4278" s="2">
        <v>37.141058717753801</v>
      </c>
      <c r="AO4278" s="2">
        <v>18.8248639245687</v>
      </c>
      <c r="AP4278" s="2">
        <v>186.17355225742901</v>
      </c>
      <c r="AQ4278" s="2">
        <v>155.061040161535</v>
      </c>
      <c r="AR4278" s="2">
        <v>73.591797374494703</v>
      </c>
      <c r="AS4278" s="2">
        <v>1484.20983281794</v>
      </c>
      <c r="AT4278" s="2">
        <v>1990.6679893143501</v>
      </c>
      <c r="AU4278" s="2">
        <v>149.964221255963</v>
      </c>
      <c r="AV4278" s="2">
        <v>149.07965007636599</v>
      </c>
      <c r="AW4278" s="2">
        <v>8.559877937157E-6</v>
      </c>
      <c r="AX4278" s="2">
        <v>105.316738741894</v>
      </c>
    </row>
    <row r="4279" spans="1:50" x14ac:dyDescent="0.25">
      <c r="A4279" s="2" t="s">
        <v>28178</v>
      </c>
      <c r="B4279" s="2">
        <v>392.25591107344502</v>
      </c>
      <c r="C4279" s="2">
        <v>5.1213666666666704</v>
      </c>
      <c r="D4279" s="2" t="s">
        <v>51</v>
      </c>
      <c r="E4279" s="2" t="s">
        <v>28179</v>
      </c>
      <c r="F4279" s="2">
        <v>264953</v>
      </c>
      <c r="G4279" s="3" t="str">
        <f>HYPERLINK("https://cloud.oebiotech.com/#/lm/network/264953", "https://cloud.oebiotech.com/#/lm/network/264953")</f>
        <v>https://cloud.oebiotech.com/#/lm/network/264953</v>
      </c>
      <c r="H4279" s="2"/>
      <c r="I4279" s="2">
        <v>22426</v>
      </c>
      <c r="J4279" s="2"/>
      <c r="K4279" s="2">
        <v>145456238</v>
      </c>
      <c r="L4279" s="2"/>
      <c r="M4279" s="2"/>
      <c r="N4279" s="2"/>
      <c r="O4279" s="2"/>
      <c r="P4279" s="2"/>
      <c r="Q4279" s="2"/>
      <c r="R4279" s="2"/>
      <c r="S4279" s="2" t="s">
        <v>28180</v>
      </c>
      <c r="T4279" s="2" t="s">
        <v>28181</v>
      </c>
      <c r="U4279" s="2" t="s">
        <v>103</v>
      </c>
      <c r="V4279" s="2" t="s">
        <v>104</v>
      </c>
      <c r="W4279" s="2" t="s">
        <v>105</v>
      </c>
      <c r="X4279" s="2" t="s">
        <v>83</v>
      </c>
      <c r="Y4279" s="2">
        <v>45.6</v>
      </c>
      <c r="Z4279" s="2">
        <v>0</v>
      </c>
      <c r="AA4279" s="2" t="s">
        <v>259</v>
      </c>
      <c r="AB4279" s="2" t="s">
        <v>28182</v>
      </c>
      <c r="AC4279" s="2">
        <v>3.9056914896066899</v>
      </c>
      <c r="AD4279" s="2"/>
      <c r="AE4279" s="2">
        <v>0.103399881093694</v>
      </c>
      <c r="AF4279" s="2">
        <v>7296.3837468314996</v>
      </c>
      <c r="AG4279" s="2">
        <v>5735.0952840222899</v>
      </c>
      <c r="AH4279" s="5">
        <v>1.27223409298166</v>
      </c>
      <c r="AI4279" s="5">
        <v>0.347364153099398</v>
      </c>
      <c r="AJ4279" s="5" t="s">
        <v>139</v>
      </c>
      <c r="AK4279" s="2">
        <v>0.54888851256773197</v>
      </c>
      <c r="AL4279" s="2">
        <v>0.77130203529340302</v>
      </c>
      <c r="AM4279" s="2">
        <v>5605.6471220621397</v>
      </c>
      <c r="AN4279" s="2">
        <v>4075.9515386939402</v>
      </c>
      <c r="AO4279" s="2">
        <v>10802.743072363601</v>
      </c>
      <c r="AP4279" s="2">
        <v>2432.33275756381</v>
      </c>
      <c r="AQ4279" s="2">
        <v>7855.8605203154802</v>
      </c>
      <c r="AR4279" s="2">
        <v>13005.76746999</v>
      </c>
      <c r="AS4279" s="2">
        <v>1341.5528304463901</v>
      </c>
      <c r="AT4279" s="2">
        <v>4907.5392009672296</v>
      </c>
      <c r="AU4279" s="2">
        <v>1109.5849302496299</v>
      </c>
      <c r="AV4279" s="2">
        <v>6438.1978178895897</v>
      </c>
      <c r="AW4279" s="2">
        <v>6825.5112467038998</v>
      </c>
      <c r="AX4279" s="2">
        <v>13788.185677877</v>
      </c>
    </row>
    <row r="4280" spans="1:50" x14ac:dyDescent="0.25">
      <c r="A4280" s="2" t="s">
        <v>28183</v>
      </c>
      <c r="B4280" s="2">
        <v>846.38653528765303</v>
      </c>
      <c r="C4280" s="2">
        <v>4.1536</v>
      </c>
      <c r="D4280" s="2" t="s">
        <v>51</v>
      </c>
      <c r="E4280" s="2" t="s">
        <v>28184</v>
      </c>
      <c r="F4280" s="2">
        <v>204286</v>
      </c>
      <c r="G4280" s="3" t="str">
        <f>HYPERLINK("https://cloud.oebiotech.com/#/lm/network/204286", "https://cloud.oebiotech.com/#/lm/network/204286")</f>
        <v>https://cloud.oebiotech.com/#/lm/network/204286</v>
      </c>
      <c r="H4280" s="2" t="s">
        <v>28185</v>
      </c>
      <c r="I4280" s="2"/>
      <c r="J4280" s="2"/>
      <c r="K4280" s="2">
        <v>22982613</v>
      </c>
      <c r="L4280" s="2"/>
      <c r="M4280" s="2"/>
      <c r="N4280" s="2"/>
      <c r="O4280" s="2"/>
      <c r="P4280" s="2"/>
      <c r="Q4280" s="2"/>
      <c r="R4280" s="2"/>
      <c r="S4280" s="2" t="s">
        <v>28186</v>
      </c>
      <c r="T4280" s="2" t="s">
        <v>28187</v>
      </c>
      <c r="U4280" s="2" t="s">
        <v>56</v>
      </c>
      <c r="V4280" s="2" t="s">
        <v>177</v>
      </c>
      <c r="W4280" s="2" t="s">
        <v>178</v>
      </c>
      <c r="X4280" s="2" t="s">
        <v>147</v>
      </c>
      <c r="Y4280" s="2">
        <v>42.7</v>
      </c>
      <c r="Z4280" s="2">
        <v>25.7</v>
      </c>
      <c r="AA4280" s="2" t="s">
        <v>259</v>
      </c>
      <c r="AB4280" s="2" t="s">
        <v>28188</v>
      </c>
      <c r="AC4280" s="2">
        <v>-4.8805717148267398</v>
      </c>
      <c r="AD4280" s="2"/>
      <c r="AE4280" s="2">
        <v>0.103352881657127</v>
      </c>
      <c r="AF4280" s="2">
        <v>6961.8343070805604</v>
      </c>
      <c r="AG4280" s="2">
        <v>12566.5987676082</v>
      </c>
      <c r="AH4280" s="4">
        <v>0.55399511322231798</v>
      </c>
      <c r="AI4280" s="4">
        <v>-0.85205484453532299</v>
      </c>
      <c r="AJ4280" s="4" t="s">
        <v>62</v>
      </c>
      <c r="AK4280" s="2">
        <v>0.61774259121922803</v>
      </c>
      <c r="AL4280" s="2">
        <v>0.810505583219571</v>
      </c>
      <c r="AM4280" s="2">
        <v>15231.2125107834</v>
      </c>
      <c r="AN4280" s="2">
        <v>2791.8427237543901</v>
      </c>
      <c r="AO4280" s="2">
        <v>6943.6661571455097</v>
      </c>
      <c r="AP4280" s="2">
        <v>3369.1698387389401</v>
      </c>
      <c r="AQ4280" s="2">
        <v>9263.1359186606096</v>
      </c>
      <c r="AR4280" s="2">
        <v>4171.9786934005097</v>
      </c>
      <c r="AS4280" s="2">
        <v>8.559877937157E-6</v>
      </c>
      <c r="AT4280" s="2">
        <v>8.559877937157E-6</v>
      </c>
      <c r="AU4280" s="2">
        <v>65606.934496664704</v>
      </c>
      <c r="AV4280" s="2">
        <v>9181.5276709124391</v>
      </c>
      <c r="AW4280" s="2">
        <v>611.130412392636</v>
      </c>
      <c r="AX4280" s="2">
        <v>8.559877937157E-6</v>
      </c>
    </row>
    <row r="4281" spans="1:50" x14ac:dyDescent="0.25">
      <c r="A4281" s="2" t="s">
        <v>28189</v>
      </c>
      <c r="B4281" s="2">
        <v>445.081386107051</v>
      </c>
      <c r="C4281" s="2">
        <v>4.26596666666667</v>
      </c>
      <c r="D4281" s="2" t="s">
        <v>51</v>
      </c>
      <c r="E4281" s="2" t="s">
        <v>28190</v>
      </c>
      <c r="F4281" s="2">
        <v>59704</v>
      </c>
      <c r="G4281" s="3" t="str">
        <f>HYPERLINK("https://cloud.oebiotech.com/#/lm/network/59704", "https://cloud.oebiotech.com/#/lm/network/59704")</f>
        <v>https://cloud.oebiotech.com/#/lm/network/59704</v>
      </c>
      <c r="H4281" s="2" t="s">
        <v>28191</v>
      </c>
      <c r="I4281" s="2">
        <v>91088</v>
      </c>
      <c r="J4281" s="2"/>
      <c r="K4281" s="2">
        <v>74977759</v>
      </c>
      <c r="L4281" s="2"/>
      <c r="M4281" s="2"/>
      <c r="N4281" s="2"/>
      <c r="O4281" s="2"/>
      <c r="P4281" s="2"/>
      <c r="Q4281" s="2"/>
      <c r="R4281" s="2"/>
      <c r="S4281" s="2" t="s">
        <v>28192</v>
      </c>
      <c r="T4281" s="2" t="s">
        <v>28193</v>
      </c>
      <c r="U4281" s="2" t="s">
        <v>540</v>
      </c>
      <c r="V4281" s="2" t="s">
        <v>541</v>
      </c>
      <c r="W4281" s="2" t="s">
        <v>542</v>
      </c>
      <c r="X4281" s="2" t="s">
        <v>83</v>
      </c>
      <c r="Y4281" s="2">
        <v>52.1</v>
      </c>
      <c r="Z4281" s="2">
        <v>0</v>
      </c>
      <c r="AA4281" s="2" t="s">
        <v>379</v>
      </c>
      <c r="AB4281" s="2" t="s">
        <v>28194</v>
      </c>
      <c r="AC4281" s="2">
        <v>8.0827138477957892</v>
      </c>
      <c r="AD4281" s="2"/>
      <c r="AE4281" s="2">
        <v>0.103149991207868</v>
      </c>
      <c r="AF4281" s="2">
        <v>1351.6617315092899</v>
      </c>
      <c r="AG4281" s="2">
        <v>792.928414962528</v>
      </c>
      <c r="AH4281" s="5">
        <v>1.70464534503176</v>
      </c>
      <c r="AI4281" s="5">
        <v>0.76947161480014703</v>
      </c>
      <c r="AJ4281" s="5" t="s">
        <v>139</v>
      </c>
      <c r="AK4281" s="2">
        <v>0.56287619495688701</v>
      </c>
      <c r="AL4281" s="2">
        <v>0.78064040599162898</v>
      </c>
      <c r="AM4281" s="2">
        <v>1191.88927893404</v>
      </c>
      <c r="AN4281" s="2">
        <v>209.354250651661</v>
      </c>
      <c r="AO4281" s="2">
        <v>5401.7331247785096</v>
      </c>
      <c r="AP4281" s="2">
        <v>379.15871654026103</v>
      </c>
      <c r="AQ4281" s="2">
        <v>363.60417144679798</v>
      </c>
      <c r="AR4281" s="2">
        <v>564.23084670446701</v>
      </c>
      <c r="AS4281" s="2">
        <v>133.18064571773499</v>
      </c>
      <c r="AT4281" s="2">
        <v>121.532523802548</v>
      </c>
      <c r="AU4281" s="2">
        <v>2949.6410890581801</v>
      </c>
      <c r="AV4281" s="2">
        <v>339.86914466727302</v>
      </c>
      <c r="AW4281" s="2">
        <v>424.60898507668298</v>
      </c>
      <c r="AX4281" s="2">
        <v>788.73810145275002</v>
      </c>
    </row>
    <row r="4282" spans="1:50" x14ac:dyDescent="0.25">
      <c r="A4282" s="2" t="s">
        <v>28195</v>
      </c>
      <c r="B4282" s="2">
        <v>477.32230870060999</v>
      </c>
      <c r="C4282" s="2">
        <v>11.233700000000001</v>
      </c>
      <c r="D4282" s="2" t="s">
        <v>51</v>
      </c>
      <c r="E4282" s="2" t="s">
        <v>28196</v>
      </c>
      <c r="F4282" s="2">
        <v>46383</v>
      </c>
      <c r="G4282" s="3" t="str">
        <f>HYPERLINK("https://cloud.oebiotech.com/#/lm/network/46383", "https://cloud.oebiotech.com/#/lm/network/46383")</f>
        <v>https://cloud.oebiotech.com/#/lm/network/46383</v>
      </c>
      <c r="H4282" s="2"/>
      <c r="I4282" s="2">
        <v>84805</v>
      </c>
      <c r="J4282" s="2" t="s">
        <v>28197</v>
      </c>
      <c r="K4282" s="2">
        <v>5284233</v>
      </c>
      <c r="L4282" s="2"/>
      <c r="M4282" s="2"/>
      <c r="N4282" s="2"/>
      <c r="O4282" s="2"/>
      <c r="P4282" s="2"/>
      <c r="Q4282" s="2"/>
      <c r="R4282" s="2"/>
      <c r="S4282" s="2" t="s">
        <v>28198</v>
      </c>
      <c r="T4282" s="2" t="s">
        <v>28199</v>
      </c>
      <c r="U4282" s="2" t="s">
        <v>56</v>
      </c>
      <c r="V4282" s="2" t="s">
        <v>283</v>
      </c>
      <c r="W4282" s="2" t="s">
        <v>1108</v>
      </c>
      <c r="X4282" s="2" t="s">
        <v>83</v>
      </c>
      <c r="Y4282" s="2">
        <v>52.4</v>
      </c>
      <c r="Z4282" s="2">
        <v>0</v>
      </c>
      <c r="AA4282" s="2" t="s">
        <v>241</v>
      </c>
      <c r="AB4282" s="2" t="s">
        <v>12999</v>
      </c>
      <c r="AC4282" s="2">
        <v>0.33757391145781701</v>
      </c>
      <c r="AD4282" s="2"/>
      <c r="AE4282" s="2">
        <v>0.103073571986945</v>
      </c>
      <c r="AF4282" s="2">
        <v>4091.27445222798</v>
      </c>
      <c r="AG4282" s="2">
        <v>3112.2787925544999</v>
      </c>
      <c r="AH4282" s="5">
        <v>1.31455911405351</v>
      </c>
      <c r="AI4282" s="5">
        <v>0.39457901957807801</v>
      </c>
      <c r="AJ4282" s="5" t="s">
        <v>139</v>
      </c>
      <c r="AK4282" s="2">
        <v>0.29402311542558102</v>
      </c>
      <c r="AL4282" s="2">
        <v>0.60634549190129605</v>
      </c>
      <c r="AM4282" s="2">
        <v>2371.45741464404</v>
      </c>
      <c r="AN4282" s="2">
        <v>3930.76462827971</v>
      </c>
      <c r="AO4282" s="2">
        <v>2280.6403303286602</v>
      </c>
      <c r="AP4282" s="2">
        <v>4062.4801330550199</v>
      </c>
      <c r="AQ4282" s="2">
        <v>5611.9358354311598</v>
      </c>
      <c r="AR4282" s="2">
        <v>6290.3683716292799</v>
      </c>
      <c r="AS4282" s="2">
        <v>1998.1225585550201</v>
      </c>
      <c r="AT4282" s="2">
        <v>3041.97662243075</v>
      </c>
      <c r="AU4282" s="2">
        <v>3135.2036427401199</v>
      </c>
      <c r="AV4282" s="2">
        <v>1163.63156494788</v>
      </c>
      <c r="AW4282" s="2">
        <v>4391.6615396986899</v>
      </c>
      <c r="AX4282" s="2">
        <v>4943.0768269545197</v>
      </c>
    </row>
    <row r="4283" spans="1:50" x14ac:dyDescent="0.25">
      <c r="A4283" s="2" t="s">
        <v>28200</v>
      </c>
      <c r="B4283" s="2">
        <v>479.27811357034199</v>
      </c>
      <c r="C4283" s="2">
        <v>12.1338666666667</v>
      </c>
      <c r="D4283" s="2" t="s">
        <v>51</v>
      </c>
      <c r="E4283" s="2" t="s">
        <v>28201</v>
      </c>
      <c r="F4283" s="2">
        <v>43471</v>
      </c>
      <c r="G4283" s="3" t="str">
        <f>HYPERLINK("https://cloud.oebiotech.com/#/lm/network/43471", "https://cloud.oebiotech.com/#/lm/network/43471")</f>
        <v>https://cloud.oebiotech.com/#/lm/network/43471</v>
      </c>
      <c r="H4283" s="2"/>
      <c r="I4283" s="2">
        <v>41679</v>
      </c>
      <c r="J4283" s="2" t="s">
        <v>28202</v>
      </c>
      <c r="K4283" s="2">
        <v>119287</v>
      </c>
      <c r="L4283" s="2" t="s">
        <v>28203</v>
      </c>
      <c r="M4283" s="2"/>
      <c r="N4283" s="2"/>
      <c r="O4283" s="2">
        <v>3953</v>
      </c>
      <c r="P4283" s="2"/>
      <c r="Q4283" s="2"/>
      <c r="R4283" s="2"/>
      <c r="S4283" s="2" t="s">
        <v>28204</v>
      </c>
      <c r="T4283" s="2" t="s">
        <v>28205</v>
      </c>
      <c r="U4283" s="2" t="s">
        <v>56</v>
      </c>
      <c r="V4283" s="2" t="s">
        <v>283</v>
      </c>
      <c r="W4283" s="2" t="s">
        <v>5158</v>
      </c>
      <c r="X4283" s="2" t="s">
        <v>147</v>
      </c>
      <c r="Y4283" s="2">
        <v>41.8</v>
      </c>
      <c r="Z4283" s="2">
        <v>34.5</v>
      </c>
      <c r="AA4283" s="2" t="s">
        <v>379</v>
      </c>
      <c r="AB4283" s="2" t="s">
        <v>28206</v>
      </c>
      <c r="AC4283" s="2">
        <v>-4.3836687056514201</v>
      </c>
      <c r="AD4283" s="2"/>
      <c r="AE4283" s="2">
        <v>0.1030452962774</v>
      </c>
      <c r="AF4283" s="2">
        <v>8814.9042870339908</v>
      </c>
      <c r="AG4283" s="2">
        <v>9025.5323122572008</v>
      </c>
      <c r="AH4283" s="4">
        <v>0.97666309111351102</v>
      </c>
      <c r="AI4283" s="4">
        <v>-3.4067117755115797E-2</v>
      </c>
      <c r="AJ4283" s="4" t="s">
        <v>62</v>
      </c>
      <c r="AK4283" s="2">
        <v>0.95082710027599504</v>
      </c>
      <c r="AL4283" s="2">
        <v>0.98004522471155897</v>
      </c>
      <c r="AM4283" s="2">
        <v>20150.8769387055</v>
      </c>
      <c r="AN4283" s="2">
        <v>9689.5338789562993</v>
      </c>
      <c r="AO4283" s="2">
        <v>4832.4862775811098</v>
      </c>
      <c r="AP4283" s="2">
        <v>4101.4633994095002</v>
      </c>
      <c r="AQ4283" s="2">
        <v>8205.5876065109405</v>
      </c>
      <c r="AR4283" s="2">
        <v>5909.4776210405898</v>
      </c>
      <c r="AS4283" s="2">
        <v>5528.6769171750402</v>
      </c>
      <c r="AT4283" s="2">
        <v>6218.1931897436698</v>
      </c>
      <c r="AU4283" s="2">
        <v>19807.867878982099</v>
      </c>
      <c r="AV4283" s="2">
        <v>4826.7146327228302</v>
      </c>
      <c r="AW4283" s="2">
        <v>10041.0044813409</v>
      </c>
      <c r="AX4283" s="2">
        <v>7730.7367735786402</v>
      </c>
    </row>
    <row r="4284" spans="1:50" x14ac:dyDescent="0.25">
      <c r="A4284" s="2" t="s">
        <v>28207</v>
      </c>
      <c r="B4284" s="2">
        <v>275.150176872852</v>
      </c>
      <c r="C4284" s="2">
        <v>4.3206499999999997</v>
      </c>
      <c r="D4284" s="2" t="s">
        <v>51</v>
      </c>
      <c r="E4284" s="2" t="s">
        <v>28208</v>
      </c>
      <c r="F4284" s="2">
        <v>201680</v>
      </c>
      <c r="G4284" s="3" t="str">
        <f>HYPERLINK("https://cloud.oebiotech.com/#/lm/network/201680", "https://cloud.oebiotech.com/#/lm/network/201680")</f>
        <v>https://cloud.oebiotech.com/#/lm/network/201680</v>
      </c>
      <c r="H4284" s="2" t="s">
        <v>28209</v>
      </c>
      <c r="I4284" s="2"/>
      <c r="J4284" s="2"/>
      <c r="K4284" s="2">
        <v>173886</v>
      </c>
      <c r="L4284" s="2"/>
      <c r="M4284" s="2"/>
      <c r="N4284" s="2"/>
      <c r="O4284" s="2"/>
      <c r="P4284" s="2"/>
      <c r="Q4284" s="2"/>
      <c r="R4284" s="2"/>
      <c r="S4284" s="2" t="s">
        <v>28210</v>
      </c>
      <c r="T4284" s="2" t="s">
        <v>28211</v>
      </c>
      <c r="U4284" s="2" t="s">
        <v>103</v>
      </c>
      <c r="V4284" s="2" t="s">
        <v>104</v>
      </c>
      <c r="W4284" s="2" t="s">
        <v>105</v>
      </c>
      <c r="X4284" s="2" t="s">
        <v>147</v>
      </c>
      <c r="Y4284" s="2">
        <v>36.799999999999997</v>
      </c>
      <c r="Z4284" s="2">
        <v>0</v>
      </c>
      <c r="AA4284" s="2" t="s">
        <v>259</v>
      </c>
      <c r="AB4284" s="2" t="s">
        <v>28212</v>
      </c>
      <c r="AC4284" s="2">
        <v>-0.275019732157533</v>
      </c>
      <c r="AD4284" s="2"/>
      <c r="AE4284" s="2">
        <v>0.10304510214638</v>
      </c>
      <c r="AF4284" s="2">
        <v>1345.4085630377101</v>
      </c>
      <c r="AG4284" s="2">
        <v>718.42787425023198</v>
      </c>
      <c r="AH4284" s="5">
        <v>1.8727120860139399</v>
      </c>
      <c r="AI4284" s="5">
        <v>0.90512911420548303</v>
      </c>
      <c r="AJ4284" s="5" t="s">
        <v>139</v>
      </c>
      <c r="AK4284" s="2">
        <v>0.25856880119112402</v>
      </c>
      <c r="AL4284" s="2">
        <v>0.58060626803014403</v>
      </c>
      <c r="AM4284" s="2">
        <v>694.47268834612896</v>
      </c>
      <c r="AN4284" s="2">
        <v>207.650991232726</v>
      </c>
      <c r="AO4284" s="2">
        <v>3298.9730978217899</v>
      </c>
      <c r="AP4284" s="2">
        <v>351.09503412768902</v>
      </c>
      <c r="AQ4284" s="2">
        <v>2029.75484952793</v>
      </c>
      <c r="AR4284" s="2">
        <v>1490.5047171700101</v>
      </c>
      <c r="AS4284" s="2">
        <v>227.87084835735399</v>
      </c>
      <c r="AT4284" s="2">
        <v>159.27574173105899</v>
      </c>
      <c r="AU4284" s="2">
        <v>858.325205560207</v>
      </c>
      <c r="AV4284" s="2">
        <v>1152.0579112166799</v>
      </c>
      <c r="AW4284" s="2">
        <v>1363.4428266611501</v>
      </c>
      <c r="AX4284" s="2">
        <v>549.59471197494099</v>
      </c>
    </row>
    <row r="4285" spans="1:50" x14ac:dyDescent="0.25">
      <c r="A4285" s="2" t="s">
        <v>28213</v>
      </c>
      <c r="B4285" s="2">
        <v>276.11979187510798</v>
      </c>
      <c r="C4285" s="2">
        <v>6.1052666666666697</v>
      </c>
      <c r="D4285" s="2" t="s">
        <v>51</v>
      </c>
      <c r="E4285" s="2" t="s">
        <v>28214</v>
      </c>
      <c r="F4285" s="2">
        <v>58324</v>
      </c>
      <c r="G4285" s="3" t="str">
        <f>HYPERLINK("https://cloud.oebiotech.com/#/lm/network/58324", "https://cloud.oebiotech.com/#/lm/network/58324")</f>
        <v>https://cloud.oebiotech.com/#/lm/network/58324</v>
      </c>
      <c r="H4285" s="2" t="s">
        <v>28215</v>
      </c>
      <c r="I4285" s="2">
        <v>89812</v>
      </c>
      <c r="J4285" s="2"/>
      <c r="K4285" s="2">
        <v>6506</v>
      </c>
      <c r="L4285" s="2"/>
      <c r="M4285" s="2"/>
      <c r="N4285" s="2"/>
      <c r="O4285" s="2"/>
      <c r="P4285" s="2"/>
      <c r="Q4285" s="2"/>
      <c r="R4285" s="2" t="s">
        <v>28216</v>
      </c>
      <c r="S4285" s="2" t="s">
        <v>28217</v>
      </c>
      <c r="T4285" s="2" t="s">
        <v>28218</v>
      </c>
      <c r="U4285" s="2" t="s">
        <v>103</v>
      </c>
      <c r="V4285" s="2" t="s">
        <v>104</v>
      </c>
      <c r="W4285" s="2" t="s">
        <v>1139</v>
      </c>
      <c r="X4285" s="2" t="s">
        <v>83</v>
      </c>
      <c r="Y4285" s="2">
        <v>38.299999999999997</v>
      </c>
      <c r="Z4285" s="2">
        <v>0</v>
      </c>
      <c r="AA4285" s="2" t="s">
        <v>122</v>
      </c>
      <c r="AB4285" s="2" t="s">
        <v>28219</v>
      </c>
      <c r="AC4285" s="2">
        <v>-4.0243357176553198</v>
      </c>
      <c r="AD4285" s="2"/>
      <c r="AE4285" s="2">
        <v>0.102632087270976</v>
      </c>
      <c r="AF4285" s="2">
        <v>880.31995771217601</v>
      </c>
      <c r="AG4285" s="2">
        <v>540.66776020901898</v>
      </c>
      <c r="AH4285" s="5">
        <v>1.6282087124481901</v>
      </c>
      <c r="AI4285" s="5">
        <v>0.70328564377757496</v>
      </c>
      <c r="AJ4285" s="5" t="s">
        <v>139</v>
      </c>
      <c r="AK4285" s="2">
        <v>0.19338410406220599</v>
      </c>
      <c r="AL4285" s="2">
        <v>0.51725957274568402</v>
      </c>
      <c r="AM4285" s="2">
        <v>1060.86410701872</v>
      </c>
      <c r="AN4285" s="2">
        <v>1700.62735186892</v>
      </c>
      <c r="AO4285" s="2">
        <v>487.24700338446399</v>
      </c>
      <c r="AP4285" s="2">
        <v>774.86906233977402</v>
      </c>
      <c r="AQ4285" s="2">
        <v>439.693607473925</v>
      </c>
      <c r="AR4285" s="2">
        <v>818.61861418725402</v>
      </c>
      <c r="AS4285" s="2">
        <v>613.47521539071499</v>
      </c>
      <c r="AT4285" s="2">
        <v>251.974182865735</v>
      </c>
      <c r="AU4285" s="2">
        <v>1058.03819351263</v>
      </c>
      <c r="AV4285" s="2">
        <v>139.55858658715201</v>
      </c>
      <c r="AW4285" s="2">
        <v>283.40368719001401</v>
      </c>
      <c r="AX4285" s="2">
        <v>897.55669570786802</v>
      </c>
    </row>
    <row r="4286" spans="1:50" x14ac:dyDescent="0.25">
      <c r="A4286" s="2" t="s">
        <v>28220</v>
      </c>
      <c r="B4286" s="2">
        <v>190.097995680173</v>
      </c>
      <c r="C4286" s="2">
        <v>14.479983333333299</v>
      </c>
      <c r="D4286" s="2" t="s">
        <v>51</v>
      </c>
      <c r="E4286" s="2" t="s">
        <v>28221</v>
      </c>
      <c r="F4286" s="2">
        <v>51410</v>
      </c>
      <c r="G4286" s="3" t="str">
        <f>HYPERLINK("https://cloud.oebiotech.com/#/lm/network/51410", "https://cloud.oebiotech.com/#/lm/network/51410")</f>
        <v>https://cloud.oebiotech.com/#/lm/network/51410</v>
      </c>
      <c r="H4286" s="2" t="s">
        <v>28222</v>
      </c>
      <c r="I4286" s="2">
        <v>62378</v>
      </c>
      <c r="J4286" s="2"/>
      <c r="K4286" s="2">
        <v>47289</v>
      </c>
      <c r="L4286" s="2" t="s">
        <v>28223</v>
      </c>
      <c r="M4286" s="2" t="s">
        <v>28224</v>
      </c>
      <c r="N4286" s="2" t="s">
        <v>28225</v>
      </c>
      <c r="O4286" s="2">
        <v>32692</v>
      </c>
      <c r="P4286" s="2"/>
      <c r="Q4286" s="2"/>
      <c r="R4286" s="2" t="s">
        <v>28226</v>
      </c>
      <c r="S4286" s="2" t="s">
        <v>28227</v>
      </c>
      <c r="T4286" s="2" t="s">
        <v>28228</v>
      </c>
      <c r="U4286" s="2" t="s">
        <v>331</v>
      </c>
      <c r="V4286" s="2" t="s">
        <v>332</v>
      </c>
      <c r="W4286" s="2" t="s">
        <v>1207</v>
      </c>
      <c r="X4286" s="2" t="s">
        <v>147</v>
      </c>
      <c r="Y4286" s="2">
        <v>37.799999999999997</v>
      </c>
      <c r="Z4286" s="2">
        <v>0</v>
      </c>
      <c r="AA4286" s="2" t="s">
        <v>156</v>
      </c>
      <c r="AB4286" s="2" t="s">
        <v>8117</v>
      </c>
      <c r="AC4286" s="2">
        <v>2.4493377151262199</v>
      </c>
      <c r="AD4286" s="2"/>
      <c r="AE4286" s="2">
        <v>0.10262594765973999</v>
      </c>
      <c r="AF4286" s="2">
        <v>3863.33082133874</v>
      </c>
      <c r="AG4286" s="2">
        <v>4343.7336847510696</v>
      </c>
      <c r="AH4286" s="4">
        <v>0.88940324193934694</v>
      </c>
      <c r="AI4286" s="4">
        <v>-0.16909043146025901</v>
      </c>
      <c r="AJ4286" s="4" t="s">
        <v>62</v>
      </c>
      <c r="AK4286" s="2">
        <v>0.256022469929088</v>
      </c>
      <c r="AL4286" s="2">
        <v>0.57883765962140699</v>
      </c>
      <c r="AM4286" s="2">
        <v>3416.0180025114601</v>
      </c>
      <c r="AN4286" s="2">
        <v>4384.0308904888898</v>
      </c>
      <c r="AO4286" s="2">
        <v>4103.4697841708703</v>
      </c>
      <c r="AP4286" s="2">
        <v>3665.37268887031</v>
      </c>
      <c r="AQ4286" s="2">
        <v>4503.1094446076004</v>
      </c>
      <c r="AR4286" s="2">
        <v>3107.9841173833302</v>
      </c>
      <c r="AS4286" s="2">
        <v>3923.06221156639</v>
      </c>
      <c r="AT4286" s="2">
        <v>4487.6387453752504</v>
      </c>
      <c r="AU4286" s="2">
        <v>3462.4883586328101</v>
      </c>
      <c r="AV4286" s="2">
        <v>4222.3854399992097</v>
      </c>
      <c r="AW4286" s="2">
        <v>4142.4043123763304</v>
      </c>
      <c r="AX4286" s="2">
        <v>5824.4230405564103</v>
      </c>
    </row>
    <row r="4287" spans="1:50" x14ac:dyDescent="0.25">
      <c r="A4287" s="2" t="s">
        <v>28229</v>
      </c>
      <c r="B4287" s="2">
        <v>223.09722622410601</v>
      </c>
      <c r="C4287" s="2">
        <v>8.8874666666666702</v>
      </c>
      <c r="D4287" s="2" t="s">
        <v>51</v>
      </c>
      <c r="E4287" s="2" t="s">
        <v>28230</v>
      </c>
      <c r="F4287" s="2">
        <v>115433</v>
      </c>
      <c r="G4287" s="3" t="str">
        <f>HYPERLINK("https://cloud.oebiotech.com/#/lm/network/115433", "https://cloud.oebiotech.com/#/lm/network/115433")</f>
        <v>https://cloud.oebiotech.com/#/lm/network/115433</v>
      </c>
      <c r="H4287" s="2" t="s">
        <v>28231</v>
      </c>
      <c r="I4287" s="2">
        <v>69854</v>
      </c>
      <c r="J4287" s="2"/>
      <c r="K4287" s="2">
        <v>6781</v>
      </c>
      <c r="L4287" s="2" t="s">
        <v>28232</v>
      </c>
      <c r="M4287" s="2"/>
      <c r="N4287" s="2"/>
      <c r="O4287" s="2">
        <v>34698</v>
      </c>
      <c r="P4287" s="2"/>
      <c r="Q4287" s="2"/>
      <c r="R4287" s="2" t="s">
        <v>28233</v>
      </c>
      <c r="S4287" s="2" t="s">
        <v>28234</v>
      </c>
      <c r="T4287" s="2" t="s">
        <v>28235</v>
      </c>
      <c r="U4287" s="2" t="s">
        <v>610</v>
      </c>
      <c r="V4287" s="2" t="s">
        <v>611</v>
      </c>
      <c r="W4287" s="2" t="s">
        <v>1122</v>
      </c>
      <c r="X4287" s="2" t="s">
        <v>69</v>
      </c>
      <c r="Y4287" s="2">
        <v>60.2</v>
      </c>
      <c r="Z4287" s="2">
        <v>62.1</v>
      </c>
      <c r="AA4287" s="2" t="s">
        <v>259</v>
      </c>
      <c r="AB4287" s="2" t="s">
        <v>28040</v>
      </c>
      <c r="AC4287" s="2">
        <v>3.33588871436526</v>
      </c>
      <c r="AD4287" s="2"/>
      <c r="AE4287" s="2">
        <v>0.102572987563324</v>
      </c>
      <c r="AF4287" s="2">
        <v>3319.77240309645</v>
      </c>
      <c r="AG4287" s="2">
        <v>3733.3558778418901</v>
      </c>
      <c r="AH4287" s="4">
        <v>0.88921938109352905</v>
      </c>
      <c r="AI4287" s="4">
        <v>-0.169388701737479</v>
      </c>
      <c r="AJ4287" s="4" t="s">
        <v>62</v>
      </c>
      <c r="AK4287" s="2">
        <v>0.334948088088241</v>
      </c>
      <c r="AL4287" s="2">
        <v>0.63560179716806797</v>
      </c>
      <c r="AM4287" s="2">
        <v>2718.1989329125699</v>
      </c>
      <c r="AN4287" s="2">
        <v>3431.4303771121599</v>
      </c>
      <c r="AO4287" s="2">
        <v>3447.7094117374099</v>
      </c>
      <c r="AP4287" s="2">
        <v>3611.4523297083501</v>
      </c>
      <c r="AQ4287" s="2">
        <v>3449.57039851647</v>
      </c>
      <c r="AR4287" s="2">
        <v>3260.2729685917302</v>
      </c>
      <c r="AS4287" s="2">
        <v>5476.6574241073604</v>
      </c>
      <c r="AT4287" s="2">
        <v>3961.1520978704698</v>
      </c>
      <c r="AU4287" s="2">
        <v>2913.3154391326202</v>
      </c>
      <c r="AV4287" s="2">
        <v>3377.0570444701002</v>
      </c>
      <c r="AW4287" s="2">
        <v>2949.7275323870899</v>
      </c>
      <c r="AX4287" s="2">
        <v>3722.2257290836701</v>
      </c>
    </row>
    <row r="4288" spans="1:50" x14ac:dyDescent="0.25">
      <c r="A4288" s="2" t="s">
        <v>28236</v>
      </c>
      <c r="B4288" s="2">
        <v>261.19707818046999</v>
      </c>
      <c r="C4288" s="2">
        <v>6.6227666666666698</v>
      </c>
      <c r="D4288" s="2" t="s">
        <v>51</v>
      </c>
      <c r="E4288" s="2" t="s">
        <v>28237</v>
      </c>
      <c r="F4288" s="2">
        <v>52661</v>
      </c>
      <c r="G4288" s="3" t="str">
        <f>HYPERLINK("https://cloud.oebiotech.com/#/lm/network/52661", "https://cloud.oebiotech.com/#/lm/network/52661")</f>
        <v>https://cloud.oebiotech.com/#/lm/network/52661</v>
      </c>
      <c r="H4288" s="2" t="s">
        <v>28238</v>
      </c>
      <c r="I4288" s="2">
        <v>2361</v>
      </c>
      <c r="J4288" s="2"/>
      <c r="K4288" s="2">
        <v>5095</v>
      </c>
      <c r="L4288" s="2" t="s">
        <v>28239</v>
      </c>
      <c r="M4288" s="2"/>
      <c r="N4288" s="2"/>
      <c r="O4288" s="2">
        <v>8888</v>
      </c>
      <c r="P4288" s="2"/>
      <c r="Q4288" s="2"/>
      <c r="R4288" s="2" t="s">
        <v>28240</v>
      </c>
      <c r="S4288" s="2" t="s">
        <v>28241</v>
      </c>
      <c r="T4288" s="2" t="s">
        <v>28242</v>
      </c>
      <c r="U4288" s="2" t="s">
        <v>266</v>
      </c>
      <c r="V4288" s="2" t="s">
        <v>445</v>
      </c>
      <c r="W4288" s="2" t="s">
        <v>8002</v>
      </c>
      <c r="X4288" s="2" t="s">
        <v>147</v>
      </c>
      <c r="Y4288" s="2">
        <v>41.7</v>
      </c>
      <c r="Z4288" s="2">
        <v>19.2</v>
      </c>
      <c r="AA4288" s="2" t="s">
        <v>259</v>
      </c>
      <c r="AB4288" s="2" t="s">
        <v>28243</v>
      </c>
      <c r="AC4288" s="2">
        <v>3.6064173468421701</v>
      </c>
      <c r="AD4288" s="2"/>
      <c r="AE4288" s="2">
        <v>0.10254967962251101</v>
      </c>
      <c r="AF4288" s="2">
        <v>2948.9953497351898</v>
      </c>
      <c r="AG4288" s="2">
        <v>3411.64638183428</v>
      </c>
      <c r="AH4288" s="4">
        <v>0.86439068405139197</v>
      </c>
      <c r="AI4288" s="4">
        <v>-0.210244571215257</v>
      </c>
      <c r="AJ4288" s="4" t="s">
        <v>62</v>
      </c>
      <c r="AK4288" s="2">
        <v>0.86458741910805803</v>
      </c>
      <c r="AL4288" s="2">
        <v>0.94126880286700698</v>
      </c>
      <c r="AM4288" s="2">
        <v>3182.6853484839698</v>
      </c>
      <c r="AN4288" s="2">
        <v>701.50357706924399</v>
      </c>
      <c r="AO4288" s="2">
        <v>2287.6391227560898</v>
      </c>
      <c r="AP4288" s="2">
        <v>10796.572704054101</v>
      </c>
      <c r="AQ4288" s="2">
        <v>357.64432774859199</v>
      </c>
      <c r="AR4288" s="2">
        <v>367.92701829915302</v>
      </c>
      <c r="AS4288" s="2">
        <v>13274.4513217606</v>
      </c>
      <c r="AT4288" s="2">
        <v>169.675830849108</v>
      </c>
      <c r="AU4288" s="2">
        <v>313.19012598636499</v>
      </c>
      <c r="AV4288" s="2">
        <v>304.47568221480299</v>
      </c>
      <c r="AW4288" s="2">
        <v>2180.7306342606398</v>
      </c>
      <c r="AX4288" s="2">
        <v>4227.3546959341702</v>
      </c>
    </row>
    <row r="4289" spans="1:50" x14ac:dyDescent="0.25">
      <c r="A4289" s="2" t="s">
        <v>28244</v>
      </c>
      <c r="B4289" s="2">
        <v>209.081462235282</v>
      </c>
      <c r="C4289" s="2">
        <v>7.00115</v>
      </c>
      <c r="D4289" s="2" t="s">
        <v>51</v>
      </c>
      <c r="E4289" s="2" t="s">
        <v>28245</v>
      </c>
      <c r="F4289" s="2">
        <v>58716</v>
      </c>
      <c r="G4289" s="3" t="str">
        <f>HYPERLINK("https://cloud.oebiotech.com/#/lm/network/58716", "https://cloud.oebiotech.com/#/lm/network/58716")</f>
        <v>https://cloud.oebiotech.com/#/lm/network/58716</v>
      </c>
      <c r="H4289" s="2" t="s">
        <v>28246</v>
      </c>
      <c r="I4289" s="2">
        <v>44008</v>
      </c>
      <c r="J4289" s="2"/>
      <c r="K4289" s="2">
        <v>10281</v>
      </c>
      <c r="L4289" s="2"/>
      <c r="M4289" s="2"/>
      <c r="N4289" s="2"/>
      <c r="O4289" s="2">
        <v>113532</v>
      </c>
      <c r="P4289" s="2"/>
      <c r="Q4289" s="2"/>
      <c r="R4289" s="2" t="s">
        <v>28247</v>
      </c>
      <c r="S4289" s="2" t="s">
        <v>28248</v>
      </c>
      <c r="T4289" s="2" t="s">
        <v>28249</v>
      </c>
      <c r="U4289" s="2" t="s">
        <v>331</v>
      </c>
      <c r="V4289" s="2" t="s">
        <v>332</v>
      </c>
      <c r="W4289" s="2" t="s">
        <v>1207</v>
      </c>
      <c r="X4289" s="2" t="s">
        <v>83</v>
      </c>
      <c r="Y4289" s="2">
        <v>47.3</v>
      </c>
      <c r="Z4289" s="2">
        <v>0</v>
      </c>
      <c r="AA4289" s="2" t="s">
        <v>218</v>
      </c>
      <c r="AB4289" s="2" t="s">
        <v>20627</v>
      </c>
      <c r="AC4289" s="2">
        <v>-2.8659677509156798</v>
      </c>
      <c r="AD4289" s="2"/>
      <c r="AE4289" s="2">
        <v>0.102479674908318</v>
      </c>
      <c r="AF4289" s="2">
        <v>791.29438577736096</v>
      </c>
      <c r="AG4289" s="2">
        <v>1047.11957504168</v>
      </c>
      <c r="AH4289" s="4">
        <v>0.75568674737635699</v>
      </c>
      <c r="AI4289" s="4">
        <v>-0.40413977269224999</v>
      </c>
      <c r="AJ4289" s="4" t="s">
        <v>62</v>
      </c>
      <c r="AK4289" s="2">
        <v>2.8223915030620099E-2</v>
      </c>
      <c r="AL4289" s="2">
        <v>0.25647995834418702</v>
      </c>
      <c r="AM4289" s="2">
        <v>652.39431417021899</v>
      </c>
      <c r="AN4289" s="2">
        <v>737.93741453524103</v>
      </c>
      <c r="AO4289" s="2">
        <v>795.43698158583095</v>
      </c>
      <c r="AP4289" s="2">
        <v>971.58665462250895</v>
      </c>
      <c r="AQ4289" s="2">
        <v>838.18632469256295</v>
      </c>
      <c r="AR4289" s="2">
        <v>752.22462505780197</v>
      </c>
      <c r="AS4289" s="2">
        <v>978.39683134268205</v>
      </c>
      <c r="AT4289" s="2">
        <v>1198.2040122625699</v>
      </c>
      <c r="AU4289" s="2">
        <v>803.92797250201602</v>
      </c>
      <c r="AV4289" s="2">
        <v>940.28869146653903</v>
      </c>
      <c r="AW4289" s="2">
        <v>950.12696290306496</v>
      </c>
      <c r="AX4289" s="2">
        <v>1411.77297977321</v>
      </c>
    </row>
    <row r="4290" spans="1:50" x14ac:dyDescent="0.25">
      <c r="A4290" s="2" t="s">
        <v>28250</v>
      </c>
      <c r="B4290" s="2">
        <v>595.43487052730302</v>
      </c>
      <c r="C4290" s="2">
        <v>13.3891333333333</v>
      </c>
      <c r="D4290" s="2" t="s">
        <v>51</v>
      </c>
      <c r="E4290" s="2" t="s">
        <v>28251</v>
      </c>
      <c r="F4290" s="2">
        <v>248092</v>
      </c>
      <c r="G4290" s="3" t="str">
        <f>HYPERLINK("https://cloud.oebiotech.com/#/lm/network/248092", "https://cloud.oebiotech.com/#/lm/network/248092")</f>
        <v>https://cloud.oebiotech.com/#/lm/network/248092</v>
      </c>
      <c r="H4290" s="2" t="s">
        <v>28252</v>
      </c>
      <c r="I4290" s="2"/>
      <c r="J4290" s="2"/>
      <c r="K4290" s="2"/>
      <c r="L4290" s="2"/>
      <c r="M4290" s="2"/>
      <c r="N4290" s="2"/>
      <c r="O4290" s="2"/>
      <c r="P4290" s="2"/>
      <c r="Q4290" s="2"/>
      <c r="R4290" s="2"/>
      <c r="S4290" s="2" t="s">
        <v>28253</v>
      </c>
      <c r="T4290" s="2" t="s">
        <v>28254</v>
      </c>
      <c r="U4290" s="2" t="s">
        <v>56</v>
      </c>
      <c r="V4290" s="2" t="s">
        <v>3215</v>
      </c>
      <c r="W4290" s="2" t="s">
        <v>3216</v>
      </c>
      <c r="X4290" s="2" t="s">
        <v>83</v>
      </c>
      <c r="Y4290" s="2">
        <v>46.4</v>
      </c>
      <c r="Z4290" s="2">
        <v>0</v>
      </c>
      <c r="AA4290" s="2" t="s">
        <v>379</v>
      </c>
      <c r="AB4290" s="2" t="s">
        <v>16024</v>
      </c>
      <c r="AC4290" s="2">
        <v>-3.1378368267836301</v>
      </c>
      <c r="AD4290" s="2"/>
      <c r="AE4290" s="2">
        <v>0.102469443588748</v>
      </c>
      <c r="AF4290" s="2">
        <v>7721.9592213303504</v>
      </c>
      <c r="AG4290" s="2">
        <v>6167.6554029517301</v>
      </c>
      <c r="AH4290" s="5">
        <v>1.2520088618496401</v>
      </c>
      <c r="AI4290" s="5">
        <v>0.32424477385302097</v>
      </c>
      <c r="AJ4290" s="5" t="s">
        <v>139</v>
      </c>
      <c r="AK4290" s="2">
        <v>0.44884270038660801</v>
      </c>
      <c r="AL4290" s="2">
        <v>0.70329351074037805</v>
      </c>
      <c r="AM4290" s="2">
        <v>1010.91102886469</v>
      </c>
      <c r="AN4290" s="2">
        <v>8613.2132090984705</v>
      </c>
      <c r="AO4290" s="2">
        <v>9964.8728577222992</v>
      </c>
      <c r="AP4290" s="2">
        <v>7609.4192802818498</v>
      </c>
      <c r="AQ4290" s="2">
        <v>10587.261980372199</v>
      </c>
      <c r="AR4290" s="2">
        <v>8546.0769716426094</v>
      </c>
      <c r="AS4290" s="2">
        <v>3801.4180315438998</v>
      </c>
      <c r="AT4290" s="2">
        <v>8912.3993513670393</v>
      </c>
      <c r="AU4290" s="2">
        <v>3144.1519288202098</v>
      </c>
      <c r="AV4290" s="2">
        <v>2509.8755724603602</v>
      </c>
      <c r="AW4290" s="2">
        <v>8491.7082339118606</v>
      </c>
      <c r="AX4290" s="2">
        <v>10146.379299607001</v>
      </c>
    </row>
    <row r="4291" spans="1:50" x14ac:dyDescent="0.25">
      <c r="A4291" s="2" t="s">
        <v>28255</v>
      </c>
      <c r="B4291" s="2">
        <v>271.20668625678599</v>
      </c>
      <c r="C4291" s="2">
        <v>7.1589166666666699</v>
      </c>
      <c r="D4291" s="2" t="s">
        <v>51</v>
      </c>
      <c r="E4291" s="2" t="s">
        <v>28256</v>
      </c>
      <c r="F4291" s="2">
        <v>207565</v>
      </c>
      <c r="G4291" s="3" t="str">
        <f>HYPERLINK("https://cloud.oebiotech.com/#/lm/network/207565", "https://cloud.oebiotech.com/#/lm/network/207565")</f>
        <v>https://cloud.oebiotech.com/#/lm/network/207565</v>
      </c>
      <c r="H4291" s="2" t="s">
        <v>28257</v>
      </c>
      <c r="I4291" s="2"/>
      <c r="J4291" s="2"/>
      <c r="K4291" s="2">
        <v>285366</v>
      </c>
      <c r="L4291" s="2"/>
      <c r="M4291" s="2"/>
      <c r="N4291" s="2"/>
      <c r="O4291" s="2"/>
      <c r="P4291" s="2"/>
      <c r="Q4291" s="2"/>
      <c r="R4291" s="2"/>
      <c r="S4291" s="2" t="s">
        <v>28258</v>
      </c>
      <c r="T4291" s="2" t="s">
        <v>28259</v>
      </c>
      <c r="U4291" s="2" t="s">
        <v>56</v>
      </c>
      <c r="V4291" s="2" t="s">
        <v>283</v>
      </c>
      <c r="W4291" s="2" t="s">
        <v>1944</v>
      </c>
      <c r="X4291" s="2" t="s">
        <v>147</v>
      </c>
      <c r="Y4291" s="2">
        <v>42.8</v>
      </c>
      <c r="Z4291" s="2">
        <v>29.7</v>
      </c>
      <c r="AA4291" s="2" t="s">
        <v>156</v>
      </c>
      <c r="AB4291" s="2" t="s">
        <v>28260</v>
      </c>
      <c r="AC4291" s="2">
        <v>3.6236549157311102</v>
      </c>
      <c r="AD4291" s="2"/>
      <c r="AE4291" s="2">
        <v>0.10242940497314899</v>
      </c>
      <c r="AF4291" s="2">
        <v>3677.20482269276</v>
      </c>
      <c r="AG4291" s="2">
        <v>4618.2524022692396</v>
      </c>
      <c r="AH4291" s="4">
        <v>0.79623296918243602</v>
      </c>
      <c r="AI4291" s="4">
        <v>-0.32873748533796598</v>
      </c>
      <c r="AJ4291" s="4" t="s">
        <v>62</v>
      </c>
      <c r="AK4291" s="2">
        <v>0.68463552596413302</v>
      </c>
      <c r="AL4291" s="2">
        <v>0.847969772960664</v>
      </c>
      <c r="AM4291" s="2">
        <v>742.71593434715601</v>
      </c>
      <c r="AN4291" s="2">
        <v>3178.46541317119</v>
      </c>
      <c r="AO4291" s="2">
        <v>10373.526554652501</v>
      </c>
      <c r="AP4291" s="2">
        <v>5743.1389837893103</v>
      </c>
      <c r="AQ4291" s="2">
        <v>1724.03808109184</v>
      </c>
      <c r="AR4291" s="2">
        <v>301.34396910454899</v>
      </c>
      <c r="AS4291" s="2">
        <v>2530.09551100306</v>
      </c>
      <c r="AT4291" s="2">
        <v>4543.6920691876703</v>
      </c>
      <c r="AU4291" s="2">
        <v>3612.4628130999999</v>
      </c>
      <c r="AV4291" s="2">
        <v>12495.637395650299</v>
      </c>
      <c r="AW4291" s="2">
        <v>1943.9722544440001</v>
      </c>
      <c r="AX4291" s="2">
        <v>2583.6543702304298</v>
      </c>
    </row>
    <row r="4292" spans="1:50" x14ac:dyDescent="0.25">
      <c r="A4292" s="2" t="s">
        <v>28261</v>
      </c>
      <c r="B4292" s="2">
        <v>249.185609076856</v>
      </c>
      <c r="C4292" s="2">
        <v>11.270949999999999</v>
      </c>
      <c r="D4292" s="2" t="s">
        <v>51</v>
      </c>
      <c r="E4292" s="2" t="s">
        <v>28262</v>
      </c>
      <c r="F4292" s="2">
        <v>670</v>
      </c>
      <c r="G4292" s="3" t="str">
        <f>HYPERLINK("https://cloud.oebiotech.com/#/lm/network/670", "https://cloud.oebiotech.com/#/lm/network/670")</f>
        <v>https://cloud.oebiotech.com/#/lm/network/670</v>
      </c>
      <c r="H4292" s="2"/>
      <c r="I4292" s="2">
        <v>34836</v>
      </c>
      <c r="J4292" s="2" t="s">
        <v>28263</v>
      </c>
      <c r="K4292" s="2">
        <v>53477453</v>
      </c>
      <c r="L4292" s="2"/>
      <c r="M4292" s="2"/>
      <c r="N4292" s="2"/>
      <c r="O4292" s="2"/>
      <c r="P4292" s="2"/>
      <c r="Q4292" s="2"/>
      <c r="R4292" s="2"/>
      <c r="S4292" s="2" t="s">
        <v>28264</v>
      </c>
      <c r="T4292" s="2" t="s">
        <v>28265</v>
      </c>
      <c r="U4292" s="2" t="s">
        <v>56</v>
      </c>
      <c r="V4292" s="2" t="s">
        <v>145</v>
      </c>
      <c r="W4292" s="2" t="s">
        <v>231</v>
      </c>
      <c r="X4292" s="2" t="s">
        <v>83</v>
      </c>
      <c r="Y4292" s="2">
        <v>52.3</v>
      </c>
      <c r="Z4292" s="2">
        <v>0</v>
      </c>
      <c r="AA4292" s="2" t="s">
        <v>259</v>
      </c>
      <c r="AB4292" s="2" t="s">
        <v>10997</v>
      </c>
      <c r="AC4292" s="2">
        <v>2.83118206812861</v>
      </c>
      <c r="AD4292" s="2"/>
      <c r="AE4292" s="2">
        <v>0.10241535253138399</v>
      </c>
      <c r="AF4292" s="2">
        <v>5260.3079474020897</v>
      </c>
      <c r="AG4292" s="2">
        <v>4492.5492288588302</v>
      </c>
      <c r="AH4292" s="5">
        <v>1.1708960056823401</v>
      </c>
      <c r="AI4292" s="5">
        <v>0.22761294710403501</v>
      </c>
      <c r="AJ4292" s="5" t="s">
        <v>139</v>
      </c>
      <c r="AK4292" s="2">
        <v>0.37164624707933502</v>
      </c>
      <c r="AL4292" s="2">
        <v>0.65414666455875103</v>
      </c>
      <c r="AM4292" s="2">
        <v>4088.29108724138</v>
      </c>
      <c r="AN4292" s="2">
        <v>6049.5495182906798</v>
      </c>
      <c r="AO4292" s="2">
        <v>5353.1742931558401</v>
      </c>
      <c r="AP4292" s="2">
        <v>5586.6047905191499</v>
      </c>
      <c r="AQ4292" s="2">
        <v>7425.9359340230603</v>
      </c>
      <c r="AR4292" s="2">
        <v>3058.2920611824502</v>
      </c>
      <c r="AS4292" s="2">
        <v>4126.0921462951001</v>
      </c>
      <c r="AT4292" s="2">
        <v>5946.1635579714803</v>
      </c>
      <c r="AU4292" s="2">
        <v>2761.8516694744499</v>
      </c>
      <c r="AV4292" s="2">
        <v>3324.9150936862502</v>
      </c>
      <c r="AW4292" s="2">
        <v>5000.5493862154299</v>
      </c>
      <c r="AX4292" s="2">
        <v>5795.7235195102803</v>
      </c>
    </row>
    <row r="4293" spans="1:50" x14ac:dyDescent="0.25">
      <c r="A4293" s="2" t="s">
        <v>28266</v>
      </c>
      <c r="B4293" s="2">
        <v>211.03488503882801</v>
      </c>
      <c r="C4293" s="2">
        <v>4.8125</v>
      </c>
      <c r="D4293" s="2" t="s">
        <v>51</v>
      </c>
      <c r="E4293" s="2" t="s">
        <v>28267</v>
      </c>
      <c r="F4293" s="2">
        <v>211471</v>
      </c>
      <c r="G4293" s="3" t="str">
        <f>HYPERLINK("https://cloud.oebiotech.com/#/lm/network/211471", "https://cloud.oebiotech.com/#/lm/network/211471")</f>
        <v>https://cloud.oebiotech.com/#/lm/network/211471</v>
      </c>
      <c r="H4293" s="2" t="s">
        <v>28268</v>
      </c>
      <c r="I4293" s="2"/>
      <c r="J4293" s="2"/>
      <c r="K4293" s="2">
        <v>18984275</v>
      </c>
      <c r="L4293" s="2"/>
      <c r="M4293" s="2"/>
      <c r="N4293" s="2"/>
      <c r="O4293" s="2"/>
      <c r="P4293" s="2"/>
      <c r="Q4293" s="2"/>
      <c r="R4293" s="2"/>
      <c r="S4293" s="2" t="s">
        <v>28269</v>
      </c>
      <c r="T4293" s="2" t="s">
        <v>28270</v>
      </c>
      <c r="U4293" s="2" t="s">
        <v>103</v>
      </c>
      <c r="V4293" s="2" t="s">
        <v>104</v>
      </c>
      <c r="W4293" s="2" t="s">
        <v>105</v>
      </c>
      <c r="X4293" s="2" t="s">
        <v>147</v>
      </c>
      <c r="Y4293" s="2">
        <v>37.9</v>
      </c>
      <c r="Z4293" s="2">
        <v>1.18</v>
      </c>
      <c r="AA4293" s="2" t="s">
        <v>122</v>
      </c>
      <c r="AB4293" s="2" t="s">
        <v>20575</v>
      </c>
      <c r="AC4293" s="2">
        <v>-4.3695147513263999</v>
      </c>
      <c r="AD4293" s="2"/>
      <c r="AE4293" s="2">
        <v>0.102394511763974</v>
      </c>
      <c r="AF4293" s="2">
        <v>1266.37637267746</v>
      </c>
      <c r="AG4293" s="2">
        <v>726.61456071021098</v>
      </c>
      <c r="AH4293" s="5">
        <v>1.7428447503717499</v>
      </c>
      <c r="AI4293" s="5">
        <v>0.80144406238140298</v>
      </c>
      <c r="AJ4293" s="5" t="s">
        <v>139</v>
      </c>
      <c r="AK4293" s="2">
        <v>0.27240102452365</v>
      </c>
      <c r="AL4293" s="2">
        <v>0.59187658046137204</v>
      </c>
      <c r="AM4293" s="2">
        <v>1411.2952425050901</v>
      </c>
      <c r="AN4293" s="2">
        <v>620.945873716032</v>
      </c>
      <c r="AO4293" s="2">
        <v>399.81011519914398</v>
      </c>
      <c r="AP4293" s="2">
        <v>1245.0101480261701</v>
      </c>
      <c r="AQ4293" s="2">
        <v>3137.4828836056699</v>
      </c>
      <c r="AR4293" s="2">
        <v>783.71397301267803</v>
      </c>
      <c r="AS4293" s="2">
        <v>1187.1837261325099</v>
      </c>
      <c r="AT4293" s="2">
        <v>1615.89482086669</v>
      </c>
      <c r="AU4293" s="2">
        <v>446.74910141597201</v>
      </c>
      <c r="AV4293" s="2">
        <v>123.370519746355</v>
      </c>
      <c r="AW4293" s="2">
        <v>518.72843758860597</v>
      </c>
      <c r="AX4293" s="2">
        <v>467.76075851113001</v>
      </c>
    </row>
    <row r="4294" spans="1:50" x14ac:dyDescent="0.25">
      <c r="A4294" s="2" t="s">
        <v>28271</v>
      </c>
      <c r="B4294" s="2">
        <v>328.24922759041999</v>
      </c>
      <c r="C4294" s="2">
        <v>7.13835</v>
      </c>
      <c r="D4294" s="2" t="s">
        <v>51</v>
      </c>
      <c r="E4294" s="2" t="s">
        <v>28272</v>
      </c>
      <c r="F4294" s="2">
        <v>197708</v>
      </c>
      <c r="G4294" s="3" t="str">
        <f>HYPERLINK("https://cloud.oebiotech.com/#/lm/network/197708", "https://cloud.oebiotech.com/#/lm/network/197708")</f>
        <v>https://cloud.oebiotech.com/#/lm/network/197708</v>
      </c>
      <c r="H4294" s="2" t="s">
        <v>28273</v>
      </c>
      <c r="I4294" s="2"/>
      <c r="J4294" s="2"/>
      <c r="K4294" s="2"/>
      <c r="L4294" s="2"/>
      <c r="M4294" s="2"/>
      <c r="N4294" s="2"/>
      <c r="O4294" s="2"/>
      <c r="P4294" s="2"/>
      <c r="Q4294" s="2"/>
      <c r="R4294" s="2"/>
      <c r="S4294" s="2" t="s">
        <v>28274</v>
      </c>
      <c r="T4294" s="2" t="s">
        <v>28275</v>
      </c>
      <c r="U4294" s="2" t="s">
        <v>56</v>
      </c>
      <c r="V4294" s="2" t="s">
        <v>145</v>
      </c>
      <c r="W4294" s="2" t="s">
        <v>1188</v>
      </c>
      <c r="X4294" s="2" t="s">
        <v>147</v>
      </c>
      <c r="Y4294" s="2">
        <v>45.6</v>
      </c>
      <c r="Z4294" s="2">
        <v>35.6</v>
      </c>
      <c r="AA4294" s="2" t="s">
        <v>259</v>
      </c>
      <c r="AB4294" s="2" t="s">
        <v>18830</v>
      </c>
      <c r="AC4294" s="2">
        <v>3.03329104700068</v>
      </c>
      <c r="AD4294" s="2"/>
      <c r="AE4294" s="2">
        <v>0.10233712990593299</v>
      </c>
      <c r="AF4294" s="2">
        <v>20541.694869080999</v>
      </c>
      <c r="AG4294" s="2">
        <v>16253.335609420599</v>
      </c>
      <c r="AH4294" s="5">
        <v>1.2638448723826701</v>
      </c>
      <c r="AI4294" s="5">
        <v>0.33781939422809298</v>
      </c>
      <c r="AJ4294" s="5" t="s">
        <v>139</v>
      </c>
      <c r="AK4294" s="2">
        <v>0.54626757267737802</v>
      </c>
      <c r="AL4294" s="2">
        <v>0.77012905997405201</v>
      </c>
      <c r="AM4294" s="2">
        <v>12002.948528356699</v>
      </c>
      <c r="AN4294" s="2">
        <v>11818.756814099301</v>
      </c>
      <c r="AO4294" s="2">
        <v>14572.707135258899</v>
      </c>
      <c r="AP4294" s="2">
        <v>27070.592940784201</v>
      </c>
      <c r="AQ4294" s="2">
        <v>32908.185511047202</v>
      </c>
      <c r="AR4294" s="2">
        <v>24876.978284939702</v>
      </c>
      <c r="AS4294" s="2">
        <v>8641.0777884488598</v>
      </c>
      <c r="AT4294" s="2">
        <v>11642.214483518101</v>
      </c>
      <c r="AU4294" s="2">
        <v>12013.870238175799</v>
      </c>
      <c r="AV4294" s="2">
        <v>5557.2027582856099</v>
      </c>
      <c r="AW4294" s="2">
        <v>44582.980590776897</v>
      </c>
      <c r="AX4294" s="2">
        <v>15082.6677973186</v>
      </c>
    </row>
    <row r="4295" spans="1:50" x14ac:dyDescent="0.25">
      <c r="A4295" s="2" t="s">
        <v>28276</v>
      </c>
      <c r="B4295" s="2">
        <v>331.003594386028</v>
      </c>
      <c r="C4295" s="2">
        <v>1.4254</v>
      </c>
      <c r="D4295" s="2" t="s">
        <v>51</v>
      </c>
      <c r="E4295" s="2" t="s">
        <v>28277</v>
      </c>
      <c r="F4295" s="2">
        <v>202573</v>
      </c>
      <c r="G4295" s="3" t="str">
        <f>HYPERLINK("https://cloud.oebiotech.com/#/lm/network/202573", "https://cloud.oebiotech.com/#/lm/network/202573")</f>
        <v>https://cloud.oebiotech.com/#/lm/network/202573</v>
      </c>
      <c r="H4295" s="2" t="s">
        <v>28278</v>
      </c>
      <c r="I4295" s="2"/>
      <c r="J4295" s="2"/>
      <c r="K4295" s="2"/>
      <c r="L4295" s="2"/>
      <c r="M4295" s="2"/>
      <c r="N4295" s="2"/>
      <c r="O4295" s="2"/>
      <c r="P4295" s="2"/>
      <c r="Q4295" s="2"/>
      <c r="R4295" s="2"/>
      <c r="S4295" s="2" t="s">
        <v>28279</v>
      </c>
      <c r="T4295" s="2" t="s">
        <v>28280</v>
      </c>
      <c r="U4295" s="2" t="s">
        <v>266</v>
      </c>
      <c r="V4295" s="2" t="s">
        <v>3926</v>
      </c>
      <c r="W4295" s="2" t="s">
        <v>4115</v>
      </c>
      <c r="X4295" s="2" t="s">
        <v>147</v>
      </c>
      <c r="Y4295" s="2">
        <v>37.6</v>
      </c>
      <c r="Z4295" s="2">
        <v>0</v>
      </c>
      <c r="AA4295" s="2" t="s">
        <v>512</v>
      </c>
      <c r="AB4295" s="2" t="s">
        <v>28281</v>
      </c>
      <c r="AC4295" s="2">
        <v>-4.6043675776672002</v>
      </c>
      <c r="AD4295" s="2"/>
      <c r="AE4295" s="2">
        <v>0.10231834568671901</v>
      </c>
      <c r="AF4295" s="2">
        <v>3168.9421637287301</v>
      </c>
      <c r="AG4295" s="2">
        <v>3698.12071920688</v>
      </c>
      <c r="AH4295" s="4">
        <v>0.85690608942813695</v>
      </c>
      <c r="AI4295" s="4">
        <v>-0.22279099059635801</v>
      </c>
      <c r="AJ4295" s="4" t="s">
        <v>62</v>
      </c>
      <c r="AK4295" s="2">
        <v>0.32162762387473198</v>
      </c>
      <c r="AL4295" s="2">
        <v>0.62916085764226803</v>
      </c>
      <c r="AM4295" s="2">
        <v>2678.8652670921501</v>
      </c>
      <c r="AN4295" s="2">
        <v>3480.7750176701802</v>
      </c>
      <c r="AO4295" s="2">
        <v>3171.7706931212001</v>
      </c>
      <c r="AP4295" s="2">
        <v>3080.4271577219001</v>
      </c>
      <c r="AQ4295" s="2">
        <v>4412.2455958816599</v>
      </c>
      <c r="AR4295" s="2">
        <v>2189.5692508853099</v>
      </c>
      <c r="AS4295" s="2">
        <v>2801.9682450793798</v>
      </c>
      <c r="AT4295" s="2">
        <v>4076.9135358838698</v>
      </c>
      <c r="AU4295" s="2">
        <v>2983.22794036492</v>
      </c>
      <c r="AV4295" s="2">
        <v>3203.6375337377899</v>
      </c>
      <c r="AW4295" s="2">
        <v>5478.9163774390599</v>
      </c>
      <c r="AX4295" s="2">
        <v>3644.0606827362399</v>
      </c>
    </row>
    <row r="4296" spans="1:50" x14ac:dyDescent="0.25">
      <c r="A4296" s="2" t="s">
        <v>28282</v>
      </c>
      <c r="B4296" s="2">
        <v>481.25693743216601</v>
      </c>
      <c r="C4296" s="2">
        <v>10.82375</v>
      </c>
      <c r="D4296" s="2" t="s">
        <v>51</v>
      </c>
      <c r="E4296" s="2" t="s">
        <v>28283</v>
      </c>
      <c r="F4296" s="2">
        <v>23675</v>
      </c>
      <c r="G4296" s="3" t="str">
        <f>HYPERLINK("https://cloud.oebiotech.com/#/lm/network/23675", "https://cloud.oebiotech.com/#/lm/network/23675")</f>
        <v>https://cloud.oebiotech.com/#/lm/network/23675</v>
      </c>
      <c r="H4296" s="2"/>
      <c r="I4296" s="2">
        <v>80001</v>
      </c>
      <c r="J4296" s="2" t="s">
        <v>28284</v>
      </c>
      <c r="K4296" s="2">
        <v>52927436</v>
      </c>
      <c r="L4296" s="2"/>
      <c r="M4296" s="2"/>
      <c r="N4296" s="2"/>
      <c r="O4296" s="2">
        <v>138795</v>
      </c>
      <c r="P4296" s="2"/>
      <c r="Q4296" s="2"/>
      <c r="R4296" s="2"/>
      <c r="S4296" s="2" t="s">
        <v>28285</v>
      </c>
      <c r="T4296" s="2" t="s">
        <v>28286</v>
      </c>
      <c r="U4296" s="2" t="s">
        <v>56</v>
      </c>
      <c r="V4296" s="2" t="s">
        <v>57</v>
      </c>
      <c r="W4296" s="2" t="s">
        <v>570</v>
      </c>
      <c r="X4296" s="2" t="s">
        <v>83</v>
      </c>
      <c r="Y4296" s="2">
        <v>38.799999999999997</v>
      </c>
      <c r="Z4296" s="2">
        <v>0</v>
      </c>
      <c r="AA4296" s="2" t="s">
        <v>163</v>
      </c>
      <c r="AB4296" s="2" t="s">
        <v>28287</v>
      </c>
      <c r="AC4296" s="2">
        <v>-0.53025030910926296</v>
      </c>
      <c r="AD4296" s="2"/>
      <c r="AE4296" s="2">
        <v>0.10229971668561701</v>
      </c>
      <c r="AF4296" s="2">
        <v>3478.6357758465801</v>
      </c>
      <c r="AG4296" s="2">
        <v>4283.7478749035699</v>
      </c>
      <c r="AH4296" s="4">
        <v>0.81205427523553497</v>
      </c>
      <c r="AI4296" s="4">
        <v>-0.30035193890999301</v>
      </c>
      <c r="AJ4296" s="4" t="s">
        <v>62</v>
      </c>
      <c r="AK4296" s="2">
        <v>0.452249772009229</v>
      </c>
      <c r="AL4296" s="2">
        <v>0.70528155934299797</v>
      </c>
      <c r="AM4296" s="2">
        <v>5741.5532475924601</v>
      </c>
      <c r="AN4296" s="2">
        <v>3577.6965849969702</v>
      </c>
      <c r="AO4296" s="2">
        <v>2472.10704212777</v>
      </c>
      <c r="AP4296" s="2">
        <v>3436.44263161249</v>
      </c>
      <c r="AQ4296" s="2">
        <v>3463.4616990877698</v>
      </c>
      <c r="AR4296" s="2">
        <v>2180.5534496620198</v>
      </c>
      <c r="AS4296" s="2">
        <v>1997.4457655679</v>
      </c>
      <c r="AT4296" s="2">
        <v>2554.5103964243299</v>
      </c>
      <c r="AU4296" s="2">
        <v>2927.3243906111002</v>
      </c>
      <c r="AV4296" s="2">
        <v>6715.4714835762998</v>
      </c>
      <c r="AW4296" s="2">
        <v>4400.4229171392099</v>
      </c>
      <c r="AX4296" s="2">
        <v>7107.3122961025701</v>
      </c>
    </row>
    <row r="4297" spans="1:50" x14ac:dyDescent="0.25">
      <c r="A4297" s="2" t="s">
        <v>28288</v>
      </c>
      <c r="B4297" s="2">
        <v>201.08757426126701</v>
      </c>
      <c r="C4297" s="2">
        <v>0.78368333333333295</v>
      </c>
      <c r="D4297" s="2" t="s">
        <v>51</v>
      </c>
      <c r="E4297" s="2" t="s">
        <v>28289</v>
      </c>
      <c r="F4297" s="2">
        <v>48164</v>
      </c>
      <c r="G4297" s="3" t="str">
        <f>HYPERLINK("https://cloud.oebiotech.com/#/lm/network/48164", "https://cloud.oebiotech.com/#/lm/network/48164")</f>
        <v>https://cloud.oebiotech.com/#/lm/network/48164</v>
      </c>
      <c r="H4297" s="2" t="s">
        <v>28290</v>
      </c>
      <c r="I4297" s="2">
        <v>23969</v>
      </c>
      <c r="J4297" s="2"/>
      <c r="K4297" s="2">
        <v>6992506</v>
      </c>
      <c r="L4297" s="2"/>
      <c r="M4297" s="2"/>
      <c r="N4297" s="2"/>
      <c r="O4297" s="2">
        <v>73849</v>
      </c>
      <c r="P4297" s="2"/>
      <c r="Q4297" s="2"/>
      <c r="R4297" s="2" t="s">
        <v>28291</v>
      </c>
      <c r="S4297" s="2" t="s">
        <v>28292</v>
      </c>
      <c r="T4297" s="2" t="s">
        <v>28293</v>
      </c>
      <c r="U4297" s="2" t="s">
        <v>103</v>
      </c>
      <c r="V4297" s="2" t="s">
        <v>104</v>
      </c>
      <c r="W4297" s="2" t="s">
        <v>105</v>
      </c>
      <c r="X4297" s="2" t="s">
        <v>83</v>
      </c>
      <c r="Y4297" s="2">
        <v>56.1</v>
      </c>
      <c r="Z4297" s="2">
        <v>14</v>
      </c>
      <c r="AA4297" s="2" t="s">
        <v>156</v>
      </c>
      <c r="AB4297" s="2" t="s">
        <v>26530</v>
      </c>
      <c r="AC4297" s="2">
        <v>2.7096801827575701</v>
      </c>
      <c r="AD4297" s="2"/>
      <c r="AE4297" s="2">
        <v>0.102253325480198</v>
      </c>
      <c r="AF4297" s="2">
        <v>7375.20299551058</v>
      </c>
      <c r="AG4297" s="2">
        <v>7608.9278117407002</v>
      </c>
      <c r="AH4297" s="4">
        <v>0.96928281855040399</v>
      </c>
      <c r="AI4297" s="4">
        <v>-4.5010416462772901E-2</v>
      </c>
      <c r="AJ4297" s="4" t="s">
        <v>62</v>
      </c>
      <c r="AK4297" s="2">
        <v>0.95924990753196004</v>
      </c>
      <c r="AL4297" s="2">
        <v>0.98297517973244497</v>
      </c>
      <c r="AM4297" s="2">
        <v>18258.458031688999</v>
      </c>
      <c r="AN4297" s="2">
        <v>4833.7296473536999</v>
      </c>
      <c r="AO4297" s="2">
        <v>4806.8184232028298</v>
      </c>
      <c r="AP4297" s="2">
        <v>4126.8708519539996</v>
      </c>
      <c r="AQ4297" s="2">
        <v>5388.8657656966398</v>
      </c>
      <c r="AR4297" s="2">
        <v>6836.4752531673403</v>
      </c>
      <c r="AS4297" s="2">
        <v>499.91593284624099</v>
      </c>
      <c r="AT4297" s="2">
        <v>4831.7170190470097</v>
      </c>
      <c r="AU4297" s="2">
        <v>26349.057444353599</v>
      </c>
      <c r="AV4297" s="2">
        <v>7819.2993183463796</v>
      </c>
      <c r="AW4297" s="2">
        <v>3416.5331833658502</v>
      </c>
      <c r="AX4297" s="2">
        <v>2737.0439724851399</v>
      </c>
    </row>
    <row r="4298" spans="1:50" x14ac:dyDescent="0.25">
      <c r="A4298" s="2" t="s">
        <v>28294</v>
      </c>
      <c r="B4298" s="2">
        <v>409.36889032434198</v>
      </c>
      <c r="C4298" s="2">
        <v>14.465633333333299</v>
      </c>
      <c r="D4298" s="2" t="s">
        <v>51</v>
      </c>
      <c r="E4298" s="2" t="s">
        <v>28295</v>
      </c>
      <c r="F4298" s="2">
        <v>59056</v>
      </c>
      <c r="G4298" s="3" t="str">
        <f>HYPERLINK("https://cloud.oebiotech.com/#/lm/network/59056", "https://cloud.oebiotech.com/#/lm/network/59056")</f>
        <v>https://cloud.oebiotech.com/#/lm/network/59056</v>
      </c>
      <c r="H4298" s="2" t="s">
        <v>28296</v>
      </c>
      <c r="I4298" s="2">
        <v>90490</v>
      </c>
      <c r="J4298" s="2"/>
      <c r="K4298" s="2">
        <v>57418214</v>
      </c>
      <c r="L4298" s="2"/>
      <c r="M4298" s="2"/>
      <c r="N4298" s="2"/>
      <c r="O4298" s="2"/>
      <c r="P4298" s="2"/>
      <c r="Q4298" s="2"/>
      <c r="R4298" s="2" t="s">
        <v>28297</v>
      </c>
      <c r="S4298" s="2" t="s">
        <v>28298</v>
      </c>
      <c r="T4298" s="2" t="s">
        <v>28299</v>
      </c>
      <c r="U4298" s="2" t="s">
        <v>56</v>
      </c>
      <c r="V4298" s="2" t="s">
        <v>177</v>
      </c>
      <c r="W4298" s="2" t="s">
        <v>959</v>
      </c>
      <c r="X4298" s="2" t="s">
        <v>147</v>
      </c>
      <c r="Y4298" s="2">
        <v>38.700000000000003</v>
      </c>
      <c r="Z4298" s="2">
        <v>0</v>
      </c>
      <c r="AA4298" s="2" t="s">
        <v>218</v>
      </c>
      <c r="AB4298" s="2" t="s">
        <v>28300</v>
      </c>
      <c r="AC4298" s="2">
        <v>0.47011329051856399</v>
      </c>
      <c r="AD4298" s="2"/>
      <c r="AE4298" s="2">
        <v>0.102242640926272</v>
      </c>
      <c r="AF4298" s="2">
        <v>12528.870211582</v>
      </c>
      <c r="AG4298" s="2">
        <v>14323.7705122025</v>
      </c>
      <c r="AH4298" s="4">
        <v>0.87469079464157296</v>
      </c>
      <c r="AI4298" s="4">
        <v>-0.19315498408493201</v>
      </c>
      <c r="AJ4298" s="4" t="s">
        <v>62</v>
      </c>
      <c r="AK4298" s="2">
        <v>0.73526489475645596</v>
      </c>
      <c r="AL4298" s="2">
        <v>0.87826542457706702</v>
      </c>
      <c r="AM4298" s="2">
        <v>2790.5684964178699</v>
      </c>
      <c r="AN4298" s="2">
        <v>10204.849102967901</v>
      </c>
      <c r="AO4298" s="2">
        <v>30729.509485668899</v>
      </c>
      <c r="AP4298" s="2">
        <v>15025.545800788101</v>
      </c>
      <c r="AQ4298" s="2">
        <v>8243.6751645560398</v>
      </c>
      <c r="AR4298" s="2">
        <v>8179.0732190929002</v>
      </c>
      <c r="AS4298" s="2">
        <v>7173.4566357220601</v>
      </c>
      <c r="AT4298" s="2">
        <v>19669.841633406399</v>
      </c>
      <c r="AU4298" s="2">
        <v>13273.277048714501</v>
      </c>
      <c r="AV4298" s="2">
        <v>6319.3123001722697</v>
      </c>
      <c r="AW4298" s="2">
        <v>11989.922351753799</v>
      </c>
      <c r="AX4298" s="2">
        <v>27516.8131034461</v>
      </c>
    </row>
    <row r="4299" spans="1:50" x14ac:dyDescent="0.25">
      <c r="A4299" s="2" t="s">
        <v>28301</v>
      </c>
      <c r="B4299" s="2">
        <v>271.02123433506102</v>
      </c>
      <c r="C4299" s="2">
        <v>5.0147000000000004</v>
      </c>
      <c r="D4299" s="2" t="s">
        <v>51</v>
      </c>
      <c r="E4299" s="2" t="s">
        <v>28302</v>
      </c>
      <c r="F4299" s="2">
        <v>208666</v>
      </c>
      <c r="G4299" s="3" t="str">
        <f>HYPERLINK("https://cloud.oebiotech.com/#/lm/network/208666", "https://cloud.oebiotech.com/#/lm/network/208666")</f>
        <v>https://cloud.oebiotech.com/#/lm/network/208666</v>
      </c>
      <c r="H4299" s="2" t="s">
        <v>28303</v>
      </c>
      <c r="I4299" s="2"/>
      <c r="J4299" s="2"/>
      <c r="K4299" s="2"/>
      <c r="L4299" s="2"/>
      <c r="M4299" s="2"/>
      <c r="N4299" s="2"/>
      <c r="O4299" s="2"/>
      <c r="P4299" s="2"/>
      <c r="Q4299" s="2"/>
      <c r="R4299" s="2"/>
      <c r="S4299" s="2" t="s">
        <v>28304</v>
      </c>
      <c r="T4299" s="2" t="s">
        <v>28305</v>
      </c>
      <c r="U4299" s="2" t="s">
        <v>610</v>
      </c>
      <c r="V4299" s="2" t="s">
        <v>611</v>
      </c>
      <c r="W4299" s="2" t="s">
        <v>1122</v>
      </c>
      <c r="X4299" s="2" t="s">
        <v>147</v>
      </c>
      <c r="Y4299" s="2">
        <v>40.200000000000003</v>
      </c>
      <c r="Z4299" s="2">
        <v>12</v>
      </c>
      <c r="AA4299" s="2" t="s">
        <v>218</v>
      </c>
      <c r="AB4299" s="2" t="s">
        <v>28306</v>
      </c>
      <c r="AC4299" s="2">
        <v>1.9712440635389801</v>
      </c>
      <c r="AD4299" s="2"/>
      <c r="AE4299" s="2">
        <v>0.10213600979174001</v>
      </c>
      <c r="AF4299" s="2">
        <v>5368.8509868641904</v>
      </c>
      <c r="AG4299" s="2">
        <v>5718.5335114377904</v>
      </c>
      <c r="AH4299" s="4">
        <v>0.93885101418498396</v>
      </c>
      <c r="AI4299" s="4">
        <v>-9.1031859425814196E-2</v>
      </c>
      <c r="AJ4299" s="4" t="s">
        <v>62</v>
      </c>
      <c r="AK4299" s="2">
        <v>0.54665431692616595</v>
      </c>
      <c r="AL4299" s="2">
        <v>0.77012905997405201</v>
      </c>
      <c r="AM4299" s="2">
        <v>4091.1728850622299</v>
      </c>
      <c r="AN4299" s="2">
        <v>5976.8923729034404</v>
      </c>
      <c r="AO4299" s="2">
        <v>5666.32922421069</v>
      </c>
      <c r="AP4299" s="2">
        <v>5476.6638337721397</v>
      </c>
      <c r="AQ4299" s="2">
        <v>5498.5101382634903</v>
      </c>
      <c r="AR4299" s="2">
        <v>5503.53746697315</v>
      </c>
      <c r="AS4299" s="2">
        <v>5588.9593656205898</v>
      </c>
      <c r="AT4299" s="2">
        <v>5061.2074119572198</v>
      </c>
      <c r="AU4299" s="2">
        <v>4225.9427760234903</v>
      </c>
      <c r="AV4299" s="2">
        <v>7861.8480431402604</v>
      </c>
      <c r="AW4299" s="2">
        <v>5844.74076541049</v>
      </c>
      <c r="AX4299" s="2">
        <v>5728.5027064747201</v>
      </c>
    </row>
    <row r="4300" spans="1:50" x14ac:dyDescent="0.25">
      <c r="A4300" s="2" t="s">
        <v>28307</v>
      </c>
      <c r="B4300" s="2">
        <v>311.12487090023001</v>
      </c>
      <c r="C4300" s="2">
        <v>2.3972833333333301</v>
      </c>
      <c r="D4300" s="2" t="s">
        <v>51</v>
      </c>
      <c r="E4300" s="2" t="s">
        <v>28308</v>
      </c>
      <c r="F4300" s="2">
        <v>51509</v>
      </c>
      <c r="G4300" s="3" t="str">
        <f>HYPERLINK("https://cloud.oebiotech.com/#/lm/network/51509", "https://cloud.oebiotech.com/#/lm/network/51509")</f>
        <v>https://cloud.oebiotech.com/#/lm/network/51509</v>
      </c>
      <c r="H4300" s="2" t="s">
        <v>28309</v>
      </c>
      <c r="I4300" s="2">
        <v>62426</v>
      </c>
      <c r="J4300" s="2"/>
      <c r="K4300" s="2">
        <v>94340</v>
      </c>
      <c r="L4300" s="2" t="s">
        <v>26286</v>
      </c>
      <c r="M4300" s="2" t="s">
        <v>26287</v>
      </c>
      <c r="N4300" s="2" t="s">
        <v>26288</v>
      </c>
      <c r="O4300" s="2">
        <v>82969</v>
      </c>
      <c r="P4300" s="2"/>
      <c r="Q4300" s="2"/>
      <c r="R4300" s="2" t="s">
        <v>28310</v>
      </c>
      <c r="S4300" s="2" t="s">
        <v>28311</v>
      </c>
      <c r="T4300" s="2" t="s">
        <v>28312</v>
      </c>
      <c r="U4300" s="2" t="s">
        <v>103</v>
      </c>
      <c r="V4300" s="2" t="s">
        <v>104</v>
      </c>
      <c r="W4300" s="2" t="s">
        <v>105</v>
      </c>
      <c r="X4300" s="2" t="s">
        <v>69</v>
      </c>
      <c r="Y4300" s="2">
        <v>58.3</v>
      </c>
      <c r="Z4300" s="2">
        <v>87.4</v>
      </c>
      <c r="AA4300" s="2" t="s">
        <v>259</v>
      </c>
      <c r="AB4300" s="2" t="s">
        <v>28313</v>
      </c>
      <c r="AC4300" s="2">
        <v>3.5733798707135098</v>
      </c>
      <c r="AD4300" s="2"/>
      <c r="AE4300" s="2">
        <v>0.102077841558395</v>
      </c>
      <c r="AF4300" s="2">
        <v>7992.2287612171003</v>
      </c>
      <c r="AG4300" s="2">
        <v>8726.1071052395291</v>
      </c>
      <c r="AH4300" s="4">
        <v>0.91589854041766505</v>
      </c>
      <c r="AI4300" s="4">
        <v>-0.126740303708612</v>
      </c>
      <c r="AJ4300" s="4" t="s">
        <v>62</v>
      </c>
      <c r="AK4300" s="2">
        <v>0.803783971707422</v>
      </c>
      <c r="AL4300" s="2">
        <v>0.91191772215306</v>
      </c>
      <c r="AM4300" s="2">
        <v>5478.6393423357504</v>
      </c>
      <c r="AN4300" s="2">
        <v>2246.6651644225699</v>
      </c>
      <c r="AO4300" s="2">
        <v>8011.5972306969197</v>
      </c>
      <c r="AP4300" s="2">
        <v>12648.536779236299</v>
      </c>
      <c r="AQ4300" s="2">
        <v>11248.781876327899</v>
      </c>
      <c r="AR4300" s="2">
        <v>8319.1521742831901</v>
      </c>
      <c r="AS4300" s="2">
        <v>8506.9516319710092</v>
      </c>
      <c r="AT4300" s="2">
        <v>12278.005964038501</v>
      </c>
      <c r="AU4300" s="2">
        <v>4176.49700284336</v>
      </c>
      <c r="AV4300" s="2">
        <v>2421.0551165413199</v>
      </c>
      <c r="AW4300" s="2">
        <v>6360.3975253538902</v>
      </c>
      <c r="AX4300" s="2">
        <v>18613.7353906891</v>
      </c>
    </row>
    <row r="4301" spans="1:50" x14ac:dyDescent="0.25">
      <c r="A4301" s="2" t="s">
        <v>28314</v>
      </c>
      <c r="B4301" s="2">
        <v>503.33648644854702</v>
      </c>
      <c r="C4301" s="2">
        <v>11.4845333333333</v>
      </c>
      <c r="D4301" s="2" t="s">
        <v>51</v>
      </c>
      <c r="E4301" s="2" t="s">
        <v>28315</v>
      </c>
      <c r="F4301" s="2">
        <v>59044</v>
      </c>
      <c r="G4301" s="3" t="str">
        <f>HYPERLINK("https://cloud.oebiotech.com/#/lm/network/59044", "https://cloud.oebiotech.com/#/lm/network/59044")</f>
        <v>https://cloud.oebiotech.com/#/lm/network/59044</v>
      </c>
      <c r="H4301" s="2" t="s">
        <v>28316</v>
      </c>
      <c r="I4301" s="2">
        <v>90478</v>
      </c>
      <c r="J4301" s="2"/>
      <c r="K4301" s="2">
        <v>73816064</v>
      </c>
      <c r="L4301" s="2"/>
      <c r="M4301" s="2"/>
      <c r="N4301" s="2"/>
      <c r="O4301" s="2"/>
      <c r="P4301" s="2"/>
      <c r="Q4301" s="2"/>
      <c r="R4301" s="2"/>
      <c r="S4301" s="2" t="s">
        <v>28317</v>
      </c>
      <c r="T4301" s="2" t="s">
        <v>28318</v>
      </c>
      <c r="U4301" s="2" t="s">
        <v>56</v>
      </c>
      <c r="V4301" s="2" t="s">
        <v>177</v>
      </c>
      <c r="W4301" s="2" t="s">
        <v>3270</v>
      </c>
      <c r="X4301" s="2" t="s">
        <v>83</v>
      </c>
      <c r="Y4301" s="2">
        <v>47.1</v>
      </c>
      <c r="Z4301" s="2">
        <v>0</v>
      </c>
      <c r="AA4301" s="2" t="s">
        <v>218</v>
      </c>
      <c r="AB4301" s="2" t="s">
        <v>28319</v>
      </c>
      <c r="AC4301" s="2">
        <v>-2.89386927225905</v>
      </c>
      <c r="AD4301" s="2"/>
      <c r="AE4301" s="2">
        <v>0.101928500162507</v>
      </c>
      <c r="AF4301" s="2">
        <v>2763.0716222410301</v>
      </c>
      <c r="AG4301" s="2">
        <v>2060.24974135307</v>
      </c>
      <c r="AH4301" s="5">
        <v>1.3411343133703699</v>
      </c>
      <c r="AI4301" s="5">
        <v>0.42345372906186801</v>
      </c>
      <c r="AJ4301" s="5" t="s">
        <v>139</v>
      </c>
      <c r="AK4301" s="2">
        <v>0.33498366571313498</v>
      </c>
      <c r="AL4301" s="2">
        <v>0.63560179716806797</v>
      </c>
      <c r="AM4301" s="2">
        <v>2360.8185716562002</v>
      </c>
      <c r="AN4301" s="2">
        <v>2660.4090275040899</v>
      </c>
      <c r="AO4301" s="2">
        <v>2387.8455960596102</v>
      </c>
      <c r="AP4301" s="2">
        <v>4173.21664990098</v>
      </c>
      <c r="AQ4301" s="2">
        <v>3345.7393042979302</v>
      </c>
      <c r="AR4301" s="2">
        <v>1650.4005840273701</v>
      </c>
      <c r="AS4301" s="2">
        <v>1477.77677559262</v>
      </c>
      <c r="AT4301" s="2">
        <v>3621.0337643581001</v>
      </c>
      <c r="AU4301" s="2">
        <v>736.69524446084597</v>
      </c>
      <c r="AV4301" s="2">
        <v>250.17902341952299</v>
      </c>
      <c r="AW4301" s="2">
        <v>2669.8918237666699</v>
      </c>
      <c r="AX4301" s="2">
        <v>3605.9218165206798</v>
      </c>
    </row>
    <row r="4302" spans="1:50" x14ac:dyDescent="0.25">
      <c r="A4302" s="2" t="s">
        <v>28320</v>
      </c>
      <c r="B4302" s="2">
        <v>348.19307273454598</v>
      </c>
      <c r="C4302" s="2">
        <v>6.8908500000000004</v>
      </c>
      <c r="D4302" s="2" t="s">
        <v>51</v>
      </c>
      <c r="E4302" s="2" t="s">
        <v>28321</v>
      </c>
      <c r="F4302" s="2">
        <v>201627</v>
      </c>
      <c r="G4302" s="3" t="str">
        <f>HYPERLINK("https://cloud.oebiotech.com/#/lm/network/201627", "https://cloud.oebiotech.com/#/lm/network/201627")</f>
        <v>https://cloud.oebiotech.com/#/lm/network/201627</v>
      </c>
      <c r="H4302" s="2" t="s">
        <v>28322</v>
      </c>
      <c r="I4302" s="2"/>
      <c r="J4302" s="2"/>
      <c r="K4302" s="2">
        <v>486449</v>
      </c>
      <c r="L4302" s="2"/>
      <c r="M4302" s="2"/>
      <c r="N4302" s="2"/>
      <c r="O4302" s="2"/>
      <c r="P4302" s="2"/>
      <c r="Q4302" s="2"/>
      <c r="R4302" s="2"/>
      <c r="S4302" s="2" t="s">
        <v>28323</v>
      </c>
      <c r="T4302" s="2" t="s">
        <v>28324</v>
      </c>
      <c r="U4302" s="2" t="s">
        <v>610</v>
      </c>
      <c r="V4302" s="2" t="s">
        <v>611</v>
      </c>
      <c r="W4302" s="2" t="s">
        <v>9396</v>
      </c>
      <c r="X4302" s="2" t="s">
        <v>147</v>
      </c>
      <c r="Y4302" s="2">
        <v>36.700000000000003</v>
      </c>
      <c r="Z4302" s="2">
        <v>0</v>
      </c>
      <c r="AA4302" s="2" t="s">
        <v>2589</v>
      </c>
      <c r="AB4302" s="2" t="s">
        <v>28325</v>
      </c>
      <c r="AC4302" s="2">
        <v>-0.14357164686590301</v>
      </c>
      <c r="AD4302" s="2"/>
      <c r="AE4302" s="2">
        <v>0.10190802157996499</v>
      </c>
      <c r="AF4302" s="2">
        <v>5657.7707660023398</v>
      </c>
      <c r="AG4302" s="2">
        <v>6520.4242627991298</v>
      </c>
      <c r="AH4302" s="4">
        <v>0.86769979037737299</v>
      </c>
      <c r="AI4302" s="4">
        <v>-0.20473211425645901</v>
      </c>
      <c r="AJ4302" s="4" t="s">
        <v>62</v>
      </c>
      <c r="AK4302" s="2">
        <v>0.83577923738242099</v>
      </c>
      <c r="AL4302" s="2">
        <v>0.92782747425943102</v>
      </c>
      <c r="AM4302" s="2">
        <v>8.559877937157E-6</v>
      </c>
      <c r="AN4302" s="2">
        <v>14463.4152756075</v>
      </c>
      <c r="AO4302" s="2">
        <v>3793.0496121456499</v>
      </c>
      <c r="AP4302" s="2">
        <v>5902.9515608198799</v>
      </c>
      <c r="AQ4302" s="2">
        <v>2857.2474471958699</v>
      </c>
      <c r="AR4302" s="2">
        <v>6929.9606916852799</v>
      </c>
      <c r="AS4302" s="2">
        <v>23236.649279354198</v>
      </c>
      <c r="AT4302" s="2">
        <v>5651.2176226929196</v>
      </c>
      <c r="AU4302" s="2">
        <v>89.262979468102898</v>
      </c>
      <c r="AV4302" s="2">
        <v>1484.6596993476601</v>
      </c>
      <c r="AW4302" s="2">
        <v>1676.6259804619301</v>
      </c>
      <c r="AX4302" s="2">
        <v>6984.1300154699602</v>
      </c>
    </row>
    <row r="4303" spans="1:50" x14ac:dyDescent="0.25">
      <c r="A4303" s="2" t="s">
        <v>28326</v>
      </c>
      <c r="B4303" s="2">
        <v>191.14364717965501</v>
      </c>
      <c r="C4303" s="2">
        <v>11.2897</v>
      </c>
      <c r="D4303" s="2" t="s">
        <v>51</v>
      </c>
      <c r="E4303" s="2" t="s">
        <v>28327</v>
      </c>
      <c r="F4303" s="2">
        <v>2335</v>
      </c>
      <c r="G4303" s="3" t="str">
        <f>HYPERLINK("https://cloud.oebiotech.com/#/lm/network/2335", "https://cloud.oebiotech.com/#/lm/network/2335")</f>
        <v>https://cloud.oebiotech.com/#/lm/network/2335</v>
      </c>
      <c r="H4303" s="2"/>
      <c r="I4303" s="2">
        <v>96778</v>
      </c>
      <c r="J4303" s="2" t="s">
        <v>28328</v>
      </c>
      <c r="K4303" s="2">
        <v>9542</v>
      </c>
      <c r="L4303" s="2"/>
      <c r="M4303" s="2"/>
      <c r="N4303" s="2"/>
      <c r="O4303" s="2">
        <v>137794</v>
      </c>
      <c r="P4303" s="2"/>
      <c r="Q4303" s="2"/>
      <c r="R4303" s="2"/>
      <c r="S4303" s="2" t="s">
        <v>28329</v>
      </c>
      <c r="T4303" s="2" t="s">
        <v>28330</v>
      </c>
      <c r="U4303" s="2" t="s">
        <v>56</v>
      </c>
      <c r="V4303" s="2" t="s">
        <v>145</v>
      </c>
      <c r="W4303" s="2" t="s">
        <v>231</v>
      </c>
      <c r="X4303" s="2" t="s">
        <v>147</v>
      </c>
      <c r="Y4303" s="2">
        <v>37.200000000000003</v>
      </c>
      <c r="Z4303" s="2">
        <v>0</v>
      </c>
      <c r="AA4303" s="2" t="s">
        <v>259</v>
      </c>
      <c r="AB4303" s="2" t="s">
        <v>28331</v>
      </c>
      <c r="AC4303" s="2">
        <v>-2.8259678796283798</v>
      </c>
      <c r="AD4303" s="2"/>
      <c r="AE4303" s="2">
        <v>0.10187910550677499</v>
      </c>
      <c r="AF4303" s="2">
        <v>353.64157857041499</v>
      </c>
      <c r="AG4303" s="2">
        <v>60.704935075457101</v>
      </c>
      <c r="AH4303" s="5">
        <v>5.8255820244405596</v>
      </c>
      <c r="AI4303" s="5">
        <v>2.54240219428657</v>
      </c>
      <c r="AJ4303" s="5" t="s">
        <v>139</v>
      </c>
      <c r="AK4303" s="2">
        <v>9.4395026144376601E-2</v>
      </c>
      <c r="AL4303" s="2">
        <v>0.395022784811356</v>
      </c>
      <c r="AM4303" s="2">
        <v>395.64423984741802</v>
      </c>
      <c r="AN4303" s="2">
        <v>427.039590202439</v>
      </c>
      <c r="AO4303" s="2">
        <v>1039.9031264846701</v>
      </c>
      <c r="AP4303" s="2">
        <v>8.559877937157E-6</v>
      </c>
      <c r="AQ4303" s="2">
        <v>143.02868033029901</v>
      </c>
      <c r="AR4303" s="2">
        <v>116.233825997783</v>
      </c>
      <c r="AS4303" s="2">
        <v>127.70144914292101</v>
      </c>
      <c r="AT4303" s="2">
        <v>8.559877937157E-6</v>
      </c>
      <c r="AU4303" s="2">
        <v>8.559877937157E-6</v>
      </c>
      <c r="AV4303" s="2">
        <v>8.559877937157E-6</v>
      </c>
      <c r="AW4303" s="2">
        <v>236.52812707031001</v>
      </c>
      <c r="AX4303" s="2">
        <v>8.559877937157E-6</v>
      </c>
    </row>
    <row r="4304" spans="1:50" x14ac:dyDescent="0.25">
      <c r="A4304" s="2" t="s">
        <v>28332</v>
      </c>
      <c r="B4304" s="2">
        <v>255.11376695277801</v>
      </c>
      <c r="C4304" s="2">
        <v>6.0845833333333301</v>
      </c>
      <c r="D4304" s="2" t="s">
        <v>51</v>
      </c>
      <c r="E4304" s="2" t="s">
        <v>28333</v>
      </c>
      <c r="F4304" s="2">
        <v>35763</v>
      </c>
      <c r="G4304" s="3" t="str">
        <f>HYPERLINK("https://cloud.oebiotech.com/#/lm/network/35763", "https://cloud.oebiotech.com/#/lm/network/35763")</f>
        <v>https://cloud.oebiotech.com/#/lm/network/35763</v>
      </c>
      <c r="H4304" s="2"/>
      <c r="I4304" s="2">
        <v>53519</v>
      </c>
      <c r="J4304" s="2" t="s">
        <v>28334</v>
      </c>
      <c r="K4304" s="2">
        <v>42608178</v>
      </c>
      <c r="L4304" s="2"/>
      <c r="M4304" s="2"/>
      <c r="N4304" s="2"/>
      <c r="O4304" s="2"/>
      <c r="P4304" s="2"/>
      <c r="Q4304" s="2"/>
      <c r="R4304" s="2"/>
      <c r="S4304" s="2" t="s">
        <v>28335</v>
      </c>
      <c r="T4304" s="2" t="s">
        <v>28336</v>
      </c>
      <c r="U4304" s="2" t="s">
        <v>56</v>
      </c>
      <c r="V4304" s="2" t="s">
        <v>177</v>
      </c>
      <c r="W4304" s="2" t="s">
        <v>1996</v>
      </c>
      <c r="X4304" s="2" t="s">
        <v>147</v>
      </c>
      <c r="Y4304" s="2">
        <v>40.9</v>
      </c>
      <c r="Z4304" s="2">
        <v>23.9</v>
      </c>
      <c r="AA4304" s="2" t="s">
        <v>395</v>
      </c>
      <c r="AB4304" s="2" t="s">
        <v>28337</v>
      </c>
      <c r="AC4304" s="2">
        <v>-3.7306634374697198</v>
      </c>
      <c r="AD4304" s="2"/>
      <c r="AE4304" s="2">
        <v>0.101825373403426</v>
      </c>
      <c r="AF4304" s="2">
        <v>881.35519620793195</v>
      </c>
      <c r="AG4304" s="2">
        <v>1344.6731221887601</v>
      </c>
      <c r="AH4304" s="4">
        <v>0.65544196702119495</v>
      </c>
      <c r="AI4304" s="4">
        <v>-0.60946004532833598</v>
      </c>
      <c r="AJ4304" s="4" t="s">
        <v>62</v>
      </c>
      <c r="AK4304" s="2">
        <v>0.11768713566832301</v>
      </c>
      <c r="AL4304" s="2">
        <v>0.436261987215596</v>
      </c>
      <c r="AM4304" s="2">
        <v>1402.47716546625</v>
      </c>
      <c r="AN4304" s="2">
        <v>726.10656686295897</v>
      </c>
      <c r="AO4304" s="2">
        <v>441.40900234757203</v>
      </c>
      <c r="AP4304" s="2">
        <v>857.57868877540704</v>
      </c>
      <c r="AQ4304" s="2">
        <v>985.03052251826898</v>
      </c>
      <c r="AR4304" s="2">
        <v>875.52923127713404</v>
      </c>
      <c r="AS4304" s="2">
        <v>2042.4368911806</v>
      </c>
      <c r="AT4304" s="2">
        <v>992.85686237602795</v>
      </c>
      <c r="AU4304" s="2">
        <v>2015.57907099051</v>
      </c>
      <c r="AV4304" s="2">
        <v>971.019110470805</v>
      </c>
      <c r="AW4304" s="2">
        <v>1403.5551134208899</v>
      </c>
      <c r="AX4304" s="2">
        <v>642.59168469371696</v>
      </c>
    </row>
    <row r="4305" spans="1:50" x14ac:dyDescent="0.25">
      <c r="A4305" s="2" t="s">
        <v>28338</v>
      </c>
      <c r="B4305" s="2">
        <v>741.37964943891905</v>
      </c>
      <c r="C4305" s="2">
        <v>4.2970333333333297</v>
      </c>
      <c r="D4305" s="2" t="s">
        <v>51</v>
      </c>
      <c r="E4305" s="2" t="s">
        <v>28339</v>
      </c>
      <c r="F4305" s="2">
        <v>27983</v>
      </c>
      <c r="G4305" s="3" t="str">
        <f>HYPERLINK("https://cloud.oebiotech.com/#/lm/network/27983", "https://cloud.oebiotech.com/#/lm/network/27983")</f>
        <v>https://cloud.oebiotech.com/#/lm/network/27983</v>
      </c>
      <c r="H4305" s="2"/>
      <c r="I4305" s="2"/>
      <c r="J4305" s="2" t="s">
        <v>28340</v>
      </c>
      <c r="K4305" s="2">
        <v>134812430</v>
      </c>
      <c r="L4305" s="2"/>
      <c r="M4305" s="2"/>
      <c r="N4305" s="2"/>
      <c r="O4305" s="2"/>
      <c r="P4305" s="2"/>
      <c r="Q4305" s="2"/>
      <c r="R4305" s="2"/>
      <c r="S4305" s="2" t="s">
        <v>28341</v>
      </c>
      <c r="T4305" s="2" t="s">
        <v>28342</v>
      </c>
      <c r="U4305" s="2" t="s">
        <v>56</v>
      </c>
      <c r="V4305" s="2" t="s">
        <v>57</v>
      </c>
      <c r="W4305" s="2" t="s">
        <v>1097</v>
      </c>
      <c r="X4305" s="2" t="s">
        <v>59</v>
      </c>
      <c r="Y4305" s="2">
        <v>53.3</v>
      </c>
      <c r="Z4305" s="2">
        <v>81.5</v>
      </c>
      <c r="AA4305" s="2" t="s">
        <v>163</v>
      </c>
      <c r="AB4305" s="2" t="s">
        <v>28343</v>
      </c>
      <c r="AC4305" s="2">
        <v>-4.7577024372839798</v>
      </c>
      <c r="AD4305" s="2"/>
      <c r="AE4305" s="2">
        <v>0.10178359619680701</v>
      </c>
      <c r="AF4305" s="2">
        <v>14973.1688362474</v>
      </c>
      <c r="AG4305" s="2">
        <v>11757.6451423783</v>
      </c>
      <c r="AH4305" s="5">
        <v>1.2734836487179999</v>
      </c>
      <c r="AI4305" s="5">
        <v>0.34878043580771501</v>
      </c>
      <c r="AJ4305" s="5" t="s">
        <v>139</v>
      </c>
      <c r="AK4305" s="2">
        <v>0.671414901749388</v>
      </c>
      <c r="AL4305" s="2">
        <v>0.84135965593549</v>
      </c>
      <c r="AM4305" s="2">
        <v>14922.4224468508</v>
      </c>
      <c r="AN4305" s="2">
        <v>5959.9378322845196</v>
      </c>
      <c r="AO4305" s="2">
        <v>26225.634778279298</v>
      </c>
      <c r="AP4305" s="2">
        <v>12034.9461610871</v>
      </c>
      <c r="AQ4305" s="2">
        <v>6528.1141662460604</v>
      </c>
      <c r="AR4305" s="2">
        <v>24167.957632736699</v>
      </c>
      <c r="AS4305" s="2">
        <v>776.64662985683799</v>
      </c>
      <c r="AT4305" s="2">
        <v>840.23463552696501</v>
      </c>
      <c r="AU4305" s="2">
        <v>6521.15270603522</v>
      </c>
      <c r="AV4305" s="2">
        <v>41751.959872938904</v>
      </c>
      <c r="AW4305" s="2">
        <v>3957.03247061295</v>
      </c>
      <c r="AX4305" s="2">
        <v>16698.844539298902</v>
      </c>
    </row>
    <row r="4306" spans="1:50" x14ac:dyDescent="0.25">
      <c r="A4306" s="2" t="s">
        <v>28344</v>
      </c>
      <c r="B4306" s="2">
        <v>191.01358035495201</v>
      </c>
      <c r="C4306" s="2">
        <v>1.2665666666666699</v>
      </c>
      <c r="D4306" s="2" t="s">
        <v>51</v>
      </c>
      <c r="E4306" s="2" t="s">
        <v>28345</v>
      </c>
      <c r="F4306" s="2">
        <v>211103</v>
      </c>
      <c r="G4306" s="3" t="str">
        <f>HYPERLINK("https://cloud.oebiotech.com/#/lm/network/211103", "https://cloud.oebiotech.com/#/lm/network/211103")</f>
        <v>https://cloud.oebiotech.com/#/lm/network/211103</v>
      </c>
      <c r="H4306" s="2" t="s">
        <v>28346</v>
      </c>
      <c r="I4306" s="2"/>
      <c r="J4306" s="2"/>
      <c r="K4306" s="2">
        <v>10313479</v>
      </c>
      <c r="L4306" s="2"/>
      <c r="M4306" s="2"/>
      <c r="N4306" s="2"/>
      <c r="O4306" s="2"/>
      <c r="P4306" s="2"/>
      <c r="Q4306" s="2"/>
      <c r="R4306" s="2"/>
      <c r="S4306" s="2" t="s">
        <v>28347</v>
      </c>
      <c r="T4306" s="2" t="s">
        <v>28348</v>
      </c>
      <c r="U4306" s="2" t="s">
        <v>103</v>
      </c>
      <c r="V4306" s="2" t="s">
        <v>104</v>
      </c>
      <c r="W4306" s="2" t="s">
        <v>105</v>
      </c>
      <c r="X4306" s="2" t="s">
        <v>147</v>
      </c>
      <c r="Y4306" s="2">
        <v>43.7</v>
      </c>
      <c r="Z4306" s="2">
        <v>29.4</v>
      </c>
      <c r="AA4306" s="2" t="s">
        <v>163</v>
      </c>
      <c r="AB4306" s="2" t="s">
        <v>28349</v>
      </c>
      <c r="AC4306" s="2">
        <v>1.9739694238865</v>
      </c>
      <c r="AD4306" s="2"/>
      <c r="AE4306" s="2">
        <v>0.10176107915921</v>
      </c>
      <c r="AF4306" s="2">
        <v>34186.960971376197</v>
      </c>
      <c r="AG4306" s="2">
        <v>34362.236528600799</v>
      </c>
      <c r="AH4306" s="4">
        <v>0.99489918075970596</v>
      </c>
      <c r="AI4306" s="4">
        <v>-7.37775896724914E-3</v>
      </c>
      <c r="AJ4306" s="4" t="s">
        <v>62</v>
      </c>
      <c r="AK4306" s="2">
        <v>0.99264659815822498</v>
      </c>
      <c r="AL4306" s="2">
        <v>0.99633860579296396</v>
      </c>
      <c r="AM4306" s="2">
        <v>9200.0411157869294</v>
      </c>
      <c r="AN4306" s="2">
        <v>20796.9871291255</v>
      </c>
      <c r="AO4306" s="2">
        <v>107085.33329302599</v>
      </c>
      <c r="AP4306" s="2">
        <v>23365.297808992502</v>
      </c>
      <c r="AQ4306" s="2">
        <v>28860.544701070299</v>
      </c>
      <c r="AR4306" s="2">
        <v>15813.561780255999</v>
      </c>
      <c r="AS4306" s="2">
        <v>11691.736344523501</v>
      </c>
      <c r="AT4306" s="2">
        <v>7607.2655513111204</v>
      </c>
      <c r="AU4306" s="2">
        <v>12571.779805121399</v>
      </c>
      <c r="AV4306" s="2">
        <v>72786.9609423402</v>
      </c>
      <c r="AW4306" s="2">
        <v>51915.970138126402</v>
      </c>
      <c r="AX4306" s="2">
        <v>49599.7063901824</v>
      </c>
    </row>
    <row r="4307" spans="1:50" x14ac:dyDescent="0.25">
      <c r="A4307" s="2" t="s">
        <v>28350</v>
      </c>
      <c r="B4307" s="2">
        <v>230.175881315846</v>
      </c>
      <c r="C4307" s="2">
        <v>6.1681499999999998</v>
      </c>
      <c r="D4307" s="2" t="s">
        <v>51</v>
      </c>
      <c r="E4307" s="2" t="s">
        <v>28351</v>
      </c>
      <c r="F4307" s="2">
        <v>58997</v>
      </c>
      <c r="G4307" s="3" t="str">
        <f>HYPERLINK("https://cloud.oebiotech.com/#/lm/network/58997", "https://cloud.oebiotech.com/#/lm/network/58997")</f>
        <v>https://cloud.oebiotech.com/#/lm/network/58997</v>
      </c>
      <c r="H4307" s="2" t="s">
        <v>28352</v>
      </c>
      <c r="I4307" s="2">
        <v>90432</v>
      </c>
      <c r="J4307" s="2"/>
      <c r="K4307" s="2">
        <v>101416067</v>
      </c>
      <c r="L4307" s="2"/>
      <c r="M4307" s="2"/>
      <c r="N4307" s="2"/>
      <c r="O4307" s="2">
        <v>169590</v>
      </c>
      <c r="P4307" s="2"/>
      <c r="Q4307" s="2"/>
      <c r="R4307" s="2" t="s">
        <v>28353</v>
      </c>
      <c r="S4307" s="2" t="s">
        <v>28354</v>
      </c>
      <c r="T4307" s="2" t="s">
        <v>28355</v>
      </c>
      <c r="U4307" s="2" t="s">
        <v>56</v>
      </c>
      <c r="V4307" s="2" t="s">
        <v>177</v>
      </c>
      <c r="W4307" s="2" t="s">
        <v>584</v>
      </c>
      <c r="X4307" s="2" t="s">
        <v>69</v>
      </c>
      <c r="Y4307" s="2">
        <v>60.2</v>
      </c>
      <c r="Z4307" s="2">
        <v>85.3</v>
      </c>
      <c r="AA4307" s="2" t="s">
        <v>512</v>
      </c>
      <c r="AB4307" s="2" t="s">
        <v>16641</v>
      </c>
      <c r="AC4307" s="2">
        <v>3.8242717390069001</v>
      </c>
      <c r="AD4307" s="2"/>
      <c r="AE4307" s="2">
        <v>0.10167848219008301</v>
      </c>
      <c r="AF4307" s="2">
        <v>3204.5407742088</v>
      </c>
      <c r="AG4307" s="2">
        <v>3816.3369129804</v>
      </c>
      <c r="AH4307" s="4">
        <v>0.839690217944144</v>
      </c>
      <c r="AI4307" s="4">
        <v>-0.25207091397882098</v>
      </c>
      <c r="AJ4307" s="4" t="s">
        <v>62</v>
      </c>
      <c r="AK4307" s="2">
        <v>0.407528300294001</v>
      </c>
      <c r="AL4307" s="2">
        <v>0.67353025130796695</v>
      </c>
      <c r="AM4307" s="2">
        <v>2754.0217940370999</v>
      </c>
      <c r="AN4307" s="2">
        <v>3088.1519752612298</v>
      </c>
      <c r="AO4307" s="2">
        <v>4857.90025886904</v>
      </c>
      <c r="AP4307" s="2">
        <v>2698.2138320716299</v>
      </c>
      <c r="AQ4307" s="2">
        <v>3191.2250906888798</v>
      </c>
      <c r="AR4307" s="2">
        <v>2637.7316943249102</v>
      </c>
      <c r="AS4307" s="2">
        <v>6857.9750694571203</v>
      </c>
      <c r="AT4307" s="2">
        <v>3707.2781850400502</v>
      </c>
      <c r="AU4307" s="2">
        <v>2866.7212946334298</v>
      </c>
      <c r="AV4307" s="2">
        <v>3246.4518706899698</v>
      </c>
      <c r="AW4307" s="2">
        <v>3161.8554421447802</v>
      </c>
      <c r="AX4307" s="2">
        <v>3057.7396159170698</v>
      </c>
    </row>
    <row r="4308" spans="1:50" x14ac:dyDescent="0.25">
      <c r="A4308" s="2" t="s">
        <v>28356</v>
      </c>
      <c r="B4308" s="2">
        <v>299.25916448238701</v>
      </c>
      <c r="C4308" s="2">
        <v>14.465633333333299</v>
      </c>
      <c r="D4308" s="2" t="s">
        <v>51</v>
      </c>
      <c r="E4308" s="2" t="s">
        <v>28357</v>
      </c>
      <c r="F4308" s="2">
        <v>6032</v>
      </c>
      <c r="G4308" s="3" t="str">
        <f>HYPERLINK("https://cloud.oebiotech.com/#/lm/network/6032", "https://cloud.oebiotech.com/#/lm/network/6032")</f>
        <v>https://cloud.oebiotech.com/#/lm/network/6032</v>
      </c>
      <c r="H4308" s="2"/>
      <c r="I4308" s="2">
        <v>36509</v>
      </c>
      <c r="J4308" s="2" t="s">
        <v>28358</v>
      </c>
      <c r="K4308" s="2">
        <v>5283301</v>
      </c>
      <c r="L4308" s="2"/>
      <c r="M4308" s="2"/>
      <c r="N4308" s="2"/>
      <c r="O4308" s="2"/>
      <c r="P4308" s="2"/>
      <c r="Q4308" s="2"/>
      <c r="R4308" s="2"/>
      <c r="S4308" s="2" t="s">
        <v>28359</v>
      </c>
      <c r="T4308" s="2" t="s">
        <v>28360</v>
      </c>
      <c r="U4308" s="2" t="s">
        <v>56</v>
      </c>
      <c r="V4308" s="2" t="s">
        <v>145</v>
      </c>
      <c r="W4308" s="2" t="s">
        <v>146</v>
      </c>
      <c r="X4308" s="2" t="s">
        <v>147</v>
      </c>
      <c r="Y4308" s="2">
        <v>36.5</v>
      </c>
      <c r="Z4308" s="2">
        <v>0</v>
      </c>
      <c r="AA4308" s="2" t="s">
        <v>218</v>
      </c>
      <c r="AB4308" s="2" t="s">
        <v>6379</v>
      </c>
      <c r="AC4308" s="2">
        <v>-1.6115541556126101E-2</v>
      </c>
      <c r="AD4308" s="2"/>
      <c r="AE4308" s="2">
        <v>0.101458048947907</v>
      </c>
      <c r="AF4308" s="2">
        <v>275.688665836479</v>
      </c>
      <c r="AG4308" s="2">
        <v>628.615348736491</v>
      </c>
      <c r="AH4308" s="4">
        <v>0.43856496089478297</v>
      </c>
      <c r="AI4308" s="4">
        <v>-1.18913754225263</v>
      </c>
      <c r="AJ4308" s="4" t="s">
        <v>62</v>
      </c>
      <c r="AK4308" s="2">
        <v>7.9375907881037003E-2</v>
      </c>
      <c r="AL4308" s="2">
        <v>0.36520736260394099</v>
      </c>
      <c r="AM4308" s="2">
        <v>417.41692852034799</v>
      </c>
      <c r="AN4308" s="2">
        <v>81.456154443263699</v>
      </c>
      <c r="AO4308" s="2">
        <v>156.18335364223799</v>
      </c>
      <c r="AP4308" s="2">
        <v>118.570781452562</v>
      </c>
      <c r="AQ4308" s="2">
        <v>539.22583937103695</v>
      </c>
      <c r="AR4308" s="2">
        <v>341.27893758942599</v>
      </c>
      <c r="AS4308" s="2">
        <v>178.96319149113799</v>
      </c>
      <c r="AT4308" s="2">
        <v>351.79386762498802</v>
      </c>
      <c r="AU4308" s="2">
        <v>913.51184602810804</v>
      </c>
      <c r="AV4308" s="2">
        <v>923.80364366563504</v>
      </c>
      <c r="AW4308" s="2">
        <v>1121.0308545153</v>
      </c>
      <c r="AX4308" s="2">
        <v>282.58868909377497</v>
      </c>
    </row>
    <row r="4309" spans="1:50" x14ac:dyDescent="0.25">
      <c r="A4309" s="2" t="s">
        <v>28361</v>
      </c>
      <c r="B4309" s="2">
        <v>591.35411246147703</v>
      </c>
      <c r="C4309" s="2">
        <v>10.0576666666667</v>
      </c>
      <c r="D4309" s="2" t="s">
        <v>51</v>
      </c>
      <c r="E4309" s="2" t="s">
        <v>28362</v>
      </c>
      <c r="F4309" s="2">
        <v>58427</v>
      </c>
      <c r="G4309" s="3" t="str">
        <f>HYPERLINK("https://cloud.oebiotech.com/#/lm/network/58427", "https://cloud.oebiotech.com/#/lm/network/58427")</f>
        <v>https://cloud.oebiotech.com/#/lm/network/58427</v>
      </c>
      <c r="H4309" s="2" t="s">
        <v>28363</v>
      </c>
      <c r="I4309" s="2"/>
      <c r="J4309" s="2"/>
      <c r="K4309" s="2">
        <v>4483033</v>
      </c>
      <c r="L4309" s="2"/>
      <c r="M4309" s="2"/>
      <c r="N4309" s="2"/>
      <c r="O4309" s="2"/>
      <c r="P4309" s="2"/>
      <c r="Q4309" s="2"/>
      <c r="R4309" s="2" t="s">
        <v>28364</v>
      </c>
      <c r="S4309" s="2" t="s">
        <v>28365</v>
      </c>
      <c r="T4309" s="2" t="s">
        <v>28366</v>
      </c>
      <c r="U4309" s="2" t="s">
        <v>56</v>
      </c>
      <c r="V4309" s="2" t="s">
        <v>283</v>
      </c>
      <c r="W4309" s="2" t="s">
        <v>3462</v>
      </c>
      <c r="X4309" s="2" t="s">
        <v>83</v>
      </c>
      <c r="Y4309" s="2">
        <v>52.1</v>
      </c>
      <c r="Z4309" s="2">
        <v>0</v>
      </c>
      <c r="AA4309" s="2" t="s">
        <v>163</v>
      </c>
      <c r="AB4309" s="2" t="s">
        <v>28367</v>
      </c>
      <c r="AC4309" s="2">
        <v>0.43157760141115697</v>
      </c>
      <c r="AD4309" s="2"/>
      <c r="AE4309" s="2">
        <v>0.101398794979041</v>
      </c>
      <c r="AF4309" s="2">
        <v>4459.71312168855</v>
      </c>
      <c r="AG4309" s="2">
        <v>3652.5235161805099</v>
      </c>
      <c r="AH4309" s="5">
        <v>1.2209950468305599</v>
      </c>
      <c r="AI4309" s="5">
        <v>0.28805734780485898</v>
      </c>
      <c r="AJ4309" s="5" t="s">
        <v>139</v>
      </c>
      <c r="AK4309" s="2">
        <v>0.65879231591811305</v>
      </c>
      <c r="AL4309" s="2">
        <v>0.83413307306586504</v>
      </c>
      <c r="AM4309" s="2">
        <v>3100.8379196886199</v>
      </c>
      <c r="AN4309" s="2">
        <v>8841.4847901151206</v>
      </c>
      <c r="AO4309" s="2">
        <v>3085.3656305964</v>
      </c>
      <c r="AP4309" s="2">
        <v>2628.1461029324701</v>
      </c>
      <c r="AQ4309" s="2">
        <v>1708.35863253804</v>
      </c>
      <c r="AR4309" s="2">
        <v>7394.0856542606498</v>
      </c>
      <c r="AS4309" s="2">
        <v>7501.80022551604</v>
      </c>
      <c r="AT4309" s="2">
        <v>8023.8414623363196</v>
      </c>
      <c r="AU4309" s="2">
        <v>1366.1691144485101</v>
      </c>
      <c r="AV4309" s="2">
        <v>2503.2265362022299</v>
      </c>
      <c r="AW4309" s="2">
        <v>1304.4566480676499</v>
      </c>
      <c r="AX4309" s="2">
        <v>1215.6471105123001</v>
      </c>
    </row>
    <row r="4310" spans="1:50" x14ac:dyDescent="0.25">
      <c r="A4310" s="2" t="s">
        <v>28368</v>
      </c>
      <c r="B4310" s="2">
        <v>167.024637469353</v>
      </c>
      <c r="C4310" s="2">
        <v>1.44603333333333</v>
      </c>
      <c r="D4310" s="2" t="s">
        <v>51</v>
      </c>
      <c r="E4310" s="2" t="s">
        <v>28369</v>
      </c>
      <c r="F4310" s="2">
        <v>197020</v>
      </c>
      <c r="G4310" s="3" t="str">
        <f>HYPERLINK("https://cloud.oebiotech.com/#/lm/network/197020", "https://cloud.oebiotech.com/#/lm/network/197020")</f>
        <v>https://cloud.oebiotech.com/#/lm/network/197020</v>
      </c>
      <c r="H4310" s="2" t="s">
        <v>28370</v>
      </c>
      <c r="I4310" s="2">
        <v>447211</v>
      </c>
      <c r="J4310" s="2"/>
      <c r="K4310" s="2">
        <v>159864</v>
      </c>
      <c r="L4310" s="2"/>
      <c r="M4310" s="2"/>
      <c r="N4310" s="2"/>
      <c r="O4310" s="2">
        <v>84415</v>
      </c>
      <c r="P4310" s="2"/>
      <c r="Q4310" s="2"/>
      <c r="R4310" s="2" t="s">
        <v>28371</v>
      </c>
      <c r="S4310" s="2" t="s">
        <v>28372</v>
      </c>
      <c r="T4310" s="2" t="s">
        <v>28373</v>
      </c>
      <c r="U4310" s="2" t="s">
        <v>103</v>
      </c>
      <c r="V4310" s="2" t="s">
        <v>12842</v>
      </c>
      <c r="W4310" s="2" t="s">
        <v>12843</v>
      </c>
      <c r="X4310" s="2" t="s">
        <v>147</v>
      </c>
      <c r="Y4310" s="2">
        <v>37.1</v>
      </c>
      <c r="Z4310" s="2">
        <v>0</v>
      </c>
      <c r="AA4310" s="2" t="s">
        <v>122</v>
      </c>
      <c r="AB4310" s="2" t="s">
        <v>28374</v>
      </c>
      <c r="AC4310" s="2">
        <v>-3.5407963273863001</v>
      </c>
      <c r="AD4310" s="2"/>
      <c r="AE4310" s="2">
        <v>0.10138528689873599</v>
      </c>
      <c r="AF4310" s="2">
        <v>474.08292153017698</v>
      </c>
      <c r="AG4310" s="2">
        <v>840.15785390169901</v>
      </c>
      <c r="AH4310" s="4">
        <v>0.56427839045785599</v>
      </c>
      <c r="AI4310" s="4">
        <v>-0.82552099353518105</v>
      </c>
      <c r="AJ4310" s="4" t="s">
        <v>62</v>
      </c>
      <c r="AK4310" s="2">
        <v>3.3186328629119702E-2</v>
      </c>
      <c r="AL4310" s="2">
        <v>0.26990031927545699</v>
      </c>
      <c r="AM4310" s="2">
        <v>252.03135416115899</v>
      </c>
      <c r="AN4310" s="2">
        <v>728.069846051902</v>
      </c>
      <c r="AO4310" s="2">
        <v>392.29687414971499</v>
      </c>
      <c r="AP4310" s="2">
        <v>268.85654815685399</v>
      </c>
      <c r="AQ4310" s="2">
        <v>694.31497095539805</v>
      </c>
      <c r="AR4310" s="2">
        <v>508.92793570603402</v>
      </c>
      <c r="AS4310" s="2">
        <v>560.58951098007503</v>
      </c>
      <c r="AT4310" s="2">
        <v>1403.0406287476001</v>
      </c>
      <c r="AU4310" s="2">
        <v>797.50040738335701</v>
      </c>
      <c r="AV4310" s="2">
        <v>625.47538736160504</v>
      </c>
      <c r="AW4310" s="2">
        <v>872.77100575207498</v>
      </c>
      <c r="AX4310" s="2">
        <v>781.57018318548103</v>
      </c>
    </row>
    <row r="4311" spans="1:50" x14ac:dyDescent="0.25">
      <c r="A4311" s="2" t="s">
        <v>28375</v>
      </c>
      <c r="B4311" s="2">
        <v>276.017669555976</v>
      </c>
      <c r="C4311" s="2">
        <v>1.3012999999999999</v>
      </c>
      <c r="D4311" s="2" t="s">
        <v>51</v>
      </c>
      <c r="E4311" s="2" t="s">
        <v>28376</v>
      </c>
      <c r="F4311" s="2">
        <v>202621</v>
      </c>
      <c r="G4311" s="3" t="str">
        <f>HYPERLINK("https://cloud.oebiotech.com/#/lm/network/202621", "https://cloud.oebiotech.com/#/lm/network/202621")</f>
        <v>https://cloud.oebiotech.com/#/lm/network/202621</v>
      </c>
      <c r="H4311" s="2" t="s">
        <v>28377</v>
      </c>
      <c r="I4311" s="2"/>
      <c r="J4311" s="2"/>
      <c r="K4311" s="2"/>
      <c r="L4311" s="2"/>
      <c r="M4311" s="2"/>
      <c r="N4311" s="2"/>
      <c r="O4311" s="2"/>
      <c r="P4311" s="2"/>
      <c r="Q4311" s="2"/>
      <c r="R4311" s="2"/>
      <c r="S4311" s="2" t="s">
        <v>28378</v>
      </c>
      <c r="T4311" s="2" t="s">
        <v>28379</v>
      </c>
      <c r="U4311" s="2" t="s">
        <v>266</v>
      </c>
      <c r="V4311" s="2" t="s">
        <v>2432</v>
      </c>
      <c r="W4311" s="2" t="s">
        <v>10026</v>
      </c>
      <c r="X4311" s="2" t="s">
        <v>59</v>
      </c>
      <c r="Y4311" s="2">
        <v>48.9</v>
      </c>
      <c r="Z4311" s="2">
        <v>52.8</v>
      </c>
      <c r="AA4311" s="2" t="s">
        <v>218</v>
      </c>
      <c r="AB4311" s="2" t="s">
        <v>28380</v>
      </c>
      <c r="AC4311" s="2">
        <v>-2.9292045455548399</v>
      </c>
      <c r="AD4311" s="2"/>
      <c r="AE4311" s="2">
        <v>0.101349126808689</v>
      </c>
      <c r="AF4311" s="2">
        <v>18326.688299834499</v>
      </c>
      <c r="AG4311" s="2">
        <v>16856.166918889299</v>
      </c>
      <c r="AH4311" s="5">
        <v>1.0872393699007199</v>
      </c>
      <c r="AI4311" s="5">
        <v>0.120669603429258</v>
      </c>
      <c r="AJ4311" s="5" t="s">
        <v>139</v>
      </c>
      <c r="AK4311" s="2">
        <v>0.56975795045963296</v>
      </c>
      <c r="AL4311" s="2">
        <v>0.78311574344879098</v>
      </c>
      <c r="AM4311" s="2">
        <v>16183.8867683463</v>
      </c>
      <c r="AN4311" s="2">
        <v>19609.248955883199</v>
      </c>
      <c r="AO4311" s="2">
        <v>26363.525007098</v>
      </c>
      <c r="AP4311" s="2">
        <v>18050.124964208899</v>
      </c>
      <c r="AQ4311" s="2">
        <v>18195.5749030117</v>
      </c>
      <c r="AR4311" s="2">
        <v>11557.769200458901</v>
      </c>
      <c r="AS4311" s="2">
        <v>15510.7350587452</v>
      </c>
      <c r="AT4311" s="2">
        <v>10521.9671531443</v>
      </c>
      <c r="AU4311" s="2">
        <v>16881.654748224501</v>
      </c>
      <c r="AV4311" s="2">
        <v>21378.461384115501</v>
      </c>
      <c r="AW4311" s="2">
        <v>17045.654858808899</v>
      </c>
      <c r="AX4311" s="2">
        <v>19798.528310297501</v>
      </c>
    </row>
    <row r="4312" spans="1:50" x14ac:dyDescent="0.25">
      <c r="A4312" s="2" t="s">
        <v>28381</v>
      </c>
      <c r="B4312" s="2">
        <v>341.233455324251</v>
      </c>
      <c r="C4312" s="2">
        <v>9.9311833333333297</v>
      </c>
      <c r="D4312" s="2" t="s">
        <v>51</v>
      </c>
      <c r="E4312" s="2" t="s">
        <v>28382</v>
      </c>
      <c r="F4312" s="2">
        <v>3109</v>
      </c>
      <c r="G4312" s="3" t="str">
        <f>HYPERLINK("https://cloud.oebiotech.com/#/lm/network/3109", "https://cloud.oebiotech.com/#/lm/network/3109")</f>
        <v>https://cloud.oebiotech.com/#/lm/network/3109</v>
      </c>
      <c r="H4312" s="2"/>
      <c r="I4312" s="2">
        <v>35491</v>
      </c>
      <c r="J4312" s="2" t="s">
        <v>28383</v>
      </c>
      <c r="K4312" s="2">
        <v>5282948</v>
      </c>
      <c r="L4312" s="2"/>
      <c r="M4312" s="2"/>
      <c r="N4312" s="2"/>
      <c r="O4312" s="2"/>
      <c r="P4312" s="2"/>
      <c r="Q4312" s="2"/>
      <c r="R4312" s="2"/>
      <c r="S4312" s="2" t="s">
        <v>28384</v>
      </c>
      <c r="T4312" s="2" t="s">
        <v>28385</v>
      </c>
      <c r="U4312" s="2" t="s">
        <v>56</v>
      </c>
      <c r="V4312" s="2" t="s">
        <v>145</v>
      </c>
      <c r="W4312" s="2" t="s">
        <v>203</v>
      </c>
      <c r="X4312" s="2" t="s">
        <v>83</v>
      </c>
      <c r="Y4312" s="2">
        <v>46.5</v>
      </c>
      <c r="Z4312" s="2">
        <v>0</v>
      </c>
      <c r="AA4312" s="2" t="s">
        <v>218</v>
      </c>
      <c r="AB4312" s="2" t="s">
        <v>1772</v>
      </c>
      <c r="AC4312" s="2">
        <v>0.36312143423098198</v>
      </c>
      <c r="AD4312" s="2"/>
      <c r="AE4312" s="2">
        <v>0.101322422083999</v>
      </c>
      <c r="AF4312" s="2">
        <v>606.22671759709203</v>
      </c>
      <c r="AG4312" s="2">
        <v>292.53316962236499</v>
      </c>
      <c r="AH4312" s="5">
        <v>2.0723349710382499</v>
      </c>
      <c r="AI4312" s="5">
        <v>1.05125721827379</v>
      </c>
      <c r="AJ4312" s="5" t="s">
        <v>139</v>
      </c>
      <c r="AK4312" s="2">
        <v>9.2279272792761796E-2</v>
      </c>
      <c r="AL4312" s="2">
        <v>0.39077178500044701</v>
      </c>
      <c r="AM4312" s="2">
        <v>849.17582609589397</v>
      </c>
      <c r="AN4312" s="2">
        <v>561.43383982087198</v>
      </c>
      <c r="AO4312" s="2">
        <v>634.59189623107397</v>
      </c>
      <c r="AP4312" s="2">
        <v>821.27366703735004</v>
      </c>
      <c r="AQ4312" s="2">
        <v>8.559877937157E-6</v>
      </c>
      <c r="AR4312" s="2">
        <v>770.88506783748596</v>
      </c>
      <c r="AS4312" s="2">
        <v>8.559877937157E-6</v>
      </c>
      <c r="AT4312" s="2">
        <v>404.01054101856698</v>
      </c>
      <c r="AU4312" s="2">
        <v>390.36549523310998</v>
      </c>
      <c r="AV4312" s="2">
        <v>273.72888586077102</v>
      </c>
      <c r="AW4312" s="2">
        <v>687.09407850198602</v>
      </c>
      <c r="AX4312" s="2">
        <v>8.559877937157E-6</v>
      </c>
    </row>
    <row r="4313" spans="1:50" x14ac:dyDescent="0.25">
      <c r="A4313" s="2" t="s">
        <v>28386</v>
      </c>
      <c r="B4313" s="2">
        <v>291.17141966463299</v>
      </c>
      <c r="C4313" s="2">
        <v>4.72983333333333</v>
      </c>
      <c r="D4313" s="2" t="s">
        <v>51</v>
      </c>
      <c r="E4313" s="2" t="s">
        <v>28387</v>
      </c>
      <c r="F4313" s="2">
        <v>53520</v>
      </c>
      <c r="G4313" s="3" t="str">
        <f>HYPERLINK("https://cloud.oebiotech.com/#/lm/network/53520", "https://cloud.oebiotech.com/#/lm/network/53520")</f>
        <v>https://cloud.oebiotech.com/#/lm/network/53520</v>
      </c>
      <c r="H4313" s="2" t="s">
        <v>28388</v>
      </c>
      <c r="I4313" s="2">
        <v>44346</v>
      </c>
      <c r="J4313" s="2"/>
      <c r="K4313" s="2">
        <v>688561</v>
      </c>
      <c r="L4313" s="2"/>
      <c r="M4313" s="2"/>
      <c r="N4313" s="2"/>
      <c r="O4313" s="2">
        <v>1002414</v>
      </c>
      <c r="P4313" s="2"/>
      <c r="Q4313" s="2"/>
      <c r="R4313" s="2" t="s">
        <v>28389</v>
      </c>
      <c r="S4313" s="2" t="s">
        <v>28390</v>
      </c>
      <c r="T4313" s="2" t="s">
        <v>28391</v>
      </c>
      <c r="U4313" s="2" t="s">
        <v>266</v>
      </c>
      <c r="V4313" s="2" t="s">
        <v>1393</v>
      </c>
      <c r="W4313" s="2" t="s">
        <v>19215</v>
      </c>
      <c r="X4313" s="2" t="s">
        <v>83</v>
      </c>
      <c r="Y4313" s="2">
        <v>41.5</v>
      </c>
      <c r="Z4313" s="2">
        <v>0</v>
      </c>
      <c r="AA4313" s="2" t="s">
        <v>259</v>
      </c>
      <c r="AB4313" s="2" t="s">
        <v>28392</v>
      </c>
      <c r="AC4313" s="2">
        <v>3.79324259491466</v>
      </c>
      <c r="AD4313" s="2"/>
      <c r="AE4313" s="2">
        <v>0.101194473525537</v>
      </c>
      <c r="AF4313" s="2">
        <v>242.358074010178</v>
      </c>
      <c r="AG4313" s="2">
        <v>755.44215257970495</v>
      </c>
      <c r="AH4313" s="4">
        <v>0.320816191130673</v>
      </c>
      <c r="AI4313" s="4">
        <v>-1.64018114051824</v>
      </c>
      <c r="AJ4313" s="4" t="s">
        <v>62</v>
      </c>
      <c r="AK4313" s="2">
        <v>0.44342890846495397</v>
      </c>
      <c r="AL4313" s="2">
        <v>0.69908803275019105</v>
      </c>
      <c r="AM4313" s="2">
        <v>212.07034968214299</v>
      </c>
      <c r="AN4313" s="2">
        <v>128.13696593743799</v>
      </c>
      <c r="AO4313" s="2">
        <v>89.431335623349597</v>
      </c>
      <c r="AP4313" s="2">
        <v>1024.5097756983801</v>
      </c>
      <c r="AQ4313" s="2">
        <v>8.559877937157E-6</v>
      </c>
      <c r="AR4313" s="2">
        <v>8.559877937157E-6</v>
      </c>
      <c r="AS4313" s="2">
        <v>602.22826885221195</v>
      </c>
      <c r="AT4313" s="2">
        <v>8.559877937157E-6</v>
      </c>
      <c r="AU4313" s="2">
        <v>8.559877937157E-6</v>
      </c>
      <c r="AV4313" s="2">
        <v>97.864145178953194</v>
      </c>
      <c r="AW4313" s="2">
        <v>8.559877937157E-6</v>
      </c>
      <c r="AX4313" s="2">
        <v>3832.56047576743</v>
      </c>
    </row>
    <row r="4314" spans="1:50" x14ac:dyDescent="0.25">
      <c r="A4314" s="2" t="s">
        <v>28393</v>
      </c>
      <c r="B4314" s="2">
        <v>337.16717608138703</v>
      </c>
      <c r="C4314" s="2">
        <v>8.2502666666666702</v>
      </c>
      <c r="D4314" s="2" t="s">
        <v>51</v>
      </c>
      <c r="E4314" s="2" t="s">
        <v>28394</v>
      </c>
      <c r="F4314" s="2">
        <v>502</v>
      </c>
      <c r="G4314" s="3" t="str">
        <f>HYPERLINK("https://cloud.oebiotech.com/#/lm/network/502", "https://cloud.oebiotech.com/#/lm/network/502")</f>
        <v>https://cloud.oebiotech.com/#/lm/network/502</v>
      </c>
      <c r="H4314" s="2"/>
      <c r="I4314" s="2"/>
      <c r="J4314" s="2" t="s">
        <v>28395</v>
      </c>
      <c r="K4314" s="2">
        <v>153296861</v>
      </c>
      <c r="L4314" s="2"/>
      <c r="M4314" s="2"/>
      <c r="N4314" s="2"/>
      <c r="O4314" s="2"/>
      <c r="P4314" s="2"/>
      <c r="Q4314" s="2"/>
      <c r="R4314" s="2"/>
      <c r="S4314" s="2" t="s">
        <v>28396</v>
      </c>
      <c r="T4314" s="2" t="s">
        <v>28397</v>
      </c>
      <c r="U4314" s="2" t="s">
        <v>56</v>
      </c>
      <c r="V4314" s="2" t="s">
        <v>145</v>
      </c>
      <c r="W4314" s="2" t="s">
        <v>231</v>
      </c>
      <c r="X4314" s="2" t="s">
        <v>83</v>
      </c>
      <c r="Y4314" s="2">
        <v>40.1</v>
      </c>
      <c r="Z4314" s="2">
        <v>0</v>
      </c>
      <c r="AA4314" s="2" t="s">
        <v>163</v>
      </c>
      <c r="AB4314" s="2" t="s">
        <v>28398</v>
      </c>
      <c r="AC4314" s="2">
        <v>-5.4917095593878704</v>
      </c>
      <c r="AD4314" s="2"/>
      <c r="AE4314" s="2">
        <v>0.10111933022432699</v>
      </c>
      <c r="AF4314" s="2">
        <v>2210.5920006608899</v>
      </c>
      <c r="AG4314" s="2">
        <v>3193.5427158534999</v>
      </c>
      <c r="AH4314" s="4">
        <v>0.69220680521572198</v>
      </c>
      <c r="AI4314" s="4">
        <v>-0.53072496990709705</v>
      </c>
      <c r="AJ4314" s="4" t="s">
        <v>62</v>
      </c>
      <c r="AK4314" s="2">
        <v>0.407898022719833</v>
      </c>
      <c r="AL4314" s="2">
        <v>0.67378873579152998</v>
      </c>
      <c r="AM4314" s="2">
        <v>2699.13894814286</v>
      </c>
      <c r="AN4314" s="2">
        <v>2036.7210110614401</v>
      </c>
      <c r="AO4314" s="2">
        <v>1246.6309768435999</v>
      </c>
      <c r="AP4314" s="2">
        <v>3148.4207803365598</v>
      </c>
      <c r="AQ4314" s="2">
        <v>1544.8682420533</v>
      </c>
      <c r="AR4314" s="2">
        <v>2587.7720455275999</v>
      </c>
      <c r="AS4314" s="2">
        <v>5300.6867890037101</v>
      </c>
      <c r="AT4314" s="2">
        <v>7671.2402559973298</v>
      </c>
      <c r="AU4314" s="2">
        <v>1029.6841775447899</v>
      </c>
      <c r="AV4314" s="2">
        <v>1292.65526915187</v>
      </c>
      <c r="AW4314" s="2">
        <v>1604.8455938867801</v>
      </c>
      <c r="AX4314" s="2">
        <v>2262.1442095365301</v>
      </c>
    </row>
    <row r="4315" spans="1:50" x14ac:dyDescent="0.25">
      <c r="A4315" s="2" t="s">
        <v>28399</v>
      </c>
      <c r="B4315" s="2">
        <v>261.12461690847698</v>
      </c>
      <c r="C4315" s="2">
        <v>4.42221666666667</v>
      </c>
      <c r="D4315" s="2" t="s">
        <v>51</v>
      </c>
      <c r="E4315" s="2" t="s">
        <v>28400</v>
      </c>
      <c r="F4315" s="2">
        <v>51155</v>
      </c>
      <c r="G4315" s="3" t="str">
        <f>HYPERLINK("https://cloud.oebiotech.com/#/lm/network/51155", "https://cloud.oebiotech.com/#/lm/network/51155")</f>
        <v>https://cloud.oebiotech.com/#/lm/network/51155</v>
      </c>
      <c r="H4315" s="2" t="s">
        <v>28401</v>
      </c>
      <c r="I4315" s="2">
        <v>61979</v>
      </c>
      <c r="J4315" s="2"/>
      <c r="K4315" s="2">
        <v>440780</v>
      </c>
      <c r="L4315" s="2" t="s">
        <v>28402</v>
      </c>
      <c r="M4315" s="2" t="s">
        <v>2445</v>
      </c>
      <c r="N4315" s="2" t="s">
        <v>2446</v>
      </c>
      <c r="O4315" s="2"/>
      <c r="P4315" s="2"/>
      <c r="Q4315" s="2"/>
      <c r="R4315" s="2"/>
      <c r="S4315" s="2" t="s">
        <v>28403</v>
      </c>
      <c r="T4315" s="2" t="s">
        <v>28404</v>
      </c>
      <c r="U4315" s="2" t="s">
        <v>295</v>
      </c>
      <c r="V4315" s="2" t="s">
        <v>28405</v>
      </c>
      <c r="W4315" s="2" t="s">
        <v>240</v>
      </c>
      <c r="X4315" s="2" t="s">
        <v>83</v>
      </c>
      <c r="Y4315" s="2">
        <v>40.299999999999997</v>
      </c>
      <c r="Z4315" s="2">
        <v>0</v>
      </c>
      <c r="AA4315" s="2" t="s">
        <v>156</v>
      </c>
      <c r="AB4315" s="2" t="s">
        <v>5189</v>
      </c>
      <c r="AC4315" s="2">
        <v>4.4875000125048103</v>
      </c>
      <c r="AD4315" s="2"/>
      <c r="AE4315" s="2">
        <v>0.10110897676465</v>
      </c>
      <c r="AF4315" s="2">
        <v>356.59211549291598</v>
      </c>
      <c r="AG4315" s="2">
        <v>911.63248754783899</v>
      </c>
      <c r="AH4315" s="4">
        <v>0.39115775311178103</v>
      </c>
      <c r="AI4315" s="4">
        <v>-1.3541775340742599</v>
      </c>
      <c r="AJ4315" s="4" t="s">
        <v>62</v>
      </c>
      <c r="AK4315" s="2">
        <v>0.46387283900291498</v>
      </c>
      <c r="AL4315" s="2">
        <v>0.71273629533134197</v>
      </c>
      <c r="AM4315" s="2">
        <v>483.99447365536298</v>
      </c>
      <c r="AN4315" s="2">
        <v>273.01358772511099</v>
      </c>
      <c r="AO4315" s="2">
        <v>239.843175337362</v>
      </c>
      <c r="AP4315" s="2">
        <v>257.55037689905203</v>
      </c>
      <c r="AQ4315" s="2">
        <v>651.26919577317096</v>
      </c>
      <c r="AR4315" s="2">
        <v>233.88188356743899</v>
      </c>
      <c r="AS4315" s="2">
        <v>244.72297316762899</v>
      </c>
      <c r="AT4315" s="2">
        <v>201.985673855003</v>
      </c>
      <c r="AU4315" s="2">
        <v>125.450166832554</v>
      </c>
      <c r="AV4315" s="2">
        <v>4532.27455110962</v>
      </c>
      <c r="AW4315" s="2">
        <v>30.550920606636399</v>
      </c>
      <c r="AX4315" s="2">
        <v>334.81063971559001</v>
      </c>
    </row>
    <row r="4316" spans="1:50" x14ac:dyDescent="0.25">
      <c r="A4316" s="2" t="s">
        <v>28406</v>
      </c>
      <c r="B4316" s="2">
        <v>86.0971984148659</v>
      </c>
      <c r="C4316" s="2">
        <v>0.80310000000000004</v>
      </c>
      <c r="D4316" s="2" t="s">
        <v>51</v>
      </c>
      <c r="E4316" s="2" t="s">
        <v>28407</v>
      </c>
      <c r="F4316" s="2">
        <v>81980</v>
      </c>
      <c r="G4316" s="3" t="str">
        <f>HYPERLINK("https://cloud.oebiotech.com/#/lm/network/81980", "https://cloud.oebiotech.com/#/lm/network/81980")</f>
        <v>https://cloud.oebiotech.com/#/lm/network/81980</v>
      </c>
      <c r="H4316" s="2" t="s">
        <v>28408</v>
      </c>
      <c r="I4316" s="2"/>
      <c r="J4316" s="2"/>
      <c r="K4316" s="2">
        <v>10043</v>
      </c>
      <c r="L4316" s="2"/>
      <c r="M4316" s="2"/>
      <c r="N4316" s="2"/>
      <c r="O4316" s="2"/>
      <c r="P4316" s="2"/>
      <c r="Q4316" s="2"/>
      <c r="R4316" s="2"/>
      <c r="S4316" s="2" t="s">
        <v>28409</v>
      </c>
      <c r="T4316" s="2" t="s">
        <v>28410</v>
      </c>
      <c r="U4316" s="2" t="s">
        <v>119</v>
      </c>
      <c r="V4316" s="2" t="s">
        <v>120</v>
      </c>
      <c r="W4316" s="2" t="s">
        <v>121</v>
      </c>
      <c r="X4316" s="2" t="s">
        <v>147</v>
      </c>
      <c r="Y4316" s="2">
        <v>38.799999999999997</v>
      </c>
      <c r="Z4316" s="2">
        <v>2.79</v>
      </c>
      <c r="AA4316" s="2" t="s">
        <v>122</v>
      </c>
      <c r="AB4316" s="2" t="s">
        <v>28411</v>
      </c>
      <c r="AC4316" s="2">
        <v>2.6008489559625101</v>
      </c>
      <c r="AD4316" s="2"/>
      <c r="AE4316" s="2">
        <v>0.101042160461588</v>
      </c>
      <c r="AF4316" s="2">
        <v>351920.73316264601</v>
      </c>
      <c r="AG4316" s="2">
        <v>347708.62316430698</v>
      </c>
      <c r="AH4316" s="5">
        <v>1.0121139072134799</v>
      </c>
      <c r="AI4316" s="5">
        <v>1.7371665649126601E-2</v>
      </c>
      <c r="AJ4316" s="5" t="s">
        <v>139</v>
      </c>
      <c r="AK4316" s="2">
        <v>0.936233727818365</v>
      </c>
      <c r="AL4316" s="2">
        <v>0.97275268524275005</v>
      </c>
      <c r="AM4316" s="2">
        <v>416997.58328158001</v>
      </c>
      <c r="AN4316" s="2">
        <v>325578.24280339997</v>
      </c>
      <c r="AO4316" s="2">
        <v>368578.74189276597</v>
      </c>
      <c r="AP4316" s="2">
        <v>444264.38856404502</v>
      </c>
      <c r="AQ4316" s="2">
        <v>323759.74101665901</v>
      </c>
      <c r="AR4316" s="2">
        <v>232345.70141742899</v>
      </c>
      <c r="AS4316" s="2">
        <v>197837.92417494801</v>
      </c>
      <c r="AT4316" s="2">
        <v>261920.30765086299</v>
      </c>
      <c r="AU4316" s="2">
        <v>396673.87817768002</v>
      </c>
      <c r="AV4316" s="2">
        <v>368610.27687011001</v>
      </c>
      <c r="AW4316" s="2">
        <v>386692.62361554999</v>
      </c>
      <c r="AX4316" s="2">
        <v>474516.72849669098</v>
      </c>
    </row>
    <row r="4317" spans="1:50" x14ac:dyDescent="0.25">
      <c r="A4317" s="2" t="s">
        <v>28412</v>
      </c>
      <c r="B4317" s="2">
        <v>213.148997504628</v>
      </c>
      <c r="C4317" s="2">
        <v>8.33036666666667</v>
      </c>
      <c r="D4317" s="2" t="s">
        <v>51</v>
      </c>
      <c r="E4317" s="2" t="s">
        <v>28413</v>
      </c>
      <c r="F4317" s="2">
        <v>1744</v>
      </c>
      <c r="G4317" s="3" t="str">
        <f>HYPERLINK("https://cloud.oebiotech.com/#/lm/network/1744", "https://cloud.oebiotech.com/#/lm/network/1744")</f>
        <v>https://cloud.oebiotech.com/#/lm/network/1744</v>
      </c>
      <c r="H4317" s="2"/>
      <c r="I4317" s="2">
        <v>74547</v>
      </c>
      <c r="J4317" s="2" t="s">
        <v>28414</v>
      </c>
      <c r="K4317" s="2">
        <v>5312746</v>
      </c>
      <c r="L4317" s="2"/>
      <c r="M4317" s="2"/>
      <c r="N4317" s="2"/>
      <c r="O4317" s="2"/>
      <c r="P4317" s="2"/>
      <c r="Q4317" s="2"/>
      <c r="R4317" s="2"/>
      <c r="S4317" s="2" t="s">
        <v>28415</v>
      </c>
      <c r="T4317" s="2" t="s">
        <v>28416</v>
      </c>
      <c r="U4317" s="2" t="s">
        <v>103</v>
      </c>
      <c r="V4317" s="2" t="s">
        <v>377</v>
      </c>
      <c r="W4317" s="2" t="s">
        <v>378</v>
      </c>
      <c r="X4317" s="2" t="s">
        <v>83</v>
      </c>
      <c r="Y4317" s="2">
        <v>39.799999999999997</v>
      </c>
      <c r="Z4317" s="2">
        <v>0</v>
      </c>
      <c r="AA4317" s="2" t="s">
        <v>163</v>
      </c>
      <c r="AB4317" s="2" t="s">
        <v>28417</v>
      </c>
      <c r="AC4317" s="2">
        <v>-2.8980042565355002</v>
      </c>
      <c r="AD4317" s="2"/>
      <c r="AE4317" s="2">
        <v>0.10093492732362799</v>
      </c>
      <c r="AF4317" s="2">
        <v>564.14052610989302</v>
      </c>
      <c r="AG4317" s="2">
        <v>291.11671995885501</v>
      </c>
      <c r="AH4317" s="5">
        <v>1.9378499668092799</v>
      </c>
      <c r="AI4317" s="5">
        <v>0.95445687801865997</v>
      </c>
      <c r="AJ4317" s="5" t="s">
        <v>139</v>
      </c>
      <c r="AK4317" s="2">
        <v>7.5305404713782997E-2</v>
      </c>
      <c r="AL4317" s="2">
        <v>0.35933708527399399</v>
      </c>
      <c r="AM4317" s="2">
        <v>1151.0738054824501</v>
      </c>
      <c r="AN4317" s="2">
        <v>432.513358333307</v>
      </c>
      <c r="AO4317" s="2">
        <v>335.55707799774001</v>
      </c>
      <c r="AP4317" s="2">
        <v>661.19959971541903</v>
      </c>
      <c r="AQ4317" s="2">
        <v>392.48812587919201</v>
      </c>
      <c r="AR4317" s="2">
        <v>412.011189251247</v>
      </c>
      <c r="AS4317" s="2">
        <v>185.15129016887599</v>
      </c>
      <c r="AT4317" s="2">
        <v>81.922018604410397</v>
      </c>
      <c r="AU4317" s="2">
        <v>454.12993800751201</v>
      </c>
      <c r="AV4317" s="2">
        <v>326.13413282324302</v>
      </c>
      <c r="AW4317" s="2">
        <v>381.934395183623</v>
      </c>
      <c r="AX4317" s="2">
        <v>317.42854496546403</v>
      </c>
    </row>
    <row r="4318" spans="1:50" x14ac:dyDescent="0.25">
      <c r="A4318" s="2" t="s">
        <v>28418</v>
      </c>
      <c r="B4318" s="2">
        <v>327.29061373705099</v>
      </c>
      <c r="C4318" s="2">
        <v>13.3257833333333</v>
      </c>
      <c r="D4318" s="2" t="s">
        <v>51</v>
      </c>
      <c r="E4318" s="2" t="s">
        <v>28419</v>
      </c>
      <c r="F4318" s="2">
        <v>10054</v>
      </c>
      <c r="G4318" s="3" t="str">
        <f>HYPERLINK("https://cloud.oebiotech.com/#/lm/network/10054", "https://cloud.oebiotech.com/#/lm/network/10054")</f>
        <v>https://cloud.oebiotech.com/#/lm/network/10054</v>
      </c>
      <c r="H4318" s="2"/>
      <c r="I4318" s="2">
        <v>98259</v>
      </c>
      <c r="J4318" s="2" t="s">
        <v>28420</v>
      </c>
      <c r="K4318" s="2">
        <v>11514704</v>
      </c>
      <c r="L4318" s="2"/>
      <c r="M4318" s="2"/>
      <c r="N4318" s="2"/>
      <c r="O4318" s="2"/>
      <c r="P4318" s="2"/>
      <c r="Q4318" s="2"/>
      <c r="R4318" s="2"/>
      <c r="S4318" s="2" t="s">
        <v>28421</v>
      </c>
      <c r="T4318" s="2" t="s">
        <v>28422</v>
      </c>
      <c r="U4318" s="2" t="s">
        <v>331</v>
      </c>
      <c r="V4318" s="2" t="s">
        <v>332</v>
      </c>
      <c r="W4318" s="2" t="s">
        <v>1207</v>
      </c>
      <c r="X4318" s="2" t="s">
        <v>147</v>
      </c>
      <c r="Y4318" s="2">
        <v>38.6</v>
      </c>
      <c r="Z4318" s="2">
        <v>0</v>
      </c>
      <c r="AA4318" s="2" t="s">
        <v>218</v>
      </c>
      <c r="AB4318" s="2" t="s">
        <v>28423</v>
      </c>
      <c r="AC4318" s="2">
        <v>0.51375417707249005</v>
      </c>
      <c r="AD4318" s="2"/>
      <c r="AE4318" s="2">
        <v>0.10089817570239799</v>
      </c>
      <c r="AF4318" s="2">
        <v>4083.77674707702</v>
      </c>
      <c r="AG4318" s="2">
        <v>5782.9149223083195</v>
      </c>
      <c r="AH4318" s="4">
        <v>0.70617963465506595</v>
      </c>
      <c r="AI4318" s="4">
        <v>-0.50189287872583499</v>
      </c>
      <c r="AJ4318" s="4" t="s">
        <v>62</v>
      </c>
      <c r="AK4318" s="2">
        <v>0.437013222755612</v>
      </c>
      <c r="AL4318" s="2">
        <v>0.69389880990636499</v>
      </c>
      <c r="AM4318" s="2">
        <v>8914.3056305828104</v>
      </c>
      <c r="AN4318" s="2">
        <v>4995.8971611346096</v>
      </c>
      <c r="AO4318" s="2">
        <v>2191.7132944739301</v>
      </c>
      <c r="AP4318" s="2">
        <v>1624.8461774413399</v>
      </c>
      <c r="AQ4318" s="2">
        <v>2144.5334848218799</v>
      </c>
      <c r="AR4318" s="2">
        <v>4631.3647340075504</v>
      </c>
      <c r="AS4318" s="2">
        <v>2599.81580741069</v>
      </c>
      <c r="AT4318" s="2">
        <v>2142.4168539225402</v>
      </c>
      <c r="AU4318" s="2">
        <v>10948.9765752238</v>
      </c>
      <c r="AV4318" s="2">
        <v>2583.56589633982</v>
      </c>
      <c r="AW4318" s="2">
        <v>11541.970854068501</v>
      </c>
      <c r="AX4318" s="2">
        <v>4880.7435468845597</v>
      </c>
    </row>
    <row r="4319" spans="1:50" x14ac:dyDescent="0.25">
      <c r="A4319" s="2" t="s">
        <v>28424</v>
      </c>
      <c r="B4319" s="2">
        <v>162.045833900556</v>
      </c>
      <c r="C4319" s="2">
        <v>0.84268333333333301</v>
      </c>
      <c r="D4319" s="2" t="s">
        <v>51</v>
      </c>
      <c r="E4319" s="2" t="s">
        <v>28425</v>
      </c>
      <c r="F4319" s="2">
        <v>209096</v>
      </c>
      <c r="G4319" s="3" t="str">
        <f>HYPERLINK("https://cloud.oebiotech.com/#/lm/network/209096", "https://cloud.oebiotech.com/#/lm/network/209096")</f>
        <v>https://cloud.oebiotech.com/#/lm/network/209096</v>
      </c>
      <c r="H4319" s="2" t="s">
        <v>28426</v>
      </c>
      <c r="I4319" s="2"/>
      <c r="J4319" s="2"/>
      <c r="K4319" s="2">
        <v>9942232</v>
      </c>
      <c r="L4319" s="2"/>
      <c r="M4319" s="2"/>
      <c r="N4319" s="2"/>
      <c r="O4319" s="2"/>
      <c r="P4319" s="2"/>
      <c r="Q4319" s="2"/>
      <c r="R4319" s="2"/>
      <c r="S4319" s="2" t="s">
        <v>28427</v>
      </c>
      <c r="T4319" s="2" t="s">
        <v>28428</v>
      </c>
      <c r="U4319" s="2" t="s">
        <v>103</v>
      </c>
      <c r="V4319" s="2" t="s">
        <v>104</v>
      </c>
      <c r="W4319" s="2" t="s">
        <v>105</v>
      </c>
      <c r="X4319" s="2" t="s">
        <v>147</v>
      </c>
      <c r="Y4319" s="2">
        <v>37.700000000000003</v>
      </c>
      <c r="Z4319" s="2">
        <v>2.67</v>
      </c>
      <c r="AA4319" s="2" t="s">
        <v>122</v>
      </c>
      <c r="AB4319" s="2" t="s">
        <v>28429</v>
      </c>
      <c r="AC4319" s="2">
        <v>-2.8681239124436702</v>
      </c>
      <c r="AD4319" s="2"/>
      <c r="AE4319" s="2">
        <v>0.100867970521873</v>
      </c>
      <c r="AF4319" s="2">
        <v>29702.208836374</v>
      </c>
      <c r="AG4319" s="2">
        <v>28718.545182737002</v>
      </c>
      <c r="AH4319" s="5">
        <v>1.0342518622506101</v>
      </c>
      <c r="AI4319" s="5">
        <v>4.8587555259586197E-2</v>
      </c>
      <c r="AJ4319" s="5" t="s">
        <v>139</v>
      </c>
      <c r="AK4319" s="2">
        <v>0.82166638536700098</v>
      </c>
      <c r="AL4319" s="2">
        <v>0.92196891676237602</v>
      </c>
      <c r="AM4319" s="2">
        <v>21583.329886833901</v>
      </c>
      <c r="AN4319" s="2">
        <v>45668.422621217302</v>
      </c>
      <c r="AO4319" s="2">
        <v>29417.500861697499</v>
      </c>
      <c r="AP4319" s="2">
        <v>28861.097711567701</v>
      </c>
      <c r="AQ4319" s="2">
        <v>22918.205164267802</v>
      </c>
      <c r="AR4319" s="2">
        <v>29764.696772659699</v>
      </c>
      <c r="AS4319" s="2">
        <v>27990.142309245599</v>
      </c>
      <c r="AT4319" s="2">
        <v>35181.860969943104</v>
      </c>
      <c r="AU4319" s="2">
        <v>29673.654245505499</v>
      </c>
      <c r="AV4319" s="2">
        <v>18728.235720317502</v>
      </c>
      <c r="AW4319" s="2">
        <v>26765.474212165602</v>
      </c>
      <c r="AX4319" s="2">
        <v>33971.903639244498</v>
      </c>
    </row>
    <row r="4320" spans="1:50" x14ac:dyDescent="0.25">
      <c r="A4320" s="2" t="s">
        <v>28430</v>
      </c>
      <c r="B4320" s="2">
        <v>174.09219999999999</v>
      </c>
      <c r="C4320" s="2">
        <v>7.3179999999999996</v>
      </c>
      <c r="D4320" s="2" t="s">
        <v>125</v>
      </c>
      <c r="E4320" s="2" t="s">
        <v>28431</v>
      </c>
      <c r="F4320" s="2">
        <v>55896</v>
      </c>
      <c r="G4320" s="3" t="str">
        <f>HYPERLINK("https://cloud.oebiotech.com/#/lm/network/55896", "https://cloud.oebiotech.com/#/lm/network/55896")</f>
        <v>https://cloud.oebiotech.com/#/lm/network/55896</v>
      </c>
      <c r="H4320" s="2" t="s">
        <v>28432</v>
      </c>
      <c r="I4320" s="2">
        <v>72484</v>
      </c>
      <c r="J4320" s="2"/>
      <c r="K4320" s="2">
        <v>8007</v>
      </c>
      <c r="L4320" s="2" t="s">
        <v>28433</v>
      </c>
      <c r="M4320" s="2"/>
      <c r="N4320" s="2"/>
      <c r="O4320" s="2">
        <v>43799</v>
      </c>
      <c r="P4320" s="2"/>
      <c r="Q4320" s="2"/>
      <c r="R4320" s="2" t="s">
        <v>28434</v>
      </c>
      <c r="S4320" s="2" t="s">
        <v>28435</v>
      </c>
      <c r="T4320" s="2" t="s">
        <v>28436</v>
      </c>
      <c r="U4320" s="2" t="s">
        <v>119</v>
      </c>
      <c r="V4320" s="2" t="s">
        <v>120</v>
      </c>
      <c r="W4320" s="2" t="s">
        <v>1887</v>
      </c>
      <c r="X4320" s="2" t="s">
        <v>69</v>
      </c>
      <c r="Y4320" s="2">
        <v>92.1</v>
      </c>
      <c r="Z4320" s="2">
        <v>88.2</v>
      </c>
      <c r="AA4320" s="2"/>
      <c r="AB4320" s="2" t="s">
        <v>28437</v>
      </c>
      <c r="AC4320" s="2"/>
      <c r="AD4320" s="2">
        <v>242029.30646117401</v>
      </c>
      <c r="AE4320" s="2">
        <v>0.10079261938659</v>
      </c>
      <c r="AF4320" s="2">
        <v>918642.90265985799</v>
      </c>
      <c r="AG4320" s="2">
        <v>984125.37305560405</v>
      </c>
      <c r="AH4320" s="4">
        <v>0.93346125179922002</v>
      </c>
      <c r="AI4320" s="4">
        <v>-9.9337957810648997E-2</v>
      </c>
      <c r="AJ4320" s="4" t="s">
        <v>62</v>
      </c>
      <c r="AK4320" s="2">
        <v>0.79748796694034596</v>
      </c>
      <c r="AL4320" s="2">
        <v>0.90954932814260703</v>
      </c>
      <c r="AM4320" s="2">
        <v>1766580.37870975</v>
      </c>
      <c r="AN4320" s="2">
        <v>778011.52924463002</v>
      </c>
      <c r="AO4320" s="2">
        <v>755099.12102248694</v>
      </c>
      <c r="AP4320" s="2">
        <v>780624.084753923</v>
      </c>
      <c r="AQ4320" s="2">
        <v>586153.313767188</v>
      </c>
      <c r="AR4320" s="2">
        <v>845388.98846117198</v>
      </c>
      <c r="AS4320" s="2">
        <v>669799.231724474</v>
      </c>
      <c r="AT4320" s="2">
        <v>731884.79613231798</v>
      </c>
      <c r="AU4320" s="2">
        <v>1812383.50121327</v>
      </c>
      <c r="AV4320" s="2">
        <v>1079938.0788422199</v>
      </c>
      <c r="AW4320" s="2">
        <v>928257.20413163095</v>
      </c>
      <c r="AX4320" s="2">
        <v>682489.42628971103</v>
      </c>
    </row>
    <row r="4321" spans="1:50" x14ac:dyDescent="0.25">
      <c r="A4321" s="2" t="s">
        <v>28438</v>
      </c>
      <c r="B4321" s="2">
        <v>413.29099219115102</v>
      </c>
      <c r="C4321" s="2">
        <v>9.97441666666667</v>
      </c>
      <c r="D4321" s="2" t="s">
        <v>51</v>
      </c>
      <c r="E4321" s="2" t="s">
        <v>28439</v>
      </c>
      <c r="F4321" s="2">
        <v>257156</v>
      </c>
      <c r="G4321" s="3" t="str">
        <f>HYPERLINK("https://cloud.oebiotech.com/#/lm/network/257156", "https://cloud.oebiotech.com/#/lm/network/257156")</f>
        <v>https://cloud.oebiotech.com/#/lm/network/257156</v>
      </c>
      <c r="H4321" s="2" t="s">
        <v>28440</v>
      </c>
      <c r="I4321" s="2"/>
      <c r="J4321" s="2"/>
      <c r="K4321" s="2"/>
      <c r="L4321" s="2"/>
      <c r="M4321" s="2"/>
      <c r="N4321" s="2"/>
      <c r="O4321" s="2">
        <v>76299</v>
      </c>
      <c r="P4321" s="2"/>
      <c r="Q4321" s="2"/>
      <c r="R4321" s="2"/>
      <c r="S4321" s="2" t="s">
        <v>28441</v>
      </c>
      <c r="T4321" s="2" t="s">
        <v>28442</v>
      </c>
      <c r="U4321" s="2" t="s">
        <v>56</v>
      </c>
      <c r="V4321" s="2" t="s">
        <v>145</v>
      </c>
      <c r="W4321" s="2" t="s">
        <v>231</v>
      </c>
      <c r="X4321" s="2" t="s">
        <v>147</v>
      </c>
      <c r="Y4321" s="2">
        <v>38.700000000000003</v>
      </c>
      <c r="Z4321" s="2">
        <v>0</v>
      </c>
      <c r="AA4321" s="2" t="s">
        <v>218</v>
      </c>
      <c r="AB4321" s="2" t="s">
        <v>28443</v>
      </c>
      <c r="AC4321" s="2">
        <v>0.35178575341888202</v>
      </c>
      <c r="AD4321" s="2"/>
      <c r="AE4321" s="2">
        <v>0.100738781243042</v>
      </c>
      <c r="AF4321" s="2">
        <v>2824.4076948002698</v>
      </c>
      <c r="AG4321" s="2">
        <v>2505.7655719296399</v>
      </c>
      <c r="AH4321" s="5">
        <v>1.1271635808393901</v>
      </c>
      <c r="AI4321" s="5">
        <v>0.17269690338968899</v>
      </c>
      <c r="AJ4321" s="5" t="s">
        <v>139</v>
      </c>
      <c r="AK4321" s="2">
        <v>0.87176252288966505</v>
      </c>
      <c r="AL4321" s="2">
        <v>0.94446242671458802</v>
      </c>
      <c r="AM4321" s="2">
        <v>10557.540425789901</v>
      </c>
      <c r="AN4321" s="2">
        <v>1377.6521165997499</v>
      </c>
      <c r="AO4321" s="2">
        <v>246.43136891344699</v>
      </c>
      <c r="AP4321" s="2">
        <v>2457.1466682341102</v>
      </c>
      <c r="AQ4321" s="2">
        <v>343.53730274774603</v>
      </c>
      <c r="AR4321" s="2">
        <v>1964.1382865166399</v>
      </c>
      <c r="AS4321" s="2">
        <v>3090.3922995574399</v>
      </c>
      <c r="AT4321" s="2">
        <v>446.67109962329403</v>
      </c>
      <c r="AU4321" s="2">
        <v>7512.4550895490902</v>
      </c>
      <c r="AV4321" s="2">
        <v>1125.07607713213</v>
      </c>
      <c r="AW4321" s="2">
        <v>2329.1373743571598</v>
      </c>
      <c r="AX4321" s="2">
        <v>530.86149135872699</v>
      </c>
    </row>
    <row r="4322" spans="1:50" x14ac:dyDescent="0.25">
      <c r="A4322" s="2" t="s">
        <v>28444</v>
      </c>
      <c r="B4322" s="2">
        <v>424.17306792903298</v>
      </c>
      <c r="C4322" s="2">
        <v>3.94221666666667</v>
      </c>
      <c r="D4322" s="2" t="s">
        <v>51</v>
      </c>
      <c r="E4322" s="2" t="s">
        <v>28445</v>
      </c>
      <c r="F4322" s="2">
        <v>264211</v>
      </c>
      <c r="G4322" s="3" t="str">
        <f>HYPERLINK("https://cloud.oebiotech.com/#/lm/network/264211", "https://cloud.oebiotech.com/#/lm/network/264211")</f>
        <v>https://cloud.oebiotech.com/#/lm/network/264211</v>
      </c>
      <c r="H4322" s="2"/>
      <c r="I4322" s="2">
        <v>21661</v>
      </c>
      <c r="J4322" s="2"/>
      <c r="K4322" s="2">
        <v>101086352</v>
      </c>
      <c r="L4322" s="2"/>
      <c r="M4322" s="2"/>
      <c r="N4322" s="2"/>
      <c r="O4322" s="2"/>
      <c r="P4322" s="2"/>
      <c r="Q4322" s="2"/>
      <c r="R4322" s="2"/>
      <c r="S4322" s="2" t="s">
        <v>28446</v>
      </c>
      <c r="T4322" s="2" t="s">
        <v>28447</v>
      </c>
      <c r="U4322" s="2" t="s">
        <v>103</v>
      </c>
      <c r="V4322" s="2" t="s">
        <v>104</v>
      </c>
      <c r="W4322" s="2" t="s">
        <v>105</v>
      </c>
      <c r="X4322" s="2" t="s">
        <v>83</v>
      </c>
      <c r="Y4322" s="2">
        <v>47.6</v>
      </c>
      <c r="Z4322" s="2">
        <v>43.9</v>
      </c>
      <c r="AA4322" s="2" t="s">
        <v>259</v>
      </c>
      <c r="AB4322" s="2" t="s">
        <v>28448</v>
      </c>
      <c r="AC4322" s="2">
        <v>3.8441922503719201</v>
      </c>
      <c r="AD4322" s="2"/>
      <c r="AE4322" s="2">
        <v>0.100680855558198</v>
      </c>
      <c r="AF4322" s="2">
        <v>1603.96441967193</v>
      </c>
      <c r="AG4322" s="2">
        <v>3984.9512838431601</v>
      </c>
      <c r="AH4322" s="4">
        <v>0.40250540230570597</v>
      </c>
      <c r="AI4322" s="4">
        <v>-1.3129199481139</v>
      </c>
      <c r="AJ4322" s="4" t="s">
        <v>62</v>
      </c>
      <c r="AK4322" s="2">
        <v>0.527215996997763</v>
      </c>
      <c r="AL4322" s="2">
        <v>0.75541578468508697</v>
      </c>
      <c r="AM4322" s="2">
        <v>1287.0721005038199</v>
      </c>
      <c r="AN4322" s="2">
        <v>3554.0716424682901</v>
      </c>
      <c r="AO4322" s="2">
        <v>1358.31097557053</v>
      </c>
      <c r="AP4322" s="2">
        <v>1424.1107263413901</v>
      </c>
      <c r="AQ4322" s="2">
        <v>986.63848985318998</v>
      </c>
      <c r="AR4322" s="2">
        <v>1013.58258329435</v>
      </c>
      <c r="AS4322" s="2">
        <v>8.559877937157E-6</v>
      </c>
      <c r="AT4322" s="2">
        <v>695.67427464740103</v>
      </c>
      <c r="AU4322" s="2">
        <v>22040.212502799499</v>
      </c>
      <c r="AV4322" s="2">
        <v>746.11114798815004</v>
      </c>
      <c r="AW4322" s="2">
        <v>276.43459307772002</v>
      </c>
      <c r="AX4322" s="2">
        <v>151.27517598628299</v>
      </c>
    </row>
    <row r="4323" spans="1:50" x14ac:dyDescent="0.25">
      <c r="A4323" s="2" t="s">
        <v>28449</v>
      </c>
      <c r="B4323" s="2">
        <v>962.45869596314299</v>
      </c>
      <c r="C4323" s="2">
        <v>3.9061666666666701</v>
      </c>
      <c r="D4323" s="2" t="s">
        <v>51</v>
      </c>
      <c r="E4323" s="2" t="s">
        <v>28450</v>
      </c>
      <c r="F4323" s="2">
        <v>246654</v>
      </c>
      <c r="G4323" s="3" t="str">
        <f>HYPERLINK("https://cloud.oebiotech.com/#/lm/network/246654", "https://cloud.oebiotech.com/#/lm/network/246654")</f>
        <v>https://cloud.oebiotech.com/#/lm/network/246654</v>
      </c>
      <c r="H4323" s="2" t="s">
        <v>28451</v>
      </c>
      <c r="I4323" s="2"/>
      <c r="J4323" s="2"/>
      <c r="K4323" s="2"/>
      <c r="L4323" s="2"/>
      <c r="M4323" s="2"/>
      <c r="N4323" s="2"/>
      <c r="O4323" s="2"/>
      <c r="P4323" s="2"/>
      <c r="Q4323" s="2"/>
      <c r="R4323" s="2"/>
      <c r="S4323" s="2" t="s">
        <v>28452</v>
      </c>
      <c r="T4323" s="2" t="s">
        <v>28453</v>
      </c>
      <c r="U4323" s="2" t="s">
        <v>56</v>
      </c>
      <c r="V4323" s="2" t="s">
        <v>57</v>
      </c>
      <c r="W4323" s="2" t="s">
        <v>3605</v>
      </c>
      <c r="X4323" s="2" t="s">
        <v>147</v>
      </c>
      <c r="Y4323" s="2">
        <v>37.200000000000003</v>
      </c>
      <c r="Z4323" s="2">
        <v>2.2200000000000002</v>
      </c>
      <c r="AA4323" s="2" t="s">
        <v>163</v>
      </c>
      <c r="AB4323" s="2" t="s">
        <v>28454</v>
      </c>
      <c r="AC4323" s="2">
        <v>3.8567183179289799</v>
      </c>
      <c r="AD4323" s="2"/>
      <c r="AE4323" s="2">
        <v>0.100590521882853</v>
      </c>
      <c r="AF4323" s="2">
        <v>9367.9496105427497</v>
      </c>
      <c r="AG4323" s="2">
        <v>10177.3426471191</v>
      </c>
      <c r="AH4323" s="4">
        <v>0.92047108320505999</v>
      </c>
      <c r="AI4323" s="4">
        <v>-0.119555695171978</v>
      </c>
      <c r="AJ4323" s="4" t="s">
        <v>62</v>
      </c>
      <c r="AK4323" s="2">
        <v>0.935887056197234</v>
      </c>
      <c r="AL4323" s="2">
        <v>0.97258208518168698</v>
      </c>
      <c r="AM4323" s="2">
        <v>13902.111014230601</v>
      </c>
      <c r="AN4323" s="2">
        <v>8.559877937157E-6</v>
      </c>
      <c r="AO4323" s="2">
        <v>533.25251058805804</v>
      </c>
      <c r="AP4323" s="2">
        <v>8.559877937157E-6</v>
      </c>
      <c r="AQ4323" s="2">
        <v>11475.1148857567</v>
      </c>
      <c r="AR4323" s="2">
        <v>30297.219235561399</v>
      </c>
      <c r="AS4323" s="2">
        <v>8.559877937157E-6</v>
      </c>
      <c r="AT4323" s="2">
        <v>8.559877937157E-6</v>
      </c>
      <c r="AU4323" s="2">
        <v>639.75391595907399</v>
      </c>
      <c r="AV4323" s="2">
        <v>52316.414757758997</v>
      </c>
      <c r="AW4323" s="2">
        <v>659.25077815908105</v>
      </c>
      <c r="AX4323" s="2">
        <v>7448.6364137175697</v>
      </c>
    </row>
    <row r="4324" spans="1:50" x14ac:dyDescent="0.25">
      <c r="A4324" s="2" t="s">
        <v>28455</v>
      </c>
      <c r="B4324" s="2">
        <v>279.157963348404</v>
      </c>
      <c r="C4324" s="2">
        <v>9.1305166666666704</v>
      </c>
      <c r="D4324" s="2" t="s">
        <v>51</v>
      </c>
      <c r="E4324" s="2" t="s">
        <v>28456</v>
      </c>
      <c r="F4324" s="2">
        <v>54979</v>
      </c>
      <c r="G4324" s="3" t="str">
        <f>HYPERLINK("https://cloud.oebiotech.com/#/lm/network/54979", "https://cloud.oebiotech.com/#/lm/network/54979")</f>
        <v>https://cloud.oebiotech.com/#/lm/network/54979</v>
      </c>
      <c r="H4324" s="2" t="s">
        <v>28457</v>
      </c>
      <c r="I4324" s="2"/>
      <c r="J4324" s="2"/>
      <c r="K4324" s="2"/>
      <c r="L4324" s="2"/>
      <c r="M4324" s="2"/>
      <c r="N4324" s="2"/>
      <c r="O4324" s="2"/>
      <c r="P4324" s="2"/>
      <c r="Q4324" s="2"/>
      <c r="R4324" s="2"/>
      <c r="S4324" s="2" t="s">
        <v>28458</v>
      </c>
      <c r="T4324" s="2" t="s">
        <v>28459</v>
      </c>
      <c r="U4324" s="2" t="s">
        <v>103</v>
      </c>
      <c r="V4324" s="2" t="s">
        <v>14291</v>
      </c>
      <c r="W4324" s="2" t="s">
        <v>240</v>
      </c>
      <c r="X4324" s="2" t="s">
        <v>83</v>
      </c>
      <c r="Y4324" s="2">
        <v>43.2</v>
      </c>
      <c r="Z4324" s="2">
        <v>0</v>
      </c>
      <c r="AA4324" s="2" t="s">
        <v>163</v>
      </c>
      <c r="AB4324" s="2" t="s">
        <v>21129</v>
      </c>
      <c r="AC4324" s="2">
        <v>-7.9219318403864998</v>
      </c>
      <c r="AD4324" s="2"/>
      <c r="AE4324" s="2">
        <v>0.100583595314582</v>
      </c>
      <c r="AF4324" s="2">
        <v>956.54312128131505</v>
      </c>
      <c r="AG4324" s="2">
        <v>1353.4574907835799</v>
      </c>
      <c r="AH4324" s="4">
        <v>0.70674042427998496</v>
      </c>
      <c r="AI4324" s="4">
        <v>-0.50074766396549597</v>
      </c>
      <c r="AJ4324" s="4" t="s">
        <v>62</v>
      </c>
      <c r="AK4324" s="2">
        <v>0.30608685725058699</v>
      </c>
      <c r="AL4324" s="2">
        <v>0.61580402287249603</v>
      </c>
      <c r="AM4324" s="2">
        <v>980.10316582215603</v>
      </c>
      <c r="AN4324" s="2">
        <v>598.27090307652895</v>
      </c>
      <c r="AO4324" s="2">
        <v>1566.8373017434101</v>
      </c>
      <c r="AP4324" s="2">
        <v>825.78612387787996</v>
      </c>
      <c r="AQ4324" s="2">
        <v>699.56048797890503</v>
      </c>
      <c r="AR4324" s="2">
        <v>1068.7007451890099</v>
      </c>
      <c r="AS4324" s="2">
        <v>1170.1940753212</v>
      </c>
      <c r="AT4324" s="2">
        <v>270.37020132374403</v>
      </c>
      <c r="AU4324" s="2">
        <v>1347.7993036074499</v>
      </c>
      <c r="AV4324" s="2">
        <v>2276.37622992041</v>
      </c>
      <c r="AW4324" s="2">
        <v>2348.3261170839601</v>
      </c>
      <c r="AX4324" s="2">
        <v>707.67901744474602</v>
      </c>
    </row>
    <row r="4325" spans="1:50" x14ac:dyDescent="0.25">
      <c r="A4325" s="2" t="s">
        <v>28460</v>
      </c>
      <c r="B4325" s="2">
        <v>154.042173399071</v>
      </c>
      <c r="C4325" s="2">
        <v>5.3260166666666704</v>
      </c>
      <c r="D4325" s="2" t="s">
        <v>51</v>
      </c>
      <c r="E4325" s="2" t="s">
        <v>28461</v>
      </c>
      <c r="F4325" s="2">
        <v>57208</v>
      </c>
      <c r="G4325" s="3" t="str">
        <f>HYPERLINK("https://cloud.oebiotech.com/#/lm/network/57208", "https://cloud.oebiotech.com/#/lm/network/57208")</f>
        <v>https://cloud.oebiotech.com/#/lm/network/57208</v>
      </c>
      <c r="H4325" s="2" t="s">
        <v>28462</v>
      </c>
      <c r="I4325" s="2">
        <v>88847</v>
      </c>
      <c r="J4325" s="2"/>
      <c r="K4325" s="2">
        <v>592950</v>
      </c>
      <c r="L4325" s="2"/>
      <c r="M4325" s="2"/>
      <c r="N4325" s="2"/>
      <c r="O4325" s="2">
        <v>173417</v>
      </c>
      <c r="P4325" s="2"/>
      <c r="Q4325" s="2"/>
      <c r="R4325" s="2" t="s">
        <v>28463</v>
      </c>
      <c r="S4325" s="2" t="s">
        <v>28464</v>
      </c>
      <c r="T4325" s="2" t="s">
        <v>28465</v>
      </c>
      <c r="U4325" s="2" t="s">
        <v>610</v>
      </c>
      <c r="V4325" s="2" t="s">
        <v>611</v>
      </c>
      <c r="W4325" s="2" t="s">
        <v>14667</v>
      </c>
      <c r="X4325" s="2" t="s">
        <v>147</v>
      </c>
      <c r="Y4325" s="2">
        <v>38.1</v>
      </c>
      <c r="Z4325" s="2">
        <v>0</v>
      </c>
      <c r="AA4325" s="2" t="s">
        <v>122</v>
      </c>
      <c r="AB4325" s="2" t="s">
        <v>28466</v>
      </c>
      <c r="AC4325" s="2">
        <v>2.0026185168857</v>
      </c>
      <c r="AD4325" s="2"/>
      <c r="AE4325" s="2">
        <v>0.100515771524782</v>
      </c>
      <c r="AF4325" s="2">
        <v>1428.88619923845</v>
      </c>
      <c r="AG4325" s="2">
        <v>1718.3755474270799</v>
      </c>
      <c r="AH4325" s="4">
        <v>0.83153313103059601</v>
      </c>
      <c r="AI4325" s="4">
        <v>-0.26615434848689001</v>
      </c>
      <c r="AJ4325" s="4" t="s">
        <v>62</v>
      </c>
      <c r="AK4325" s="2">
        <v>3.5369651972732299E-2</v>
      </c>
      <c r="AL4325" s="2">
        <v>0.27355205673594801</v>
      </c>
      <c r="AM4325" s="2">
        <v>1174.2346593278401</v>
      </c>
      <c r="AN4325" s="2">
        <v>1750.67435362895</v>
      </c>
      <c r="AO4325" s="2">
        <v>1457.1029297013699</v>
      </c>
      <c r="AP4325" s="2">
        <v>1418.5906565167099</v>
      </c>
      <c r="AQ4325" s="2">
        <v>1370.26831756412</v>
      </c>
      <c r="AR4325" s="2">
        <v>1402.44627869173</v>
      </c>
      <c r="AS4325" s="2">
        <v>1685.89241738226</v>
      </c>
      <c r="AT4325" s="2">
        <v>1998.9777357832099</v>
      </c>
      <c r="AU4325" s="2">
        <v>1401.9297853126</v>
      </c>
      <c r="AV4325" s="2">
        <v>1721.02721320097</v>
      </c>
      <c r="AW4325" s="2">
        <v>1564.4290232528599</v>
      </c>
      <c r="AX4325" s="2">
        <v>1937.9971096305801</v>
      </c>
    </row>
    <row r="4326" spans="1:50" x14ac:dyDescent="0.25">
      <c r="A4326" s="2" t="s">
        <v>28467</v>
      </c>
      <c r="B4326" s="2">
        <v>202.09030630574699</v>
      </c>
      <c r="C4326" s="2">
        <v>5.1213666666666704</v>
      </c>
      <c r="D4326" s="2" t="s">
        <v>51</v>
      </c>
      <c r="E4326" s="2" t="s">
        <v>28468</v>
      </c>
      <c r="F4326" s="2">
        <v>56753</v>
      </c>
      <c r="G4326" s="3" t="str">
        <f>HYPERLINK("https://cloud.oebiotech.com/#/lm/network/56753", "https://cloud.oebiotech.com/#/lm/network/56753")</f>
        <v>https://cloud.oebiotech.com/#/lm/network/56753</v>
      </c>
      <c r="H4326" s="2" t="s">
        <v>28469</v>
      </c>
      <c r="I4326" s="2">
        <v>88425</v>
      </c>
      <c r="J4326" s="2"/>
      <c r="K4326" s="2">
        <v>12980878</v>
      </c>
      <c r="L4326" s="2"/>
      <c r="M4326" s="2"/>
      <c r="N4326" s="2"/>
      <c r="O4326" s="2"/>
      <c r="P4326" s="2"/>
      <c r="Q4326" s="2"/>
      <c r="R4326" s="2" t="s">
        <v>28470</v>
      </c>
      <c r="S4326" s="2" t="s">
        <v>28471</v>
      </c>
      <c r="T4326" s="2" t="s">
        <v>28472</v>
      </c>
      <c r="U4326" s="2" t="s">
        <v>1231</v>
      </c>
      <c r="V4326" s="2" t="s">
        <v>15569</v>
      </c>
      <c r="W4326" s="2" t="s">
        <v>18047</v>
      </c>
      <c r="X4326" s="2" t="s">
        <v>147</v>
      </c>
      <c r="Y4326" s="2">
        <v>36.299999999999997</v>
      </c>
      <c r="Z4326" s="2">
        <v>0</v>
      </c>
      <c r="AA4326" s="2" t="s">
        <v>512</v>
      </c>
      <c r="AB4326" s="2" t="s">
        <v>28473</v>
      </c>
      <c r="AC4326" s="2">
        <v>3.6953564345437999</v>
      </c>
      <c r="AD4326" s="2"/>
      <c r="AE4326" s="2">
        <v>0.100505652683756</v>
      </c>
      <c r="AF4326" s="2">
        <v>620.59995300066498</v>
      </c>
      <c r="AG4326" s="2">
        <v>328.97564691307798</v>
      </c>
      <c r="AH4326" s="5">
        <v>1.88646168439526</v>
      </c>
      <c r="AI4326" s="5">
        <v>0.91568279811021802</v>
      </c>
      <c r="AJ4326" s="5" t="s">
        <v>139</v>
      </c>
      <c r="AK4326" s="2">
        <v>2.9066141999823901E-2</v>
      </c>
      <c r="AL4326" s="2">
        <v>0.25833186385172802</v>
      </c>
      <c r="AM4326" s="2">
        <v>552.21663632496995</v>
      </c>
      <c r="AN4326" s="2">
        <v>442.71806007836301</v>
      </c>
      <c r="AO4326" s="2">
        <v>615.93318034716697</v>
      </c>
      <c r="AP4326" s="2">
        <v>614.40703489287205</v>
      </c>
      <c r="AQ4326" s="2">
        <v>897.61254782261801</v>
      </c>
      <c r="AR4326" s="2">
        <v>600.71225853799695</v>
      </c>
      <c r="AS4326" s="2">
        <v>386.30141300414198</v>
      </c>
      <c r="AT4326" s="2">
        <v>727.930957379662</v>
      </c>
      <c r="AU4326" s="2">
        <v>70.452973714673902</v>
      </c>
      <c r="AV4326" s="2">
        <v>266.013442160728</v>
      </c>
      <c r="AW4326" s="2">
        <v>124.14703504401101</v>
      </c>
      <c r="AX4326" s="2">
        <v>399.00806017525298</v>
      </c>
    </row>
    <row r="4327" spans="1:50" x14ac:dyDescent="0.25">
      <c r="A4327" s="2" t="s">
        <v>28474</v>
      </c>
      <c r="B4327" s="2">
        <v>372.27588863393697</v>
      </c>
      <c r="C4327" s="2">
        <v>7.7793999999999999</v>
      </c>
      <c r="D4327" s="2" t="s">
        <v>51</v>
      </c>
      <c r="E4327" s="2" t="s">
        <v>28475</v>
      </c>
      <c r="F4327" s="2">
        <v>4174</v>
      </c>
      <c r="G4327" s="3" t="str">
        <f>HYPERLINK("https://cloud.oebiotech.com/#/lm/network/4174", "https://cloud.oebiotech.com/#/lm/network/4174")</f>
        <v>https://cloud.oebiotech.com/#/lm/network/4174</v>
      </c>
      <c r="H4327" s="2" t="s">
        <v>28476</v>
      </c>
      <c r="I4327" s="2">
        <v>36376</v>
      </c>
      <c r="J4327" s="2" t="s">
        <v>28477</v>
      </c>
      <c r="K4327" s="2">
        <v>5283212</v>
      </c>
      <c r="L4327" s="2"/>
      <c r="M4327" s="2"/>
      <c r="N4327" s="2"/>
      <c r="O4327" s="2"/>
      <c r="P4327" s="2"/>
      <c r="Q4327" s="2"/>
      <c r="R4327" s="2" t="s">
        <v>28478</v>
      </c>
      <c r="S4327" s="2" t="s">
        <v>28479</v>
      </c>
      <c r="T4327" s="2" t="s">
        <v>28480</v>
      </c>
      <c r="U4327" s="2" t="s">
        <v>56</v>
      </c>
      <c r="V4327" s="2" t="s">
        <v>145</v>
      </c>
      <c r="W4327" s="2" t="s">
        <v>187</v>
      </c>
      <c r="X4327" s="2" t="s">
        <v>69</v>
      </c>
      <c r="Y4327" s="2">
        <v>54.8</v>
      </c>
      <c r="Z4327" s="2">
        <v>56.9</v>
      </c>
      <c r="AA4327" s="2" t="s">
        <v>512</v>
      </c>
      <c r="AB4327" s="2" t="s">
        <v>550</v>
      </c>
      <c r="AC4327" s="2">
        <v>4.0619727359910103</v>
      </c>
      <c r="AD4327" s="2"/>
      <c r="AE4327" s="2">
        <v>0.100494456253871</v>
      </c>
      <c r="AF4327" s="2">
        <v>6678.0736068439401</v>
      </c>
      <c r="AG4327" s="2">
        <v>5812.0825785934503</v>
      </c>
      <c r="AH4327" s="5">
        <v>1.1489984040213099</v>
      </c>
      <c r="AI4327" s="5">
        <v>0.200376794057013</v>
      </c>
      <c r="AJ4327" s="5" t="s">
        <v>139</v>
      </c>
      <c r="AK4327" s="2">
        <v>0.64149630872844499</v>
      </c>
      <c r="AL4327" s="2">
        <v>0.82479731561737402</v>
      </c>
      <c r="AM4327" s="2">
        <v>5814.2652048828304</v>
      </c>
      <c r="AN4327" s="2">
        <v>10467.3359690859</v>
      </c>
      <c r="AO4327" s="2">
        <v>6804.1734960035501</v>
      </c>
      <c r="AP4327" s="2">
        <v>4517.1809350748699</v>
      </c>
      <c r="AQ4327" s="2">
        <v>5947.9104804426997</v>
      </c>
      <c r="AR4327" s="2">
        <v>6517.5755555737996</v>
      </c>
      <c r="AS4327" s="2">
        <v>6441.3078664884697</v>
      </c>
      <c r="AT4327" s="2">
        <v>2015.2599862903</v>
      </c>
      <c r="AU4327" s="2">
        <v>10335.2232888741</v>
      </c>
      <c r="AV4327" s="2">
        <v>2353.0106889870799</v>
      </c>
      <c r="AW4327" s="2">
        <v>10593.284620648001</v>
      </c>
      <c r="AX4327" s="2">
        <v>3134.4090202727398</v>
      </c>
    </row>
    <row r="4328" spans="1:50" x14ac:dyDescent="0.25">
      <c r="A4328" s="2" t="s">
        <v>28481</v>
      </c>
      <c r="B4328" s="2">
        <v>327.23265042204099</v>
      </c>
      <c r="C4328" s="2">
        <v>12.2734166666667</v>
      </c>
      <c r="D4328" s="2" t="s">
        <v>51</v>
      </c>
      <c r="E4328" s="2" t="s">
        <v>28482</v>
      </c>
      <c r="F4328" s="2">
        <v>1512</v>
      </c>
      <c r="G4328" s="3" t="str">
        <f>HYPERLINK("https://cloud.oebiotech.com/#/lm/network/1512", "https://cloud.oebiotech.com/#/lm/network/1512")</f>
        <v>https://cloud.oebiotech.com/#/lm/network/1512</v>
      </c>
      <c r="H4328" s="2"/>
      <c r="I4328" s="2"/>
      <c r="J4328" s="2" t="s">
        <v>28483</v>
      </c>
      <c r="K4328" s="2">
        <v>21773622</v>
      </c>
      <c r="L4328" s="2"/>
      <c r="M4328" s="2"/>
      <c r="N4328" s="2"/>
      <c r="O4328" s="2"/>
      <c r="P4328" s="2"/>
      <c r="Q4328" s="2"/>
      <c r="R4328" s="2"/>
      <c r="S4328" s="2" t="s">
        <v>28484</v>
      </c>
      <c r="T4328" s="2" t="s">
        <v>28485</v>
      </c>
      <c r="U4328" s="2" t="s">
        <v>56</v>
      </c>
      <c r="V4328" s="2" t="s">
        <v>145</v>
      </c>
      <c r="W4328" s="2" t="s">
        <v>231</v>
      </c>
      <c r="X4328" s="2" t="s">
        <v>69</v>
      </c>
      <c r="Y4328" s="2">
        <v>54.7</v>
      </c>
      <c r="Z4328" s="2">
        <v>57.5</v>
      </c>
      <c r="AA4328" s="2" t="s">
        <v>259</v>
      </c>
      <c r="AB4328" s="2" t="s">
        <v>7111</v>
      </c>
      <c r="AC4328" s="2">
        <v>2.4332587691529599</v>
      </c>
      <c r="AD4328" s="2"/>
      <c r="AE4328" s="2">
        <v>0.10033413655644</v>
      </c>
      <c r="AF4328" s="2">
        <v>4374.5127390960597</v>
      </c>
      <c r="AG4328" s="2">
        <v>4191.9962444223902</v>
      </c>
      <c r="AH4328" s="5">
        <v>1.04353927914809</v>
      </c>
      <c r="AI4328" s="5">
        <v>6.1484905016821599E-2</v>
      </c>
      <c r="AJ4328" s="5" t="s">
        <v>139</v>
      </c>
      <c r="AK4328" s="2">
        <v>0.93015243139417103</v>
      </c>
      <c r="AL4328" s="2">
        <v>0.97001844110086</v>
      </c>
      <c r="AM4328" s="2">
        <v>9308.9740737293105</v>
      </c>
      <c r="AN4328" s="2">
        <v>4020.6871390769002</v>
      </c>
      <c r="AO4328" s="2">
        <v>3958.5606995564099</v>
      </c>
      <c r="AP4328" s="2">
        <v>4271.1402516362796</v>
      </c>
      <c r="AQ4328" s="2">
        <v>850.73656055225501</v>
      </c>
      <c r="AR4328" s="2">
        <v>3836.9777100251799</v>
      </c>
      <c r="AS4328" s="2">
        <v>4555.7050802519798</v>
      </c>
      <c r="AT4328" s="2">
        <v>11758.553079519799</v>
      </c>
      <c r="AU4328" s="2">
        <v>2312.3156233496202</v>
      </c>
      <c r="AV4328" s="2">
        <v>391.87929269326401</v>
      </c>
      <c r="AW4328" s="2">
        <v>1012.99432522181</v>
      </c>
      <c r="AX4328" s="2">
        <v>5120.5300654978801</v>
      </c>
    </row>
    <row r="4329" spans="1:50" x14ac:dyDescent="0.25">
      <c r="A4329" s="2" t="s">
        <v>28486</v>
      </c>
      <c r="B4329" s="2">
        <v>881.57693870720402</v>
      </c>
      <c r="C4329" s="2">
        <v>8.6046999999999993</v>
      </c>
      <c r="D4329" s="2" t="s">
        <v>51</v>
      </c>
      <c r="E4329" s="2" t="s">
        <v>28487</v>
      </c>
      <c r="F4329" s="2">
        <v>37436</v>
      </c>
      <c r="G4329" s="3" t="str">
        <f>HYPERLINK("https://cloud.oebiotech.com/#/lm/network/37436", "https://cloud.oebiotech.com/#/lm/network/37436")</f>
        <v>https://cloud.oebiotech.com/#/lm/network/37436</v>
      </c>
      <c r="H4329" s="2"/>
      <c r="I4329" s="2">
        <v>102915</v>
      </c>
      <c r="J4329" s="2" t="s">
        <v>28488</v>
      </c>
      <c r="K4329" s="2">
        <v>52929833</v>
      </c>
      <c r="L4329" s="2"/>
      <c r="M4329" s="2"/>
      <c r="N4329" s="2"/>
      <c r="O4329" s="2"/>
      <c r="P4329" s="2"/>
      <c r="Q4329" s="2"/>
      <c r="R4329" s="2"/>
      <c r="S4329" s="2" t="s">
        <v>28489</v>
      </c>
      <c r="T4329" s="2" t="s">
        <v>28490</v>
      </c>
      <c r="U4329" s="2" t="s">
        <v>56</v>
      </c>
      <c r="V4329" s="2" t="s">
        <v>177</v>
      </c>
      <c r="W4329" s="2" t="s">
        <v>1463</v>
      </c>
      <c r="X4329" s="2" t="s">
        <v>147</v>
      </c>
      <c r="Y4329" s="2">
        <v>37.6</v>
      </c>
      <c r="Z4329" s="2">
        <v>0</v>
      </c>
      <c r="AA4329" s="2" t="s">
        <v>163</v>
      </c>
      <c r="AB4329" s="2" t="s">
        <v>28491</v>
      </c>
      <c r="AC4329" s="2">
        <v>1.137334238122</v>
      </c>
      <c r="AD4329" s="2"/>
      <c r="AE4329" s="2">
        <v>0.10030668610261199</v>
      </c>
      <c r="AF4329" s="2">
        <v>16248.896609445101</v>
      </c>
      <c r="AG4329" s="2">
        <v>15424.33089771</v>
      </c>
      <c r="AH4329" s="5">
        <v>1.0534587670093001</v>
      </c>
      <c r="AI4329" s="5">
        <v>7.5133847334758905E-2</v>
      </c>
      <c r="AJ4329" s="5" t="s">
        <v>139</v>
      </c>
      <c r="AK4329" s="2">
        <v>0.78479834440236595</v>
      </c>
      <c r="AL4329" s="2">
        <v>0.90560695252028101</v>
      </c>
      <c r="AM4329" s="2">
        <v>16312.2908760634</v>
      </c>
      <c r="AN4329" s="2">
        <v>16425.658401147601</v>
      </c>
      <c r="AO4329" s="2">
        <v>25887.4477377685</v>
      </c>
      <c r="AP4329" s="2">
        <v>6359.5660940015596</v>
      </c>
      <c r="AQ4329" s="2">
        <v>18029.241686710498</v>
      </c>
      <c r="AR4329" s="2">
        <v>14479.174860978899</v>
      </c>
      <c r="AS4329" s="2">
        <v>10760.7019305349</v>
      </c>
      <c r="AT4329" s="2">
        <v>12080.637391959801</v>
      </c>
      <c r="AU4329" s="2">
        <v>14916.631469346799</v>
      </c>
      <c r="AV4329" s="2">
        <v>19265.286255563002</v>
      </c>
      <c r="AW4329" s="2">
        <v>16475.083614085401</v>
      </c>
      <c r="AX4329" s="2">
        <v>19047.6447247701</v>
      </c>
    </row>
    <row r="4330" spans="1:50" x14ac:dyDescent="0.25">
      <c r="A4330" s="2" t="s">
        <v>28492</v>
      </c>
      <c r="B4330" s="2">
        <v>642.24919350074697</v>
      </c>
      <c r="C4330" s="2">
        <v>10.252599999999999</v>
      </c>
      <c r="D4330" s="2" t="s">
        <v>51</v>
      </c>
      <c r="E4330" s="2" t="s">
        <v>28493</v>
      </c>
      <c r="F4330" s="2">
        <v>64520</v>
      </c>
      <c r="G4330" s="3" t="str">
        <f>HYPERLINK("https://cloud.oebiotech.com/#/lm/network/64520", "https://cloud.oebiotech.com/#/lm/network/64520")</f>
        <v>https://cloud.oebiotech.com/#/lm/network/64520</v>
      </c>
      <c r="H4330" s="2" t="s">
        <v>28494</v>
      </c>
      <c r="I4330" s="2">
        <v>95827</v>
      </c>
      <c r="J4330" s="2"/>
      <c r="K4330" s="2">
        <v>11764751</v>
      </c>
      <c r="L4330" s="2"/>
      <c r="M4330" s="2"/>
      <c r="N4330" s="2"/>
      <c r="O4330" s="2"/>
      <c r="P4330" s="2"/>
      <c r="Q4330" s="2"/>
      <c r="R4330" s="2" t="s">
        <v>28495</v>
      </c>
      <c r="S4330" s="2" t="s">
        <v>28496</v>
      </c>
      <c r="T4330" s="2" t="s">
        <v>28497</v>
      </c>
      <c r="U4330" s="2" t="s">
        <v>266</v>
      </c>
      <c r="V4330" s="2" t="s">
        <v>445</v>
      </c>
      <c r="W4330" s="2" t="s">
        <v>3500</v>
      </c>
      <c r="X4330" s="2" t="s">
        <v>147</v>
      </c>
      <c r="Y4330" s="2">
        <v>37.5</v>
      </c>
      <c r="Z4330" s="2">
        <v>0</v>
      </c>
      <c r="AA4330" s="2" t="s">
        <v>122</v>
      </c>
      <c r="AB4330" s="2" t="s">
        <v>28498</v>
      </c>
      <c r="AC4330" s="2">
        <v>2.1153419805034299</v>
      </c>
      <c r="AD4330" s="2"/>
      <c r="AE4330" s="2">
        <v>0.100293668553294</v>
      </c>
      <c r="AF4330" s="2">
        <v>6932.5495810235698</v>
      </c>
      <c r="AG4330" s="2">
        <v>7586.6162071348399</v>
      </c>
      <c r="AH4330" s="4">
        <v>0.91378677815596498</v>
      </c>
      <c r="AI4330" s="4">
        <v>-0.13007052695997801</v>
      </c>
      <c r="AJ4330" s="4" t="s">
        <v>62</v>
      </c>
      <c r="AK4330" s="2">
        <v>0.57457917541615</v>
      </c>
      <c r="AL4330" s="2">
        <v>0.78564459545109699</v>
      </c>
      <c r="AM4330" s="2">
        <v>7310.7656750922297</v>
      </c>
      <c r="AN4330" s="2">
        <v>7965.3010520845</v>
      </c>
      <c r="AO4330" s="2">
        <v>8835.7535385623596</v>
      </c>
      <c r="AP4330" s="2">
        <v>5023.9313938362202</v>
      </c>
      <c r="AQ4330" s="2">
        <v>5506.0311820335701</v>
      </c>
      <c r="AR4330" s="2">
        <v>6953.5146445325599</v>
      </c>
      <c r="AS4330" s="2">
        <v>10762.580361833499</v>
      </c>
      <c r="AT4330" s="2">
        <v>4399.6027620921304</v>
      </c>
      <c r="AU4330" s="2">
        <v>5367.5449609144098</v>
      </c>
      <c r="AV4330" s="2">
        <v>9044.0529181762904</v>
      </c>
      <c r="AW4330" s="2">
        <v>7883.3542169275897</v>
      </c>
      <c r="AX4330" s="2">
        <v>8062.5620228651096</v>
      </c>
    </row>
    <row r="4331" spans="1:50" x14ac:dyDescent="0.25">
      <c r="A4331" s="2" t="s">
        <v>28499</v>
      </c>
      <c r="B4331" s="2">
        <v>469.35355752329701</v>
      </c>
      <c r="C4331" s="2">
        <v>12.2162666666667</v>
      </c>
      <c r="D4331" s="2" t="s">
        <v>51</v>
      </c>
      <c r="E4331" s="2" t="s">
        <v>28500</v>
      </c>
      <c r="F4331" s="2">
        <v>10282</v>
      </c>
      <c r="G4331" s="3" t="str">
        <f>HYPERLINK("https://cloud.oebiotech.com/#/lm/network/10282", "https://cloud.oebiotech.com/#/lm/network/10282")</f>
        <v>https://cloud.oebiotech.com/#/lm/network/10282</v>
      </c>
      <c r="H4331" s="2"/>
      <c r="I4331" s="2"/>
      <c r="J4331" s="2" t="s">
        <v>28501</v>
      </c>
      <c r="K4331" s="2">
        <v>86289708</v>
      </c>
      <c r="L4331" s="2"/>
      <c r="M4331" s="2"/>
      <c r="N4331" s="2"/>
      <c r="O4331" s="2">
        <v>78975</v>
      </c>
      <c r="P4331" s="2"/>
      <c r="Q4331" s="2"/>
      <c r="R4331" s="2"/>
      <c r="S4331" s="2" t="s">
        <v>28502</v>
      </c>
      <c r="T4331" s="2" t="s">
        <v>28503</v>
      </c>
      <c r="U4331" s="2" t="s">
        <v>56</v>
      </c>
      <c r="V4331" s="2" t="s">
        <v>145</v>
      </c>
      <c r="W4331" s="2" t="s">
        <v>231</v>
      </c>
      <c r="X4331" s="2" t="s">
        <v>83</v>
      </c>
      <c r="Y4331" s="2">
        <v>41</v>
      </c>
      <c r="Z4331" s="2">
        <v>0</v>
      </c>
      <c r="AA4331" s="2" t="s">
        <v>163</v>
      </c>
      <c r="AB4331" s="2" t="s">
        <v>28504</v>
      </c>
      <c r="AC4331" s="2">
        <v>0.20119544112711399</v>
      </c>
      <c r="AD4331" s="2"/>
      <c r="AE4331" s="2">
        <v>0.100283224862092</v>
      </c>
      <c r="AF4331" s="2">
        <v>4390.4979489378102</v>
      </c>
      <c r="AG4331" s="2">
        <v>3714.1966905842501</v>
      </c>
      <c r="AH4331" s="5">
        <v>1.1820854722282299</v>
      </c>
      <c r="AI4331" s="5">
        <v>0.24133435522918101</v>
      </c>
      <c r="AJ4331" s="5" t="s">
        <v>139</v>
      </c>
      <c r="AK4331" s="2">
        <v>0.64351911593134403</v>
      </c>
      <c r="AL4331" s="2">
        <v>0.82609223444636803</v>
      </c>
      <c r="AM4331" s="2">
        <v>8363.9077095040502</v>
      </c>
      <c r="AN4331" s="2">
        <v>3707.2341680309701</v>
      </c>
      <c r="AO4331" s="2">
        <v>3295.9945588965402</v>
      </c>
      <c r="AP4331" s="2">
        <v>4506.2915332673401</v>
      </c>
      <c r="AQ4331" s="2">
        <v>3429.17897258935</v>
      </c>
      <c r="AR4331" s="2">
        <v>3040.3807513386</v>
      </c>
      <c r="AS4331" s="2">
        <v>4177.1679491266405</v>
      </c>
      <c r="AT4331" s="2">
        <v>5129.0846291416101</v>
      </c>
      <c r="AU4331" s="2">
        <v>879.51827935773701</v>
      </c>
      <c r="AV4331" s="2">
        <v>1435.80528471559</v>
      </c>
      <c r="AW4331" s="2">
        <v>8444.8571221262791</v>
      </c>
      <c r="AX4331" s="2">
        <v>2218.7468790376302</v>
      </c>
    </row>
    <row r="4332" spans="1:50" x14ac:dyDescent="0.25">
      <c r="A4332" s="2" t="s">
        <v>28505</v>
      </c>
      <c r="B4332" s="2">
        <v>258.09278347997002</v>
      </c>
      <c r="C4332" s="2">
        <v>4.7092833333333299</v>
      </c>
      <c r="D4332" s="2" t="s">
        <v>51</v>
      </c>
      <c r="E4332" s="2" t="s">
        <v>28506</v>
      </c>
      <c r="F4332" s="2">
        <v>206827</v>
      </c>
      <c r="G4332" s="3" t="str">
        <f>HYPERLINK("https://cloud.oebiotech.com/#/lm/network/206827", "https://cloud.oebiotech.com/#/lm/network/206827")</f>
        <v>https://cloud.oebiotech.com/#/lm/network/206827</v>
      </c>
      <c r="H4332" s="2" t="s">
        <v>28507</v>
      </c>
      <c r="I4332" s="2">
        <v>314392</v>
      </c>
      <c r="J4332" s="2"/>
      <c r="K4332" s="2">
        <v>68942</v>
      </c>
      <c r="L4332" s="2"/>
      <c r="M4332" s="2"/>
      <c r="N4332" s="2"/>
      <c r="O4332" s="2"/>
      <c r="P4332" s="2"/>
      <c r="Q4332" s="2"/>
      <c r="R4332" s="2"/>
      <c r="S4332" s="2" t="s">
        <v>28508</v>
      </c>
      <c r="T4332" s="2" t="s">
        <v>28509</v>
      </c>
      <c r="U4332" s="2" t="s">
        <v>610</v>
      </c>
      <c r="V4332" s="2" t="s">
        <v>14762</v>
      </c>
      <c r="W4332" s="2" t="s">
        <v>23206</v>
      </c>
      <c r="X4332" s="2" t="s">
        <v>147</v>
      </c>
      <c r="Y4332" s="2">
        <v>37.5</v>
      </c>
      <c r="Z4332" s="2">
        <v>0</v>
      </c>
      <c r="AA4332" s="2" t="s">
        <v>512</v>
      </c>
      <c r="AB4332" s="2" t="s">
        <v>28510</v>
      </c>
      <c r="AC4332" s="2">
        <v>1.2505369447293999</v>
      </c>
      <c r="AD4332" s="2"/>
      <c r="AE4332" s="2">
        <v>0.100260792577176</v>
      </c>
      <c r="AF4332" s="2">
        <v>1007.78555530879</v>
      </c>
      <c r="AG4332" s="2">
        <v>723.73981027732896</v>
      </c>
      <c r="AH4332" s="5">
        <v>1.39246942201869</v>
      </c>
      <c r="AI4332" s="5">
        <v>0.47764564700059398</v>
      </c>
      <c r="AJ4332" s="5" t="s">
        <v>139</v>
      </c>
      <c r="AK4332" s="2">
        <v>0.30220060287927297</v>
      </c>
      <c r="AL4332" s="2">
        <v>0.61153432066882796</v>
      </c>
      <c r="AM4332" s="2">
        <v>1710.91684556365</v>
      </c>
      <c r="AN4332" s="2">
        <v>1368.35162565111</v>
      </c>
      <c r="AO4332" s="2">
        <v>789.46506694755305</v>
      </c>
      <c r="AP4332" s="2">
        <v>626.22453706680596</v>
      </c>
      <c r="AQ4332" s="2">
        <v>766.09784313363605</v>
      </c>
      <c r="AR4332" s="2">
        <v>785.65741348997506</v>
      </c>
      <c r="AS4332" s="2">
        <v>495.78540361390799</v>
      </c>
      <c r="AT4332" s="2">
        <v>265.70395681939402</v>
      </c>
      <c r="AU4332" s="2">
        <v>1598.5689450309201</v>
      </c>
      <c r="AV4332" s="2">
        <v>496.92801575948698</v>
      </c>
      <c r="AW4332" s="2">
        <v>599.90480547356799</v>
      </c>
      <c r="AX4332" s="2">
        <v>885.54773496669702</v>
      </c>
    </row>
    <row r="4333" spans="1:50" x14ac:dyDescent="0.25">
      <c r="A4333" s="2" t="s">
        <v>28511</v>
      </c>
      <c r="B4333" s="2">
        <v>303.03247162263199</v>
      </c>
      <c r="C4333" s="2">
        <v>0.99048333333333305</v>
      </c>
      <c r="D4333" s="2" t="s">
        <v>51</v>
      </c>
      <c r="E4333" s="2" t="s">
        <v>28512</v>
      </c>
      <c r="F4333" s="2">
        <v>53570</v>
      </c>
      <c r="G4333" s="3" t="str">
        <f>HYPERLINK("https://cloud.oebiotech.com/#/lm/network/53570", "https://cloud.oebiotech.com/#/lm/network/53570")</f>
        <v>https://cloud.oebiotech.com/#/lm/network/53570</v>
      </c>
      <c r="H4333" s="2" t="s">
        <v>28513</v>
      </c>
      <c r="I4333" s="2">
        <v>44260</v>
      </c>
      <c r="J4333" s="2"/>
      <c r="K4333" s="2">
        <v>5325</v>
      </c>
      <c r="L4333" s="2"/>
      <c r="M4333" s="2"/>
      <c r="N4333" s="2"/>
      <c r="O4333" s="2">
        <v>102130</v>
      </c>
      <c r="P4333" s="2"/>
      <c r="Q4333" s="2"/>
      <c r="R4333" s="2" t="s">
        <v>28514</v>
      </c>
      <c r="S4333" s="2" t="s">
        <v>28515</v>
      </c>
      <c r="T4333" s="2" t="s">
        <v>28516</v>
      </c>
      <c r="U4333" s="2" t="s">
        <v>610</v>
      </c>
      <c r="V4333" s="2" t="s">
        <v>611</v>
      </c>
      <c r="W4333" s="2" t="s">
        <v>5656</v>
      </c>
      <c r="X4333" s="2" t="s">
        <v>147</v>
      </c>
      <c r="Y4333" s="2">
        <v>36.9</v>
      </c>
      <c r="Z4333" s="2">
        <v>0</v>
      </c>
      <c r="AA4333" s="2" t="s">
        <v>395</v>
      </c>
      <c r="AB4333" s="2" t="s">
        <v>28517</v>
      </c>
      <c r="AC4333" s="2">
        <v>4.6082790286608803</v>
      </c>
      <c r="AD4333" s="2"/>
      <c r="AE4333" s="2">
        <v>0.100158675622983</v>
      </c>
      <c r="AF4333" s="2">
        <v>7794.7271992714104</v>
      </c>
      <c r="AG4333" s="2">
        <v>8087.7472670715597</v>
      </c>
      <c r="AH4333" s="4">
        <v>0.96376987829563499</v>
      </c>
      <c r="AI4333" s="4">
        <v>-5.3239383156418102E-2</v>
      </c>
      <c r="AJ4333" s="4" t="s">
        <v>62</v>
      </c>
      <c r="AK4333" s="2">
        <v>0.91493551876205303</v>
      </c>
      <c r="AL4333" s="2">
        <v>0.96366058811687005</v>
      </c>
      <c r="AM4333" s="2">
        <v>1005.14761428895</v>
      </c>
      <c r="AN4333" s="2">
        <v>8714.0052696861094</v>
      </c>
      <c r="AO4333" s="2">
        <v>14348.860280897799</v>
      </c>
      <c r="AP4333" s="2">
        <v>10745.682002862</v>
      </c>
      <c r="AQ4333" s="2">
        <v>5585.62655594637</v>
      </c>
      <c r="AR4333" s="2">
        <v>6369.0414719472501</v>
      </c>
      <c r="AS4333" s="2">
        <v>6722.43367116234</v>
      </c>
      <c r="AT4333" s="2">
        <v>5229.6776113900196</v>
      </c>
      <c r="AU4333" s="2">
        <v>3531.5564378276099</v>
      </c>
      <c r="AV4333" s="2">
        <v>7146.3857417188101</v>
      </c>
      <c r="AW4333" s="2">
        <v>16833.683421158501</v>
      </c>
      <c r="AX4333" s="2">
        <v>9062.7467191720898</v>
      </c>
    </row>
    <row r="4334" spans="1:50" x14ac:dyDescent="0.25">
      <c r="A4334" s="2" t="s">
        <v>28518</v>
      </c>
      <c r="B4334" s="2">
        <v>313.17020705712099</v>
      </c>
      <c r="C4334" s="2">
        <v>3.8365666666666698</v>
      </c>
      <c r="D4334" s="2" t="s">
        <v>51</v>
      </c>
      <c r="E4334" s="2" t="s">
        <v>28519</v>
      </c>
      <c r="F4334" s="2">
        <v>48469</v>
      </c>
      <c r="G4334" s="3" t="str">
        <f>HYPERLINK("https://cloud.oebiotech.com/#/lm/network/48469", "https://cloud.oebiotech.com/#/lm/network/48469")</f>
        <v>https://cloud.oebiotech.com/#/lm/network/48469</v>
      </c>
      <c r="H4334" s="2" t="s">
        <v>28520</v>
      </c>
      <c r="I4334" s="2">
        <v>2612</v>
      </c>
      <c r="J4334" s="2"/>
      <c r="K4334" s="2">
        <v>5358</v>
      </c>
      <c r="L4334" s="2" t="s">
        <v>28521</v>
      </c>
      <c r="M4334" s="2"/>
      <c r="N4334" s="2"/>
      <c r="O4334" s="2">
        <v>10650</v>
      </c>
      <c r="P4334" s="2"/>
      <c r="Q4334" s="2"/>
      <c r="R4334" s="2" t="s">
        <v>28522</v>
      </c>
      <c r="S4334" s="2" t="s">
        <v>28523</v>
      </c>
      <c r="T4334" s="2" t="s">
        <v>28524</v>
      </c>
      <c r="U4334" s="2" t="s">
        <v>266</v>
      </c>
      <c r="V4334" s="2" t="s">
        <v>445</v>
      </c>
      <c r="W4334" s="2" t="s">
        <v>3500</v>
      </c>
      <c r="X4334" s="2" t="s">
        <v>147</v>
      </c>
      <c r="Y4334" s="2">
        <v>36.200000000000003</v>
      </c>
      <c r="Z4334" s="2">
        <v>0</v>
      </c>
      <c r="AA4334" s="2" t="s">
        <v>512</v>
      </c>
      <c r="AB4334" s="2" t="s">
        <v>28525</v>
      </c>
      <c r="AC4334" s="2">
        <v>3.1632937956522702</v>
      </c>
      <c r="AD4334" s="2"/>
      <c r="AE4334" s="2">
        <v>0.10007840066616699</v>
      </c>
      <c r="AF4334" s="2">
        <v>10405.7126114068</v>
      </c>
      <c r="AG4334" s="2">
        <v>10905.9153591225</v>
      </c>
      <c r="AH4334" s="4">
        <v>0.95413473044266395</v>
      </c>
      <c r="AI4334" s="4">
        <v>-6.7735095724397801E-2</v>
      </c>
      <c r="AJ4334" s="4" t="s">
        <v>62</v>
      </c>
      <c r="AK4334" s="2">
        <v>0.94921988111076105</v>
      </c>
      <c r="AL4334" s="2">
        <v>0.97875606918993896</v>
      </c>
      <c r="AM4334" s="2">
        <v>5171.4981405430699</v>
      </c>
      <c r="AN4334" s="2">
        <v>5466.2869455560904</v>
      </c>
      <c r="AO4334" s="2">
        <v>12319.9726175989</v>
      </c>
      <c r="AP4334" s="2">
        <v>2342.5674785282899</v>
      </c>
      <c r="AQ4334" s="2">
        <v>3391.1322162392698</v>
      </c>
      <c r="AR4334" s="2">
        <v>33742.818269975302</v>
      </c>
      <c r="AS4334" s="2">
        <v>656.80667531459801</v>
      </c>
      <c r="AT4334" s="2">
        <v>2085.1043283894201</v>
      </c>
      <c r="AU4334" s="2">
        <v>5868.8113174089603</v>
      </c>
      <c r="AV4334" s="2">
        <v>39403.617456515603</v>
      </c>
      <c r="AW4334" s="2">
        <v>11527.026536744799</v>
      </c>
      <c r="AX4334" s="2">
        <v>5894.1258403613701</v>
      </c>
    </row>
    <row r="4335" spans="1:50" x14ac:dyDescent="0.25">
      <c r="A4335" s="2" t="s">
        <v>28526</v>
      </c>
      <c r="B4335" s="2">
        <v>154.12307858561101</v>
      </c>
      <c r="C4335" s="2">
        <v>5.5685333333333302</v>
      </c>
      <c r="D4335" s="2" t="s">
        <v>51</v>
      </c>
      <c r="E4335" s="2" t="s">
        <v>28527</v>
      </c>
      <c r="F4335" s="2">
        <v>202434</v>
      </c>
      <c r="G4335" s="3" t="str">
        <f>HYPERLINK("https://cloud.oebiotech.com/#/lm/network/202434", "https://cloud.oebiotech.com/#/lm/network/202434")</f>
        <v>https://cloud.oebiotech.com/#/lm/network/202434</v>
      </c>
      <c r="H4335" s="2" t="s">
        <v>28528</v>
      </c>
      <c r="I4335" s="2">
        <v>351125</v>
      </c>
      <c r="J4335" s="2"/>
      <c r="K4335" s="2">
        <v>47457</v>
      </c>
      <c r="L4335" s="2"/>
      <c r="M4335" s="2"/>
      <c r="N4335" s="2"/>
      <c r="O4335" s="2"/>
      <c r="P4335" s="2"/>
      <c r="Q4335" s="2"/>
      <c r="R4335" s="2"/>
      <c r="S4335" s="2" t="s">
        <v>28529</v>
      </c>
      <c r="T4335" s="2" t="s">
        <v>28530</v>
      </c>
      <c r="U4335" s="2" t="s">
        <v>266</v>
      </c>
      <c r="V4335" s="2" t="s">
        <v>25573</v>
      </c>
      <c r="W4335" s="2" t="s">
        <v>240</v>
      </c>
      <c r="X4335" s="2" t="s">
        <v>83</v>
      </c>
      <c r="Y4335" s="2">
        <v>45</v>
      </c>
      <c r="Z4335" s="2">
        <v>0</v>
      </c>
      <c r="AA4335" s="2" t="s">
        <v>259</v>
      </c>
      <c r="AB4335" s="2" t="s">
        <v>28531</v>
      </c>
      <c r="AC4335" s="2">
        <v>2.86090297373257</v>
      </c>
      <c r="AD4335" s="2"/>
      <c r="AE4335" s="2">
        <v>0.10004817553768799</v>
      </c>
      <c r="AF4335" s="2">
        <v>926.48206031947802</v>
      </c>
      <c r="AG4335" s="2">
        <v>432.498188756231</v>
      </c>
      <c r="AH4335" s="5">
        <v>2.1421640238166901</v>
      </c>
      <c r="AI4335" s="5">
        <v>1.09906895034361</v>
      </c>
      <c r="AJ4335" s="5" t="s">
        <v>139</v>
      </c>
      <c r="AK4335" s="2">
        <v>0.12767564477398</v>
      </c>
      <c r="AL4335" s="2">
        <v>0.44626309510015799</v>
      </c>
      <c r="AM4335" s="2">
        <v>510.03483953117899</v>
      </c>
      <c r="AN4335" s="2">
        <v>648.77821355230003</v>
      </c>
      <c r="AO4335" s="2">
        <v>491.38373474031403</v>
      </c>
      <c r="AP4335" s="2">
        <v>654.86225307438599</v>
      </c>
      <c r="AQ4335" s="2">
        <v>2384.4407933285502</v>
      </c>
      <c r="AR4335" s="2">
        <v>869.39252769014001</v>
      </c>
      <c r="AS4335" s="2">
        <v>384.94117790599199</v>
      </c>
      <c r="AT4335" s="2">
        <v>482.18337971550397</v>
      </c>
      <c r="AU4335" s="2">
        <v>390.11172243980002</v>
      </c>
      <c r="AV4335" s="2">
        <v>442.43798955618797</v>
      </c>
      <c r="AW4335" s="2">
        <v>489.28630223373</v>
      </c>
      <c r="AX4335" s="2">
        <v>406.02856068617399</v>
      </c>
    </row>
    <row r="4336" spans="1:50" x14ac:dyDescent="0.25">
      <c r="A4336" s="2" t="s">
        <v>28532</v>
      </c>
      <c r="B4336" s="2">
        <v>280.99090673301799</v>
      </c>
      <c r="C4336" s="2">
        <v>5.4257166666666699</v>
      </c>
      <c r="D4336" s="2" t="s">
        <v>51</v>
      </c>
      <c r="E4336" s="2" t="s">
        <v>28533</v>
      </c>
      <c r="F4336" s="2">
        <v>202254</v>
      </c>
      <c r="G4336" s="3" t="str">
        <f>HYPERLINK("https://cloud.oebiotech.com/#/lm/network/202254", "https://cloud.oebiotech.com/#/lm/network/202254")</f>
        <v>https://cloud.oebiotech.com/#/lm/network/202254</v>
      </c>
      <c r="H4336" s="2" t="s">
        <v>28534</v>
      </c>
      <c r="I4336" s="2"/>
      <c r="J4336" s="2"/>
      <c r="K4336" s="2">
        <v>62097</v>
      </c>
      <c r="L4336" s="2"/>
      <c r="M4336" s="2"/>
      <c r="N4336" s="2"/>
      <c r="O4336" s="2">
        <v>83279</v>
      </c>
      <c r="P4336" s="2"/>
      <c r="Q4336" s="2"/>
      <c r="R4336" s="2"/>
      <c r="S4336" s="2" t="s">
        <v>28535</v>
      </c>
      <c r="T4336" s="2" t="s">
        <v>28536</v>
      </c>
      <c r="U4336" s="2" t="s">
        <v>103</v>
      </c>
      <c r="V4336" s="2" t="s">
        <v>7841</v>
      </c>
      <c r="W4336" s="2" t="s">
        <v>240</v>
      </c>
      <c r="X4336" s="2" t="s">
        <v>147</v>
      </c>
      <c r="Y4336" s="2">
        <v>37.9</v>
      </c>
      <c r="Z4336" s="2">
        <v>0</v>
      </c>
      <c r="AA4336" s="2" t="s">
        <v>122</v>
      </c>
      <c r="AB4336" s="2" t="s">
        <v>28537</v>
      </c>
      <c r="AC4336" s="2">
        <v>-1.31675170170186</v>
      </c>
      <c r="AD4336" s="2"/>
      <c r="AE4336" s="2">
        <v>9.9970464284551197E-2</v>
      </c>
      <c r="AF4336" s="2">
        <v>5473.1911887055903</v>
      </c>
      <c r="AG4336" s="2">
        <v>6644.8625779068398</v>
      </c>
      <c r="AH4336" s="4">
        <v>0.82367259285438399</v>
      </c>
      <c r="AI4336" s="4">
        <v>-0.27985711006553898</v>
      </c>
      <c r="AJ4336" s="4" t="s">
        <v>62</v>
      </c>
      <c r="AK4336" s="2">
        <v>0.49515843363775502</v>
      </c>
      <c r="AL4336" s="2">
        <v>0.73518516839452297</v>
      </c>
      <c r="AM4336" s="2">
        <v>7526.5405936428497</v>
      </c>
      <c r="AN4336" s="2">
        <v>5283.6611562724902</v>
      </c>
      <c r="AO4336" s="2">
        <v>7906.1267831267396</v>
      </c>
      <c r="AP4336" s="2">
        <v>2041.35565074083</v>
      </c>
      <c r="AQ4336" s="2">
        <v>6717.6073551494501</v>
      </c>
      <c r="AR4336" s="2">
        <v>3363.8555933011899</v>
      </c>
      <c r="AS4336" s="2">
        <v>10152.675887572599</v>
      </c>
      <c r="AT4336" s="2">
        <v>3103.2663509798999</v>
      </c>
      <c r="AU4336" s="2">
        <v>6981.8031739183498</v>
      </c>
      <c r="AV4336" s="2">
        <v>2276.96742725592</v>
      </c>
      <c r="AW4336" s="2">
        <v>9659.6218795339591</v>
      </c>
      <c r="AX4336" s="2">
        <v>7694.8407481803097</v>
      </c>
    </row>
    <row r="4337" spans="1:50" x14ac:dyDescent="0.25">
      <c r="A4337" s="2" t="s">
        <v>28538</v>
      </c>
      <c r="B4337" s="2">
        <v>354.16734734258699</v>
      </c>
      <c r="C4337" s="2">
        <v>3.77301666666667</v>
      </c>
      <c r="D4337" s="2" t="s">
        <v>51</v>
      </c>
      <c r="E4337" s="2" t="s">
        <v>28539</v>
      </c>
      <c r="F4337" s="2">
        <v>259604</v>
      </c>
      <c r="G4337" s="3" t="str">
        <f>HYPERLINK("https://cloud.oebiotech.com/#/lm/network/259604", "https://cloud.oebiotech.com/#/lm/network/259604")</f>
        <v>https://cloud.oebiotech.com/#/lm/network/259604</v>
      </c>
      <c r="H4337" s="2"/>
      <c r="I4337" s="2">
        <v>16819</v>
      </c>
      <c r="J4337" s="2"/>
      <c r="K4337" s="2">
        <v>145457888</v>
      </c>
      <c r="L4337" s="2"/>
      <c r="M4337" s="2"/>
      <c r="N4337" s="2"/>
      <c r="O4337" s="2"/>
      <c r="P4337" s="2"/>
      <c r="Q4337" s="2"/>
      <c r="R4337" s="2"/>
      <c r="S4337" s="2" t="s">
        <v>28540</v>
      </c>
      <c r="T4337" s="2" t="s">
        <v>28541</v>
      </c>
      <c r="U4337" s="2" t="s">
        <v>103</v>
      </c>
      <c r="V4337" s="2" t="s">
        <v>104</v>
      </c>
      <c r="W4337" s="2" t="s">
        <v>105</v>
      </c>
      <c r="X4337" s="2" t="s">
        <v>83</v>
      </c>
      <c r="Y4337" s="2">
        <v>42.3</v>
      </c>
      <c r="Z4337" s="2">
        <v>0</v>
      </c>
      <c r="AA4337" s="2" t="s">
        <v>259</v>
      </c>
      <c r="AB4337" s="2" t="s">
        <v>28542</v>
      </c>
      <c r="AC4337" s="2">
        <v>3.9229991337334198</v>
      </c>
      <c r="AD4337" s="2"/>
      <c r="AE4337" s="2">
        <v>9.9925590657698807E-2</v>
      </c>
      <c r="AF4337" s="2">
        <v>1239.03924044316</v>
      </c>
      <c r="AG4337" s="2">
        <v>436.39459573356601</v>
      </c>
      <c r="AH4337" s="5">
        <v>2.8392634843710001</v>
      </c>
      <c r="AI4337" s="5">
        <v>1.50551673774032</v>
      </c>
      <c r="AJ4337" s="5" t="s">
        <v>139</v>
      </c>
      <c r="AK4337" s="2">
        <v>0.31102253090521498</v>
      </c>
      <c r="AL4337" s="2">
        <v>0.62015055657616003</v>
      </c>
      <c r="AM4337" s="2">
        <v>469.74368012156299</v>
      </c>
      <c r="AN4337" s="2">
        <v>170.28912413250501</v>
      </c>
      <c r="AO4337" s="2">
        <v>1353.9360416086499</v>
      </c>
      <c r="AP4337" s="2">
        <v>111.118332600774</v>
      </c>
      <c r="AQ4337" s="2">
        <v>579.89364195561996</v>
      </c>
      <c r="AR4337" s="2">
        <v>4749.2546222398396</v>
      </c>
      <c r="AS4337" s="2">
        <v>8.559877937157E-6</v>
      </c>
      <c r="AT4337" s="2">
        <v>307.649674905545</v>
      </c>
      <c r="AU4337" s="2">
        <v>8.559877937157E-6</v>
      </c>
      <c r="AV4337" s="2">
        <v>779.23183040039203</v>
      </c>
      <c r="AW4337" s="2">
        <v>282.85447541434598</v>
      </c>
      <c r="AX4337" s="2">
        <v>1248.6315765613599</v>
      </c>
    </row>
    <row r="4338" spans="1:50" x14ac:dyDescent="0.25">
      <c r="A4338" s="2" t="s">
        <v>28543</v>
      </c>
      <c r="B4338" s="2">
        <v>225.08778372465599</v>
      </c>
      <c r="C4338" s="2">
        <v>2.4651666666666698</v>
      </c>
      <c r="D4338" s="2" t="s">
        <v>51</v>
      </c>
      <c r="E4338" s="2" t="s">
        <v>28544</v>
      </c>
      <c r="F4338" s="2">
        <v>52595</v>
      </c>
      <c r="G4338" s="3" t="str">
        <f>HYPERLINK("https://cloud.oebiotech.com/#/lm/network/52595", "https://cloud.oebiotech.com/#/lm/network/52595")</f>
        <v>https://cloud.oebiotech.com/#/lm/network/52595</v>
      </c>
      <c r="H4338" s="2" t="s">
        <v>28545</v>
      </c>
      <c r="I4338" s="2">
        <v>1500</v>
      </c>
      <c r="J4338" s="2"/>
      <c r="K4338" s="2">
        <v>34359</v>
      </c>
      <c r="L4338" s="2" t="s">
        <v>28546</v>
      </c>
      <c r="M4338" s="2"/>
      <c r="N4338" s="2"/>
      <c r="O4338" s="2">
        <v>39585</v>
      </c>
      <c r="P4338" s="2"/>
      <c r="Q4338" s="2"/>
      <c r="R4338" s="2" t="s">
        <v>28547</v>
      </c>
      <c r="S4338" s="2" t="s">
        <v>28548</v>
      </c>
      <c r="T4338" s="2" t="s">
        <v>28549</v>
      </c>
      <c r="U4338" s="2" t="s">
        <v>540</v>
      </c>
      <c r="V4338" s="2" t="s">
        <v>1916</v>
      </c>
      <c r="W4338" s="2" t="s">
        <v>240</v>
      </c>
      <c r="X4338" s="2" t="s">
        <v>83</v>
      </c>
      <c r="Y4338" s="2">
        <v>41.1</v>
      </c>
      <c r="Z4338" s="2">
        <v>0</v>
      </c>
      <c r="AA4338" s="2" t="s">
        <v>163</v>
      </c>
      <c r="AB4338" s="2" t="s">
        <v>10258</v>
      </c>
      <c r="AC4338" s="2">
        <v>-1.31263272501835</v>
      </c>
      <c r="AD4338" s="2"/>
      <c r="AE4338" s="2">
        <v>9.9844854023722701E-2</v>
      </c>
      <c r="AF4338" s="2">
        <v>1508.75710967648</v>
      </c>
      <c r="AG4338" s="2">
        <v>986.884223656637</v>
      </c>
      <c r="AH4338" s="5">
        <v>1.52880862162958</v>
      </c>
      <c r="AI4338" s="5">
        <v>0.61240781944786904</v>
      </c>
      <c r="AJ4338" s="5" t="s">
        <v>139</v>
      </c>
      <c r="AK4338" s="2">
        <v>0.35315318722829703</v>
      </c>
      <c r="AL4338" s="2">
        <v>0.64413839403207296</v>
      </c>
      <c r="AM4338" s="2">
        <v>1538.3171729368701</v>
      </c>
      <c r="AN4338" s="2">
        <v>1394.3201115269001</v>
      </c>
      <c r="AO4338" s="2">
        <v>781.57994690456405</v>
      </c>
      <c r="AP4338" s="2">
        <v>621.51383554767403</v>
      </c>
      <c r="AQ4338" s="2">
        <v>3224.1632566233102</v>
      </c>
      <c r="AR4338" s="2">
        <v>1492.64833451956</v>
      </c>
      <c r="AS4338" s="2">
        <v>380.47463178554898</v>
      </c>
      <c r="AT4338" s="2">
        <v>471.80188551452801</v>
      </c>
      <c r="AU4338" s="2">
        <v>2335.68720053978</v>
      </c>
      <c r="AV4338" s="2">
        <v>2027.7338022228901</v>
      </c>
      <c r="AW4338" s="2">
        <v>304.69541209750201</v>
      </c>
      <c r="AX4338" s="2">
        <v>400.91240977957102</v>
      </c>
    </row>
    <row r="4339" spans="1:50" x14ac:dyDescent="0.25">
      <c r="A4339" s="2" t="s">
        <v>28550</v>
      </c>
      <c r="B4339" s="2">
        <v>313.04613450483703</v>
      </c>
      <c r="C4339" s="2">
        <v>4.9007166666666704</v>
      </c>
      <c r="D4339" s="2" t="s">
        <v>51</v>
      </c>
      <c r="E4339" s="2" t="s">
        <v>28551</v>
      </c>
      <c r="F4339" s="2">
        <v>202282</v>
      </c>
      <c r="G4339" s="3" t="str">
        <f>HYPERLINK("https://cloud.oebiotech.com/#/lm/network/202282", "https://cloud.oebiotech.com/#/lm/network/202282")</f>
        <v>https://cloud.oebiotech.com/#/lm/network/202282</v>
      </c>
      <c r="H4339" s="2" t="s">
        <v>28552</v>
      </c>
      <c r="I4339" s="2">
        <v>313675</v>
      </c>
      <c r="J4339" s="2"/>
      <c r="K4339" s="2">
        <v>93861</v>
      </c>
      <c r="L4339" s="2"/>
      <c r="M4339" s="2"/>
      <c r="N4339" s="2"/>
      <c r="O4339" s="2"/>
      <c r="P4339" s="2"/>
      <c r="Q4339" s="2"/>
      <c r="R4339" s="2"/>
      <c r="S4339" s="2" t="s">
        <v>28553</v>
      </c>
      <c r="T4339" s="2" t="s">
        <v>28554</v>
      </c>
      <c r="U4339" s="2" t="s">
        <v>610</v>
      </c>
      <c r="V4339" s="2" t="s">
        <v>611</v>
      </c>
      <c r="W4339" s="2" t="s">
        <v>1122</v>
      </c>
      <c r="X4339" s="2" t="s">
        <v>147</v>
      </c>
      <c r="Y4339" s="2">
        <v>37.6</v>
      </c>
      <c r="Z4339" s="2">
        <v>0</v>
      </c>
      <c r="AA4339" s="2" t="s">
        <v>163</v>
      </c>
      <c r="AB4339" s="2" t="s">
        <v>28555</v>
      </c>
      <c r="AC4339" s="2">
        <v>-1.5128321730688601</v>
      </c>
      <c r="AD4339" s="2"/>
      <c r="AE4339" s="2">
        <v>9.9831323880680806E-2</v>
      </c>
      <c r="AF4339" s="2">
        <v>1285.3655107030099</v>
      </c>
      <c r="AG4339" s="2">
        <v>2005.36027151965</v>
      </c>
      <c r="AH4339" s="4">
        <v>0.64096488244925698</v>
      </c>
      <c r="AI4339" s="4">
        <v>-0.64168277907951099</v>
      </c>
      <c r="AJ4339" s="4" t="s">
        <v>62</v>
      </c>
      <c r="AK4339" s="2">
        <v>0.32624008845860902</v>
      </c>
      <c r="AL4339" s="2">
        <v>0.62992073899545697</v>
      </c>
      <c r="AM4339" s="2">
        <v>1949.83573306627</v>
      </c>
      <c r="AN4339" s="2">
        <v>887.82789430876505</v>
      </c>
      <c r="AO4339" s="2">
        <v>2472.5818725526401</v>
      </c>
      <c r="AP4339" s="2">
        <v>2401.9475471706</v>
      </c>
      <c r="AQ4339" s="2">
        <v>8.559877937157E-6</v>
      </c>
      <c r="AR4339" s="2">
        <v>8.559877937157E-6</v>
      </c>
      <c r="AS4339" s="2">
        <v>3915.5835468208302</v>
      </c>
      <c r="AT4339" s="2">
        <v>2747.44717457663</v>
      </c>
      <c r="AU4339" s="2">
        <v>1371.5737270268901</v>
      </c>
      <c r="AV4339" s="2">
        <v>297.79897021154898</v>
      </c>
      <c r="AW4339" s="2">
        <v>1366.40647986709</v>
      </c>
      <c r="AX4339" s="2">
        <v>2333.3517306149402</v>
      </c>
    </row>
    <row r="4340" spans="1:50" x14ac:dyDescent="0.25">
      <c r="A4340" s="2" t="s">
        <v>28556</v>
      </c>
      <c r="B4340" s="2">
        <v>427.21616195004202</v>
      </c>
      <c r="C4340" s="2">
        <v>7.7167000000000003</v>
      </c>
      <c r="D4340" s="2" t="s">
        <v>51</v>
      </c>
      <c r="E4340" s="2" t="s">
        <v>28557</v>
      </c>
      <c r="F4340" s="2">
        <v>211813</v>
      </c>
      <c r="G4340" s="3" t="str">
        <f>HYPERLINK("https://cloud.oebiotech.com/#/lm/network/211813", "https://cloud.oebiotech.com/#/lm/network/211813")</f>
        <v>https://cloud.oebiotech.com/#/lm/network/211813</v>
      </c>
      <c r="H4340" s="2" t="s">
        <v>28558</v>
      </c>
      <c r="I4340" s="2"/>
      <c r="J4340" s="2"/>
      <c r="K4340" s="2">
        <v>58859406</v>
      </c>
      <c r="L4340" s="2"/>
      <c r="M4340" s="2"/>
      <c r="N4340" s="2"/>
      <c r="O4340" s="2"/>
      <c r="P4340" s="2"/>
      <c r="Q4340" s="2"/>
      <c r="R4340" s="2"/>
      <c r="S4340" s="2" t="s">
        <v>28559</v>
      </c>
      <c r="T4340" s="2" t="s">
        <v>28560</v>
      </c>
      <c r="U4340" s="2" t="s">
        <v>56</v>
      </c>
      <c r="V4340" s="2" t="s">
        <v>177</v>
      </c>
      <c r="W4340" s="2" t="s">
        <v>178</v>
      </c>
      <c r="X4340" s="2" t="s">
        <v>83</v>
      </c>
      <c r="Y4340" s="2">
        <v>51.7</v>
      </c>
      <c r="Z4340" s="2">
        <v>2.23</v>
      </c>
      <c r="AA4340" s="2" t="s">
        <v>218</v>
      </c>
      <c r="AB4340" s="2" t="s">
        <v>28561</v>
      </c>
      <c r="AC4340" s="2">
        <v>0.46704112500674899</v>
      </c>
      <c r="AD4340" s="2"/>
      <c r="AE4340" s="2">
        <v>9.9828194315305402E-2</v>
      </c>
      <c r="AF4340" s="2">
        <v>8720.6492110613308</v>
      </c>
      <c r="AG4340" s="2">
        <v>7625.8947835568797</v>
      </c>
      <c r="AH4340" s="5">
        <v>1.14355750486684</v>
      </c>
      <c r="AI4340" s="5">
        <v>0.193528914853448</v>
      </c>
      <c r="AJ4340" s="5" t="s">
        <v>139</v>
      </c>
      <c r="AK4340" s="2">
        <v>0.78136554187929697</v>
      </c>
      <c r="AL4340" s="2">
        <v>0.90357756566758596</v>
      </c>
      <c r="AM4340" s="2">
        <v>20318.432556646399</v>
      </c>
      <c r="AN4340" s="2">
        <v>3815.4228734487201</v>
      </c>
      <c r="AO4340" s="2">
        <v>12532.812573879301</v>
      </c>
      <c r="AP4340" s="2">
        <v>9687.6186447068903</v>
      </c>
      <c r="AQ4340" s="2">
        <v>4898.4845273033698</v>
      </c>
      <c r="AR4340" s="2">
        <v>1071.1240903833</v>
      </c>
      <c r="AS4340" s="2">
        <v>3441.1103863417102</v>
      </c>
      <c r="AT4340" s="2">
        <v>3435.2710547649399</v>
      </c>
      <c r="AU4340" s="2">
        <v>1458.85012937494</v>
      </c>
      <c r="AV4340" s="2">
        <v>7756.4220741773697</v>
      </c>
      <c r="AW4340" s="2">
        <v>17842.374778003799</v>
      </c>
      <c r="AX4340" s="2">
        <v>11821.340278678501</v>
      </c>
    </row>
    <row r="4341" spans="1:50" x14ac:dyDescent="0.25">
      <c r="A4341" s="2" t="s">
        <v>28562</v>
      </c>
      <c r="B4341" s="2">
        <v>315.19634436976798</v>
      </c>
      <c r="C4341" s="2">
        <v>4.7703666666666704</v>
      </c>
      <c r="D4341" s="2" t="s">
        <v>51</v>
      </c>
      <c r="E4341" s="2" t="s">
        <v>28563</v>
      </c>
      <c r="F4341" s="2">
        <v>257171</v>
      </c>
      <c r="G4341" s="3" t="str">
        <f>HYPERLINK("https://cloud.oebiotech.com/#/lm/network/257171", "https://cloud.oebiotech.com/#/lm/network/257171")</f>
        <v>https://cloud.oebiotech.com/#/lm/network/257171</v>
      </c>
      <c r="H4341" s="2" t="s">
        <v>28564</v>
      </c>
      <c r="I4341" s="2"/>
      <c r="J4341" s="2"/>
      <c r="K4341" s="2"/>
      <c r="L4341" s="2"/>
      <c r="M4341" s="2"/>
      <c r="N4341" s="2"/>
      <c r="O4341" s="2">
        <v>57432</v>
      </c>
      <c r="P4341" s="2"/>
      <c r="Q4341" s="2"/>
      <c r="R4341" s="2"/>
      <c r="S4341" s="2" t="s">
        <v>28565</v>
      </c>
      <c r="T4341" s="2" t="s">
        <v>28566</v>
      </c>
      <c r="U4341" s="2" t="s">
        <v>56</v>
      </c>
      <c r="V4341" s="2" t="s">
        <v>177</v>
      </c>
      <c r="W4341" s="2" t="s">
        <v>178</v>
      </c>
      <c r="X4341" s="2" t="s">
        <v>147</v>
      </c>
      <c r="Y4341" s="2">
        <v>37.6</v>
      </c>
      <c r="Z4341" s="2">
        <v>0</v>
      </c>
      <c r="AA4341" s="2" t="s">
        <v>122</v>
      </c>
      <c r="AB4341" s="2" t="s">
        <v>28567</v>
      </c>
      <c r="AC4341" s="2">
        <v>1.0296614742232799</v>
      </c>
      <c r="AD4341" s="2"/>
      <c r="AE4341" s="2">
        <v>9.9708687314417899E-2</v>
      </c>
      <c r="AF4341" s="2">
        <v>819.44010067070099</v>
      </c>
      <c r="AG4341" s="2">
        <v>457.22437355658502</v>
      </c>
      <c r="AH4341" s="5">
        <v>1.7922056392063499</v>
      </c>
      <c r="AI4341" s="5">
        <v>0.84173618295478303</v>
      </c>
      <c r="AJ4341" s="5" t="s">
        <v>139</v>
      </c>
      <c r="AK4341" s="2">
        <v>0.19137843590477399</v>
      </c>
      <c r="AL4341" s="2">
        <v>0.51611876050469396</v>
      </c>
      <c r="AM4341" s="2">
        <v>567.72479623373499</v>
      </c>
      <c r="AN4341" s="2">
        <v>1473.7273885996899</v>
      </c>
      <c r="AO4341" s="2">
        <v>1017.53747607578</v>
      </c>
      <c r="AP4341" s="2">
        <v>614.70398770613303</v>
      </c>
      <c r="AQ4341" s="2">
        <v>435.44501907805</v>
      </c>
      <c r="AR4341" s="2">
        <v>807.50193633082097</v>
      </c>
      <c r="AS4341" s="2">
        <v>797.28761485614405</v>
      </c>
      <c r="AT4341" s="2">
        <v>8.559877937157E-6</v>
      </c>
      <c r="AU4341" s="2">
        <v>1331.4453358640901</v>
      </c>
      <c r="AV4341" s="2">
        <v>190.505256627215</v>
      </c>
      <c r="AW4341" s="2">
        <v>255.812960212988</v>
      </c>
      <c r="AX4341" s="2">
        <v>168.295065219197</v>
      </c>
    </row>
    <row r="4342" spans="1:50" x14ac:dyDescent="0.25">
      <c r="A4342" s="2" t="s">
        <v>28568</v>
      </c>
      <c r="B4342" s="2">
        <v>254.123725974064</v>
      </c>
      <c r="C4342" s="2">
        <v>4.1970666666666698</v>
      </c>
      <c r="D4342" s="2" t="s">
        <v>51</v>
      </c>
      <c r="E4342" s="2" t="s">
        <v>28569</v>
      </c>
      <c r="F4342" s="2">
        <v>52687</v>
      </c>
      <c r="G4342" s="3" t="str">
        <f>HYPERLINK("https://cloud.oebiotech.com/#/lm/network/52687", "https://cloud.oebiotech.com/#/lm/network/52687")</f>
        <v>https://cloud.oebiotech.com/#/lm/network/52687</v>
      </c>
      <c r="H4342" s="2" t="s">
        <v>28570</v>
      </c>
      <c r="I4342" s="2">
        <v>2651</v>
      </c>
      <c r="J4342" s="2"/>
      <c r="K4342" s="2">
        <v>4725</v>
      </c>
      <c r="L4342" s="2" t="s">
        <v>28571</v>
      </c>
      <c r="M4342" s="2"/>
      <c r="N4342" s="2"/>
      <c r="O4342" s="2">
        <v>7956</v>
      </c>
      <c r="P4342" s="2"/>
      <c r="Q4342" s="2"/>
      <c r="R4342" s="2" t="s">
        <v>28572</v>
      </c>
      <c r="S4342" s="2" t="s">
        <v>28573</v>
      </c>
      <c r="T4342" s="2" t="s">
        <v>28574</v>
      </c>
      <c r="U4342" s="2" t="s">
        <v>266</v>
      </c>
      <c r="V4342" s="2" t="s">
        <v>2772</v>
      </c>
      <c r="W4342" s="2" t="s">
        <v>2773</v>
      </c>
      <c r="X4342" s="2" t="s">
        <v>147</v>
      </c>
      <c r="Y4342" s="2">
        <v>38.6</v>
      </c>
      <c r="Z4342" s="2">
        <v>0</v>
      </c>
      <c r="AA4342" s="2" t="s">
        <v>259</v>
      </c>
      <c r="AB4342" s="2" t="s">
        <v>28575</v>
      </c>
      <c r="AC4342" s="2">
        <v>-4.1080593389828097</v>
      </c>
      <c r="AD4342" s="2"/>
      <c r="AE4342" s="2">
        <v>9.9606505854330396E-2</v>
      </c>
      <c r="AF4342" s="2">
        <v>386.85097512060401</v>
      </c>
      <c r="AG4342" s="2">
        <v>184.62536526834799</v>
      </c>
      <c r="AH4342" s="5">
        <v>2.0953295044715299</v>
      </c>
      <c r="AI4342" s="5">
        <v>1.06717713513569</v>
      </c>
      <c r="AJ4342" s="5" t="s">
        <v>139</v>
      </c>
      <c r="AK4342" s="2">
        <v>9.6056285649059894E-2</v>
      </c>
      <c r="AL4342" s="2">
        <v>0.39524362296311799</v>
      </c>
      <c r="AM4342" s="2">
        <v>816.26005431272495</v>
      </c>
      <c r="AN4342" s="2">
        <v>451.53944940527703</v>
      </c>
      <c r="AO4342" s="2">
        <v>390.98429618053802</v>
      </c>
      <c r="AP4342" s="2">
        <v>258.761184495522</v>
      </c>
      <c r="AQ4342" s="2">
        <v>156.33075751219701</v>
      </c>
      <c r="AR4342" s="2">
        <v>247.230108817364</v>
      </c>
      <c r="AS4342" s="2">
        <v>93.231345006763803</v>
      </c>
      <c r="AT4342" s="2">
        <v>317.48514694722201</v>
      </c>
      <c r="AU4342" s="2">
        <v>272.72736787514901</v>
      </c>
      <c r="AV4342" s="2">
        <v>8.559877937157E-6</v>
      </c>
      <c r="AW4342" s="2">
        <v>121.260026628999</v>
      </c>
      <c r="AX4342" s="2">
        <v>303.048296592079</v>
      </c>
    </row>
    <row r="4343" spans="1:50" x14ac:dyDescent="0.25">
      <c r="A4343" s="2" t="s">
        <v>28576</v>
      </c>
      <c r="B4343" s="2">
        <v>120.044904055099</v>
      </c>
      <c r="C4343" s="2">
        <v>4.7092833333333299</v>
      </c>
      <c r="D4343" s="2" t="s">
        <v>51</v>
      </c>
      <c r="E4343" s="2" t="s">
        <v>28577</v>
      </c>
      <c r="F4343" s="2">
        <v>53705</v>
      </c>
      <c r="G4343" s="3" t="str">
        <f>HYPERLINK("https://cloud.oebiotech.com/#/lm/network/53705", "https://cloud.oebiotech.com/#/lm/network/53705")</f>
        <v>https://cloud.oebiotech.com/#/lm/network/53705</v>
      </c>
      <c r="H4343" s="2" t="s">
        <v>28578</v>
      </c>
      <c r="I4343" s="2">
        <v>43329</v>
      </c>
      <c r="J4343" s="2"/>
      <c r="K4343" s="2">
        <v>5147</v>
      </c>
      <c r="L4343" s="2"/>
      <c r="M4343" s="2"/>
      <c r="N4343" s="2"/>
      <c r="O4343" s="2">
        <v>32114</v>
      </c>
      <c r="P4343" s="2"/>
      <c r="Q4343" s="2"/>
      <c r="R4343" s="2" t="s">
        <v>28579</v>
      </c>
      <c r="S4343" s="2" t="s">
        <v>28580</v>
      </c>
      <c r="T4343" s="2" t="s">
        <v>28581</v>
      </c>
      <c r="U4343" s="2" t="s">
        <v>610</v>
      </c>
      <c r="V4343" s="2" t="s">
        <v>895</v>
      </c>
      <c r="W4343" s="2" t="s">
        <v>6882</v>
      </c>
      <c r="X4343" s="2" t="s">
        <v>83</v>
      </c>
      <c r="Y4343" s="2">
        <v>45.9</v>
      </c>
      <c r="Z4343" s="2">
        <v>0.20499999999999999</v>
      </c>
      <c r="AA4343" s="2" t="s">
        <v>179</v>
      </c>
      <c r="AB4343" s="2" t="s">
        <v>28582</v>
      </c>
      <c r="AC4343" s="2">
        <v>3.7493279299140601</v>
      </c>
      <c r="AD4343" s="2"/>
      <c r="AE4343" s="2">
        <v>9.9606464169671505E-2</v>
      </c>
      <c r="AF4343" s="2">
        <v>4007.56351011672</v>
      </c>
      <c r="AG4343" s="2">
        <v>4489.7392998113801</v>
      </c>
      <c r="AH4343" s="4">
        <v>0.89260494708124505</v>
      </c>
      <c r="AI4343" s="4">
        <v>-0.16390629243180799</v>
      </c>
      <c r="AJ4343" s="4" t="s">
        <v>62</v>
      </c>
      <c r="AK4343" s="2">
        <v>0.53990418739449797</v>
      </c>
      <c r="AL4343" s="2">
        <v>0.764832059308312</v>
      </c>
      <c r="AM4343" s="2">
        <v>2936.8600027388302</v>
      </c>
      <c r="AN4343" s="2">
        <v>3809.1410328314701</v>
      </c>
      <c r="AO4343" s="2">
        <v>2665.0486293446802</v>
      </c>
      <c r="AP4343" s="2">
        <v>3132.1739689768901</v>
      </c>
      <c r="AQ4343" s="2">
        <v>5087.1959888786896</v>
      </c>
      <c r="AR4343" s="2">
        <v>6414.96143792979</v>
      </c>
      <c r="AS4343" s="2">
        <v>3172.3918592330401</v>
      </c>
      <c r="AT4343" s="2">
        <v>5088.10772918774</v>
      </c>
      <c r="AU4343" s="2">
        <v>3065.8273423396099</v>
      </c>
      <c r="AV4343" s="2">
        <v>5854.1829531328203</v>
      </c>
      <c r="AW4343" s="2">
        <v>4481.8688161975097</v>
      </c>
      <c r="AX4343" s="2">
        <v>5276.05709877758</v>
      </c>
    </row>
    <row r="4344" spans="1:50" x14ac:dyDescent="0.25">
      <c r="A4344" s="2" t="s">
        <v>28583</v>
      </c>
      <c r="B4344" s="2">
        <v>609.47395992845702</v>
      </c>
      <c r="C4344" s="2">
        <v>14.4021833333333</v>
      </c>
      <c r="D4344" s="2" t="s">
        <v>51</v>
      </c>
      <c r="E4344" s="2" t="s">
        <v>28584</v>
      </c>
      <c r="F4344" s="2">
        <v>49089</v>
      </c>
      <c r="G4344" s="3" t="str">
        <f>HYPERLINK("https://cloud.oebiotech.com/#/lm/network/49089", "https://cloud.oebiotech.com/#/lm/network/49089")</f>
        <v>https://cloud.oebiotech.com/#/lm/network/49089</v>
      </c>
      <c r="H4344" s="2" t="s">
        <v>28585</v>
      </c>
      <c r="I4344" s="2">
        <v>58806</v>
      </c>
      <c r="J4344" s="2"/>
      <c r="K4344" s="2">
        <v>53478098</v>
      </c>
      <c r="L4344" s="2"/>
      <c r="M4344" s="2"/>
      <c r="N4344" s="2"/>
      <c r="O4344" s="2">
        <v>89212</v>
      </c>
      <c r="P4344" s="2"/>
      <c r="Q4344" s="2"/>
      <c r="R4344" s="2"/>
      <c r="S4344" s="2" t="s">
        <v>28586</v>
      </c>
      <c r="T4344" s="2" t="s">
        <v>28587</v>
      </c>
      <c r="U4344" s="2" t="s">
        <v>56</v>
      </c>
      <c r="V4344" s="2" t="s">
        <v>145</v>
      </c>
      <c r="W4344" s="2" t="s">
        <v>203</v>
      </c>
      <c r="X4344" s="2" t="s">
        <v>147</v>
      </c>
      <c r="Y4344" s="2">
        <v>38.1</v>
      </c>
      <c r="Z4344" s="2">
        <v>0</v>
      </c>
      <c r="AA4344" s="2" t="s">
        <v>218</v>
      </c>
      <c r="AB4344" s="2" t="s">
        <v>28588</v>
      </c>
      <c r="AC4344" s="2">
        <v>0.67657189971045895</v>
      </c>
      <c r="AD4344" s="2"/>
      <c r="AE4344" s="2">
        <v>9.9492984972287493E-2</v>
      </c>
      <c r="AF4344" s="2">
        <v>1247.0650566700399</v>
      </c>
      <c r="AG4344" s="2">
        <v>869.07894234701496</v>
      </c>
      <c r="AH4344" s="5">
        <v>1.43492724987933</v>
      </c>
      <c r="AI4344" s="5">
        <v>0.52097759481114603</v>
      </c>
      <c r="AJ4344" s="5" t="s">
        <v>139</v>
      </c>
      <c r="AK4344" s="2">
        <v>0.66158219140133401</v>
      </c>
      <c r="AL4344" s="2">
        <v>0.83623876311469403</v>
      </c>
      <c r="AM4344" s="2">
        <v>1314.31332957327</v>
      </c>
      <c r="AN4344" s="2">
        <v>3507.6361990403502</v>
      </c>
      <c r="AO4344" s="2">
        <v>1195.9224164433899</v>
      </c>
      <c r="AP4344" s="2">
        <v>640.49720183229601</v>
      </c>
      <c r="AQ4344" s="2">
        <v>8.559877937157E-6</v>
      </c>
      <c r="AR4344" s="2">
        <v>824.021184571042</v>
      </c>
      <c r="AS4344" s="2">
        <v>8.559877937157E-6</v>
      </c>
      <c r="AT4344" s="2">
        <v>4154.1397849257601</v>
      </c>
      <c r="AU4344" s="2">
        <v>8.559877937157E-6</v>
      </c>
      <c r="AV4344" s="2">
        <v>8.559877937157E-6</v>
      </c>
      <c r="AW4344" s="2">
        <v>1060.33383491682</v>
      </c>
      <c r="AX4344" s="2">
        <v>8.559877937157E-6</v>
      </c>
    </row>
    <row r="4345" spans="1:50" x14ac:dyDescent="0.25">
      <c r="A4345" s="2" t="s">
        <v>28589</v>
      </c>
      <c r="B4345" s="2">
        <v>318.18224834307898</v>
      </c>
      <c r="C4345" s="2">
        <v>4.7092833333333299</v>
      </c>
      <c r="D4345" s="2" t="s">
        <v>51</v>
      </c>
      <c r="E4345" s="2" t="s">
        <v>28590</v>
      </c>
      <c r="F4345" s="2">
        <v>258772</v>
      </c>
      <c r="G4345" s="3" t="str">
        <f>HYPERLINK("https://cloud.oebiotech.com/#/lm/network/258772", "https://cloud.oebiotech.com/#/lm/network/258772")</f>
        <v>https://cloud.oebiotech.com/#/lm/network/258772</v>
      </c>
      <c r="H4345" s="2"/>
      <c r="I4345" s="2">
        <v>15963</v>
      </c>
      <c r="J4345" s="2"/>
      <c r="K4345" s="2">
        <v>53908349</v>
      </c>
      <c r="L4345" s="2"/>
      <c r="M4345" s="2"/>
      <c r="N4345" s="2"/>
      <c r="O4345" s="2"/>
      <c r="P4345" s="2"/>
      <c r="Q4345" s="2"/>
      <c r="R4345" s="2"/>
      <c r="S4345" s="2" t="s">
        <v>28591</v>
      </c>
      <c r="T4345" s="2" t="s">
        <v>28592</v>
      </c>
      <c r="U4345" s="2" t="s">
        <v>103</v>
      </c>
      <c r="V4345" s="2" t="s">
        <v>104</v>
      </c>
      <c r="W4345" s="2" t="s">
        <v>105</v>
      </c>
      <c r="X4345" s="2" t="s">
        <v>69</v>
      </c>
      <c r="Y4345" s="2">
        <v>63.7</v>
      </c>
      <c r="Z4345" s="2">
        <v>95.7</v>
      </c>
      <c r="AA4345" s="2" t="s">
        <v>156</v>
      </c>
      <c r="AB4345" s="2" t="s">
        <v>9539</v>
      </c>
      <c r="AC4345" s="2">
        <v>3.0738255202587998</v>
      </c>
      <c r="AD4345" s="2"/>
      <c r="AE4345" s="2">
        <v>9.9458919447456301E-2</v>
      </c>
      <c r="AF4345" s="2">
        <v>8159.8716180404399</v>
      </c>
      <c r="AG4345" s="2">
        <v>7027.5367996390396</v>
      </c>
      <c r="AH4345" s="5">
        <v>1.1611282659465501</v>
      </c>
      <c r="AI4345" s="5">
        <v>0.21552735069079601</v>
      </c>
      <c r="AJ4345" s="5" t="s">
        <v>139</v>
      </c>
      <c r="AK4345" s="2">
        <v>0.42316340882938902</v>
      </c>
      <c r="AL4345" s="2">
        <v>0.683406571622166</v>
      </c>
      <c r="AM4345" s="2">
        <v>5925.87305980983</v>
      </c>
      <c r="AN4345" s="2">
        <v>8379.1981113753009</v>
      </c>
      <c r="AO4345" s="2">
        <v>5945.5341187107497</v>
      </c>
      <c r="AP4345" s="2">
        <v>8455.5160503817697</v>
      </c>
      <c r="AQ4345" s="2">
        <v>11379.466454257499</v>
      </c>
      <c r="AR4345" s="2">
        <v>8873.64191370751</v>
      </c>
      <c r="AS4345" s="2">
        <v>4464.5808746627199</v>
      </c>
      <c r="AT4345" s="2">
        <v>6328.4115423242101</v>
      </c>
      <c r="AU4345" s="2">
        <v>8825.2611772709897</v>
      </c>
      <c r="AV4345" s="2">
        <v>11217.3451399552</v>
      </c>
      <c r="AW4345" s="2">
        <v>4504.3524757842297</v>
      </c>
      <c r="AX4345" s="2">
        <v>6825.2695878368804</v>
      </c>
    </row>
    <row r="4346" spans="1:50" x14ac:dyDescent="0.25">
      <c r="A4346" s="2" t="s">
        <v>28593</v>
      </c>
      <c r="B4346" s="2">
        <v>165.16421838534399</v>
      </c>
      <c r="C4346" s="2">
        <v>11.880366666666699</v>
      </c>
      <c r="D4346" s="2" t="s">
        <v>51</v>
      </c>
      <c r="E4346" s="2" t="s">
        <v>28594</v>
      </c>
      <c r="F4346" s="2">
        <v>6000</v>
      </c>
      <c r="G4346" s="3" t="str">
        <f>HYPERLINK("https://cloud.oebiotech.com/#/lm/network/6000", "https://cloud.oebiotech.com/#/lm/network/6000")</f>
        <v>https://cloud.oebiotech.com/#/lm/network/6000</v>
      </c>
      <c r="H4346" s="2"/>
      <c r="I4346" s="2">
        <v>36477</v>
      </c>
      <c r="J4346" s="2" t="s">
        <v>28595</v>
      </c>
      <c r="K4346" s="2">
        <v>5283274</v>
      </c>
      <c r="L4346" s="2"/>
      <c r="M4346" s="2"/>
      <c r="N4346" s="2"/>
      <c r="O4346" s="2"/>
      <c r="P4346" s="2"/>
      <c r="Q4346" s="2"/>
      <c r="R4346" s="2"/>
      <c r="S4346" s="2" t="s">
        <v>28596</v>
      </c>
      <c r="T4346" s="2" t="s">
        <v>28597</v>
      </c>
      <c r="U4346" s="2" t="s">
        <v>56</v>
      </c>
      <c r="V4346" s="2" t="s">
        <v>145</v>
      </c>
      <c r="W4346" s="2" t="s">
        <v>146</v>
      </c>
      <c r="X4346" s="2" t="s">
        <v>147</v>
      </c>
      <c r="Y4346" s="2">
        <v>42.6</v>
      </c>
      <c r="Z4346" s="2">
        <v>22.7</v>
      </c>
      <c r="AA4346" s="2" t="s">
        <v>156</v>
      </c>
      <c r="AB4346" s="2" t="s">
        <v>28598</v>
      </c>
      <c r="AC4346" s="2">
        <v>2.42255779174344</v>
      </c>
      <c r="AD4346" s="2"/>
      <c r="AE4346" s="2">
        <v>9.9447972045535099E-2</v>
      </c>
      <c r="AF4346" s="2">
        <v>2160.8432155884202</v>
      </c>
      <c r="AG4346" s="2">
        <v>1352.0773250775101</v>
      </c>
      <c r="AH4346" s="5">
        <v>1.59816541222193</v>
      </c>
      <c r="AI4346" s="5">
        <v>0.67641673682791104</v>
      </c>
      <c r="AJ4346" s="5" t="s">
        <v>139</v>
      </c>
      <c r="AK4346" s="2">
        <v>0.65560830287359895</v>
      </c>
      <c r="AL4346" s="2">
        <v>0.83240942988891198</v>
      </c>
      <c r="AM4346" s="2">
        <v>8.559877937157E-6</v>
      </c>
      <c r="AN4346" s="2">
        <v>8.559877937157E-6</v>
      </c>
      <c r="AO4346" s="2">
        <v>7418.6505412679498</v>
      </c>
      <c r="AP4346" s="2">
        <v>8.559877937157E-6</v>
      </c>
      <c r="AQ4346" s="2">
        <v>5546.4087180230599</v>
      </c>
      <c r="AR4346" s="2">
        <v>8.559877937157E-6</v>
      </c>
      <c r="AS4346" s="2">
        <v>1331.55082361879</v>
      </c>
      <c r="AT4346" s="2">
        <v>8.559877937157E-6</v>
      </c>
      <c r="AU4346" s="2">
        <v>6654.3107074104601</v>
      </c>
      <c r="AV4346" s="2">
        <v>126.60239375616</v>
      </c>
      <c r="AW4346" s="2">
        <v>8.559877937157E-6</v>
      </c>
      <c r="AX4346" s="2">
        <v>8.559877937157E-6</v>
      </c>
    </row>
    <row r="4347" spans="1:50" x14ac:dyDescent="0.25">
      <c r="A4347" s="2" t="s">
        <v>28599</v>
      </c>
      <c r="B4347" s="2">
        <v>175.00466430447599</v>
      </c>
      <c r="C4347" s="2">
        <v>1.0791166666666701</v>
      </c>
      <c r="D4347" s="2" t="s">
        <v>51</v>
      </c>
      <c r="E4347" s="2" t="s">
        <v>28600</v>
      </c>
      <c r="F4347" s="2">
        <v>10146</v>
      </c>
      <c r="G4347" s="3" t="str">
        <f>HYPERLINK("https://cloud.oebiotech.com/#/lm/network/10146", "https://cloud.oebiotech.com/#/lm/network/10146")</f>
        <v>https://cloud.oebiotech.com/#/lm/network/10146</v>
      </c>
      <c r="H4347" s="2"/>
      <c r="I4347" s="2"/>
      <c r="J4347" s="2" t="s">
        <v>28601</v>
      </c>
      <c r="K4347" s="2">
        <v>134812261</v>
      </c>
      <c r="L4347" s="2"/>
      <c r="M4347" s="2"/>
      <c r="N4347" s="2"/>
      <c r="O4347" s="2"/>
      <c r="P4347" s="2"/>
      <c r="Q4347" s="2"/>
      <c r="R4347" s="2"/>
      <c r="S4347" s="2" t="s">
        <v>28602</v>
      </c>
      <c r="T4347" s="2" t="s">
        <v>28603</v>
      </c>
      <c r="U4347" s="2" t="s">
        <v>266</v>
      </c>
      <c r="V4347" s="2" t="s">
        <v>28604</v>
      </c>
      <c r="W4347" s="2" t="s">
        <v>240</v>
      </c>
      <c r="X4347" s="2" t="s">
        <v>147</v>
      </c>
      <c r="Y4347" s="2">
        <v>37.5</v>
      </c>
      <c r="Z4347" s="2">
        <v>0</v>
      </c>
      <c r="AA4347" s="2" t="s">
        <v>379</v>
      </c>
      <c r="AB4347" s="2" t="s">
        <v>28605</v>
      </c>
      <c r="AC4347" s="2">
        <v>0.58294186758024302</v>
      </c>
      <c r="AD4347" s="2"/>
      <c r="AE4347" s="2">
        <v>9.9430703544987897E-2</v>
      </c>
      <c r="AF4347" s="2">
        <v>675.57905984663103</v>
      </c>
      <c r="AG4347" s="2">
        <v>375.18347308053399</v>
      </c>
      <c r="AH4347" s="5">
        <v>1.8006631643436399</v>
      </c>
      <c r="AI4347" s="5">
        <v>0.84852833306002096</v>
      </c>
      <c r="AJ4347" s="5" t="s">
        <v>139</v>
      </c>
      <c r="AK4347" s="2">
        <v>8.7174742233773306E-2</v>
      </c>
      <c r="AL4347" s="2">
        <v>0.38018166893268901</v>
      </c>
      <c r="AM4347" s="2">
        <v>1117.8873186932401</v>
      </c>
      <c r="AN4347" s="2">
        <v>567.69793482657496</v>
      </c>
      <c r="AO4347" s="2">
        <v>410.70856734350002</v>
      </c>
      <c r="AP4347" s="2">
        <v>1172.4800351530901</v>
      </c>
      <c r="AQ4347" s="2">
        <v>521.66647511196402</v>
      </c>
      <c r="AR4347" s="2">
        <v>263.03402795142</v>
      </c>
      <c r="AS4347" s="2">
        <v>313.29137946567403</v>
      </c>
      <c r="AT4347" s="2">
        <v>486.54910120563102</v>
      </c>
      <c r="AU4347" s="2">
        <v>407.82310048618501</v>
      </c>
      <c r="AV4347" s="2">
        <v>289.37337825524202</v>
      </c>
      <c r="AW4347" s="2">
        <v>447.93828498003501</v>
      </c>
      <c r="AX4347" s="2">
        <v>306.125594090437</v>
      </c>
    </row>
    <row r="4348" spans="1:50" x14ac:dyDescent="0.25">
      <c r="A4348" s="2" t="s">
        <v>28606</v>
      </c>
      <c r="B4348" s="2">
        <v>293.21174950161901</v>
      </c>
      <c r="C4348" s="2">
        <v>10.4500166666667</v>
      </c>
      <c r="D4348" s="2" t="s">
        <v>51</v>
      </c>
      <c r="E4348" s="2" t="s">
        <v>28607</v>
      </c>
      <c r="F4348" s="2">
        <v>3201</v>
      </c>
      <c r="G4348" s="3" t="str">
        <f>HYPERLINK("https://cloud.oebiotech.com/#/lm/network/3201", "https://cloud.oebiotech.com/#/lm/network/3201")</f>
        <v>https://cloud.oebiotech.com/#/lm/network/3201</v>
      </c>
      <c r="H4348" s="2" t="s">
        <v>28608</v>
      </c>
      <c r="I4348" s="2">
        <v>35761</v>
      </c>
      <c r="J4348" s="2" t="s">
        <v>28609</v>
      </c>
      <c r="K4348" s="2">
        <v>5283007</v>
      </c>
      <c r="L4348" s="2"/>
      <c r="M4348" s="2"/>
      <c r="N4348" s="2"/>
      <c r="O4348" s="2">
        <v>89606</v>
      </c>
      <c r="P4348" s="2"/>
      <c r="Q4348" s="2"/>
      <c r="R4348" s="2" t="s">
        <v>28610</v>
      </c>
      <c r="S4348" s="2" t="s">
        <v>28611</v>
      </c>
      <c r="T4348" s="2" t="s">
        <v>28612</v>
      </c>
      <c r="U4348" s="2" t="s">
        <v>56</v>
      </c>
      <c r="V4348" s="2" t="s">
        <v>145</v>
      </c>
      <c r="W4348" s="2" t="s">
        <v>231</v>
      </c>
      <c r="X4348" s="2" t="s">
        <v>69</v>
      </c>
      <c r="Y4348" s="2">
        <v>54.1</v>
      </c>
      <c r="Z4348" s="2">
        <v>59</v>
      </c>
      <c r="AA4348" s="2" t="s">
        <v>179</v>
      </c>
      <c r="AB4348" s="2" t="s">
        <v>5579</v>
      </c>
      <c r="AC4348" s="2">
        <v>2.02540971515158</v>
      </c>
      <c r="AD4348" s="2"/>
      <c r="AE4348" s="2">
        <v>9.9341413797111602E-2</v>
      </c>
      <c r="AF4348" s="2">
        <v>20334.913120564699</v>
      </c>
      <c r="AG4348" s="2">
        <v>19838.646803054002</v>
      </c>
      <c r="AH4348" s="5">
        <v>1.0250151294308101</v>
      </c>
      <c r="AI4348" s="5">
        <v>3.56452043587413E-2</v>
      </c>
      <c r="AJ4348" s="5" t="s">
        <v>139</v>
      </c>
      <c r="AK4348" s="2">
        <v>0.92355285982241597</v>
      </c>
      <c r="AL4348" s="2">
        <v>0.96702918223777301</v>
      </c>
      <c r="AM4348" s="2">
        <v>17987.9972353579</v>
      </c>
      <c r="AN4348" s="2">
        <v>39402.8187514319</v>
      </c>
      <c r="AO4348" s="2">
        <v>20018.099189913501</v>
      </c>
      <c r="AP4348" s="2">
        <v>13232.3676033468</v>
      </c>
      <c r="AQ4348" s="2">
        <v>15677.572153557399</v>
      </c>
      <c r="AR4348" s="2">
        <v>15690.6237897805</v>
      </c>
      <c r="AS4348" s="2">
        <v>18474.255273667699</v>
      </c>
      <c r="AT4348" s="2">
        <v>11177.986754968701</v>
      </c>
      <c r="AU4348" s="2">
        <v>34471.890262733803</v>
      </c>
      <c r="AV4348" s="2">
        <v>17425.803579265401</v>
      </c>
      <c r="AW4348" s="2">
        <v>19375.670389394301</v>
      </c>
      <c r="AX4348" s="2">
        <v>18106.274558294401</v>
      </c>
    </row>
    <row r="4349" spans="1:50" x14ac:dyDescent="0.25">
      <c r="A4349" s="2" t="s">
        <v>28613</v>
      </c>
      <c r="B4349" s="2">
        <v>491.37461932538901</v>
      </c>
      <c r="C4349" s="2">
        <v>11.6520833333333</v>
      </c>
      <c r="D4349" s="2" t="s">
        <v>51</v>
      </c>
      <c r="E4349" s="2" t="s">
        <v>28614</v>
      </c>
      <c r="F4349" s="2">
        <v>58443</v>
      </c>
      <c r="G4349" s="3" t="str">
        <f>HYPERLINK("https://cloud.oebiotech.com/#/lm/network/58443", "https://cloud.oebiotech.com/#/lm/network/58443")</f>
        <v>https://cloud.oebiotech.com/#/lm/network/58443</v>
      </c>
      <c r="H4349" s="2" t="s">
        <v>28615</v>
      </c>
      <c r="I4349" s="2">
        <v>89915</v>
      </c>
      <c r="J4349" s="2"/>
      <c r="K4349" s="2">
        <v>24205</v>
      </c>
      <c r="L4349" s="2"/>
      <c r="M4349" s="2"/>
      <c r="N4349" s="2"/>
      <c r="O4349" s="2"/>
      <c r="P4349" s="2"/>
      <c r="Q4349" s="2"/>
      <c r="R4349" s="2" t="s">
        <v>28616</v>
      </c>
      <c r="S4349" s="2" t="s">
        <v>28617</v>
      </c>
      <c r="T4349" s="2" t="s">
        <v>28618</v>
      </c>
      <c r="U4349" s="2" t="s">
        <v>56</v>
      </c>
      <c r="V4349" s="2" t="s">
        <v>177</v>
      </c>
      <c r="W4349" s="2" t="s">
        <v>178</v>
      </c>
      <c r="X4349" s="2" t="s">
        <v>83</v>
      </c>
      <c r="Y4349" s="2">
        <v>41.1</v>
      </c>
      <c r="Z4349" s="2">
        <v>0</v>
      </c>
      <c r="AA4349" s="2" t="s">
        <v>218</v>
      </c>
      <c r="AB4349" s="2" t="s">
        <v>13447</v>
      </c>
      <c r="AC4349" s="2">
        <v>0.943135861277559</v>
      </c>
      <c r="AD4349" s="2"/>
      <c r="AE4349" s="2">
        <v>9.9241599269744296E-2</v>
      </c>
      <c r="AF4349" s="2">
        <v>7197.5957283170701</v>
      </c>
      <c r="AG4349" s="2">
        <v>5506.72730702012</v>
      </c>
      <c r="AH4349" s="5">
        <v>1.3070550486749899</v>
      </c>
      <c r="AI4349" s="5">
        <v>0.38631990377907999</v>
      </c>
      <c r="AJ4349" s="5" t="s">
        <v>139</v>
      </c>
      <c r="AK4349" s="2">
        <v>0.56619968313541003</v>
      </c>
      <c r="AL4349" s="2">
        <v>0.78229637392947005</v>
      </c>
      <c r="AM4349" s="2">
        <v>7117.4561111258599</v>
      </c>
      <c r="AN4349" s="2">
        <v>5599.3528762714895</v>
      </c>
      <c r="AO4349" s="2">
        <v>5898.2732991659896</v>
      </c>
      <c r="AP4349" s="2">
        <v>4743.7593778324399</v>
      </c>
      <c r="AQ4349" s="2">
        <v>15182.5579560159</v>
      </c>
      <c r="AR4349" s="2">
        <v>4644.1747494907304</v>
      </c>
      <c r="AS4349" s="2">
        <v>15946.5694163964</v>
      </c>
      <c r="AT4349" s="2">
        <v>3897.8346845977699</v>
      </c>
      <c r="AU4349" s="2">
        <v>771.795144940348</v>
      </c>
      <c r="AV4349" s="2">
        <v>533.97361456400904</v>
      </c>
      <c r="AW4349" s="2">
        <v>4520.5980737649597</v>
      </c>
      <c r="AX4349" s="2">
        <v>7369.5929078572099</v>
      </c>
    </row>
    <row r="4350" spans="1:50" x14ac:dyDescent="0.25">
      <c r="A4350" s="2" t="s">
        <v>28619</v>
      </c>
      <c r="B4350" s="2">
        <v>265.18086994401898</v>
      </c>
      <c r="C4350" s="2">
        <v>9.8903166666666706</v>
      </c>
      <c r="D4350" s="2" t="s">
        <v>51</v>
      </c>
      <c r="E4350" s="2" t="s">
        <v>28620</v>
      </c>
      <c r="F4350" s="2">
        <v>35614</v>
      </c>
      <c r="G4350" s="3" t="str">
        <f>HYPERLINK("https://cloud.oebiotech.com/#/lm/network/35614", "https://cloud.oebiotech.com/#/lm/network/35614")</f>
        <v>https://cloud.oebiotech.com/#/lm/network/35614</v>
      </c>
      <c r="H4350" s="2"/>
      <c r="I4350" s="2">
        <v>53419</v>
      </c>
      <c r="J4350" s="2" t="s">
        <v>28621</v>
      </c>
      <c r="K4350" s="2">
        <v>42608146</v>
      </c>
      <c r="L4350" s="2"/>
      <c r="M4350" s="2"/>
      <c r="N4350" s="2"/>
      <c r="O4350" s="2"/>
      <c r="P4350" s="2"/>
      <c r="Q4350" s="2"/>
      <c r="R4350" s="2"/>
      <c r="S4350" s="2" t="s">
        <v>28622</v>
      </c>
      <c r="T4350" s="2" t="s">
        <v>28623</v>
      </c>
      <c r="U4350" s="2" t="s">
        <v>56</v>
      </c>
      <c r="V4350" s="2" t="s">
        <v>177</v>
      </c>
      <c r="W4350" s="2" t="s">
        <v>1996</v>
      </c>
      <c r="X4350" s="2" t="s">
        <v>83</v>
      </c>
      <c r="Y4350" s="2">
        <v>49.2</v>
      </c>
      <c r="Z4350" s="2">
        <v>7.26</v>
      </c>
      <c r="AA4350" s="2" t="s">
        <v>218</v>
      </c>
      <c r="AB4350" s="2" t="s">
        <v>4168</v>
      </c>
      <c r="AC4350" s="2">
        <v>-0.219432395609123</v>
      </c>
      <c r="AD4350" s="2"/>
      <c r="AE4350" s="2">
        <v>9.9095717164531194E-2</v>
      </c>
      <c r="AF4350" s="2">
        <v>1162.72862394086</v>
      </c>
      <c r="AG4350" s="2">
        <v>855.31494639592904</v>
      </c>
      <c r="AH4350" s="5">
        <v>1.3594157670695299</v>
      </c>
      <c r="AI4350" s="5">
        <v>0.44298676100157902</v>
      </c>
      <c r="AJ4350" s="5" t="s">
        <v>139</v>
      </c>
      <c r="AK4350" s="2">
        <v>0.71190928658083197</v>
      </c>
      <c r="AL4350" s="2">
        <v>0.86345361275391197</v>
      </c>
      <c r="AM4350" s="2">
        <v>3238.97892486724</v>
      </c>
      <c r="AN4350" s="2">
        <v>1455.6456582298199</v>
      </c>
      <c r="AO4350" s="2">
        <v>795.13215426964098</v>
      </c>
      <c r="AP4350" s="2">
        <v>335.11540165397003</v>
      </c>
      <c r="AQ4350" s="2">
        <v>343.097964201438</v>
      </c>
      <c r="AR4350" s="2">
        <v>808.401640423044</v>
      </c>
      <c r="AS4350" s="2">
        <v>382.49206366951802</v>
      </c>
      <c r="AT4350" s="2">
        <v>8.559877937157E-6</v>
      </c>
      <c r="AU4350" s="2">
        <v>4204.4011180970001</v>
      </c>
      <c r="AV4350" s="2">
        <v>131.54994072422201</v>
      </c>
      <c r="AW4350" s="2">
        <v>413.44653876507601</v>
      </c>
      <c r="AX4350" s="2">
        <v>8.559877937157E-6</v>
      </c>
    </row>
    <row r="4351" spans="1:50" x14ac:dyDescent="0.25">
      <c r="A4351" s="2" t="s">
        <v>28624</v>
      </c>
      <c r="B4351" s="2">
        <v>219.17472960467501</v>
      </c>
      <c r="C4351" s="2">
        <v>10.98715</v>
      </c>
      <c r="D4351" s="2" t="s">
        <v>51</v>
      </c>
      <c r="E4351" s="2" t="s">
        <v>28625</v>
      </c>
      <c r="F4351" s="2">
        <v>35766</v>
      </c>
      <c r="G4351" s="3" t="str">
        <f>HYPERLINK("https://cloud.oebiotech.com/#/lm/network/35766", "https://cloud.oebiotech.com/#/lm/network/35766")</f>
        <v>https://cloud.oebiotech.com/#/lm/network/35766</v>
      </c>
      <c r="H4351" s="2"/>
      <c r="I4351" s="2">
        <v>53522</v>
      </c>
      <c r="J4351" s="2" t="s">
        <v>28626</v>
      </c>
      <c r="K4351" s="2">
        <v>42608179</v>
      </c>
      <c r="L4351" s="2"/>
      <c r="M4351" s="2"/>
      <c r="N4351" s="2"/>
      <c r="O4351" s="2"/>
      <c r="P4351" s="2"/>
      <c r="Q4351" s="2"/>
      <c r="R4351" s="2"/>
      <c r="S4351" s="2" t="s">
        <v>28627</v>
      </c>
      <c r="T4351" s="2" t="s">
        <v>28628</v>
      </c>
      <c r="U4351" s="2" t="s">
        <v>331</v>
      </c>
      <c r="V4351" s="2" t="s">
        <v>332</v>
      </c>
      <c r="W4351" s="2" t="s">
        <v>1207</v>
      </c>
      <c r="X4351" s="2" t="s">
        <v>83</v>
      </c>
      <c r="Y4351" s="2">
        <v>54.9</v>
      </c>
      <c r="Z4351" s="2">
        <v>0</v>
      </c>
      <c r="AA4351" s="2" t="s">
        <v>259</v>
      </c>
      <c r="AB4351" s="2" t="s">
        <v>16120</v>
      </c>
      <c r="AC4351" s="2">
        <v>1.7777549254648699</v>
      </c>
      <c r="AD4351" s="2"/>
      <c r="AE4351" s="2">
        <v>9.9042288545354407E-2</v>
      </c>
      <c r="AF4351" s="2">
        <v>3526.5000194877698</v>
      </c>
      <c r="AG4351" s="2">
        <v>3981.8150774759902</v>
      </c>
      <c r="AH4351" s="4">
        <v>0.88565138030547697</v>
      </c>
      <c r="AI4351" s="4">
        <v>-0.175189173624167</v>
      </c>
      <c r="AJ4351" s="4" t="s">
        <v>62</v>
      </c>
      <c r="AK4351" s="2">
        <v>0.139031281549783</v>
      </c>
      <c r="AL4351" s="2">
        <v>0.45923352345858398</v>
      </c>
      <c r="AM4351" s="2">
        <v>3258.0149249692399</v>
      </c>
      <c r="AN4351" s="2">
        <v>4637.2050918299701</v>
      </c>
      <c r="AO4351" s="2">
        <v>3322.4237004824099</v>
      </c>
      <c r="AP4351" s="2">
        <v>3666.7663962431898</v>
      </c>
      <c r="AQ4351" s="2">
        <v>3058.92341059718</v>
      </c>
      <c r="AR4351" s="2">
        <v>3215.66659280464</v>
      </c>
      <c r="AS4351" s="2">
        <v>3614.04132625794</v>
      </c>
      <c r="AT4351" s="2">
        <v>4239.8933934065499</v>
      </c>
      <c r="AU4351" s="2">
        <v>3850.3365598216801</v>
      </c>
      <c r="AV4351" s="2">
        <v>3632.60025437078</v>
      </c>
      <c r="AW4351" s="2">
        <v>3953.5770356369599</v>
      </c>
      <c r="AX4351" s="2">
        <v>4600.4418953620498</v>
      </c>
    </row>
    <row r="4352" spans="1:50" x14ac:dyDescent="0.25">
      <c r="A4352" s="2" t="s">
        <v>28629</v>
      </c>
      <c r="B4352" s="2">
        <v>409.33246759386799</v>
      </c>
      <c r="C4352" s="2">
        <v>13.159000000000001</v>
      </c>
      <c r="D4352" s="2" t="s">
        <v>51</v>
      </c>
      <c r="E4352" s="2" t="s">
        <v>28630</v>
      </c>
      <c r="F4352" s="2">
        <v>51371</v>
      </c>
      <c r="G4352" s="3" t="str">
        <f>HYPERLINK("https://cloud.oebiotech.com/#/lm/network/51371", "https://cloud.oebiotech.com/#/lm/network/51371")</f>
        <v>https://cloud.oebiotech.com/#/lm/network/51371</v>
      </c>
      <c r="H4352" s="2" t="s">
        <v>28631</v>
      </c>
      <c r="I4352" s="2">
        <v>62336</v>
      </c>
      <c r="J4352" s="2"/>
      <c r="K4352" s="2">
        <v>53480968</v>
      </c>
      <c r="L4352" s="2"/>
      <c r="M4352" s="2"/>
      <c r="N4352" s="2"/>
      <c r="O4352" s="2"/>
      <c r="P4352" s="2"/>
      <c r="Q4352" s="2"/>
      <c r="R4352" s="2"/>
      <c r="S4352" s="2" t="s">
        <v>28632</v>
      </c>
      <c r="T4352" s="2" t="s">
        <v>28633</v>
      </c>
      <c r="U4352" s="2" t="s">
        <v>56</v>
      </c>
      <c r="V4352" s="2" t="s">
        <v>3215</v>
      </c>
      <c r="W4352" s="2" t="s">
        <v>4174</v>
      </c>
      <c r="X4352" s="2" t="s">
        <v>83</v>
      </c>
      <c r="Y4352" s="2">
        <v>42.9</v>
      </c>
      <c r="Z4352" s="2">
        <v>0</v>
      </c>
      <c r="AA4352" s="2" t="s">
        <v>163</v>
      </c>
      <c r="AB4352" s="2" t="s">
        <v>28634</v>
      </c>
      <c r="AC4352" s="2">
        <v>0.326735231595007</v>
      </c>
      <c r="AD4352" s="2"/>
      <c r="AE4352" s="2">
        <v>9.9018695619489006E-2</v>
      </c>
      <c r="AF4352" s="2">
        <v>2827.4225919022601</v>
      </c>
      <c r="AG4352" s="2">
        <v>2046.1454359127099</v>
      </c>
      <c r="AH4352" s="5">
        <v>1.38182875091724</v>
      </c>
      <c r="AI4352" s="5">
        <v>0.46657883460401001</v>
      </c>
      <c r="AJ4352" s="5" t="s">
        <v>139</v>
      </c>
      <c r="AK4352" s="2">
        <v>0.36971829436884801</v>
      </c>
      <c r="AL4352" s="2">
        <v>0.65308465149296302</v>
      </c>
      <c r="AM4352" s="2">
        <v>1051.93117375825</v>
      </c>
      <c r="AN4352" s="2">
        <v>2809.34560526204</v>
      </c>
      <c r="AO4352" s="2">
        <v>4318.1530895696496</v>
      </c>
      <c r="AP4352" s="2">
        <v>5658.4640617798104</v>
      </c>
      <c r="AQ4352" s="2">
        <v>1717.24195684033</v>
      </c>
      <c r="AR4352" s="2">
        <v>1409.3996642034899</v>
      </c>
      <c r="AS4352" s="2">
        <v>1905.0546497442499</v>
      </c>
      <c r="AT4352" s="2">
        <v>3561.29884509151</v>
      </c>
      <c r="AU4352" s="2">
        <v>2314.33091864065</v>
      </c>
      <c r="AV4352" s="2">
        <v>863.63168309371997</v>
      </c>
      <c r="AW4352" s="2">
        <v>2156.2184481746699</v>
      </c>
      <c r="AX4352" s="2">
        <v>1476.33807073145</v>
      </c>
    </row>
    <row r="4353" spans="1:50" x14ac:dyDescent="0.25">
      <c r="A4353" s="2" t="s">
        <v>28635</v>
      </c>
      <c r="B4353" s="2">
        <v>235.09745355140399</v>
      </c>
      <c r="C4353" s="2">
        <v>6.2497833333333297</v>
      </c>
      <c r="D4353" s="2" t="s">
        <v>51</v>
      </c>
      <c r="E4353" s="2" t="s">
        <v>28636</v>
      </c>
      <c r="F4353" s="2">
        <v>55295</v>
      </c>
      <c r="G4353" s="3" t="str">
        <f>HYPERLINK("https://cloud.oebiotech.com/#/lm/network/55295", "https://cloud.oebiotech.com/#/lm/network/55295")</f>
        <v>https://cloud.oebiotech.com/#/lm/network/55295</v>
      </c>
      <c r="H4353" s="2" t="s">
        <v>28637</v>
      </c>
      <c r="I4353" s="2">
        <v>87009</v>
      </c>
      <c r="J4353" s="2"/>
      <c r="K4353" s="2">
        <v>131751030</v>
      </c>
      <c r="L4353" s="2"/>
      <c r="M4353" s="2"/>
      <c r="N4353" s="2"/>
      <c r="O4353" s="2">
        <v>168100</v>
      </c>
      <c r="P4353" s="2"/>
      <c r="Q4353" s="2"/>
      <c r="R4353" s="2" t="s">
        <v>28638</v>
      </c>
      <c r="S4353" s="2" t="s">
        <v>28639</v>
      </c>
      <c r="T4353" s="2" t="s">
        <v>28640</v>
      </c>
      <c r="U4353" s="2" t="s">
        <v>266</v>
      </c>
      <c r="V4353" s="2" t="s">
        <v>22669</v>
      </c>
      <c r="W4353" s="2" t="s">
        <v>240</v>
      </c>
      <c r="X4353" s="2" t="s">
        <v>83</v>
      </c>
      <c r="Y4353" s="2">
        <v>54.7</v>
      </c>
      <c r="Z4353" s="2">
        <v>27.9</v>
      </c>
      <c r="AA4353" s="2" t="s">
        <v>259</v>
      </c>
      <c r="AB4353" s="2" t="s">
        <v>28641</v>
      </c>
      <c r="AC4353" s="2">
        <v>4.1359966506452501</v>
      </c>
      <c r="AD4353" s="2"/>
      <c r="AE4353" s="2">
        <v>9.8979017862444493E-2</v>
      </c>
      <c r="AF4353" s="2">
        <v>60.496785161260902</v>
      </c>
      <c r="AG4353" s="2">
        <v>549.43236270299803</v>
      </c>
      <c r="AH4353" s="4">
        <v>0.11010779354830801</v>
      </c>
      <c r="AI4353" s="4">
        <v>-3.1830115068609701</v>
      </c>
      <c r="AJ4353" s="4" t="s">
        <v>62</v>
      </c>
      <c r="AK4353" s="2">
        <v>0.37532904389800698</v>
      </c>
      <c r="AL4353" s="2">
        <v>0.65674286284187</v>
      </c>
      <c r="AM4353" s="2">
        <v>62.843886212071901</v>
      </c>
      <c r="AN4353" s="2">
        <v>112.84512427089599</v>
      </c>
      <c r="AO4353" s="2">
        <v>90.688055447987907</v>
      </c>
      <c r="AP4353" s="2">
        <v>51.093077508405102</v>
      </c>
      <c r="AQ4353" s="2">
        <v>8.559877937157E-6</v>
      </c>
      <c r="AR4353" s="2">
        <v>45.5105589683264</v>
      </c>
      <c r="AS4353" s="2">
        <v>8.559877937157E-6</v>
      </c>
      <c r="AT4353" s="2">
        <v>47.092403691969203</v>
      </c>
      <c r="AU4353" s="2">
        <v>67.201461147452306</v>
      </c>
      <c r="AV4353" s="2">
        <v>8.559877937157E-6</v>
      </c>
      <c r="AW4353" s="2">
        <v>3182.3002856989301</v>
      </c>
      <c r="AX4353" s="2">
        <v>8.559877937157E-6</v>
      </c>
    </row>
    <row r="4354" spans="1:50" x14ac:dyDescent="0.25">
      <c r="A4354" s="2" t="s">
        <v>28642</v>
      </c>
      <c r="B4354" s="2">
        <v>283.19040000000001</v>
      </c>
      <c r="C4354" s="2">
        <v>29.538</v>
      </c>
      <c r="D4354" s="2" t="s">
        <v>125</v>
      </c>
      <c r="E4354" s="2" t="s">
        <v>28643</v>
      </c>
      <c r="F4354" s="2">
        <v>44229</v>
      </c>
      <c r="G4354" s="3" t="str">
        <f>HYPERLINK("https://cloud.oebiotech.com/#/lm/network/44229", "https://cloud.oebiotech.com/#/lm/network/44229")</f>
        <v>https://cloud.oebiotech.com/#/lm/network/44229</v>
      </c>
      <c r="H4354" s="2" t="s">
        <v>28644</v>
      </c>
      <c r="I4354" s="2">
        <v>168</v>
      </c>
      <c r="J4354" s="2" t="s">
        <v>28645</v>
      </c>
      <c r="K4354" s="2">
        <v>5280794</v>
      </c>
      <c r="L4354" s="2" t="s">
        <v>28646</v>
      </c>
      <c r="M4354" s="2" t="s">
        <v>4155</v>
      </c>
      <c r="N4354" s="2" t="s">
        <v>4156</v>
      </c>
      <c r="O4354" s="2">
        <v>28824</v>
      </c>
      <c r="P4354" s="2"/>
      <c r="Q4354" s="2"/>
      <c r="R4354" s="2" t="s">
        <v>28647</v>
      </c>
      <c r="S4354" s="2" t="s">
        <v>28648</v>
      </c>
      <c r="T4354" s="2" t="s">
        <v>28649</v>
      </c>
      <c r="U4354" s="2" t="s">
        <v>56</v>
      </c>
      <c r="V4354" s="2" t="s">
        <v>283</v>
      </c>
      <c r="W4354" s="2" t="s">
        <v>10738</v>
      </c>
      <c r="X4354" s="2" t="s">
        <v>59</v>
      </c>
      <c r="Y4354" s="2">
        <v>74</v>
      </c>
      <c r="Z4354" s="2">
        <v>61.6</v>
      </c>
      <c r="AA4354" s="2"/>
      <c r="AB4354" s="2" t="s">
        <v>1216</v>
      </c>
      <c r="AC4354" s="2"/>
      <c r="AD4354" s="2">
        <v>1207742.6202661199</v>
      </c>
      <c r="AE4354" s="2">
        <v>9.8873824689556106E-2</v>
      </c>
      <c r="AF4354" s="2">
        <v>21091.358714429301</v>
      </c>
      <c r="AG4354" s="2">
        <v>26541.5069613712</v>
      </c>
      <c r="AH4354" s="4">
        <v>0.794655659346168</v>
      </c>
      <c r="AI4354" s="4">
        <v>-0.33159824854106601</v>
      </c>
      <c r="AJ4354" s="4" t="s">
        <v>62</v>
      </c>
      <c r="AK4354" s="2">
        <v>0.27278789799668501</v>
      </c>
      <c r="AL4354" s="2">
        <v>0.59237079385746805</v>
      </c>
      <c r="AM4354" s="2">
        <v>28640.960136333899</v>
      </c>
      <c r="AN4354" s="2">
        <v>26984.2673474445</v>
      </c>
      <c r="AO4354" s="2">
        <v>15598.740710038601</v>
      </c>
      <c r="AP4354" s="2">
        <v>6624.8324691293801</v>
      </c>
      <c r="AQ4354" s="2">
        <v>32705.171148125199</v>
      </c>
      <c r="AR4354" s="2">
        <v>15994.1804755044</v>
      </c>
      <c r="AS4354" s="2">
        <v>27668.136420615501</v>
      </c>
      <c r="AT4354" s="2">
        <v>15133.0883724822</v>
      </c>
      <c r="AU4354" s="2">
        <v>27700.652421583301</v>
      </c>
      <c r="AV4354" s="2">
        <v>27121.196916790999</v>
      </c>
      <c r="AW4354" s="2">
        <v>30905.421052978501</v>
      </c>
      <c r="AX4354" s="2">
        <v>30720.546583776701</v>
      </c>
    </row>
    <row r="4355" spans="1:50" x14ac:dyDescent="0.25">
      <c r="A4355" s="2" t="s">
        <v>28650</v>
      </c>
      <c r="B4355" s="2">
        <v>351.25411677884699</v>
      </c>
      <c r="C4355" s="2">
        <v>11.590066666666701</v>
      </c>
      <c r="D4355" s="2" t="s">
        <v>51</v>
      </c>
      <c r="E4355" s="2" t="s">
        <v>28651</v>
      </c>
      <c r="F4355" s="2">
        <v>51384</v>
      </c>
      <c r="G4355" s="3" t="str">
        <f>HYPERLINK("https://cloud.oebiotech.com/#/lm/network/51384", "https://cloud.oebiotech.com/#/lm/network/51384")</f>
        <v>https://cloud.oebiotech.com/#/lm/network/51384</v>
      </c>
      <c r="H4355" s="2" t="s">
        <v>28652</v>
      </c>
      <c r="I4355" s="2">
        <v>62351</v>
      </c>
      <c r="J4355" s="2"/>
      <c r="K4355" s="2">
        <v>53480978</v>
      </c>
      <c r="L4355" s="2"/>
      <c r="M4355" s="2"/>
      <c r="N4355" s="2"/>
      <c r="O4355" s="2"/>
      <c r="P4355" s="2"/>
      <c r="Q4355" s="2"/>
      <c r="R4355" s="2"/>
      <c r="S4355" s="2" t="s">
        <v>28653</v>
      </c>
      <c r="T4355" s="2" t="s">
        <v>28654</v>
      </c>
      <c r="U4355" s="2" t="s">
        <v>56</v>
      </c>
      <c r="V4355" s="2" t="s">
        <v>145</v>
      </c>
      <c r="W4355" s="2" t="s">
        <v>203</v>
      </c>
      <c r="X4355" s="2" t="s">
        <v>83</v>
      </c>
      <c r="Y4355" s="2">
        <v>56.7</v>
      </c>
      <c r="Z4355" s="2">
        <v>0</v>
      </c>
      <c r="AA4355" s="2" t="s">
        <v>163</v>
      </c>
      <c r="AB4355" s="2" t="s">
        <v>18478</v>
      </c>
      <c r="AC4355" s="2">
        <v>9.5321515435045995E-2</v>
      </c>
      <c r="AD4355" s="2"/>
      <c r="AE4355" s="2">
        <v>9.8833318819283603E-2</v>
      </c>
      <c r="AF4355" s="2">
        <v>1590.11148136774</v>
      </c>
      <c r="AG4355" s="2">
        <v>1086.8512915492099</v>
      </c>
      <c r="AH4355" s="5">
        <v>1.4630442027641</v>
      </c>
      <c r="AI4355" s="5">
        <v>0.54897335809239201</v>
      </c>
      <c r="AJ4355" s="5" t="s">
        <v>139</v>
      </c>
      <c r="AK4355" s="2">
        <v>0.38672486707514597</v>
      </c>
      <c r="AL4355" s="2">
        <v>0.66281337639293902</v>
      </c>
      <c r="AM4355" s="2">
        <v>2108.4801524294498</v>
      </c>
      <c r="AN4355" s="2">
        <v>1422.15893913733</v>
      </c>
      <c r="AO4355" s="2">
        <v>3398.9395405146201</v>
      </c>
      <c r="AP4355" s="2">
        <v>1809.09438180691</v>
      </c>
      <c r="AQ4355" s="2">
        <v>410.27684019308703</v>
      </c>
      <c r="AR4355" s="2">
        <v>391.71903412506799</v>
      </c>
      <c r="AS4355" s="2">
        <v>1095.9478064310399</v>
      </c>
      <c r="AT4355" s="2">
        <v>710.34817452469304</v>
      </c>
      <c r="AU4355" s="2">
        <v>1064.3403725789001</v>
      </c>
      <c r="AV4355" s="2">
        <v>2522.2693005250799</v>
      </c>
      <c r="AW4355" s="2">
        <v>766.38724645202501</v>
      </c>
      <c r="AX4355" s="2">
        <v>361.81484878351301</v>
      </c>
    </row>
    <row r="4356" spans="1:50" x14ac:dyDescent="0.25">
      <c r="A4356" s="2" t="s">
        <v>28655</v>
      </c>
      <c r="B4356" s="2">
        <v>185.08117833882099</v>
      </c>
      <c r="C4356" s="2">
        <v>4.8395999999999999</v>
      </c>
      <c r="D4356" s="2" t="s">
        <v>51</v>
      </c>
      <c r="E4356" s="2" t="s">
        <v>28656</v>
      </c>
      <c r="F4356" s="2">
        <v>6301</v>
      </c>
      <c r="G4356" s="3" t="str">
        <f>HYPERLINK("https://cloud.oebiotech.com/#/lm/network/6301", "https://cloud.oebiotech.com/#/lm/network/6301")</f>
        <v>https://cloud.oebiotech.com/#/lm/network/6301</v>
      </c>
      <c r="H4356" s="2"/>
      <c r="I4356" s="2"/>
      <c r="J4356" s="2" t="s">
        <v>28657</v>
      </c>
      <c r="K4356" s="2">
        <v>5281928</v>
      </c>
      <c r="L4356" s="2"/>
      <c r="M4356" s="2"/>
      <c r="N4356" s="2"/>
      <c r="O4356" s="2">
        <v>53533</v>
      </c>
      <c r="P4356" s="2"/>
      <c r="Q4356" s="2"/>
      <c r="R4356" s="2"/>
      <c r="S4356" s="2" t="s">
        <v>28658</v>
      </c>
      <c r="T4356" s="2" t="s">
        <v>28659</v>
      </c>
      <c r="U4356" s="2" t="s">
        <v>56</v>
      </c>
      <c r="V4356" s="2" t="s">
        <v>145</v>
      </c>
      <c r="W4356" s="2" t="s">
        <v>146</v>
      </c>
      <c r="X4356" s="2" t="s">
        <v>83</v>
      </c>
      <c r="Y4356" s="2">
        <v>47</v>
      </c>
      <c r="Z4356" s="2">
        <v>33</v>
      </c>
      <c r="AA4356" s="2" t="s">
        <v>218</v>
      </c>
      <c r="AB4356" s="2" t="s">
        <v>2068</v>
      </c>
      <c r="AC4356" s="2">
        <v>-5.38360265852317</v>
      </c>
      <c r="AD4356" s="2"/>
      <c r="AE4356" s="2">
        <v>9.8705513442737799E-2</v>
      </c>
      <c r="AF4356" s="2">
        <v>3352.3182531913799</v>
      </c>
      <c r="AG4356" s="2">
        <v>2933.3017547965201</v>
      </c>
      <c r="AH4356" s="5">
        <v>1.1428480713618001</v>
      </c>
      <c r="AI4356" s="5">
        <v>0.19263362642076901</v>
      </c>
      <c r="AJ4356" s="5" t="s">
        <v>139</v>
      </c>
      <c r="AK4356" s="2">
        <v>0.279569794135542</v>
      </c>
      <c r="AL4356" s="2">
        <v>0.599207894506394</v>
      </c>
      <c r="AM4356" s="2">
        <v>3394.66904622017</v>
      </c>
      <c r="AN4356" s="2">
        <v>3342.9715779680901</v>
      </c>
      <c r="AO4356" s="2">
        <v>2923.46698541153</v>
      </c>
      <c r="AP4356" s="2">
        <v>3272.0378545150502</v>
      </c>
      <c r="AQ4356" s="2">
        <v>4003.94018540251</v>
      </c>
      <c r="AR4356" s="2">
        <v>3176.82386963094</v>
      </c>
      <c r="AS4356" s="2">
        <v>3833.8606293113698</v>
      </c>
      <c r="AT4356" s="2">
        <v>4082.46785793853</v>
      </c>
      <c r="AU4356" s="2">
        <v>2465.1629466060499</v>
      </c>
      <c r="AV4356" s="2">
        <v>2233.3187467784701</v>
      </c>
      <c r="AW4356" s="2">
        <v>2215.8641461371599</v>
      </c>
      <c r="AX4356" s="2">
        <v>2769.1362020075399</v>
      </c>
    </row>
    <row r="4357" spans="1:50" x14ac:dyDescent="0.25">
      <c r="A4357" s="2" t="s">
        <v>28660</v>
      </c>
      <c r="B4357" s="2">
        <v>427.14863271189398</v>
      </c>
      <c r="C4357" s="2">
        <v>4.1742499999999998</v>
      </c>
      <c r="D4357" s="2" t="s">
        <v>51</v>
      </c>
      <c r="E4357" s="2" t="s">
        <v>28661</v>
      </c>
      <c r="F4357" s="2">
        <v>52959</v>
      </c>
      <c r="G4357" s="3" t="str">
        <f>HYPERLINK("https://cloud.oebiotech.com/#/lm/network/52959", "https://cloud.oebiotech.com/#/lm/network/52959")</f>
        <v>https://cloud.oebiotech.com/#/lm/network/52959</v>
      </c>
      <c r="H4357" s="2" t="s">
        <v>28662</v>
      </c>
      <c r="I4357" s="2"/>
      <c r="J4357" s="2"/>
      <c r="K4357" s="2">
        <v>60843</v>
      </c>
      <c r="L4357" s="2"/>
      <c r="M4357" s="2"/>
      <c r="N4357" s="2"/>
      <c r="O4357" s="2">
        <v>775209</v>
      </c>
      <c r="P4357" s="2"/>
      <c r="Q4357" s="2"/>
      <c r="R4357" s="2" t="s">
        <v>28663</v>
      </c>
      <c r="S4357" s="2" t="s">
        <v>28664</v>
      </c>
      <c r="T4357" s="2" t="s">
        <v>28665</v>
      </c>
      <c r="U4357" s="2" t="s">
        <v>103</v>
      </c>
      <c r="V4357" s="2" t="s">
        <v>104</v>
      </c>
      <c r="W4357" s="2" t="s">
        <v>105</v>
      </c>
      <c r="X4357" s="2" t="s">
        <v>147</v>
      </c>
      <c r="Y4357" s="2">
        <v>39.6</v>
      </c>
      <c r="Z4357" s="2">
        <v>17</v>
      </c>
      <c r="AA4357" s="2" t="s">
        <v>122</v>
      </c>
      <c r="AB4357" s="2" t="s">
        <v>28666</v>
      </c>
      <c r="AC4357" s="2">
        <v>-1.28948610359396</v>
      </c>
      <c r="AD4357" s="2"/>
      <c r="AE4357" s="2">
        <v>9.8695093625689706E-2</v>
      </c>
      <c r="AF4357" s="2">
        <v>909.32052851763206</v>
      </c>
      <c r="AG4357" s="2">
        <v>544.00963704632295</v>
      </c>
      <c r="AH4357" s="5">
        <v>1.67151547802489</v>
      </c>
      <c r="AI4357" s="5">
        <v>0.74115671419334495</v>
      </c>
      <c r="AJ4357" s="5" t="s">
        <v>139</v>
      </c>
      <c r="AK4357" s="2">
        <v>0.51666122608198095</v>
      </c>
      <c r="AL4357" s="2">
        <v>0.74951702456617197</v>
      </c>
      <c r="AM4357" s="2">
        <v>2133.5824787133301</v>
      </c>
      <c r="AN4357" s="2">
        <v>8.559877937157E-6</v>
      </c>
      <c r="AO4357" s="2">
        <v>1661.10053634168</v>
      </c>
      <c r="AP4357" s="2">
        <v>8.559877937157E-6</v>
      </c>
      <c r="AQ4357" s="2">
        <v>8.559877937157E-6</v>
      </c>
      <c r="AR4357" s="2">
        <v>1661.2401303711499</v>
      </c>
      <c r="AS4357" s="2">
        <v>8.559877937157E-6</v>
      </c>
      <c r="AT4357" s="2">
        <v>8.559877937157E-6</v>
      </c>
      <c r="AU4357" s="2">
        <v>2247.1116875653602</v>
      </c>
      <c r="AV4357" s="2">
        <v>630.14511105674899</v>
      </c>
      <c r="AW4357" s="2">
        <v>235.648277260936</v>
      </c>
      <c r="AX4357" s="2">
        <v>151.152729275139</v>
      </c>
    </row>
    <row r="4358" spans="1:50" x14ac:dyDescent="0.25">
      <c r="A4358" s="2" t="s">
        <v>28667</v>
      </c>
      <c r="B4358" s="2">
        <v>287.14986054116201</v>
      </c>
      <c r="C4358" s="2">
        <v>9.7874166666666707</v>
      </c>
      <c r="D4358" s="2" t="s">
        <v>51</v>
      </c>
      <c r="E4358" s="2" t="s">
        <v>28668</v>
      </c>
      <c r="F4358" s="2">
        <v>2955</v>
      </c>
      <c r="G4358" s="3" t="str">
        <f>HYPERLINK("https://cloud.oebiotech.com/#/lm/network/2955", "https://cloud.oebiotech.com/#/lm/network/2955")</f>
        <v>https://cloud.oebiotech.com/#/lm/network/2955</v>
      </c>
      <c r="H4358" s="2"/>
      <c r="I4358" s="2"/>
      <c r="J4358" s="2" t="s">
        <v>28669</v>
      </c>
      <c r="K4358" s="2">
        <v>23652018</v>
      </c>
      <c r="L4358" s="2"/>
      <c r="M4358" s="2"/>
      <c r="N4358" s="2"/>
      <c r="O4358" s="2">
        <v>133831</v>
      </c>
      <c r="P4358" s="2"/>
      <c r="Q4358" s="2"/>
      <c r="R4358" s="2"/>
      <c r="S4358" s="2" t="s">
        <v>28670</v>
      </c>
      <c r="T4358" s="2" t="s">
        <v>28671</v>
      </c>
      <c r="U4358" s="2" t="s">
        <v>103</v>
      </c>
      <c r="V4358" s="2" t="s">
        <v>104</v>
      </c>
      <c r="W4358" s="2" t="s">
        <v>1139</v>
      </c>
      <c r="X4358" s="2" t="s">
        <v>147</v>
      </c>
      <c r="Y4358" s="2">
        <v>38.5</v>
      </c>
      <c r="Z4358" s="2">
        <v>3.87</v>
      </c>
      <c r="AA4358" s="2" t="s">
        <v>259</v>
      </c>
      <c r="AB4358" s="2" t="s">
        <v>28672</v>
      </c>
      <c r="AC4358" s="2">
        <v>3.3049585771468202</v>
      </c>
      <c r="AD4358" s="2"/>
      <c r="AE4358" s="2">
        <v>9.86355621252889E-2</v>
      </c>
      <c r="AF4358" s="2">
        <v>345.47964628141398</v>
      </c>
      <c r="AG4358" s="2">
        <v>1503.30196659992</v>
      </c>
      <c r="AH4358" s="4">
        <v>0.22981387236710701</v>
      </c>
      <c r="AI4358" s="4">
        <v>-2.1214622081689001</v>
      </c>
      <c r="AJ4358" s="4" t="s">
        <v>62</v>
      </c>
      <c r="AK4358" s="2">
        <v>0.33778366122487202</v>
      </c>
      <c r="AL4358" s="2">
        <v>0.63815037094278604</v>
      </c>
      <c r="AM4358" s="2">
        <v>331.85317955290702</v>
      </c>
      <c r="AN4358" s="2">
        <v>416.848662790633</v>
      </c>
      <c r="AO4358" s="2">
        <v>416.81340427666998</v>
      </c>
      <c r="AP4358" s="2">
        <v>315.09620060791002</v>
      </c>
      <c r="AQ4358" s="2">
        <v>268.78503628390399</v>
      </c>
      <c r="AR4358" s="2">
        <v>323.48139417646098</v>
      </c>
      <c r="AS4358" s="2">
        <v>352.96810765267497</v>
      </c>
      <c r="AT4358" s="2">
        <v>7243.7947660467498</v>
      </c>
      <c r="AU4358" s="2">
        <v>264.85552512621399</v>
      </c>
      <c r="AV4358" s="2">
        <v>460.111860922407</v>
      </c>
      <c r="AW4358" s="2">
        <v>568.75541957698601</v>
      </c>
      <c r="AX4358" s="2">
        <v>129.326120274473</v>
      </c>
    </row>
    <row r="4359" spans="1:50" x14ac:dyDescent="0.25">
      <c r="A4359" s="2" t="s">
        <v>28673</v>
      </c>
      <c r="B4359" s="2">
        <v>344.282210898909</v>
      </c>
      <c r="C4359" s="2">
        <v>10.5316333333333</v>
      </c>
      <c r="D4359" s="2" t="s">
        <v>51</v>
      </c>
      <c r="E4359" s="2" t="s">
        <v>28674</v>
      </c>
      <c r="F4359" s="2">
        <v>55699</v>
      </c>
      <c r="G4359" s="3" t="str">
        <f>HYPERLINK("https://cloud.oebiotech.com/#/lm/network/55699", "https://cloud.oebiotech.com/#/lm/network/55699")</f>
        <v>https://cloud.oebiotech.com/#/lm/network/55699</v>
      </c>
      <c r="H4359" s="2" t="s">
        <v>28675</v>
      </c>
      <c r="I4359" s="2">
        <v>87372</v>
      </c>
      <c r="J4359" s="2"/>
      <c r="K4359" s="2">
        <v>71694412</v>
      </c>
      <c r="L4359" s="2"/>
      <c r="M4359" s="2"/>
      <c r="N4359" s="2"/>
      <c r="O4359" s="2">
        <v>171811</v>
      </c>
      <c r="P4359" s="2"/>
      <c r="Q4359" s="2"/>
      <c r="R4359" s="2" t="s">
        <v>28676</v>
      </c>
      <c r="S4359" s="2" t="s">
        <v>28677</v>
      </c>
      <c r="T4359" s="2" t="s">
        <v>28678</v>
      </c>
      <c r="U4359" s="2" t="s">
        <v>56</v>
      </c>
      <c r="V4359" s="2" t="s">
        <v>145</v>
      </c>
      <c r="W4359" s="2" t="s">
        <v>146</v>
      </c>
      <c r="X4359" s="2" t="s">
        <v>83</v>
      </c>
      <c r="Y4359" s="2">
        <v>45.1</v>
      </c>
      <c r="Z4359" s="2">
        <v>2.3199999999999998</v>
      </c>
      <c r="AA4359" s="2" t="s">
        <v>28679</v>
      </c>
      <c r="AB4359" s="2" t="s">
        <v>28680</v>
      </c>
      <c r="AC4359" s="2">
        <v>8.2017945688220397</v>
      </c>
      <c r="AD4359" s="2"/>
      <c r="AE4359" s="2">
        <v>9.8577704652967807E-2</v>
      </c>
      <c r="AF4359" s="2">
        <v>13715.4414138596</v>
      </c>
      <c r="AG4359" s="2">
        <v>13682.4605452367</v>
      </c>
      <c r="AH4359" s="5">
        <v>1.00241044865533</v>
      </c>
      <c r="AI4359" s="5">
        <v>3.47335782575388E-3</v>
      </c>
      <c r="AJ4359" s="5" t="s">
        <v>139</v>
      </c>
      <c r="AK4359" s="2">
        <v>0.99084553110974605</v>
      </c>
      <c r="AL4359" s="2">
        <v>0.99588573656477897</v>
      </c>
      <c r="AM4359" s="2">
        <v>18738.053697579599</v>
      </c>
      <c r="AN4359" s="2">
        <v>17446.8756976451</v>
      </c>
      <c r="AO4359" s="2">
        <v>14640.597108735399</v>
      </c>
      <c r="AP4359" s="2">
        <v>15428.5914556766</v>
      </c>
      <c r="AQ4359" s="2">
        <v>7764.7863753412503</v>
      </c>
      <c r="AR4359" s="2">
        <v>8273.7441481797705</v>
      </c>
      <c r="AS4359" s="2">
        <v>6369.9156398124896</v>
      </c>
      <c r="AT4359" s="2">
        <v>18494.869278998998</v>
      </c>
      <c r="AU4359" s="2">
        <v>15944.057285581001</v>
      </c>
      <c r="AV4359" s="2">
        <v>8601.4899136649601</v>
      </c>
      <c r="AW4359" s="2">
        <v>14591.189148899</v>
      </c>
      <c r="AX4359" s="2">
        <v>18093.2420044637</v>
      </c>
    </row>
    <row r="4360" spans="1:50" x14ac:dyDescent="0.25">
      <c r="A4360" s="2" t="s">
        <v>28681</v>
      </c>
      <c r="B4360" s="2">
        <v>313.23841792901197</v>
      </c>
      <c r="C4360" s="2">
        <v>14.465633333333299</v>
      </c>
      <c r="D4360" s="2" t="s">
        <v>51</v>
      </c>
      <c r="E4360" s="2" t="s">
        <v>28682</v>
      </c>
      <c r="F4360" s="2">
        <v>7235</v>
      </c>
      <c r="G4360" s="3" t="str">
        <f>HYPERLINK("https://cloud.oebiotech.com/#/lm/network/7235", "https://cloud.oebiotech.com/#/lm/network/7235")</f>
        <v>https://cloud.oebiotech.com/#/lm/network/7235</v>
      </c>
      <c r="H4360" s="2" t="s">
        <v>28683</v>
      </c>
      <c r="I4360" s="2">
        <v>44957</v>
      </c>
      <c r="J4360" s="2" t="s">
        <v>28684</v>
      </c>
      <c r="K4360" s="2">
        <v>14029831</v>
      </c>
      <c r="L4360" s="2"/>
      <c r="M4360" s="2"/>
      <c r="N4360" s="2"/>
      <c r="O4360" s="2"/>
      <c r="P4360" s="2"/>
      <c r="Q4360" s="2"/>
      <c r="R4360" s="2" t="s">
        <v>28685</v>
      </c>
      <c r="S4360" s="2" t="s">
        <v>28686</v>
      </c>
      <c r="T4360" s="2" t="s">
        <v>28687</v>
      </c>
      <c r="U4360" s="2" t="s">
        <v>56</v>
      </c>
      <c r="V4360" s="2" t="s">
        <v>145</v>
      </c>
      <c r="W4360" s="2" t="s">
        <v>1188</v>
      </c>
      <c r="X4360" s="2" t="s">
        <v>83</v>
      </c>
      <c r="Y4360" s="2">
        <v>40.1</v>
      </c>
      <c r="Z4360" s="2">
        <v>0</v>
      </c>
      <c r="AA4360" s="2" t="s">
        <v>218</v>
      </c>
      <c r="AB4360" s="2" t="s">
        <v>20680</v>
      </c>
      <c r="AC4360" s="2">
        <v>-5.6689290922558401E-2</v>
      </c>
      <c r="AD4360" s="2"/>
      <c r="AE4360" s="2">
        <v>9.85674742660958E-2</v>
      </c>
      <c r="AF4360" s="2">
        <v>75.9929046256578</v>
      </c>
      <c r="AG4360" s="2">
        <v>330.03969943621303</v>
      </c>
      <c r="AH4360" s="4">
        <v>0.23025382932862901</v>
      </c>
      <c r="AI4360" s="4">
        <v>-2.11870294505291</v>
      </c>
      <c r="AJ4360" s="4" t="s">
        <v>62</v>
      </c>
      <c r="AK4360" s="2">
        <v>3.4754338023652097E-2</v>
      </c>
      <c r="AL4360" s="2">
        <v>0.271975767980906</v>
      </c>
      <c r="AM4360" s="2">
        <v>114.528771016441</v>
      </c>
      <c r="AN4360" s="2">
        <v>8.559877937157E-6</v>
      </c>
      <c r="AO4360" s="2">
        <v>8.559877937157E-6</v>
      </c>
      <c r="AP4360" s="2">
        <v>8.559877937157E-6</v>
      </c>
      <c r="AQ4360" s="2">
        <v>216.09410749151499</v>
      </c>
      <c r="AR4360" s="2">
        <v>125.33452356635701</v>
      </c>
      <c r="AS4360" s="2">
        <v>172.42901330781001</v>
      </c>
      <c r="AT4360" s="2">
        <v>8.559877937157E-6</v>
      </c>
      <c r="AU4360" s="2">
        <v>486.57573221939299</v>
      </c>
      <c r="AV4360" s="2">
        <v>518.94881432889702</v>
      </c>
      <c r="AW4360" s="2">
        <v>600.95369802274502</v>
      </c>
      <c r="AX4360" s="2">
        <v>201.33093017855401</v>
      </c>
    </row>
    <row r="4361" spans="1:50" x14ac:dyDescent="0.25">
      <c r="A4361" s="2" t="s">
        <v>28688</v>
      </c>
      <c r="B4361" s="2">
        <v>302.10334250820699</v>
      </c>
      <c r="C4361" s="2">
        <v>5.0382166666666697</v>
      </c>
      <c r="D4361" s="2" t="s">
        <v>51</v>
      </c>
      <c r="E4361" s="2" t="s">
        <v>28689</v>
      </c>
      <c r="F4361" s="2">
        <v>202632</v>
      </c>
      <c r="G4361" s="3" t="str">
        <f>HYPERLINK("https://cloud.oebiotech.com/#/lm/network/202632", "https://cloud.oebiotech.com/#/lm/network/202632")</f>
        <v>https://cloud.oebiotech.com/#/lm/network/202632</v>
      </c>
      <c r="H4361" s="2" t="s">
        <v>28690</v>
      </c>
      <c r="I4361" s="2"/>
      <c r="J4361" s="2"/>
      <c r="K4361" s="2">
        <v>6604926</v>
      </c>
      <c r="L4361" s="2"/>
      <c r="M4361" s="2"/>
      <c r="N4361" s="2"/>
      <c r="O4361" s="2"/>
      <c r="P4361" s="2"/>
      <c r="Q4361" s="2"/>
      <c r="R4361" s="2"/>
      <c r="S4361" s="2" t="s">
        <v>28691</v>
      </c>
      <c r="T4361" s="2" t="s">
        <v>28692</v>
      </c>
      <c r="U4361" s="2" t="s">
        <v>266</v>
      </c>
      <c r="V4361" s="2" t="s">
        <v>6667</v>
      </c>
      <c r="W4361" s="2" t="s">
        <v>14241</v>
      </c>
      <c r="X4361" s="2" t="s">
        <v>147</v>
      </c>
      <c r="Y4361" s="2">
        <v>38.799999999999997</v>
      </c>
      <c r="Z4361" s="2">
        <v>0</v>
      </c>
      <c r="AA4361" s="2" t="s">
        <v>156</v>
      </c>
      <c r="AB4361" s="2" t="s">
        <v>28693</v>
      </c>
      <c r="AC4361" s="2">
        <v>-0.92107629153674997</v>
      </c>
      <c r="AD4361" s="2"/>
      <c r="AE4361" s="2">
        <v>9.8497977578685003E-2</v>
      </c>
      <c r="AF4361" s="2">
        <v>11596.736884928399</v>
      </c>
      <c r="AG4361" s="2">
        <v>12931.019168741401</v>
      </c>
      <c r="AH4361" s="4">
        <v>0.89681538118522997</v>
      </c>
      <c r="AI4361" s="4">
        <v>-0.15711707302261299</v>
      </c>
      <c r="AJ4361" s="4" t="s">
        <v>62</v>
      </c>
      <c r="AK4361" s="2">
        <v>0.70365305263091105</v>
      </c>
      <c r="AL4361" s="2">
        <v>0.85817341279164305</v>
      </c>
      <c r="AM4361" s="2">
        <v>13812.109881710399</v>
      </c>
      <c r="AN4361" s="2">
        <v>17724.781346882199</v>
      </c>
      <c r="AO4361" s="2">
        <v>8297.5622527697706</v>
      </c>
      <c r="AP4361" s="2">
        <v>11439.5775775647</v>
      </c>
      <c r="AQ4361" s="2">
        <v>9852.3704066730497</v>
      </c>
      <c r="AR4361" s="2">
        <v>8454.0198439701107</v>
      </c>
      <c r="AS4361" s="2">
        <v>28017.447949961901</v>
      </c>
      <c r="AT4361" s="2">
        <v>10324.3382327821</v>
      </c>
      <c r="AU4361" s="2">
        <v>9874.39291440546</v>
      </c>
      <c r="AV4361" s="2">
        <v>9496.9121391278895</v>
      </c>
      <c r="AW4361" s="2">
        <v>12026.600451894101</v>
      </c>
      <c r="AX4361" s="2">
        <v>7846.4233242772398</v>
      </c>
    </row>
    <row r="4362" spans="1:50" x14ac:dyDescent="0.25">
      <c r="A4362" s="2" t="s">
        <v>28694</v>
      </c>
      <c r="B4362" s="2">
        <v>477.32254398145199</v>
      </c>
      <c r="C4362" s="2">
        <v>10.7014833333333</v>
      </c>
      <c r="D4362" s="2" t="s">
        <v>51</v>
      </c>
      <c r="E4362" s="2" t="s">
        <v>28695</v>
      </c>
      <c r="F4362" s="2">
        <v>43644</v>
      </c>
      <c r="G4362" s="3" t="str">
        <f>HYPERLINK("https://cloud.oebiotech.com/#/lm/network/43644", "https://cloud.oebiotech.com/#/lm/network/43644")</f>
        <v>https://cloud.oebiotech.com/#/lm/network/43644</v>
      </c>
      <c r="H4362" s="2"/>
      <c r="I4362" s="2">
        <v>83919</v>
      </c>
      <c r="J4362" s="2" t="s">
        <v>28696</v>
      </c>
      <c r="K4362" s="2">
        <v>11327943</v>
      </c>
      <c r="L4362" s="2"/>
      <c r="M4362" s="2"/>
      <c r="N4362" s="2"/>
      <c r="O4362" s="2"/>
      <c r="P4362" s="2"/>
      <c r="Q4362" s="2"/>
      <c r="R4362" s="2"/>
      <c r="S4362" s="2" t="s">
        <v>28697</v>
      </c>
      <c r="T4362" s="2" t="s">
        <v>28698</v>
      </c>
      <c r="U4362" s="2" t="s">
        <v>56</v>
      </c>
      <c r="V4362" s="2" t="s">
        <v>283</v>
      </c>
      <c r="W4362" s="2" t="s">
        <v>1108</v>
      </c>
      <c r="X4362" s="2" t="s">
        <v>83</v>
      </c>
      <c r="Y4362" s="2">
        <v>43.5</v>
      </c>
      <c r="Z4362" s="2">
        <v>0</v>
      </c>
      <c r="AA4362" s="2" t="s">
        <v>218</v>
      </c>
      <c r="AB4362" s="2" t="s">
        <v>12999</v>
      </c>
      <c r="AC4362" s="2">
        <v>0.88179737360188604</v>
      </c>
      <c r="AD4362" s="2"/>
      <c r="AE4362" s="2">
        <v>9.8409395066910002E-2</v>
      </c>
      <c r="AF4362" s="2">
        <v>2814.9145948459</v>
      </c>
      <c r="AG4362" s="2">
        <v>1740.06226037799</v>
      </c>
      <c r="AH4362" s="5">
        <v>1.6177091239450401</v>
      </c>
      <c r="AI4362" s="5">
        <v>0.69395222385724498</v>
      </c>
      <c r="AJ4362" s="5" t="s">
        <v>139</v>
      </c>
      <c r="AK4362" s="2">
        <v>0.433474370295863</v>
      </c>
      <c r="AL4362" s="2">
        <v>0.69097008915867497</v>
      </c>
      <c r="AM4362" s="2">
        <v>1212.13663061587</v>
      </c>
      <c r="AN4362" s="2">
        <v>2216.5759641405898</v>
      </c>
      <c r="AO4362" s="2">
        <v>1049.4591098168</v>
      </c>
      <c r="AP4362" s="2">
        <v>3861.7639304590798</v>
      </c>
      <c r="AQ4362" s="2">
        <v>7527.7509245791998</v>
      </c>
      <c r="AR4362" s="2">
        <v>1021.80100946384</v>
      </c>
      <c r="AS4362" s="2">
        <v>674.97895406899397</v>
      </c>
      <c r="AT4362" s="2">
        <v>3496.49997504876</v>
      </c>
      <c r="AU4362" s="2">
        <v>8.559877937157E-6</v>
      </c>
      <c r="AV4362" s="2">
        <v>8.559877937157E-6</v>
      </c>
      <c r="AW4362" s="2">
        <v>1504.2555491703699</v>
      </c>
      <c r="AX4362" s="2">
        <v>4764.6390668600598</v>
      </c>
    </row>
    <row r="4363" spans="1:50" x14ac:dyDescent="0.25">
      <c r="A4363" s="2" t="s">
        <v>28699</v>
      </c>
      <c r="B4363" s="2">
        <v>243.0831</v>
      </c>
      <c r="C4363" s="2">
        <v>26.39</v>
      </c>
      <c r="D4363" s="2" t="s">
        <v>125</v>
      </c>
      <c r="E4363" s="2" t="s">
        <v>28700</v>
      </c>
      <c r="F4363" s="2">
        <v>44853</v>
      </c>
      <c r="G4363" s="3" t="str">
        <f>HYPERLINK("https://cloud.oebiotech.com/#/lm/network/44853", "https://cloud.oebiotech.com/#/lm/network/44853")</f>
        <v>https://cloud.oebiotech.com/#/lm/network/44853</v>
      </c>
      <c r="H4363" s="2" t="s">
        <v>28701</v>
      </c>
      <c r="I4363" s="2">
        <v>5336</v>
      </c>
      <c r="J4363" s="2" t="s">
        <v>28702</v>
      </c>
      <c r="K4363" s="2">
        <v>68929</v>
      </c>
      <c r="L4363" s="2"/>
      <c r="M4363" s="2"/>
      <c r="N4363" s="2"/>
      <c r="O4363" s="2">
        <v>87620</v>
      </c>
      <c r="P4363" s="2"/>
      <c r="Q4363" s="2"/>
      <c r="R4363" s="2" t="s">
        <v>28703</v>
      </c>
      <c r="S4363" s="2" t="s">
        <v>28704</v>
      </c>
      <c r="T4363" s="2" t="s">
        <v>28705</v>
      </c>
      <c r="U4363" s="2" t="s">
        <v>56</v>
      </c>
      <c r="V4363" s="2" t="s">
        <v>283</v>
      </c>
      <c r="W4363" s="2" t="s">
        <v>1944</v>
      </c>
      <c r="X4363" s="2" t="s">
        <v>59</v>
      </c>
      <c r="Y4363" s="2">
        <v>73.3</v>
      </c>
      <c r="Z4363" s="2">
        <v>56.7</v>
      </c>
      <c r="AA4363" s="2"/>
      <c r="AB4363" s="2" t="s">
        <v>28706</v>
      </c>
      <c r="AC4363" s="2"/>
      <c r="AD4363" s="2">
        <v>1007327.47185261</v>
      </c>
      <c r="AE4363" s="2">
        <v>9.8408074107778507E-2</v>
      </c>
      <c r="AF4363" s="2">
        <v>9892.7472052858593</v>
      </c>
      <c r="AG4363" s="2">
        <v>13190.126280230001</v>
      </c>
      <c r="AH4363" s="4">
        <v>0.75001156130806601</v>
      </c>
      <c r="AI4363" s="4">
        <v>-0.41501526019450102</v>
      </c>
      <c r="AJ4363" s="4" t="s">
        <v>62</v>
      </c>
      <c r="AK4363" s="2">
        <v>0.38125079742953999</v>
      </c>
      <c r="AL4363" s="2">
        <v>0.65913977412323299</v>
      </c>
      <c r="AM4363" s="2">
        <v>11849.4099024069</v>
      </c>
      <c r="AN4363" s="2">
        <v>9322.0898971050192</v>
      </c>
      <c r="AO4363" s="2">
        <v>6985.7628225568496</v>
      </c>
      <c r="AP4363" s="2">
        <v>9187.7240271725404</v>
      </c>
      <c r="AQ4363" s="2">
        <v>7573.6798682159597</v>
      </c>
      <c r="AR4363" s="2">
        <v>14437.8167142579</v>
      </c>
      <c r="AS4363" s="2">
        <v>7444.0217467836801</v>
      </c>
      <c r="AT4363" s="2">
        <v>2299.8352172700202</v>
      </c>
      <c r="AU4363" s="2">
        <v>20545.470765185499</v>
      </c>
      <c r="AV4363" s="2">
        <v>24161.729654451399</v>
      </c>
      <c r="AW4363" s="2">
        <v>15671.3064033758</v>
      </c>
      <c r="AX4363" s="2">
        <v>9018.39389431364</v>
      </c>
    </row>
    <row r="4364" spans="1:50" x14ac:dyDescent="0.25">
      <c r="A4364" s="2" t="s">
        <v>28707</v>
      </c>
      <c r="B4364" s="2">
        <v>252.087642329798</v>
      </c>
      <c r="C4364" s="2">
        <v>3.9958</v>
      </c>
      <c r="D4364" s="2" t="s">
        <v>51</v>
      </c>
      <c r="E4364" s="2" t="s">
        <v>28708</v>
      </c>
      <c r="F4364" s="2">
        <v>47777</v>
      </c>
      <c r="G4364" s="3" t="str">
        <f>HYPERLINK("https://cloud.oebiotech.com/#/lm/network/47777", "https://cloud.oebiotech.com/#/lm/network/47777")</f>
        <v>https://cloud.oebiotech.com/#/lm/network/47777</v>
      </c>
      <c r="H4364" s="2" t="s">
        <v>28709</v>
      </c>
      <c r="I4364" s="2">
        <v>426699</v>
      </c>
      <c r="J4364" s="2"/>
      <c r="K4364" s="2">
        <v>1608346</v>
      </c>
      <c r="L4364" s="2"/>
      <c r="M4364" s="2"/>
      <c r="N4364" s="2"/>
      <c r="O4364" s="2"/>
      <c r="P4364" s="2"/>
      <c r="Q4364" s="2"/>
      <c r="R4364" s="2" t="s">
        <v>28710</v>
      </c>
      <c r="S4364" s="2" t="s">
        <v>28711</v>
      </c>
      <c r="T4364" s="2" t="s">
        <v>28712</v>
      </c>
      <c r="U4364" s="2" t="s">
        <v>331</v>
      </c>
      <c r="V4364" s="2" t="s">
        <v>332</v>
      </c>
      <c r="W4364" s="2" t="s">
        <v>1207</v>
      </c>
      <c r="X4364" s="2" t="s">
        <v>69</v>
      </c>
      <c r="Y4364" s="2">
        <v>62.8</v>
      </c>
      <c r="Z4364" s="2">
        <v>63.5</v>
      </c>
      <c r="AA4364" s="2" t="s">
        <v>218</v>
      </c>
      <c r="AB4364" s="2" t="s">
        <v>12903</v>
      </c>
      <c r="AC4364" s="2">
        <v>-0.50133188971796905</v>
      </c>
      <c r="AD4364" s="2"/>
      <c r="AE4364" s="2">
        <v>9.83704299510305E-2</v>
      </c>
      <c r="AF4364" s="2">
        <v>4543.7931989481203</v>
      </c>
      <c r="AG4364" s="2">
        <v>3822.5742207254002</v>
      </c>
      <c r="AH4364" s="5">
        <v>1.18867363629263</v>
      </c>
      <c r="AI4364" s="5">
        <v>0.24935266131242001</v>
      </c>
      <c r="AJ4364" s="5" t="s">
        <v>139</v>
      </c>
      <c r="AK4364" s="2">
        <v>0.70617626598601702</v>
      </c>
      <c r="AL4364" s="2">
        <v>0.85966136788168601</v>
      </c>
      <c r="AM4364" s="2">
        <v>8652.6029336207393</v>
      </c>
      <c r="AN4364" s="2">
        <v>636.20014369401099</v>
      </c>
      <c r="AO4364" s="2">
        <v>1364.76268066885</v>
      </c>
      <c r="AP4364" s="2">
        <v>9081.6488879387707</v>
      </c>
      <c r="AQ4364" s="2">
        <v>6472.1668291082597</v>
      </c>
      <c r="AR4364" s="2">
        <v>1055.3777186580801</v>
      </c>
      <c r="AS4364" s="2">
        <v>3426.53786105269</v>
      </c>
      <c r="AT4364" s="2">
        <v>7259.5899462070201</v>
      </c>
      <c r="AU4364" s="2">
        <v>5383.7954586160504</v>
      </c>
      <c r="AV4364" s="2">
        <v>1299.6435049341401</v>
      </c>
      <c r="AW4364" s="2">
        <v>3784.2286579522802</v>
      </c>
      <c r="AX4364" s="2">
        <v>1781.64989559019</v>
      </c>
    </row>
    <row r="4365" spans="1:50" x14ac:dyDescent="0.25">
      <c r="A4365" s="2" t="s">
        <v>28713</v>
      </c>
      <c r="B4365" s="2">
        <v>76.990009999999998</v>
      </c>
      <c r="C4365" s="2">
        <v>8.0459999999999994</v>
      </c>
      <c r="D4365" s="2" t="s">
        <v>125</v>
      </c>
      <c r="E4365" s="2" t="s">
        <v>28714</v>
      </c>
      <c r="F4365" s="2">
        <v>46967</v>
      </c>
      <c r="G4365" s="3" t="str">
        <f>HYPERLINK("https://cloud.oebiotech.com/#/lm/network/46967", "https://cloud.oebiotech.com/#/lm/network/46967")</f>
        <v>https://cloud.oebiotech.com/#/lm/network/46967</v>
      </c>
      <c r="H4365" s="2" t="s">
        <v>28715</v>
      </c>
      <c r="I4365" s="2">
        <v>51</v>
      </c>
      <c r="J4365" s="2"/>
      <c r="K4365" s="2">
        <v>1088</v>
      </c>
      <c r="L4365" s="2" t="s">
        <v>28716</v>
      </c>
      <c r="M4365" s="2" t="s">
        <v>3249</v>
      </c>
      <c r="N4365" s="2" t="s">
        <v>3250</v>
      </c>
      <c r="O4365" s="2">
        <v>15611</v>
      </c>
      <c r="P4365" s="2"/>
      <c r="Q4365" s="2"/>
      <c r="R4365" s="2" t="s">
        <v>28717</v>
      </c>
      <c r="S4365" s="2" t="s">
        <v>28718</v>
      </c>
      <c r="T4365" s="2" t="s">
        <v>28719</v>
      </c>
      <c r="U4365" s="2" t="s">
        <v>103</v>
      </c>
      <c r="V4365" s="2" t="s">
        <v>104</v>
      </c>
      <c r="W4365" s="2" t="s">
        <v>105</v>
      </c>
      <c r="X4365" s="2" t="s">
        <v>59</v>
      </c>
      <c r="Y4365" s="2">
        <v>70.099999999999994</v>
      </c>
      <c r="Z4365" s="2">
        <v>51.4</v>
      </c>
      <c r="AA4365" s="2"/>
      <c r="AB4365" s="2" t="s">
        <v>3480</v>
      </c>
      <c r="AC4365" s="2"/>
      <c r="AD4365" s="2">
        <v>268266.65085951402</v>
      </c>
      <c r="AE4365" s="2">
        <v>9.8303332361749707E-2</v>
      </c>
      <c r="AF4365" s="2">
        <v>82751.094491733194</v>
      </c>
      <c r="AG4365" s="2">
        <v>77071.622185676402</v>
      </c>
      <c r="AH4365" s="5">
        <v>1.07369083645825</v>
      </c>
      <c r="AI4365" s="5">
        <v>0.10257863678875</v>
      </c>
      <c r="AJ4365" s="5" t="s">
        <v>139</v>
      </c>
      <c r="AK4365" s="2">
        <v>0.74561531515939306</v>
      </c>
      <c r="AL4365" s="2">
        <v>0.88357647227571201</v>
      </c>
      <c r="AM4365" s="2">
        <v>147123.78632492499</v>
      </c>
      <c r="AN4365" s="2">
        <v>51768.2474616783</v>
      </c>
      <c r="AO4365" s="2">
        <v>71583.822350949005</v>
      </c>
      <c r="AP4365" s="2">
        <v>50064.739226046797</v>
      </c>
      <c r="AQ4365" s="2">
        <v>95792.265491667102</v>
      </c>
      <c r="AR4365" s="2">
        <v>80173.706095133195</v>
      </c>
      <c r="AS4365" s="2">
        <v>49192.149427431003</v>
      </c>
      <c r="AT4365" s="2">
        <v>87480.099920605993</v>
      </c>
      <c r="AU4365" s="2">
        <v>51201.9316860986</v>
      </c>
      <c r="AV4365" s="2">
        <v>88832.372339373498</v>
      </c>
      <c r="AW4365" s="2">
        <v>88796.000665793006</v>
      </c>
      <c r="AX4365" s="2">
        <v>96927.179074756597</v>
      </c>
    </row>
    <row r="4366" spans="1:50" x14ac:dyDescent="0.25">
      <c r="A4366" s="2" t="s">
        <v>28720</v>
      </c>
      <c r="B4366" s="2">
        <v>432.15485169975602</v>
      </c>
      <c r="C4366" s="2">
        <v>4.6280333333333301</v>
      </c>
      <c r="D4366" s="2" t="s">
        <v>51</v>
      </c>
      <c r="E4366" s="2" t="s">
        <v>28721</v>
      </c>
      <c r="F4366" s="2">
        <v>263436</v>
      </c>
      <c r="G4366" s="3" t="str">
        <f>HYPERLINK("https://cloud.oebiotech.com/#/lm/network/263436", "https://cloud.oebiotech.com/#/lm/network/263436")</f>
        <v>https://cloud.oebiotech.com/#/lm/network/263436</v>
      </c>
      <c r="H4366" s="2"/>
      <c r="I4366" s="2">
        <v>20845</v>
      </c>
      <c r="J4366" s="2"/>
      <c r="K4366" s="2">
        <v>145456087</v>
      </c>
      <c r="L4366" s="2"/>
      <c r="M4366" s="2"/>
      <c r="N4366" s="2"/>
      <c r="O4366" s="2"/>
      <c r="P4366" s="2"/>
      <c r="Q4366" s="2"/>
      <c r="R4366" s="2"/>
      <c r="S4366" s="2" t="s">
        <v>28722</v>
      </c>
      <c r="T4366" s="2" t="s">
        <v>28723</v>
      </c>
      <c r="U4366" s="2" t="s">
        <v>103</v>
      </c>
      <c r="V4366" s="2" t="s">
        <v>1372</v>
      </c>
      <c r="W4366" s="2" t="s">
        <v>1373</v>
      </c>
      <c r="X4366" s="2" t="s">
        <v>83</v>
      </c>
      <c r="Y4366" s="2">
        <v>44.8</v>
      </c>
      <c r="Z4366" s="2">
        <v>1.69</v>
      </c>
      <c r="AA4366" s="2" t="s">
        <v>395</v>
      </c>
      <c r="AB4366" s="2" t="s">
        <v>22644</v>
      </c>
      <c r="AC4366" s="2">
        <v>4.3440122285021001</v>
      </c>
      <c r="AD4366" s="2"/>
      <c r="AE4366" s="2">
        <v>9.8271927868123402E-2</v>
      </c>
      <c r="AF4366" s="2">
        <v>4161.3237209925201</v>
      </c>
      <c r="AG4366" s="2">
        <v>4483.9309480143502</v>
      </c>
      <c r="AH4366" s="4">
        <v>0.92805258806122004</v>
      </c>
      <c r="AI4366" s="4">
        <v>-0.107721536963881</v>
      </c>
      <c r="AJ4366" s="4" t="s">
        <v>62</v>
      </c>
      <c r="AK4366" s="2">
        <v>0.90234527647668505</v>
      </c>
      <c r="AL4366" s="2">
        <v>0.95948789763074704</v>
      </c>
      <c r="AM4366" s="2">
        <v>797.00459041690794</v>
      </c>
      <c r="AN4366" s="2">
        <v>1731.5431107484001</v>
      </c>
      <c r="AO4366" s="2">
        <v>1495.7325725794601</v>
      </c>
      <c r="AP4366" s="2">
        <v>10852.1127883879</v>
      </c>
      <c r="AQ4366" s="2">
        <v>2444.1590315163398</v>
      </c>
      <c r="AR4366" s="2">
        <v>7647.3902323061002</v>
      </c>
      <c r="AS4366" s="2">
        <v>12431.606152591599</v>
      </c>
      <c r="AT4366" s="2">
        <v>5802.0697274966296</v>
      </c>
      <c r="AU4366" s="2">
        <v>1360.8958295724501</v>
      </c>
      <c r="AV4366" s="2">
        <v>8.559877937157E-6</v>
      </c>
      <c r="AW4366" s="2">
        <v>756.02810429398198</v>
      </c>
      <c r="AX4366" s="2">
        <v>6552.9858655715598</v>
      </c>
    </row>
    <row r="4367" spans="1:50" x14ac:dyDescent="0.25">
      <c r="A4367" s="2" t="s">
        <v>28724</v>
      </c>
      <c r="B4367" s="2">
        <v>183.113283853383</v>
      </c>
      <c r="C4367" s="2">
        <v>1.6289833333333299</v>
      </c>
      <c r="D4367" s="2" t="s">
        <v>51</v>
      </c>
      <c r="E4367" s="2" t="s">
        <v>28725</v>
      </c>
      <c r="F4367" s="2">
        <v>200429</v>
      </c>
      <c r="G4367" s="3" t="str">
        <f>HYPERLINK("https://cloud.oebiotech.com/#/lm/network/200429", "https://cloud.oebiotech.com/#/lm/network/200429")</f>
        <v>https://cloud.oebiotech.com/#/lm/network/200429</v>
      </c>
      <c r="H4367" s="2" t="s">
        <v>28726</v>
      </c>
      <c r="I4367" s="2"/>
      <c r="J4367" s="2"/>
      <c r="K4367" s="2">
        <v>3386234</v>
      </c>
      <c r="L4367" s="2"/>
      <c r="M4367" s="2"/>
      <c r="N4367" s="2"/>
      <c r="O4367" s="2"/>
      <c r="P4367" s="2"/>
      <c r="Q4367" s="2"/>
      <c r="R4367" s="2"/>
      <c r="S4367" s="2" t="s">
        <v>28727</v>
      </c>
      <c r="T4367" s="2" t="s">
        <v>28728</v>
      </c>
      <c r="U4367" s="2" t="s">
        <v>610</v>
      </c>
      <c r="V4367" s="2" t="s">
        <v>611</v>
      </c>
      <c r="W4367" s="2" t="s">
        <v>11083</v>
      </c>
      <c r="X4367" s="2" t="s">
        <v>83</v>
      </c>
      <c r="Y4367" s="2">
        <v>42.5</v>
      </c>
      <c r="Z4367" s="2">
        <v>0</v>
      </c>
      <c r="AA4367" s="2" t="s">
        <v>512</v>
      </c>
      <c r="AB4367" s="2" t="s">
        <v>12406</v>
      </c>
      <c r="AC4367" s="2">
        <v>2.9060435001338201</v>
      </c>
      <c r="AD4367" s="2"/>
      <c r="AE4367" s="2">
        <v>9.8227312114051807E-2</v>
      </c>
      <c r="AF4367" s="2">
        <v>1749.8175619544199</v>
      </c>
      <c r="AG4367" s="2">
        <v>1098.1992124624401</v>
      </c>
      <c r="AH4367" s="5">
        <v>1.5933516816415101</v>
      </c>
      <c r="AI4367" s="5">
        <v>0.67206473099583097</v>
      </c>
      <c r="AJ4367" s="5" t="s">
        <v>139</v>
      </c>
      <c r="AK4367" s="2">
        <v>0.35434873905997799</v>
      </c>
      <c r="AL4367" s="2">
        <v>0.644232435870006</v>
      </c>
      <c r="AM4367" s="2">
        <v>1067.1447816268401</v>
      </c>
      <c r="AN4367" s="2">
        <v>4607.76101411336</v>
      </c>
      <c r="AO4367" s="2">
        <v>615.797369084514</v>
      </c>
      <c r="AP4367" s="2">
        <v>2081.2278381352398</v>
      </c>
      <c r="AQ4367" s="2">
        <v>1350.12158571641</v>
      </c>
      <c r="AR4367" s="2">
        <v>776.85278305014003</v>
      </c>
      <c r="AS4367" s="2">
        <v>406.947178694927</v>
      </c>
      <c r="AT4367" s="2">
        <v>825.45710598762901</v>
      </c>
      <c r="AU4367" s="2">
        <v>454.49803774492801</v>
      </c>
      <c r="AV4367" s="2">
        <v>1041.9109690879</v>
      </c>
      <c r="AW4367" s="2">
        <v>2014.7769266498999</v>
      </c>
      <c r="AX4367" s="2">
        <v>1845.60505660938</v>
      </c>
    </row>
    <row r="4368" spans="1:50" x14ac:dyDescent="0.25">
      <c r="A4368" s="2" t="s">
        <v>28729</v>
      </c>
      <c r="B4368" s="2">
        <v>205.034834443894</v>
      </c>
      <c r="C4368" s="2">
        <v>1.08968333333333</v>
      </c>
      <c r="D4368" s="2" t="s">
        <v>51</v>
      </c>
      <c r="E4368" s="2" t="s">
        <v>28730</v>
      </c>
      <c r="F4368" s="2">
        <v>207214</v>
      </c>
      <c r="G4368" s="3" t="str">
        <f>HYPERLINK("https://cloud.oebiotech.com/#/lm/network/207214", "https://cloud.oebiotech.com/#/lm/network/207214")</f>
        <v>https://cloud.oebiotech.com/#/lm/network/207214</v>
      </c>
      <c r="H4368" s="2" t="s">
        <v>28731</v>
      </c>
      <c r="I4368" s="2"/>
      <c r="J4368" s="2"/>
      <c r="K4368" s="2">
        <v>141057530</v>
      </c>
      <c r="L4368" s="2"/>
      <c r="M4368" s="2"/>
      <c r="N4368" s="2"/>
      <c r="O4368" s="2"/>
      <c r="P4368" s="2"/>
      <c r="Q4368" s="2"/>
      <c r="R4368" s="2"/>
      <c r="S4368" s="2" t="s">
        <v>28732</v>
      </c>
      <c r="T4368" s="2" t="s">
        <v>28733</v>
      </c>
      <c r="U4368" s="2" t="s">
        <v>266</v>
      </c>
      <c r="V4368" s="2" t="s">
        <v>4491</v>
      </c>
      <c r="W4368" s="2" t="s">
        <v>240</v>
      </c>
      <c r="X4368" s="2" t="s">
        <v>147</v>
      </c>
      <c r="Y4368" s="2">
        <v>45</v>
      </c>
      <c r="Z4368" s="2">
        <v>31.9</v>
      </c>
      <c r="AA4368" s="2" t="s">
        <v>163</v>
      </c>
      <c r="AB4368" s="2" t="s">
        <v>28734</v>
      </c>
      <c r="AC4368" s="2">
        <v>-2.6294639439094301</v>
      </c>
      <c r="AD4368" s="2"/>
      <c r="AE4368" s="2">
        <v>9.8131109661791699E-2</v>
      </c>
      <c r="AF4368" s="2">
        <v>4656.5405982124903</v>
      </c>
      <c r="AG4368" s="2">
        <v>5398.0345008405902</v>
      </c>
      <c r="AH4368" s="4">
        <v>0.86263631651249495</v>
      </c>
      <c r="AI4368" s="4">
        <v>-0.213175640871996</v>
      </c>
      <c r="AJ4368" s="4" t="s">
        <v>62</v>
      </c>
      <c r="AK4368" s="2">
        <v>0.89861295481610104</v>
      </c>
      <c r="AL4368" s="2">
        <v>0.957649454809404</v>
      </c>
      <c r="AM4368" s="2">
        <v>22810.380472737299</v>
      </c>
      <c r="AN4368" s="2">
        <v>751.16302269983805</v>
      </c>
      <c r="AO4368" s="2">
        <v>150.779317434999</v>
      </c>
      <c r="AP4368" s="2">
        <v>1998.5810824732901</v>
      </c>
      <c r="AQ4368" s="2">
        <v>875.18141546850097</v>
      </c>
      <c r="AR4368" s="2">
        <v>1353.158278461</v>
      </c>
      <c r="AS4368" s="2">
        <v>1561.2584211327701</v>
      </c>
      <c r="AT4368" s="2">
        <v>1123.52754136772</v>
      </c>
      <c r="AU4368" s="2">
        <v>27152.2986338105</v>
      </c>
      <c r="AV4368" s="2">
        <v>801.82251539793401</v>
      </c>
      <c r="AW4368" s="2">
        <v>1041.01022298564</v>
      </c>
      <c r="AX4368" s="2">
        <v>708.28967034895595</v>
      </c>
    </row>
    <row r="4369" spans="1:50" x14ac:dyDescent="0.25">
      <c r="A4369" s="2" t="s">
        <v>28735</v>
      </c>
      <c r="B4369" s="2">
        <v>360.23955705916802</v>
      </c>
      <c r="C4369" s="2">
        <v>7.2044833333333296</v>
      </c>
      <c r="D4369" s="2" t="s">
        <v>51</v>
      </c>
      <c r="E4369" s="2" t="s">
        <v>28736</v>
      </c>
      <c r="F4369" s="2">
        <v>8288</v>
      </c>
      <c r="G4369" s="3" t="str">
        <f>HYPERLINK("https://cloud.oebiotech.com/#/lm/network/8288", "https://cloud.oebiotech.com/#/lm/network/8288")</f>
        <v>https://cloud.oebiotech.com/#/lm/network/8288</v>
      </c>
      <c r="H4369" s="2" t="s">
        <v>28737</v>
      </c>
      <c r="I4369" s="2">
        <v>962</v>
      </c>
      <c r="J4369" s="2" t="s">
        <v>28738</v>
      </c>
      <c r="K4369" s="2">
        <v>11953821</v>
      </c>
      <c r="L4369" s="2" t="s">
        <v>28739</v>
      </c>
      <c r="M4369" s="2"/>
      <c r="N4369" s="2"/>
      <c r="O4369" s="2">
        <v>28717</v>
      </c>
      <c r="P4369" s="2"/>
      <c r="Q4369" s="2"/>
      <c r="R4369" s="2" t="s">
        <v>28740</v>
      </c>
      <c r="S4369" s="2" t="s">
        <v>28741</v>
      </c>
      <c r="T4369" s="2" t="s">
        <v>28742</v>
      </c>
      <c r="U4369" s="2" t="s">
        <v>56</v>
      </c>
      <c r="V4369" s="2" t="s">
        <v>145</v>
      </c>
      <c r="W4369" s="2" t="s">
        <v>1188</v>
      </c>
      <c r="X4369" s="2" t="s">
        <v>147</v>
      </c>
      <c r="Y4369" s="2">
        <v>36.1</v>
      </c>
      <c r="Z4369" s="2">
        <v>0</v>
      </c>
      <c r="AA4369" s="2" t="s">
        <v>218</v>
      </c>
      <c r="AB4369" s="2" t="s">
        <v>4001</v>
      </c>
      <c r="AC4369" s="2">
        <v>1.25506476110651</v>
      </c>
      <c r="AD4369" s="2"/>
      <c r="AE4369" s="2">
        <v>9.8030101265083394E-2</v>
      </c>
      <c r="AF4369" s="2">
        <v>1409.6680502358299</v>
      </c>
      <c r="AG4369" s="2">
        <v>658.18779281822299</v>
      </c>
      <c r="AH4369" s="5">
        <v>2.1417414081776398</v>
      </c>
      <c r="AI4369" s="5">
        <v>1.0987843009748</v>
      </c>
      <c r="AJ4369" s="5" t="s">
        <v>139</v>
      </c>
      <c r="AK4369" s="2">
        <v>0.15413505341445199</v>
      </c>
      <c r="AL4369" s="2">
        <v>0.47517092828514201</v>
      </c>
      <c r="AM4369" s="2">
        <v>613.84959636221197</v>
      </c>
      <c r="AN4369" s="2">
        <v>491.40117821175897</v>
      </c>
      <c r="AO4369" s="2">
        <v>1560.13666720941</v>
      </c>
      <c r="AP4369" s="2">
        <v>2696.78095164755</v>
      </c>
      <c r="AQ4369" s="2">
        <v>2211.3320499400202</v>
      </c>
      <c r="AR4369" s="2">
        <v>884.50785804405803</v>
      </c>
      <c r="AS4369" s="2">
        <v>1709.4122087338901</v>
      </c>
      <c r="AT4369" s="2">
        <v>582.53755489495097</v>
      </c>
      <c r="AU4369" s="2">
        <v>8.559877937157E-6</v>
      </c>
      <c r="AV4369" s="2">
        <v>8.559877937157E-6</v>
      </c>
      <c r="AW4369" s="2">
        <v>1541.5991396940601</v>
      </c>
      <c r="AX4369" s="2">
        <v>115.57783646667799</v>
      </c>
    </row>
    <row r="4370" spans="1:50" x14ac:dyDescent="0.25">
      <c r="A4370" s="2" t="s">
        <v>28743</v>
      </c>
      <c r="B4370" s="2">
        <v>248.99708115876501</v>
      </c>
      <c r="C4370" s="2">
        <v>7.3126499999999997</v>
      </c>
      <c r="D4370" s="2" t="s">
        <v>51</v>
      </c>
      <c r="E4370" s="2" t="s">
        <v>28744</v>
      </c>
      <c r="F4370" s="2">
        <v>201579</v>
      </c>
      <c r="G4370" s="3" t="str">
        <f>HYPERLINK("https://cloud.oebiotech.com/#/lm/network/201579", "https://cloud.oebiotech.com/#/lm/network/201579")</f>
        <v>https://cloud.oebiotech.com/#/lm/network/201579</v>
      </c>
      <c r="H4370" s="2" t="s">
        <v>28745</v>
      </c>
      <c r="I4370" s="2"/>
      <c r="J4370" s="2"/>
      <c r="K4370" s="2">
        <v>21882174</v>
      </c>
      <c r="L4370" s="2"/>
      <c r="M4370" s="2"/>
      <c r="N4370" s="2"/>
      <c r="O4370" s="2"/>
      <c r="P4370" s="2"/>
      <c r="Q4370" s="2"/>
      <c r="R4370" s="2"/>
      <c r="S4370" s="2" t="s">
        <v>28746</v>
      </c>
      <c r="T4370" s="2" t="s">
        <v>28747</v>
      </c>
      <c r="U4370" s="2" t="s">
        <v>610</v>
      </c>
      <c r="V4370" s="2" t="s">
        <v>611</v>
      </c>
      <c r="W4370" s="2" t="s">
        <v>8369</v>
      </c>
      <c r="X4370" s="2" t="s">
        <v>147</v>
      </c>
      <c r="Y4370" s="2">
        <v>37.700000000000003</v>
      </c>
      <c r="Z4370" s="2">
        <v>0</v>
      </c>
      <c r="AA4370" s="2" t="s">
        <v>218</v>
      </c>
      <c r="AB4370" s="2" t="s">
        <v>28748</v>
      </c>
      <c r="AC4370" s="2">
        <v>3.0161863931909298</v>
      </c>
      <c r="AD4370" s="2"/>
      <c r="AE4370" s="2">
        <v>9.7987958267491695E-2</v>
      </c>
      <c r="AF4370" s="2">
        <v>6393.7336970915903</v>
      </c>
      <c r="AG4370" s="2">
        <v>6751.15781704446</v>
      </c>
      <c r="AH4370" s="4">
        <v>0.94705735969458704</v>
      </c>
      <c r="AI4370" s="4">
        <v>-7.8476287946740803E-2</v>
      </c>
      <c r="AJ4370" s="4" t="s">
        <v>62</v>
      </c>
      <c r="AK4370" s="2">
        <v>0.63327754654103396</v>
      </c>
      <c r="AL4370" s="2">
        <v>0.820119264563689</v>
      </c>
      <c r="AM4370" s="2">
        <v>4604.1283191269204</v>
      </c>
      <c r="AN4370" s="2">
        <v>5502.2438815271398</v>
      </c>
      <c r="AO4370" s="2">
        <v>6428.8861133994396</v>
      </c>
      <c r="AP4370" s="2">
        <v>7129.29108698442</v>
      </c>
      <c r="AQ4370" s="2">
        <v>8958.2475268235394</v>
      </c>
      <c r="AR4370" s="2">
        <v>5739.6052546881101</v>
      </c>
      <c r="AS4370" s="2">
        <v>7274.9613130079697</v>
      </c>
      <c r="AT4370" s="2">
        <v>6986.0864893621501</v>
      </c>
      <c r="AU4370" s="2">
        <v>5875.5742686776503</v>
      </c>
      <c r="AV4370" s="2">
        <v>8231.0808313297202</v>
      </c>
      <c r="AW4370" s="2">
        <v>5886.2979119553002</v>
      </c>
      <c r="AX4370" s="2">
        <v>6252.9460879339404</v>
      </c>
    </row>
    <row r="4371" spans="1:50" x14ac:dyDescent="0.25">
      <c r="A4371" s="2" t="s">
        <v>28749</v>
      </c>
      <c r="B4371" s="2">
        <v>481.11828975002499</v>
      </c>
      <c r="C4371" s="2">
        <v>4.5012333333333299</v>
      </c>
      <c r="D4371" s="2" t="s">
        <v>51</v>
      </c>
      <c r="E4371" s="2" t="s">
        <v>28750</v>
      </c>
      <c r="F4371" s="2">
        <v>63162</v>
      </c>
      <c r="G4371" s="3" t="str">
        <f>HYPERLINK("https://cloud.oebiotech.com/#/lm/network/63162", "https://cloud.oebiotech.com/#/lm/network/63162")</f>
        <v>https://cloud.oebiotech.com/#/lm/network/63162</v>
      </c>
      <c r="H4371" s="2" t="s">
        <v>28751</v>
      </c>
      <c r="I4371" s="2">
        <v>94469</v>
      </c>
      <c r="J4371" s="2"/>
      <c r="K4371" s="2">
        <v>74083657</v>
      </c>
      <c r="L4371" s="2"/>
      <c r="M4371" s="2"/>
      <c r="N4371" s="2"/>
      <c r="O4371" s="2">
        <v>168801</v>
      </c>
      <c r="P4371" s="2"/>
      <c r="Q4371" s="2"/>
      <c r="R4371" s="2"/>
      <c r="S4371" s="2" t="s">
        <v>28752</v>
      </c>
      <c r="T4371" s="2" t="s">
        <v>28753</v>
      </c>
      <c r="U4371" s="2" t="s">
        <v>2723</v>
      </c>
      <c r="V4371" s="2" t="s">
        <v>14212</v>
      </c>
      <c r="W4371" s="2" t="s">
        <v>240</v>
      </c>
      <c r="X4371" s="2" t="s">
        <v>147</v>
      </c>
      <c r="Y4371" s="2">
        <v>36.5</v>
      </c>
      <c r="Z4371" s="2">
        <v>0</v>
      </c>
      <c r="AA4371" s="2" t="s">
        <v>379</v>
      </c>
      <c r="AB4371" s="2" t="s">
        <v>28754</v>
      </c>
      <c r="AC4371" s="2">
        <v>1.7958281011741399</v>
      </c>
      <c r="AD4371" s="2"/>
      <c r="AE4371" s="2">
        <v>9.7969674190695202E-2</v>
      </c>
      <c r="AF4371" s="2">
        <v>5238.0675698914802</v>
      </c>
      <c r="AG4371" s="2">
        <v>4345.3584357628897</v>
      </c>
      <c r="AH4371" s="5">
        <v>1.2054397001594801</v>
      </c>
      <c r="AI4371" s="5">
        <v>0.26955948465532098</v>
      </c>
      <c r="AJ4371" s="5" t="s">
        <v>139</v>
      </c>
      <c r="AK4371" s="2">
        <v>0.56302448108593794</v>
      </c>
      <c r="AL4371" s="2">
        <v>0.78064040599162898</v>
      </c>
      <c r="AM4371" s="2">
        <v>2503.36994536973</v>
      </c>
      <c r="AN4371" s="2">
        <v>6366.2989431206697</v>
      </c>
      <c r="AO4371" s="2">
        <v>4923.4945964684503</v>
      </c>
      <c r="AP4371" s="2">
        <v>3614.5317724346401</v>
      </c>
      <c r="AQ4371" s="2">
        <v>4298.8921743505398</v>
      </c>
      <c r="AR4371" s="2">
        <v>9721.8179876048707</v>
      </c>
      <c r="AS4371" s="2">
        <v>1946.63525418882</v>
      </c>
      <c r="AT4371" s="2">
        <v>3887.2892767592298</v>
      </c>
      <c r="AU4371" s="2">
        <v>7603.0904792421597</v>
      </c>
      <c r="AV4371" s="2">
        <v>2091.5005359669799</v>
      </c>
      <c r="AW4371" s="2">
        <v>2929.69941099998</v>
      </c>
      <c r="AX4371" s="2">
        <v>7613.9356574201502</v>
      </c>
    </row>
    <row r="4372" spans="1:50" x14ac:dyDescent="0.25">
      <c r="A4372" s="2" t="s">
        <v>28755</v>
      </c>
      <c r="B4372" s="2">
        <v>287.12651316016797</v>
      </c>
      <c r="C4372" s="2">
        <v>8.3100500000000004</v>
      </c>
      <c r="D4372" s="2" t="s">
        <v>51</v>
      </c>
      <c r="E4372" s="2" t="s">
        <v>28756</v>
      </c>
      <c r="F4372" s="2">
        <v>256385</v>
      </c>
      <c r="G4372" s="3" t="str">
        <f>HYPERLINK("https://cloud.oebiotech.com/#/lm/network/256385", "https://cloud.oebiotech.com/#/lm/network/256385")</f>
        <v>https://cloud.oebiotech.com/#/lm/network/256385</v>
      </c>
      <c r="H4372" s="2" t="s">
        <v>28757</v>
      </c>
      <c r="I4372" s="2"/>
      <c r="J4372" s="2"/>
      <c r="K4372" s="2">
        <v>3809323</v>
      </c>
      <c r="L4372" s="2"/>
      <c r="M4372" s="2"/>
      <c r="N4372" s="2"/>
      <c r="O4372" s="2"/>
      <c r="P4372" s="2"/>
      <c r="Q4372" s="2"/>
      <c r="R4372" s="2"/>
      <c r="S4372" s="2" t="s">
        <v>28758</v>
      </c>
      <c r="T4372" s="2" t="s">
        <v>28759</v>
      </c>
      <c r="U4372" s="2" t="s">
        <v>56</v>
      </c>
      <c r="V4372" s="2" t="s">
        <v>177</v>
      </c>
      <c r="W4372" s="2" t="s">
        <v>806</v>
      </c>
      <c r="X4372" s="2" t="s">
        <v>83</v>
      </c>
      <c r="Y4372" s="2">
        <v>38.700000000000003</v>
      </c>
      <c r="Z4372" s="2">
        <v>0</v>
      </c>
      <c r="AA4372" s="2" t="s">
        <v>379</v>
      </c>
      <c r="AB4372" s="2" t="s">
        <v>7599</v>
      </c>
      <c r="AC4372" s="2">
        <v>-7.7398286118575204</v>
      </c>
      <c r="AD4372" s="2"/>
      <c r="AE4372" s="2">
        <v>9.7802932535928394E-2</v>
      </c>
      <c r="AF4372" s="2">
        <v>590.70562653854802</v>
      </c>
      <c r="AG4372" s="2">
        <v>1064.8022031391599</v>
      </c>
      <c r="AH4372" s="4">
        <v>0.554756202416825</v>
      </c>
      <c r="AI4372" s="4">
        <v>-0.85007420241375198</v>
      </c>
      <c r="AJ4372" s="4" t="s">
        <v>62</v>
      </c>
      <c r="AK4372" s="2">
        <v>0.28854530601196399</v>
      </c>
      <c r="AL4372" s="2">
        <v>0.602926180326806</v>
      </c>
      <c r="AM4372" s="2">
        <v>153.588330787204</v>
      </c>
      <c r="AN4372" s="2">
        <v>129.066398929824</v>
      </c>
      <c r="AO4372" s="2">
        <v>2252.0994876915101</v>
      </c>
      <c r="AP4372" s="2">
        <v>214.80309922164901</v>
      </c>
      <c r="AQ4372" s="2">
        <v>371.25319686295001</v>
      </c>
      <c r="AR4372" s="2">
        <v>423.42324573815301</v>
      </c>
      <c r="AS4372" s="2">
        <v>492.62165403053001</v>
      </c>
      <c r="AT4372" s="2">
        <v>301.02904738971102</v>
      </c>
      <c r="AU4372" s="2">
        <v>1513.4717341373</v>
      </c>
      <c r="AV4372" s="2">
        <v>1456.62726191914</v>
      </c>
      <c r="AW4372" s="2">
        <v>1858.9499565246099</v>
      </c>
      <c r="AX4372" s="2">
        <v>766.11356483366399</v>
      </c>
    </row>
    <row r="4373" spans="1:50" x14ac:dyDescent="0.25">
      <c r="A4373" s="2" t="s">
        <v>28760</v>
      </c>
      <c r="B4373" s="2">
        <v>431.31669685824801</v>
      </c>
      <c r="C4373" s="2">
        <v>12.1338666666667</v>
      </c>
      <c r="D4373" s="2" t="s">
        <v>51</v>
      </c>
      <c r="E4373" s="2" t="s">
        <v>28761</v>
      </c>
      <c r="F4373" s="2">
        <v>37467</v>
      </c>
      <c r="G4373" s="3" t="str">
        <f>HYPERLINK("https://cloud.oebiotech.com/#/lm/network/37467", "https://cloud.oebiotech.com/#/lm/network/37467")</f>
        <v>https://cloud.oebiotech.com/#/lm/network/37467</v>
      </c>
      <c r="H4373" s="2"/>
      <c r="I4373" s="2"/>
      <c r="J4373" s="2" t="s">
        <v>28762</v>
      </c>
      <c r="K4373" s="2"/>
      <c r="L4373" s="2"/>
      <c r="M4373" s="2"/>
      <c r="N4373" s="2"/>
      <c r="O4373" s="2"/>
      <c r="P4373" s="2"/>
      <c r="Q4373" s="2"/>
      <c r="R4373" s="2"/>
      <c r="S4373" s="2" t="s">
        <v>28763</v>
      </c>
      <c r="T4373" s="2" t="s">
        <v>28764</v>
      </c>
      <c r="U4373" s="2" t="s">
        <v>56</v>
      </c>
      <c r="V4373" s="2" t="s">
        <v>177</v>
      </c>
      <c r="W4373" s="2" t="s">
        <v>1996</v>
      </c>
      <c r="X4373" s="2" t="s">
        <v>83</v>
      </c>
      <c r="Y4373" s="2">
        <v>48.8</v>
      </c>
      <c r="Z4373" s="2">
        <v>25.6</v>
      </c>
      <c r="AA4373" s="2" t="s">
        <v>163</v>
      </c>
      <c r="AB4373" s="2" t="s">
        <v>12999</v>
      </c>
      <c r="AC4373" s="2">
        <v>3.0997420486743501E-2</v>
      </c>
      <c r="AD4373" s="2"/>
      <c r="AE4373" s="2">
        <v>9.77937632834672E-2</v>
      </c>
      <c r="AF4373" s="2">
        <v>11488.0495309951</v>
      </c>
      <c r="AG4373" s="2">
        <v>11753.274595151301</v>
      </c>
      <c r="AH4373" s="4">
        <v>0.97743394302506403</v>
      </c>
      <c r="AI4373" s="4">
        <v>-3.2928889439618303E-2</v>
      </c>
      <c r="AJ4373" s="4" t="s">
        <v>62</v>
      </c>
      <c r="AK4373" s="2">
        <v>0.95641400604742</v>
      </c>
      <c r="AL4373" s="2">
        <v>0.98222279084994601</v>
      </c>
      <c r="AM4373" s="2">
        <v>6040.2277886684897</v>
      </c>
      <c r="AN4373" s="2">
        <v>8823.8272014212398</v>
      </c>
      <c r="AO4373" s="2">
        <v>15814.9109564397</v>
      </c>
      <c r="AP4373" s="2">
        <v>28629.055129600001</v>
      </c>
      <c r="AQ4373" s="2">
        <v>6003.5933286046002</v>
      </c>
      <c r="AR4373" s="2">
        <v>3616.6827812363999</v>
      </c>
      <c r="AS4373" s="2">
        <v>9742.8689895465395</v>
      </c>
      <c r="AT4373" s="2">
        <v>6713.0581450234204</v>
      </c>
      <c r="AU4373" s="2">
        <v>10669.148594861101</v>
      </c>
      <c r="AV4373" s="2">
        <v>5401.5532021608897</v>
      </c>
      <c r="AW4373" s="2">
        <v>13764.985253442601</v>
      </c>
      <c r="AX4373" s="2">
        <v>24228.033385873401</v>
      </c>
    </row>
    <row r="4374" spans="1:50" x14ac:dyDescent="0.25">
      <c r="A4374" s="2" t="s">
        <v>28765</v>
      </c>
      <c r="B4374" s="2">
        <v>220.076730980024</v>
      </c>
      <c r="C4374" s="2">
        <v>1.30125</v>
      </c>
      <c r="D4374" s="2" t="s">
        <v>51</v>
      </c>
      <c r="E4374" s="2" t="s">
        <v>28766</v>
      </c>
      <c r="F4374" s="2">
        <v>203390</v>
      </c>
      <c r="G4374" s="3" t="str">
        <f>HYPERLINK("https://cloud.oebiotech.com/#/lm/network/203390", "https://cloud.oebiotech.com/#/lm/network/203390")</f>
        <v>https://cloud.oebiotech.com/#/lm/network/203390</v>
      </c>
      <c r="H4374" s="2" t="s">
        <v>28767</v>
      </c>
      <c r="I4374" s="2">
        <v>314918</v>
      </c>
      <c r="J4374" s="2"/>
      <c r="K4374" s="2">
        <v>73950</v>
      </c>
      <c r="L4374" s="2"/>
      <c r="M4374" s="2"/>
      <c r="N4374" s="2"/>
      <c r="O4374" s="2"/>
      <c r="P4374" s="2"/>
      <c r="Q4374" s="2"/>
      <c r="R4374" s="2"/>
      <c r="S4374" s="2" t="s">
        <v>28768</v>
      </c>
      <c r="T4374" s="2" t="s">
        <v>28769</v>
      </c>
      <c r="U4374" s="2" t="s">
        <v>610</v>
      </c>
      <c r="V4374" s="2" t="s">
        <v>611</v>
      </c>
      <c r="W4374" s="2" t="s">
        <v>28770</v>
      </c>
      <c r="X4374" s="2" t="s">
        <v>147</v>
      </c>
      <c r="Y4374" s="2">
        <v>38.9</v>
      </c>
      <c r="Z4374" s="2">
        <v>3.62</v>
      </c>
      <c r="AA4374" s="2" t="s">
        <v>156</v>
      </c>
      <c r="AB4374" s="2" t="s">
        <v>28771</v>
      </c>
      <c r="AC4374" s="2">
        <v>1.49672750146175</v>
      </c>
      <c r="AD4374" s="2"/>
      <c r="AE4374" s="2">
        <v>9.7675596388753894E-2</v>
      </c>
      <c r="AF4374" s="2">
        <v>10206.8808300852</v>
      </c>
      <c r="AG4374" s="2">
        <v>10832.747175038699</v>
      </c>
      <c r="AH4374" s="4">
        <v>0.94222459595515395</v>
      </c>
      <c r="AI4374" s="4">
        <v>-8.5857102088302106E-2</v>
      </c>
      <c r="AJ4374" s="4" t="s">
        <v>62</v>
      </c>
      <c r="AK4374" s="2">
        <v>0.682559740324441</v>
      </c>
      <c r="AL4374" s="2">
        <v>0.846868955769424</v>
      </c>
      <c r="AM4374" s="2">
        <v>9721.3981510230005</v>
      </c>
      <c r="AN4374" s="2">
        <v>11387.2443608916</v>
      </c>
      <c r="AO4374" s="2">
        <v>6454.1132433995899</v>
      </c>
      <c r="AP4374" s="2">
        <v>12573.229314865799</v>
      </c>
      <c r="AQ4374" s="2">
        <v>10830.9640317307</v>
      </c>
      <c r="AR4374" s="2">
        <v>10274.335878600599</v>
      </c>
      <c r="AS4374" s="2">
        <v>8087.8560267502598</v>
      </c>
      <c r="AT4374" s="2">
        <v>8182.7507408942902</v>
      </c>
      <c r="AU4374" s="2">
        <v>12551.0730017569</v>
      </c>
      <c r="AV4374" s="2">
        <v>8947.8973966531703</v>
      </c>
      <c r="AW4374" s="2">
        <v>15616.397694927</v>
      </c>
      <c r="AX4374" s="2">
        <v>11610.508189250801</v>
      </c>
    </row>
    <row r="4375" spans="1:50" x14ac:dyDescent="0.25">
      <c r="A4375" s="2" t="s">
        <v>28772</v>
      </c>
      <c r="B4375" s="2">
        <v>372.21412447281102</v>
      </c>
      <c r="C4375" s="2">
        <v>4.4732000000000003</v>
      </c>
      <c r="D4375" s="2" t="s">
        <v>51</v>
      </c>
      <c r="E4375" s="2" t="s">
        <v>28773</v>
      </c>
      <c r="F4375" s="2">
        <v>259421</v>
      </c>
      <c r="G4375" s="3" t="str">
        <f>HYPERLINK("https://cloud.oebiotech.com/#/lm/network/259421", "https://cloud.oebiotech.com/#/lm/network/259421")</f>
        <v>https://cloud.oebiotech.com/#/lm/network/259421</v>
      </c>
      <c r="H4375" s="2"/>
      <c r="I4375" s="2">
        <v>16629</v>
      </c>
      <c r="J4375" s="2"/>
      <c r="K4375" s="2">
        <v>44298571</v>
      </c>
      <c r="L4375" s="2"/>
      <c r="M4375" s="2"/>
      <c r="N4375" s="2"/>
      <c r="O4375" s="2"/>
      <c r="P4375" s="2"/>
      <c r="Q4375" s="2"/>
      <c r="R4375" s="2"/>
      <c r="S4375" s="2" t="s">
        <v>28774</v>
      </c>
      <c r="T4375" s="2" t="s">
        <v>28775</v>
      </c>
      <c r="U4375" s="2" t="s">
        <v>103</v>
      </c>
      <c r="V4375" s="2" t="s">
        <v>104</v>
      </c>
      <c r="W4375" s="2" t="s">
        <v>105</v>
      </c>
      <c r="X4375" s="2" t="s">
        <v>83</v>
      </c>
      <c r="Y4375" s="2">
        <v>46.8</v>
      </c>
      <c r="Z4375" s="2">
        <v>0</v>
      </c>
      <c r="AA4375" s="2" t="s">
        <v>163</v>
      </c>
      <c r="AB4375" s="2" t="s">
        <v>28776</v>
      </c>
      <c r="AC4375" s="2">
        <v>0.30860748036248498</v>
      </c>
      <c r="AD4375" s="2"/>
      <c r="AE4375" s="2">
        <v>9.7646946223512707E-2</v>
      </c>
      <c r="AF4375" s="2">
        <v>529.28032137692901</v>
      </c>
      <c r="AG4375" s="2">
        <v>168.393483277115</v>
      </c>
      <c r="AH4375" s="5">
        <v>3.1431164144631798</v>
      </c>
      <c r="AI4375" s="5">
        <v>1.6521957075354601</v>
      </c>
      <c r="AJ4375" s="5" t="s">
        <v>139</v>
      </c>
      <c r="AK4375" s="2">
        <v>0.212016868244956</v>
      </c>
      <c r="AL4375" s="2">
        <v>0.53706865589344099</v>
      </c>
      <c r="AM4375" s="2">
        <v>1051.3621600000299</v>
      </c>
      <c r="AN4375" s="2">
        <v>8.559877937157E-6</v>
      </c>
      <c r="AO4375" s="2">
        <v>8.559877937157E-6</v>
      </c>
      <c r="AP4375" s="2">
        <v>352.03439306670202</v>
      </c>
      <c r="AQ4375" s="2">
        <v>1428.4567115448399</v>
      </c>
      <c r="AR4375" s="2">
        <v>343.82864653024802</v>
      </c>
      <c r="AS4375" s="2">
        <v>230.83041391322899</v>
      </c>
      <c r="AT4375" s="2">
        <v>8.559877937157E-6</v>
      </c>
      <c r="AU4375" s="2">
        <v>779.53045150994706</v>
      </c>
      <c r="AV4375" s="2">
        <v>8.559877937157E-6</v>
      </c>
      <c r="AW4375" s="2">
        <v>8.559877937157E-6</v>
      </c>
      <c r="AX4375" s="2">
        <v>8.559877937157E-6</v>
      </c>
    </row>
    <row r="4376" spans="1:50" x14ac:dyDescent="0.25">
      <c r="A4376" s="2" t="s">
        <v>28777</v>
      </c>
      <c r="B4376" s="2">
        <v>293.11443302619602</v>
      </c>
      <c r="C4376" s="2">
        <v>3.9471833333333302</v>
      </c>
      <c r="D4376" s="2" t="s">
        <v>51</v>
      </c>
      <c r="E4376" s="2" t="s">
        <v>28778</v>
      </c>
      <c r="F4376" s="2">
        <v>208284</v>
      </c>
      <c r="G4376" s="3" t="str">
        <f>HYPERLINK("https://cloud.oebiotech.com/#/lm/network/208284", "https://cloud.oebiotech.com/#/lm/network/208284")</f>
        <v>https://cloud.oebiotech.com/#/lm/network/208284</v>
      </c>
      <c r="H4376" s="2" t="s">
        <v>28779</v>
      </c>
      <c r="I4376" s="2">
        <v>314845</v>
      </c>
      <c r="J4376" s="2"/>
      <c r="K4376" s="2">
        <v>42963</v>
      </c>
      <c r="L4376" s="2"/>
      <c r="M4376" s="2"/>
      <c r="N4376" s="2"/>
      <c r="O4376" s="2"/>
      <c r="P4376" s="2"/>
      <c r="Q4376" s="2"/>
      <c r="R4376" s="2"/>
      <c r="S4376" s="2" t="s">
        <v>28780</v>
      </c>
      <c r="T4376" s="2" t="s">
        <v>28781</v>
      </c>
      <c r="U4376" s="2" t="s">
        <v>103</v>
      </c>
      <c r="V4376" s="2" t="s">
        <v>104</v>
      </c>
      <c r="W4376" s="2" t="s">
        <v>105</v>
      </c>
      <c r="X4376" s="2" t="s">
        <v>69</v>
      </c>
      <c r="Y4376" s="2">
        <v>59.8</v>
      </c>
      <c r="Z4376" s="2">
        <v>86.8</v>
      </c>
      <c r="AA4376" s="2" t="s">
        <v>163</v>
      </c>
      <c r="AB4376" s="2" t="s">
        <v>18799</v>
      </c>
      <c r="AC4376" s="2">
        <v>0.46842377278726999</v>
      </c>
      <c r="AD4376" s="2"/>
      <c r="AE4376" s="2">
        <v>9.7421193088709807E-2</v>
      </c>
      <c r="AF4376" s="2">
        <v>27613.033924965999</v>
      </c>
      <c r="AG4376" s="2">
        <v>22025.8634701134</v>
      </c>
      <c r="AH4376" s="5">
        <v>1.2536640827922001</v>
      </c>
      <c r="AI4376" s="5">
        <v>0.32615083218188301</v>
      </c>
      <c r="AJ4376" s="5" t="s">
        <v>139</v>
      </c>
      <c r="AK4376" s="2">
        <v>0.51036840625789204</v>
      </c>
      <c r="AL4376" s="2">
        <v>0.74448580539388298</v>
      </c>
      <c r="AM4376" s="2">
        <v>11150.6254941526</v>
      </c>
      <c r="AN4376" s="2">
        <v>16427.916826857101</v>
      </c>
      <c r="AO4376" s="2">
        <v>25535.0604935667</v>
      </c>
      <c r="AP4376" s="2">
        <v>53640.915570928897</v>
      </c>
      <c r="AQ4376" s="2">
        <v>30470.054239242701</v>
      </c>
      <c r="AR4376" s="2">
        <v>28453.630925047801</v>
      </c>
      <c r="AS4376" s="2">
        <v>24687.124375695101</v>
      </c>
      <c r="AT4376" s="2">
        <v>25972.917755328901</v>
      </c>
      <c r="AU4376" s="2">
        <v>7254.2269304505699</v>
      </c>
      <c r="AV4376" s="2">
        <v>8827.9132930143896</v>
      </c>
      <c r="AW4376" s="2">
        <v>20874.446027749898</v>
      </c>
      <c r="AX4376" s="2">
        <v>44538.552438441402</v>
      </c>
    </row>
    <row r="4377" spans="1:50" x14ac:dyDescent="0.25">
      <c r="A4377" s="2" t="s">
        <v>28782</v>
      </c>
      <c r="B4377" s="2">
        <v>153.04115023282901</v>
      </c>
      <c r="C4377" s="2">
        <v>1.02813333333333</v>
      </c>
      <c r="D4377" s="2" t="s">
        <v>51</v>
      </c>
      <c r="E4377" s="2" t="s">
        <v>28783</v>
      </c>
      <c r="F4377" s="2">
        <v>46978</v>
      </c>
      <c r="G4377" s="3" t="str">
        <f>HYPERLINK("https://cloud.oebiotech.com/#/lm/network/46978", "https://cloud.oebiotech.com/#/lm/network/46978")</f>
        <v>https://cloud.oebiotech.com/#/lm/network/46978</v>
      </c>
      <c r="H4377" s="2" t="s">
        <v>28784</v>
      </c>
      <c r="I4377" s="2">
        <v>82</v>
      </c>
      <c r="J4377" s="2"/>
      <c r="K4377" s="2">
        <v>1188</v>
      </c>
      <c r="L4377" s="2" t="s">
        <v>28785</v>
      </c>
      <c r="M4377" s="2" t="s">
        <v>28786</v>
      </c>
      <c r="N4377" s="2" t="s">
        <v>28787</v>
      </c>
      <c r="O4377" s="2">
        <v>17712</v>
      </c>
      <c r="P4377" s="2" t="s">
        <v>28788</v>
      </c>
      <c r="Q4377" s="2" t="s">
        <v>28789</v>
      </c>
      <c r="R4377" s="2" t="s">
        <v>28790</v>
      </c>
      <c r="S4377" s="2" t="s">
        <v>28791</v>
      </c>
      <c r="T4377" s="2" t="s">
        <v>28792</v>
      </c>
      <c r="U4377" s="2" t="s">
        <v>266</v>
      </c>
      <c r="V4377" s="2" t="s">
        <v>2772</v>
      </c>
      <c r="W4377" s="2" t="s">
        <v>2773</v>
      </c>
      <c r="X4377" s="2" t="s">
        <v>69</v>
      </c>
      <c r="Y4377" s="2">
        <v>52.9</v>
      </c>
      <c r="Z4377" s="2">
        <v>64.7</v>
      </c>
      <c r="AA4377" s="2" t="s">
        <v>259</v>
      </c>
      <c r="AB4377" s="2" t="s">
        <v>25828</v>
      </c>
      <c r="AC4377" s="2">
        <v>2.9494450174884999</v>
      </c>
      <c r="AD4377" s="2"/>
      <c r="AE4377" s="2">
        <v>9.7403573146999795E-2</v>
      </c>
      <c r="AF4377" s="2">
        <v>24024.011561483301</v>
      </c>
      <c r="AG4377" s="2">
        <v>24758.066030981699</v>
      </c>
      <c r="AH4377" s="4">
        <v>0.97035089620571202</v>
      </c>
      <c r="AI4377" s="4">
        <v>-4.34215489558583E-2</v>
      </c>
      <c r="AJ4377" s="4" t="s">
        <v>62</v>
      </c>
      <c r="AK4377" s="2">
        <v>0.94918811417969295</v>
      </c>
      <c r="AL4377" s="2">
        <v>0.97875606918993896</v>
      </c>
      <c r="AM4377" s="2">
        <v>25210.730582749999</v>
      </c>
      <c r="AN4377" s="2">
        <v>10713.316369136001</v>
      </c>
      <c r="AO4377" s="2">
        <v>11039.5756258529</v>
      </c>
      <c r="AP4377" s="2">
        <v>16484.333579710499</v>
      </c>
      <c r="AQ4377" s="2">
        <v>57108.8623260444</v>
      </c>
      <c r="AR4377" s="2">
        <v>23587.250885405701</v>
      </c>
      <c r="AS4377" s="2">
        <v>8050.5974113388102</v>
      </c>
      <c r="AT4377" s="2">
        <v>19177.117083824101</v>
      </c>
      <c r="AU4377" s="2">
        <v>15568.497077849701</v>
      </c>
      <c r="AV4377" s="2">
        <v>67009.157275911493</v>
      </c>
      <c r="AW4377" s="2">
        <v>14413.9990099919</v>
      </c>
      <c r="AX4377" s="2">
        <v>24329.028326973901</v>
      </c>
    </row>
    <row r="4378" spans="1:50" x14ac:dyDescent="0.25">
      <c r="A4378" s="2" t="s">
        <v>28793</v>
      </c>
      <c r="B4378" s="2">
        <v>382.06788449134501</v>
      </c>
      <c r="C4378" s="2">
        <v>5.5550833333333296</v>
      </c>
      <c r="D4378" s="2" t="s">
        <v>51</v>
      </c>
      <c r="E4378" s="2" t="s">
        <v>28794</v>
      </c>
      <c r="F4378" s="2">
        <v>48455</v>
      </c>
      <c r="G4378" s="3" t="str">
        <f>HYPERLINK("https://cloud.oebiotech.com/#/lm/network/48455", "https://cloud.oebiotech.com/#/lm/network/48455")</f>
        <v>https://cloud.oebiotech.com/#/lm/network/48455</v>
      </c>
      <c r="H4378" s="2" t="s">
        <v>28795</v>
      </c>
      <c r="I4378" s="2">
        <v>1697</v>
      </c>
      <c r="J4378" s="2"/>
      <c r="K4378" s="2">
        <v>4679</v>
      </c>
      <c r="L4378" s="2" t="s">
        <v>28796</v>
      </c>
      <c r="M4378" s="2"/>
      <c r="N4378" s="2"/>
      <c r="O4378" s="2">
        <v>7915</v>
      </c>
      <c r="P4378" s="2"/>
      <c r="Q4378" s="2"/>
      <c r="R4378" s="2" t="s">
        <v>28797</v>
      </c>
      <c r="S4378" s="2" t="s">
        <v>28798</v>
      </c>
      <c r="T4378" s="2" t="s">
        <v>28799</v>
      </c>
      <c r="U4378" s="2" t="s">
        <v>266</v>
      </c>
      <c r="V4378" s="2" t="s">
        <v>2963</v>
      </c>
      <c r="W4378" s="2" t="s">
        <v>2964</v>
      </c>
      <c r="X4378" s="2" t="s">
        <v>59</v>
      </c>
      <c r="Y4378" s="2">
        <v>56.3</v>
      </c>
      <c r="Z4378" s="2">
        <v>85.9</v>
      </c>
      <c r="AA4378" s="2" t="s">
        <v>163</v>
      </c>
      <c r="AB4378" s="2" t="s">
        <v>28800</v>
      </c>
      <c r="AC4378" s="2">
        <v>7.1812688383138701E-2</v>
      </c>
      <c r="AD4378" s="2"/>
      <c r="AE4378" s="2">
        <v>9.73398619783966E-2</v>
      </c>
      <c r="AF4378" s="2">
        <v>13247.447515800301</v>
      </c>
      <c r="AG4378" s="2">
        <v>13170.088604431499</v>
      </c>
      <c r="AH4378" s="5">
        <v>1.0058738337829201</v>
      </c>
      <c r="AI4378" s="5">
        <v>8.4493600236354906E-3</v>
      </c>
      <c r="AJ4378" s="5" t="s">
        <v>139</v>
      </c>
      <c r="AK4378" s="2">
        <v>0.99656834989169996</v>
      </c>
      <c r="AL4378" s="2">
        <v>0.99808135852007795</v>
      </c>
      <c r="AM4378" s="2">
        <v>70906.773432647096</v>
      </c>
      <c r="AN4378" s="2">
        <v>658.60806503358401</v>
      </c>
      <c r="AO4378" s="2">
        <v>8.559877937157E-6</v>
      </c>
      <c r="AP4378" s="2">
        <v>8.559877937157E-6</v>
      </c>
      <c r="AQ4378" s="2">
        <v>7327.3581829393097</v>
      </c>
      <c r="AR4378" s="2">
        <v>591.94539706197702</v>
      </c>
      <c r="AS4378" s="2">
        <v>79020.531583789503</v>
      </c>
      <c r="AT4378" s="2">
        <v>8.559877937157E-6</v>
      </c>
      <c r="AU4378" s="2">
        <v>8.559877937157E-6</v>
      </c>
      <c r="AV4378" s="2">
        <v>8.559877937157E-6</v>
      </c>
      <c r="AW4378" s="2">
        <v>8.559877937157E-6</v>
      </c>
      <c r="AX4378" s="2">
        <v>8.559877937157E-6</v>
      </c>
    </row>
    <row r="4379" spans="1:50" x14ac:dyDescent="0.25">
      <c r="A4379" s="2" t="s">
        <v>28801</v>
      </c>
      <c r="B4379" s="2">
        <v>256.09378741754398</v>
      </c>
      <c r="C4379" s="2">
        <v>0.74113333333333298</v>
      </c>
      <c r="D4379" s="2" t="s">
        <v>51</v>
      </c>
      <c r="E4379" s="2" t="s">
        <v>28802</v>
      </c>
      <c r="F4379" s="2">
        <v>51507</v>
      </c>
      <c r="G4379" s="3" t="str">
        <f>HYPERLINK("https://cloud.oebiotech.com/#/lm/network/51507", "https://cloud.oebiotech.com/#/lm/network/51507")</f>
        <v>https://cloud.oebiotech.com/#/lm/network/51507</v>
      </c>
      <c r="H4379" s="2" t="s">
        <v>28803</v>
      </c>
      <c r="I4379" s="2">
        <v>62461</v>
      </c>
      <c r="J4379" s="2"/>
      <c r="K4379" s="2">
        <v>150914</v>
      </c>
      <c r="L4379" s="2" t="s">
        <v>28804</v>
      </c>
      <c r="M4379" s="2"/>
      <c r="N4379" s="2"/>
      <c r="O4379" s="2">
        <v>73707</v>
      </c>
      <c r="P4379" s="2"/>
      <c r="Q4379" s="2"/>
      <c r="R4379" s="2" t="s">
        <v>28805</v>
      </c>
      <c r="S4379" s="2" t="s">
        <v>28806</v>
      </c>
      <c r="T4379" s="2" t="s">
        <v>28807</v>
      </c>
      <c r="U4379" s="2" t="s">
        <v>103</v>
      </c>
      <c r="V4379" s="2" t="s">
        <v>104</v>
      </c>
      <c r="W4379" s="2" t="s">
        <v>105</v>
      </c>
      <c r="X4379" s="2" t="s">
        <v>83</v>
      </c>
      <c r="Y4379" s="2">
        <v>44.2</v>
      </c>
      <c r="Z4379" s="2">
        <v>18.8</v>
      </c>
      <c r="AA4379" s="2" t="s">
        <v>379</v>
      </c>
      <c r="AB4379" s="2" t="s">
        <v>26089</v>
      </c>
      <c r="AC4379" s="2">
        <v>-0.38798565172191402</v>
      </c>
      <c r="AD4379" s="2"/>
      <c r="AE4379" s="2">
        <v>9.7333018587444295E-2</v>
      </c>
      <c r="AF4379" s="2">
        <v>13880.3037742955</v>
      </c>
      <c r="AG4379" s="2">
        <v>16007.364403617499</v>
      </c>
      <c r="AH4379" s="4">
        <v>0.867119872098287</v>
      </c>
      <c r="AI4379" s="4">
        <v>-0.20569664708326299</v>
      </c>
      <c r="AJ4379" s="4" t="s">
        <v>62</v>
      </c>
      <c r="AK4379" s="2">
        <v>0.57763958368337198</v>
      </c>
      <c r="AL4379" s="2">
        <v>0.78657023126793102</v>
      </c>
      <c r="AM4379" s="2">
        <v>19102.302358387198</v>
      </c>
      <c r="AN4379" s="2">
        <v>12219.905651126501</v>
      </c>
      <c r="AO4379" s="2">
        <v>11940.4252587553</v>
      </c>
      <c r="AP4379" s="2">
        <v>13672.374684205801</v>
      </c>
      <c r="AQ4379" s="2">
        <v>15344.2414526098</v>
      </c>
      <c r="AR4379" s="2">
        <v>11002.5732406885</v>
      </c>
      <c r="AS4379" s="2">
        <v>4409.0191794079301</v>
      </c>
      <c r="AT4379" s="2">
        <v>10375.614904120301</v>
      </c>
      <c r="AU4379" s="2">
        <v>26279.510165310599</v>
      </c>
      <c r="AV4379" s="2">
        <v>18236.8406599519</v>
      </c>
      <c r="AW4379" s="2">
        <v>12143.324273303801</v>
      </c>
      <c r="AX4379" s="2">
        <v>24599.877239610702</v>
      </c>
    </row>
    <row r="4380" spans="1:50" x14ac:dyDescent="0.25">
      <c r="A4380" s="2" t="s">
        <v>28808</v>
      </c>
      <c r="B4380" s="2">
        <v>235.133574979011</v>
      </c>
      <c r="C4380" s="2">
        <v>9.6638500000000001</v>
      </c>
      <c r="D4380" s="2" t="s">
        <v>51</v>
      </c>
      <c r="E4380" s="2" t="s">
        <v>28809</v>
      </c>
      <c r="F4380" s="2">
        <v>59850</v>
      </c>
      <c r="G4380" s="3" t="str">
        <f>HYPERLINK("https://cloud.oebiotech.com/#/lm/network/59850", "https://cloud.oebiotech.com/#/lm/network/59850")</f>
        <v>https://cloud.oebiotech.com/#/lm/network/59850</v>
      </c>
      <c r="H4380" s="2" t="s">
        <v>28810</v>
      </c>
      <c r="I4380" s="2">
        <v>91224</v>
      </c>
      <c r="J4380" s="2"/>
      <c r="K4380" s="2">
        <v>14433063</v>
      </c>
      <c r="L4380" s="2"/>
      <c r="M4380" s="2"/>
      <c r="N4380" s="2"/>
      <c r="O4380" s="2">
        <v>168620</v>
      </c>
      <c r="P4380" s="2"/>
      <c r="Q4380" s="2"/>
      <c r="R4380" s="2" t="s">
        <v>28811</v>
      </c>
      <c r="S4380" s="2" t="s">
        <v>28812</v>
      </c>
      <c r="T4380" s="2" t="s">
        <v>28813</v>
      </c>
      <c r="U4380" s="2" t="s">
        <v>266</v>
      </c>
      <c r="V4380" s="2" t="s">
        <v>17476</v>
      </c>
      <c r="W4380" s="2" t="s">
        <v>240</v>
      </c>
      <c r="X4380" s="2" t="s">
        <v>147</v>
      </c>
      <c r="Y4380" s="2">
        <v>44.4</v>
      </c>
      <c r="Z4380" s="2">
        <v>31.7</v>
      </c>
      <c r="AA4380" s="2" t="s">
        <v>60</v>
      </c>
      <c r="AB4380" s="2" t="s">
        <v>13143</v>
      </c>
      <c r="AC4380" s="2">
        <v>3.0074075087164598</v>
      </c>
      <c r="AD4380" s="2"/>
      <c r="AE4380" s="2">
        <v>9.7265997228610096E-2</v>
      </c>
      <c r="AF4380" s="2">
        <v>13181.6053892237</v>
      </c>
      <c r="AG4380" s="2">
        <v>13801.391310409501</v>
      </c>
      <c r="AH4380" s="4">
        <v>0.95509250428118897</v>
      </c>
      <c r="AI4380" s="4">
        <v>-6.6287624561286798E-2</v>
      </c>
      <c r="AJ4380" s="4" t="s">
        <v>62</v>
      </c>
      <c r="AK4380" s="2">
        <v>0.52918933194534701</v>
      </c>
      <c r="AL4380" s="2">
        <v>0.75669486121375795</v>
      </c>
      <c r="AM4380" s="2">
        <v>12456.707938150999</v>
      </c>
      <c r="AN4380" s="2">
        <v>14750.143276766999</v>
      </c>
      <c r="AO4380" s="2">
        <v>13966.8427605712</v>
      </c>
      <c r="AP4380" s="2">
        <v>13219.592144541501</v>
      </c>
      <c r="AQ4380" s="2">
        <v>13744.1721320164</v>
      </c>
      <c r="AR4380" s="2">
        <v>10952.1740832951</v>
      </c>
      <c r="AS4380" s="2">
        <v>15630.253609297801</v>
      </c>
      <c r="AT4380" s="2">
        <v>14492.837432791001</v>
      </c>
      <c r="AU4380" s="2">
        <v>10367.3654583767</v>
      </c>
      <c r="AV4380" s="2">
        <v>13386.760124353999</v>
      </c>
      <c r="AW4380" s="2">
        <v>13582.292503294901</v>
      </c>
      <c r="AX4380" s="2">
        <v>15348.8387343429</v>
      </c>
    </row>
    <row r="4381" spans="1:50" x14ac:dyDescent="0.25">
      <c r="A4381" s="2" t="s">
        <v>28814</v>
      </c>
      <c r="B4381" s="2">
        <v>251.08986267302899</v>
      </c>
      <c r="C4381" s="2">
        <v>6.8097833333333302</v>
      </c>
      <c r="D4381" s="2" t="s">
        <v>51</v>
      </c>
      <c r="E4381" s="2" t="s">
        <v>28815</v>
      </c>
      <c r="F4381" s="2">
        <v>203394</v>
      </c>
      <c r="G4381" s="3" t="str">
        <f>HYPERLINK("https://cloud.oebiotech.com/#/lm/network/203394", "https://cloud.oebiotech.com/#/lm/network/203394")</f>
        <v>https://cloud.oebiotech.com/#/lm/network/203394</v>
      </c>
      <c r="H4381" s="2" t="s">
        <v>28816</v>
      </c>
      <c r="I4381" s="2"/>
      <c r="J4381" s="2"/>
      <c r="K4381" s="2">
        <v>9856349</v>
      </c>
      <c r="L4381" s="2"/>
      <c r="M4381" s="2"/>
      <c r="N4381" s="2"/>
      <c r="O4381" s="2"/>
      <c r="P4381" s="2"/>
      <c r="Q4381" s="2"/>
      <c r="R4381" s="2"/>
      <c r="S4381" s="2" t="s">
        <v>28817</v>
      </c>
      <c r="T4381" s="2" t="s">
        <v>28818</v>
      </c>
      <c r="U4381" s="2" t="s">
        <v>266</v>
      </c>
      <c r="V4381" s="2" t="s">
        <v>2772</v>
      </c>
      <c r="W4381" s="2" t="s">
        <v>2773</v>
      </c>
      <c r="X4381" s="2" t="s">
        <v>147</v>
      </c>
      <c r="Y4381" s="2">
        <v>39</v>
      </c>
      <c r="Z4381" s="2">
        <v>0</v>
      </c>
      <c r="AA4381" s="2" t="s">
        <v>163</v>
      </c>
      <c r="AB4381" s="2" t="s">
        <v>28819</v>
      </c>
      <c r="AC4381" s="2">
        <v>0.201639411629186</v>
      </c>
      <c r="AD4381" s="2"/>
      <c r="AE4381" s="2">
        <v>9.7251229816851803E-2</v>
      </c>
      <c r="AF4381" s="2">
        <v>1098.7343856351499</v>
      </c>
      <c r="AG4381" s="2">
        <v>823.352334438512</v>
      </c>
      <c r="AH4381" s="5">
        <v>1.3344644081010999</v>
      </c>
      <c r="AI4381" s="5">
        <v>0.41626082744256498</v>
      </c>
      <c r="AJ4381" s="5" t="s">
        <v>139</v>
      </c>
      <c r="AK4381" s="2">
        <v>0.39804602603537398</v>
      </c>
      <c r="AL4381" s="2">
        <v>0.66800311346169094</v>
      </c>
      <c r="AM4381" s="2">
        <v>2374.9376410264799</v>
      </c>
      <c r="AN4381" s="2">
        <v>1029.2702200650999</v>
      </c>
      <c r="AO4381" s="2">
        <v>1100.9064805509399</v>
      </c>
      <c r="AP4381" s="2">
        <v>810.61142827826598</v>
      </c>
      <c r="AQ4381" s="2">
        <v>392.57445973971801</v>
      </c>
      <c r="AR4381" s="2">
        <v>884.10608415037996</v>
      </c>
      <c r="AS4381" s="2">
        <v>769.37786011464095</v>
      </c>
      <c r="AT4381" s="2">
        <v>550.98416298602206</v>
      </c>
      <c r="AU4381" s="2">
        <v>1271.90367874502</v>
      </c>
      <c r="AV4381" s="2">
        <v>374.40442007121101</v>
      </c>
      <c r="AW4381" s="2">
        <v>737.291484632589</v>
      </c>
      <c r="AX4381" s="2">
        <v>1236.15240008159</v>
      </c>
    </row>
    <row r="4382" spans="1:50" x14ac:dyDescent="0.25">
      <c r="A4382" s="2" t="s">
        <v>28820</v>
      </c>
      <c r="B4382" s="2">
        <v>315.18832283672401</v>
      </c>
      <c r="C4382" s="2">
        <v>0.58143333333333302</v>
      </c>
      <c r="D4382" s="2" t="s">
        <v>51</v>
      </c>
      <c r="E4382" s="2" t="s">
        <v>28821</v>
      </c>
      <c r="F4382" s="2">
        <v>53401</v>
      </c>
      <c r="G4382" s="3" t="str">
        <f>HYPERLINK("https://cloud.oebiotech.com/#/lm/network/53401", "https://cloud.oebiotech.com/#/lm/network/53401")</f>
        <v>https://cloud.oebiotech.com/#/lm/network/53401</v>
      </c>
      <c r="H4382" s="2" t="s">
        <v>28822</v>
      </c>
      <c r="I4382" s="2">
        <v>1787</v>
      </c>
      <c r="J4382" s="2"/>
      <c r="K4382" s="2">
        <v>47811</v>
      </c>
      <c r="L4382" s="2" t="s">
        <v>28823</v>
      </c>
      <c r="M4382" s="2"/>
      <c r="N4382" s="2"/>
      <c r="O4382" s="2">
        <v>63617</v>
      </c>
      <c r="P4382" s="2" t="s">
        <v>28824</v>
      </c>
      <c r="Q4382" s="2" t="s">
        <v>28825</v>
      </c>
      <c r="R4382" s="2" t="s">
        <v>28826</v>
      </c>
      <c r="S4382" s="2" t="s">
        <v>28827</v>
      </c>
      <c r="T4382" s="2" t="s">
        <v>28828</v>
      </c>
      <c r="U4382" s="2" t="s">
        <v>266</v>
      </c>
      <c r="V4382" s="2" t="s">
        <v>1393</v>
      </c>
      <c r="W4382" s="2" t="s">
        <v>26213</v>
      </c>
      <c r="X4382" s="2" t="s">
        <v>147</v>
      </c>
      <c r="Y4382" s="2">
        <v>37.299999999999997</v>
      </c>
      <c r="Z4382" s="2">
        <v>0</v>
      </c>
      <c r="AA4382" s="2" t="s">
        <v>259</v>
      </c>
      <c r="AB4382" s="2" t="s">
        <v>28829</v>
      </c>
      <c r="AC4382" s="2">
        <v>-1.9843254913324899</v>
      </c>
      <c r="AD4382" s="2"/>
      <c r="AE4382" s="2">
        <v>9.7238410667164404E-2</v>
      </c>
      <c r="AF4382" s="2">
        <v>4587.4943976845698</v>
      </c>
      <c r="AG4382" s="2">
        <v>3923.83622581073</v>
      </c>
      <c r="AH4382" s="5">
        <v>1.1691350335950199</v>
      </c>
      <c r="AI4382" s="5">
        <v>0.22544156891761499</v>
      </c>
      <c r="AJ4382" s="5" t="s">
        <v>139</v>
      </c>
      <c r="AK4382" s="2">
        <v>0.28074016768707699</v>
      </c>
      <c r="AL4382" s="2">
        <v>0.59978920543246905</v>
      </c>
      <c r="AM4382" s="2">
        <v>4923.1600270766103</v>
      </c>
      <c r="AN4382" s="2">
        <v>3984.7987046430098</v>
      </c>
      <c r="AO4382" s="2">
        <v>3630.2602377498702</v>
      </c>
      <c r="AP4382" s="2">
        <v>4253.0640153332197</v>
      </c>
      <c r="AQ4382" s="2">
        <v>5065.34183438118</v>
      </c>
      <c r="AR4382" s="2">
        <v>5668.3415669235001</v>
      </c>
      <c r="AS4382" s="2">
        <v>2074.24758581472</v>
      </c>
      <c r="AT4382" s="2">
        <v>3158.9710664465501</v>
      </c>
      <c r="AU4382" s="2">
        <v>3592.0757766868701</v>
      </c>
      <c r="AV4382" s="2">
        <v>4685.1173072609199</v>
      </c>
      <c r="AW4382" s="2">
        <v>4717.2857451174104</v>
      </c>
      <c r="AX4382" s="2">
        <v>5315.3198735378901</v>
      </c>
    </row>
    <row r="4383" spans="1:50" x14ac:dyDescent="0.25">
      <c r="A4383" s="2" t="s">
        <v>28830</v>
      </c>
      <c r="B4383" s="2">
        <v>495.99127584020403</v>
      </c>
      <c r="C4383" s="2">
        <v>4.6654666666666698</v>
      </c>
      <c r="D4383" s="2" t="s">
        <v>51</v>
      </c>
      <c r="E4383" s="2" t="s">
        <v>28831</v>
      </c>
      <c r="F4383" s="2">
        <v>83296</v>
      </c>
      <c r="G4383" s="3" t="str">
        <f>HYPERLINK("https://cloud.oebiotech.com/#/lm/network/83296", "https://cloud.oebiotech.com/#/lm/network/83296")</f>
        <v>https://cloud.oebiotech.com/#/lm/network/83296</v>
      </c>
      <c r="H4383" s="2" t="s">
        <v>28832</v>
      </c>
      <c r="I4383" s="2">
        <v>3065</v>
      </c>
      <c r="J4383" s="2"/>
      <c r="K4383" s="2">
        <v>119119</v>
      </c>
      <c r="L4383" s="2"/>
      <c r="M4383" s="2"/>
      <c r="N4383" s="2"/>
      <c r="O4383" s="2"/>
      <c r="P4383" s="2"/>
      <c r="Q4383" s="2"/>
      <c r="R4383" s="2" t="s">
        <v>28833</v>
      </c>
      <c r="S4383" s="2" t="s">
        <v>28834</v>
      </c>
      <c r="T4383" s="2" t="s">
        <v>28835</v>
      </c>
      <c r="U4383" s="2" t="s">
        <v>295</v>
      </c>
      <c r="V4383" s="2" t="s">
        <v>296</v>
      </c>
      <c r="W4383" s="2" t="s">
        <v>28836</v>
      </c>
      <c r="X4383" s="2" t="s">
        <v>147</v>
      </c>
      <c r="Y4383" s="2">
        <v>38</v>
      </c>
      <c r="Z4383" s="2">
        <v>0</v>
      </c>
      <c r="AA4383" s="2" t="s">
        <v>218</v>
      </c>
      <c r="AB4383" s="2" t="s">
        <v>28837</v>
      </c>
      <c r="AC4383" s="2">
        <v>-3.56962531252353</v>
      </c>
      <c r="AD4383" s="2"/>
      <c r="AE4383" s="2">
        <v>9.7196108792247493E-2</v>
      </c>
      <c r="AF4383" s="2">
        <v>2891.3392211799801</v>
      </c>
      <c r="AG4383" s="2">
        <v>1887.1986427949701</v>
      </c>
      <c r="AH4383" s="5">
        <v>1.5320799600077499</v>
      </c>
      <c r="AI4383" s="5">
        <v>0.61549159419257005</v>
      </c>
      <c r="AJ4383" s="5" t="s">
        <v>139</v>
      </c>
      <c r="AK4383" s="2">
        <v>0.67312746809282697</v>
      </c>
      <c r="AL4383" s="2">
        <v>0.84197843653159099</v>
      </c>
      <c r="AM4383" s="2">
        <v>1308.80373276466</v>
      </c>
      <c r="AN4383" s="2">
        <v>4289.8642099083099</v>
      </c>
      <c r="AO4383" s="2">
        <v>250.54031903681201</v>
      </c>
      <c r="AP4383" s="2">
        <v>9546.1838744634406</v>
      </c>
      <c r="AQ4383" s="2">
        <v>414.99047483192197</v>
      </c>
      <c r="AR4383" s="2">
        <v>1537.6527160747601</v>
      </c>
      <c r="AS4383" s="2">
        <v>8.559877937157E-6</v>
      </c>
      <c r="AT4383" s="2">
        <v>10847.6284399739</v>
      </c>
      <c r="AU4383" s="2">
        <v>15.127174712597601</v>
      </c>
      <c r="AV4383" s="2">
        <v>460.43621640365899</v>
      </c>
      <c r="AW4383" s="2">
        <v>8.559877937157E-6</v>
      </c>
      <c r="AX4383" s="2">
        <v>8.559877937157E-6</v>
      </c>
    </row>
    <row r="4384" spans="1:50" x14ac:dyDescent="0.25">
      <c r="A4384" s="2" t="s">
        <v>28838</v>
      </c>
      <c r="B4384" s="2">
        <v>497.17511914297103</v>
      </c>
      <c r="C4384" s="2">
        <v>10.2258</v>
      </c>
      <c r="D4384" s="2" t="s">
        <v>51</v>
      </c>
      <c r="E4384" s="2" t="s">
        <v>28839</v>
      </c>
      <c r="F4384" s="2">
        <v>199323</v>
      </c>
      <c r="G4384" s="3" t="str">
        <f>HYPERLINK("https://cloud.oebiotech.com/#/lm/network/199323", "https://cloud.oebiotech.com/#/lm/network/199323")</f>
        <v>https://cloud.oebiotech.com/#/lm/network/199323</v>
      </c>
      <c r="H4384" s="2" t="s">
        <v>28840</v>
      </c>
      <c r="I4384" s="2">
        <v>333450</v>
      </c>
      <c r="J4384" s="2"/>
      <c r="K4384" s="2">
        <v>6825</v>
      </c>
      <c r="L4384" s="2"/>
      <c r="M4384" s="2"/>
      <c r="N4384" s="2"/>
      <c r="O4384" s="2"/>
      <c r="P4384" s="2"/>
      <c r="Q4384" s="2"/>
      <c r="R4384" s="2"/>
      <c r="S4384" s="2" t="s">
        <v>28841</v>
      </c>
      <c r="T4384" s="2" t="s">
        <v>28842</v>
      </c>
      <c r="U4384" s="2" t="s">
        <v>610</v>
      </c>
      <c r="V4384" s="2" t="s">
        <v>813</v>
      </c>
      <c r="W4384" s="2" t="s">
        <v>5823</v>
      </c>
      <c r="X4384" s="2" t="s">
        <v>147</v>
      </c>
      <c r="Y4384" s="2">
        <v>38.200000000000003</v>
      </c>
      <c r="Z4384" s="2">
        <v>0</v>
      </c>
      <c r="AA4384" s="2" t="s">
        <v>478</v>
      </c>
      <c r="AB4384" s="2" t="s">
        <v>28843</v>
      </c>
      <c r="AC4384" s="2">
        <v>3.95760535043626</v>
      </c>
      <c r="AD4384" s="2"/>
      <c r="AE4384" s="2">
        <v>9.7079424054181407E-2</v>
      </c>
      <c r="AF4384" s="2">
        <v>397.53388251438901</v>
      </c>
      <c r="AG4384" s="2">
        <v>1156.13430247733</v>
      </c>
      <c r="AH4384" s="4">
        <v>0.34384749389631097</v>
      </c>
      <c r="AI4384" s="4">
        <v>-1.5401592642181099</v>
      </c>
      <c r="AJ4384" s="4" t="s">
        <v>62</v>
      </c>
      <c r="AK4384" s="2">
        <v>0.27235128548531901</v>
      </c>
      <c r="AL4384" s="2">
        <v>0.59187658046137204</v>
      </c>
      <c r="AM4384" s="2">
        <v>515.58087050079303</v>
      </c>
      <c r="AN4384" s="2">
        <v>842.52058346085505</v>
      </c>
      <c r="AO4384" s="2">
        <v>412.27025184369199</v>
      </c>
      <c r="AP4384" s="2">
        <v>8.559877937157E-6</v>
      </c>
      <c r="AQ4384" s="2">
        <v>305.23166114076099</v>
      </c>
      <c r="AR4384" s="2">
        <v>309.59991958035403</v>
      </c>
      <c r="AS4384" s="2">
        <v>8.559877937157E-6</v>
      </c>
      <c r="AT4384" s="2">
        <v>8.559877937157E-6</v>
      </c>
      <c r="AU4384" s="2">
        <v>4200.6961414089601</v>
      </c>
      <c r="AV4384" s="2">
        <v>994.58584247139697</v>
      </c>
      <c r="AW4384" s="2">
        <v>1241.90811053933</v>
      </c>
      <c r="AX4384" s="2">
        <v>499.615703324533</v>
      </c>
    </row>
    <row r="4385" spans="1:50" x14ac:dyDescent="0.25">
      <c r="A4385" s="2" t="s">
        <v>28844</v>
      </c>
      <c r="B4385" s="2">
        <v>251.12861198116201</v>
      </c>
      <c r="C4385" s="2">
        <v>9.0521333333333303</v>
      </c>
      <c r="D4385" s="2" t="s">
        <v>51</v>
      </c>
      <c r="E4385" s="2" t="s">
        <v>28845</v>
      </c>
      <c r="F4385" s="2">
        <v>2657</v>
      </c>
      <c r="G4385" s="3" t="str">
        <f>HYPERLINK("https://cloud.oebiotech.com/#/lm/network/2657", "https://cloud.oebiotech.com/#/lm/network/2657")</f>
        <v>https://cloud.oebiotech.com/#/lm/network/2657</v>
      </c>
      <c r="H4385" s="2" t="s">
        <v>28846</v>
      </c>
      <c r="I4385" s="2"/>
      <c r="J4385" s="2" t="s">
        <v>28847</v>
      </c>
      <c r="K4385" s="2">
        <v>194501</v>
      </c>
      <c r="L4385" s="2"/>
      <c r="M4385" s="2"/>
      <c r="N4385" s="2"/>
      <c r="O4385" s="2"/>
      <c r="P4385" s="2"/>
      <c r="Q4385" s="2"/>
      <c r="R4385" s="2"/>
      <c r="S4385" s="2" t="s">
        <v>28848</v>
      </c>
      <c r="T4385" s="2" t="s">
        <v>28849</v>
      </c>
      <c r="U4385" s="2" t="s">
        <v>56</v>
      </c>
      <c r="V4385" s="2" t="s">
        <v>145</v>
      </c>
      <c r="W4385" s="2" t="s">
        <v>231</v>
      </c>
      <c r="X4385" s="2" t="s">
        <v>59</v>
      </c>
      <c r="Y4385" s="2">
        <v>51.6</v>
      </c>
      <c r="Z4385" s="2">
        <v>65.2</v>
      </c>
      <c r="AA4385" s="2" t="s">
        <v>179</v>
      </c>
      <c r="AB4385" s="2" t="s">
        <v>14698</v>
      </c>
      <c r="AC4385" s="2">
        <v>3.0824176795472402</v>
      </c>
      <c r="AD4385" s="2"/>
      <c r="AE4385" s="2">
        <v>9.7053235706576799E-2</v>
      </c>
      <c r="AF4385" s="2">
        <v>62616.982543856997</v>
      </c>
      <c r="AG4385" s="2">
        <v>59382.690709854702</v>
      </c>
      <c r="AH4385" s="5">
        <v>1.0544652287617799</v>
      </c>
      <c r="AI4385" s="5">
        <v>7.6511522708630902E-2</v>
      </c>
      <c r="AJ4385" s="5" t="s">
        <v>139</v>
      </c>
      <c r="AK4385" s="2">
        <v>0.820041775052605</v>
      </c>
      <c r="AL4385" s="2">
        <v>0.92139104959810403</v>
      </c>
      <c r="AM4385" s="2">
        <v>51439.139274921698</v>
      </c>
      <c r="AN4385" s="2">
        <v>95494.883317249201</v>
      </c>
      <c r="AO4385" s="2">
        <v>43383.116661244399</v>
      </c>
      <c r="AP4385" s="2">
        <v>57463.742203621397</v>
      </c>
      <c r="AQ4385" s="2">
        <v>34057.612156435898</v>
      </c>
      <c r="AR4385" s="2">
        <v>93863.401649669104</v>
      </c>
      <c r="AS4385" s="2">
        <v>52574.248951333502</v>
      </c>
      <c r="AT4385" s="2">
        <v>53530.0688630203</v>
      </c>
      <c r="AU4385" s="2">
        <v>65535.190133551398</v>
      </c>
      <c r="AV4385" s="2">
        <v>49467.463456317797</v>
      </c>
      <c r="AW4385" s="2">
        <v>99273.082003998294</v>
      </c>
      <c r="AX4385" s="2">
        <v>35916.090850906701</v>
      </c>
    </row>
    <row r="4386" spans="1:50" x14ac:dyDescent="0.25">
      <c r="A4386" s="2" t="s">
        <v>28850</v>
      </c>
      <c r="B4386" s="2">
        <v>339.23275719079601</v>
      </c>
      <c r="C4386" s="2">
        <v>12.5286166666667</v>
      </c>
      <c r="D4386" s="2" t="s">
        <v>51</v>
      </c>
      <c r="E4386" s="2" t="s">
        <v>28851</v>
      </c>
      <c r="F4386" s="2">
        <v>63017</v>
      </c>
      <c r="G4386" s="3" t="str">
        <f>HYPERLINK("https://cloud.oebiotech.com/#/lm/network/63017", "https://cloud.oebiotech.com/#/lm/network/63017")</f>
        <v>https://cloud.oebiotech.com/#/lm/network/63017</v>
      </c>
      <c r="H4386" s="2" t="s">
        <v>28852</v>
      </c>
      <c r="I4386" s="2">
        <v>94313</v>
      </c>
      <c r="J4386" s="2"/>
      <c r="K4386" s="2">
        <v>71343858</v>
      </c>
      <c r="L4386" s="2"/>
      <c r="M4386" s="2"/>
      <c r="N4386" s="2"/>
      <c r="O4386" s="2"/>
      <c r="P4386" s="2"/>
      <c r="Q4386" s="2"/>
      <c r="R4386" s="2" t="s">
        <v>28853</v>
      </c>
      <c r="S4386" s="2" t="s">
        <v>28854</v>
      </c>
      <c r="T4386" s="2" t="s">
        <v>28855</v>
      </c>
      <c r="U4386" s="2" t="s">
        <v>610</v>
      </c>
      <c r="V4386" s="2" t="s">
        <v>4556</v>
      </c>
      <c r="W4386" s="2" t="s">
        <v>240</v>
      </c>
      <c r="X4386" s="2" t="s">
        <v>83</v>
      </c>
      <c r="Y4386" s="2">
        <v>51.3</v>
      </c>
      <c r="Z4386" s="2">
        <v>36.5</v>
      </c>
      <c r="AA4386" s="2" t="s">
        <v>163</v>
      </c>
      <c r="AB4386" s="2" t="s">
        <v>28856</v>
      </c>
      <c r="AC4386" s="2">
        <v>-0.577952123535863</v>
      </c>
      <c r="AD4386" s="2"/>
      <c r="AE4386" s="2">
        <v>9.7000680653751101E-2</v>
      </c>
      <c r="AF4386" s="2">
        <v>1210.6616437827099</v>
      </c>
      <c r="AG4386" s="2">
        <v>541.53823559383602</v>
      </c>
      <c r="AH4386" s="5">
        <v>2.23559771814659</v>
      </c>
      <c r="AI4386" s="5">
        <v>1.1606606075689301</v>
      </c>
      <c r="AJ4386" s="5" t="s">
        <v>139</v>
      </c>
      <c r="AK4386" s="2">
        <v>0.19250984274844901</v>
      </c>
      <c r="AL4386" s="2">
        <v>0.51702050946451295</v>
      </c>
      <c r="AM4386" s="2">
        <v>175.391733073105</v>
      </c>
      <c r="AN4386" s="2">
        <v>1389.9261346206399</v>
      </c>
      <c r="AO4386" s="2">
        <v>2092.1261879353801</v>
      </c>
      <c r="AP4386" s="2">
        <v>1314.0916520189401</v>
      </c>
      <c r="AQ4386" s="2">
        <v>1077.6686767823801</v>
      </c>
      <c r="AR4386" s="2">
        <v>1214.7654782658001</v>
      </c>
      <c r="AS4386" s="2">
        <v>2536.19819464593</v>
      </c>
      <c r="AT4386" s="2">
        <v>8.559877937157E-6</v>
      </c>
      <c r="AU4386" s="2">
        <v>8.559877937157E-6</v>
      </c>
      <c r="AV4386" s="2">
        <v>211.919620976245</v>
      </c>
      <c r="AW4386" s="2">
        <v>8.559877937157E-6</v>
      </c>
      <c r="AX4386" s="2">
        <v>501.11157226120702</v>
      </c>
    </row>
    <row r="4387" spans="1:50" x14ac:dyDescent="0.25">
      <c r="A4387" s="2" t="s">
        <v>28857</v>
      </c>
      <c r="B4387" s="2">
        <v>336.18292002875802</v>
      </c>
      <c r="C4387" s="2">
        <v>7.1589166666666699</v>
      </c>
      <c r="D4387" s="2" t="s">
        <v>51</v>
      </c>
      <c r="E4387" s="2" t="s">
        <v>28858</v>
      </c>
      <c r="F4387" s="2">
        <v>206426</v>
      </c>
      <c r="G4387" s="3" t="str">
        <f>HYPERLINK("https://cloud.oebiotech.com/#/lm/network/206426", "https://cloud.oebiotech.com/#/lm/network/206426")</f>
        <v>https://cloud.oebiotech.com/#/lm/network/206426</v>
      </c>
      <c r="H4387" s="2" t="s">
        <v>28859</v>
      </c>
      <c r="I4387" s="2"/>
      <c r="J4387" s="2"/>
      <c r="K4387" s="2">
        <v>68916</v>
      </c>
      <c r="L4387" s="2"/>
      <c r="M4387" s="2"/>
      <c r="N4387" s="2"/>
      <c r="O4387" s="2"/>
      <c r="P4387" s="2"/>
      <c r="Q4387" s="2"/>
      <c r="R4387" s="2"/>
      <c r="S4387" s="2" t="s">
        <v>28860</v>
      </c>
      <c r="T4387" s="2" t="s">
        <v>28861</v>
      </c>
      <c r="U4387" s="2" t="s">
        <v>266</v>
      </c>
      <c r="V4387" s="2" t="s">
        <v>8513</v>
      </c>
      <c r="W4387" s="2" t="s">
        <v>8514</v>
      </c>
      <c r="X4387" s="2" t="s">
        <v>147</v>
      </c>
      <c r="Y4387" s="2">
        <v>37.5</v>
      </c>
      <c r="Z4387" s="2">
        <v>0</v>
      </c>
      <c r="AA4387" s="2" t="s">
        <v>156</v>
      </c>
      <c r="AB4387" s="2" t="s">
        <v>28862</v>
      </c>
      <c r="AC4387" s="2">
        <v>2.9255985267399298</v>
      </c>
      <c r="AD4387" s="2"/>
      <c r="AE4387" s="2">
        <v>9.7000135335286494E-2</v>
      </c>
      <c r="AF4387" s="2">
        <v>801.95669425516496</v>
      </c>
      <c r="AG4387" s="2">
        <v>8.559877937157E-6</v>
      </c>
      <c r="AH4387" s="5">
        <v>93687865.661495507</v>
      </c>
      <c r="AI4387" s="5">
        <v>26.481358868087199</v>
      </c>
      <c r="AJ4387" s="5" t="s">
        <v>139</v>
      </c>
      <c r="AK4387" s="2">
        <v>0.334450175827952</v>
      </c>
      <c r="AL4387" s="2">
        <v>0.63519855850625495</v>
      </c>
      <c r="AM4387" s="2">
        <v>50.8262409444377</v>
      </c>
      <c r="AN4387" s="2">
        <v>5.0703797269556601</v>
      </c>
      <c r="AO4387" s="2">
        <v>8.559877937157E-6</v>
      </c>
      <c r="AP4387" s="2">
        <v>8.559877937157E-6</v>
      </c>
      <c r="AQ4387" s="2">
        <v>8.559877937157E-6</v>
      </c>
      <c r="AR4387" s="2">
        <v>4755.8435191799599</v>
      </c>
      <c r="AS4387" s="2">
        <v>8.559877937157E-6</v>
      </c>
      <c r="AT4387" s="2">
        <v>8.559877937157E-6</v>
      </c>
      <c r="AU4387" s="2">
        <v>8.559877937157E-6</v>
      </c>
      <c r="AV4387" s="2">
        <v>8.559877937157E-6</v>
      </c>
      <c r="AW4387" s="2">
        <v>8.559877937157E-6</v>
      </c>
      <c r="AX4387" s="2">
        <v>8.559877937157E-6</v>
      </c>
    </row>
    <row r="4388" spans="1:50" x14ac:dyDescent="0.25">
      <c r="A4388" s="2" t="s">
        <v>28863</v>
      </c>
      <c r="B4388" s="2">
        <v>322.17751498491401</v>
      </c>
      <c r="C4388" s="2">
        <v>4.3411833333333298</v>
      </c>
      <c r="D4388" s="2" t="s">
        <v>51</v>
      </c>
      <c r="E4388" s="2" t="s">
        <v>28864</v>
      </c>
      <c r="F4388" s="2">
        <v>261397</v>
      </c>
      <c r="G4388" s="3" t="str">
        <f>HYPERLINK("https://cloud.oebiotech.com/#/lm/network/261397", "https://cloud.oebiotech.com/#/lm/network/261397")</f>
        <v>https://cloud.oebiotech.com/#/lm/network/261397</v>
      </c>
      <c r="H4388" s="2"/>
      <c r="I4388" s="2">
        <v>18713</v>
      </c>
      <c r="J4388" s="2"/>
      <c r="K4388" s="2">
        <v>14515639</v>
      </c>
      <c r="L4388" s="2"/>
      <c r="M4388" s="2"/>
      <c r="N4388" s="2"/>
      <c r="O4388" s="2"/>
      <c r="P4388" s="2"/>
      <c r="Q4388" s="2"/>
      <c r="R4388" s="2"/>
      <c r="S4388" s="2" t="s">
        <v>28865</v>
      </c>
      <c r="T4388" s="2" t="s">
        <v>28866</v>
      </c>
      <c r="U4388" s="2" t="s">
        <v>103</v>
      </c>
      <c r="V4388" s="2" t="s">
        <v>104</v>
      </c>
      <c r="W4388" s="2" t="s">
        <v>105</v>
      </c>
      <c r="X4388" s="2" t="s">
        <v>83</v>
      </c>
      <c r="Y4388" s="2">
        <v>46.8</v>
      </c>
      <c r="Z4388" s="2">
        <v>31.2</v>
      </c>
      <c r="AA4388" s="2" t="s">
        <v>259</v>
      </c>
      <c r="AB4388" s="2" t="s">
        <v>28867</v>
      </c>
      <c r="AC4388" s="2">
        <v>4.3040370716049097</v>
      </c>
      <c r="AD4388" s="2"/>
      <c r="AE4388" s="2">
        <v>9.6883509447307906E-2</v>
      </c>
      <c r="AF4388" s="2">
        <v>1779.2122505387599</v>
      </c>
      <c r="AG4388" s="2">
        <v>979.41445279718903</v>
      </c>
      <c r="AH4388" s="5">
        <v>1.81660812279966</v>
      </c>
      <c r="AI4388" s="5">
        <v>0.86124723615508003</v>
      </c>
      <c r="AJ4388" s="5" t="s">
        <v>139</v>
      </c>
      <c r="AK4388" s="2">
        <v>0.45306854416335202</v>
      </c>
      <c r="AL4388" s="2">
        <v>0.70586479411805902</v>
      </c>
      <c r="AM4388" s="2">
        <v>559.38171907617004</v>
      </c>
      <c r="AN4388" s="2">
        <v>11.5593798048509</v>
      </c>
      <c r="AO4388" s="2">
        <v>1842.07717163191</v>
      </c>
      <c r="AP4388" s="2">
        <v>166.10048972126799</v>
      </c>
      <c r="AQ4388" s="2">
        <v>5914.0399283264396</v>
      </c>
      <c r="AR4388" s="2">
        <v>2182.1148146719402</v>
      </c>
      <c r="AS4388" s="2">
        <v>244.68828355236101</v>
      </c>
      <c r="AT4388" s="2">
        <v>3119.7899854559901</v>
      </c>
      <c r="AU4388" s="2">
        <v>8.559877937157E-6</v>
      </c>
      <c r="AV4388" s="2">
        <v>801.00251166268004</v>
      </c>
      <c r="AW4388" s="2">
        <v>1513.4712935975999</v>
      </c>
      <c r="AX4388" s="2">
        <v>197.534633954627</v>
      </c>
    </row>
    <row r="4389" spans="1:50" x14ac:dyDescent="0.25">
      <c r="A4389" s="2" t="s">
        <v>28868</v>
      </c>
      <c r="B4389" s="2">
        <v>219.11345811984199</v>
      </c>
      <c r="C4389" s="2">
        <v>4.6213499999999996</v>
      </c>
      <c r="D4389" s="2" t="s">
        <v>51</v>
      </c>
      <c r="E4389" s="2" t="s">
        <v>28869</v>
      </c>
      <c r="F4389" s="2">
        <v>202042</v>
      </c>
      <c r="G4389" s="3" t="str">
        <f>HYPERLINK("https://cloud.oebiotech.com/#/lm/network/202042", "https://cloud.oebiotech.com/#/lm/network/202042")</f>
        <v>https://cloud.oebiotech.com/#/lm/network/202042</v>
      </c>
      <c r="H4389" s="2" t="s">
        <v>28870</v>
      </c>
      <c r="I4389" s="2"/>
      <c r="J4389" s="2"/>
      <c r="K4389" s="2">
        <v>55253543</v>
      </c>
      <c r="L4389" s="2"/>
      <c r="M4389" s="2"/>
      <c r="N4389" s="2"/>
      <c r="O4389" s="2"/>
      <c r="P4389" s="2"/>
      <c r="Q4389" s="2"/>
      <c r="R4389" s="2"/>
      <c r="S4389" s="2" t="s">
        <v>28871</v>
      </c>
      <c r="T4389" s="2" t="s">
        <v>28872</v>
      </c>
      <c r="U4389" s="2" t="s">
        <v>266</v>
      </c>
      <c r="V4389" s="2" t="s">
        <v>445</v>
      </c>
      <c r="W4389" s="2" t="s">
        <v>446</v>
      </c>
      <c r="X4389" s="2" t="s">
        <v>83</v>
      </c>
      <c r="Y4389" s="2">
        <v>39.6</v>
      </c>
      <c r="Z4389" s="2">
        <v>0</v>
      </c>
      <c r="AA4389" s="2" t="s">
        <v>218</v>
      </c>
      <c r="AB4389" s="2" t="s">
        <v>28873</v>
      </c>
      <c r="AC4389" s="2">
        <v>-2.5454840786026298</v>
      </c>
      <c r="AD4389" s="2"/>
      <c r="AE4389" s="2">
        <v>9.6830181969945098E-2</v>
      </c>
      <c r="AF4389" s="2">
        <v>1125.3027522399</v>
      </c>
      <c r="AG4389" s="2">
        <v>1550.4553550036601</v>
      </c>
      <c r="AH4389" s="4">
        <v>0.72578855534814402</v>
      </c>
      <c r="AI4389" s="4">
        <v>-0.46237878713687602</v>
      </c>
      <c r="AJ4389" s="4" t="s">
        <v>62</v>
      </c>
      <c r="AK4389" s="2">
        <v>0.73286931895934604</v>
      </c>
      <c r="AL4389" s="2">
        <v>0.87687326615510697</v>
      </c>
      <c r="AM4389" s="2">
        <v>1283.8595137658799</v>
      </c>
      <c r="AN4389" s="2">
        <v>8.559877937157E-6</v>
      </c>
      <c r="AO4389" s="2">
        <v>416.16028671140702</v>
      </c>
      <c r="AP4389" s="2">
        <v>5051.7966872825</v>
      </c>
      <c r="AQ4389" s="2">
        <v>8.559877937157E-6</v>
      </c>
      <c r="AR4389" s="2">
        <v>8.559877937157E-6</v>
      </c>
      <c r="AS4389" s="2">
        <v>4806.8885532949598</v>
      </c>
      <c r="AT4389" s="2">
        <v>8.559877937157E-6</v>
      </c>
      <c r="AU4389" s="2">
        <v>8.559877937157E-6</v>
      </c>
      <c r="AV4389" s="2">
        <v>8.559877937157E-6</v>
      </c>
      <c r="AW4389" s="2">
        <v>592.49852147157196</v>
      </c>
      <c r="AX4389" s="2">
        <v>3903.3450295758198</v>
      </c>
    </row>
    <row r="4390" spans="1:50" x14ac:dyDescent="0.25">
      <c r="A4390" s="2" t="s">
        <v>28874</v>
      </c>
      <c r="B4390" s="2">
        <v>483.34825487621401</v>
      </c>
      <c r="C4390" s="2">
        <v>13.831099999999999</v>
      </c>
      <c r="D4390" s="2" t="s">
        <v>51</v>
      </c>
      <c r="E4390" s="2" t="s">
        <v>28875</v>
      </c>
      <c r="F4390" s="2">
        <v>210505</v>
      </c>
      <c r="G4390" s="3" t="str">
        <f>HYPERLINK("https://cloud.oebiotech.com/#/lm/network/210505", "https://cloud.oebiotech.com/#/lm/network/210505")</f>
        <v>https://cloud.oebiotech.com/#/lm/network/210505</v>
      </c>
      <c r="H4390" s="2" t="s">
        <v>28876</v>
      </c>
      <c r="I4390" s="2"/>
      <c r="J4390" s="2"/>
      <c r="K4390" s="2">
        <v>12314447</v>
      </c>
      <c r="L4390" s="2"/>
      <c r="M4390" s="2"/>
      <c r="N4390" s="2"/>
      <c r="O4390" s="2"/>
      <c r="P4390" s="2"/>
      <c r="Q4390" s="2"/>
      <c r="R4390" s="2"/>
      <c r="S4390" s="2" t="s">
        <v>28877</v>
      </c>
      <c r="T4390" s="2" t="s">
        <v>28878</v>
      </c>
      <c r="U4390" s="2" t="s">
        <v>56</v>
      </c>
      <c r="V4390" s="2" t="s">
        <v>283</v>
      </c>
      <c r="W4390" s="2" t="s">
        <v>2042</v>
      </c>
      <c r="X4390" s="2" t="s">
        <v>147</v>
      </c>
      <c r="Y4390" s="2">
        <v>37.1</v>
      </c>
      <c r="Z4390" s="2">
        <v>0</v>
      </c>
      <c r="AA4390" s="2" t="s">
        <v>259</v>
      </c>
      <c r="AB4390" s="2" t="s">
        <v>28879</v>
      </c>
      <c r="AC4390" s="2">
        <v>2.8371933907645399</v>
      </c>
      <c r="AD4390" s="2"/>
      <c r="AE4390" s="2">
        <v>9.6827673151270499E-2</v>
      </c>
      <c r="AF4390" s="2">
        <v>6049.4215466059904</v>
      </c>
      <c r="AG4390" s="2">
        <v>5554.6750618182796</v>
      </c>
      <c r="AH4390" s="5">
        <v>1.0890684836253499</v>
      </c>
      <c r="AI4390" s="5">
        <v>0.123094677544419</v>
      </c>
      <c r="AJ4390" s="5" t="s">
        <v>139</v>
      </c>
      <c r="AK4390" s="2">
        <v>0.83332557786759798</v>
      </c>
      <c r="AL4390" s="2">
        <v>0.92718402470013594</v>
      </c>
      <c r="AM4390" s="2">
        <v>8358.7635138384103</v>
      </c>
      <c r="AN4390" s="2">
        <v>11867.1956195614</v>
      </c>
      <c r="AO4390" s="2">
        <v>4678.0335643006702</v>
      </c>
      <c r="AP4390" s="2">
        <v>6604.1405659612701</v>
      </c>
      <c r="AQ4390" s="2">
        <v>2021.5438320200999</v>
      </c>
      <c r="AR4390" s="2">
        <v>2766.8521839541099</v>
      </c>
      <c r="AS4390" s="2">
        <v>423.39207606678298</v>
      </c>
      <c r="AT4390" s="2">
        <v>3478.4603396223702</v>
      </c>
      <c r="AU4390" s="2">
        <v>9691.8884015488493</v>
      </c>
      <c r="AV4390" s="2">
        <v>2159.2366998822199</v>
      </c>
      <c r="AW4390" s="2">
        <v>6686.8080202879601</v>
      </c>
      <c r="AX4390" s="2">
        <v>10888.2648335015</v>
      </c>
    </row>
    <row r="4391" spans="1:50" x14ac:dyDescent="0.25">
      <c r="A4391" s="2" t="s">
        <v>28880</v>
      </c>
      <c r="B4391" s="2">
        <v>393.22830347690899</v>
      </c>
      <c r="C4391" s="2">
        <v>10.246033333333299</v>
      </c>
      <c r="D4391" s="2" t="s">
        <v>51</v>
      </c>
      <c r="E4391" s="2" t="s">
        <v>28881</v>
      </c>
      <c r="F4391" s="2">
        <v>4131</v>
      </c>
      <c r="G4391" s="3" t="str">
        <f>HYPERLINK("https://cloud.oebiotech.com/#/lm/network/4131", "https://cloud.oebiotech.com/#/lm/network/4131")</f>
        <v>https://cloud.oebiotech.com/#/lm/network/4131</v>
      </c>
      <c r="H4391" s="2"/>
      <c r="I4391" s="2"/>
      <c r="J4391" s="2" t="s">
        <v>28882</v>
      </c>
      <c r="K4391" s="2">
        <v>10405480</v>
      </c>
      <c r="L4391" s="2"/>
      <c r="M4391" s="2"/>
      <c r="N4391" s="2"/>
      <c r="O4391" s="2"/>
      <c r="P4391" s="2"/>
      <c r="Q4391" s="2"/>
      <c r="R4391" s="2"/>
      <c r="S4391" s="2" t="s">
        <v>28883</v>
      </c>
      <c r="T4391" s="2" t="s">
        <v>28884</v>
      </c>
      <c r="U4391" s="2" t="s">
        <v>56</v>
      </c>
      <c r="V4391" s="2" t="s">
        <v>145</v>
      </c>
      <c r="W4391" s="2" t="s">
        <v>146</v>
      </c>
      <c r="X4391" s="2" t="s">
        <v>83</v>
      </c>
      <c r="Y4391" s="2">
        <v>52.5</v>
      </c>
      <c r="Z4391" s="2">
        <v>0</v>
      </c>
      <c r="AA4391" s="2" t="s">
        <v>218</v>
      </c>
      <c r="AB4391" s="2" t="s">
        <v>1252</v>
      </c>
      <c r="AC4391" s="2">
        <v>0.118032396942905</v>
      </c>
      <c r="AD4391" s="2"/>
      <c r="AE4391" s="2">
        <v>9.6799813367446502E-2</v>
      </c>
      <c r="AF4391" s="2">
        <v>1158.8268145137399</v>
      </c>
      <c r="AG4391" s="2">
        <v>742.46216987078003</v>
      </c>
      <c r="AH4391" s="5">
        <v>1.5607890361813701</v>
      </c>
      <c r="AI4391" s="5">
        <v>0.64227554883204696</v>
      </c>
      <c r="AJ4391" s="5" t="s">
        <v>139</v>
      </c>
      <c r="AK4391" s="2">
        <v>0.26148795788748402</v>
      </c>
      <c r="AL4391" s="2">
        <v>0.58384881759232599</v>
      </c>
      <c r="AM4391" s="2">
        <v>2260.9420861929302</v>
      </c>
      <c r="AN4391" s="2">
        <v>349.85142082712002</v>
      </c>
      <c r="AO4391" s="2">
        <v>295.18566773648701</v>
      </c>
      <c r="AP4391" s="2">
        <v>1205.9792546363301</v>
      </c>
      <c r="AQ4391" s="2">
        <v>1467.4481822259099</v>
      </c>
      <c r="AR4391" s="2">
        <v>1373.5542754636599</v>
      </c>
      <c r="AS4391" s="2">
        <v>484.74174149912102</v>
      </c>
      <c r="AT4391" s="2">
        <v>230.08812319834101</v>
      </c>
      <c r="AU4391" s="2">
        <v>1345.4088626309899</v>
      </c>
      <c r="AV4391" s="2">
        <v>1096.59605370901</v>
      </c>
      <c r="AW4391" s="2">
        <v>846.41000571060704</v>
      </c>
      <c r="AX4391" s="2">
        <v>451.52823247660899</v>
      </c>
    </row>
    <row r="4392" spans="1:50" x14ac:dyDescent="0.25">
      <c r="A4392" s="2" t="s">
        <v>28885</v>
      </c>
      <c r="B4392" s="2">
        <v>509.28913881215902</v>
      </c>
      <c r="C4392" s="2">
        <v>11.1923833333333</v>
      </c>
      <c r="D4392" s="2" t="s">
        <v>51</v>
      </c>
      <c r="E4392" s="2" t="s">
        <v>28886</v>
      </c>
      <c r="F4392" s="2">
        <v>200112</v>
      </c>
      <c r="G4392" s="3" t="str">
        <f>HYPERLINK("https://cloud.oebiotech.com/#/lm/network/200112", "https://cloud.oebiotech.com/#/lm/network/200112")</f>
        <v>https://cloud.oebiotech.com/#/lm/network/200112</v>
      </c>
      <c r="H4392" s="2" t="s">
        <v>28887</v>
      </c>
      <c r="I4392" s="2">
        <v>428198</v>
      </c>
      <c r="J4392" s="2"/>
      <c r="K4392" s="2">
        <v>10149236</v>
      </c>
      <c r="L4392" s="2"/>
      <c r="M4392" s="2"/>
      <c r="N4392" s="2"/>
      <c r="O4392" s="2"/>
      <c r="P4392" s="2"/>
      <c r="Q4392" s="2"/>
      <c r="R4392" s="2"/>
      <c r="S4392" s="2" t="s">
        <v>28888</v>
      </c>
      <c r="T4392" s="2" t="s">
        <v>28889</v>
      </c>
      <c r="U4392" s="2" t="s">
        <v>266</v>
      </c>
      <c r="V4392" s="2" t="s">
        <v>445</v>
      </c>
      <c r="W4392" s="2" t="s">
        <v>3500</v>
      </c>
      <c r="X4392" s="2" t="s">
        <v>147</v>
      </c>
      <c r="Y4392" s="2">
        <v>38.5</v>
      </c>
      <c r="Z4392" s="2">
        <v>0</v>
      </c>
      <c r="AA4392" s="2" t="s">
        <v>478</v>
      </c>
      <c r="AB4392" s="2" t="s">
        <v>28890</v>
      </c>
      <c r="AC4392" s="2">
        <v>-0.73661882248508304</v>
      </c>
      <c r="AD4392" s="2"/>
      <c r="AE4392" s="2">
        <v>9.66939881029657E-2</v>
      </c>
      <c r="AF4392" s="2">
        <v>7068.7895214864802</v>
      </c>
      <c r="AG4392" s="2">
        <v>8033.6763181574597</v>
      </c>
      <c r="AH4392" s="4">
        <v>0.87989473829183595</v>
      </c>
      <c r="AI4392" s="4">
        <v>-0.18459715025962201</v>
      </c>
      <c r="AJ4392" s="4" t="s">
        <v>62</v>
      </c>
      <c r="AK4392" s="2">
        <v>0.63519244792523</v>
      </c>
      <c r="AL4392" s="2">
        <v>0.82088323102570504</v>
      </c>
      <c r="AM4392" s="2">
        <v>6203.1516084551804</v>
      </c>
      <c r="AN4392" s="2">
        <v>4941.9496640554698</v>
      </c>
      <c r="AO4392" s="2">
        <v>6582.6486483457102</v>
      </c>
      <c r="AP4392" s="2">
        <v>8195.2597290204303</v>
      </c>
      <c r="AQ4392" s="2">
        <v>9624.0167970231396</v>
      </c>
      <c r="AR4392" s="2">
        <v>6865.7106820189501</v>
      </c>
      <c r="AS4392" s="2">
        <v>8407.9253976276905</v>
      </c>
      <c r="AT4392" s="2">
        <v>4462.5990707854098</v>
      </c>
      <c r="AU4392" s="2">
        <v>15291.720699334801</v>
      </c>
      <c r="AV4392" s="2">
        <v>3930.6915120054</v>
      </c>
      <c r="AW4392" s="2">
        <v>11288.0365906773</v>
      </c>
      <c r="AX4392" s="2">
        <v>4821.0846385141704</v>
      </c>
    </row>
    <row r="4393" spans="1:50" x14ac:dyDescent="0.25">
      <c r="A4393" s="2" t="s">
        <v>28891</v>
      </c>
      <c r="B4393" s="2">
        <v>233.060711088098</v>
      </c>
      <c r="C4393" s="2">
        <v>5.4175500000000003</v>
      </c>
      <c r="D4393" s="2" t="s">
        <v>51</v>
      </c>
      <c r="E4393" s="2" t="s">
        <v>28892</v>
      </c>
      <c r="F4393" s="2">
        <v>266831</v>
      </c>
      <c r="G4393" s="3" t="str">
        <f>HYPERLINK("https://cloud.oebiotech.com/#/lm/network/266831", "https://cloud.oebiotech.com/#/lm/network/266831")</f>
        <v>https://cloud.oebiotech.com/#/lm/network/266831</v>
      </c>
      <c r="H4393" s="2"/>
      <c r="I4393" s="2">
        <v>44058</v>
      </c>
      <c r="J4393" s="2"/>
      <c r="K4393" s="2">
        <v>77793</v>
      </c>
      <c r="L4393" s="2"/>
      <c r="M4393" s="2"/>
      <c r="N4393" s="2"/>
      <c r="O4393" s="2"/>
      <c r="P4393" s="2"/>
      <c r="Q4393" s="2"/>
      <c r="R4393" s="2" t="s">
        <v>28893</v>
      </c>
      <c r="S4393" s="2" t="s">
        <v>28894</v>
      </c>
      <c r="T4393" s="2" t="s">
        <v>28895</v>
      </c>
      <c r="U4393" s="2" t="s">
        <v>540</v>
      </c>
      <c r="V4393" s="2" t="s">
        <v>541</v>
      </c>
      <c r="W4393" s="2" t="s">
        <v>6898</v>
      </c>
      <c r="X4393" s="2" t="s">
        <v>147</v>
      </c>
      <c r="Y4393" s="2">
        <v>36.6</v>
      </c>
      <c r="Z4393" s="2">
        <v>0</v>
      </c>
      <c r="AA4393" s="2" t="s">
        <v>379</v>
      </c>
      <c r="AB4393" s="2" t="s">
        <v>25708</v>
      </c>
      <c r="AC4393" s="2">
        <v>-0.365105984821188</v>
      </c>
      <c r="AD4393" s="2"/>
      <c r="AE4393" s="2">
        <v>9.6646853562925794E-2</v>
      </c>
      <c r="AF4393" s="2">
        <v>690.45836351823903</v>
      </c>
      <c r="AG4393" s="2">
        <v>360.50839420374302</v>
      </c>
      <c r="AH4393" s="5">
        <v>1.9152351917997901</v>
      </c>
      <c r="AI4393" s="5">
        <v>0.93752156667171604</v>
      </c>
      <c r="AJ4393" s="5" t="s">
        <v>139</v>
      </c>
      <c r="AK4393" s="2">
        <v>0.31600026790581298</v>
      </c>
      <c r="AL4393" s="2">
        <v>0.62473761981625797</v>
      </c>
      <c r="AM4393" s="2">
        <v>1448.79317878202</v>
      </c>
      <c r="AN4393" s="2">
        <v>600.68078402839706</v>
      </c>
      <c r="AO4393" s="2">
        <v>214.50486858575499</v>
      </c>
      <c r="AP4393" s="2">
        <v>922.34535040328501</v>
      </c>
      <c r="AQ4393" s="2">
        <v>224.699925818981</v>
      </c>
      <c r="AR4393" s="2">
        <v>731.72607349099405</v>
      </c>
      <c r="AS4393" s="2">
        <v>222.395257550709</v>
      </c>
      <c r="AT4393" s="2">
        <v>4.31211684065822</v>
      </c>
      <c r="AU4393" s="2">
        <v>1578.2159974562701</v>
      </c>
      <c r="AV4393" s="2">
        <v>68.258775589224996</v>
      </c>
      <c r="AW4393" s="2">
        <v>289.86820922571502</v>
      </c>
      <c r="AX4393" s="2">
        <v>8.559877937157E-6</v>
      </c>
    </row>
    <row r="4394" spans="1:50" x14ac:dyDescent="0.25">
      <c r="A4394" s="2" t="s">
        <v>28896</v>
      </c>
      <c r="B4394" s="2">
        <v>512.29944680551796</v>
      </c>
      <c r="C4394" s="2">
        <v>9.6238666666666699</v>
      </c>
      <c r="D4394" s="2" t="s">
        <v>51</v>
      </c>
      <c r="E4394" s="2" t="s">
        <v>28897</v>
      </c>
      <c r="F4394" s="2">
        <v>19858</v>
      </c>
      <c r="G4394" s="3" t="str">
        <f>HYPERLINK("https://cloud.oebiotech.com/#/lm/network/19858", "https://cloud.oebiotech.com/#/lm/network/19858")</f>
        <v>https://cloud.oebiotech.com/#/lm/network/19858</v>
      </c>
      <c r="H4394" s="2"/>
      <c r="I4394" s="2">
        <v>40339</v>
      </c>
      <c r="J4394" s="2" t="s">
        <v>28898</v>
      </c>
      <c r="K4394" s="2">
        <v>24779490</v>
      </c>
      <c r="L4394" s="2"/>
      <c r="M4394" s="2"/>
      <c r="N4394" s="2"/>
      <c r="O4394" s="2">
        <v>131738</v>
      </c>
      <c r="P4394" s="2"/>
      <c r="Q4394" s="2"/>
      <c r="R4394" s="2"/>
      <c r="S4394" s="2" t="s">
        <v>28899</v>
      </c>
      <c r="T4394" s="2" t="s">
        <v>28900</v>
      </c>
      <c r="U4394" s="2" t="s">
        <v>56</v>
      </c>
      <c r="V4394" s="2" t="s">
        <v>57</v>
      </c>
      <c r="W4394" s="2" t="s">
        <v>58</v>
      </c>
      <c r="X4394" s="2" t="s">
        <v>69</v>
      </c>
      <c r="Y4394" s="2">
        <v>63.2</v>
      </c>
      <c r="Z4394" s="2">
        <v>90</v>
      </c>
      <c r="AA4394" s="2" t="s">
        <v>218</v>
      </c>
      <c r="AB4394" s="2" t="s">
        <v>14913</v>
      </c>
      <c r="AC4394" s="2">
        <v>0.116602695530772</v>
      </c>
      <c r="AD4394" s="2"/>
      <c r="AE4394" s="2">
        <v>9.6412190942323506E-2</v>
      </c>
      <c r="AF4394" s="2">
        <v>42136.016002201402</v>
      </c>
      <c r="AG4394" s="2">
        <v>47823.9491939871</v>
      </c>
      <c r="AH4394" s="4">
        <v>0.88106517157932895</v>
      </c>
      <c r="AI4394" s="4">
        <v>-0.18267935697114901</v>
      </c>
      <c r="AJ4394" s="4" t="s">
        <v>62</v>
      </c>
      <c r="AK4394" s="2">
        <v>0.74332872760779301</v>
      </c>
      <c r="AL4394" s="2">
        <v>0.88262853116149298</v>
      </c>
      <c r="AM4394" s="2">
        <v>93491.189402774893</v>
      </c>
      <c r="AN4394" s="2">
        <v>41363.645717955798</v>
      </c>
      <c r="AO4394" s="2">
        <v>13231.908780920099</v>
      </c>
      <c r="AP4394" s="2">
        <v>38457.225974860899</v>
      </c>
      <c r="AQ4394" s="2">
        <v>28243.808855053299</v>
      </c>
      <c r="AR4394" s="2">
        <v>38028.317281643103</v>
      </c>
      <c r="AS4394" s="2">
        <v>14640.509867786899</v>
      </c>
      <c r="AT4394" s="2">
        <v>12747.091915762199</v>
      </c>
      <c r="AU4394" s="2">
        <v>69997.616254730907</v>
      </c>
      <c r="AV4394" s="2">
        <v>92526.339931469003</v>
      </c>
      <c r="AW4394" s="2">
        <v>53204.443317170102</v>
      </c>
      <c r="AX4394" s="2">
        <v>43827.693877003498</v>
      </c>
    </row>
    <row r="4395" spans="1:50" x14ac:dyDescent="0.25">
      <c r="A4395" s="2" t="s">
        <v>28901</v>
      </c>
      <c r="B4395" s="2">
        <v>353.09129423660499</v>
      </c>
      <c r="C4395" s="2">
        <v>0.80310000000000004</v>
      </c>
      <c r="D4395" s="2" t="s">
        <v>51</v>
      </c>
      <c r="E4395" s="2" t="s">
        <v>28902</v>
      </c>
      <c r="F4395" s="2">
        <v>209291</v>
      </c>
      <c r="G4395" s="3" t="str">
        <f>HYPERLINK("https://cloud.oebiotech.com/#/lm/network/209291", "https://cloud.oebiotech.com/#/lm/network/209291")</f>
        <v>https://cloud.oebiotech.com/#/lm/network/209291</v>
      </c>
      <c r="H4395" s="2" t="s">
        <v>28903</v>
      </c>
      <c r="I4395" s="2"/>
      <c r="J4395" s="2"/>
      <c r="K4395" s="2">
        <v>168167</v>
      </c>
      <c r="L4395" s="2"/>
      <c r="M4395" s="2"/>
      <c r="N4395" s="2"/>
      <c r="O4395" s="2">
        <v>83456</v>
      </c>
      <c r="P4395" s="2"/>
      <c r="Q4395" s="2"/>
      <c r="R4395" s="2"/>
      <c r="S4395" s="2" t="s">
        <v>28904</v>
      </c>
      <c r="T4395" s="2" t="s">
        <v>28905</v>
      </c>
      <c r="U4395" s="2" t="s">
        <v>610</v>
      </c>
      <c r="V4395" s="2" t="s">
        <v>611</v>
      </c>
      <c r="W4395" s="2" t="s">
        <v>5656</v>
      </c>
      <c r="X4395" s="2" t="s">
        <v>147</v>
      </c>
      <c r="Y4395" s="2">
        <v>38.5</v>
      </c>
      <c r="Z4395" s="2">
        <v>0</v>
      </c>
      <c r="AA4395" s="2" t="s">
        <v>259</v>
      </c>
      <c r="AB4395" s="2" t="s">
        <v>28906</v>
      </c>
      <c r="AC4395" s="2">
        <v>-0.34885273272755102</v>
      </c>
      <c r="AD4395" s="2"/>
      <c r="AE4395" s="2">
        <v>9.6329154802592395E-2</v>
      </c>
      <c r="AF4395" s="2">
        <v>2238.3905451840201</v>
      </c>
      <c r="AG4395" s="2">
        <v>2844.10640279568</v>
      </c>
      <c r="AH4395" s="4">
        <v>0.78702770859196403</v>
      </c>
      <c r="AI4395" s="4">
        <v>-0.345513665832473</v>
      </c>
      <c r="AJ4395" s="4" t="s">
        <v>62</v>
      </c>
      <c r="AK4395" s="2">
        <v>0.53179400009760502</v>
      </c>
      <c r="AL4395" s="2">
        <v>0.75897575674673201</v>
      </c>
      <c r="AM4395" s="2">
        <v>1500.65892969831</v>
      </c>
      <c r="AN4395" s="2">
        <v>1693.8195677167</v>
      </c>
      <c r="AO4395" s="2">
        <v>4588.0549922131104</v>
      </c>
      <c r="AP4395" s="2">
        <v>2622.0039561869498</v>
      </c>
      <c r="AQ4395" s="2">
        <v>1505.6660533391801</v>
      </c>
      <c r="AR4395" s="2">
        <v>1520.13977194984</v>
      </c>
      <c r="AS4395" s="2">
        <v>2617.4961900430399</v>
      </c>
      <c r="AT4395" s="2">
        <v>2380.99019042902</v>
      </c>
      <c r="AU4395" s="2">
        <v>1376.8390330591301</v>
      </c>
      <c r="AV4395" s="2">
        <v>1146.3169133019201</v>
      </c>
      <c r="AW4395" s="2">
        <v>3046.99199581946</v>
      </c>
      <c r="AX4395" s="2">
        <v>6496.0040941215002</v>
      </c>
    </row>
    <row r="4396" spans="1:50" x14ac:dyDescent="0.25">
      <c r="A4396" s="2" t="s">
        <v>28907</v>
      </c>
      <c r="B4396" s="2">
        <v>105.070444751761</v>
      </c>
      <c r="C4396" s="2">
        <v>11.880366666666699</v>
      </c>
      <c r="D4396" s="2" t="s">
        <v>51</v>
      </c>
      <c r="E4396" s="2" t="s">
        <v>28908</v>
      </c>
      <c r="F4396" s="2">
        <v>58091</v>
      </c>
      <c r="G4396" s="3" t="str">
        <f>HYPERLINK("https://cloud.oebiotech.com/#/lm/network/58091", "https://cloud.oebiotech.com/#/lm/network/58091")</f>
        <v>https://cloud.oebiotech.com/#/lm/network/58091</v>
      </c>
      <c r="H4396" s="2" t="s">
        <v>28909</v>
      </c>
      <c r="I4396" s="2">
        <v>64740</v>
      </c>
      <c r="J4396" s="2"/>
      <c r="K4396" s="2">
        <v>6054</v>
      </c>
      <c r="L4396" s="2" t="s">
        <v>28910</v>
      </c>
      <c r="M4396" s="2" t="s">
        <v>5698</v>
      </c>
      <c r="N4396" s="2" t="s">
        <v>5699</v>
      </c>
      <c r="O4396" s="2">
        <v>49000</v>
      </c>
      <c r="P4396" s="2"/>
      <c r="Q4396" s="2"/>
      <c r="R4396" s="2" t="s">
        <v>28911</v>
      </c>
      <c r="S4396" s="2" t="s">
        <v>28912</v>
      </c>
      <c r="T4396" s="2" t="s">
        <v>28913</v>
      </c>
      <c r="U4396" s="2" t="s">
        <v>610</v>
      </c>
      <c r="V4396" s="2" t="s">
        <v>611</v>
      </c>
      <c r="W4396" s="2" t="s">
        <v>240</v>
      </c>
      <c r="X4396" s="2" t="s">
        <v>147</v>
      </c>
      <c r="Y4396" s="2">
        <v>40.9</v>
      </c>
      <c r="Z4396" s="2">
        <v>19.2</v>
      </c>
      <c r="AA4396" s="2" t="s">
        <v>3354</v>
      </c>
      <c r="AB4396" s="2" t="s">
        <v>28914</v>
      </c>
      <c r="AC4396" s="2">
        <v>4.6534510786900398</v>
      </c>
      <c r="AD4396" s="2"/>
      <c r="AE4396" s="2">
        <v>9.62539401072878E-2</v>
      </c>
      <c r="AF4396" s="2">
        <v>2634.1282128307298</v>
      </c>
      <c r="AG4396" s="2">
        <v>1829.5035027745701</v>
      </c>
      <c r="AH4396" s="5">
        <v>1.43980495737554</v>
      </c>
      <c r="AI4396" s="5">
        <v>0.52587339077508399</v>
      </c>
      <c r="AJ4396" s="5" t="s">
        <v>139</v>
      </c>
      <c r="AK4396" s="2">
        <v>0.60438585724940996</v>
      </c>
      <c r="AL4396" s="2">
        <v>0.80345697144866701</v>
      </c>
      <c r="AM4396" s="2">
        <v>651.79645645582195</v>
      </c>
      <c r="AN4396" s="2">
        <v>963.18967933225497</v>
      </c>
      <c r="AO4396" s="2">
        <v>7000.41888085556</v>
      </c>
      <c r="AP4396" s="2">
        <v>871.39709574282404</v>
      </c>
      <c r="AQ4396" s="2">
        <v>5996.1663562310496</v>
      </c>
      <c r="AR4396" s="2">
        <v>321.80080836689899</v>
      </c>
      <c r="AS4396" s="2">
        <v>2722.6482247744202</v>
      </c>
      <c r="AT4396" s="2">
        <v>299.58433952860503</v>
      </c>
      <c r="AU4396" s="2">
        <v>5752.9867998519703</v>
      </c>
      <c r="AV4396" s="2">
        <v>374.73196918200301</v>
      </c>
      <c r="AW4396" s="2">
        <v>864.94684048514705</v>
      </c>
      <c r="AX4396" s="2">
        <v>962.12284282526105</v>
      </c>
    </row>
    <row r="4397" spans="1:50" x14ac:dyDescent="0.25">
      <c r="A4397" s="2" t="s">
        <v>28915</v>
      </c>
      <c r="B4397" s="2">
        <v>465.099960591284</v>
      </c>
      <c r="C4397" s="2">
        <v>2.0634666666666699</v>
      </c>
      <c r="D4397" s="2" t="s">
        <v>51</v>
      </c>
      <c r="E4397" s="2" t="s">
        <v>28916</v>
      </c>
      <c r="F4397" s="2">
        <v>257593</v>
      </c>
      <c r="G4397" s="3" t="str">
        <f>HYPERLINK("https://cloud.oebiotech.com/#/lm/network/257593", "https://cloud.oebiotech.com/#/lm/network/257593")</f>
        <v>https://cloud.oebiotech.com/#/lm/network/257593</v>
      </c>
      <c r="H4397" s="2" t="s">
        <v>28917</v>
      </c>
      <c r="I4397" s="2"/>
      <c r="J4397" s="2"/>
      <c r="K4397" s="2"/>
      <c r="L4397" s="2"/>
      <c r="M4397" s="2"/>
      <c r="N4397" s="2"/>
      <c r="O4397" s="2">
        <v>142432</v>
      </c>
      <c r="P4397" s="2" t="s">
        <v>12129</v>
      </c>
      <c r="Q4397" s="2" t="s">
        <v>12130</v>
      </c>
      <c r="R4397" s="2"/>
      <c r="S4397" s="2" t="s">
        <v>28918</v>
      </c>
      <c r="T4397" s="2" t="s">
        <v>28919</v>
      </c>
      <c r="U4397" s="2" t="s">
        <v>266</v>
      </c>
      <c r="V4397" s="2" t="s">
        <v>28920</v>
      </c>
      <c r="W4397" s="2" t="s">
        <v>240</v>
      </c>
      <c r="X4397" s="2" t="s">
        <v>147</v>
      </c>
      <c r="Y4397" s="2">
        <v>43.1</v>
      </c>
      <c r="Z4397" s="2">
        <v>28.6</v>
      </c>
      <c r="AA4397" s="2" t="s">
        <v>395</v>
      </c>
      <c r="AB4397" s="2" t="s">
        <v>28921</v>
      </c>
      <c r="AC4397" s="2">
        <v>0.87831177824156004</v>
      </c>
      <c r="AD4397" s="2"/>
      <c r="AE4397" s="2">
        <v>9.6170832400626696E-2</v>
      </c>
      <c r="AF4397" s="2">
        <v>13838.1337655876</v>
      </c>
      <c r="AG4397" s="2">
        <v>15040.9916072</v>
      </c>
      <c r="AH4397" s="4">
        <v>0.92002802255160698</v>
      </c>
      <c r="AI4397" s="4">
        <v>-0.12025029091277099</v>
      </c>
      <c r="AJ4397" s="4" t="s">
        <v>62</v>
      </c>
      <c r="AK4397" s="2">
        <v>0.68331734581947001</v>
      </c>
      <c r="AL4397" s="2">
        <v>0.847119457533972</v>
      </c>
      <c r="AM4397" s="2">
        <v>15911.8063709444</v>
      </c>
      <c r="AN4397" s="2">
        <v>14448.1899432593</v>
      </c>
      <c r="AO4397" s="2">
        <v>9204.9144630020201</v>
      </c>
      <c r="AP4397" s="2">
        <v>19766.779892598799</v>
      </c>
      <c r="AQ4397" s="2">
        <v>15498.2541570632</v>
      </c>
      <c r="AR4397" s="2">
        <v>8198.8577666575893</v>
      </c>
      <c r="AS4397" s="2">
        <v>11020.078679857201</v>
      </c>
      <c r="AT4397" s="2">
        <v>11931.8536838701</v>
      </c>
      <c r="AU4397" s="2">
        <v>18147.2561395458</v>
      </c>
      <c r="AV4397" s="2">
        <v>10207.0630187637</v>
      </c>
      <c r="AW4397" s="2">
        <v>14367.952077378901</v>
      </c>
      <c r="AX4397" s="2">
        <v>24571.746043784398</v>
      </c>
    </row>
    <row r="4398" spans="1:50" x14ac:dyDescent="0.25">
      <c r="A4398" s="2" t="s">
        <v>28922</v>
      </c>
      <c r="B4398" s="2">
        <v>390.07659757740902</v>
      </c>
      <c r="C4398" s="2">
        <v>4.9210500000000001</v>
      </c>
      <c r="D4398" s="2" t="s">
        <v>51</v>
      </c>
      <c r="E4398" s="2" t="s">
        <v>28923</v>
      </c>
      <c r="F4398" s="2">
        <v>47974</v>
      </c>
      <c r="G4398" s="3" t="str">
        <f>HYPERLINK("https://cloud.oebiotech.com/#/lm/network/47974", "https://cloud.oebiotech.com/#/lm/network/47974")</f>
        <v>https://cloud.oebiotech.com/#/lm/network/47974</v>
      </c>
      <c r="H4398" s="2" t="s">
        <v>28924</v>
      </c>
      <c r="I4398" s="2">
        <v>3488</v>
      </c>
      <c r="J4398" s="2"/>
      <c r="K4398" s="2">
        <v>1131</v>
      </c>
      <c r="L4398" s="2" t="s">
        <v>28925</v>
      </c>
      <c r="M4398" s="2" t="s">
        <v>28926</v>
      </c>
      <c r="N4398" s="2" t="s">
        <v>28927</v>
      </c>
      <c r="O4398" s="2">
        <v>9533</v>
      </c>
      <c r="P4398" s="2"/>
      <c r="Q4398" s="2"/>
      <c r="R4398" s="2" t="s">
        <v>28928</v>
      </c>
      <c r="S4398" s="2" t="s">
        <v>28929</v>
      </c>
      <c r="T4398" s="2" t="s">
        <v>28930</v>
      </c>
      <c r="U4398" s="2" t="s">
        <v>266</v>
      </c>
      <c r="V4398" s="2" t="s">
        <v>3926</v>
      </c>
      <c r="W4398" s="2" t="s">
        <v>4115</v>
      </c>
      <c r="X4398" s="2" t="s">
        <v>59</v>
      </c>
      <c r="Y4398" s="2">
        <v>48.8</v>
      </c>
      <c r="Z4398" s="2">
        <v>51.8</v>
      </c>
      <c r="AA4398" s="2" t="s">
        <v>218</v>
      </c>
      <c r="AB4398" s="2" t="s">
        <v>28931</v>
      </c>
      <c r="AC4398" s="2">
        <v>-0.70417946542083298</v>
      </c>
      <c r="AD4398" s="2"/>
      <c r="AE4398" s="2">
        <v>9.6164253566725005E-2</v>
      </c>
      <c r="AF4398" s="2">
        <v>50.350190470476498</v>
      </c>
      <c r="AG4398" s="2">
        <v>420.21500805046298</v>
      </c>
      <c r="AH4398" s="4">
        <v>0.11982006712247199</v>
      </c>
      <c r="AI4398" s="4">
        <v>-3.0610585480824799</v>
      </c>
      <c r="AJ4398" s="4" t="s">
        <v>62</v>
      </c>
      <c r="AK4398" s="2">
        <v>0.29112480457411999</v>
      </c>
      <c r="AL4398" s="2">
        <v>0.60497303631660804</v>
      </c>
      <c r="AM4398" s="2">
        <v>8.559877937157E-6</v>
      </c>
      <c r="AN4398" s="2">
        <v>140.30973933306601</v>
      </c>
      <c r="AO4398" s="2">
        <v>8.559877937157E-6</v>
      </c>
      <c r="AP4398" s="2">
        <v>8.559877937157E-6</v>
      </c>
      <c r="AQ4398" s="2">
        <v>8.559877937157E-6</v>
      </c>
      <c r="AR4398" s="2">
        <v>161.79136925028101</v>
      </c>
      <c r="AS4398" s="2">
        <v>500.937495418955</v>
      </c>
      <c r="AT4398" s="2">
        <v>8.559877937157E-6</v>
      </c>
      <c r="AU4398" s="2">
        <v>8.559877937157E-6</v>
      </c>
      <c r="AV4398" s="2">
        <v>8.559877937157E-6</v>
      </c>
      <c r="AW4398" s="2">
        <v>2020.3525186443101</v>
      </c>
      <c r="AX4398" s="2">
        <v>8.559877937157E-6</v>
      </c>
    </row>
    <row r="4399" spans="1:50" x14ac:dyDescent="0.25">
      <c r="A4399" s="2" t="s">
        <v>28932</v>
      </c>
      <c r="B4399" s="2">
        <v>389.246470482549</v>
      </c>
      <c r="C4399" s="2">
        <v>12.1338666666667</v>
      </c>
      <c r="D4399" s="2" t="s">
        <v>51</v>
      </c>
      <c r="E4399" s="2" t="s">
        <v>28933</v>
      </c>
      <c r="F4399" s="2">
        <v>211236</v>
      </c>
      <c r="G4399" s="3" t="str">
        <f>HYPERLINK("https://cloud.oebiotech.com/#/lm/network/211236", "https://cloud.oebiotech.com/#/lm/network/211236")</f>
        <v>https://cloud.oebiotech.com/#/lm/network/211236</v>
      </c>
      <c r="H4399" s="2" t="s">
        <v>28934</v>
      </c>
      <c r="I4399" s="2"/>
      <c r="J4399" s="2"/>
      <c r="K4399" s="2">
        <v>54038554</v>
      </c>
      <c r="L4399" s="2"/>
      <c r="M4399" s="2"/>
      <c r="N4399" s="2"/>
      <c r="O4399" s="2"/>
      <c r="P4399" s="2"/>
      <c r="Q4399" s="2"/>
      <c r="R4399" s="2"/>
      <c r="S4399" s="2" t="s">
        <v>28935</v>
      </c>
      <c r="T4399" s="2" t="s">
        <v>28936</v>
      </c>
      <c r="U4399" s="2" t="s">
        <v>331</v>
      </c>
      <c r="V4399" s="2" t="s">
        <v>332</v>
      </c>
      <c r="W4399" s="2" t="s">
        <v>519</v>
      </c>
      <c r="X4399" s="2" t="s">
        <v>147</v>
      </c>
      <c r="Y4399" s="2">
        <v>38.6</v>
      </c>
      <c r="Z4399" s="2">
        <v>0</v>
      </c>
      <c r="AA4399" s="2" t="s">
        <v>478</v>
      </c>
      <c r="AB4399" s="2" t="s">
        <v>28937</v>
      </c>
      <c r="AC4399" s="2">
        <v>4.8413256522442403</v>
      </c>
      <c r="AD4399" s="2"/>
      <c r="AE4399" s="2">
        <v>9.6132413002407505E-2</v>
      </c>
      <c r="AF4399" s="2">
        <v>539.06841495771005</v>
      </c>
      <c r="AG4399" s="2">
        <v>1049.4334123731501</v>
      </c>
      <c r="AH4399" s="4">
        <v>0.513675673560538</v>
      </c>
      <c r="AI4399" s="4">
        <v>-0.961070342138024</v>
      </c>
      <c r="AJ4399" s="4" t="s">
        <v>62</v>
      </c>
      <c r="AK4399" s="2">
        <v>0.16967735347478399</v>
      </c>
      <c r="AL4399" s="2">
        <v>0.49116257804962998</v>
      </c>
      <c r="AM4399" s="2">
        <v>834.28759435648794</v>
      </c>
      <c r="AN4399" s="2">
        <v>514.29043038290604</v>
      </c>
      <c r="AO4399" s="2">
        <v>289.826928687573</v>
      </c>
      <c r="AP4399" s="2">
        <v>383.63143045683103</v>
      </c>
      <c r="AQ4399" s="2">
        <v>585.50407853906199</v>
      </c>
      <c r="AR4399" s="2">
        <v>626.87002732339897</v>
      </c>
      <c r="AS4399" s="2">
        <v>8.559877937157E-6</v>
      </c>
      <c r="AT4399" s="2">
        <v>2134.9909693155</v>
      </c>
      <c r="AU4399" s="2">
        <v>459.94495284381998</v>
      </c>
      <c r="AV4399" s="2">
        <v>1415.72638032842</v>
      </c>
      <c r="AW4399" s="2">
        <v>1692.83064615135</v>
      </c>
      <c r="AX4399" s="2">
        <v>593.107517039914</v>
      </c>
    </row>
    <row r="4400" spans="1:50" x14ac:dyDescent="0.25">
      <c r="A4400" s="2" t="s">
        <v>28938</v>
      </c>
      <c r="B4400" s="2">
        <v>441.15178278968801</v>
      </c>
      <c r="C4400" s="2">
        <v>4.0690166666666698</v>
      </c>
      <c r="D4400" s="2" t="s">
        <v>51</v>
      </c>
      <c r="E4400" s="2" t="s">
        <v>28939</v>
      </c>
      <c r="F4400" s="2">
        <v>200246</v>
      </c>
      <c r="G4400" s="3" t="str">
        <f>HYPERLINK("https://cloud.oebiotech.com/#/lm/network/200246", "https://cloud.oebiotech.com/#/lm/network/200246")</f>
        <v>https://cloud.oebiotech.com/#/lm/network/200246</v>
      </c>
      <c r="H4400" s="2" t="s">
        <v>28940</v>
      </c>
      <c r="I4400" s="2"/>
      <c r="J4400" s="2"/>
      <c r="K4400" s="2">
        <v>2736656</v>
      </c>
      <c r="L4400" s="2"/>
      <c r="M4400" s="2"/>
      <c r="N4400" s="2"/>
      <c r="O4400" s="2"/>
      <c r="P4400" s="2"/>
      <c r="Q4400" s="2"/>
      <c r="R4400" s="2"/>
      <c r="S4400" s="2" t="s">
        <v>28941</v>
      </c>
      <c r="T4400" s="2" t="s">
        <v>28942</v>
      </c>
      <c r="U4400" s="2" t="s">
        <v>56</v>
      </c>
      <c r="V4400" s="2" t="s">
        <v>145</v>
      </c>
      <c r="W4400" s="2" t="s">
        <v>231</v>
      </c>
      <c r="X4400" s="2" t="s">
        <v>147</v>
      </c>
      <c r="Y4400" s="2">
        <v>46.6</v>
      </c>
      <c r="Z4400" s="2">
        <v>40.6</v>
      </c>
      <c r="AA4400" s="2" t="s">
        <v>218</v>
      </c>
      <c r="AB4400" s="2" t="s">
        <v>28943</v>
      </c>
      <c r="AC4400" s="2">
        <v>2.6545892876045198</v>
      </c>
      <c r="AD4400" s="2"/>
      <c r="AE4400" s="2">
        <v>9.6085451180670106E-2</v>
      </c>
      <c r="AF4400" s="2">
        <v>2454.1228892436998</v>
      </c>
      <c r="AG4400" s="2">
        <v>3179.4609396215201</v>
      </c>
      <c r="AH4400" s="4">
        <v>0.77186760141039401</v>
      </c>
      <c r="AI4400" s="4">
        <v>-0.37357469191442999</v>
      </c>
      <c r="AJ4400" s="4" t="s">
        <v>62</v>
      </c>
      <c r="AK4400" s="2">
        <v>0.743712416749711</v>
      </c>
      <c r="AL4400" s="2">
        <v>0.88266909785071501</v>
      </c>
      <c r="AM4400" s="2">
        <v>8.559877937157E-6</v>
      </c>
      <c r="AN4400" s="2">
        <v>2974.5297958627398</v>
      </c>
      <c r="AO4400" s="2">
        <v>1977.05457166976</v>
      </c>
      <c r="AP4400" s="2">
        <v>8.559877937157E-6</v>
      </c>
      <c r="AQ4400" s="2">
        <v>2164.7852711144201</v>
      </c>
      <c r="AR4400" s="2">
        <v>7608.3676796955397</v>
      </c>
      <c r="AS4400" s="2">
        <v>11500.687086908199</v>
      </c>
      <c r="AT4400" s="2">
        <v>3483.8256496092899</v>
      </c>
      <c r="AU4400" s="2">
        <v>8.559877937157E-6</v>
      </c>
      <c r="AV4400" s="2">
        <v>8.559877937157E-6</v>
      </c>
      <c r="AW4400" s="2">
        <v>8.559877937157E-6</v>
      </c>
      <c r="AX4400" s="2">
        <v>4092.25287553202</v>
      </c>
    </row>
    <row r="4401" spans="1:50" x14ac:dyDescent="0.25">
      <c r="A4401" s="2" t="s">
        <v>28944</v>
      </c>
      <c r="B4401" s="2">
        <v>380.21928813382902</v>
      </c>
      <c r="C4401" s="2">
        <v>4.1329500000000001</v>
      </c>
      <c r="D4401" s="2" t="s">
        <v>51</v>
      </c>
      <c r="E4401" s="2" t="s">
        <v>28945</v>
      </c>
      <c r="F4401" s="2">
        <v>258808</v>
      </c>
      <c r="G4401" s="3" t="str">
        <f>HYPERLINK("https://cloud.oebiotech.com/#/lm/network/258808", "https://cloud.oebiotech.com/#/lm/network/258808")</f>
        <v>https://cloud.oebiotech.com/#/lm/network/258808</v>
      </c>
      <c r="H4401" s="2"/>
      <c r="I4401" s="2">
        <v>15999</v>
      </c>
      <c r="J4401" s="2"/>
      <c r="K4401" s="2">
        <v>145457258</v>
      </c>
      <c r="L4401" s="2"/>
      <c r="M4401" s="2"/>
      <c r="N4401" s="2"/>
      <c r="O4401" s="2"/>
      <c r="P4401" s="2"/>
      <c r="Q4401" s="2"/>
      <c r="R4401" s="2"/>
      <c r="S4401" s="2" t="s">
        <v>28946</v>
      </c>
      <c r="T4401" s="2" t="s">
        <v>28947</v>
      </c>
      <c r="U4401" s="2" t="s">
        <v>103</v>
      </c>
      <c r="V4401" s="2" t="s">
        <v>104</v>
      </c>
      <c r="W4401" s="2" t="s">
        <v>105</v>
      </c>
      <c r="X4401" s="2" t="s">
        <v>69</v>
      </c>
      <c r="Y4401" s="2">
        <v>56.5</v>
      </c>
      <c r="Z4401" s="2">
        <v>80.5</v>
      </c>
      <c r="AA4401" s="2" t="s">
        <v>259</v>
      </c>
      <c r="AB4401" s="2" t="s">
        <v>28948</v>
      </c>
      <c r="AC4401" s="2">
        <v>3.40354195619412</v>
      </c>
      <c r="AD4401" s="2"/>
      <c r="AE4401" s="2">
        <v>9.6021869729600098E-2</v>
      </c>
      <c r="AF4401" s="2">
        <v>5318.2614544795697</v>
      </c>
      <c r="AG4401" s="2">
        <v>3859.9841981964801</v>
      </c>
      <c r="AH4401" s="5">
        <v>1.37779358189198</v>
      </c>
      <c r="AI4401" s="5">
        <v>0.46235976272476198</v>
      </c>
      <c r="AJ4401" s="5" t="s">
        <v>139</v>
      </c>
      <c r="AK4401" s="2">
        <v>0.47898497936762502</v>
      </c>
      <c r="AL4401" s="2">
        <v>0.72414606708131002</v>
      </c>
      <c r="AM4401" s="2">
        <v>4292.9204505758298</v>
      </c>
      <c r="AN4401" s="2">
        <v>8.559877937157E-6</v>
      </c>
      <c r="AO4401" s="2">
        <v>6047.7012143607299</v>
      </c>
      <c r="AP4401" s="2">
        <v>12718.9508076068</v>
      </c>
      <c r="AQ4401" s="2">
        <v>6168.1901924628</v>
      </c>
      <c r="AR4401" s="2">
        <v>2681.8060533113598</v>
      </c>
      <c r="AS4401" s="2">
        <v>4707.5506038272597</v>
      </c>
      <c r="AT4401" s="2">
        <v>5890.3367765077101</v>
      </c>
      <c r="AU4401" s="2">
        <v>4059.7414005815399</v>
      </c>
      <c r="AV4401" s="2">
        <v>1133.9630739141101</v>
      </c>
      <c r="AW4401" s="2">
        <v>6260.8621705691503</v>
      </c>
      <c r="AX4401" s="2">
        <v>1107.4511637790799</v>
      </c>
    </row>
    <row r="4402" spans="1:50" x14ac:dyDescent="0.25">
      <c r="A4402" s="2" t="s">
        <v>28949</v>
      </c>
      <c r="B4402" s="2">
        <v>167.98255666597001</v>
      </c>
      <c r="C4402" s="2">
        <v>3.3592499999999998</v>
      </c>
      <c r="D4402" s="2" t="s">
        <v>51</v>
      </c>
      <c r="E4402" s="2" t="s">
        <v>28950</v>
      </c>
      <c r="F4402" s="2">
        <v>257708</v>
      </c>
      <c r="G4402" s="3" t="str">
        <f>HYPERLINK("https://cloud.oebiotech.com/#/lm/network/257708", "https://cloud.oebiotech.com/#/lm/network/257708")</f>
        <v>https://cloud.oebiotech.com/#/lm/network/257708</v>
      </c>
      <c r="H4402" s="2"/>
      <c r="I4402" s="2">
        <v>152</v>
      </c>
      <c r="J4402" s="2"/>
      <c r="K4402" s="2">
        <v>3674425</v>
      </c>
      <c r="L4402" s="2" t="s">
        <v>28951</v>
      </c>
      <c r="M4402" s="2" t="s">
        <v>28952</v>
      </c>
      <c r="N4402" s="2" t="s">
        <v>28953</v>
      </c>
      <c r="O4402" s="2"/>
      <c r="P4402" s="2"/>
      <c r="Q4402" s="2"/>
      <c r="R4402" s="2" t="s">
        <v>28954</v>
      </c>
      <c r="S4402" s="2" t="s">
        <v>28955</v>
      </c>
      <c r="T4402" s="2" t="s">
        <v>28956</v>
      </c>
      <c r="U4402" s="2" t="s">
        <v>103</v>
      </c>
      <c r="V4402" s="2" t="s">
        <v>1567</v>
      </c>
      <c r="W4402" s="2" t="s">
        <v>1568</v>
      </c>
      <c r="X4402" s="2" t="s">
        <v>147</v>
      </c>
      <c r="Y4402" s="2">
        <v>39.1</v>
      </c>
      <c r="Z4402" s="2">
        <v>0</v>
      </c>
      <c r="AA4402" s="2" t="s">
        <v>122</v>
      </c>
      <c r="AB4402" s="2" t="s">
        <v>28957</v>
      </c>
      <c r="AC4402" s="2">
        <v>1.0837938216613601</v>
      </c>
      <c r="AD4402" s="2"/>
      <c r="AE4402" s="2">
        <v>9.5989539075004696E-2</v>
      </c>
      <c r="AF4402" s="2">
        <v>1406.69271633837</v>
      </c>
      <c r="AG4402" s="2">
        <v>1791.49415419347</v>
      </c>
      <c r="AH4402" s="4">
        <v>0.78520642283181796</v>
      </c>
      <c r="AI4402" s="4">
        <v>-0.348856121077529</v>
      </c>
      <c r="AJ4402" s="4" t="s">
        <v>62</v>
      </c>
      <c r="AK4402" s="2">
        <v>0.12922816300455101</v>
      </c>
      <c r="AL4402" s="2">
        <v>0.448408885890135</v>
      </c>
      <c r="AM4402" s="2">
        <v>1155.6079673412301</v>
      </c>
      <c r="AN4402" s="2">
        <v>1458.1590674394299</v>
      </c>
      <c r="AO4402" s="2">
        <v>1374.6673160202699</v>
      </c>
      <c r="AP4402" s="2">
        <v>1841.45451458806</v>
      </c>
      <c r="AQ4402" s="2">
        <v>1488.47420173314</v>
      </c>
      <c r="AR4402" s="2">
        <v>1121.79323090806</v>
      </c>
      <c r="AS4402" s="2">
        <v>1889.5368201148401</v>
      </c>
      <c r="AT4402" s="2">
        <v>2721.92065386491</v>
      </c>
      <c r="AU4402" s="2">
        <v>1467.6393893245399</v>
      </c>
      <c r="AV4402" s="2">
        <v>1323.49550909391</v>
      </c>
      <c r="AW4402" s="2">
        <v>1509.0220637893599</v>
      </c>
      <c r="AX4402" s="2">
        <v>1837.3504889732401</v>
      </c>
    </row>
    <row r="4403" spans="1:50" x14ac:dyDescent="0.25">
      <c r="A4403" s="2" t="s">
        <v>28958</v>
      </c>
      <c r="B4403" s="2">
        <v>246.17093635971699</v>
      </c>
      <c r="C4403" s="2">
        <v>6.6012000000000004</v>
      </c>
      <c r="D4403" s="2" t="s">
        <v>51</v>
      </c>
      <c r="E4403" s="2" t="s">
        <v>28959</v>
      </c>
      <c r="F4403" s="2">
        <v>3372</v>
      </c>
      <c r="G4403" s="3" t="str">
        <f>HYPERLINK("https://cloud.oebiotech.com/#/lm/network/3372", "https://cloud.oebiotech.com/#/lm/network/3372")</f>
        <v>https://cloud.oebiotech.com/#/lm/network/3372</v>
      </c>
      <c r="H4403" s="2"/>
      <c r="I4403" s="2">
        <v>45945</v>
      </c>
      <c r="J4403" s="2" t="s">
        <v>28960</v>
      </c>
      <c r="K4403" s="2">
        <v>10082491</v>
      </c>
      <c r="L4403" s="2"/>
      <c r="M4403" s="2"/>
      <c r="N4403" s="2"/>
      <c r="O4403" s="2">
        <v>18472</v>
      </c>
      <c r="P4403" s="2"/>
      <c r="Q4403" s="2"/>
      <c r="R4403" s="2"/>
      <c r="S4403" s="2" t="s">
        <v>28961</v>
      </c>
      <c r="T4403" s="2" t="s">
        <v>28962</v>
      </c>
      <c r="U4403" s="2" t="s">
        <v>56</v>
      </c>
      <c r="V4403" s="2" t="s">
        <v>145</v>
      </c>
      <c r="W4403" s="2" t="s">
        <v>203</v>
      </c>
      <c r="X4403" s="2" t="s">
        <v>83</v>
      </c>
      <c r="Y4403" s="2">
        <v>48.7</v>
      </c>
      <c r="Z4403" s="2">
        <v>35.9</v>
      </c>
      <c r="AA4403" s="2" t="s">
        <v>512</v>
      </c>
      <c r="AB4403" s="2" t="s">
        <v>7377</v>
      </c>
      <c r="AC4403" s="2">
        <v>4.1716757226762002</v>
      </c>
      <c r="AD4403" s="2"/>
      <c r="AE4403" s="2">
        <v>9.5946674794511397E-2</v>
      </c>
      <c r="AF4403" s="2">
        <v>1524.6155650113101</v>
      </c>
      <c r="AG4403" s="2">
        <v>1878.95734524514</v>
      </c>
      <c r="AH4403" s="4">
        <v>0.81141574015475704</v>
      </c>
      <c r="AI4403" s="4">
        <v>-0.30148680611818501</v>
      </c>
      <c r="AJ4403" s="4" t="s">
        <v>62</v>
      </c>
      <c r="AK4403" s="2">
        <v>0.20003831651493401</v>
      </c>
      <c r="AL4403" s="2">
        <v>0.52433884554047105</v>
      </c>
      <c r="AM4403" s="2">
        <v>1572.1090403593601</v>
      </c>
      <c r="AN4403" s="2">
        <v>1219.18843288382</v>
      </c>
      <c r="AO4403" s="2">
        <v>1417.2595392266001</v>
      </c>
      <c r="AP4403" s="2">
        <v>2069.2185866681202</v>
      </c>
      <c r="AQ4403" s="2">
        <v>1133.1538382153401</v>
      </c>
      <c r="AR4403" s="2">
        <v>1736.7639527146</v>
      </c>
      <c r="AS4403" s="2">
        <v>945.37227533560304</v>
      </c>
      <c r="AT4403" s="2">
        <v>1697.9391789005999</v>
      </c>
      <c r="AU4403" s="2">
        <v>2162.4802126937898</v>
      </c>
      <c r="AV4403" s="2">
        <v>2463.5770834887799</v>
      </c>
      <c r="AW4403" s="2">
        <v>2147.2574715882001</v>
      </c>
      <c r="AX4403" s="2">
        <v>1857.11784946389</v>
      </c>
    </row>
    <row r="4404" spans="1:50" x14ac:dyDescent="0.25">
      <c r="A4404" s="2" t="s">
        <v>28963</v>
      </c>
      <c r="B4404" s="2">
        <v>569.47904587411006</v>
      </c>
      <c r="C4404" s="2">
        <v>14.2561</v>
      </c>
      <c r="D4404" s="2" t="s">
        <v>51</v>
      </c>
      <c r="E4404" s="2" t="s">
        <v>28964</v>
      </c>
      <c r="F4404" s="2">
        <v>8480</v>
      </c>
      <c r="G4404" s="3" t="str">
        <f>HYPERLINK("https://cloud.oebiotech.com/#/lm/network/8480", "https://cloud.oebiotech.com/#/lm/network/8480")</f>
        <v>https://cloud.oebiotech.com/#/lm/network/8480</v>
      </c>
      <c r="H4404" s="2"/>
      <c r="I4404" s="2"/>
      <c r="J4404" s="2" t="s">
        <v>28965</v>
      </c>
      <c r="K4404" s="2">
        <v>101527458</v>
      </c>
      <c r="L4404" s="2"/>
      <c r="M4404" s="2"/>
      <c r="N4404" s="2"/>
      <c r="O4404" s="2"/>
      <c r="P4404" s="2"/>
      <c r="Q4404" s="2"/>
      <c r="R4404" s="2"/>
      <c r="S4404" s="2" t="s">
        <v>28966</v>
      </c>
      <c r="T4404" s="2" t="s">
        <v>28967</v>
      </c>
      <c r="U4404" s="2" t="s">
        <v>56</v>
      </c>
      <c r="V4404" s="2" t="s">
        <v>145</v>
      </c>
      <c r="W4404" s="2" t="s">
        <v>231</v>
      </c>
      <c r="X4404" s="2" t="s">
        <v>83</v>
      </c>
      <c r="Y4404" s="2">
        <v>42.8</v>
      </c>
      <c r="Z4404" s="2">
        <v>0</v>
      </c>
      <c r="AA4404" s="2" t="s">
        <v>218</v>
      </c>
      <c r="AB4404" s="2" t="s">
        <v>28968</v>
      </c>
      <c r="AC4404" s="2">
        <v>0.72924239975794303</v>
      </c>
      <c r="AD4404" s="2"/>
      <c r="AE4404" s="2">
        <v>9.5905194649304706E-2</v>
      </c>
      <c r="AF4404" s="2">
        <v>1462.8298146268901</v>
      </c>
      <c r="AG4404" s="2">
        <v>2161.2823130654801</v>
      </c>
      <c r="AH4404" s="4">
        <v>0.67683421355170703</v>
      </c>
      <c r="AI4404" s="4">
        <v>-0.56312559724243405</v>
      </c>
      <c r="AJ4404" s="4" t="s">
        <v>62</v>
      </c>
      <c r="AK4404" s="2">
        <v>0.52677486766874104</v>
      </c>
      <c r="AL4404" s="2">
        <v>0.75541578468508697</v>
      </c>
      <c r="AM4404" s="2">
        <v>8.559877937157E-6</v>
      </c>
      <c r="AN4404" s="2">
        <v>1845.46413771113</v>
      </c>
      <c r="AO4404" s="2">
        <v>1390.3947948234299</v>
      </c>
      <c r="AP4404" s="2">
        <v>4277.9972993384099</v>
      </c>
      <c r="AQ4404" s="2">
        <v>661.39159840658897</v>
      </c>
      <c r="AR4404" s="2">
        <v>601.73104892188496</v>
      </c>
      <c r="AS4404" s="2">
        <v>8.559877937157E-6</v>
      </c>
      <c r="AT4404" s="2">
        <v>5021.1201642486503</v>
      </c>
      <c r="AU4404" s="2">
        <v>1533.9196804856001</v>
      </c>
      <c r="AV4404" s="2">
        <v>1124.5155675887399</v>
      </c>
      <c r="AW4404" s="2">
        <v>4599.5814310698297</v>
      </c>
      <c r="AX4404" s="2">
        <v>688.55702644017197</v>
      </c>
    </row>
    <row r="4405" spans="1:50" x14ac:dyDescent="0.25">
      <c r="A4405" s="2" t="s">
        <v>28969</v>
      </c>
      <c r="B4405" s="2">
        <v>290.08265816875399</v>
      </c>
      <c r="C4405" s="2">
        <v>1.1389</v>
      </c>
      <c r="D4405" s="2" t="s">
        <v>51</v>
      </c>
      <c r="E4405" s="2" t="s">
        <v>28970</v>
      </c>
      <c r="F4405" s="2">
        <v>62277</v>
      </c>
      <c r="G4405" s="3" t="str">
        <f>HYPERLINK("https://cloud.oebiotech.com/#/lm/network/62277", "https://cloud.oebiotech.com/#/lm/network/62277")</f>
        <v>https://cloud.oebiotech.com/#/lm/network/62277</v>
      </c>
      <c r="H4405" s="2" t="s">
        <v>28971</v>
      </c>
      <c r="I4405" s="2"/>
      <c r="J4405" s="2"/>
      <c r="K4405" s="2">
        <v>137199995</v>
      </c>
      <c r="L4405" s="2"/>
      <c r="M4405" s="2"/>
      <c r="N4405" s="2"/>
      <c r="O4405" s="2"/>
      <c r="P4405" s="2"/>
      <c r="Q4405" s="2"/>
      <c r="R4405" s="2" t="s">
        <v>28972</v>
      </c>
      <c r="S4405" s="2" t="s">
        <v>28973</v>
      </c>
      <c r="T4405" s="2" t="s">
        <v>28974</v>
      </c>
      <c r="U4405" s="2" t="s">
        <v>266</v>
      </c>
      <c r="V4405" s="2" t="s">
        <v>19336</v>
      </c>
      <c r="W4405" s="2" t="s">
        <v>240</v>
      </c>
      <c r="X4405" s="2" t="s">
        <v>147</v>
      </c>
      <c r="Y4405" s="2">
        <v>42.4</v>
      </c>
      <c r="Z4405" s="2">
        <v>32.299999999999997</v>
      </c>
      <c r="AA4405" s="2" t="s">
        <v>163</v>
      </c>
      <c r="AB4405" s="2" t="s">
        <v>20546</v>
      </c>
      <c r="AC4405" s="2">
        <v>1.3443298563984001</v>
      </c>
      <c r="AD4405" s="2"/>
      <c r="AE4405" s="2">
        <v>9.5879343252675497E-2</v>
      </c>
      <c r="AF4405" s="2">
        <v>2620.50280482381</v>
      </c>
      <c r="AG4405" s="2">
        <v>1891.8672146835199</v>
      </c>
      <c r="AH4405" s="5">
        <v>1.3851409784392199</v>
      </c>
      <c r="AI4405" s="5">
        <v>0.470032819988843</v>
      </c>
      <c r="AJ4405" s="5" t="s">
        <v>139</v>
      </c>
      <c r="AK4405" s="2">
        <v>0.18870374804291601</v>
      </c>
      <c r="AL4405" s="2">
        <v>0.51296291332672606</v>
      </c>
      <c r="AM4405" s="2">
        <v>2032.80866971106</v>
      </c>
      <c r="AN4405" s="2">
        <v>2251.9605345977502</v>
      </c>
      <c r="AO4405" s="2">
        <v>2546.5425793371501</v>
      </c>
      <c r="AP4405" s="2">
        <v>3925.8217178093701</v>
      </c>
      <c r="AQ4405" s="2">
        <v>3271.40650646937</v>
      </c>
      <c r="AR4405" s="2">
        <v>1694.4768210181801</v>
      </c>
      <c r="AS4405" s="2">
        <v>674.45283167309503</v>
      </c>
      <c r="AT4405" s="2">
        <v>1514.47773775321</v>
      </c>
      <c r="AU4405" s="2">
        <v>1215.84930941274</v>
      </c>
      <c r="AV4405" s="2">
        <v>3330.7633411817601</v>
      </c>
      <c r="AW4405" s="2">
        <v>2439.6718211587599</v>
      </c>
      <c r="AX4405" s="2">
        <v>2175.9882469215399</v>
      </c>
    </row>
    <row r="4406" spans="1:50" x14ac:dyDescent="0.25">
      <c r="A4406" s="2" t="s">
        <v>28975</v>
      </c>
      <c r="B4406" s="2">
        <v>157.066714144949</v>
      </c>
      <c r="C4406" s="2">
        <v>4.5102333333333302</v>
      </c>
      <c r="D4406" s="2" t="s">
        <v>51</v>
      </c>
      <c r="E4406" s="2" t="s">
        <v>28976</v>
      </c>
      <c r="F4406" s="2">
        <v>267222</v>
      </c>
      <c r="G4406" s="3" t="str">
        <f>HYPERLINK("https://cloud.oebiotech.com/#/lm/network/267222", "https://cloud.oebiotech.com/#/lm/network/267222")</f>
        <v>https://cloud.oebiotech.com/#/lm/network/267222</v>
      </c>
      <c r="H4406" s="2"/>
      <c r="I4406" s="2">
        <v>45039</v>
      </c>
      <c r="J4406" s="2"/>
      <c r="K4406" s="2">
        <v>70804</v>
      </c>
      <c r="L4406" s="2" t="s">
        <v>28977</v>
      </c>
      <c r="M4406" s="2"/>
      <c r="N4406" s="2"/>
      <c r="O4406" s="2"/>
      <c r="P4406" s="2"/>
      <c r="Q4406" s="2"/>
      <c r="R4406" s="2" t="s">
        <v>28978</v>
      </c>
      <c r="S4406" s="2" t="s">
        <v>28979</v>
      </c>
      <c r="T4406" s="2" t="s">
        <v>28980</v>
      </c>
      <c r="U4406" s="2" t="s">
        <v>610</v>
      </c>
      <c r="V4406" s="2" t="s">
        <v>813</v>
      </c>
      <c r="W4406" s="2" t="s">
        <v>10937</v>
      </c>
      <c r="X4406" s="2" t="s">
        <v>147</v>
      </c>
      <c r="Y4406" s="2">
        <v>36.6</v>
      </c>
      <c r="Z4406" s="2">
        <v>0</v>
      </c>
      <c r="AA4406" s="2" t="s">
        <v>379</v>
      </c>
      <c r="AB4406" s="2" t="s">
        <v>28981</v>
      </c>
      <c r="AC4406" s="2">
        <v>4.6889112981967704</v>
      </c>
      <c r="AD4406" s="2"/>
      <c r="AE4406" s="2">
        <v>9.5852246662786106E-2</v>
      </c>
      <c r="AF4406" s="2">
        <v>795.57353388443801</v>
      </c>
      <c r="AG4406" s="2">
        <v>380.30386050092</v>
      </c>
      <c r="AH4406" s="5">
        <v>2.09194177738964</v>
      </c>
      <c r="AI4406" s="5">
        <v>1.0648426992712201</v>
      </c>
      <c r="AJ4406" s="5" t="s">
        <v>139</v>
      </c>
      <c r="AK4406" s="2">
        <v>0.140166841032412</v>
      </c>
      <c r="AL4406" s="2">
        <v>0.459629804117481</v>
      </c>
      <c r="AM4406" s="2">
        <v>1172.5730046661599</v>
      </c>
      <c r="AN4406" s="2">
        <v>233.01991617695299</v>
      </c>
      <c r="AO4406" s="2">
        <v>237.99411759838301</v>
      </c>
      <c r="AP4406" s="2">
        <v>693.20546644435899</v>
      </c>
      <c r="AQ4406" s="2">
        <v>1661.60249163618</v>
      </c>
      <c r="AR4406" s="2">
        <v>775.04620678459401</v>
      </c>
      <c r="AS4406" s="2">
        <v>63.8389744881597</v>
      </c>
      <c r="AT4406" s="2">
        <v>79.076662313907406</v>
      </c>
      <c r="AU4406" s="2">
        <v>455.05012224634299</v>
      </c>
      <c r="AV4406" s="2">
        <v>794.13959297396798</v>
      </c>
      <c r="AW4406" s="2">
        <v>677.84755434754902</v>
      </c>
      <c r="AX4406" s="2">
        <v>211.87025663559399</v>
      </c>
    </row>
    <row r="4407" spans="1:50" x14ac:dyDescent="0.25">
      <c r="A4407" s="2" t="s">
        <v>28982</v>
      </c>
      <c r="B4407" s="2">
        <v>357.31244527395302</v>
      </c>
      <c r="C4407" s="2">
        <v>8.9899833333333294</v>
      </c>
      <c r="D4407" s="2" t="s">
        <v>51</v>
      </c>
      <c r="E4407" s="2" t="s">
        <v>28983</v>
      </c>
      <c r="F4407" s="2">
        <v>9080</v>
      </c>
      <c r="G4407" s="3" t="str">
        <f>HYPERLINK("https://cloud.oebiotech.com/#/lm/network/9080", "https://cloud.oebiotech.com/#/lm/network/9080")</f>
        <v>https://cloud.oebiotech.com/#/lm/network/9080</v>
      </c>
      <c r="H4407" s="2"/>
      <c r="I4407" s="2"/>
      <c r="J4407" s="2" t="s">
        <v>28984</v>
      </c>
      <c r="K4407" s="2">
        <v>100925297</v>
      </c>
      <c r="L4407" s="2"/>
      <c r="M4407" s="2"/>
      <c r="N4407" s="2"/>
      <c r="O4407" s="2"/>
      <c r="P4407" s="2"/>
      <c r="Q4407" s="2"/>
      <c r="R4407" s="2"/>
      <c r="S4407" s="2" t="s">
        <v>28985</v>
      </c>
      <c r="T4407" s="2" t="s">
        <v>28986</v>
      </c>
      <c r="U4407" s="2" t="s">
        <v>331</v>
      </c>
      <c r="V4407" s="2" t="s">
        <v>332</v>
      </c>
      <c r="W4407" s="2" t="s">
        <v>519</v>
      </c>
      <c r="X4407" s="2" t="s">
        <v>147</v>
      </c>
      <c r="Y4407" s="2">
        <v>40.799999999999997</v>
      </c>
      <c r="Z4407" s="2">
        <v>16.3</v>
      </c>
      <c r="AA4407" s="2" t="s">
        <v>512</v>
      </c>
      <c r="AB4407" s="2" t="s">
        <v>25910</v>
      </c>
      <c r="AC4407" s="2">
        <v>3.7600326249042699</v>
      </c>
      <c r="AD4407" s="2"/>
      <c r="AE4407" s="2">
        <v>9.5821948347036306E-2</v>
      </c>
      <c r="AF4407" s="2">
        <v>3683.26107557058</v>
      </c>
      <c r="AG4407" s="2">
        <v>2547.7792689584498</v>
      </c>
      <c r="AH4407" s="5">
        <v>1.44567511026037</v>
      </c>
      <c r="AI4407" s="5">
        <v>0.53174336869280603</v>
      </c>
      <c r="AJ4407" s="5" t="s">
        <v>139</v>
      </c>
      <c r="AK4407" s="2">
        <v>0.74718790512079403</v>
      </c>
      <c r="AL4407" s="2">
        <v>0.88438089966151401</v>
      </c>
      <c r="AM4407" s="2">
        <v>8.559877937157E-6</v>
      </c>
      <c r="AN4407" s="2">
        <v>8.559877937157E-6</v>
      </c>
      <c r="AO4407" s="2">
        <v>6337.8415899675201</v>
      </c>
      <c r="AP4407" s="2">
        <v>12.990799963530399</v>
      </c>
      <c r="AQ4407" s="2">
        <v>15748.734037812799</v>
      </c>
      <c r="AR4407" s="2">
        <v>8.559877937157E-6</v>
      </c>
      <c r="AS4407" s="2">
        <v>1833.08229573059</v>
      </c>
      <c r="AT4407" s="2">
        <v>8.559877937157E-6</v>
      </c>
      <c r="AU4407" s="2">
        <v>13453.593283780599</v>
      </c>
      <c r="AV4407" s="2">
        <v>8.559877937157E-6</v>
      </c>
      <c r="AW4407" s="2">
        <v>8.559877937157E-6</v>
      </c>
      <c r="AX4407" s="2">
        <v>8.559877937157E-6</v>
      </c>
    </row>
    <row r="4408" spans="1:50" x14ac:dyDescent="0.25">
      <c r="A4408" s="2" t="s">
        <v>28987</v>
      </c>
      <c r="B4408" s="2">
        <v>323.15593473746901</v>
      </c>
      <c r="C4408" s="2">
        <v>0.59993333333333299</v>
      </c>
      <c r="D4408" s="2" t="s">
        <v>51</v>
      </c>
      <c r="E4408" s="2" t="s">
        <v>28988</v>
      </c>
      <c r="F4408" s="2">
        <v>82529</v>
      </c>
      <c r="G4408" s="3" t="str">
        <f>HYPERLINK("https://cloud.oebiotech.com/#/lm/network/82529", "https://cloud.oebiotech.com/#/lm/network/82529")</f>
        <v>https://cloud.oebiotech.com/#/lm/network/82529</v>
      </c>
      <c r="H4408" s="2" t="s">
        <v>28989</v>
      </c>
      <c r="I4408" s="2">
        <v>1784</v>
      </c>
      <c r="J4408" s="2"/>
      <c r="K4408" s="2">
        <v>10068142</v>
      </c>
      <c r="L4408" s="2" t="s">
        <v>28990</v>
      </c>
      <c r="M4408" s="2" t="s">
        <v>7436</v>
      </c>
      <c r="N4408" s="2" t="s">
        <v>7437</v>
      </c>
      <c r="O4408" s="2"/>
      <c r="P4408" s="2"/>
      <c r="Q4408" s="2"/>
      <c r="R4408" s="2" t="s">
        <v>28991</v>
      </c>
      <c r="S4408" s="2" t="s">
        <v>28992</v>
      </c>
      <c r="T4408" s="2" t="s">
        <v>28993</v>
      </c>
      <c r="U4408" s="2" t="s">
        <v>610</v>
      </c>
      <c r="V4408" s="2" t="s">
        <v>611</v>
      </c>
      <c r="W4408" s="2" t="s">
        <v>3953</v>
      </c>
      <c r="X4408" s="2" t="s">
        <v>147</v>
      </c>
      <c r="Y4408" s="2">
        <v>38.9</v>
      </c>
      <c r="Z4408" s="2">
        <v>0</v>
      </c>
      <c r="AA4408" s="2" t="s">
        <v>156</v>
      </c>
      <c r="AB4408" s="2" t="s">
        <v>28994</v>
      </c>
      <c r="AC4408" s="2">
        <v>1.5194239340617399</v>
      </c>
      <c r="AD4408" s="2"/>
      <c r="AE4408" s="2">
        <v>9.5813656894558702E-2</v>
      </c>
      <c r="AF4408" s="2">
        <v>856.69131607885299</v>
      </c>
      <c r="AG4408" s="2">
        <v>1364.0364888092299</v>
      </c>
      <c r="AH4408" s="4">
        <v>0.62805601104316999</v>
      </c>
      <c r="AI4408" s="4">
        <v>-0.67103486817353897</v>
      </c>
      <c r="AJ4408" s="4" t="s">
        <v>62</v>
      </c>
      <c r="AK4408" s="2">
        <v>0.25039989838256099</v>
      </c>
      <c r="AL4408" s="2">
        <v>0.57332209668232303</v>
      </c>
      <c r="AM4408" s="2">
        <v>1089.9515238203401</v>
      </c>
      <c r="AN4408" s="2">
        <v>908.51376640368596</v>
      </c>
      <c r="AO4408" s="2">
        <v>753.75437067549694</v>
      </c>
      <c r="AP4408" s="2">
        <v>302.66815028448701</v>
      </c>
      <c r="AQ4408" s="2">
        <v>1136.47603916202</v>
      </c>
      <c r="AR4408" s="2">
        <v>948.78404612709096</v>
      </c>
      <c r="AS4408" s="2">
        <v>344.42567069935302</v>
      </c>
      <c r="AT4408" s="2">
        <v>1155.7104625296199</v>
      </c>
      <c r="AU4408" s="2">
        <v>1497.95627818141</v>
      </c>
      <c r="AV4408" s="2">
        <v>1891.0521814373301</v>
      </c>
      <c r="AW4408" s="2">
        <v>2909.6749944983699</v>
      </c>
      <c r="AX4408" s="2">
        <v>385.39934550926898</v>
      </c>
    </row>
    <row r="4409" spans="1:50" x14ac:dyDescent="0.25">
      <c r="A4409" s="2" t="s">
        <v>28995</v>
      </c>
      <c r="B4409" s="2">
        <v>445.03113457372501</v>
      </c>
      <c r="C4409" s="2">
        <v>9.2956333333333294</v>
      </c>
      <c r="D4409" s="2" t="s">
        <v>51</v>
      </c>
      <c r="E4409" s="2" t="s">
        <v>28996</v>
      </c>
      <c r="F4409" s="2">
        <v>255937</v>
      </c>
      <c r="G4409" s="3" t="str">
        <f>HYPERLINK("https://cloud.oebiotech.com/#/lm/network/255937", "https://cloud.oebiotech.com/#/lm/network/255937")</f>
        <v>https://cloud.oebiotech.com/#/lm/network/255937</v>
      </c>
      <c r="H4409" s="2" t="s">
        <v>28997</v>
      </c>
      <c r="I4409" s="2"/>
      <c r="J4409" s="2"/>
      <c r="K4409" s="2"/>
      <c r="L4409" s="2"/>
      <c r="M4409" s="2"/>
      <c r="N4409" s="2"/>
      <c r="O4409" s="2">
        <v>33323</v>
      </c>
      <c r="P4409" s="2"/>
      <c r="Q4409" s="2"/>
      <c r="R4409" s="2"/>
      <c r="S4409" s="2" t="s">
        <v>28998</v>
      </c>
      <c r="T4409" s="2" t="s">
        <v>28999</v>
      </c>
      <c r="U4409" s="2" t="s">
        <v>26504</v>
      </c>
      <c r="V4409" s="2" t="s">
        <v>29000</v>
      </c>
      <c r="W4409" s="2" t="s">
        <v>240</v>
      </c>
      <c r="X4409" s="2" t="s">
        <v>147</v>
      </c>
      <c r="Y4409" s="2">
        <v>39.4</v>
      </c>
      <c r="Z4409" s="2">
        <v>0</v>
      </c>
      <c r="AA4409" s="2" t="s">
        <v>478</v>
      </c>
      <c r="AB4409" s="2" t="s">
        <v>29001</v>
      </c>
      <c r="AC4409" s="2">
        <v>-2.37825201958261</v>
      </c>
      <c r="AD4409" s="2"/>
      <c r="AE4409" s="2">
        <v>9.5812237776167902E-2</v>
      </c>
      <c r="AF4409" s="2">
        <v>2638.6461311926901</v>
      </c>
      <c r="AG4409" s="2">
        <v>3023.1836526546099</v>
      </c>
      <c r="AH4409" s="4">
        <v>0.87280378381106005</v>
      </c>
      <c r="AI4409" s="4">
        <v>-0.19627073878769</v>
      </c>
      <c r="AJ4409" s="4" t="s">
        <v>62</v>
      </c>
      <c r="AK4409" s="2">
        <v>0.42855194621991299</v>
      </c>
      <c r="AL4409" s="2">
        <v>0.68709503232720004</v>
      </c>
      <c r="AM4409" s="2">
        <v>1920.1364970945001</v>
      </c>
      <c r="AN4409" s="2">
        <v>2474.5737080011099</v>
      </c>
      <c r="AO4409" s="2">
        <v>2865.8948131943998</v>
      </c>
      <c r="AP4409" s="2">
        <v>2968.9433533030401</v>
      </c>
      <c r="AQ4409" s="2">
        <v>2429.06969527106</v>
      </c>
      <c r="AR4409" s="2">
        <v>3173.2587202920099</v>
      </c>
      <c r="AS4409" s="2">
        <v>2711.19810138507</v>
      </c>
      <c r="AT4409" s="2">
        <v>2218.4860735350899</v>
      </c>
      <c r="AU4409" s="2">
        <v>3123.39208085579</v>
      </c>
      <c r="AV4409" s="2">
        <v>1668.1633209321301</v>
      </c>
      <c r="AW4409" s="2">
        <v>4009.8763796999301</v>
      </c>
      <c r="AX4409" s="2">
        <v>4407.9859595196604</v>
      </c>
    </row>
    <row r="4410" spans="1:50" x14ac:dyDescent="0.25">
      <c r="A4410" s="2" t="s">
        <v>29002</v>
      </c>
      <c r="B4410" s="2">
        <v>378.167273739981</v>
      </c>
      <c r="C4410" s="2">
        <v>4.3974166666666701</v>
      </c>
      <c r="D4410" s="2" t="s">
        <v>51</v>
      </c>
      <c r="E4410" s="2" t="s">
        <v>29003</v>
      </c>
      <c r="F4410" s="2">
        <v>265313</v>
      </c>
      <c r="G4410" s="3" t="str">
        <f>HYPERLINK("https://cloud.oebiotech.com/#/lm/network/265313", "https://cloud.oebiotech.com/#/lm/network/265313")</f>
        <v>https://cloud.oebiotech.com/#/lm/network/265313</v>
      </c>
      <c r="H4410" s="2"/>
      <c r="I4410" s="2">
        <v>22800</v>
      </c>
      <c r="J4410" s="2"/>
      <c r="K4410" s="2">
        <v>145456981</v>
      </c>
      <c r="L4410" s="2"/>
      <c r="M4410" s="2"/>
      <c r="N4410" s="2"/>
      <c r="O4410" s="2"/>
      <c r="P4410" s="2"/>
      <c r="Q4410" s="2"/>
      <c r="R4410" s="2"/>
      <c r="S4410" s="2" t="s">
        <v>29004</v>
      </c>
      <c r="T4410" s="2" t="s">
        <v>29005</v>
      </c>
      <c r="U4410" s="2" t="s">
        <v>103</v>
      </c>
      <c r="V4410" s="2" t="s">
        <v>104</v>
      </c>
      <c r="W4410" s="2" t="s">
        <v>105</v>
      </c>
      <c r="X4410" s="2" t="s">
        <v>83</v>
      </c>
      <c r="Y4410" s="2">
        <v>49.9</v>
      </c>
      <c r="Z4410" s="2">
        <v>0</v>
      </c>
      <c r="AA4410" s="2" t="s">
        <v>218</v>
      </c>
      <c r="AB4410" s="2" t="s">
        <v>29006</v>
      </c>
      <c r="AC4410" s="2">
        <v>-9.4740446229108901</v>
      </c>
      <c r="AD4410" s="2"/>
      <c r="AE4410" s="2">
        <v>9.5790712924488805E-2</v>
      </c>
      <c r="AF4410" s="2">
        <v>835.28070584629995</v>
      </c>
      <c r="AG4410" s="2">
        <v>1912.33773753117</v>
      </c>
      <c r="AH4410" s="4">
        <v>0.4367851397027</v>
      </c>
      <c r="AI4410" s="4">
        <v>-1.19500432114313</v>
      </c>
      <c r="AJ4410" s="4" t="s">
        <v>62</v>
      </c>
      <c r="AK4410" s="2">
        <v>0.46898806456105302</v>
      </c>
      <c r="AL4410" s="2">
        <v>0.71596352257623297</v>
      </c>
      <c r="AM4410" s="2">
        <v>1239.0736372741201</v>
      </c>
      <c r="AN4410" s="2">
        <v>8.559877937157E-6</v>
      </c>
      <c r="AO4410" s="2">
        <v>48.879558032003601</v>
      </c>
      <c r="AP4410" s="2">
        <v>2078.2667696655699</v>
      </c>
      <c r="AQ4410" s="2">
        <v>1335.74635849274</v>
      </c>
      <c r="AR4410" s="2">
        <v>309.71790305348702</v>
      </c>
      <c r="AS4410" s="2">
        <v>8.559877937157E-6</v>
      </c>
      <c r="AT4410" s="2">
        <v>151.767745605458</v>
      </c>
      <c r="AU4410" s="2">
        <v>8562.3230873797202</v>
      </c>
      <c r="AV4410" s="2">
        <v>2536.5525609468</v>
      </c>
      <c r="AW4410" s="2">
        <v>8.559877937157E-6</v>
      </c>
      <c r="AX4410" s="2">
        <v>223.38301413530999</v>
      </c>
    </row>
    <row r="4411" spans="1:50" x14ac:dyDescent="0.25">
      <c r="A4411" s="2" t="s">
        <v>29007</v>
      </c>
      <c r="B4411" s="2">
        <v>258.98150489066802</v>
      </c>
      <c r="C4411" s="2">
        <v>0.75593333333333301</v>
      </c>
      <c r="D4411" s="2" t="s">
        <v>51</v>
      </c>
      <c r="E4411" s="2" t="s">
        <v>29008</v>
      </c>
      <c r="F4411" s="2">
        <v>207839</v>
      </c>
      <c r="G4411" s="3" t="str">
        <f>HYPERLINK("https://cloud.oebiotech.com/#/lm/network/207839", "https://cloud.oebiotech.com/#/lm/network/207839")</f>
        <v>https://cloud.oebiotech.com/#/lm/network/207839</v>
      </c>
      <c r="H4411" s="2" t="s">
        <v>29009</v>
      </c>
      <c r="I4411" s="2"/>
      <c r="J4411" s="2"/>
      <c r="K4411" s="2"/>
      <c r="L4411" s="2"/>
      <c r="M4411" s="2"/>
      <c r="N4411" s="2"/>
      <c r="O4411" s="2"/>
      <c r="P4411" s="2"/>
      <c r="Q4411" s="2"/>
      <c r="R4411" s="2"/>
      <c r="S4411" s="2" t="s">
        <v>29010</v>
      </c>
      <c r="T4411" s="2" t="s">
        <v>29011</v>
      </c>
      <c r="U4411" s="2" t="s">
        <v>266</v>
      </c>
      <c r="V4411" s="2" t="s">
        <v>29012</v>
      </c>
      <c r="W4411" s="2" t="s">
        <v>29013</v>
      </c>
      <c r="X4411" s="2" t="s">
        <v>147</v>
      </c>
      <c r="Y4411" s="2">
        <v>37.6</v>
      </c>
      <c r="Z4411" s="2">
        <v>0</v>
      </c>
      <c r="AA4411" s="2" t="s">
        <v>259</v>
      </c>
      <c r="AB4411" s="2" t="s">
        <v>29014</v>
      </c>
      <c r="AC4411" s="2">
        <v>-4.1234676880948502</v>
      </c>
      <c r="AD4411" s="2"/>
      <c r="AE4411" s="2">
        <v>9.5771890435764603E-2</v>
      </c>
      <c r="AF4411" s="2">
        <v>918.39529898060903</v>
      </c>
      <c r="AG4411" s="2">
        <v>1473.8117770046699</v>
      </c>
      <c r="AH4411" s="4">
        <v>0.62314286892667303</v>
      </c>
      <c r="AI4411" s="4">
        <v>-0.68236512479715095</v>
      </c>
      <c r="AJ4411" s="4" t="s">
        <v>62</v>
      </c>
      <c r="AK4411" s="2">
        <v>0.31904722743957098</v>
      </c>
      <c r="AL4411" s="2">
        <v>0.627420866163659</v>
      </c>
      <c r="AM4411" s="2">
        <v>851.776789290755</v>
      </c>
      <c r="AN4411" s="2">
        <v>621.53520369191301</v>
      </c>
      <c r="AO4411" s="2">
        <v>1221.9408957226101</v>
      </c>
      <c r="AP4411" s="2">
        <v>1578.73604989403</v>
      </c>
      <c r="AQ4411" s="2">
        <v>8.559877937157E-6</v>
      </c>
      <c r="AR4411" s="2">
        <v>1236.38284672447</v>
      </c>
      <c r="AS4411" s="2">
        <v>3107.0327188097799</v>
      </c>
      <c r="AT4411" s="2">
        <v>2539.98671363928</v>
      </c>
      <c r="AU4411" s="2">
        <v>1152.19407759457</v>
      </c>
      <c r="AV4411" s="2">
        <v>8.559877937157E-6</v>
      </c>
      <c r="AW4411" s="2">
        <v>1447.95012106698</v>
      </c>
      <c r="AX4411" s="2">
        <v>595.70702235755004</v>
      </c>
    </row>
    <row r="4412" spans="1:50" x14ac:dyDescent="0.25">
      <c r="A4412" s="2" t="s">
        <v>29015</v>
      </c>
      <c r="B4412" s="2">
        <v>229.04084821258601</v>
      </c>
      <c r="C4412" s="2">
        <v>3.4837333333333298</v>
      </c>
      <c r="D4412" s="2" t="s">
        <v>51</v>
      </c>
      <c r="E4412" s="2" t="s">
        <v>29016</v>
      </c>
      <c r="F4412" s="2">
        <v>266276</v>
      </c>
      <c r="G4412" s="3" t="str">
        <f>HYPERLINK("https://cloud.oebiotech.com/#/lm/network/266276", "https://cloud.oebiotech.com/#/lm/network/266276")</f>
        <v>https://cloud.oebiotech.com/#/lm/network/266276</v>
      </c>
      <c r="H4412" s="2"/>
      <c r="I4412" s="2">
        <v>34524</v>
      </c>
      <c r="J4412" s="2"/>
      <c r="K4412" s="2">
        <v>9570071</v>
      </c>
      <c r="L4412" s="2" t="s">
        <v>29017</v>
      </c>
      <c r="M4412" s="2"/>
      <c r="N4412" s="2"/>
      <c r="O4412" s="2"/>
      <c r="P4412" s="2"/>
      <c r="Q4412" s="2"/>
      <c r="R4412" s="2" t="s">
        <v>29018</v>
      </c>
      <c r="S4412" s="2" t="s">
        <v>29019</v>
      </c>
      <c r="T4412" s="2" t="s">
        <v>29020</v>
      </c>
      <c r="U4412" s="2" t="s">
        <v>103</v>
      </c>
      <c r="V4412" s="2" t="s">
        <v>7841</v>
      </c>
      <c r="W4412" s="2" t="s">
        <v>240</v>
      </c>
      <c r="X4412" s="2" t="s">
        <v>147</v>
      </c>
      <c r="Y4412" s="2">
        <v>37.700000000000003</v>
      </c>
      <c r="Z4412" s="2">
        <v>0</v>
      </c>
      <c r="AA4412" s="2" t="s">
        <v>395</v>
      </c>
      <c r="AB4412" s="2" t="s">
        <v>29021</v>
      </c>
      <c r="AC4412" s="2">
        <v>0.48103977894009298</v>
      </c>
      <c r="AD4412" s="2"/>
      <c r="AE4412" s="2">
        <v>9.5698038918685002E-2</v>
      </c>
      <c r="AF4412" s="2">
        <v>94.812093474381697</v>
      </c>
      <c r="AG4412" s="2">
        <v>1190.0102643114601</v>
      </c>
      <c r="AH4412" s="4">
        <v>7.9673340909575702E-2</v>
      </c>
      <c r="AI4412" s="4">
        <v>-3.6497591176473199</v>
      </c>
      <c r="AJ4412" s="4" t="s">
        <v>62</v>
      </c>
      <c r="AK4412" s="2">
        <v>0.37988850540937202</v>
      </c>
      <c r="AL4412" s="2">
        <v>0.65913977412323299</v>
      </c>
      <c r="AM4412" s="2">
        <v>47.307446896423301</v>
      </c>
      <c r="AN4412" s="2">
        <v>445.35587942260901</v>
      </c>
      <c r="AO4412" s="2">
        <v>76.209208847623898</v>
      </c>
      <c r="AP4412" s="2">
        <v>8.559877937157E-6</v>
      </c>
      <c r="AQ4412" s="2">
        <v>8.559877937157E-6</v>
      </c>
      <c r="AR4412" s="2">
        <v>8.559877937157E-6</v>
      </c>
      <c r="AS4412" s="2">
        <v>8.559877937157E-6</v>
      </c>
      <c r="AT4412" s="2">
        <v>8.559877937157E-6</v>
      </c>
      <c r="AU4412" s="2">
        <v>7140.0615430693997</v>
      </c>
      <c r="AV4412" s="2">
        <v>8.559877937157E-6</v>
      </c>
      <c r="AW4412" s="2">
        <v>8.559877937157E-6</v>
      </c>
      <c r="AX4412" s="2">
        <v>8.559877937157E-6</v>
      </c>
    </row>
    <row r="4413" spans="1:50" x14ac:dyDescent="0.25">
      <c r="A4413" s="2" t="s">
        <v>29022</v>
      </c>
      <c r="B4413" s="2">
        <v>189.03939637561501</v>
      </c>
      <c r="C4413" s="2">
        <v>1.12706666666667</v>
      </c>
      <c r="D4413" s="2" t="s">
        <v>51</v>
      </c>
      <c r="E4413" s="2" t="s">
        <v>29023</v>
      </c>
      <c r="F4413" s="2">
        <v>267083</v>
      </c>
      <c r="G4413" s="3" t="str">
        <f>HYPERLINK("https://cloud.oebiotech.com/#/lm/network/267083", "https://cloud.oebiotech.com/#/lm/network/267083")</f>
        <v>https://cloud.oebiotech.com/#/lm/network/267083</v>
      </c>
      <c r="H4413" s="2"/>
      <c r="I4413" s="2">
        <v>44713</v>
      </c>
      <c r="J4413" s="2"/>
      <c r="K4413" s="2">
        <v>107550</v>
      </c>
      <c r="L4413" s="2"/>
      <c r="M4413" s="2"/>
      <c r="N4413" s="2"/>
      <c r="O4413" s="2"/>
      <c r="P4413" s="2"/>
      <c r="Q4413" s="2"/>
      <c r="R4413" s="2" t="s">
        <v>29024</v>
      </c>
      <c r="S4413" s="2" t="s">
        <v>29025</v>
      </c>
      <c r="T4413" s="2" t="s">
        <v>29026</v>
      </c>
      <c r="U4413" s="2" t="s">
        <v>56</v>
      </c>
      <c r="V4413" s="2" t="s">
        <v>145</v>
      </c>
      <c r="W4413" s="2" t="s">
        <v>231</v>
      </c>
      <c r="X4413" s="2" t="s">
        <v>83</v>
      </c>
      <c r="Y4413" s="2">
        <v>54.6</v>
      </c>
      <c r="Z4413" s="2">
        <v>0</v>
      </c>
      <c r="AA4413" s="2" t="s">
        <v>218</v>
      </c>
      <c r="AB4413" s="2" t="s">
        <v>29027</v>
      </c>
      <c r="AC4413" s="2">
        <v>-7.3952546556509802</v>
      </c>
      <c r="AD4413" s="2"/>
      <c r="AE4413" s="2">
        <v>9.56725594324008E-2</v>
      </c>
      <c r="AF4413" s="2">
        <v>4217.6357551292103</v>
      </c>
      <c r="AG4413" s="2">
        <v>3466.7663890854501</v>
      </c>
      <c r="AH4413" s="5">
        <v>1.21659070204665</v>
      </c>
      <c r="AI4413" s="5">
        <v>0.28284388337940097</v>
      </c>
      <c r="AJ4413" s="5" t="s">
        <v>139</v>
      </c>
      <c r="AK4413" s="2">
        <v>0.44288625022064798</v>
      </c>
      <c r="AL4413" s="2">
        <v>0.69908803275019105</v>
      </c>
      <c r="AM4413" s="2">
        <v>4345.3958110241301</v>
      </c>
      <c r="AN4413" s="2">
        <v>2400.7597641648099</v>
      </c>
      <c r="AO4413" s="2">
        <v>1608.3707294472299</v>
      </c>
      <c r="AP4413" s="2">
        <v>5688.9796621288897</v>
      </c>
      <c r="AQ4413" s="2">
        <v>4710.9111658400097</v>
      </c>
      <c r="AR4413" s="2">
        <v>6551.3973981701802</v>
      </c>
      <c r="AS4413" s="2">
        <v>1796.6956125218101</v>
      </c>
      <c r="AT4413" s="2">
        <v>4750.7690632448002</v>
      </c>
      <c r="AU4413" s="2">
        <v>4861.5837884536204</v>
      </c>
      <c r="AV4413" s="2">
        <v>2105.4858697084001</v>
      </c>
      <c r="AW4413" s="2">
        <v>3311.6410697649499</v>
      </c>
      <c r="AX4413" s="2">
        <v>3974.4229308190902</v>
      </c>
    </row>
    <row r="4414" spans="1:50" x14ac:dyDescent="0.25">
      <c r="A4414" s="2" t="s">
        <v>29028</v>
      </c>
      <c r="B4414" s="2">
        <v>920.46460466334895</v>
      </c>
      <c r="C4414" s="2">
        <v>4.4844999999999997</v>
      </c>
      <c r="D4414" s="2" t="s">
        <v>51</v>
      </c>
      <c r="E4414" s="2" t="s">
        <v>29029</v>
      </c>
      <c r="F4414" s="2">
        <v>208819</v>
      </c>
      <c r="G4414" s="3" t="str">
        <f>HYPERLINK("https://cloud.oebiotech.com/#/lm/network/208819", "https://cloud.oebiotech.com/#/lm/network/208819")</f>
        <v>https://cloud.oebiotech.com/#/lm/network/208819</v>
      </c>
      <c r="H4414" s="2" t="s">
        <v>29030</v>
      </c>
      <c r="I4414" s="2"/>
      <c r="J4414" s="2"/>
      <c r="K4414" s="2">
        <v>72727636</v>
      </c>
      <c r="L4414" s="2"/>
      <c r="M4414" s="2"/>
      <c r="N4414" s="2"/>
      <c r="O4414" s="2"/>
      <c r="P4414" s="2"/>
      <c r="Q4414" s="2"/>
      <c r="R4414" s="2"/>
      <c r="S4414" s="2" t="s">
        <v>29031</v>
      </c>
      <c r="T4414" s="2" t="s">
        <v>29032</v>
      </c>
      <c r="U4414" s="2" t="s">
        <v>331</v>
      </c>
      <c r="V4414" s="2" t="s">
        <v>332</v>
      </c>
      <c r="W4414" s="2" t="s">
        <v>333</v>
      </c>
      <c r="X4414" s="2" t="s">
        <v>147</v>
      </c>
      <c r="Y4414" s="2">
        <v>36.6</v>
      </c>
      <c r="Z4414" s="2">
        <v>0</v>
      </c>
      <c r="AA4414" s="2" t="s">
        <v>95</v>
      </c>
      <c r="AB4414" s="2" t="s">
        <v>29033</v>
      </c>
      <c r="AC4414" s="2">
        <v>3.54793057753088</v>
      </c>
      <c r="AD4414" s="2"/>
      <c r="AE4414" s="2">
        <v>9.5599057290876602E-2</v>
      </c>
      <c r="AF4414" s="2">
        <v>2469.2408658856398</v>
      </c>
      <c r="AG4414" s="2">
        <v>3137.63062843025</v>
      </c>
      <c r="AH4414" s="4">
        <v>0.78697627550920302</v>
      </c>
      <c r="AI4414" s="4">
        <v>-0.34560795054104099</v>
      </c>
      <c r="AJ4414" s="4" t="s">
        <v>62</v>
      </c>
      <c r="AK4414" s="2">
        <v>0.74186686117703604</v>
      </c>
      <c r="AL4414" s="2">
        <v>0.88190791048193196</v>
      </c>
      <c r="AM4414" s="2">
        <v>538.11662440698103</v>
      </c>
      <c r="AN4414" s="2">
        <v>8.559877937157E-6</v>
      </c>
      <c r="AO4414" s="2">
        <v>8.559877937157E-6</v>
      </c>
      <c r="AP4414" s="2">
        <v>5385.8173307167199</v>
      </c>
      <c r="AQ4414" s="2">
        <v>8891.5112145105195</v>
      </c>
      <c r="AR4414" s="2">
        <v>8.559877937157E-6</v>
      </c>
      <c r="AS4414" s="2">
        <v>8.559877937157E-6</v>
      </c>
      <c r="AT4414" s="2">
        <v>6920.4296681174101</v>
      </c>
      <c r="AU4414" s="2">
        <v>8.559877937157E-6</v>
      </c>
      <c r="AV4414" s="2">
        <v>3212.6646110157099</v>
      </c>
      <c r="AW4414" s="2">
        <v>2327.0637081150498</v>
      </c>
      <c r="AX4414" s="2">
        <v>6365.6257662136004</v>
      </c>
    </row>
    <row r="4415" spans="1:50" x14ac:dyDescent="0.25">
      <c r="A4415" s="2" t="s">
        <v>29034</v>
      </c>
      <c r="B4415" s="2">
        <v>335.18414059426902</v>
      </c>
      <c r="C4415" s="2">
        <v>10.5959</v>
      </c>
      <c r="D4415" s="2" t="s">
        <v>51</v>
      </c>
      <c r="E4415" s="2" t="s">
        <v>29035</v>
      </c>
      <c r="F4415" s="2">
        <v>7871</v>
      </c>
      <c r="G4415" s="3" t="str">
        <f>HYPERLINK("https://cloud.oebiotech.com/#/lm/network/7871", "https://cloud.oebiotech.com/#/lm/network/7871")</f>
        <v>https://cloud.oebiotech.com/#/lm/network/7871</v>
      </c>
      <c r="H4415" s="2"/>
      <c r="I4415" s="2"/>
      <c r="J4415" s="2" t="s">
        <v>29036</v>
      </c>
      <c r="K4415" s="2">
        <v>56951426</v>
      </c>
      <c r="L4415" s="2"/>
      <c r="M4415" s="2"/>
      <c r="N4415" s="2"/>
      <c r="O4415" s="2"/>
      <c r="P4415" s="2"/>
      <c r="Q4415" s="2"/>
      <c r="R4415" s="2"/>
      <c r="S4415" s="2" t="s">
        <v>29037</v>
      </c>
      <c r="T4415" s="2" t="s">
        <v>29038</v>
      </c>
      <c r="U4415" s="2" t="s">
        <v>56</v>
      </c>
      <c r="V4415" s="2" t="s">
        <v>145</v>
      </c>
      <c r="W4415" s="2" t="s">
        <v>187</v>
      </c>
      <c r="X4415" s="2" t="s">
        <v>83</v>
      </c>
      <c r="Y4415" s="2">
        <v>45.1</v>
      </c>
      <c r="Z4415" s="2">
        <v>0</v>
      </c>
      <c r="AA4415" s="2" t="s">
        <v>218</v>
      </c>
      <c r="AB4415" s="2" t="s">
        <v>29039</v>
      </c>
      <c r="AC4415" s="2">
        <v>-7.7776018187647296</v>
      </c>
      <c r="AD4415" s="2"/>
      <c r="AE4415" s="2">
        <v>9.5579533584663506E-2</v>
      </c>
      <c r="AF4415" s="2">
        <v>1452.84466204759</v>
      </c>
      <c r="AG4415" s="2">
        <v>1962.16478323611</v>
      </c>
      <c r="AH4415" s="4">
        <v>0.74042948607582104</v>
      </c>
      <c r="AI4415" s="4">
        <v>-0.43356574618302401</v>
      </c>
      <c r="AJ4415" s="4" t="s">
        <v>62</v>
      </c>
      <c r="AK4415" s="2">
        <v>0.31915899530733099</v>
      </c>
      <c r="AL4415" s="2">
        <v>0.627420866163659</v>
      </c>
      <c r="AM4415" s="2">
        <v>1471.4805545873801</v>
      </c>
      <c r="AN4415" s="2">
        <v>1417.9623096118</v>
      </c>
      <c r="AO4415" s="2">
        <v>1210.0517595844201</v>
      </c>
      <c r="AP4415" s="2">
        <v>1343.96378380687</v>
      </c>
      <c r="AQ4415" s="2">
        <v>1255.37760502369</v>
      </c>
      <c r="AR4415" s="2">
        <v>2018.2319596713801</v>
      </c>
      <c r="AS4415" s="2">
        <v>688.11113967174094</v>
      </c>
      <c r="AT4415" s="2">
        <v>1258.05732098312</v>
      </c>
      <c r="AU4415" s="2">
        <v>2904.0639332836599</v>
      </c>
      <c r="AV4415" s="2">
        <v>2063.92050503774</v>
      </c>
      <c r="AW4415" s="2">
        <v>3693.7171912828599</v>
      </c>
      <c r="AX4415" s="2">
        <v>1165.1186091575601</v>
      </c>
    </row>
    <row r="4416" spans="1:50" x14ac:dyDescent="0.25">
      <c r="A4416" s="2" t="s">
        <v>29040</v>
      </c>
      <c r="B4416" s="2">
        <v>237.124189190213</v>
      </c>
      <c r="C4416" s="2">
        <v>2.6807833333333302</v>
      </c>
      <c r="D4416" s="2" t="s">
        <v>51</v>
      </c>
      <c r="E4416" s="2" t="s">
        <v>29041</v>
      </c>
      <c r="F4416" s="2">
        <v>266907</v>
      </c>
      <c r="G4416" s="3" t="str">
        <f>HYPERLINK("https://cloud.oebiotech.com/#/lm/network/266907", "https://cloud.oebiotech.com/#/lm/network/266907")</f>
        <v>https://cloud.oebiotech.com/#/lm/network/266907</v>
      </c>
      <c r="H4416" s="2"/>
      <c r="I4416" s="2">
        <v>44266</v>
      </c>
      <c r="J4416" s="2"/>
      <c r="K4416" s="2">
        <v>2080</v>
      </c>
      <c r="L4416" s="2"/>
      <c r="M4416" s="2"/>
      <c r="N4416" s="2"/>
      <c r="O4416" s="2"/>
      <c r="P4416" s="2"/>
      <c r="Q4416" s="2"/>
      <c r="R4416" s="2" t="s">
        <v>29042</v>
      </c>
      <c r="S4416" s="2" t="s">
        <v>29043</v>
      </c>
      <c r="T4416" s="2" t="s">
        <v>29044</v>
      </c>
      <c r="U4416" s="2" t="s">
        <v>103</v>
      </c>
      <c r="V4416" s="2" t="s">
        <v>104</v>
      </c>
      <c r="W4416" s="2" t="s">
        <v>105</v>
      </c>
      <c r="X4416" s="2" t="s">
        <v>59</v>
      </c>
      <c r="Y4416" s="2">
        <v>47.4</v>
      </c>
      <c r="Z4416" s="2">
        <v>48.2</v>
      </c>
      <c r="AA4416" s="2" t="s">
        <v>259</v>
      </c>
      <c r="AB4416" s="2" t="s">
        <v>13064</v>
      </c>
      <c r="AC4416" s="2">
        <v>3.4744637885286598</v>
      </c>
      <c r="AD4416" s="2"/>
      <c r="AE4416" s="2">
        <v>9.5418989576174701E-2</v>
      </c>
      <c r="AF4416" s="2">
        <v>16491.051124342001</v>
      </c>
      <c r="AG4416" s="2">
        <v>14032.2247051085</v>
      </c>
      <c r="AH4416" s="5">
        <v>1.17522712691013</v>
      </c>
      <c r="AI4416" s="5">
        <v>0.23293960206796699</v>
      </c>
      <c r="AJ4416" s="5" t="s">
        <v>139</v>
      </c>
      <c r="AK4416" s="2">
        <v>0.82453324061990796</v>
      </c>
      <c r="AL4416" s="2">
        <v>0.92318982698311502</v>
      </c>
      <c r="AM4416" s="2">
        <v>33441.631716735297</v>
      </c>
      <c r="AN4416" s="2">
        <v>5501.7732787835903</v>
      </c>
      <c r="AO4416" s="2">
        <v>3959.0075733358899</v>
      </c>
      <c r="AP4416" s="2">
        <v>4010.20802969138</v>
      </c>
      <c r="AQ4416" s="2">
        <v>36110.849748875102</v>
      </c>
      <c r="AR4416" s="2">
        <v>15922.836398630699</v>
      </c>
      <c r="AS4416" s="2">
        <v>3067.16806653308</v>
      </c>
      <c r="AT4416" s="2">
        <v>3390.2712726827599</v>
      </c>
      <c r="AU4416" s="2">
        <v>9630.6576114093605</v>
      </c>
      <c r="AV4416" s="2">
        <v>58270.109663277399</v>
      </c>
      <c r="AW4416" s="2">
        <v>1855.6138763424799</v>
      </c>
      <c r="AX4416" s="2">
        <v>7979.5277404056596</v>
      </c>
    </row>
    <row r="4417" spans="1:50" x14ac:dyDescent="0.25">
      <c r="A4417" s="2" t="s">
        <v>29045</v>
      </c>
      <c r="B4417" s="2">
        <v>355.19143507169701</v>
      </c>
      <c r="C4417" s="2">
        <v>10.2658666666667</v>
      </c>
      <c r="D4417" s="2" t="s">
        <v>51</v>
      </c>
      <c r="E4417" s="2" t="s">
        <v>29046</v>
      </c>
      <c r="F4417" s="2">
        <v>29076</v>
      </c>
      <c r="G4417" s="3" t="str">
        <f>HYPERLINK("https://cloud.oebiotech.com/#/lm/network/29076", "https://cloud.oebiotech.com/#/lm/network/29076")</f>
        <v>https://cloud.oebiotech.com/#/lm/network/29076</v>
      </c>
      <c r="H4417" s="2"/>
      <c r="I4417" s="2">
        <v>47472</v>
      </c>
      <c r="J4417" s="2" t="s">
        <v>29047</v>
      </c>
      <c r="K4417" s="2">
        <v>44257187</v>
      </c>
      <c r="L4417" s="2"/>
      <c r="M4417" s="2"/>
      <c r="N4417" s="2"/>
      <c r="O4417" s="2"/>
      <c r="P4417" s="2"/>
      <c r="Q4417" s="2"/>
      <c r="R4417" s="2"/>
      <c r="S4417" s="2" t="s">
        <v>29048</v>
      </c>
      <c r="T4417" s="2" t="s">
        <v>29049</v>
      </c>
      <c r="U4417" s="2" t="s">
        <v>540</v>
      </c>
      <c r="V4417" s="2" t="s">
        <v>541</v>
      </c>
      <c r="W4417" s="2" t="s">
        <v>757</v>
      </c>
      <c r="X4417" s="2" t="s">
        <v>83</v>
      </c>
      <c r="Y4417" s="2">
        <v>49.2</v>
      </c>
      <c r="Z4417" s="2">
        <v>0</v>
      </c>
      <c r="AA4417" s="2" t="s">
        <v>163</v>
      </c>
      <c r="AB4417" s="2" t="s">
        <v>4696</v>
      </c>
      <c r="AC4417" s="2">
        <v>-0.13439828798928499</v>
      </c>
      <c r="AD4417" s="2"/>
      <c r="AE4417" s="2">
        <v>9.5379199833300093E-2</v>
      </c>
      <c r="AF4417" s="2">
        <v>1581.10032917333</v>
      </c>
      <c r="AG4417" s="2">
        <v>1163.4221080063101</v>
      </c>
      <c r="AH4417" s="5">
        <v>1.3590083240577</v>
      </c>
      <c r="AI4417" s="5">
        <v>0.44255429277931502</v>
      </c>
      <c r="AJ4417" s="5" t="s">
        <v>139</v>
      </c>
      <c r="AK4417" s="2">
        <v>0.14625966509451699</v>
      </c>
      <c r="AL4417" s="2">
        <v>0.46813495501649</v>
      </c>
      <c r="AM4417" s="2">
        <v>1816.06141343489</v>
      </c>
      <c r="AN4417" s="2">
        <v>1632.7787069165799</v>
      </c>
      <c r="AO4417" s="2">
        <v>1718.1203280525599</v>
      </c>
      <c r="AP4417" s="2">
        <v>1512.8916675578901</v>
      </c>
      <c r="AQ4417" s="2">
        <v>1014.50981763221</v>
      </c>
      <c r="AR4417" s="2">
        <v>1792.24004144585</v>
      </c>
      <c r="AS4417" s="2">
        <v>1451.44809040522</v>
      </c>
      <c r="AT4417" s="2">
        <v>1071.2770066595899</v>
      </c>
      <c r="AU4417" s="2">
        <v>449.00020662340802</v>
      </c>
      <c r="AV4417" s="2">
        <v>1188.49022712291</v>
      </c>
      <c r="AW4417" s="2">
        <v>2094.9233632989399</v>
      </c>
      <c r="AX4417" s="2">
        <v>725.393753927803</v>
      </c>
    </row>
    <row r="4418" spans="1:50" x14ac:dyDescent="0.25">
      <c r="A4418" s="2" t="s">
        <v>29050</v>
      </c>
      <c r="B4418" s="2">
        <v>343.26425900913802</v>
      </c>
      <c r="C4418" s="2">
        <v>9.1758500000000005</v>
      </c>
      <c r="D4418" s="2" t="s">
        <v>51</v>
      </c>
      <c r="E4418" s="2" t="s">
        <v>29051</v>
      </c>
      <c r="F4418" s="2">
        <v>1264</v>
      </c>
      <c r="G4418" s="3" t="str">
        <f>HYPERLINK("https://cloud.oebiotech.com/#/lm/network/1264", "https://cloud.oebiotech.com/#/lm/network/1264")</f>
        <v>https://cloud.oebiotech.com/#/lm/network/1264</v>
      </c>
      <c r="H4418" s="2"/>
      <c r="I4418" s="2">
        <v>74389</v>
      </c>
      <c r="J4418" s="2" t="s">
        <v>29052</v>
      </c>
      <c r="K4418" s="2">
        <v>44390819</v>
      </c>
      <c r="L4418" s="2"/>
      <c r="M4418" s="2"/>
      <c r="N4418" s="2"/>
      <c r="O4418" s="2"/>
      <c r="P4418" s="2"/>
      <c r="Q4418" s="2"/>
      <c r="R4418" s="2"/>
      <c r="S4418" s="2" t="s">
        <v>29053</v>
      </c>
      <c r="T4418" s="2" t="s">
        <v>29054</v>
      </c>
      <c r="U4418" s="2" t="s">
        <v>56</v>
      </c>
      <c r="V4418" s="2" t="s">
        <v>145</v>
      </c>
      <c r="W4418" s="2" t="s">
        <v>231</v>
      </c>
      <c r="X4418" s="2" t="s">
        <v>147</v>
      </c>
      <c r="Y4418" s="2">
        <v>40.9</v>
      </c>
      <c r="Z4418" s="2">
        <v>15.2</v>
      </c>
      <c r="AA4418" s="2" t="s">
        <v>259</v>
      </c>
      <c r="AB4418" s="2" t="s">
        <v>29055</v>
      </c>
      <c r="AC4418" s="2">
        <v>3.2205367432273602</v>
      </c>
      <c r="AD4418" s="2"/>
      <c r="AE4418" s="2">
        <v>9.5310526680610297E-2</v>
      </c>
      <c r="AF4418" s="2">
        <v>625.800011173146</v>
      </c>
      <c r="AG4418" s="2">
        <v>1107.04745436549</v>
      </c>
      <c r="AH4418" s="4">
        <v>0.56528743072882004</v>
      </c>
      <c r="AI4418" s="4">
        <v>-0.82294347613001195</v>
      </c>
      <c r="AJ4418" s="4" t="s">
        <v>62</v>
      </c>
      <c r="AK4418" s="2">
        <v>0.352260630152605</v>
      </c>
      <c r="AL4418" s="2">
        <v>0.64315797051725399</v>
      </c>
      <c r="AM4418" s="2">
        <v>8.559877937157E-6</v>
      </c>
      <c r="AN4418" s="2">
        <v>1049.36274619648</v>
      </c>
      <c r="AO4418" s="2">
        <v>8.559877937157E-6</v>
      </c>
      <c r="AP4418" s="2">
        <v>8.559877937157E-6</v>
      </c>
      <c r="AQ4418" s="2">
        <v>226.85191942131499</v>
      </c>
      <c r="AR4418" s="2">
        <v>2478.5853757414502</v>
      </c>
      <c r="AS4418" s="2">
        <v>166.896637835066</v>
      </c>
      <c r="AT4418" s="2">
        <v>781.26610810882198</v>
      </c>
      <c r="AU4418" s="2">
        <v>1799.46674445805</v>
      </c>
      <c r="AV4418" s="2">
        <v>1289.9677839726</v>
      </c>
      <c r="AW4418" s="2">
        <v>1924.4519441852201</v>
      </c>
      <c r="AX4418" s="2">
        <v>680.235507633157</v>
      </c>
    </row>
    <row r="4419" spans="1:50" x14ac:dyDescent="0.25">
      <c r="A4419" s="2" t="s">
        <v>29056</v>
      </c>
      <c r="B4419" s="2">
        <v>168.13863830814</v>
      </c>
      <c r="C4419" s="2">
        <v>11.89995</v>
      </c>
      <c r="D4419" s="2" t="s">
        <v>51</v>
      </c>
      <c r="E4419" s="2" t="s">
        <v>29057</v>
      </c>
      <c r="F4419" s="2">
        <v>59656</v>
      </c>
      <c r="G4419" s="3" t="str">
        <f>HYPERLINK("https://cloud.oebiotech.com/#/lm/network/59656", "https://cloud.oebiotech.com/#/lm/network/59656")</f>
        <v>https://cloud.oebiotech.com/#/lm/network/59656</v>
      </c>
      <c r="H4419" s="2" t="s">
        <v>29058</v>
      </c>
      <c r="I4419" s="2">
        <v>34489</v>
      </c>
      <c r="J4419" s="2"/>
      <c r="K4419" s="2">
        <v>7439</v>
      </c>
      <c r="L4419" s="2" t="s">
        <v>29059</v>
      </c>
      <c r="M4419" s="2"/>
      <c r="N4419" s="2"/>
      <c r="O4419" s="2">
        <v>38265</v>
      </c>
      <c r="P4419" s="2"/>
      <c r="Q4419" s="2"/>
      <c r="R4419" s="2" t="s">
        <v>29060</v>
      </c>
      <c r="S4419" s="2" t="s">
        <v>29061</v>
      </c>
      <c r="T4419" s="2" t="s">
        <v>29062</v>
      </c>
      <c r="U4419" s="2" t="s">
        <v>56</v>
      </c>
      <c r="V4419" s="2" t="s">
        <v>177</v>
      </c>
      <c r="W4419" s="2" t="s">
        <v>584</v>
      </c>
      <c r="X4419" s="2" t="s">
        <v>147</v>
      </c>
      <c r="Y4419" s="2">
        <v>38.299999999999997</v>
      </c>
      <c r="Z4419" s="2">
        <v>0</v>
      </c>
      <c r="AA4419" s="2" t="s">
        <v>512</v>
      </c>
      <c r="AB4419" s="2" t="s">
        <v>29063</v>
      </c>
      <c r="AC4419" s="2">
        <v>2.3164507442422901</v>
      </c>
      <c r="AD4419" s="2"/>
      <c r="AE4419" s="2">
        <v>9.52452122637681E-2</v>
      </c>
      <c r="AF4419" s="2">
        <v>2450.8814314752499</v>
      </c>
      <c r="AG4419" s="2">
        <v>1581.82449909143</v>
      </c>
      <c r="AH4419" s="5">
        <v>1.54940161369544</v>
      </c>
      <c r="AI4419" s="5">
        <v>0.631711147347369</v>
      </c>
      <c r="AJ4419" s="5" t="s">
        <v>139</v>
      </c>
      <c r="AK4419" s="2">
        <v>0.65125737568569397</v>
      </c>
      <c r="AL4419" s="2">
        <v>0.83038202534685202</v>
      </c>
      <c r="AM4419" s="2">
        <v>8.559877937157E-6</v>
      </c>
      <c r="AN4419" s="2">
        <v>8.559877937157E-6</v>
      </c>
      <c r="AO4419" s="2">
        <v>7977.9134978997099</v>
      </c>
      <c r="AP4419" s="2">
        <v>94.4778500936266</v>
      </c>
      <c r="AQ4419" s="2">
        <v>6545.8712862975099</v>
      </c>
      <c r="AR4419" s="2">
        <v>87.025937440899497</v>
      </c>
      <c r="AS4419" s="2">
        <v>2844.2737285898102</v>
      </c>
      <c r="AT4419" s="2">
        <v>8.559877937157E-6</v>
      </c>
      <c r="AU4419" s="2">
        <v>6387.0198532794402</v>
      </c>
      <c r="AV4419" s="2">
        <v>136.16990315168101</v>
      </c>
      <c r="AW4419" s="2">
        <v>123.48349240790699</v>
      </c>
      <c r="AX4419" s="2">
        <v>8.559877937157E-6</v>
      </c>
    </row>
    <row r="4420" spans="1:50" x14ac:dyDescent="0.25">
      <c r="A4420" s="2" t="s">
        <v>29064</v>
      </c>
      <c r="B4420" s="2">
        <v>210.089871139038</v>
      </c>
      <c r="C4420" s="2">
        <v>4.7497999999999996</v>
      </c>
      <c r="D4420" s="2" t="s">
        <v>51</v>
      </c>
      <c r="E4420" s="2" t="s">
        <v>29065</v>
      </c>
      <c r="F4420" s="2">
        <v>52171</v>
      </c>
      <c r="G4420" s="3" t="str">
        <f>HYPERLINK("https://cloud.oebiotech.com/#/lm/network/52171", "https://cloud.oebiotech.com/#/lm/network/52171")</f>
        <v>https://cloud.oebiotech.com/#/lm/network/52171</v>
      </c>
      <c r="H4420" s="2" t="s">
        <v>29066</v>
      </c>
      <c r="I4420" s="2">
        <v>44805</v>
      </c>
      <c r="J4420" s="2"/>
      <c r="K4420" s="2">
        <v>5280507</v>
      </c>
      <c r="L4420" s="2" t="s">
        <v>29067</v>
      </c>
      <c r="M4420" s="2"/>
      <c r="N4420" s="2"/>
      <c r="O4420" s="2">
        <v>64557</v>
      </c>
      <c r="P4420" s="2"/>
      <c r="Q4420" s="2"/>
      <c r="R4420" s="2" t="s">
        <v>29068</v>
      </c>
      <c r="S4420" s="2" t="s">
        <v>29069</v>
      </c>
      <c r="T4420" s="2" t="s">
        <v>29070</v>
      </c>
      <c r="U4420" s="2" t="s">
        <v>610</v>
      </c>
      <c r="V4420" s="2" t="s">
        <v>895</v>
      </c>
      <c r="W4420" s="2" t="s">
        <v>896</v>
      </c>
      <c r="X4420" s="2" t="s">
        <v>83</v>
      </c>
      <c r="Y4420" s="2">
        <v>48.1</v>
      </c>
      <c r="Z4420" s="2">
        <v>0</v>
      </c>
      <c r="AA4420" s="2" t="s">
        <v>122</v>
      </c>
      <c r="AB4420" s="2" t="s">
        <v>20034</v>
      </c>
      <c r="AC4420" s="2">
        <v>3.15157461556911</v>
      </c>
      <c r="AD4420" s="2"/>
      <c r="AE4420" s="2">
        <v>9.5227733343949503E-2</v>
      </c>
      <c r="AF4420" s="2">
        <v>1105.2103493478801</v>
      </c>
      <c r="AG4420" s="2">
        <v>482.17664547167601</v>
      </c>
      <c r="AH4420" s="5">
        <v>2.2921275008388999</v>
      </c>
      <c r="AI4420" s="5">
        <v>1.1966872970232101</v>
      </c>
      <c r="AJ4420" s="5" t="s">
        <v>139</v>
      </c>
      <c r="AK4420" s="2">
        <v>0.30769214414468699</v>
      </c>
      <c r="AL4420" s="2">
        <v>0.61756871527620305</v>
      </c>
      <c r="AM4420" s="2">
        <v>460.873391744363</v>
      </c>
      <c r="AN4420" s="2">
        <v>365.76982312256098</v>
      </c>
      <c r="AO4420" s="2">
        <v>1486.5619895458699</v>
      </c>
      <c r="AP4420" s="2">
        <v>239.89768927681899</v>
      </c>
      <c r="AQ4420" s="2">
        <v>3676.0348820284698</v>
      </c>
      <c r="AR4420" s="2">
        <v>402.12432036917397</v>
      </c>
      <c r="AS4420" s="2">
        <v>1398.3839339317501</v>
      </c>
      <c r="AT4420" s="2">
        <v>502.24459834513402</v>
      </c>
      <c r="AU4420" s="2">
        <v>224.927372881747</v>
      </c>
      <c r="AV4420" s="2">
        <v>109.431623587613</v>
      </c>
      <c r="AW4420" s="2">
        <v>210.11574302109801</v>
      </c>
      <c r="AX4420" s="2">
        <v>447.956601062716</v>
      </c>
    </row>
    <row r="4421" spans="1:50" x14ac:dyDescent="0.25">
      <c r="A4421" s="2" t="s">
        <v>29071</v>
      </c>
      <c r="B4421" s="2">
        <v>221.15422593260399</v>
      </c>
      <c r="C4421" s="2">
        <v>10.947649999999999</v>
      </c>
      <c r="D4421" s="2" t="s">
        <v>51</v>
      </c>
      <c r="E4421" s="2" t="s">
        <v>29072</v>
      </c>
      <c r="F4421" s="2">
        <v>9168</v>
      </c>
      <c r="G4421" s="3" t="str">
        <f>HYPERLINK("https://cloud.oebiotech.com/#/lm/network/9168", "https://cloud.oebiotech.com/#/lm/network/9168")</f>
        <v>https://cloud.oebiotech.com/#/lm/network/9168</v>
      </c>
      <c r="H4421" s="2"/>
      <c r="I4421" s="2">
        <v>97469</v>
      </c>
      <c r="J4421" s="2" t="s">
        <v>29073</v>
      </c>
      <c r="K4421" s="2">
        <v>14656044</v>
      </c>
      <c r="L4421" s="2"/>
      <c r="M4421" s="2"/>
      <c r="N4421" s="2"/>
      <c r="O4421" s="2"/>
      <c r="P4421" s="2"/>
      <c r="Q4421" s="2"/>
      <c r="R4421" s="2"/>
      <c r="S4421" s="2" t="s">
        <v>29074</v>
      </c>
      <c r="T4421" s="2" t="s">
        <v>29075</v>
      </c>
      <c r="U4421" s="2" t="s">
        <v>56</v>
      </c>
      <c r="V4421" s="2" t="s">
        <v>177</v>
      </c>
      <c r="W4421" s="2" t="s">
        <v>584</v>
      </c>
      <c r="X4421" s="2" t="s">
        <v>83</v>
      </c>
      <c r="Y4421" s="2">
        <v>46.9</v>
      </c>
      <c r="Z4421" s="2">
        <v>0</v>
      </c>
      <c r="AA4421" s="2" t="s">
        <v>218</v>
      </c>
      <c r="AB4421" s="2" t="s">
        <v>7368</v>
      </c>
      <c r="AC4421" s="2">
        <v>-2.71110515055847</v>
      </c>
      <c r="AD4421" s="2"/>
      <c r="AE4421" s="2">
        <v>9.5211970538409102E-2</v>
      </c>
      <c r="AF4421" s="2">
        <v>633.20865008813598</v>
      </c>
      <c r="AG4421" s="2">
        <v>922.19125012687402</v>
      </c>
      <c r="AH4421" s="4">
        <v>0.68663484933414798</v>
      </c>
      <c r="AI4421" s="4">
        <v>-0.54238501346510404</v>
      </c>
      <c r="AJ4421" s="4" t="s">
        <v>62</v>
      </c>
      <c r="AK4421" s="2">
        <v>6.2335719689565403E-2</v>
      </c>
      <c r="AL4421" s="2">
        <v>0.33587063960517799</v>
      </c>
      <c r="AM4421" s="2">
        <v>758.20248525472698</v>
      </c>
      <c r="AN4421" s="2">
        <v>467.61150659644699</v>
      </c>
      <c r="AO4421" s="2">
        <v>363.69871871595899</v>
      </c>
      <c r="AP4421" s="2">
        <v>435.05694007373103</v>
      </c>
      <c r="AQ4421" s="2">
        <v>935.48312484516998</v>
      </c>
      <c r="AR4421" s="2">
        <v>839.19912504278204</v>
      </c>
      <c r="AS4421" s="2">
        <v>564.03938007207603</v>
      </c>
      <c r="AT4421" s="2">
        <v>692.09985425496495</v>
      </c>
      <c r="AU4421" s="2">
        <v>1101.15129465513</v>
      </c>
      <c r="AV4421" s="2">
        <v>1125.91525369897</v>
      </c>
      <c r="AW4421" s="2">
        <v>975.86944804117195</v>
      </c>
      <c r="AX4421" s="2">
        <v>1074.0722700389299</v>
      </c>
    </row>
    <row r="4422" spans="1:50" x14ac:dyDescent="0.25">
      <c r="A4422" s="2" t="s">
        <v>29076</v>
      </c>
      <c r="B4422" s="2">
        <v>217.119047741163</v>
      </c>
      <c r="C4422" s="2">
        <v>1.0339</v>
      </c>
      <c r="D4422" s="2" t="s">
        <v>51</v>
      </c>
      <c r="E4422" s="2" t="s">
        <v>29077</v>
      </c>
      <c r="F4422" s="2">
        <v>209298</v>
      </c>
      <c r="G4422" s="3" t="str">
        <f>HYPERLINK("https://cloud.oebiotech.com/#/lm/network/209298", "https://cloud.oebiotech.com/#/lm/network/209298")</f>
        <v>https://cloud.oebiotech.com/#/lm/network/209298</v>
      </c>
      <c r="H4422" s="2" t="s">
        <v>29078</v>
      </c>
      <c r="I4422" s="2"/>
      <c r="J4422" s="2"/>
      <c r="K4422" s="2">
        <v>49852413</v>
      </c>
      <c r="L4422" s="2"/>
      <c r="M4422" s="2"/>
      <c r="N4422" s="2"/>
      <c r="O4422" s="2">
        <v>61063</v>
      </c>
      <c r="P4422" s="2"/>
      <c r="Q4422" s="2"/>
      <c r="R4422" s="2"/>
      <c r="S4422" s="2" t="s">
        <v>29079</v>
      </c>
      <c r="T4422" s="2" t="s">
        <v>29080</v>
      </c>
      <c r="U4422" s="2" t="s">
        <v>103</v>
      </c>
      <c r="V4422" s="2" t="s">
        <v>104</v>
      </c>
      <c r="W4422" s="2" t="s">
        <v>105</v>
      </c>
      <c r="X4422" s="2" t="s">
        <v>83</v>
      </c>
      <c r="Y4422" s="2">
        <v>40.1</v>
      </c>
      <c r="Z4422" s="2">
        <v>0</v>
      </c>
      <c r="AA4422" s="2" t="s">
        <v>163</v>
      </c>
      <c r="AB4422" s="2" t="s">
        <v>7350</v>
      </c>
      <c r="AC4422" s="2">
        <v>-1.52614055220583</v>
      </c>
      <c r="AD4422" s="2"/>
      <c r="AE4422" s="2">
        <v>9.5196657919297503E-2</v>
      </c>
      <c r="AF4422" s="2">
        <v>892.98853112068105</v>
      </c>
      <c r="AG4422" s="2">
        <v>606.33061740164396</v>
      </c>
      <c r="AH4422" s="5">
        <v>1.4727749275592801</v>
      </c>
      <c r="AI4422" s="5">
        <v>0.55853697164715899</v>
      </c>
      <c r="AJ4422" s="5" t="s">
        <v>139</v>
      </c>
      <c r="AK4422" s="2">
        <v>0.57484253371055505</v>
      </c>
      <c r="AL4422" s="2">
        <v>0.78564459545109699</v>
      </c>
      <c r="AM4422" s="2">
        <v>2138.0155472240899</v>
      </c>
      <c r="AN4422" s="2">
        <v>497.61376325630499</v>
      </c>
      <c r="AO4422" s="2">
        <v>956.13127333347995</v>
      </c>
      <c r="AP4422" s="2">
        <v>389.11430922744199</v>
      </c>
      <c r="AQ4422" s="2">
        <v>427.30414770443599</v>
      </c>
      <c r="AR4422" s="2">
        <v>949.75214597833497</v>
      </c>
      <c r="AS4422" s="2">
        <v>8.559877937157E-6</v>
      </c>
      <c r="AT4422" s="2">
        <v>329.39382739716302</v>
      </c>
      <c r="AU4422" s="2">
        <v>2645.1740134782099</v>
      </c>
      <c r="AV4422" s="2">
        <v>449.39806306958002</v>
      </c>
      <c r="AW4422" s="2">
        <v>8.559877937157E-6</v>
      </c>
      <c r="AX4422" s="2">
        <v>214.017783345152</v>
      </c>
    </row>
    <row r="4423" spans="1:50" x14ac:dyDescent="0.25">
      <c r="A4423" s="2" t="s">
        <v>29081</v>
      </c>
      <c r="B4423" s="2">
        <v>174.09</v>
      </c>
      <c r="C4423" s="2">
        <v>13.645</v>
      </c>
      <c r="D4423" s="2" t="s">
        <v>125</v>
      </c>
      <c r="E4423" s="2" t="s">
        <v>29082</v>
      </c>
      <c r="F4423" s="2">
        <v>48010</v>
      </c>
      <c r="G4423" s="3" t="str">
        <f>HYPERLINK("https://cloud.oebiotech.com/#/lm/network/48010", "https://cloud.oebiotech.com/#/lm/network/48010")</f>
        <v>https://cloud.oebiotech.com/#/lm/network/48010</v>
      </c>
      <c r="H4423" s="2" t="s">
        <v>29083</v>
      </c>
      <c r="I4423" s="2">
        <v>3222</v>
      </c>
      <c r="J4423" s="2"/>
      <c r="K4423" s="2">
        <v>6058</v>
      </c>
      <c r="L4423" s="2" t="s">
        <v>29084</v>
      </c>
      <c r="M4423" s="2" t="s">
        <v>24921</v>
      </c>
      <c r="N4423" s="2" t="s">
        <v>24922</v>
      </c>
      <c r="O4423" s="2">
        <v>17141</v>
      </c>
      <c r="P4423" s="2" t="s">
        <v>29085</v>
      </c>
      <c r="Q4423" s="2" t="s">
        <v>29086</v>
      </c>
      <c r="R4423" s="2" t="s">
        <v>29087</v>
      </c>
      <c r="S4423" s="2" t="s">
        <v>29088</v>
      </c>
      <c r="T4423" s="2" t="s">
        <v>29089</v>
      </c>
      <c r="U4423" s="2" t="s">
        <v>1231</v>
      </c>
      <c r="V4423" s="2" t="s">
        <v>29090</v>
      </c>
      <c r="W4423" s="2" t="s">
        <v>29091</v>
      </c>
      <c r="X4423" s="2" t="s">
        <v>83</v>
      </c>
      <c r="Y4423" s="2">
        <v>82.9</v>
      </c>
      <c r="Z4423" s="2">
        <v>71.900000000000006</v>
      </c>
      <c r="AA4423" s="2"/>
      <c r="AB4423" s="2" t="s">
        <v>29092</v>
      </c>
      <c r="AC4423" s="2"/>
      <c r="AD4423" s="2">
        <v>459881.69563853199</v>
      </c>
      <c r="AE4423" s="2">
        <v>9.5173672090965805E-2</v>
      </c>
      <c r="AF4423" s="2">
        <v>77062.359285301398</v>
      </c>
      <c r="AG4423" s="2">
        <v>80172.841978334007</v>
      </c>
      <c r="AH4423" s="4">
        <v>0.96120278867159104</v>
      </c>
      <c r="AI4423" s="4">
        <v>-5.70872608215394E-2</v>
      </c>
      <c r="AJ4423" s="4" t="s">
        <v>62</v>
      </c>
      <c r="AK4423" s="2">
        <v>9.4802646260319604E-2</v>
      </c>
      <c r="AL4423" s="2">
        <v>0.39518270427574997</v>
      </c>
      <c r="AM4423" s="2">
        <v>77090.049683088102</v>
      </c>
      <c r="AN4423" s="2">
        <v>78771.036120773395</v>
      </c>
      <c r="AO4423" s="2">
        <v>75652.838403065907</v>
      </c>
      <c r="AP4423" s="2">
        <v>80550.817345026197</v>
      </c>
      <c r="AQ4423" s="2">
        <v>71639.075329205196</v>
      </c>
      <c r="AR4423" s="2">
        <v>78670.338830649896</v>
      </c>
      <c r="AS4423" s="2">
        <v>77640.469009518303</v>
      </c>
      <c r="AT4423" s="2">
        <v>82023.026169125005</v>
      </c>
      <c r="AU4423" s="2">
        <v>81471.880441021305</v>
      </c>
      <c r="AV4423" s="2">
        <v>82366.721773823694</v>
      </c>
      <c r="AW4423" s="2">
        <v>81586.792912808</v>
      </c>
      <c r="AX4423" s="2">
        <v>75948.161563707501</v>
      </c>
    </row>
    <row r="4424" spans="1:50" x14ac:dyDescent="0.25">
      <c r="A4424" s="2" t="s">
        <v>29093</v>
      </c>
      <c r="B4424" s="2">
        <v>157.049630844559</v>
      </c>
      <c r="C4424" s="2">
        <v>2.2175500000000001</v>
      </c>
      <c r="D4424" s="2" t="s">
        <v>51</v>
      </c>
      <c r="E4424" s="2" t="s">
        <v>29094</v>
      </c>
      <c r="F4424" s="2">
        <v>257728</v>
      </c>
      <c r="G4424" s="3" t="str">
        <f>HYPERLINK("https://cloud.oebiotech.com/#/lm/network/257728", "https://cloud.oebiotech.com/#/lm/network/257728")</f>
        <v>https://cloud.oebiotech.com/#/lm/network/257728</v>
      </c>
      <c r="H4424" s="2" t="s">
        <v>29095</v>
      </c>
      <c r="I4424" s="2">
        <v>339</v>
      </c>
      <c r="J4424" s="2"/>
      <c r="K4424" s="2">
        <v>77</v>
      </c>
      <c r="L4424" s="2" t="s">
        <v>29096</v>
      </c>
      <c r="M4424" s="2" t="s">
        <v>29097</v>
      </c>
      <c r="N4424" s="2" t="s">
        <v>29098</v>
      </c>
      <c r="O4424" s="2"/>
      <c r="P4424" s="2"/>
      <c r="Q4424" s="2"/>
      <c r="R4424" s="2" t="s">
        <v>29099</v>
      </c>
      <c r="S4424" s="2" t="s">
        <v>29100</v>
      </c>
      <c r="T4424" s="2" t="s">
        <v>29101</v>
      </c>
      <c r="U4424" s="2" t="s">
        <v>56</v>
      </c>
      <c r="V4424" s="2" t="s">
        <v>145</v>
      </c>
      <c r="W4424" s="2" t="s">
        <v>231</v>
      </c>
      <c r="X4424" s="2" t="s">
        <v>83</v>
      </c>
      <c r="Y4424" s="2">
        <v>38.5</v>
      </c>
      <c r="Z4424" s="2">
        <v>0</v>
      </c>
      <c r="AA4424" s="2" t="s">
        <v>379</v>
      </c>
      <c r="AB4424" s="2" t="s">
        <v>29102</v>
      </c>
      <c r="AC4424" s="2">
        <v>-5.68823061392761</v>
      </c>
      <c r="AD4424" s="2"/>
      <c r="AE4424" s="2">
        <v>9.5149316761601904E-2</v>
      </c>
      <c r="AF4424" s="2">
        <v>1030.48941035091</v>
      </c>
      <c r="AG4424" s="2">
        <v>783.99915225014399</v>
      </c>
      <c r="AH4424" s="5">
        <v>1.3144011793805199</v>
      </c>
      <c r="AI4424" s="5">
        <v>0.39440567989671399</v>
      </c>
      <c r="AJ4424" s="5" t="s">
        <v>139</v>
      </c>
      <c r="AK4424" s="2">
        <v>4.0016782169318199E-2</v>
      </c>
      <c r="AL4424" s="2">
        <v>0.29155452793099101</v>
      </c>
      <c r="AM4424" s="2">
        <v>1364.65845632938</v>
      </c>
      <c r="AN4424" s="2">
        <v>1015.52422665885</v>
      </c>
      <c r="AO4424" s="2">
        <v>696.80176797779995</v>
      </c>
      <c r="AP4424" s="2">
        <v>1166.0333989160299</v>
      </c>
      <c r="AQ4424" s="2">
        <v>928.55317202394303</v>
      </c>
      <c r="AR4424" s="2">
        <v>1011.36544019948</v>
      </c>
      <c r="AS4424" s="2">
        <v>787.44803287259299</v>
      </c>
      <c r="AT4424" s="2">
        <v>734.39474515842198</v>
      </c>
      <c r="AU4424" s="2">
        <v>840.04519049635098</v>
      </c>
      <c r="AV4424" s="2">
        <v>724.52240900814502</v>
      </c>
      <c r="AW4424" s="2">
        <v>988.75273787790195</v>
      </c>
      <c r="AX4424" s="2">
        <v>628.83179808744899</v>
      </c>
    </row>
    <row r="4425" spans="1:50" x14ac:dyDescent="0.25">
      <c r="A4425" s="2" t="s">
        <v>29103</v>
      </c>
      <c r="B4425" s="2">
        <v>190.04597512471</v>
      </c>
      <c r="C4425" s="2">
        <v>1.27196666666667</v>
      </c>
      <c r="D4425" s="2" t="s">
        <v>51</v>
      </c>
      <c r="E4425" s="2" t="s">
        <v>29104</v>
      </c>
      <c r="F4425" s="2">
        <v>197052</v>
      </c>
      <c r="G4425" s="3" t="str">
        <f>HYPERLINK("https://cloud.oebiotech.com/#/lm/network/197052", "https://cloud.oebiotech.com/#/lm/network/197052")</f>
        <v>https://cloud.oebiotech.com/#/lm/network/197052</v>
      </c>
      <c r="H4425" s="2" t="s">
        <v>29105</v>
      </c>
      <c r="I4425" s="2"/>
      <c r="J4425" s="2"/>
      <c r="K4425" s="2">
        <v>54726398</v>
      </c>
      <c r="L4425" s="2"/>
      <c r="M4425" s="2"/>
      <c r="N4425" s="2"/>
      <c r="O4425" s="2"/>
      <c r="P4425" s="2"/>
      <c r="Q4425" s="2"/>
      <c r="R4425" s="2" t="s">
        <v>29106</v>
      </c>
      <c r="S4425" s="2" t="s">
        <v>29107</v>
      </c>
      <c r="T4425" s="2" t="s">
        <v>29108</v>
      </c>
      <c r="U4425" s="2" t="s">
        <v>266</v>
      </c>
      <c r="V4425" s="2" t="s">
        <v>10648</v>
      </c>
      <c r="W4425" s="2" t="s">
        <v>10649</v>
      </c>
      <c r="X4425" s="2" t="s">
        <v>83</v>
      </c>
      <c r="Y4425" s="2">
        <v>52.4</v>
      </c>
      <c r="Z4425" s="2">
        <v>0</v>
      </c>
      <c r="AA4425" s="2" t="s">
        <v>122</v>
      </c>
      <c r="AB4425" s="2" t="s">
        <v>29109</v>
      </c>
      <c r="AC4425" s="2">
        <v>-9.2766868372949691</v>
      </c>
      <c r="AD4425" s="2"/>
      <c r="AE4425" s="2">
        <v>9.5054226808156006E-2</v>
      </c>
      <c r="AF4425" s="2">
        <v>11177.2809632138</v>
      </c>
      <c r="AG4425" s="2">
        <v>11933.074254729099</v>
      </c>
      <c r="AH4425" s="4">
        <v>0.93666399157654001</v>
      </c>
      <c r="AI4425" s="4">
        <v>-9.4396490571863695E-2</v>
      </c>
      <c r="AJ4425" s="4" t="s">
        <v>62</v>
      </c>
      <c r="AK4425" s="2">
        <v>0.90619387084259595</v>
      </c>
      <c r="AL4425" s="2">
        <v>0.96060028116840301</v>
      </c>
      <c r="AM4425" s="2">
        <v>2552.4500803277501</v>
      </c>
      <c r="AN4425" s="2">
        <v>6554.3155812497498</v>
      </c>
      <c r="AO4425" s="2">
        <v>35841.473031722599</v>
      </c>
      <c r="AP4425" s="2">
        <v>7170.7957421050096</v>
      </c>
      <c r="AQ4425" s="2">
        <v>9497.9223921561806</v>
      </c>
      <c r="AR4425" s="2">
        <v>5446.7289517217096</v>
      </c>
      <c r="AS4425" s="2">
        <v>3791.8603392482901</v>
      </c>
      <c r="AT4425" s="2">
        <v>3694.0481899500801</v>
      </c>
      <c r="AU4425" s="2">
        <v>4053.8741529783501</v>
      </c>
      <c r="AV4425" s="2">
        <v>20759.173227714298</v>
      </c>
      <c r="AW4425" s="2">
        <v>23120.521511065399</v>
      </c>
      <c r="AX4425" s="2">
        <v>16178.968107418401</v>
      </c>
    </row>
    <row r="4426" spans="1:50" x14ac:dyDescent="0.25">
      <c r="A4426" s="2" t="s">
        <v>29110</v>
      </c>
      <c r="B4426" s="2">
        <v>365.26979758403797</v>
      </c>
      <c r="C4426" s="2">
        <v>11.56945</v>
      </c>
      <c r="D4426" s="2" t="s">
        <v>51</v>
      </c>
      <c r="E4426" s="2" t="s">
        <v>29111</v>
      </c>
      <c r="F4426" s="2">
        <v>48207</v>
      </c>
      <c r="G4426" s="3" t="str">
        <f>HYPERLINK("https://cloud.oebiotech.com/#/lm/network/48207", "https://cloud.oebiotech.com/#/lm/network/48207")</f>
        <v>https://cloud.oebiotech.com/#/lm/network/48207</v>
      </c>
      <c r="H4426" s="2" t="s">
        <v>29112</v>
      </c>
      <c r="I4426" s="2">
        <v>63335</v>
      </c>
      <c r="J4426" s="2"/>
      <c r="K4426" s="2">
        <v>219833</v>
      </c>
      <c r="L4426" s="2" t="s">
        <v>29113</v>
      </c>
      <c r="M4426" s="2" t="s">
        <v>2681</v>
      </c>
      <c r="N4426" s="2" t="s">
        <v>2682</v>
      </c>
      <c r="O4426" s="2">
        <v>8387</v>
      </c>
      <c r="P4426" s="2"/>
      <c r="Q4426" s="2"/>
      <c r="R4426" s="2" t="s">
        <v>29114</v>
      </c>
      <c r="S4426" s="2" t="s">
        <v>29115</v>
      </c>
      <c r="T4426" s="2" t="s">
        <v>29116</v>
      </c>
      <c r="U4426" s="2" t="s">
        <v>56</v>
      </c>
      <c r="V4426" s="2" t="s">
        <v>283</v>
      </c>
      <c r="W4426" s="2" t="s">
        <v>3686</v>
      </c>
      <c r="X4426" s="2" t="s">
        <v>59</v>
      </c>
      <c r="Y4426" s="2">
        <v>49.1</v>
      </c>
      <c r="Z4426" s="2">
        <v>50.1</v>
      </c>
      <c r="AA4426" s="2" t="s">
        <v>218</v>
      </c>
      <c r="AB4426" s="2" t="s">
        <v>10433</v>
      </c>
      <c r="AC4426" s="2">
        <v>0.20083083260891099</v>
      </c>
      <c r="AD4426" s="2"/>
      <c r="AE4426" s="2">
        <v>9.4931937307954004E-2</v>
      </c>
      <c r="AF4426" s="2">
        <v>29204.188418636899</v>
      </c>
      <c r="AG4426" s="2">
        <v>29564.959478634999</v>
      </c>
      <c r="AH4426" s="4">
        <v>0.98779734299115796</v>
      </c>
      <c r="AI4426" s="4">
        <v>-1.77130067729841E-2</v>
      </c>
      <c r="AJ4426" s="4" t="s">
        <v>62</v>
      </c>
      <c r="AK4426" s="2">
        <v>0.96499645181683402</v>
      </c>
      <c r="AL4426" s="2">
        <v>0.98639647014555798</v>
      </c>
      <c r="AM4426" s="2">
        <v>18866.206666751401</v>
      </c>
      <c r="AN4426" s="2">
        <v>32994.820115321803</v>
      </c>
      <c r="AO4426" s="2">
        <v>43922.465885750498</v>
      </c>
      <c r="AP4426" s="2">
        <v>36871.623130880398</v>
      </c>
      <c r="AQ4426" s="2">
        <v>26092.788945060402</v>
      </c>
      <c r="AR4426" s="2">
        <v>16477.2257680568</v>
      </c>
      <c r="AS4426" s="2">
        <v>56554.899126684002</v>
      </c>
      <c r="AT4426" s="2">
        <v>25311.7193763092</v>
      </c>
      <c r="AU4426" s="2">
        <v>13804.686091788501</v>
      </c>
      <c r="AV4426" s="2">
        <v>13348.0182542861</v>
      </c>
      <c r="AW4426" s="2">
        <v>28723.752431146801</v>
      </c>
      <c r="AX4426" s="2">
        <v>39646.681591595203</v>
      </c>
    </row>
    <row r="4427" spans="1:50" x14ac:dyDescent="0.25">
      <c r="A4427" s="2" t="s">
        <v>29117</v>
      </c>
      <c r="B4427" s="2">
        <v>157.049632095085</v>
      </c>
      <c r="C4427" s="2">
        <v>3.9827333333333299</v>
      </c>
      <c r="D4427" s="2" t="s">
        <v>51</v>
      </c>
      <c r="E4427" s="2" t="s">
        <v>29118</v>
      </c>
      <c r="F4427" s="2">
        <v>1369</v>
      </c>
      <c r="G4427" s="3" t="str">
        <f>HYPERLINK("https://cloud.oebiotech.com/#/lm/network/1369", "https://cloud.oebiotech.com/#/lm/network/1369")</f>
        <v>https://cloud.oebiotech.com/#/lm/network/1369</v>
      </c>
      <c r="H4427" s="2"/>
      <c r="I4427" s="2"/>
      <c r="J4427" s="2" t="s">
        <v>29119</v>
      </c>
      <c r="K4427" s="2">
        <v>11966236</v>
      </c>
      <c r="L4427" s="2"/>
      <c r="M4427" s="2"/>
      <c r="N4427" s="2"/>
      <c r="O4427" s="2">
        <v>37260</v>
      </c>
      <c r="P4427" s="2"/>
      <c r="Q4427" s="2"/>
      <c r="R4427" s="2"/>
      <c r="S4427" s="2" t="s">
        <v>29120</v>
      </c>
      <c r="T4427" s="2" t="s">
        <v>29121</v>
      </c>
      <c r="U4427" s="2" t="s">
        <v>56</v>
      </c>
      <c r="V4427" s="2" t="s">
        <v>145</v>
      </c>
      <c r="W4427" s="2" t="s">
        <v>231</v>
      </c>
      <c r="X4427" s="2" t="s">
        <v>83</v>
      </c>
      <c r="Y4427" s="2">
        <v>38.5</v>
      </c>
      <c r="Z4427" s="2">
        <v>0</v>
      </c>
      <c r="AA4427" s="2" t="s">
        <v>163</v>
      </c>
      <c r="AB4427" s="2" t="s">
        <v>29122</v>
      </c>
      <c r="AC4427" s="2">
        <v>-6.3285150529795597</v>
      </c>
      <c r="AD4427" s="2"/>
      <c r="AE4427" s="2">
        <v>9.4920934193599996E-2</v>
      </c>
      <c r="AF4427" s="2">
        <v>1907.9218486448301</v>
      </c>
      <c r="AG4427" s="2">
        <v>1529.4116633521801</v>
      </c>
      <c r="AH4427" s="5">
        <v>1.24748744524612</v>
      </c>
      <c r="AI4427" s="5">
        <v>0.31902529630617799</v>
      </c>
      <c r="AJ4427" s="5" t="s">
        <v>139</v>
      </c>
      <c r="AK4427" s="2">
        <v>0.18719284404766301</v>
      </c>
      <c r="AL4427" s="2">
        <v>0.511442206677855</v>
      </c>
      <c r="AM4427" s="2">
        <v>1597.2729522931099</v>
      </c>
      <c r="AN4427" s="2">
        <v>2691.4210221876301</v>
      </c>
      <c r="AO4427" s="2">
        <v>1978.1297280061599</v>
      </c>
      <c r="AP4427" s="2">
        <v>2101.43102496561</v>
      </c>
      <c r="AQ4427" s="2">
        <v>1493.9454554218701</v>
      </c>
      <c r="AR4427" s="2">
        <v>1585.3309089945899</v>
      </c>
      <c r="AS4427" s="2">
        <v>1983.99020074393</v>
      </c>
      <c r="AT4427" s="2">
        <v>1513.68074272128</v>
      </c>
      <c r="AU4427" s="2">
        <v>1529.5269586050199</v>
      </c>
      <c r="AV4427" s="2">
        <v>872.52263944380798</v>
      </c>
      <c r="AW4427" s="2">
        <v>1162.11502339912</v>
      </c>
      <c r="AX4427" s="2">
        <v>2114.6344151999201</v>
      </c>
    </row>
    <row r="4428" spans="1:50" x14ac:dyDescent="0.25">
      <c r="A4428" s="2" t="s">
        <v>29123</v>
      </c>
      <c r="B4428" s="2">
        <v>415.321823512533</v>
      </c>
      <c r="C4428" s="2">
        <v>8.2528666666666695</v>
      </c>
      <c r="D4428" s="2" t="s">
        <v>51</v>
      </c>
      <c r="E4428" s="2" t="s">
        <v>29124</v>
      </c>
      <c r="F4428" s="2">
        <v>44473</v>
      </c>
      <c r="G4428" s="3" t="str">
        <f>HYPERLINK("https://cloud.oebiotech.com/#/lm/network/44473", "https://cloud.oebiotech.com/#/lm/network/44473")</f>
        <v>https://cloud.oebiotech.com/#/lm/network/44473</v>
      </c>
      <c r="H4428" s="2"/>
      <c r="I4428" s="2">
        <v>84174</v>
      </c>
      <c r="J4428" s="2" t="s">
        <v>29125</v>
      </c>
      <c r="K4428" s="2">
        <v>167555</v>
      </c>
      <c r="L4428" s="2"/>
      <c r="M4428" s="2"/>
      <c r="N4428" s="2"/>
      <c r="O4428" s="2"/>
      <c r="P4428" s="2"/>
      <c r="Q4428" s="2"/>
      <c r="R4428" s="2"/>
      <c r="S4428" s="2" t="s">
        <v>29126</v>
      </c>
      <c r="T4428" s="2" t="s">
        <v>29127</v>
      </c>
      <c r="U4428" s="2" t="s">
        <v>56</v>
      </c>
      <c r="V4428" s="2" t="s">
        <v>177</v>
      </c>
      <c r="W4428" s="2" t="s">
        <v>3270</v>
      </c>
      <c r="X4428" s="2" t="s">
        <v>147</v>
      </c>
      <c r="Y4428" s="2">
        <v>37.299999999999997</v>
      </c>
      <c r="Z4428" s="2">
        <v>0</v>
      </c>
      <c r="AA4428" s="2" t="s">
        <v>156</v>
      </c>
      <c r="AB4428" s="2" t="s">
        <v>12999</v>
      </c>
      <c r="AC4428" s="2">
        <v>2.66437514430927</v>
      </c>
      <c r="AD4428" s="2"/>
      <c r="AE4428" s="2">
        <v>9.4824619117184497E-2</v>
      </c>
      <c r="AF4428" s="2">
        <v>3797.6436068662802</v>
      </c>
      <c r="AG4428" s="2">
        <v>4528.9851923967199</v>
      </c>
      <c r="AH4428" s="4">
        <v>0.838519766688966</v>
      </c>
      <c r="AI4428" s="4">
        <v>-0.25408330159503401</v>
      </c>
      <c r="AJ4428" s="4" t="s">
        <v>62</v>
      </c>
      <c r="AK4428" s="2">
        <v>0.58268340365786597</v>
      </c>
      <c r="AL4428" s="2">
        <v>0.78986312790026303</v>
      </c>
      <c r="AM4428" s="2">
        <v>3754.0758061627298</v>
      </c>
      <c r="AN4428" s="2">
        <v>1951.2515252896401</v>
      </c>
      <c r="AO4428" s="2">
        <v>2774.4036196821398</v>
      </c>
      <c r="AP4428" s="2">
        <v>3474.0876767265599</v>
      </c>
      <c r="AQ4428" s="2">
        <v>3475.5062421213802</v>
      </c>
      <c r="AR4428" s="2">
        <v>7356.5367712152101</v>
      </c>
      <c r="AS4428" s="2">
        <v>7199.8593261761798</v>
      </c>
      <c r="AT4428" s="2">
        <v>6667.6261449465201</v>
      </c>
      <c r="AU4428" s="2">
        <v>2940.3259253807801</v>
      </c>
      <c r="AV4428" s="2">
        <v>935.45661073571603</v>
      </c>
      <c r="AW4428" s="2">
        <v>6331.0723915608796</v>
      </c>
      <c r="AX4428" s="2">
        <v>3099.5707555802201</v>
      </c>
    </row>
    <row r="4429" spans="1:50" x14ac:dyDescent="0.25">
      <c r="A4429" s="2" t="s">
        <v>29128</v>
      </c>
      <c r="B4429" s="2">
        <v>253.18041169093701</v>
      </c>
      <c r="C4429" s="2">
        <v>9.6451499999999992</v>
      </c>
      <c r="D4429" s="2" t="s">
        <v>51</v>
      </c>
      <c r="E4429" s="2" t="s">
        <v>29129</v>
      </c>
      <c r="F4429" s="2">
        <v>551142</v>
      </c>
      <c r="G4429" s="3" t="str">
        <f>HYPERLINK("https://cloud.oebiotech.com/#/lm/network/551142", "https://cloud.oebiotech.com/#/lm/network/551142")</f>
        <v>https://cloud.oebiotech.com/#/lm/network/551142</v>
      </c>
      <c r="H4429" s="2"/>
      <c r="I4429" s="2"/>
      <c r="J4429" s="2"/>
      <c r="K4429" s="2">
        <v>10125362</v>
      </c>
      <c r="L4429" s="2"/>
      <c r="M4429" s="2"/>
      <c r="N4429" s="2"/>
      <c r="O4429" s="2"/>
      <c r="P4429" s="2"/>
      <c r="Q4429" s="2"/>
      <c r="R4429" s="2"/>
      <c r="S4429" s="2" t="s">
        <v>29130</v>
      </c>
      <c r="T4429" s="2" t="s">
        <v>29131</v>
      </c>
      <c r="U4429" s="2" t="s">
        <v>56</v>
      </c>
      <c r="V4429" s="2" t="s">
        <v>177</v>
      </c>
      <c r="W4429" s="2" t="s">
        <v>584</v>
      </c>
      <c r="X4429" s="2" t="s">
        <v>83</v>
      </c>
      <c r="Y4429" s="2">
        <v>40.9</v>
      </c>
      <c r="Z4429" s="2">
        <v>0</v>
      </c>
      <c r="AA4429" s="2" t="s">
        <v>156</v>
      </c>
      <c r="AB4429" s="2" t="s">
        <v>6121</v>
      </c>
      <c r="AC4429" s="2">
        <v>2.1860318307664102</v>
      </c>
      <c r="AD4429" s="2"/>
      <c r="AE4429" s="2">
        <v>9.4537346606669806E-2</v>
      </c>
      <c r="AF4429" s="2">
        <v>2027.0643208992601</v>
      </c>
      <c r="AG4429" s="2">
        <v>1724.74854418733</v>
      </c>
      <c r="AH4429" s="5">
        <v>1.17528107371407</v>
      </c>
      <c r="AI4429" s="5">
        <v>0.233005825012009</v>
      </c>
      <c r="AJ4429" s="5" t="s">
        <v>139</v>
      </c>
      <c r="AK4429" s="2">
        <v>0.15709489490341899</v>
      </c>
      <c r="AL4429" s="2">
        <v>0.47857568991933802</v>
      </c>
      <c r="AM4429" s="2">
        <v>2330.7640728404099</v>
      </c>
      <c r="AN4429" s="2">
        <v>1962.9058874638799</v>
      </c>
      <c r="AO4429" s="2">
        <v>1951.20450361191</v>
      </c>
      <c r="AP4429" s="2">
        <v>2549.4339046780501</v>
      </c>
      <c r="AQ4429" s="2">
        <v>1829.1392619864801</v>
      </c>
      <c r="AR4429" s="2">
        <v>1538.93829481483</v>
      </c>
      <c r="AS4429" s="2">
        <v>1989.70742807954</v>
      </c>
      <c r="AT4429" s="2">
        <v>1694.08736025898</v>
      </c>
      <c r="AU4429" s="2">
        <v>2199.0833077431598</v>
      </c>
      <c r="AV4429" s="2">
        <v>1365.7678725906101</v>
      </c>
      <c r="AW4429" s="2">
        <v>1678.8375667903999</v>
      </c>
      <c r="AX4429" s="2">
        <v>1421.0077296612999</v>
      </c>
    </row>
    <row r="4430" spans="1:50" x14ac:dyDescent="0.25">
      <c r="A4430" s="2" t="s">
        <v>29132</v>
      </c>
      <c r="B4430" s="2">
        <v>190.04603916372</v>
      </c>
      <c r="C4430" s="2">
        <v>1.57118333333333</v>
      </c>
      <c r="D4430" s="2" t="s">
        <v>51</v>
      </c>
      <c r="E4430" s="2" t="s">
        <v>29133</v>
      </c>
      <c r="F4430" s="2">
        <v>275591</v>
      </c>
      <c r="G4430" s="3" t="str">
        <f>HYPERLINK("https://cloud.oebiotech.com/#/lm/network/275591", "https://cloud.oebiotech.com/#/lm/network/275591")</f>
        <v>https://cloud.oebiotech.com/#/lm/network/275591</v>
      </c>
      <c r="H4430" s="2"/>
      <c r="I4430" s="2">
        <v>66893</v>
      </c>
      <c r="J4430" s="2"/>
      <c r="K4430" s="2">
        <v>40539</v>
      </c>
      <c r="L4430" s="2" t="s">
        <v>29134</v>
      </c>
      <c r="M4430" s="2"/>
      <c r="N4430" s="2"/>
      <c r="O4430" s="2"/>
      <c r="P4430" s="2"/>
      <c r="Q4430" s="2"/>
      <c r="R4430" s="2" t="s">
        <v>29135</v>
      </c>
      <c r="S4430" s="2" t="s">
        <v>29136</v>
      </c>
      <c r="T4430" s="2" t="s">
        <v>29137</v>
      </c>
      <c r="U4430" s="2" t="s">
        <v>103</v>
      </c>
      <c r="V4430" s="2" t="s">
        <v>104</v>
      </c>
      <c r="W4430" s="2" t="s">
        <v>105</v>
      </c>
      <c r="X4430" s="2" t="s">
        <v>147</v>
      </c>
      <c r="Y4430" s="2">
        <v>41.3</v>
      </c>
      <c r="Z4430" s="2">
        <v>9.02</v>
      </c>
      <c r="AA4430" s="2" t="s">
        <v>259</v>
      </c>
      <c r="AB4430" s="2" t="s">
        <v>16160</v>
      </c>
      <c r="AC4430" s="2">
        <v>1.0177554233525501</v>
      </c>
      <c r="AD4430" s="2"/>
      <c r="AE4430" s="2">
        <v>9.4507837916514695E-2</v>
      </c>
      <c r="AF4430" s="2">
        <v>20458.471175557799</v>
      </c>
      <c r="AG4430" s="2">
        <v>18500.164962417599</v>
      </c>
      <c r="AH4430" s="5">
        <v>1.1058534460162099</v>
      </c>
      <c r="AI4430" s="5">
        <v>0.14516020409418401</v>
      </c>
      <c r="AJ4430" s="5" t="s">
        <v>139</v>
      </c>
      <c r="AK4430" s="2">
        <v>0.52770550096761704</v>
      </c>
      <c r="AL4430" s="2">
        <v>0.75541578468508697</v>
      </c>
      <c r="AM4430" s="2">
        <v>17326.960088049</v>
      </c>
      <c r="AN4430" s="2">
        <v>18221.455478118201</v>
      </c>
      <c r="AO4430" s="2">
        <v>26082.840531853999</v>
      </c>
      <c r="AP4430" s="2">
        <v>29488.1869630564</v>
      </c>
      <c r="AQ4430" s="2">
        <v>12520.584804909</v>
      </c>
      <c r="AR4430" s="2">
        <v>19110.7991873602</v>
      </c>
      <c r="AS4430" s="2">
        <v>13114.861652212199</v>
      </c>
      <c r="AT4430" s="2">
        <v>15800.349184974901</v>
      </c>
      <c r="AU4430" s="2">
        <v>17610.7506433093</v>
      </c>
      <c r="AV4430" s="2">
        <v>20009.146515595799</v>
      </c>
      <c r="AW4430" s="2">
        <v>20142.367656398699</v>
      </c>
      <c r="AX4430" s="2">
        <v>24323.514122014501</v>
      </c>
    </row>
    <row r="4431" spans="1:50" x14ac:dyDescent="0.25">
      <c r="A4431" s="2" t="s">
        <v>29138</v>
      </c>
      <c r="B4431" s="2">
        <v>299.23329999999999</v>
      </c>
      <c r="C4431" s="2">
        <v>20.151</v>
      </c>
      <c r="D4431" s="2" t="s">
        <v>125</v>
      </c>
      <c r="E4431" s="2" t="s">
        <v>29139</v>
      </c>
      <c r="F4431" s="2">
        <v>62</v>
      </c>
      <c r="G4431" s="3" t="str">
        <f>HYPERLINK("https://cloud.oebiotech.com/#/lm/network/62", "https://cloud.oebiotech.com/#/lm/network/62")</f>
        <v>https://cloud.oebiotech.com/#/lm/network/62</v>
      </c>
      <c r="H4431" s="2" t="s">
        <v>29140</v>
      </c>
      <c r="I4431" s="2">
        <v>4205</v>
      </c>
      <c r="J4431" s="2" t="s">
        <v>29141</v>
      </c>
      <c r="K4431" s="2">
        <v>13849</v>
      </c>
      <c r="L4431" s="2" t="s">
        <v>29142</v>
      </c>
      <c r="M4431" s="2"/>
      <c r="N4431" s="2"/>
      <c r="O4431" s="2">
        <v>42504</v>
      </c>
      <c r="P4431" s="2" t="s">
        <v>29143</v>
      </c>
      <c r="Q4431" s="2" t="s">
        <v>29144</v>
      </c>
      <c r="R4431" s="2" t="s">
        <v>29145</v>
      </c>
      <c r="S4431" s="2" t="s">
        <v>29146</v>
      </c>
      <c r="T4431" s="2" t="s">
        <v>29147</v>
      </c>
      <c r="U4431" s="2" t="s">
        <v>56</v>
      </c>
      <c r="V4431" s="2" t="s">
        <v>145</v>
      </c>
      <c r="W4431" s="2" t="s">
        <v>231</v>
      </c>
      <c r="X4431" s="2" t="s">
        <v>69</v>
      </c>
      <c r="Y4431" s="2">
        <v>91.6</v>
      </c>
      <c r="Z4431" s="2">
        <v>90</v>
      </c>
      <c r="AA4431" s="2"/>
      <c r="AB4431" s="2" t="s">
        <v>12398</v>
      </c>
      <c r="AC4431" s="2"/>
      <c r="AD4431" s="2">
        <v>677469.00835073099</v>
      </c>
      <c r="AE4431" s="2">
        <v>9.4473072989722101E-2</v>
      </c>
      <c r="AF4431" s="2">
        <v>18909.089770127401</v>
      </c>
      <c r="AG4431" s="2">
        <v>21906.660712189299</v>
      </c>
      <c r="AH4431" s="4">
        <v>0.86316623142868998</v>
      </c>
      <c r="AI4431" s="4">
        <v>-0.212289669708463</v>
      </c>
      <c r="AJ4431" s="4" t="s">
        <v>62</v>
      </c>
      <c r="AK4431" s="2">
        <v>0.39014179631033402</v>
      </c>
      <c r="AL4431" s="2">
        <v>0.66483118389622697</v>
      </c>
      <c r="AM4431" s="2">
        <v>17298.539244965799</v>
      </c>
      <c r="AN4431" s="2">
        <v>20322.0453812911</v>
      </c>
      <c r="AO4431" s="2">
        <v>19940.974634844999</v>
      </c>
      <c r="AP4431" s="2">
        <v>16519.186623503101</v>
      </c>
      <c r="AQ4431" s="2">
        <v>18501.708801738201</v>
      </c>
      <c r="AR4431" s="2">
        <v>20872.0839344212</v>
      </c>
      <c r="AS4431" s="2">
        <v>12533.4623234475</v>
      </c>
      <c r="AT4431" s="2">
        <v>14550.902531448901</v>
      </c>
      <c r="AU4431" s="2">
        <v>29534.222364138001</v>
      </c>
      <c r="AV4431" s="2">
        <v>29823.771963550698</v>
      </c>
      <c r="AW4431" s="2">
        <v>27749.6437790774</v>
      </c>
      <c r="AX4431" s="2">
        <v>17247.9613114735</v>
      </c>
    </row>
    <row r="4432" spans="1:50" x14ac:dyDescent="0.25">
      <c r="A4432" s="2" t="s">
        <v>29148</v>
      </c>
      <c r="B4432" s="2">
        <v>500.27888731496603</v>
      </c>
      <c r="C4432" s="2">
        <v>8.8669333333333302</v>
      </c>
      <c r="D4432" s="2" t="s">
        <v>51</v>
      </c>
      <c r="E4432" s="2" t="s">
        <v>29149</v>
      </c>
      <c r="F4432" s="2">
        <v>27928</v>
      </c>
      <c r="G4432" s="3" t="str">
        <f>HYPERLINK("https://cloud.oebiotech.com/#/lm/network/27928", "https://cloud.oebiotech.com/#/lm/network/27928")</f>
        <v>https://cloud.oebiotech.com/#/lm/network/27928</v>
      </c>
      <c r="H4432" s="2"/>
      <c r="I4432" s="2"/>
      <c r="J4432" s="2" t="s">
        <v>29150</v>
      </c>
      <c r="K4432" s="2"/>
      <c r="L4432" s="2"/>
      <c r="M4432" s="2"/>
      <c r="N4432" s="2"/>
      <c r="O4432" s="2"/>
      <c r="P4432" s="2"/>
      <c r="Q4432" s="2"/>
      <c r="R4432" s="2"/>
      <c r="S4432" s="2" t="s">
        <v>29151</v>
      </c>
      <c r="T4432" s="2" t="s">
        <v>29152</v>
      </c>
      <c r="U4432" s="2" t="s">
        <v>56</v>
      </c>
      <c r="V4432" s="2" t="s">
        <v>57</v>
      </c>
      <c r="W4432" s="2" t="s">
        <v>155</v>
      </c>
      <c r="X4432" s="2" t="s">
        <v>69</v>
      </c>
      <c r="Y4432" s="2">
        <v>66</v>
      </c>
      <c r="Z4432" s="2">
        <v>98.9</v>
      </c>
      <c r="AA4432" s="2" t="s">
        <v>156</v>
      </c>
      <c r="AB4432" s="2" t="s">
        <v>29153</v>
      </c>
      <c r="AC4432" s="2">
        <v>3.3281029527186998</v>
      </c>
      <c r="AD4432" s="2"/>
      <c r="AE4432" s="2">
        <v>9.4460889947139096E-2</v>
      </c>
      <c r="AF4432" s="2">
        <v>25275.602736284101</v>
      </c>
      <c r="AG4432" s="2">
        <v>28751.034129984098</v>
      </c>
      <c r="AH4432" s="4">
        <v>0.87911977781434003</v>
      </c>
      <c r="AI4432" s="4">
        <v>-0.18586835262875301</v>
      </c>
      <c r="AJ4432" s="4" t="s">
        <v>62</v>
      </c>
      <c r="AK4432" s="2">
        <v>0.61390004139059595</v>
      </c>
      <c r="AL4432" s="2">
        <v>0.80778469542020503</v>
      </c>
      <c r="AM4432" s="2">
        <v>39313.613491857199</v>
      </c>
      <c r="AN4432" s="2">
        <v>23584.076020369099</v>
      </c>
      <c r="AO4432" s="2">
        <v>24343.1216690074</v>
      </c>
      <c r="AP4432" s="2">
        <v>25245.145017194998</v>
      </c>
      <c r="AQ4432" s="2">
        <v>16455.947622129999</v>
      </c>
      <c r="AR4432" s="2">
        <v>22711.712597146001</v>
      </c>
      <c r="AS4432" s="2">
        <v>21626.232440474701</v>
      </c>
      <c r="AT4432" s="2">
        <v>13569.9265514365</v>
      </c>
      <c r="AU4432" s="2">
        <v>54363.460779025598</v>
      </c>
      <c r="AV4432" s="2">
        <v>34016.573942897398</v>
      </c>
      <c r="AW4432" s="2">
        <v>29443.252702067799</v>
      </c>
      <c r="AX4432" s="2">
        <v>19486.758364002599</v>
      </c>
    </row>
    <row r="4433" spans="1:50" x14ac:dyDescent="0.25">
      <c r="A4433" s="2" t="s">
        <v>29154</v>
      </c>
      <c r="B4433" s="2">
        <v>207.02279734005199</v>
      </c>
      <c r="C4433" s="2">
        <v>5.1084166666666704</v>
      </c>
      <c r="D4433" s="2" t="s">
        <v>51</v>
      </c>
      <c r="E4433" s="2" t="s">
        <v>29155</v>
      </c>
      <c r="F4433" s="2">
        <v>514689</v>
      </c>
      <c r="G4433" s="3" t="str">
        <f>HYPERLINK("https://cloud.oebiotech.com/#/lm/network/514689", "https://cloud.oebiotech.com/#/lm/network/514689")</f>
        <v>https://cloud.oebiotech.com/#/lm/network/514689</v>
      </c>
      <c r="H4433" s="2"/>
      <c r="I4433" s="2">
        <v>96416</v>
      </c>
      <c r="J4433" s="2"/>
      <c r="K4433" s="2">
        <v>270010</v>
      </c>
      <c r="L4433" s="2"/>
      <c r="M4433" s="2"/>
      <c r="N4433" s="2"/>
      <c r="O4433" s="2"/>
      <c r="P4433" s="2"/>
      <c r="Q4433" s="2"/>
      <c r="R4433" s="2" t="s">
        <v>29156</v>
      </c>
      <c r="S4433" s="2" t="s">
        <v>29157</v>
      </c>
      <c r="T4433" s="2" t="s">
        <v>29158</v>
      </c>
      <c r="U4433" s="2" t="s">
        <v>610</v>
      </c>
      <c r="V4433" s="2" t="s">
        <v>611</v>
      </c>
      <c r="W4433" s="2" t="s">
        <v>240</v>
      </c>
      <c r="X4433" s="2" t="s">
        <v>147</v>
      </c>
      <c r="Y4433" s="2">
        <v>37.799999999999997</v>
      </c>
      <c r="Z4433" s="2">
        <v>0</v>
      </c>
      <c r="AA4433" s="2" t="s">
        <v>218</v>
      </c>
      <c r="AB4433" s="2" t="s">
        <v>29159</v>
      </c>
      <c r="AC4433" s="2">
        <v>-3.5471770911608602</v>
      </c>
      <c r="AD4433" s="2"/>
      <c r="AE4433" s="2">
        <v>9.4442498734307406E-2</v>
      </c>
      <c r="AF4433" s="2">
        <v>840.21380207969696</v>
      </c>
      <c r="AG4433" s="2">
        <v>1123.1337990924101</v>
      </c>
      <c r="AH4433" s="4">
        <v>0.74809769126230596</v>
      </c>
      <c r="AI4433" s="4">
        <v>-0.41870141635608299</v>
      </c>
      <c r="AJ4433" s="4" t="s">
        <v>62</v>
      </c>
      <c r="AK4433" s="2">
        <v>0.13884024652479901</v>
      </c>
      <c r="AL4433" s="2">
        <v>0.45923352345858398</v>
      </c>
      <c r="AM4433" s="2">
        <v>735.21295105082402</v>
      </c>
      <c r="AN4433" s="2">
        <v>514.63753083636504</v>
      </c>
      <c r="AO4433" s="2">
        <v>1122.33652399636</v>
      </c>
      <c r="AP4433" s="2">
        <v>1042.1646508962799</v>
      </c>
      <c r="AQ4433" s="2">
        <v>1020.8395286306099</v>
      </c>
      <c r="AR4433" s="2">
        <v>606.09162706774202</v>
      </c>
      <c r="AS4433" s="2">
        <v>1641.4196082221299</v>
      </c>
      <c r="AT4433" s="2">
        <v>1120.03704056589</v>
      </c>
      <c r="AU4433" s="2">
        <v>884.42492985856904</v>
      </c>
      <c r="AV4433" s="2">
        <v>1077.1427155658901</v>
      </c>
      <c r="AW4433" s="2">
        <v>654.91528417862196</v>
      </c>
      <c r="AX4433" s="2">
        <v>1360.86321616338</v>
      </c>
    </row>
    <row r="4434" spans="1:50" x14ac:dyDescent="0.25">
      <c r="A4434" s="2" t="s">
        <v>29160</v>
      </c>
      <c r="B4434" s="2">
        <v>133.064759788976</v>
      </c>
      <c r="C4434" s="2">
        <v>5.8859166666666702</v>
      </c>
      <c r="D4434" s="2" t="s">
        <v>51</v>
      </c>
      <c r="E4434" s="2" t="s">
        <v>29161</v>
      </c>
      <c r="F4434" s="2">
        <v>56579</v>
      </c>
      <c r="G4434" s="3" t="str">
        <f>HYPERLINK("https://cloud.oebiotech.com/#/lm/network/56579", "https://cloud.oebiotech.com/#/lm/network/56579")</f>
        <v>https://cloud.oebiotech.com/#/lm/network/56579</v>
      </c>
      <c r="H4434" s="2" t="s">
        <v>29162</v>
      </c>
      <c r="I4434" s="2">
        <v>88214</v>
      </c>
      <c r="J4434" s="2"/>
      <c r="K4434" s="2">
        <v>75370</v>
      </c>
      <c r="L4434" s="2"/>
      <c r="M4434" s="2"/>
      <c r="N4434" s="2"/>
      <c r="O4434" s="2"/>
      <c r="P4434" s="2"/>
      <c r="Q4434" s="2"/>
      <c r="R4434" s="2" t="s">
        <v>29163</v>
      </c>
      <c r="S4434" s="2" t="s">
        <v>29164</v>
      </c>
      <c r="T4434" s="2" t="s">
        <v>29165</v>
      </c>
      <c r="U4434" s="2" t="s">
        <v>610</v>
      </c>
      <c r="V4434" s="2" t="s">
        <v>611</v>
      </c>
      <c r="W4434" s="2" t="s">
        <v>29166</v>
      </c>
      <c r="X4434" s="2" t="s">
        <v>83</v>
      </c>
      <c r="Y4434" s="2">
        <v>45</v>
      </c>
      <c r="Z4434" s="2">
        <v>0</v>
      </c>
      <c r="AA4434" s="2" t="s">
        <v>379</v>
      </c>
      <c r="AB4434" s="2" t="s">
        <v>13856</v>
      </c>
      <c r="AC4434" s="2">
        <v>-7.42166822960177</v>
      </c>
      <c r="AD4434" s="2"/>
      <c r="AE4434" s="2">
        <v>9.4421928986744896E-2</v>
      </c>
      <c r="AF4434" s="2">
        <v>149.80806461895199</v>
      </c>
      <c r="AG4434" s="2">
        <v>600.28152520186097</v>
      </c>
      <c r="AH4434" s="4">
        <v>0.24956301057003999</v>
      </c>
      <c r="AI4434" s="4">
        <v>-2.0025239764793801</v>
      </c>
      <c r="AJ4434" s="4" t="s">
        <v>62</v>
      </c>
      <c r="AK4434" s="2">
        <v>0.405232875872168</v>
      </c>
      <c r="AL4434" s="2">
        <v>0.67203005141146999</v>
      </c>
      <c r="AM4434" s="2">
        <v>18.984740909505799</v>
      </c>
      <c r="AN4434" s="2">
        <v>313.357474108406</v>
      </c>
      <c r="AO4434" s="2">
        <v>89.8424592459682</v>
      </c>
      <c r="AP4434" s="2">
        <v>311.91935193768597</v>
      </c>
      <c r="AQ4434" s="2">
        <v>51.965310410610698</v>
      </c>
      <c r="AR4434" s="2">
        <v>112.779051101536</v>
      </c>
      <c r="AS4434" s="2">
        <v>8.559877937157E-6</v>
      </c>
      <c r="AT4434" s="2">
        <v>8.559877937157E-6</v>
      </c>
      <c r="AU4434" s="2">
        <v>385.61159352655397</v>
      </c>
      <c r="AV4434" s="2">
        <v>25.459561985562701</v>
      </c>
      <c r="AW4434" s="2">
        <v>3160.5525097261502</v>
      </c>
      <c r="AX4434" s="2">
        <v>30.065468853144299</v>
      </c>
    </row>
    <row r="4435" spans="1:50" x14ac:dyDescent="0.25">
      <c r="A4435" s="2" t="s">
        <v>29167</v>
      </c>
      <c r="B4435" s="2">
        <v>506.36258563291102</v>
      </c>
      <c r="C4435" s="2">
        <v>9.7668833333333307</v>
      </c>
      <c r="D4435" s="2" t="s">
        <v>51</v>
      </c>
      <c r="E4435" s="2" t="s">
        <v>29168</v>
      </c>
      <c r="F4435" s="2">
        <v>60553</v>
      </c>
      <c r="G4435" s="3" t="str">
        <f>HYPERLINK("https://cloud.oebiotech.com/#/lm/network/60553", "https://cloud.oebiotech.com/#/lm/network/60553")</f>
        <v>https://cloud.oebiotech.com/#/lm/network/60553</v>
      </c>
      <c r="H4435" s="2" t="s">
        <v>29169</v>
      </c>
      <c r="I4435" s="2">
        <v>91884</v>
      </c>
      <c r="J4435" s="2"/>
      <c r="K4435" s="2">
        <v>131752079</v>
      </c>
      <c r="L4435" s="2"/>
      <c r="M4435" s="2"/>
      <c r="N4435" s="2"/>
      <c r="O4435" s="2">
        <v>175795</v>
      </c>
      <c r="P4435" s="2"/>
      <c r="Q4435" s="2"/>
      <c r="R4435" s="2" t="s">
        <v>29170</v>
      </c>
      <c r="S4435" s="2" t="s">
        <v>29171</v>
      </c>
      <c r="T4435" s="2" t="s">
        <v>29172</v>
      </c>
      <c r="U4435" s="2" t="s">
        <v>56</v>
      </c>
      <c r="V4435" s="2" t="s">
        <v>177</v>
      </c>
      <c r="W4435" s="2" t="s">
        <v>3270</v>
      </c>
      <c r="X4435" s="2" t="s">
        <v>147</v>
      </c>
      <c r="Y4435" s="2">
        <v>37.9</v>
      </c>
      <c r="Z4435" s="2">
        <v>0</v>
      </c>
      <c r="AA4435" s="2" t="s">
        <v>512</v>
      </c>
      <c r="AB4435" s="2" t="s">
        <v>29173</v>
      </c>
      <c r="AC4435" s="2">
        <v>-0.58396454516531604</v>
      </c>
      <c r="AD4435" s="2"/>
      <c r="AE4435" s="2">
        <v>9.4376368301111499E-2</v>
      </c>
      <c r="AF4435" s="2">
        <v>7192.1346845674998</v>
      </c>
      <c r="AG4435" s="2">
        <v>6655.6390829726497</v>
      </c>
      <c r="AH4435" s="5">
        <v>1.0806076764239501</v>
      </c>
      <c r="AI4435" s="5">
        <v>0.111842835735604</v>
      </c>
      <c r="AJ4435" s="5" t="s">
        <v>139</v>
      </c>
      <c r="AK4435" s="2">
        <v>0.68145137734303696</v>
      </c>
      <c r="AL4435" s="2">
        <v>0.84621979236260403</v>
      </c>
      <c r="AM4435" s="2">
        <v>8539.81028074399</v>
      </c>
      <c r="AN4435" s="2">
        <v>10395.763208109</v>
      </c>
      <c r="AO4435" s="2">
        <v>7734.1481709460704</v>
      </c>
      <c r="AP4435" s="2">
        <v>6949.3417865555402</v>
      </c>
      <c r="AQ4435" s="2">
        <v>4803.8514255173504</v>
      </c>
      <c r="AR4435" s="2">
        <v>4729.8932355330198</v>
      </c>
      <c r="AS4435" s="2">
        <v>5850.7597350038895</v>
      </c>
      <c r="AT4435" s="2">
        <v>7359.4853878969998</v>
      </c>
      <c r="AU4435" s="2">
        <v>4343.6695495604499</v>
      </c>
      <c r="AV4435" s="2">
        <v>5607.8268228440402</v>
      </c>
      <c r="AW4435" s="2">
        <v>6089.2443973527397</v>
      </c>
      <c r="AX4435" s="2">
        <v>10682.8486051778</v>
      </c>
    </row>
    <row r="4436" spans="1:50" x14ac:dyDescent="0.25">
      <c r="A4436" s="2" t="s">
        <v>29174</v>
      </c>
      <c r="B4436" s="2">
        <v>478.19881319059499</v>
      </c>
      <c r="C4436" s="2">
        <v>4.5012333333333299</v>
      </c>
      <c r="D4436" s="2" t="s">
        <v>51</v>
      </c>
      <c r="E4436" s="2" t="s">
        <v>29175</v>
      </c>
      <c r="F4436" s="2">
        <v>203964</v>
      </c>
      <c r="G4436" s="3" t="str">
        <f>HYPERLINK("https://cloud.oebiotech.com/#/lm/network/203964", "https://cloud.oebiotech.com/#/lm/network/203964")</f>
        <v>https://cloud.oebiotech.com/#/lm/network/203964</v>
      </c>
      <c r="H4436" s="2" t="s">
        <v>29176</v>
      </c>
      <c r="I4436" s="2"/>
      <c r="J4436" s="2"/>
      <c r="K4436" s="2">
        <v>9824190</v>
      </c>
      <c r="L4436" s="2"/>
      <c r="M4436" s="2"/>
      <c r="N4436" s="2"/>
      <c r="O4436" s="2"/>
      <c r="P4436" s="2"/>
      <c r="Q4436" s="2"/>
      <c r="R4436" s="2"/>
      <c r="S4436" s="2" t="s">
        <v>29177</v>
      </c>
      <c r="T4436" s="2" t="s">
        <v>29178</v>
      </c>
      <c r="U4436" s="2" t="s">
        <v>238</v>
      </c>
      <c r="V4436" s="2" t="s">
        <v>29179</v>
      </c>
      <c r="W4436" s="2" t="s">
        <v>240</v>
      </c>
      <c r="X4436" s="2" t="s">
        <v>147</v>
      </c>
      <c r="Y4436" s="2">
        <v>38</v>
      </c>
      <c r="Z4436" s="2">
        <v>0</v>
      </c>
      <c r="AA4436" s="2" t="s">
        <v>218</v>
      </c>
      <c r="AB4436" s="2" t="s">
        <v>29180</v>
      </c>
      <c r="AC4436" s="2">
        <v>1.0479268250293801</v>
      </c>
      <c r="AD4436" s="2"/>
      <c r="AE4436" s="2">
        <v>9.4310905404338799E-2</v>
      </c>
      <c r="AF4436" s="2">
        <v>2819.6446209509099</v>
      </c>
      <c r="AG4436" s="2">
        <v>4033.5877730237198</v>
      </c>
      <c r="AH4436" s="4">
        <v>0.69904134473246005</v>
      </c>
      <c r="AI4436" s="4">
        <v>-0.51655030870507801</v>
      </c>
      <c r="AJ4436" s="4" t="s">
        <v>62</v>
      </c>
      <c r="AK4436" s="2">
        <v>0.56873569300111104</v>
      </c>
      <c r="AL4436" s="2">
        <v>0.78311574344879098</v>
      </c>
      <c r="AM4436" s="2">
        <v>985.01430309384102</v>
      </c>
      <c r="AN4436" s="2">
        <v>4480.5598291866299</v>
      </c>
      <c r="AO4436" s="2">
        <v>2572.77095119555</v>
      </c>
      <c r="AP4436" s="2">
        <v>3753.9437077034599</v>
      </c>
      <c r="AQ4436" s="2">
        <v>2118.25490476908</v>
      </c>
      <c r="AR4436" s="2">
        <v>3007.3240297569</v>
      </c>
      <c r="AS4436" s="2">
        <v>7951.1174052556198</v>
      </c>
      <c r="AT4436" s="2">
        <v>12158.194305352699</v>
      </c>
      <c r="AU4436" s="2">
        <v>8.559877937157E-6</v>
      </c>
      <c r="AV4436" s="2">
        <v>1213.4185131402301</v>
      </c>
      <c r="AW4436" s="2">
        <v>855.54882129764201</v>
      </c>
      <c r="AX4436" s="2">
        <v>2023.2475845362601</v>
      </c>
    </row>
    <row r="4437" spans="1:50" x14ac:dyDescent="0.25">
      <c r="A4437" s="2" t="s">
        <v>29181</v>
      </c>
      <c r="B4437" s="2">
        <v>690.27627183918401</v>
      </c>
      <c r="C4437" s="2">
        <v>10.452766666666699</v>
      </c>
      <c r="D4437" s="2" t="s">
        <v>51</v>
      </c>
      <c r="E4437" s="2" t="s">
        <v>29182</v>
      </c>
      <c r="F4437" s="2">
        <v>266682</v>
      </c>
      <c r="G4437" s="3" t="str">
        <f>HYPERLINK("https://cloud.oebiotech.com/#/lm/network/266682", "https://cloud.oebiotech.com/#/lm/network/266682")</f>
        <v>https://cloud.oebiotech.com/#/lm/network/266682</v>
      </c>
      <c r="H4437" s="2"/>
      <c r="I4437" s="2">
        <v>43770</v>
      </c>
      <c r="J4437" s="2"/>
      <c r="K4437" s="2">
        <v>6708531</v>
      </c>
      <c r="L4437" s="2"/>
      <c r="M4437" s="2"/>
      <c r="N4437" s="2"/>
      <c r="O4437" s="2"/>
      <c r="P4437" s="2"/>
      <c r="Q4437" s="2"/>
      <c r="R4437" s="2" t="s">
        <v>29183</v>
      </c>
      <c r="S4437" s="2" t="s">
        <v>29184</v>
      </c>
      <c r="T4437" s="2" t="s">
        <v>29185</v>
      </c>
      <c r="U4437" s="2" t="s">
        <v>56</v>
      </c>
      <c r="V4437" s="2" t="s">
        <v>177</v>
      </c>
      <c r="W4437" s="2" t="s">
        <v>178</v>
      </c>
      <c r="X4437" s="2" t="s">
        <v>147</v>
      </c>
      <c r="Y4437" s="2">
        <v>36.4</v>
      </c>
      <c r="Z4437" s="2">
        <v>0</v>
      </c>
      <c r="AA4437" s="2" t="s">
        <v>218</v>
      </c>
      <c r="AB4437" s="2" t="s">
        <v>29186</v>
      </c>
      <c r="AC4437" s="2">
        <v>-0.70798783365183504</v>
      </c>
      <c r="AD4437" s="2"/>
      <c r="AE4437" s="2">
        <v>9.42852200580548E-2</v>
      </c>
      <c r="AF4437" s="2">
        <v>2736.4146102694699</v>
      </c>
      <c r="AG4437" s="2">
        <v>3073.9043688142601</v>
      </c>
      <c r="AH4437" s="4">
        <v>0.89020811383440102</v>
      </c>
      <c r="AI4437" s="4">
        <v>-0.16778544454055699</v>
      </c>
      <c r="AJ4437" s="4" t="s">
        <v>62</v>
      </c>
      <c r="AK4437" s="2">
        <v>0.51248215534626496</v>
      </c>
      <c r="AL4437" s="2">
        <v>0.74605624982876495</v>
      </c>
      <c r="AM4437" s="2">
        <v>1477.7504324086999</v>
      </c>
      <c r="AN4437" s="2">
        <v>3854.15706481282</v>
      </c>
      <c r="AO4437" s="2">
        <v>3364.30016818901</v>
      </c>
      <c r="AP4437" s="2">
        <v>2835.20105239855</v>
      </c>
      <c r="AQ4437" s="2">
        <v>2832.1283977313601</v>
      </c>
      <c r="AR4437" s="2">
        <v>2054.9505460763799</v>
      </c>
      <c r="AS4437" s="2">
        <v>4356.4509814251896</v>
      </c>
      <c r="AT4437" s="2">
        <v>2342.0422785933501</v>
      </c>
      <c r="AU4437" s="2">
        <v>1955.28023896165</v>
      </c>
      <c r="AV4437" s="2">
        <v>3155.3411220958501</v>
      </c>
      <c r="AW4437" s="2">
        <v>3582.8395126849</v>
      </c>
      <c r="AX4437" s="2">
        <v>3051.47207912464</v>
      </c>
    </row>
    <row r="4438" spans="1:50" x14ac:dyDescent="0.25">
      <c r="A4438" s="2" t="s">
        <v>29187</v>
      </c>
      <c r="B4438" s="2">
        <v>251.16480922193401</v>
      </c>
      <c r="C4438" s="2">
        <v>6.9315166666666697</v>
      </c>
      <c r="D4438" s="2" t="s">
        <v>51</v>
      </c>
      <c r="E4438" s="2" t="s">
        <v>29188</v>
      </c>
      <c r="F4438" s="2">
        <v>273741</v>
      </c>
      <c r="G4438" s="3" t="str">
        <f>HYPERLINK("https://cloud.oebiotech.com/#/lm/network/273741", "https://cloud.oebiotech.com/#/lm/network/273741")</f>
        <v>https://cloud.oebiotech.com/#/lm/network/273741</v>
      </c>
      <c r="H4438" s="2"/>
      <c r="I4438" s="2">
        <v>63037</v>
      </c>
      <c r="J4438" s="2"/>
      <c r="K4438" s="2">
        <v>12895810</v>
      </c>
      <c r="L4438" s="2"/>
      <c r="M4438" s="2"/>
      <c r="N4438" s="2"/>
      <c r="O4438" s="2"/>
      <c r="P4438" s="2"/>
      <c r="Q4438" s="2"/>
      <c r="R4438" s="2"/>
      <c r="S4438" s="2" t="s">
        <v>29189</v>
      </c>
      <c r="T4438" s="2" t="s">
        <v>29190</v>
      </c>
      <c r="U4438" s="2" t="s">
        <v>56</v>
      </c>
      <c r="V4438" s="2" t="s">
        <v>145</v>
      </c>
      <c r="W4438" s="2" t="s">
        <v>146</v>
      </c>
      <c r="X4438" s="2" t="s">
        <v>83</v>
      </c>
      <c r="Y4438" s="2">
        <v>46.5</v>
      </c>
      <c r="Z4438" s="2">
        <v>0</v>
      </c>
      <c r="AA4438" s="2" t="s">
        <v>156</v>
      </c>
      <c r="AB4438" s="2" t="s">
        <v>16617</v>
      </c>
      <c r="AC4438" s="2">
        <v>2.3799457841992901</v>
      </c>
      <c r="AD4438" s="2"/>
      <c r="AE4438" s="2">
        <v>9.4133897210376197E-2</v>
      </c>
      <c r="AF4438" s="2">
        <v>5093.1071302298697</v>
      </c>
      <c r="AG4438" s="2">
        <v>5594.1662600905602</v>
      </c>
      <c r="AH4438" s="4">
        <v>0.91043184872153304</v>
      </c>
      <c r="AI4438" s="4">
        <v>-0.13537706801074001</v>
      </c>
      <c r="AJ4438" s="4" t="s">
        <v>62</v>
      </c>
      <c r="AK4438" s="2">
        <v>0.20939571253646799</v>
      </c>
      <c r="AL4438" s="2">
        <v>0.53413913919887801</v>
      </c>
      <c r="AM4438" s="2">
        <v>4972.2769733197601</v>
      </c>
      <c r="AN4438" s="2">
        <v>6036.1298870463997</v>
      </c>
      <c r="AO4438" s="2">
        <v>4895.8251751908901</v>
      </c>
      <c r="AP4438" s="2">
        <v>5080.00100793205</v>
      </c>
      <c r="AQ4438" s="2">
        <v>5286.0263703484597</v>
      </c>
      <c r="AR4438" s="2">
        <v>4288.3833675416699</v>
      </c>
      <c r="AS4438" s="2">
        <v>5822.7496513778597</v>
      </c>
      <c r="AT4438" s="2">
        <v>6037.15796806254</v>
      </c>
      <c r="AU4438" s="2">
        <v>5147.7218048491604</v>
      </c>
      <c r="AV4438" s="2">
        <v>4803.3602705702497</v>
      </c>
      <c r="AW4438" s="2">
        <v>5063.4828270232902</v>
      </c>
      <c r="AX4438" s="2">
        <v>6690.5250386602502</v>
      </c>
    </row>
    <row r="4439" spans="1:50" x14ac:dyDescent="0.25">
      <c r="A4439" s="2" t="s">
        <v>29191</v>
      </c>
      <c r="B4439" s="2">
        <v>377.18667206091698</v>
      </c>
      <c r="C4439" s="2">
        <v>10.74095</v>
      </c>
      <c r="D4439" s="2" t="s">
        <v>51</v>
      </c>
      <c r="E4439" s="2" t="s">
        <v>29192</v>
      </c>
      <c r="F4439" s="2">
        <v>267044</v>
      </c>
      <c r="G4439" s="3" t="str">
        <f>HYPERLINK("https://cloud.oebiotech.com/#/lm/network/267044", "https://cloud.oebiotech.com/#/lm/network/267044")</f>
        <v>https://cloud.oebiotech.com/#/lm/network/267044</v>
      </c>
      <c r="H4439" s="2"/>
      <c r="I4439" s="2">
        <v>44610</v>
      </c>
      <c r="J4439" s="2"/>
      <c r="K4439" s="2">
        <v>6975516</v>
      </c>
      <c r="L4439" s="2"/>
      <c r="M4439" s="2"/>
      <c r="N4439" s="2"/>
      <c r="O4439" s="2"/>
      <c r="P4439" s="2"/>
      <c r="Q4439" s="2"/>
      <c r="R4439" s="2" t="s">
        <v>29193</v>
      </c>
      <c r="S4439" s="2" t="s">
        <v>29194</v>
      </c>
      <c r="T4439" s="2" t="s">
        <v>29195</v>
      </c>
      <c r="U4439" s="2" t="s">
        <v>238</v>
      </c>
      <c r="V4439" s="2" t="s">
        <v>2541</v>
      </c>
      <c r="W4439" s="2" t="s">
        <v>240</v>
      </c>
      <c r="X4439" s="2" t="s">
        <v>147</v>
      </c>
      <c r="Y4439" s="2">
        <v>38</v>
      </c>
      <c r="Z4439" s="2">
        <v>0</v>
      </c>
      <c r="AA4439" s="2" t="s">
        <v>379</v>
      </c>
      <c r="AB4439" s="2" t="s">
        <v>29196</v>
      </c>
      <c r="AC4439" s="2">
        <v>-0.99495204663797598</v>
      </c>
      <c r="AD4439" s="2"/>
      <c r="AE4439" s="2">
        <v>9.3929398467179806E-2</v>
      </c>
      <c r="AF4439" s="2">
        <v>2870.10251241887</v>
      </c>
      <c r="AG4439" s="2">
        <v>2177.9382086579599</v>
      </c>
      <c r="AH4439" s="5">
        <v>1.3178071356704899</v>
      </c>
      <c r="AI4439" s="5">
        <v>0.39813924381210503</v>
      </c>
      <c r="AJ4439" s="5" t="s">
        <v>139</v>
      </c>
      <c r="AK4439" s="2">
        <v>0.24911210011422499</v>
      </c>
      <c r="AL4439" s="2">
        <v>0.57213869956601804</v>
      </c>
      <c r="AM4439" s="2">
        <v>1473.72776091938</v>
      </c>
      <c r="AN4439" s="2">
        <v>2913.2250042772098</v>
      </c>
      <c r="AO4439" s="2">
        <v>2746.2755564849699</v>
      </c>
      <c r="AP4439" s="2">
        <v>1778.1400885087501</v>
      </c>
      <c r="AQ4439" s="2">
        <v>4898.5614430781097</v>
      </c>
      <c r="AR4439" s="2">
        <v>3410.6852212448098</v>
      </c>
      <c r="AS4439" s="2">
        <v>2672.0336416466698</v>
      </c>
      <c r="AT4439" s="2">
        <v>1501.7353200115699</v>
      </c>
      <c r="AU4439" s="2">
        <v>2492.1614949007499</v>
      </c>
      <c r="AV4439" s="2">
        <v>2548.4417193409199</v>
      </c>
      <c r="AW4439" s="2">
        <v>2622.3401109453798</v>
      </c>
      <c r="AX4439" s="2">
        <v>1230.9169651024599</v>
      </c>
    </row>
    <row r="4440" spans="1:50" x14ac:dyDescent="0.25">
      <c r="A4440" s="2" t="s">
        <v>29197</v>
      </c>
      <c r="B4440" s="2">
        <v>251.20159524963901</v>
      </c>
      <c r="C4440" s="2">
        <v>11.769866666666699</v>
      </c>
      <c r="D4440" s="2" t="s">
        <v>51</v>
      </c>
      <c r="E4440" s="2" t="s">
        <v>29198</v>
      </c>
      <c r="F4440" s="2">
        <v>617</v>
      </c>
      <c r="G4440" s="3" t="str">
        <f>HYPERLINK("https://cloud.oebiotech.com/#/lm/network/617", "https://cloud.oebiotech.com/#/lm/network/617")</f>
        <v>https://cloud.oebiotech.com/#/lm/network/617</v>
      </c>
      <c r="H4440" s="2"/>
      <c r="I4440" s="2">
        <v>34787</v>
      </c>
      <c r="J4440" s="2" t="s">
        <v>29199</v>
      </c>
      <c r="K4440" s="2">
        <v>5282787</v>
      </c>
      <c r="L4440" s="2"/>
      <c r="M4440" s="2"/>
      <c r="N4440" s="2"/>
      <c r="O4440" s="2"/>
      <c r="P4440" s="2"/>
      <c r="Q4440" s="2"/>
      <c r="R4440" s="2"/>
      <c r="S4440" s="2" t="s">
        <v>29200</v>
      </c>
      <c r="T4440" s="2" t="s">
        <v>29201</v>
      </c>
      <c r="U4440" s="2" t="s">
        <v>56</v>
      </c>
      <c r="V4440" s="2" t="s">
        <v>145</v>
      </c>
      <c r="W4440" s="2" t="s">
        <v>231</v>
      </c>
      <c r="X4440" s="2" t="s">
        <v>83</v>
      </c>
      <c r="Y4440" s="2">
        <v>57.1</v>
      </c>
      <c r="Z4440" s="2">
        <v>0</v>
      </c>
      <c r="AA4440" s="2" t="s">
        <v>163</v>
      </c>
      <c r="AB4440" s="2" t="s">
        <v>10316</v>
      </c>
      <c r="AC4440" s="2">
        <v>-0.23177387574025099</v>
      </c>
      <c r="AD4440" s="2"/>
      <c r="AE4440" s="2">
        <v>9.38528070495767E-2</v>
      </c>
      <c r="AF4440" s="2">
        <v>188.68502332765601</v>
      </c>
      <c r="AG4440" s="2">
        <v>666.11603840785199</v>
      </c>
      <c r="AH4440" s="4">
        <v>0.28326149266522699</v>
      </c>
      <c r="AI4440" s="4">
        <v>-1.8197936037144</v>
      </c>
      <c r="AJ4440" s="4" t="s">
        <v>62</v>
      </c>
      <c r="AK4440" s="2">
        <v>0.15822565098191299</v>
      </c>
      <c r="AL4440" s="2">
        <v>0.48099625697880999</v>
      </c>
      <c r="AM4440" s="2">
        <v>192.19680406244899</v>
      </c>
      <c r="AN4440" s="2">
        <v>300.59105477639503</v>
      </c>
      <c r="AO4440" s="2">
        <v>270.09892535254301</v>
      </c>
      <c r="AP4440" s="2">
        <v>83.983691947349001</v>
      </c>
      <c r="AQ4440" s="2">
        <v>82.698123694560707</v>
      </c>
      <c r="AR4440" s="2">
        <v>202.54154013263999</v>
      </c>
      <c r="AS4440" s="2">
        <v>8.559877937157E-6</v>
      </c>
      <c r="AT4440" s="2">
        <v>228.454215297443</v>
      </c>
      <c r="AU4440" s="2">
        <v>2026.7004063885299</v>
      </c>
      <c r="AV4440" s="2">
        <v>725.99820804682804</v>
      </c>
      <c r="AW4440" s="2">
        <v>931.08944894692604</v>
      </c>
      <c r="AX4440" s="2">
        <v>84.453943207506398</v>
      </c>
    </row>
    <row r="4441" spans="1:50" x14ac:dyDescent="0.25">
      <c r="A4441" s="2" t="s">
        <v>29202</v>
      </c>
      <c r="B4441" s="2">
        <v>437.32737966140598</v>
      </c>
      <c r="C4441" s="2">
        <v>10.7341</v>
      </c>
      <c r="D4441" s="2" t="s">
        <v>51</v>
      </c>
      <c r="E4441" s="2" t="s">
        <v>29203</v>
      </c>
      <c r="F4441" s="2">
        <v>47851</v>
      </c>
      <c r="G4441" s="3" t="str">
        <f>HYPERLINK("https://cloud.oebiotech.com/#/lm/network/47851", "https://cloud.oebiotech.com/#/lm/network/47851")</f>
        <v>https://cloud.oebiotech.com/#/lm/network/47851</v>
      </c>
      <c r="H4441" s="2" t="s">
        <v>29204</v>
      </c>
      <c r="I4441" s="2">
        <v>6538</v>
      </c>
      <c r="J4441" s="2"/>
      <c r="K4441" s="2">
        <v>22833587</v>
      </c>
      <c r="L4441" s="2"/>
      <c r="M4441" s="2"/>
      <c r="N4441" s="2"/>
      <c r="O4441" s="2"/>
      <c r="P4441" s="2"/>
      <c r="Q4441" s="2"/>
      <c r="R4441" s="2" t="s">
        <v>29205</v>
      </c>
      <c r="S4441" s="2" t="s">
        <v>29206</v>
      </c>
      <c r="T4441" s="2" t="s">
        <v>29207</v>
      </c>
      <c r="U4441" s="2" t="s">
        <v>56</v>
      </c>
      <c r="V4441" s="2" t="s">
        <v>283</v>
      </c>
      <c r="W4441" s="2" t="s">
        <v>2042</v>
      </c>
      <c r="X4441" s="2" t="s">
        <v>83</v>
      </c>
      <c r="Y4441" s="2">
        <v>41.6</v>
      </c>
      <c r="Z4441" s="2">
        <v>0</v>
      </c>
      <c r="AA4441" s="2" t="s">
        <v>259</v>
      </c>
      <c r="AB4441" s="2" t="s">
        <v>29208</v>
      </c>
      <c r="AC4441" s="2">
        <v>2.81610674503212</v>
      </c>
      <c r="AD4441" s="2"/>
      <c r="AE4441" s="2">
        <v>9.3562608139719505E-2</v>
      </c>
      <c r="AF4441" s="2">
        <v>2746.2740281105698</v>
      </c>
      <c r="AG4441" s="2">
        <v>2069.9473466325398</v>
      </c>
      <c r="AH4441" s="5">
        <v>1.32673617644348</v>
      </c>
      <c r="AI4441" s="5">
        <v>0.40788151707035802</v>
      </c>
      <c r="AJ4441" s="5" t="s">
        <v>139</v>
      </c>
      <c r="AK4441" s="2">
        <v>0.41813810704381699</v>
      </c>
      <c r="AL4441" s="2">
        <v>0.68013313466277903</v>
      </c>
      <c r="AM4441" s="2">
        <v>1783.39725342066</v>
      </c>
      <c r="AN4441" s="2">
        <v>5102.0603518601401</v>
      </c>
      <c r="AO4441" s="2">
        <v>2210.5012864692499</v>
      </c>
      <c r="AP4441" s="2">
        <v>2606.06313925215</v>
      </c>
      <c r="AQ4441" s="2">
        <v>2844.4214674404898</v>
      </c>
      <c r="AR4441" s="2">
        <v>1931.20067022076</v>
      </c>
      <c r="AS4441" s="2">
        <v>883.95316827397596</v>
      </c>
      <c r="AT4441" s="2">
        <v>2507.0775726413599</v>
      </c>
      <c r="AU4441" s="2">
        <v>416.36814859250899</v>
      </c>
      <c r="AV4441" s="2">
        <v>1275.30357717991</v>
      </c>
      <c r="AW4441" s="2">
        <v>2743.8638505133399</v>
      </c>
      <c r="AX4441" s="2">
        <v>4593.11776259413</v>
      </c>
    </row>
    <row r="4442" spans="1:50" x14ac:dyDescent="0.25">
      <c r="A4442" s="2" t="s">
        <v>29209</v>
      </c>
      <c r="B4442" s="2">
        <v>704.51916091421197</v>
      </c>
      <c r="C4442" s="2">
        <v>9.9910499999999995</v>
      </c>
      <c r="D4442" s="2" t="s">
        <v>51</v>
      </c>
      <c r="E4442" s="2" t="s">
        <v>29210</v>
      </c>
      <c r="F4442" s="2">
        <v>20147</v>
      </c>
      <c r="G4442" s="3" t="str">
        <f>HYPERLINK("https://cloud.oebiotech.com/#/lm/network/20147", "https://cloud.oebiotech.com/#/lm/network/20147")</f>
        <v>https://cloud.oebiotech.com/#/lm/network/20147</v>
      </c>
      <c r="H4442" s="2" t="s">
        <v>29211</v>
      </c>
      <c r="I4442" s="2">
        <v>60337</v>
      </c>
      <c r="J4442" s="2" t="s">
        <v>29212</v>
      </c>
      <c r="K4442" s="2">
        <v>52924162</v>
      </c>
      <c r="L4442" s="2" t="s">
        <v>254</v>
      </c>
      <c r="M4442" s="2" t="s">
        <v>255</v>
      </c>
      <c r="N4442" s="2" t="s">
        <v>256</v>
      </c>
      <c r="O4442" s="2"/>
      <c r="P4442" s="2"/>
      <c r="Q4442" s="2"/>
      <c r="R4442" s="2"/>
      <c r="S4442" s="2" t="s">
        <v>29213</v>
      </c>
      <c r="T4442" s="2" t="s">
        <v>29214</v>
      </c>
      <c r="U4442" s="2" t="s">
        <v>56</v>
      </c>
      <c r="V4442" s="2" t="s">
        <v>57</v>
      </c>
      <c r="W4442" s="2" t="s">
        <v>155</v>
      </c>
      <c r="X4442" s="2" t="s">
        <v>59</v>
      </c>
      <c r="Y4442" s="2">
        <v>51</v>
      </c>
      <c r="Z4442" s="2">
        <v>70.2</v>
      </c>
      <c r="AA4442" s="2" t="s">
        <v>259</v>
      </c>
      <c r="AB4442" s="2" t="s">
        <v>29215</v>
      </c>
      <c r="AC4442" s="2">
        <v>-4.7198443246148498</v>
      </c>
      <c r="AD4442" s="2"/>
      <c r="AE4442" s="2">
        <v>9.3483696468875305E-2</v>
      </c>
      <c r="AF4442" s="2">
        <v>134691.82547142901</v>
      </c>
      <c r="AG4442" s="2">
        <v>135524.350915452</v>
      </c>
      <c r="AH4442" s="4">
        <v>0.99385700474933703</v>
      </c>
      <c r="AI4442" s="4">
        <v>-8.8898018315056795E-3</v>
      </c>
      <c r="AJ4442" s="4" t="s">
        <v>62</v>
      </c>
      <c r="AK4442" s="2">
        <v>0.94112699915143005</v>
      </c>
      <c r="AL4442" s="2">
        <v>0.97512582791658697</v>
      </c>
      <c r="AM4442" s="2">
        <v>112143.924352223</v>
      </c>
      <c r="AN4442" s="2">
        <v>115422.89365163801</v>
      </c>
      <c r="AO4442" s="2">
        <v>127002.393682622</v>
      </c>
      <c r="AP4442" s="2">
        <v>130599.96322290599</v>
      </c>
      <c r="AQ4442" s="2">
        <v>165552.34639496999</v>
      </c>
      <c r="AR4442" s="2">
        <v>157429.43152421399</v>
      </c>
      <c r="AS4442" s="2">
        <v>147374.86203107599</v>
      </c>
      <c r="AT4442" s="2">
        <v>156542.79942646899</v>
      </c>
      <c r="AU4442" s="2">
        <v>141142.878797399</v>
      </c>
      <c r="AV4442" s="2">
        <v>116464.874214878</v>
      </c>
      <c r="AW4442" s="2">
        <v>129983.560359194</v>
      </c>
      <c r="AX4442" s="2">
        <v>121637.130663694</v>
      </c>
    </row>
    <row r="4443" spans="1:50" x14ac:dyDescent="0.25">
      <c r="A4443" s="2" t="s">
        <v>29216</v>
      </c>
      <c r="B4443" s="2">
        <v>113.017228742542</v>
      </c>
      <c r="C4443" s="2">
        <v>11.0279666666667</v>
      </c>
      <c r="D4443" s="2" t="s">
        <v>51</v>
      </c>
      <c r="E4443" s="2" t="s">
        <v>29217</v>
      </c>
      <c r="F4443" s="2">
        <v>202470</v>
      </c>
      <c r="G4443" s="3" t="str">
        <f>HYPERLINK("https://cloud.oebiotech.com/#/lm/network/202470", "https://cloud.oebiotech.com/#/lm/network/202470")</f>
        <v>https://cloud.oebiotech.com/#/lm/network/202470</v>
      </c>
      <c r="H4443" s="2" t="s">
        <v>29218</v>
      </c>
      <c r="I4443" s="2">
        <v>1188</v>
      </c>
      <c r="J4443" s="2"/>
      <c r="K4443" s="2">
        <v>188309</v>
      </c>
      <c r="L4443" s="2"/>
      <c r="M4443" s="2"/>
      <c r="N4443" s="2"/>
      <c r="O4443" s="2"/>
      <c r="P4443" s="2"/>
      <c r="Q4443" s="2"/>
      <c r="R4443" s="2" t="s">
        <v>29219</v>
      </c>
      <c r="S4443" s="2" t="s">
        <v>29220</v>
      </c>
      <c r="T4443" s="2" t="s">
        <v>29221</v>
      </c>
      <c r="U4443" s="2" t="s">
        <v>103</v>
      </c>
      <c r="V4443" s="2" t="s">
        <v>104</v>
      </c>
      <c r="W4443" s="2" t="s">
        <v>105</v>
      </c>
      <c r="X4443" s="2" t="s">
        <v>147</v>
      </c>
      <c r="Y4443" s="2">
        <v>37.200000000000003</v>
      </c>
      <c r="Z4443" s="2">
        <v>7.06</v>
      </c>
      <c r="AA4443" s="2" t="s">
        <v>156</v>
      </c>
      <c r="AB4443" s="2" t="s">
        <v>29222</v>
      </c>
      <c r="AC4443" s="2">
        <v>3.3315696268439798</v>
      </c>
      <c r="AD4443" s="2"/>
      <c r="AE4443" s="2">
        <v>9.3480732238765504E-2</v>
      </c>
      <c r="AF4443" s="2">
        <v>48305.068586571302</v>
      </c>
      <c r="AG4443" s="2">
        <v>47176.2170753916</v>
      </c>
      <c r="AH4443" s="5">
        <v>1.02392840251213</v>
      </c>
      <c r="AI4443" s="5">
        <v>3.4114839408264298E-2</v>
      </c>
      <c r="AJ4443" s="5" t="s">
        <v>139</v>
      </c>
      <c r="AK4443" s="2">
        <v>0.77449054243705695</v>
      </c>
      <c r="AL4443" s="2">
        <v>0.89930575991566697</v>
      </c>
      <c r="AM4443" s="2">
        <v>45335.297800491797</v>
      </c>
      <c r="AN4443" s="2">
        <v>56318.107552732799</v>
      </c>
      <c r="AO4443" s="2">
        <v>50852.819023759403</v>
      </c>
      <c r="AP4443" s="2">
        <v>51666.317829750296</v>
      </c>
      <c r="AQ4443" s="2">
        <v>47763.649482867302</v>
      </c>
      <c r="AR4443" s="2">
        <v>37894.219829826099</v>
      </c>
      <c r="AS4443" s="2">
        <v>53291.1334828818</v>
      </c>
      <c r="AT4443" s="2">
        <v>56015.348435622902</v>
      </c>
      <c r="AU4443" s="2">
        <v>38395.191438251197</v>
      </c>
      <c r="AV4443" s="2">
        <v>41719.0616315316</v>
      </c>
      <c r="AW4443" s="2">
        <v>43736.766865129801</v>
      </c>
      <c r="AX4443" s="2">
        <v>49899.800598932103</v>
      </c>
    </row>
    <row r="4444" spans="1:50" x14ac:dyDescent="0.25">
      <c r="A4444" s="2" t="s">
        <v>29223</v>
      </c>
      <c r="B4444" s="2">
        <v>405.30113104727002</v>
      </c>
      <c r="C4444" s="2">
        <v>12.071633333333301</v>
      </c>
      <c r="D4444" s="2" t="s">
        <v>51</v>
      </c>
      <c r="E4444" s="2" t="s">
        <v>29224</v>
      </c>
      <c r="F4444" s="2">
        <v>255979</v>
      </c>
      <c r="G4444" s="3" t="str">
        <f>HYPERLINK("https://cloud.oebiotech.com/#/lm/network/255979", "https://cloud.oebiotech.com/#/lm/network/255979")</f>
        <v>https://cloud.oebiotech.com/#/lm/network/255979</v>
      </c>
      <c r="H4444" s="2" t="s">
        <v>29225</v>
      </c>
      <c r="I4444" s="2"/>
      <c r="J4444" s="2"/>
      <c r="K4444" s="2">
        <v>24826453</v>
      </c>
      <c r="L4444" s="2"/>
      <c r="M4444" s="2"/>
      <c r="N4444" s="2"/>
      <c r="O4444" s="2"/>
      <c r="P4444" s="2"/>
      <c r="Q4444" s="2"/>
      <c r="R4444" s="2"/>
      <c r="S4444" s="2" t="s">
        <v>29226</v>
      </c>
      <c r="T4444" s="2" t="s">
        <v>29227</v>
      </c>
      <c r="U4444" s="2" t="s">
        <v>610</v>
      </c>
      <c r="V4444" s="2" t="s">
        <v>895</v>
      </c>
      <c r="W4444" s="2" t="s">
        <v>896</v>
      </c>
      <c r="X4444" s="2" t="s">
        <v>83</v>
      </c>
      <c r="Y4444" s="2">
        <v>44.1</v>
      </c>
      <c r="Z4444" s="2">
        <v>0</v>
      </c>
      <c r="AA4444" s="2" t="s">
        <v>163</v>
      </c>
      <c r="AB4444" s="2" t="s">
        <v>29228</v>
      </c>
      <c r="AC4444" s="2">
        <v>0.24034480170178299</v>
      </c>
      <c r="AD4444" s="2"/>
      <c r="AE4444" s="2">
        <v>9.3433990814531007E-2</v>
      </c>
      <c r="AF4444" s="2">
        <v>4892.80872575798</v>
      </c>
      <c r="AG4444" s="2">
        <v>3907.3475131364798</v>
      </c>
      <c r="AH4444" s="5">
        <v>1.25220720944538</v>
      </c>
      <c r="AI4444" s="5">
        <v>0.32447331251358802</v>
      </c>
      <c r="AJ4444" s="5" t="s">
        <v>139</v>
      </c>
      <c r="AK4444" s="2">
        <v>0.424474473172264</v>
      </c>
      <c r="AL4444" s="2">
        <v>0.68369640456422398</v>
      </c>
      <c r="AM4444" s="2">
        <v>2422.3111028501799</v>
      </c>
      <c r="AN4444" s="2">
        <v>6066.5924549261699</v>
      </c>
      <c r="AO4444" s="2">
        <v>6661.19903332597</v>
      </c>
      <c r="AP4444" s="2">
        <v>8293.5235542594892</v>
      </c>
      <c r="AQ4444" s="2">
        <v>4328.2131388304097</v>
      </c>
      <c r="AR4444" s="2">
        <v>1585.0130703556599</v>
      </c>
      <c r="AS4444" s="2">
        <v>4561.7544145867896</v>
      </c>
      <c r="AT4444" s="2">
        <v>3852.99586428564</v>
      </c>
      <c r="AU4444" s="2">
        <v>3834.21136976138</v>
      </c>
      <c r="AV4444" s="2">
        <v>1662.44893806139</v>
      </c>
      <c r="AW4444" s="2">
        <v>3862.1093418310002</v>
      </c>
      <c r="AX4444" s="2">
        <v>5670.5651502926703</v>
      </c>
    </row>
    <row r="4445" spans="1:50" x14ac:dyDescent="0.25">
      <c r="A4445" s="2" t="s">
        <v>29229</v>
      </c>
      <c r="B4445" s="2">
        <v>361.14055300660101</v>
      </c>
      <c r="C4445" s="2">
        <v>5.0793666666666697</v>
      </c>
      <c r="D4445" s="2" t="s">
        <v>51</v>
      </c>
      <c r="E4445" s="2" t="s">
        <v>29230</v>
      </c>
      <c r="F4445" s="2">
        <v>54266</v>
      </c>
      <c r="G4445" s="3" t="str">
        <f>HYPERLINK("https://cloud.oebiotech.com/#/lm/network/54266", "https://cloud.oebiotech.com/#/lm/network/54266")</f>
        <v>https://cloud.oebiotech.com/#/lm/network/54266</v>
      </c>
      <c r="H4445" s="2" t="s">
        <v>29231</v>
      </c>
      <c r="I4445" s="2">
        <v>86166</v>
      </c>
      <c r="J4445" s="2"/>
      <c r="K4445" s="2">
        <v>14352555</v>
      </c>
      <c r="L4445" s="2"/>
      <c r="M4445" s="2"/>
      <c r="N4445" s="2"/>
      <c r="O4445" s="2">
        <v>490727</v>
      </c>
      <c r="P4445" s="2"/>
      <c r="Q4445" s="2"/>
      <c r="R4445" s="2" t="s">
        <v>29232</v>
      </c>
      <c r="S4445" s="2" t="s">
        <v>29233</v>
      </c>
      <c r="T4445" s="2" t="s">
        <v>29234</v>
      </c>
      <c r="U4445" s="2" t="s">
        <v>103</v>
      </c>
      <c r="V4445" s="2" t="s">
        <v>104</v>
      </c>
      <c r="W4445" s="2" t="s">
        <v>105</v>
      </c>
      <c r="X4445" s="2" t="s">
        <v>83</v>
      </c>
      <c r="Y4445" s="2">
        <v>42.1</v>
      </c>
      <c r="Z4445" s="2">
        <v>0</v>
      </c>
      <c r="AA4445" s="2" t="s">
        <v>512</v>
      </c>
      <c r="AB4445" s="2" t="s">
        <v>29235</v>
      </c>
      <c r="AC4445" s="2">
        <v>3.3232022249251898</v>
      </c>
      <c r="AD4445" s="2"/>
      <c r="AE4445" s="2">
        <v>9.3431886159688907E-2</v>
      </c>
      <c r="AF4445" s="2">
        <v>3475.6647079967502</v>
      </c>
      <c r="AG4445" s="2">
        <v>4568.2029046602102</v>
      </c>
      <c r="AH4445" s="4">
        <v>0.76083851364200195</v>
      </c>
      <c r="AI4445" s="4">
        <v>-0.39433781762423198</v>
      </c>
      <c r="AJ4445" s="4" t="s">
        <v>62</v>
      </c>
      <c r="AK4445" s="2">
        <v>0.30599669613452501</v>
      </c>
      <c r="AL4445" s="2">
        <v>0.61580402287249603</v>
      </c>
      <c r="AM4445" s="2">
        <v>6432.9184256638</v>
      </c>
      <c r="AN4445" s="2">
        <v>1889.7242365726399</v>
      </c>
      <c r="AO4445" s="2">
        <v>2411.3445288291</v>
      </c>
      <c r="AP4445" s="2">
        <v>3771.8473072849602</v>
      </c>
      <c r="AQ4445" s="2">
        <v>4330.9874914453003</v>
      </c>
      <c r="AR4445" s="2">
        <v>2017.1662581846899</v>
      </c>
      <c r="AS4445" s="2">
        <v>3157.9307879613302</v>
      </c>
      <c r="AT4445" s="2">
        <v>5194.4480586444497</v>
      </c>
      <c r="AU4445" s="2">
        <v>7189.9034913513497</v>
      </c>
      <c r="AV4445" s="2">
        <v>3729.0094030984901</v>
      </c>
      <c r="AW4445" s="2">
        <v>5645.3793983984297</v>
      </c>
      <c r="AX4445" s="2">
        <v>2492.5462885071902</v>
      </c>
    </row>
    <row r="4446" spans="1:50" x14ac:dyDescent="0.25">
      <c r="A4446" s="2" t="s">
        <v>29236</v>
      </c>
      <c r="B4446" s="2">
        <v>607.24564760602505</v>
      </c>
      <c r="C4446" s="2">
        <v>4.57921666666667</v>
      </c>
      <c r="D4446" s="2" t="s">
        <v>51</v>
      </c>
      <c r="E4446" s="2" t="s">
        <v>29237</v>
      </c>
      <c r="F4446" s="2">
        <v>58062</v>
      </c>
      <c r="G4446" s="3" t="str">
        <f>HYPERLINK("https://cloud.oebiotech.com/#/lm/network/58062", "https://cloud.oebiotech.com/#/lm/network/58062")</f>
        <v>https://cloud.oebiotech.com/#/lm/network/58062</v>
      </c>
      <c r="H4446" s="2" t="s">
        <v>29238</v>
      </c>
      <c r="I4446" s="2"/>
      <c r="J4446" s="2"/>
      <c r="K4446" s="2">
        <v>4641377</v>
      </c>
      <c r="L4446" s="2"/>
      <c r="M4446" s="2"/>
      <c r="N4446" s="2"/>
      <c r="O4446" s="2"/>
      <c r="P4446" s="2"/>
      <c r="Q4446" s="2"/>
      <c r="R4446" s="2"/>
      <c r="S4446" s="2" t="s">
        <v>29239</v>
      </c>
      <c r="T4446" s="2" t="s">
        <v>29240</v>
      </c>
      <c r="U4446" s="2" t="s">
        <v>103</v>
      </c>
      <c r="V4446" s="2" t="s">
        <v>104</v>
      </c>
      <c r="W4446" s="2" t="s">
        <v>105</v>
      </c>
      <c r="X4446" s="2" t="s">
        <v>147</v>
      </c>
      <c r="Y4446" s="2">
        <v>37.4</v>
      </c>
      <c r="Z4446" s="2">
        <v>0</v>
      </c>
      <c r="AA4446" s="2" t="s">
        <v>478</v>
      </c>
      <c r="AB4446" s="2" t="s">
        <v>29241</v>
      </c>
      <c r="AC4446" s="2">
        <v>-1.93658836193685</v>
      </c>
      <c r="AD4446" s="2"/>
      <c r="AE4446" s="2">
        <v>9.3411487932163306E-2</v>
      </c>
      <c r="AF4446" s="2">
        <v>7984.2938298228401</v>
      </c>
      <c r="AG4446" s="2">
        <v>5569.7698804455604</v>
      </c>
      <c r="AH4446" s="5">
        <v>1.4335051539300101</v>
      </c>
      <c r="AI4446" s="5">
        <v>0.519547091558485</v>
      </c>
      <c r="AJ4446" s="5" t="s">
        <v>139</v>
      </c>
      <c r="AK4446" s="2">
        <v>0.56926749997488901</v>
      </c>
      <c r="AL4446" s="2">
        <v>0.78311574344879098</v>
      </c>
      <c r="AM4446" s="2">
        <v>1105.1871907125501</v>
      </c>
      <c r="AN4446" s="2">
        <v>3468.4189586074199</v>
      </c>
      <c r="AO4446" s="2">
        <v>9447.9603454403004</v>
      </c>
      <c r="AP4446" s="2">
        <v>2483.5436858164699</v>
      </c>
      <c r="AQ4446" s="2">
        <v>11184.4412805879</v>
      </c>
      <c r="AR4446" s="2">
        <v>20216.211517772401</v>
      </c>
      <c r="AS4446" s="2">
        <v>11811.645192273299</v>
      </c>
      <c r="AT4446" s="2">
        <v>4931.5973145920298</v>
      </c>
      <c r="AU4446" s="2">
        <v>8.559877937157E-6</v>
      </c>
      <c r="AV4446" s="2">
        <v>8.559877937157E-6</v>
      </c>
      <c r="AW4446" s="2">
        <v>327.21349430236</v>
      </c>
      <c r="AX4446" s="2">
        <v>16348.163264385899</v>
      </c>
    </row>
    <row r="4447" spans="1:50" x14ac:dyDescent="0.25">
      <c r="A4447" s="2" t="s">
        <v>29242</v>
      </c>
      <c r="B4447" s="2">
        <v>390.98501744378001</v>
      </c>
      <c r="C4447" s="2">
        <v>4.9557333333333302</v>
      </c>
      <c r="D4447" s="2" t="s">
        <v>51</v>
      </c>
      <c r="E4447" s="2" t="s">
        <v>29243</v>
      </c>
      <c r="F4447" s="2">
        <v>197198</v>
      </c>
      <c r="G4447" s="3" t="str">
        <f>HYPERLINK("https://cloud.oebiotech.com/#/lm/network/197198", "https://cloud.oebiotech.com/#/lm/network/197198")</f>
        <v>https://cloud.oebiotech.com/#/lm/network/197198</v>
      </c>
      <c r="H4447" s="2" t="s">
        <v>29244</v>
      </c>
      <c r="I4447" s="2"/>
      <c r="J4447" s="2"/>
      <c r="K4447" s="2">
        <v>101019951</v>
      </c>
      <c r="L4447" s="2"/>
      <c r="M4447" s="2"/>
      <c r="N4447" s="2"/>
      <c r="O4447" s="2"/>
      <c r="P4447" s="2"/>
      <c r="Q4447" s="2"/>
      <c r="R4447" s="2"/>
      <c r="S4447" s="2" t="s">
        <v>29245</v>
      </c>
      <c r="T4447" s="2" t="s">
        <v>29246</v>
      </c>
      <c r="U4447" s="2" t="s">
        <v>540</v>
      </c>
      <c r="V4447" s="2" t="s">
        <v>541</v>
      </c>
      <c r="W4447" s="2" t="s">
        <v>757</v>
      </c>
      <c r="X4447" s="2" t="s">
        <v>83</v>
      </c>
      <c r="Y4447" s="2">
        <v>38.5</v>
      </c>
      <c r="Z4447" s="2">
        <v>0</v>
      </c>
      <c r="AA4447" s="2" t="s">
        <v>395</v>
      </c>
      <c r="AB4447" s="2" t="s">
        <v>29247</v>
      </c>
      <c r="AC4447" s="2">
        <v>-9.7407136755773696</v>
      </c>
      <c r="AD4447" s="2"/>
      <c r="AE4447" s="2">
        <v>9.3229812693296998E-2</v>
      </c>
      <c r="AF4447" s="2">
        <v>3656.4096949857599</v>
      </c>
      <c r="AG4447" s="2">
        <v>6823.5496213733604</v>
      </c>
      <c r="AH4447" s="4">
        <v>0.53585155789485495</v>
      </c>
      <c r="AI4447" s="4">
        <v>-0.90009469560199695</v>
      </c>
      <c r="AJ4447" s="4" t="s">
        <v>62</v>
      </c>
      <c r="AK4447" s="2">
        <v>0.67112609193443895</v>
      </c>
      <c r="AL4447" s="2">
        <v>0.84135965593549</v>
      </c>
      <c r="AM4447" s="2">
        <v>8.559877937157E-6</v>
      </c>
      <c r="AN4447" s="2">
        <v>8.559877937157E-6</v>
      </c>
      <c r="AO4447" s="2">
        <v>8.559877937157E-6</v>
      </c>
      <c r="AP4447" s="2">
        <v>7929.2962876318898</v>
      </c>
      <c r="AQ4447" s="2">
        <v>13910.225977239899</v>
      </c>
      <c r="AR4447" s="2">
        <v>98.935879363153603</v>
      </c>
      <c r="AS4447" s="2">
        <v>8.559877937157E-6</v>
      </c>
      <c r="AT4447" s="2">
        <v>40941.297685440797</v>
      </c>
      <c r="AU4447" s="2">
        <v>8.559877937157E-6</v>
      </c>
      <c r="AV4447" s="2">
        <v>8.559877937157E-6</v>
      </c>
      <c r="AW4447" s="2">
        <v>8.559877937157E-6</v>
      </c>
      <c r="AX4447" s="2">
        <v>8.559877937157E-6</v>
      </c>
    </row>
    <row r="4448" spans="1:50" x14ac:dyDescent="0.25">
      <c r="A4448" s="2" t="s">
        <v>29248</v>
      </c>
      <c r="B4448" s="2">
        <v>319.15570000000002</v>
      </c>
      <c r="C4448" s="2">
        <v>25.693000000000001</v>
      </c>
      <c r="D4448" s="2" t="s">
        <v>125</v>
      </c>
      <c r="E4448" s="2" t="s">
        <v>29249</v>
      </c>
      <c r="F4448" s="2">
        <v>546268</v>
      </c>
      <c r="G4448" s="3" t="str">
        <f>HYPERLINK("https://cloud.oebiotech.com/#/lm/network/546268", "https://cloud.oebiotech.com/#/lm/network/546268")</f>
        <v>https://cloud.oebiotech.com/#/lm/network/546268</v>
      </c>
      <c r="H4448" s="2"/>
      <c r="I4448" s="2"/>
      <c r="J4448" s="2"/>
      <c r="K4448" s="2">
        <v>441432</v>
      </c>
      <c r="L4448" s="2"/>
      <c r="M4448" s="2"/>
      <c r="N4448" s="2"/>
      <c r="O4448" s="2"/>
      <c r="P4448" s="2"/>
      <c r="Q4448" s="2"/>
      <c r="R4448" s="2"/>
      <c r="S4448" s="2" t="s">
        <v>29250</v>
      </c>
      <c r="T4448" s="2" t="s">
        <v>29251</v>
      </c>
      <c r="U4448" s="2" t="s">
        <v>331</v>
      </c>
      <c r="V4448" s="2" t="s">
        <v>332</v>
      </c>
      <c r="W4448" s="2" t="s">
        <v>333</v>
      </c>
      <c r="X4448" s="2" t="s">
        <v>69</v>
      </c>
      <c r="Y4448" s="2">
        <v>94.1</v>
      </c>
      <c r="Z4448" s="2">
        <v>90.2</v>
      </c>
      <c r="AA4448" s="2"/>
      <c r="AB4448" s="2" t="s">
        <v>18083</v>
      </c>
      <c r="AC4448" s="2"/>
      <c r="AD4448" s="2">
        <v>962953.46980552701</v>
      </c>
      <c r="AE4448" s="2">
        <v>9.3199660837260501E-2</v>
      </c>
      <c r="AF4448" s="2">
        <v>2299.8352172700202</v>
      </c>
      <c r="AG4448" s="2">
        <v>8182.0233970241597</v>
      </c>
      <c r="AH4448" s="4">
        <v>0.28108392089253598</v>
      </c>
      <c r="AI4448" s="4">
        <v>-1.8309271666478499</v>
      </c>
      <c r="AJ4448" s="4" t="s">
        <v>62</v>
      </c>
      <c r="AK4448" s="2">
        <v>0.15167658749483301</v>
      </c>
      <c r="AL4448" s="2">
        <v>0.473202259567432</v>
      </c>
      <c r="AM4448" s="2">
        <v>2299.8352172700202</v>
      </c>
      <c r="AN4448" s="2">
        <v>2299.8352172700202</v>
      </c>
      <c r="AO4448" s="2">
        <v>2299.8352172700202</v>
      </c>
      <c r="AP4448" s="2">
        <v>2299.8352172700202</v>
      </c>
      <c r="AQ4448" s="2">
        <v>2299.8352172700202</v>
      </c>
      <c r="AR4448" s="2">
        <v>2299.8352172700202</v>
      </c>
      <c r="AS4448" s="2">
        <v>17148.221763887501</v>
      </c>
      <c r="AT4448" s="2">
        <v>22744.577749177399</v>
      </c>
      <c r="AU4448" s="2">
        <v>2299.8352172700202</v>
      </c>
      <c r="AV4448" s="2">
        <v>2299.8352172700202</v>
      </c>
      <c r="AW4448" s="2">
        <v>2299.8352172700202</v>
      </c>
      <c r="AX4448" s="2">
        <v>2299.8352172700202</v>
      </c>
    </row>
    <row r="4449" spans="1:50" x14ac:dyDescent="0.25">
      <c r="A4449" s="2" t="s">
        <v>29252</v>
      </c>
      <c r="B4449" s="2">
        <v>245.07776977589501</v>
      </c>
      <c r="C4449" s="2">
        <v>1.02813333333333</v>
      </c>
      <c r="D4449" s="2" t="s">
        <v>51</v>
      </c>
      <c r="E4449" s="2" t="s">
        <v>29253</v>
      </c>
      <c r="F4449" s="2">
        <v>51182</v>
      </c>
      <c r="G4449" s="3" t="str">
        <f>HYPERLINK("https://cloud.oebiotech.com/#/lm/network/51182", "https://cloud.oebiotech.com/#/lm/network/51182")</f>
        <v>https://cloud.oebiotech.com/#/lm/network/51182</v>
      </c>
      <c r="H4449" s="2" t="s">
        <v>29254</v>
      </c>
      <c r="I4449" s="2">
        <v>62013</v>
      </c>
      <c r="J4449" s="2"/>
      <c r="K4449" s="2">
        <v>25207301</v>
      </c>
      <c r="L4449" s="2"/>
      <c r="M4449" s="2"/>
      <c r="N4449" s="2"/>
      <c r="O4449" s="2"/>
      <c r="P4449" s="2"/>
      <c r="Q4449" s="2"/>
      <c r="R4449" s="2"/>
      <c r="S4449" s="2" t="s">
        <v>29255</v>
      </c>
      <c r="T4449" s="2" t="s">
        <v>29256</v>
      </c>
      <c r="U4449" s="2" t="s">
        <v>103</v>
      </c>
      <c r="V4449" s="2" t="s">
        <v>1372</v>
      </c>
      <c r="W4449" s="2" t="s">
        <v>1373</v>
      </c>
      <c r="X4449" s="2" t="s">
        <v>83</v>
      </c>
      <c r="Y4449" s="2">
        <v>39.200000000000003</v>
      </c>
      <c r="Z4449" s="2">
        <v>0</v>
      </c>
      <c r="AA4449" s="2" t="s">
        <v>156</v>
      </c>
      <c r="AB4449" s="2" t="s">
        <v>29257</v>
      </c>
      <c r="AC4449" s="2">
        <v>3.6524344727249001</v>
      </c>
      <c r="AD4449" s="2"/>
      <c r="AE4449" s="2">
        <v>9.3075009868839001E-2</v>
      </c>
      <c r="AF4449" s="2">
        <v>2969.1463600983502</v>
      </c>
      <c r="AG4449" s="2">
        <v>3441.4648851391298</v>
      </c>
      <c r="AH4449" s="4">
        <v>0.86275654675997504</v>
      </c>
      <c r="AI4449" s="4">
        <v>-0.21297457874199899</v>
      </c>
      <c r="AJ4449" s="4" t="s">
        <v>62</v>
      </c>
      <c r="AK4449" s="2">
        <v>0.41990067071727699</v>
      </c>
      <c r="AL4449" s="2">
        <v>0.68072239494470299</v>
      </c>
      <c r="AM4449" s="2">
        <v>2159.6010961405</v>
      </c>
      <c r="AN4449" s="2">
        <v>2354.9335235399399</v>
      </c>
      <c r="AO4449" s="2">
        <v>3042.1512648941102</v>
      </c>
      <c r="AP4449" s="2">
        <v>3211.4474281819798</v>
      </c>
      <c r="AQ4449" s="2">
        <v>3134.9998958677802</v>
      </c>
      <c r="AR4449" s="2">
        <v>3911.7449519657698</v>
      </c>
      <c r="AS4449" s="2">
        <v>2035.41894326691</v>
      </c>
      <c r="AT4449" s="2">
        <v>2494.1058552723298</v>
      </c>
      <c r="AU4449" s="2">
        <v>5296.6471387814399</v>
      </c>
      <c r="AV4449" s="2">
        <v>3892.8557339999002</v>
      </c>
      <c r="AW4449" s="2">
        <v>2785.0355658079502</v>
      </c>
      <c r="AX4449" s="2">
        <v>4144.7260737062297</v>
      </c>
    </row>
    <row r="4450" spans="1:50" x14ac:dyDescent="0.25">
      <c r="A4450" s="2" t="s">
        <v>29258</v>
      </c>
      <c r="B4450" s="2">
        <v>173.11747781650499</v>
      </c>
      <c r="C4450" s="2">
        <v>7.4851333333333301</v>
      </c>
      <c r="D4450" s="2" t="s">
        <v>51</v>
      </c>
      <c r="E4450" s="2" t="s">
        <v>29259</v>
      </c>
      <c r="F4450" s="2">
        <v>83417</v>
      </c>
      <c r="G4450" s="3" t="str">
        <f>HYPERLINK("https://cloud.oebiotech.com/#/lm/network/83417", "https://cloud.oebiotech.com/#/lm/network/83417")</f>
        <v>https://cloud.oebiotech.com/#/lm/network/83417</v>
      </c>
      <c r="H4450" s="2" t="s">
        <v>29260</v>
      </c>
      <c r="I4450" s="2"/>
      <c r="J4450" s="2"/>
      <c r="K4450" s="2">
        <v>21584</v>
      </c>
      <c r="L4450" s="2"/>
      <c r="M4450" s="2"/>
      <c r="N4450" s="2"/>
      <c r="O4450" s="2">
        <v>88850</v>
      </c>
      <c r="P4450" s="2"/>
      <c r="Q4450" s="2"/>
      <c r="R4450" s="2"/>
      <c r="S4450" s="2" t="s">
        <v>29261</v>
      </c>
      <c r="T4450" s="2" t="s">
        <v>29262</v>
      </c>
      <c r="U4450" s="2" t="s">
        <v>331</v>
      </c>
      <c r="V4450" s="2" t="s">
        <v>332</v>
      </c>
      <c r="W4450" s="2" t="s">
        <v>519</v>
      </c>
      <c r="X4450" s="2" t="s">
        <v>83</v>
      </c>
      <c r="Y4450" s="2">
        <v>39.4</v>
      </c>
      <c r="Z4450" s="2">
        <v>0</v>
      </c>
      <c r="AA4450" s="2" t="s">
        <v>218</v>
      </c>
      <c r="AB4450" s="2" t="s">
        <v>29263</v>
      </c>
      <c r="AC4450" s="2">
        <v>-6.5578006545934997</v>
      </c>
      <c r="AD4450" s="2"/>
      <c r="AE4450" s="2">
        <v>9.2977050795576499E-2</v>
      </c>
      <c r="AF4450" s="2">
        <v>1242.82445758568</v>
      </c>
      <c r="AG4450" s="2">
        <v>827.56112142509301</v>
      </c>
      <c r="AH4450" s="5">
        <v>1.5017917413102899</v>
      </c>
      <c r="AI4450" s="5">
        <v>0.58668476317815399</v>
      </c>
      <c r="AJ4450" s="5" t="s">
        <v>139</v>
      </c>
      <c r="AK4450" s="2">
        <v>0.127789888974151</v>
      </c>
      <c r="AL4450" s="2">
        <v>0.44626309510015799</v>
      </c>
      <c r="AM4450" s="2">
        <v>794.15427436966104</v>
      </c>
      <c r="AN4450" s="2">
        <v>741.815182019693</v>
      </c>
      <c r="AO4450" s="2">
        <v>1437.87917383229</v>
      </c>
      <c r="AP4450" s="2">
        <v>1212.80770698233</v>
      </c>
      <c r="AQ4450" s="2">
        <v>2300.6621965344402</v>
      </c>
      <c r="AR4450" s="2">
        <v>969.62821177569106</v>
      </c>
      <c r="AS4450" s="2">
        <v>886.85793958341799</v>
      </c>
      <c r="AT4450" s="2">
        <v>1189.21244932175</v>
      </c>
      <c r="AU4450" s="2">
        <v>634.50433572949703</v>
      </c>
      <c r="AV4450" s="2">
        <v>769.59887409216299</v>
      </c>
      <c r="AW4450" s="2">
        <v>773.01578414241703</v>
      </c>
      <c r="AX4450" s="2">
        <v>712.17734568131402</v>
      </c>
    </row>
    <row r="4451" spans="1:50" x14ac:dyDescent="0.25">
      <c r="A4451" s="2" t="s">
        <v>29264</v>
      </c>
      <c r="B4451" s="2">
        <v>186.14945474579599</v>
      </c>
      <c r="C4451" s="2">
        <v>5.0382166666666697</v>
      </c>
      <c r="D4451" s="2" t="s">
        <v>51</v>
      </c>
      <c r="E4451" s="2" t="s">
        <v>29265</v>
      </c>
      <c r="F4451" s="2">
        <v>200390</v>
      </c>
      <c r="G4451" s="3" t="str">
        <f>HYPERLINK("https://cloud.oebiotech.com/#/lm/network/200390", "https://cloud.oebiotech.com/#/lm/network/200390")</f>
        <v>https://cloud.oebiotech.com/#/lm/network/200390</v>
      </c>
      <c r="H4451" s="2" t="s">
        <v>29266</v>
      </c>
      <c r="I4451" s="2"/>
      <c r="J4451" s="2"/>
      <c r="K4451" s="2">
        <v>61012</v>
      </c>
      <c r="L4451" s="2"/>
      <c r="M4451" s="2"/>
      <c r="N4451" s="2"/>
      <c r="O4451" s="2"/>
      <c r="P4451" s="2"/>
      <c r="Q4451" s="2"/>
      <c r="R4451" s="2"/>
      <c r="S4451" s="2" t="s">
        <v>29267</v>
      </c>
      <c r="T4451" s="2" t="s">
        <v>29268</v>
      </c>
      <c r="U4451" s="2" t="s">
        <v>103</v>
      </c>
      <c r="V4451" s="2" t="s">
        <v>104</v>
      </c>
      <c r="W4451" s="2" t="s">
        <v>9173</v>
      </c>
      <c r="X4451" s="2" t="s">
        <v>147</v>
      </c>
      <c r="Y4451" s="2">
        <v>38.6</v>
      </c>
      <c r="Z4451" s="2">
        <v>0.66200000000000003</v>
      </c>
      <c r="AA4451" s="2" t="s">
        <v>60</v>
      </c>
      <c r="AB4451" s="2" t="s">
        <v>29269</v>
      </c>
      <c r="AC4451" s="2">
        <v>3.2378493771336401</v>
      </c>
      <c r="AD4451" s="2"/>
      <c r="AE4451" s="2">
        <v>9.2976978182064907E-2</v>
      </c>
      <c r="AF4451" s="2">
        <v>3644.4333478772101</v>
      </c>
      <c r="AG4451" s="2">
        <v>2369.95516707763</v>
      </c>
      <c r="AH4451" s="5">
        <v>1.5377646794775199</v>
      </c>
      <c r="AI4451" s="5">
        <v>0.62083474795149396</v>
      </c>
      <c r="AJ4451" s="5" t="s">
        <v>139</v>
      </c>
      <c r="AK4451" s="2">
        <v>0.56668623532598705</v>
      </c>
      <c r="AL4451" s="2">
        <v>0.78252627591726198</v>
      </c>
      <c r="AM4451" s="2">
        <v>1061.29978983004</v>
      </c>
      <c r="AN4451" s="2">
        <v>966.47880217858699</v>
      </c>
      <c r="AO4451" s="2">
        <v>9284.4070626716693</v>
      </c>
      <c r="AP4451" s="2">
        <v>930.40838750051398</v>
      </c>
      <c r="AQ4451" s="2">
        <v>8704.8618013363102</v>
      </c>
      <c r="AR4451" s="2">
        <v>919.14424374615101</v>
      </c>
      <c r="AS4451" s="2">
        <v>8993.8165501949807</v>
      </c>
      <c r="AT4451" s="2">
        <v>1096.0301264306199</v>
      </c>
      <c r="AU4451" s="2">
        <v>1225.6813371974799</v>
      </c>
      <c r="AV4451" s="2">
        <v>862.85734464644895</v>
      </c>
      <c r="AW4451" s="2">
        <v>875.03818139445002</v>
      </c>
      <c r="AX4451" s="2">
        <v>1166.3074626017899</v>
      </c>
    </row>
    <row r="4452" spans="1:50" x14ac:dyDescent="0.25">
      <c r="A4452" s="2" t="s">
        <v>29270</v>
      </c>
      <c r="B4452" s="2">
        <v>293.21237494052099</v>
      </c>
      <c r="C4452" s="2">
        <v>9.3362833333333306</v>
      </c>
      <c r="D4452" s="2" t="s">
        <v>51</v>
      </c>
      <c r="E4452" s="2" t="s">
        <v>29271</v>
      </c>
      <c r="F4452" s="2">
        <v>3120</v>
      </c>
      <c r="G4452" s="3" t="str">
        <f>HYPERLINK("https://cloud.oebiotech.com/#/lm/network/3120", "https://cloud.oebiotech.com/#/lm/network/3120")</f>
        <v>https://cloud.oebiotech.com/#/lm/network/3120</v>
      </c>
      <c r="H4452" s="2"/>
      <c r="I4452" s="2">
        <v>35506</v>
      </c>
      <c r="J4452" s="2" t="s">
        <v>29272</v>
      </c>
      <c r="K4452" s="2">
        <v>5282963</v>
      </c>
      <c r="L4452" s="2"/>
      <c r="M4452" s="2"/>
      <c r="N4452" s="2"/>
      <c r="O4452" s="2"/>
      <c r="P4452" s="2"/>
      <c r="Q4452" s="2"/>
      <c r="R4452" s="2"/>
      <c r="S4452" s="2" t="s">
        <v>29273</v>
      </c>
      <c r="T4452" s="2" t="s">
        <v>29274</v>
      </c>
      <c r="U4452" s="2" t="s">
        <v>56</v>
      </c>
      <c r="V4452" s="2" t="s">
        <v>145</v>
      </c>
      <c r="W4452" s="2" t="s">
        <v>203</v>
      </c>
      <c r="X4452" s="2" t="s">
        <v>83</v>
      </c>
      <c r="Y4452" s="2">
        <v>52.5</v>
      </c>
      <c r="Z4452" s="2">
        <v>0</v>
      </c>
      <c r="AA4452" s="2" t="s">
        <v>379</v>
      </c>
      <c r="AB4452" s="2" t="s">
        <v>714</v>
      </c>
      <c r="AC4452" s="2">
        <v>0.50141245669596901</v>
      </c>
      <c r="AD4452" s="2"/>
      <c r="AE4452" s="2">
        <v>9.2891464425361406E-2</v>
      </c>
      <c r="AF4452" s="2">
        <v>2207.6583724929901</v>
      </c>
      <c r="AG4452" s="2">
        <v>1784.3672622967099</v>
      </c>
      <c r="AH4452" s="5">
        <v>1.23722196609427</v>
      </c>
      <c r="AI4452" s="5">
        <v>0.30710435290608701</v>
      </c>
      <c r="AJ4452" s="5" t="s">
        <v>139</v>
      </c>
      <c r="AK4452" s="2">
        <v>0.57038007695544402</v>
      </c>
      <c r="AL4452" s="2">
        <v>0.78325289930816699</v>
      </c>
      <c r="AM4452" s="2">
        <v>2452.22829058874</v>
      </c>
      <c r="AN4452" s="2">
        <v>3964.4860277736602</v>
      </c>
      <c r="AO4452" s="2">
        <v>2162.1780774466501</v>
      </c>
      <c r="AP4452" s="2">
        <v>1386.2632026983599</v>
      </c>
      <c r="AQ4452" s="2">
        <v>1392.64946449585</v>
      </c>
      <c r="AR4452" s="2">
        <v>1888.1451719546601</v>
      </c>
      <c r="AS4452" s="2">
        <v>1062.2449021719699</v>
      </c>
      <c r="AT4452" s="2">
        <v>985.41918406303796</v>
      </c>
      <c r="AU4452" s="2">
        <v>3578.0181335625898</v>
      </c>
      <c r="AV4452" s="2">
        <v>765.32076823834996</v>
      </c>
      <c r="AW4452" s="2">
        <v>3790.0724933394199</v>
      </c>
      <c r="AX4452" s="2">
        <v>525.12809240488002</v>
      </c>
    </row>
    <row r="4453" spans="1:50" x14ac:dyDescent="0.25">
      <c r="A4453" s="2" t="s">
        <v>29275</v>
      </c>
      <c r="B4453" s="2">
        <v>714.33769485635503</v>
      </c>
      <c r="C4453" s="2">
        <v>5.5685333333333302</v>
      </c>
      <c r="D4453" s="2" t="s">
        <v>51</v>
      </c>
      <c r="E4453" s="2" t="s">
        <v>29276</v>
      </c>
      <c r="F4453" s="2">
        <v>27849</v>
      </c>
      <c r="G4453" s="3" t="str">
        <f>HYPERLINK("https://cloud.oebiotech.com/#/lm/network/27849", "https://cloud.oebiotech.com/#/lm/network/27849")</f>
        <v>https://cloud.oebiotech.com/#/lm/network/27849</v>
      </c>
      <c r="H4453" s="2"/>
      <c r="I4453" s="2"/>
      <c r="J4453" s="2" t="s">
        <v>29277</v>
      </c>
      <c r="K4453" s="2">
        <v>134812309</v>
      </c>
      <c r="L4453" s="2"/>
      <c r="M4453" s="2"/>
      <c r="N4453" s="2"/>
      <c r="O4453" s="2"/>
      <c r="P4453" s="2"/>
      <c r="Q4453" s="2"/>
      <c r="R4453" s="2"/>
      <c r="S4453" s="2" t="s">
        <v>29278</v>
      </c>
      <c r="T4453" s="2" t="s">
        <v>29279</v>
      </c>
      <c r="U4453" s="2" t="s">
        <v>56</v>
      </c>
      <c r="V4453" s="2" t="s">
        <v>57</v>
      </c>
      <c r="W4453" s="2" t="s">
        <v>58</v>
      </c>
      <c r="X4453" s="2" t="s">
        <v>147</v>
      </c>
      <c r="Y4453" s="2">
        <v>37.700000000000003</v>
      </c>
      <c r="Z4453" s="2">
        <v>0</v>
      </c>
      <c r="AA4453" s="2" t="s">
        <v>395</v>
      </c>
      <c r="AB4453" s="2" t="s">
        <v>29280</v>
      </c>
      <c r="AC4453" s="2">
        <v>-0.31320931856859402</v>
      </c>
      <c r="AD4453" s="2"/>
      <c r="AE4453" s="2">
        <v>9.2881029627710707E-2</v>
      </c>
      <c r="AF4453" s="2">
        <v>5726.8240648434003</v>
      </c>
      <c r="AG4453" s="2">
        <v>6616.3450344083403</v>
      </c>
      <c r="AH4453" s="4">
        <v>0.86555704623338503</v>
      </c>
      <c r="AI4453" s="4">
        <v>-0.20829918851802001</v>
      </c>
      <c r="AJ4453" s="4" t="s">
        <v>62</v>
      </c>
      <c r="AK4453" s="2">
        <v>0.82506661568562101</v>
      </c>
      <c r="AL4453" s="2">
        <v>0.92335918893977997</v>
      </c>
      <c r="AM4453" s="2">
        <v>6726.4622894275699</v>
      </c>
      <c r="AN4453" s="2">
        <v>1689.20302620866</v>
      </c>
      <c r="AO4453" s="2">
        <v>11552.486157581499</v>
      </c>
      <c r="AP4453" s="2">
        <v>1725.6838971443799</v>
      </c>
      <c r="AQ4453" s="2">
        <v>4311.3604171528596</v>
      </c>
      <c r="AR4453" s="2">
        <v>8355.7486015454506</v>
      </c>
      <c r="AS4453" s="2">
        <v>8.559877937157E-6</v>
      </c>
      <c r="AT4453" s="2">
        <v>1454.73574067141</v>
      </c>
      <c r="AU4453" s="2">
        <v>969.91734539326296</v>
      </c>
      <c r="AV4453" s="2">
        <v>23262.190335089501</v>
      </c>
      <c r="AW4453" s="2">
        <v>5395.7210804378101</v>
      </c>
      <c r="AX4453" s="2">
        <v>8615.5056962981507</v>
      </c>
    </row>
    <row r="4454" spans="1:50" x14ac:dyDescent="0.25">
      <c r="A4454" s="2" t="s">
        <v>29281</v>
      </c>
      <c r="B4454" s="2">
        <v>480.99294382199702</v>
      </c>
      <c r="C4454" s="2">
        <v>12.23695</v>
      </c>
      <c r="D4454" s="2" t="s">
        <v>51</v>
      </c>
      <c r="E4454" s="2" t="s">
        <v>29282</v>
      </c>
      <c r="F4454" s="2">
        <v>200104</v>
      </c>
      <c r="G4454" s="3" t="str">
        <f>HYPERLINK("https://cloud.oebiotech.com/#/lm/network/200104", "https://cloud.oebiotech.com/#/lm/network/200104")</f>
        <v>https://cloud.oebiotech.com/#/lm/network/200104</v>
      </c>
      <c r="H4454" s="2" t="s">
        <v>29283</v>
      </c>
      <c r="I4454" s="2">
        <v>343344</v>
      </c>
      <c r="J4454" s="2"/>
      <c r="K4454" s="2">
        <v>15025</v>
      </c>
      <c r="L4454" s="2"/>
      <c r="M4454" s="2"/>
      <c r="N4454" s="2"/>
      <c r="O4454" s="2"/>
      <c r="P4454" s="2"/>
      <c r="Q4454" s="2"/>
      <c r="R4454" s="2"/>
      <c r="S4454" s="2" t="s">
        <v>29284</v>
      </c>
      <c r="T4454" s="2" t="s">
        <v>29285</v>
      </c>
      <c r="U4454" s="2" t="s">
        <v>103</v>
      </c>
      <c r="V4454" s="2" t="s">
        <v>9072</v>
      </c>
      <c r="W4454" s="2" t="s">
        <v>13533</v>
      </c>
      <c r="X4454" s="2" t="s">
        <v>147</v>
      </c>
      <c r="Y4454" s="2">
        <v>38</v>
      </c>
      <c r="Z4454" s="2">
        <v>0</v>
      </c>
      <c r="AA4454" s="2" t="s">
        <v>218</v>
      </c>
      <c r="AB4454" s="2" t="s">
        <v>29286</v>
      </c>
      <c r="AC4454" s="2">
        <v>-4.4258450874724398</v>
      </c>
      <c r="AD4454" s="2"/>
      <c r="AE4454" s="2">
        <v>9.2643597867490102E-2</v>
      </c>
      <c r="AF4454" s="2">
        <v>1524.57743414995</v>
      </c>
      <c r="AG4454" s="2">
        <v>1836.93512203417</v>
      </c>
      <c r="AH4454" s="4">
        <v>0.82995714756745598</v>
      </c>
      <c r="AI4454" s="4">
        <v>-0.26889124588312502</v>
      </c>
      <c r="AJ4454" s="4" t="s">
        <v>62</v>
      </c>
      <c r="AK4454" s="2">
        <v>0.138035872313897</v>
      </c>
      <c r="AL4454" s="2">
        <v>0.458819266663407</v>
      </c>
      <c r="AM4454" s="2">
        <v>1389.83710280946</v>
      </c>
      <c r="AN4454" s="2">
        <v>1497.7882428307701</v>
      </c>
      <c r="AO4454" s="2">
        <v>1519.10638900616</v>
      </c>
      <c r="AP4454" s="2">
        <v>2140.4694157140302</v>
      </c>
      <c r="AQ4454" s="2">
        <v>1432.0749834789799</v>
      </c>
      <c r="AR4454" s="2">
        <v>1168.1884710603199</v>
      </c>
      <c r="AS4454" s="2">
        <v>1213.7407109245</v>
      </c>
      <c r="AT4454" s="2">
        <v>1912.09533399733</v>
      </c>
      <c r="AU4454" s="2">
        <v>2012.95155914112</v>
      </c>
      <c r="AV4454" s="2">
        <v>2056.1555554869501</v>
      </c>
      <c r="AW4454" s="2">
        <v>1681.1009744723401</v>
      </c>
      <c r="AX4454" s="2">
        <v>2145.5665981827601</v>
      </c>
    </row>
    <row r="4455" spans="1:50" x14ac:dyDescent="0.25">
      <c r="A4455" s="2" t="s">
        <v>29287</v>
      </c>
      <c r="B4455" s="2">
        <v>269.15068820177299</v>
      </c>
      <c r="C4455" s="2">
        <v>5.1832166666666701</v>
      </c>
      <c r="D4455" s="2" t="s">
        <v>51</v>
      </c>
      <c r="E4455" s="2" t="s">
        <v>29288</v>
      </c>
      <c r="F4455" s="2">
        <v>207915</v>
      </c>
      <c r="G4455" s="3" t="str">
        <f>HYPERLINK("https://cloud.oebiotech.com/#/lm/network/207915", "https://cloud.oebiotech.com/#/lm/network/207915")</f>
        <v>https://cloud.oebiotech.com/#/lm/network/207915</v>
      </c>
      <c r="H4455" s="2" t="s">
        <v>29289</v>
      </c>
      <c r="I4455" s="2"/>
      <c r="J4455" s="2"/>
      <c r="K4455" s="2">
        <v>42118</v>
      </c>
      <c r="L4455" s="2"/>
      <c r="M4455" s="2"/>
      <c r="N4455" s="2"/>
      <c r="O4455" s="2"/>
      <c r="P4455" s="2"/>
      <c r="Q4455" s="2"/>
      <c r="R4455" s="2"/>
      <c r="S4455" s="2" t="s">
        <v>29290</v>
      </c>
      <c r="T4455" s="2" t="s">
        <v>29291</v>
      </c>
      <c r="U4455" s="2" t="s">
        <v>266</v>
      </c>
      <c r="V4455" s="2" t="s">
        <v>1585</v>
      </c>
      <c r="W4455" s="2" t="s">
        <v>14227</v>
      </c>
      <c r="X4455" s="2" t="s">
        <v>147</v>
      </c>
      <c r="Y4455" s="2">
        <v>40.9</v>
      </c>
      <c r="Z4455" s="2">
        <v>7.83</v>
      </c>
      <c r="AA4455" s="2" t="s">
        <v>218</v>
      </c>
      <c r="AB4455" s="2" t="s">
        <v>29292</v>
      </c>
      <c r="AC4455" s="2">
        <v>3.3199065004047498E-2</v>
      </c>
      <c r="AD4455" s="2"/>
      <c r="AE4455" s="2">
        <v>9.2488197070108302E-2</v>
      </c>
      <c r="AF4455" s="2">
        <v>7522.5116803170604</v>
      </c>
      <c r="AG4455" s="2">
        <v>8490.6989961502695</v>
      </c>
      <c r="AH4455" s="4">
        <v>0.88597083511355301</v>
      </c>
      <c r="AI4455" s="4">
        <v>-0.174668886772508</v>
      </c>
      <c r="AJ4455" s="4" t="s">
        <v>62</v>
      </c>
      <c r="AK4455" s="2">
        <v>0.79101940840735996</v>
      </c>
      <c r="AL4455" s="2">
        <v>0.90766954536422395</v>
      </c>
      <c r="AM4455" s="2">
        <v>3753.1269634973</v>
      </c>
      <c r="AN4455" s="2">
        <v>5812.7108548915703</v>
      </c>
      <c r="AO4455" s="2">
        <v>19145.758751879999</v>
      </c>
      <c r="AP4455" s="2">
        <v>8350.9914403700095</v>
      </c>
      <c r="AQ4455" s="2">
        <v>3647.80514285656</v>
      </c>
      <c r="AR4455" s="2">
        <v>4424.6769284069096</v>
      </c>
      <c r="AS4455" s="2">
        <v>1364.59047471452</v>
      </c>
      <c r="AT4455" s="2">
        <v>6246.3329095597101</v>
      </c>
      <c r="AU4455" s="2">
        <v>7000.0084504204897</v>
      </c>
      <c r="AV4455" s="2">
        <v>16958.444610392002</v>
      </c>
      <c r="AW4455" s="2">
        <v>15580.652856021599</v>
      </c>
      <c r="AX4455" s="2">
        <v>3794.1646757932999</v>
      </c>
    </row>
    <row r="4456" spans="1:50" x14ac:dyDescent="0.25">
      <c r="A4456" s="2" t="s">
        <v>29293</v>
      </c>
      <c r="B4456" s="2">
        <v>228.08201852441201</v>
      </c>
      <c r="C4456" s="2">
        <v>3.94221666666667</v>
      </c>
      <c r="D4456" s="2" t="s">
        <v>51</v>
      </c>
      <c r="E4456" s="2" t="s">
        <v>29294</v>
      </c>
      <c r="F4456" s="2">
        <v>206452</v>
      </c>
      <c r="G4456" s="3" t="str">
        <f>HYPERLINK("https://cloud.oebiotech.com/#/lm/network/206452", "https://cloud.oebiotech.com/#/lm/network/206452")</f>
        <v>https://cloud.oebiotech.com/#/lm/network/206452</v>
      </c>
      <c r="H4456" s="2" t="s">
        <v>29295</v>
      </c>
      <c r="I4456" s="2">
        <v>68824</v>
      </c>
      <c r="J4456" s="2"/>
      <c r="K4456" s="2">
        <v>12968</v>
      </c>
      <c r="L4456" s="2" t="s">
        <v>29296</v>
      </c>
      <c r="M4456" s="2"/>
      <c r="N4456" s="2"/>
      <c r="O4456" s="2"/>
      <c r="P4456" s="2"/>
      <c r="Q4456" s="2"/>
      <c r="R4456" s="2" t="s">
        <v>29297</v>
      </c>
      <c r="S4456" s="2" t="s">
        <v>29298</v>
      </c>
      <c r="T4456" s="2" t="s">
        <v>29299</v>
      </c>
      <c r="U4456" s="2" t="s">
        <v>1231</v>
      </c>
      <c r="V4456" s="2" t="s">
        <v>17654</v>
      </c>
      <c r="W4456" s="2" t="s">
        <v>17655</v>
      </c>
      <c r="X4456" s="2" t="s">
        <v>147</v>
      </c>
      <c r="Y4456" s="2">
        <v>38.6</v>
      </c>
      <c r="Z4456" s="2">
        <v>0</v>
      </c>
      <c r="AA4456" s="2" t="s">
        <v>395</v>
      </c>
      <c r="AB4456" s="2" t="s">
        <v>29300</v>
      </c>
      <c r="AC4456" s="2">
        <v>0.66207465670099097</v>
      </c>
      <c r="AD4456" s="2"/>
      <c r="AE4456" s="2">
        <v>9.2283064763633793E-2</v>
      </c>
      <c r="AF4456" s="2">
        <v>356.67776595401199</v>
      </c>
      <c r="AG4456" s="2">
        <v>877.81759691289903</v>
      </c>
      <c r="AH4456" s="4">
        <v>0.40632332640445301</v>
      </c>
      <c r="AI4456" s="4">
        <v>-1.2992999050118701</v>
      </c>
      <c r="AJ4456" s="4" t="s">
        <v>62</v>
      </c>
      <c r="AK4456" s="2">
        <v>0.45787901298322797</v>
      </c>
      <c r="AL4456" s="2">
        <v>0.70873397123624904</v>
      </c>
      <c r="AM4456" s="2">
        <v>177.698664851556</v>
      </c>
      <c r="AN4456" s="2">
        <v>612.82151808114202</v>
      </c>
      <c r="AO4456" s="2">
        <v>405.98975493906403</v>
      </c>
      <c r="AP4456" s="2">
        <v>492.97539724528298</v>
      </c>
      <c r="AQ4456" s="2">
        <v>119.45332549367799</v>
      </c>
      <c r="AR4456" s="2">
        <v>331.12793511335099</v>
      </c>
      <c r="AS4456" s="2">
        <v>231.221945509553</v>
      </c>
      <c r="AT4456" s="2">
        <v>119.189593372296</v>
      </c>
      <c r="AU4456" s="2">
        <v>348.735313689073</v>
      </c>
      <c r="AV4456" s="2">
        <v>8.559877937157E-6</v>
      </c>
      <c r="AW4456" s="2">
        <v>348.49376667360298</v>
      </c>
      <c r="AX4456" s="2">
        <v>4219.2649536729896</v>
      </c>
    </row>
    <row r="4457" spans="1:50" x14ac:dyDescent="0.25">
      <c r="A4457" s="2" t="s">
        <v>29301</v>
      </c>
      <c r="B4457" s="2">
        <v>278.09785686828798</v>
      </c>
      <c r="C4457" s="2">
        <v>8.4987499999999994</v>
      </c>
      <c r="D4457" s="2" t="s">
        <v>51</v>
      </c>
      <c r="E4457" s="2" t="s">
        <v>29302</v>
      </c>
      <c r="F4457" s="2">
        <v>82357</v>
      </c>
      <c r="G4457" s="3" t="str">
        <f>HYPERLINK("https://cloud.oebiotech.com/#/lm/network/82357", "https://cloud.oebiotech.com/#/lm/network/82357")</f>
        <v>https://cloud.oebiotech.com/#/lm/network/82357</v>
      </c>
      <c r="H4457" s="2" t="s">
        <v>29303</v>
      </c>
      <c r="I4457" s="2">
        <v>71263</v>
      </c>
      <c r="J4457" s="2"/>
      <c r="K4457" s="2">
        <v>9944000</v>
      </c>
      <c r="L4457" s="2" t="s">
        <v>29304</v>
      </c>
      <c r="M4457" s="2" t="s">
        <v>7436</v>
      </c>
      <c r="N4457" s="2" t="s">
        <v>7437</v>
      </c>
      <c r="O4457" s="2">
        <v>80607</v>
      </c>
      <c r="P4457" s="2"/>
      <c r="Q4457" s="2"/>
      <c r="R4457" s="2"/>
      <c r="S4457" s="2" t="s">
        <v>29305</v>
      </c>
      <c r="T4457" s="2" t="s">
        <v>29306</v>
      </c>
      <c r="U4457" s="2" t="s">
        <v>266</v>
      </c>
      <c r="V4457" s="2" t="s">
        <v>25115</v>
      </c>
      <c r="W4457" s="2" t="s">
        <v>240</v>
      </c>
      <c r="X4457" s="2" t="s">
        <v>147</v>
      </c>
      <c r="Y4457" s="2">
        <v>37</v>
      </c>
      <c r="Z4457" s="2">
        <v>0</v>
      </c>
      <c r="AA4457" s="2" t="s">
        <v>156</v>
      </c>
      <c r="AB4457" s="2" t="s">
        <v>29307</v>
      </c>
      <c r="AC4457" s="2">
        <v>0.97663351923126696</v>
      </c>
      <c r="AD4457" s="2"/>
      <c r="AE4457" s="2">
        <v>9.2148663814575205E-2</v>
      </c>
      <c r="AF4457" s="2">
        <v>1809.4750623606601</v>
      </c>
      <c r="AG4457" s="2">
        <v>2390.5609495304002</v>
      </c>
      <c r="AH4457" s="4">
        <v>0.75692488104773603</v>
      </c>
      <c r="AI4457" s="4">
        <v>-0.40177796391989301</v>
      </c>
      <c r="AJ4457" s="4" t="s">
        <v>62</v>
      </c>
      <c r="AK4457" s="2">
        <v>0.35074204070610898</v>
      </c>
      <c r="AL4457" s="2">
        <v>0.64273559662805702</v>
      </c>
      <c r="AM4457" s="2">
        <v>1060.02312416823</v>
      </c>
      <c r="AN4457" s="2">
        <v>2177.2059127740599</v>
      </c>
      <c r="AO4457" s="2">
        <v>3326.4009414325301</v>
      </c>
      <c r="AP4457" s="2">
        <v>2173.0259558369498</v>
      </c>
      <c r="AQ4457" s="2">
        <v>1206.5202415568399</v>
      </c>
      <c r="AR4457" s="2">
        <v>913.674198395345</v>
      </c>
      <c r="AS4457" s="2">
        <v>1172.5208247517201</v>
      </c>
      <c r="AT4457" s="2">
        <v>1855.08516756118</v>
      </c>
      <c r="AU4457" s="2">
        <v>3726.2799619512998</v>
      </c>
      <c r="AV4457" s="2">
        <v>3788.8002703010402</v>
      </c>
      <c r="AW4457" s="2">
        <v>1522.18009420622</v>
      </c>
      <c r="AX4457" s="2">
        <v>2278.4993784109201</v>
      </c>
    </row>
    <row r="4458" spans="1:50" x14ac:dyDescent="0.25">
      <c r="A4458" s="2" t="s">
        <v>29308</v>
      </c>
      <c r="B4458" s="2">
        <v>373.27496990466898</v>
      </c>
      <c r="C4458" s="2">
        <v>14.465633333333299</v>
      </c>
      <c r="D4458" s="2" t="s">
        <v>51</v>
      </c>
      <c r="E4458" s="2" t="s">
        <v>29309</v>
      </c>
      <c r="F4458" s="2">
        <v>2341</v>
      </c>
      <c r="G4458" s="3" t="str">
        <f>HYPERLINK("https://cloud.oebiotech.com/#/lm/network/2341", "https://cloud.oebiotech.com/#/lm/network/2341")</f>
        <v>https://cloud.oebiotech.com/#/lm/network/2341</v>
      </c>
      <c r="H4458" s="2"/>
      <c r="I4458" s="2">
        <v>96784</v>
      </c>
      <c r="J4458" s="2" t="s">
        <v>29310</v>
      </c>
      <c r="K4458" s="2">
        <v>56935808</v>
      </c>
      <c r="L4458" s="2"/>
      <c r="M4458" s="2"/>
      <c r="N4458" s="2"/>
      <c r="O4458" s="2"/>
      <c r="P4458" s="2"/>
      <c r="Q4458" s="2"/>
      <c r="R4458" s="2"/>
      <c r="S4458" s="2" t="s">
        <v>29311</v>
      </c>
      <c r="T4458" s="2" t="s">
        <v>29312</v>
      </c>
      <c r="U4458" s="2" t="s">
        <v>56</v>
      </c>
      <c r="V4458" s="2" t="s">
        <v>145</v>
      </c>
      <c r="W4458" s="2" t="s">
        <v>231</v>
      </c>
      <c r="X4458" s="2" t="s">
        <v>147</v>
      </c>
      <c r="Y4458" s="2">
        <v>38.299999999999997</v>
      </c>
      <c r="Z4458" s="2">
        <v>0</v>
      </c>
      <c r="AA4458" s="2" t="s">
        <v>218</v>
      </c>
      <c r="AB4458" s="2" t="s">
        <v>29313</v>
      </c>
      <c r="AC4458" s="2">
        <v>-3.02064643413381</v>
      </c>
      <c r="AD4458" s="2"/>
      <c r="AE4458" s="2">
        <v>9.20084693811586E-2</v>
      </c>
      <c r="AF4458" s="2">
        <v>403.91001878960401</v>
      </c>
      <c r="AG4458" s="2">
        <v>835.33251497022195</v>
      </c>
      <c r="AH4458" s="4">
        <v>0.48353202054394201</v>
      </c>
      <c r="AI4458" s="4">
        <v>-1.0483166636127099</v>
      </c>
      <c r="AJ4458" s="4" t="s">
        <v>62</v>
      </c>
      <c r="AK4458" s="2">
        <v>0.18011014766953901</v>
      </c>
      <c r="AL4458" s="2">
        <v>0.50334362212059203</v>
      </c>
      <c r="AM4458" s="2">
        <v>862.55019995184898</v>
      </c>
      <c r="AN4458" s="2">
        <v>170.90613601202199</v>
      </c>
      <c r="AO4458" s="2">
        <v>260.62516032421797</v>
      </c>
      <c r="AP4458" s="2">
        <v>8.559877937157E-6</v>
      </c>
      <c r="AQ4458" s="2">
        <v>575.15825892477403</v>
      </c>
      <c r="AR4458" s="2">
        <v>554.22034896488299</v>
      </c>
      <c r="AS4458" s="2">
        <v>218.263323494113</v>
      </c>
      <c r="AT4458" s="2">
        <v>8.559877937157E-6</v>
      </c>
      <c r="AU4458" s="2">
        <v>1671.51261303003</v>
      </c>
      <c r="AV4458" s="2">
        <v>857.60551164120898</v>
      </c>
      <c r="AW4458" s="2">
        <v>1474.0550717476599</v>
      </c>
      <c r="AX4458" s="2">
        <v>790.55856134844203</v>
      </c>
    </row>
    <row r="4459" spans="1:50" x14ac:dyDescent="0.25">
      <c r="A4459" s="2" t="s">
        <v>29314</v>
      </c>
      <c r="B4459" s="2">
        <v>263.20130239016203</v>
      </c>
      <c r="C4459" s="2">
        <v>7.5096166666666697</v>
      </c>
      <c r="D4459" s="2" t="s">
        <v>51</v>
      </c>
      <c r="E4459" s="2" t="s">
        <v>29315</v>
      </c>
      <c r="F4459" s="2">
        <v>960</v>
      </c>
      <c r="G4459" s="3" t="str">
        <f>HYPERLINK("https://cloud.oebiotech.com/#/lm/network/960", "https://cloud.oebiotech.com/#/lm/network/960")</f>
        <v>https://cloud.oebiotech.com/#/lm/network/960</v>
      </c>
      <c r="H4459" s="2"/>
      <c r="I4459" s="2">
        <v>35129</v>
      </c>
      <c r="J4459" s="2" t="s">
        <v>29316</v>
      </c>
      <c r="K4459" s="2">
        <v>5312614</v>
      </c>
      <c r="L4459" s="2"/>
      <c r="M4459" s="2"/>
      <c r="N4459" s="2"/>
      <c r="O4459" s="2"/>
      <c r="P4459" s="2"/>
      <c r="Q4459" s="2"/>
      <c r="R4459" s="2"/>
      <c r="S4459" s="2" t="s">
        <v>29317</v>
      </c>
      <c r="T4459" s="2" t="s">
        <v>29318</v>
      </c>
      <c r="U4459" s="2" t="s">
        <v>56</v>
      </c>
      <c r="V4459" s="2" t="s">
        <v>145</v>
      </c>
      <c r="W4459" s="2" t="s">
        <v>231</v>
      </c>
      <c r="X4459" s="2" t="s">
        <v>147</v>
      </c>
      <c r="Y4459" s="2">
        <v>40.4</v>
      </c>
      <c r="Z4459" s="2">
        <v>8.99</v>
      </c>
      <c r="AA4459" s="2" t="s">
        <v>259</v>
      </c>
      <c r="AB4459" s="2" t="s">
        <v>29319</v>
      </c>
      <c r="AC4459" s="2">
        <v>2.84479152787724</v>
      </c>
      <c r="AD4459" s="2"/>
      <c r="AE4459" s="2">
        <v>9.1984858300060104E-2</v>
      </c>
      <c r="AF4459" s="2">
        <v>403.73442177520502</v>
      </c>
      <c r="AG4459" s="2">
        <v>182.15094116261699</v>
      </c>
      <c r="AH4459" s="5">
        <v>2.21648276532795</v>
      </c>
      <c r="AI4459" s="5">
        <v>1.1482721446044299</v>
      </c>
      <c r="AJ4459" s="5" t="s">
        <v>139</v>
      </c>
      <c r="AK4459" s="2">
        <v>7.5152058721774995E-2</v>
      </c>
      <c r="AL4459" s="2">
        <v>0.35912868801142001</v>
      </c>
      <c r="AM4459" s="2">
        <v>721.65528314379003</v>
      </c>
      <c r="AN4459" s="2">
        <v>544.68906065622105</v>
      </c>
      <c r="AO4459" s="2">
        <v>63.730525639009002</v>
      </c>
      <c r="AP4459" s="2">
        <v>131.610583001234</v>
      </c>
      <c r="AQ4459" s="2">
        <v>440.08993641538001</v>
      </c>
      <c r="AR4459" s="2">
        <v>520.63114179559796</v>
      </c>
      <c r="AS4459" s="2">
        <v>162.577436469785</v>
      </c>
      <c r="AT4459" s="2">
        <v>181.879002176488</v>
      </c>
      <c r="AU4459" s="2">
        <v>146.063212878315</v>
      </c>
      <c r="AV4459" s="2">
        <v>143.61975421766701</v>
      </c>
      <c r="AW4459" s="2">
        <v>371.40281860397698</v>
      </c>
      <c r="AX4459" s="2">
        <v>87.363422629467195</v>
      </c>
    </row>
    <row r="4460" spans="1:50" x14ac:dyDescent="0.25">
      <c r="A4460" s="2" t="s">
        <v>29320</v>
      </c>
      <c r="B4460" s="2">
        <v>339.05021285695898</v>
      </c>
      <c r="C4460" s="2">
        <v>1.1703666666666701</v>
      </c>
      <c r="D4460" s="2" t="s">
        <v>51</v>
      </c>
      <c r="E4460" s="2" t="s">
        <v>29321</v>
      </c>
      <c r="F4460" s="2">
        <v>201871</v>
      </c>
      <c r="G4460" s="3" t="str">
        <f>HYPERLINK("https://cloud.oebiotech.com/#/lm/network/201871", "https://cloud.oebiotech.com/#/lm/network/201871")</f>
        <v>https://cloud.oebiotech.com/#/lm/network/201871</v>
      </c>
      <c r="H4460" s="2" t="s">
        <v>29322</v>
      </c>
      <c r="I4460" s="2">
        <v>453483</v>
      </c>
      <c r="J4460" s="2"/>
      <c r="K4460" s="2">
        <v>30744</v>
      </c>
      <c r="L4460" s="2"/>
      <c r="M4460" s="2"/>
      <c r="N4460" s="2"/>
      <c r="O4460" s="2"/>
      <c r="P4460" s="2"/>
      <c r="Q4460" s="2"/>
      <c r="R4460" s="2"/>
      <c r="S4460" s="2" t="s">
        <v>29323</v>
      </c>
      <c r="T4460" s="2" t="s">
        <v>29324</v>
      </c>
      <c r="U4460" s="2" t="s">
        <v>540</v>
      </c>
      <c r="V4460" s="2" t="s">
        <v>24973</v>
      </c>
      <c r="W4460" s="2" t="s">
        <v>240</v>
      </c>
      <c r="X4460" s="2" t="s">
        <v>147</v>
      </c>
      <c r="Y4460" s="2">
        <v>37.6</v>
      </c>
      <c r="Z4460" s="2">
        <v>0</v>
      </c>
      <c r="AA4460" s="2" t="s">
        <v>395</v>
      </c>
      <c r="AB4460" s="2" t="s">
        <v>29325</v>
      </c>
      <c r="AC4460" s="2">
        <v>3.9985046256804502</v>
      </c>
      <c r="AD4460" s="2"/>
      <c r="AE4460" s="2">
        <v>9.1912722500907207E-2</v>
      </c>
      <c r="AF4460" s="2">
        <v>2207.9371605531201</v>
      </c>
      <c r="AG4460" s="2">
        <v>2535.6628422736098</v>
      </c>
      <c r="AH4460" s="4">
        <v>0.87075344708422198</v>
      </c>
      <c r="AI4460" s="4">
        <v>-0.19966381581327</v>
      </c>
      <c r="AJ4460" s="4" t="s">
        <v>62</v>
      </c>
      <c r="AK4460" s="2">
        <v>0.45817120709202702</v>
      </c>
      <c r="AL4460" s="2">
        <v>0.70873397123624904</v>
      </c>
      <c r="AM4460" s="2">
        <v>1193.12315906868</v>
      </c>
      <c r="AN4460" s="2">
        <v>2182.5324809739</v>
      </c>
      <c r="AO4460" s="2">
        <v>1505.9742292405199</v>
      </c>
      <c r="AP4460" s="2">
        <v>2330.9137685721698</v>
      </c>
      <c r="AQ4460" s="2">
        <v>2988.6662670072401</v>
      </c>
      <c r="AR4460" s="2">
        <v>3046.4130584561999</v>
      </c>
      <c r="AS4460" s="2">
        <v>3437.5921959767802</v>
      </c>
      <c r="AT4460" s="2">
        <v>3166.2148281350401</v>
      </c>
      <c r="AU4460" s="2">
        <v>1751.73127898145</v>
      </c>
      <c r="AV4460" s="2">
        <v>1724.6868212715899</v>
      </c>
      <c r="AW4460" s="2">
        <v>2373.0107583804302</v>
      </c>
      <c r="AX4460" s="2">
        <v>2760.74117089635</v>
      </c>
    </row>
    <row r="4461" spans="1:50" x14ac:dyDescent="0.25">
      <c r="A4461" s="2" t="s">
        <v>29326</v>
      </c>
      <c r="B4461" s="2">
        <v>427.28694123510201</v>
      </c>
      <c r="C4461" s="2">
        <v>12.6872166666667</v>
      </c>
      <c r="D4461" s="2" t="s">
        <v>51</v>
      </c>
      <c r="E4461" s="2" t="s">
        <v>29327</v>
      </c>
      <c r="F4461" s="2">
        <v>201011</v>
      </c>
      <c r="G4461" s="3" t="str">
        <f>HYPERLINK("https://cloud.oebiotech.com/#/lm/network/201011", "https://cloud.oebiotech.com/#/lm/network/201011")</f>
        <v>https://cloud.oebiotech.com/#/lm/network/201011</v>
      </c>
      <c r="H4461" s="2" t="s">
        <v>29328</v>
      </c>
      <c r="I4461" s="2">
        <v>451109</v>
      </c>
      <c r="J4461" s="2"/>
      <c r="K4461" s="2">
        <v>88675</v>
      </c>
      <c r="L4461" s="2"/>
      <c r="M4461" s="2"/>
      <c r="N4461" s="2"/>
      <c r="O4461" s="2"/>
      <c r="P4461" s="2"/>
      <c r="Q4461" s="2"/>
      <c r="R4461" s="2"/>
      <c r="S4461" s="2" t="s">
        <v>29329</v>
      </c>
      <c r="T4461" s="2" t="s">
        <v>29330</v>
      </c>
      <c r="U4461" s="2" t="s">
        <v>610</v>
      </c>
      <c r="V4461" s="2" t="s">
        <v>813</v>
      </c>
      <c r="W4461" s="2" t="s">
        <v>240</v>
      </c>
      <c r="X4461" s="2" t="s">
        <v>147</v>
      </c>
      <c r="Y4461" s="2">
        <v>39.6</v>
      </c>
      <c r="Z4461" s="2">
        <v>0</v>
      </c>
      <c r="AA4461" s="2" t="s">
        <v>478</v>
      </c>
      <c r="AB4461" s="2" t="s">
        <v>29331</v>
      </c>
      <c r="AC4461" s="2">
        <v>0.51481781950596195</v>
      </c>
      <c r="AD4461" s="2"/>
      <c r="AE4461" s="2">
        <v>9.1852957452242104E-2</v>
      </c>
      <c r="AF4461" s="2">
        <v>5974.5772020444301</v>
      </c>
      <c r="AG4461" s="2">
        <v>6908.9283576335401</v>
      </c>
      <c r="AH4461" s="4">
        <v>0.86476178254811997</v>
      </c>
      <c r="AI4461" s="4">
        <v>-0.20962532915364501</v>
      </c>
      <c r="AJ4461" s="4" t="s">
        <v>62</v>
      </c>
      <c r="AK4461" s="2">
        <v>0.64386551720105101</v>
      </c>
      <c r="AL4461" s="2">
        <v>0.82614375542364304</v>
      </c>
      <c r="AM4461" s="2">
        <v>4208.0221353732804</v>
      </c>
      <c r="AN4461" s="2">
        <v>3992.2479005037599</v>
      </c>
      <c r="AO4461" s="2">
        <v>6516.0712809056104</v>
      </c>
      <c r="AP4461" s="2">
        <v>4119.1223072760204</v>
      </c>
      <c r="AQ4461" s="2">
        <v>12406.6281200792</v>
      </c>
      <c r="AR4461" s="2">
        <v>4605.3714681287302</v>
      </c>
      <c r="AS4461" s="2">
        <v>12190.7361990845</v>
      </c>
      <c r="AT4461" s="2">
        <v>6070.3112234577002</v>
      </c>
      <c r="AU4461" s="2">
        <v>10332.708893402199</v>
      </c>
      <c r="AV4461" s="2">
        <v>4714.8955266003104</v>
      </c>
      <c r="AW4461" s="2">
        <v>4181.1042021499898</v>
      </c>
      <c r="AX4461" s="2">
        <v>3963.81410110654</v>
      </c>
    </row>
    <row r="4462" spans="1:50" x14ac:dyDescent="0.25">
      <c r="A4462" s="2" t="s">
        <v>29332</v>
      </c>
      <c r="B4462" s="2">
        <v>200.04777265151401</v>
      </c>
      <c r="C4462" s="2">
        <v>5.3260166666666704</v>
      </c>
      <c r="D4462" s="2" t="s">
        <v>51</v>
      </c>
      <c r="E4462" s="2" t="s">
        <v>29333</v>
      </c>
      <c r="F4462" s="2">
        <v>48105</v>
      </c>
      <c r="G4462" s="3" t="str">
        <f>HYPERLINK("https://cloud.oebiotech.com/#/lm/network/48105", "https://cloud.oebiotech.com/#/lm/network/48105")</f>
        <v>https://cloud.oebiotech.com/#/lm/network/48105</v>
      </c>
      <c r="H4462" s="2" t="s">
        <v>29334</v>
      </c>
      <c r="I4462" s="2">
        <v>6932</v>
      </c>
      <c r="J4462" s="2"/>
      <c r="K4462" s="2">
        <v>10685</v>
      </c>
      <c r="L4462" s="2" t="s">
        <v>29335</v>
      </c>
      <c r="M4462" s="2" t="s">
        <v>15319</v>
      </c>
      <c r="N4462" s="2" t="s">
        <v>15320</v>
      </c>
      <c r="O4462" s="2">
        <v>17890</v>
      </c>
      <c r="P4462" s="2"/>
      <c r="Q4462" s="2"/>
      <c r="R4462" s="2" t="s">
        <v>29336</v>
      </c>
      <c r="S4462" s="2" t="s">
        <v>29337</v>
      </c>
      <c r="T4462" s="2" t="s">
        <v>29338</v>
      </c>
      <c r="U4462" s="2" t="s">
        <v>266</v>
      </c>
      <c r="V4462" s="2" t="s">
        <v>445</v>
      </c>
      <c r="W4462" s="2" t="s">
        <v>446</v>
      </c>
      <c r="X4462" s="2" t="s">
        <v>83</v>
      </c>
      <c r="Y4462" s="2">
        <v>40.1</v>
      </c>
      <c r="Z4462" s="2">
        <v>0</v>
      </c>
      <c r="AA4462" s="2" t="s">
        <v>395</v>
      </c>
      <c r="AB4462" s="2" t="s">
        <v>29339</v>
      </c>
      <c r="AC4462" s="2">
        <v>3.4180562055506201</v>
      </c>
      <c r="AD4462" s="2"/>
      <c r="AE4462" s="2">
        <v>9.1727050573271296E-2</v>
      </c>
      <c r="AF4462" s="2">
        <v>1468.75421673507</v>
      </c>
      <c r="AG4462" s="2">
        <v>1758.0413578856301</v>
      </c>
      <c r="AH4462" s="4">
        <v>0.83544918334658602</v>
      </c>
      <c r="AI4462" s="4">
        <v>-0.25937601664695498</v>
      </c>
      <c r="AJ4462" s="4" t="s">
        <v>62</v>
      </c>
      <c r="AK4462" s="2">
        <v>0.102923333710361</v>
      </c>
      <c r="AL4462" s="2">
        <v>0.40741492273836899</v>
      </c>
      <c r="AM4462" s="2">
        <v>1098.9033789747</v>
      </c>
      <c r="AN4462" s="2">
        <v>1837.3853469017799</v>
      </c>
      <c r="AO4462" s="2">
        <v>1494.99547035262</v>
      </c>
      <c r="AP4462" s="2">
        <v>1176.6659717710099</v>
      </c>
      <c r="AQ4462" s="2">
        <v>1791.36614999892</v>
      </c>
      <c r="AR4462" s="2">
        <v>1413.20898241141</v>
      </c>
      <c r="AS4462" s="2">
        <v>1724.0564651505899</v>
      </c>
      <c r="AT4462" s="2">
        <v>1955.83559263654</v>
      </c>
      <c r="AU4462" s="2">
        <v>1418.0442409812599</v>
      </c>
      <c r="AV4462" s="2">
        <v>1700.50001778704</v>
      </c>
      <c r="AW4462" s="2">
        <v>1622.8680559214599</v>
      </c>
      <c r="AX4462" s="2">
        <v>2126.9437748369</v>
      </c>
    </row>
    <row r="4463" spans="1:50" x14ac:dyDescent="0.25">
      <c r="A4463" s="2" t="s">
        <v>29340</v>
      </c>
      <c r="B4463" s="2">
        <v>451.34312435230902</v>
      </c>
      <c r="C4463" s="2">
        <v>13.635666666666699</v>
      </c>
      <c r="D4463" s="2" t="s">
        <v>51</v>
      </c>
      <c r="E4463" s="2" t="s">
        <v>29341</v>
      </c>
      <c r="F4463" s="2">
        <v>2644</v>
      </c>
      <c r="G4463" s="3" t="str">
        <f>HYPERLINK("https://cloud.oebiotech.com/#/lm/network/2644", "https://cloud.oebiotech.com/#/lm/network/2644")</f>
        <v>https://cloud.oebiotech.com/#/lm/network/2644</v>
      </c>
      <c r="H4463" s="2" t="s">
        <v>29342</v>
      </c>
      <c r="I4463" s="2"/>
      <c r="J4463" s="2" t="s">
        <v>29343</v>
      </c>
      <c r="K4463" s="2">
        <v>131819622</v>
      </c>
      <c r="L4463" s="2"/>
      <c r="M4463" s="2"/>
      <c r="N4463" s="2"/>
      <c r="O4463" s="2"/>
      <c r="P4463" s="2"/>
      <c r="Q4463" s="2"/>
      <c r="R4463" s="2" t="s">
        <v>29344</v>
      </c>
      <c r="S4463" s="2" t="s">
        <v>29345</v>
      </c>
      <c r="T4463" s="2" t="s">
        <v>29346</v>
      </c>
      <c r="U4463" s="2" t="s">
        <v>56</v>
      </c>
      <c r="V4463" s="2" t="s">
        <v>145</v>
      </c>
      <c r="W4463" s="2" t="s">
        <v>231</v>
      </c>
      <c r="X4463" s="2" t="s">
        <v>147</v>
      </c>
      <c r="Y4463" s="2">
        <v>37.4</v>
      </c>
      <c r="Z4463" s="2">
        <v>0</v>
      </c>
      <c r="AA4463" s="2" t="s">
        <v>218</v>
      </c>
      <c r="AB4463" s="2" t="s">
        <v>29347</v>
      </c>
      <c r="AC4463" s="2">
        <v>0.55654327797400505</v>
      </c>
      <c r="AD4463" s="2"/>
      <c r="AE4463" s="2">
        <v>9.16951304973809E-2</v>
      </c>
      <c r="AF4463" s="2">
        <v>275.64193835344798</v>
      </c>
      <c r="AG4463" s="2">
        <v>1019.8476490621</v>
      </c>
      <c r="AH4463" s="4">
        <v>0.27027756411160297</v>
      </c>
      <c r="AI4463" s="4">
        <v>-1.8874863369486801</v>
      </c>
      <c r="AJ4463" s="4" t="s">
        <v>62</v>
      </c>
      <c r="AK4463" s="2">
        <v>0.213855711060847</v>
      </c>
      <c r="AL4463" s="2">
        <v>0.53768212145991301</v>
      </c>
      <c r="AM4463" s="2">
        <v>1005.25179117365</v>
      </c>
      <c r="AN4463" s="2">
        <v>321.141883202592</v>
      </c>
      <c r="AO4463" s="2">
        <v>8.559877937157E-6</v>
      </c>
      <c r="AP4463" s="2">
        <v>8.559877937157E-6</v>
      </c>
      <c r="AQ4463" s="2">
        <v>327.45793006481102</v>
      </c>
      <c r="AR4463" s="2">
        <v>8.559877937157E-6</v>
      </c>
      <c r="AS4463" s="2">
        <v>540.63705085873596</v>
      </c>
      <c r="AT4463" s="2">
        <v>3559.1905225406099</v>
      </c>
      <c r="AU4463" s="2">
        <v>211.582101979019</v>
      </c>
      <c r="AV4463" s="2">
        <v>1268.12372056034</v>
      </c>
      <c r="AW4463" s="2">
        <v>8.559877937157E-6</v>
      </c>
      <c r="AX4463" s="2">
        <v>539.55248987398704</v>
      </c>
    </row>
    <row r="4464" spans="1:50" x14ac:dyDescent="0.25">
      <c r="A4464" s="2" t="s">
        <v>29348</v>
      </c>
      <c r="B4464" s="2">
        <v>666.39265622376001</v>
      </c>
      <c r="C4464" s="2">
        <v>4.7920333333333298</v>
      </c>
      <c r="D4464" s="2" t="s">
        <v>51</v>
      </c>
      <c r="E4464" s="2" t="s">
        <v>29349</v>
      </c>
      <c r="F4464" s="2">
        <v>210589</v>
      </c>
      <c r="G4464" s="3" t="str">
        <f>HYPERLINK("https://cloud.oebiotech.com/#/lm/network/210589", "https://cloud.oebiotech.com/#/lm/network/210589")</f>
        <v>https://cloud.oebiotech.com/#/lm/network/210589</v>
      </c>
      <c r="H4464" s="2" t="s">
        <v>29350</v>
      </c>
      <c r="I4464" s="2"/>
      <c r="J4464" s="2"/>
      <c r="K4464" s="2">
        <v>14213881</v>
      </c>
      <c r="L4464" s="2"/>
      <c r="M4464" s="2"/>
      <c r="N4464" s="2"/>
      <c r="O4464" s="2"/>
      <c r="P4464" s="2"/>
      <c r="Q4464" s="2"/>
      <c r="R4464" s="2"/>
      <c r="S4464" s="2" t="s">
        <v>29351</v>
      </c>
      <c r="T4464" s="2" t="s">
        <v>29352</v>
      </c>
      <c r="U4464" s="2" t="s">
        <v>103</v>
      </c>
      <c r="V4464" s="2" t="s">
        <v>104</v>
      </c>
      <c r="W4464" s="2" t="s">
        <v>105</v>
      </c>
      <c r="X4464" s="2" t="s">
        <v>147</v>
      </c>
      <c r="Y4464" s="2">
        <v>47.1</v>
      </c>
      <c r="Z4464" s="2">
        <v>44.6</v>
      </c>
      <c r="AA4464" s="2" t="s">
        <v>512</v>
      </c>
      <c r="AB4464" s="2" t="s">
        <v>29353</v>
      </c>
      <c r="AC4464" s="2">
        <v>-1.04855480455155</v>
      </c>
      <c r="AD4464" s="2"/>
      <c r="AE4464" s="2">
        <v>9.1692575079821301E-2</v>
      </c>
      <c r="AF4464" s="2">
        <v>7072.4280063401302</v>
      </c>
      <c r="AG4464" s="2">
        <v>6082.6344633189501</v>
      </c>
      <c r="AH4464" s="5">
        <v>1.1627244821286</v>
      </c>
      <c r="AI4464" s="5">
        <v>0.21750927793133501</v>
      </c>
      <c r="AJ4464" s="5" t="s">
        <v>139</v>
      </c>
      <c r="AK4464" s="2">
        <v>0.624846578069289</v>
      </c>
      <c r="AL4464" s="2">
        <v>0.81536333593008903</v>
      </c>
      <c r="AM4464" s="2">
        <v>2918.4588718884402</v>
      </c>
      <c r="AN4464" s="2">
        <v>5206.7791231338697</v>
      </c>
      <c r="AO4464" s="2">
        <v>12433.0811270576</v>
      </c>
      <c r="AP4464" s="2">
        <v>9877.1630303693</v>
      </c>
      <c r="AQ4464" s="2">
        <v>7867.3889127821703</v>
      </c>
      <c r="AR4464" s="2">
        <v>4131.69697280938</v>
      </c>
      <c r="AS4464" s="2">
        <v>4585.1881029266297</v>
      </c>
      <c r="AT4464" s="2">
        <v>12199.8739719277</v>
      </c>
      <c r="AU4464" s="2">
        <v>4487.7169585927204</v>
      </c>
      <c r="AV4464" s="2">
        <v>4685.0631869981098</v>
      </c>
      <c r="AW4464" s="2">
        <v>3969.6828802231498</v>
      </c>
      <c r="AX4464" s="2">
        <v>6568.2816792453896</v>
      </c>
    </row>
    <row r="4465" spans="1:50" x14ac:dyDescent="0.25">
      <c r="A4465" s="2" t="s">
        <v>29354</v>
      </c>
      <c r="B4465" s="2">
        <v>264.07213134129898</v>
      </c>
      <c r="C4465" s="2">
        <v>1.20183333333333</v>
      </c>
      <c r="D4465" s="2" t="s">
        <v>51</v>
      </c>
      <c r="E4465" s="2" t="s">
        <v>29355</v>
      </c>
      <c r="F4465" s="2">
        <v>201592</v>
      </c>
      <c r="G4465" s="3" t="str">
        <f>HYPERLINK("https://cloud.oebiotech.com/#/lm/network/201592", "https://cloud.oebiotech.com/#/lm/network/201592")</f>
        <v>https://cloud.oebiotech.com/#/lm/network/201592</v>
      </c>
      <c r="H4465" s="2" t="s">
        <v>29356</v>
      </c>
      <c r="I4465" s="2"/>
      <c r="J4465" s="2"/>
      <c r="K4465" s="2">
        <v>135402034</v>
      </c>
      <c r="L4465" s="2"/>
      <c r="M4465" s="2"/>
      <c r="N4465" s="2"/>
      <c r="O4465" s="2"/>
      <c r="P4465" s="2"/>
      <c r="Q4465" s="2"/>
      <c r="R4465" s="2"/>
      <c r="S4465" s="2" t="s">
        <v>29357</v>
      </c>
      <c r="T4465" s="2" t="s">
        <v>29358</v>
      </c>
      <c r="U4465" s="2" t="s">
        <v>295</v>
      </c>
      <c r="V4465" s="2" t="s">
        <v>5395</v>
      </c>
      <c r="W4465" s="2" t="s">
        <v>240</v>
      </c>
      <c r="X4465" s="2" t="s">
        <v>83</v>
      </c>
      <c r="Y4465" s="2">
        <v>43</v>
      </c>
      <c r="Z4465" s="2">
        <v>0</v>
      </c>
      <c r="AA4465" s="2" t="s">
        <v>379</v>
      </c>
      <c r="AB4465" s="2" t="s">
        <v>29359</v>
      </c>
      <c r="AC4465" s="2">
        <v>-5.9912657242714404</v>
      </c>
      <c r="AD4465" s="2"/>
      <c r="AE4465" s="2">
        <v>9.1667048690502601E-2</v>
      </c>
      <c r="AF4465" s="2">
        <v>1883.68834802633</v>
      </c>
      <c r="AG4465" s="2">
        <v>2298.7160976776499</v>
      </c>
      <c r="AH4465" s="4">
        <v>0.81945236731468696</v>
      </c>
      <c r="AI4465" s="4">
        <v>-0.28726800332478902</v>
      </c>
      <c r="AJ4465" s="4" t="s">
        <v>62</v>
      </c>
      <c r="AK4465" s="2">
        <v>0.256903185741997</v>
      </c>
      <c r="AL4465" s="2">
        <v>0.57898146204444401</v>
      </c>
      <c r="AM4465" s="2">
        <v>1554.43588441474</v>
      </c>
      <c r="AN4465" s="2">
        <v>2172.7870259743099</v>
      </c>
      <c r="AO4465" s="2">
        <v>2452.5664094182398</v>
      </c>
      <c r="AP4465" s="2">
        <v>1083.3296970702299</v>
      </c>
      <c r="AQ4465" s="2">
        <v>1153.44105161217</v>
      </c>
      <c r="AR4465" s="2">
        <v>2885.5700196682901</v>
      </c>
      <c r="AS4465" s="2">
        <v>2224.6119483750399</v>
      </c>
      <c r="AT4465" s="2">
        <v>2351.9595273189698</v>
      </c>
      <c r="AU4465" s="2">
        <v>1650.12392716668</v>
      </c>
      <c r="AV4465" s="2">
        <v>2242.44043358206</v>
      </c>
      <c r="AW4465" s="2">
        <v>2357.09440208455</v>
      </c>
      <c r="AX4465" s="2">
        <v>2966.06634753861</v>
      </c>
    </row>
    <row r="4466" spans="1:50" x14ac:dyDescent="0.25">
      <c r="A4466" s="2" t="s">
        <v>29360</v>
      </c>
      <c r="B4466" s="2">
        <v>327.21782590563203</v>
      </c>
      <c r="C4466" s="2">
        <v>6.6579166666666696</v>
      </c>
      <c r="D4466" s="2" t="s">
        <v>51</v>
      </c>
      <c r="E4466" s="2" t="s">
        <v>29361</v>
      </c>
      <c r="F4466" s="2">
        <v>3401</v>
      </c>
      <c r="G4466" s="3" t="str">
        <f>HYPERLINK("https://cloud.oebiotech.com/#/lm/network/3401", "https://cloud.oebiotech.com/#/lm/network/3401")</f>
        <v>https://cloud.oebiotech.com/#/lm/network/3401</v>
      </c>
      <c r="H4466" s="2"/>
      <c r="I4466" s="2">
        <v>985562</v>
      </c>
      <c r="J4466" s="2" t="s">
        <v>29362</v>
      </c>
      <c r="K4466" s="2">
        <v>122367191</v>
      </c>
      <c r="L4466" s="2"/>
      <c r="M4466" s="2"/>
      <c r="N4466" s="2"/>
      <c r="O4466" s="2"/>
      <c r="P4466" s="2"/>
      <c r="Q4466" s="2"/>
      <c r="R4466" s="2"/>
      <c r="S4466" s="2" t="s">
        <v>29363</v>
      </c>
      <c r="T4466" s="2" t="s">
        <v>29364</v>
      </c>
      <c r="U4466" s="2" t="s">
        <v>56</v>
      </c>
      <c r="V4466" s="2" t="s">
        <v>145</v>
      </c>
      <c r="W4466" s="2" t="s">
        <v>187</v>
      </c>
      <c r="X4466" s="2" t="s">
        <v>83</v>
      </c>
      <c r="Y4466" s="2">
        <v>52.9</v>
      </c>
      <c r="Z4466" s="2">
        <v>0</v>
      </c>
      <c r="AA4466" s="2" t="s">
        <v>163</v>
      </c>
      <c r="AB4466" s="2" t="s">
        <v>7255</v>
      </c>
      <c r="AC4466" s="2">
        <v>0.39062716734129999</v>
      </c>
      <c r="AD4466" s="2"/>
      <c r="AE4466" s="2">
        <v>9.1566174570076195E-2</v>
      </c>
      <c r="AF4466" s="2">
        <v>7623.5465323746603</v>
      </c>
      <c r="AG4466" s="2">
        <v>9082.3978566245696</v>
      </c>
      <c r="AH4466" s="4">
        <v>0.83937597237211503</v>
      </c>
      <c r="AI4466" s="4">
        <v>-0.25261092906136701</v>
      </c>
      <c r="AJ4466" s="4" t="s">
        <v>62</v>
      </c>
      <c r="AK4466" s="2">
        <v>0.62081323229428198</v>
      </c>
      <c r="AL4466" s="2">
        <v>0.81255911819469895</v>
      </c>
      <c r="AM4466" s="2">
        <v>6870.10778375461</v>
      </c>
      <c r="AN4466" s="2">
        <v>12743.027405463499</v>
      </c>
      <c r="AO4466" s="2">
        <v>8248.4342209052593</v>
      </c>
      <c r="AP4466" s="2">
        <v>5827.1241309820198</v>
      </c>
      <c r="AQ4466" s="2">
        <v>6403.0478990749898</v>
      </c>
      <c r="AR4466" s="2">
        <v>5649.53775406758</v>
      </c>
      <c r="AS4466" s="2">
        <v>6819.8190025738004</v>
      </c>
      <c r="AT4466" s="2">
        <v>2441.1121895361598</v>
      </c>
      <c r="AU4466" s="2">
        <v>17245.47244754</v>
      </c>
      <c r="AV4466" s="2">
        <v>3890.8754136228399</v>
      </c>
      <c r="AW4466" s="2">
        <v>16990.6387879883</v>
      </c>
      <c r="AX4466" s="2">
        <v>7106.4692984863104</v>
      </c>
    </row>
    <row r="4467" spans="1:50" x14ac:dyDescent="0.25">
      <c r="A4467" s="2" t="s">
        <v>29365</v>
      </c>
      <c r="B4467" s="2">
        <v>151.07573388556099</v>
      </c>
      <c r="C4467" s="2">
        <v>7.4684833333333298</v>
      </c>
      <c r="D4467" s="2" t="s">
        <v>51</v>
      </c>
      <c r="E4467" s="2" t="s">
        <v>29366</v>
      </c>
      <c r="F4467" s="2">
        <v>55283</v>
      </c>
      <c r="G4467" s="3" t="str">
        <f>HYPERLINK("https://cloud.oebiotech.com/#/lm/network/55283", "https://cloud.oebiotech.com/#/lm/network/55283")</f>
        <v>https://cloud.oebiotech.com/#/lm/network/55283</v>
      </c>
      <c r="H4467" s="2" t="s">
        <v>29367</v>
      </c>
      <c r="I4467" s="2">
        <v>96319</v>
      </c>
      <c r="J4467" s="2"/>
      <c r="K4467" s="2">
        <v>36284</v>
      </c>
      <c r="L4467" s="2"/>
      <c r="M4467" s="2"/>
      <c r="N4467" s="2"/>
      <c r="O4467" s="2">
        <v>1222143</v>
      </c>
      <c r="P4467" s="2"/>
      <c r="Q4467" s="2"/>
      <c r="R4467" s="2" t="s">
        <v>29368</v>
      </c>
      <c r="S4467" s="2" t="s">
        <v>29369</v>
      </c>
      <c r="T4467" s="2" t="s">
        <v>29370</v>
      </c>
      <c r="U4467" s="2" t="s">
        <v>331</v>
      </c>
      <c r="V4467" s="2" t="s">
        <v>332</v>
      </c>
      <c r="W4467" s="2" t="s">
        <v>1207</v>
      </c>
      <c r="X4467" s="2" t="s">
        <v>147</v>
      </c>
      <c r="Y4467" s="2">
        <v>38.299999999999997</v>
      </c>
      <c r="Z4467" s="2">
        <v>0</v>
      </c>
      <c r="AA4467" s="2" t="s">
        <v>156</v>
      </c>
      <c r="AB4467" s="2" t="s">
        <v>11998</v>
      </c>
      <c r="AC4467" s="2">
        <v>2.2483049101464698</v>
      </c>
      <c r="AD4467" s="2"/>
      <c r="AE4467" s="2">
        <v>9.1510912752155005E-2</v>
      </c>
      <c r="AF4467" s="2">
        <v>5730.0740355518701</v>
      </c>
      <c r="AG4467" s="2">
        <v>6162.7205169830304</v>
      </c>
      <c r="AH4467" s="4">
        <v>0.92979618656421503</v>
      </c>
      <c r="AI4467" s="4">
        <v>-0.10501358604078601</v>
      </c>
      <c r="AJ4467" s="4" t="s">
        <v>62</v>
      </c>
      <c r="AK4467" s="2">
        <v>0.245754524576002</v>
      </c>
      <c r="AL4467" s="2">
        <v>0.57060798295178805</v>
      </c>
      <c r="AM4467" s="2">
        <v>5231.5820043199501</v>
      </c>
      <c r="AN4467" s="2">
        <v>6766.5845886346497</v>
      </c>
      <c r="AO4467" s="2">
        <v>5906.2902781585799</v>
      </c>
      <c r="AP4467" s="2">
        <v>5874.7969492943103</v>
      </c>
      <c r="AQ4467" s="2">
        <v>5828.89524405068</v>
      </c>
      <c r="AR4467" s="2">
        <v>4772.2951488530698</v>
      </c>
      <c r="AS4467" s="2">
        <v>6476.80313248524</v>
      </c>
      <c r="AT4467" s="2">
        <v>6860.1249865355803</v>
      </c>
      <c r="AU4467" s="2">
        <v>5329.5432406007203</v>
      </c>
      <c r="AV4467" s="2">
        <v>5845.8929146426899</v>
      </c>
      <c r="AW4467" s="2">
        <v>6198.5461004661702</v>
      </c>
      <c r="AX4467" s="2">
        <v>6265.4127271678099</v>
      </c>
    </row>
    <row r="4468" spans="1:50" x14ac:dyDescent="0.25">
      <c r="A4468" s="2" t="s">
        <v>29371</v>
      </c>
      <c r="B4468" s="2">
        <v>286.27501966762901</v>
      </c>
      <c r="C4468" s="2">
        <v>8.8446666666666705</v>
      </c>
      <c r="D4468" s="2" t="s">
        <v>51</v>
      </c>
      <c r="E4468" s="2" t="s">
        <v>29372</v>
      </c>
      <c r="F4468" s="2">
        <v>266406</v>
      </c>
      <c r="G4468" s="3" t="str">
        <f>HYPERLINK("https://cloud.oebiotech.com/#/lm/network/266406", "https://cloud.oebiotech.com/#/lm/network/266406")</f>
        <v>https://cloud.oebiotech.com/#/lm/network/266406</v>
      </c>
      <c r="H4468" s="2"/>
      <c r="I4468" s="2">
        <v>41557</v>
      </c>
      <c r="J4468" s="2"/>
      <c r="K4468" s="2">
        <v>91746221</v>
      </c>
      <c r="L4468" s="2"/>
      <c r="M4468" s="2"/>
      <c r="N4468" s="2"/>
      <c r="O4468" s="2"/>
      <c r="P4468" s="2"/>
      <c r="Q4468" s="2"/>
      <c r="R4468" s="2" t="s">
        <v>29373</v>
      </c>
      <c r="S4468" s="2" t="s">
        <v>29374</v>
      </c>
      <c r="T4468" s="2" t="s">
        <v>29375</v>
      </c>
      <c r="U4468" s="2" t="s">
        <v>119</v>
      </c>
      <c r="V4468" s="2" t="s">
        <v>120</v>
      </c>
      <c r="W4468" s="2" t="s">
        <v>1887</v>
      </c>
      <c r="X4468" s="2" t="s">
        <v>69</v>
      </c>
      <c r="Y4468" s="2">
        <v>64.3</v>
      </c>
      <c r="Z4468" s="2">
        <v>93.9</v>
      </c>
      <c r="AA4468" s="2" t="s">
        <v>259</v>
      </c>
      <c r="AB4468" s="2" t="s">
        <v>29376</v>
      </c>
      <c r="AC4468" s="2">
        <v>3.3788345824639801</v>
      </c>
      <c r="AD4468" s="2"/>
      <c r="AE4468" s="2">
        <v>9.1448694792920199E-2</v>
      </c>
      <c r="AF4468" s="2">
        <v>4128.8366609251498</v>
      </c>
      <c r="AG4468" s="2">
        <v>4718.24838594212</v>
      </c>
      <c r="AH4468" s="4">
        <v>0.87507827549454498</v>
      </c>
      <c r="AI4468" s="4">
        <v>-0.19251602352299099</v>
      </c>
      <c r="AJ4468" s="4" t="s">
        <v>62</v>
      </c>
      <c r="AK4468" s="2">
        <v>0.508304043557397</v>
      </c>
      <c r="AL4468" s="2">
        <v>0.74311773124852598</v>
      </c>
      <c r="AM4468" s="2">
        <v>4209.5807364417497</v>
      </c>
      <c r="AN4468" s="2">
        <v>5643.0380109322396</v>
      </c>
      <c r="AO4468" s="2">
        <v>3040.1695081785001</v>
      </c>
      <c r="AP4468" s="2">
        <v>3225.3786678444899</v>
      </c>
      <c r="AQ4468" s="2">
        <v>5640.9952291298096</v>
      </c>
      <c r="AR4468" s="2">
        <v>3013.8578130241199</v>
      </c>
      <c r="AS4468" s="2">
        <v>3656.05254118735</v>
      </c>
      <c r="AT4468" s="2">
        <v>4348.7618595695003</v>
      </c>
      <c r="AU4468" s="2">
        <v>2892.7747018200898</v>
      </c>
      <c r="AV4468" s="2">
        <v>4831.3886046771704</v>
      </c>
      <c r="AW4468" s="2">
        <v>7833.5897732285903</v>
      </c>
      <c r="AX4468" s="2">
        <v>4746.9228351700203</v>
      </c>
    </row>
    <row r="4469" spans="1:50" x14ac:dyDescent="0.25">
      <c r="A4469" s="2" t="s">
        <v>29377</v>
      </c>
      <c r="B4469" s="2">
        <v>279.23284547162001</v>
      </c>
      <c r="C4469" s="2">
        <v>9.7668833333333307</v>
      </c>
      <c r="D4469" s="2" t="s">
        <v>51</v>
      </c>
      <c r="E4469" s="2" t="s">
        <v>29378</v>
      </c>
      <c r="F4469" s="2">
        <v>44859</v>
      </c>
      <c r="G4469" s="3" t="str">
        <f>HYPERLINK("https://cloud.oebiotech.com/#/lm/network/44859", "https://cloud.oebiotech.com/#/lm/network/44859")</f>
        <v>https://cloud.oebiotech.com/#/lm/network/44859</v>
      </c>
      <c r="H4469" s="2"/>
      <c r="I4469" s="2">
        <v>84283</v>
      </c>
      <c r="J4469" s="2" t="s">
        <v>29379</v>
      </c>
      <c r="K4469" s="2">
        <v>9547219</v>
      </c>
      <c r="L4469" s="2"/>
      <c r="M4469" s="2"/>
      <c r="N4469" s="2"/>
      <c r="O4469" s="2"/>
      <c r="P4469" s="2"/>
      <c r="Q4469" s="2"/>
      <c r="R4469" s="2"/>
      <c r="S4469" s="2" t="s">
        <v>29380</v>
      </c>
      <c r="T4469" s="2" t="s">
        <v>29381</v>
      </c>
      <c r="U4469" s="2" t="s">
        <v>56</v>
      </c>
      <c r="V4469" s="2" t="s">
        <v>283</v>
      </c>
      <c r="W4469" s="2" t="s">
        <v>1944</v>
      </c>
      <c r="X4469" s="2" t="s">
        <v>83</v>
      </c>
      <c r="Y4469" s="2">
        <v>40.6</v>
      </c>
      <c r="Z4469" s="2">
        <v>0</v>
      </c>
      <c r="AA4469" s="2" t="s">
        <v>259</v>
      </c>
      <c r="AB4469" s="2" t="s">
        <v>2258</v>
      </c>
      <c r="AC4469" s="2">
        <v>3.5541015070510502</v>
      </c>
      <c r="AD4469" s="2"/>
      <c r="AE4469" s="2">
        <v>9.1393752532883496E-2</v>
      </c>
      <c r="AF4469" s="2">
        <v>8457.9108532545106</v>
      </c>
      <c r="AG4469" s="2">
        <v>7340.6187987707299</v>
      </c>
      <c r="AH4469" s="5">
        <v>1.15220679415622</v>
      </c>
      <c r="AI4469" s="5">
        <v>0.20439967001760201</v>
      </c>
      <c r="AJ4469" s="5" t="s">
        <v>139</v>
      </c>
      <c r="AK4469" s="2">
        <v>0.54749148449286</v>
      </c>
      <c r="AL4469" s="2">
        <v>0.77054320949467303</v>
      </c>
      <c r="AM4469" s="2">
        <v>5726.6820705622304</v>
      </c>
      <c r="AN4469" s="2">
        <v>7463.1383229605899</v>
      </c>
      <c r="AO4469" s="2">
        <v>8273.1239707804398</v>
      </c>
      <c r="AP4469" s="2">
        <v>6270.5362185720896</v>
      </c>
      <c r="AQ4469" s="2">
        <v>16960.449143624101</v>
      </c>
      <c r="AR4469" s="2">
        <v>6053.5353930276196</v>
      </c>
      <c r="AS4469" s="2">
        <v>6348.6542092645604</v>
      </c>
      <c r="AT4469" s="2">
        <v>6264.6503575091601</v>
      </c>
      <c r="AU4469" s="2">
        <v>9062.82527179918</v>
      </c>
      <c r="AV4469" s="2">
        <v>7329.17276087552</v>
      </c>
      <c r="AW4469" s="2">
        <v>7747.7084874164702</v>
      </c>
      <c r="AX4469" s="2">
        <v>7290.7017057594803</v>
      </c>
    </row>
    <row r="4470" spans="1:50" x14ac:dyDescent="0.25">
      <c r="A4470" s="2" t="s">
        <v>29382</v>
      </c>
      <c r="B4470" s="2">
        <v>271.10890000000001</v>
      </c>
      <c r="C4470" s="2">
        <v>25.771000000000001</v>
      </c>
      <c r="D4470" s="2" t="s">
        <v>125</v>
      </c>
      <c r="E4470" s="2" t="s">
        <v>29383</v>
      </c>
      <c r="F4470" s="2">
        <v>51501</v>
      </c>
      <c r="G4470" s="3" t="str">
        <f>HYPERLINK("https://cloud.oebiotech.com/#/lm/network/51501", "https://cloud.oebiotech.com/#/lm/network/51501")</f>
        <v>https://cloud.oebiotech.com/#/lm/network/51501</v>
      </c>
      <c r="H4470" s="2" t="s">
        <v>29384</v>
      </c>
      <c r="I4470" s="2">
        <v>43984</v>
      </c>
      <c r="J4470" s="2"/>
      <c r="K4470" s="2">
        <v>92817</v>
      </c>
      <c r="L4470" s="2" t="s">
        <v>29385</v>
      </c>
      <c r="M4470" s="2"/>
      <c r="N4470" s="2"/>
      <c r="O4470" s="2">
        <v>6731</v>
      </c>
      <c r="P4470" s="2"/>
      <c r="Q4470" s="2"/>
      <c r="R4470" s="2" t="s">
        <v>29386</v>
      </c>
      <c r="S4470" s="2" t="s">
        <v>29387</v>
      </c>
      <c r="T4470" s="2" t="s">
        <v>29388</v>
      </c>
      <c r="U4470" s="2" t="s">
        <v>331</v>
      </c>
      <c r="V4470" s="2" t="s">
        <v>332</v>
      </c>
      <c r="W4470" s="2" t="s">
        <v>333</v>
      </c>
      <c r="X4470" s="2" t="s">
        <v>69</v>
      </c>
      <c r="Y4470" s="2">
        <v>85.5</v>
      </c>
      <c r="Z4470" s="2">
        <v>75.8</v>
      </c>
      <c r="AA4470" s="2"/>
      <c r="AB4470" s="2" t="s">
        <v>22574</v>
      </c>
      <c r="AC4470" s="2"/>
      <c r="AD4470" s="2">
        <v>967919.28352098295</v>
      </c>
      <c r="AE4470" s="2">
        <v>9.1385336276146104E-2</v>
      </c>
      <c r="AF4470" s="2">
        <v>2299.8352172700202</v>
      </c>
      <c r="AG4470" s="2">
        <v>5872.8816263355302</v>
      </c>
      <c r="AH4470" s="4">
        <v>0.39160251535753099</v>
      </c>
      <c r="AI4470" s="4">
        <v>-1.3525380631373201</v>
      </c>
      <c r="AJ4470" s="4" t="s">
        <v>62</v>
      </c>
      <c r="AK4470" s="2">
        <v>7.4507548893391104E-2</v>
      </c>
      <c r="AL4470" s="2">
        <v>0.35818559707798497</v>
      </c>
      <c r="AM4470" s="2">
        <v>2299.8352172700202</v>
      </c>
      <c r="AN4470" s="2">
        <v>2299.8352172700202</v>
      </c>
      <c r="AO4470" s="2">
        <v>2299.8352172700202</v>
      </c>
      <c r="AP4470" s="2">
        <v>2299.8352172700202</v>
      </c>
      <c r="AQ4470" s="2">
        <v>2299.8352172700202</v>
      </c>
      <c r="AR4470" s="2">
        <v>2299.8352172700202</v>
      </c>
      <c r="AS4470" s="2">
        <v>12152.1175222239</v>
      </c>
      <c r="AT4470" s="2">
        <v>10218.987889147</v>
      </c>
      <c r="AU4470" s="2">
        <v>2299.8352172700202</v>
      </c>
      <c r="AV4470" s="2">
        <v>5966.6786948322097</v>
      </c>
      <c r="AW4470" s="2">
        <v>2299.8352172700202</v>
      </c>
      <c r="AX4470" s="2">
        <v>2299.8352172700202</v>
      </c>
    </row>
    <row r="4471" spans="1:50" x14ac:dyDescent="0.25">
      <c r="A4471" s="2" t="s">
        <v>29389</v>
      </c>
      <c r="B4471" s="2">
        <v>449.36340385316601</v>
      </c>
      <c r="C4471" s="2">
        <v>14.479983333333299</v>
      </c>
      <c r="D4471" s="2" t="s">
        <v>51</v>
      </c>
      <c r="E4471" s="2" t="s">
        <v>29390</v>
      </c>
      <c r="F4471" s="2">
        <v>8511</v>
      </c>
      <c r="G4471" s="3" t="str">
        <f>HYPERLINK("https://cloud.oebiotech.com/#/lm/network/8511", "https://cloud.oebiotech.com/#/lm/network/8511")</f>
        <v>https://cloud.oebiotech.com/#/lm/network/8511</v>
      </c>
      <c r="H4471" s="2"/>
      <c r="I4471" s="2"/>
      <c r="J4471" s="2" t="s">
        <v>29391</v>
      </c>
      <c r="K4471" s="2"/>
      <c r="L4471" s="2"/>
      <c r="M4471" s="2"/>
      <c r="N4471" s="2"/>
      <c r="O4471" s="2"/>
      <c r="P4471" s="2"/>
      <c r="Q4471" s="2"/>
      <c r="R4471" s="2"/>
      <c r="S4471" s="2" t="s">
        <v>29392</v>
      </c>
      <c r="T4471" s="2" t="s">
        <v>29393</v>
      </c>
      <c r="U4471" s="2" t="s">
        <v>56</v>
      </c>
      <c r="V4471" s="2" t="s">
        <v>145</v>
      </c>
      <c r="W4471" s="2" t="s">
        <v>231</v>
      </c>
      <c r="X4471" s="2" t="s">
        <v>83</v>
      </c>
      <c r="Y4471" s="2">
        <v>51.7</v>
      </c>
      <c r="Z4471" s="2">
        <v>0</v>
      </c>
      <c r="AA4471" s="2" t="s">
        <v>95</v>
      </c>
      <c r="AB4471" s="2" t="s">
        <v>10388</v>
      </c>
      <c r="AC4471" s="2">
        <v>7.6766293120475</v>
      </c>
      <c r="AD4471" s="2"/>
      <c r="AE4471" s="2">
        <v>9.1326318452641497E-2</v>
      </c>
      <c r="AF4471" s="2">
        <v>2616.2241259992002</v>
      </c>
      <c r="AG4471" s="2">
        <v>2248.6341009328598</v>
      </c>
      <c r="AH4471" s="5">
        <v>1.1634725831623001</v>
      </c>
      <c r="AI4471" s="5">
        <v>0.21843721452339199</v>
      </c>
      <c r="AJ4471" s="5" t="s">
        <v>139</v>
      </c>
      <c r="AK4471" s="2">
        <v>0.65135406637026905</v>
      </c>
      <c r="AL4471" s="2">
        <v>0.83038202534685202</v>
      </c>
      <c r="AM4471" s="2">
        <v>2285.6178377394499</v>
      </c>
      <c r="AN4471" s="2">
        <v>6100.6255723489903</v>
      </c>
      <c r="AO4471" s="2">
        <v>2605.9600808391801</v>
      </c>
      <c r="AP4471" s="2">
        <v>1719.05057853472</v>
      </c>
      <c r="AQ4471" s="2">
        <v>1422.7923350600399</v>
      </c>
      <c r="AR4471" s="2">
        <v>1563.2983514728101</v>
      </c>
      <c r="AS4471" s="2">
        <v>1089.2762997520199</v>
      </c>
      <c r="AT4471" s="2">
        <v>2448.0719462922102</v>
      </c>
      <c r="AU4471" s="2">
        <v>3396.8860732398998</v>
      </c>
      <c r="AV4471" s="2">
        <v>2649.0932931750999</v>
      </c>
      <c r="AW4471" s="2">
        <v>2128.2312425002401</v>
      </c>
      <c r="AX4471" s="2">
        <v>1780.24575063769</v>
      </c>
    </row>
    <row r="4472" spans="1:50" x14ac:dyDescent="0.25">
      <c r="A4472" s="2" t="s">
        <v>29394</v>
      </c>
      <c r="B4472" s="2">
        <v>399.33960000000002</v>
      </c>
      <c r="C4472" s="2">
        <v>25.667000000000002</v>
      </c>
      <c r="D4472" s="2" t="s">
        <v>125</v>
      </c>
      <c r="E4472" s="2" t="s">
        <v>29395</v>
      </c>
      <c r="F4472" s="2">
        <v>51167</v>
      </c>
      <c r="G4472" s="3" t="str">
        <f>HYPERLINK("https://cloud.oebiotech.com/#/lm/network/51167", "https://cloud.oebiotech.com/#/lm/network/51167")</f>
        <v>https://cloud.oebiotech.com/#/lm/network/51167</v>
      </c>
      <c r="H4472" s="2" t="s">
        <v>29396</v>
      </c>
      <c r="I4472" s="2">
        <v>61993</v>
      </c>
      <c r="J4472" s="2"/>
      <c r="K4472" s="2">
        <v>15560610</v>
      </c>
      <c r="L4472" s="2"/>
      <c r="M4472" s="2"/>
      <c r="N4472" s="2"/>
      <c r="O4472" s="2">
        <v>75550</v>
      </c>
      <c r="P4472" s="2"/>
      <c r="Q4472" s="2"/>
      <c r="R4472" s="2" t="s">
        <v>29397</v>
      </c>
      <c r="S4472" s="2" t="s">
        <v>29398</v>
      </c>
      <c r="T4472" s="2" t="s">
        <v>29399</v>
      </c>
      <c r="U4472" s="2" t="s">
        <v>56</v>
      </c>
      <c r="V4472" s="2" t="s">
        <v>3215</v>
      </c>
      <c r="W4472" s="2" t="s">
        <v>4174</v>
      </c>
      <c r="X4472" s="2" t="s">
        <v>69</v>
      </c>
      <c r="Y4472" s="2">
        <v>92.1</v>
      </c>
      <c r="Z4472" s="2">
        <v>98.4</v>
      </c>
      <c r="AA4472" s="2"/>
      <c r="AB4472" s="2" t="s">
        <v>29400</v>
      </c>
      <c r="AC4472" s="2"/>
      <c r="AD4472" s="2">
        <v>961298.19856704201</v>
      </c>
      <c r="AE4472" s="2">
        <v>9.0843783209971704E-2</v>
      </c>
      <c r="AF4472" s="2">
        <v>50650.477797983498</v>
      </c>
      <c r="AG4472" s="2">
        <v>56298.574829363803</v>
      </c>
      <c r="AH4472" s="4">
        <v>0.89967602113376499</v>
      </c>
      <c r="AI4472" s="4">
        <v>-0.15252252327934401</v>
      </c>
      <c r="AJ4472" s="4" t="s">
        <v>62</v>
      </c>
      <c r="AK4472" s="2">
        <v>0.58546154648133597</v>
      </c>
      <c r="AL4472" s="2">
        <v>0.79159307708032101</v>
      </c>
      <c r="AM4472" s="2">
        <v>44097.1880018589</v>
      </c>
      <c r="AN4472" s="2">
        <v>39658.789286624698</v>
      </c>
      <c r="AO4472" s="2">
        <v>57586.090111945297</v>
      </c>
      <c r="AP4472" s="2">
        <v>36143.7963023509</v>
      </c>
      <c r="AQ4472" s="2">
        <v>87322.376189942894</v>
      </c>
      <c r="AR4472" s="2">
        <v>39094.626895178299</v>
      </c>
      <c r="AS4472" s="2">
        <v>82478.172056926007</v>
      </c>
      <c r="AT4472" s="2">
        <v>39866.027629105803</v>
      </c>
      <c r="AU4472" s="2">
        <v>61640.044684787899</v>
      </c>
      <c r="AV4472" s="2">
        <v>46845.040238172201</v>
      </c>
      <c r="AW4472" s="2">
        <v>50063.794783789497</v>
      </c>
      <c r="AX4472" s="2">
        <v>56898.369583401203</v>
      </c>
    </row>
    <row r="4473" spans="1:50" x14ac:dyDescent="0.25">
      <c r="A4473" s="2" t="s">
        <v>29401</v>
      </c>
      <c r="B4473" s="2">
        <v>257.21209256690798</v>
      </c>
      <c r="C4473" s="2">
        <v>11.56945</v>
      </c>
      <c r="D4473" s="2" t="s">
        <v>51</v>
      </c>
      <c r="E4473" s="2" t="s">
        <v>29402</v>
      </c>
      <c r="F4473" s="2">
        <v>2283</v>
      </c>
      <c r="G4473" s="3" t="str">
        <f>HYPERLINK("https://cloud.oebiotech.com/#/lm/network/2283", "https://cloud.oebiotech.com/#/lm/network/2283")</f>
        <v>https://cloud.oebiotech.com/#/lm/network/2283</v>
      </c>
      <c r="H4473" s="2"/>
      <c r="I4473" s="2"/>
      <c r="J4473" s="2" t="s">
        <v>29403</v>
      </c>
      <c r="K4473" s="2">
        <v>611552</v>
      </c>
      <c r="L4473" s="2"/>
      <c r="M4473" s="2"/>
      <c r="N4473" s="2"/>
      <c r="O4473" s="2"/>
      <c r="P4473" s="2"/>
      <c r="Q4473" s="2"/>
      <c r="R4473" s="2"/>
      <c r="S4473" s="2" t="s">
        <v>29404</v>
      </c>
      <c r="T4473" s="2" t="s">
        <v>29405</v>
      </c>
      <c r="U4473" s="2" t="s">
        <v>56</v>
      </c>
      <c r="V4473" s="2" t="s">
        <v>145</v>
      </c>
      <c r="W4473" s="2" t="s">
        <v>231</v>
      </c>
      <c r="X4473" s="2" t="s">
        <v>69</v>
      </c>
      <c r="Y4473" s="2">
        <v>56</v>
      </c>
      <c r="Z4473" s="2">
        <v>54.3</v>
      </c>
      <c r="AA4473" s="2" t="s">
        <v>163</v>
      </c>
      <c r="AB4473" s="2" t="s">
        <v>24271</v>
      </c>
      <c r="AC4473" s="2">
        <v>-0.48726712838339797</v>
      </c>
      <c r="AD4473" s="2"/>
      <c r="AE4473" s="2">
        <v>9.0829301932712103E-2</v>
      </c>
      <c r="AF4473" s="2">
        <v>4390.2175376586702</v>
      </c>
      <c r="AG4473" s="2">
        <v>4021.7370842607302</v>
      </c>
      <c r="AH4473" s="5">
        <v>1.0916222134062401</v>
      </c>
      <c r="AI4473" s="5">
        <v>0.12647365740604199</v>
      </c>
      <c r="AJ4473" s="5" t="s">
        <v>139</v>
      </c>
      <c r="AK4473" s="2">
        <v>0.24419338907308399</v>
      </c>
      <c r="AL4473" s="2">
        <v>0.56903888499896405</v>
      </c>
      <c r="AM4473" s="2">
        <v>4455.8271859674196</v>
      </c>
      <c r="AN4473" s="2">
        <v>4661.7774577500004</v>
      </c>
      <c r="AO4473" s="2">
        <v>4507.4749165728699</v>
      </c>
      <c r="AP4473" s="2">
        <v>3523.5373240714798</v>
      </c>
      <c r="AQ4473" s="2">
        <v>4190.2394580538303</v>
      </c>
      <c r="AR4473" s="2">
        <v>5002.44888353643</v>
      </c>
      <c r="AS4473" s="2">
        <v>3831.60519541351</v>
      </c>
      <c r="AT4473" s="2">
        <v>3169.0999654614202</v>
      </c>
      <c r="AU4473" s="2">
        <v>4543.1670294569403</v>
      </c>
      <c r="AV4473" s="2">
        <v>3999.1165522994402</v>
      </c>
      <c r="AW4473" s="2">
        <v>4624.5500893721401</v>
      </c>
      <c r="AX4473" s="2">
        <v>3962.8836735609402</v>
      </c>
    </row>
    <row r="4474" spans="1:50" x14ac:dyDescent="0.25">
      <c r="A4474" s="2" t="s">
        <v>29406</v>
      </c>
      <c r="B4474" s="2">
        <v>310.10747443747601</v>
      </c>
      <c r="C4474" s="2">
        <v>4.9626666666666699</v>
      </c>
      <c r="D4474" s="2" t="s">
        <v>51</v>
      </c>
      <c r="E4474" s="2" t="s">
        <v>29407</v>
      </c>
      <c r="F4474" s="2">
        <v>57606</v>
      </c>
      <c r="G4474" s="3" t="str">
        <f>HYPERLINK("https://cloud.oebiotech.com/#/lm/network/57606", "https://cloud.oebiotech.com/#/lm/network/57606")</f>
        <v>https://cloud.oebiotech.com/#/lm/network/57606</v>
      </c>
      <c r="H4474" s="2" t="s">
        <v>29408</v>
      </c>
      <c r="I4474" s="2">
        <v>89206</v>
      </c>
      <c r="J4474" s="2"/>
      <c r="K4474" s="2">
        <v>422682</v>
      </c>
      <c r="L4474" s="2"/>
      <c r="M4474" s="2"/>
      <c r="N4474" s="2"/>
      <c r="O4474" s="2"/>
      <c r="P4474" s="2"/>
      <c r="Q4474" s="2"/>
      <c r="R4474" s="2" t="s">
        <v>29409</v>
      </c>
      <c r="S4474" s="2" t="s">
        <v>29410</v>
      </c>
      <c r="T4474" s="2" t="s">
        <v>29411</v>
      </c>
      <c r="U4474" s="2" t="s">
        <v>238</v>
      </c>
      <c r="V4474" s="2" t="s">
        <v>29412</v>
      </c>
      <c r="W4474" s="2" t="s">
        <v>240</v>
      </c>
      <c r="X4474" s="2" t="s">
        <v>83</v>
      </c>
      <c r="Y4474" s="2">
        <v>39.299999999999997</v>
      </c>
      <c r="Z4474" s="2">
        <v>0</v>
      </c>
      <c r="AA4474" s="2" t="s">
        <v>163</v>
      </c>
      <c r="AB4474" s="2" t="s">
        <v>29413</v>
      </c>
      <c r="AC4474" s="2">
        <v>-3.2372476416729401</v>
      </c>
      <c r="AD4474" s="2"/>
      <c r="AE4474" s="2">
        <v>9.0769462572009796E-2</v>
      </c>
      <c r="AF4474" s="2">
        <v>189.169043162766</v>
      </c>
      <c r="AG4474" s="2">
        <v>1162.47511085981</v>
      </c>
      <c r="AH4474" s="4">
        <v>0.16272954267627199</v>
      </c>
      <c r="AI4474" s="4">
        <v>-2.6194519065474502</v>
      </c>
      <c r="AJ4474" s="4" t="s">
        <v>62</v>
      </c>
      <c r="AK4474" s="2">
        <v>0.32258094522630099</v>
      </c>
      <c r="AL4474" s="2">
        <v>0.62992073899545697</v>
      </c>
      <c r="AM4474" s="2">
        <v>523.83015086944795</v>
      </c>
      <c r="AN4474" s="2">
        <v>275.258675455272</v>
      </c>
      <c r="AO4474" s="2">
        <v>8.559877937157E-6</v>
      </c>
      <c r="AP4474" s="2">
        <v>11.9626653608913</v>
      </c>
      <c r="AQ4474" s="2">
        <v>1.5604432655232301</v>
      </c>
      <c r="AR4474" s="2">
        <v>322.40231546558499</v>
      </c>
      <c r="AS4474" s="2">
        <v>173.016984367612</v>
      </c>
      <c r="AT4474" s="2">
        <v>5777.2917266189597</v>
      </c>
      <c r="AU4474" s="2">
        <v>7.9054766246998804</v>
      </c>
      <c r="AV4474" s="2">
        <v>817.90419084373502</v>
      </c>
      <c r="AW4474" s="2">
        <v>8.559877937157E-6</v>
      </c>
      <c r="AX4474" s="2">
        <v>198.732278143993</v>
      </c>
    </row>
    <row r="4475" spans="1:50" x14ac:dyDescent="0.25">
      <c r="A4475" s="2" t="s">
        <v>29414</v>
      </c>
      <c r="B4475" s="2">
        <v>507.369276514734</v>
      </c>
      <c r="C4475" s="2">
        <v>11.3173666666667</v>
      </c>
      <c r="D4475" s="2" t="s">
        <v>51</v>
      </c>
      <c r="E4475" s="2" t="s">
        <v>29415</v>
      </c>
      <c r="F4475" s="2">
        <v>58460</v>
      </c>
      <c r="G4475" s="3" t="str">
        <f>HYPERLINK("https://cloud.oebiotech.com/#/lm/network/58460", "https://cloud.oebiotech.com/#/lm/network/58460")</f>
        <v>https://cloud.oebiotech.com/#/lm/network/58460</v>
      </c>
      <c r="H4475" s="2" t="s">
        <v>29416</v>
      </c>
      <c r="I4475" s="2">
        <v>89932</v>
      </c>
      <c r="J4475" s="2"/>
      <c r="K4475" s="2">
        <v>13870434</v>
      </c>
      <c r="L4475" s="2"/>
      <c r="M4475" s="2"/>
      <c r="N4475" s="2"/>
      <c r="O4475" s="2"/>
      <c r="P4475" s="2"/>
      <c r="Q4475" s="2"/>
      <c r="R4475" s="2" t="s">
        <v>29417</v>
      </c>
      <c r="S4475" s="2" t="s">
        <v>29418</v>
      </c>
      <c r="T4475" s="2" t="s">
        <v>29419</v>
      </c>
      <c r="U4475" s="2" t="s">
        <v>56</v>
      </c>
      <c r="V4475" s="2" t="s">
        <v>283</v>
      </c>
      <c r="W4475" s="2" t="s">
        <v>10738</v>
      </c>
      <c r="X4475" s="2" t="s">
        <v>83</v>
      </c>
      <c r="Y4475" s="2">
        <v>52.3</v>
      </c>
      <c r="Z4475" s="2">
        <v>0</v>
      </c>
      <c r="AA4475" s="2" t="s">
        <v>218</v>
      </c>
      <c r="AB4475" s="2" t="s">
        <v>11263</v>
      </c>
      <c r="AC4475" s="2">
        <v>0.35374845286081202</v>
      </c>
      <c r="AD4475" s="2"/>
      <c r="AE4475" s="2">
        <v>9.0681624585161005E-2</v>
      </c>
      <c r="AF4475" s="2">
        <v>3516.6477929231701</v>
      </c>
      <c r="AG4475" s="2">
        <v>2549.3235031762802</v>
      </c>
      <c r="AH4475" s="5">
        <v>1.3794435223861099</v>
      </c>
      <c r="AI4475" s="5">
        <v>0.46408639062271601</v>
      </c>
      <c r="AJ4475" s="5" t="s">
        <v>139</v>
      </c>
      <c r="AK4475" s="2">
        <v>0.40463250155060498</v>
      </c>
      <c r="AL4475" s="2">
        <v>0.67140949181272902</v>
      </c>
      <c r="AM4475" s="2">
        <v>2893.1469383426002</v>
      </c>
      <c r="AN4475" s="2">
        <v>2629.2016599502099</v>
      </c>
      <c r="AO4475" s="2">
        <v>2777.8629630165201</v>
      </c>
      <c r="AP4475" s="2">
        <v>6383.8999491783297</v>
      </c>
      <c r="AQ4475" s="2">
        <v>4301.02649645156</v>
      </c>
      <c r="AR4475" s="2">
        <v>2114.7487505998001</v>
      </c>
      <c r="AS4475" s="2">
        <v>936.62054347500396</v>
      </c>
      <c r="AT4475" s="2">
        <v>4047.00789882136</v>
      </c>
      <c r="AU4475" s="2">
        <v>8.559877937157E-6</v>
      </c>
      <c r="AV4475" s="2">
        <v>855.698336003279</v>
      </c>
      <c r="AW4475" s="2">
        <v>4078.1664557706799</v>
      </c>
      <c r="AX4475" s="2">
        <v>5378.4477764274698</v>
      </c>
    </row>
    <row r="4476" spans="1:50" x14ac:dyDescent="0.25">
      <c r="A4476" s="2" t="s">
        <v>29420</v>
      </c>
      <c r="B4476" s="2">
        <v>467.10374717940198</v>
      </c>
      <c r="C4476" s="2">
        <v>1.8376666666666699</v>
      </c>
      <c r="D4476" s="2" t="s">
        <v>51</v>
      </c>
      <c r="E4476" s="2" t="s">
        <v>29421</v>
      </c>
      <c r="F4476" s="2">
        <v>212152</v>
      </c>
      <c r="G4476" s="3" t="str">
        <f>HYPERLINK("https://cloud.oebiotech.com/#/lm/network/212152", "https://cloud.oebiotech.com/#/lm/network/212152")</f>
        <v>https://cloud.oebiotech.com/#/lm/network/212152</v>
      </c>
      <c r="H4476" s="2" t="s">
        <v>29422</v>
      </c>
      <c r="I4476" s="2"/>
      <c r="J4476" s="2"/>
      <c r="K4476" s="2"/>
      <c r="L4476" s="2"/>
      <c r="M4476" s="2"/>
      <c r="N4476" s="2"/>
      <c r="O4476" s="2"/>
      <c r="P4476" s="2"/>
      <c r="Q4476" s="2"/>
      <c r="R4476" s="2"/>
      <c r="S4476" s="2" t="s">
        <v>29423</v>
      </c>
      <c r="T4476" s="2" t="s">
        <v>29424</v>
      </c>
      <c r="U4476" s="2" t="s">
        <v>266</v>
      </c>
      <c r="V4476" s="2" t="s">
        <v>1585</v>
      </c>
      <c r="W4476" s="2" t="s">
        <v>4395</v>
      </c>
      <c r="X4476" s="2" t="s">
        <v>147</v>
      </c>
      <c r="Y4476" s="2">
        <v>40.299999999999997</v>
      </c>
      <c r="Z4476" s="2">
        <v>7.49</v>
      </c>
      <c r="AA4476" s="2" t="s">
        <v>395</v>
      </c>
      <c r="AB4476" s="2" t="s">
        <v>29425</v>
      </c>
      <c r="AC4476" s="2">
        <v>2.0719085097939902</v>
      </c>
      <c r="AD4476" s="2"/>
      <c r="AE4476" s="2">
        <v>9.0678425944435995E-2</v>
      </c>
      <c r="AF4476" s="2">
        <v>26212.137210643501</v>
      </c>
      <c r="AG4476" s="2">
        <v>23967.456862034502</v>
      </c>
      <c r="AH4476" s="5">
        <v>1.09365534113737</v>
      </c>
      <c r="AI4476" s="5">
        <v>0.129158153144731</v>
      </c>
      <c r="AJ4476" s="5" t="s">
        <v>139</v>
      </c>
      <c r="AK4476" s="2">
        <v>0.55937798672773398</v>
      </c>
      <c r="AL4476" s="2">
        <v>0.77848736690167797</v>
      </c>
      <c r="AM4476" s="2">
        <v>17756.3132013061</v>
      </c>
      <c r="AN4476" s="2">
        <v>30580.490861189999</v>
      </c>
      <c r="AO4476" s="2">
        <v>27098.1230288591</v>
      </c>
      <c r="AP4476" s="2">
        <v>31054.1572519002</v>
      </c>
      <c r="AQ4476" s="2">
        <v>25123.3628268311</v>
      </c>
      <c r="AR4476" s="2">
        <v>25660.376093774699</v>
      </c>
      <c r="AS4476" s="2">
        <v>37421.995265331701</v>
      </c>
      <c r="AT4476" s="2">
        <v>24710.3428734384</v>
      </c>
      <c r="AU4476" s="2">
        <v>19966.0574744937</v>
      </c>
      <c r="AV4476" s="2">
        <v>14584.9094988657</v>
      </c>
      <c r="AW4476" s="2">
        <v>21084.659015350499</v>
      </c>
      <c r="AX4476" s="2">
        <v>26036.777044726699</v>
      </c>
    </row>
    <row r="4477" spans="1:50" x14ac:dyDescent="0.25">
      <c r="A4477" s="2" t="s">
        <v>29426</v>
      </c>
      <c r="B4477" s="2">
        <v>392.18292246801701</v>
      </c>
      <c r="C4477" s="2">
        <v>4.7222</v>
      </c>
      <c r="D4477" s="2" t="s">
        <v>51</v>
      </c>
      <c r="E4477" s="2" t="s">
        <v>29427</v>
      </c>
      <c r="F4477" s="2">
        <v>262270</v>
      </c>
      <c r="G4477" s="3" t="str">
        <f>HYPERLINK("https://cloud.oebiotech.com/#/lm/network/262270", "https://cloud.oebiotech.com/#/lm/network/262270")</f>
        <v>https://cloud.oebiotech.com/#/lm/network/262270</v>
      </c>
      <c r="H4477" s="2"/>
      <c r="I4477" s="2">
        <v>19625</v>
      </c>
      <c r="J4477" s="2"/>
      <c r="K4477" s="2">
        <v>25231871</v>
      </c>
      <c r="L4477" s="2"/>
      <c r="M4477" s="2"/>
      <c r="N4477" s="2"/>
      <c r="O4477" s="2"/>
      <c r="P4477" s="2"/>
      <c r="Q4477" s="2"/>
      <c r="R4477" s="2"/>
      <c r="S4477" s="2" t="s">
        <v>29428</v>
      </c>
      <c r="T4477" s="2" t="s">
        <v>29429</v>
      </c>
      <c r="U4477" s="2" t="s">
        <v>103</v>
      </c>
      <c r="V4477" s="2" t="s">
        <v>104</v>
      </c>
      <c r="W4477" s="2" t="s">
        <v>105</v>
      </c>
      <c r="X4477" s="2" t="s">
        <v>83</v>
      </c>
      <c r="Y4477" s="2">
        <v>53.2</v>
      </c>
      <c r="Z4477" s="2">
        <v>0</v>
      </c>
      <c r="AA4477" s="2" t="s">
        <v>163</v>
      </c>
      <c r="AB4477" s="2" t="s">
        <v>22644</v>
      </c>
      <c r="AC4477" s="2">
        <v>0.54249185995698601</v>
      </c>
      <c r="AD4477" s="2"/>
      <c r="AE4477" s="2">
        <v>9.0662032289901495E-2</v>
      </c>
      <c r="AF4477" s="2">
        <v>1571.23560272291</v>
      </c>
      <c r="AG4477" s="2">
        <v>883.78255605021502</v>
      </c>
      <c r="AH4477" s="5">
        <v>1.7778531517357099</v>
      </c>
      <c r="AI4477" s="5">
        <v>0.83013616443090998</v>
      </c>
      <c r="AJ4477" s="5" t="s">
        <v>139</v>
      </c>
      <c r="AK4477" s="2">
        <v>0.30899087421900101</v>
      </c>
      <c r="AL4477" s="2">
        <v>0.61915782959547905</v>
      </c>
      <c r="AM4477" s="2">
        <v>239.63970168537699</v>
      </c>
      <c r="AN4477" s="2">
        <v>2901.38983161838</v>
      </c>
      <c r="AO4477" s="2">
        <v>555.11602126702803</v>
      </c>
      <c r="AP4477" s="2">
        <v>770.61624330688198</v>
      </c>
      <c r="AQ4477" s="2">
        <v>2144.6232368332799</v>
      </c>
      <c r="AR4477" s="2">
        <v>2816.02858162653</v>
      </c>
      <c r="AS4477" s="2">
        <v>2416.1906432973501</v>
      </c>
      <c r="AT4477" s="2">
        <v>437.093104465539</v>
      </c>
      <c r="AU4477" s="2">
        <v>552.024666104517</v>
      </c>
      <c r="AV4477" s="2">
        <v>8.559877937157E-6</v>
      </c>
      <c r="AW4477" s="2">
        <v>8.559877937157E-6</v>
      </c>
      <c r="AX4477" s="2">
        <v>1897.38690531413</v>
      </c>
    </row>
    <row r="4478" spans="1:50" x14ac:dyDescent="0.25">
      <c r="A4478" s="2" t="s">
        <v>29430</v>
      </c>
      <c r="B4478" s="2">
        <v>195.102058618988</v>
      </c>
      <c r="C4478" s="2">
        <v>6.4777333333333296</v>
      </c>
      <c r="D4478" s="2" t="s">
        <v>51</v>
      </c>
      <c r="E4478" s="2" t="s">
        <v>29431</v>
      </c>
      <c r="F4478" s="2">
        <v>64726</v>
      </c>
      <c r="G4478" s="3" t="str">
        <f>HYPERLINK("https://cloud.oebiotech.com/#/lm/network/64726", "https://cloud.oebiotech.com/#/lm/network/64726")</f>
        <v>https://cloud.oebiotech.com/#/lm/network/64726</v>
      </c>
      <c r="H4478" s="2" t="s">
        <v>29432</v>
      </c>
      <c r="I4478" s="2">
        <v>96026</v>
      </c>
      <c r="J4478" s="2"/>
      <c r="K4478" s="2">
        <v>10559720</v>
      </c>
      <c r="L4478" s="2"/>
      <c r="M4478" s="2"/>
      <c r="N4478" s="2"/>
      <c r="O4478" s="2">
        <v>137517</v>
      </c>
      <c r="P4478" s="2"/>
      <c r="Q4478" s="2"/>
      <c r="R4478" s="2"/>
      <c r="S4478" s="2" t="s">
        <v>29433</v>
      </c>
      <c r="T4478" s="2" t="s">
        <v>29434</v>
      </c>
      <c r="U4478" s="2" t="s">
        <v>56</v>
      </c>
      <c r="V4478" s="2" t="s">
        <v>145</v>
      </c>
      <c r="W4478" s="2" t="s">
        <v>231</v>
      </c>
      <c r="X4478" s="2" t="s">
        <v>83</v>
      </c>
      <c r="Y4478" s="2">
        <v>54.6</v>
      </c>
      <c r="Z4478" s="2">
        <v>0</v>
      </c>
      <c r="AA4478" s="2" t="s">
        <v>259</v>
      </c>
      <c r="AB4478" s="2" t="s">
        <v>2402</v>
      </c>
      <c r="AC4478" s="2">
        <v>2.5136201460420602</v>
      </c>
      <c r="AD4478" s="2"/>
      <c r="AE4478" s="2">
        <v>9.0526703783067597E-2</v>
      </c>
      <c r="AF4478" s="2">
        <v>1353.8382137358301</v>
      </c>
      <c r="AG4478" s="2">
        <v>1086.3391954701101</v>
      </c>
      <c r="AH4478" s="5">
        <v>1.24623894579258</v>
      </c>
      <c r="AI4478" s="5">
        <v>0.31758070789653098</v>
      </c>
      <c r="AJ4478" s="5" t="s">
        <v>139</v>
      </c>
      <c r="AK4478" s="2">
        <v>5.7926689029579301E-2</v>
      </c>
      <c r="AL4478" s="2">
        <v>0.327534050255821</v>
      </c>
      <c r="AM4478" s="2">
        <v>1045.79548950907</v>
      </c>
      <c r="AN4478" s="2">
        <v>1668.6173067638199</v>
      </c>
      <c r="AO4478" s="2">
        <v>1392.3651106677701</v>
      </c>
      <c r="AP4478" s="2">
        <v>1236.1754114672001</v>
      </c>
      <c r="AQ4478" s="2">
        <v>1241.59110475597</v>
      </c>
      <c r="AR4478" s="2">
        <v>1538.4848592511701</v>
      </c>
      <c r="AS4478" s="2">
        <v>1425.6111334453101</v>
      </c>
      <c r="AT4478" s="2">
        <v>1226.9044556438701</v>
      </c>
      <c r="AU4478" s="2">
        <v>1085.1237950606301</v>
      </c>
      <c r="AV4478" s="2">
        <v>927.17358331667299</v>
      </c>
      <c r="AW4478" s="2">
        <v>903.83537489231901</v>
      </c>
      <c r="AX4478" s="2">
        <v>949.38683046185895</v>
      </c>
    </row>
    <row r="4479" spans="1:50" x14ac:dyDescent="0.25">
      <c r="A4479" s="2" t="s">
        <v>29435</v>
      </c>
      <c r="B4479" s="2">
        <v>347.16131174976601</v>
      </c>
      <c r="C4479" s="2">
        <v>6.3941333333333299</v>
      </c>
      <c r="D4479" s="2" t="s">
        <v>51</v>
      </c>
      <c r="E4479" s="2" t="s">
        <v>29436</v>
      </c>
      <c r="F4479" s="2">
        <v>83542</v>
      </c>
      <c r="G4479" s="3" t="str">
        <f>HYPERLINK("https://cloud.oebiotech.com/#/lm/network/83542", "https://cloud.oebiotech.com/#/lm/network/83542")</f>
        <v>https://cloud.oebiotech.com/#/lm/network/83542</v>
      </c>
      <c r="H4479" s="2" t="s">
        <v>29437</v>
      </c>
      <c r="I4479" s="2"/>
      <c r="J4479" s="2"/>
      <c r="K4479" s="2">
        <v>134819278</v>
      </c>
      <c r="L4479" s="2"/>
      <c r="M4479" s="2"/>
      <c r="N4479" s="2"/>
      <c r="O4479" s="2"/>
      <c r="P4479" s="2"/>
      <c r="Q4479" s="2"/>
      <c r="R4479" s="2" t="s">
        <v>29438</v>
      </c>
      <c r="S4479" s="2" t="s">
        <v>29439</v>
      </c>
      <c r="T4479" s="2" t="s">
        <v>29440</v>
      </c>
      <c r="U4479" s="2" t="s">
        <v>56</v>
      </c>
      <c r="V4479" s="2" t="s">
        <v>145</v>
      </c>
      <c r="W4479" s="2" t="s">
        <v>203</v>
      </c>
      <c r="X4479" s="2" t="s">
        <v>59</v>
      </c>
      <c r="Y4479" s="2">
        <v>49.4</v>
      </c>
      <c r="Z4479" s="2">
        <v>52.9</v>
      </c>
      <c r="AA4479" s="2" t="s">
        <v>395</v>
      </c>
      <c r="AB4479" s="2" t="s">
        <v>12571</v>
      </c>
      <c r="AC4479" s="2">
        <v>-1.9653110717470099</v>
      </c>
      <c r="AD4479" s="2"/>
      <c r="AE4479" s="2">
        <v>9.0515274981708999E-2</v>
      </c>
      <c r="AF4479" s="2">
        <v>25017.084323461801</v>
      </c>
      <c r="AG4479" s="2">
        <v>21445.7773283479</v>
      </c>
      <c r="AH4479" s="5">
        <v>1.1665272813587</v>
      </c>
      <c r="AI4479" s="5">
        <v>0.22222004775989199</v>
      </c>
      <c r="AJ4479" s="5" t="s">
        <v>139</v>
      </c>
      <c r="AK4479" s="2">
        <v>0.67631554080878098</v>
      </c>
      <c r="AL4479" s="2">
        <v>0.84337016714592195</v>
      </c>
      <c r="AM4479" s="2">
        <v>19985.467090168699</v>
      </c>
      <c r="AN4479" s="2">
        <v>25615.267860243701</v>
      </c>
      <c r="AO4479" s="2">
        <v>27901.930188308099</v>
      </c>
      <c r="AP4479" s="2">
        <v>39271.591122219797</v>
      </c>
      <c r="AQ4479" s="2">
        <v>17616.2032885111</v>
      </c>
      <c r="AR4479" s="2">
        <v>19712.046391319302</v>
      </c>
      <c r="AS4479" s="2">
        <v>56925.0126594377</v>
      </c>
      <c r="AT4479" s="2">
        <v>23454.428550142999</v>
      </c>
      <c r="AU4479" s="2">
        <v>8383.6926706934191</v>
      </c>
      <c r="AV4479" s="2">
        <v>5840.8121746299903</v>
      </c>
      <c r="AW4479" s="2">
        <v>21124.1281056931</v>
      </c>
      <c r="AX4479" s="2">
        <v>12946.5898094901</v>
      </c>
    </row>
    <row r="4480" spans="1:50" x14ac:dyDescent="0.25">
      <c r="A4480" s="2" t="s">
        <v>29441</v>
      </c>
      <c r="B4480" s="2">
        <v>498.26294331464902</v>
      </c>
      <c r="C4480" s="2">
        <v>9.8482333333333294</v>
      </c>
      <c r="D4480" s="2" t="s">
        <v>51</v>
      </c>
      <c r="E4480" s="2" t="s">
        <v>29442</v>
      </c>
      <c r="F4480" s="2">
        <v>21188</v>
      </c>
      <c r="G4480" s="3" t="str">
        <f>HYPERLINK("https://cloud.oebiotech.com/#/lm/network/21188", "https://cloud.oebiotech.com/#/lm/network/21188")</f>
        <v>https://cloud.oebiotech.com/#/lm/network/21188</v>
      </c>
      <c r="H4480" s="2" t="s">
        <v>29443</v>
      </c>
      <c r="I4480" s="2">
        <v>62303</v>
      </c>
      <c r="J4480" s="2" t="s">
        <v>29444</v>
      </c>
      <c r="K4480" s="2">
        <v>52925146</v>
      </c>
      <c r="L4480" s="2"/>
      <c r="M4480" s="2"/>
      <c r="N4480" s="2"/>
      <c r="O4480" s="2"/>
      <c r="P4480" s="2"/>
      <c r="Q4480" s="2"/>
      <c r="R4480" s="2"/>
      <c r="S4480" s="2" t="s">
        <v>29445</v>
      </c>
      <c r="T4480" s="2" t="s">
        <v>29446</v>
      </c>
      <c r="U4480" s="2" t="s">
        <v>56</v>
      </c>
      <c r="V4480" s="2" t="s">
        <v>57</v>
      </c>
      <c r="W4480" s="2" t="s">
        <v>155</v>
      </c>
      <c r="X4480" s="2" t="s">
        <v>83</v>
      </c>
      <c r="Y4480" s="2">
        <v>49.3</v>
      </c>
      <c r="Z4480" s="2">
        <v>0</v>
      </c>
      <c r="AA4480" s="2" t="s">
        <v>163</v>
      </c>
      <c r="AB4480" s="2" t="s">
        <v>24339</v>
      </c>
      <c r="AC4480" s="2">
        <v>0.66182238475589295</v>
      </c>
      <c r="AD4480" s="2"/>
      <c r="AE4480" s="2">
        <v>9.0480612352063894E-2</v>
      </c>
      <c r="AF4480" s="2">
        <v>5299.4572907182401</v>
      </c>
      <c r="AG4480" s="2">
        <v>5007.0361483755996</v>
      </c>
      <c r="AH4480" s="5">
        <v>1.0584020433800001</v>
      </c>
      <c r="AI4480" s="5">
        <v>8.1887752038506206E-2</v>
      </c>
      <c r="AJ4480" s="5" t="s">
        <v>139</v>
      </c>
      <c r="AK4480" s="2">
        <v>0.88314363423013498</v>
      </c>
      <c r="AL4480" s="2">
        <v>0.94899977491842702</v>
      </c>
      <c r="AM4480" s="2">
        <v>13231.3372709713</v>
      </c>
      <c r="AN4480" s="2">
        <v>7623.25765483548</v>
      </c>
      <c r="AO4480" s="2">
        <v>2823.97825939629</v>
      </c>
      <c r="AP4480" s="2">
        <v>4885.8791870577297</v>
      </c>
      <c r="AQ4480" s="2">
        <v>1678.33623308456</v>
      </c>
      <c r="AR4480" s="2">
        <v>1553.9551389640901</v>
      </c>
      <c r="AS4480" s="2">
        <v>6569.2711110740202</v>
      </c>
      <c r="AT4480" s="2">
        <v>2457.6524992677</v>
      </c>
      <c r="AU4480" s="2">
        <v>5788.9479779129997</v>
      </c>
      <c r="AV4480" s="2">
        <v>5942.9657473754796</v>
      </c>
      <c r="AW4480" s="2">
        <v>5077.7377763148997</v>
      </c>
      <c r="AX4480" s="2">
        <v>4205.6417783085199</v>
      </c>
    </row>
    <row r="4481" spans="1:50" x14ac:dyDescent="0.25">
      <c r="A4481" s="2" t="s">
        <v>29447</v>
      </c>
      <c r="B4481" s="2">
        <v>611.30899950735602</v>
      </c>
      <c r="C4481" s="2">
        <v>4.2797999999999998</v>
      </c>
      <c r="D4481" s="2" t="s">
        <v>51</v>
      </c>
      <c r="E4481" s="2" t="s">
        <v>29448</v>
      </c>
      <c r="F4481" s="2">
        <v>27950</v>
      </c>
      <c r="G4481" s="3" t="str">
        <f>HYPERLINK("https://cloud.oebiotech.com/#/lm/network/27950", "https://cloud.oebiotech.com/#/lm/network/27950")</f>
        <v>https://cloud.oebiotech.com/#/lm/network/27950</v>
      </c>
      <c r="H4481" s="2"/>
      <c r="I4481" s="2"/>
      <c r="J4481" s="2" t="s">
        <v>29449</v>
      </c>
      <c r="K4481" s="2">
        <v>134812397</v>
      </c>
      <c r="L4481" s="2"/>
      <c r="M4481" s="2"/>
      <c r="N4481" s="2"/>
      <c r="O4481" s="2"/>
      <c r="P4481" s="2"/>
      <c r="Q4481" s="2"/>
      <c r="R4481" s="2"/>
      <c r="S4481" s="2" t="s">
        <v>29450</v>
      </c>
      <c r="T4481" s="2" t="s">
        <v>29451</v>
      </c>
      <c r="U4481" s="2" t="s">
        <v>56</v>
      </c>
      <c r="V4481" s="2" t="s">
        <v>57</v>
      </c>
      <c r="W4481" s="2" t="s">
        <v>82</v>
      </c>
      <c r="X4481" s="2" t="s">
        <v>147</v>
      </c>
      <c r="Y4481" s="2">
        <v>40.200000000000003</v>
      </c>
      <c r="Z4481" s="2">
        <v>20.8</v>
      </c>
      <c r="AA4481" s="2" t="s">
        <v>122</v>
      </c>
      <c r="AB4481" s="2" t="s">
        <v>29452</v>
      </c>
      <c r="AC4481" s="2">
        <v>3.1681857681227301</v>
      </c>
      <c r="AD4481" s="2"/>
      <c r="AE4481" s="2">
        <v>9.0391711014038506E-2</v>
      </c>
      <c r="AF4481" s="2">
        <v>6038.96065660966</v>
      </c>
      <c r="AG4481" s="2">
        <v>6606.4012180724303</v>
      </c>
      <c r="AH4481" s="4">
        <v>0.91410746293905298</v>
      </c>
      <c r="AI4481" s="4">
        <v>-0.12956431566985599</v>
      </c>
      <c r="AJ4481" s="4" t="s">
        <v>62</v>
      </c>
      <c r="AK4481" s="2">
        <v>0.90983824263004998</v>
      </c>
      <c r="AL4481" s="2">
        <v>0.96252844734401399</v>
      </c>
      <c r="AM4481" s="2">
        <v>7148.8965918624799</v>
      </c>
      <c r="AN4481" s="2">
        <v>1705.42549964149</v>
      </c>
      <c r="AO4481" s="2">
        <v>4838.3277302815704</v>
      </c>
      <c r="AP4481" s="2">
        <v>614.26464343704004</v>
      </c>
      <c r="AQ4481" s="2">
        <v>3088.08245718027</v>
      </c>
      <c r="AR4481" s="2">
        <v>18838.767017255101</v>
      </c>
      <c r="AS4481" s="2">
        <v>455.63134755907998</v>
      </c>
      <c r="AT4481" s="2">
        <v>8.559877937157E-6</v>
      </c>
      <c r="AU4481" s="2">
        <v>658.15842581478898</v>
      </c>
      <c r="AV4481" s="2">
        <v>25783.151445051299</v>
      </c>
      <c r="AW4481" s="2">
        <v>8365.6681836168409</v>
      </c>
      <c r="AX4481" s="2">
        <v>4375.7978978326901</v>
      </c>
    </row>
    <row r="4482" spans="1:50" x14ac:dyDescent="0.25">
      <c r="A4482" s="2" t="s">
        <v>29453</v>
      </c>
      <c r="B4482" s="2">
        <v>237.14681751794299</v>
      </c>
      <c r="C4482" s="2">
        <v>0.63544999999999996</v>
      </c>
      <c r="D4482" s="2" t="s">
        <v>51</v>
      </c>
      <c r="E4482" s="2" t="s">
        <v>29454</v>
      </c>
      <c r="F4482" s="2">
        <v>53387</v>
      </c>
      <c r="G4482" s="3" t="str">
        <f>HYPERLINK("https://cloud.oebiotech.com/#/lm/network/53387", "https://cloud.oebiotech.com/#/lm/network/53387")</f>
        <v>https://cloud.oebiotech.com/#/lm/network/53387</v>
      </c>
      <c r="H4482" s="2" t="s">
        <v>29455</v>
      </c>
      <c r="I4482" s="2">
        <v>515</v>
      </c>
      <c r="J4482" s="2"/>
      <c r="K4482" s="2">
        <v>3518</v>
      </c>
      <c r="L4482" s="2" t="s">
        <v>29456</v>
      </c>
      <c r="M4482" s="2"/>
      <c r="N4482" s="2"/>
      <c r="O4482" s="2">
        <v>5557</v>
      </c>
      <c r="P4482" s="2"/>
      <c r="Q4482" s="2"/>
      <c r="R4482" s="2" t="s">
        <v>29457</v>
      </c>
      <c r="S4482" s="2" t="s">
        <v>29458</v>
      </c>
      <c r="T4482" s="2" t="s">
        <v>29459</v>
      </c>
      <c r="U4482" s="2" t="s">
        <v>119</v>
      </c>
      <c r="V4482" s="2" t="s">
        <v>120</v>
      </c>
      <c r="W4482" s="2" t="s">
        <v>3243</v>
      </c>
      <c r="X4482" s="2" t="s">
        <v>147</v>
      </c>
      <c r="Y4482" s="2">
        <v>36.700000000000003</v>
      </c>
      <c r="Z4482" s="2">
        <v>0</v>
      </c>
      <c r="AA4482" s="2" t="s">
        <v>395</v>
      </c>
      <c r="AB4482" s="2" t="s">
        <v>29460</v>
      </c>
      <c r="AC4482" s="2">
        <v>-3.9724953720109202</v>
      </c>
      <c r="AD4482" s="2"/>
      <c r="AE4482" s="2">
        <v>9.0261458540066605E-2</v>
      </c>
      <c r="AF4482" s="2">
        <v>1954.62296754882</v>
      </c>
      <c r="AG4482" s="2">
        <v>2551.0856418143198</v>
      </c>
      <c r="AH4482" s="4">
        <v>0.76619261051491006</v>
      </c>
      <c r="AI4482" s="4">
        <v>-0.38422098301868202</v>
      </c>
      <c r="AJ4482" s="4" t="s">
        <v>62</v>
      </c>
      <c r="AK4482" s="2">
        <v>0.19668800046170401</v>
      </c>
      <c r="AL4482" s="2">
        <v>0.52014995935017205</v>
      </c>
      <c r="AM4482" s="2">
        <v>1976.2733555960299</v>
      </c>
      <c r="AN4482" s="2">
        <v>3425.2780363254101</v>
      </c>
      <c r="AO4482" s="2">
        <v>2687.10272264592</v>
      </c>
      <c r="AP4482" s="2">
        <v>1001.2331099683799</v>
      </c>
      <c r="AQ4482" s="2">
        <v>1390.64729638924</v>
      </c>
      <c r="AR4482" s="2">
        <v>1247.2032843679301</v>
      </c>
      <c r="AS4482" s="2">
        <v>2893.94382244177</v>
      </c>
      <c r="AT4482" s="2">
        <v>2304.3026016985</v>
      </c>
      <c r="AU4482" s="2">
        <v>2740.8896338028799</v>
      </c>
      <c r="AV4482" s="2">
        <v>1761.99615202928</v>
      </c>
      <c r="AW4482" s="2">
        <v>3108.50305775674</v>
      </c>
      <c r="AX4482" s="2">
        <v>2496.8785831567602</v>
      </c>
    </row>
    <row r="4483" spans="1:50" x14ac:dyDescent="0.25">
      <c r="A4483" s="2" t="s">
        <v>29461</v>
      </c>
      <c r="B4483" s="2">
        <v>300.16052561680999</v>
      </c>
      <c r="C4483" s="2">
        <v>7.8615000000000004</v>
      </c>
      <c r="D4483" s="2" t="s">
        <v>51</v>
      </c>
      <c r="E4483" s="2" t="s">
        <v>29462</v>
      </c>
      <c r="F4483" s="2">
        <v>258033</v>
      </c>
      <c r="G4483" s="3" t="str">
        <f>HYPERLINK("https://cloud.oebiotech.com/#/lm/network/258033", "https://cloud.oebiotech.com/#/lm/network/258033")</f>
        <v>https://cloud.oebiotech.com/#/lm/network/258033</v>
      </c>
      <c r="H4483" s="2"/>
      <c r="I4483" s="2">
        <v>2092</v>
      </c>
      <c r="J4483" s="2"/>
      <c r="K4483" s="2">
        <v>5284543</v>
      </c>
      <c r="L4483" s="2"/>
      <c r="M4483" s="2"/>
      <c r="N4483" s="2"/>
      <c r="O4483" s="2"/>
      <c r="P4483" s="2"/>
      <c r="Q4483" s="2"/>
      <c r="R4483" s="2" t="s">
        <v>29463</v>
      </c>
      <c r="S4483" s="2" t="s">
        <v>29464</v>
      </c>
      <c r="T4483" s="2" t="s">
        <v>29465</v>
      </c>
      <c r="U4483" s="2" t="s">
        <v>238</v>
      </c>
      <c r="V4483" s="2" t="s">
        <v>15139</v>
      </c>
      <c r="W4483" s="2" t="s">
        <v>240</v>
      </c>
      <c r="X4483" s="2" t="s">
        <v>147</v>
      </c>
      <c r="Y4483" s="2">
        <v>39.299999999999997</v>
      </c>
      <c r="Z4483" s="2">
        <v>0</v>
      </c>
      <c r="AA4483" s="2" t="s">
        <v>163</v>
      </c>
      <c r="AB4483" s="2" t="s">
        <v>27799</v>
      </c>
      <c r="AC4483" s="2">
        <v>2.8049877892479601E-2</v>
      </c>
      <c r="AD4483" s="2"/>
      <c r="AE4483" s="2">
        <v>9.0229777205002804E-2</v>
      </c>
      <c r="AF4483" s="2">
        <v>851.28185245008603</v>
      </c>
      <c r="AG4483" s="2">
        <v>547.45314039208802</v>
      </c>
      <c r="AH4483" s="5">
        <v>1.5549857871678201</v>
      </c>
      <c r="AI4483" s="5">
        <v>0.63690139394030898</v>
      </c>
      <c r="AJ4483" s="5" t="s">
        <v>139</v>
      </c>
      <c r="AK4483" s="2">
        <v>0.26175355445289</v>
      </c>
      <c r="AL4483" s="2">
        <v>0.58400257526749599</v>
      </c>
      <c r="AM4483" s="2">
        <v>1416.2728839952499</v>
      </c>
      <c r="AN4483" s="2">
        <v>919.50732455590003</v>
      </c>
      <c r="AO4483" s="2">
        <v>339.15269840303301</v>
      </c>
      <c r="AP4483" s="2">
        <v>750.284881860307</v>
      </c>
      <c r="AQ4483" s="2">
        <v>890.20812350488302</v>
      </c>
      <c r="AR4483" s="2">
        <v>792.26520238114404</v>
      </c>
      <c r="AS4483" s="2">
        <v>312.30436394383901</v>
      </c>
      <c r="AT4483" s="2">
        <v>8.559877937157E-6</v>
      </c>
      <c r="AU4483" s="2">
        <v>1263.2858126803401</v>
      </c>
      <c r="AV4483" s="2">
        <v>8.559877937157E-6</v>
      </c>
      <c r="AW4483" s="2">
        <v>839.23810457263005</v>
      </c>
      <c r="AX4483" s="2">
        <v>869.89054403596003</v>
      </c>
    </row>
    <row r="4484" spans="1:50" x14ac:dyDescent="0.25">
      <c r="A4484" s="2" t="s">
        <v>29466</v>
      </c>
      <c r="B4484" s="2">
        <v>213.11273520967401</v>
      </c>
      <c r="C4484" s="2">
        <v>6.55185</v>
      </c>
      <c r="D4484" s="2" t="s">
        <v>51</v>
      </c>
      <c r="E4484" s="2" t="s">
        <v>29467</v>
      </c>
      <c r="F4484" s="2">
        <v>35388</v>
      </c>
      <c r="G4484" s="3" t="str">
        <f>HYPERLINK("https://cloud.oebiotech.com/#/lm/network/35388", "https://cloud.oebiotech.com/#/lm/network/35388")</f>
        <v>https://cloud.oebiotech.com/#/lm/network/35388</v>
      </c>
      <c r="H4484" s="2"/>
      <c r="I4484" s="2">
        <v>41134</v>
      </c>
      <c r="J4484" s="2" t="s">
        <v>29468</v>
      </c>
      <c r="K4484" s="2">
        <v>443522</v>
      </c>
      <c r="L4484" s="2" t="s">
        <v>29469</v>
      </c>
      <c r="M4484" s="2"/>
      <c r="N4484" s="2"/>
      <c r="O4484" s="2">
        <v>38249</v>
      </c>
      <c r="P4484" s="2"/>
      <c r="Q4484" s="2"/>
      <c r="R4484" s="2"/>
      <c r="S4484" s="2" t="s">
        <v>29470</v>
      </c>
      <c r="T4484" s="2" t="s">
        <v>29471</v>
      </c>
      <c r="U4484" s="2" t="s">
        <v>56</v>
      </c>
      <c r="V4484" s="2" t="s">
        <v>177</v>
      </c>
      <c r="W4484" s="2" t="s">
        <v>584</v>
      </c>
      <c r="X4484" s="2" t="s">
        <v>69</v>
      </c>
      <c r="Y4484" s="2">
        <v>61.7</v>
      </c>
      <c r="Z4484" s="2">
        <v>53.9</v>
      </c>
      <c r="AA4484" s="2" t="s">
        <v>218</v>
      </c>
      <c r="AB4484" s="2" t="s">
        <v>9558</v>
      </c>
      <c r="AC4484" s="2">
        <v>-2.95876321737118</v>
      </c>
      <c r="AD4484" s="2"/>
      <c r="AE4484" s="2">
        <v>9.0206574503184797E-2</v>
      </c>
      <c r="AF4484" s="2">
        <v>4159.8442714694202</v>
      </c>
      <c r="AG4484" s="2">
        <v>3819.9508971918399</v>
      </c>
      <c r="AH4484" s="5">
        <v>1.08897846685083</v>
      </c>
      <c r="AI4484" s="5">
        <v>0.12297542689718401</v>
      </c>
      <c r="AJ4484" s="5" t="s">
        <v>139</v>
      </c>
      <c r="AK4484" s="2">
        <v>0.80428116068655298</v>
      </c>
      <c r="AL4484" s="2">
        <v>0.91230746102332105</v>
      </c>
      <c r="AM4484" s="2">
        <v>5649.3587730382797</v>
      </c>
      <c r="AN4484" s="2">
        <v>6045.5525103414002</v>
      </c>
      <c r="AO4484" s="2">
        <v>3770.6234851788799</v>
      </c>
      <c r="AP4484" s="2">
        <v>2685.8514372918598</v>
      </c>
      <c r="AQ4484" s="2">
        <v>3870.3022041040899</v>
      </c>
      <c r="AR4484" s="2">
        <v>2937.3772188620001</v>
      </c>
      <c r="AS4484" s="2">
        <v>2177.6653696877302</v>
      </c>
      <c r="AT4484" s="2">
        <v>1354.60194496894</v>
      </c>
      <c r="AU4484" s="2">
        <v>9399.4000464151995</v>
      </c>
      <c r="AV4484" s="2">
        <v>1882.8781378655799</v>
      </c>
      <c r="AW4484" s="2">
        <v>4246.3660665572097</v>
      </c>
      <c r="AX4484" s="2">
        <v>3858.7938176563898</v>
      </c>
    </row>
    <row r="4485" spans="1:50" x14ac:dyDescent="0.25">
      <c r="A4485" s="2" t="s">
        <v>29472</v>
      </c>
      <c r="B4485" s="2">
        <v>293.21189439442099</v>
      </c>
      <c r="C4485" s="2">
        <v>7.9849666666666703</v>
      </c>
      <c r="D4485" s="2" t="s">
        <v>51</v>
      </c>
      <c r="E4485" s="2" t="s">
        <v>29473</v>
      </c>
      <c r="F4485" s="2">
        <v>255986</v>
      </c>
      <c r="G4485" s="3" t="str">
        <f>HYPERLINK("https://cloud.oebiotech.com/#/lm/network/255986", "https://cloud.oebiotech.com/#/lm/network/255986")</f>
        <v>https://cloud.oebiotech.com/#/lm/network/255986</v>
      </c>
      <c r="H4485" s="2" t="s">
        <v>29474</v>
      </c>
      <c r="I4485" s="2"/>
      <c r="J4485" s="2"/>
      <c r="K4485" s="2">
        <v>5319663</v>
      </c>
      <c r="L4485" s="2"/>
      <c r="M4485" s="2"/>
      <c r="N4485" s="2"/>
      <c r="O4485" s="2"/>
      <c r="P4485" s="2"/>
      <c r="Q4485" s="2"/>
      <c r="R4485" s="2"/>
      <c r="S4485" s="2" t="s">
        <v>29475</v>
      </c>
      <c r="T4485" s="2" t="s">
        <v>29476</v>
      </c>
      <c r="U4485" s="2" t="s">
        <v>610</v>
      </c>
      <c r="V4485" s="2" t="s">
        <v>611</v>
      </c>
      <c r="W4485" s="2" t="s">
        <v>612</v>
      </c>
      <c r="X4485" s="2" t="s">
        <v>69</v>
      </c>
      <c r="Y4485" s="2">
        <v>60</v>
      </c>
      <c r="Z4485" s="2">
        <v>77.2</v>
      </c>
      <c r="AA4485" s="2" t="s">
        <v>156</v>
      </c>
      <c r="AB4485" s="2" t="s">
        <v>5579</v>
      </c>
      <c r="AC4485" s="2">
        <v>2.4924828033192701</v>
      </c>
      <c r="AD4485" s="2"/>
      <c r="AE4485" s="2">
        <v>9.0201083242447105E-2</v>
      </c>
      <c r="AF4485" s="2">
        <v>6597.9412347715397</v>
      </c>
      <c r="AG4485" s="2">
        <v>6090.4978716080204</v>
      </c>
      <c r="AH4485" s="5">
        <v>1.0833172219842699</v>
      </c>
      <c r="AI4485" s="5">
        <v>0.11545576147879801</v>
      </c>
      <c r="AJ4485" s="5" t="s">
        <v>139</v>
      </c>
      <c r="AK4485" s="2">
        <v>0.76026385195565604</v>
      </c>
      <c r="AL4485" s="2">
        <v>0.89152062866139503</v>
      </c>
      <c r="AM4485" s="2">
        <v>6657.1540814103</v>
      </c>
      <c r="AN4485" s="2">
        <v>12267.3969443226</v>
      </c>
      <c r="AO4485" s="2">
        <v>5994.9520223898498</v>
      </c>
      <c r="AP4485" s="2">
        <v>5297.7948737514498</v>
      </c>
      <c r="AQ4485" s="2">
        <v>4617.2660507617902</v>
      </c>
      <c r="AR4485" s="2">
        <v>4753.0834359932396</v>
      </c>
      <c r="AS4485" s="2">
        <v>6188.2388967557599</v>
      </c>
      <c r="AT4485" s="2">
        <v>2795.8052823335302</v>
      </c>
      <c r="AU4485" s="2">
        <v>10746.9690550827</v>
      </c>
      <c r="AV4485" s="2">
        <v>4060.7217380597299</v>
      </c>
      <c r="AW4485" s="2">
        <v>6067.5111674110603</v>
      </c>
      <c r="AX4485" s="2">
        <v>6683.7410900053701</v>
      </c>
    </row>
    <row r="4486" spans="1:50" x14ac:dyDescent="0.25">
      <c r="A4486" s="2" t="s">
        <v>29477</v>
      </c>
      <c r="B4486" s="2">
        <v>125.05969668521099</v>
      </c>
      <c r="C4486" s="2">
        <v>4.5548999999999999</v>
      </c>
      <c r="D4486" s="2" t="s">
        <v>51</v>
      </c>
      <c r="E4486" s="2" t="s">
        <v>29478</v>
      </c>
      <c r="F4486" s="2">
        <v>60676</v>
      </c>
      <c r="G4486" s="3" t="str">
        <f>HYPERLINK("https://cloud.oebiotech.com/#/lm/network/60676", "https://cloud.oebiotech.com/#/lm/network/60676")</f>
        <v>https://cloud.oebiotech.com/#/lm/network/60676</v>
      </c>
      <c r="H4486" s="2" t="s">
        <v>29479</v>
      </c>
      <c r="I4486" s="2">
        <v>92008</v>
      </c>
      <c r="J4486" s="2"/>
      <c r="K4486" s="2">
        <v>61633</v>
      </c>
      <c r="L4486" s="2"/>
      <c r="M4486" s="2"/>
      <c r="N4486" s="2"/>
      <c r="O4486" s="2"/>
      <c r="P4486" s="2"/>
      <c r="Q4486" s="2"/>
      <c r="R4486" s="2" t="s">
        <v>29480</v>
      </c>
      <c r="S4486" s="2" t="s">
        <v>29481</v>
      </c>
      <c r="T4486" s="2" t="s">
        <v>29482</v>
      </c>
      <c r="U4486" s="2" t="s">
        <v>331</v>
      </c>
      <c r="V4486" s="2" t="s">
        <v>332</v>
      </c>
      <c r="W4486" s="2" t="s">
        <v>1207</v>
      </c>
      <c r="X4486" s="2" t="s">
        <v>83</v>
      </c>
      <c r="Y4486" s="2">
        <v>42</v>
      </c>
      <c r="Z4486" s="2">
        <v>0</v>
      </c>
      <c r="AA4486" s="2" t="s">
        <v>163</v>
      </c>
      <c r="AB4486" s="2" t="s">
        <v>29483</v>
      </c>
      <c r="AC4486" s="2">
        <v>-8.7765484568109304</v>
      </c>
      <c r="AD4486" s="2"/>
      <c r="AE4486" s="2">
        <v>9.0124812892494299E-2</v>
      </c>
      <c r="AF4486" s="2">
        <v>499.09764902988502</v>
      </c>
      <c r="AG4486" s="2">
        <v>284.06402216269601</v>
      </c>
      <c r="AH4486" s="5">
        <v>1.75699000961139</v>
      </c>
      <c r="AI4486" s="5">
        <v>0.81310598808784496</v>
      </c>
      <c r="AJ4486" s="5" t="s">
        <v>139</v>
      </c>
      <c r="AK4486" s="2">
        <v>0.12738487009720301</v>
      </c>
      <c r="AL4486" s="2">
        <v>0.44626309510015799</v>
      </c>
      <c r="AM4486" s="2">
        <v>811.94834611981605</v>
      </c>
      <c r="AN4486" s="2">
        <v>745.86219960713902</v>
      </c>
      <c r="AO4486" s="2">
        <v>260.41150252876901</v>
      </c>
      <c r="AP4486" s="2">
        <v>212.46489104751001</v>
      </c>
      <c r="AQ4486" s="2">
        <v>265.56680183445599</v>
      </c>
      <c r="AR4486" s="2">
        <v>698.33215304161797</v>
      </c>
      <c r="AS4486" s="2">
        <v>511.41901580374599</v>
      </c>
      <c r="AT4486" s="2">
        <v>342.26091215924203</v>
      </c>
      <c r="AU4486" s="2">
        <v>267.09249530219603</v>
      </c>
      <c r="AV4486" s="2">
        <v>117.243543737802</v>
      </c>
      <c r="AW4486" s="2">
        <v>129.81392021173301</v>
      </c>
      <c r="AX4486" s="2">
        <v>336.55424576145799</v>
      </c>
    </row>
    <row r="4487" spans="1:50" x14ac:dyDescent="0.25">
      <c r="A4487" s="2" t="s">
        <v>29484</v>
      </c>
      <c r="B4487" s="2">
        <v>442.35404098312199</v>
      </c>
      <c r="C4487" s="2">
        <v>9.6834500000000006</v>
      </c>
      <c r="D4487" s="2" t="s">
        <v>51</v>
      </c>
      <c r="E4487" s="2" t="s">
        <v>29485</v>
      </c>
      <c r="F4487" s="2">
        <v>198077</v>
      </c>
      <c r="G4487" s="3" t="str">
        <f>HYPERLINK("https://cloud.oebiotech.com/#/lm/network/198077", "https://cloud.oebiotech.com/#/lm/network/198077")</f>
        <v>https://cloud.oebiotech.com/#/lm/network/198077</v>
      </c>
      <c r="H4487" s="2" t="s">
        <v>29486</v>
      </c>
      <c r="I4487" s="2"/>
      <c r="J4487" s="2"/>
      <c r="K4487" s="2"/>
      <c r="L4487" s="2"/>
      <c r="M4487" s="2"/>
      <c r="N4487" s="2"/>
      <c r="O4487" s="2"/>
      <c r="P4487" s="2"/>
      <c r="Q4487" s="2"/>
      <c r="R4487" s="2"/>
      <c r="S4487" s="2" t="s">
        <v>29487</v>
      </c>
      <c r="T4487" s="2" t="s">
        <v>29488</v>
      </c>
      <c r="U4487" s="2" t="s">
        <v>56</v>
      </c>
      <c r="V4487" s="2" t="s">
        <v>145</v>
      </c>
      <c r="W4487" s="2" t="s">
        <v>1188</v>
      </c>
      <c r="X4487" s="2" t="s">
        <v>83</v>
      </c>
      <c r="Y4487" s="2">
        <v>51.2</v>
      </c>
      <c r="Z4487" s="2">
        <v>5.15</v>
      </c>
      <c r="AA4487" s="2" t="s">
        <v>259</v>
      </c>
      <c r="AB4487" s="2" t="s">
        <v>12977</v>
      </c>
      <c r="AC4487" s="2">
        <v>3.0383032433725701</v>
      </c>
      <c r="AD4487" s="2"/>
      <c r="AE4487" s="2">
        <v>9.0053156431255402E-2</v>
      </c>
      <c r="AF4487" s="2">
        <v>5875.9077564168902</v>
      </c>
      <c r="AG4487" s="2">
        <v>4341.6726835578502</v>
      </c>
      <c r="AH4487" s="5">
        <v>1.3533741911658299</v>
      </c>
      <c r="AI4487" s="5">
        <v>0.436560781740439</v>
      </c>
      <c r="AJ4487" s="5" t="s">
        <v>139</v>
      </c>
      <c r="AK4487" s="2">
        <v>0.37784530962943103</v>
      </c>
      <c r="AL4487" s="2">
        <v>0.65844593389412398</v>
      </c>
      <c r="AM4487" s="2">
        <v>2690.16523750022</v>
      </c>
      <c r="AN4487" s="2">
        <v>3113.2341746468701</v>
      </c>
      <c r="AO4487" s="2">
        <v>5367.6286254163097</v>
      </c>
      <c r="AP4487" s="2">
        <v>11753.955041933399</v>
      </c>
      <c r="AQ4487" s="2">
        <v>7631.3687003372697</v>
      </c>
      <c r="AR4487" s="2">
        <v>4699.0947586672901</v>
      </c>
      <c r="AS4487" s="2">
        <v>3496.0943224686698</v>
      </c>
      <c r="AT4487" s="2">
        <v>4552.8939365614397</v>
      </c>
      <c r="AU4487" s="2">
        <v>4647.5690846675698</v>
      </c>
      <c r="AV4487" s="2">
        <v>3535.1885175540101</v>
      </c>
      <c r="AW4487" s="2">
        <v>8353.1853793655591</v>
      </c>
      <c r="AX4487" s="2">
        <v>1465.1048607298701</v>
      </c>
    </row>
    <row r="4488" spans="1:50" x14ac:dyDescent="0.25">
      <c r="A4488" s="2" t="s">
        <v>29489</v>
      </c>
      <c r="B4488" s="2">
        <v>166.05</v>
      </c>
      <c r="C4488" s="2">
        <v>6.44</v>
      </c>
      <c r="D4488" s="2" t="s">
        <v>125</v>
      </c>
      <c r="E4488" s="2" t="s">
        <v>29490</v>
      </c>
      <c r="F4488" s="2">
        <v>46944</v>
      </c>
      <c r="G4488" s="3" t="str">
        <f>HYPERLINK("https://cloud.oebiotech.com/#/lm/network/46944", "https://cloud.oebiotech.com/#/lm/network/46944")</f>
        <v>https://cloud.oebiotech.com/#/lm/network/46944</v>
      </c>
      <c r="H4488" s="2" t="s">
        <v>29491</v>
      </c>
      <c r="I4488" s="2">
        <v>128</v>
      </c>
      <c r="J4488" s="2"/>
      <c r="K4488" s="2">
        <v>996</v>
      </c>
      <c r="L4488" s="2" t="s">
        <v>29492</v>
      </c>
      <c r="M4488" s="2"/>
      <c r="N4488" s="2"/>
      <c r="O4488" s="2">
        <v>15882</v>
      </c>
      <c r="P4488" s="2" t="s">
        <v>29493</v>
      </c>
      <c r="Q4488" s="2" t="s">
        <v>29494</v>
      </c>
      <c r="R4488" s="2" t="s">
        <v>29495</v>
      </c>
      <c r="S4488" s="2" t="s">
        <v>29496</v>
      </c>
      <c r="T4488" s="2" t="s">
        <v>29497</v>
      </c>
      <c r="U4488" s="2" t="s">
        <v>610</v>
      </c>
      <c r="V4488" s="2" t="s">
        <v>895</v>
      </c>
      <c r="W4488" s="2" t="s">
        <v>6882</v>
      </c>
      <c r="X4488" s="2" t="s">
        <v>59</v>
      </c>
      <c r="Y4488" s="2">
        <v>72</v>
      </c>
      <c r="Z4488" s="2">
        <v>53.4</v>
      </c>
      <c r="AA4488" s="2"/>
      <c r="AB4488" s="2" t="s">
        <v>29498</v>
      </c>
      <c r="AC4488" s="2"/>
      <c r="AD4488" s="2">
        <v>210385.91582691201</v>
      </c>
      <c r="AE4488" s="2">
        <v>9.0033351823452401E-2</v>
      </c>
      <c r="AF4488" s="2">
        <v>371969.649921857</v>
      </c>
      <c r="AG4488" s="2">
        <v>367611.79368612199</v>
      </c>
      <c r="AH4488" s="5">
        <v>1.01185450605934</v>
      </c>
      <c r="AI4488" s="5">
        <v>1.70018607072299E-2</v>
      </c>
      <c r="AJ4488" s="5" t="s">
        <v>139</v>
      </c>
      <c r="AK4488" s="2">
        <v>0.79899173049921701</v>
      </c>
      <c r="AL4488" s="2">
        <v>0.90954932814260703</v>
      </c>
      <c r="AM4488" s="2">
        <v>429319.759419101</v>
      </c>
      <c r="AN4488" s="2">
        <v>351205.85035380803</v>
      </c>
      <c r="AO4488" s="2">
        <v>344650.56800124497</v>
      </c>
      <c r="AP4488" s="2">
        <v>373745.84988277999</v>
      </c>
      <c r="AQ4488" s="2">
        <v>364921.02063412801</v>
      </c>
      <c r="AR4488" s="2">
        <v>367974.851240082</v>
      </c>
      <c r="AS4488" s="2">
        <v>340021.20139867399</v>
      </c>
      <c r="AT4488" s="2">
        <v>372472.36375780398</v>
      </c>
      <c r="AU4488" s="2">
        <v>419328.18863075098</v>
      </c>
      <c r="AV4488" s="2">
        <v>361090.70382024301</v>
      </c>
      <c r="AW4488" s="2">
        <v>360851.19042850903</v>
      </c>
      <c r="AX4488" s="2">
        <v>351907.11408075201</v>
      </c>
    </row>
    <row r="4489" spans="1:50" x14ac:dyDescent="0.25">
      <c r="A4489" s="2" t="s">
        <v>29499</v>
      </c>
      <c r="B4489" s="2">
        <v>233.060783934</v>
      </c>
      <c r="C4489" s="2">
        <v>3.2648999999999999</v>
      </c>
      <c r="D4489" s="2" t="s">
        <v>51</v>
      </c>
      <c r="E4489" s="2" t="s">
        <v>29500</v>
      </c>
      <c r="F4489" s="2">
        <v>201764</v>
      </c>
      <c r="G4489" s="3" t="str">
        <f>HYPERLINK("https://cloud.oebiotech.com/#/lm/network/201764", "https://cloud.oebiotech.com/#/lm/network/201764")</f>
        <v>https://cloud.oebiotech.com/#/lm/network/201764</v>
      </c>
      <c r="H4489" s="2" t="s">
        <v>29501</v>
      </c>
      <c r="I4489" s="2"/>
      <c r="J4489" s="2"/>
      <c r="K4489" s="2"/>
      <c r="L4489" s="2"/>
      <c r="M4489" s="2"/>
      <c r="N4489" s="2"/>
      <c r="O4489" s="2"/>
      <c r="P4489" s="2"/>
      <c r="Q4489" s="2"/>
      <c r="R4489" s="2"/>
      <c r="S4489" s="2" t="s">
        <v>29502</v>
      </c>
      <c r="T4489" s="2" t="s">
        <v>29503</v>
      </c>
      <c r="U4489" s="2" t="s">
        <v>610</v>
      </c>
      <c r="V4489" s="2" t="s">
        <v>611</v>
      </c>
      <c r="W4489" s="2" t="s">
        <v>4746</v>
      </c>
      <c r="X4489" s="2" t="s">
        <v>147</v>
      </c>
      <c r="Y4489" s="2">
        <v>38.299999999999997</v>
      </c>
      <c r="Z4489" s="2">
        <v>17.7</v>
      </c>
      <c r="AA4489" s="2" t="s">
        <v>259</v>
      </c>
      <c r="AB4489" s="2" t="s">
        <v>29504</v>
      </c>
      <c r="AC4489" s="2">
        <v>-0.27952730829187</v>
      </c>
      <c r="AD4489" s="2"/>
      <c r="AE4489" s="2">
        <v>9.0001783208855796E-2</v>
      </c>
      <c r="AF4489" s="2">
        <v>1974.0304706690799</v>
      </c>
      <c r="AG4489" s="2">
        <v>1538.09694380629</v>
      </c>
      <c r="AH4489" s="5">
        <v>1.28342396012048</v>
      </c>
      <c r="AI4489" s="5">
        <v>0.35999782212538001</v>
      </c>
      <c r="AJ4489" s="5" t="s">
        <v>139</v>
      </c>
      <c r="AK4489" s="2">
        <v>0.234733953970373</v>
      </c>
      <c r="AL4489" s="2">
        <v>0.55997646305846605</v>
      </c>
      <c r="AM4489" s="2">
        <v>1730.91292836608</v>
      </c>
      <c r="AN4489" s="2">
        <v>1574.4070828707399</v>
      </c>
      <c r="AO4489" s="2">
        <v>1895.9980736801699</v>
      </c>
      <c r="AP4489" s="2">
        <v>2795.8043958716098</v>
      </c>
      <c r="AQ4489" s="2">
        <v>2678.9854085178799</v>
      </c>
      <c r="AR4489" s="2">
        <v>1168.074934708</v>
      </c>
      <c r="AS4489" s="2">
        <v>2056.2346271592801</v>
      </c>
      <c r="AT4489" s="2">
        <v>2271.4454697256401</v>
      </c>
      <c r="AU4489" s="2">
        <v>1480.1492342106201</v>
      </c>
      <c r="AV4489" s="2">
        <v>1430.01648900501</v>
      </c>
      <c r="AW4489" s="2">
        <v>762.44430907219703</v>
      </c>
      <c r="AX4489" s="2">
        <v>1228.2915336650201</v>
      </c>
    </row>
    <row r="4490" spans="1:50" x14ac:dyDescent="0.25">
      <c r="A4490" s="2" t="s">
        <v>29505</v>
      </c>
      <c r="B4490" s="2">
        <v>270.04235031705502</v>
      </c>
      <c r="C4490" s="2">
        <v>0.99048333333333305</v>
      </c>
      <c r="D4490" s="2" t="s">
        <v>51</v>
      </c>
      <c r="E4490" s="2" t="s">
        <v>29506</v>
      </c>
      <c r="F4490" s="2">
        <v>209404</v>
      </c>
      <c r="G4490" s="3" t="str">
        <f>HYPERLINK("https://cloud.oebiotech.com/#/lm/network/209404", "https://cloud.oebiotech.com/#/lm/network/209404")</f>
        <v>https://cloud.oebiotech.com/#/lm/network/209404</v>
      </c>
      <c r="H4490" s="2" t="s">
        <v>29507</v>
      </c>
      <c r="I4490" s="2"/>
      <c r="J4490" s="2"/>
      <c r="K4490" s="2">
        <v>91072485</v>
      </c>
      <c r="L4490" s="2"/>
      <c r="M4490" s="2"/>
      <c r="N4490" s="2"/>
      <c r="O4490" s="2"/>
      <c r="P4490" s="2"/>
      <c r="Q4490" s="2"/>
      <c r="R4490" s="2"/>
      <c r="S4490" s="2" t="s">
        <v>29508</v>
      </c>
      <c r="T4490" s="2" t="s">
        <v>29509</v>
      </c>
      <c r="U4490" s="2" t="s">
        <v>610</v>
      </c>
      <c r="V4490" s="2" t="s">
        <v>611</v>
      </c>
      <c r="W4490" s="2" t="s">
        <v>1267</v>
      </c>
      <c r="X4490" s="2" t="s">
        <v>147</v>
      </c>
      <c r="Y4490" s="2">
        <v>37.6</v>
      </c>
      <c r="Z4490" s="2">
        <v>3.57</v>
      </c>
      <c r="AA4490" s="2" t="s">
        <v>259</v>
      </c>
      <c r="AB4490" s="2" t="s">
        <v>29510</v>
      </c>
      <c r="AC4490" s="2">
        <v>-2.67462669351336</v>
      </c>
      <c r="AD4490" s="2"/>
      <c r="AE4490" s="2">
        <v>8.9963492569589604E-2</v>
      </c>
      <c r="AF4490" s="2">
        <v>4081.25890464242</v>
      </c>
      <c r="AG4490" s="2">
        <v>4317.4092064893302</v>
      </c>
      <c r="AH4490" s="4">
        <v>0.94530277521714401</v>
      </c>
      <c r="AI4490" s="4">
        <v>-8.1151604344621805E-2</v>
      </c>
      <c r="AJ4490" s="4" t="s">
        <v>62</v>
      </c>
      <c r="AK4490" s="2">
        <v>0.88773173998877397</v>
      </c>
      <c r="AL4490" s="2">
        <v>0.95134717334176</v>
      </c>
      <c r="AM4490" s="2">
        <v>299.02353972082301</v>
      </c>
      <c r="AN4490" s="2">
        <v>4884.1391813095797</v>
      </c>
      <c r="AO4490" s="2">
        <v>7382.7950124456002</v>
      </c>
      <c r="AP4490" s="2">
        <v>6246.9543326531902</v>
      </c>
      <c r="AQ4490" s="2">
        <v>2056.12679649759</v>
      </c>
      <c r="AR4490" s="2">
        <v>3618.5145652277201</v>
      </c>
      <c r="AS4490" s="2">
        <v>3415.77099161551</v>
      </c>
      <c r="AT4490" s="2">
        <v>2045.63068830255</v>
      </c>
      <c r="AU4490" s="2">
        <v>1264.9711940048001</v>
      </c>
      <c r="AV4490" s="2">
        <v>4770.7580243445</v>
      </c>
      <c r="AW4490" s="2">
        <v>9729.4423961891207</v>
      </c>
      <c r="AX4490" s="2">
        <v>4677.8819444795299</v>
      </c>
    </row>
    <row r="4491" spans="1:50" x14ac:dyDescent="0.25">
      <c r="A4491" s="2" t="s">
        <v>29511</v>
      </c>
      <c r="B4491" s="2">
        <v>669.49553223714497</v>
      </c>
      <c r="C4491" s="2">
        <v>13.510733333333301</v>
      </c>
      <c r="D4491" s="2" t="s">
        <v>51</v>
      </c>
      <c r="E4491" s="2" t="s">
        <v>29512</v>
      </c>
      <c r="F4491" s="2">
        <v>59306</v>
      </c>
      <c r="G4491" s="3" t="str">
        <f>HYPERLINK("https://cloud.oebiotech.com/#/lm/network/59306", "https://cloud.oebiotech.com/#/lm/network/59306")</f>
        <v>https://cloud.oebiotech.com/#/lm/network/59306</v>
      </c>
      <c r="H4491" s="2" t="s">
        <v>29513</v>
      </c>
      <c r="I4491" s="2">
        <v>90724</v>
      </c>
      <c r="J4491" s="2"/>
      <c r="K4491" s="2">
        <v>131751753</v>
      </c>
      <c r="L4491" s="2"/>
      <c r="M4491" s="2"/>
      <c r="N4491" s="2"/>
      <c r="O4491" s="2">
        <v>170869</v>
      </c>
      <c r="P4491" s="2"/>
      <c r="Q4491" s="2"/>
      <c r="R4491" s="2"/>
      <c r="S4491" s="2" t="s">
        <v>29514</v>
      </c>
      <c r="T4491" s="2" t="s">
        <v>29515</v>
      </c>
      <c r="U4491" s="2" t="s">
        <v>56</v>
      </c>
      <c r="V4491" s="2" t="s">
        <v>145</v>
      </c>
      <c r="W4491" s="2" t="s">
        <v>146</v>
      </c>
      <c r="X4491" s="2" t="s">
        <v>83</v>
      </c>
      <c r="Y4491" s="2">
        <v>41.2</v>
      </c>
      <c r="Z4491" s="2">
        <v>0</v>
      </c>
      <c r="AA4491" s="2" t="s">
        <v>218</v>
      </c>
      <c r="AB4491" s="2" t="s">
        <v>29516</v>
      </c>
      <c r="AC4491" s="2">
        <v>1.32082318971284</v>
      </c>
      <c r="AD4491" s="2"/>
      <c r="AE4491" s="2">
        <v>8.9932579742364793E-2</v>
      </c>
      <c r="AF4491" s="2">
        <v>34994.022880005803</v>
      </c>
      <c r="AG4491" s="2">
        <v>43582.681503610198</v>
      </c>
      <c r="AH4491" s="4">
        <v>0.80293413972490502</v>
      </c>
      <c r="AI4491" s="4">
        <v>-0.31664643863792002</v>
      </c>
      <c r="AJ4491" s="4" t="s">
        <v>62</v>
      </c>
      <c r="AK4491" s="2">
        <v>0.66934323888263203</v>
      </c>
      <c r="AL4491" s="2">
        <v>0.84072381993123702</v>
      </c>
      <c r="AM4491" s="2">
        <v>86670.461091380406</v>
      </c>
      <c r="AN4491" s="2">
        <v>33258.850370177897</v>
      </c>
      <c r="AO4491" s="2">
        <v>43950.460609544803</v>
      </c>
      <c r="AP4491" s="2">
        <v>17400.257911914101</v>
      </c>
      <c r="AQ4491" s="2">
        <v>7688.4783383878303</v>
      </c>
      <c r="AR4491" s="2">
        <v>20995.628958629801</v>
      </c>
      <c r="AS4491" s="2">
        <v>5441.2600922718302</v>
      </c>
      <c r="AT4491" s="2">
        <v>1288.17474031034</v>
      </c>
      <c r="AU4491" s="2">
        <v>81848.614192863795</v>
      </c>
      <c r="AV4491" s="2">
        <v>63195.345693964497</v>
      </c>
      <c r="AW4491" s="2">
        <v>22593.5389345107</v>
      </c>
      <c r="AX4491" s="2">
        <v>87129.155367740299</v>
      </c>
    </row>
    <row r="4492" spans="1:50" x14ac:dyDescent="0.25">
      <c r="A4492" s="2" t="s">
        <v>29517</v>
      </c>
      <c r="B4492" s="2">
        <v>495.370973086476</v>
      </c>
      <c r="C4492" s="2">
        <v>14.465633333333299</v>
      </c>
      <c r="D4492" s="2" t="s">
        <v>51</v>
      </c>
      <c r="E4492" s="2" t="s">
        <v>29518</v>
      </c>
      <c r="F4492" s="2">
        <v>266975</v>
      </c>
      <c r="G4492" s="3" t="str">
        <f>HYPERLINK("https://cloud.oebiotech.com/#/lm/network/266975", "https://cloud.oebiotech.com/#/lm/network/266975")</f>
        <v>https://cloud.oebiotech.com/#/lm/network/266975</v>
      </c>
      <c r="H4492" s="2"/>
      <c r="I4492" s="2">
        <v>44430</v>
      </c>
      <c r="J4492" s="2"/>
      <c r="K4492" s="2">
        <v>442956</v>
      </c>
      <c r="L4492" s="2" t="s">
        <v>29519</v>
      </c>
      <c r="M4492" s="2"/>
      <c r="N4492" s="2"/>
      <c r="O4492" s="2"/>
      <c r="P4492" s="2"/>
      <c r="Q4492" s="2"/>
      <c r="R4492" s="2" t="s">
        <v>29520</v>
      </c>
      <c r="S4492" s="2" t="s">
        <v>29521</v>
      </c>
      <c r="T4492" s="2" t="s">
        <v>29522</v>
      </c>
      <c r="U4492" s="2" t="s">
        <v>238</v>
      </c>
      <c r="V4492" s="2" t="s">
        <v>24669</v>
      </c>
      <c r="W4492" s="2" t="s">
        <v>29523</v>
      </c>
      <c r="X4492" s="2" t="s">
        <v>147</v>
      </c>
      <c r="Y4492" s="2">
        <v>38.5</v>
      </c>
      <c r="Z4492" s="2">
        <v>0</v>
      </c>
      <c r="AA4492" s="2" t="s">
        <v>478</v>
      </c>
      <c r="AB4492" s="2" t="s">
        <v>29524</v>
      </c>
      <c r="AC4492" s="2">
        <v>1.05307061176499</v>
      </c>
      <c r="AD4492" s="2"/>
      <c r="AE4492" s="2">
        <v>8.98296516227301E-2</v>
      </c>
      <c r="AF4492" s="2">
        <v>2625.4032482440098</v>
      </c>
      <c r="AG4492" s="2">
        <v>2008.12640832741</v>
      </c>
      <c r="AH4492" s="5">
        <v>1.3073894339304699</v>
      </c>
      <c r="AI4492" s="5">
        <v>0.38668894275135501</v>
      </c>
      <c r="AJ4492" s="5" t="s">
        <v>139</v>
      </c>
      <c r="AK4492" s="2">
        <v>0.60981929745323904</v>
      </c>
      <c r="AL4492" s="2">
        <v>0.80553815117069005</v>
      </c>
      <c r="AM4492" s="2">
        <v>3166.99209416643</v>
      </c>
      <c r="AN4492" s="2">
        <v>2659.7435706748702</v>
      </c>
      <c r="AO4492" s="2">
        <v>1486.99566921581</v>
      </c>
      <c r="AP4492" s="2">
        <v>566.95785242594104</v>
      </c>
      <c r="AQ4492" s="2">
        <v>1539.20384631866</v>
      </c>
      <c r="AR4492" s="2">
        <v>6332.52645666237</v>
      </c>
      <c r="AS4492" s="2">
        <v>1042.784832157</v>
      </c>
      <c r="AT4492" s="2">
        <v>8.559877937157E-6</v>
      </c>
      <c r="AU4492" s="2">
        <v>5009.7022902952504</v>
      </c>
      <c r="AV4492" s="2">
        <v>8.559877937157E-6</v>
      </c>
      <c r="AW4492" s="2">
        <v>2511.8121022155601</v>
      </c>
      <c r="AX4492" s="2">
        <v>3484.4592081769201</v>
      </c>
    </row>
    <row r="4493" spans="1:50" x14ac:dyDescent="0.25">
      <c r="A4493" s="2" t="s">
        <v>29525</v>
      </c>
      <c r="B4493" s="2">
        <v>445.29596596489102</v>
      </c>
      <c r="C4493" s="2">
        <v>9.97441666666667</v>
      </c>
      <c r="D4493" s="2" t="s">
        <v>51</v>
      </c>
      <c r="E4493" s="2" t="s">
        <v>29526</v>
      </c>
      <c r="F4493" s="2">
        <v>46544</v>
      </c>
      <c r="G4493" s="3" t="str">
        <f>HYPERLINK("https://cloud.oebiotech.com/#/lm/network/46544", "https://cloud.oebiotech.com/#/lm/network/46544")</f>
        <v>https://cloud.oebiotech.com/#/lm/network/46544</v>
      </c>
      <c r="H4493" s="2"/>
      <c r="I4493" s="2"/>
      <c r="J4493" s="2" t="s">
        <v>29527</v>
      </c>
      <c r="K4493" s="2"/>
      <c r="L4493" s="2"/>
      <c r="M4493" s="2"/>
      <c r="N4493" s="2"/>
      <c r="O4493" s="2"/>
      <c r="P4493" s="2"/>
      <c r="Q4493" s="2"/>
      <c r="R4493" s="2"/>
      <c r="S4493" s="2" t="s">
        <v>29528</v>
      </c>
      <c r="T4493" s="2" t="s">
        <v>29529</v>
      </c>
      <c r="U4493" s="2" t="s">
        <v>56</v>
      </c>
      <c r="V4493" s="2" t="s">
        <v>283</v>
      </c>
      <c r="W4493" s="2" t="s">
        <v>2042</v>
      </c>
      <c r="X4493" s="2" t="s">
        <v>83</v>
      </c>
      <c r="Y4493" s="2">
        <v>38.6</v>
      </c>
      <c r="Z4493" s="2">
        <v>0</v>
      </c>
      <c r="AA4493" s="2" t="s">
        <v>163</v>
      </c>
      <c r="AB4493" s="2" t="s">
        <v>29530</v>
      </c>
      <c r="AC4493" s="2">
        <v>4.0224113110062097E-2</v>
      </c>
      <c r="AD4493" s="2"/>
      <c r="AE4493" s="2">
        <v>8.9813745522541802E-2</v>
      </c>
      <c r="AF4493" s="2">
        <v>388.68176316482902</v>
      </c>
      <c r="AG4493" s="2">
        <v>49.734115611668898</v>
      </c>
      <c r="AH4493" s="5">
        <v>7.8151940249568597</v>
      </c>
      <c r="AI4493" s="5">
        <v>2.9662816909304199</v>
      </c>
      <c r="AJ4493" s="5" t="s">
        <v>139</v>
      </c>
      <c r="AK4493" s="2">
        <v>7.7652432010417702E-2</v>
      </c>
      <c r="AL4493" s="2">
        <v>0.361870085436303</v>
      </c>
      <c r="AM4493" s="2">
        <v>228.33690161078701</v>
      </c>
      <c r="AN4493" s="2">
        <v>259.86207093033602</v>
      </c>
      <c r="AO4493" s="2">
        <v>8.559877937157E-6</v>
      </c>
      <c r="AP4493" s="2">
        <v>232.12091707116099</v>
      </c>
      <c r="AQ4493" s="2">
        <v>1160.4591553422499</v>
      </c>
      <c r="AR4493" s="2">
        <v>451.31152547456202</v>
      </c>
      <c r="AS4493" s="2">
        <v>8.559877937157E-6</v>
      </c>
      <c r="AT4493" s="2">
        <v>8.559877937157E-6</v>
      </c>
      <c r="AU4493" s="2">
        <v>8.559877937157E-6</v>
      </c>
      <c r="AV4493" s="2">
        <v>8.559877937157E-6</v>
      </c>
      <c r="AW4493" s="2">
        <v>8.559877937157E-6</v>
      </c>
      <c r="AX4493" s="2">
        <v>298.40465087062398</v>
      </c>
    </row>
    <row r="4494" spans="1:50" x14ac:dyDescent="0.25">
      <c r="A4494" s="2" t="s">
        <v>29531</v>
      </c>
      <c r="B4494" s="2">
        <v>173.002252570178</v>
      </c>
      <c r="C4494" s="2">
        <v>6.3968333333333298</v>
      </c>
      <c r="D4494" s="2" t="s">
        <v>51</v>
      </c>
      <c r="E4494" s="2" t="s">
        <v>29532</v>
      </c>
      <c r="F4494" s="2">
        <v>200756</v>
      </c>
      <c r="G4494" s="3" t="str">
        <f>HYPERLINK("https://cloud.oebiotech.com/#/lm/network/200756", "https://cloud.oebiotech.com/#/lm/network/200756")</f>
        <v>https://cloud.oebiotech.com/#/lm/network/200756</v>
      </c>
      <c r="H4494" s="2" t="s">
        <v>29533</v>
      </c>
      <c r="I4494" s="2">
        <v>73016</v>
      </c>
      <c r="J4494" s="2"/>
      <c r="K4494" s="2">
        <v>1586</v>
      </c>
      <c r="L4494" s="2" t="s">
        <v>29534</v>
      </c>
      <c r="M4494" s="2"/>
      <c r="N4494" s="2"/>
      <c r="O4494" s="2">
        <v>348530</v>
      </c>
      <c r="P4494" s="2"/>
      <c r="Q4494" s="2"/>
      <c r="R4494" s="2" t="s">
        <v>29535</v>
      </c>
      <c r="S4494" s="2" t="s">
        <v>29536</v>
      </c>
      <c r="T4494" s="2" t="s">
        <v>29537</v>
      </c>
      <c r="U4494" s="2" t="s">
        <v>266</v>
      </c>
      <c r="V4494" s="2" t="s">
        <v>3926</v>
      </c>
      <c r="W4494" s="2" t="s">
        <v>4115</v>
      </c>
      <c r="X4494" s="2" t="s">
        <v>147</v>
      </c>
      <c r="Y4494" s="2">
        <v>37.9</v>
      </c>
      <c r="Z4494" s="2">
        <v>0</v>
      </c>
      <c r="AA4494" s="2" t="s">
        <v>218</v>
      </c>
      <c r="AB4494" s="2" t="s">
        <v>29538</v>
      </c>
      <c r="AC4494" s="2">
        <v>-3.0003434331482999</v>
      </c>
      <c r="AD4494" s="2"/>
      <c r="AE4494" s="2">
        <v>8.9755684003076999E-2</v>
      </c>
      <c r="AF4494" s="2">
        <v>1148.90233332454</v>
      </c>
      <c r="AG4494" s="2">
        <v>1365.4183432326699</v>
      </c>
      <c r="AH4494" s="4">
        <v>0.84142881119091495</v>
      </c>
      <c r="AI4494" s="4">
        <v>-0.24908687691065301</v>
      </c>
      <c r="AJ4494" s="4" t="s">
        <v>62</v>
      </c>
      <c r="AK4494" s="2">
        <v>9.8460279445025403E-2</v>
      </c>
      <c r="AL4494" s="2">
        <v>0.400382656893915</v>
      </c>
      <c r="AM4494" s="2">
        <v>883.88072975995794</v>
      </c>
      <c r="AN4494" s="2">
        <v>1101.4019451418501</v>
      </c>
      <c r="AO4494" s="2">
        <v>1275.76980523165</v>
      </c>
      <c r="AP4494" s="2">
        <v>1267.31942065254</v>
      </c>
      <c r="AQ4494" s="2">
        <v>1108.5157901294899</v>
      </c>
      <c r="AR4494" s="2">
        <v>1256.5263090317301</v>
      </c>
      <c r="AS4494" s="2">
        <v>1210.85501895119</v>
      </c>
      <c r="AT4494" s="2">
        <v>1419.2162864528</v>
      </c>
      <c r="AU4494" s="2">
        <v>1174.0503097210201</v>
      </c>
      <c r="AV4494" s="2">
        <v>1730.6577301129901</v>
      </c>
      <c r="AW4494" s="2">
        <v>1096.0984387277899</v>
      </c>
      <c r="AX4494" s="2">
        <v>1561.63227543025</v>
      </c>
    </row>
    <row r="4495" spans="1:50" x14ac:dyDescent="0.25">
      <c r="A4495" s="2" t="s">
        <v>29539</v>
      </c>
      <c r="B4495" s="2">
        <v>261.145442791498</v>
      </c>
      <c r="C4495" s="2">
        <v>1.4254</v>
      </c>
      <c r="D4495" s="2" t="s">
        <v>51</v>
      </c>
      <c r="E4495" s="2" t="s">
        <v>29540</v>
      </c>
      <c r="F4495" s="2">
        <v>53930</v>
      </c>
      <c r="G4495" s="3" t="str">
        <f>HYPERLINK("https://cloud.oebiotech.com/#/lm/network/53930", "https://cloud.oebiotech.com/#/lm/network/53930")</f>
        <v>https://cloud.oebiotech.com/#/lm/network/53930</v>
      </c>
      <c r="H4495" s="2" t="s">
        <v>29541</v>
      </c>
      <c r="I4495" s="2"/>
      <c r="J4495" s="2"/>
      <c r="K4495" s="2">
        <v>18218218</v>
      </c>
      <c r="L4495" s="2"/>
      <c r="M4495" s="2"/>
      <c r="N4495" s="2"/>
      <c r="O4495" s="2"/>
      <c r="P4495" s="2"/>
      <c r="Q4495" s="2"/>
      <c r="R4495" s="2"/>
      <c r="S4495" s="2" t="s">
        <v>29542</v>
      </c>
      <c r="T4495" s="2" t="s">
        <v>29543</v>
      </c>
      <c r="U4495" s="2" t="s">
        <v>103</v>
      </c>
      <c r="V4495" s="2" t="s">
        <v>104</v>
      </c>
      <c r="W4495" s="2" t="s">
        <v>105</v>
      </c>
      <c r="X4495" s="2" t="s">
        <v>83</v>
      </c>
      <c r="Y4495" s="2">
        <v>42.6</v>
      </c>
      <c r="Z4495" s="2">
        <v>14.9</v>
      </c>
      <c r="AA4495" s="2" t="s">
        <v>60</v>
      </c>
      <c r="AB4495" s="2" t="s">
        <v>16856</v>
      </c>
      <c r="AC4495" s="2">
        <v>3.63120160990883</v>
      </c>
      <c r="AD4495" s="2"/>
      <c r="AE4495" s="2">
        <v>8.9687098491960604E-2</v>
      </c>
      <c r="AF4495" s="2">
        <v>13422.9417008329</v>
      </c>
      <c r="AG4495" s="2">
        <v>18346.009122885702</v>
      </c>
      <c r="AH4495" s="4">
        <v>0.73165458552446105</v>
      </c>
      <c r="AI4495" s="4">
        <v>-0.45076538266600702</v>
      </c>
      <c r="AJ4495" s="4" t="s">
        <v>62</v>
      </c>
      <c r="AK4495" s="2">
        <v>0.66279979433571701</v>
      </c>
      <c r="AL4495" s="2">
        <v>0.83663677386975799</v>
      </c>
      <c r="AM4495" s="2">
        <v>17295.549806711198</v>
      </c>
      <c r="AN4495" s="2">
        <v>7825.7011060681898</v>
      </c>
      <c r="AO4495" s="2">
        <v>12759.6900598213</v>
      </c>
      <c r="AP4495" s="2">
        <v>13249.811943078899</v>
      </c>
      <c r="AQ4495" s="2">
        <v>14444.003123460699</v>
      </c>
      <c r="AR4495" s="2">
        <v>14962.8941658573</v>
      </c>
      <c r="AS4495" s="2">
        <v>3729.4925476837702</v>
      </c>
      <c r="AT4495" s="2">
        <v>9036.6764882214502</v>
      </c>
      <c r="AU4495" s="2">
        <v>72477.613815431905</v>
      </c>
      <c r="AV4495" s="2">
        <v>11101.129348096099</v>
      </c>
      <c r="AW4495" s="2">
        <v>8454.9854125412803</v>
      </c>
      <c r="AX4495" s="2">
        <v>5276.1571253398597</v>
      </c>
    </row>
    <row r="4496" spans="1:50" x14ac:dyDescent="0.25">
      <c r="A4496" s="2" t="s">
        <v>29544</v>
      </c>
      <c r="B4496" s="2">
        <v>463.37959315114801</v>
      </c>
      <c r="C4496" s="2">
        <v>15.1571</v>
      </c>
      <c r="D4496" s="2" t="s">
        <v>51</v>
      </c>
      <c r="E4496" s="2" t="s">
        <v>29545</v>
      </c>
      <c r="F4496" s="2">
        <v>8512</v>
      </c>
      <c r="G4496" s="3" t="str">
        <f>HYPERLINK("https://cloud.oebiotech.com/#/lm/network/8512", "https://cloud.oebiotech.com/#/lm/network/8512")</f>
        <v>https://cloud.oebiotech.com/#/lm/network/8512</v>
      </c>
      <c r="H4496" s="2"/>
      <c r="I4496" s="2"/>
      <c r="J4496" s="2" t="s">
        <v>29546</v>
      </c>
      <c r="K4496" s="2"/>
      <c r="L4496" s="2"/>
      <c r="M4496" s="2"/>
      <c r="N4496" s="2"/>
      <c r="O4496" s="2"/>
      <c r="P4496" s="2"/>
      <c r="Q4496" s="2"/>
      <c r="R4496" s="2"/>
      <c r="S4496" s="2" t="s">
        <v>29547</v>
      </c>
      <c r="T4496" s="2" t="s">
        <v>29548</v>
      </c>
      <c r="U4496" s="2" t="s">
        <v>56</v>
      </c>
      <c r="V4496" s="2" t="s">
        <v>145</v>
      </c>
      <c r="W4496" s="2" t="s">
        <v>231</v>
      </c>
      <c r="X4496" s="2" t="s">
        <v>69</v>
      </c>
      <c r="Y4496" s="2">
        <v>64.3</v>
      </c>
      <c r="Z4496" s="2">
        <v>81.900000000000006</v>
      </c>
      <c r="AA4496" s="2" t="s">
        <v>95</v>
      </c>
      <c r="AB4496" s="2" t="s">
        <v>17137</v>
      </c>
      <c r="AC4496" s="2">
        <v>8.6567702391093206</v>
      </c>
      <c r="AD4496" s="2"/>
      <c r="AE4496" s="2">
        <v>8.9589976888041295E-2</v>
      </c>
      <c r="AF4496" s="2">
        <v>1575.4627414945101</v>
      </c>
      <c r="AG4496" s="2">
        <v>1203.7860832507999</v>
      </c>
      <c r="AH4496" s="5">
        <v>1.30875640067212</v>
      </c>
      <c r="AI4496" s="5">
        <v>0.388196592892739</v>
      </c>
      <c r="AJ4496" s="5" t="s">
        <v>139</v>
      </c>
      <c r="AK4496" s="2">
        <v>0.27246061889859002</v>
      </c>
      <c r="AL4496" s="2">
        <v>0.59187658046137204</v>
      </c>
      <c r="AM4496" s="2">
        <v>1986.0499714893499</v>
      </c>
      <c r="AN4496" s="2">
        <v>976.10798864708204</v>
      </c>
      <c r="AO4496" s="2">
        <v>1185.47520850721</v>
      </c>
      <c r="AP4496" s="2">
        <v>1070.71214023372</v>
      </c>
      <c r="AQ4496" s="2">
        <v>2632.8595100399998</v>
      </c>
      <c r="AR4496" s="2">
        <v>1601.5716300496899</v>
      </c>
      <c r="AS4496" s="2">
        <v>816.21393747801699</v>
      </c>
      <c r="AT4496" s="2">
        <v>1558.53000163141</v>
      </c>
      <c r="AU4496" s="2">
        <v>956.95043620021795</v>
      </c>
      <c r="AV4496" s="2">
        <v>1183.0486228924501</v>
      </c>
      <c r="AW4496" s="2">
        <v>1918.1817095394499</v>
      </c>
      <c r="AX4496" s="2">
        <v>789.79179176325897</v>
      </c>
    </row>
    <row r="4497" spans="1:50" x14ac:dyDescent="0.25">
      <c r="A4497" s="2" t="s">
        <v>29549</v>
      </c>
      <c r="B4497" s="2">
        <v>384.161115937521</v>
      </c>
      <c r="C4497" s="2">
        <v>13.3257833333333</v>
      </c>
      <c r="D4497" s="2" t="s">
        <v>51</v>
      </c>
      <c r="E4497" s="2" t="s">
        <v>29550</v>
      </c>
      <c r="F4497" s="2">
        <v>467790</v>
      </c>
      <c r="G4497" s="3" t="str">
        <f>HYPERLINK("https://cloud.oebiotech.com/#/lm/network/467790", "https://cloud.oebiotech.com/#/lm/network/467790")</f>
        <v>https://cloud.oebiotech.com/#/lm/network/467790</v>
      </c>
      <c r="H4497" s="2"/>
      <c r="I4497" s="2">
        <v>85139</v>
      </c>
      <c r="J4497" s="2"/>
      <c r="K4497" s="2">
        <v>91936930</v>
      </c>
      <c r="L4497" s="2"/>
      <c r="M4497" s="2"/>
      <c r="N4497" s="2"/>
      <c r="O4497" s="2"/>
      <c r="P4497" s="2"/>
      <c r="Q4497" s="2"/>
      <c r="R4497" s="2" t="s">
        <v>29551</v>
      </c>
      <c r="S4497" s="2" t="s">
        <v>29552</v>
      </c>
      <c r="T4497" s="2" t="s">
        <v>29553</v>
      </c>
      <c r="U4497" s="2" t="s">
        <v>266</v>
      </c>
      <c r="V4497" s="2" t="s">
        <v>445</v>
      </c>
      <c r="W4497" s="2" t="s">
        <v>5296</v>
      </c>
      <c r="X4497" s="2" t="s">
        <v>147</v>
      </c>
      <c r="Y4497" s="2">
        <v>37.200000000000003</v>
      </c>
      <c r="Z4497" s="2">
        <v>0</v>
      </c>
      <c r="AA4497" s="2" t="s">
        <v>218</v>
      </c>
      <c r="AB4497" s="2" t="s">
        <v>29554</v>
      </c>
      <c r="AC4497" s="2">
        <v>1.76543697624963</v>
      </c>
      <c r="AD4497" s="2"/>
      <c r="AE4497" s="2">
        <v>8.9570040804735906E-2</v>
      </c>
      <c r="AF4497" s="2">
        <v>5162.6263889838201</v>
      </c>
      <c r="AG4497" s="2">
        <v>6099.12539644155</v>
      </c>
      <c r="AH4497" s="4">
        <v>0.84645355742249195</v>
      </c>
      <c r="AI4497" s="4">
        <v>-0.24049718130199699</v>
      </c>
      <c r="AJ4497" s="4" t="s">
        <v>62</v>
      </c>
      <c r="AK4497" s="2">
        <v>0.32652654434393902</v>
      </c>
      <c r="AL4497" s="2">
        <v>0.62992073899545697</v>
      </c>
      <c r="AM4497" s="2">
        <v>5758.9289424004901</v>
      </c>
      <c r="AN4497" s="2">
        <v>4305.6804430787897</v>
      </c>
      <c r="AO4497" s="2">
        <v>4749.1595513870898</v>
      </c>
      <c r="AP4497" s="2">
        <v>3707.6215459694399</v>
      </c>
      <c r="AQ4497" s="2">
        <v>6616.3198034429797</v>
      </c>
      <c r="AR4497" s="2">
        <v>5838.04804762412</v>
      </c>
      <c r="AS4497" s="2">
        <v>6950.8051768825298</v>
      </c>
      <c r="AT4497" s="2">
        <v>8884.4897953375093</v>
      </c>
      <c r="AU4497" s="2">
        <v>6897.6810256137396</v>
      </c>
      <c r="AV4497" s="2">
        <v>5438.6338334583697</v>
      </c>
      <c r="AW4497" s="2">
        <v>5233.5946327547899</v>
      </c>
      <c r="AX4497" s="2">
        <v>3189.5479146023899</v>
      </c>
    </row>
    <row r="4498" spans="1:50" x14ac:dyDescent="0.25">
      <c r="A4498" s="2" t="s">
        <v>29555</v>
      </c>
      <c r="B4498" s="2">
        <v>427.24647486966802</v>
      </c>
      <c r="C4498" s="2">
        <v>12.698066666666699</v>
      </c>
      <c r="D4498" s="2" t="s">
        <v>51</v>
      </c>
      <c r="E4498" s="2" t="s">
        <v>29556</v>
      </c>
      <c r="F4498" s="2">
        <v>46212</v>
      </c>
      <c r="G4498" s="3" t="str">
        <f>HYPERLINK("https://cloud.oebiotech.com/#/lm/network/46212", "https://cloud.oebiotech.com/#/lm/network/46212")</f>
        <v>https://cloud.oebiotech.com/#/lm/network/46212</v>
      </c>
      <c r="H4498" s="2"/>
      <c r="I4498" s="2">
        <v>84664</v>
      </c>
      <c r="J4498" s="2" t="s">
        <v>29557</v>
      </c>
      <c r="K4498" s="2">
        <v>5284102</v>
      </c>
      <c r="L4498" s="2"/>
      <c r="M4498" s="2"/>
      <c r="N4498" s="2"/>
      <c r="O4498" s="2"/>
      <c r="P4498" s="2"/>
      <c r="Q4498" s="2"/>
      <c r="R4498" s="2"/>
      <c r="S4498" s="2" t="s">
        <v>29558</v>
      </c>
      <c r="T4498" s="2" t="s">
        <v>29559</v>
      </c>
      <c r="U4498" s="2" t="s">
        <v>56</v>
      </c>
      <c r="V4498" s="2" t="s">
        <v>283</v>
      </c>
      <c r="W4498" s="2" t="s">
        <v>2042</v>
      </c>
      <c r="X4498" s="2" t="s">
        <v>147</v>
      </c>
      <c r="Y4498" s="2">
        <v>43.7</v>
      </c>
      <c r="Z4498" s="2">
        <v>30.6</v>
      </c>
      <c r="AA4498" s="2" t="s">
        <v>526</v>
      </c>
      <c r="AB4498" s="2" t="s">
        <v>9082</v>
      </c>
      <c r="AC4498" s="2">
        <v>2.42404981724671</v>
      </c>
      <c r="AD4498" s="2"/>
      <c r="AE4498" s="2">
        <v>8.9553014979968204E-2</v>
      </c>
      <c r="AF4498" s="2">
        <v>81532.962202755603</v>
      </c>
      <c r="AG4498" s="2">
        <v>82804.859107245502</v>
      </c>
      <c r="AH4498" s="4">
        <v>0.98463982768399305</v>
      </c>
      <c r="AI4498" s="4">
        <v>-2.2331998580791702E-2</v>
      </c>
      <c r="AJ4498" s="4" t="s">
        <v>62</v>
      </c>
      <c r="AK4498" s="2">
        <v>0.93105441512856102</v>
      </c>
      <c r="AL4498" s="2">
        <v>0.97061347617365101</v>
      </c>
      <c r="AM4498" s="2">
        <v>55477.562559600097</v>
      </c>
      <c r="AN4498" s="2">
        <v>89931.796145481494</v>
      </c>
      <c r="AO4498" s="2">
        <v>117235.72288048</v>
      </c>
      <c r="AP4498" s="2">
        <v>74037.034832967998</v>
      </c>
      <c r="AQ4498" s="2">
        <v>95920.119450923405</v>
      </c>
      <c r="AR4498" s="2">
        <v>56595.537347080499</v>
      </c>
      <c r="AS4498" s="2">
        <v>131783.816471739</v>
      </c>
      <c r="AT4498" s="2">
        <v>85233.251490946393</v>
      </c>
      <c r="AU4498" s="2">
        <v>66280.898165922394</v>
      </c>
      <c r="AV4498" s="2">
        <v>66987.488183513095</v>
      </c>
      <c r="AW4498" s="2">
        <v>64715.971084063603</v>
      </c>
      <c r="AX4498" s="2">
        <v>81827.729247288706</v>
      </c>
    </row>
    <row r="4499" spans="1:50" x14ac:dyDescent="0.25">
      <c r="A4499" s="2" t="s">
        <v>29560</v>
      </c>
      <c r="B4499" s="2">
        <v>423.27538550180401</v>
      </c>
      <c r="C4499" s="2">
        <v>9.97441666666667</v>
      </c>
      <c r="D4499" s="2" t="s">
        <v>51</v>
      </c>
      <c r="E4499" s="2" t="s">
        <v>29561</v>
      </c>
      <c r="F4499" s="2">
        <v>3682</v>
      </c>
      <c r="G4499" s="3" t="str">
        <f>HYPERLINK("https://cloud.oebiotech.com/#/lm/network/3682", "https://cloud.oebiotech.com/#/lm/network/3682")</f>
        <v>https://cloud.oebiotech.com/#/lm/network/3682</v>
      </c>
      <c r="H4499" s="2"/>
      <c r="I4499" s="2">
        <v>36130</v>
      </c>
      <c r="J4499" s="2" t="s">
        <v>29562</v>
      </c>
      <c r="K4499" s="2">
        <v>5283060</v>
      </c>
      <c r="L4499" s="2"/>
      <c r="M4499" s="2"/>
      <c r="N4499" s="2"/>
      <c r="O4499" s="2"/>
      <c r="P4499" s="2"/>
      <c r="Q4499" s="2"/>
      <c r="R4499" s="2" t="s">
        <v>29563</v>
      </c>
      <c r="S4499" s="2" t="s">
        <v>29564</v>
      </c>
      <c r="T4499" s="2" t="s">
        <v>29565</v>
      </c>
      <c r="U4499" s="2" t="s">
        <v>56</v>
      </c>
      <c r="V4499" s="2" t="s">
        <v>145</v>
      </c>
      <c r="W4499" s="2" t="s">
        <v>231</v>
      </c>
      <c r="X4499" s="2" t="s">
        <v>83</v>
      </c>
      <c r="Y4499" s="2">
        <v>38.1</v>
      </c>
      <c r="Z4499" s="2">
        <v>0</v>
      </c>
      <c r="AA4499" s="2" t="s">
        <v>218</v>
      </c>
      <c r="AB4499" s="2" t="s">
        <v>3920</v>
      </c>
      <c r="AC4499" s="2">
        <v>0.45716472074706799</v>
      </c>
      <c r="AD4499" s="2"/>
      <c r="AE4499" s="2">
        <v>8.9477802894150998E-2</v>
      </c>
      <c r="AF4499" s="2">
        <v>439.64093663406101</v>
      </c>
      <c r="AG4499" s="2">
        <v>137.561237867497</v>
      </c>
      <c r="AH4499" s="5">
        <v>3.1959652548164401</v>
      </c>
      <c r="AI4499" s="5">
        <v>1.67625172398038</v>
      </c>
      <c r="AJ4499" s="5" t="s">
        <v>139</v>
      </c>
      <c r="AK4499" s="2">
        <v>0.14670376514889899</v>
      </c>
      <c r="AL4499" s="2">
        <v>0.46813495501649</v>
      </c>
      <c r="AM4499" s="2">
        <v>8.559877937157E-6</v>
      </c>
      <c r="AN4499" s="2">
        <v>744.73224512927197</v>
      </c>
      <c r="AO4499" s="2">
        <v>239.71676184232001</v>
      </c>
      <c r="AP4499" s="2">
        <v>307.54907304475199</v>
      </c>
      <c r="AQ4499" s="2">
        <v>879.70394000999499</v>
      </c>
      <c r="AR4499" s="2">
        <v>466.14359121814999</v>
      </c>
      <c r="AS4499" s="2">
        <v>8.559877937157E-6</v>
      </c>
      <c r="AT4499" s="2">
        <v>825.36738440559395</v>
      </c>
      <c r="AU4499" s="2">
        <v>8.559877937157E-6</v>
      </c>
      <c r="AV4499" s="2">
        <v>8.559877937157E-6</v>
      </c>
      <c r="AW4499" s="2">
        <v>8.559877937157E-6</v>
      </c>
      <c r="AX4499" s="2">
        <v>8.559877937157E-6</v>
      </c>
    </row>
    <row r="4500" spans="1:50" x14ac:dyDescent="0.25">
      <c r="A4500" s="2" t="s">
        <v>29566</v>
      </c>
      <c r="B4500" s="2">
        <v>325.20217369265202</v>
      </c>
      <c r="C4500" s="2">
        <v>6.7265666666666704</v>
      </c>
      <c r="D4500" s="2" t="s">
        <v>51</v>
      </c>
      <c r="E4500" s="2" t="s">
        <v>29567</v>
      </c>
      <c r="F4500" s="2">
        <v>3465</v>
      </c>
      <c r="G4500" s="3" t="str">
        <f>HYPERLINK("https://cloud.oebiotech.com/#/lm/network/3465", "https://cloud.oebiotech.com/#/lm/network/3465")</f>
        <v>https://cloud.oebiotech.com/#/lm/network/3465</v>
      </c>
      <c r="H4500" s="2"/>
      <c r="I4500" s="2"/>
      <c r="J4500" s="2" t="s">
        <v>29568</v>
      </c>
      <c r="K4500" s="2">
        <v>126457311</v>
      </c>
      <c r="L4500" s="2"/>
      <c r="M4500" s="2"/>
      <c r="N4500" s="2"/>
      <c r="O4500" s="2"/>
      <c r="P4500" s="2"/>
      <c r="Q4500" s="2"/>
      <c r="R4500" s="2"/>
      <c r="S4500" s="2" t="s">
        <v>29569</v>
      </c>
      <c r="T4500" s="2" t="s">
        <v>29570</v>
      </c>
      <c r="U4500" s="2" t="s">
        <v>56</v>
      </c>
      <c r="V4500" s="2" t="s">
        <v>145</v>
      </c>
      <c r="W4500" s="2" t="s">
        <v>231</v>
      </c>
      <c r="X4500" s="2" t="s">
        <v>69</v>
      </c>
      <c r="Y4500" s="2">
        <v>58.7</v>
      </c>
      <c r="Z4500" s="2">
        <v>62.7</v>
      </c>
      <c r="AA4500" s="2" t="s">
        <v>379</v>
      </c>
      <c r="AB4500" s="2" t="s">
        <v>8021</v>
      </c>
      <c r="AC4500" s="2">
        <v>0.36624569417219199</v>
      </c>
      <c r="AD4500" s="2"/>
      <c r="AE4500" s="2">
        <v>8.9459377434255E-2</v>
      </c>
      <c r="AF4500" s="2">
        <v>38608.784238498898</v>
      </c>
      <c r="AG4500" s="2">
        <v>38177.623763116098</v>
      </c>
      <c r="AH4500" s="5">
        <v>1.0112935388032001</v>
      </c>
      <c r="AI4500" s="5">
        <v>1.62018157462894E-2</v>
      </c>
      <c r="AJ4500" s="5" t="s">
        <v>139</v>
      </c>
      <c r="AK4500" s="2">
        <v>0.97401458575611699</v>
      </c>
      <c r="AL4500" s="2">
        <v>0.98961987095013904</v>
      </c>
      <c r="AM4500" s="2">
        <v>30516.217611483</v>
      </c>
      <c r="AN4500" s="2">
        <v>91342.781777449301</v>
      </c>
      <c r="AO4500" s="2">
        <v>36987.549967012499</v>
      </c>
      <c r="AP4500" s="2">
        <v>23562.649171958601</v>
      </c>
      <c r="AQ4500" s="2">
        <v>24147.5120196475</v>
      </c>
      <c r="AR4500" s="2">
        <v>25095.9948834426</v>
      </c>
      <c r="AS4500" s="2">
        <v>36798.5408557552</v>
      </c>
      <c r="AT4500" s="2">
        <v>13117.2871380164</v>
      </c>
      <c r="AU4500" s="2">
        <v>61603.272479805601</v>
      </c>
      <c r="AV4500" s="2">
        <v>24507.9120875359</v>
      </c>
      <c r="AW4500" s="2">
        <v>42770.5032059492</v>
      </c>
      <c r="AX4500" s="2">
        <v>50268.226811634398</v>
      </c>
    </row>
    <row r="4501" spans="1:50" x14ac:dyDescent="0.25">
      <c r="A4501" s="2" t="s">
        <v>29571</v>
      </c>
      <c r="B4501" s="2">
        <v>159.065700296204</v>
      </c>
      <c r="C4501" s="2">
        <v>3.3068166666666698</v>
      </c>
      <c r="D4501" s="2" t="s">
        <v>51</v>
      </c>
      <c r="E4501" s="2" t="s">
        <v>29572</v>
      </c>
      <c r="F4501" s="2">
        <v>60141</v>
      </c>
      <c r="G4501" s="3" t="str">
        <f>HYPERLINK("https://cloud.oebiotech.com/#/lm/network/60141", "https://cloud.oebiotech.com/#/lm/network/60141")</f>
        <v>https://cloud.oebiotech.com/#/lm/network/60141</v>
      </c>
      <c r="H4501" s="2" t="s">
        <v>29573</v>
      </c>
      <c r="I4501" s="2">
        <v>91523</v>
      </c>
      <c r="J4501" s="2"/>
      <c r="K4501" s="2">
        <v>15114468</v>
      </c>
      <c r="L4501" s="2"/>
      <c r="M4501" s="2"/>
      <c r="N4501" s="2"/>
      <c r="O4501" s="2">
        <v>168562</v>
      </c>
      <c r="P4501" s="2"/>
      <c r="Q4501" s="2"/>
      <c r="R4501" s="2"/>
      <c r="S4501" s="2" t="s">
        <v>29574</v>
      </c>
      <c r="T4501" s="2" t="s">
        <v>29575</v>
      </c>
      <c r="U4501" s="2" t="s">
        <v>266</v>
      </c>
      <c r="V4501" s="2" t="s">
        <v>11698</v>
      </c>
      <c r="W4501" s="2" t="s">
        <v>11699</v>
      </c>
      <c r="X4501" s="2" t="s">
        <v>83</v>
      </c>
      <c r="Y4501" s="2">
        <v>47.2</v>
      </c>
      <c r="Z4501" s="2">
        <v>0</v>
      </c>
      <c r="AA4501" s="2" t="s">
        <v>259</v>
      </c>
      <c r="AB4501" s="2" t="s">
        <v>29122</v>
      </c>
      <c r="AC4501" s="2">
        <v>3.2587123781589198</v>
      </c>
      <c r="AD4501" s="2"/>
      <c r="AE4501" s="2">
        <v>8.9316781654772803E-2</v>
      </c>
      <c r="AF4501" s="2">
        <v>2184.55785151705</v>
      </c>
      <c r="AG4501" s="2">
        <v>2564.6117699940701</v>
      </c>
      <c r="AH4501" s="4">
        <v>0.85180840120767998</v>
      </c>
      <c r="AI4501" s="4">
        <v>-0.23139913593021399</v>
      </c>
      <c r="AJ4501" s="4" t="s">
        <v>62</v>
      </c>
      <c r="AK4501" s="2">
        <v>0.20450127244850999</v>
      </c>
      <c r="AL4501" s="2">
        <v>0.52937915708753103</v>
      </c>
      <c r="AM4501" s="2">
        <v>1823.43582815168</v>
      </c>
      <c r="AN4501" s="2">
        <v>2476.6008384297102</v>
      </c>
      <c r="AO4501" s="2">
        <v>2301.9492630332902</v>
      </c>
      <c r="AP4501" s="2">
        <v>2396.9089255297999</v>
      </c>
      <c r="AQ4501" s="2">
        <v>2069.60469789329</v>
      </c>
      <c r="AR4501" s="2">
        <v>2038.8475560645199</v>
      </c>
      <c r="AS4501" s="2">
        <v>2899.18403607451</v>
      </c>
      <c r="AT4501" s="2">
        <v>3583.40414701184</v>
      </c>
      <c r="AU4501" s="2">
        <v>1828.18904763264</v>
      </c>
      <c r="AV4501" s="2">
        <v>2041.4333314646699</v>
      </c>
      <c r="AW4501" s="2">
        <v>2327.32940584371</v>
      </c>
      <c r="AX4501" s="2">
        <v>2708.1306519370601</v>
      </c>
    </row>
    <row r="4502" spans="1:50" x14ac:dyDescent="0.25">
      <c r="A4502" s="2" t="s">
        <v>29576</v>
      </c>
      <c r="B4502" s="2">
        <v>248.129083517689</v>
      </c>
      <c r="C4502" s="2">
        <v>6.1879499999999998</v>
      </c>
      <c r="D4502" s="2" t="s">
        <v>51</v>
      </c>
      <c r="E4502" s="2" t="s">
        <v>29577</v>
      </c>
      <c r="F4502" s="2">
        <v>57438</v>
      </c>
      <c r="G4502" s="3" t="str">
        <f>HYPERLINK("https://cloud.oebiotech.com/#/lm/network/57438", "https://cloud.oebiotech.com/#/lm/network/57438")</f>
        <v>https://cloud.oebiotech.com/#/lm/network/57438</v>
      </c>
      <c r="H4502" s="2" t="s">
        <v>29578</v>
      </c>
      <c r="I4502" s="2">
        <v>89060</v>
      </c>
      <c r="J4502" s="2"/>
      <c r="K4502" s="2">
        <v>100930994</v>
      </c>
      <c r="L4502" s="2"/>
      <c r="M4502" s="2"/>
      <c r="N4502" s="2"/>
      <c r="O4502" s="2">
        <v>174182</v>
      </c>
      <c r="P4502" s="2"/>
      <c r="Q4502" s="2"/>
      <c r="R4502" s="2"/>
      <c r="S4502" s="2" t="s">
        <v>29579</v>
      </c>
      <c r="T4502" s="2" t="s">
        <v>29580</v>
      </c>
      <c r="U4502" s="2" t="s">
        <v>331</v>
      </c>
      <c r="V4502" s="2" t="s">
        <v>332</v>
      </c>
      <c r="W4502" s="2" t="s">
        <v>511</v>
      </c>
      <c r="X4502" s="2" t="s">
        <v>147</v>
      </c>
      <c r="Y4502" s="2">
        <v>40.1</v>
      </c>
      <c r="Z4502" s="2">
        <v>8.84</v>
      </c>
      <c r="AA4502" s="2" t="s">
        <v>512</v>
      </c>
      <c r="AB4502" s="2" t="s">
        <v>29581</v>
      </c>
      <c r="AC4502" s="2">
        <v>4.1881961138129</v>
      </c>
      <c r="AD4502" s="2"/>
      <c r="AE4502" s="2">
        <v>8.9270147316033402E-2</v>
      </c>
      <c r="AF4502" s="2">
        <v>1321.0465632289399</v>
      </c>
      <c r="AG4502" s="2">
        <v>1794.48200417053</v>
      </c>
      <c r="AH4502" s="4">
        <v>0.73617153036849203</v>
      </c>
      <c r="AI4502" s="4">
        <v>-0.44188613678503103</v>
      </c>
      <c r="AJ4502" s="4" t="s">
        <v>62</v>
      </c>
      <c r="AK4502" s="2">
        <v>0.57586929540598397</v>
      </c>
      <c r="AL4502" s="2">
        <v>0.78614302295362803</v>
      </c>
      <c r="AM4502" s="2">
        <v>913.68936918228405</v>
      </c>
      <c r="AN4502" s="2">
        <v>1177.76856144879</v>
      </c>
      <c r="AO4502" s="2">
        <v>546.26826515217601</v>
      </c>
      <c r="AP4502" s="2">
        <v>8.559877937157E-6</v>
      </c>
      <c r="AQ4502" s="2">
        <v>793.04530577995195</v>
      </c>
      <c r="AR4502" s="2">
        <v>4495.5078692505504</v>
      </c>
      <c r="AS4502" s="2">
        <v>3293.6407824745802</v>
      </c>
      <c r="AT4502" s="2">
        <v>1111.03565328233</v>
      </c>
      <c r="AU4502" s="2">
        <v>979.94570490435399</v>
      </c>
      <c r="AV4502" s="2">
        <v>267.98836062621302</v>
      </c>
      <c r="AW4502" s="2">
        <v>2974.7753884624199</v>
      </c>
      <c r="AX4502" s="2">
        <v>2139.5061352732901</v>
      </c>
    </row>
    <row r="4503" spans="1:50" x14ac:dyDescent="0.25">
      <c r="A4503" s="2" t="s">
        <v>29582</v>
      </c>
      <c r="B4503" s="2">
        <v>393.22455370671202</v>
      </c>
      <c r="C4503" s="2">
        <v>4.5660166666666697</v>
      </c>
      <c r="D4503" s="2" t="s">
        <v>51</v>
      </c>
      <c r="E4503" s="2" t="s">
        <v>29583</v>
      </c>
      <c r="F4503" s="2">
        <v>259465</v>
      </c>
      <c r="G4503" s="3" t="str">
        <f>HYPERLINK("https://cloud.oebiotech.com/#/lm/network/259465", "https://cloud.oebiotech.com/#/lm/network/259465")</f>
        <v>https://cloud.oebiotech.com/#/lm/network/259465</v>
      </c>
      <c r="H4503" s="2"/>
      <c r="I4503" s="2">
        <v>16674</v>
      </c>
      <c r="J4503" s="2"/>
      <c r="K4503" s="2">
        <v>57340169</v>
      </c>
      <c r="L4503" s="2"/>
      <c r="M4503" s="2"/>
      <c r="N4503" s="2"/>
      <c r="O4503" s="2"/>
      <c r="P4503" s="2"/>
      <c r="Q4503" s="2"/>
      <c r="R4503" s="2"/>
      <c r="S4503" s="2" t="s">
        <v>29584</v>
      </c>
      <c r="T4503" s="2" t="s">
        <v>29585</v>
      </c>
      <c r="U4503" s="2" t="s">
        <v>103</v>
      </c>
      <c r="V4503" s="2" t="s">
        <v>104</v>
      </c>
      <c r="W4503" s="2" t="s">
        <v>105</v>
      </c>
      <c r="X4503" s="2" t="s">
        <v>83</v>
      </c>
      <c r="Y4503" s="2">
        <v>47.2</v>
      </c>
      <c r="Z4503" s="2">
        <v>0</v>
      </c>
      <c r="AA4503" s="2" t="s">
        <v>122</v>
      </c>
      <c r="AB4503" s="2" t="s">
        <v>27046</v>
      </c>
      <c r="AC4503" s="2">
        <v>-4.6220187452661401</v>
      </c>
      <c r="AD4503" s="2"/>
      <c r="AE4503" s="2">
        <v>8.9264909562260894E-2</v>
      </c>
      <c r="AF4503" s="2">
        <v>3382.78150369276</v>
      </c>
      <c r="AG4503" s="2">
        <v>3912.8761394983599</v>
      </c>
      <c r="AH4503" s="4">
        <v>0.86452557737399904</v>
      </c>
      <c r="AI4503" s="4">
        <v>-0.21001944761348301</v>
      </c>
      <c r="AJ4503" s="4" t="s">
        <v>62</v>
      </c>
      <c r="AK4503" s="2">
        <v>0.84119551993998298</v>
      </c>
      <c r="AL4503" s="2">
        <v>0.92963204272259004</v>
      </c>
      <c r="AM4503" s="2">
        <v>23.638883753623801</v>
      </c>
      <c r="AN4503" s="2">
        <v>2843.7644174571901</v>
      </c>
      <c r="AO4503" s="2">
        <v>3786.8162508381802</v>
      </c>
      <c r="AP4503" s="2">
        <v>830.95592427359304</v>
      </c>
      <c r="AQ4503" s="2">
        <v>4164.5851041405103</v>
      </c>
      <c r="AR4503" s="2">
        <v>8646.9284416934806</v>
      </c>
      <c r="AS4503" s="2">
        <v>276.88084308645</v>
      </c>
      <c r="AT4503" s="2">
        <v>1240.5432133105201</v>
      </c>
      <c r="AU4503" s="2">
        <v>3187.5394659213698</v>
      </c>
      <c r="AV4503" s="2">
        <v>15018.760217929799</v>
      </c>
      <c r="AW4503" s="2">
        <v>1523.1826990316499</v>
      </c>
      <c r="AX4503" s="2">
        <v>2230.3503977103501</v>
      </c>
    </row>
    <row r="4504" spans="1:50" x14ac:dyDescent="0.25">
      <c r="A4504" s="2" t="s">
        <v>29586</v>
      </c>
      <c r="B4504" s="2">
        <v>453.30301325339599</v>
      </c>
      <c r="C4504" s="2">
        <v>12.91235</v>
      </c>
      <c r="D4504" s="2" t="s">
        <v>51</v>
      </c>
      <c r="E4504" s="2" t="s">
        <v>29587</v>
      </c>
      <c r="F4504" s="2">
        <v>44166</v>
      </c>
      <c r="G4504" s="3" t="str">
        <f>HYPERLINK("https://cloud.oebiotech.com/#/lm/network/44166", "https://cloud.oebiotech.com/#/lm/network/44166")</f>
        <v>https://cloud.oebiotech.com/#/lm/network/44166</v>
      </c>
      <c r="H4504" s="2"/>
      <c r="I4504" s="2"/>
      <c r="J4504" s="2" t="s">
        <v>29588</v>
      </c>
      <c r="K4504" s="2">
        <v>46232649</v>
      </c>
      <c r="L4504" s="2"/>
      <c r="M4504" s="2"/>
      <c r="N4504" s="2"/>
      <c r="O4504" s="2"/>
      <c r="P4504" s="2"/>
      <c r="Q4504" s="2"/>
      <c r="R4504" s="2"/>
      <c r="S4504" s="2" t="s">
        <v>29589</v>
      </c>
      <c r="T4504" s="2" t="s">
        <v>29590</v>
      </c>
      <c r="U4504" s="2" t="s">
        <v>56</v>
      </c>
      <c r="V4504" s="2" t="s">
        <v>283</v>
      </c>
      <c r="W4504" s="2" t="s">
        <v>1215</v>
      </c>
      <c r="X4504" s="2" t="s">
        <v>147</v>
      </c>
      <c r="Y4504" s="2">
        <v>36</v>
      </c>
      <c r="Z4504" s="2">
        <v>0</v>
      </c>
      <c r="AA4504" s="2" t="s">
        <v>218</v>
      </c>
      <c r="AB4504" s="2" t="s">
        <v>29591</v>
      </c>
      <c r="AC4504" s="2">
        <v>4.8490025734438502</v>
      </c>
      <c r="AD4504" s="2"/>
      <c r="AE4504" s="2">
        <v>8.91850974607378E-2</v>
      </c>
      <c r="AF4504" s="2">
        <v>2567.4590287943302</v>
      </c>
      <c r="AG4504" s="2">
        <v>3674.7251569185501</v>
      </c>
      <c r="AH4504" s="4">
        <v>0.69868055954075303</v>
      </c>
      <c r="AI4504" s="4">
        <v>-0.51729509637259596</v>
      </c>
      <c r="AJ4504" s="4" t="s">
        <v>62</v>
      </c>
      <c r="AK4504" s="2">
        <v>0.29551996539370901</v>
      </c>
      <c r="AL4504" s="2">
        <v>0.60778876168892604</v>
      </c>
      <c r="AM4504" s="2">
        <v>4376.10054499541</v>
      </c>
      <c r="AN4504" s="2">
        <v>1782.6702724363599</v>
      </c>
      <c r="AO4504" s="2">
        <v>1371.0451098420201</v>
      </c>
      <c r="AP4504" s="2">
        <v>1510.1674864914</v>
      </c>
      <c r="AQ4504" s="2">
        <v>3545.3316983968198</v>
      </c>
      <c r="AR4504" s="2">
        <v>2819.4390606039901</v>
      </c>
      <c r="AS4504" s="2">
        <v>2301.2939145973401</v>
      </c>
      <c r="AT4504" s="2">
        <v>4214.88567290435</v>
      </c>
      <c r="AU4504" s="2">
        <v>7758.6672829116296</v>
      </c>
      <c r="AV4504" s="2">
        <v>2606.9004833960198</v>
      </c>
      <c r="AW4504" s="2">
        <v>3002.6308519376798</v>
      </c>
      <c r="AX4504" s="2">
        <v>2163.9727357642601</v>
      </c>
    </row>
    <row r="4505" spans="1:50" x14ac:dyDescent="0.25">
      <c r="A4505" s="2" t="s">
        <v>29592</v>
      </c>
      <c r="B4505" s="2">
        <v>738.45027635261397</v>
      </c>
      <c r="C4505" s="2">
        <v>5.2022000000000004</v>
      </c>
      <c r="D4505" s="2" t="s">
        <v>51</v>
      </c>
      <c r="E4505" s="2" t="s">
        <v>29593</v>
      </c>
      <c r="F4505" s="2">
        <v>20347</v>
      </c>
      <c r="G4505" s="3" t="str">
        <f>HYPERLINK("https://cloud.oebiotech.com/#/lm/network/20347", "https://cloud.oebiotech.com/#/lm/network/20347")</f>
        <v>https://cloud.oebiotech.com/#/lm/network/20347</v>
      </c>
      <c r="H4505" s="2"/>
      <c r="I4505" s="2">
        <v>76893</v>
      </c>
      <c r="J4505" s="2" t="s">
        <v>29594</v>
      </c>
      <c r="K4505" s="2">
        <v>52924359</v>
      </c>
      <c r="L4505" s="2"/>
      <c r="M4505" s="2"/>
      <c r="N4505" s="2"/>
      <c r="O4505" s="2"/>
      <c r="P4505" s="2"/>
      <c r="Q4505" s="2"/>
      <c r="R4505" s="2"/>
      <c r="S4505" s="2" t="s">
        <v>29595</v>
      </c>
      <c r="T4505" s="2" t="s">
        <v>29596</v>
      </c>
      <c r="U4505" s="2" t="s">
        <v>56</v>
      </c>
      <c r="V4505" s="2" t="s">
        <v>57</v>
      </c>
      <c r="W4505" s="2" t="s">
        <v>155</v>
      </c>
      <c r="X4505" s="2" t="s">
        <v>147</v>
      </c>
      <c r="Y4505" s="2">
        <v>38.9</v>
      </c>
      <c r="Z4505" s="2">
        <v>13.9</v>
      </c>
      <c r="AA4505" s="2" t="s">
        <v>395</v>
      </c>
      <c r="AB4505" s="2" t="s">
        <v>29597</v>
      </c>
      <c r="AC4505" s="2">
        <v>4.59401054433126</v>
      </c>
      <c r="AD4505" s="2"/>
      <c r="AE4505" s="2">
        <v>8.8880338633448602E-2</v>
      </c>
      <c r="AF4505" s="2">
        <v>2128.8148626940001</v>
      </c>
      <c r="AG4505" s="2">
        <v>4106.9663773318398</v>
      </c>
      <c r="AH4505" s="4">
        <v>0.51834241313585305</v>
      </c>
      <c r="AI4505" s="4">
        <v>-0.94802264845916395</v>
      </c>
      <c r="AJ4505" s="4" t="s">
        <v>62</v>
      </c>
      <c r="AK4505" s="2">
        <v>0.64960849046684799</v>
      </c>
      <c r="AL4505" s="2">
        <v>0.82993880092568895</v>
      </c>
      <c r="AM4505" s="2">
        <v>8.559877937157E-6</v>
      </c>
      <c r="AN4505" s="2">
        <v>230.864745623358</v>
      </c>
      <c r="AO4505" s="2">
        <v>8.559877937157E-6</v>
      </c>
      <c r="AP4505" s="2">
        <v>9023.1986331394401</v>
      </c>
      <c r="AQ4505" s="2">
        <v>3140.7235386703601</v>
      </c>
      <c r="AR4505" s="2">
        <v>378.10224161108698</v>
      </c>
      <c r="AS4505" s="2">
        <v>8.559877937157E-6</v>
      </c>
      <c r="AT4505" s="2">
        <v>23915.205313691698</v>
      </c>
      <c r="AU4505" s="2">
        <v>344.10187326269897</v>
      </c>
      <c r="AV4505" s="2">
        <v>382.49105135703201</v>
      </c>
      <c r="AW4505" s="2">
        <v>8.559877937157E-6</v>
      </c>
      <c r="AX4505" s="2">
        <v>8.559877937157E-6</v>
      </c>
    </row>
    <row r="4506" spans="1:50" x14ac:dyDescent="0.25">
      <c r="A4506" s="2" t="s">
        <v>29598</v>
      </c>
      <c r="B4506" s="2">
        <v>133.04953206753299</v>
      </c>
      <c r="C4506" s="2">
        <v>1.3311999999999999</v>
      </c>
      <c r="D4506" s="2" t="s">
        <v>51</v>
      </c>
      <c r="E4506" s="2" t="s">
        <v>29599</v>
      </c>
      <c r="F4506" s="2">
        <v>202097</v>
      </c>
      <c r="G4506" s="3" t="str">
        <f>HYPERLINK("https://cloud.oebiotech.com/#/lm/network/202097", "https://cloud.oebiotech.com/#/lm/network/202097")</f>
        <v>https://cloud.oebiotech.com/#/lm/network/202097</v>
      </c>
      <c r="H4506" s="2" t="s">
        <v>29600</v>
      </c>
      <c r="I4506" s="2"/>
      <c r="J4506" s="2"/>
      <c r="K4506" s="2">
        <v>13420529</v>
      </c>
      <c r="L4506" s="2"/>
      <c r="M4506" s="2"/>
      <c r="N4506" s="2"/>
      <c r="O4506" s="2"/>
      <c r="P4506" s="2"/>
      <c r="Q4506" s="2"/>
      <c r="R4506" s="2"/>
      <c r="S4506" s="2" t="s">
        <v>29601</v>
      </c>
      <c r="T4506" s="2" t="s">
        <v>29602</v>
      </c>
      <c r="U4506" s="2" t="s">
        <v>331</v>
      </c>
      <c r="V4506" s="2" t="s">
        <v>332</v>
      </c>
      <c r="W4506" s="2" t="s">
        <v>333</v>
      </c>
      <c r="X4506" s="2" t="s">
        <v>83</v>
      </c>
      <c r="Y4506" s="2">
        <v>38.6</v>
      </c>
      <c r="Z4506" s="2">
        <v>0</v>
      </c>
      <c r="AA4506" s="2" t="s">
        <v>163</v>
      </c>
      <c r="AB4506" s="2" t="s">
        <v>29603</v>
      </c>
      <c r="AC4506" s="2">
        <v>-8.2076426286907491</v>
      </c>
      <c r="AD4506" s="2"/>
      <c r="AE4506" s="2">
        <v>8.8775847841114003E-2</v>
      </c>
      <c r="AF4506" s="2">
        <v>909.71776479222297</v>
      </c>
      <c r="AG4506" s="2">
        <v>636.411129894498</v>
      </c>
      <c r="AH4506" s="5">
        <v>1.4294498038446199</v>
      </c>
      <c r="AI4506" s="5">
        <v>0.51545995958711099</v>
      </c>
      <c r="AJ4506" s="5" t="s">
        <v>139</v>
      </c>
      <c r="AK4506" s="2">
        <v>0.18292495696261499</v>
      </c>
      <c r="AL4506" s="2">
        <v>0.50559844948186605</v>
      </c>
      <c r="AM4506" s="2">
        <v>1529.1800622518599</v>
      </c>
      <c r="AN4506" s="2">
        <v>905.26486784774397</v>
      </c>
      <c r="AO4506" s="2">
        <v>366.01435749546698</v>
      </c>
      <c r="AP4506" s="2">
        <v>795.05080065905395</v>
      </c>
      <c r="AQ4506" s="2">
        <v>1136.62108020961</v>
      </c>
      <c r="AR4506" s="2">
        <v>726.17542028960099</v>
      </c>
      <c r="AS4506" s="2">
        <v>933.50095357372004</v>
      </c>
      <c r="AT4506" s="2">
        <v>483.34315934475597</v>
      </c>
      <c r="AU4506" s="2">
        <v>667.64261874005797</v>
      </c>
      <c r="AV4506" s="2">
        <v>381.16565276201101</v>
      </c>
      <c r="AW4506" s="2">
        <v>936.77803827845003</v>
      </c>
      <c r="AX4506" s="2">
        <v>416.03635666799602</v>
      </c>
    </row>
    <row r="4507" spans="1:50" x14ac:dyDescent="0.25">
      <c r="A4507" s="2" t="s">
        <v>29604</v>
      </c>
      <c r="B4507" s="2">
        <v>334.12537013176899</v>
      </c>
      <c r="C4507" s="2">
        <v>0.73424999999999996</v>
      </c>
      <c r="D4507" s="2" t="s">
        <v>51</v>
      </c>
      <c r="E4507" s="2" t="s">
        <v>29605</v>
      </c>
      <c r="F4507" s="2">
        <v>259833</v>
      </c>
      <c r="G4507" s="3" t="str">
        <f>HYPERLINK("https://cloud.oebiotech.com/#/lm/network/259833", "https://cloud.oebiotech.com/#/lm/network/259833")</f>
        <v>https://cloud.oebiotech.com/#/lm/network/259833</v>
      </c>
      <c r="H4507" s="2"/>
      <c r="I4507" s="2">
        <v>17056</v>
      </c>
      <c r="J4507" s="2"/>
      <c r="K4507" s="2">
        <v>145454419</v>
      </c>
      <c r="L4507" s="2"/>
      <c r="M4507" s="2"/>
      <c r="N4507" s="2"/>
      <c r="O4507" s="2"/>
      <c r="P4507" s="2"/>
      <c r="Q4507" s="2"/>
      <c r="R4507" s="2"/>
      <c r="S4507" s="2" t="s">
        <v>29606</v>
      </c>
      <c r="T4507" s="2" t="s">
        <v>29607</v>
      </c>
      <c r="U4507" s="2" t="s">
        <v>103</v>
      </c>
      <c r="V4507" s="2" t="s">
        <v>104</v>
      </c>
      <c r="W4507" s="2" t="s">
        <v>105</v>
      </c>
      <c r="X4507" s="2" t="s">
        <v>69</v>
      </c>
      <c r="Y4507" s="2">
        <v>50.7</v>
      </c>
      <c r="Z4507" s="2">
        <v>69.8</v>
      </c>
      <c r="AA4507" s="2" t="s">
        <v>259</v>
      </c>
      <c r="AB4507" s="2" t="s">
        <v>29608</v>
      </c>
      <c r="AC4507" s="2">
        <v>2.6390697351980701</v>
      </c>
      <c r="AD4507" s="2"/>
      <c r="AE4507" s="2">
        <v>8.8713772756271597E-2</v>
      </c>
      <c r="AF4507" s="2">
        <v>4347.4006028221902</v>
      </c>
      <c r="AG4507" s="2">
        <v>4110.8076223184898</v>
      </c>
      <c r="AH4507" s="5">
        <v>1.0575538926266399</v>
      </c>
      <c r="AI4507" s="5">
        <v>8.0731184521668803E-2</v>
      </c>
      <c r="AJ4507" s="5" t="s">
        <v>139</v>
      </c>
      <c r="AK4507" s="2">
        <v>0.85170612179521199</v>
      </c>
      <c r="AL4507" s="2">
        <v>0.93439301556015897</v>
      </c>
      <c r="AM4507" s="2">
        <v>6962.5298543338104</v>
      </c>
      <c r="AN4507" s="2">
        <v>6670.4737236650399</v>
      </c>
      <c r="AO4507" s="2">
        <v>1441.4207197221001</v>
      </c>
      <c r="AP4507" s="2">
        <v>4422.9457520631604</v>
      </c>
      <c r="AQ4507" s="2">
        <v>3245.30069810534</v>
      </c>
      <c r="AR4507" s="2">
        <v>3341.7328690436798</v>
      </c>
      <c r="AS4507" s="2">
        <v>2621.3071028692402</v>
      </c>
      <c r="AT4507" s="2">
        <v>4769.4278474911698</v>
      </c>
      <c r="AU4507" s="2">
        <v>7009.6013757099799</v>
      </c>
      <c r="AV4507" s="2">
        <v>2684.0697943973601</v>
      </c>
      <c r="AW4507" s="2">
        <v>1619.9063901182701</v>
      </c>
      <c r="AX4507" s="2">
        <v>5960.5332233249101</v>
      </c>
    </row>
    <row r="4508" spans="1:50" x14ac:dyDescent="0.25">
      <c r="A4508" s="2" t="s">
        <v>29609</v>
      </c>
      <c r="B4508" s="2">
        <v>219.13852749884899</v>
      </c>
      <c r="C4508" s="2">
        <v>10.74095</v>
      </c>
      <c r="D4508" s="2" t="s">
        <v>51</v>
      </c>
      <c r="E4508" s="2" t="s">
        <v>29610</v>
      </c>
      <c r="F4508" s="2">
        <v>63478</v>
      </c>
      <c r="G4508" s="3" t="str">
        <f>HYPERLINK("https://cloud.oebiotech.com/#/lm/network/63478", "https://cloud.oebiotech.com/#/lm/network/63478")</f>
        <v>https://cloud.oebiotech.com/#/lm/network/63478</v>
      </c>
      <c r="H4508" s="2" t="s">
        <v>29611</v>
      </c>
      <c r="I4508" s="2">
        <v>94803</v>
      </c>
      <c r="J4508" s="2"/>
      <c r="K4508" s="2">
        <v>12200728</v>
      </c>
      <c r="L4508" s="2"/>
      <c r="M4508" s="2"/>
      <c r="N4508" s="2"/>
      <c r="O4508" s="2"/>
      <c r="P4508" s="2"/>
      <c r="Q4508" s="2"/>
      <c r="R4508" s="2" t="s">
        <v>29612</v>
      </c>
      <c r="S4508" s="2" t="s">
        <v>29613</v>
      </c>
      <c r="T4508" s="2" t="s">
        <v>29614</v>
      </c>
      <c r="U4508" s="2" t="s">
        <v>266</v>
      </c>
      <c r="V4508" s="2" t="s">
        <v>7754</v>
      </c>
      <c r="W4508" s="2" t="s">
        <v>240</v>
      </c>
      <c r="X4508" s="2" t="s">
        <v>147</v>
      </c>
      <c r="Y4508" s="2">
        <v>38.9</v>
      </c>
      <c r="Z4508" s="2">
        <v>0</v>
      </c>
      <c r="AA4508" s="2" t="s">
        <v>478</v>
      </c>
      <c r="AB4508" s="2" t="s">
        <v>29615</v>
      </c>
      <c r="AC4508" s="2">
        <v>-2.38909125081855</v>
      </c>
      <c r="AD4508" s="2"/>
      <c r="AE4508" s="2">
        <v>8.8693186973204302E-2</v>
      </c>
      <c r="AF4508" s="2">
        <v>1005.68686179835</v>
      </c>
      <c r="AG4508" s="2">
        <v>687.70808512181395</v>
      </c>
      <c r="AH4508" s="5">
        <v>1.46237463766362</v>
      </c>
      <c r="AI4508" s="5">
        <v>0.54831295469747499</v>
      </c>
      <c r="AJ4508" s="5" t="s">
        <v>139</v>
      </c>
      <c r="AK4508" s="2">
        <v>9.4414238108019799E-2</v>
      </c>
      <c r="AL4508" s="2">
        <v>0.395022784811356</v>
      </c>
      <c r="AM4508" s="2">
        <v>738.77718310661498</v>
      </c>
      <c r="AN4508" s="2">
        <v>946.28491209070899</v>
      </c>
      <c r="AO4508" s="2">
        <v>1016.82258271699</v>
      </c>
      <c r="AP4508" s="2">
        <v>579.91321599487605</v>
      </c>
      <c r="AQ4508" s="2">
        <v>1629.04203036987</v>
      </c>
      <c r="AR4508" s="2">
        <v>1123.2812465110601</v>
      </c>
      <c r="AS4508" s="2">
        <v>792.44338658486197</v>
      </c>
      <c r="AT4508" s="2">
        <v>462.49207322306597</v>
      </c>
      <c r="AU4508" s="2">
        <v>911.66817013395701</v>
      </c>
      <c r="AV4508" s="2">
        <v>744.12303219825696</v>
      </c>
      <c r="AW4508" s="2">
        <v>833.80111273864998</v>
      </c>
      <c r="AX4508" s="2">
        <v>381.72073585209398</v>
      </c>
    </row>
    <row r="4509" spans="1:50" x14ac:dyDescent="0.25">
      <c r="A4509" s="2" t="s">
        <v>29616</v>
      </c>
      <c r="B4509" s="2">
        <v>389.23139955014898</v>
      </c>
      <c r="C4509" s="2">
        <v>11.068</v>
      </c>
      <c r="D4509" s="2" t="s">
        <v>51</v>
      </c>
      <c r="E4509" s="2" t="s">
        <v>29617</v>
      </c>
      <c r="F4509" s="2">
        <v>213638</v>
      </c>
      <c r="G4509" s="3" t="str">
        <f>HYPERLINK("https://cloud.oebiotech.com/#/lm/network/213638", "https://cloud.oebiotech.com/#/lm/network/213638")</f>
        <v>https://cloud.oebiotech.com/#/lm/network/213638</v>
      </c>
      <c r="H4509" s="2" t="s">
        <v>29618</v>
      </c>
      <c r="I4509" s="2"/>
      <c r="J4509" s="2"/>
      <c r="K4509" s="2"/>
      <c r="L4509" s="2"/>
      <c r="M4509" s="2"/>
      <c r="N4509" s="2"/>
      <c r="O4509" s="2"/>
      <c r="P4509" s="2"/>
      <c r="Q4509" s="2"/>
      <c r="R4509" s="2"/>
      <c r="S4509" s="2" t="s">
        <v>29619</v>
      </c>
      <c r="T4509" s="2" t="s">
        <v>29620</v>
      </c>
      <c r="U4509" s="2" t="s">
        <v>56</v>
      </c>
      <c r="V4509" s="2" t="s">
        <v>145</v>
      </c>
      <c r="W4509" s="2" t="s">
        <v>187</v>
      </c>
      <c r="X4509" s="2" t="s">
        <v>147</v>
      </c>
      <c r="Y4509" s="2">
        <v>41</v>
      </c>
      <c r="Z4509" s="2">
        <v>19.3</v>
      </c>
      <c r="AA4509" s="2" t="s">
        <v>298</v>
      </c>
      <c r="AB4509" s="2" t="s">
        <v>29621</v>
      </c>
      <c r="AC4509" s="2">
        <v>-4.7720662768450097</v>
      </c>
      <c r="AD4509" s="2"/>
      <c r="AE4509" s="2">
        <v>8.8658956997538202E-2</v>
      </c>
      <c r="AF4509" s="2">
        <v>82102.877013722202</v>
      </c>
      <c r="AG4509" s="2">
        <v>86573.034479823298</v>
      </c>
      <c r="AH4509" s="4">
        <v>0.94836547554373996</v>
      </c>
      <c r="AI4509" s="4">
        <v>-7.6484951224377901E-2</v>
      </c>
      <c r="AJ4509" s="4" t="s">
        <v>62</v>
      </c>
      <c r="AK4509" s="2">
        <v>0.818900258651724</v>
      </c>
      <c r="AL4509" s="2">
        <v>0.920971933247829</v>
      </c>
      <c r="AM4509" s="2">
        <v>129438.293253746</v>
      </c>
      <c r="AN4509" s="2">
        <v>71553.9900468735</v>
      </c>
      <c r="AO4509" s="2">
        <v>53911.526021827602</v>
      </c>
      <c r="AP4509" s="2">
        <v>58370.466812439197</v>
      </c>
      <c r="AQ4509" s="2">
        <v>97048.889557799397</v>
      </c>
      <c r="AR4509" s="2">
        <v>82294.096389647806</v>
      </c>
      <c r="AS4509" s="2">
        <v>44664.229442929798</v>
      </c>
      <c r="AT4509" s="2">
        <v>35920.074171071203</v>
      </c>
      <c r="AU4509" s="2">
        <v>107751.66589658801</v>
      </c>
      <c r="AV4509" s="2">
        <v>125315.992697567</v>
      </c>
      <c r="AW4509" s="2">
        <v>110349.880647346</v>
      </c>
      <c r="AX4509" s="2">
        <v>95436.364023437796</v>
      </c>
    </row>
    <row r="4510" spans="1:50" x14ac:dyDescent="0.25">
      <c r="A4510" s="2" t="s">
        <v>29622</v>
      </c>
      <c r="B4510" s="2">
        <v>142.122960652259</v>
      </c>
      <c r="C4510" s="2">
        <v>11.880366666666699</v>
      </c>
      <c r="D4510" s="2" t="s">
        <v>51</v>
      </c>
      <c r="E4510" s="2" t="s">
        <v>29623</v>
      </c>
      <c r="F4510" s="2">
        <v>63455</v>
      </c>
      <c r="G4510" s="3" t="str">
        <f>HYPERLINK("https://cloud.oebiotech.com/#/lm/network/63455", "https://cloud.oebiotech.com/#/lm/network/63455")</f>
        <v>https://cloud.oebiotech.com/#/lm/network/63455</v>
      </c>
      <c r="H4510" s="2" t="s">
        <v>29624</v>
      </c>
      <c r="I4510" s="2">
        <v>94777</v>
      </c>
      <c r="J4510" s="2"/>
      <c r="K4510" s="2">
        <v>32240</v>
      </c>
      <c r="L4510" s="2"/>
      <c r="M4510" s="2"/>
      <c r="N4510" s="2"/>
      <c r="O4510" s="2"/>
      <c r="P4510" s="2"/>
      <c r="Q4510" s="2"/>
      <c r="R4510" s="2" t="s">
        <v>29625</v>
      </c>
      <c r="S4510" s="2" t="s">
        <v>29626</v>
      </c>
      <c r="T4510" s="2" t="s">
        <v>29627</v>
      </c>
      <c r="U4510" s="2" t="s">
        <v>331</v>
      </c>
      <c r="V4510" s="2" t="s">
        <v>332</v>
      </c>
      <c r="W4510" s="2" t="s">
        <v>1207</v>
      </c>
      <c r="X4510" s="2" t="s">
        <v>147</v>
      </c>
      <c r="Y4510" s="2">
        <v>38.4</v>
      </c>
      <c r="Z4510" s="2">
        <v>0</v>
      </c>
      <c r="AA4510" s="2" t="s">
        <v>512</v>
      </c>
      <c r="AB4510" s="2" t="s">
        <v>23849</v>
      </c>
      <c r="AC4510" s="2">
        <v>2.5797478961648501</v>
      </c>
      <c r="AD4510" s="2"/>
      <c r="AE4510" s="2">
        <v>8.8520013105704898E-2</v>
      </c>
      <c r="AF4510" s="2">
        <v>4870.6456588453202</v>
      </c>
      <c r="AG4510" s="2">
        <v>3843.5913442691099</v>
      </c>
      <c r="AH4510" s="5">
        <v>1.2672121520170401</v>
      </c>
      <c r="AI4510" s="5">
        <v>0.34165807541862098</v>
      </c>
      <c r="AJ4510" s="5" t="s">
        <v>139</v>
      </c>
      <c r="AK4510" s="2">
        <v>0.76635414302565097</v>
      </c>
      <c r="AL4510" s="2">
        <v>0.89413650924854104</v>
      </c>
      <c r="AM4510" s="2">
        <v>717.86530207698002</v>
      </c>
      <c r="AN4510" s="2">
        <v>603.70948606313198</v>
      </c>
      <c r="AO4510" s="2">
        <v>13868.1187311508</v>
      </c>
      <c r="AP4510" s="2">
        <v>603.70464717560105</v>
      </c>
      <c r="AQ4510" s="2">
        <v>12498.815571872299</v>
      </c>
      <c r="AR4510" s="2">
        <v>931.66021473312298</v>
      </c>
      <c r="AS4510" s="2">
        <v>7090.3216917108703</v>
      </c>
      <c r="AT4510" s="2">
        <v>513.61197239323496</v>
      </c>
      <c r="AU4510" s="2">
        <v>12916.048812507401</v>
      </c>
      <c r="AV4510" s="2">
        <v>494.592305154597</v>
      </c>
      <c r="AW4510" s="2">
        <v>1042.27355603606</v>
      </c>
      <c r="AX4510" s="2">
        <v>1004.69972781251</v>
      </c>
    </row>
    <row r="4511" spans="1:50" x14ac:dyDescent="0.25">
      <c r="A4511" s="2" t="s">
        <v>29628</v>
      </c>
      <c r="B4511" s="2">
        <v>515.37423990259595</v>
      </c>
      <c r="C4511" s="2">
        <v>12.708216666666701</v>
      </c>
      <c r="D4511" s="2" t="s">
        <v>51</v>
      </c>
      <c r="E4511" s="2" t="s">
        <v>29629</v>
      </c>
      <c r="F4511" s="2">
        <v>55317</v>
      </c>
      <c r="G4511" s="3" t="str">
        <f>HYPERLINK("https://cloud.oebiotech.com/#/lm/network/55317", "https://cloud.oebiotech.com/#/lm/network/55317")</f>
        <v>https://cloud.oebiotech.com/#/lm/network/55317</v>
      </c>
      <c r="H4511" s="2" t="s">
        <v>29630</v>
      </c>
      <c r="I4511" s="2">
        <v>87031</v>
      </c>
      <c r="J4511" s="2"/>
      <c r="K4511" s="2">
        <v>131751041</v>
      </c>
      <c r="L4511" s="2"/>
      <c r="M4511" s="2"/>
      <c r="N4511" s="2"/>
      <c r="O4511" s="2">
        <v>175690</v>
      </c>
      <c r="P4511" s="2"/>
      <c r="Q4511" s="2"/>
      <c r="R4511" s="2"/>
      <c r="S4511" s="2" t="s">
        <v>29631</v>
      </c>
      <c r="T4511" s="2" t="s">
        <v>29632</v>
      </c>
      <c r="U4511" s="2" t="s">
        <v>56</v>
      </c>
      <c r="V4511" s="2" t="s">
        <v>177</v>
      </c>
      <c r="W4511" s="2" t="s">
        <v>3270</v>
      </c>
      <c r="X4511" s="2" t="s">
        <v>83</v>
      </c>
      <c r="Y4511" s="2">
        <v>44</v>
      </c>
      <c r="Z4511" s="2">
        <v>0</v>
      </c>
      <c r="AA4511" s="2" t="s">
        <v>218</v>
      </c>
      <c r="AB4511" s="2" t="s">
        <v>15169</v>
      </c>
      <c r="AC4511" s="2">
        <v>8.8376992970766594E-2</v>
      </c>
      <c r="AD4511" s="2"/>
      <c r="AE4511" s="2">
        <v>8.8502226984250101E-2</v>
      </c>
      <c r="AF4511" s="2">
        <v>4097.66908579951</v>
      </c>
      <c r="AG4511" s="2">
        <v>3386.9421944378901</v>
      </c>
      <c r="AH4511" s="5">
        <v>1.2098432304303299</v>
      </c>
      <c r="AI4511" s="5">
        <v>0.274820117472169</v>
      </c>
      <c r="AJ4511" s="5" t="s">
        <v>139</v>
      </c>
      <c r="AK4511" s="2">
        <v>0.58833217223469902</v>
      </c>
      <c r="AL4511" s="2">
        <v>0.79259485853877298</v>
      </c>
      <c r="AM4511" s="2">
        <v>2549.7021853336601</v>
      </c>
      <c r="AN4511" s="2">
        <v>4857.8875222080296</v>
      </c>
      <c r="AO4511" s="2">
        <v>7706.6568304910897</v>
      </c>
      <c r="AP4511" s="2">
        <v>6081.6215766359101</v>
      </c>
      <c r="AQ4511" s="2">
        <v>945.47214938240904</v>
      </c>
      <c r="AR4511" s="2">
        <v>2444.6742507459699</v>
      </c>
      <c r="AS4511" s="2">
        <v>2829.79771329293</v>
      </c>
      <c r="AT4511" s="2">
        <v>1937.9949646698699</v>
      </c>
      <c r="AU4511" s="2">
        <v>6790.9261141335501</v>
      </c>
      <c r="AV4511" s="2">
        <v>2804.9854958717501</v>
      </c>
      <c r="AW4511" s="2">
        <v>3750.1980161987399</v>
      </c>
      <c r="AX4511" s="2">
        <v>2207.7508624604902</v>
      </c>
    </row>
    <row r="4512" spans="1:50" x14ac:dyDescent="0.25">
      <c r="A4512" s="2" t="s">
        <v>29633</v>
      </c>
      <c r="B4512" s="2">
        <v>401.17553397958</v>
      </c>
      <c r="C4512" s="2">
        <v>4.0250333333333304</v>
      </c>
      <c r="D4512" s="2" t="s">
        <v>51</v>
      </c>
      <c r="E4512" s="2" t="s">
        <v>29634</v>
      </c>
      <c r="F4512" s="2">
        <v>48781</v>
      </c>
      <c r="G4512" s="3" t="str">
        <f>HYPERLINK("https://cloud.oebiotech.com/#/lm/network/48781", "https://cloud.oebiotech.com/#/lm/network/48781")</f>
        <v>https://cloud.oebiotech.com/#/lm/network/48781</v>
      </c>
      <c r="H4512" s="2" t="s">
        <v>29635</v>
      </c>
      <c r="I4512" s="2">
        <v>58464</v>
      </c>
      <c r="J4512" s="2"/>
      <c r="K4512" s="2">
        <v>5288905</v>
      </c>
      <c r="L4512" s="2" t="s">
        <v>29636</v>
      </c>
      <c r="M4512" s="2"/>
      <c r="N4512" s="2"/>
      <c r="O4512" s="2">
        <v>145593</v>
      </c>
      <c r="P4512" s="2"/>
      <c r="Q4512" s="2"/>
      <c r="R4512" s="2" t="s">
        <v>29637</v>
      </c>
      <c r="S4512" s="2" t="s">
        <v>29638</v>
      </c>
      <c r="T4512" s="2" t="s">
        <v>29639</v>
      </c>
      <c r="U4512" s="2" t="s">
        <v>331</v>
      </c>
      <c r="V4512" s="2" t="s">
        <v>332</v>
      </c>
      <c r="W4512" s="2" t="s">
        <v>333</v>
      </c>
      <c r="X4512" s="2" t="s">
        <v>147</v>
      </c>
      <c r="Y4512" s="2">
        <v>38.799999999999997</v>
      </c>
      <c r="Z4512" s="2">
        <v>1.17</v>
      </c>
      <c r="AA4512" s="2" t="s">
        <v>512</v>
      </c>
      <c r="AB4512" s="2" t="s">
        <v>29640</v>
      </c>
      <c r="AC4512" s="2">
        <v>-2.7461621063145998</v>
      </c>
      <c r="AD4512" s="2"/>
      <c r="AE4512" s="2">
        <v>8.8395586025481504E-2</v>
      </c>
      <c r="AF4512" s="2">
        <v>4706.7250755291398</v>
      </c>
      <c r="AG4512" s="2">
        <v>4668.3959909277301</v>
      </c>
      <c r="AH4512" s="5">
        <v>1.0082103327729499</v>
      </c>
      <c r="AI4512" s="5">
        <v>1.17966451809065E-2</v>
      </c>
      <c r="AJ4512" s="5" t="s">
        <v>139</v>
      </c>
      <c r="AK4512" s="2">
        <v>0.99297923372848995</v>
      </c>
      <c r="AL4512" s="2">
        <v>0.99650400788472704</v>
      </c>
      <c r="AM4512" s="2">
        <v>5801.2447307709199</v>
      </c>
      <c r="AN4512" s="2">
        <v>8.559877937157E-6</v>
      </c>
      <c r="AO4512" s="2">
        <v>8.559877937157E-6</v>
      </c>
      <c r="AP4512" s="2">
        <v>22057.688674554302</v>
      </c>
      <c r="AQ4512" s="2">
        <v>381.41702217001301</v>
      </c>
      <c r="AR4512" s="2">
        <v>8.559877937157E-6</v>
      </c>
      <c r="AS4512" s="2">
        <v>9807.96110208971</v>
      </c>
      <c r="AT4512" s="2">
        <v>8.559877937157E-6</v>
      </c>
      <c r="AU4512" s="2">
        <v>8.559877937157E-6</v>
      </c>
      <c r="AV4512" s="2">
        <v>1373.1102616175301</v>
      </c>
      <c r="AW4512" s="2">
        <v>3663.5550451490599</v>
      </c>
      <c r="AX4512" s="2">
        <v>13165.749519590299</v>
      </c>
    </row>
    <row r="4513" spans="1:50" x14ac:dyDescent="0.25">
      <c r="A4513" s="2" t="s">
        <v>29641</v>
      </c>
      <c r="B4513" s="2">
        <v>252.06134836950201</v>
      </c>
      <c r="C4513" s="2">
        <v>4.8329666666666702</v>
      </c>
      <c r="D4513" s="2" t="s">
        <v>51</v>
      </c>
      <c r="E4513" s="2" t="s">
        <v>29642</v>
      </c>
      <c r="F4513" s="2">
        <v>64297</v>
      </c>
      <c r="G4513" s="3" t="str">
        <f>HYPERLINK("https://cloud.oebiotech.com/#/lm/network/64297", "https://cloud.oebiotech.com/#/lm/network/64297")</f>
        <v>https://cloud.oebiotech.com/#/lm/network/64297</v>
      </c>
      <c r="H4513" s="2" t="s">
        <v>29643</v>
      </c>
      <c r="I4513" s="2">
        <v>95617</v>
      </c>
      <c r="J4513" s="2"/>
      <c r="K4513" s="2">
        <v>101660209</v>
      </c>
      <c r="L4513" s="2"/>
      <c r="M4513" s="2"/>
      <c r="N4513" s="2"/>
      <c r="O4513" s="2">
        <v>174320</v>
      </c>
      <c r="P4513" s="2"/>
      <c r="Q4513" s="2"/>
      <c r="R4513" s="2" t="s">
        <v>29644</v>
      </c>
      <c r="S4513" s="2" t="s">
        <v>29645</v>
      </c>
      <c r="T4513" s="2" t="s">
        <v>29646</v>
      </c>
      <c r="U4513" s="2" t="s">
        <v>540</v>
      </c>
      <c r="V4513" s="2" t="s">
        <v>3291</v>
      </c>
      <c r="W4513" s="2" t="s">
        <v>3292</v>
      </c>
      <c r="X4513" s="2" t="s">
        <v>83</v>
      </c>
      <c r="Y4513" s="2">
        <v>39.1</v>
      </c>
      <c r="Z4513" s="2">
        <v>0</v>
      </c>
      <c r="AA4513" s="2" t="s">
        <v>122</v>
      </c>
      <c r="AB4513" s="2" t="s">
        <v>29647</v>
      </c>
      <c r="AC4513" s="2">
        <v>-8.0925386016228806</v>
      </c>
      <c r="AD4513" s="2"/>
      <c r="AE4513" s="2">
        <v>8.8171806179939194E-2</v>
      </c>
      <c r="AF4513" s="2">
        <v>1186.1846487180101</v>
      </c>
      <c r="AG4513" s="2">
        <v>903.85160361731698</v>
      </c>
      <c r="AH4513" s="5">
        <v>1.3123665920055501</v>
      </c>
      <c r="AI4513" s="5">
        <v>0.392170773762195</v>
      </c>
      <c r="AJ4513" s="5" t="s">
        <v>139</v>
      </c>
      <c r="AK4513" s="2">
        <v>0.43195803561245499</v>
      </c>
      <c r="AL4513" s="2">
        <v>0.68976193045485301</v>
      </c>
      <c r="AM4513" s="2">
        <v>2653.4253604815999</v>
      </c>
      <c r="AN4513" s="2">
        <v>1084.3913058831899</v>
      </c>
      <c r="AO4513" s="2">
        <v>327.24827992030498</v>
      </c>
      <c r="AP4513" s="2">
        <v>720.89028259971303</v>
      </c>
      <c r="AQ4513" s="2">
        <v>1540.78451128952</v>
      </c>
      <c r="AR4513" s="2">
        <v>790.36815213375803</v>
      </c>
      <c r="AS4513" s="2">
        <v>993.04258657113303</v>
      </c>
      <c r="AT4513" s="2">
        <v>960.13942498713402</v>
      </c>
      <c r="AU4513" s="2">
        <v>722.39792206165703</v>
      </c>
      <c r="AV4513" s="2">
        <v>1193.4439394972401</v>
      </c>
      <c r="AW4513" s="2">
        <v>719.53192548057496</v>
      </c>
      <c r="AX4513" s="2">
        <v>834.55382310616505</v>
      </c>
    </row>
    <row r="4514" spans="1:50" x14ac:dyDescent="0.25">
      <c r="A4514" s="2" t="s">
        <v>29648</v>
      </c>
      <c r="B4514" s="2">
        <v>130.061062903921</v>
      </c>
      <c r="C4514" s="2">
        <v>0.69840000000000002</v>
      </c>
      <c r="D4514" s="2" t="s">
        <v>51</v>
      </c>
      <c r="E4514" s="2" t="s">
        <v>29649</v>
      </c>
      <c r="F4514" s="2">
        <v>52216</v>
      </c>
      <c r="G4514" s="3" t="str">
        <f>HYPERLINK("https://cloud.oebiotech.com/#/lm/network/52216", "https://cloud.oebiotech.com/#/lm/network/52216")</f>
        <v>https://cloud.oebiotech.com/#/lm/network/52216</v>
      </c>
      <c r="H4514" s="2" t="s">
        <v>29650</v>
      </c>
      <c r="I4514" s="2">
        <v>44712</v>
      </c>
      <c r="J4514" s="2"/>
      <c r="K4514" s="2">
        <v>67701</v>
      </c>
      <c r="L4514" s="2" t="s">
        <v>29651</v>
      </c>
      <c r="M4514" s="2"/>
      <c r="N4514" s="2"/>
      <c r="O4514" s="2">
        <v>15968</v>
      </c>
      <c r="P4514" s="2"/>
      <c r="Q4514" s="2"/>
      <c r="R4514" s="2" t="s">
        <v>29652</v>
      </c>
      <c r="S4514" s="2" t="s">
        <v>29653</v>
      </c>
      <c r="T4514" s="2" t="s">
        <v>29654</v>
      </c>
      <c r="U4514" s="2" t="s">
        <v>119</v>
      </c>
      <c r="V4514" s="2" t="s">
        <v>120</v>
      </c>
      <c r="W4514" s="2" t="s">
        <v>3243</v>
      </c>
      <c r="X4514" s="2" t="s">
        <v>83</v>
      </c>
      <c r="Y4514" s="2">
        <v>39.299999999999997</v>
      </c>
      <c r="Z4514" s="2">
        <v>0</v>
      </c>
      <c r="AA4514" s="2" t="s">
        <v>163</v>
      </c>
      <c r="AB4514" s="2" t="s">
        <v>3254</v>
      </c>
      <c r="AC4514" s="2">
        <v>-8.6763620240026906</v>
      </c>
      <c r="AD4514" s="2"/>
      <c r="AE4514" s="2">
        <v>8.8146696604751495E-2</v>
      </c>
      <c r="AF4514" s="2">
        <v>7022.0406875524604</v>
      </c>
      <c r="AG4514" s="2">
        <v>5985.5193365945797</v>
      </c>
      <c r="AH4514" s="5">
        <v>1.1731714981890899</v>
      </c>
      <c r="AI4514" s="5">
        <v>0.23041392683763101</v>
      </c>
      <c r="AJ4514" s="5" t="s">
        <v>139</v>
      </c>
      <c r="AK4514" s="2">
        <v>0.679486580187872</v>
      </c>
      <c r="AL4514" s="2">
        <v>0.84541284391507099</v>
      </c>
      <c r="AM4514" s="2">
        <v>10012.4940600391</v>
      </c>
      <c r="AN4514" s="2">
        <v>3384.9067853869801</v>
      </c>
      <c r="AO4514" s="2">
        <v>2066.7017472223001</v>
      </c>
      <c r="AP4514" s="2">
        <v>9476.2279282650106</v>
      </c>
      <c r="AQ4514" s="2">
        <v>7861.61537370116</v>
      </c>
      <c r="AR4514" s="2">
        <v>9330.2982307001894</v>
      </c>
      <c r="AS4514" s="2">
        <v>1586.20511116235</v>
      </c>
      <c r="AT4514" s="2">
        <v>4197.1153852296802</v>
      </c>
      <c r="AU4514" s="2">
        <v>9562.2676446214009</v>
      </c>
      <c r="AV4514" s="2">
        <v>6847.9516453654096</v>
      </c>
      <c r="AW4514" s="2">
        <v>471.274134310938</v>
      </c>
      <c r="AX4514" s="2">
        <v>13248.302098877701</v>
      </c>
    </row>
    <row r="4515" spans="1:50" x14ac:dyDescent="0.25">
      <c r="A4515" s="2" t="s">
        <v>29655</v>
      </c>
      <c r="B4515" s="2">
        <v>287.08614005838001</v>
      </c>
      <c r="C4515" s="2">
        <v>4.6849833333333297</v>
      </c>
      <c r="D4515" s="2" t="s">
        <v>51</v>
      </c>
      <c r="E4515" s="2" t="s">
        <v>29656</v>
      </c>
      <c r="F4515" s="2">
        <v>52601</v>
      </c>
      <c r="G4515" s="3" t="str">
        <f>HYPERLINK("https://cloud.oebiotech.com/#/lm/network/52601", "https://cloud.oebiotech.com/#/lm/network/52601")</f>
        <v>https://cloud.oebiotech.com/#/lm/network/52601</v>
      </c>
      <c r="H4515" s="2" t="s">
        <v>29657</v>
      </c>
      <c r="I4515" s="2">
        <v>2708</v>
      </c>
      <c r="J4515" s="2"/>
      <c r="K4515" s="2">
        <v>3365</v>
      </c>
      <c r="L4515" s="2" t="s">
        <v>29658</v>
      </c>
      <c r="M4515" s="2"/>
      <c r="N4515" s="2"/>
      <c r="O4515" s="2">
        <v>46081</v>
      </c>
      <c r="P4515" s="2"/>
      <c r="Q4515" s="2"/>
      <c r="R4515" s="2" t="s">
        <v>29659</v>
      </c>
      <c r="S4515" s="2" t="s">
        <v>29660</v>
      </c>
      <c r="T4515" s="2" t="s">
        <v>29661</v>
      </c>
      <c r="U4515" s="2" t="s">
        <v>610</v>
      </c>
      <c r="V4515" s="2" t="s">
        <v>611</v>
      </c>
      <c r="W4515" s="2" t="s">
        <v>1409</v>
      </c>
      <c r="X4515" s="2" t="s">
        <v>83</v>
      </c>
      <c r="Y4515" s="2">
        <v>39.1</v>
      </c>
      <c r="Z4515" s="2">
        <v>0</v>
      </c>
      <c r="AA4515" s="2" t="s">
        <v>379</v>
      </c>
      <c r="AB4515" s="2" t="s">
        <v>29662</v>
      </c>
      <c r="AC4515" s="2">
        <v>-0.27537961690492002</v>
      </c>
      <c r="AD4515" s="2"/>
      <c r="AE4515" s="2">
        <v>8.8002835365655896E-2</v>
      </c>
      <c r="AF4515" s="2">
        <v>870.60914250432097</v>
      </c>
      <c r="AG4515" s="2">
        <v>565.09235794359495</v>
      </c>
      <c r="AH4515" s="5">
        <v>1.5406492943428201</v>
      </c>
      <c r="AI4515" s="5">
        <v>0.62353849138203099</v>
      </c>
      <c r="AJ4515" s="5" t="s">
        <v>139</v>
      </c>
      <c r="AK4515" s="2">
        <v>0.53953386513326895</v>
      </c>
      <c r="AL4515" s="2">
        <v>0.76464258930367401</v>
      </c>
      <c r="AM4515" s="2">
        <v>2960.2340587864901</v>
      </c>
      <c r="AN4515" s="2">
        <v>142.30352077366899</v>
      </c>
      <c r="AO4515" s="2">
        <v>539.27440547020001</v>
      </c>
      <c r="AP4515" s="2">
        <v>873.569535759421</v>
      </c>
      <c r="AQ4515" s="2">
        <v>606.39393291296301</v>
      </c>
      <c r="AR4515" s="2">
        <v>101.879401323181</v>
      </c>
      <c r="AS4515" s="2">
        <v>146.62995972833301</v>
      </c>
      <c r="AT4515" s="2">
        <v>189.34752472549701</v>
      </c>
      <c r="AU4515" s="2">
        <v>1134.26518568498</v>
      </c>
      <c r="AV4515" s="2">
        <v>956.12681807720901</v>
      </c>
      <c r="AW4515" s="2">
        <v>964.184650885672</v>
      </c>
      <c r="AX4515" s="2">
        <v>8.559877937157E-6</v>
      </c>
    </row>
    <row r="4516" spans="1:50" x14ac:dyDescent="0.25">
      <c r="A4516" s="2" t="s">
        <v>29663</v>
      </c>
      <c r="B4516" s="2">
        <v>272.12214336372102</v>
      </c>
      <c r="C4516" s="2">
        <v>3.5042</v>
      </c>
      <c r="D4516" s="2" t="s">
        <v>51</v>
      </c>
      <c r="E4516" s="2" t="s">
        <v>29664</v>
      </c>
      <c r="F4516" s="2">
        <v>82543</v>
      </c>
      <c r="G4516" s="3" t="str">
        <f>HYPERLINK("https://cloud.oebiotech.com/#/lm/network/82543", "https://cloud.oebiotech.com/#/lm/network/82543")</f>
        <v>https://cloud.oebiotech.com/#/lm/network/82543</v>
      </c>
      <c r="H4516" s="2" t="s">
        <v>29665</v>
      </c>
      <c r="I4516" s="2">
        <v>2655</v>
      </c>
      <c r="J4516" s="2"/>
      <c r="K4516" s="2">
        <v>10400039</v>
      </c>
      <c r="L4516" s="2" t="s">
        <v>29666</v>
      </c>
      <c r="M4516" s="2" t="s">
        <v>7436</v>
      </c>
      <c r="N4516" s="2" t="s">
        <v>7437</v>
      </c>
      <c r="O4516" s="2"/>
      <c r="P4516" s="2"/>
      <c r="Q4516" s="2"/>
      <c r="R4516" s="2" t="s">
        <v>29667</v>
      </c>
      <c r="S4516" s="2" t="s">
        <v>29668</v>
      </c>
      <c r="T4516" s="2" t="s">
        <v>29669</v>
      </c>
      <c r="U4516" s="2" t="s">
        <v>56</v>
      </c>
      <c r="V4516" s="2" t="s">
        <v>3215</v>
      </c>
      <c r="W4516" s="2" t="s">
        <v>240</v>
      </c>
      <c r="X4516" s="2" t="s">
        <v>83</v>
      </c>
      <c r="Y4516" s="2">
        <v>37.9</v>
      </c>
      <c r="Z4516" s="2">
        <v>0</v>
      </c>
      <c r="AA4516" s="2" t="s">
        <v>512</v>
      </c>
      <c r="AB4516" s="2" t="s">
        <v>17110</v>
      </c>
      <c r="AC4516" s="2">
        <v>-7.6890887909949202</v>
      </c>
      <c r="AD4516" s="2"/>
      <c r="AE4516" s="2">
        <v>8.7991853717609994E-2</v>
      </c>
      <c r="AF4516" s="2">
        <v>859.68797339545699</v>
      </c>
      <c r="AG4516" s="2">
        <v>445.88803628506599</v>
      </c>
      <c r="AH4516" s="5">
        <v>1.92803552335241</v>
      </c>
      <c r="AI4516" s="5">
        <v>0.94713163294351599</v>
      </c>
      <c r="AJ4516" s="5" t="s">
        <v>139</v>
      </c>
      <c r="AK4516" s="2">
        <v>0.23216329945630901</v>
      </c>
      <c r="AL4516" s="2">
        <v>0.55646084330726997</v>
      </c>
      <c r="AM4516" s="2">
        <v>902.58715959731501</v>
      </c>
      <c r="AN4516" s="2">
        <v>1247.0907982096501</v>
      </c>
      <c r="AO4516" s="2">
        <v>295.39634398475198</v>
      </c>
      <c r="AP4516" s="2">
        <v>1685.1073447941301</v>
      </c>
      <c r="AQ4516" s="2">
        <v>318.03945051920402</v>
      </c>
      <c r="AR4516" s="2">
        <v>709.90674326768999</v>
      </c>
      <c r="AS4516" s="2">
        <v>8.559877937157E-6</v>
      </c>
      <c r="AT4516" s="2">
        <v>8.559877937157E-6</v>
      </c>
      <c r="AU4516" s="2">
        <v>1149.16349472671</v>
      </c>
      <c r="AV4516" s="2">
        <v>1240.5528733010101</v>
      </c>
      <c r="AW4516" s="2">
        <v>137.16837978398999</v>
      </c>
      <c r="AX4516" s="2">
        <v>148.44345277892799</v>
      </c>
    </row>
    <row r="4517" spans="1:50" x14ac:dyDescent="0.25">
      <c r="A4517" s="2" t="s">
        <v>29670</v>
      </c>
      <c r="B4517" s="2">
        <v>571.261917111456</v>
      </c>
      <c r="C4517" s="2">
        <v>3.81591666666667</v>
      </c>
      <c r="D4517" s="2" t="s">
        <v>51</v>
      </c>
      <c r="E4517" s="2" t="s">
        <v>29671</v>
      </c>
      <c r="F4517" s="2">
        <v>203572</v>
      </c>
      <c r="G4517" s="3" t="str">
        <f>HYPERLINK("https://cloud.oebiotech.com/#/lm/network/203572", "https://cloud.oebiotech.com/#/lm/network/203572")</f>
        <v>https://cloud.oebiotech.com/#/lm/network/203572</v>
      </c>
      <c r="H4517" s="2" t="s">
        <v>29672</v>
      </c>
      <c r="I4517" s="2">
        <v>69002</v>
      </c>
      <c r="J4517" s="2"/>
      <c r="K4517" s="2">
        <v>12550</v>
      </c>
      <c r="L4517" s="2" t="s">
        <v>29673</v>
      </c>
      <c r="M4517" s="2"/>
      <c r="N4517" s="2"/>
      <c r="O4517" s="2"/>
      <c r="P4517" s="2"/>
      <c r="Q4517" s="2"/>
      <c r="R4517" s="2" t="s">
        <v>29674</v>
      </c>
      <c r="S4517" s="2" t="s">
        <v>29675</v>
      </c>
      <c r="T4517" s="2" t="s">
        <v>29676</v>
      </c>
      <c r="U4517" s="2" t="s">
        <v>610</v>
      </c>
      <c r="V4517" s="2" t="s">
        <v>611</v>
      </c>
      <c r="W4517" s="2" t="s">
        <v>1122</v>
      </c>
      <c r="X4517" s="2" t="s">
        <v>147</v>
      </c>
      <c r="Y4517" s="2">
        <v>37.700000000000003</v>
      </c>
      <c r="Z4517" s="2">
        <v>6</v>
      </c>
      <c r="AA4517" s="2" t="s">
        <v>95</v>
      </c>
      <c r="AB4517" s="2" t="s">
        <v>29677</v>
      </c>
      <c r="AC4517" s="2">
        <v>-1.2483498335752601</v>
      </c>
      <c r="AD4517" s="2"/>
      <c r="AE4517" s="2">
        <v>8.7909470799584097E-2</v>
      </c>
      <c r="AF4517" s="2">
        <v>1264.7521107402799</v>
      </c>
      <c r="AG4517" s="2">
        <v>2228.6598606201301</v>
      </c>
      <c r="AH4517" s="4">
        <v>0.56749445399369003</v>
      </c>
      <c r="AI4517" s="4">
        <v>-0.81732180157613898</v>
      </c>
      <c r="AJ4517" s="4" t="s">
        <v>62</v>
      </c>
      <c r="AK4517" s="2">
        <v>0.61337862817049904</v>
      </c>
      <c r="AL4517" s="2">
        <v>0.80763559890180803</v>
      </c>
      <c r="AM4517" s="2">
        <v>4484.96851102241</v>
      </c>
      <c r="AN4517" s="2">
        <v>8.559877937157E-6</v>
      </c>
      <c r="AO4517" s="2">
        <v>672.65247014848399</v>
      </c>
      <c r="AP4517" s="2">
        <v>8.559877937157E-6</v>
      </c>
      <c r="AQ4517" s="2">
        <v>189.305848944773</v>
      </c>
      <c r="AR4517" s="2">
        <v>2241.5858172062399</v>
      </c>
      <c r="AS4517" s="2">
        <v>8.559877937157E-6</v>
      </c>
      <c r="AT4517" s="2">
        <v>8.559877937157E-6</v>
      </c>
      <c r="AU4517" s="2">
        <v>2070.03433954813</v>
      </c>
      <c r="AV4517" s="2">
        <v>10569.3704771168</v>
      </c>
      <c r="AW4517" s="2">
        <v>385.41828531353502</v>
      </c>
      <c r="AX4517" s="2">
        <v>347.13604462258701</v>
      </c>
    </row>
    <row r="4518" spans="1:50" x14ac:dyDescent="0.25">
      <c r="A4518" s="2" t="s">
        <v>29678</v>
      </c>
      <c r="B4518" s="2">
        <v>283.12745760695299</v>
      </c>
      <c r="C4518" s="2">
        <v>3.73206666666667</v>
      </c>
      <c r="D4518" s="2" t="s">
        <v>51</v>
      </c>
      <c r="E4518" s="2" t="s">
        <v>29679</v>
      </c>
      <c r="F4518" s="2">
        <v>54126</v>
      </c>
      <c r="G4518" s="3" t="str">
        <f>HYPERLINK("https://cloud.oebiotech.com/#/lm/network/54126", "https://cloud.oebiotech.com/#/lm/network/54126")</f>
        <v>https://cloud.oebiotech.com/#/lm/network/54126</v>
      </c>
      <c r="H4518" s="2" t="s">
        <v>29680</v>
      </c>
      <c r="I4518" s="2">
        <v>86007</v>
      </c>
      <c r="J4518" s="2"/>
      <c r="K4518" s="2">
        <v>14522584</v>
      </c>
      <c r="L4518" s="2"/>
      <c r="M4518" s="2"/>
      <c r="N4518" s="2"/>
      <c r="O4518" s="2">
        <v>174005</v>
      </c>
      <c r="P4518" s="2"/>
      <c r="Q4518" s="2"/>
      <c r="R4518" s="2"/>
      <c r="S4518" s="2" t="s">
        <v>29681</v>
      </c>
      <c r="T4518" s="2" t="s">
        <v>29682</v>
      </c>
      <c r="U4518" s="2" t="s">
        <v>103</v>
      </c>
      <c r="V4518" s="2" t="s">
        <v>104</v>
      </c>
      <c r="W4518" s="2" t="s">
        <v>105</v>
      </c>
      <c r="X4518" s="2" t="s">
        <v>147</v>
      </c>
      <c r="Y4518" s="2">
        <v>42.4</v>
      </c>
      <c r="Z4518" s="2">
        <v>23.8</v>
      </c>
      <c r="AA4518" s="2" t="s">
        <v>60</v>
      </c>
      <c r="AB4518" s="2" t="s">
        <v>29683</v>
      </c>
      <c r="AC4518" s="2">
        <v>-4.9287606703133902</v>
      </c>
      <c r="AD4518" s="2"/>
      <c r="AE4518" s="2">
        <v>8.7813937602031295E-2</v>
      </c>
      <c r="AF4518" s="2">
        <v>29948.004771424501</v>
      </c>
      <c r="AG4518" s="2">
        <v>24697.4544786919</v>
      </c>
      <c r="AH4518" s="5">
        <v>1.2125947958427301</v>
      </c>
      <c r="AI4518" s="5">
        <v>0.278097535874054</v>
      </c>
      <c r="AJ4518" s="5" t="s">
        <v>139</v>
      </c>
      <c r="AK4518" s="2">
        <v>0.60754330960889602</v>
      </c>
      <c r="AL4518" s="2">
        <v>0.80448616752299296</v>
      </c>
      <c r="AM4518" s="2">
        <v>13522.0894614318</v>
      </c>
      <c r="AN4518" s="2">
        <v>6259.3540648688004</v>
      </c>
      <c r="AO4518" s="2">
        <v>49348.329044706603</v>
      </c>
      <c r="AP4518" s="2">
        <v>52306.121724644203</v>
      </c>
      <c r="AQ4518" s="2">
        <v>26543.307536145901</v>
      </c>
      <c r="AR4518" s="2">
        <v>31708.826796749599</v>
      </c>
      <c r="AS4518" s="2">
        <v>27526.856039524599</v>
      </c>
      <c r="AT4518" s="2">
        <v>20578.356998108498</v>
      </c>
      <c r="AU4518" s="2">
        <v>18300.497449873801</v>
      </c>
      <c r="AV4518" s="2">
        <v>10641.1014009144</v>
      </c>
      <c r="AW4518" s="2">
        <v>16591.7000762637</v>
      </c>
      <c r="AX4518" s="2">
        <v>54546.214907466601</v>
      </c>
    </row>
    <row r="4519" spans="1:50" x14ac:dyDescent="0.25">
      <c r="A4519" s="2" t="s">
        <v>29684</v>
      </c>
      <c r="B4519" s="2">
        <v>128.062476082063</v>
      </c>
      <c r="C4519" s="2">
        <v>9.6451499999999992</v>
      </c>
      <c r="D4519" s="2" t="s">
        <v>51</v>
      </c>
      <c r="E4519" s="2" t="s">
        <v>29685</v>
      </c>
      <c r="F4519" s="2">
        <v>54648</v>
      </c>
      <c r="G4519" s="3" t="str">
        <f>HYPERLINK("https://cloud.oebiotech.com/#/lm/network/54648", "https://cloud.oebiotech.com/#/lm/network/54648")</f>
        <v>https://cloud.oebiotech.com/#/lm/network/54648</v>
      </c>
      <c r="H4519" s="2" t="s">
        <v>29686</v>
      </c>
      <c r="I4519" s="2">
        <v>65535</v>
      </c>
      <c r="J4519" s="2"/>
      <c r="K4519" s="2">
        <v>931</v>
      </c>
      <c r="L4519" s="2" t="s">
        <v>29687</v>
      </c>
      <c r="M4519" s="2" t="s">
        <v>29688</v>
      </c>
      <c r="N4519" s="2" t="s">
        <v>29689</v>
      </c>
      <c r="O4519" s="2">
        <v>16482</v>
      </c>
      <c r="P4519" s="2"/>
      <c r="Q4519" s="2"/>
      <c r="R4519" s="2" t="s">
        <v>29690</v>
      </c>
      <c r="S4519" s="2" t="s">
        <v>29691</v>
      </c>
      <c r="T4519" s="2" t="s">
        <v>29692</v>
      </c>
      <c r="U4519" s="2" t="s">
        <v>610</v>
      </c>
      <c r="V4519" s="2" t="s">
        <v>813</v>
      </c>
      <c r="W4519" s="2" t="s">
        <v>240</v>
      </c>
      <c r="X4519" s="2" t="s">
        <v>147</v>
      </c>
      <c r="Y4519" s="2">
        <v>37.700000000000003</v>
      </c>
      <c r="Z4519" s="2">
        <v>0</v>
      </c>
      <c r="AA4519" s="2" t="s">
        <v>122</v>
      </c>
      <c r="AB4519" s="2" t="s">
        <v>29693</v>
      </c>
      <c r="AC4519" s="2">
        <v>-0.97041991130053296</v>
      </c>
      <c r="AD4519" s="2"/>
      <c r="AE4519" s="2">
        <v>8.7734943265022999E-2</v>
      </c>
      <c r="AF4519" s="2">
        <v>448.13543586166799</v>
      </c>
      <c r="AG4519" s="2">
        <v>253.766441828491</v>
      </c>
      <c r="AH4519" s="5">
        <v>1.7659365542294301</v>
      </c>
      <c r="AI4519" s="5">
        <v>0.820433511421925</v>
      </c>
      <c r="AJ4519" s="5" t="s">
        <v>139</v>
      </c>
      <c r="AK4519" s="2">
        <v>7.4608817925080506E-2</v>
      </c>
      <c r="AL4519" s="2">
        <v>0.35818559707798497</v>
      </c>
      <c r="AM4519" s="2">
        <v>735.817151417074</v>
      </c>
      <c r="AN4519" s="2">
        <v>361.219956137498</v>
      </c>
      <c r="AO4519" s="2">
        <v>383.02992482891602</v>
      </c>
      <c r="AP4519" s="2">
        <v>519.39347224173605</v>
      </c>
      <c r="AQ4519" s="2">
        <v>259.34972025410298</v>
      </c>
      <c r="AR4519" s="2">
        <v>430.00239029068098</v>
      </c>
      <c r="AS4519" s="2">
        <v>460.40917736308199</v>
      </c>
      <c r="AT4519" s="2">
        <v>256.62733916882001</v>
      </c>
      <c r="AU4519" s="2">
        <v>466.19439995992298</v>
      </c>
      <c r="AV4519" s="2">
        <v>66.251526991933503</v>
      </c>
      <c r="AW4519" s="2">
        <v>143.61201924973901</v>
      </c>
      <c r="AX4519" s="2">
        <v>129.50418823744801</v>
      </c>
    </row>
    <row r="4520" spans="1:50" x14ac:dyDescent="0.25">
      <c r="A4520" s="2" t="s">
        <v>29694</v>
      </c>
      <c r="B4520" s="2">
        <v>558.214325638731</v>
      </c>
      <c r="C4520" s="2">
        <v>10.252599999999999</v>
      </c>
      <c r="D4520" s="2" t="s">
        <v>51</v>
      </c>
      <c r="E4520" s="2" t="s">
        <v>29695</v>
      </c>
      <c r="F4520" s="2">
        <v>206458</v>
      </c>
      <c r="G4520" s="3" t="str">
        <f>HYPERLINK("https://cloud.oebiotech.com/#/lm/network/206458", "https://cloud.oebiotech.com/#/lm/network/206458")</f>
        <v>https://cloud.oebiotech.com/#/lm/network/206458</v>
      </c>
      <c r="H4520" s="2" t="s">
        <v>29696</v>
      </c>
      <c r="I4520" s="2"/>
      <c r="J4520" s="2"/>
      <c r="K4520" s="2">
        <v>76211403</v>
      </c>
      <c r="L4520" s="2"/>
      <c r="M4520" s="2"/>
      <c r="N4520" s="2"/>
      <c r="O4520" s="2"/>
      <c r="P4520" s="2"/>
      <c r="Q4520" s="2"/>
      <c r="R4520" s="2"/>
      <c r="S4520" s="2" t="s">
        <v>29697</v>
      </c>
      <c r="T4520" s="2" t="s">
        <v>29698</v>
      </c>
      <c r="U4520" s="2" t="s">
        <v>540</v>
      </c>
      <c r="V4520" s="2" t="s">
        <v>29699</v>
      </c>
      <c r="W4520" s="2" t="s">
        <v>240</v>
      </c>
      <c r="X4520" s="2" t="s">
        <v>147</v>
      </c>
      <c r="Y4520" s="2">
        <v>37.200000000000003</v>
      </c>
      <c r="Z4520" s="2">
        <v>0</v>
      </c>
      <c r="AA4520" s="2" t="s">
        <v>122</v>
      </c>
      <c r="AB4520" s="2" t="s">
        <v>29700</v>
      </c>
      <c r="AC4520" s="2">
        <v>3.1051769614545401</v>
      </c>
      <c r="AD4520" s="2"/>
      <c r="AE4520" s="2">
        <v>8.7734003768662E-2</v>
      </c>
      <c r="AF4520" s="2">
        <v>2768.1907321182398</v>
      </c>
      <c r="AG4520" s="2">
        <v>3221.32673881849</v>
      </c>
      <c r="AH4520" s="4">
        <v>0.85933249141114898</v>
      </c>
      <c r="AI4520" s="4">
        <v>-0.218711650486551</v>
      </c>
      <c r="AJ4520" s="4" t="s">
        <v>62</v>
      </c>
      <c r="AK4520" s="2">
        <v>0.50000312271546099</v>
      </c>
      <c r="AL4520" s="2">
        <v>0.73772066252204804</v>
      </c>
      <c r="AM4520" s="2">
        <v>2671.05121204226</v>
      </c>
      <c r="AN4520" s="2">
        <v>3704.0264764735498</v>
      </c>
      <c r="AO4520" s="2">
        <v>2804.5106449278901</v>
      </c>
      <c r="AP4520" s="2">
        <v>3711.1686158376501</v>
      </c>
      <c r="AQ4520" s="2">
        <v>1414.9616643284</v>
      </c>
      <c r="AR4520" s="2">
        <v>2303.4257790997099</v>
      </c>
      <c r="AS4520" s="2">
        <v>2642.4378247664499</v>
      </c>
      <c r="AT4520" s="2">
        <v>1790.81590660751</v>
      </c>
      <c r="AU4520" s="2">
        <v>3665.60946768025</v>
      </c>
      <c r="AV4520" s="2">
        <v>4041.42121331936</v>
      </c>
      <c r="AW4520" s="2">
        <v>5210.3730406352097</v>
      </c>
      <c r="AX4520" s="2">
        <v>1977.3029799021399</v>
      </c>
    </row>
    <row r="4521" spans="1:50" x14ac:dyDescent="0.25">
      <c r="A4521" s="2" t="s">
        <v>29701</v>
      </c>
      <c r="B4521" s="2">
        <v>322.12809606511502</v>
      </c>
      <c r="C4521" s="2">
        <v>3.6690166666666699</v>
      </c>
      <c r="D4521" s="2" t="s">
        <v>51</v>
      </c>
      <c r="E4521" s="2" t="s">
        <v>29702</v>
      </c>
      <c r="F4521" s="2">
        <v>54212</v>
      </c>
      <c r="G4521" s="3" t="str">
        <f>HYPERLINK("https://cloud.oebiotech.com/#/lm/network/54212", "https://cloud.oebiotech.com/#/lm/network/54212")</f>
        <v>https://cloud.oebiotech.com/#/lm/network/54212</v>
      </c>
      <c r="H4521" s="2" t="s">
        <v>29703</v>
      </c>
      <c r="I4521" s="2">
        <v>86106</v>
      </c>
      <c r="J4521" s="2"/>
      <c r="K4521" s="2">
        <v>13743136</v>
      </c>
      <c r="L4521" s="2"/>
      <c r="M4521" s="2"/>
      <c r="N4521" s="2"/>
      <c r="O4521" s="2">
        <v>174912</v>
      </c>
      <c r="P4521" s="2"/>
      <c r="Q4521" s="2"/>
      <c r="R4521" s="2"/>
      <c r="S4521" s="2" t="s">
        <v>29704</v>
      </c>
      <c r="T4521" s="2" t="s">
        <v>29705</v>
      </c>
      <c r="U4521" s="2" t="s">
        <v>540</v>
      </c>
      <c r="V4521" s="2" t="s">
        <v>541</v>
      </c>
      <c r="W4521" s="2" t="s">
        <v>757</v>
      </c>
      <c r="X4521" s="2" t="s">
        <v>147</v>
      </c>
      <c r="Y4521" s="2">
        <v>40.200000000000003</v>
      </c>
      <c r="Z4521" s="2">
        <v>18.8</v>
      </c>
      <c r="AA4521" s="2" t="s">
        <v>512</v>
      </c>
      <c r="AB4521" s="2" t="s">
        <v>29706</v>
      </c>
      <c r="AC4521" s="2">
        <v>-1.3735700792153001</v>
      </c>
      <c r="AD4521" s="2"/>
      <c r="AE4521" s="2">
        <v>8.7717735828830107E-2</v>
      </c>
      <c r="AF4521" s="2">
        <v>8028.6920363116697</v>
      </c>
      <c r="AG4521" s="2">
        <v>8437.6738938927592</v>
      </c>
      <c r="AH4521" s="4">
        <v>0.951529075107168</v>
      </c>
      <c r="AI4521" s="4">
        <v>-7.16803544447598E-2</v>
      </c>
      <c r="AJ4521" s="4" t="s">
        <v>62</v>
      </c>
      <c r="AK4521" s="2">
        <v>0.88157843744387498</v>
      </c>
      <c r="AL4521" s="2">
        <v>0.94817593896816699</v>
      </c>
      <c r="AM4521" s="2">
        <v>4986.9129170357201</v>
      </c>
      <c r="AN4521" s="2">
        <v>3737.2524829190402</v>
      </c>
      <c r="AO4521" s="2">
        <v>10165.339671997001</v>
      </c>
      <c r="AP4521" s="2">
        <v>7132.25363144936</v>
      </c>
      <c r="AQ4521" s="2">
        <v>14911.302484419701</v>
      </c>
      <c r="AR4521" s="2">
        <v>7239.0910300492196</v>
      </c>
      <c r="AS4521" s="2">
        <v>6879.8447563727505</v>
      </c>
      <c r="AT4521" s="2">
        <v>7150.9438732082599</v>
      </c>
      <c r="AU4521" s="2">
        <v>3725.9817638149798</v>
      </c>
      <c r="AV4521" s="2">
        <v>3274.7812380881701</v>
      </c>
      <c r="AW4521" s="2">
        <v>14840.754416817001</v>
      </c>
      <c r="AX4521" s="2">
        <v>14753.737315055399</v>
      </c>
    </row>
    <row r="4522" spans="1:50" x14ac:dyDescent="0.25">
      <c r="A4522" s="2" t="s">
        <v>29707</v>
      </c>
      <c r="B4522" s="2">
        <v>218.080392128022</v>
      </c>
      <c r="C4522" s="2">
        <v>6.8908500000000004</v>
      </c>
      <c r="D4522" s="2" t="s">
        <v>51</v>
      </c>
      <c r="E4522" s="2" t="s">
        <v>29708</v>
      </c>
      <c r="F4522" s="2">
        <v>199887</v>
      </c>
      <c r="G4522" s="3" t="str">
        <f>HYPERLINK("https://cloud.oebiotech.com/#/lm/network/199887", "https://cloud.oebiotech.com/#/lm/network/199887")</f>
        <v>https://cloud.oebiotech.com/#/lm/network/199887</v>
      </c>
      <c r="H4522" s="2" t="s">
        <v>29709</v>
      </c>
      <c r="I4522" s="2">
        <v>846862</v>
      </c>
      <c r="J4522" s="2"/>
      <c r="K4522" s="2">
        <v>57346727</v>
      </c>
      <c r="L4522" s="2"/>
      <c r="M4522" s="2"/>
      <c r="N4522" s="2"/>
      <c r="O4522" s="2"/>
      <c r="P4522" s="2"/>
      <c r="Q4522" s="2"/>
      <c r="R4522" s="2"/>
      <c r="S4522" s="2" t="s">
        <v>29710</v>
      </c>
      <c r="T4522" s="2" t="s">
        <v>29711</v>
      </c>
      <c r="U4522" s="2" t="s">
        <v>119</v>
      </c>
      <c r="V4522" s="2" t="s">
        <v>120</v>
      </c>
      <c r="W4522" s="2" t="s">
        <v>1887</v>
      </c>
      <c r="X4522" s="2" t="s">
        <v>147</v>
      </c>
      <c r="Y4522" s="2">
        <v>37.6</v>
      </c>
      <c r="Z4522" s="2">
        <v>0</v>
      </c>
      <c r="AA4522" s="2" t="s">
        <v>122</v>
      </c>
      <c r="AB4522" s="2" t="s">
        <v>29712</v>
      </c>
      <c r="AC4522" s="2">
        <v>7.5426329341821197E-2</v>
      </c>
      <c r="AD4522" s="2"/>
      <c r="AE4522" s="2">
        <v>8.7681045861165402E-2</v>
      </c>
      <c r="AF4522" s="2">
        <v>670.57772206147501</v>
      </c>
      <c r="AG4522" s="2">
        <v>1030.60600313688</v>
      </c>
      <c r="AH4522" s="4">
        <v>0.65066351255515598</v>
      </c>
      <c r="AI4522" s="4">
        <v>-0.62001644131225897</v>
      </c>
      <c r="AJ4522" s="4" t="s">
        <v>62</v>
      </c>
      <c r="AK4522" s="2">
        <v>0.19248695271906199</v>
      </c>
      <c r="AL4522" s="2">
        <v>0.51702050946451295</v>
      </c>
      <c r="AM4522" s="2">
        <v>617.589828803464</v>
      </c>
      <c r="AN4522" s="2">
        <v>500.99976204895802</v>
      </c>
      <c r="AO4522" s="2">
        <v>1212.03250684058</v>
      </c>
      <c r="AP4522" s="2">
        <v>73.836519304044401</v>
      </c>
      <c r="AQ4522" s="2">
        <v>590.58581631709501</v>
      </c>
      <c r="AR4522" s="2">
        <v>1028.4218990547099</v>
      </c>
      <c r="AS4522" s="2">
        <v>849.43806152881598</v>
      </c>
      <c r="AT4522" s="2">
        <v>751.84556951251295</v>
      </c>
      <c r="AU4522" s="2">
        <v>1226.8030758335899</v>
      </c>
      <c r="AV4522" s="2">
        <v>1685.6970089482199</v>
      </c>
      <c r="AW4522" s="2">
        <v>1345.3128056727001</v>
      </c>
      <c r="AX4522" s="2">
        <v>324.53949732546801</v>
      </c>
    </row>
    <row r="4523" spans="1:50" x14ac:dyDescent="0.25">
      <c r="A4523" s="2" t="s">
        <v>29713</v>
      </c>
      <c r="B4523" s="2">
        <v>321.08348876790501</v>
      </c>
      <c r="C4523" s="2">
        <v>4.5859833333333304</v>
      </c>
      <c r="D4523" s="2" t="s">
        <v>51</v>
      </c>
      <c r="E4523" s="2" t="s">
        <v>29714</v>
      </c>
      <c r="F4523" s="2">
        <v>207822</v>
      </c>
      <c r="G4523" s="3" t="str">
        <f>HYPERLINK("https://cloud.oebiotech.com/#/lm/network/207822", "https://cloud.oebiotech.com/#/lm/network/207822")</f>
        <v>https://cloud.oebiotech.com/#/lm/network/207822</v>
      </c>
      <c r="H4523" s="2" t="s">
        <v>29715</v>
      </c>
      <c r="I4523" s="2"/>
      <c r="J4523" s="2"/>
      <c r="K4523" s="2"/>
      <c r="L4523" s="2"/>
      <c r="M4523" s="2"/>
      <c r="N4523" s="2"/>
      <c r="O4523" s="2"/>
      <c r="P4523" s="2"/>
      <c r="Q4523" s="2"/>
      <c r="R4523" s="2"/>
      <c r="S4523" s="2" t="s">
        <v>29716</v>
      </c>
      <c r="T4523" s="2" t="s">
        <v>29717</v>
      </c>
      <c r="U4523" s="2" t="s">
        <v>295</v>
      </c>
      <c r="V4523" s="2" t="s">
        <v>5395</v>
      </c>
      <c r="W4523" s="2" t="s">
        <v>240</v>
      </c>
      <c r="X4523" s="2" t="s">
        <v>147</v>
      </c>
      <c r="Y4523" s="2">
        <v>39</v>
      </c>
      <c r="Z4523" s="2">
        <v>0</v>
      </c>
      <c r="AA4523" s="2" t="s">
        <v>156</v>
      </c>
      <c r="AB4523" s="2" t="s">
        <v>29718</v>
      </c>
      <c r="AC4523" s="2">
        <v>1.56236110292771</v>
      </c>
      <c r="AD4523" s="2"/>
      <c r="AE4523" s="2">
        <v>8.7679810719573995E-2</v>
      </c>
      <c r="AF4523" s="2">
        <v>758.45077940068097</v>
      </c>
      <c r="AG4523" s="2">
        <v>1115.38553059074</v>
      </c>
      <c r="AH4523" s="4">
        <v>0.67998979599366305</v>
      </c>
      <c r="AI4523" s="4">
        <v>-0.55641499761231605</v>
      </c>
      <c r="AJ4523" s="4" t="s">
        <v>62</v>
      </c>
      <c r="AK4523" s="2">
        <v>0.18207674019053099</v>
      </c>
      <c r="AL4523" s="2">
        <v>0.50503247306174104</v>
      </c>
      <c r="AM4523" s="2">
        <v>346.08945871848499</v>
      </c>
      <c r="AN4523" s="2">
        <v>624.13630487455703</v>
      </c>
      <c r="AO4523" s="2">
        <v>943.01325525278696</v>
      </c>
      <c r="AP4523" s="2">
        <v>1146.8639552836401</v>
      </c>
      <c r="AQ4523" s="2">
        <v>810.67378140378503</v>
      </c>
      <c r="AR4523" s="2">
        <v>679.92792087083399</v>
      </c>
      <c r="AS4523" s="2">
        <v>645.02790395898501</v>
      </c>
      <c r="AT4523" s="2">
        <v>1574.4194878952201</v>
      </c>
      <c r="AU4523" s="2">
        <v>1449.3413636026701</v>
      </c>
      <c r="AV4523" s="2">
        <v>371.40072546291799</v>
      </c>
      <c r="AW4523" s="2">
        <v>944.71474751722803</v>
      </c>
      <c r="AX4523" s="2">
        <v>1707.4089551074201</v>
      </c>
    </row>
    <row r="4524" spans="1:50" x14ac:dyDescent="0.25">
      <c r="A4524" s="2" t="s">
        <v>29719</v>
      </c>
      <c r="B4524" s="2">
        <v>253.01083278999599</v>
      </c>
      <c r="C4524" s="2">
        <v>5.1213666666666704</v>
      </c>
      <c r="D4524" s="2" t="s">
        <v>51</v>
      </c>
      <c r="E4524" s="2" t="s">
        <v>29720</v>
      </c>
      <c r="F4524" s="2">
        <v>10133</v>
      </c>
      <c r="G4524" s="3" t="str">
        <f>HYPERLINK("https://cloud.oebiotech.com/#/lm/network/10133", "https://cloud.oebiotech.com/#/lm/network/10133")</f>
        <v>https://cloud.oebiotech.com/#/lm/network/10133</v>
      </c>
      <c r="H4524" s="2"/>
      <c r="I4524" s="2"/>
      <c r="J4524" s="2" t="s">
        <v>29721</v>
      </c>
      <c r="K4524" s="2">
        <v>6442486</v>
      </c>
      <c r="L4524" s="2"/>
      <c r="M4524" s="2"/>
      <c r="N4524" s="2"/>
      <c r="O4524" s="2"/>
      <c r="P4524" s="2"/>
      <c r="Q4524" s="2"/>
      <c r="R4524" s="2"/>
      <c r="S4524" s="2" t="s">
        <v>29722</v>
      </c>
      <c r="T4524" s="2" t="s">
        <v>29723</v>
      </c>
      <c r="U4524" s="2" t="s">
        <v>266</v>
      </c>
      <c r="V4524" s="2" t="s">
        <v>29724</v>
      </c>
      <c r="W4524" s="2" t="s">
        <v>240</v>
      </c>
      <c r="X4524" s="2" t="s">
        <v>147</v>
      </c>
      <c r="Y4524" s="2">
        <v>37.200000000000003</v>
      </c>
      <c r="Z4524" s="2">
        <v>0</v>
      </c>
      <c r="AA4524" s="2" t="s">
        <v>95</v>
      </c>
      <c r="AB4524" s="2" t="s">
        <v>29725</v>
      </c>
      <c r="AC4524" s="2">
        <v>-3.3918902265120101</v>
      </c>
      <c r="AD4524" s="2"/>
      <c r="AE4524" s="2">
        <v>8.76772964351787E-2</v>
      </c>
      <c r="AF4524" s="2">
        <v>4836.7661414843797</v>
      </c>
      <c r="AG4524" s="2">
        <v>5161.1054884040605</v>
      </c>
      <c r="AH4524" s="4">
        <v>0.93715700102460697</v>
      </c>
      <c r="AI4524" s="4">
        <v>-9.3637333421785804E-2</v>
      </c>
      <c r="AJ4524" s="4" t="s">
        <v>62</v>
      </c>
      <c r="AK4524" s="2">
        <v>0.67656010462854299</v>
      </c>
      <c r="AL4524" s="2">
        <v>0.84349445396360301</v>
      </c>
      <c r="AM4524" s="2">
        <v>3304.2072969516798</v>
      </c>
      <c r="AN4524" s="2">
        <v>5725.5237944533301</v>
      </c>
      <c r="AO4524" s="2">
        <v>5338.5850709828801</v>
      </c>
      <c r="AP4524" s="2">
        <v>4405.91612811916</v>
      </c>
      <c r="AQ4524" s="2">
        <v>5258.2452747315101</v>
      </c>
      <c r="AR4524" s="2">
        <v>4988.1192836677401</v>
      </c>
      <c r="AS4524" s="2">
        <v>6708.8477414242197</v>
      </c>
      <c r="AT4524" s="2">
        <v>4430.9959421664298</v>
      </c>
      <c r="AU4524" s="2">
        <v>2803.15594068982</v>
      </c>
      <c r="AV4524" s="2">
        <v>4143.2408849563199</v>
      </c>
      <c r="AW4524" s="2">
        <v>5929.0838796408398</v>
      </c>
      <c r="AX4524" s="2">
        <v>6951.3085415467103</v>
      </c>
    </row>
    <row r="4525" spans="1:50" x14ac:dyDescent="0.25">
      <c r="A4525" s="2" t="s">
        <v>29726</v>
      </c>
      <c r="B4525" s="2">
        <v>189.10262450575399</v>
      </c>
      <c r="C4525" s="2">
        <v>4.8526333333333298</v>
      </c>
      <c r="D4525" s="2" t="s">
        <v>51</v>
      </c>
      <c r="E4525" s="2" t="s">
        <v>29727</v>
      </c>
      <c r="F4525" s="2">
        <v>206866</v>
      </c>
      <c r="G4525" s="3" t="str">
        <f>HYPERLINK("https://cloud.oebiotech.com/#/lm/network/206866", "https://cloud.oebiotech.com/#/lm/network/206866")</f>
        <v>https://cloud.oebiotech.com/#/lm/network/206866</v>
      </c>
      <c r="H4525" s="2" t="s">
        <v>29728</v>
      </c>
      <c r="I4525" s="2"/>
      <c r="J4525" s="2"/>
      <c r="K4525" s="2">
        <v>17783959</v>
      </c>
      <c r="L4525" s="2"/>
      <c r="M4525" s="2"/>
      <c r="N4525" s="2"/>
      <c r="O4525" s="2"/>
      <c r="P4525" s="2"/>
      <c r="Q4525" s="2"/>
      <c r="R4525" s="2"/>
      <c r="S4525" s="2" t="s">
        <v>29729</v>
      </c>
      <c r="T4525" s="2" t="s">
        <v>29730</v>
      </c>
      <c r="U4525" s="2" t="s">
        <v>610</v>
      </c>
      <c r="V4525" s="2" t="s">
        <v>895</v>
      </c>
      <c r="W4525" s="2" t="s">
        <v>5219</v>
      </c>
      <c r="X4525" s="2" t="s">
        <v>147</v>
      </c>
      <c r="Y4525" s="2">
        <v>37.200000000000003</v>
      </c>
      <c r="Z4525" s="2">
        <v>0</v>
      </c>
      <c r="AA4525" s="2" t="s">
        <v>512</v>
      </c>
      <c r="AB4525" s="2" t="s">
        <v>29731</v>
      </c>
      <c r="AC4525" s="2">
        <v>-4.4298288964983001</v>
      </c>
      <c r="AD4525" s="2"/>
      <c r="AE4525" s="2">
        <v>8.76579982919026E-2</v>
      </c>
      <c r="AF4525" s="2">
        <v>232.43904839826999</v>
      </c>
      <c r="AG4525" s="2">
        <v>526.64919438438994</v>
      </c>
      <c r="AH4525" s="4">
        <v>0.44135460734915299</v>
      </c>
      <c r="AI4525" s="4">
        <v>-1.17998983663325</v>
      </c>
      <c r="AJ4525" s="4" t="s">
        <v>62</v>
      </c>
      <c r="AK4525" s="2">
        <v>0.20772358171734101</v>
      </c>
      <c r="AL4525" s="2">
        <v>0.53272350093125398</v>
      </c>
      <c r="AM4525" s="2">
        <v>161.400755036193</v>
      </c>
      <c r="AN4525" s="2">
        <v>292.57642399112501</v>
      </c>
      <c r="AO4525" s="2">
        <v>54.485166793939698</v>
      </c>
      <c r="AP4525" s="2">
        <v>332.03276714339199</v>
      </c>
      <c r="AQ4525" s="2">
        <v>91.628027814291997</v>
      </c>
      <c r="AR4525" s="2">
        <v>462.51114961067998</v>
      </c>
      <c r="AS4525" s="2">
        <v>8.559877937157E-6</v>
      </c>
      <c r="AT4525" s="2">
        <v>729.54568784690605</v>
      </c>
      <c r="AU4525" s="2">
        <v>108.60421885157101</v>
      </c>
      <c r="AV4525" s="2">
        <v>1421.7705204951301</v>
      </c>
      <c r="AW4525" s="2">
        <v>418.37985520075398</v>
      </c>
      <c r="AX4525" s="2">
        <v>481.59487535210098</v>
      </c>
    </row>
    <row r="4526" spans="1:50" x14ac:dyDescent="0.25">
      <c r="A4526" s="2" t="s">
        <v>29732</v>
      </c>
      <c r="B4526" s="2">
        <v>373.20330000000001</v>
      </c>
      <c r="C4526" s="2">
        <v>22.771999999999998</v>
      </c>
      <c r="D4526" s="2" t="s">
        <v>125</v>
      </c>
      <c r="E4526" s="2" t="s">
        <v>29733</v>
      </c>
      <c r="F4526" s="2">
        <v>48204</v>
      </c>
      <c r="G4526" s="3" t="str">
        <f>HYPERLINK("https://cloud.oebiotech.com/#/lm/network/48204", "https://cloud.oebiotech.com/#/lm/network/48204")</f>
        <v>https://cloud.oebiotech.com/#/lm/network/48204</v>
      </c>
      <c r="H4526" s="2" t="s">
        <v>29734</v>
      </c>
      <c r="I4526" s="2"/>
      <c r="J4526" s="2"/>
      <c r="K4526" s="2">
        <v>440641</v>
      </c>
      <c r="L4526" s="2" t="s">
        <v>29735</v>
      </c>
      <c r="M4526" s="2"/>
      <c r="N4526" s="2"/>
      <c r="O4526" s="2">
        <v>16084</v>
      </c>
      <c r="P4526" s="2"/>
      <c r="Q4526" s="2"/>
      <c r="R4526" s="2"/>
      <c r="S4526" s="2" t="s">
        <v>29736</v>
      </c>
      <c r="T4526" s="2" t="s">
        <v>29737</v>
      </c>
      <c r="U4526" s="2" t="s">
        <v>331</v>
      </c>
      <c r="V4526" s="2" t="s">
        <v>332</v>
      </c>
      <c r="W4526" s="2" t="s">
        <v>333</v>
      </c>
      <c r="X4526" s="2" t="s">
        <v>59</v>
      </c>
      <c r="Y4526" s="2">
        <v>76.7</v>
      </c>
      <c r="Z4526" s="2">
        <v>63.9</v>
      </c>
      <c r="AA4526" s="2"/>
      <c r="AB4526" s="2" t="s">
        <v>22685</v>
      </c>
      <c r="AC4526" s="2"/>
      <c r="AD4526" s="2">
        <v>792446.90217391297</v>
      </c>
      <c r="AE4526" s="2">
        <v>8.7655475899862098E-2</v>
      </c>
      <c r="AF4526" s="2">
        <v>16323.7619285284</v>
      </c>
      <c r="AG4526" s="2">
        <v>20005.8976108344</v>
      </c>
      <c r="AH4526" s="4">
        <v>0.81594748938873196</v>
      </c>
      <c r="AI4526" s="4">
        <v>-0.29345178489169099</v>
      </c>
      <c r="AJ4526" s="4" t="s">
        <v>62</v>
      </c>
      <c r="AK4526" s="2">
        <v>0.33245210991695801</v>
      </c>
      <c r="AL4526" s="2">
        <v>0.63424427267897798</v>
      </c>
      <c r="AM4526" s="2">
        <v>20468.352801564499</v>
      </c>
      <c r="AN4526" s="2">
        <v>20018.3753173429</v>
      </c>
      <c r="AO4526" s="2">
        <v>14660.3907369059</v>
      </c>
      <c r="AP4526" s="2">
        <v>7877.0920664835103</v>
      </c>
      <c r="AQ4526" s="2">
        <v>7563.9071286306098</v>
      </c>
      <c r="AR4526" s="2">
        <v>27354.453520242801</v>
      </c>
      <c r="AS4526" s="2">
        <v>18553.828627300602</v>
      </c>
      <c r="AT4526" s="2">
        <v>16356.3576142822</v>
      </c>
      <c r="AU4526" s="2">
        <v>25654.484153154699</v>
      </c>
      <c r="AV4526" s="2">
        <v>23876.9079409564</v>
      </c>
      <c r="AW4526" s="2">
        <v>14909.201611275401</v>
      </c>
      <c r="AX4526" s="2">
        <v>20684.605718037201</v>
      </c>
    </row>
    <row r="4527" spans="1:50" x14ac:dyDescent="0.25">
      <c r="A4527" s="2" t="s">
        <v>29738</v>
      </c>
      <c r="B4527" s="2">
        <v>227.128537537374</v>
      </c>
      <c r="C4527" s="2">
        <v>5.13648333333333</v>
      </c>
      <c r="D4527" s="2" t="s">
        <v>51</v>
      </c>
      <c r="E4527" s="2" t="s">
        <v>29739</v>
      </c>
      <c r="F4527" s="2">
        <v>6482</v>
      </c>
      <c r="G4527" s="3" t="str">
        <f>HYPERLINK("https://cloud.oebiotech.com/#/lm/network/6482", "https://cloud.oebiotech.com/#/lm/network/6482")</f>
        <v>https://cloud.oebiotech.com/#/lm/network/6482</v>
      </c>
      <c r="H4527" s="2"/>
      <c r="I4527" s="2">
        <v>36538</v>
      </c>
      <c r="J4527" s="2" t="s">
        <v>29740</v>
      </c>
      <c r="K4527" s="2">
        <v>5283314</v>
      </c>
      <c r="L4527" s="2"/>
      <c r="M4527" s="2"/>
      <c r="N4527" s="2"/>
      <c r="O4527" s="2"/>
      <c r="P4527" s="2"/>
      <c r="Q4527" s="2"/>
      <c r="R4527" s="2" t="s">
        <v>29741</v>
      </c>
      <c r="S4527" s="2" t="s">
        <v>29742</v>
      </c>
      <c r="T4527" s="2" t="s">
        <v>29743</v>
      </c>
      <c r="U4527" s="2" t="s">
        <v>331</v>
      </c>
      <c r="V4527" s="2" t="s">
        <v>332</v>
      </c>
      <c r="W4527" s="2" t="s">
        <v>1207</v>
      </c>
      <c r="X4527" s="2" t="s">
        <v>83</v>
      </c>
      <c r="Y4527" s="2">
        <v>48.9</v>
      </c>
      <c r="Z4527" s="2">
        <v>0</v>
      </c>
      <c r="AA4527" s="2" t="s">
        <v>478</v>
      </c>
      <c r="AB4527" s="2" t="s">
        <v>29744</v>
      </c>
      <c r="AC4527" s="2">
        <v>-1.5129134603684</v>
      </c>
      <c r="AD4527" s="2"/>
      <c r="AE4527" s="2">
        <v>8.7616623761162901E-2</v>
      </c>
      <c r="AF4527" s="2">
        <v>1164.9720457205101</v>
      </c>
      <c r="AG4527" s="2">
        <v>936.51104629921701</v>
      </c>
      <c r="AH4527" s="5">
        <v>1.2439490706747101</v>
      </c>
      <c r="AI4527" s="5">
        <v>0.31492742036472698</v>
      </c>
      <c r="AJ4527" s="5" t="s">
        <v>139</v>
      </c>
      <c r="AK4527" s="2">
        <v>0.22059387637296701</v>
      </c>
      <c r="AL4527" s="2">
        <v>0.54602009736308899</v>
      </c>
      <c r="AM4527" s="2">
        <v>1692.5746122794601</v>
      </c>
      <c r="AN4527" s="2">
        <v>1236.93801323761</v>
      </c>
      <c r="AO4527" s="2">
        <v>1002.83238477688</v>
      </c>
      <c r="AP4527" s="2">
        <v>1233.4413982420299</v>
      </c>
      <c r="AQ4527" s="2">
        <v>876.05493202447701</v>
      </c>
      <c r="AR4527" s="2">
        <v>947.99093376262101</v>
      </c>
      <c r="AS4527" s="2">
        <v>1229.73867691337</v>
      </c>
      <c r="AT4527" s="2">
        <v>925.40071525179701</v>
      </c>
      <c r="AU4527" s="2">
        <v>1171.3529891990499</v>
      </c>
      <c r="AV4527" s="2">
        <v>1001.98650657691</v>
      </c>
      <c r="AW4527" s="2">
        <v>365.17050214922898</v>
      </c>
      <c r="AX4527" s="2">
        <v>925.41688770494704</v>
      </c>
    </row>
    <row r="4528" spans="1:50" x14ac:dyDescent="0.25">
      <c r="A4528" s="2" t="s">
        <v>29745</v>
      </c>
      <c r="B4528" s="2">
        <v>437.36380150170999</v>
      </c>
      <c r="C4528" s="2">
        <v>13.9851333333333</v>
      </c>
      <c r="D4528" s="2" t="s">
        <v>51</v>
      </c>
      <c r="E4528" s="2" t="s">
        <v>29746</v>
      </c>
      <c r="F4528" s="2">
        <v>7395</v>
      </c>
      <c r="G4528" s="3" t="str">
        <f>HYPERLINK("https://cloud.oebiotech.com/#/lm/network/7395", "https://cloud.oebiotech.com/#/lm/network/7395")</f>
        <v>https://cloud.oebiotech.com/#/lm/network/7395</v>
      </c>
      <c r="H4528" s="2"/>
      <c r="I4528" s="2">
        <v>97343</v>
      </c>
      <c r="J4528" s="2" t="s">
        <v>29747</v>
      </c>
      <c r="K4528" s="2">
        <v>56936029</v>
      </c>
      <c r="L4528" s="2"/>
      <c r="M4528" s="2"/>
      <c r="N4528" s="2"/>
      <c r="O4528" s="2"/>
      <c r="P4528" s="2"/>
      <c r="Q4528" s="2"/>
      <c r="R4528" s="2"/>
      <c r="S4528" s="2" t="s">
        <v>29748</v>
      </c>
      <c r="T4528" s="2" t="s">
        <v>29749</v>
      </c>
      <c r="U4528" s="2" t="s">
        <v>56</v>
      </c>
      <c r="V4528" s="2" t="s">
        <v>145</v>
      </c>
      <c r="W4528" s="2" t="s">
        <v>203</v>
      </c>
      <c r="X4528" s="2" t="s">
        <v>83</v>
      </c>
      <c r="Y4528" s="2">
        <v>45.3</v>
      </c>
      <c r="Z4528" s="2">
        <v>0</v>
      </c>
      <c r="AA4528" s="2" t="s">
        <v>218</v>
      </c>
      <c r="AB4528" s="2" t="s">
        <v>29750</v>
      </c>
      <c r="AC4528" s="2">
        <v>0.42779821349209401</v>
      </c>
      <c r="AD4528" s="2"/>
      <c r="AE4528" s="2">
        <v>8.7447300068359601E-2</v>
      </c>
      <c r="AF4528" s="2">
        <v>3596.2505515032299</v>
      </c>
      <c r="AG4528" s="2">
        <v>2876.0574256855898</v>
      </c>
      <c r="AH4528" s="5">
        <v>1.2504098560013801</v>
      </c>
      <c r="AI4528" s="5">
        <v>0.32240105512990103</v>
      </c>
      <c r="AJ4528" s="5" t="s">
        <v>139</v>
      </c>
      <c r="AK4528" s="2">
        <v>0.58924362950412501</v>
      </c>
      <c r="AL4528" s="2">
        <v>0.79327163560381597</v>
      </c>
      <c r="AM4528" s="2">
        <v>2095.6966844073199</v>
      </c>
      <c r="AN4528" s="2">
        <v>3598.8078114537402</v>
      </c>
      <c r="AO4528" s="2">
        <v>3016.5937943675799</v>
      </c>
      <c r="AP4528" s="2">
        <v>7295.2444212811097</v>
      </c>
      <c r="AQ4528" s="2">
        <v>4330.2084377828396</v>
      </c>
      <c r="AR4528" s="2">
        <v>1240.9521597268099</v>
      </c>
      <c r="AS4528" s="2">
        <v>876.74764514686399</v>
      </c>
      <c r="AT4528" s="2">
        <v>7300.9190641851901</v>
      </c>
      <c r="AU4528" s="2">
        <v>2795.7062177941498</v>
      </c>
      <c r="AV4528" s="2">
        <v>1221.7348185942001</v>
      </c>
      <c r="AW4528" s="2">
        <v>3270.2778558934801</v>
      </c>
      <c r="AX4528" s="2">
        <v>1790.95895249968</v>
      </c>
    </row>
    <row r="4529" spans="1:50" x14ac:dyDescent="0.25">
      <c r="A4529" s="2" t="s">
        <v>29751</v>
      </c>
      <c r="B4529" s="2">
        <v>243.10934474731999</v>
      </c>
      <c r="C4529" s="2">
        <v>6.1879499999999998</v>
      </c>
      <c r="D4529" s="2" t="s">
        <v>51</v>
      </c>
      <c r="E4529" s="2" t="s">
        <v>29752</v>
      </c>
      <c r="F4529" s="2">
        <v>266969</v>
      </c>
      <c r="G4529" s="3" t="str">
        <f>HYPERLINK("https://cloud.oebiotech.com/#/lm/network/266969", "https://cloud.oebiotech.com/#/lm/network/266969")</f>
        <v>https://cloud.oebiotech.com/#/lm/network/266969</v>
      </c>
      <c r="H4529" s="2"/>
      <c r="I4529" s="2">
        <v>44413</v>
      </c>
      <c r="J4529" s="2"/>
      <c r="K4529" s="2">
        <v>25051</v>
      </c>
      <c r="L4529" s="2"/>
      <c r="M4529" s="2"/>
      <c r="N4529" s="2"/>
      <c r="O4529" s="2"/>
      <c r="P4529" s="2"/>
      <c r="Q4529" s="2"/>
      <c r="R4529" s="2" t="s">
        <v>29753</v>
      </c>
      <c r="S4529" s="2" t="s">
        <v>29754</v>
      </c>
      <c r="T4529" s="2" t="s">
        <v>29755</v>
      </c>
      <c r="U4529" s="2" t="s">
        <v>331</v>
      </c>
      <c r="V4529" s="2" t="s">
        <v>332</v>
      </c>
      <c r="W4529" s="2" t="s">
        <v>511</v>
      </c>
      <c r="X4529" s="2" t="s">
        <v>147</v>
      </c>
      <c r="Y4529" s="2">
        <v>39.1</v>
      </c>
      <c r="Z4529" s="2">
        <v>0</v>
      </c>
      <c r="AA4529" s="2" t="s">
        <v>512</v>
      </c>
      <c r="AB4529" s="2" t="s">
        <v>25297</v>
      </c>
      <c r="AC4529" s="2">
        <v>2.5030412993009401</v>
      </c>
      <c r="AD4529" s="2"/>
      <c r="AE4529" s="2">
        <v>8.7439306410818707E-2</v>
      </c>
      <c r="AF4529" s="2">
        <v>1197.42959830578</v>
      </c>
      <c r="AG4529" s="2">
        <v>931.47587385817098</v>
      </c>
      <c r="AH4529" s="5">
        <v>1.28551863973248</v>
      </c>
      <c r="AI4529" s="5">
        <v>0.36235052907833998</v>
      </c>
      <c r="AJ4529" s="5" t="s">
        <v>139</v>
      </c>
      <c r="AK4529" s="2">
        <v>0.32218983470204199</v>
      </c>
      <c r="AL4529" s="2">
        <v>0.62984558729865703</v>
      </c>
      <c r="AM4529" s="2">
        <v>1562.1620155897599</v>
      </c>
      <c r="AN4529" s="2">
        <v>1722.56385553681</v>
      </c>
      <c r="AO4529" s="2">
        <v>895.09994589471796</v>
      </c>
      <c r="AP4529" s="2">
        <v>893.46284403716095</v>
      </c>
      <c r="AQ4529" s="2">
        <v>933.22983981029995</v>
      </c>
      <c r="AR4529" s="2">
        <v>1178.05908896594</v>
      </c>
      <c r="AS4529" s="2">
        <v>782.00488562678004</v>
      </c>
      <c r="AT4529" s="2">
        <v>382.84354515938497</v>
      </c>
      <c r="AU4529" s="2">
        <v>1822.30045532759</v>
      </c>
      <c r="AV4529" s="2">
        <v>536.65260113399199</v>
      </c>
      <c r="AW4529" s="2">
        <v>1018.38705528692</v>
      </c>
      <c r="AX4529" s="2">
        <v>1046.66670061436</v>
      </c>
    </row>
    <row r="4530" spans="1:50" x14ac:dyDescent="0.25">
      <c r="A4530" s="2" t="s">
        <v>29756</v>
      </c>
      <c r="B4530" s="2">
        <v>620.34494317703195</v>
      </c>
      <c r="C4530" s="2">
        <v>8.7080833333333292</v>
      </c>
      <c r="D4530" s="2" t="s">
        <v>51</v>
      </c>
      <c r="E4530" s="2" t="s">
        <v>29757</v>
      </c>
      <c r="F4530" s="2">
        <v>10372</v>
      </c>
      <c r="G4530" s="3" t="str">
        <f>HYPERLINK("https://cloud.oebiotech.com/#/lm/network/10372", "https://cloud.oebiotech.com/#/lm/network/10372")</f>
        <v>https://cloud.oebiotech.com/#/lm/network/10372</v>
      </c>
      <c r="H4530" s="2"/>
      <c r="I4530" s="2"/>
      <c r="J4530" s="2" t="s">
        <v>29758</v>
      </c>
      <c r="K4530" s="2">
        <v>86289895</v>
      </c>
      <c r="L4530" s="2"/>
      <c r="M4530" s="2"/>
      <c r="N4530" s="2"/>
      <c r="O4530" s="2">
        <v>79360</v>
      </c>
      <c r="P4530" s="2"/>
      <c r="Q4530" s="2"/>
      <c r="R4530" s="2"/>
      <c r="S4530" s="2" t="s">
        <v>29759</v>
      </c>
      <c r="T4530" s="2" t="s">
        <v>29760</v>
      </c>
      <c r="U4530" s="2" t="s">
        <v>56</v>
      </c>
      <c r="V4530" s="2" t="s">
        <v>145</v>
      </c>
      <c r="W4530" s="2" t="s">
        <v>231</v>
      </c>
      <c r="X4530" s="2" t="s">
        <v>147</v>
      </c>
      <c r="Y4530" s="2">
        <v>37.4</v>
      </c>
      <c r="Z4530" s="2">
        <v>0.106</v>
      </c>
      <c r="AA4530" s="2" t="s">
        <v>218</v>
      </c>
      <c r="AB4530" s="2" t="s">
        <v>29761</v>
      </c>
      <c r="AC4530" s="2">
        <v>1.6038603111156999</v>
      </c>
      <c r="AD4530" s="2"/>
      <c r="AE4530" s="2">
        <v>8.7340012811301798E-2</v>
      </c>
      <c r="AF4530" s="2">
        <v>1247.4768120334099</v>
      </c>
      <c r="AG4530" s="2">
        <v>2033.24857724048</v>
      </c>
      <c r="AH4530" s="4">
        <v>0.61353876058109702</v>
      </c>
      <c r="AI4530" s="4">
        <v>-0.70477360522621102</v>
      </c>
      <c r="AJ4530" s="4" t="s">
        <v>62</v>
      </c>
      <c r="AK4530" s="2">
        <v>0.46505573175012399</v>
      </c>
      <c r="AL4530" s="2">
        <v>0.71329029553543499</v>
      </c>
      <c r="AM4530" s="2">
        <v>1470.47959036356</v>
      </c>
      <c r="AN4530" s="2">
        <v>67.864678891022805</v>
      </c>
      <c r="AO4530" s="2">
        <v>305.66433994085099</v>
      </c>
      <c r="AP4530" s="2">
        <v>343.62754773202698</v>
      </c>
      <c r="AQ4530" s="2">
        <v>1571.96075150103</v>
      </c>
      <c r="AR4530" s="2">
        <v>3725.2639637719399</v>
      </c>
      <c r="AS4530" s="2">
        <v>1416.2352405306699</v>
      </c>
      <c r="AT4530" s="2">
        <v>6007.35170392497</v>
      </c>
      <c r="AU4530" s="2">
        <v>1.1271651291634199</v>
      </c>
      <c r="AV4530" s="2">
        <v>1313.5911285877301</v>
      </c>
      <c r="AW4530" s="2">
        <v>2656.0455310040002</v>
      </c>
      <c r="AX4530" s="2">
        <v>805.14069426636604</v>
      </c>
    </row>
    <row r="4531" spans="1:50" x14ac:dyDescent="0.25">
      <c r="A4531" s="2" t="s">
        <v>29762</v>
      </c>
      <c r="B4531" s="2">
        <v>377.13568199445899</v>
      </c>
      <c r="C4531" s="2">
        <v>5.7733833333333298</v>
      </c>
      <c r="D4531" s="2" t="s">
        <v>51</v>
      </c>
      <c r="E4531" s="2" t="s">
        <v>29763</v>
      </c>
      <c r="F4531" s="2">
        <v>52149</v>
      </c>
      <c r="G4531" s="3" t="str">
        <f>HYPERLINK("https://cloud.oebiotech.com/#/lm/network/52149", "https://cloud.oebiotech.com/#/lm/network/52149")</f>
        <v>https://cloud.oebiotech.com/#/lm/network/52149</v>
      </c>
      <c r="H4531" s="2" t="s">
        <v>29764</v>
      </c>
      <c r="I4531" s="2"/>
      <c r="J4531" s="2"/>
      <c r="K4531" s="2">
        <v>53481589</v>
      </c>
      <c r="L4531" s="2"/>
      <c r="M4531" s="2"/>
      <c r="N4531" s="2"/>
      <c r="O4531" s="2">
        <v>172560</v>
      </c>
      <c r="P4531" s="2"/>
      <c r="Q4531" s="2"/>
      <c r="R4531" s="2"/>
      <c r="S4531" s="2" t="s">
        <v>29765</v>
      </c>
      <c r="T4531" s="2" t="s">
        <v>29766</v>
      </c>
      <c r="U4531" s="2" t="s">
        <v>56</v>
      </c>
      <c r="V4531" s="2" t="s">
        <v>145</v>
      </c>
      <c r="W4531" s="2" t="s">
        <v>231</v>
      </c>
      <c r="X4531" s="2" t="s">
        <v>69</v>
      </c>
      <c r="Y4531" s="2">
        <v>63.1</v>
      </c>
      <c r="Z4531" s="2">
        <v>89.8</v>
      </c>
      <c r="AA4531" s="2" t="s">
        <v>395</v>
      </c>
      <c r="AB4531" s="2" t="s">
        <v>12937</v>
      </c>
      <c r="AC4531" s="2">
        <v>-1.22610851848057</v>
      </c>
      <c r="AD4531" s="2"/>
      <c r="AE4531" s="2">
        <v>8.7305456343126697E-2</v>
      </c>
      <c r="AF4531" s="2">
        <v>2202.3031726456102</v>
      </c>
      <c r="AG4531" s="2">
        <v>2702.2407608041999</v>
      </c>
      <c r="AH4531" s="4">
        <v>0.81499147100060398</v>
      </c>
      <c r="AI4531" s="4">
        <v>-0.29514313346943499</v>
      </c>
      <c r="AJ4531" s="4" t="s">
        <v>62</v>
      </c>
      <c r="AK4531" s="2">
        <v>0.69956367012963705</v>
      </c>
      <c r="AL4531" s="2">
        <v>0.85547950942087603</v>
      </c>
      <c r="AM4531" s="2">
        <v>1153.09187695885</v>
      </c>
      <c r="AN4531" s="2">
        <v>3088.6706840572501</v>
      </c>
      <c r="AO4531" s="2">
        <v>1209.50315169244</v>
      </c>
      <c r="AP4531" s="2">
        <v>3500.5563524223498</v>
      </c>
      <c r="AQ4531" s="2">
        <v>2007.14219712457</v>
      </c>
      <c r="AR4531" s="2">
        <v>2254.8547736181699</v>
      </c>
      <c r="AS4531" s="2">
        <v>8341.8640782846196</v>
      </c>
      <c r="AT4531" s="2">
        <v>3334.4987339959398</v>
      </c>
      <c r="AU4531" s="2">
        <v>624.75867849824294</v>
      </c>
      <c r="AV4531" s="2">
        <v>859.44729777218004</v>
      </c>
      <c r="AW4531" s="2">
        <v>1876.6801302873901</v>
      </c>
      <c r="AX4531" s="2">
        <v>1176.19564598681</v>
      </c>
    </row>
    <row r="4532" spans="1:50" x14ac:dyDescent="0.25">
      <c r="A4532" s="2" t="s">
        <v>29767</v>
      </c>
      <c r="B4532" s="2">
        <v>291.07255435397298</v>
      </c>
      <c r="C4532" s="2">
        <v>4.9557333333333302</v>
      </c>
      <c r="D4532" s="2" t="s">
        <v>51</v>
      </c>
      <c r="E4532" s="2" t="s">
        <v>29768</v>
      </c>
      <c r="F4532" s="2">
        <v>208464</v>
      </c>
      <c r="G4532" s="3" t="str">
        <f>HYPERLINK("https://cloud.oebiotech.com/#/lm/network/208464", "https://cloud.oebiotech.com/#/lm/network/208464")</f>
        <v>https://cloud.oebiotech.com/#/lm/network/208464</v>
      </c>
      <c r="H4532" s="2" t="s">
        <v>29769</v>
      </c>
      <c r="I4532" s="2"/>
      <c r="J4532" s="2"/>
      <c r="K4532" s="2">
        <v>76170965</v>
      </c>
      <c r="L4532" s="2"/>
      <c r="M4532" s="2"/>
      <c r="N4532" s="2"/>
      <c r="O4532" s="2"/>
      <c r="P4532" s="2"/>
      <c r="Q4532" s="2"/>
      <c r="R4532" s="2"/>
      <c r="S4532" s="2" t="s">
        <v>29770</v>
      </c>
      <c r="T4532" s="2" t="s">
        <v>29771</v>
      </c>
      <c r="U4532" s="2" t="s">
        <v>610</v>
      </c>
      <c r="V4532" s="2" t="s">
        <v>611</v>
      </c>
      <c r="W4532" s="2" t="s">
        <v>3746</v>
      </c>
      <c r="X4532" s="2" t="s">
        <v>147</v>
      </c>
      <c r="Y4532" s="2">
        <v>37.6</v>
      </c>
      <c r="Z4532" s="2">
        <v>0</v>
      </c>
      <c r="AA4532" s="2" t="s">
        <v>156</v>
      </c>
      <c r="AB4532" s="2" t="s">
        <v>29772</v>
      </c>
      <c r="AC4532" s="2">
        <v>-4.6081216973651999</v>
      </c>
      <c r="AD4532" s="2"/>
      <c r="AE4532" s="2">
        <v>8.7274413094209996E-2</v>
      </c>
      <c r="AF4532" s="2">
        <v>184.981778948798</v>
      </c>
      <c r="AG4532" s="2">
        <v>1120.4772673157299</v>
      </c>
      <c r="AH4532" s="4">
        <v>0.165091951746554</v>
      </c>
      <c r="AI4532" s="4">
        <v>-2.5986583044869098</v>
      </c>
      <c r="AJ4532" s="4" t="s">
        <v>62</v>
      </c>
      <c r="AK4532" s="2">
        <v>0.333537268016254</v>
      </c>
      <c r="AL4532" s="2">
        <v>0.63450213499924102</v>
      </c>
      <c r="AM4532" s="2">
        <v>314.52927412831298</v>
      </c>
      <c r="AN4532" s="2">
        <v>117.64977881370901</v>
      </c>
      <c r="AO4532" s="2">
        <v>4.9461274100480299</v>
      </c>
      <c r="AP4532" s="2">
        <v>312.43941634643699</v>
      </c>
      <c r="AQ4532" s="2">
        <v>164.451755977235</v>
      </c>
      <c r="AR4532" s="2">
        <v>195.87432101704499</v>
      </c>
      <c r="AS4532" s="2">
        <v>141.705728265885</v>
      </c>
      <c r="AT4532" s="2">
        <v>5709.6890555159098</v>
      </c>
      <c r="AU4532" s="2">
        <v>463.09440627759398</v>
      </c>
      <c r="AV4532" s="2">
        <v>114.34945902161201</v>
      </c>
      <c r="AW4532" s="2">
        <v>159.152063690158</v>
      </c>
      <c r="AX4532" s="2">
        <v>134.87289112319201</v>
      </c>
    </row>
    <row r="4533" spans="1:50" x14ac:dyDescent="0.25">
      <c r="A4533" s="2" t="s">
        <v>29773</v>
      </c>
      <c r="B4533" s="2">
        <v>119.060892627699</v>
      </c>
      <c r="C4533" s="2">
        <v>5.8374499999999996</v>
      </c>
      <c r="D4533" s="2" t="s">
        <v>51</v>
      </c>
      <c r="E4533" s="2" t="s">
        <v>29774</v>
      </c>
      <c r="F4533" s="2">
        <v>201790</v>
      </c>
      <c r="G4533" s="3" t="str">
        <f>HYPERLINK("https://cloud.oebiotech.com/#/lm/network/201790", "https://cloud.oebiotech.com/#/lm/network/201790")</f>
        <v>https://cloud.oebiotech.com/#/lm/network/201790</v>
      </c>
      <c r="H4533" s="2" t="s">
        <v>29775</v>
      </c>
      <c r="I4533" s="2"/>
      <c r="J4533" s="2"/>
      <c r="K4533" s="2">
        <v>217125</v>
      </c>
      <c r="L4533" s="2"/>
      <c r="M4533" s="2"/>
      <c r="N4533" s="2"/>
      <c r="O4533" s="2"/>
      <c r="P4533" s="2"/>
      <c r="Q4533" s="2"/>
      <c r="R4533" s="2"/>
      <c r="S4533" s="2" t="s">
        <v>29776</v>
      </c>
      <c r="T4533" s="2" t="s">
        <v>29777</v>
      </c>
      <c r="U4533" s="2" t="s">
        <v>610</v>
      </c>
      <c r="V4533" s="2" t="s">
        <v>895</v>
      </c>
      <c r="W4533" s="2" t="s">
        <v>919</v>
      </c>
      <c r="X4533" s="2" t="s">
        <v>147</v>
      </c>
      <c r="Y4533" s="2">
        <v>38.5</v>
      </c>
      <c r="Z4533" s="2">
        <v>1.66</v>
      </c>
      <c r="AA4533" s="2" t="s">
        <v>156</v>
      </c>
      <c r="AB4533" s="2" t="s">
        <v>29778</v>
      </c>
      <c r="AC4533" s="2">
        <v>3.80698246569917</v>
      </c>
      <c r="AD4533" s="2"/>
      <c r="AE4533" s="2">
        <v>8.7253142622728999E-2</v>
      </c>
      <c r="AF4533" s="2">
        <v>860.43848665451696</v>
      </c>
      <c r="AG4533" s="2">
        <v>404.486998144388</v>
      </c>
      <c r="AH4533" s="5">
        <v>2.1272339793413302</v>
      </c>
      <c r="AI4533" s="5">
        <v>1.0889787273607301</v>
      </c>
      <c r="AJ4533" s="5" t="s">
        <v>139</v>
      </c>
      <c r="AK4533" s="2">
        <v>0.55299943512134997</v>
      </c>
      <c r="AL4533" s="2">
        <v>0.77329905854890102</v>
      </c>
      <c r="AM4533" s="2">
        <v>119.291934704224</v>
      </c>
      <c r="AN4533" s="2">
        <v>160.555445453635</v>
      </c>
      <c r="AO4533" s="2">
        <v>4383.66564310785</v>
      </c>
      <c r="AP4533" s="2">
        <v>220.33419212620899</v>
      </c>
      <c r="AQ4533" s="2">
        <v>152.59478668340799</v>
      </c>
      <c r="AR4533" s="2">
        <v>126.188917851773</v>
      </c>
      <c r="AS4533" s="2">
        <v>145.26845939634799</v>
      </c>
      <c r="AT4533" s="2">
        <v>1573.2873288353701</v>
      </c>
      <c r="AU4533" s="2">
        <v>147.63718867204099</v>
      </c>
      <c r="AV4533" s="2">
        <v>195.28572925580599</v>
      </c>
      <c r="AW4533" s="2">
        <v>128.16146886085701</v>
      </c>
      <c r="AX4533" s="2">
        <v>237.28181384590701</v>
      </c>
    </row>
    <row r="4534" spans="1:50" x14ac:dyDescent="0.25">
      <c r="A4534" s="2" t="s">
        <v>29779</v>
      </c>
      <c r="B4534" s="2">
        <v>271.00644587653801</v>
      </c>
      <c r="C4534" s="2">
        <v>1.0003833333333301</v>
      </c>
      <c r="D4534" s="2" t="s">
        <v>51</v>
      </c>
      <c r="E4534" s="2" t="s">
        <v>29780</v>
      </c>
      <c r="F4534" s="2">
        <v>211109</v>
      </c>
      <c r="G4534" s="3" t="str">
        <f>HYPERLINK("https://cloud.oebiotech.com/#/lm/network/211109", "https://cloud.oebiotech.com/#/lm/network/211109")</f>
        <v>https://cloud.oebiotech.com/#/lm/network/211109</v>
      </c>
      <c r="H4534" s="2" t="s">
        <v>29781</v>
      </c>
      <c r="I4534" s="2"/>
      <c r="J4534" s="2"/>
      <c r="K4534" s="2"/>
      <c r="L4534" s="2"/>
      <c r="M4534" s="2"/>
      <c r="N4534" s="2"/>
      <c r="O4534" s="2"/>
      <c r="P4534" s="2"/>
      <c r="Q4534" s="2"/>
      <c r="R4534" s="2"/>
      <c r="S4534" s="2" t="s">
        <v>29782</v>
      </c>
      <c r="T4534" s="2" t="s">
        <v>29783</v>
      </c>
      <c r="U4534" s="2" t="s">
        <v>103</v>
      </c>
      <c r="V4534" s="2" t="s">
        <v>104</v>
      </c>
      <c r="W4534" s="2" t="s">
        <v>105</v>
      </c>
      <c r="X4534" s="2" t="s">
        <v>147</v>
      </c>
      <c r="Y4534" s="2">
        <v>38.700000000000003</v>
      </c>
      <c r="Z4534" s="2">
        <v>2.71</v>
      </c>
      <c r="AA4534" s="2" t="s">
        <v>478</v>
      </c>
      <c r="AB4534" s="2" t="s">
        <v>29784</v>
      </c>
      <c r="AC4534" s="2">
        <v>0.16247983848707301</v>
      </c>
      <c r="AD4534" s="2"/>
      <c r="AE4534" s="2">
        <v>8.7090086368585298E-2</v>
      </c>
      <c r="AF4534" s="2">
        <v>12471.7141147075</v>
      </c>
      <c r="AG4534" s="2">
        <v>12102.019120016401</v>
      </c>
      <c r="AH4534" s="5">
        <v>1.03054820778458</v>
      </c>
      <c r="AI4534" s="5">
        <v>4.34119939649927E-2</v>
      </c>
      <c r="AJ4534" s="5" t="s">
        <v>139</v>
      </c>
      <c r="AK4534" s="2">
        <v>0.942124332443526</v>
      </c>
      <c r="AL4534" s="2">
        <v>0.97569395596975605</v>
      </c>
      <c r="AM4534" s="2">
        <v>23679.014858368799</v>
      </c>
      <c r="AN4534" s="2">
        <v>11202.780184323599</v>
      </c>
      <c r="AO4534" s="2">
        <v>9742.8515469351696</v>
      </c>
      <c r="AP4534" s="2">
        <v>17387.3417699458</v>
      </c>
      <c r="AQ4534" s="2">
        <v>11698.805339446901</v>
      </c>
      <c r="AR4534" s="2">
        <v>1119.49098922502</v>
      </c>
      <c r="AS4534" s="2">
        <v>3780.0239956847499</v>
      </c>
      <c r="AT4534" s="2">
        <v>24438.247286066999</v>
      </c>
      <c r="AU4534" s="2">
        <v>2783.6317558594101</v>
      </c>
      <c r="AV4534" s="2">
        <v>23261.215627760001</v>
      </c>
      <c r="AW4534" s="2">
        <v>8279.2416034730504</v>
      </c>
      <c r="AX4534" s="2">
        <v>10069.754451254101</v>
      </c>
    </row>
    <row r="4535" spans="1:50" x14ac:dyDescent="0.25">
      <c r="A4535" s="2" t="s">
        <v>29785</v>
      </c>
      <c r="B4535" s="2">
        <v>246.124791113665</v>
      </c>
      <c r="C4535" s="2">
        <v>4.0044000000000004</v>
      </c>
      <c r="D4535" s="2" t="s">
        <v>51</v>
      </c>
      <c r="E4535" s="2" t="s">
        <v>29786</v>
      </c>
      <c r="F4535" s="2">
        <v>256893</v>
      </c>
      <c r="G4535" s="3" t="str">
        <f>HYPERLINK("https://cloud.oebiotech.com/#/lm/network/256893", "https://cloud.oebiotech.com/#/lm/network/256893")</f>
        <v>https://cloud.oebiotech.com/#/lm/network/256893</v>
      </c>
      <c r="H4535" s="2" t="s">
        <v>29787</v>
      </c>
      <c r="I4535" s="2"/>
      <c r="J4535" s="2"/>
      <c r="K4535" s="2">
        <v>73818658</v>
      </c>
      <c r="L4535" s="2"/>
      <c r="M4535" s="2"/>
      <c r="N4535" s="2"/>
      <c r="O4535" s="2"/>
      <c r="P4535" s="2"/>
      <c r="Q4535" s="2"/>
      <c r="R4535" s="2"/>
      <c r="S4535" s="2" t="s">
        <v>29788</v>
      </c>
      <c r="T4535" s="2" t="s">
        <v>29789</v>
      </c>
      <c r="U4535" s="2" t="s">
        <v>56</v>
      </c>
      <c r="V4535" s="2" t="s">
        <v>177</v>
      </c>
      <c r="W4535" s="2" t="s">
        <v>1996</v>
      </c>
      <c r="X4535" s="2" t="s">
        <v>147</v>
      </c>
      <c r="Y4535" s="2">
        <v>38.200000000000003</v>
      </c>
      <c r="Z4535" s="2">
        <v>0</v>
      </c>
      <c r="AA4535" s="2" t="s">
        <v>156</v>
      </c>
      <c r="AB4535" s="2" t="s">
        <v>29790</v>
      </c>
      <c r="AC4535" s="2">
        <v>-0.96805958056541996</v>
      </c>
      <c r="AD4535" s="2"/>
      <c r="AE4535" s="2">
        <v>8.7076605164390294E-2</v>
      </c>
      <c r="AF4535" s="2">
        <v>1561.7197795346599</v>
      </c>
      <c r="AG4535" s="2">
        <v>2095.8441656080199</v>
      </c>
      <c r="AH4535" s="4">
        <v>0.74515071547869105</v>
      </c>
      <c r="AI4535" s="4">
        <v>-0.42439583779219903</v>
      </c>
      <c r="AJ4535" s="4" t="s">
        <v>62</v>
      </c>
      <c r="AK4535" s="2">
        <v>0.48005798949400802</v>
      </c>
      <c r="AL4535" s="2">
        <v>0.72466419619270905</v>
      </c>
      <c r="AM4535" s="2">
        <v>503.45108378324801</v>
      </c>
      <c r="AN4535" s="2">
        <v>2887.3398310611001</v>
      </c>
      <c r="AO4535" s="2">
        <v>1309.4271846936299</v>
      </c>
      <c r="AP4535" s="2">
        <v>2291.3781159095101</v>
      </c>
      <c r="AQ4535" s="2">
        <v>1386.0917992872101</v>
      </c>
      <c r="AR4535" s="2">
        <v>992.63066247325298</v>
      </c>
      <c r="AS4535" s="2">
        <v>2160.53150783007</v>
      </c>
      <c r="AT4535" s="2">
        <v>3409.4355575497302</v>
      </c>
      <c r="AU4535" s="2">
        <v>696.03769505804405</v>
      </c>
      <c r="AV4535" s="2">
        <v>425.358032144417</v>
      </c>
      <c r="AW4535" s="2">
        <v>1498.64405494478</v>
      </c>
      <c r="AX4535" s="2">
        <v>4385.0581461210904</v>
      </c>
    </row>
    <row r="4536" spans="1:50" x14ac:dyDescent="0.25">
      <c r="A4536" s="2" t="s">
        <v>29791</v>
      </c>
      <c r="B4536" s="2">
        <v>557.38262772016299</v>
      </c>
      <c r="C4536" s="2">
        <v>12.2162666666667</v>
      </c>
      <c r="D4536" s="2" t="s">
        <v>51</v>
      </c>
      <c r="E4536" s="2" t="s">
        <v>29792</v>
      </c>
      <c r="F4536" s="2">
        <v>212782</v>
      </c>
      <c r="G4536" s="3" t="str">
        <f>HYPERLINK("https://cloud.oebiotech.com/#/lm/network/212782", "https://cloud.oebiotech.com/#/lm/network/212782")</f>
        <v>https://cloud.oebiotech.com/#/lm/network/212782</v>
      </c>
      <c r="H4536" s="2" t="s">
        <v>29793</v>
      </c>
      <c r="I4536" s="2"/>
      <c r="J4536" s="2"/>
      <c r="K4536" s="2"/>
      <c r="L4536" s="2"/>
      <c r="M4536" s="2"/>
      <c r="N4536" s="2"/>
      <c r="O4536" s="2"/>
      <c r="P4536" s="2"/>
      <c r="Q4536" s="2"/>
      <c r="R4536" s="2"/>
      <c r="S4536" s="2" t="s">
        <v>29794</v>
      </c>
      <c r="T4536" s="2" t="s">
        <v>29795</v>
      </c>
      <c r="U4536" s="2" t="s">
        <v>56</v>
      </c>
      <c r="V4536" s="2" t="s">
        <v>145</v>
      </c>
      <c r="W4536" s="2" t="s">
        <v>1188</v>
      </c>
      <c r="X4536" s="2" t="s">
        <v>147</v>
      </c>
      <c r="Y4536" s="2">
        <v>36.799999999999997</v>
      </c>
      <c r="Z4536" s="2">
        <v>0</v>
      </c>
      <c r="AA4536" s="2" t="s">
        <v>218</v>
      </c>
      <c r="AB4536" s="2" t="s">
        <v>29796</v>
      </c>
      <c r="AC4536" s="2">
        <v>3.6836844056415101</v>
      </c>
      <c r="AD4536" s="2"/>
      <c r="AE4536" s="2">
        <v>8.6886955405440502E-2</v>
      </c>
      <c r="AF4536" s="2">
        <v>1572.84689452625</v>
      </c>
      <c r="AG4536" s="2">
        <v>1087.5393147713301</v>
      </c>
      <c r="AH4536" s="5">
        <v>1.44624371106709</v>
      </c>
      <c r="AI4536" s="5">
        <v>0.53231068584475005</v>
      </c>
      <c r="AJ4536" s="5" t="s">
        <v>139</v>
      </c>
      <c r="AK4536" s="2">
        <v>0.23653806243483899</v>
      </c>
      <c r="AL4536" s="2">
        <v>0.56083325745832202</v>
      </c>
      <c r="AM4536" s="2">
        <v>983.36288702018203</v>
      </c>
      <c r="AN4536" s="2">
        <v>2038.6609666243201</v>
      </c>
      <c r="AO4536" s="2">
        <v>1631.52427488477</v>
      </c>
      <c r="AP4536" s="2">
        <v>2161.71800515312</v>
      </c>
      <c r="AQ4536" s="2">
        <v>1549.3589406907399</v>
      </c>
      <c r="AR4536" s="2">
        <v>1072.4562927843499</v>
      </c>
      <c r="AS4536" s="2">
        <v>493.372684487546</v>
      </c>
      <c r="AT4536" s="2">
        <v>1292.02124207255</v>
      </c>
      <c r="AU4536" s="2">
        <v>464.81054049525301</v>
      </c>
      <c r="AV4536" s="2">
        <v>233.35466161389499</v>
      </c>
      <c r="AW4536" s="2">
        <v>2154.7168866137499</v>
      </c>
      <c r="AX4536" s="2">
        <v>1886.95987334496</v>
      </c>
    </row>
    <row r="4537" spans="1:50" x14ac:dyDescent="0.25">
      <c r="A4537" s="2" t="s">
        <v>29797</v>
      </c>
      <c r="B4537" s="2">
        <v>403.36229102969202</v>
      </c>
      <c r="C4537" s="2">
        <v>10.09835</v>
      </c>
      <c r="D4537" s="2" t="s">
        <v>51</v>
      </c>
      <c r="E4537" s="2" t="s">
        <v>29798</v>
      </c>
      <c r="F4537" s="2">
        <v>212569</v>
      </c>
      <c r="G4537" s="3" t="str">
        <f>HYPERLINK("https://cloud.oebiotech.com/#/lm/network/212569", "https://cloud.oebiotech.com/#/lm/network/212569")</f>
        <v>https://cloud.oebiotech.com/#/lm/network/212569</v>
      </c>
      <c r="H4537" s="2" t="s">
        <v>29799</v>
      </c>
      <c r="I4537" s="2">
        <v>316718</v>
      </c>
      <c r="J4537" s="2"/>
      <c r="K4537" s="2">
        <v>13831</v>
      </c>
      <c r="L4537" s="2"/>
      <c r="M4537" s="2"/>
      <c r="N4537" s="2"/>
      <c r="O4537" s="2"/>
      <c r="P4537" s="2"/>
      <c r="Q4537" s="2"/>
      <c r="R4537" s="2"/>
      <c r="S4537" s="2" t="s">
        <v>29800</v>
      </c>
      <c r="T4537" s="2" t="s">
        <v>29801</v>
      </c>
      <c r="U4537" s="2" t="s">
        <v>21173</v>
      </c>
      <c r="V4537" s="2" t="s">
        <v>21174</v>
      </c>
      <c r="W4537" s="2" t="s">
        <v>240</v>
      </c>
      <c r="X4537" s="2" t="s">
        <v>147</v>
      </c>
      <c r="Y4537" s="2">
        <v>39</v>
      </c>
      <c r="Z4537" s="2">
        <v>0</v>
      </c>
      <c r="AA4537" s="2" t="s">
        <v>478</v>
      </c>
      <c r="AB4537" s="2" t="s">
        <v>29802</v>
      </c>
      <c r="AC4537" s="2">
        <v>-1.25511287648318</v>
      </c>
      <c r="AD4537" s="2"/>
      <c r="AE4537" s="2">
        <v>8.6747716086743698E-2</v>
      </c>
      <c r="AF4537" s="2">
        <v>2426.9258183031602</v>
      </c>
      <c r="AG4537" s="2">
        <v>2726.87856708565</v>
      </c>
      <c r="AH4537" s="4">
        <v>0.89000142785857295</v>
      </c>
      <c r="AI4537" s="4">
        <v>-0.16812044424334999</v>
      </c>
      <c r="AJ4537" s="4" t="s">
        <v>62</v>
      </c>
      <c r="AK4537" s="2">
        <v>0.26648795499840899</v>
      </c>
      <c r="AL4537" s="2">
        <v>0.58793719391510602</v>
      </c>
      <c r="AM4537" s="2">
        <v>1660.24746992418</v>
      </c>
      <c r="AN4537" s="2">
        <v>2923.8984887732399</v>
      </c>
      <c r="AO4537" s="2">
        <v>2318.35896895723</v>
      </c>
      <c r="AP4537" s="2">
        <v>2341.6412726769199</v>
      </c>
      <c r="AQ4537" s="2">
        <v>2909.4446470870698</v>
      </c>
      <c r="AR4537" s="2">
        <v>2407.96406240034</v>
      </c>
      <c r="AS4537" s="2">
        <v>2866.1492346045302</v>
      </c>
      <c r="AT4537" s="2">
        <v>3125.02062990475</v>
      </c>
      <c r="AU4537" s="2">
        <v>2321.9101569621398</v>
      </c>
      <c r="AV4537" s="2">
        <v>2661.6358763757598</v>
      </c>
      <c r="AW4537" s="2">
        <v>2186.6927798913498</v>
      </c>
      <c r="AX4537" s="2">
        <v>3199.8627247753402</v>
      </c>
    </row>
    <row r="4538" spans="1:50" x14ac:dyDescent="0.25">
      <c r="A4538" s="2" t="s">
        <v>29803</v>
      </c>
      <c r="B4538" s="2">
        <v>383.33195474400702</v>
      </c>
      <c r="C4538" s="2">
        <v>9.1970500000000008</v>
      </c>
      <c r="D4538" s="2" t="s">
        <v>51</v>
      </c>
      <c r="E4538" s="2" t="s">
        <v>29804</v>
      </c>
      <c r="F4538" s="2">
        <v>43431</v>
      </c>
      <c r="G4538" s="3" t="str">
        <f>HYPERLINK("https://cloud.oebiotech.com/#/lm/network/43431", "https://cloud.oebiotech.com/#/lm/network/43431")</f>
        <v>https://cloud.oebiotech.com/#/lm/network/43431</v>
      </c>
      <c r="H4538" s="2" t="s">
        <v>29805</v>
      </c>
      <c r="I4538" s="2">
        <v>3901</v>
      </c>
      <c r="J4538" s="2" t="s">
        <v>29806</v>
      </c>
      <c r="K4538" s="2">
        <v>91474</v>
      </c>
      <c r="L4538" s="2"/>
      <c r="M4538" s="2"/>
      <c r="N4538" s="2"/>
      <c r="O4538" s="2">
        <v>64294</v>
      </c>
      <c r="P4538" s="2" t="s">
        <v>29807</v>
      </c>
      <c r="Q4538" s="2" t="s">
        <v>29808</v>
      </c>
      <c r="R4538" s="2" t="s">
        <v>29809</v>
      </c>
      <c r="S4538" s="2" t="s">
        <v>29810</v>
      </c>
      <c r="T4538" s="2" t="s">
        <v>29811</v>
      </c>
      <c r="U4538" s="2" t="s">
        <v>56</v>
      </c>
      <c r="V4538" s="2" t="s">
        <v>283</v>
      </c>
      <c r="W4538" s="2" t="s">
        <v>1108</v>
      </c>
      <c r="X4538" s="2" t="s">
        <v>147</v>
      </c>
      <c r="Y4538" s="2">
        <v>37.5</v>
      </c>
      <c r="Z4538" s="2">
        <v>0</v>
      </c>
      <c r="AA4538" s="2" t="s">
        <v>156</v>
      </c>
      <c r="AB4538" s="2" t="s">
        <v>1174</v>
      </c>
      <c r="AC4538" s="2">
        <v>2.7785385299877801</v>
      </c>
      <c r="AD4538" s="2"/>
      <c r="AE4538" s="2">
        <v>8.6670838452736695E-2</v>
      </c>
      <c r="AF4538" s="2">
        <v>1846.8276105996199</v>
      </c>
      <c r="AG4538" s="2">
        <v>2477.9189451238399</v>
      </c>
      <c r="AH4538" s="4">
        <v>0.74531397172368696</v>
      </c>
      <c r="AI4538" s="4">
        <v>-0.424079790081692</v>
      </c>
      <c r="AJ4538" s="4" t="s">
        <v>62</v>
      </c>
      <c r="AK4538" s="2">
        <v>0.233205835916727</v>
      </c>
      <c r="AL4538" s="2">
        <v>0.55850869214909504</v>
      </c>
      <c r="AM4538" s="2">
        <v>2303.2509127891899</v>
      </c>
      <c r="AN4538" s="2">
        <v>1672.3652125425299</v>
      </c>
      <c r="AO4538" s="2">
        <v>914.43161424838604</v>
      </c>
      <c r="AP4538" s="2">
        <v>1465.6701118127401</v>
      </c>
      <c r="AQ4538" s="2">
        <v>2453.7077403237499</v>
      </c>
      <c r="AR4538" s="2">
        <v>2271.5400718811302</v>
      </c>
      <c r="AS4538" s="2">
        <v>1685.3386617963399</v>
      </c>
      <c r="AT4538" s="2">
        <v>4603.8479073025301</v>
      </c>
      <c r="AU4538" s="2">
        <v>2202.7918219175999</v>
      </c>
      <c r="AV4538" s="2">
        <v>2007.6376452291399</v>
      </c>
      <c r="AW4538" s="2">
        <v>2162.5305611375402</v>
      </c>
      <c r="AX4538" s="2">
        <v>2205.3670733599201</v>
      </c>
    </row>
    <row r="4539" spans="1:50" x14ac:dyDescent="0.25">
      <c r="A4539" s="2" t="s">
        <v>29812</v>
      </c>
      <c r="B4539" s="2">
        <v>485.16677853350802</v>
      </c>
      <c r="C4539" s="2">
        <v>5.0034000000000001</v>
      </c>
      <c r="D4539" s="2" t="s">
        <v>51</v>
      </c>
      <c r="E4539" s="2" t="s">
        <v>29813</v>
      </c>
      <c r="F4539" s="2">
        <v>198669</v>
      </c>
      <c r="G4539" s="3" t="str">
        <f>HYPERLINK("https://cloud.oebiotech.com/#/lm/network/198669", "https://cloud.oebiotech.com/#/lm/network/198669")</f>
        <v>https://cloud.oebiotech.com/#/lm/network/198669</v>
      </c>
      <c r="H4539" s="2" t="s">
        <v>29814</v>
      </c>
      <c r="I4539" s="2"/>
      <c r="J4539" s="2"/>
      <c r="K4539" s="2">
        <v>121596235</v>
      </c>
      <c r="L4539" s="2"/>
      <c r="M4539" s="2"/>
      <c r="N4539" s="2"/>
      <c r="O4539" s="2">
        <v>133148</v>
      </c>
      <c r="P4539" s="2"/>
      <c r="Q4539" s="2"/>
      <c r="R4539" s="2"/>
      <c r="S4539" s="2" t="s">
        <v>29815</v>
      </c>
      <c r="T4539" s="2" t="s">
        <v>29816</v>
      </c>
      <c r="U4539" s="2" t="s">
        <v>331</v>
      </c>
      <c r="V4539" s="2" t="s">
        <v>332</v>
      </c>
      <c r="W4539" s="2" t="s">
        <v>333</v>
      </c>
      <c r="X4539" s="2" t="s">
        <v>69</v>
      </c>
      <c r="Y4539" s="2">
        <v>56.6</v>
      </c>
      <c r="Z4539" s="2">
        <v>74.900000000000006</v>
      </c>
      <c r="AA4539" s="2" t="s">
        <v>218</v>
      </c>
      <c r="AB4539" s="2" t="s">
        <v>29817</v>
      </c>
      <c r="AC4539" s="2">
        <v>0.74646444842945203</v>
      </c>
      <c r="AD4539" s="2"/>
      <c r="AE4539" s="2">
        <v>8.6658007034119397E-2</v>
      </c>
      <c r="AF4539" s="2">
        <v>7221.5728226686397</v>
      </c>
      <c r="AG4539" s="2">
        <v>8429.2643565197104</v>
      </c>
      <c r="AH4539" s="4">
        <v>0.85672634256428704</v>
      </c>
      <c r="AI4539" s="4">
        <v>-0.223093645827669</v>
      </c>
      <c r="AJ4539" s="4" t="s">
        <v>62</v>
      </c>
      <c r="AK4539" s="2">
        <v>0.60133457759852604</v>
      </c>
      <c r="AL4539" s="2">
        <v>0.80065561498148596</v>
      </c>
      <c r="AM4539" s="2">
        <v>10796.600635798301</v>
      </c>
      <c r="AN4539" s="2">
        <v>7234.4676820403001</v>
      </c>
      <c r="AO4539" s="2">
        <v>4541.0429108466597</v>
      </c>
      <c r="AP4539" s="2">
        <v>7281.0414724418197</v>
      </c>
      <c r="AQ4539" s="2">
        <v>1718.03508191845</v>
      </c>
      <c r="AR4539" s="2">
        <v>11758.2491529663</v>
      </c>
      <c r="AS4539" s="2">
        <v>7142.0534279756703</v>
      </c>
      <c r="AT4539" s="2">
        <v>12878.439344091899</v>
      </c>
      <c r="AU4539" s="2">
        <v>3860.2991649056398</v>
      </c>
      <c r="AV4539" s="2">
        <v>8326.1947162918605</v>
      </c>
      <c r="AW4539" s="2">
        <v>13427.102006851001</v>
      </c>
      <c r="AX4539" s="2">
        <v>4941.4974790021997</v>
      </c>
    </row>
    <row r="4540" spans="1:50" x14ac:dyDescent="0.25">
      <c r="A4540" s="2" t="s">
        <v>29818</v>
      </c>
      <c r="B4540" s="2">
        <v>528.309270701993</v>
      </c>
      <c r="C4540" s="2">
        <v>10.877549999999999</v>
      </c>
      <c r="D4540" s="2" t="s">
        <v>51</v>
      </c>
      <c r="E4540" s="2" t="s">
        <v>29819</v>
      </c>
      <c r="F4540" s="2">
        <v>21218</v>
      </c>
      <c r="G4540" s="3" t="str">
        <f>HYPERLINK("https://cloud.oebiotech.com/#/lm/network/21218", "https://cloud.oebiotech.com/#/lm/network/21218")</f>
        <v>https://cloud.oebiotech.com/#/lm/network/21218</v>
      </c>
      <c r="H4540" s="2" t="s">
        <v>29820</v>
      </c>
      <c r="I4540" s="2">
        <v>62281</v>
      </c>
      <c r="J4540" s="2" t="s">
        <v>29821</v>
      </c>
      <c r="K4540" s="2">
        <v>53480942</v>
      </c>
      <c r="L4540" s="2"/>
      <c r="M4540" s="2"/>
      <c r="N4540" s="2"/>
      <c r="O4540" s="2"/>
      <c r="P4540" s="2"/>
      <c r="Q4540" s="2"/>
      <c r="R4540" s="2"/>
      <c r="S4540" s="2" t="s">
        <v>29822</v>
      </c>
      <c r="T4540" s="2" t="s">
        <v>29823</v>
      </c>
      <c r="U4540" s="2" t="s">
        <v>56</v>
      </c>
      <c r="V4540" s="2" t="s">
        <v>57</v>
      </c>
      <c r="W4540" s="2" t="s">
        <v>155</v>
      </c>
      <c r="X4540" s="2" t="s">
        <v>83</v>
      </c>
      <c r="Y4540" s="2">
        <v>51.2</v>
      </c>
      <c r="Z4540" s="2">
        <v>0</v>
      </c>
      <c r="AA4540" s="2" t="s">
        <v>163</v>
      </c>
      <c r="AB4540" s="2" t="s">
        <v>17331</v>
      </c>
      <c r="AC4540" s="2">
        <v>-0.55236687194289802</v>
      </c>
      <c r="AD4540" s="2"/>
      <c r="AE4540" s="2">
        <v>8.6646207093998895E-2</v>
      </c>
      <c r="AF4540" s="2">
        <v>12731.052200828701</v>
      </c>
      <c r="AG4540" s="2">
        <v>13647.3061480941</v>
      </c>
      <c r="AH4540" s="4">
        <v>0.93286191887815395</v>
      </c>
      <c r="AI4540" s="4">
        <v>-0.10026454402719601</v>
      </c>
      <c r="AJ4540" s="4" t="s">
        <v>62</v>
      </c>
      <c r="AK4540" s="2">
        <v>0.77226753534614601</v>
      </c>
      <c r="AL4540" s="2">
        <v>0.89824510976516003</v>
      </c>
      <c r="AM4540" s="2">
        <v>11918.603066206901</v>
      </c>
      <c r="AN4540" s="2">
        <v>16297.287055410599</v>
      </c>
      <c r="AO4540" s="2">
        <v>9265.2615217214498</v>
      </c>
      <c r="AP4540" s="2">
        <v>11837.194559743801</v>
      </c>
      <c r="AQ4540" s="2">
        <v>10649.4084773257</v>
      </c>
      <c r="AR4540" s="2">
        <v>16418.558524563501</v>
      </c>
      <c r="AS4540" s="2">
        <v>3325.3317674773998</v>
      </c>
      <c r="AT4540" s="2">
        <v>10198.8394320472</v>
      </c>
      <c r="AU4540" s="2">
        <v>14845.960717428199</v>
      </c>
      <c r="AV4540" s="2">
        <v>22779.762071387799</v>
      </c>
      <c r="AW4540" s="2">
        <v>19335.5179913252</v>
      </c>
      <c r="AX4540" s="2">
        <v>11398.4249088986</v>
      </c>
    </row>
    <row r="4541" spans="1:50" x14ac:dyDescent="0.25">
      <c r="A4541" s="2" t="s">
        <v>29824</v>
      </c>
      <c r="B4541" s="2">
        <v>267.23304659059602</v>
      </c>
      <c r="C4541" s="2">
        <v>12.9738333333333</v>
      </c>
      <c r="D4541" s="2" t="s">
        <v>51</v>
      </c>
      <c r="E4541" s="2" t="s">
        <v>29825</v>
      </c>
      <c r="F4541" s="2">
        <v>7296</v>
      </c>
      <c r="G4541" s="3" t="str">
        <f>HYPERLINK("https://cloud.oebiotech.com/#/lm/network/7296", "https://cloud.oebiotech.com/#/lm/network/7296")</f>
        <v>https://cloud.oebiotech.com/#/lm/network/7296</v>
      </c>
      <c r="H4541" s="2"/>
      <c r="I4541" s="2">
        <v>97263</v>
      </c>
      <c r="J4541" s="2" t="s">
        <v>29826</v>
      </c>
      <c r="K4541" s="2">
        <v>56935995</v>
      </c>
      <c r="L4541" s="2"/>
      <c r="M4541" s="2"/>
      <c r="N4541" s="2"/>
      <c r="O4541" s="2"/>
      <c r="P4541" s="2"/>
      <c r="Q4541" s="2"/>
      <c r="R4541" s="2"/>
      <c r="S4541" s="2" t="s">
        <v>29827</v>
      </c>
      <c r="T4541" s="2" t="s">
        <v>29828</v>
      </c>
      <c r="U4541" s="2" t="s">
        <v>56</v>
      </c>
      <c r="V4541" s="2" t="s">
        <v>145</v>
      </c>
      <c r="W4541" s="2" t="s">
        <v>17251</v>
      </c>
      <c r="X4541" s="2" t="s">
        <v>83</v>
      </c>
      <c r="Y4541" s="2">
        <v>42.4</v>
      </c>
      <c r="Z4541" s="2">
        <v>0</v>
      </c>
      <c r="AA4541" s="2" t="s">
        <v>163</v>
      </c>
      <c r="AB4541" s="2" t="s">
        <v>20680</v>
      </c>
      <c r="AC4541" s="2">
        <v>0.345799121443156</v>
      </c>
      <c r="AD4541" s="2"/>
      <c r="AE4541" s="2">
        <v>8.65087526221862E-2</v>
      </c>
      <c r="AF4541" s="2">
        <v>797.26395422719497</v>
      </c>
      <c r="AG4541" s="2">
        <v>1473.1656204783201</v>
      </c>
      <c r="AH4541" s="4">
        <v>0.54119098568722601</v>
      </c>
      <c r="AI4541" s="4">
        <v>-0.88579028552975503</v>
      </c>
      <c r="AJ4541" s="4" t="s">
        <v>62</v>
      </c>
      <c r="AK4541" s="2">
        <v>0.34216822097620597</v>
      </c>
      <c r="AL4541" s="2">
        <v>0.63815037094278604</v>
      </c>
      <c r="AM4541" s="2">
        <v>1045.0815806139201</v>
      </c>
      <c r="AN4541" s="2">
        <v>358.20062560033602</v>
      </c>
      <c r="AO4541" s="2">
        <v>678.21598975085601</v>
      </c>
      <c r="AP4541" s="2">
        <v>291.44797998488599</v>
      </c>
      <c r="AQ4541" s="2">
        <v>1595.71304058133</v>
      </c>
      <c r="AR4541" s="2">
        <v>814.92450883184404</v>
      </c>
      <c r="AS4541" s="2">
        <v>572.06099381347599</v>
      </c>
      <c r="AT4541" s="2">
        <v>356.50192748372802</v>
      </c>
      <c r="AU4541" s="2">
        <v>4613.3869779879296</v>
      </c>
      <c r="AV4541" s="2">
        <v>1190.1324920908201</v>
      </c>
      <c r="AW4541" s="2">
        <v>1418.8184012332499</v>
      </c>
      <c r="AX4541" s="2">
        <v>688.09293026071396</v>
      </c>
    </row>
    <row r="4542" spans="1:50" x14ac:dyDescent="0.25">
      <c r="A4542" s="2" t="s">
        <v>29829</v>
      </c>
      <c r="B4542" s="2">
        <v>628.32598820027704</v>
      </c>
      <c r="C4542" s="2">
        <v>8.9651666666666703</v>
      </c>
      <c r="D4542" s="2" t="s">
        <v>51</v>
      </c>
      <c r="E4542" s="2" t="s">
        <v>29830</v>
      </c>
      <c r="F4542" s="2">
        <v>210113</v>
      </c>
      <c r="G4542" s="3" t="str">
        <f>HYPERLINK("https://cloud.oebiotech.com/#/lm/network/210113", "https://cloud.oebiotech.com/#/lm/network/210113")</f>
        <v>https://cloud.oebiotech.com/#/lm/network/210113</v>
      </c>
      <c r="H4542" s="2" t="s">
        <v>29831</v>
      </c>
      <c r="I4542" s="2"/>
      <c r="J4542" s="2"/>
      <c r="K4542" s="2">
        <v>73153936</v>
      </c>
      <c r="L4542" s="2"/>
      <c r="M4542" s="2"/>
      <c r="N4542" s="2"/>
      <c r="O4542" s="2"/>
      <c r="P4542" s="2"/>
      <c r="Q4542" s="2"/>
      <c r="R4542" s="2"/>
      <c r="S4542" s="2" t="s">
        <v>29832</v>
      </c>
      <c r="T4542" s="2" t="s">
        <v>29833</v>
      </c>
      <c r="U4542" s="2" t="s">
        <v>266</v>
      </c>
      <c r="V4542" s="2" t="s">
        <v>1988</v>
      </c>
      <c r="W4542" s="2" t="s">
        <v>240</v>
      </c>
      <c r="X4542" s="2" t="s">
        <v>59</v>
      </c>
      <c r="Y4542" s="2">
        <v>55.6</v>
      </c>
      <c r="Z4542" s="2">
        <v>90.8</v>
      </c>
      <c r="AA4542" s="2" t="s">
        <v>218</v>
      </c>
      <c r="AB4542" s="2" t="s">
        <v>29834</v>
      </c>
      <c r="AC4542" s="2">
        <v>-3.4083901818262698</v>
      </c>
      <c r="AD4542" s="2"/>
      <c r="AE4542" s="2">
        <v>8.6487143358748297E-2</v>
      </c>
      <c r="AF4542" s="2">
        <v>25859.187709460599</v>
      </c>
      <c r="AG4542" s="2">
        <v>25841.705300274301</v>
      </c>
      <c r="AH4542" s="5">
        <v>1.00067651917639</v>
      </c>
      <c r="AI4542" s="5">
        <v>9.7568086463895802E-4</v>
      </c>
      <c r="AJ4542" s="5" t="s">
        <v>139</v>
      </c>
      <c r="AK4542" s="2">
        <v>0.99761022551588296</v>
      </c>
      <c r="AL4542" s="2">
        <v>0.99895630104364996</v>
      </c>
      <c r="AM4542" s="2">
        <v>50358.074486271697</v>
      </c>
      <c r="AN4542" s="2">
        <v>15393.478161069301</v>
      </c>
      <c r="AO4542" s="2">
        <v>17199.428543493999</v>
      </c>
      <c r="AP4542" s="2">
        <v>22562.910698569402</v>
      </c>
      <c r="AQ4542" s="2">
        <v>20894.570250897701</v>
      </c>
      <c r="AR4542" s="2">
        <v>28746.664116461601</v>
      </c>
      <c r="AS4542" s="2">
        <v>22927.162254344799</v>
      </c>
      <c r="AT4542" s="2">
        <v>21035.346376648598</v>
      </c>
      <c r="AU4542" s="2">
        <v>31147.672528545201</v>
      </c>
      <c r="AV4542" s="2">
        <v>31910.2457393066</v>
      </c>
      <c r="AW4542" s="2">
        <v>28515.0173214524</v>
      </c>
      <c r="AX4542" s="2">
        <v>19514.787581348301</v>
      </c>
    </row>
    <row r="4543" spans="1:50" x14ac:dyDescent="0.25">
      <c r="A4543" s="2" t="s">
        <v>29835</v>
      </c>
      <c r="B4543" s="2">
        <v>431.28027003795302</v>
      </c>
      <c r="C4543" s="2">
        <v>11.187900000000001</v>
      </c>
      <c r="D4543" s="2" t="s">
        <v>51</v>
      </c>
      <c r="E4543" s="2" t="s">
        <v>29836</v>
      </c>
      <c r="F4543" s="2">
        <v>64982</v>
      </c>
      <c r="G4543" s="3" t="str">
        <f>HYPERLINK("https://cloud.oebiotech.com/#/lm/network/64982", "https://cloud.oebiotech.com/#/lm/network/64982")</f>
        <v>https://cloud.oebiotech.com/#/lm/network/64982</v>
      </c>
      <c r="H4543" s="2" t="s">
        <v>29837</v>
      </c>
      <c r="I4543" s="2">
        <v>96198</v>
      </c>
      <c r="J4543" s="2"/>
      <c r="K4543" s="2">
        <v>9331</v>
      </c>
      <c r="L4543" s="2"/>
      <c r="M4543" s="2"/>
      <c r="N4543" s="2"/>
      <c r="O4543" s="2"/>
      <c r="P4543" s="2"/>
      <c r="Q4543" s="2"/>
      <c r="R4543" s="2" t="s">
        <v>29838</v>
      </c>
      <c r="S4543" s="2" t="s">
        <v>29839</v>
      </c>
      <c r="T4543" s="2" t="s">
        <v>29840</v>
      </c>
      <c r="U4543" s="2" t="s">
        <v>610</v>
      </c>
      <c r="V4543" s="2" t="s">
        <v>611</v>
      </c>
      <c r="W4543" s="2" t="s">
        <v>5663</v>
      </c>
      <c r="X4543" s="2" t="s">
        <v>147</v>
      </c>
      <c r="Y4543" s="2">
        <v>36.299999999999997</v>
      </c>
      <c r="Z4543" s="2">
        <v>0</v>
      </c>
      <c r="AA4543" s="2" t="s">
        <v>259</v>
      </c>
      <c r="AB4543" s="2" t="s">
        <v>29841</v>
      </c>
      <c r="AC4543" s="2">
        <v>-0.62314629174073799</v>
      </c>
      <c r="AD4543" s="2"/>
      <c r="AE4543" s="2">
        <v>8.6418108794985404E-2</v>
      </c>
      <c r="AF4543" s="2">
        <v>7684.0281329436903</v>
      </c>
      <c r="AG4543" s="2">
        <v>8110.8839542843598</v>
      </c>
      <c r="AH4543" s="4">
        <v>0.94737246596714197</v>
      </c>
      <c r="AI4543" s="4">
        <v>-7.7996352237535205E-2</v>
      </c>
      <c r="AJ4543" s="4" t="s">
        <v>62</v>
      </c>
      <c r="AK4543" s="2">
        <v>0.787979698503668</v>
      </c>
      <c r="AL4543" s="2">
        <v>0.90628350833325799</v>
      </c>
      <c r="AM4543" s="2">
        <v>6352.6379418448996</v>
      </c>
      <c r="AN4543" s="2">
        <v>4230.83142479056</v>
      </c>
      <c r="AO4543" s="2">
        <v>6788.1990158584904</v>
      </c>
      <c r="AP4543" s="2">
        <v>11627.239405935599</v>
      </c>
      <c r="AQ4543" s="2">
        <v>9779.9846297587192</v>
      </c>
      <c r="AR4543" s="2">
        <v>7325.2763794738703</v>
      </c>
      <c r="AS4543" s="2">
        <v>11424.984354266</v>
      </c>
      <c r="AT4543" s="2">
        <v>10552.8870952175</v>
      </c>
      <c r="AU4543" s="2">
        <v>6275.3332978833096</v>
      </c>
      <c r="AV4543" s="2">
        <v>4042.7596273679101</v>
      </c>
      <c r="AW4543" s="2">
        <v>8484.3032598354694</v>
      </c>
      <c r="AX4543" s="2">
        <v>7885.0360911359403</v>
      </c>
    </row>
    <row r="4544" spans="1:50" x14ac:dyDescent="0.25">
      <c r="A4544" s="2" t="s">
        <v>29842</v>
      </c>
      <c r="B4544" s="2">
        <v>195.113534232944</v>
      </c>
      <c r="C4544" s="2">
        <v>3.5042</v>
      </c>
      <c r="D4544" s="2" t="s">
        <v>51</v>
      </c>
      <c r="E4544" s="2" t="s">
        <v>29843</v>
      </c>
      <c r="F4544" s="2">
        <v>211687</v>
      </c>
      <c r="G4544" s="3" t="str">
        <f>HYPERLINK("https://cloud.oebiotech.com/#/lm/network/211687", "https://cloud.oebiotech.com/#/lm/network/211687")</f>
        <v>https://cloud.oebiotech.com/#/lm/network/211687</v>
      </c>
      <c r="H4544" s="2" t="s">
        <v>29844</v>
      </c>
      <c r="I4544" s="2"/>
      <c r="J4544" s="2"/>
      <c r="K4544" s="2">
        <v>56990431</v>
      </c>
      <c r="L4544" s="2"/>
      <c r="M4544" s="2"/>
      <c r="N4544" s="2"/>
      <c r="O4544" s="2"/>
      <c r="P4544" s="2"/>
      <c r="Q4544" s="2"/>
      <c r="R4544" s="2"/>
      <c r="S4544" s="2" t="s">
        <v>29845</v>
      </c>
      <c r="T4544" s="2" t="s">
        <v>29846</v>
      </c>
      <c r="U4544" s="2" t="s">
        <v>266</v>
      </c>
      <c r="V4544" s="2" t="s">
        <v>4187</v>
      </c>
      <c r="W4544" s="2" t="s">
        <v>240</v>
      </c>
      <c r="X4544" s="2" t="s">
        <v>83</v>
      </c>
      <c r="Y4544" s="2">
        <v>39.6</v>
      </c>
      <c r="Z4544" s="2">
        <v>0</v>
      </c>
      <c r="AA4544" s="2" t="s">
        <v>512</v>
      </c>
      <c r="AB4544" s="2" t="s">
        <v>29847</v>
      </c>
      <c r="AC4544" s="2">
        <v>4.1230543545235099</v>
      </c>
      <c r="AD4544" s="2"/>
      <c r="AE4544" s="2">
        <v>8.6368579166589202E-2</v>
      </c>
      <c r="AF4544" s="2">
        <v>3926.8354274885601</v>
      </c>
      <c r="AG4544" s="2">
        <v>4279.0568751171904</v>
      </c>
      <c r="AH4544" s="4">
        <v>0.91768713108797295</v>
      </c>
      <c r="AI4544" s="4">
        <v>-0.123925718332245</v>
      </c>
      <c r="AJ4544" s="4" t="s">
        <v>62</v>
      </c>
      <c r="AK4544" s="2">
        <v>0.78991680205611103</v>
      </c>
      <c r="AL4544" s="2">
        <v>0.90720404853569203</v>
      </c>
      <c r="AM4544" s="2">
        <v>1795.02969404282</v>
      </c>
      <c r="AN4544" s="2">
        <v>5285.7602854134202</v>
      </c>
      <c r="AO4544" s="2">
        <v>2972.6429966555102</v>
      </c>
      <c r="AP4544" s="2">
        <v>3763.9675548462901</v>
      </c>
      <c r="AQ4544" s="2">
        <v>3071.8176877603801</v>
      </c>
      <c r="AR4544" s="2">
        <v>6671.7943462129397</v>
      </c>
      <c r="AS4544" s="2">
        <v>1153.61977992177</v>
      </c>
      <c r="AT4544" s="2">
        <v>1786.9086263217901</v>
      </c>
      <c r="AU4544" s="2">
        <v>3380.3628674637298</v>
      </c>
      <c r="AV4544" s="2">
        <v>5029.5706366714703</v>
      </c>
      <c r="AW4544" s="2">
        <v>6905.4154635878203</v>
      </c>
      <c r="AX4544" s="2">
        <v>7418.4638767365504</v>
      </c>
    </row>
    <row r="4545" spans="1:50" x14ac:dyDescent="0.25">
      <c r="A4545" s="2" t="s">
        <v>29848</v>
      </c>
      <c r="B4545" s="2">
        <v>415.16973783585303</v>
      </c>
      <c r="C4545" s="2">
        <v>4.1742499999999998</v>
      </c>
      <c r="D4545" s="2" t="s">
        <v>51</v>
      </c>
      <c r="E4545" s="2" t="s">
        <v>29849</v>
      </c>
      <c r="F4545" s="2">
        <v>207736</v>
      </c>
      <c r="G4545" s="3" t="str">
        <f>HYPERLINK("https://cloud.oebiotech.com/#/lm/network/207736", "https://cloud.oebiotech.com/#/lm/network/207736")</f>
        <v>https://cloud.oebiotech.com/#/lm/network/207736</v>
      </c>
      <c r="H4545" s="2" t="s">
        <v>29850</v>
      </c>
      <c r="I4545" s="2"/>
      <c r="J4545" s="2"/>
      <c r="K4545" s="2">
        <v>23111123</v>
      </c>
      <c r="L4545" s="2"/>
      <c r="M4545" s="2"/>
      <c r="N4545" s="2"/>
      <c r="O4545" s="2"/>
      <c r="P4545" s="2"/>
      <c r="Q4545" s="2"/>
      <c r="R4545" s="2"/>
      <c r="S4545" s="2" t="s">
        <v>29851</v>
      </c>
      <c r="T4545" s="2" t="s">
        <v>29852</v>
      </c>
      <c r="U4545" s="2" t="s">
        <v>103</v>
      </c>
      <c r="V4545" s="2" t="s">
        <v>104</v>
      </c>
      <c r="W4545" s="2" t="s">
        <v>105</v>
      </c>
      <c r="X4545" s="2" t="s">
        <v>147</v>
      </c>
      <c r="Y4545" s="2">
        <v>39.5</v>
      </c>
      <c r="Z4545" s="2">
        <v>17.899999999999999</v>
      </c>
      <c r="AA4545" s="2" t="s">
        <v>156</v>
      </c>
      <c r="AB4545" s="2" t="s">
        <v>29853</v>
      </c>
      <c r="AC4545" s="2">
        <v>2.6218282854905</v>
      </c>
      <c r="AD4545" s="2"/>
      <c r="AE4545" s="2">
        <v>8.6360543261747899E-2</v>
      </c>
      <c r="AF4545" s="2">
        <v>3601.5156864453702</v>
      </c>
      <c r="AG4545" s="2">
        <v>3173.60945937817</v>
      </c>
      <c r="AH4545" s="5">
        <v>1.13483266688745</v>
      </c>
      <c r="AI4545" s="5">
        <v>0.18247958522632801</v>
      </c>
      <c r="AJ4545" s="5" t="s">
        <v>139</v>
      </c>
      <c r="AK4545" s="2">
        <v>0.83554882946072795</v>
      </c>
      <c r="AL4545" s="2">
        <v>0.92777767820333401</v>
      </c>
      <c r="AM4545" s="2">
        <v>8723.5431534962099</v>
      </c>
      <c r="AN4545" s="2">
        <v>618.54130719519299</v>
      </c>
      <c r="AO4545" s="2">
        <v>4892.9979764589798</v>
      </c>
      <c r="AP4545" s="2">
        <v>865.87533599277901</v>
      </c>
      <c r="AQ4545" s="2">
        <v>842.222219664362</v>
      </c>
      <c r="AR4545" s="2">
        <v>5665.9141258646896</v>
      </c>
      <c r="AS4545" s="2">
        <v>8.559877937157E-6</v>
      </c>
      <c r="AT4545" s="2">
        <v>223.98701735913801</v>
      </c>
      <c r="AU4545" s="2">
        <v>7445.2200768851299</v>
      </c>
      <c r="AV4545" s="2">
        <v>7930.6253658961796</v>
      </c>
      <c r="AW4545" s="2">
        <v>2414.1208808511401</v>
      </c>
      <c r="AX4545" s="2">
        <v>1027.70340671756</v>
      </c>
    </row>
    <row r="4546" spans="1:50" x14ac:dyDescent="0.25">
      <c r="A4546" s="2" t="s">
        <v>29854</v>
      </c>
      <c r="B4546" s="2">
        <v>313.11941687419198</v>
      </c>
      <c r="C4546" s="2">
        <v>6.9397333333333302</v>
      </c>
      <c r="D4546" s="2" t="s">
        <v>51</v>
      </c>
      <c r="E4546" s="2" t="s">
        <v>29855</v>
      </c>
      <c r="F4546" s="2">
        <v>200105</v>
      </c>
      <c r="G4546" s="3" t="str">
        <f>HYPERLINK("https://cloud.oebiotech.com/#/lm/network/200105", "https://cloud.oebiotech.com/#/lm/network/200105")</f>
        <v>https://cloud.oebiotech.com/#/lm/network/200105</v>
      </c>
      <c r="H4546" s="2" t="s">
        <v>29856</v>
      </c>
      <c r="I4546" s="2"/>
      <c r="J4546" s="2"/>
      <c r="K4546" s="2">
        <v>2604</v>
      </c>
      <c r="L4546" s="2"/>
      <c r="M4546" s="2"/>
      <c r="N4546" s="2"/>
      <c r="O4546" s="2"/>
      <c r="P4546" s="2"/>
      <c r="Q4546" s="2"/>
      <c r="R4546" s="2"/>
      <c r="S4546" s="2" t="s">
        <v>29857</v>
      </c>
      <c r="T4546" s="2" t="s">
        <v>29858</v>
      </c>
      <c r="U4546" s="2" t="s">
        <v>266</v>
      </c>
      <c r="V4546" s="2" t="s">
        <v>1393</v>
      </c>
      <c r="W4546" s="2" t="s">
        <v>29859</v>
      </c>
      <c r="X4546" s="2" t="s">
        <v>83</v>
      </c>
      <c r="Y4546" s="2">
        <v>47.6</v>
      </c>
      <c r="Z4546" s="2">
        <v>16.399999999999999</v>
      </c>
      <c r="AA4546" s="2" t="s">
        <v>218</v>
      </c>
      <c r="AB4546" s="2" t="s">
        <v>12599</v>
      </c>
      <c r="AC4546" s="2">
        <v>0.135171537254587</v>
      </c>
      <c r="AD4546" s="2"/>
      <c r="AE4546" s="2">
        <v>8.62979133507423E-2</v>
      </c>
      <c r="AF4546" s="2">
        <v>4869.76590866882</v>
      </c>
      <c r="AG4546" s="2">
        <v>5618.5918985176504</v>
      </c>
      <c r="AH4546" s="4">
        <v>0.86672354864456402</v>
      </c>
      <c r="AI4546" s="4">
        <v>-0.20635619209683501</v>
      </c>
      <c r="AJ4546" s="4" t="s">
        <v>62</v>
      </c>
      <c r="AK4546" s="2">
        <v>0.50001844662105899</v>
      </c>
      <c r="AL4546" s="2">
        <v>0.73772066252204804</v>
      </c>
      <c r="AM4546" s="2">
        <v>7052.5961001897504</v>
      </c>
      <c r="AN4546" s="2">
        <v>4778.2546091284803</v>
      </c>
      <c r="AO4546" s="2">
        <v>3995.7518015678902</v>
      </c>
      <c r="AP4546" s="2">
        <v>5551.7584669814296</v>
      </c>
      <c r="AQ4546" s="2">
        <v>3946.11246462908</v>
      </c>
      <c r="AR4546" s="2">
        <v>3894.1220095162698</v>
      </c>
      <c r="AS4546" s="2">
        <v>8374.9401589037006</v>
      </c>
      <c r="AT4546" s="2">
        <v>6379.8340208169502</v>
      </c>
      <c r="AU4546" s="2">
        <v>3647.0667098234499</v>
      </c>
      <c r="AV4546" s="2">
        <v>3775.7503696935701</v>
      </c>
      <c r="AW4546" s="2">
        <v>8116.5969169947903</v>
      </c>
      <c r="AX4546" s="2">
        <v>3417.36321487343</v>
      </c>
    </row>
    <row r="4547" spans="1:50" x14ac:dyDescent="0.25">
      <c r="A4547" s="2" t="s">
        <v>29860</v>
      </c>
      <c r="B4547" s="2">
        <v>503.25143716622199</v>
      </c>
      <c r="C4547" s="2">
        <v>4.59985</v>
      </c>
      <c r="D4547" s="2" t="s">
        <v>51</v>
      </c>
      <c r="E4547" s="2" t="s">
        <v>29861</v>
      </c>
      <c r="F4547" s="2">
        <v>59916</v>
      </c>
      <c r="G4547" s="3" t="str">
        <f>HYPERLINK("https://cloud.oebiotech.com/#/lm/network/59916", "https://cloud.oebiotech.com/#/lm/network/59916")</f>
        <v>https://cloud.oebiotech.com/#/lm/network/59916</v>
      </c>
      <c r="H4547" s="2" t="s">
        <v>29862</v>
      </c>
      <c r="I4547" s="2">
        <v>91280</v>
      </c>
      <c r="J4547" s="2"/>
      <c r="K4547" s="2">
        <v>85163169</v>
      </c>
      <c r="L4547" s="2"/>
      <c r="M4547" s="2"/>
      <c r="N4547" s="2"/>
      <c r="O4547" s="2"/>
      <c r="P4547" s="2"/>
      <c r="Q4547" s="2"/>
      <c r="R4547" s="2"/>
      <c r="S4547" s="2" t="s">
        <v>29863</v>
      </c>
      <c r="T4547" s="2" t="s">
        <v>29864</v>
      </c>
      <c r="U4547" s="2" t="s">
        <v>56</v>
      </c>
      <c r="V4547" s="2" t="s">
        <v>145</v>
      </c>
      <c r="W4547" s="2" t="s">
        <v>3263</v>
      </c>
      <c r="X4547" s="2" t="s">
        <v>147</v>
      </c>
      <c r="Y4547" s="2">
        <v>38.299999999999997</v>
      </c>
      <c r="Z4547" s="2">
        <v>1.64</v>
      </c>
      <c r="AA4547" s="2" t="s">
        <v>218</v>
      </c>
      <c r="AB4547" s="2" t="s">
        <v>29865</v>
      </c>
      <c r="AC4547" s="2">
        <v>3.60391886022652</v>
      </c>
      <c r="AD4547" s="2"/>
      <c r="AE4547" s="2">
        <v>8.62932736303679E-2</v>
      </c>
      <c r="AF4547" s="2">
        <v>2631.6979100951498</v>
      </c>
      <c r="AG4547" s="2">
        <v>6395.2891717309803</v>
      </c>
      <c r="AH4547" s="4">
        <v>0.41150569418002497</v>
      </c>
      <c r="AI4547" s="4">
        <v>-1.2810157009149501</v>
      </c>
      <c r="AJ4547" s="4" t="s">
        <v>62</v>
      </c>
      <c r="AK4547" s="2">
        <v>0.56801470156789102</v>
      </c>
      <c r="AL4547" s="2">
        <v>0.78311574344879098</v>
      </c>
      <c r="AM4547" s="2">
        <v>11360.7339785897</v>
      </c>
      <c r="AN4547" s="2">
        <v>8.559877937157E-6</v>
      </c>
      <c r="AO4547" s="2">
        <v>534.64736017618804</v>
      </c>
      <c r="AP4547" s="2">
        <v>915.685502746819</v>
      </c>
      <c r="AQ4547" s="2">
        <v>2247.8714605883101</v>
      </c>
      <c r="AR4547" s="2">
        <v>731.249149910033</v>
      </c>
      <c r="AS4547" s="2">
        <v>8.559877937157E-6</v>
      </c>
      <c r="AT4547" s="2">
        <v>8.559877937157E-6</v>
      </c>
      <c r="AU4547" s="2">
        <v>37007.347617699801</v>
      </c>
      <c r="AV4547" s="2">
        <v>363.55710700099701</v>
      </c>
      <c r="AW4547" s="2">
        <v>602.98490682330601</v>
      </c>
      <c r="AX4547" s="2">
        <v>397.84538174205198</v>
      </c>
    </row>
    <row r="4548" spans="1:50" x14ac:dyDescent="0.25">
      <c r="A4548" s="2" t="s">
        <v>29866</v>
      </c>
      <c r="B4548" s="2">
        <v>210.185772212595</v>
      </c>
      <c r="C4548" s="2">
        <v>11.880366666666699</v>
      </c>
      <c r="D4548" s="2" t="s">
        <v>51</v>
      </c>
      <c r="E4548" s="2" t="s">
        <v>29867</v>
      </c>
      <c r="F4548" s="2">
        <v>56210</v>
      </c>
      <c r="G4548" s="3" t="str">
        <f>HYPERLINK("https://cloud.oebiotech.com/#/lm/network/56210", "https://cloud.oebiotech.com/#/lm/network/56210")</f>
        <v>https://cloud.oebiotech.com/#/lm/network/56210</v>
      </c>
      <c r="H4548" s="2" t="s">
        <v>29868</v>
      </c>
      <c r="I4548" s="2">
        <v>87904</v>
      </c>
      <c r="J4548" s="2"/>
      <c r="K4548" s="2">
        <v>93199</v>
      </c>
      <c r="L4548" s="2"/>
      <c r="M4548" s="2"/>
      <c r="N4548" s="2"/>
      <c r="O4548" s="2"/>
      <c r="P4548" s="2"/>
      <c r="Q4548" s="2"/>
      <c r="R4548" s="2" t="s">
        <v>29869</v>
      </c>
      <c r="S4548" s="2" t="s">
        <v>29870</v>
      </c>
      <c r="T4548" s="2" t="s">
        <v>29871</v>
      </c>
      <c r="U4548" s="2" t="s">
        <v>56</v>
      </c>
      <c r="V4548" s="2" t="s">
        <v>177</v>
      </c>
      <c r="W4548" s="2" t="s">
        <v>584</v>
      </c>
      <c r="X4548" s="2" t="s">
        <v>69</v>
      </c>
      <c r="Y4548" s="2">
        <v>62.5</v>
      </c>
      <c r="Z4548" s="2">
        <v>89.9</v>
      </c>
      <c r="AA4548" s="2" t="s">
        <v>3354</v>
      </c>
      <c r="AB4548" s="2" t="s">
        <v>7957</v>
      </c>
      <c r="AC4548" s="2">
        <v>2.7656399709472899</v>
      </c>
      <c r="AD4548" s="2"/>
      <c r="AE4548" s="2">
        <v>8.6250228073909002E-2</v>
      </c>
      <c r="AF4548" s="2">
        <v>12994.6189445294</v>
      </c>
      <c r="AG4548" s="2">
        <v>11312.198547809099</v>
      </c>
      <c r="AH4548" s="5">
        <v>1.14872620822644</v>
      </c>
      <c r="AI4548" s="5">
        <v>0.20003498153243701</v>
      </c>
      <c r="AJ4548" s="5" t="s">
        <v>139</v>
      </c>
      <c r="AK4548" s="2">
        <v>0.87627776725393502</v>
      </c>
      <c r="AL4548" s="2">
        <v>0.947279880587512</v>
      </c>
      <c r="AM4548" s="2">
        <v>575.76932170343002</v>
      </c>
      <c r="AN4548" s="2">
        <v>402.32111852712399</v>
      </c>
      <c r="AO4548" s="2">
        <v>42143.377800013201</v>
      </c>
      <c r="AP4548" s="2">
        <v>369.99196058094901</v>
      </c>
      <c r="AQ4548" s="2">
        <v>33541.575272890303</v>
      </c>
      <c r="AR4548" s="2">
        <v>934.67819346124099</v>
      </c>
      <c r="AS4548" s="2">
        <v>29447.269679731999</v>
      </c>
      <c r="AT4548" s="2">
        <v>8.559877937157E-6</v>
      </c>
      <c r="AU4548" s="2">
        <v>36582.102142881202</v>
      </c>
      <c r="AV4548" s="2">
        <v>998.21671061899804</v>
      </c>
      <c r="AW4548" s="2">
        <v>609.98938697718802</v>
      </c>
      <c r="AX4548" s="2">
        <v>235.61335808512999</v>
      </c>
    </row>
    <row r="4549" spans="1:50" x14ac:dyDescent="0.25">
      <c r="A4549" s="2" t="s">
        <v>29872</v>
      </c>
      <c r="B4549" s="2">
        <v>397.01619201755602</v>
      </c>
      <c r="C4549" s="2">
        <v>3.6124666666666698</v>
      </c>
      <c r="D4549" s="2" t="s">
        <v>51</v>
      </c>
      <c r="E4549" s="2" t="s">
        <v>29873</v>
      </c>
      <c r="F4549" s="2">
        <v>210770</v>
      </c>
      <c r="G4549" s="3" t="str">
        <f>HYPERLINK("https://cloud.oebiotech.com/#/lm/network/210770", "https://cloud.oebiotech.com/#/lm/network/210770")</f>
        <v>https://cloud.oebiotech.com/#/lm/network/210770</v>
      </c>
      <c r="H4549" s="2" t="s">
        <v>29874</v>
      </c>
      <c r="I4549" s="2"/>
      <c r="J4549" s="2"/>
      <c r="K4549" s="2"/>
      <c r="L4549" s="2"/>
      <c r="M4549" s="2"/>
      <c r="N4549" s="2"/>
      <c r="O4549" s="2"/>
      <c r="P4549" s="2"/>
      <c r="Q4549" s="2"/>
      <c r="R4549" s="2"/>
      <c r="S4549" s="2" t="s">
        <v>29875</v>
      </c>
      <c r="T4549" s="2" t="s">
        <v>29876</v>
      </c>
      <c r="U4549" s="2" t="s">
        <v>103</v>
      </c>
      <c r="V4549" s="2" t="s">
        <v>104</v>
      </c>
      <c r="W4549" s="2" t="s">
        <v>1139</v>
      </c>
      <c r="X4549" s="2" t="s">
        <v>147</v>
      </c>
      <c r="Y4549" s="2">
        <v>43.8</v>
      </c>
      <c r="Z4549" s="2">
        <v>23.2</v>
      </c>
      <c r="AA4549" s="2" t="s">
        <v>478</v>
      </c>
      <c r="AB4549" s="2" t="s">
        <v>29877</v>
      </c>
      <c r="AC4549" s="2">
        <v>0.23788687403935099</v>
      </c>
      <c r="AD4549" s="2"/>
      <c r="AE4549" s="2">
        <v>8.6219831597476607E-2</v>
      </c>
      <c r="AF4549" s="2">
        <v>7791.5300761580602</v>
      </c>
      <c r="AG4549" s="2">
        <v>8721.8310028646792</v>
      </c>
      <c r="AH4549" s="4">
        <v>0.89333651083114796</v>
      </c>
      <c r="AI4549" s="4">
        <v>-0.16272436852446601</v>
      </c>
      <c r="AJ4549" s="4" t="s">
        <v>62</v>
      </c>
      <c r="AK4549" s="2">
        <v>0.59176878420471801</v>
      </c>
      <c r="AL4549" s="2">
        <v>0.79384060507313303</v>
      </c>
      <c r="AM4549" s="2">
        <v>5633.43025812003</v>
      </c>
      <c r="AN4549" s="2">
        <v>8987.4476797587904</v>
      </c>
      <c r="AO4549" s="2">
        <v>6255.95441707393</v>
      </c>
      <c r="AP4549" s="2">
        <v>10074.449180898901</v>
      </c>
      <c r="AQ4549" s="2">
        <v>8630.1611173939891</v>
      </c>
      <c r="AR4549" s="2">
        <v>7167.7378037027502</v>
      </c>
      <c r="AS4549" s="2">
        <v>9341.8001816530796</v>
      </c>
      <c r="AT4549" s="2">
        <v>14029.442298228199</v>
      </c>
      <c r="AU4549" s="2">
        <v>7651.6897062895096</v>
      </c>
      <c r="AV4549" s="2">
        <v>3450.8292979282201</v>
      </c>
      <c r="AW4549" s="2">
        <v>6450.1918747024401</v>
      </c>
      <c r="AX4549" s="2">
        <v>11407.032658386601</v>
      </c>
    </row>
    <row r="4550" spans="1:50" x14ac:dyDescent="0.25">
      <c r="A4550" s="2" t="s">
        <v>29878</v>
      </c>
      <c r="B4550" s="2">
        <v>567.46321805058699</v>
      </c>
      <c r="C4550" s="2">
        <v>14.1726666666667</v>
      </c>
      <c r="D4550" s="2" t="s">
        <v>51</v>
      </c>
      <c r="E4550" s="2" t="s">
        <v>29879</v>
      </c>
      <c r="F4550" s="2">
        <v>92046</v>
      </c>
      <c r="G4550" s="3" t="str">
        <f>HYPERLINK("https://cloud.oebiotech.com/#/lm/network/92046", "https://cloud.oebiotech.com/#/lm/network/92046")</f>
        <v>https://cloud.oebiotech.com/#/lm/network/92046</v>
      </c>
      <c r="H4550" s="2" t="s">
        <v>29880</v>
      </c>
      <c r="I4550" s="2"/>
      <c r="J4550" s="2"/>
      <c r="K4550" s="2">
        <v>131778029</v>
      </c>
      <c r="L4550" s="2"/>
      <c r="M4550" s="2"/>
      <c r="N4550" s="2"/>
      <c r="O4550" s="2"/>
      <c r="P4550" s="2"/>
      <c r="Q4550" s="2"/>
      <c r="R4550" s="2"/>
      <c r="S4550" s="2" t="s">
        <v>29881</v>
      </c>
      <c r="T4550" s="2" t="s">
        <v>29882</v>
      </c>
      <c r="U4550" s="2" t="s">
        <v>56</v>
      </c>
      <c r="V4550" s="2" t="s">
        <v>3215</v>
      </c>
      <c r="W4550" s="2" t="s">
        <v>12389</v>
      </c>
      <c r="X4550" s="2" t="s">
        <v>83</v>
      </c>
      <c r="Y4550" s="2">
        <v>43.6</v>
      </c>
      <c r="Z4550" s="2">
        <v>0</v>
      </c>
      <c r="AA4550" s="2" t="s">
        <v>163</v>
      </c>
      <c r="AB4550" s="2" t="s">
        <v>29883</v>
      </c>
      <c r="AC4550" s="2">
        <v>0.36011160237140399</v>
      </c>
      <c r="AD4550" s="2"/>
      <c r="AE4550" s="2">
        <v>8.6087970763614602E-2</v>
      </c>
      <c r="AF4550" s="2">
        <v>12952.3990148469</v>
      </c>
      <c r="AG4550" s="2">
        <v>11266.378149559499</v>
      </c>
      <c r="AH4550" s="5">
        <v>1.14965065462083</v>
      </c>
      <c r="AI4550" s="5">
        <v>0.20119553472301799</v>
      </c>
      <c r="AJ4550" s="5" t="s">
        <v>139</v>
      </c>
      <c r="AK4550" s="2">
        <v>0.74465773130373603</v>
      </c>
      <c r="AL4550" s="2">
        <v>0.88306794840433001</v>
      </c>
      <c r="AM4550" s="2">
        <v>5809.2594900004597</v>
      </c>
      <c r="AN4550" s="2">
        <v>8232.4527466115997</v>
      </c>
      <c r="AO4550" s="2">
        <v>13467.4857095348</v>
      </c>
      <c r="AP4550" s="2">
        <v>22315.868744257201</v>
      </c>
      <c r="AQ4550" s="2">
        <v>23424.4001683967</v>
      </c>
      <c r="AR4550" s="2">
        <v>4464.9272302806003</v>
      </c>
      <c r="AS4550" s="2">
        <v>6609.4557335077498</v>
      </c>
      <c r="AT4550" s="2">
        <v>28398.4575754416</v>
      </c>
      <c r="AU4550" s="2">
        <v>6533.1048743415404</v>
      </c>
      <c r="AV4550" s="2">
        <v>5311.9894655098296</v>
      </c>
      <c r="AW4550" s="2">
        <v>15009.4666979638</v>
      </c>
      <c r="AX4550" s="2">
        <v>5735.7945505927</v>
      </c>
    </row>
    <row r="4551" spans="1:50" x14ac:dyDescent="0.25">
      <c r="A4551" s="2" t="s">
        <v>29884</v>
      </c>
      <c r="B4551" s="2">
        <v>334.07206013138699</v>
      </c>
      <c r="C4551" s="2">
        <v>1.02813333333333</v>
      </c>
      <c r="D4551" s="2" t="s">
        <v>51</v>
      </c>
      <c r="E4551" s="2" t="s">
        <v>29885</v>
      </c>
      <c r="F4551" s="2">
        <v>57071</v>
      </c>
      <c r="G4551" s="3" t="str">
        <f>HYPERLINK("https://cloud.oebiotech.com/#/lm/network/57071", "https://cloud.oebiotech.com/#/lm/network/57071")</f>
        <v>https://cloud.oebiotech.com/#/lm/network/57071</v>
      </c>
      <c r="H4551" s="2" t="s">
        <v>29886</v>
      </c>
      <c r="I4551" s="2">
        <v>88723</v>
      </c>
      <c r="J4551" s="2"/>
      <c r="K4551" s="2">
        <v>14865502</v>
      </c>
      <c r="L4551" s="2"/>
      <c r="M4551" s="2"/>
      <c r="N4551" s="2"/>
      <c r="O4551" s="2"/>
      <c r="P4551" s="2"/>
      <c r="Q4551" s="2"/>
      <c r="R4551" s="2" t="s">
        <v>29887</v>
      </c>
      <c r="S4551" s="2" t="s">
        <v>29888</v>
      </c>
      <c r="T4551" s="2" t="s">
        <v>29889</v>
      </c>
      <c r="U4551" s="2" t="s">
        <v>331</v>
      </c>
      <c r="V4551" s="2" t="s">
        <v>332</v>
      </c>
      <c r="W4551" s="2" t="s">
        <v>333</v>
      </c>
      <c r="X4551" s="2" t="s">
        <v>147</v>
      </c>
      <c r="Y4551" s="2">
        <v>44.2</v>
      </c>
      <c r="Z4551" s="2">
        <v>35.9</v>
      </c>
      <c r="AA4551" s="2" t="s">
        <v>95</v>
      </c>
      <c r="AB4551" s="2" t="s">
        <v>29890</v>
      </c>
      <c r="AC4551" s="2">
        <v>0.30796821243306099</v>
      </c>
      <c r="AD4551" s="2"/>
      <c r="AE4551" s="2">
        <v>8.6043763027619902E-2</v>
      </c>
      <c r="AF4551" s="2">
        <v>3444.5939993842499</v>
      </c>
      <c r="AG4551" s="2">
        <v>2848.1102931894402</v>
      </c>
      <c r="AH4551" s="5">
        <v>1.20943139302616</v>
      </c>
      <c r="AI4551" s="5">
        <v>0.27432893240320599</v>
      </c>
      <c r="AJ4551" s="5" t="s">
        <v>139</v>
      </c>
      <c r="AK4551" s="2">
        <v>0.40207588730434002</v>
      </c>
      <c r="AL4551" s="2">
        <v>0.67012140307347201</v>
      </c>
      <c r="AM4551" s="2">
        <v>4247.5864876761298</v>
      </c>
      <c r="AN4551" s="2">
        <v>1518.86369304815</v>
      </c>
      <c r="AO4551" s="2">
        <v>2662.4379092418599</v>
      </c>
      <c r="AP4551" s="2">
        <v>5069.2914263897101</v>
      </c>
      <c r="AQ4551" s="2">
        <v>5029.3654187136199</v>
      </c>
      <c r="AR4551" s="2">
        <v>2140.0190612360102</v>
      </c>
      <c r="AS4551" s="2">
        <v>2734.2620036132498</v>
      </c>
      <c r="AT4551" s="2">
        <v>2303.6761224851698</v>
      </c>
      <c r="AU4551" s="2">
        <v>4063.2666687638698</v>
      </c>
      <c r="AV4551" s="2">
        <v>2304.0644576350601</v>
      </c>
      <c r="AW4551" s="2">
        <v>2700.9235252373601</v>
      </c>
      <c r="AX4551" s="2">
        <v>2982.4689814019198</v>
      </c>
    </row>
    <row r="4552" spans="1:50" x14ac:dyDescent="0.25">
      <c r="A4552" s="2" t="s">
        <v>29891</v>
      </c>
      <c r="B4552" s="2">
        <v>459.27306958854098</v>
      </c>
      <c r="C4552" s="2">
        <v>9.3986833333333308</v>
      </c>
      <c r="D4552" s="2" t="s">
        <v>51</v>
      </c>
      <c r="E4552" s="2" t="s">
        <v>29892</v>
      </c>
      <c r="F4552" s="2">
        <v>45006</v>
      </c>
      <c r="G4552" s="3" t="str">
        <f>HYPERLINK("https://cloud.oebiotech.com/#/lm/network/45006", "https://cloud.oebiotech.com/#/lm/network/45006")</f>
        <v>https://cloud.oebiotech.com/#/lm/network/45006</v>
      </c>
      <c r="H4552" s="2"/>
      <c r="I4552" s="2">
        <v>41882</v>
      </c>
      <c r="J4552" s="2" t="s">
        <v>29893</v>
      </c>
      <c r="K4552" s="2">
        <v>107423</v>
      </c>
      <c r="L4552" s="2" t="s">
        <v>29894</v>
      </c>
      <c r="M4552" s="2"/>
      <c r="N4552" s="2"/>
      <c r="O4552" s="2">
        <v>31676</v>
      </c>
      <c r="P4552" s="2"/>
      <c r="Q4552" s="2"/>
      <c r="R4552" s="2"/>
      <c r="S4552" s="2" t="s">
        <v>29895</v>
      </c>
      <c r="T4552" s="2" t="s">
        <v>29896</v>
      </c>
      <c r="U4552" s="2" t="s">
        <v>56</v>
      </c>
      <c r="V4552" s="2" t="s">
        <v>283</v>
      </c>
      <c r="W4552" s="2" t="s">
        <v>3686</v>
      </c>
      <c r="X4552" s="2" t="s">
        <v>83</v>
      </c>
      <c r="Y4552" s="2">
        <v>40.200000000000003</v>
      </c>
      <c r="Z4552" s="2">
        <v>0</v>
      </c>
      <c r="AA4552" s="2" t="s">
        <v>163</v>
      </c>
      <c r="AB4552" s="2" t="s">
        <v>29897</v>
      </c>
      <c r="AC4552" s="2">
        <v>-4.6557921943085496</v>
      </c>
      <c r="AD4552" s="2"/>
      <c r="AE4552" s="2">
        <v>8.5984546837924503E-2</v>
      </c>
      <c r="AF4552" s="2">
        <v>3533.8967092923399</v>
      </c>
      <c r="AG4552" s="2">
        <v>2103.3738995435701</v>
      </c>
      <c r="AH4552" s="5">
        <v>1.6801086625916499</v>
      </c>
      <c r="AI4552" s="5">
        <v>0.74855454366622198</v>
      </c>
      <c r="AJ4552" s="5" t="s">
        <v>139</v>
      </c>
      <c r="AK4552" s="2">
        <v>0.64465756722410705</v>
      </c>
      <c r="AL4552" s="2">
        <v>0.82628065125421502</v>
      </c>
      <c r="AM4552" s="2">
        <v>8.559877937157E-6</v>
      </c>
      <c r="AN4552" s="2">
        <v>229.502690698995</v>
      </c>
      <c r="AO4552" s="2">
        <v>8.559877937157E-6</v>
      </c>
      <c r="AP4552" s="2">
        <v>8.559877937157E-6</v>
      </c>
      <c r="AQ4552" s="2">
        <v>16858.2711037185</v>
      </c>
      <c r="AR4552" s="2">
        <v>4115.6064356569004</v>
      </c>
      <c r="AS4552" s="2">
        <v>8.559877937157E-6</v>
      </c>
      <c r="AT4552" s="2">
        <v>8.559877937157E-6</v>
      </c>
      <c r="AU4552" s="2">
        <v>7824.7381160402902</v>
      </c>
      <c r="AV4552" s="2">
        <v>2581.0759049552798</v>
      </c>
      <c r="AW4552" s="2">
        <v>1969.16221823152</v>
      </c>
      <c r="AX4552" s="2">
        <v>245.26714091458001</v>
      </c>
    </row>
    <row r="4553" spans="1:50" x14ac:dyDescent="0.25">
      <c r="A4553" s="2" t="s">
        <v>29898</v>
      </c>
      <c r="B4553" s="2">
        <v>283.025082445831</v>
      </c>
      <c r="C4553" s="2">
        <v>8.3100500000000004</v>
      </c>
      <c r="D4553" s="2" t="s">
        <v>51</v>
      </c>
      <c r="E4553" s="2" t="s">
        <v>29899</v>
      </c>
      <c r="F4553" s="2">
        <v>208995</v>
      </c>
      <c r="G4553" s="3" t="str">
        <f>HYPERLINK("https://cloud.oebiotech.com/#/lm/network/208995", "https://cloud.oebiotech.com/#/lm/network/208995")</f>
        <v>https://cloud.oebiotech.com/#/lm/network/208995</v>
      </c>
      <c r="H4553" s="2" t="s">
        <v>29900</v>
      </c>
      <c r="I4553" s="2"/>
      <c r="J4553" s="2"/>
      <c r="K4553" s="2">
        <v>160476</v>
      </c>
      <c r="L4553" s="2"/>
      <c r="M4553" s="2"/>
      <c r="N4553" s="2"/>
      <c r="O4553" s="2"/>
      <c r="P4553" s="2"/>
      <c r="Q4553" s="2"/>
      <c r="R4553" s="2"/>
      <c r="S4553" s="2" t="s">
        <v>29901</v>
      </c>
      <c r="T4553" s="2" t="s">
        <v>29902</v>
      </c>
      <c r="U4553" s="2" t="s">
        <v>610</v>
      </c>
      <c r="V4553" s="2" t="s">
        <v>9240</v>
      </c>
      <c r="W4553" s="2" t="s">
        <v>13051</v>
      </c>
      <c r="X4553" s="2" t="s">
        <v>69</v>
      </c>
      <c r="Y4553" s="2">
        <v>58.2</v>
      </c>
      <c r="Z4553" s="2">
        <v>78.5</v>
      </c>
      <c r="AA4553" s="2" t="s">
        <v>163</v>
      </c>
      <c r="AB4553" s="2" t="s">
        <v>29903</v>
      </c>
      <c r="AC4553" s="2">
        <v>0.953779247335379</v>
      </c>
      <c r="AD4553" s="2"/>
      <c r="AE4553" s="2">
        <v>8.5910026123993594E-2</v>
      </c>
      <c r="AF4553" s="2">
        <v>4456.07171013683</v>
      </c>
      <c r="AG4553" s="2">
        <v>6352.42629162912</v>
      </c>
      <c r="AH4553" s="4">
        <v>0.701475547383965</v>
      </c>
      <c r="AI4553" s="4">
        <v>-0.51153528082515698</v>
      </c>
      <c r="AJ4553" s="4" t="s">
        <v>62</v>
      </c>
      <c r="AK4553" s="2">
        <v>0.67144383524041695</v>
      </c>
      <c r="AL4553" s="2">
        <v>0.84135965593549</v>
      </c>
      <c r="AM4553" s="2">
        <v>1179.6339612601701</v>
      </c>
      <c r="AN4553" s="2">
        <v>2426.9169117522702</v>
      </c>
      <c r="AO4553" s="2">
        <v>5414.5780355092302</v>
      </c>
      <c r="AP4553" s="2">
        <v>638.32773759223301</v>
      </c>
      <c r="AQ4553" s="2">
        <v>16140.9411397394</v>
      </c>
      <c r="AR4553" s="2">
        <v>936.03247496765403</v>
      </c>
      <c r="AS4553" s="2">
        <v>1587.95743501016</v>
      </c>
      <c r="AT4553" s="2">
        <v>1632.7385215177601</v>
      </c>
      <c r="AU4553" s="2">
        <v>23087.013851971598</v>
      </c>
      <c r="AV4553" s="2">
        <v>1094.79246640271</v>
      </c>
      <c r="AW4553" s="2">
        <v>1407.4600618627001</v>
      </c>
      <c r="AX4553" s="2">
        <v>9304.5954130097907</v>
      </c>
    </row>
    <row r="4554" spans="1:50" x14ac:dyDescent="0.25">
      <c r="A4554" s="2" t="s">
        <v>29904</v>
      </c>
      <c r="B4554" s="2">
        <v>574.38761589945398</v>
      </c>
      <c r="C4554" s="2">
        <v>11.920066666666701</v>
      </c>
      <c r="D4554" s="2" t="s">
        <v>51</v>
      </c>
      <c r="E4554" s="2" t="s">
        <v>29905</v>
      </c>
      <c r="F4554" s="2">
        <v>19559</v>
      </c>
      <c r="G4554" s="3" t="str">
        <f>HYPERLINK("https://cloud.oebiotech.com/#/lm/network/19559", "https://cloud.oebiotech.com/#/lm/network/19559")</f>
        <v>https://cloud.oebiotech.com/#/lm/network/19559</v>
      </c>
      <c r="H4554" s="2"/>
      <c r="I4554" s="2">
        <v>40120</v>
      </c>
      <c r="J4554" s="2" t="s">
        <v>29906</v>
      </c>
      <c r="K4554" s="2">
        <v>2733535</v>
      </c>
      <c r="L4554" s="2"/>
      <c r="M4554" s="2"/>
      <c r="N4554" s="2"/>
      <c r="O4554" s="2">
        <v>52450</v>
      </c>
      <c r="P4554" s="2" t="s">
        <v>29907</v>
      </c>
      <c r="Q4554" s="2" t="s">
        <v>29908</v>
      </c>
      <c r="R4554" s="2"/>
      <c r="S4554" s="2" t="s">
        <v>29909</v>
      </c>
      <c r="T4554" s="2" t="s">
        <v>29910</v>
      </c>
      <c r="U4554" s="2" t="s">
        <v>56</v>
      </c>
      <c r="V4554" s="2" t="s">
        <v>57</v>
      </c>
      <c r="W4554" s="2" t="s">
        <v>58</v>
      </c>
      <c r="X4554" s="2" t="s">
        <v>83</v>
      </c>
      <c r="Y4554" s="2">
        <v>50.1</v>
      </c>
      <c r="Z4554" s="2">
        <v>0</v>
      </c>
      <c r="AA4554" s="2" t="s">
        <v>95</v>
      </c>
      <c r="AB4554" s="2" t="s">
        <v>18780</v>
      </c>
      <c r="AC4554" s="2">
        <v>5.9945903306807597</v>
      </c>
      <c r="AD4554" s="2"/>
      <c r="AE4554" s="2">
        <v>8.5836075147722707E-2</v>
      </c>
      <c r="AF4554" s="2">
        <v>14587.9236685341</v>
      </c>
      <c r="AG4554" s="2">
        <v>16086.1364703293</v>
      </c>
      <c r="AH4554" s="4">
        <v>0.906863105099313</v>
      </c>
      <c r="AI4554" s="4">
        <v>-0.14104330874233201</v>
      </c>
      <c r="AJ4554" s="4" t="s">
        <v>62</v>
      </c>
      <c r="AK4554" s="2">
        <v>0.77983410173546697</v>
      </c>
      <c r="AL4554" s="2">
        <v>0.90329776206650503</v>
      </c>
      <c r="AM4554" s="2">
        <v>20880.055469404098</v>
      </c>
      <c r="AN4554" s="2">
        <v>22898.907762831299</v>
      </c>
      <c r="AO4554" s="2">
        <v>9125.8387761282902</v>
      </c>
      <c r="AP4554" s="2">
        <v>19370.115624466602</v>
      </c>
      <c r="AQ4554" s="2">
        <v>6132.7038335399802</v>
      </c>
      <c r="AR4554" s="2">
        <v>9119.9205448345292</v>
      </c>
      <c r="AS4554" s="2">
        <v>1171.7412214328101</v>
      </c>
      <c r="AT4554" s="2">
        <v>6930.0044048215304</v>
      </c>
      <c r="AU4554" s="2">
        <v>16152.4586095216</v>
      </c>
      <c r="AV4554" s="2">
        <v>24344.292174521899</v>
      </c>
      <c r="AW4554" s="2">
        <v>29216.594187154002</v>
      </c>
      <c r="AX4554" s="2">
        <v>18701.728224523999</v>
      </c>
    </row>
    <row r="4555" spans="1:50" x14ac:dyDescent="0.25">
      <c r="A4555" s="2" t="s">
        <v>29911</v>
      </c>
      <c r="B4555" s="2">
        <v>161.09625186784999</v>
      </c>
      <c r="C4555" s="2">
        <v>7.3330166666666701</v>
      </c>
      <c r="D4555" s="2" t="s">
        <v>51</v>
      </c>
      <c r="E4555" s="2" t="s">
        <v>29912</v>
      </c>
      <c r="F4555" s="2">
        <v>54892</v>
      </c>
      <c r="G4555" s="3" t="str">
        <f>HYPERLINK("https://cloud.oebiotech.com/#/lm/network/54892", "https://cloud.oebiotech.com/#/lm/network/54892")</f>
        <v>https://cloud.oebiotech.com/#/lm/network/54892</v>
      </c>
      <c r="H4555" s="2" t="s">
        <v>29913</v>
      </c>
      <c r="I4555" s="2">
        <v>86681</v>
      </c>
      <c r="J4555" s="2"/>
      <c r="K4555" s="2">
        <v>5374699</v>
      </c>
      <c r="L4555" s="2"/>
      <c r="M4555" s="2"/>
      <c r="N4555" s="2"/>
      <c r="O4555" s="2"/>
      <c r="P4555" s="2"/>
      <c r="Q4555" s="2"/>
      <c r="R4555" s="2" t="s">
        <v>29914</v>
      </c>
      <c r="S4555" s="2" t="s">
        <v>29915</v>
      </c>
      <c r="T4555" s="2" t="s">
        <v>29916</v>
      </c>
      <c r="U4555" s="2" t="s">
        <v>331</v>
      </c>
      <c r="V4555" s="2" t="s">
        <v>332</v>
      </c>
      <c r="W4555" s="2" t="s">
        <v>519</v>
      </c>
      <c r="X4555" s="2" t="s">
        <v>83</v>
      </c>
      <c r="Y4555" s="2">
        <v>56.3</v>
      </c>
      <c r="Z4555" s="2">
        <v>0</v>
      </c>
      <c r="AA4555" s="2" t="s">
        <v>379</v>
      </c>
      <c r="AB4555" s="2" t="s">
        <v>26796</v>
      </c>
      <c r="AC4555" s="2">
        <v>-5.2009229407820099</v>
      </c>
      <c r="AD4555" s="2"/>
      <c r="AE4555" s="2">
        <v>8.57735415478975E-2</v>
      </c>
      <c r="AF4555" s="2">
        <v>10432.732583196999</v>
      </c>
      <c r="AG4555" s="2">
        <v>9354.5413334641307</v>
      </c>
      <c r="AH4555" s="5">
        <v>1.11525859059235</v>
      </c>
      <c r="AI4555" s="5">
        <v>0.15737826091780299</v>
      </c>
      <c r="AJ4555" s="5" t="s">
        <v>139</v>
      </c>
      <c r="AK4555" s="2">
        <v>0.82460428709642197</v>
      </c>
      <c r="AL4555" s="2">
        <v>0.92318982698311502</v>
      </c>
      <c r="AM4555" s="2">
        <v>15469.026062426399</v>
      </c>
      <c r="AN4555" s="2">
        <v>6725.6225646776902</v>
      </c>
      <c r="AO4555" s="2">
        <v>10086.1617580989</v>
      </c>
      <c r="AP4555" s="2">
        <v>367.20441488952298</v>
      </c>
      <c r="AQ4555" s="2">
        <v>6075.8132900350702</v>
      </c>
      <c r="AR4555" s="2">
        <v>23872.5674090547</v>
      </c>
      <c r="AS4555" s="2">
        <v>14126.895922960901</v>
      </c>
      <c r="AT4555" s="2">
        <v>9608.0604480520706</v>
      </c>
      <c r="AU4555" s="2">
        <v>2939.5819355283502</v>
      </c>
      <c r="AV4555" s="2">
        <v>1393.8586257270999</v>
      </c>
      <c r="AW4555" s="2">
        <v>5015.8453930836504</v>
      </c>
      <c r="AX4555" s="2">
        <v>23043.005675432702</v>
      </c>
    </row>
    <row r="4556" spans="1:50" x14ac:dyDescent="0.25">
      <c r="A4556" s="2" t="s">
        <v>29917</v>
      </c>
      <c r="B4556" s="2">
        <v>302.13557349626302</v>
      </c>
      <c r="C4556" s="2">
        <v>0.75693333333333301</v>
      </c>
      <c r="D4556" s="2" t="s">
        <v>51</v>
      </c>
      <c r="E4556" s="2" t="s">
        <v>29918</v>
      </c>
      <c r="F4556" s="2">
        <v>209063</v>
      </c>
      <c r="G4556" s="3" t="str">
        <f>HYPERLINK("https://cloud.oebiotech.com/#/lm/network/209063", "https://cloud.oebiotech.com/#/lm/network/209063")</f>
        <v>https://cloud.oebiotech.com/#/lm/network/209063</v>
      </c>
      <c r="H4556" s="2" t="s">
        <v>29919</v>
      </c>
      <c r="I4556" s="2"/>
      <c r="J4556" s="2"/>
      <c r="K4556" s="2">
        <v>3450503</v>
      </c>
      <c r="L4556" s="2"/>
      <c r="M4556" s="2"/>
      <c r="N4556" s="2"/>
      <c r="O4556" s="2">
        <v>25520</v>
      </c>
      <c r="P4556" s="2"/>
      <c r="Q4556" s="2"/>
      <c r="R4556" s="2"/>
      <c r="S4556" s="2" t="s">
        <v>29920</v>
      </c>
      <c r="T4556" s="2" t="s">
        <v>29921</v>
      </c>
      <c r="U4556" s="2" t="s">
        <v>103</v>
      </c>
      <c r="V4556" s="2" t="s">
        <v>104</v>
      </c>
      <c r="W4556" s="2" t="s">
        <v>105</v>
      </c>
      <c r="X4556" s="2" t="s">
        <v>83</v>
      </c>
      <c r="Y4556" s="2">
        <v>39</v>
      </c>
      <c r="Z4556" s="2">
        <v>0</v>
      </c>
      <c r="AA4556" s="2" t="s">
        <v>163</v>
      </c>
      <c r="AB4556" s="2" t="s">
        <v>7676</v>
      </c>
      <c r="AC4556" s="2">
        <v>-0.61184637274361298</v>
      </c>
      <c r="AD4556" s="2"/>
      <c r="AE4556" s="2">
        <v>8.5738239705116306E-2</v>
      </c>
      <c r="AF4556" s="2">
        <v>4632.86304903573</v>
      </c>
      <c r="AG4556" s="2">
        <v>3566.8028654263599</v>
      </c>
      <c r="AH4556" s="5">
        <v>1.2988839652291599</v>
      </c>
      <c r="AI4556" s="5">
        <v>0.37727255452279901</v>
      </c>
      <c r="AJ4556" s="5" t="s">
        <v>139</v>
      </c>
      <c r="AK4556" s="2">
        <v>0.70762895499590295</v>
      </c>
      <c r="AL4556" s="2">
        <v>0.86090022660054899</v>
      </c>
      <c r="AM4556" s="2">
        <v>9734.8011059265991</v>
      </c>
      <c r="AN4556" s="2">
        <v>999.98791301625795</v>
      </c>
      <c r="AO4556" s="2">
        <v>710.00763181627997</v>
      </c>
      <c r="AP4556" s="2">
        <v>8.559877937157E-6</v>
      </c>
      <c r="AQ4556" s="2">
        <v>11176.755280563901</v>
      </c>
      <c r="AR4556" s="2">
        <v>5175.6263543314599</v>
      </c>
      <c r="AS4556" s="2">
        <v>8.559877937157E-6</v>
      </c>
      <c r="AT4556" s="2">
        <v>8.559877937157E-6</v>
      </c>
      <c r="AU4556" s="2">
        <v>2418.3618466882399</v>
      </c>
      <c r="AV4556" s="2">
        <v>12214.490954951199</v>
      </c>
      <c r="AW4556" s="2">
        <v>1371.8370905229201</v>
      </c>
      <c r="AX4556" s="2">
        <v>5396.1272832760196</v>
      </c>
    </row>
    <row r="4557" spans="1:50" x14ac:dyDescent="0.25">
      <c r="A4557" s="2" t="s">
        <v>29922</v>
      </c>
      <c r="B4557" s="2">
        <v>201.03415000161999</v>
      </c>
      <c r="C4557" s="2">
        <v>0.70636666666666703</v>
      </c>
      <c r="D4557" s="2" t="s">
        <v>51</v>
      </c>
      <c r="E4557" s="2" t="s">
        <v>29923</v>
      </c>
      <c r="F4557" s="2">
        <v>199092</v>
      </c>
      <c r="G4557" s="3" t="str">
        <f>HYPERLINK("https://cloud.oebiotech.com/#/lm/network/199092", "https://cloud.oebiotech.com/#/lm/network/199092")</f>
        <v>https://cloud.oebiotech.com/#/lm/network/199092</v>
      </c>
      <c r="H4557" s="2" t="s">
        <v>29924</v>
      </c>
      <c r="I4557" s="2"/>
      <c r="J4557" s="2"/>
      <c r="K4557" s="2">
        <v>22242589</v>
      </c>
      <c r="L4557" s="2"/>
      <c r="M4557" s="2"/>
      <c r="N4557" s="2"/>
      <c r="O4557" s="2"/>
      <c r="P4557" s="2"/>
      <c r="Q4557" s="2"/>
      <c r="R4557" s="2"/>
      <c r="S4557" s="2" t="s">
        <v>29925</v>
      </c>
      <c r="T4557" s="2" t="s">
        <v>29926</v>
      </c>
      <c r="U4557" s="2" t="s">
        <v>103</v>
      </c>
      <c r="V4557" s="2" t="s">
        <v>104</v>
      </c>
      <c r="W4557" s="2" t="s">
        <v>105</v>
      </c>
      <c r="X4557" s="2" t="s">
        <v>147</v>
      </c>
      <c r="Y4557" s="2">
        <v>38.4</v>
      </c>
      <c r="Z4557" s="2">
        <v>0</v>
      </c>
      <c r="AA4557" s="2" t="s">
        <v>379</v>
      </c>
      <c r="AB4557" s="2" t="s">
        <v>27674</v>
      </c>
      <c r="AC4557" s="2">
        <v>0.96908528498792701</v>
      </c>
      <c r="AD4557" s="2"/>
      <c r="AE4557" s="2">
        <v>8.5723366535804105E-2</v>
      </c>
      <c r="AF4557" s="2">
        <v>81053.214004456197</v>
      </c>
      <c r="AG4557" s="2">
        <v>75413.835981509605</v>
      </c>
      <c r="AH4557" s="5">
        <v>1.0747790899315799</v>
      </c>
      <c r="AI4557" s="5">
        <v>0.104040158780924</v>
      </c>
      <c r="AJ4557" s="5" t="s">
        <v>139</v>
      </c>
      <c r="AK4557" s="2">
        <v>0.81991199614978705</v>
      </c>
      <c r="AL4557" s="2">
        <v>0.92139104959810403</v>
      </c>
      <c r="AM4557" s="2">
        <v>44097.963608318103</v>
      </c>
      <c r="AN4557" s="2">
        <v>61370.616284452997</v>
      </c>
      <c r="AO4557" s="2">
        <v>64167.885049712597</v>
      </c>
      <c r="AP4557" s="2">
        <v>177349.06057038001</v>
      </c>
      <c r="AQ4557" s="2">
        <v>85240.918526743801</v>
      </c>
      <c r="AR4557" s="2">
        <v>54092.839987129802</v>
      </c>
      <c r="AS4557" s="2">
        <v>58921.911871913602</v>
      </c>
      <c r="AT4557" s="2">
        <v>42085.300047911202</v>
      </c>
      <c r="AU4557" s="2">
        <v>105206.504476869</v>
      </c>
      <c r="AV4557" s="2">
        <v>51561.725087432002</v>
      </c>
      <c r="AW4557" s="2">
        <v>125702.805416943</v>
      </c>
      <c r="AX4557" s="2">
        <v>69004.768987988602</v>
      </c>
    </row>
    <row r="4558" spans="1:50" x14ac:dyDescent="0.25">
      <c r="A4558" s="2" t="s">
        <v>29927</v>
      </c>
      <c r="B4558" s="2">
        <v>601.26782228549803</v>
      </c>
      <c r="C4558" s="2">
        <v>5.3054166666666696</v>
      </c>
      <c r="D4558" s="2" t="s">
        <v>51</v>
      </c>
      <c r="E4558" s="2" t="s">
        <v>29928</v>
      </c>
      <c r="F4558" s="2">
        <v>213462</v>
      </c>
      <c r="G4558" s="3" t="str">
        <f>HYPERLINK("https://cloud.oebiotech.com/#/lm/network/213462", "https://cloud.oebiotech.com/#/lm/network/213462")</f>
        <v>https://cloud.oebiotech.com/#/lm/network/213462</v>
      </c>
      <c r="H4558" s="2" t="s">
        <v>29929</v>
      </c>
      <c r="I4558" s="2"/>
      <c r="J4558" s="2"/>
      <c r="K4558" s="2"/>
      <c r="L4558" s="2"/>
      <c r="M4558" s="2"/>
      <c r="N4558" s="2"/>
      <c r="O4558" s="2"/>
      <c r="P4558" s="2"/>
      <c r="Q4558" s="2"/>
      <c r="R4558" s="2"/>
      <c r="S4558" s="2" t="s">
        <v>29930</v>
      </c>
      <c r="T4558" s="2" t="s">
        <v>29931</v>
      </c>
      <c r="U4558" s="2" t="s">
        <v>610</v>
      </c>
      <c r="V4558" s="2" t="s">
        <v>813</v>
      </c>
      <c r="W4558" s="2" t="s">
        <v>240</v>
      </c>
      <c r="X4558" s="2" t="s">
        <v>147</v>
      </c>
      <c r="Y4558" s="2">
        <v>41.5</v>
      </c>
      <c r="Z4558" s="2">
        <v>20.8</v>
      </c>
      <c r="AA4558" s="2" t="s">
        <v>512</v>
      </c>
      <c r="AB4558" s="2" t="s">
        <v>29932</v>
      </c>
      <c r="AC4558" s="2">
        <v>-2.09998019075831</v>
      </c>
      <c r="AD4558" s="2"/>
      <c r="AE4558" s="2">
        <v>8.5700631635957106E-2</v>
      </c>
      <c r="AF4558" s="2">
        <v>3875.2130095799598</v>
      </c>
      <c r="AG4558" s="2">
        <v>4860.6974870485401</v>
      </c>
      <c r="AH4558" s="4">
        <v>0.79725451335030995</v>
      </c>
      <c r="AI4558" s="4">
        <v>-0.32688773512267799</v>
      </c>
      <c r="AJ4558" s="4" t="s">
        <v>62</v>
      </c>
      <c r="AK4558" s="2">
        <v>0.68210544916803395</v>
      </c>
      <c r="AL4558" s="2">
        <v>0.84661567994310405</v>
      </c>
      <c r="AM4558" s="2">
        <v>2563.5741075906799</v>
      </c>
      <c r="AN4558" s="2">
        <v>3694.0617641343301</v>
      </c>
      <c r="AO4558" s="2">
        <v>5478.4973393666896</v>
      </c>
      <c r="AP4558" s="2">
        <v>2082.0439795713801</v>
      </c>
      <c r="AQ4558" s="2">
        <v>7102.4209431015197</v>
      </c>
      <c r="AR4558" s="2">
        <v>2330.6799237151399</v>
      </c>
      <c r="AS4558" s="2">
        <v>13553.010626482899</v>
      </c>
      <c r="AT4558" s="2">
        <v>9385.06532787574</v>
      </c>
      <c r="AU4558" s="2">
        <v>16.130839242539398</v>
      </c>
      <c r="AV4558" s="2">
        <v>1869.03585905361</v>
      </c>
      <c r="AW4558" s="2">
        <v>2675.9663943314899</v>
      </c>
      <c r="AX4558" s="2">
        <v>1664.97587530496</v>
      </c>
    </row>
    <row r="4559" spans="1:50" x14ac:dyDescent="0.25">
      <c r="A4559" s="2" t="s">
        <v>29933</v>
      </c>
      <c r="B4559" s="2">
        <v>255.12346308643399</v>
      </c>
      <c r="C4559" s="2">
        <v>6.4981666666666698</v>
      </c>
      <c r="D4559" s="2" t="s">
        <v>51</v>
      </c>
      <c r="E4559" s="2" t="s">
        <v>29934</v>
      </c>
      <c r="F4559" s="2">
        <v>2663</v>
      </c>
      <c r="G4559" s="3" t="str">
        <f>HYPERLINK("https://cloud.oebiotech.com/#/lm/network/2663", "https://cloud.oebiotech.com/#/lm/network/2663")</f>
        <v>https://cloud.oebiotech.com/#/lm/network/2663</v>
      </c>
      <c r="H4559" s="2"/>
      <c r="I4559" s="2"/>
      <c r="J4559" s="2" t="s">
        <v>29935</v>
      </c>
      <c r="K4559" s="2">
        <v>134812136</v>
      </c>
      <c r="L4559" s="2"/>
      <c r="M4559" s="2"/>
      <c r="N4559" s="2"/>
      <c r="O4559" s="2"/>
      <c r="P4559" s="2"/>
      <c r="Q4559" s="2"/>
      <c r="R4559" s="2"/>
      <c r="S4559" s="2" t="s">
        <v>29936</v>
      </c>
      <c r="T4559" s="2" t="s">
        <v>29937</v>
      </c>
      <c r="U4559" s="2" t="s">
        <v>56</v>
      </c>
      <c r="V4559" s="2" t="s">
        <v>145</v>
      </c>
      <c r="W4559" s="2" t="s">
        <v>231</v>
      </c>
      <c r="X4559" s="2" t="s">
        <v>69</v>
      </c>
      <c r="Y4559" s="2">
        <v>67.7</v>
      </c>
      <c r="Z4559" s="2">
        <v>79.099999999999994</v>
      </c>
      <c r="AA4559" s="2" t="s">
        <v>259</v>
      </c>
      <c r="AB4559" s="2" t="s">
        <v>16869</v>
      </c>
      <c r="AC4559" s="2">
        <v>3.0024913997018401</v>
      </c>
      <c r="AD4559" s="2"/>
      <c r="AE4559" s="2">
        <v>8.5628734945945403E-2</v>
      </c>
      <c r="AF4559" s="2">
        <v>1817.3492323558401</v>
      </c>
      <c r="AG4559" s="2">
        <v>1363.51032003155</v>
      </c>
      <c r="AH4559" s="5">
        <v>1.33284596798196</v>
      </c>
      <c r="AI4559" s="5">
        <v>0.414510063196044</v>
      </c>
      <c r="AJ4559" s="5" t="s">
        <v>139</v>
      </c>
      <c r="AK4559" s="2">
        <v>0.249510197025481</v>
      </c>
      <c r="AL4559" s="2">
        <v>0.57260998830316301</v>
      </c>
      <c r="AM4559" s="2">
        <v>1025.6116853983699</v>
      </c>
      <c r="AN4559" s="2">
        <v>2346.47927309743</v>
      </c>
      <c r="AO4559" s="2">
        <v>1666.69235265116</v>
      </c>
      <c r="AP4559" s="2">
        <v>1379.0071202345</v>
      </c>
      <c r="AQ4559" s="2">
        <v>1463.34184563445</v>
      </c>
      <c r="AR4559" s="2">
        <v>3022.9631171191199</v>
      </c>
      <c r="AS4559" s="2">
        <v>1155.8788865787899</v>
      </c>
      <c r="AT4559" s="2">
        <v>1880.2154189021301</v>
      </c>
      <c r="AU4559" s="2">
        <v>681.15346314139902</v>
      </c>
      <c r="AV4559" s="2">
        <v>1372.33918633493</v>
      </c>
      <c r="AW4559" s="2">
        <v>1002.08659850085</v>
      </c>
      <c r="AX4559" s="2">
        <v>2089.3883667312002</v>
      </c>
    </row>
    <row r="4560" spans="1:50" x14ac:dyDescent="0.25">
      <c r="A4560" s="2" t="s">
        <v>29938</v>
      </c>
      <c r="B4560" s="2">
        <v>417.33752502130301</v>
      </c>
      <c r="C4560" s="2">
        <v>7.6136333333333299</v>
      </c>
      <c r="D4560" s="2" t="s">
        <v>51</v>
      </c>
      <c r="E4560" s="2" t="s">
        <v>29939</v>
      </c>
      <c r="F4560" s="2">
        <v>45444</v>
      </c>
      <c r="G4560" s="3" t="str">
        <f>HYPERLINK("https://cloud.oebiotech.com/#/lm/network/45444", "https://cloud.oebiotech.com/#/lm/network/45444")</f>
        <v>https://cloud.oebiotech.com/#/lm/network/45444</v>
      </c>
      <c r="H4560" s="2"/>
      <c r="I4560" s="2">
        <v>42210</v>
      </c>
      <c r="J4560" s="2" t="s">
        <v>29940</v>
      </c>
      <c r="K4560" s="2">
        <v>5283749</v>
      </c>
      <c r="L4560" s="2"/>
      <c r="M4560" s="2"/>
      <c r="N4560" s="2"/>
      <c r="O4560" s="2"/>
      <c r="P4560" s="2"/>
      <c r="Q4560" s="2"/>
      <c r="R4560" s="2"/>
      <c r="S4560" s="2" t="s">
        <v>29941</v>
      </c>
      <c r="T4560" s="2" t="s">
        <v>29942</v>
      </c>
      <c r="U4560" s="2" t="s">
        <v>56</v>
      </c>
      <c r="V4560" s="2" t="s">
        <v>283</v>
      </c>
      <c r="W4560" s="2" t="s">
        <v>420</v>
      </c>
      <c r="X4560" s="2" t="s">
        <v>59</v>
      </c>
      <c r="Y4560" s="2">
        <v>47</v>
      </c>
      <c r="Z4560" s="2">
        <v>47.3</v>
      </c>
      <c r="AA4560" s="2" t="s">
        <v>259</v>
      </c>
      <c r="AB4560" s="2" t="s">
        <v>12916</v>
      </c>
      <c r="AC4560" s="2">
        <v>2.8903088951851301</v>
      </c>
      <c r="AD4560" s="2"/>
      <c r="AE4560" s="2">
        <v>8.5564038644995996E-2</v>
      </c>
      <c r="AF4560" s="2">
        <v>2101.9960153551201</v>
      </c>
      <c r="AG4560" s="2">
        <v>3266.88885311785</v>
      </c>
      <c r="AH4560" s="4">
        <v>0.64342440464389195</v>
      </c>
      <c r="AI4560" s="4">
        <v>-0.636157437431071</v>
      </c>
      <c r="AJ4560" s="4" t="s">
        <v>62</v>
      </c>
      <c r="AK4560" s="2">
        <v>0.36861266534031301</v>
      </c>
      <c r="AL4560" s="2">
        <v>0.65222958973558298</v>
      </c>
      <c r="AM4560" s="2">
        <v>3397.18057727929</v>
      </c>
      <c r="AN4560" s="2">
        <v>2115.7912731605902</v>
      </c>
      <c r="AO4560" s="2">
        <v>1569.52304936981</v>
      </c>
      <c r="AP4560" s="2">
        <v>2473.8715123162401</v>
      </c>
      <c r="AQ4560" s="2">
        <v>1210.12615123671</v>
      </c>
      <c r="AR4560" s="2">
        <v>1845.4835287680801</v>
      </c>
      <c r="AS4560" s="2">
        <v>1487.5978432229799</v>
      </c>
      <c r="AT4560" s="2">
        <v>9111.6032472706302</v>
      </c>
      <c r="AU4560" s="2">
        <v>1840.8357802916501</v>
      </c>
      <c r="AV4560" s="2">
        <v>1574.06203855322</v>
      </c>
      <c r="AW4560" s="2">
        <v>3171.8271243194299</v>
      </c>
      <c r="AX4560" s="2">
        <v>2415.4070850491898</v>
      </c>
    </row>
    <row r="4561" spans="1:50" x14ac:dyDescent="0.25">
      <c r="A4561" s="2" t="s">
        <v>29943</v>
      </c>
      <c r="B4561" s="2">
        <v>186.11303926284799</v>
      </c>
      <c r="C4561" s="2">
        <v>4.72983333333333</v>
      </c>
      <c r="D4561" s="2" t="s">
        <v>51</v>
      </c>
      <c r="E4561" s="2" t="s">
        <v>29944</v>
      </c>
      <c r="F4561" s="2">
        <v>115478</v>
      </c>
      <c r="G4561" s="3" t="str">
        <f>HYPERLINK("https://cloud.oebiotech.com/#/lm/network/115478", "https://cloud.oebiotech.com/#/lm/network/115478")</f>
        <v>https://cloud.oebiotech.com/#/lm/network/115478</v>
      </c>
      <c r="H4561" s="2" t="s">
        <v>29945</v>
      </c>
      <c r="I4561" s="2"/>
      <c r="J4561" s="2"/>
      <c r="K4561" s="2"/>
      <c r="L4561" s="2"/>
      <c r="M4561" s="2"/>
      <c r="N4561" s="2"/>
      <c r="O4561" s="2"/>
      <c r="P4561" s="2"/>
      <c r="Q4561" s="2"/>
      <c r="R4561" s="2"/>
      <c r="S4561" s="2" t="s">
        <v>29946</v>
      </c>
      <c r="T4561" s="2" t="s">
        <v>29947</v>
      </c>
      <c r="U4561" s="2" t="s">
        <v>103</v>
      </c>
      <c r="V4561" s="2" t="s">
        <v>104</v>
      </c>
      <c r="W4561" s="2" t="s">
        <v>105</v>
      </c>
      <c r="X4561" s="2" t="s">
        <v>69</v>
      </c>
      <c r="Y4561" s="2">
        <v>54.7</v>
      </c>
      <c r="Z4561" s="2">
        <v>66.5</v>
      </c>
      <c r="AA4561" s="2" t="s">
        <v>259</v>
      </c>
      <c r="AB4561" s="2" t="s">
        <v>10065</v>
      </c>
      <c r="AC4561" s="2">
        <v>3.0765550555765802</v>
      </c>
      <c r="AD4561" s="2"/>
      <c r="AE4561" s="2">
        <v>8.5534955073256203E-2</v>
      </c>
      <c r="AF4561" s="2">
        <v>3334.8505107937299</v>
      </c>
      <c r="AG4561" s="2">
        <v>2771.1123172040898</v>
      </c>
      <c r="AH4561" s="5">
        <v>1.2034339027291501</v>
      </c>
      <c r="AI4561" s="5">
        <v>0.26715690556517702</v>
      </c>
      <c r="AJ4561" s="5" t="s">
        <v>139</v>
      </c>
      <c r="AK4561" s="2">
        <v>0.32722449704119599</v>
      </c>
      <c r="AL4561" s="2">
        <v>0.62992073899545697</v>
      </c>
      <c r="AM4561" s="2">
        <v>2827.5971793548201</v>
      </c>
      <c r="AN4561" s="2">
        <v>3537.1947262316098</v>
      </c>
      <c r="AO4561" s="2">
        <v>3225.9601571732401</v>
      </c>
      <c r="AP4561" s="2">
        <v>4111.3800664442597</v>
      </c>
      <c r="AQ4561" s="2">
        <v>3646.2109831067501</v>
      </c>
      <c r="AR4561" s="2">
        <v>2660.75995245172</v>
      </c>
      <c r="AS4561" s="2">
        <v>1680.11782035241</v>
      </c>
      <c r="AT4561" s="2">
        <v>1922.7966346891801</v>
      </c>
      <c r="AU4561" s="2">
        <v>3524.87026686833</v>
      </c>
      <c r="AV4561" s="2">
        <v>1719.2406268228201</v>
      </c>
      <c r="AW4561" s="2">
        <v>4736.1855187947003</v>
      </c>
      <c r="AX4561" s="2">
        <v>3043.4630356970802</v>
      </c>
    </row>
    <row r="4562" spans="1:50" x14ac:dyDescent="0.25">
      <c r="A4562" s="2" t="s">
        <v>29948</v>
      </c>
      <c r="B4562" s="2">
        <v>343.09125222444601</v>
      </c>
      <c r="C4562" s="2">
        <v>4.57921666666667</v>
      </c>
      <c r="D4562" s="2" t="s">
        <v>51</v>
      </c>
      <c r="E4562" s="2" t="s">
        <v>29949</v>
      </c>
      <c r="F4562" s="2">
        <v>58364</v>
      </c>
      <c r="G4562" s="3" t="str">
        <f>HYPERLINK("https://cloud.oebiotech.com/#/lm/network/58364", "https://cloud.oebiotech.com/#/lm/network/58364")</f>
        <v>https://cloud.oebiotech.com/#/lm/network/58364</v>
      </c>
      <c r="H4562" s="2" t="s">
        <v>29950</v>
      </c>
      <c r="I4562" s="2">
        <v>89846</v>
      </c>
      <c r="J4562" s="2"/>
      <c r="K4562" s="2">
        <v>179423</v>
      </c>
      <c r="L4562" s="2"/>
      <c r="M4562" s="2"/>
      <c r="N4562" s="2"/>
      <c r="O4562" s="2"/>
      <c r="P4562" s="2"/>
      <c r="Q4562" s="2"/>
      <c r="R4562" s="2" t="s">
        <v>29951</v>
      </c>
      <c r="S4562" s="2" t="s">
        <v>29952</v>
      </c>
      <c r="T4562" s="2" t="s">
        <v>29953</v>
      </c>
      <c r="U4562" s="2" t="s">
        <v>103</v>
      </c>
      <c r="V4562" s="2" t="s">
        <v>104</v>
      </c>
      <c r="W4562" s="2" t="s">
        <v>105</v>
      </c>
      <c r="X4562" s="2" t="s">
        <v>147</v>
      </c>
      <c r="Y4562" s="2">
        <v>44.2</v>
      </c>
      <c r="Z4562" s="2">
        <v>32.6</v>
      </c>
      <c r="AA4562" s="2" t="s">
        <v>478</v>
      </c>
      <c r="AB4562" s="2" t="s">
        <v>13650</v>
      </c>
      <c r="AC4562" s="2">
        <v>4.9845496339746296</v>
      </c>
      <c r="AD4562" s="2"/>
      <c r="AE4562" s="2">
        <v>8.5447923404571802E-2</v>
      </c>
      <c r="AF4562" s="2">
        <v>5329.77065839022</v>
      </c>
      <c r="AG4562" s="2">
        <v>6273.8782791386102</v>
      </c>
      <c r="AH4562" s="4">
        <v>0.84951770201094601</v>
      </c>
      <c r="AI4562" s="4">
        <v>-0.23528408469114401</v>
      </c>
      <c r="AJ4562" s="4" t="s">
        <v>62</v>
      </c>
      <c r="AK4562" s="2">
        <v>0.53655846645553795</v>
      </c>
      <c r="AL4562" s="2">
        <v>0.76300541684946799</v>
      </c>
      <c r="AM4562" s="2">
        <v>3482.0300446168599</v>
      </c>
      <c r="AN4562" s="2">
        <v>3529.6155958141799</v>
      </c>
      <c r="AO4562" s="2">
        <v>6575.6382935750198</v>
      </c>
      <c r="AP4562" s="2">
        <v>5936.5346674791399</v>
      </c>
      <c r="AQ4562" s="2">
        <v>5532.8827773696703</v>
      </c>
      <c r="AR4562" s="2">
        <v>6921.9225714864697</v>
      </c>
      <c r="AS4562" s="2">
        <v>2895.4988575065699</v>
      </c>
      <c r="AT4562" s="2">
        <v>7648.8486935454603</v>
      </c>
      <c r="AU4562" s="2">
        <v>10367.668673825399</v>
      </c>
      <c r="AV4562" s="2">
        <v>3267.1682459058602</v>
      </c>
      <c r="AW4562" s="2">
        <v>4029.3767874888699</v>
      </c>
      <c r="AX4562" s="2">
        <v>9434.7084165595206</v>
      </c>
    </row>
    <row r="4563" spans="1:50" x14ac:dyDescent="0.25">
      <c r="A4563" s="2" t="s">
        <v>29954</v>
      </c>
      <c r="B4563" s="2">
        <v>230.187163014753</v>
      </c>
      <c r="C4563" s="2">
        <v>3.3068166666666698</v>
      </c>
      <c r="D4563" s="2" t="s">
        <v>51</v>
      </c>
      <c r="E4563" s="2" t="s">
        <v>29955</v>
      </c>
      <c r="F4563" s="2">
        <v>204343</v>
      </c>
      <c r="G4563" s="3" t="str">
        <f>HYPERLINK("https://cloud.oebiotech.com/#/lm/network/204343", "https://cloud.oebiotech.com/#/lm/network/204343")</f>
        <v>https://cloud.oebiotech.com/#/lm/network/204343</v>
      </c>
      <c r="H4563" s="2" t="s">
        <v>29956</v>
      </c>
      <c r="I4563" s="2"/>
      <c r="J4563" s="2"/>
      <c r="K4563" s="2">
        <v>9834332</v>
      </c>
      <c r="L4563" s="2"/>
      <c r="M4563" s="2"/>
      <c r="N4563" s="2"/>
      <c r="O4563" s="2"/>
      <c r="P4563" s="2"/>
      <c r="Q4563" s="2"/>
      <c r="R4563" s="2"/>
      <c r="S4563" s="2" t="s">
        <v>29957</v>
      </c>
      <c r="T4563" s="2" t="s">
        <v>29958</v>
      </c>
      <c r="U4563" s="2" t="s">
        <v>103</v>
      </c>
      <c r="V4563" s="2" t="s">
        <v>104</v>
      </c>
      <c r="W4563" s="2" t="s">
        <v>105</v>
      </c>
      <c r="X4563" s="2" t="s">
        <v>147</v>
      </c>
      <c r="Y4563" s="2">
        <v>41.6</v>
      </c>
      <c r="Z4563" s="2">
        <v>17.2</v>
      </c>
      <c r="AA4563" s="2" t="s">
        <v>512</v>
      </c>
      <c r="AB4563" s="2" t="s">
        <v>29959</v>
      </c>
      <c r="AC4563" s="2">
        <v>4.0517774849107902</v>
      </c>
      <c r="AD4563" s="2"/>
      <c r="AE4563" s="2">
        <v>8.5358525065736005E-2</v>
      </c>
      <c r="AF4563" s="2">
        <v>8061.5851629340204</v>
      </c>
      <c r="AG4563" s="2">
        <v>6769.3115808638004</v>
      </c>
      <c r="AH4563" s="5">
        <v>1.1909017728956901</v>
      </c>
      <c r="AI4563" s="5">
        <v>0.252054422773485</v>
      </c>
      <c r="AJ4563" s="5" t="s">
        <v>139</v>
      </c>
      <c r="AK4563" s="2">
        <v>0.41058238038974798</v>
      </c>
      <c r="AL4563" s="2">
        <v>0.67548655599718399</v>
      </c>
      <c r="AM4563" s="2">
        <v>5243.3077071835796</v>
      </c>
      <c r="AN4563" s="2">
        <v>9794.4724162566708</v>
      </c>
      <c r="AO4563" s="2">
        <v>4766.4438016821596</v>
      </c>
      <c r="AP4563" s="2">
        <v>11904.9556671544</v>
      </c>
      <c r="AQ4563" s="2">
        <v>6718.5964009199297</v>
      </c>
      <c r="AR4563" s="2">
        <v>9941.7349844073706</v>
      </c>
      <c r="AS4563" s="2">
        <v>4758.7976486519601</v>
      </c>
      <c r="AT4563" s="2">
        <v>6506.3993633845303</v>
      </c>
      <c r="AU4563" s="2">
        <v>5815.7535967763897</v>
      </c>
      <c r="AV4563" s="2">
        <v>7033.4843929036797</v>
      </c>
      <c r="AW4563" s="2">
        <v>5374.9552235239598</v>
      </c>
      <c r="AX4563" s="2">
        <v>11126.4792599423</v>
      </c>
    </row>
    <row r="4564" spans="1:50" x14ac:dyDescent="0.25">
      <c r="A4564" s="2" t="s">
        <v>29960</v>
      </c>
      <c r="B4564" s="2">
        <v>406.27453624242099</v>
      </c>
      <c r="C4564" s="2">
        <v>10.311249999999999</v>
      </c>
      <c r="D4564" s="2" t="s">
        <v>51</v>
      </c>
      <c r="E4564" s="2" t="s">
        <v>29961</v>
      </c>
      <c r="F4564" s="2">
        <v>209076</v>
      </c>
      <c r="G4564" s="3" t="str">
        <f>HYPERLINK("https://cloud.oebiotech.com/#/lm/network/209076", "https://cloud.oebiotech.com/#/lm/network/209076")</f>
        <v>https://cloud.oebiotech.com/#/lm/network/209076</v>
      </c>
      <c r="H4564" s="2" t="s">
        <v>29962</v>
      </c>
      <c r="I4564" s="2"/>
      <c r="J4564" s="2"/>
      <c r="K4564" s="2">
        <v>133319</v>
      </c>
      <c r="L4564" s="2"/>
      <c r="M4564" s="2"/>
      <c r="N4564" s="2"/>
      <c r="O4564" s="2"/>
      <c r="P4564" s="2"/>
      <c r="Q4564" s="2"/>
      <c r="R4564" s="2"/>
      <c r="S4564" s="2" t="s">
        <v>29963</v>
      </c>
      <c r="T4564" s="2" t="s">
        <v>29964</v>
      </c>
      <c r="U4564" s="2" t="s">
        <v>56</v>
      </c>
      <c r="V4564" s="2" t="s">
        <v>177</v>
      </c>
      <c r="W4564" s="2" t="s">
        <v>3987</v>
      </c>
      <c r="X4564" s="2" t="s">
        <v>147</v>
      </c>
      <c r="Y4564" s="2">
        <v>37.700000000000003</v>
      </c>
      <c r="Z4564" s="2">
        <v>0</v>
      </c>
      <c r="AA4564" s="2" t="s">
        <v>259</v>
      </c>
      <c r="AB4564" s="2" t="s">
        <v>29965</v>
      </c>
      <c r="AC4564" s="2">
        <v>1.1855007010466401</v>
      </c>
      <c r="AD4564" s="2"/>
      <c r="AE4564" s="2">
        <v>8.5337014791012203E-2</v>
      </c>
      <c r="AF4564" s="2">
        <v>3970.43923085387</v>
      </c>
      <c r="AG4564" s="2">
        <v>3322.1239043907099</v>
      </c>
      <c r="AH4564" s="5">
        <v>1.19515085683779</v>
      </c>
      <c r="AI4564" s="5">
        <v>0.25719273257879299</v>
      </c>
      <c r="AJ4564" s="5" t="s">
        <v>139</v>
      </c>
      <c r="AK4564" s="2">
        <v>0.43105077232101602</v>
      </c>
      <c r="AL4564" s="2">
        <v>0.68868364781212899</v>
      </c>
      <c r="AM4564" s="2">
        <v>3471.6850946659501</v>
      </c>
      <c r="AN4564" s="2">
        <v>2844.7992385371999</v>
      </c>
      <c r="AO4564" s="2">
        <v>4672.9836650631996</v>
      </c>
      <c r="AP4564" s="2">
        <v>2735.8881297900898</v>
      </c>
      <c r="AQ4564" s="2">
        <v>6022.9724737878296</v>
      </c>
      <c r="AR4564" s="2">
        <v>4074.3067832789702</v>
      </c>
      <c r="AS4564" s="2">
        <v>3293.0798909182799</v>
      </c>
      <c r="AT4564" s="2">
        <v>4016.0953646471398</v>
      </c>
      <c r="AU4564" s="2">
        <v>1672.1120185104601</v>
      </c>
      <c r="AV4564" s="2">
        <v>1468.63200559757</v>
      </c>
      <c r="AW4564" s="2">
        <v>5130.7906780480198</v>
      </c>
      <c r="AX4564" s="2">
        <v>4352.0334686227798</v>
      </c>
    </row>
    <row r="4565" spans="1:50" x14ac:dyDescent="0.25">
      <c r="A4565" s="2" t="s">
        <v>29966</v>
      </c>
      <c r="B4565" s="2">
        <v>334.31121707606098</v>
      </c>
      <c r="C4565" s="2">
        <v>11.391833333333301</v>
      </c>
      <c r="D4565" s="2" t="s">
        <v>51</v>
      </c>
      <c r="E4565" s="2" t="s">
        <v>29967</v>
      </c>
      <c r="F4565" s="2">
        <v>209107</v>
      </c>
      <c r="G4565" s="3" t="str">
        <f>HYPERLINK("https://cloud.oebiotech.com/#/lm/network/209107", "https://cloud.oebiotech.com/#/lm/network/209107")</f>
        <v>https://cloud.oebiotech.com/#/lm/network/209107</v>
      </c>
      <c r="H4565" s="2" t="s">
        <v>29968</v>
      </c>
      <c r="I4565" s="2"/>
      <c r="J4565" s="2"/>
      <c r="K4565" s="2">
        <v>54036647</v>
      </c>
      <c r="L4565" s="2"/>
      <c r="M4565" s="2"/>
      <c r="N4565" s="2"/>
      <c r="O4565" s="2"/>
      <c r="P4565" s="2"/>
      <c r="Q4565" s="2"/>
      <c r="R4565" s="2"/>
      <c r="S4565" s="2" t="s">
        <v>29969</v>
      </c>
      <c r="T4565" s="2" t="s">
        <v>29970</v>
      </c>
      <c r="U4565" s="2" t="s">
        <v>119</v>
      </c>
      <c r="V4565" s="2" t="s">
        <v>120</v>
      </c>
      <c r="W4565" s="2" t="s">
        <v>1887</v>
      </c>
      <c r="X4565" s="2" t="s">
        <v>147</v>
      </c>
      <c r="Y4565" s="2">
        <v>38.4</v>
      </c>
      <c r="Z4565" s="2">
        <v>0</v>
      </c>
      <c r="AA4565" s="2" t="s">
        <v>259</v>
      </c>
      <c r="AB4565" s="2" t="s">
        <v>29971</v>
      </c>
      <c r="AC4565" s="2">
        <v>2.3275175642604902</v>
      </c>
      <c r="AD4565" s="2"/>
      <c r="AE4565" s="2">
        <v>8.5335614597807904E-2</v>
      </c>
      <c r="AF4565" s="2">
        <v>701.01315902191595</v>
      </c>
      <c r="AG4565" s="2">
        <v>393.56481738485797</v>
      </c>
      <c r="AH4565" s="5">
        <v>1.78118858204851</v>
      </c>
      <c r="AI4565" s="5">
        <v>0.83284026881643503</v>
      </c>
      <c r="AJ4565" s="5" t="s">
        <v>139</v>
      </c>
      <c r="AK4565" s="2">
        <v>0.45174997031776998</v>
      </c>
      <c r="AL4565" s="2">
        <v>0.70528155934299797</v>
      </c>
      <c r="AM4565" s="2">
        <v>1130.00271587353</v>
      </c>
      <c r="AN4565" s="2">
        <v>292.31075629710801</v>
      </c>
      <c r="AO4565" s="2">
        <v>2256.9491867003899</v>
      </c>
      <c r="AP4565" s="2">
        <v>8.559877937157E-6</v>
      </c>
      <c r="AQ4565" s="2">
        <v>257.40230400036899</v>
      </c>
      <c r="AR4565" s="2">
        <v>269.41398270022103</v>
      </c>
      <c r="AS4565" s="2">
        <v>8.559877937157E-6</v>
      </c>
      <c r="AT4565" s="2">
        <v>8.559877937157E-6</v>
      </c>
      <c r="AU4565" s="2">
        <v>900.88907478452302</v>
      </c>
      <c r="AV4565" s="2">
        <v>851.90423096877203</v>
      </c>
      <c r="AW4565" s="2">
        <v>608.59557287621703</v>
      </c>
      <c r="AX4565" s="2">
        <v>8.559877937157E-6</v>
      </c>
    </row>
    <row r="4566" spans="1:50" x14ac:dyDescent="0.25">
      <c r="A4566" s="2" t="s">
        <v>29972</v>
      </c>
      <c r="B4566" s="2">
        <v>174.128221490361</v>
      </c>
      <c r="C4566" s="2">
        <v>14.6041833333333</v>
      </c>
      <c r="D4566" s="2" t="s">
        <v>51</v>
      </c>
      <c r="E4566" s="2" t="s">
        <v>29973</v>
      </c>
      <c r="F4566" s="2">
        <v>202166</v>
      </c>
      <c r="G4566" s="3" t="str">
        <f>HYPERLINK("https://cloud.oebiotech.com/#/lm/network/202166", "https://cloud.oebiotech.com/#/lm/network/202166")</f>
        <v>https://cloud.oebiotech.com/#/lm/network/202166</v>
      </c>
      <c r="H4566" s="2" t="s">
        <v>29974</v>
      </c>
      <c r="I4566" s="2"/>
      <c r="J4566" s="2"/>
      <c r="K4566" s="2">
        <v>97711</v>
      </c>
      <c r="L4566" s="2"/>
      <c r="M4566" s="2"/>
      <c r="N4566" s="2"/>
      <c r="O4566" s="2"/>
      <c r="P4566" s="2"/>
      <c r="Q4566" s="2"/>
      <c r="R4566" s="2"/>
      <c r="S4566" s="2" t="s">
        <v>29975</v>
      </c>
      <c r="T4566" s="2" t="s">
        <v>29976</v>
      </c>
      <c r="U4566" s="2" t="s">
        <v>266</v>
      </c>
      <c r="V4566" s="2" t="s">
        <v>12382</v>
      </c>
      <c r="W4566" s="2" t="s">
        <v>12383</v>
      </c>
      <c r="X4566" s="2" t="s">
        <v>147</v>
      </c>
      <c r="Y4566" s="2">
        <v>39</v>
      </c>
      <c r="Z4566" s="2">
        <v>4.45</v>
      </c>
      <c r="AA4566" s="2" t="s">
        <v>156</v>
      </c>
      <c r="AB4566" s="2" t="s">
        <v>25731</v>
      </c>
      <c r="AC4566" s="2">
        <v>2.5928330539941502</v>
      </c>
      <c r="AD4566" s="2"/>
      <c r="AE4566" s="2">
        <v>8.5152807879616405E-2</v>
      </c>
      <c r="AF4566" s="2">
        <v>4097.1352517981804</v>
      </c>
      <c r="AG4566" s="2">
        <v>4521.4682970625599</v>
      </c>
      <c r="AH4566" s="4">
        <v>0.90615149385431903</v>
      </c>
      <c r="AI4566" s="4">
        <v>-0.14217582920576999</v>
      </c>
      <c r="AJ4566" s="4" t="s">
        <v>62</v>
      </c>
      <c r="AK4566" s="2">
        <v>0.29058351420064998</v>
      </c>
      <c r="AL4566" s="2">
        <v>0.60469482082343495</v>
      </c>
      <c r="AM4566" s="2">
        <v>3369.0781099312399</v>
      </c>
      <c r="AN4566" s="2">
        <v>4247.8915430303996</v>
      </c>
      <c r="AO4566" s="2">
        <v>4826.0879599710897</v>
      </c>
      <c r="AP4566" s="2">
        <v>3999.4284554759101</v>
      </c>
      <c r="AQ4566" s="2">
        <v>4573.2949642586</v>
      </c>
      <c r="AR4566" s="2">
        <v>3567.0304781218601</v>
      </c>
      <c r="AS4566" s="2">
        <v>5286.3403279575796</v>
      </c>
      <c r="AT4566" s="2">
        <v>5575.7858143802996</v>
      </c>
      <c r="AU4566" s="2">
        <v>4011.0462932446299</v>
      </c>
      <c r="AV4566" s="2">
        <v>3859.2151806395</v>
      </c>
      <c r="AW4566" s="2">
        <v>3941.1111068666701</v>
      </c>
      <c r="AX4566" s="2">
        <v>4455.3110592866897</v>
      </c>
    </row>
    <row r="4567" spans="1:50" x14ac:dyDescent="0.25">
      <c r="A4567" s="2" t="s">
        <v>29977</v>
      </c>
      <c r="B4567" s="2">
        <v>294.14649651340699</v>
      </c>
      <c r="C4567" s="2">
        <v>1.75576666666667</v>
      </c>
      <c r="D4567" s="2" t="s">
        <v>51</v>
      </c>
      <c r="E4567" s="2" t="s">
        <v>29978</v>
      </c>
      <c r="F4567" s="2">
        <v>54014</v>
      </c>
      <c r="G4567" s="3" t="str">
        <f>HYPERLINK("https://cloud.oebiotech.com/#/lm/network/54014", "https://cloud.oebiotech.com/#/lm/network/54014")</f>
        <v>https://cloud.oebiotech.com/#/lm/network/54014</v>
      </c>
      <c r="H4567" s="2" t="s">
        <v>29979</v>
      </c>
      <c r="I4567" s="2">
        <v>23659</v>
      </c>
      <c r="J4567" s="2"/>
      <c r="K4567" s="2">
        <v>11779156</v>
      </c>
      <c r="L4567" s="2"/>
      <c r="M4567" s="2"/>
      <c r="N4567" s="2"/>
      <c r="O4567" s="2">
        <v>90354</v>
      </c>
      <c r="P4567" s="2"/>
      <c r="Q4567" s="2"/>
      <c r="R4567" s="2" t="s">
        <v>29980</v>
      </c>
      <c r="S4567" s="2" t="s">
        <v>29981</v>
      </c>
      <c r="T4567" s="2" t="s">
        <v>29982</v>
      </c>
      <c r="U4567" s="2" t="s">
        <v>103</v>
      </c>
      <c r="V4567" s="2" t="s">
        <v>104</v>
      </c>
      <c r="W4567" s="2" t="s">
        <v>105</v>
      </c>
      <c r="X4567" s="2" t="s">
        <v>69</v>
      </c>
      <c r="Y4567" s="2">
        <v>48.1</v>
      </c>
      <c r="Z4567" s="2">
        <v>52.6</v>
      </c>
      <c r="AA4567" s="2" t="s">
        <v>259</v>
      </c>
      <c r="AB4567" s="2" t="s">
        <v>29983</v>
      </c>
      <c r="AC4567" s="2">
        <v>5.6764457599257803</v>
      </c>
      <c r="AD4567" s="2"/>
      <c r="AE4567" s="2">
        <v>8.5083352516059294E-2</v>
      </c>
      <c r="AF4567" s="2">
        <v>2947.1940680213002</v>
      </c>
      <c r="AG4567" s="2">
        <v>2677.3196892698402</v>
      </c>
      <c r="AH4567" s="5">
        <v>1.10080020695065</v>
      </c>
      <c r="AI4567" s="5">
        <v>0.138552646379624</v>
      </c>
      <c r="AJ4567" s="5" t="s">
        <v>139</v>
      </c>
      <c r="AK4567" s="2">
        <v>0.85519965422226696</v>
      </c>
      <c r="AL4567" s="2">
        <v>0.93591158472213798</v>
      </c>
      <c r="AM4567" s="2">
        <v>4277.47168483312</v>
      </c>
      <c r="AN4567" s="2">
        <v>3631.1996136484599</v>
      </c>
      <c r="AO4567" s="2">
        <v>2727.4119437841</v>
      </c>
      <c r="AP4567" s="2">
        <v>1512.16352628919</v>
      </c>
      <c r="AQ4567" s="2">
        <v>2431.38054122311</v>
      </c>
      <c r="AR4567" s="2">
        <v>3103.5370983498001</v>
      </c>
      <c r="AS4567" s="2">
        <v>1789.6316075490299</v>
      </c>
      <c r="AT4567" s="2">
        <v>1051.5682320384101</v>
      </c>
      <c r="AU4567" s="2">
        <v>9583.9434388298196</v>
      </c>
      <c r="AV4567" s="2">
        <v>1142.5361017842699</v>
      </c>
      <c r="AW4567" s="2">
        <v>1025.75151830147</v>
      </c>
      <c r="AX4567" s="2">
        <v>1470.48723711602</v>
      </c>
    </row>
    <row r="4568" spans="1:50" x14ac:dyDescent="0.25">
      <c r="A4568" s="2" t="s">
        <v>29984</v>
      </c>
      <c r="B4568" s="2">
        <v>535.40069674014899</v>
      </c>
      <c r="C4568" s="2">
        <v>12.708216666666701</v>
      </c>
      <c r="D4568" s="2" t="s">
        <v>51</v>
      </c>
      <c r="E4568" s="2" t="s">
        <v>29985</v>
      </c>
      <c r="F4568" s="2">
        <v>35223</v>
      </c>
      <c r="G4568" s="3" t="str">
        <f>HYPERLINK("https://cloud.oebiotech.com/#/lm/network/35223", "https://cloud.oebiotech.com/#/lm/network/35223")</f>
        <v>https://cloud.oebiotech.com/#/lm/network/35223</v>
      </c>
      <c r="H4568" s="2"/>
      <c r="I4568" s="2"/>
      <c r="J4568" s="2" t="s">
        <v>29986</v>
      </c>
      <c r="K4568" s="2"/>
      <c r="L4568" s="2"/>
      <c r="M4568" s="2"/>
      <c r="N4568" s="2"/>
      <c r="O4568" s="2"/>
      <c r="P4568" s="2"/>
      <c r="Q4568" s="2"/>
      <c r="R4568" s="2"/>
      <c r="S4568" s="2" t="s">
        <v>29987</v>
      </c>
      <c r="T4568" s="2" t="s">
        <v>29988</v>
      </c>
      <c r="U4568" s="2" t="s">
        <v>610</v>
      </c>
      <c r="V4568" s="2" t="s">
        <v>611</v>
      </c>
      <c r="W4568" s="2" t="s">
        <v>1122</v>
      </c>
      <c r="X4568" s="2" t="s">
        <v>147</v>
      </c>
      <c r="Y4568" s="2">
        <v>45.1</v>
      </c>
      <c r="Z4568" s="2">
        <v>35.9</v>
      </c>
      <c r="AA4568" s="2" t="s">
        <v>218</v>
      </c>
      <c r="AB4568" s="2" t="s">
        <v>29989</v>
      </c>
      <c r="AC4568" s="2">
        <v>0.57842343126136797</v>
      </c>
      <c r="AD4568" s="2"/>
      <c r="AE4568" s="2">
        <v>8.5071414602138698E-2</v>
      </c>
      <c r="AF4568" s="2">
        <v>26566.206802228098</v>
      </c>
      <c r="AG4568" s="2">
        <v>27188.5044377142</v>
      </c>
      <c r="AH4568" s="4">
        <v>0.97711173717143196</v>
      </c>
      <c r="AI4568" s="4">
        <v>-3.3404544520080397E-2</v>
      </c>
      <c r="AJ4568" s="4" t="s">
        <v>62</v>
      </c>
      <c r="AK4568" s="2">
        <v>0.91209870915951297</v>
      </c>
      <c r="AL4568" s="2">
        <v>0.96303219567491205</v>
      </c>
      <c r="AM4568" s="2">
        <v>17146.7697358279</v>
      </c>
      <c r="AN4568" s="2">
        <v>28185.444049185899</v>
      </c>
      <c r="AO4568" s="2">
        <v>43151.831486539399</v>
      </c>
      <c r="AP4568" s="2">
        <v>32825.709143315202</v>
      </c>
      <c r="AQ4568" s="2">
        <v>22468.697815150801</v>
      </c>
      <c r="AR4568" s="2">
        <v>15618.7885833494</v>
      </c>
      <c r="AS4568" s="2">
        <v>37000.514865848003</v>
      </c>
      <c r="AT4568" s="2">
        <v>19955.282526728901</v>
      </c>
      <c r="AU4568" s="2">
        <v>26151.529022867999</v>
      </c>
      <c r="AV4568" s="2">
        <v>15307.5510697917</v>
      </c>
      <c r="AW4568" s="2">
        <v>29210.605387367501</v>
      </c>
      <c r="AX4568" s="2">
        <v>35505.543753680999</v>
      </c>
    </row>
    <row r="4569" spans="1:50" x14ac:dyDescent="0.25">
      <c r="A4569" s="2" t="s">
        <v>29990</v>
      </c>
      <c r="B4569" s="2">
        <v>159.026852294863</v>
      </c>
      <c r="C4569" s="2">
        <v>1.0625500000000001</v>
      </c>
      <c r="D4569" s="2" t="s">
        <v>51</v>
      </c>
      <c r="E4569" s="2" t="s">
        <v>29991</v>
      </c>
      <c r="F4569" s="2">
        <v>199372</v>
      </c>
      <c r="G4569" s="3" t="str">
        <f>HYPERLINK("https://cloud.oebiotech.com/#/lm/network/199372", "https://cloud.oebiotech.com/#/lm/network/199372")</f>
        <v>https://cloud.oebiotech.com/#/lm/network/199372</v>
      </c>
      <c r="H4569" s="2" t="s">
        <v>29992</v>
      </c>
      <c r="I4569" s="2"/>
      <c r="J4569" s="2"/>
      <c r="K4569" s="2">
        <v>9834037</v>
      </c>
      <c r="L4569" s="2"/>
      <c r="M4569" s="2"/>
      <c r="N4569" s="2"/>
      <c r="O4569" s="2"/>
      <c r="P4569" s="2"/>
      <c r="Q4569" s="2"/>
      <c r="R4569" s="2"/>
      <c r="S4569" s="2" t="s">
        <v>29993</v>
      </c>
      <c r="T4569" s="2" t="s">
        <v>29994</v>
      </c>
      <c r="U4569" s="2" t="s">
        <v>266</v>
      </c>
      <c r="V4569" s="2" t="s">
        <v>15289</v>
      </c>
      <c r="W4569" s="2" t="s">
        <v>240</v>
      </c>
      <c r="X4569" s="2" t="s">
        <v>147</v>
      </c>
      <c r="Y4569" s="2">
        <v>37.1</v>
      </c>
      <c r="Z4569" s="2">
        <v>0</v>
      </c>
      <c r="AA4569" s="2" t="s">
        <v>163</v>
      </c>
      <c r="AB4569" s="2" t="s">
        <v>29995</v>
      </c>
      <c r="AC4569" s="2">
        <v>-3.3900759947562702</v>
      </c>
      <c r="AD4569" s="2"/>
      <c r="AE4569" s="2">
        <v>8.4987658195537594E-2</v>
      </c>
      <c r="AF4569" s="2">
        <v>617.86532133113701</v>
      </c>
      <c r="AG4569" s="2">
        <v>861.82393468190401</v>
      </c>
      <c r="AH4569" s="4">
        <v>0.716927549197376</v>
      </c>
      <c r="AI4569" s="4">
        <v>-0.480100763540317</v>
      </c>
      <c r="AJ4569" s="4" t="s">
        <v>62</v>
      </c>
      <c r="AK4569" s="2">
        <v>0.203699832742023</v>
      </c>
      <c r="AL4569" s="2">
        <v>0.52867214213176905</v>
      </c>
      <c r="AM4569" s="2">
        <v>418.47670522871999</v>
      </c>
      <c r="AN4569" s="2">
        <v>610.29465808423299</v>
      </c>
      <c r="AO4569" s="2">
        <v>42.917550741827803</v>
      </c>
      <c r="AP4569" s="2">
        <v>826.19586994006602</v>
      </c>
      <c r="AQ4569" s="2">
        <v>1124.96618399303</v>
      </c>
      <c r="AR4569" s="2">
        <v>684.34095999894305</v>
      </c>
      <c r="AS4569" s="2">
        <v>1039.57876426705</v>
      </c>
      <c r="AT4569" s="2">
        <v>1062.49107042833</v>
      </c>
      <c r="AU4569" s="2">
        <v>775.82624653120297</v>
      </c>
      <c r="AV4569" s="2">
        <v>570.33215653070999</v>
      </c>
      <c r="AW4569" s="2">
        <v>1112.1095627791101</v>
      </c>
      <c r="AX4569" s="2">
        <v>610.60580755502099</v>
      </c>
    </row>
    <row r="4570" spans="1:50" x14ac:dyDescent="0.25">
      <c r="A4570" s="2" t="s">
        <v>29996</v>
      </c>
      <c r="B4570" s="2">
        <v>241.21697077675199</v>
      </c>
      <c r="C4570" s="2">
        <v>1.0683</v>
      </c>
      <c r="D4570" s="2" t="s">
        <v>51</v>
      </c>
      <c r="E4570" s="2" t="s">
        <v>29997</v>
      </c>
      <c r="F4570" s="2">
        <v>62972</v>
      </c>
      <c r="G4570" s="3" t="str">
        <f>HYPERLINK("https://cloud.oebiotech.com/#/lm/network/62972", "https://cloud.oebiotech.com/#/lm/network/62972")</f>
        <v>https://cloud.oebiotech.com/#/lm/network/62972</v>
      </c>
      <c r="H4570" s="2" t="s">
        <v>29998</v>
      </c>
      <c r="I4570" s="2">
        <v>94270</v>
      </c>
      <c r="J4570" s="2"/>
      <c r="K4570" s="2">
        <v>85157952</v>
      </c>
      <c r="L4570" s="2"/>
      <c r="M4570" s="2"/>
      <c r="N4570" s="2"/>
      <c r="O4570" s="2"/>
      <c r="P4570" s="2"/>
      <c r="Q4570" s="2"/>
      <c r="R4570" s="2" t="s">
        <v>29999</v>
      </c>
      <c r="S4570" s="2" t="s">
        <v>30000</v>
      </c>
      <c r="T4570" s="2" t="s">
        <v>30001</v>
      </c>
      <c r="U4570" s="2" t="s">
        <v>56</v>
      </c>
      <c r="V4570" s="2" t="s">
        <v>177</v>
      </c>
      <c r="W4570" s="2" t="s">
        <v>1996</v>
      </c>
      <c r="X4570" s="2" t="s">
        <v>147</v>
      </c>
      <c r="Y4570" s="2">
        <v>39</v>
      </c>
      <c r="Z4570" s="2">
        <v>9.0399999999999991</v>
      </c>
      <c r="AA4570" s="2" t="s">
        <v>259</v>
      </c>
      <c r="AB4570" s="2" t="s">
        <v>30002</v>
      </c>
      <c r="AC4570" s="2">
        <v>3.1814290648623702</v>
      </c>
      <c r="AD4570" s="2"/>
      <c r="AE4570" s="2">
        <v>8.4977758838317596E-2</v>
      </c>
      <c r="AF4570" s="2">
        <v>7432.0788820994003</v>
      </c>
      <c r="AG4570" s="2">
        <v>7183.1918308309696</v>
      </c>
      <c r="AH4570" s="5">
        <v>1.0346485318963901</v>
      </c>
      <c r="AI4570" s="5">
        <v>4.9140770232592799E-2</v>
      </c>
      <c r="AJ4570" s="5" t="s">
        <v>139</v>
      </c>
      <c r="AK4570" s="2">
        <v>0.68274049266379599</v>
      </c>
      <c r="AL4570" s="2">
        <v>0.846868955769424</v>
      </c>
      <c r="AM4570" s="2">
        <v>7867.0669095939002</v>
      </c>
      <c r="AN4570" s="2">
        <v>8919.0921010951897</v>
      </c>
      <c r="AO4570" s="2">
        <v>8247.0002266840893</v>
      </c>
      <c r="AP4570" s="2">
        <v>7151.1716683059603</v>
      </c>
      <c r="AQ4570" s="2">
        <v>6747.4013805251598</v>
      </c>
      <c r="AR4570" s="2">
        <v>5660.7410063920997</v>
      </c>
      <c r="AS4570" s="2">
        <v>7143.7587239570003</v>
      </c>
      <c r="AT4570" s="2">
        <v>8736.2492437923593</v>
      </c>
      <c r="AU4570" s="2">
        <v>6674.9964195175999</v>
      </c>
      <c r="AV4570" s="2">
        <v>6252.2009781501101</v>
      </c>
      <c r="AW4570" s="2">
        <v>6830.2723124426202</v>
      </c>
      <c r="AX4570" s="2">
        <v>7461.6733071261096</v>
      </c>
    </row>
    <row r="4571" spans="1:50" x14ac:dyDescent="0.25">
      <c r="A4571" s="2" t="s">
        <v>30003</v>
      </c>
      <c r="B4571" s="2">
        <v>485.29137087923198</v>
      </c>
      <c r="C4571" s="2">
        <v>11.819000000000001</v>
      </c>
      <c r="D4571" s="2" t="s">
        <v>51</v>
      </c>
      <c r="E4571" s="2" t="s">
        <v>30004</v>
      </c>
      <c r="F4571" s="2">
        <v>274653</v>
      </c>
      <c r="G4571" s="3" t="str">
        <f>HYPERLINK("https://cloud.oebiotech.com/#/lm/network/274653", "https://cloud.oebiotech.com/#/lm/network/274653")</f>
        <v>https://cloud.oebiotech.com/#/lm/network/274653</v>
      </c>
      <c r="H4571" s="2"/>
      <c r="I4571" s="2">
        <v>64812</v>
      </c>
      <c r="J4571" s="2"/>
      <c r="K4571" s="2">
        <v>16760313</v>
      </c>
      <c r="L4571" s="2"/>
      <c r="M4571" s="2"/>
      <c r="N4571" s="2"/>
      <c r="O4571" s="2"/>
      <c r="P4571" s="2"/>
      <c r="Q4571" s="2"/>
      <c r="R4571" s="2" t="s">
        <v>30005</v>
      </c>
      <c r="S4571" s="2" t="s">
        <v>30006</v>
      </c>
      <c r="T4571" s="2" t="s">
        <v>30007</v>
      </c>
      <c r="U4571" s="2" t="s">
        <v>266</v>
      </c>
      <c r="V4571" s="2" t="s">
        <v>6107</v>
      </c>
      <c r="W4571" s="2" t="s">
        <v>240</v>
      </c>
      <c r="X4571" s="2" t="s">
        <v>147</v>
      </c>
      <c r="Y4571" s="2">
        <v>38.200000000000003</v>
      </c>
      <c r="Z4571" s="2">
        <v>5.8999999999999997E-2</v>
      </c>
      <c r="AA4571" s="2" t="s">
        <v>4062</v>
      </c>
      <c r="AB4571" s="2" t="s">
        <v>30008</v>
      </c>
      <c r="AC4571" s="2">
        <v>1.89900752247206</v>
      </c>
      <c r="AD4571" s="2"/>
      <c r="AE4571" s="2">
        <v>8.4785858178054299E-2</v>
      </c>
      <c r="AF4571" s="2">
        <v>1746.13986650984</v>
      </c>
      <c r="AG4571" s="2">
        <v>1327.0817825594199</v>
      </c>
      <c r="AH4571" s="5">
        <v>1.3157741214277101</v>
      </c>
      <c r="AI4571" s="5">
        <v>0.39591184327845202</v>
      </c>
      <c r="AJ4571" s="5" t="s">
        <v>139</v>
      </c>
      <c r="AK4571" s="2">
        <v>0.25707293395800601</v>
      </c>
      <c r="AL4571" s="2">
        <v>0.57899924465427999</v>
      </c>
      <c r="AM4571" s="2">
        <v>1894.8402794586</v>
      </c>
      <c r="AN4571" s="2">
        <v>933.781572813205</v>
      </c>
      <c r="AO4571" s="2">
        <v>2413.1907127413601</v>
      </c>
      <c r="AP4571" s="2">
        <v>2168.8539533584999</v>
      </c>
      <c r="AQ4571" s="2">
        <v>1631.37618762177</v>
      </c>
      <c r="AR4571" s="2">
        <v>1434.7964930655901</v>
      </c>
      <c r="AS4571" s="2">
        <v>397.66892488883002</v>
      </c>
      <c r="AT4571" s="2">
        <v>679.89426458634102</v>
      </c>
      <c r="AU4571" s="2">
        <v>1693.4950185717701</v>
      </c>
      <c r="AV4571" s="2">
        <v>1319.97560448135</v>
      </c>
      <c r="AW4571" s="2">
        <v>1744.6600266461501</v>
      </c>
      <c r="AX4571" s="2">
        <v>2126.7968561820799</v>
      </c>
    </row>
    <row r="4572" spans="1:50" x14ac:dyDescent="0.25">
      <c r="A4572" s="2" t="s">
        <v>30009</v>
      </c>
      <c r="B4572" s="2">
        <v>170.06047182702301</v>
      </c>
      <c r="C4572" s="2">
        <v>5.0999999999999996</v>
      </c>
      <c r="D4572" s="2" t="s">
        <v>51</v>
      </c>
      <c r="E4572" s="2" t="s">
        <v>30010</v>
      </c>
      <c r="F4572" s="2">
        <v>202344</v>
      </c>
      <c r="G4572" s="3" t="str">
        <f>HYPERLINK("https://cloud.oebiotech.com/#/lm/network/202344", "https://cloud.oebiotech.com/#/lm/network/202344")</f>
        <v>https://cloud.oebiotech.com/#/lm/network/202344</v>
      </c>
      <c r="H4572" s="2" t="s">
        <v>30011</v>
      </c>
      <c r="I4572" s="2"/>
      <c r="J4572" s="2"/>
      <c r="K4572" s="2">
        <v>6852038</v>
      </c>
      <c r="L4572" s="2"/>
      <c r="M4572" s="2"/>
      <c r="N4572" s="2"/>
      <c r="O4572" s="2"/>
      <c r="P4572" s="2"/>
      <c r="Q4572" s="2"/>
      <c r="R4572" s="2"/>
      <c r="S4572" s="2" t="s">
        <v>30012</v>
      </c>
      <c r="T4572" s="2" t="s">
        <v>30013</v>
      </c>
      <c r="U4572" s="2" t="s">
        <v>266</v>
      </c>
      <c r="V4572" s="2" t="s">
        <v>2143</v>
      </c>
      <c r="W4572" s="2" t="s">
        <v>12632</v>
      </c>
      <c r="X4572" s="2" t="s">
        <v>147</v>
      </c>
      <c r="Y4572" s="2">
        <v>37.299999999999997</v>
      </c>
      <c r="Z4572" s="2">
        <v>0</v>
      </c>
      <c r="AA4572" s="2" t="s">
        <v>156</v>
      </c>
      <c r="AB4572" s="2" t="s">
        <v>30014</v>
      </c>
      <c r="AC4572" s="2">
        <v>-3.8025775399783099</v>
      </c>
      <c r="AD4572" s="2"/>
      <c r="AE4572" s="2">
        <v>8.4784563366735594E-2</v>
      </c>
      <c r="AF4572" s="2">
        <v>141.33686152935701</v>
      </c>
      <c r="AG4572" s="2">
        <v>475.20199470529002</v>
      </c>
      <c r="AH4572" s="4">
        <v>0.29742480693291601</v>
      </c>
      <c r="AI4572" s="4">
        <v>-1.7494031134467301</v>
      </c>
      <c r="AJ4572" s="4" t="s">
        <v>62</v>
      </c>
      <c r="AK4572" s="2">
        <v>0.454467876049859</v>
      </c>
      <c r="AL4572" s="2">
        <v>0.706883882658636</v>
      </c>
      <c r="AM4572" s="2">
        <v>0.79310782466992003</v>
      </c>
      <c r="AN4572" s="2">
        <v>8.559877937157E-6</v>
      </c>
      <c r="AO4572" s="2">
        <v>8.559877937157E-6</v>
      </c>
      <c r="AP4572" s="2">
        <v>8.559877937157E-6</v>
      </c>
      <c r="AQ4572" s="2">
        <v>8.559877937157E-6</v>
      </c>
      <c r="AR4572" s="2">
        <v>847.228027111963</v>
      </c>
      <c r="AS4572" s="2">
        <v>8.559877937157E-6</v>
      </c>
      <c r="AT4572" s="2">
        <v>2.19949197199705</v>
      </c>
      <c r="AU4572" s="2">
        <v>8.559877937157E-6</v>
      </c>
      <c r="AV4572" s="2">
        <v>370.87514279042699</v>
      </c>
      <c r="AW4572" s="2">
        <v>2478.1373077896801</v>
      </c>
      <c r="AX4572" s="2">
        <v>8.559877937157E-6</v>
      </c>
    </row>
    <row r="4573" spans="1:50" x14ac:dyDescent="0.25">
      <c r="A4573" s="2" t="s">
        <v>30015</v>
      </c>
      <c r="B4573" s="2">
        <v>193.02354398097199</v>
      </c>
      <c r="C4573" s="2">
        <v>1.1703666666666701</v>
      </c>
      <c r="D4573" s="2" t="s">
        <v>51</v>
      </c>
      <c r="E4573" s="2" t="s">
        <v>30016</v>
      </c>
      <c r="F4573" s="2">
        <v>266542</v>
      </c>
      <c r="G4573" s="3" t="str">
        <f>HYPERLINK("https://cloud.oebiotech.com/#/lm/network/266542", "https://cloud.oebiotech.com/#/lm/network/266542")</f>
        <v>https://cloud.oebiotech.com/#/lm/network/266542</v>
      </c>
      <c r="H4573" s="2"/>
      <c r="I4573" s="2">
        <v>43501</v>
      </c>
      <c r="J4573" s="2"/>
      <c r="K4573" s="2">
        <v>3080557</v>
      </c>
      <c r="L4573" s="2"/>
      <c r="M4573" s="2"/>
      <c r="N4573" s="2"/>
      <c r="O4573" s="2"/>
      <c r="P4573" s="2"/>
      <c r="Q4573" s="2"/>
      <c r="R4573" s="2" t="s">
        <v>30017</v>
      </c>
      <c r="S4573" s="2" t="s">
        <v>30018</v>
      </c>
      <c r="T4573" s="2" t="s">
        <v>30019</v>
      </c>
      <c r="U4573" s="2" t="s">
        <v>1231</v>
      </c>
      <c r="V4573" s="2" t="s">
        <v>30020</v>
      </c>
      <c r="W4573" s="2" t="s">
        <v>30021</v>
      </c>
      <c r="X4573" s="2" t="s">
        <v>147</v>
      </c>
      <c r="Y4573" s="2">
        <v>37.200000000000003</v>
      </c>
      <c r="Z4573" s="2">
        <v>0</v>
      </c>
      <c r="AA4573" s="2" t="s">
        <v>122</v>
      </c>
      <c r="AB4573" s="2" t="s">
        <v>30022</v>
      </c>
      <c r="AC4573" s="2">
        <v>2.19292010776197</v>
      </c>
      <c r="AD4573" s="2"/>
      <c r="AE4573" s="2">
        <v>8.4719358885926896E-2</v>
      </c>
      <c r="AF4573" s="2">
        <v>2193.82943797284</v>
      </c>
      <c r="AG4573" s="2">
        <v>2610.8634913639798</v>
      </c>
      <c r="AH4573" s="4">
        <v>0.840269682895881</v>
      </c>
      <c r="AI4573" s="4">
        <v>-0.25107566255052799</v>
      </c>
      <c r="AJ4573" s="4" t="s">
        <v>62</v>
      </c>
      <c r="AK4573" s="2">
        <v>0.42349738983579899</v>
      </c>
      <c r="AL4573" s="2">
        <v>0.683406571622166</v>
      </c>
      <c r="AM4573" s="2">
        <v>1476.80038262072</v>
      </c>
      <c r="AN4573" s="2">
        <v>2794.4421334804802</v>
      </c>
      <c r="AO4573" s="2">
        <v>1022.04106214901</v>
      </c>
      <c r="AP4573" s="2">
        <v>2457.8050801508598</v>
      </c>
      <c r="AQ4573" s="2">
        <v>2386.2857057270699</v>
      </c>
      <c r="AR4573" s="2">
        <v>3025.60226370893</v>
      </c>
      <c r="AS4573" s="2">
        <v>3413.3075046981699</v>
      </c>
      <c r="AT4573" s="2">
        <v>4130.29396789369</v>
      </c>
      <c r="AU4573" s="2">
        <v>1736.0956674875499</v>
      </c>
      <c r="AV4573" s="2">
        <v>2005.88130181268</v>
      </c>
      <c r="AW4573" s="2">
        <v>2127.7960181554399</v>
      </c>
      <c r="AX4573" s="2">
        <v>2251.8064881363598</v>
      </c>
    </row>
    <row r="4574" spans="1:50" x14ac:dyDescent="0.25">
      <c r="A4574" s="2" t="s">
        <v>30023</v>
      </c>
      <c r="B4574" s="2">
        <v>233.0889</v>
      </c>
      <c r="C4574" s="2">
        <v>12.929</v>
      </c>
      <c r="D4574" s="2" t="s">
        <v>125</v>
      </c>
      <c r="E4574" s="2" t="s">
        <v>30024</v>
      </c>
      <c r="F4574" s="2">
        <v>1865</v>
      </c>
      <c r="G4574" s="3" t="str">
        <f>HYPERLINK("https://cloud.oebiotech.com/#/lm/network/1865", "https://cloud.oebiotech.com/#/lm/network/1865")</f>
        <v>https://cloud.oebiotech.com/#/lm/network/1865</v>
      </c>
      <c r="H4574" s="2" t="s">
        <v>30025</v>
      </c>
      <c r="I4574" s="2">
        <v>45841</v>
      </c>
      <c r="J4574" s="2" t="s">
        <v>30026</v>
      </c>
      <c r="K4574" s="2">
        <v>10920498</v>
      </c>
      <c r="L4574" s="2"/>
      <c r="M4574" s="2"/>
      <c r="N4574" s="2"/>
      <c r="O4574" s="2">
        <v>137814</v>
      </c>
      <c r="P4574" s="2"/>
      <c r="Q4574" s="2"/>
      <c r="R4574" s="2"/>
      <c r="S4574" s="2" t="s">
        <v>30027</v>
      </c>
      <c r="T4574" s="2" t="s">
        <v>30028</v>
      </c>
      <c r="U4574" s="2" t="s">
        <v>103</v>
      </c>
      <c r="V4574" s="2" t="s">
        <v>377</v>
      </c>
      <c r="W4574" s="2" t="s">
        <v>7726</v>
      </c>
      <c r="X4574" s="2" t="s">
        <v>69</v>
      </c>
      <c r="Y4574" s="2">
        <v>94.4</v>
      </c>
      <c r="Z4574" s="2">
        <v>93.7</v>
      </c>
      <c r="AA4574" s="2"/>
      <c r="AB4574" s="2" t="s">
        <v>16095</v>
      </c>
      <c r="AC4574" s="2"/>
      <c r="AD4574" s="2">
        <v>436275.93724505801</v>
      </c>
      <c r="AE4574" s="2">
        <v>8.4658781055953397E-2</v>
      </c>
      <c r="AF4574" s="2">
        <v>11583.933903286499</v>
      </c>
      <c r="AG4574" s="2">
        <v>14924.643229421899</v>
      </c>
      <c r="AH4574" s="4">
        <v>0.77616152863542698</v>
      </c>
      <c r="AI4574" s="4">
        <v>-0.36557116887864299</v>
      </c>
      <c r="AJ4574" s="4" t="s">
        <v>62</v>
      </c>
      <c r="AK4574" s="2">
        <v>0.177754013603312</v>
      </c>
      <c r="AL4574" s="2">
        <v>0.50016964033448896</v>
      </c>
      <c r="AM4574" s="2">
        <v>11856.298012993</v>
      </c>
      <c r="AN4574" s="2">
        <v>10776.528060254701</v>
      </c>
      <c r="AO4574" s="2">
        <v>8903.1186659316299</v>
      </c>
      <c r="AP4574" s="2">
        <v>12811.3549607267</v>
      </c>
      <c r="AQ4574" s="2">
        <v>13897.0050732781</v>
      </c>
      <c r="AR4574" s="2">
        <v>11259.2986465349</v>
      </c>
      <c r="AS4574" s="2">
        <v>7492.0881237432004</v>
      </c>
      <c r="AT4574" s="2">
        <v>18687.010864577798</v>
      </c>
      <c r="AU4574" s="2">
        <v>19648.490527639999</v>
      </c>
      <c r="AV4574" s="2">
        <v>20172.360012968598</v>
      </c>
      <c r="AW4574" s="2">
        <v>10143.449616489001</v>
      </c>
      <c r="AX4574" s="2">
        <v>13404.460231113</v>
      </c>
    </row>
    <row r="4575" spans="1:50" x14ac:dyDescent="0.25">
      <c r="A4575" s="2" t="s">
        <v>30029</v>
      </c>
      <c r="B4575" s="2">
        <v>201.11264436659599</v>
      </c>
      <c r="C4575" s="2">
        <v>5.8746499999999999</v>
      </c>
      <c r="D4575" s="2" t="s">
        <v>51</v>
      </c>
      <c r="E4575" s="2" t="s">
        <v>30030</v>
      </c>
      <c r="F4575" s="2">
        <v>2821</v>
      </c>
      <c r="G4575" s="3" t="str">
        <f>HYPERLINK("https://cloud.oebiotech.com/#/lm/network/2821", "https://cloud.oebiotech.com/#/lm/network/2821")</f>
        <v>https://cloud.oebiotech.com/#/lm/network/2821</v>
      </c>
      <c r="H4575" s="2" t="s">
        <v>30031</v>
      </c>
      <c r="I4575" s="2">
        <v>4240</v>
      </c>
      <c r="J4575" s="2" t="s">
        <v>30032</v>
      </c>
      <c r="K4575" s="2">
        <v>5192</v>
      </c>
      <c r="L4575" s="2" t="s">
        <v>30033</v>
      </c>
      <c r="M4575" s="2"/>
      <c r="N4575" s="2"/>
      <c r="O4575" s="2">
        <v>41865</v>
      </c>
      <c r="P4575" s="2"/>
      <c r="Q4575" s="2"/>
      <c r="R4575" s="2" t="s">
        <v>30034</v>
      </c>
      <c r="S4575" s="2" t="s">
        <v>30035</v>
      </c>
      <c r="T4575" s="2" t="s">
        <v>30036</v>
      </c>
      <c r="U4575" s="2" t="s">
        <v>56</v>
      </c>
      <c r="V4575" s="2" t="s">
        <v>145</v>
      </c>
      <c r="W4575" s="2" t="s">
        <v>231</v>
      </c>
      <c r="X4575" s="2" t="s">
        <v>69</v>
      </c>
      <c r="Y4575" s="2">
        <v>54</v>
      </c>
      <c r="Z4575" s="2">
        <v>60.2</v>
      </c>
      <c r="AA4575" s="2" t="s">
        <v>163</v>
      </c>
      <c r="AB4575" s="2" t="s">
        <v>9669</v>
      </c>
      <c r="AC4575" s="2">
        <v>-2.9104265905581999</v>
      </c>
      <c r="AD4575" s="2"/>
      <c r="AE4575" s="2">
        <v>8.4602475775338901E-2</v>
      </c>
      <c r="AF4575" s="2">
        <v>18201.0324306812</v>
      </c>
      <c r="AG4575" s="2">
        <v>17463.533504169402</v>
      </c>
      <c r="AH4575" s="5">
        <v>1.0422307963240001</v>
      </c>
      <c r="AI4575" s="5">
        <v>5.9674789941095999E-2</v>
      </c>
      <c r="AJ4575" s="5" t="s">
        <v>139</v>
      </c>
      <c r="AK4575" s="2">
        <v>0.81014276414740205</v>
      </c>
      <c r="AL4575" s="2">
        <v>0.91536766933345504</v>
      </c>
      <c r="AM4575" s="2">
        <v>15489.6261894035</v>
      </c>
      <c r="AN4575" s="2">
        <v>19810.840771371699</v>
      </c>
      <c r="AO4575" s="2">
        <v>16819.938050563898</v>
      </c>
      <c r="AP4575" s="2">
        <v>13066.632167576199</v>
      </c>
      <c r="AQ4575" s="2">
        <v>22118.028178057699</v>
      </c>
      <c r="AR4575" s="2">
        <v>21901.129227114401</v>
      </c>
      <c r="AS4575" s="2">
        <v>18101.644384213301</v>
      </c>
      <c r="AT4575" s="2">
        <v>13820.226296414899</v>
      </c>
      <c r="AU4575" s="2">
        <v>29483.563636458399</v>
      </c>
      <c r="AV4575" s="2">
        <v>17517.442185848799</v>
      </c>
      <c r="AW4575" s="2">
        <v>12032.6424014612</v>
      </c>
      <c r="AX4575" s="2">
        <v>13825.6821206196</v>
      </c>
    </row>
    <row r="4576" spans="1:50" x14ac:dyDescent="0.25">
      <c r="A4576" s="2" t="s">
        <v>30037</v>
      </c>
      <c r="B4576" s="2">
        <v>458.29740387027101</v>
      </c>
      <c r="C4576" s="2">
        <v>5.4644666666666701</v>
      </c>
      <c r="D4576" s="2" t="s">
        <v>51</v>
      </c>
      <c r="E4576" s="2" t="s">
        <v>30038</v>
      </c>
      <c r="F4576" s="2">
        <v>53209</v>
      </c>
      <c r="G4576" s="3" t="str">
        <f>HYPERLINK("https://cloud.oebiotech.com/#/lm/network/53209", "https://cloud.oebiotech.com/#/lm/network/53209")</f>
        <v>https://cloud.oebiotech.com/#/lm/network/53209</v>
      </c>
      <c r="H4576" s="2" t="s">
        <v>30039</v>
      </c>
      <c r="I4576" s="2"/>
      <c r="J4576" s="2"/>
      <c r="K4576" s="2">
        <v>6857423</v>
      </c>
      <c r="L4576" s="2" t="s">
        <v>30040</v>
      </c>
      <c r="M4576" s="2"/>
      <c r="N4576" s="2"/>
      <c r="O4576" s="2">
        <v>7528</v>
      </c>
      <c r="P4576" s="2"/>
      <c r="Q4576" s="2"/>
      <c r="R4576" s="2" t="s">
        <v>30041</v>
      </c>
      <c r="S4576" s="2" t="s">
        <v>30042</v>
      </c>
      <c r="T4576" s="2" t="s">
        <v>30043</v>
      </c>
      <c r="U4576" s="2" t="s">
        <v>331</v>
      </c>
      <c r="V4576" s="2" t="s">
        <v>332</v>
      </c>
      <c r="W4576" s="2" t="s">
        <v>333</v>
      </c>
      <c r="X4576" s="2" t="s">
        <v>147</v>
      </c>
      <c r="Y4576" s="2">
        <v>37</v>
      </c>
      <c r="Z4576" s="2">
        <v>0</v>
      </c>
      <c r="AA4576" s="2" t="s">
        <v>156</v>
      </c>
      <c r="AB4576" s="2" t="s">
        <v>30044</v>
      </c>
      <c r="AC4576" s="2">
        <v>0.19660080624926901</v>
      </c>
      <c r="AD4576" s="2"/>
      <c r="AE4576" s="2">
        <v>8.4401360901823902E-2</v>
      </c>
      <c r="AF4576" s="2">
        <v>1872.7746861672399</v>
      </c>
      <c r="AG4576" s="2">
        <v>1531.1211669879101</v>
      </c>
      <c r="AH4576" s="5">
        <v>1.2231394396117301</v>
      </c>
      <c r="AI4576" s="5">
        <v>0.29058888249910197</v>
      </c>
      <c r="AJ4576" s="5" t="s">
        <v>139</v>
      </c>
      <c r="AK4576" s="2">
        <v>0.33978480232199099</v>
      </c>
      <c r="AL4576" s="2">
        <v>0.63815037094278604</v>
      </c>
      <c r="AM4576" s="2">
        <v>1692.21060739528</v>
      </c>
      <c r="AN4576" s="2">
        <v>1088.6895681092101</v>
      </c>
      <c r="AO4576" s="2">
        <v>2705.6480291530802</v>
      </c>
      <c r="AP4576" s="2">
        <v>1396.34188915653</v>
      </c>
      <c r="AQ4576" s="2">
        <v>1723.4949257391099</v>
      </c>
      <c r="AR4576" s="2">
        <v>2630.2630974502399</v>
      </c>
      <c r="AS4576" s="2">
        <v>1729.93511836777</v>
      </c>
      <c r="AT4576" s="2">
        <v>1656.5316713488501</v>
      </c>
      <c r="AU4576" s="2">
        <v>2311.6812023011798</v>
      </c>
      <c r="AV4576" s="2">
        <v>1091.6979536942299</v>
      </c>
      <c r="AW4576" s="2">
        <v>1546.2189027177899</v>
      </c>
      <c r="AX4576" s="2">
        <v>850.66215349762797</v>
      </c>
    </row>
    <row r="4577" spans="1:50" x14ac:dyDescent="0.25">
      <c r="A4577" s="2" t="s">
        <v>30045</v>
      </c>
      <c r="B4577" s="2">
        <v>201.11</v>
      </c>
      <c r="C4577" s="2">
        <v>10.083</v>
      </c>
      <c r="D4577" s="2" t="s">
        <v>125</v>
      </c>
      <c r="E4577" s="2" t="s">
        <v>30046</v>
      </c>
      <c r="F4577" s="2">
        <v>6070</v>
      </c>
      <c r="G4577" s="3" t="str">
        <f>HYPERLINK("https://cloud.oebiotech.com/#/lm/network/6070", "https://cloud.oebiotech.com/#/lm/network/6070")</f>
        <v>https://cloud.oebiotech.com/#/lm/network/6070</v>
      </c>
      <c r="H4577" s="2" t="s">
        <v>30047</v>
      </c>
      <c r="I4577" s="2">
        <v>46047</v>
      </c>
      <c r="J4577" s="2" t="s">
        <v>30048</v>
      </c>
      <c r="K4577" s="2">
        <v>8914</v>
      </c>
      <c r="L4577" s="2" t="s">
        <v>30049</v>
      </c>
      <c r="M4577" s="2"/>
      <c r="N4577" s="2"/>
      <c r="O4577" s="2">
        <v>35986</v>
      </c>
      <c r="P4577" s="2"/>
      <c r="Q4577" s="2"/>
      <c r="R4577" s="2" t="s">
        <v>30050</v>
      </c>
      <c r="S4577" s="2" t="s">
        <v>30051</v>
      </c>
      <c r="T4577" s="2" t="s">
        <v>30052</v>
      </c>
      <c r="U4577" s="2" t="s">
        <v>56</v>
      </c>
      <c r="V4577" s="2" t="s">
        <v>145</v>
      </c>
      <c r="W4577" s="2" t="s">
        <v>146</v>
      </c>
      <c r="X4577" s="2" t="s">
        <v>59</v>
      </c>
      <c r="Y4577" s="2">
        <v>71.7</v>
      </c>
      <c r="Z4577" s="2">
        <v>57.7</v>
      </c>
      <c r="AA4577" s="2"/>
      <c r="AB4577" s="2" t="s">
        <v>30053</v>
      </c>
      <c r="AC4577" s="2"/>
      <c r="AD4577" s="2">
        <v>340816.43916913902</v>
      </c>
      <c r="AE4577" s="2">
        <v>8.4119686545159306E-2</v>
      </c>
      <c r="AF4577" s="2">
        <v>9818.8992880024107</v>
      </c>
      <c r="AG4577" s="2">
        <v>15634.347320643001</v>
      </c>
      <c r="AH4577" s="4">
        <v>0.62803384667282403</v>
      </c>
      <c r="AI4577" s="4">
        <v>-0.671085782408677</v>
      </c>
      <c r="AJ4577" s="4" t="s">
        <v>62</v>
      </c>
      <c r="AK4577" s="2">
        <v>0.41080831570175302</v>
      </c>
      <c r="AL4577" s="2">
        <v>0.67548655599718399</v>
      </c>
      <c r="AM4577" s="2">
        <v>2299.8352172700202</v>
      </c>
      <c r="AN4577" s="2">
        <v>2299.8352172700202</v>
      </c>
      <c r="AO4577" s="2">
        <v>5802.6075542176304</v>
      </c>
      <c r="AP4577" s="2">
        <v>21533.2357894618</v>
      </c>
      <c r="AQ4577" s="2">
        <v>24678.046732524999</v>
      </c>
      <c r="AR4577" s="2">
        <v>2299.8352172700202</v>
      </c>
      <c r="AS4577" s="2">
        <v>11394.3232096172</v>
      </c>
      <c r="AT4577" s="2">
        <v>31461.499001538199</v>
      </c>
      <c r="AU4577" s="2">
        <v>2299.8352172700202</v>
      </c>
      <c r="AV4577" s="2">
        <v>2299.8352172700202</v>
      </c>
      <c r="AW4577" s="2">
        <v>16263.7702898932</v>
      </c>
      <c r="AX4577" s="2">
        <v>30086.820988269599</v>
      </c>
    </row>
    <row r="4578" spans="1:50" x14ac:dyDescent="0.25">
      <c r="A4578" s="2" t="s">
        <v>30054</v>
      </c>
      <c r="B4578" s="2">
        <v>295.077385682032</v>
      </c>
      <c r="C4578" s="2">
        <v>5.8082500000000001</v>
      </c>
      <c r="D4578" s="2" t="s">
        <v>51</v>
      </c>
      <c r="E4578" s="2" t="s">
        <v>30055</v>
      </c>
      <c r="F4578" s="2">
        <v>212164</v>
      </c>
      <c r="G4578" s="3" t="str">
        <f>HYPERLINK("https://cloud.oebiotech.com/#/lm/network/212164", "https://cloud.oebiotech.com/#/lm/network/212164")</f>
        <v>https://cloud.oebiotech.com/#/lm/network/212164</v>
      </c>
      <c r="H4578" s="2" t="s">
        <v>30056</v>
      </c>
      <c r="I4578" s="2"/>
      <c r="J4578" s="2"/>
      <c r="K4578" s="2">
        <v>71248</v>
      </c>
      <c r="L4578" s="2"/>
      <c r="M4578" s="2"/>
      <c r="N4578" s="2"/>
      <c r="O4578" s="2"/>
      <c r="P4578" s="2"/>
      <c r="Q4578" s="2"/>
      <c r="R4578" s="2"/>
      <c r="S4578" s="2" t="s">
        <v>30057</v>
      </c>
      <c r="T4578" s="2" t="s">
        <v>30058</v>
      </c>
      <c r="U4578" s="2" t="s">
        <v>266</v>
      </c>
      <c r="V4578" s="2" t="s">
        <v>984</v>
      </c>
      <c r="W4578" s="2" t="s">
        <v>985</v>
      </c>
      <c r="X4578" s="2" t="s">
        <v>83</v>
      </c>
      <c r="Y4578" s="2">
        <v>39.9</v>
      </c>
      <c r="Z4578" s="2">
        <v>0</v>
      </c>
      <c r="AA4578" s="2" t="s">
        <v>163</v>
      </c>
      <c r="AB4578" s="2" t="s">
        <v>30059</v>
      </c>
      <c r="AC4578" s="2">
        <v>5.3502317081576702</v>
      </c>
      <c r="AD4578" s="2"/>
      <c r="AE4578" s="2">
        <v>8.3744838155031504E-2</v>
      </c>
      <c r="AF4578" s="2">
        <v>1817.8341355951</v>
      </c>
      <c r="AG4578" s="2">
        <v>1453.58794775307</v>
      </c>
      <c r="AH4578" s="5">
        <v>1.2505842101986899</v>
      </c>
      <c r="AI4578" s="5">
        <v>0.32260220709552501</v>
      </c>
      <c r="AJ4578" s="5" t="s">
        <v>139</v>
      </c>
      <c r="AK4578" s="2">
        <v>0.308020416679335</v>
      </c>
      <c r="AL4578" s="2">
        <v>0.61782284697873702</v>
      </c>
      <c r="AM4578" s="2">
        <v>1845.9126227246099</v>
      </c>
      <c r="AN4578" s="2">
        <v>2376.71654299281</v>
      </c>
      <c r="AO4578" s="2">
        <v>1729.0577294059301</v>
      </c>
      <c r="AP4578" s="2">
        <v>1168.9719942690499</v>
      </c>
      <c r="AQ4578" s="2">
        <v>1800.99823948515</v>
      </c>
      <c r="AR4578" s="2">
        <v>1985.3476846930801</v>
      </c>
      <c r="AS4578" s="2">
        <v>1492.4741556182801</v>
      </c>
      <c r="AT4578" s="2">
        <v>674.80502899355201</v>
      </c>
      <c r="AU4578" s="2">
        <v>1898.07688959706</v>
      </c>
      <c r="AV4578" s="2">
        <v>1026.93026339364</v>
      </c>
      <c r="AW4578" s="2">
        <v>2660.6282911912199</v>
      </c>
      <c r="AX4578" s="2">
        <v>968.61305772467495</v>
      </c>
    </row>
    <row r="4579" spans="1:50" x14ac:dyDescent="0.25">
      <c r="A4579" s="2" t="s">
        <v>30060</v>
      </c>
      <c r="B4579" s="2">
        <v>406.211980881138</v>
      </c>
      <c r="C4579" s="2">
        <v>4.0481166666666697</v>
      </c>
      <c r="D4579" s="2" t="s">
        <v>51</v>
      </c>
      <c r="E4579" s="2" t="s">
        <v>30061</v>
      </c>
      <c r="F4579" s="2">
        <v>266458</v>
      </c>
      <c r="G4579" s="3" t="str">
        <f>HYPERLINK("https://cloud.oebiotech.com/#/lm/network/266458", "https://cloud.oebiotech.com/#/lm/network/266458")</f>
        <v>https://cloud.oebiotech.com/#/lm/network/266458</v>
      </c>
      <c r="H4579" s="2"/>
      <c r="I4579" s="2">
        <v>43230</v>
      </c>
      <c r="J4579" s="2"/>
      <c r="K4579" s="2">
        <v>3000540</v>
      </c>
      <c r="L4579" s="2" t="s">
        <v>30062</v>
      </c>
      <c r="M4579" s="2"/>
      <c r="N4579" s="2"/>
      <c r="O4579" s="2"/>
      <c r="P4579" s="2"/>
      <c r="Q4579" s="2"/>
      <c r="R4579" s="2" t="s">
        <v>30063</v>
      </c>
      <c r="S4579" s="2" t="s">
        <v>30064</v>
      </c>
      <c r="T4579" s="2" t="s">
        <v>30065</v>
      </c>
      <c r="U4579" s="2" t="s">
        <v>103</v>
      </c>
      <c r="V4579" s="2" t="s">
        <v>104</v>
      </c>
      <c r="W4579" s="2" t="s">
        <v>105</v>
      </c>
      <c r="X4579" s="2" t="s">
        <v>83</v>
      </c>
      <c r="Y4579" s="2">
        <v>39.200000000000003</v>
      </c>
      <c r="Z4579" s="2">
        <v>0</v>
      </c>
      <c r="AA4579" s="2" t="s">
        <v>122</v>
      </c>
      <c r="AB4579" s="2" t="s">
        <v>30066</v>
      </c>
      <c r="AC4579" s="2">
        <v>-4.37463322756245</v>
      </c>
      <c r="AD4579" s="2"/>
      <c r="AE4579" s="2">
        <v>8.3677371603707307E-2</v>
      </c>
      <c r="AF4579" s="2">
        <v>1522.0611504104199</v>
      </c>
      <c r="AG4579" s="2">
        <v>1161.95685086295</v>
      </c>
      <c r="AH4579" s="5">
        <v>1.30991193802079</v>
      </c>
      <c r="AI4579" s="5">
        <v>0.3894698263802</v>
      </c>
      <c r="AJ4579" s="5" t="s">
        <v>139</v>
      </c>
      <c r="AK4579" s="2">
        <v>0.67679194954172806</v>
      </c>
      <c r="AL4579" s="2">
        <v>0.84349445396360301</v>
      </c>
      <c r="AM4579" s="2">
        <v>3208.63733531352</v>
      </c>
      <c r="AN4579" s="2">
        <v>202.064254925151</v>
      </c>
      <c r="AO4579" s="2">
        <v>2010.7012702833099</v>
      </c>
      <c r="AP4579" s="2">
        <v>2143.9237776663499</v>
      </c>
      <c r="AQ4579" s="2">
        <v>771.91168788463995</v>
      </c>
      <c r="AR4579" s="2">
        <v>795.12857638957598</v>
      </c>
      <c r="AS4579" s="2">
        <v>8.559877937157E-6</v>
      </c>
      <c r="AT4579" s="2">
        <v>385.09557527484401</v>
      </c>
      <c r="AU4579" s="2">
        <v>4257.2899744677798</v>
      </c>
      <c r="AV4579" s="2">
        <v>2143.92775405057</v>
      </c>
      <c r="AW4579" s="2">
        <v>185.42778426477301</v>
      </c>
      <c r="AX4579" s="2">
        <v>8.559877937157E-6</v>
      </c>
    </row>
    <row r="4580" spans="1:50" x14ac:dyDescent="0.25">
      <c r="A4580" s="2" t="s">
        <v>30067</v>
      </c>
      <c r="B4580" s="2">
        <v>127.0322</v>
      </c>
      <c r="C4580" s="2">
        <v>6.6890000000000001</v>
      </c>
      <c r="D4580" s="2" t="s">
        <v>125</v>
      </c>
      <c r="E4580" s="2" t="s">
        <v>30068</v>
      </c>
      <c r="F4580" s="2">
        <v>257699</v>
      </c>
      <c r="G4580" s="3" t="str">
        <f>HYPERLINK("https://cloud.oebiotech.com/#/lm/network/257699", "https://cloud.oebiotech.com/#/lm/network/257699")</f>
        <v>https://cloud.oebiotech.com/#/lm/network/257699</v>
      </c>
      <c r="H4580" s="2"/>
      <c r="I4580" s="2">
        <v>116</v>
      </c>
      <c r="J4580" s="2"/>
      <c r="K4580" s="2">
        <v>612</v>
      </c>
      <c r="L4580" s="2" t="s">
        <v>30069</v>
      </c>
      <c r="M4580" s="2"/>
      <c r="N4580" s="2"/>
      <c r="O4580" s="2"/>
      <c r="P4580" s="2"/>
      <c r="Q4580" s="2"/>
      <c r="R4580" s="2" t="s">
        <v>30070</v>
      </c>
      <c r="S4580" s="2" t="s">
        <v>30071</v>
      </c>
      <c r="T4580" s="2" t="s">
        <v>30072</v>
      </c>
      <c r="U4580" s="2" t="s">
        <v>103</v>
      </c>
      <c r="V4580" s="2" t="s">
        <v>377</v>
      </c>
      <c r="W4580" s="2" t="s">
        <v>2285</v>
      </c>
      <c r="X4580" s="2" t="s">
        <v>69</v>
      </c>
      <c r="Y4580" s="2">
        <v>91.5</v>
      </c>
      <c r="Z4580" s="2">
        <v>90.3</v>
      </c>
      <c r="AA4580" s="2"/>
      <c r="AB4580" s="2" t="s">
        <v>2286</v>
      </c>
      <c r="AC4580" s="2"/>
      <c r="AD4580" s="2">
        <v>219359.952578542</v>
      </c>
      <c r="AE4580" s="2">
        <v>8.3553561276898794E-2</v>
      </c>
      <c r="AF4580" s="2">
        <v>154270.209774193</v>
      </c>
      <c r="AG4580" s="2">
        <v>146958.7425235</v>
      </c>
      <c r="AH4580" s="5">
        <v>1.0497518359584801</v>
      </c>
      <c r="AI4580" s="5">
        <v>7.0048311369759295E-2</v>
      </c>
      <c r="AJ4580" s="5" t="s">
        <v>139</v>
      </c>
      <c r="AK4580" s="2">
        <v>0.39731055012162803</v>
      </c>
      <c r="AL4580" s="2">
        <v>0.66752996494649497</v>
      </c>
      <c r="AM4580" s="2">
        <v>142689.342221887</v>
      </c>
      <c r="AN4580" s="2">
        <v>159429.53124773901</v>
      </c>
      <c r="AO4580" s="2">
        <v>158689.04237857799</v>
      </c>
      <c r="AP4580" s="2">
        <v>160857.16292138299</v>
      </c>
      <c r="AQ4580" s="2">
        <v>143303.49146355799</v>
      </c>
      <c r="AR4580" s="2">
        <v>160652.688412013</v>
      </c>
      <c r="AS4580" s="2">
        <v>127727.505384983</v>
      </c>
      <c r="AT4580" s="2">
        <v>144409.155466128</v>
      </c>
      <c r="AU4580" s="2">
        <v>151723.68904952801</v>
      </c>
      <c r="AV4580" s="2">
        <v>161095.66851186301</v>
      </c>
      <c r="AW4580" s="2">
        <v>171455.315712426</v>
      </c>
      <c r="AX4580" s="2">
        <v>125341.12101607199</v>
      </c>
    </row>
    <row r="4581" spans="1:50" x14ac:dyDescent="0.25">
      <c r="A4581" s="2" t="s">
        <v>30073</v>
      </c>
      <c r="B4581" s="2">
        <v>293.07207497775198</v>
      </c>
      <c r="C4581" s="2">
        <v>3.60421666666667</v>
      </c>
      <c r="D4581" s="2" t="s">
        <v>51</v>
      </c>
      <c r="E4581" s="2" t="s">
        <v>30074</v>
      </c>
      <c r="F4581" s="2">
        <v>56254</v>
      </c>
      <c r="G4581" s="3" t="str">
        <f>HYPERLINK("https://cloud.oebiotech.com/#/lm/network/56254", "https://cloud.oebiotech.com/#/lm/network/56254")</f>
        <v>https://cloud.oebiotech.com/#/lm/network/56254</v>
      </c>
      <c r="H4581" s="2" t="s">
        <v>30075</v>
      </c>
      <c r="I4581" s="2">
        <v>72744</v>
      </c>
      <c r="J4581" s="2"/>
      <c r="K4581" s="2">
        <v>37995</v>
      </c>
      <c r="L4581" s="2" t="s">
        <v>30076</v>
      </c>
      <c r="M4581" s="2"/>
      <c r="N4581" s="2"/>
      <c r="O4581" s="2"/>
      <c r="P4581" s="2"/>
      <c r="Q4581" s="2"/>
      <c r="R4581" s="2" t="s">
        <v>30077</v>
      </c>
      <c r="S4581" s="2" t="s">
        <v>30078</v>
      </c>
      <c r="T4581" s="2" t="s">
        <v>30079</v>
      </c>
      <c r="U4581" s="2" t="s">
        <v>103</v>
      </c>
      <c r="V4581" s="2" t="s">
        <v>11073</v>
      </c>
      <c r="W4581" s="2" t="s">
        <v>11074</v>
      </c>
      <c r="X4581" s="2" t="s">
        <v>147</v>
      </c>
      <c r="Y4581" s="2">
        <v>38.1</v>
      </c>
      <c r="Z4581" s="2">
        <v>0</v>
      </c>
      <c r="AA4581" s="2" t="s">
        <v>179</v>
      </c>
      <c r="AB4581" s="2" t="s">
        <v>30080</v>
      </c>
      <c r="AC4581" s="2">
        <v>0.45840095800874198</v>
      </c>
      <c r="AD4581" s="2"/>
      <c r="AE4581" s="2">
        <v>8.3491152608311595E-2</v>
      </c>
      <c r="AF4581" s="2">
        <v>9794.6104458426507</v>
      </c>
      <c r="AG4581" s="2">
        <v>10629.1790225723</v>
      </c>
      <c r="AH4581" s="4">
        <v>0.92148325143858101</v>
      </c>
      <c r="AI4581" s="4">
        <v>-0.117970150720023</v>
      </c>
      <c r="AJ4581" s="4" t="s">
        <v>62</v>
      </c>
      <c r="AK4581" s="2">
        <v>0.72506097757422305</v>
      </c>
      <c r="AL4581" s="2">
        <v>0.87310915389285904</v>
      </c>
      <c r="AM4581" s="2">
        <v>6106.51195292793</v>
      </c>
      <c r="AN4581" s="2">
        <v>12851.4041229102</v>
      </c>
      <c r="AO4581" s="2">
        <v>7817.8739970100996</v>
      </c>
      <c r="AP4581" s="2">
        <v>15227.801928447099</v>
      </c>
      <c r="AQ4581" s="2">
        <v>9721.1400492040702</v>
      </c>
      <c r="AR4581" s="2">
        <v>7042.9306245565303</v>
      </c>
      <c r="AS4581" s="2">
        <v>10424.2492123707</v>
      </c>
      <c r="AT4581" s="2">
        <v>15242.6657488045</v>
      </c>
      <c r="AU4581" s="2">
        <v>9619.1057927042602</v>
      </c>
      <c r="AV4581" s="2">
        <v>2809.7968582095</v>
      </c>
      <c r="AW4581" s="2">
        <v>11731.862361291</v>
      </c>
      <c r="AX4581" s="2">
        <v>13947.394162053701</v>
      </c>
    </row>
    <row r="4582" spans="1:50" x14ac:dyDescent="0.25">
      <c r="A4582" s="2" t="s">
        <v>30081</v>
      </c>
      <c r="B4582" s="2">
        <v>241.18065183645399</v>
      </c>
      <c r="C4582" s="2">
        <v>10.3496666666667</v>
      </c>
      <c r="D4582" s="2" t="s">
        <v>51</v>
      </c>
      <c r="E4582" s="2" t="s">
        <v>30082</v>
      </c>
      <c r="F4582" s="2">
        <v>9959</v>
      </c>
      <c r="G4582" s="3" t="str">
        <f>HYPERLINK("https://cloud.oebiotech.com/#/lm/network/9959", "https://cloud.oebiotech.com/#/lm/network/9959")</f>
        <v>https://cloud.oebiotech.com/#/lm/network/9959</v>
      </c>
      <c r="H4582" s="2"/>
      <c r="I4582" s="2">
        <v>98167</v>
      </c>
      <c r="J4582" s="2" t="s">
        <v>30083</v>
      </c>
      <c r="K4582" s="2">
        <v>10888854</v>
      </c>
      <c r="L4582" s="2"/>
      <c r="M4582" s="2"/>
      <c r="N4582" s="2"/>
      <c r="O4582" s="2"/>
      <c r="P4582" s="2"/>
      <c r="Q4582" s="2"/>
      <c r="R4582" s="2"/>
      <c r="S4582" s="2" t="s">
        <v>30084</v>
      </c>
      <c r="T4582" s="2" t="s">
        <v>30085</v>
      </c>
      <c r="U4582" s="2" t="s">
        <v>331</v>
      </c>
      <c r="V4582" s="2" t="s">
        <v>332</v>
      </c>
      <c r="W4582" s="2" t="s">
        <v>1207</v>
      </c>
      <c r="X4582" s="2" t="s">
        <v>83</v>
      </c>
      <c r="Y4582" s="2">
        <v>48.9</v>
      </c>
      <c r="Z4582" s="2">
        <v>21.3</v>
      </c>
      <c r="AA4582" s="2" t="s">
        <v>218</v>
      </c>
      <c r="AB4582" s="2" t="s">
        <v>27989</v>
      </c>
      <c r="AC4582" s="2">
        <v>-1.3580339390649301</v>
      </c>
      <c r="AD4582" s="2"/>
      <c r="AE4582" s="2">
        <v>8.3477759409976995E-2</v>
      </c>
      <c r="AF4582" s="2">
        <v>11117.766534892</v>
      </c>
      <c r="AG4582" s="2">
        <v>11787.4404820006</v>
      </c>
      <c r="AH4582" s="4">
        <v>0.94318750129587003</v>
      </c>
      <c r="AI4582" s="4">
        <v>-8.4383494400412304E-2</v>
      </c>
      <c r="AJ4582" s="4" t="s">
        <v>62</v>
      </c>
      <c r="AK4582" s="2">
        <v>0.76752480164930503</v>
      </c>
      <c r="AL4582" s="2">
        <v>0.894890198498142</v>
      </c>
      <c r="AM4582" s="2">
        <v>10841.3206527123</v>
      </c>
      <c r="AN4582" s="2">
        <v>8173.8898453085903</v>
      </c>
      <c r="AO4582" s="2">
        <v>9075.9541557784305</v>
      </c>
      <c r="AP4582" s="2">
        <v>8680.4128246916807</v>
      </c>
      <c r="AQ4582" s="2">
        <v>14817.6997648668</v>
      </c>
      <c r="AR4582" s="2">
        <v>15117.3219659939</v>
      </c>
      <c r="AS4582" s="2">
        <v>14245.572540769699</v>
      </c>
      <c r="AT4582" s="2">
        <v>14409.893031440501</v>
      </c>
      <c r="AU4582" s="2">
        <v>7458.9507123171197</v>
      </c>
      <c r="AV4582" s="2">
        <v>7674.9712738459202</v>
      </c>
      <c r="AW4582" s="2">
        <v>18106.684476961698</v>
      </c>
      <c r="AX4582" s="2">
        <v>8828.5708566687899</v>
      </c>
    </row>
    <row r="4583" spans="1:50" x14ac:dyDescent="0.25">
      <c r="A4583" s="2" t="s">
        <v>30086</v>
      </c>
      <c r="B4583" s="2">
        <v>449.19000212469001</v>
      </c>
      <c r="C4583" s="2">
        <v>9.6451499999999992</v>
      </c>
      <c r="D4583" s="2" t="s">
        <v>51</v>
      </c>
      <c r="E4583" s="2" t="s">
        <v>30087</v>
      </c>
      <c r="F4583" s="2">
        <v>55071</v>
      </c>
      <c r="G4583" s="3" t="str">
        <f>HYPERLINK("https://cloud.oebiotech.com/#/lm/network/55071", "https://cloud.oebiotech.com/#/lm/network/55071")</f>
        <v>https://cloud.oebiotech.com/#/lm/network/55071</v>
      </c>
      <c r="H4583" s="2" t="s">
        <v>30088</v>
      </c>
      <c r="I4583" s="2">
        <v>86831</v>
      </c>
      <c r="J4583" s="2"/>
      <c r="K4583" s="2">
        <v>5320347</v>
      </c>
      <c r="L4583" s="2"/>
      <c r="M4583" s="2"/>
      <c r="N4583" s="2"/>
      <c r="O4583" s="2"/>
      <c r="P4583" s="2"/>
      <c r="Q4583" s="2"/>
      <c r="R4583" s="2" t="s">
        <v>30089</v>
      </c>
      <c r="S4583" s="2" t="s">
        <v>30090</v>
      </c>
      <c r="T4583" s="2" t="s">
        <v>30091</v>
      </c>
      <c r="U4583" s="2" t="s">
        <v>540</v>
      </c>
      <c r="V4583" s="2" t="s">
        <v>7590</v>
      </c>
      <c r="W4583" s="2" t="s">
        <v>240</v>
      </c>
      <c r="X4583" s="2" t="s">
        <v>147</v>
      </c>
      <c r="Y4583" s="2">
        <v>37.1</v>
      </c>
      <c r="Z4583" s="2">
        <v>0</v>
      </c>
      <c r="AA4583" s="2" t="s">
        <v>512</v>
      </c>
      <c r="AB4583" s="2" t="s">
        <v>30092</v>
      </c>
      <c r="AC4583" s="2">
        <v>-4.2679673539182001</v>
      </c>
      <c r="AD4583" s="2"/>
      <c r="AE4583" s="2">
        <v>8.34486158042754E-2</v>
      </c>
      <c r="AF4583" s="2">
        <v>8080.1875633621503</v>
      </c>
      <c r="AG4583" s="2">
        <v>9023.7298953997506</v>
      </c>
      <c r="AH4583" s="4">
        <v>0.89543765793359897</v>
      </c>
      <c r="AI4583" s="4">
        <v>-0.15933510234209899</v>
      </c>
      <c r="AJ4583" s="4" t="s">
        <v>62</v>
      </c>
      <c r="AK4583" s="2">
        <v>0.35497954855001101</v>
      </c>
      <c r="AL4583" s="2">
        <v>0.644232435870006</v>
      </c>
      <c r="AM4583" s="2">
        <v>8582.5094230215109</v>
      </c>
      <c r="AN4583" s="2">
        <v>8445.1469390730799</v>
      </c>
      <c r="AO4583" s="2">
        <v>8404.5590794707896</v>
      </c>
      <c r="AP4583" s="2">
        <v>8248.2897978445508</v>
      </c>
      <c r="AQ4583" s="2">
        <v>8146.5758755376901</v>
      </c>
      <c r="AR4583" s="2">
        <v>6654.0442652252896</v>
      </c>
      <c r="AS4583" s="2">
        <v>9834.01859169401</v>
      </c>
      <c r="AT4583" s="2">
        <v>10305.562648278201</v>
      </c>
      <c r="AU4583" s="2">
        <v>10776.907289795099</v>
      </c>
      <c r="AV4583" s="2">
        <v>5717.4770806767201</v>
      </c>
      <c r="AW4583" s="2">
        <v>6587.9175335095397</v>
      </c>
      <c r="AX4583" s="2">
        <v>10920.496228444899</v>
      </c>
    </row>
    <row r="4584" spans="1:50" x14ac:dyDescent="0.25">
      <c r="A4584" s="2" t="s">
        <v>30093</v>
      </c>
      <c r="B4584" s="2">
        <v>281.17692411142599</v>
      </c>
      <c r="C4584" s="2">
        <v>4.4844999999999997</v>
      </c>
      <c r="D4584" s="2" t="s">
        <v>51</v>
      </c>
      <c r="E4584" s="2" t="s">
        <v>30094</v>
      </c>
      <c r="F4584" s="2">
        <v>53088</v>
      </c>
      <c r="G4584" s="3" t="str">
        <f>HYPERLINK("https://cloud.oebiotech.com/#/lm/network/53088", "https://cloud.oebiotech.com/#/lm/network/53088")</f>
        <v>https://cloud.oebiotech.com/#/lm/network/53088</v>
      </c>
      <c r="H4584" s="2" t="s">
        <v>30095</v>
      </c>
      <c r="I4584" s="2">
        <v>43473</v>
      </c>
      <c r="J4584" s="2"/>
      <c r="K4584" s="2">
        <v>4199</v>
      </c>
      <c r="L4584" s="2"/>
      <c r="M4584" s="2"/>
      <c r="N4584" s="2"/>
      <c r="O4584" s="2">
        <v>51038</v>
      </c>
      <c r="P4584" s="2"/>
      <c r="Q4584" s="2"/>
      <c r="R4584" s="2" t="s">
        <v>30096</v>
      </c>
      <c r="S4584" s="2" t="s">
        <v>30097</v>
      </c>
      <c r="T4584" s="2" t="s">
        <v>30098</v>
      </c>
      <c r="U4584" s="2" t="s">
        <v>266</v>
      </c>
      <c r="V4584" s="2" t="s">
        <v>3926</v>
      </c>
      <c r="W4584" s="2" t="s">
        <v>23400</v>
      </c>
      <c r="X4584" s="2" t="s">
        <v>147</v>
      </c>
      <c r="Y4584" s="2">
        <v>36.200000000000003</v>
      </c>
      <c r="Z4584" s="2">
        <v>0</v>
      </c>
      <c r="AA4584" s="2" t="s">
        <v>156</v>
      </c>
      <c r="AB4584" s="2" t="s">
        <v>30099</v>
      </c>
      <c r="AC4584" s="2">
        <v>2.85404436487674</v>
      </c>
      <c r="AD4584" s="2"/>
      <c r="AE4584" s="2">
        <v>8.3435753003503504E-2</v>
      </c>
      <c r="AF4584" s="2">
        <v>4423.8854977507299</v>
      </c>
      <c r="AG4584" s="2">
        <v>3839.0967768099199</v>
      </c>
      <c r="AH4584" s="5">
        <v>1.15232455833706</v>
      </c>
      <c r="AI4584" s="5">
        <v>0.20454711674220899</v>
      </c>
      <c r="AJ4584" s="5" t="s">
        <v>139</v>
      </c>
      <c r="AK4584" s="2">
        <v>0.45575140820611199</v>
      </c>
      <c r="AL4584" s="2">
        <v>0.70758266488485499</v>
      </c>
      <c r="AM4584" s="2">
        <v>3198.7114970534299</v>
      </c>
      <c r="AN4584" s="2">
        <v>4421.8325482535201</v>
      </c>
      <c r="AO4584" s="2">
        <v>4714.2666654659797</v>
      </c>
      <c r="AP4584" s="2">
        <v>3524.98126252053</v>
      </c>
      <c r="AQ4584" s="2">
        <v>4761.1158129285204</v>
      </c>
      <c r="AR4584" s="2">
        <v>5922.4052002824101</v>
      </c>
      <c r="AS4584" s="2">
        <v>2027.5461430255</v>
      </c>
      <c r="AT4584" s="2">
        <v>2428.6292929268998</v>
      </c>
      <c r="AU4584" s="2">
        <v>6110.1625497678997</v>
      </c>
      <c r="AV4584" s="2">
        <v>3314.3590546409901</v>
      </c>
      <c r="AW4584" s="2">
        <v>4079.65432499597</v>
      </c>
      <c r="AX4584" s="2">
        <v>5074.2292955022904</v>
      </c>
    </row>
    <row r="4585" spans="1:50" x14ac:dyDescent="0.25">
      <c r="A4585" s="2" t="s">
        <v>30100</v>
      </c>
      <c r="B4585" s="2">
        <v>208.09750635618801</v>
      </c>
      <c r="C4585" s="2">
        <v>4.8329666666666702</v>
      </c>
      <c r="D4585" s="2" t="s">
        <v>51</v>
      </c>
      <c r="E4585" s="2" t="s">
        <v>30101</v>
      </c>
      <c r="F4585" s="2">
        <v>47265</v>
      </c>
      <c r="G4585" s="3" t="str">
        <f>HYPERLINK("https://cloud.oebiotech.com/#/lm/network/47265", "https://cloud.oebiotech.com/#/lm/network/47265")</f>
        <v>https://cloud.oebiotech.com/#/lm/network/47265</v>
      </c>
      <c r="H4585" s="2" t="s">
        <v>30102</v>
      </c>
      <c r="I4585" s="2">
        <v>5823</v>
      </c>
      <c r="J4585" s="2"/>
      <c r="K4585" s="2">
        <v>152323</v>
      </c>
      <c r="L4585" s="2"/>
      <c r="M4585" s="2"/>
      <c r="N4585" s="2"/>
      <c r="O4585" s="2">
        <v>266653</v>
      </c>
      <c r="P4585" s="2"/>
      <c r="Q4585" s="2"/>
      <c r="R4585" s="2" t="s">
        <v>30103</v>
      </c>
      <c r="S4585" s="2" t="s">
        <v>30104</v>
      </c>
      <c r="T4585" s="2" t="s">
        <v>30105</v>
      </c>
      <c r="U4585" s="2" t="s">
        <v>103</v>
      </c>
      <c r="V4585" s="2" t="s">
        <v>104</v>
      </c>
      <c r="W4585" s="2" t="s">
        <v>105</v>
      </c>
      <c r="X4585" s="2" t="s">
        <v>83</v>
      </c>
      <c r="Y4585" s="2">
        <v>41.5</v>
      </c>
      <c r="Z4585" s="2">
        <v>5.01</v>
      </c>
      <c r="AA4585" s="2" t="s">
        <v>259</v>
      </c>
      <c r="AB4585" s="2" t="s">
        <v>12903</v>
      </c>
      <c r="AC4585" s="2">
        <v>3.31568550962078</v>
      </c>
      <c r="AD4585" s="2"/>
      <c r="AE4585" s="2">
        <v>8.3295174874202002E-2</v>
      </c>
      <c r="AF4585" s="2">
        <v>4641.7125092128199</v>
      </c>
      <c r="AG4585" s="2">
        <v>4418.4894232590896</v>
      </c>
      <c r="AH4585" s="5">
        <v>1.05052022638748</v>
      </c>
      <c r="AI4585" s="5">
        <v>7.1103939476923506E-2</v>
      </c>
      <c r="AJ4585" s="5" t="s">
        <v>139</v>
      </c>
      <c r="AK4585" s="2">
        <v>0.88629120180826404</v>
      </c>
      <c r="AL4585" s="2">
        <v>0.95066140291520596</v>
      </c>
      <c r="AM4585" s="2">
        <v>11684.168874408701</v>
      </c>
      <c r="AN4585" s="2">
        <v>3909.24224587958</v>
      </c>
      <c r="AO4585" s="2">
        <v>1499.06824584375</v>
      </c>
      <c r="AP4585" s="2">
        <v>2816.27785122654</v>
      </c>
      <c r="AQ4585" s="2">
        <v>4886.9730257291203</v>
      </c>
      <c r="AR4585" s="2">
        <v>3054.54481218925</v>
      </c>
      <c r="AS4585" s="2">
        <v>4841.82518744361</v>
      </c>
      <c r="AT4585" s="2">
        <v>3893.4361621335702</v>
      </c>
      <c r="AU4585" s="2">
        <v>4548.4031058669298</v>
      </c>
      <c r="AV4585" s="2">
        <v>5206.4828751386303</v>
      </c>
      <c r="AW4585" s="2">
        <v>5040.7401257964402</v>
      </c>
      <c r="AX4585" s="2">
        <v>2980.04908317533</v>
      </c>
    </row>
    <row r="4586" spans="1:50" x14ac:dyDescent="0.25">
      <c r="A4586" s="2" t="s">
        <v>30106</v>
      </c>
      <c r="B4586" s="2">
        <v>355.21284169056702</v>
      </c>
      <c r="C4586" s="2">
        <v>9.3986833333333308</v>
      </c>
      <c r="D4586" s="2" t="s">
        <v>51</v>
      </c>
      <c r="E4586" s="2" t="s">
        <v>30107</v>
      </c>
      <c r="F4586" s="2">
        <v>3337</v>
      </c>
      <c r="G4586" s="3" t="str">
        <f>HYPERLINK("https://cloud.oebiotech.com/#/lm/network/3337", "https://cloud.oebiotech.com/#/lm/network/3337")</f>
        <v>https://cloud.oebiotech.com/#/lm/network/3337</v>
      </c>
      <c r="H4586" s="2"/>
      <c r="I4586" s="2"/>
      <c r="J4586" s="2" t="s">
        <v>30108</v>
      </c>
      <c r="K4586" s="2"/>
      <c r="L4586" s="2"/>
      <c r="M4586" s="2"/>
      <c r="N4586" s="2"/>
      <c r="O4586" s="2"/>
      <c r="P4586" s="2"/>
      <c r="Q4586" s="2"/>
      <c r="R4586" s="2"/>
      <c r="S4586" s="2" t="s">
        <v>30109</v>
      </c>
      <c r="T4586" s="2" t="s">
        <v>30110</v>
      </c>
      <c r="U4586" s="2" t="s">
        <v>103</v>
      </c>
      <c r="V4586" s="2" t="s">
        <v>377</v>
      </c>
      <c r="W4586" s="2" t="s">
        <v>378</v>
      </c>
      <c r="X4586" s="2" t="s">
        <v>83</v>
      </c>
      <c r="Y4586" s="2">
        <v>42.7</v>
      </c>
      <c r="Z4586" s="2">
        <v>0</v>
      </c>
      <c r="AA4586" s="2" t="s">
        <v>218</v>
      </c>
      <c r="AB4586" s="2" t="s">
        <v>5579</v>
      </c>
      <c r="AC4586" s="2">
        <v>0.73942479837614095</v>
      </c>
      <c r="AD4586" s="2"/>
      <c r="AE4586" s="2">
        <v>8.3241701408913599E-2</v>
      </c>
      <c r="AF4586" s="2">
        <v>2249.0605944363801</v>
      </c>
      <c r="AG4586" s="2">
        <v>1678.2409887803899</v>
      </c>
      <c r="AH4586" s="5">
        <v>1.3401297009619599</v>
      </c>
      <c r="AI4586" s="5">
        <v>0.42237263492142102</v>
      </c>
      <c r="AJ4586" s="5" t="s">
        <v>139</v>
      </c>
      <c r="AK4586" s="2">
        <v>0.52448591491149898</v>
      </c>
      <c r="AL4586" s="2">
        <v>0.75323485167623805</v>
      </c>
      <c r="AM4586" s="2">
        <v>1562.6552874154299</v>
      </c>
      <c r="AN4586" s="2">
        <v>4465.5301494535397</v>
      </c>
      <c r="AO4586" s="2">
        <v>2807.9834349991802</v>
      </c>
      <c r="AP4586" s="2">
        <v>633.09841448682198</v>
      </c>
      <c r="AQ4586" s="2">
        <v>2254.87925898105</v>
      </c>
      <c r="AR4586" s="2">
        <v>1770.21702128223</v>
      </c>
      <c r="AS4586" s="2">
        <v>1808.0213256260299</v>
      </c>
      <c r="AT4586" s="2">
        <v>635.76485700633202</v>
      </c>
      <c r="AU4586" s="2">
        <v>1470.57951697712</v>
      </c>
      <c r="AV4586" s="2">
        <v>635.34237394969705</v>
      </c>
      <c r="AW4586" s="2">
        <v>4923.7710742099398</v>
      </c>
      <c r="AX4586" s="2">
        <v>595.96678491323405</v>
      </c>
    </row>
    <row r="4587" spans="1:50" x14ac:dyDescent="0.25">
      <c r="A4587" s="2" t="s">
        <v>30111</v>
      </c>
      <c r="B4587" s="2">
        <v>605.44260231382304</v>
      </c>
      <c r="C4587" s="2">
        <v>13.510733333333301</v>
      </c>
      <c r="D4587" s="2" t="s">
        <v>51</v>
      </c>
      <c r="E4587" s="2" t="s">
        <v>30112</v>
      </c>
      <c r="F4587" s="2">
        <v>49105</v>
      </c>
      <c r="G4587" s="3" t="str">
        <f>HYPERLINK("https://cloud.oebiotech.com/#/lm/network/49105", "https://cloud.oebiotech.com/#/lm/network/49105")</f>
        <v>https://cloud.oebiotech.com/#/lm/network/49105</v>
      </c>
      <c r="H4587" s="2" t="s">
        <v>30113</v>
      </c>
      <c r="I4587" s="2">
        <v>58822</v>
      </c>
      <c r="J4587" s="2"/>
      <c r="K4587" s="2">
        <v>53478113</v>
      </c>
      <c r="L4587" s="2"/>
      <c r="M4587" s="2"/>
      <c r="N4587" s="2"/>
      <c r="O4587" s="2"/>
      <c r="P4587" s="2"/>
      <c r="Q4587" s="2"/>
      <c r="R4587" s="2"/>
      <c r="S4587" s="2" t="s">
        <v>30114</v>
      </c>
      <c r="T4587" s="2" t="s">
        <v>30115</v>
      </c>
      <c r="U4587" s="2" t="s">
        <v>56</v>
      </c>
      <c r="V4587" s="2" t="s">
        <v>145</v>
      </c>
      <c r="W4587" s="2" t="s">
        <v>203</v>
      </c>
      <c r="X4587" s="2" t="s">
        <v>147</v>
      </c>
      <c r="Y4587" s="2">
        <v>37.200000000000003</v>
      </c>
      <c r="Z4587" s="2">
        <v>0</v>
      </c>
      <c r="AA4587" s="2" t="s">
        <v>218</v>
      </c>
      <c r="AB4587" s="2" t="s">
        <v>30116</v>
      </c>
      <c r="AC4587" s="2">
        <v>0.57886564951917296</v>
      </c>
      <c r="AD4587" s="2"/>
      <c r="AE4587" s="2">
        <v>8.3240434204323296E-2</v>
      </c>
      <c r="AF4587" s="2">
        <v>2068.6882499868598</v>
      </c>
      <c r="AG4587" s="2">
        <v>1026.31386247556</v>
      </c>
      <c r="AH4587" s="5">
        <v>2.0156487460833898</v>
      </c>
      <c r="AI4587" s="5">
        <v>1.01124425171718</v>
      </c>
      <c r="AJ4587" s="5" t="s">
        <v>139</v>
      </c>
      <c r="AK4587" s="2">
        <v>0.26712050527641001</v>
      </c>
      <c r="AL4587" s="2">
        <v>0.58823162872384205</v>
      </c>
      <c r="AM4587" s="2">
        <v>1296.1668601935501</v>
      </c>
      <c r="AN4587" s="2">
        <v>8.559877937157E-6</v>
      </c>
      <c r="AO4587" s="2">
        <v>756.36515532496298</v>
      </c>
      <c r="AP4587" s="2">
        <v>3523.6031609101401</v>
      </c>
      <c r="AQ4587" s="2">
        <v>2594.4227012933502</v>
      </c>
      <c r="AR4587" s="2">
        <v>4241.5716136392703</v>
      </c>
      <c r="AS4587" s="2">
        <v>960.70250909855804</v>
      </c>
      <c r="AT4587" s="2">
        <v>8.559877937157E-6</v>
      </c>
      <c r="AU4587" s="2">
        <v>8.559877937157E-6</v>
      </c>
      <c r="AV4587" s="2">
        <v>1655.56635201672</v>
      </c>
      <c r="AW4587" s="2">
        <v>3541.6142880584398</v>
      </c>
      <c r="AX4587" s="2">
        <v>8.559877937157E-6</v>
      </c>
    </row>
    <row r="4588" spans="1:50" x14ac:dyDescent="0.25">
      <c r="A4588" s="2" t="s">
        <v>30117</v>
      </c>
      <c r="B4588" s="2">
        <v>267.19647994964299</v>
      </c>
      <c r="C4588" s="2">
        <v>10.5959</v>
      </c>
      <c r="D4588" s="2" t="s">
        <v>51</v>
      </c>
      <c r="E4588" s="2" t="s">
        <v>30118</v>
      </c>
      <c r="F4588" s="2">
        <v>3354</v>
      </c>
      <c r="G4588" s="3" t="str">
        <f>HYPERLINK("https://cloud.oebiotech.com/#/lm/network/3354", "https://cloud.oebiotech.com/#/lm/network/3354")</f>
        <v>https://cloud.oebiotech.com/#/lm/network/3354</v>
      </c>
      <c r="H4588" s="2"/>
      <c r="I4588" s="2">
        <v>74959</v>
      </c>
      <c r="J4588" s="2" t="s">
        <v>30119</v>
      </c>
      <c r="K4588" s="2">
        <v>16061079</v>
      </c>
      <c r="L4588" s="2"/>
      <c r="M4588" s="2"/>
      <c r="N4588" s="2"/>
      <c r="O4588" s="2">
        <v>138420</v>
      </c>
      <c r="P4588" s="2"/>
      <c r="Q4588" s="2"/>
      <c r="R4588" s="2"/>
      <c r="S4588" s="2" t="s">
        <v>30120</v>
      </c>
      <c r="T4588" s="2" t="s">
        <v>30121</v>
      </c>
      <c r="U4588" s="2" t="s">
        <v>56</v>
      </c>
      <c r="V4588" s="2" t="s">
        <v>145</v>
      </c>
      <c r="W4588" s="2" t="s">
        <v>187</v>
      </c>
      <c r="X4588" s="2" t="s">
        <v>83</v>
      </c>
      <c r="Y4588" s="2">
        <v>45.4</v>
      </c>
      <c r="Z4588" s="2">
        <v>0</v>
      </c>
      <c r="AA4588" s="2" t="s">
        <v>163</v>
      </c>
      <c r="AB4588" s="2" t="s">
        <v>16880</v>
      </c>
      <c r="AC4588" s="2">
        <v>-0.32950682524275698</v>
      </c>
      <c r="AD4588" s="2"/>
      <c r="AE4588" s="2">
        <v>8.2988680105778506E-2</v>
      </c>
      <c r="AF4588" s="2">
        <v>7601.85651543523</v>
      </c>
      <c r="AG4588" s="2">
        <v>8478.8240051466601</v>
      </c>
      <c r="AH4588" s="4">
        <v>0.89656967886358896</v>
      </c>
      <c r="AI4588" s="4">
        <v>-0.15751238525207201</v>
      </c>
      <c r="AJ4588" s="4" t="s">
        <v>62</v>
      </c>
      <c r="AK4588" s="2">
        <v>0.59103139337991295</v>
      </c>
      <c r="AL4588" s="2">
        <v>0.79384060507313303</v>
      </c>
      <c r="AM4588" s="2">
        <v>7861.85857625279</v>
      </c>
      <c r="AN4588" s="2">
        <v>7815.4135249549499</v>
      </c>
      <c r="AO4588" s="2">
        <v>6457.0300981883302</v>
      </c>
      <c r="AP4588" s="2">
        <v>5724.1097888887298</v>
      </c>
      <c r="AQ4588" s="2">
        <v>7264.7941642332798</v>
      </c>
      <c r="AR4588" s="2">
        <v>10487.9329400933</v>
      </c>
      <c r="AS4588" s="2">
        <v>4215.8320362714503</v>
      </c>
      <c r="AT4588" s="2">
        <v>7273.4194000260904</v>
      </c>
      <c r="AU4588" s="2">
        <v>10635.379695829301</v>
      </c>
      <c r="AV4588" s="2">
        <v>7494.1480749980001</v>
      </c>
      <c r="AW4588" s="2">
        <v>14301.9624884561</v>
      </c>
      <c r="AX4588" s="2">
        <v>6952.20233529902</v>
      </c>
    </row>
    <row r="4589" spans="1:50" x14ac:dyDescent="0.25">
      <c r="A4589" s="2" t="s">
        <v>30122</v>
      </c>
      <c r="B4589" s="2">
        <v>218.081795964603</v>
      </c>
      <c r="C4589" s="2">
        <v>4.9007166666666704</v>
      </c>
      <c r="D4589" s="2" t="s">
        <v>51</v>
      </c>
      <c r="E4589" s="2" t="s">
        <v>30123</v>
      </c>
      <c r="F4589" s="2">
        <v>60759</v>
      </c>
      <c r="G4589" s="3" t="str">
        <f>HYPERLINK("https://cloud.oebiotech.com/#/lm/network/60759", "https://cloud.oebiotech.com/#/lm/network/60759")</f>
        <v>https://cloud.oebiotech.com/#/lm/network/60759</v>
      </c>
      <c r="H4589" s="2" t="s">
        <v>30124</v>
      </c>
      <c r="I4589" s="2">
        <v>72293</v>
      </c>
      <c r="J4589" s="2"/>
      <c r="K4589" s="2">
        <v>91665</v>
      </c>
      <c r="L4589" s="2" t="s">
        <v>30125</v>
      </c>
      <c r="M4589" s="2"/>
      <c r="N4589" s="2"/>
      <c r="O4589" s="2">
        <v>45141</v>
      </c>
      <c r="P4589" s="2"/>
      <c r="Q4589" s="2"/>
      <c r="R4589" s="2" t="s">
        <v>30126</v>
      </c>
      <c r="S4589" s="2" t="s">
        <v>30127</v>
      </c>
      <c r="T4589" s="2" t="s">
        <v>30128</v>
      </c>
      <c r="U4589" s="2" t="s">
        <v>266</v>
      </c>
      <c r="V4589" s="2" t="s">
        <v>1393</v>
      </c>
      <c r="W4589" s="2" t="s">
        <v>19215</v>
      </c>
      <c r="X4589" s="2" t="s">
        <v>83</v>
      </c>
      <c r="Y4589" s="2">
        <v>48.4</v>
      </c>
      <c r="Z4589" s="2">
        <v>0</v>
      </c>
      <c r="AA4589" s="2" t="s">
        <v>218</v>
      </c>
      <c r="AB4589" s="2" t="s">
        <v>30129</v>
      </c>
      <c r="AC4589" s="2">
        <v>-2.7205423530314699</v>
      </c>
      <c r="AD4589" s="2"/>
      <c r="AE4589" s="2">
        <v>8.2980082341827896E-2</v>
      </c>
      <c r="AF4589" s="2">
        <v>1076.7456482033899</v>
      </c>
      <c r="AG4589" s="2">
        <v>1425.2784827226301</v>
      </c>
      <c r="AH4589" s="4">
        <v>0.75546334365936996</v>
      </c>
      <c r="AI4589" s="4">
        <v>-0.40456633976705397</v>
      </c>
      <c r="AJ4589" s="4" t="s">
        <v>62</v>
      </c>
      <c r="AK4589" s="2">
        <v>0.23593652070101101</v>
      </c>
      <c r="AL4589" s="2">
        <v>0.56083325745832202</v>
      </c>
      <c r="AM4589" s="2">
        <v>1497.1746451577901</v>
      </c>
      <c r="AN4589" s="2">
        <v>1157.64295668502</v>
      </c>
      <c r="AO4589" s="2">
        <v>611.41162548880095</v>
      </c>
      <c r="AP4589" s="2">
        <v>1029.4603312904801</v>
      </c>
      <c r="AQ4589" s="2">
        <v>773.05352038676097</v>
      </c>
      <c r="AR4589" s="2">
        <v>1391.7308102115101</v>
      </c>
      <c r="AS4589" s="2">
        <v>902.744406059835</v>
      </c>
      <c r="AT4589" s="2">
        <v>751.81016885368001</v>
      </c>
      <c r="AU4589" s="2">
        <v>1769.55381749955</v>
      </c>
      <c r="AV4589" s="2">
        <v>1071.11236927803</v>
      </c>
      <c r="AW4589" s="2">
        <v>2046.5234904571601</v>
      </c>
      <c r="AX4589" s="2">
        <v>2009.92664418754</v>
      </c>
    </row>
    <row r="4590" spans="1:50" x14ac:dyDescent="0.25">
      <c r="A4590" s="2" t="s">
        <v>30130</v>
      </c>
      <c r="B4590" s="2">
        <v>186.185742385336</v>
      </c>
      <c r="C4590" s="2">
        <v>5.2849000000000004</v>
      </c>
      <c r="D4590" s="2" t="s">
        <v>51</v>
      </c>
      <c r="E4590" s="2" t="s">
        <v>30131</v>
      </c>
      <c r="F4590" s="2">
        <v>6102</v>
      </c>
      <c r="G4590" s="3" t="str">
        <f>HYPERLINK("https://cloud.oebiotech.com/#/lm/network/6102", "https://cloud.oebiotech.com/#/lm/network/6102")</f>
        <v>https://cloud.oebiotech.com/#/lm/network/6102</v>
      </c>
      <c r="H4590" s="2"/>
      <c r="I4590" s="2">
        <v>46078</v>
      </c>
      <c r="J4590" s="2" t="s">
        <v>30132</v>
      </c>
      <c r="K4590" s="2">
        <v>14526717</v>
      </c>
      <c r="L4590" s="2"/>
      <c r="M4590" s="2"/>
      <c r="N4590" s="2"/>
      <c r="O4590" s="2"/>
      <c r="P4590" s="2"/>
      <c r="Q4590" s="2"/>
      <c r="R4590" s="2"/>
      <c r="S4590" s="2" t="s">
        <v>30133</v>
      </c>
      <c r="T4590" s="2" t="s">
        <v>30134</v>
      </c>
      <c r="U4590" s="2" t="s">
        <v>56</v>
      </c>
      <c r="V4590" s="2" t="s">
        <v>177</v>
      </c>
      <c r="W4590" s="2" t="s">
        <v>584</v>
      </c>
      <c r="X4590" s="2" t="s">
        <v>147</v>
      </c>
      <c r="Y4590" s="2">
        <v>39</v>
      </c>
      <c r="Z4590" s="2">
        <v>10</v>
      </c>
      <c r="AA4590" s="2" t="s">
        <v>512</v>
      </c>
      <c r="AB4590" s="2" t="s">
        <v>20329</v>
      </c>
      <c r="AC4590" s="2">
        <v>2.9829922928096702</v>
      </c>
      <c r="AD4590" s="2"/>
      <c r="AE4590" s="2">
        <v>8.2771078621155902E-2</v>
      </c>
      <c r="AF4590" s="2">
        <v>736.00809237731198</v>
      </c>
      <c r="AG4590" s="2">
        <v>1097.5272944256601</v>
      </c>
      <c r="AH4590" s="4">
        <v>0.67060572991259504</v>
      </c>
      <c r="AI4590" s="4">
        <v>-0.57646328476316699</v>
      </c>
      <c r="AJ4590" s="4" t="s">
        <v>62</v>
      </c>
      <c r="AK4590" s="2">
        <v>0.32718570385409101</v>
      </c>
      <c r="AL4590" s="2">
        <v>0.62992073899545697</v>
      </c>
      <c r="AM4590" s="2">
        <v>671.13718834856695</v>
      </c>
      <c r="AN4590" s="2">
        <v>767.37306807257301</v>
      </c>
      <c r="AO4590" s="2">
        <v>804.19509729588401</v>
      </c>
      <c r="AP4590" s="2">
        <v>904.78525930849503</v>
      </c>
      <c r="AQ4590" s="2">
        <v>733.03787619665798</v>
      </c>
      <c r="AR4590" s="2">
        <v>535.52006504169697</v>
      </c>
      <c r="AS4590" s="2">
        <v>1075.6278767024</v>
      </c>
      <c r="AT4590" s="2">
        <v>973.07152624998298</v>
      </c>
      <c r="AU4590" s="2">
        <v>777.80641049227495</v>
      </c>
      <c r="AV4590" s="2">
        <v>658.82204777679999</v>
      </c>
      <c r="AW4590" s="2">
        <v>346.62588678912402</v>
      </c>
      <c r="AX4590" s="2">
        <v>2753.2100185433501</v>
      </c>
    </row>
    <row r="4591" spans="1:50" x14ac:dyDescent="0.25">
      <c r="A4591" s="2" t="s">
        <v>30135</v>
      </c>
      <c r="B4591" s="2">
        <v>313.119583796082</v>
      </c>
      <c r="C4591" s="2">
        <v>3.8462333333333301</v>
      </c>
      <c r="D4591" s="2" t="s">
        <v>51</v>
      </c>
      <c r="E4591" s="2" t="s">
        <v>30136</v>
      </c>
      <c r="F4591" s="2">
        <v>200725</v>
      </c>
      <c r="G4591" s="3" t="str">
        <f>HYPERLINK("https://cloud.oebiotech.com/#/lm/network/200725", "https://cloud.oebiotech.com/#/lm/network/200725")</f>
        <v>https://cloud.oebiotech.com/#/lm/network/200725</v>
      </c>
      <c r="H4591" s="2" t="s">
        <v>30137</v>
      </c>
      <c r="I4591" s="2"/>
      <c r="J4591" s="2"/>
      <c r="K4591" s="2">
        <v>15594</v>
      </c>
      <c r="L4591" s="2"/>
      <c r="M4591" s="2"/>
      <c r="N4591" s="2"/>
      <c r="O4591" s="2"/>
      <c r="P4591" s="2"/>
      <c r="Q4591" s="2"/>
      <c r="R4591" s="2"/>
      <c r="S4591" s="2" t="s">
        <v>30138</v>
      </c>
      <c r="T4591" s="2" t="s">
        <v>30139</v>
      </c>
      <c r="U4591" s="2" t="s">
        <v>266</v>
      </c>
      <c r="V4591" s="2" t="s">
        <v>10459</v>
      </c>
      <c r="W4591" s="2" t="s">
        <v>22899</v>
      </c>
      <c r="X4591" s="2" t="s">
        <v>147</v>
      </c>
      <c r="Y4591" s="2">
        <v>38.700000000000003</v>
      </c>
      <c r="Z4591" s="2">
        <v>0</v>
      </c>
      <c r="AA4591" s="2" t="s">
        <v>478</v>
      </c>
      <c r="AB4591" s="2" t="s">
        <v>30140</v>
      </c>
      <c r="AC4591" s="2">
        <v>-3.6107883348541301</v>
      </c>
      <c r="AD4591" s="2"/>
      <c r="AE4591" s="2">
        <v>8.2768639710331798E-2</v>
      </c>
      <c r="AF4591" s="2">
        <v>1528.6256883384101</v>
      </c>
      <c r="AG4591" s="2">
        <v>2104.7627867166898</v>
      </c>
      <c r="AH4591" s="4">
        <v>0.726269819091099</v>
      </c>
      <c r="AI4591" s="4">
        <v>-0.46142246629886202</v>
      </c>
      <c r="AJ4591" s="4" t="s">
        <v>62</v>
      </c>
      <c r="AK4591" s="2">
        <v>0.321055378642921</v>
      </c>
      <c r="AL4591" s="2">
        <v>0.62866285719097004</v>
      </c>
      <c r="AM4591" s="2">
        <v>2227.8960618618999</v>
      </c>
      <c r="AN4591" s="2">
        <v>1719.83243404784</v>
      </c>
      <c r="AO4591" s="2">
        <v>847.48108887096203</v>
      </c>
      <c r="AP4591" s="2">
        <v>2208.9778394893701</v>
      </c>
      <c r="AQ4591" s="2">
        <v>1231.2322747834501</v>
      </c>
      <c r="AR4591" s="2">
        <v>936.33443097691804</v>
      </c>
      <c r="AS4591" s="2">
        <v>3349.8190377245501</v>
      </c>
      <c r="AT4591" s="2">
        <v>3249.7240179986002</v>
      </c>
      <c r="AU4591" s="2">
        <v>2000.62480754954</v>
      </c>
      <c r="AV4591" s="2">
        <v>405.75274578328799</v>
      </c>
      <c r="AW4591" s="2">
        <v>2621.7283459548198</v>
      </c>
      <c r="AX4591" s="2">
        <v>1000.92776528933</v>
      </c>
    </row>
    <row r="4592" spans="1:50" x14ac:dyDescent="0.25">
      <c r="A4592" s="2" t="s">
        <v>30141</v>
      </c>
      <c r="B4592" s="2">
        <v>347.16206139257997</v>
      </c>
      <c r="C4592" s="2">
        <v>4.7920333333333298</v>
      </c>
      <c r="D4592" s="2" t="s">
        <v>51</v>
      </c>
      <c r="E4592" s="2" t="s">
        <v>30142</v>
      </c>
      <c r="F4592" s="2">
        <v>54735</v>
      </c>
      <c r="G4592" s="3" t="str">
        <f>HYPERLINK("https://cloud.oebiotech.com/#/lm/network/54735", "https://cloud.oebiotech.com/#/lm/network/54735")</f>
        <v>https://cloud.oebiotech.com/#/lm/network/54735</v>
      </c>
      <c r="H4592" s="2" t="s">
        <v>30143</v>
      </c>
      <c r="I4592" s="2">
        <v>86546</v>
      </c>
      <c r="J4592" s="2"/>
      <c r="K4592" s="2">
        <v>71391212</v>
      </c>
      <c r="L4592" s="2"/>
      <c r="M4592" s="2"/>
      <c r="N4592" s="2"/>
      <c r="O4592" s="2"/>
      <c r="P4592" s="2"/>
      <c r="Q4592" s="2"/>
      <c r="R4592" s="2"/>
      <c r="S4592" s="2" t="s">
        <v>30144</v>
      </c>
      <c r="T4592" s="2" t="s">
        <v>30145</v>
      </c>
      <c r="U4592" s="2" t="s">
        <v>610</v>
      </c>
      <c r="V4592" s="2" t="s">
        <v>611</v>
      </c>
      <c r="W4592" s="2" t="s">
        <v>612</v>
      </c>
      <c r="X4592" s="2" t="s">
        <v>147</v>
      </c>
      <c r="Y4592" s="2">
        <v>38.4</v>
      </c>
      <c r="Z4592" s="2">
        <v>0</v>
      </c>
      <c r="AA4592" s="2" t="s">
        <v>395</v>
      </c>
      <c r="AB4592" s="2" t="s">
        <v>12571</v>
      </c>
      <c r="AC4592" s="2">
        <v>0.46702452896479002</v>
      </c>
      <c r="AD4592" s="2"/>
      <c r="AE4592" s="2">
        <v>8.2620084249600906E-2</v>
      </c>
      <c r="AF4592" s="2">
        <v>905.166706387668</v>
      </c>
      <c r="AG4592" s="2">
        <v>1375.34367114517</v>
      </c>
      <c r="AH4592" s="4">
        <v>0.65813856229402201</v>
      </c>
      <c r="AI4592" s="4">
        <v>-0.60353673875436198</v>
      </c>
      <c r="AJ4592" s="4" t="s">
        <v>62</v>
      </c>
      <c r="AK4592" s="2">
        <v>0.383444572469539</v>
      </c>
      <c r="AL4592" s="2">
        <v>0.66067042543613197</v>
      </c>
      <c r="AM4592" s="2">
        <v>280.31091323376398</v>
      </c>
      <c r="AN4592" s="2">
        <v>1172.0209481311899</v>
      </c>
      <c r="AO4592" s="2">
        <v>1190.7366762480201</v>
      </c>
      <c r="AP4592" s="2">
        <v>962.04854397747101</v>
      </c>
      <c r="AQ4592" s="2">
        <v>1105.77933945889</v>
      </c>
      <c r="AR4592" s="2">
        <v>720.103817276673</v>
      </c>
      <c r="AS4592" s="2">
        <v>2669.3232988035002</v>
      </c>
      <c r="AT4592" s="2">
        <v>3110.23724869442</v>
      </c>
      <c r="AU4592" s="2">
        <v>284.80581451990901</v>
      </c>
      <c r="AV4592" s="2">
        <v>550.71663431360798</v>
      </c>
      <c r="AW4592" s="2">
        <v>1123.8768110057699</v>
      </c>
      <c r="AX4592" s="2">
        <v>513.102219533842</v>
      </c>
    </row>
    <row r="4593" spans="1:50" x14ac:dyDescent="0.25">
      <c r="A4593" s="2" t="s">
        <v>30146</v>
      </c>
      <c r="B4593" s="2">
        <v>475.30591393432599</v>
      </c>
      <c r="C4593" s="2">
        <v>10.72105</v>
      </c>
      <c r="D4593" s="2" t="s">
        <v>51</v>
      </c>
      <c r="E4593" s="2" t="s">
        <v>30147</v>
      </c>
      <c r="F4593" s="2">
        <v>46455</v>
      </c>
      <c r="G4593" s="3" t="str">
        <f>HYPERLINK("https://cloud.oebiotech.com/#/lm/network/46455", "https://cloud.oebiotech.com/#/lm/network/46455")</f>
        <v>https://cloud.oebiotech.com/#/lm/network/46455</v>
      </c>
      <c r="H4593" s="2" t="s">
        <v>30148</v>
      </c>
      <c r="I4593" s="2"/>
      <c r="J4593" s="2" t="s">
        <v>30149</v>
      </c>
      <c r="K4593" s="2">
        <v>3081085</v>
      </c>
      <c r="L4593" s="2" t="s">
        <v>30150</v>
      </c>
      <c r="M4593" s="2" t="s">
        <v>3331</v>
      </c>
      <c r="N4593" s="2" t="s">
        <v>3332</v>
      </c>
      <c r="O4593" s="2">
        <v>83036</v>
      </c>
      <c r="P4593" s="2"/>
      <c r="Q4593" s="2"/>
      <c r="R4593" s="2" t="s">
        <v>30151</v>
      </c>
      <c r="S4593" s="2" t="s">
        <v>30152</v>
      </c>
      <c r="T4593" s="2" t="s">
        <v>30153</v>
      </c>
      <c r="U4593" s="2" t="s">
        <v>56</v>
      </c>
      <c r="V4593" s="2" t="s">
        <v>283</v>
      </c>
      <c r="W4593" s="2" t="s">
        <v>2042</v>
      </c>
      <c r="X4593" s="2" t="s">
        <v>83</v>
      </c>
      <c r="Y4593" s="2">
        <v>47.5</v>
      </c>
      <c r="Z4593" s="2">
        <v>8.99</v>
      </c>
      <c r="AA4593" s="2" t="s">
        <v>241</v>
      </c>
      <c r="AB4593" s="2" t="s">
        <v>3946</v>
      </c>
      <c r="AC4593" s="2">
        <v>-1.3914694185671299</v>
      </c>
      <c r="AD4593" s="2"/>
      <c r="AE4593" s="2">
        <v>8.23934226536637E-2</v>
      </c>
      <c r="AF4593" s="2">
        <v>15768.9847677199</v>
      </c>
      <c r="AG4593" s="2">
        <v>13462.0635333386</v>
      </c>
      <c r="AH4593" s="5">
        <v>1.1713646075632</v>
      </c>
      <c r="AI4593" s="5">
        <v>0.22819020961261899</v>
      </c>
      <c r="AJ4593" s="5" t="s">
        <v>139</v>
      </c>
      <c r="AK4593" s="2">
        <v>0.68592099520544003</v>
      </c>
      <c r="AL4593" s="2">
        <v>0.84845792633565997</v>
      </c>
      <c r="AM4593" s="2">
        <v>4027.4183443438701</v>
      </c>
      <c r="AN4593" s="2">
        <v>13583.800525562699</v>
      </c>
      <c r="AO4593" s="2">
        <v>14489.714291135901</v>
      </c>
      <c r="AP4593" s="2">
        <v>12980.418542836</v>
      </c>
      <c r="AQ4593" s="2">
        <v>33876.600898769699</v>
      </c>
      <c r="AR4593" s="2">
        <v>15655.956003671499</v>
      </c>
      <c r="AS4593" s="2">
        <v>22360.0389291867</v>
      </c>
      <c r="AT4593" s="2">
        <v>25454.1613694115</v>
      </c>
      <c r="AU4593" s="2">
        <v>4041.0877965636901</v>
      </c>
      <c r="AV4593" s="2">
        <v>2152.7101485052499</v>
      </c>
      <c r="AW4593" s="2">
        <v>12594.093666090101</v>
      </c>
      <c r="AX4593" s="2">
        <v>14170.2892902741</v>
      </c>
    </row>
    <row r="4594" spans="1:50" x14ac:dyDescent="0.25">
      <c r="A4594" s="2" t="s">
        <v>30154</v>
      </c>
      <c r="B4594" s="2">
        <v>318.14999999999998</v>
      </c>
      <c r="C4594" s="2">
        <v>23.794</v>
      </c>
      <c r="D4594" s="2" t="s">
        <v>125</v>
      </c>
      <c r="E4594" s="2" t="s">
        <v>30155</v>
      </c>
      <c r="F4594" s="2">
        <v>258358</v>
      </c>
      <c r="G4594" s="3" t="str">
        <f>HYPERLINK("https://cloud.oebiotech.com/#/lm/network/258358", "https://cloud.oebiotech.com/#/lm/network/258358")</f>
        <v>https://cloud.oebiotech.com/#/lm/network/258358</v>
      </c>
      <c r="H4594" s="2" t="s">
        <v>30156</v>
      </c>
      <c r="I4594" s="2">
        <v>5223</v>
      </c>
      <c r="J4594" s="2"/>
      <c r="K4594" s="2">
        <v>107737</v>
      </c>
      <c r="L4594" s="2" t="s">
        <v>30157</v>
      </c>
      <c r="M4594" s="2" t="s">
        <v>30158</v>
      </c>
      <c r="N4594" s="2" t="s">
        <v>30159</v>
      </c>
      <c r="O4594" s="2"/>
      <c r="P4594" s="2"/>
      <c r="Q4594" s="2"/>
      <c r="R4594" s="2"/>
      <c r="S4594" s="2" t="s">
        <v>30160</v>
      </c>
      <c r="T4594" s="2" t="s">
        <v>30161</v>
      </c>
      <c r="U4594" s="2" t="s">
        <v>331</v>
      </c>
      <c r="V4594" s="2" t="s">
        <v>332</v>
      </c>
      <c r="W4594" s="2" t="s">
        <v>519</v>
      </c>
      <c r="X4594" s="2" t="s">
        <v>69</v>
      </c>
      <c r="Y4594" s="2">
        <v>95.6</v>
      </c>
      <c r="Z4594" s="2">
        <v>94.7</v>
      </c>
      <c r="AA4594" s="2"/>
      <c r="AB4594" s="2" t="s">
        <v>22685</v>
      </c>
      <c r="AC4594" s="2"/>
      <c r="AD4594" s="2">
        <v>846465.89041095902</v>
      </c>
      <c r="AE4594" s="2">
        <v>8.2393107924807807E-2</v>
      </c>
      <c r="AF4594" s="2">
        <v>48109.248628617097</v>
      </c>
      <c r="AG4594" s="2">
        <v>40654.472560729802</v>
      </c>
      <c r="AH4594" s="5">
        <v>1.1833691497719301</v>
      </c>
      <c r="AI4594" s="5">
        <v>0.24290018988182999</v>
      </c>
      <c r="AJ4594" s="5" t="s">
        <v>139</v>
      </c>
      <c r="AK4594" s="2">
        <v>0.22988458271195</v>
      </c>
      <c r="AL4594" s="2">
        <v>0.55475797238248803</v>
      </c>
      <c r="AM4594" s="2">
        <v>38543.490738098597</v>
      </c>
      <c r="AN4594" s="2">
        <v>45003.2824006745</v>
      </c>
      <c r="AO4594" s="2">
        <v>62676.708590939503</v>
      </c>
      <c r="AP4594" s="2">
        <v>42046.009181781701</v>
      </c>
      <c r="AQ4594" s="2">
        <v>47145.738097602603</v>
      </c>
      <c r="AR4594" s="2">
        <v>53240.262762605998</v>
      </c>
      <c r="AS4594" s="2">
        <v>28634.134081125201</v>
      </c>
      <c r="AT4594" s="2">
        <v>29290.7973507686</v>
      </c>
      <c r="AU4594" s="2">
        <v>47977.827202019398</v>
      </c>
      <c r="AV4594" s="2">
        <v>54640.652474076902</v>
      </c>
      <c r="AW4594" s="2">
        <v>49349.2639706665</v>
      </c>
      <c r="AX4594" s="2">
        <v>34034.160285722202</v>
      </c>
    </row>
    <row r="4595" spans="1:50" x14ac:dyDescent="0.25">
      <c r="A4595" s="2" t="s">
        <v>30162</v>
      </c>
      <c r="B4595" s="2">
        <v>426.15069841251699</v>
      </c>
      <c r="C4595" s="2">
        <v>11.068</v>
      </c>
      <c r="D4595" s="2" t="s">
        <v>51</v>
      </c>
      <c r="E4595" s="2" t="s">
        <v>30163</v>
      </c>
      <c r="F4595" s="2">
        <v>198743</v>
      </c>
      <c r="G4595" s="3" t="str">
        <f>HYPERLINK("https://cloud.oebiotech.com/#/lm/network/198743", "https://cloud.oebiotech.com/#/lm/network/198743")</f>
        <v>https://cloud.oebiotech.com/#/lm/network/198743</v>
      </c>
      <c r="H4595" s="2" t="s">
        <v>30164</v>
      </c>
      <c r="I4595" s="2"/>
      <c r="J4595" s="2"/>
      <c r="K4595" s="2">
        <v>4284721</v>
      </c>
      <c r="L4595" s="2"/>
      <c r="M4595" s="2"/>
      <c r="N4595" s="2"/>
      <c r="O4595" s="2"/>
      <c r="P4595" s="2"/>
      <c r="Q4595" s="2"/>
      <c r="R4595" s="2"/>
      <c r="S4595" s="2" t="s">
        <v>30165</v>
      </c>
      <c r="T4595" s="2" t="s">
        <v>30166</v>
      </c>
      <c r="U4595" s="2" t="s">
        <v>266</v>
      </c>
      <c r="V4595" s="2" t="s">
        <v>445</v>
      </c>
      <c r="W4595" s="2" t="s">
        <v>5555</v>
      </c>
      <c r="X4595" s="2" t="s">
        <v>147</v>
      </c>
      <c r="Y4595" s="2">
        <v>38.4</v>
      </c>
      <c r="Z4595" s="2">
        <v>0</v>
      </c>
      <c r="AA4595" s="2" t="s">
        <v>163</v>
      </c>
      <c r="AB4595" s="2" t="s">
        <v>30167</v>
      </c>
      <c r="AC4595" s="2">
        <v>0.59621653860562196</v>
      </c>
      <c r="AD4595" s="2"/>
      <c r="AE4595" s="2">
        <v>8.2385225017894401E-2</v>
      </c>
      <c r="AF4595" s="2">
        <v>814.08485834502198</v>
      </c>
      <c r="AG4595" s="2">
        <v>561.830336873953</v>
      </c>
      <c r="AH4595" s="5">
        <v>1.4489870071356801</v>
      </c>
      <c r="AI4595" s="5">
        <v>0.53504465850770899</v>
      </c>
      <c r="AJ4595" s="5" t="s">
        <v>139</v>
      </c>
      <c r="AK4595" s="2">
        <v>0.432193356060246</v>
      </c>
      <c r="AL4595" s="2">
        <v>0.68976665455098896</v>
      </c>
      <c r="AM4595" s="2">
        <v>2014.68691819778</v>
      </c>
      <c r="AN4595" s="2">
        <v>346.295462113486</v>
      </c>
      <c r="AO4595" s="2">
        <v>348.12315899864097</v>
      </c>
      <c r="AP4595" s="2">
        <v>536.11430894935904</v>
      </c>
      <c r="AQ4595" s="2">
        <v>420.06599288957301</v>
      </c>
      <c r="AR4595" s="2">
        <v>1219.22330892129</v>
      </c>
      <c r="AS4595" s="2">
        <v>432.25007004054402</v>
      </c>
      <c r="AT4595" s="2">
        <v>877.37113131733304</v>
      </c>
      <c r="AU4595" s="2">
        <v>530.68979663050095</v>
      </c>
      <c r="AV4595" s="2">
        <v>591.79510450238001</v>
      </c>
      <c r="AW4595" s="2">
        <v>938.87591019308002</v>
      </c>
      <c r="AX4595" s="2">
        <v>8.559877937157E-6</v>
      </c>
    </row>
    <row r="4596" spans="1:50" x14ac:dyDescent="0.25">
      <c r="A4596" s="2" t="s">
        <v>30168</v>
      </c>
      <c r="B4596" s="2">
        <v>299.258939229568</v>
      </c>
      <c r="C4596" s="2">
        <v>10.21335</v>
      </c>
      <c r="D4596" s="2" t="s">
        <v>51</v>
      </c>
      <c r="E4596" s="2" t="s">
        <v>30169</v>
      </c>
      <c r="F4596" s="2">
        <v>3130</v>
      </c>
      <c r="G4596" s="3" t="str">
        <f>HYPERLINK("https://cloud.oebiotech.com/#/lm/network/3130", "https://cloud.oebiotech.com/#/lm/network/3130")</f>
        <v>https://cloud.oebiotech.com/#/lm/network/3130</v>
      </c>
      <c r="H4596" s="2"/>
      <c r="I4596" s="2">
        <v>74576</v>
      </c>
      <c r="J4596" s="2" t="s">
        <v>30170</v>
      </c>
      <c r="K4596" s="2">
        <v>5312768</v>
      </c>
      <c r="L4596" s="2"/>
      <c r="M4596" s="2"/>
      <c r="N4596" s="2"/>
      <c r="O4596" s="2"/>
      <c r="P4596" s="2"/>
      <c r="Q4596" s="2"/>
      <c r="R4596" s="2"/>
      <c r="S4596" s="2" t="s">
        <v>30171</v>
      </c>
      <c r="T4596" s="2" t="s">
        <v>30172</v>
      </c>
      <c r="U4596" s="2" t="s">
        <v>56</v>
      </c>
      <c r="V4596" s="2" t="s">
        <v>145</v>
      </c>
      <c r="W4596" s="2" t="s">
        <v>231</v>
      </c>
      <c r="X4596" s="2" t="s">
        <v>83</v>
      </c>
      <c r="Y4596" s="2">
        <v>50</v>
      </c>
      <c r="Z4596" s="2">
        <v>0</v>
      </c>
      <c r="AA4596" s="2" t="s">
        <v>156</v>
      </c>
      <c r="AB4596" s="2" t="s">
        <v>4702</v>
      </c>
      <c r="AC4596" s="2">
        <v>2.7440810622626501</v>
      </c>
      <c r="AD4596" s="2"/>
      <c r="AE4596" s="2">
        <v>8.2379994773829901E-2</v>
      </c>
      <c r="AF4596" s="2">
        <v>6222.0182449499498</v>
      </c>
      <c r="AG4596" s="2">
        <v>5838.9085316052797</v>
      </c>
      <c r="AH4596" s="5">
        <v>1.06561324111706</v>
      </c>
      <c r="AI4596" s="5">
        <v>9.1683914300372496E-2</v>
      </c>
      <c r="AJ4596" s="5" t="s">
        <v>139</v>
      </c>
      <c r="AK4596" s="2">
        <v>0.41777885571819301</v>
      </c>
      <c r="AL4596" s="2">
        <v>0.680092760795456</v>
      </c>
      <c r="AM4596" s="2">
        <v>6077.2547290804396</v>
      </c>
      <c r="AN4596" s="2">
        <v>7290.5081081886401</v>
      </c>
      <c r="AO4596" s="2">
        <v>5628.0887857263497</v>
      </c>
      <c r="AP4596" s="2">
        <v>6097.8141963909002</v>
      </c>
      <c r="AQ4596" s="2">
        <v>7375.1358974088498</v>
      </c>
      <c r="AR4596" s="2">
        <v>4863.3077529045404</v>
      </c>
      <c r="AS4596" s="2">
        <v>6095.4047452785799</v>
      </c>
      <c r="AT4596" s="2">
        <v>5492.6354731702204</v>
      </c>
      <c r="AU4596" s="2">
        <v>6529.2929025787998</v>
      </c>
      <c r="AV4596" s="2">
        <v>5200.0887009921698</v>
      </c>
      <c r="AW4596" s="2">
        <v>6297.6268650115799</v>
      </c>
      <c r="AX4596" s="2">
        <v>5418.4025026003101</v>
      </c>
    </row>
    <row r="4597" spans="1:50" x14ac:dyDescent="0.25">
      <c r="A4597" s="2" t="s">
        <v>30173</v>
      </c>
      <c r="B4597" s="2">
        <v>429.301285363923</v>
      </c>
      <c r="C4597" s="2">
        <v>10.470333333333301</v>
      </c>
      <c r="D4597" s="2" t="s">
        <v>51</v>
      </c>
      <c r="E4597" s="2" t="s">
        <v>30174</v>
      </c>
      <c r="F4597" s="2">
        <v>43640</v>
      </c>
      <c r="G4597" s="3" t="str">
        <f>HYPERLINK("https://cloud.oebiotech.com/#/lm/network/43640", "https://cloud.oebiotech.com/#/lm/network/43640")</f>
        <v>https://cloud.oebiotech.com/#/lm/network/43640</v>
      </c>
      <c r="H4597" s="2"/>
      <c r="I4597" s="2"/>
      <c r="J4597" s="2" t="s">
        <v>30175</v>
      </c>
      <c r="K4597" s="2">
        <v>52931329</v>
      </c>
      <c r="L4597" s="2"/>
      <c r="M4597" s="2"/>
      <c r="N4597" s="2"/>
      <c r="O4597" s="2"/>
      <c r="P4597" s="2"/>
      <c r="Q4597" s="2"/>
      <c r="R4597" s="2"/>
      <c r="S4597" s="2" t="s">
        <v>30176</v>
      </c>
      <c r="T4597" s="2" t="s">
        <v>30177</v>
      </c>
      <c r="U4597" s="2" t="s">
        <v>56</v>
      </c>
      <c r="V4597" s="2" t="s">
        <v>283</v>
      </c>
      <c r="W4597" s="2" t="s">
        <v>1108</v>
      </c>
      <c r="X4597" s="2" t="s">
        <v>83</v>
      </c>
      <c r="Y4597" s="2">
        <v>54.8</v>
      </c>
      <c r="Z4597" s="2">
        <v>0</v>
      </c>
      <c r="AA4597" s="2" t="s">
        <v>259</v>
      </c>
      <c r="AB4597" s="2" t="s">
        <v>15776</v>
      </c>
      <c r="AC4597" s="2">
        <v>3.1501144191870698</v>
      </c>
      <c r="AD4597" s="2"/>
      <c r="AE4597" s="2">
        <v>8.2244756743250699E-2</v>
      </c>
      <c r="AF4597" s="2">
        <v>2942.9482447823202</v>
      </c>
      <c r="AG4597" s="2">
        <v>2381.2232849090701</v>
      </c>
      <c r="AH4597" s="5">
        <v>1.2358976427927499</v>
      </c>
      <c r="AI4597" s="5">
        <v>0.305559263994578</v>
      </c>
      <c r="AJ4597" s="5" t="s">
        <v>139</v>
      </c>
      <c r="AK4597" s="2">
        <v>0.50229283487738197</v>
      </c>
      <c r="AL4597" s="2">
        <v>0.73961125016543094</v>
      </c>
      <c r="AM4597" s="2">
        <v>1386.3206914903401</v>
      </c>
      <c r="AN4597" s="2">
        <v>4333.6252305809103</v>
      </c>
      <c r="AO4597" s="2">
        <v>2309.9939104826199</v>
      </c>
      <c r="AP4597" s="2">
        <v>3225.36735240195</v>
      </c>
      <c r="AQ4597" s="2">
        <v>5197.8095006881003</v>
      </c>
      <c r="AR4597" s="2">
        <v>1204.57278304997</v>
      </c>
      <c r="AS4597" s="2">
        <v>1629.9445642447699</v>
      </c>
      <c r="AT4597" s="2">
        <v>2328.5814410824901</v>
      </c>
      <c r="AU4597" s="2">
        <v>4177.7406940675</v>
      </c>
      <c r="AV4597" s="2">
        <v>1075.44475767624</v>
      </c>
      <c r="AW4597" s="2">
        <v>3262.1833873944202</v>
      </c>
      <c r="AX4597" s="2">
        <v>1813.44486498897</v>
      </c>
    </row>
    <row r="4598" spans="1:50" x14ac:dyDescent="0.25">
      <c r="A4598" s="2" t="s">
        <v>30178</v>
      </c>
      <c r="B4598" s="2">
        <v>140.107399458667</v>
      </c>
      <c r="C4598" s="2">
        <v>5.0586333333333302</v>
      </c>
      <c r="D4598" s="2" t="s">
        <v>51</v>
      </c>
      <c r="E4598" s="2" t="s">
        <v>30179</v>
      </c>
      <c r="F4598" s="2">
        <v>58820</v>
      </c>
      <c r="G4598" s="3" t="str">
        <f>HYPERLINK("https://cloud.oebiotech.com/#/lm/network/58820", "https://cloud.oebiotech.com/#/lm/network/58820")</f>
        <v>https://cloud.oebiotech.com/#/lm/network/58820</v>
      </c>
      <c r="H4598" s="2" t="s">
        <v>30180</v>
      </c>
      <c r="I4598" s="2"/>
      <c r="J4598" s="2"/>
      <c r="K4598" s="2">
        <v>522742</v>
      </c>
      <c r="L4598" s="2"/>
      <c r="M4598" s="2"/>
      <c r="N4598" s="2"/>
      <c r="O4598" s="2"/>
      <c r="P4598" s="2"/>
      <c r="Q4598" s="2"/>
      <c r="R4598" s="2"/>
      <c r="S4598" s="2" t="s">
        <v>30181</v>
      </c>
      <c r="T4598" s="2" t="s">
        <v>30182</v>
      </c>
      <c r="U4598" s="2" t="s">
        <v>266</v>
      </c>
      <c r="V4598" s="2" t="s">
        <v>2143</v>
      </c>
      <c r="W4598" s="2" t="s">
        <v>6504</v>
      </c>
      <c r="X4598" s="2" t="s">
        <v>83</v>
      </c>
      <c r="Y4598" s="2">
        <v>40.9</v>
      </c>
      <c r="Z4598" s="2">
        <v>0</v>
      </c>
      <c r="AA4598" s="2" t="s">
        <v>259</v>
      </c>
      <c r="AB4598" s="2" t="s">
        <v>30183</v>
      </c>
      <c r="AC4598" s="2">
        <v>2.9402317620351899</v>
      </c>
      <c r="AD4598" s="2"/>
      <c r="AE4598" s="2">
        <v>8.2229928641500694E-2</v>
      </c>
      <c r="AF4598" s="2">
        <v>889.68439400461898</v>
      </c>
      <c r="AG4598" s="2">
        <v>373.34050549114897</v>
      </c>
      <c r="AH4598" s="5">
        <v>2.3830374173683402</v>
      </c>
      <c r="AI4598" s="5">
        <v>1.2528016042465799</v>
      </c>
      <c r="AJ4598" s="5" t="s">
        <v>139</v>
      </c>
      <c r="AK4598" s="2">
        <v>0.30962156223923099</v>
      </c>
      <c r="AL4598" s="2">
        <v>0.61933348211575701</v>
      </c>
      <c r="AM4598" s="2">
        <v>310.70039524399698</v>
      </c>
      <c r="AN4598" s="2">
        <v>326.710120999183</v>
      </c>
      <c r="AO4598" s="2">
        <v>358.23361684125598</v>
      </c>
      <c r="AP4598" s="2">
        <v>287.996060223884</v>
      </c>
      <c r="AQ4598" s="2">
        <v>3265.44445763763</v>
      </c>
      <c r="AR4598" s="2">
        <v>789.02171308176105</v>
      </c>
      <c r="AS4598" s="2">
        <v>351.04530999949498</v>
      </c>
      <c r="AT4598" s="2">
        <v>436.33777238113902</v>
      </c>
      <c r="AU4598" s="2">
        <v>324.84133220674198</v>
      </c>
      <c r="AV4598" s="2">
        <v>317.880665452313</v>
      </c>
      <c r="AW4598" s="2">
        <v>308.08750754225503</v>
      </c>
      <c r="AX4598" s="2">
        <v>501.85044536495298</v>
      </c>
    </row>
    <row r="4599" spans="1:50" x14ac:dyDescent="0.25">
      <c r="A4599" s="2" t="s">
        <v>30184</v>
      </c>
      <c r="B4599" s="2">
        <v>571.43694998521596</v>
      </c>
      <c r="C4599" s="2">
        <v>14.465633333333299</v>
      </c>
      <c r="D4599" s="2" t="s">
        <v>51</v>
      </c>
      <c r="E4599" s="2" t="s">
        <v>30185</v>
      </c>
      <c r="F4599" s="2">
        <v>37538</v>
      </c>
      <c r="G4599" s="3" t="str">
        <f>HYPERLINK("https://cloud.oebiotech.com/#/lm/network/37538", "https://cloud.oebiotech.com/#/lm/network/37538")</f>
        <v>https://cloud.oebiotech.com/#/lm/network/37538</v>
      </c>
      <c r="H4599" s="2"/>
      <c r="I4599" s="2">
        <v>53883</v>
      </c>
      <c r="J4599" s="2" t="s">
        <v>30186</v>
      </c>
      <c r="K4599" s="2">
        <v>42608330</v>
      </c>
      <c r="L4599" s="2"/>
      <c r="M4599" s="2"/>
      <c r="N4599" s="2"/>
      <c r="O4599" s="2"/>
      <c r="P4599" s="2"/>
      <c r="Q4599" s="2"/>
      <c r="R4599" s="2"/>
      <c r="S4599" s="2" t="s">
        <v>30187</v>
      </c>
      <c r="T4599" s="2" t="s">
        <v>30188</v>
      </c>
      <c r="U4599" s="2" t="s">
        <v>56</v>
      </c>
      <c r="V4599" s="2" t="s">
        <v>177</v>
      </c>
      <c r="W4599" s="2" t="s">
        <v>8713</v>
      </c>
      <c r="X4599" s="2" t="s">
        <v>147</v>
      </c>
      <c r="Y4599" s="2">
        <v>36.700000000000003</v>
      </c>
      <c r="Z4599" s="2">
        <v>0</v>
      </c>
      <c r="AA4599" s="2" t="s">
        <v>218</v>
      </c>
      <c r="AB4599" s="2" t="s">
        <v>30189</v>
      </c>
      <c r="AC4599" s="2">
        <v>0.28758620069906898</v>
      </c>
      <c r="AD4599" s="2"/>
      <c r="AE4599" s="2">
        <v>8.2227738035197104E-2</v>
      </c>
      <c r="AF4599" s="2">
        <v>9621.5325281058795</v>
      </c>
      <c r="AG4599" s="2">
        <v>7808.1960806219904</v>
      </c>
      <c r="AH4599" s="5">
        <v>1.2322350039318499</v>
      </c>
      <c r="AI4599" s="5">
        <v>0.30127742378877298</v>
      </c>
      <c r="AJ4599" s="5" t="s">
        <v>139</v>
      </c>
      <c r="AK4599" s="2">
        <v>0.58139818208198302</v>
      </c>
      <c r="AL4599" s="2">
        <v>0.78897394446188196</v>
      </c>
      <c r="AM4599" s="2">
        <v>2616.9114789422902</v>
      </c>
      <c r="AN4599" s="2">
        <v>10222.5177941449</v>
      </c>
      <c r="AO4599" s="2">
        <v>17984.015165412999</v>
      </c>
      <c r="AP4599" s="2">
        <v>17157.679057361001</v>
      </c>
      <c r="AQ4599" s="2">
        <v>2357.15249999257</v>
      </c>
      <c r="AR4599" s="2">
        <v>7390.9191727814996</v>
      </c>
      <c r="AS4599" s="2">
        <v>3638.4206974994499</v>
      </c>
      <c r="AT4599" s="2">
        <v>6333.44137807065</v>
      </c>
      <c r="AU4599" s="2">
        <v>7082.9912030546602</v>
      </c>
      <c r="AV4599" s="2">
        <v>5013.8175771482001</v>
      </c>
      <c r="AW4599" s="2">
        <v>12571.063184725001</v>
      </c>
      <c r="AX4599" s="2">
        <v>12209.442443234</v>
      </c>
    </row>
    <row r="4600" spans="1:50" x14ac:dyDescent="0.25">
      <c r="A4600" s="2" t="s">
        <v>30190</v>
      </c>
      <c r="B4600" s="2">
        <v>345.14962042035103</v>
      </c>
      <c r="C4600" s="2">
        <v>0.59993333333333299</v>
      </c>
      <c r="D4600" s="2" t="s">
        <v>51</v>
      </c>
      <c r="E4600" s="2" t="s">
        <v>30191</v>
      </c>
      <c r="F4600" s="2">
        <v>210925</v>
      </c>
      <c r="G4600" s="3" t="str">
        <f>HYPERLINK("https://cloud.oebiotech.com/#/lm/network/210925", "https://cloud.oebiotech.com/#/lm/network/210925")</f>
        <v>https://cloud.oebiotech.com/#/lm/network/210925</v>
      </c>
      <c r="H4600" s="2" t="s">
        <v>30192</v>
      </c>
      <c r="I4600" s="2"/>
      <c r="J4600" s="2"/>
      <c r="K4600" s="2">
        <v>68294530</v>
      </c>
      <c r="L4600" s="2"/>
      <c r="M4600" s="2"/>
      <c r="N4600" s="2"/>
      <c r="O4600" s="2">
        <v>131163</v>
      </c>
      <c r="P4600" s="2"/>
      <c r="Q4600" s="2"/>
      <c r="R4600" s="2"/>
      <c r="S4600" s="2" t="s">
        <v>30193</v>
      </c>
      <c r="T4600" s="2" t="s">
        <v>30194</v>
      </c>
      <c r="U4600" s="2" t="s">
        <v>610</v>
      </c>
      <c r="V4600" s="2" t="s">
        <v>611</v>
      </c>
      <c r="W4600" s="2" t="s">
        <v>1267</v>
      </c>
      <c r="X4600" s="2" t="s">
        <v>147</v>
      </c>
      <c r="Y4600" s="2">
        <v>36</v>
      </c>
      <c r="Z4600" s="2">
        <v>0</v>
      </c>
      <c r="AA4600" s="2" t="s">
        <v>156</v>
      </c>
      <c r="AB4600" s="2" t="s">
        <v>30195</v>
      </c>
      <c r="AC4600" s="2">
        <v>-3.8127333546617201</v>
      </c>
      <c r="AD4600" s="2"/>
      <c r="AE4600" s="2">
        <v>8.2183011382351803E-2</v>
      </c>
      <c r="AF4600" s="2">
        <v>7206.8013201498497</v>
      </c>
      <c r="AG4600" s="2">
        <v>9022.4297247492195</v>
      </c>
      <c r="AH4600" s="4">
        <v>0.79876502671791805</v>
      </c>
      <c r="AI4600" s="4">
        <v>-0.32415692796074602</v>
      </c>
      <c r="AJ4600" s="4" t="s">
        <v>62</v>
      </c>
      <c r="AK4600" s="2">
        <v>0.69652297004692798</v>
      </c>
      <c r="AL4600" s="2">
        <v>0.85378616196188595</v>
      </c>
      <c r="AM4600" s="2">
        <v>18377.906000026702</v>
      </c>
      <c r="AN4600" s="2">
        <v>5155.3653012301902</v>
      </c>
      <c r="AO4600" s="2">
        <v>3544.2049570506902</v>
      </c>
      <c r="AP4600" s="2">
        <v>9703.9715858612799</v>
      </c>
      <c r="AQ4600" s="2">
        <v>3676.67542761203</v>
      </c>
      <c r="AR4600" s="2">
        <v>2782.68464911821</v>
      </c>
      <c r="AS4600" s="2">
        <v>652.26229843938904</v>
      </c>
      <c r="AT4600" s="2">
        <v>1219.6734448459199</v>
      </c>
      <c r="AU4600" s="2">
        <v>14847.287958090799</v>
      </c>
      <c r="AV4600" s="2">
        <v>24624.5623799563</v>
      </c>
      <c r="AW4600" s="2">
        <v>8719.6506268170906</v>
      </c>
      <c r="AX4600" s="2">
        <v>4071.1416403458102</v>
      </c>
    </row>
    <row r="4601" spans="1:50" x14ac:dyDescent="0.25">
      <c r="A4601" s="2" t="s">
        <v>30196</v>
      </c>
      <c r="B4601" s="2">
        <v>149.02348090981201</v>
      </c>
      <c r="C4601" s="2">
        <v>3.2354833333333302</v>
      </c>
      <c r="D4601" s="2" t="s">
        <v>51</v>
      </c>
      <c r="E4601" s="2" t="s">
        <v>30197</v>
      </c>
      <c r="F4601" s="2">
        <v>47660</v>
      </c>
      <c r="G4601" s="3" t="str">
        <f>HYPERLINK("https://cloud.oebiotech.com/#/lm/network/47660", "https://cloud.oebiotech.com/#/lm/network/47660")</f>
        <v>https://cloud.oebiotech.com/#/lm/network/47660</v>
      </c>
      <c r="H4601" s="2" t="s">
        <v>30198</v>
      </c>
      <c r="I4601" s="2">
        <v>58059</v>
      </c>
      <c r="J4601" s="2"/>
      <c r="K4601" s="2">
        <v>11915</v>
      </c>
      <c r="L4601" s="2" t="s">
        <v>30199</v>
      </c>
      <c r="M4601" s="2" t="s">
        <v>5698</v>
      </c>
      <c r="N4601" s="2" t="s">
        <v>5699</v>
      </c>
      <c r="O4601" s="2">
        <v>18280</v>
      </c>
      <c r="P4601" s="2"/>
      <c r="Q4601" s="2"/>
      <c r="R4601" s="2" t="s">
        <v>30200</v>
      </c>
      <c r="S4601" s="2" t="s">
        <v>30201</v>
      </c>
      <c r="T4601" s="2" t="s">
        <v>30202</v>
      </c>
      <c r="U4601" s="2" t="s">
        <v>610</v>
      </c>
      <c r="V4601" s="2" t="s">
        <v>611</v>
      </c>
      <c r="W4601" s="2" t="s">
        <v>14667</v>
      </c>
      <c r="X4601" s="2" t="s">
        <v>83</v>
      </c>
      <c r="Y4601" s="2">
        <v>41.4</v>
      </c>
      <c r="Z4601" s="2">
        <v>0</v>
      </c>
      <c r="AA4601" s="2" t="s">
        <v>163</v>
      </c>
      <c r="AB4601" s="2" t="s">
        <v>30203</v>
      </c>
      <c r="AC4601" s="2">
        <v>-6.2434093912841</v>
      </c>
      <c r="AD4601" s="2"/>
      <c r="AE4601" s="2">
        <v>8.2044111127188998E-2</v>
      </c>
      <c r="AF4601" s="2">
        <v>1517.5392321127399</v>
      </c>
      <c r="AG4601" s="2">
        <v>1847.2815452043999</v>
      </c>
      <c r="AH4601" s="4">
        <v>0.82149861565624105</v>
      </c>
      <c r="AI4601" s="4">
        <v>-0.28366995085937502</v>
      </c>
      <c r="AJ4601" s="4" t="s">
        <v>62</v>
      </c>
      <c r="AK4601" s="2">
        <v>0.44564256460136897</v>
      </c>
      <c r="AL4601" s="2">
        <v>0.700312309697811</v>
      </c>
      <c r="AM4601" s="2">
        <v>1163.86034156393</v>
      </c>
      <c r="AN4601" s="2">
        <v>1353.5026174325401</v>
      </c>
      <c r="AO4601" s="2">
        <v>1506.5296564908899</v>
      </c>
      <c r="AP4601" s="2">
        <v>1454.79786778117</v>
      </c>
      <c r="AQ4601" s="2">
        <v>1924.9816667241901</v>
      </c>
      <c r="AR4601" s="2">
        <v>1701.5632426837001</v>
      </c>
      <c r="AS4601" s="2">
        <v>1423.0000996747001</v>
      </c>
      <c r="AT4601" s="2">
        <v>2023.38778609425</v>
      </c>
      <c r="AU4601" s="2">
        <v>1112.8288476278599</v>
      </c>
      <c r="AV4601" s="2">
        <v>1428.6457607222601</v>
      </c>
      <c r="AW4601" s="2">
        <v>3754.3487089300602</v>
      </c>
      <c r="AX4601" s="2">
        <v>1341.47806817727</v>
      </c>
    </row>
    <row r="4602" spans="1:50" x14ac:dyDescent="0.25">
      <c r="A4602" s="2" t="s">
        <v>30204</v>
      </c>
      <c r="B4602" s="2">
        <v>245.06219999999999</v>
      </c>
      <c r="C4602" s="2">
        <v>11.645</v>
      </c>
      <c r="D4602" s="2" t="s">
        <v>125</v>
      </c>
      <c r="E4602" s="2" t="s">
        <v>30205</v>
      </c>
      <c r="F4602" s="2">
        <v>46891</v>
      </c>
      <c r="G4602" s="3" t="str">
        <f>HYPERLINK("https://cloud.oebiotech.com/#/lm/network/46891", "https://cloud.oebiotech.com/#/lm/network/46891")</f>
        <v>https://cloud.oebiotech.com/#/lm/network/46891</v>
      </c>
      <c r="H4602" s="2" t="s">
        <v>30206</v>
      </c>
      <c r="I4602" s="2">
        <v>3242</v>
      </c>
      <c r="J4602" s="2"/>
      <c r="K4602" s="2">
        <v>444972</v>
      </c>
      <c r="L4602" s="2" t="s">
        <v>30207</v>
      </c>
      <c r="M4602" s="2" t="s">
        <v>30208</v>
      </c>
      <c r="N4602" s="2" t="s">
        <v>30209</v>
      </c>
      <c r="O4602" s="2">
        <v>18012</v>
      </c>
      <c r="P4602" s="2" t="s">
        <v>30210</v>
      </c>
      <c r="Q4602" s="2" t="s">
        <v>30211</v>
      </c>
      <c r="R4602" s="2" t="s">
        <v>30212</v>
      </c>
      <c r="S4602" s="2" t="s">
        <v>30213</v>
      </c>
      <c r="T4602" s="2" t="s">
        <v>30214</v>
      </c>
      <c r="U4602" s="2" t="s">
        <v>103</v>
      </c>
      <c r="V4602" s="2" t="s">
        <v>104</v>
      </c>
      <c r="W4602" s="2" t="s">
        <v>3415</v>
      </c>
      <c r="X4602" s="2" t="s">
        <v>69</v>
      </c>
      <c r="Y4602" s="2">
        <v>95.7</v>
      </c>
      <c r="Z4602" s="2">
        <v>95.9</v>
      </c>
      <c r="AA4602" s="2"/>
      <c r="AB4602" s="2" t="s">
        <v>30215</v>
      </c>
      <c r="AC4602" s="2"/>
      <c r="AD4602" s="2">
        <v>393943.82303106401</v>
      </c>
      <c r="AE4602" s="2">
        <v>8.2030608490575502E-2</v>
      </c>
      <c r="AF4602" s="2">
        <v>58102.589383760598</v>
      </c>
      <c r="AG4602" s="2">
        <v>53997.689821566499</v>
      </c>
      <c r="AH4602" s="5">
        <v>1.07601991077319</v>
      </c>
      <c r="AI4602" s="5">
        <v>0.105704773905671</v>
      </c>
      <c r="AJ4602" s="5" t="s">
        <v>139</v>
      </c>
      <c r="AK4602" s="2">
        <v>0.57408890376336097</v>
      </c>
      <c r="AL4602" s="2">
        <v>0.78564459545109699</v>
      </c>
      <c r="AM4602" s="2">
        <v>72452.341155976203</v>
      </c>
      <c r="AN4602" s="2">
        <v>46144.304416694496</v>
      </c>
      <c r="AO4602" s="2">
        <v>51145.134117964801</v>
      </c>
      <c r="AP4602" s="2">
        <v>57049.5628867388</v>
      </c>
      <c r="AQ4602" s="2">
        <v>69217.846748378899</v>
      </c>
      <c r="AR4602" s="2">
        <v>52606.346976810397</v>
      </c>
      <c r="AS4602" s="2">
        <v>65125.197601913802</v>
      </c>
      <c r="AT4602" s="2">
        <v>50521.210478100002</v>
      </c>
      <c r="AU4602" s="2">
        <v>48901.3917260464</v>
      </c>
      <c r="AV4602" s="2">
        <v>40812.542760760502</v>
      </c>
      <c r="AW4602" s="2">
        <v>42684.441370517903</v>
      </c>
      <c r="AX4602" s="2">
        <v>75941.354992060296</v>
      </c>
    </row>
    <row r="4603" spans="1:50" x14ac:dyDescent="0.25">
      <c r="A4603" s="2" t="s">
        <v>30216</v>
      </c>
      <c r="B4603" s="2">
        <v>518.23871001600105</v>
      </c>
      <c r="C4603" s="2">
        <v>4.3002500000000001</v>
      </c>
      <c r="D4603" s="2" t="s">
        <v>51</v>
      </c>
      <c r="E4603" s="2" t="s">
        <v>30217</v>
      </c>
      <c r="F4603" s="2">
        <v>62247</v>
      </c>
      <c r="G4603" s="3" t="str">
        <f>HYPERLINK("https://cloud.oebiotech.com/#/lm/network/62247", "https://cloud.oebiotech.com/#/lm/network/62247")</f>
        <v>https://cloud.oebiotech.com/#/lm/network/62247</v>
      </c>
      <c r="H4603" s="2" t="s">
        <v>30218</v>
      </c>
      <c r="I4603" s="2">
        <v>93536</v>
      </c>
      <c r="J4603" s="2"/>
      <c r="K4603" s="2">
        <v>13909547</v>
      </c>
      <c r="L4603" s="2"/>
      <c r="M4603" s="2"/>
      <c r="N4603" s="2"/>
      <c r="O4603" s="2">
        <v>169143</v>
      </c>
      <c r="P4603" s="2"/>
      <c r="Q4603" s="2"/>
      <c r="R4603" s="2" t="s">
        <v>30219</v>
      </c>
      <c r="S4603" s="2" t="s">
        <v>30220</v>
      </c>
      <c r="T4603" s="2" t="s">
        <v>30221</v>
      </c>
      <c r="U4603" s="2" t="s">
        <v>56</v>
      </c>
      <c r="V4603" s="2" t="s">
        <v>177</v>
      </c>
      <c r="W4603" s="2" t="s">
        <v>394</v>
      </c>
      <c r="X4603" s="2" t="s">
        <v>83</v>
      </c>
      <c r="Y4603" s="2">
        <v>42</v>
      </c>
      <c r="Z4603" s="2">
        <v>0</v>
      </c>
      <c r="AA4603" s="2" t="s">
        <v>122</v>
      </c>
      <c r="AB4603" s="2" t="s">
        <v>30222</v>
      </c>
      <c r="AC4603" s="2">
        <v>4.5987949866705797</v>
      </c>
      <c r="AD4603" s="2"/>
      <c r="AE4603" s="2">
        <v>8.19419164153984E-2</v>
      </c>
      <c r="AF4603" s="2">
        <v>2085.9377048659298</v>
      </c>
      <c r="AG4603" s="2">
        <v>2814.8059743088802</v>
      </c>
      <c r="AH4603" s="4">
        <v>0.74105914365130998</v>
      </c>
      <c r="AI4603" s="4">
        <v>-0.43233940681316801</v>
      </c>
      <c r="AJ4603" s="4" t="s">
        <v>62</v>
      </c>
      <c r="AK4603" s="2">
        <v>0.75707715786480501</v>
      </c>
      <c r="AL4603" s="2">
        <v>0.89040552421619501</v>
      </c>
      <c r="AM4603" s="2">
        <v>4655.01697811549</v>
      </c>
      <c r="AN4603" s="2">
        <v>816.69098573205099</v>
      </c>
      <c r="AO4603" s="2">
        <v>677.39462508145198</v>
      </c>
      <c r="AP4603" s="2">
        <v>897.00663714693906</v>
      </c>
      <c r="AQ4603" s="2">
        <v>308.85057654697698</v>
      </c>
      <c r="AR4603" s="2">
        <v>5160.6664265726704</v>
      </c>
      <c r="AS4603" s="2">
        <v>8.559877937157E-6</v>
      </c>
      <c r="AT4603" s="2">
        <v>73.679230516538595</v>
      </c>
      <c r="AU4603" s="2">
        <v>710.75110601634105</v>
      </c>
      <c r="AV4603" s="2">
        <v>13285.565835646001</v>
      </c>
      <c r="AW4603" s="2">
        <v>1418.1533707107701</v>
      </c>
      <c r="AX4603" s="2">
        <v>1400.68629440375</v>
      </c>
    </row>
    <row r="4604" spans="1:50" x14ac:dyDescent="0.25">
      <c r="A4604" s="2" t="s">
        <v>30223</v>
      </c>
      <c r="B4604" s="2">
        <v>129.03532727857399</v>
      </c>
      <c r="C4604" s="2">
        <v>1.55508333333333</v>
      </c>
      <c r="D4604" s="2" t="s">
        <v>51</v>
      </c>
      <c r="E4604" s="2" t="s">
        <v>30224</v>
      </c>
      <c r="F4604" s="2">
        <v>202342</v>
      </c>
      <c r="G4604" s="3" t="str">
        <f>HYPERLINK("https://cloud.oebiotech.com/#/lm/network/202342", "https://cloud.oebiotech.com/#/lm/network/202342")</f>
        <v>https://cloud.oebiotech.com/#/lm/network/202342</v>
      </c>
      <c r="H4604" s="2" t="s">
        <v>30225</v>
      </c>
      <c r="I4604" s="2"/>
      <c r="J4604" s="2"/>
      <c r="K4604" s="2">
        <v>119214</v>
      </c>
      <c r="L4604" s="2"/>
      <c r="M4604" s="2"/>
      <c r="N4604" s="2"/>
      <c r="O4604" s="2">
        <v>125368</v>
      </c>
      <c r="P4604" s="2"/>
      <c r="Q4604" s="2"/>
      <c r="R4604" s="2"/>
      <c r="S4604" s="2" t="s">
        <v>30226</v>
      </c>
      <c r="T4604" s="2" t="s">
        <v>30227</v>
      </c>
      <c r="U4604" s="2" t="s">
        <v>266</v>
      </c>
      <c r="V4604" s="2" t="s">
        <v>3994</v>
      </c>
      <c r="W4604" s="2" t="s">
        <v>8308</v>
      </c>
      <c r="X4604" s="2" t="s">
        <v>147</v>
      </c>
      <c r="Y4604" s="2">
        <v>38.1</v>
      </c>
      <c r="Z4604" s="2">
        <v>0</v>
      </c>
      <c r="AA4604" s="2" t="s">
        <v>379</v>
      </c>
      <c r="AB4604" s="2" t="s">
        <v>30228</v>
      </c>
      <c r="AC4604" s="2">
        <v>-2.7285308251696998</v>
      </c>
      <c r="AD4604" s="2"/>
      <c r="AE4604" s="2">
        <v>8.1867242254523201E-2</v>
      </c>
      <c r="AF4604" s="2">
        <v>8987.0440311621605</v>
      </c>
      <c r="AG4604" s="2">
        <v>9461.8022027682491</v>
      </c>
      <c r="AH4604" s="4">
        <v>0.94982370573470798</v>
      </c>
      <c r="AI4604" s="4">
        <v>-7.4268331406299098E-2</v>
      </c>
      <c r="AJ4604" s="4" t="s">
        <v>62</v>
      </c>
      <c r="AK4604" s="2">
        <v>0.84046101698423603</v>
      </c>
      <c r="AL4604" s="2">
        <v>0.92963204272259004</v>
      </c>
      <c r="AM4604" s="2">
        <v>9478.0290950618892</v>
      </c>
      <c r="AN4604" s="2">
        <v>6694.0120982623503</v>
      </c>
      <c r="AO4604" s="2">
        <v>10716.180676596499</v>
      </c>
      <c r="AP4604" s="2">
        <v>13105.405825763801</v>
      </c>
      <c r="AQ4604" s="2">
        <v>4916.8742074040301</v>
      </c>
      <c r="AR4604" s="2">
        <v>9011.7622838843708</v>
      </c>
      <c r="AS4604" s="2">
        <v>5026.15982584005</v>
      </c>
      <c r="AT4604" s="2">
        <v>4940.4310562966602</v>
      </c>
      <c r="AU4604" s="2">
        <v>9519.0563019071305</v>
      </c>
      <c r="AV4604" s="2">
        <v>17621.525579737099</v>
      </c>
      <c r="AW4604" s="2">
        <v>7662.5761127235501</v>
      </c>
      <c r="AX4604" s="2">
        <v>12001.064340105</v>
      </c>
    </row>
    <row r="4605" spans="1:50" x14ac:dyDescent="0.25">
      <c r="A4605" s="2" t="s">
        <v>30229</v>
      </c>
      <c r="B4605" s="2">
        <v>485.33466517932499</v>
      </c>
      <c r="C4605" s="2">
        <v>10.2914333333333</v>
      </c>
      <c r="D4605" s="2" t="s">
        <v>51</v>
      </c>
      <c r="E4605" s="2" t="s">
        <v>30230</v>
      </c>
      <c r="F4605" s="2">
        <v>21251</v>
      </c>
      <c r="G4605" s="3" t="str">
        <f>HYPERLINK("https://cloud.oebiotech.com/#/lm/network/21251", "https://cloud.oebiotech.com/#/lm/network/21251")</f>
        <v>https://cloud.oebiotech.com/#/lm/network/21251</v>
      </c>
      <c r="H4605" s="2"/>
      <c r="I4605" s="2"/>
      <c r="J4605" s="2" t="s">
        <v>30231</v>
      </c>
      <c r="K4605" s="2">
        <v>137323921</v>
      </c>
      <c r="L4605" s="2"/>
      <c r="M4605" s="2"/>
      <c r="N4605" s="2"/>
      <c r="O4605" s="2"/>
      <c r="P4605" s="2"/>
      <c r="Q4605" s="2"/>
      <c r="R4605" s="2"/>
      <c r="S4605" s="2" t="s">
        <v>30232</v>
      </c>
      <c r="T4605" s="2" t="s">
        <v>30233</v>
      </c>
      <c r="U4605" s="2" t="s">
        <v>56</v>
      </c>
      <c r="V4605" s="2" t="s">
        <v>57</v>
      </c>
      <c r="W4605" s="2" t="s">
        <v>155</v>
      </c>
      <c r="X4605" s="2" t="s">
        <v>83</v>
      </c>
      <c r="Y4605" s="2">
        <v>48.6</v>
      </c>
      <c r="Z4605" s="2">
        <v>0</v>
      </c>
      <c r="AA4605" s="2" t="s">
        <v>512</v>
      </c>
      <c r="AB4605" s="2" t="s">
        <v>14913</v>
      </c>
      <c r="AC4605" s="2">
        <v>-0.74854852364119695</v>
      </c>
      <c r="AD4605" s="2"/>
      <c r="AE4605" s="2">
        <v>8.1822797776044301E-2</v>
      </c>
      <c r="AF4605" s="2">
        <v>4561.0171640860099</v>
      </c>
      <c r="AG4605" s="2">
        <v>5408.9873674911796</v>
      </c>
      <c r="AH4605" s="4">
        <v>0.84322939844496703</v>
      </c>
      <c r="AI4605" s="4">
        <v>-0.246002928752594</v>
      </c>
      <c r="AJ4605" s="4" t="s">
        <v>62</v>
      </c>
      <c r="AK4605" s="2">
        <v>0.52257554559654995</v>
      </c>
      <c r="AL4605" s="2">
        <v>0.753042437774049</v>
      </c>
      <c r="AM4605" s="2">
        <v>7518.0233267302101</v>
      </c>
      <c r="AN4605" s="2">
        <v>4555.6453662721697</v>
      </c>
      <c r="AO4605" s="2">
        <v>3356.35834199489</v>
      </c>
      <c r="AP4605" s="2">
        <v>3103.2382941072001</v>
      </c>
      <c r="AQ4605" s="2">
        <v>3799.9003785023601</v>
      </c>
      <c r="AR4605" s="2">
        <v>5032.9372769092297</v>
      </c>
      <c r="AS4605" s="2">
        <v>2029.9418807521099</v>
      </c>
      <c r="AT4605" s="2">
        <v>2290.5966337203499</v>
      </c>
      <c r="AU4605" s="2">
        <v>6727.7550341830301</v>
      </c>
      <c r="AV4605" s="2">
        <v>8614.1027475088504</v>
      </c>
      <c r="AW4605" s="2">
        <v>7071.2087133388504</v>
      </c>
      <c r="AX4605" s="2">
        <v>5720.3191954438698</v>
      </c>
    </row>
    <row r="4606" spans="1:50" x14ac:dyDescent="0.25">
      <c r="A4606" s="2" t="s">
        <v>30234</v>
      </c>
      <c r="B4606" s="2">
        <v>303.23265219394801</v>
      </c>
      <c r="C4606" s="2">
        <v>11.5544166666667</v>
      </c>
      <c r="D4606" s="2" t="s">
        <v>51</v>
      </c>
      <c r="E4606" s="2" t="s">
        <v>30235</v>
      </c>
      <c r="F4606" s="2">
        <v>209347</v>
      </c>
      <c r="G4606" s="3" t="str">
        <f>HYPERLINK("https://cloud.oebiotech.com/#/lm/network/209347", "https://cloud.oebiotech.com/#/lm/network/209347")</f>
        <v>https://cloud.oebiotech.com/#/lm/network/209347</v>
      </c>
      <c r="H4606" s="2" t="s">
        <v>30236</v>
      </c>
      <c r="I4606" s="2"/>
      <c r="J4606" s="2"/>
      <c r="K4606" s="2">
        <v>53762083</v>
      </c>
      <c r="L4606" s="2"/>
      <c r="M4606" s="2"/>
      <c r="N4606" s="2"/>
      <c r="O4606" s="2"/>
      <c r="P4606" s="2"/>
      <c r="Q4606" s="2"/>
      <c r="R4606" s="2"/>
      <c r="S4606" s="2" t="s">
        <v>30237</v>
      </c>
      <c r="T4606" s="2" t="s">
        <v>30238</v>
      </c>
      <c r="U4606" s="2" t="s">
        <v>56</v>
      </c>
      <c r="V4606" s="2" t="s">
        <v>145</v>
      </c>
      <c r="W4606" s="2" t="s">
        <v>231</v>
      </c>
      <c r="X4606" s="2" t="s">
        <v>83</v>
      </c>
      <c r="Y4606" s="2">
        <v>51.7</v>
      </c>
      <c r="Z4606" s="2">
        <v>0</v>
      </c>
      <c r="AA4606" s="2" t="s">
        <v>156</v>
      </c>
      <c r="AB4606" s="2" t="s">
        <v>205</v>
      </c>
      <c r="AC4606" s="2">
        <v>2.48429643163584</v>
      </c>
      <c r="AD4606" s="2"/>
      <c r="AE4606" s="2">
        <v>8.1781769987692196E-2</v>
      </c>
      <c r="AF4606" s="2">
        <v>3212.9262829540298</v>
      </c>
      <c r="AG4606" s="2">
        <v>2794.3793231463901</v>
      </c>
      <c r="AH4606" s="5">
        <v>1.1497817266040899</v>
      </c>
      <c r="AI4606" s="5">
        <v>0.20136000740071699</v>
      </c>
      <c r="AJ4606" s="5" t="s">
        <v>139</v>
      </c>
      <c r="AK4606" s="2">
        <v>0.45374268292058001</v>
      </c>
      <c r="AL4606" s="2">
        <v>0.70627666192288596</v>
      </c>
      <c r="AM4606" s="2">
        <v>3385.0634148735198</v>
      </c>
      <c r="AN4606" s="2">
        <v>2561.3008921571</v>
      </c>
      <c r="AO4606" s="2">
        <v>2799.8636592532098</v>
      </c>
      <c r="AP4606" s="2">
        <v>4561.6509936883804</v>
      </c>
      <c r="AQ4606" s="2">
        <v>3081.03558087177</v>
      </c>
      <c r="AR4606" s="2">
        <v>2888.6431568802</v>
      </c>
      <c r="AS4606" s="2">
        <v>1828.36253162503</v>
      </c>
      <c r="AT4606" s="2">
        <v>2972.9422736400502</v>
      </c>
      <c r="AU4606" s="2">
        <v>4589.8323675687498</v>
      </c>
      <c r="AV4606" s="2">
        <v>2403.7447257917902</v>
      </c>
      <c r="AW4606" s="2">
        <v>3366.33402050819</v>
      </c>
      <c r="AX4606" s="2">
        <v>1605.0600197445001</v>
      </c>
    </row>
    <row r="4607" spans="1:50" x14ac:dyDescent="0.25">
      <c r="A4607" s="2" t="s">
        <v>30239</v>
      </c>
      <c r="B4607" s="2">
        <v>225.06238226882999</v>
      </c>
      <c r="C4607" s="2">
        <v>1.0003833333333301</v>
      </c>
      <c r="D4607" s="2" t="s">
        <v>51</v>
      </c>
      <c r="E4607" s="2" t="s">
        <v>30240</v>
      </c>
      <c r="F4607" s="2">
        <v>199518</v>
      </c>
      <c r="G4607" s="3" t="str">
        <f>HYPERLINK("https://cloud.oebiotech.com/#/lm/network/199518", "https://cloud.oebiotech.com/#/lm/network/199518")</f>
        <v>https://cloud.oebiotech.com/#/lm/network/199518</v>
      </c>
      <c r="H4607" s="2" t="s">
        <v>30241</v>
      </c>
      <c r="I4607" s="2"/>
      <c r="J4607" s="2"/>
      <c r="K4607" s="2">
        <v>5064</v>
      </c>
      <c r="L4607" s="2"/>
      <c r="M4607" s="2"/>
      <c r="N4607" s="2"/>
      <c r="O4607" s="2">
        <v>94463</v>
      </c>
      <c r="P4607" s="2"/>
      <c r="Q4607" s="2"/>
      <c r="R4607" s="2"/>
      <c r="S4607" s="2" t="s">
        <v>30242</v>
      </c>
      <c r="T4607" s="2" t="s">
        <v>30243</v>
      </c>
      <c r="U4607" s="2" t="s">
        <v>295</v>
      </c>
      <c r="V4607" s="2" t="s">
        <v>20558</v>
      </c>
      <c r="W4607" s="2" t="s">
        <v>240</v>
      </c>
      <c r="X4607" s="2" t="s">
        <v>83</v>
      </c>
      <c r="Y4607" s="2">
        <v>39.299999999999997</v>
      </c>
      <c r="Z4607" s="2">
        <v>0</v>
      </c>
      <c r="AA4607" s="2" t="s">
        <v>379</v>
      </c>
      <c r="AB4607" s="2" t="s">
        <v>30244</v>
      </c>
      <c r="AC4607" s="2">
        <v>-2.23742743537544</v>
      </c>
      <c r="AD4607" s="2"/>
      <c r="AE4607" s="2">
        <v>8.1706823980043503E-2</v>
      </c>
      <c r="AF4607" s="2">
        <v>17170.952536263801</v>
      </c>
      <c r="AG4607" s="2">
        <v>15976.5368856199</v>
      </c>
      <c r="AH4607" s="5">
        <v>1.0747606104623999</v>
      </c>
      <c r="AI4607" s="5">
        <v>0.104015353248335</v>
      </c>
      <c r="AJ4607" s="5" t="s">
        <v>139</v>
      </c>
      <c r="AK4607" s="2">
        <v>0.87616767206339297</v>
      </c>
      <c r="AL4607" s="2">
        <v>0.947279880587512</v>
      </c>
      <c r="AM4607" s="2">
        <v>29408.888284782199</v>
      </c>
      <c r="AN4607" s="2">
        <v>13071.397897357199</v>
      </c>
      <c r="AO4607" s="2">
        <v>12789.8223642389</v>
      </c>
      <c r="AP4607" s="2">
        <v>28382.376215458298</v>
      </c>
      <c r="AQ4607" s="2">
        <v>16113.177436928499</v>
      </c>
      <c r="AR4607" s="2">
        <v>3260.05301881792</v>
      </c>
      <c r="AS4607" s="2">
        <v>3861.0881211525698</v>
      </c>
      <c r="AT4607" s="2">
        <v>27716.544416909401</v>
      </c>
      <c r="AU4607" s="2">
        <v>3610.7470791570399</v>
      </c>
      <c r="AV4607" s="2">
        <v>41461.803991849803</v>
      </c>
      <c r="AW4607" s="2">
        <v>9246.3704270662893</v>
      </c>
      <c r="AX4607" s="2">
        <v>9962.6672775840798</v>
      </c>
    </row>
    <row r="4608" spans="1:50" x14ac:dyDescent="0.25">
      <c r="A4608" s="2" t="s">
        <v>30245</v>
      </c>
      <c r="B4608" s="2">
        <v>257.2217</v>
      </c>
      <c r="C4608" s="2">
        <v>29.427</v>
      </c>
      <c r="D4608" s="2" t="s">
        <v>125</v>
      </c>
      <c r="E4608" s="2" t="s">
        <v>30246</v>
      </c>
      <c r="F4608" s="2">
        <v>45866</v>
      </c>
      <c r="G4608" s="3" t="str">
        <f>HYPERLINK("https://cloud.oebiotech.com/#/lm/network/45866", "https://cloud.oebiotech.com/#/lm/network/45866")</f>
        <v>https://cloud.oebiotech.com/#/lm/network/45866</v>
      </c>
      <c r="H4608" s="2" t="s">
        <v>30247</v>
      </c>
      <c r="I4608" s="2">
        <v>209</v>
      </c>
      <c r="J4608" s="2" t="s">
        <v>30248</v>
      </c>
      <c r="K4608" s="2">
        <v>9903</v>
      </c>
      <c r="L4608" s="2" t="s">
        <v>30249</v>
      </c>
      <c r="M4608" s="2"/>
      <c r="N4608" s="2"/>
      <c r="O4608" s="2">
        <v>16325</v>
      </c>
      <c r="P4608" s="2"/>
      <c r="Q4608" s="2"/>
      <c r="R4608" s="2" t="s">
        <v>30250</v>
      </c>
      <c r="S4608" s="2" t="s">
        <v>30251</v>
      </c>
      <c r="T4608" s="2" t="s">
        <v>30252</v>
      </c>
      <c r="U4608" s="2" t="s">
        <v>56</v>
      </c>
      <c r="V4608" s="2" t="s">
        <v>283</v>
      </c>
      <c r="W4608" s="2" t="s">
        <v>2042</v>
      </c>
      <c r="X4608" s="2" t="s">
        <v>69</v>
      </c>
      <c r="Y4608" s="2">
        <v>86.8</v>
      </c>
      <c r="Z4608" s="2">
        <v>78.400000000000006</v>
      </c>
      <c r="AA4608" s="2"/>
      <c r="AB4608" s="2" t="s">
        <v>6167</v>
      </c>
      <c r="AC4608" s="2"/>
      <c r="AD4608" s="2">
        <v>1200675.8853633599</v>
      </c>
      <c r="AE4608" s="2">
        <v>8.1605385063151098E-2</v>
      </c>
      <c r="AF4608" s="2">
        <v>191197.41145710001</v>
      </c>
      <c r="AG4608" s="2">
        <v>181251.57539617701</v>
      </c>
      <c r="AH4608" s="5">
        <v>1.0548731013188899</v>
      </c>
      <c r="AI4608" s="5">
        <v>7.7069456648767701E-2</v>
      </c>
      <c r="AJ4608" s="5" t="s">
        <v>139</v>
      </c>
      <c r="AK4608" s="2">
        <v>0.41209572272558498</v>
      </c>
      <c r="AL4608" s="2">
        <v>0.67548655599718399</v>
      </c>
      <c r="AM4608" s="2">
        <v>173870.63271255299</v>
      </c>
      <c r="AN4608" s="2">
        <v>191751.15728164601</v>
      </c>
      <c r="AO4608" s="2">
        <v>197739.74276838699</v>
      </c>
      <c r="AP4608" s="2">
        <v>173196.05873747001</v>
      </c>
      <c r="AQ4608" s="2">
        <v>201050.88589134099</v>
      </c>
      <c r="AR4608" s="2">
        <v>209575.991351203</v>
      </c>
      <c r="AS4608" s="2">
        <v>169593.13875392399</v>
      </c>
      <c r="AT4608" s="2">
        <v>159286.22704978299</v>
      </c>
      <c r="AU4608" s="2">
        <v>213543.03777944401</v>
      </c>
      <c r="AV4608" s="2">
        <v>195363.811388512</v>
      </c>
      <c r="AW4608" s="2">
        <v>197298.62412432701</v>
      </c>
      <c r="AX4608" s="2">
        <v>152424.613281072</v>
      </c>
    </row>
    <row r="4609" spans="1:50" x14ac:dyDescent="0.25">
      <c r="A4609" s="2" t="s">
        <v>30253</v>
      </c>
      <c r="B4609" s="2">
        <v>356.04760064147001</v>
      </c>
      <c r="C4609" s="2">
        <v>3.6124666666666698</v>
      </c>
      <c r="D4609" s="2" t="s">
        <v>51</v>
      </c>
      <c r="E4609" s="2" t="s">
        <v>30254</v>
      </c>
      <c r="F4609" s="2">
        <v>61808</v>
      </c>
      <c r="G4609" s="3" t="str">
        <f>HYPERLINK("https://cloud.oebiotech.com/#/lm/network/61808", "https://cloud.oebiotech.com/#/lm/network/61808")</f>
        <v>https://cloud.oebiotech.com/#/lm/network/61808</v>
      </c>
      <c r="H4609" s="2" t="s">
        <v>30255</v>
      </c>
      <c r="I4609" s="2"/>
      <c r="J4609" s="2"/>
      <c r="K4609" s="2">
        <v>131752367</v>
      </c>
      <c r="L4609" s="2"/>
      <c r="M4609" s="2"/>
      <c r="N4609" s="2"/>
      <c r="O4609" s="2"/>
      <c r="P4609" s="2"/>
      <c r="Q4609" s="2"/>
      <c r="R4609" s="2" t="s">
        <v>30256</v>
      </c>
      <c r="S4609" s="2" t="s">
        <v>30257</v>
      </c>
      <c r="T4609" s="2" t="s">
        <v>30258</v>
      </c>
      <c r="U4609" s="2" t="s">
        <v>331</v>
      </c>
      <c r="V4609" s="2" t="s">
        <v>332</v>
      </c>
      <c r="W4609" s="2" t="s">
        <v>333</v>
      </c>
      <c r="X4609" s="2" t="s">
        <v>147</v>
      </c>
      <c r="Y4609" s="2">
        <v>36.5</v>
      </c>
      <c r="Z4609" s="2">
        <v>0.247</v>
      </c>
      <c r="AA4609" s="2" t="s">
        <v>379</v>
      </c>
      <c r="AB4609" s="2" t="s">
        <v>30259</v>
      </c>
      <c r="AC4609" s="2">
        <v>-0.88382588898250702</v>
      </c>
      <c r="AD4609" s="2"/>
      <c r="AE4609" s="2">
        <v>8.1591341720983895E-2</v>
      </c>
      <c r="AF4609" s="2">
        <v>15012.3618600112</v>
      </c>
      <c r="AG4609" s="2">
        <v>16126.9347920862</v>
      </c>
      <c r="AH4609" s="4">
        <v>0.93088749062085496</v>
      </c>
      <c r="AI4609" s="4">
        <v>-0.10332128428047101</v>
      </c>
      <c r="AJ4609" s="4" t="s">
        <v>62</v>
      </c>
      <c r="AK4609" s="2">
        <v>0.73197155456940599</v>
      </c>
      <c r="AL4609" s="2">
        <v>0.87636111571333197</v>
      </c>
      <c r="AM4609" s="2">
        <v>11931.8387605442</v>
      </c>
      <c r="AN4609" s="2">
        <v>17108.900002493701</v>
      </c>
      <c r="AO4609" s="2">
        <v>11796.347930055301</v>
      </c>
      <c r="AP4609" s="2">
        <v>21392.0117819763</v>
      </c>
      <c r="AQ4609" s="2">
        <v>15765.3082452701</v>
      </c>
      <c r="AR4609" s="2">
        <v>12079.7644397278</v>
      </c>
      <c r="AS4609" s="2">
        <v>17320.097416998498</v>
      </c>
      <c r="AT4609" s="2">
        <v>24669.191208623401</v>
      </c>
      <c r="AU4609" s="2">
        <v>13287.575907311901</v>
      </c>
      <c r="AV4609" s="2">
        <v>6224.7114565993998</v>
      </c>
      <c r="AW4609" s="2">
        <v>13088.1718828868</v>
      </c>
      <c r="AX4609" s="2">
        <v>22171.860880096901</v>
      </c>
    </row>
    <row r="4610" spans="1:50" x14ac:dyDescent="0.25">
      <c r="A4610" s="2" t="s">
        <v>30260</v>
      </c>
      <c r="B4610" s="2">
        <v>281.17588096335402</v>
      </c>
      <c r="C4610" s="2">
        <v>7.7371833333333297</v>
      </c>
      <c r="D4610" s="2" t="s">
        <v>51</v>
      </c>
      <c r="E4610" s="2" t="s">
        <v>30261</v>
      </c>
      <c r="F4610" s="2">
        <v>35606</v>
      </c>
      <c r="G4610" s="3" t="str">
        <f>HYPERLINK("https://cloud.oebiotech.com/#/lm/network/35606", "https://cloud.oebiotech.com/#/lm/network/35606")</f>
        <v>https://cloud.oebiotech.com/#/lm/network/35606</v>
      </c>
      <c r="H4610" s="2"/>
      <c r="I4610" s="2"/>
      <c r="J4610" s="2" t="s">
        <v>30262</v>
      </c>
      <c r="K4610" s="2"/>
      <c r="L4610" s="2"/>
      <c r="M4610" s="2"/>
      <c r="N4610" s="2"/>
      <c r="O4610" s="2"/>
      <c r="P4610" s="2"/>
      <c r="Q4610" s="2"/>
      <c r="R4610" s="2"/>
      <c r="S4610" s="2" t="s">
        <v>30263</v>
      </c>
      <c r="T4610" s="2" t="s">
        <v>30264</v>
      </c>
      <c r="U4610" s="2" t="s">
        <v>56</v>
      </c>
      <c r="V4610" s="2" t="s">
        <v>177</v>
      </c>
      <c r="W4610" s="2" t="s">
        <v>1996</v>
      </c>
      <c r="X4610" s="2" t="s">
        <v>83</v>
      </c>
      <c r="Y4610" s="2">
        <v>43.3</v>
      </c>
      <c r="Z4610" s="2">
        <v>0</v>
      </c>
      <c r="AA4610" s="2" t="s">
        <v>218</v>
      </c>
      <c r="AB4610" s="2" t="s">
        <v>4139</v>
      </c>
      <c r="AC4610" s="2">
        <v>0.203594871397346</v>
      </c>
      <c r="AD4610" s="2"/>
      <c r="AE4610" s="2">
        <v>8.1582778609537707E-2</v>
      </c>
      <c r="AF4610" s="2">
        <v>1587.3177103322701</v>
      </c>
      <c r="AG4610" s="2">
        <v>1361.0410044427699</v>
      </c>
      <c r="AH4610" s="5">
        <v>1.16625267361591</v>
      </c>
      <c r="AI4610" s="5">
        <v>0.221880388436517</v>
      </c>
      <c r="AJ4610" s="5" t="s">
        <v>139</v>
      </c>
      <c r="AK4610" s="2">
        <v>0.79541223627204305</v>
      </c>
      <c r="AL4610" s="2">
        <v>0.90954932814260703</v>
      </c>
      <c r="AM4610" s="2">
        <v>2993.2789518013901</v>
      </c>
      <c r="AN4610" s="2">
        <v>2195.5647400391999</v>
      </c>
      <c r="AO4610" s="2">
        <v>794.80979591667096</v>
      </c>
      <c r="AP4610" s="2">
        <v>1268.9028871844901</v>
      </c>
      <c r="AQ4610" s="2">
        <v>1022.21071948031</v>
      </c>
      <c r="AR4610" s="2">
        <v>1249.1391675715399</v>
      </c>
      <c r="AS4610" s="2">
        <v>454.82001161236599</v>
      </c>
      <c r="AT4610" s="2">
        <v>766.54930681998906</v>
      </c>
      <c r="AU4610" s="2">
        <v>5213.8760965994697</v>
      </c>
      <c r="AV4610" s="2">
        <v>323.24171476750502</v>
      </c>
      <c r="AW4610" s="2">
        <v>396.42552722180801</v>
      </c>
      <c r="AX4610" s="2">
        <v>1011.33336963548</v>
      </c>
    </row>
    <row r="4611" spans="1:50" x14ac:dyDescent="0.25">
      <c r="A4611" s="2" t="s">
        <v>30265</v>
      </c>
      <c r="B4611" s="2">
        <v>604.25682826118202</v>
      </c>
      <c r="C4611" s="2">
        <v>4.72983333333333</v>
      </c>
      <c r="D4611" s="2" t="s">
        <v>51</v>
      </c>
      <c r="E4611" s="2" t="s">
        <v>30266</v>
      </c>
      <c r="F4611" s="2">
        <v>53312</v>
      </c>
      <c r="G4611" s="3" t="str">
        <f>HYPERLINK("https://cloud.oebiotech.com/#/lm/network/53312", "https://cloud.oebiotech.com/#/lm/network/53312")</f>
        <v>https://cloud.oebiotech.com/#/lm/network/53312</v>
      </c>
      <c r="H4611" s="2" t="s">
        <v>30267</v>
      </c>
      <c r="I4611" s="2">
        <v>2496</v>
      </c>
      <c r="J4611" s="2"/>
      <c r="K4611" s="2">
        <v>19649</v>
      </c>
      <c r="L4611" s="2" t="s">
        <v>30268</v>
      </c>
      <c r="M4611" s="2"/>
      <c r="N4611" s="2"/>
      <c r="O4611" s="2">
        <v>17076</v>
      </c>
      <c r="P4611" s="2"/>
      <c r="Q4611" s="2"/>
      <c r="R4611" s="2" t="s">
        <v>30269</v>
      </c>
      <c r="S4611" s="2" t="s">
        <v>30270</v>
      </c>
      <c r="T4611" s="2" t="s">
        <v>30271</v>
      </c>
      <c r="U4611" s="2" t="s">
        <v>331</v>
      </c>
      <c r="V4611" s="2" t="s">
        <v>332</v>
      </c>
      <c r="W4611" s="2" t="s">
        <v>333</v>
      </c>
      <c r="X4611" s="2" t="s">
        <v>147</v>
      </c>
      <c r="Y4611" s="2">
        <v>37</v>
      </c>
      <c r="Z4611" s="2">
        <v>0</v>
      </c>
      <c r="AA4611" s="2" t="s">
        <v>95</v>
      </c>
      <c r="AB4611" s="2" t="s">
        <v>30272</v>
      </c>
      <c r="AC4611" s="2">
        <v>3.3338664795120301</v>
      </c>
      <c r="AD4611" s="2"/>
      <c r="AE4611" s="2">
        <v>8.1549047620033899E-2</v>
      </c>
      <c r="AF4611" s="2">
        <v>1874.3678728432999</v>
      </c>
      <c r="AG4611" s="2">
        <v>2718.30305979069</v>
      </c>
      <c r="AH4611" s="4">
        <v>0.68953601994165603</v>
      </c>
      <c r="AI4611" s="4">
        <v>-0.53630217776176303</v>
      </c>
      <c r="AJ4611" s="4" t="s">
        <v>62</v>
      </c>
      <c r="AK4611" s="2">
        <v>0.70423985258232702</v>
      </c>
      <c r="AL4611" s="2">
        <v>0.85871267298855503</v>
      </c>
      <c r="AM4611" s="2">
        <v>5024.8484950420298</v>
      </c>
      <c r="AN4611" s="2">
        <v>236.05430972489901</v>
      </c>
      <c r="AO4611" s="2">
        <v>1985.5702889644399</v>
      </c>
      <c r="AP4611" s="2">
        <v>8.559877937157E-6</v>
      </c>
      <c r="AQ4611" s="2">
        <v>8.559877937157E-6</v>
      </c>
      <c r="AR4611" s="2">
        <v>3999.7341262086602</v>
      </c>
      <c r="AS4611" s="2">
        <v>8.559877937157E-6</v>
      </c>
      <c r="AT4611" s="2">
        <v>343.77150909620298</v>
      </c>
      <c r="AU4611" s="2">
        <v>324.933648821975</v>
      </c>
      <c r="AV4611" s="2">
        <v>12363.687833051499</v>
      </c>
      <c r="AW4611" s="2">
        <v>712.26784118308797</v>
      </c>
      <c r="AX4611" s="2">
        <v>2565.1575180314899</v>
      </c>
    </row>
    <row r="4612" spans="1:50" x14ac:dyDescent="0.25">
      <c r="A4612" s="2" t="s">
        <v>30273</v>
      </c>
      <c r="B4612" s="2">
        <v>199.00638981044901</v>
      </c>
      <c r="C4612" s="2">
        <v>5.1480166666666696</v>
      </c>
      <c r="D4612" s="2" t="s">
        <v>51</v>
      </c>
      <c r="E4612" s="2" t="s">
        <v>30274</v>
      </c>
      <c r="F4612" s="2">
        <v>83781</v>
      </c>
      <c r="G4612" s="3" t="str">
        <f>HYPERLINK("https://cloud.oebiotech.com/#/lm/network/83781", "https://cloud.oebiotech.com/#/lm/network/83781")</f>
        <v>https://cloud.oebiotech.com/#/lm/network/83781</v>
      </c>
      <c r="H4612" s="2" t="s">
        <v>30275</v>
      </c>
      <c r="I4612" s="2"/>
      <c r="J4612" s="2"/>
      <c r="K4612" s="2">
        <v>6426766</v>
      </c>
      <c r="L4612" s="2"/>
      <c r="M4612" s="2"/>
      <c r="N4612" s="2"/>
      <c r="O4612" s="2">
        <v>82931</v>
      </c>
      <c r="P4612" s="2"/>
      <c r="Q4612" s="2"/>
      <c r="R4612" s="2" t="s">
        <v>30276</v>
      </c>
      <c r="S4612" s="2" t="s">
        <v>30277</v>
      </c>
      <c r="T4612" s="2" t="s">
        <v>30278</v>
      </c>
      <c r="U4612" s="2" t="s">
        <v>103</v>
      </c>
      <c r="V4612" s="2" t="s">
        <v>4820</v>
      </c>
      <c r="W4612" s="2" t="s">
        <v>4821</v>
      </c>
      <c r="X4612" s="2" t="s">
        <v>69</v>
      </c>
      <c r="Y4612" s="2">
        <v>65.2</v>
      </c>
      <c r="Z4612" s="2">
        <v>66.5</v>
      </c>
      <c r="AA4612" s="2" t="s">
        <v>163</v>
      </c>
      <c r="AB4612" s="2" t="s">
        <v>30279</v>
      </c>
      <c r="AC4612" s="2">
        <v>-3.31722407863387</v>
      </c>
      <c r="AD4612" s="2"/>
      <c r="AE4612" s="2">
        <v>8.1491244748437594E-2</v>
      </c>
      <c r="AF4612" s="2">
        <v>7215.9621471475202</v>
      </c>
      <c r="AG4612" s="2">
        <v>6373.11698163446</v>
      </c>
      <c r="AH4612" s="5">
        <v>1.1322500697761999</v>
      </c>
      <c r="AI4612" s="5">
        <v>0.179192628295756</v>
      </c>
      <c r="AJ4612" s="5" t="s">
        <v>139</v>
      </c>
      <c r="AK4612" s="2">
        <v>0.83461059339589205</v>
      </c>
      <c r="AL4612" s="2">
        <v>0.92739717256062304</v>
      </c>
      <c r="AM4612" s="2">
        <v>918.60187266746595</v>
      </c>
      <c r="AN4612" s="2">
        <v>8363.0147573765498</v>
      </c>
      <c r="AO4612" s="2">
        <v>15240.7200226684</v>
      </c>
      <c r="AP4612" s="2">
        <v>5802.0079449823597</v>
      </c>
      <c r="AQ4612" s="2">
        <v>1198.2954871300301</v>
      </c>
      <c r="AR4612" s="2">
        <v>11773.1327980603</v>
      </c>
      <c r="AS4612" s="2">
        <v>2985.3049856387802</v>
      </c>
      <c r="AT4612" s="2">
        <v>2501.35692292567</v>
      </c>
      <c r="AU4612" s="2">
        <v>21754.654953809099</v>
      </c>
      <c r="AV4612" s="2">
        <v>6698.3833414389701</v>
      </c>
      <c r="AW4612" s="2">
        <v>2787.43052445786</v>
      </c>
      <c r="AX4612" s="2">
        <v>1511.57116153636</v>
      </c>
    </row>
    <row r="4613" spans="1:50" x14ac:dyDescent="0.25">
      <c r="A4613" s="2" t="s">
        <v>30280</v>
      </c>
      <c r="B4613" s="2">
        <v>302.10322964029899</v>
      </c>
      <c r="C4613" s="2">
        <v>5.2022000000000004</v>
      </c>
      <c r="D4613" s="2" t="s">
        <v>51</v>
      </c>
      <c r="E4613" s="2" t="s">
        <v>30281</v>
      </c>
      <c r="F4613" s="2">
        <v>30015</v>
      </c>
      <c r="G4613" s="3" t="str">
        <f>HYPERLINK("https://cloud.oebiotech.com/#/lm/network/30015", "https://cloud.oebiotech.com/#/lm/network/30015")</f>
        <v>https://cloud.oebiotech.com/#/lm/network/30015</v>
      </c>
      <c r="H4613" s="2" t="s">
        <v>30282</v>
      </c>
      <c r="I4613" s="2">
        <v>48366</v>
      </c>
      <c r="J4613" s="2" t="s">
        <v>30283</v>
      </c>
      <c r="K4613" s="2">
        <v>442808</v>
      </c>
      <c r="L4613" s="2" t="s">
        <v>30284</v>
      </c>
      <c r="M4613" s="2"/>
      <c r="N4613" s="2"/>
      <c r="O4613" s="2"/>
      <c r="P4613" s="2"/>
      <c r="Q4613" s="2"/>
      <c r="R4613" s="2" t="s">
        <v>30285</v>
      </c>
      <c r="S4613" s="2" t="s">
        <v>30286</v>
      </c>
      <c r="T4613" s="2" t="s">
        <v>30287</v>
      </c>
      <c r="U4613" s="2" t="s">
        <v>540</v>
      </c>
      <c r="V4613" s="2" t="s">
        <v>11459</v>
      </c>
      <c r="W4613" s="2" t="s">
        <v>11460</v>
      </c>
      <c r="X4613" s="2" t="s">
        <v>59</v>
      </c>
      <c r="Y4613" s="2">
        <v>52.4</v>
      </c>
      <c r="Z4613" s="2">
        <v>68.400000000000006</v>
      </c>
      <c r="AA4613" s="2" t="s">
        <v>512</v>
      </c>
      <c r="AB4613" s="2" t="s">
        <v>30288</v>
      </c>
      <c r="AC4613" s="2">
        <v>3.2760680832814599</v>
      </c>
      <c r="AD4613" s="2"/>
      <c r="AE4613" s="2">
        <v>8.1453662438814106E-2</v>
      </c>
      <c r="AF4613" s="2">
        <v>13254.0054221013</v>
      </c>
      <c r="AG4613" s="2">
        <v>14515.1482573254</v>
      </c>
      <c r="AH4613" s="4">
        <v>0.91311540103714905</v>
      </c>
      <c r="AI4613" s="4">
        <v>-0.13113089296590699</v>
      </c>
      <c r="AJ4613" s="4" t="s">
        <v>62</v>
      </c>
      <c r="AK4613" s="2">
        <v>0.83745722865157202</v>
      </c>
      <c r="AL4613" s="2">
        <v>0.92864840614575705</v>
      </c>
      <c r="AM4613" s="2">
        <v>13969.0224380625</v>
      </c>
      <c r="AN4613" s="2">
        <v>20462.983880682001</v>
      </c>
      <c r="AO4613" s="2">
        <v>9285.8510835716497</v>
      </c>
      <c r="AP4613" s="2">
        <v>11435.792216420499</v>
      </c>
      <c r="AQ4613" s="2">
        <v>15050.621846284201</v>
      </c>
      <c r="AR4613" s="2">
        <v>9319.7610675870801</v>
      </c>
      <c r="AS4613" s="2">
        <v>42014.505637584298</v>
      </c>
      <c r="AT4613" s="2">
        <v>16207.303613170499</v>
      </c>
      <c r="AU4613" s="2">
        <v>4180.6318613674703</v>
      </c>
      <c r="AV4613" s="2">
        <v>7946.0577333583797</v>
      </c>
      <c r="AW4613" s="2">
        <v>7529.0714599170196</v>
      </c>
      <c r="AX4613" s="2">
        <v>9213.3192385545299</v>
      </c>
    </row>
    <row r="4614" spans="1:50" x14ac:dyDescent="0.25">
      <c r="A4614" s="2" t="s">
        <v>30289</v>
      </c>
      <c r="B4614" s="2">
        <v>481.21866869345899</v>
      </c>
      <c r="C4614" s="2">
        <v>11.528283333333301</v>
      </c>
      <c r="D4614" s="2" t="s">
        <v>51</v>
      </c>
      <c r="E4614" s="2" t="s">
        <v>30290</v>
      </c>
      <c r="F4614" s="2">
        <v>201012</v>
      </c>
      <c r="G4614" s="3" t="str">
        <f>HYPERLINK("https://cloud.oebiotech.com/#/lm/network/201012", "https://cloud.oebiotech.com/#/lm/network/201012")</f>
        <v>https://cloud.oebiotech.com/#/lm/network/201012</v>
      </c>
      <c r="H4614" s="2" t="s">
        <v>30291</v>
      </c>
      <c r="I4614" s="2">
        <v>451191</v>
      </c>
      <c r="J4614" s="2"/>
      <c r="K4614" s="2">
        <v>12074193</v>
      </c>
      <c r="L4614" s="2"/>
      <c r="M4614" s="2"/>
      <c r="N4614" s="2"/>
      <c r="O4614" s="2"/>
      <c r="P4614" s="2"/>
      <c r="Q4614" s="2"/>
      <c r="R4614" s="2"/>
      <c r="S4614" s="2" t="s">
        <v>30292</v>
      </c>
      <c r="T4614" s="2" t="s">
        <v>30293</v>
      </c>
      <c r="U4614" s="2" t="s">
        <v>610</v>
      </c>
      <c r="V4614" s="2" t="s">
        <v>611</v>
      </c>
      <c r="W4614" s="2" t="s">
        <v>612</v>
      </c>
      <c r="X4614" s="2" t="s">
        <v>147</v>
      </c>
      <c r="Y4614" s="2">
        <v>38</v>
      </c>
      <c r="Z4614" s="2">
        <v>0</v>
      </c>
      <c r="AA4614" s="2" t="s">
        <v>478</v>
      </c>
      <c r="AB4614" s="2" t="s">
        <v>30294</v>
      </c>
      <c r="AC4614" s="2">
        <v>-2.8090094483782702</v>
      </c>
      <c r="AD4614" s="2"/>
      <c r="AE4614" s="2">
        <v>8.1351037854599406E-2</v>
      </c>
      <c r="AF4614" s="2">
        <v>1426.14522345449</v>
      </c>
      <c r="AG4614" s="2">
        <v>1038.2168795325299</v>
      </c>
      <c r="AH4614" s="5">
        <v>1.37364865816537</v>
      </c>
      <c r="AI4614" s="5">
        <v>0.45801304932349601</v>
      </c>
      <c r="AJ4614" s="5" t="s">
        <v>139</v>
      </c>
      <c r="AK4614" s="2">
        <v>0.40403324426433801</v>
      </c>
      <c r="AL4614" s="2">
        <v>0.67079009261671596</v>
      </c>
      <c r="AM4614" s="2">
        <v>2670.5690823825998</v>
      </c>
      <c r="AN4614" s="2">
        <v>447.359457689583</v>
      </c>
      <c r="AO4614" s="2">
        <v>255.38714216771899</v>
      </c>
      <c r="AP4614" s="2">
        <v>1396.77011829719</v>
      </c>
      <c r="AQ4614" s="2">
        <v>1753.03000526285</v>
      </c>
      <c r="AR4614" s="2">
        <v>2033.7555349270201</v>
      </c>
      <c r="AS4614" s="2">
        <v>589.57773631218197</v>
      </c>
      <c r="AT4614" s="2">
        <v>398.31226034355302</v>
      </c>
      <c r="AU4614" s="2">
        <v>1852.25164937968</v>
      </c>
      <c r="AV4614" s="2">
        <v>1271.05115429645</v>
      </c>
      <c r="AW4614" s="2">
        <v>1422.6897464699</v>
      </c>
      <c r="AX4614" s="2">
        <v>695.41873039341499</v>
      </c>
    </row>
    <row r="4615" spans="1:50" x14ac:dyDescent="0.25">
      <c r="A4615" s="2" t="s">
        <v>30295</v>
      </c>
      <c r="B4615" s="2">
        <v>188.09220660567701</v>
      </c>
      <c r="C4615" s="2">
        <v>0.73424999999999996</v>
      </c>
      <c r="D4615" s="2" t="s">
        <v>51</v>
      </c>
      <c r="E4615" s="2" t="s">
        <v>30296</v>
      </c>
      <c r="F4615" s="2">
        <v>46992</v>
      </c>
      <c r="G4615" s="3" t="str">
        <f>HYPERLINK("https://cloud.oebiotech.com/#/lm/network/46992", "https://cloud.oebiotech.com/#/lm/network/46992")</f>
        <v>https://cloud.oebiotech.com/#/lm/network/46992</v>
      </c>
      <c r="H4615" s="2" t="s">
        <v>30297</v>
      </c>
      <c r="I4615" s="2">
        <v>5307</v>
      </c>
      <c r="J4615" s="2"/>
      <c r="K4615" s="2">
        <v>91528</v>
      </c>
      <c r="L4615" s="2" t="s">
        <v>30298</v>
      </c>
      <c r="M4615" s="2" t="s">
        <v>9850</v>
      </c>
      <c r="N4615" s="2" t="s">
        <v>9851</v>
      </c>
      <c r="O4615" s="2">
        <v>1387</v>
      </c>
      <c r="P4615" s="2"/>
      <c r="Q4615" s="2"/>
      <c r="R4615" s="2" t="s">
        <v>30299</v>
      </c>
      <c r="S4615" s="2" t="s">
        <v>30300</v>
      </c>
      <c r="T4615" s="2" t="s">
        <v>30301</v>
      </c>
      <c r="U4615" s="2" t="s">
        <v>610</v>
      </c>
      <c r="V4615" s="2" t="s">
        <v>895</v>
      </c>
      <c r="W4615" s="2" t="s">
        <v>5219</v>
      </c>
      <c r="X4615" s="2" t="s">
        <v>83</v>
      </c>
      <c r="Y4615" s="2">
        <v>38.799999999999997</v>
      </c>
      <c r="Z4615" s="2">
        <v>0</v>
      </c>
      <c r="AA4615" s="2" t="s">
        <v>512</v>
      </c>
      <c r="AB4615" s="2" t="s">
        <v>30302</v>
      </c>
      <c r="AC4615" s="2">
        <v>2.77715244500228</v>
      </c>
      <c r="AD4615" s="2"/>
      <c r="AE4615" s="2">
        <v>8.1285396761098194E-2</v>
      </c>
      <c r="AF4615" s="2">
        <v>2802.9347103222099</v>
      </c>
      <c r="AG4615" s="2">
        <v>3966.1446976491802</v>
      </c>
      <c r="AH4615" s="4">
        <v>0.70671519170331099</v>
      </c>
      <c r="AI4615" s="4">
        <v>-0.50079917306536303</v>
      </c>
      <c r="AJ4615" s="4" t="s">
        <v>62</v>
      </c>
      <c r="AK4615" s="2">
        <v>0.56519380106052797</v>
      </c>
      <c r="AL4615" s="2">
        <v>0.78163419447853599</v>
      </c>
      <c r="AM4615" s="2">
        <v>2855.58821737375</v>
      </c>
      <c r="AN4615" s="2">
        <v>1735.92830479963</v>
      </c>
      <c r="AO4615" s="2">
        <v>1132.69239642408</v>
      </c>
      <c r="AP4615" s="2">
        <v>1678.56699653849</v>
      </c>
      <c r="AQ4615" s="2">
        <v>6381.2742864767197</v>
      </c>
      <c r="AR4615" s="2">
        <v>3033.5580603205799</v>
      </c>
      <c r="AS4615" s="2">
        <v>1905.6268189986099</v>
      </c>
      <c r="AT4615" s="2">
        <v>1891.77453518641</v>
      </c>
      <c r="AU4615" s="2">
        <v>12515.5378135583</v>
      </c>
      <c r="AV4615" s="2">
        <v>4770.97721925937</v>
      </c>
      <c r="AW4615" s="2">
        <v>734.50771687007602</v>
      </c>
      <c r="AX4615" s="2">
        <v>1978.4440820222901</v>
      </c>
    </row>
    <row r="4616" spans="1:50" x14ac:dyDescent="0.25">
      <c r="A4616" s="2" t="s">
        <v>30303</v>
      </c>
      <c r="B4616" s="2">
        <v>217.11906341420899</v>
      </c>
      <c r="C4616" s="2">
        <v>1.16671666666667</v>
      </c>
      <c r="D4616" s="2" t="s">
        <v>51</v>
      </c>
      <c r="E4616" s="2" t="s">
        <v>30304</v>
      </c>
      <c r="F4616" s="2">
        <v>257542</v>
      </c>
      <c r="G4616" s="3" t="str">
        <f>HYPERLINK("https://cloud.oebiotech.com/#/lm/network/257542", "https://cloud.oebiotech.com/#/lm/network/257542")</f>
        <v>https://cloud.oebiotech.com/#/lm/network/257542</v>
      </c>
      <c r="H4616" s="2" t="s">
        <v>30305</v>
      </c>
      <c r="I4616" s="2">
        <v>85967</v>
      </c>
      <c r="J4616" s="2"/>
      <c r="K4616" s="2">
        <v>416721</v>
      </c>
      <c r="L4616" s="2"/>
      <c r="M4616" s="2"/>
      <c r="N4616" s="2"/>
      <c r="O4616" s="2"/>
      <c r="P4616" s="2"/>
      <c r="Q4616" s="2"/>
      <c r="R4616" s="2"/>
      <c r="S4616" s="2" t="s">
        <v>30306</v>
      </c>
      <c r="T4616" s="2" t="s">
        <v>30307</v>
      </c>
      <c r="U4616" s="2" t="s">
        <v>103</v>
      </c>
      <c r="V4616" s="2" t="s">
        <v>104</v>
      </c>
      <c r="W4616" s="2" t="s">
        <v>105</v>
      </c>
      <c r="X4616" s="2" t="s">
        <v>83</v>
      </c>
      <c r="Y4616" s="2">
        <v>38.799999999999997</v>
      </c>
      <c r="Z4616" s="2">
        <v>0</v>
      </c>
      <c r="AA4616" s="2" t="s">
        <v>163</v>
      </c>
      <c r="AB4616" s="2" t="s">
        <v>7350</v>
      </c>
      <c r="AC4616" s="2">
        <v>-1.4542875922057099</v>
      </c>
      <c r="AD4616" s="2"/>
      <c r="AE4616" s="2">
        <v>8.1267456240226202E-2</v>
      </c>
      <c r="AF4616" s="2">
        <v>1492.43987887355</v>
      </c>
      <c r="AG4616" s="2">
        <v>1139.4095328085</v>
      </c>
      <c r="AH4616" s="5">
        <v>1.3098362229732099</v>
      </c>
      <c r="AI4616" s="5">
        <v>0.38938643384245902</v>
      </c>
      <c r="AJ4616" s="5" t="s">
        <v>139</v>
      </c>
      <c r="AK4616" s="2">
        <v>0.71462591531408404</v>
      </c>
      <c r="AL4616" s="2">
        <v>0.865687422815694</v>
      </c>
      <c r="AM4616" s="2">
        <v>2543.01231022413</v>
      </c>
      <c r="AN4616" s="2">
        <v>699.90625942229804</v>
      </c>
      <c r="AO4616" s="2">
        <v>461.60799398489399</v>
      </c>
      <c r="AP4616" s="2">
        <v>937.60249220919798</v>
      </c>
      <c r="AQ4616" s="2">
        <v>3240.1484362987298</v>
      </c>
      <c r="AR4616" s="2">
        <v>1072.3617811020599</v>
      </c>
      <c r="AS4616" s="2">
        <v>8.559877937157E-6</v>
      </c>
      <c r="AT4616" s="2">
        <v>409.193526968171</v>
      </c>
      <c r="AU4616" s="2">
        <v>5203.6423042224696</v>
      </c>
      <c r="AV4616" s="2">
        <v>327.96163766597698</v>
      </c>
      <c r="AW4616" s="2">
        <v>693.43631516147605</v>
      </c>
      <c r="AX4616" s="2">
        <v>202.223404273011</v>
      </c>
    </row>
    <row r="4617" spans="1:50" x14ac:dyDescent="0.25">
      <c r="A4617" s="2" t="s">
        <v>30308</v>
      </c>
      <c r="B4617" s="2">
        <v>191.065902456505</v>
      </c>
      <c r="C4617" s="2">
        <v>5.4092166666666701</v>
      </c>
      <c r="D4617" s="2" t="s">
        <v>51</v>
      </c>
      <c r="E4617" s="2" t="s">
        <v>30309</v>
      </c>
      <c r="F4617" s="2">
        <v>53694</v>
      </c>
      <c r="G4617" s="3" t="str">
        <f>HYPERLINK("https://cloud.oebiotech.com/#/lm/network/53694", "https://cloud.oebiotech.com/#/lm/network/53694")</f>
        <v>https://cloud.oebiotech.com/#/lm/network/53694</v>
      </c>
      <c r="H4617" s="2" t="s">
        <v>30310</v>
      </c>
      <c r="I4617" s="2">
        <v>44787</v>
      </c>
      <c r="J4617" s="2"/>
      <c r="K4617" s="2">
        <v>121396</v>
      </c>
      <c r="L4617" s="2" t="s">
        <v>30311</v>
      </c>
      <c r="M4617" s="2" t="s">
        <v>2506</v>
      </c>
      <c r="N4617" s="2" t="s">
        <v>2507</v>
      </c>
      <c r="O4617" s="2">
        <v>71028</v>
      </c>
      <c r="P4617" s="2"/>
      <c r="Q4617" s="2"/>
      <c r="R4617" s="2" t="s">
        <v>30312</v>
      </c>
      <c r="S4617" s="2" t="s">
        <v>30313</v>
      </c>
      <c r="T4617" s="2" t="s">
        <v>30314</v>
      </c>
      <c r="U4617" s="2" t="s">
        <v>103</v>
      </c>
      <c r="V4617" s="2" t="s">
        <v>104</v>
      </c>
      <c r="W4617" s="2" t="s">
        <v>105</v>
      </c>
      <c r="X4617" s="2" t="s">
        <v>147</v>
      </c>
      <c r="Y4617" s="2">
        <v>39.1</v>
      </c>
      <c r="Z4617" s="2">
        <v>0</v>
      </c>
      <c r="AA4617" s="2" t="s">
        <v>259</v>
      </c>
      <c r="AB4617" s="2" t="s">
        <v>30315</v>
      </c>
      <c r="AC4617" s="2">
        <v>-1.8173495962653601</v>
      </c>
      <c r="AD4617" s="2"/>
      <c r="AE4617" s="2">
        <v>8.1168905843065506E-2</v>
      </c>
      <c r="AF4617" s="2">
        <v>1106.7810734171401</v>
      </c>
      <c r="AG4617" s="2">
        <v>837.78020660664902</v>
      </c>
      <c r="AH4617" s="5">
        <v>1.3210876369353</v>
      </c>
      <c r="AI4617" s="5">
        <v>0.40172617375980402</v>
      </c>
      <c r="AJ4617" s="5" t="s">
        <v>139</v>
      </c>
      <c r="AK4617" s="2">
        <v>0.46053146524064797</v>
      </c>
      <c r="AL4617" s="2">
        <v>0.71040092022659995</v>
      </c>
      <c r="AM4617" s="2">
        <v>1760.3913648455</v>
      </c>
      <c r="AN4617" s="2">
        <v>1981.6379094981801</v>
      </c>
      <c r="AO4617" s="2">
        <v>652.70891506214195</v>
      </c>
      <c r="AP4617" s="2">
        <v>798.885886702844</v>
      </c>
      <c r="AQ4617" s="2">
        <v>305.75523789667898</v>
      </c>
      <c r="AR4617" s="2">
        <v>1141.3071264975199</v>
      </c>
      <c r="AS4617" s="2">
        <v>833.34895082007995</v>
      </c>
      <c r="AT4617" s="2">
        <v>202.25353962462501</v>
      </c>
      <c r="AU4617" s="2">
        <v>1505.6596796638901</v>
      </c>
      <c r="AV4617" s="2">
        <v>289.221812019271</v>
      </c>
      <c r="AW4617" s="2">
        <v>735.723297373386</v>
      </c>
      <c r="AX4617" s="2">
        <v>1460.47396013864</v>
      </c>
    </row>
    <row r="4618" spans="1:50" x14ac:dyDescent="0.25">
      <c r="A4618" s="2" t="s">
        <v>30316</v>
      </c>
      <c r="B4618" s="2">
        <v>342.04430267186098</v>
      </c>
      <c r="C4618" s="2">
        <v>1.0218833333333299</v>
      </c>
      <c r="D4618" s="2" t="s">
        <v>51</v>
      </c>
      <c r="E4618" s="2" t="s">
        <v>30317</v>
      </c>
      <c r="F4618" s="2">
        <v>47173</v>
      </c>
      <c r="G4618" s="3" t="str">
        <f>HYPERLINK("https://cloud.oebiotech.com/#/lm/network/47173", "https://cloud.oebiotech.com/#/lm/network/47173")</f>
        <v>https://cloud.oebiotech.com/#/lm/network/47173</v>
      </c>
      <c r="H4618" s="2" t="s">
        <v>30318</v>
      </c>
      <c r="I4618" s="2">
        <v>5677</v>
      </c>
      <c r="J4618" s="2"/>
      <c r="K4618" s="2">
        <v>22833544</v>
      </c>
      <c r="L4618" s="2"/>
      <c r="M4618" s="2"/>
      <c r="N4618" s="2"/>
      <c r="O4618" s="2">
        <v>89930</v>
      </c>
      <c r="P4618" s="2"/>
      <c r="Q4618" s="2"/>
      <c r="R4618" s="2" t="s">
        <v>30319</v>
      </c>
      <c r="S4618" s="2" t="s">
        <v>30320</v>
      </c>
      <c r="T4618" s="2" t="s">
        <v>30321</v>
      </c>
      <c r="U4618" s="2" t="s">
        <v>103</v>
      </c>
      <c r="V4618" s="2" t="s">
        <v>104</v>
      </c>
      <c r="W4618" s="2" t="s">
        <v>105</v>
      </c>
      <c r="X4618" s="2" t="s">
        <v>147</v>
      </c>
      <c r="Y4618" s="2">
        <v>45.2</v>
      </c>
      <c r="Z4618" s="2">
        <v>43</v>
      </c>
      <c r="AA4618" s="2" t="s">
        <v>218</v>
      </c>
      <c r="AB4618" s="2" t="s">
        <v>30322</v>
      </c>
      <c r="AC4618" s="2">
        <v>2.65012971960528</v>
      </c>
      <c r="AD4618" s="2"/>
      <c r="AE4618" s="2">
        <v>8.1165785924422695E-2</v>
      </c>
      <c r="AF4618" s="2">
        <v>14350.9248667799</v>
      </c>
      <c r="AG4618" s="2">
        <v>16309.707269143501</v>
      </c>
      <c r="AH4618" s="4">
        <v>0.879900824089624</v>
      </c>
      <c r="AI4618" s="4">
        <v>-0.18458717188432</v>
      </c>
      <c r="AJ4618" s="4" t="s">
        <v>62</v>
      </c>
      <c r="AK4618" s="2">
        <v>0.656282407291226</v>
      </c>
      <c r="AL4618" s="2">
        <v>0.83263445021276405</v>
      </c>
      <c r="AM4618" s="2">
        <v>20929.3042601544</v>
      </c>
      <c r="AN4618" s="2">
        <v>2902.3100835653599</v>
      </c>
      <c r="AO4618" s="2">
        <v>9293.6673884317806</v>
      </c>
      <c r="AP4618" s="2">
        <v>13027.110837516</v>
      </c>
      <c r="AQ4618" s="2">
        <v>19743.557279014</v>
      </c>
      <c r="AR4618" s="2">
        <v>20209.5993519978</v>
      </c>
      <c r="AS4618" s="2">
        <v>12504.403209354001</v>
      </c>
      <c r="AT4618" s="2">
        <v>19471.292613041602</v>
      </c>
      <c r="AU4618" s="2">
        <v>26657.5744857795</v>
      </c>
      <c r="AV4618" s="2">
        <v>19713.216099173998</v>
      </c>
      <c r="AW4618" s="2">
        <v>14904.927792567099</v>
      </c>
      <c r="AX4618" s="2">
        <v>4606.8294149447902</v>
      </c>
    </row>
    <row r="4619" spans="1:50" x14ac:dyDescent="0.25">
      <c r="A4619" s="2" t="s">
        <v>30323</v>
      </c>
      <c r="B4619" s="2">
        <v>199.071855824913</v>
      </c>
      <c r="C4619" s="2">
        <v>1.27705</v>
      </c>
      <c r="D4619" s="2" t="s">
        <v>51</v>
      </c>
      <c r="E4619" s="2" t="s">
        <v>30324</v>
      </c>
      <c r="F4619" s="2">
        <v>208720</v>
      </c>
      <c r="G4619" s="3" t="str">
        <f>HYPERLINK("https://cloud.oebiotech.com/#/lm/network/208720", "https://cloud.oebiotech.com/#/lm/network/208720")</f>
        <v>https://cloud.oebiotech.com/#/lm/network/208720</v>
      </c>
      <c r="H4619" s="2" t="s">
        <v>30325</v>
      </c>
      <c r="I4619" s="2"/>
      <c r="J4619" s="2"/>
      <c r="K4619" s="2">
        <v>53800990</v>
      </c>
      <c r="L4619" s="2"/>
      <c r="M4619" s="2"/>
      <c r="N4619" s="2"/>
      <c r="O4619" s="2"/>
      <c r="P4619" s="2"/>
      <c r="Q4619" s="2"/>
      <c r="R4619" s="2"/>
      <c r="S4619" s="2" t="s">
        <v>30326</v>
      </c>
      <c r="T4619" s="2" t="s">
        <v>30327</v>
      </c>
      <c r="U4619" s="2" t="s">
        <v>103</v>
      </c>
      <c r="V4619" s="2" t="s">
        <v>104</v>
      </c>
      <c r="W4619" s="2" t="s">
        <v>9173</v>
      </c>
      <c r="X4619" s="2" t="s">
        <v>83</v>
      </c>
      <c r="Y4619" s="2">
        <v>46.7</v>
      </c>
      <c r="Z4619" s="2">
        <v>0</v>
      </c>
      <c r="AA4619" s="2" t="s">
        <v>218</v>
      </c>
      <c r="AB4619" s="2" t="s">
        <v>30328</v>
      </c>
      <c r="AC4619" s="2">
        <v>-3.7294654401968801</v>
      </c>
      <c r="AD4619" s="2"/>
      <c r="AE4619" s="2">
        <v>8.1144280143156E-2</v>
      </c>
      <c r="AF4619" s="2">
        <v>6956.9119030844504</v>
      </c>
      <c r="AG4619" s="2">
        <v>7254.4445670644</v>
      </c>
      <c r="AH4619" s="4">
        <v>0.95898615514538998</v>
      </c>
      <c r="AI4619" s="4">
        <v>-6.0418107639022403E-2</v>
      </c>
      <c r="AJ4619" s="4" t="s">
        <v>62</v>
      </c>
      <c r="AK4619" s="2">
        <v>0.94876191459217396</v>
      </c>
      <c r="AL4619" s="2">
        <v>0.97875606918993896</v>
      </c>
      <c r="AM4619" s="2">
        <v>13690.7854134852</v>
      </c>
      <c r="AN4619" s="2">
        <v>5010.4213500624801</v>
      </c>
      <c r="AO4619" s="2">
        <v>8682.3359063812604</v>
      </c>
      <c r="AP4619" s="2">
        <v>4201.5053278540499</v>
      </c>
      <c r="AQ4619" s="2">
        <v>5036.3695558651298</v>
      </c>
      <c r="AR4619" s="2">
        <v>5120.0538648585698</v>
      </c>
      <c r="AS4619" s="2">
        <v>705.58879200823503</v>
      </c>
      <c r="AT4619" s="2">
        <v>1944.8640931322</v>
      </c>
      <c r="AU4619" s="2">
        <v>28215.969049509698</v>
      </c>
      <c r="AV4619" s="2">
        <v>6324.8786458560298</v>
      </c>
      <c r="AW4619" s="2">
        <v>3458.3350724915399</v>
      </c>
      <c r="AX4619" s="2">
        <v>2877.0317493886801</v>
      </c>
    </row>
    <row r="4620" spans="1:50" x14ac:dyDescent="0.25">
      <c r="A4620" s="2" t="s">
        <v>30329</v>
      </c>
      <c r="B4620" s="2">
        <v>213.12805340288801</v>
      </c>
      <c r="C4620" s="2">
        <v>9.6451499999999992</v>
      </c>
      <c r="D4620" s="2" t="s">
        <v>51</v>
      </c>
      <c r="E4620" s="2" t="s">
        <v>30330</v>
      </c>
      <c r="F4620" s="2">
        <v>276189</v>
      </c>
      <c r="G4620" s="3" t="str">
        <f>HYPERLINK("https://cloud.oebiotech.com/#/lm/network/276189", "https://cloud.oebiotech.com/#/lm/network/276189")</f>
        <v>https://cloud.oebiotech.com/#/lm/network/276189</v>
      </c>
      <c r="H4620" s="2"/>
      <c r="I4620" s="2">
        <v>67654</v>
      </c>
      <c r="J4620" s="2"/>
      <c r="K4620" s="2">
        <v>73174</v>
      </c>
      <c r="L4620" s="2" t="s">
        <v>30331</v>
      </c>
      <c r="M4620" s="2"/>
      <c r="N4620" s="2"/>
      <c r="O4620" s="2"/>
      <c r="P4620" s="2"/>
      <c r="Q4620" s="2"/>
      <c r="R4620" s="2" t="s">
        <v>30332</v>
      </c>
      <c r="S4620" s="2" t="s">
        <v>30333</v>
      </c>
      <c r="T4620" s="2" t="s">
        <v>30334</v>
      </c>
      <c r="U4620" s="2" t="s">
        <v>56</v>
      </c>
      <c r="V4620" s="2" t="s">
        <v>177</v>
      </c>
      <c r="W4620" s="2" t="s">
        <v>806</v>
      </c>
      <c r="X4620" s="2" t="s">
        <v>147</v>
      </c>
      <c r="Y4620" s="2">
        <v>36.200000000000003</v>
      </c>
      <c r="Z4620" s="2">
        <v>0</v>
      </c>
      <c r="AA4620" s="2" t="s">
        <v>156</v>
      </c>
      <c r="AB4620" s="2" t="s">
        <v>479</v>
      </c>
      <c r="AC4620" s="2">
        <v>2.87591601422031</v>
      </c>
      <c r="AD4620" s="2"/>
      <c r="AE4620" s="2">
        <v>8.1132327277410904E-2</v>
      </c>
      <c r="AF4620" s="2">
        <v>413.45148144012302</v>
      </c>
      <c r="AG4620" s="2">
        <v>232.09544438963701</v>
      </c>
      <c r="AH4620" s="5">
        <v>1.7813855956001901</v>
      </c>
      <c r="AI4620" s="5">
        <v>0.83299983347957096</v>
      </c>
      <c r="AJ4620" s="5" t="s">
        <v>139</v>
      </c>
      <c r="AK4620" s="2">
        <v>0.116235983705628</v>
      </c>
      <c r="AL4620" s="2">
        <v>0.43347552466100298</v>
      </c>
      <c r="AM4620" s="2">
        <v>516.46100520089601</v>
      </c>
      <c r="AN4620" s="2">
        <v>602.16229923452397</v>
      </c>
      <c r="AO4620" s="2">
        <v>318.63554433129099</v>
      </c>
      <c r="AP4620" s="2">
        <v>499.19827311608998</v>
      </c>
      <c r="AQ4620" s="2">
        <v>166.84015221528401</v>
      </c>
      <c r="AR4620" s="2">
        <v>377.41161454265603</v>
      </c>
      <c r="AS4620" s="2">
        <v>468.71447839576598</v>
      </c>
      <c r="AT4620" s="2">
        <v>362.06101253924197</v>
      </c>
      <c r="AU4620" s="2">
        <v>389.51695436664801</v>
      </c>
      <c r="AV4620" s="2">
        <v>8.559877937157E-6</v>
      </c>
      <c r="AW4620" s="2">
        <v>8.559877937157E-6</v>
      </c>
      <c r="AX4620" s="2">
        <v>172.28020391641101</v>
      </c>
    </row>
    <row r="4621" spans="1:50" x14ac:dyDescent="0.25">
      <c r="A4621" s="2" t="s">
        <v>30335</v>
      </c>
      <c r="B4621" s="2">
        <v>302.10317332862701</v>
      </c>
      <c r="C4621" s="2">
        <v>4.8526333333333298</v>
      </c>
      <c r="D4621" s="2" t="s">
        <v>51</v>
      </c>
      <c r="E4621" s="2" t="s">
        <v>30336</v>
      </c>
      <c r="F4621" s="2">
        <v>29367</v>
      </c>
      <c r="G4621" s="3" t="str">
        <f>HYPERLINK("https://cloud.oebiotech.com/#/lm/network/29367", "https://cloud.oebiotech.com/#/lm/network/29367")</f>
        <v>https://cloud.oebiotech.com/#/lm/network/29367</v>
      </c>
      <c r="H4621" s="2" t="s">
        <v>30337</v>
      </c>
      <c r="I4621" s="2">
        <v>43566</v>
      </c>
      <c r="J4621" s="2" t="s">
        <v>30338</v>
      </c>
      <c r="K4621" s="2">
        <v>5280373</v>
      </c>
      <c r="L4621" s="2" t="s">
        <v>30339</v>
      </c>
      <c r="M4621" s="2"/>
      <c r="N4621" s="2"/>
      <c r="O4621" s="2">
        <v>17574</v>
      </c>
      <c r="P4621" s="2"/>
      <c r="Q4621" s="2"/>
      <c r="R4621" s="2" t="s">
        <v>30340</v>
      </c>
      <c r="S4621" s="2" t="s">
        <v>30341</v>
      </c>
      <c r="T4621" s="2" t="s">
        <v>30342</v>
      </c>
      <c r="U4621" s="2" t="s">
        <v>540</v>
      </c>
      <c r="V4621" s="2" t="s">
        <v>784</v>
      </c>
      <c r="W4621" s="2" t="s">
        <v>16682</v>
      </c>
      <c r="X4621" s="2" t="s">
        <v>147</v>
      </c>
      <c r="Y4621" s="2">
        <v>38.200000000000003</v>
      </c>
      <c r="Z4621" s="2">
        <v>0</v>
      </c>
      <c r="AA4621" s="2" t="s">
        <v>512</v>
      </c>
      <c r="AB4621" s="2" t="s">
        <v>30288</v>
      </c>
      <c r="AC4621" s="2">
        <v>3.0778353407978298</v>
      </c>
      <c r="AD4621" s="2"/>
      <c r="AE4621" s="2">
        <v>8.1074933524944201E-2</v>
      </c>
      <c r="AF4621" s="2">
        <v>3640.3002147629199</v>
      </c>
      <c r="AG4621" s="2">
        <v>4208.7803026507299</v>
      </c>
      <c r="AH4621" s="4">
        <v>0.86492996853987003</v>
      </c>
      <c r="AI4621" s="4">
        <v>-0.209344769225141</v>
      </c>
      <c r="AJ4621" s="4" t="s">
        <v>62</v>
      </c>
      <c r="AK4621" s="2">
        <v>0.632004830821432</v>
      </c>
      <c r="AL4621" s="2">
        <v>0.81944950313377996</v>
      </c>
      <c r="AM4621" s="2">
        <v>4163.7013651856096</v>
      </c>
      <c r="AN4621" s="2">
        <v>6028.8181364803504</v>
      </c>
      <c r="AO4621" s="2">
        <v>2460.82527751721</v>
      </c>
      <c r="AP4621" s="2">
        <v>3530.5786636502598</v>
      </c>
      <c r="AQ4621" s="2">
        <v>3475.01910500029</v>
      </c>
      <c r="AR4621" s="2">
        <v>2182.8587407437999</v>
      </c>
      <c r="AS4621" s="2">
        <v>9057.7072442772896</v>
      </c>
      <c r="AT4621" s="2">
        <v>2696.6330743518201</v>
      </c>
      <c r="AU4621" s="2">
        <v>2733.4533989127499</v>
      </c>
      <c r="AV4621" s="2">
        <v>4061.1292335049102</v>
      </c>
      <c r="AW4621" s="2">
        <v>3958.3220224247002</v>
      </c>
      <c r="AX4621" s="2">
        <v>2745.43684243291</v>
      </c>
    </row>
    <row r="4622" spans="1:50" x14ac:dyDescent="0.25">
      <c r="A4622" s="2" t="s">
        <v>30343</v>
      </c>
      <c r="B4622" s="2">
        <v>212.998562892324</v>
      </c>
      <c r="C4622" s="2">
        <v>6.4135499999999999</v>
      </c>
      <c r="D4622" s="2" t="s">
        <v>51</v>
      </c>
      <c r="E4622" s="2" t="s">
        <v>30344</v>
      </c>
      <c r="F4622" s="2">
        <v>53404</v>
      </c>
      <c r="G4622" s="3" t="str">
        <f>HYPERLINK("https://cloud.oebiotech.com/#/lm/network/53404", "https://cloud.oebiotech.com/#/lm/network/53404")</f>
        <v>https://cloud.oebiotech.com/#/lm/network/53404</v>
      </c>
      <c r="H4622" s="2" t="s">
        <v>30345</v>
      </c>
      <c r="I4622" s="2">
        <v>66668</v>
      </c>
      <c r="J4622" s="2"/>
      <c r="K4622" s="2">
        <v>42113</v>
      </c>
      <c r="L4622" s="2" t="s">
        <v>30346</v>
      </c>
      <c r="M4622" s="2"/>
      <c r="N4622" s="2"/>
      <c r="O4622" s="2">
        <v>4445</v>
      </c>
      <c r="P4622" s="2"/>
      <c r="Q4622" s="2"/>
      <c r="R4622" s="2" t="s">
        <v>30347</v>
      </c>
      <c r="S4622" s="2" t="s">
        <v>30348</v>
      </c>
      <c r="T4622" s="2" t="s">
        <v>30349</v>
      </c>
      <c r="U4622" s="2" t="s">
        <v>1357</v>
      </c>
      <c r="V4622" s="2" t="s">
        <v>11149</v>
      </c>
      <c r="W4622" s="2" t="s">
        <v>240</v>
      </c>
      <c r="X4622" s="2" t="s">
        <v>147</v>
      </c>
      <c r="Y4622" s="2">
        <v>41.5</v>
      </c>
      <c r="Z4622" s="2">
        <v>15.1</v>
      </c>
      <c r="AA4622" s="2" t="s">
        <v>218</v>
      </c>
      <c r="AB4622" s="2" t="s">
        <v>1360</v>
      </c>
      <c r="AC4622" s="2">
        <v>-3.7141531032964901</v>
      </c>
      <c r="AD4622" s="2"/>
      <c r="AE4622" s="2">
        <v>8.1059715550897596E-2</v>
      </c>
      <c r="AF4622" s="2">
        <v>6312.1078236360099</v>
      </c>
      <c r="AG4622" s="2">
        <v>6860.6330862928799</v>
      </c>
      <c r="AH4622" s="4">
        <v>0.92004742772896797</v>
      </c>
      <c r="AI4622" s="4">
        <v>-0.120219861994064</v>
      </c>
      <c r="AJ4622" s="4" t="s">
        <v>62</v>
      </c>
      <c r="AK4622" s="2">
        <v>0.76028922124656695</v>
      </c>
      <c r="AL4622" s="2">
        <v>0.89152062866139503</v>
      </c>
      <c r="AM4622" s="2">
        <v>4472.9083766617996</v>
      </c>
      <c r="AN4622" s="2">
        <v>5700.1791166928797</v>
      </c>
      <c r="AO4622" s="2">
        <v>5094.7013556638503</v>
      </c>
      <c r="AP4622" s="2">
        <v>12895.466492957999</v>
      </c>
      <c r="AQ4622" s="2">
        <v>4416.0454947085</v>
      </c>
      <c r="AR4622" s="2">
        <v>5293.3461051310296</v>
      </c>
      <c r="AS4622" s="2">
        <v>4086.96589385364</v>
      </c>
      <c r="AT4622" s="2">
        <v>11198.7295462411</v>
      </c>
      <c r="AU4622" s="2">
        <v>5353.8981292251101</v>
      </c>
      <c r="AV4622" s="2">
        <v>9367.1784487074492</v>
      </c>
      <c r="AW4622" s="2">
        <v>5236.6186621338102</v>
      </c>
      <c r="AX4622" s="2">
        <v>5920.4078375961599</v>
      </c>
    </row>
    <row r="4623" spans="1:50" x14ac:dyDescent="0.25">
      <c r="A4623" s="2" t="s">
        <v>30350</v>
      </c>
      <c r="B4623" s="2">
        <v>331.26402247385101</v>
      </c>
      <c r="C4623" s="2">
        <v>11.391833333333301</v>
      </c>
      <c r="D4623" s="2" t="s">
        <v>51</v>
      </c>
      <c r="E4623" s="2" t="s">
        <v>30351</v>
      </c>
      <c r="F4623" s="2">
        <v>267531</v>
      </c>
      <c r="G4623" s="3" t="str">
        <f>HYPERLINK("https://cloud.oebiotech.com/#/lm/network/267531", "https://cloud.oebiotech.com/#/lm/network/267531")</f>
        <v>https://cloud.oebiotech.com/#/lm/network/267531</v>
      </c>
      <c r="H4623" s="2"/>
      <c r="I4623" s="2">
        <v>45632</v>
      </c>
      <c r="J4623" s="2"/>
      <c r="K4623" s="2">
        <v>5311387</v>
      </c>
      <c r="L4623" s="2"/>
      <c r="M4623" s="2"/>
      <c r="N4623" s="2"/>
      <c r="O4623" s="2"/>
      <c r="P4623" s="2"/>
      <c r="Q4623" s="2"/>
      <c r="R4623" s="2" t="s">
        <v>30352</v>
      </c>
      <c r="S4623" s="2" t="s">
        <v>30353</v>
      </c>
      <c r="T4623" s="2" t="s">
        <v>30354</v>
      </c>
      <c r="U4623" s="2" t="s">
        <v>56</v>
      </c>
      <c r="V4623" s="2" t="s">
        <v>145</v>
      </c>
      <c r="W4623" s="2" t="s">
        <v>231</v>
      </c>
      <c r="X4623" s="2" t="s">
        <v>69</v>
      </c>
      <c r="Y4623" s="2">
        <v>53.2</v>
      </c>
      <c r="Z4623" s="2">
        <v>51.5</v>
      </c>
      <c r="AA4623" s="2" t="s">
        <v>156</v>
      </c>
      <c r="AB4623" s="2" t="s">
        <v>6683</v>
      </c>
      <c r="AC4623" s="2">
        <v>2.4857710625054299</v>
      </c>
      <c r="AD4623" s="2"/>
      <c r="AE4623" s="2">
        <v>8.0837321239427606E-2</v>
      </c>
      <c r="AF4623" s="2">
        <v>47288.763733368003</v>
      </c>
      <c r="AG4623" s="2">
        <v>47047.648026152601</v>
      </c>
      <c r="AH4623" s="5">
        <v>1.0051249258428701</v>
      </c>
      <c r="AI4623" s="5">
        <v>7.3748234870249802E-3</v>
      </c>
      <c r="AJ4623" s="5" t="s">
        <v>139</v>
      </c>
      <c r="AK4623" s="2">
        <v>0.98163018681577197</v>
      </c>
      <c r="AL4623" s="2">
        <v>0.99225462124931296</v>
      </c>
      <c r="AM4623" s="2">
        <v>50211.740680842202</v>
      </c>
      <c r="AN4623" s="2">
        <v>51984.955194006201</v>
      </c>
      <c r="AO4623" s="2">
        <v>48506.297078816599</v>
      </c>
      <c r="AP4623" s="2">
        <v>35906.564091713197</v>
      </c>
      <c r="AQ4623" s="2">
        <v>53728.094259885598</v>
      </c>
      <c r="AR4623" s="2">
        <v>43394.931094943997</v>
      </c>
      <c r="AS4623" s="2">
        <v>27916.326232317799</v>
      </c>
      <c r="AT4623" s="2">
        <v>28209.2267192621</v>
      </c>
      <c r="AU4623" s="2">
        <v>82533.9892573049</v>
      </c>
      <c r="AV4623" s="2">
        <v>38353.371133157802</v>
      </c>
      <c r="AW4623" s="2">
        <v>72548.862122602397</v>
      </c>
      <c r="AX4623" s="2">
        <v>32724.112692270501</v>
      </c>
    </row>
    <row r="4624" spans="1:50" x14ac:dyDescent="0.25">
      <c r="A4624" s="2" t="s">
        <v>30355</v>
      </c>
      <c r="B4624" s="2">
        <v>430.26612639443903</v>
      </c>
      <c r="C4624" s="2">
        <v>4.2797999999999998</v>
      </c>
      <c r="D4624" s="2" t="s">
        <v>51</v>
      </c>
      <c r="E4624" s="2" t="s">
        <v>30356</v>
      </c>
      <c r="F4624" s="2">
        <v>199034</v>
      </c>
      <c r="G4624" s="3" t="str">
        <f>HYPERLINK("https://cloud.oebiotech.com/#/lm/network/199034", "https://cloud.oebiotech.com/#/lm/network/199034")</f>
        <v>https://cloud.oebiotech.com/#/lm/network/199034</v>
      </c>
      <c r="H4624" s="2" t="s">
        <v>30357</v>
      </c>
      <c r="I4624" s="2"/>
      <c r="J4624" s="2"/>
      <c r="K4624" s="2"/>
      <c r="L4624" s="2"/>
      <c r="M4624" s="2"/>
      <c r="N4624" s="2"/>
      <c r="O4624" s="2"/>
      <c r="P4624" s="2"/>
      <c r="Q4624" s="2"/>
      <c r="R4624" s="2"/>
      <c r="S4624" s="2" t="s">
        <v>30358</v>
      </c>
      <c r="T4624" s="2" t="s">
        <v>30359</v>
      </c>
      <c r="U4624" s="2" t="s">
        <v>331</v>
      </c>
      <c r="V4624" s="2" t="s">
        <v>332</v>
      </c>
      <c r="W4624" s="2" t="s">
        <v>333</v>
      </c>
      <c r="X4624" s="2" t="s">
        <v>147</v>
      </c>
      <c r="Y4624" s="2">
        <v>44.2</v>
      </c>
      <c r="Z4624" s="2">
        <v>33.9</v>
      </c>
      <c r="AA4624" s="2" t="s">
        <v>156</v>
      </c>
      <c r="AB4624" s="2" t="s">
        <v>30360</v>
      </c>
      <c r="AC4624" s="2">
        <v>0.25956829408540399</v>
      </c>
      <c r="AD4624" s="2"/>
      <c r="AE4624" s="2">
        <v>8.0791128639925602E-2</v>
      </c>
      <c r="AF4624" s="2">
        <v>12349.745498231299</v>
      </c>
      <c r="AG4624" s="2">
        <v>13776.186587502099</v>
      </c>
      <c r="AH4624" s="4">
        <v>0.89645602720241002</v>
      </c>
      <c r="AI4624" s="4">
        <v>-0.157695276872239</v>
      </c>
      <c r="AJ4624" s="4" t="s">
        <v>62</v>
      </c>
      <c r="AK4624" s="2">
        <v>0.70019807239970699</v>
      </c>
      <c r="AL4624" s="2">
        <v>0.85589375248858601</v>
      </c>
      <c r="AM4624" s="2">
        <v>5449.3310258565098</v>
      </c>
      <c r="AN4624" s="2">
        <v>12912.148814043099</v>
      </c>
      <c r="AO4624" s="2">
        <v>22442.6303693015</v>
      </c>
      <c r="AP4624" s="2">
        <v>14658.4803738387</v>
      </c>
      <c r="AQ4624" s="2">
        <v>10804.688836248801</v>
      </c>
      <c r="AR4624" s="2">
        <v>7831.1935700991198</v>
      </c>
      <c r="AS4624" s="2">
        <v>18117.752228601199</v>
      </c>
      <c r="AT4624" s="2">
        <v>21769.314451118898</v>
      </c>
      <c r="AU4624" s="2">
        <v>13388.5117491769</v>
      </c>
      <c r="AV4624" s="2">
        <v>2673.5841803727099</v>
      </c>
      <c r="AW4624" s="2">
        <v>11905.703866830199</v>
      </c>
      <c r="AX4624" s="2">
        <v>14802.2530489129</v>
      </c>
    </row>
    <row r="4625" spans="1:50" x14ac:dyDescent="0.25">
      <c r="A4625" s="2" t="s">
        <v>30361</v>
      </c>
      <c r="B4625" s="2">
        <v>254.10089412122599</v>
      </c>
      <c r="C4625" s="2">
        <v>4.5305499999999999</v>
      </c>
      <c r="D4625" s="2" t="s">
        <v>51</v>
      </c>
      <c r="E4625" s="2" t="s">
        <v>30362</v>
      </c>
      <c r="F4625" s="2">
        <v>82699</v>
      </c>
      <c r="G4625" s="3" t="str">
        <f>HYPERLINK("https://cloud.oebiotech.com/#/lm/network/82699", "https://cloud.oebiotech.com/#/lm/network/82699")</f>
        <v>https://cloud.oebiotech.com/#/lm/network/82699</v>
      </c>
      <c r="H4625" s="2" t="s">
        <v>30363</v>
      </c>
      <c r="I4625" s="2"/>
      <c r="J4625" s="2"/>
      <c r="K4625" s="2">
        <v>15107528</v>
      </c>
      <c r="L4625" s="2"/>
      <c r="M4625" s="2"/>
      <c r="N4625" s="2"/>
      <c r="O4625" s="2"/>
      <c r="P4625" s="2"/>
      <c r="Q4625" s="2"/>
      <c r="R4625" s="2"/>
      <c r="S4625" s="2" t="s">
        <v>30364</v>
      </c>
      <c r="T4625" s="2" t="s">
        <v>30365</v>
      </c>
      <c r="U4625" s="2" t="s">
        <v>610</v>
      </c>
      <c r="V4625" s="2" t="s">
        <v>9501</v>
      </c>
      <c r="W4625" s="2" t="s">
        <v>240</v>
      </c>
      <c r="X4625" s="2" t="s">
        <v>147</v>
      </c>
      <c r="Y4625" s="2">
        <v>37.299999999999997</v>
      </c>
      <c r="Z4625" s="2">
        <v>0</v>
      </c>
      <c r="AA4625" s="2" t="s">
        <v>11323</v>
      </c>
      <c r="AB4625" s="2" t="s">
        <v>30366</v>
      </c>
      <c r="AC4625" s="2">
        <v>2.7593911318296201E-5</v>
      </c>
      <c r="AD4625" s="2"/>
      <c r="AE4625" s="2">
        <v>8.0706198464542703E-2</v>
      </c>
      <c r="AF4625" s="2">
        <v>2390.5127320164502</v>
      </c>
      <c r="AG4625" s="2">
        <v>2945.76551707509</v>
      </c>
      <c r="AH4625" s="4">
        <v>0.81150815234949203</v>
      </c>
      <c r="AI4625" s="4">
        <v>-0.30132250683610301</v>
      </c>
      <c r="AJ4625" s="4" t="s">
        <v>62</v>
      </c>
      <c r="AK4625" s="2">
        <v>0.84114547062330802</v>
      </c>
      <c r="AL4625" s="2">
        <v>0.92963204272259004</v>
      </c>
      <c r="AM4625" s="2">
        <v>754.11368358318396</v>
      </c>
      <c r="AN4625" s="2">
        <v>267.01380958509202</v>
      </c>
      <c r="AO4625" s="2">
        <v>2723.8757700449701</v>
      </c>
      <c r="AP4625" s="2">
        <v>289.89934826490298</v>
      </c>
      <c r="AQ4625" s="2">
        <v>9039.9288266551903</v>
      </c>
      <c r="AR4625" s="2">
        <v>1268.2449539653601</v>
      </c>
      <c r="AS4625" s="2">
        <v>1238.50447024917</v>
      </c>
      <c r="AT4625" s="2">
        <v>311.74894856065299</v>
      </c>
      <c r="AU4625" s="2">
        <v>1595.3378030476199</v>
      </c>
      <c r="AV4625" s="2">
        <v>8.559877937157E-6</v>
      </c>
      <c r="AW4625" s="2">
        <v>14466.2582795452</v>
      </c>
      <c r="AX4625" s="2">
        <v>62.7435924879955</v>
      </c>
    </row>
    <row r="4626" spans="1:50" x14ac:dyDescent="0.25">
      <c r="A4626" s="2" t="s">
        <v>30367</v>
      </c>
      <c r="B4626" s="2">
        <v>176.05663573816199</v>
      </c>
      <c r="C4626" s="2">
        <v>9.4023000000000003</v>
      </c>
      <c r="D4626" s="2" t="s">
        <v>51</v>
      </c>
      <c r="E4626" s="2" t="s">
        <v>30368</v>
      </c>
      <c r="F4626" s="2">
        <v>202357</v>
      </c>
      <c r="G4626" s="3" t="str">
        <f>HYPERLINK("https://cloud.oebiotech.com/#/lm/network/202357", "https://cloud.oebiotech.com/#/lm/network/202357")</f>
        <v>https://cloud.oebiotech.com/#/lm/network/202357</v>
      </c>
      <c r="H4626" s="2" t="s">
        <v>30369</v>
      </c>
      <c r="I4626" s="2"/>
      <c r="J4626" s="2"/>
      <c r="K4626" s="2">
        <v>69736</v>
      </c>
      <c r="L4626" s="2"/>
      <c r="M4626" s="2"/>
      <c r="N4626" s="2"/>
      <c r="O4626" s="2"/>
      <c r="P4626" s="2"/>
      <c r="Q4626" s="2"/>
      <c r="R4626" s="2"/>
      <c r="S4626" s="2" t="s">
        <v>30370</v>
      </c>
      <c r="T4626" s="2" t="s">
        <v>30371</v>
      </c>
      <c r="U4626" s="2" t="s">
        <v>266</v>
      </c>
      <c r="V4626" s="2" t="s">
        <v>13201</v>
      </c>
      <c r="W4626" s="2" t="s">
        <v>13202</v>
      </c>
      <c r="X4626" s="2" t="s">
        <v>147</v>
      </c>
      <c r="Y4626" s="2">
        <v>36</v>
      </c>
      <c r="Z4626" s="2">
        <v>0</v>
      </c>
      <c r="AA4626" s="2" t="s">
        <v>156</v>
      </c>
      <c r="AB4626" s="2" t="s">
        <v>30372</v>
      </c>
      <c r="AC4626" s="2">
        <v>-0.26157388714969998</v>
      </c>
      <c r="AD4626" s="2"/>
      <c r="AE4626" s="2">
        <v>8.0599789443504405E-2</v>
      </c>
      <c r="AF4626" s="2">
        <v>825.05134300185296</v>
      </c>
      <c r="AG4626" s="2">
        <v>496.16259018451899</v>
      </c>
      <c r="AH4626" s="5">
        <v>1.6628648739821801</v>
      </c>
      <c r="AI4626" s="5">
        <v>0.73367093858529997</v>
      </c>
      <c r="AJ4626" s="5" t="s">
        <v>139</v>
      </c>
      <c r="AK4626" s="2">
        <v>0.12751625939275099</v>
      </c>
      <c r="AL4626" s="2">
        <v>0.44626309510015799</v>
      </c>
      <c r="AM4626" s="2">
        <v>975.83078164516405</v>
      </c>
      <c r="AN4626" s="2">
        <v>515.19097537532298</v>
      </c>
      <c r="AO4626" s="2">
        <v>559.77747357218198</v>
      </c>
      <c r="AP4626" s="2">
        <v>1733.95346272812</v>
      </c>
      <c r="AQ4626" s="2">
        <v>679.91264900460806</v>
      </c>
      <c r="AR4626" s="2">
        <v>485.642715685719</v>
      </c>
      <c r="AS4626" s="2">
        <v>586.112513226121</v>
      </c>
      <c r="AT4626" s="2">
        <v>527.56766564170402</v>
      </c>
      <c r="AU4626" s="2">
        <v>444.08623596841198</v>
      </c>
      <c r="AV4626" s="2">
        <v>542.64263463349698</v>
      </c>
      <c r="AW4626" s="2">
        <v>400.83682903874097</v>
      </c>
      <c r="AX4626" s="2">
        <v>475.72966259863801</v>
      </c>
    </row>
    <row r="4627" spans="1:50" x14ac:dyDescent="0.25">
      <c r="A4627" s="2" t="s">
        <v>30373</v>
      </c>
      <c r="B4627" s="2">
        <v>325.05681332899201</v>
      </c>
      <c r="C4627" s="2">
        <v>4.5643000000000002</v>
      </c>
      <c r="D4627" s="2" t="s">
        <v>51</v>
      </c>
      <c r="E4627" s="2" t="s">
        <v>30374</v>
      </c>
      <c r="F4627" s="2">
        <v>256608</v>
      </c>
      <c r="G4627" s="3" t="str">
        <f>HYPERLINK("https://cloud.oebiotech.com/#/lm/network/256608", "https://cloud.oebiotech.com/#/lm/network/256608")</f>
        <v>https://cloud.oebiotech.com/#/lm/network/256608</v>
      </c>
      <c r="H4627" s="2" t="s">
        <v>30375</v>
      </c>
      <c r="I4627" s="2"/>
      <c r="J4627" s="2"/>
      <c r="K4627" s="2">
        <v>45359757</v>
      </c>
      <c r="L4627" s="2"/>
      <c r="M4627" s="2"/>
      <c r="N4627" s="2"/>
      <c r="O4627" s="2">
        <v>139431</v>
      </c>
      <c r="P4627" s="2"/>
      <c r="Q4627" s="2"/>
      <c r="R4627" s="2"/>
      <c r="S4627" s="2" t="s">
        <v>30376</v>
      </c>
      <c r="T4627" s="2" t="s">
        <v>30377</v>
      </c>
      <c r="U4627" s="2" t="s">
        <v>540</v>
      </c>
      <c r="V4627" s="2" t="s">
        <v>3291</v>
      </c>
      <c r="W4627" s="2" t="s">
        <v>3292</v>
      </c>
      <c r="X4627" s="2" t="s">
        <v>147</v>
      </c>
      <c r="Y4627" s="2">
        <v>38.200000000000003</v>
      </c>
      <c r="Z4627" s="2">
        <v>0</v>
      </c>
      <c r="AA4627" s="2" t="s">
        <v>218</v>
      </c>
      <c r="AB4627" s="2" t="s">
        <v>30378</v>
      </c>
      <c r="AC4627" s="2">
        <v>1.0988327380531699</v>
      </c>
      <c r="AD4627" s="2"/>
      <c r="AE4627" s="2">
        <v>8.0576348599817896E-2</v>
      </c>
      <c r="AF4627" s="2">
        <v>2392.00848402161</v>
      </c>
      <c r="AG4627" s="2">
        <v>2874.5661492775698</v>
      </c>
      <c r="AH4627" s="4">
        <v>0.83212852298520501</v>
      </c>
      <c r="AI4627" s="4">
        <v>-0.26512172378835402</v>
      </c>
      <c r="AJ4627" s="4" t="s">
        <v>62</v>
      </c>
      <c r="AK4627" s="2">
        <v>0.21198242147251301</v>
      </c>
      <c r="AL4627" s="2">
        <v>0.53706865589344099</v>
      </c>
      <c r="AM4627" s="2">
        <v>2093.9890535961599</v>
      </c>
      <c r="AN4627" s="2">
        <v>2402.0591065487201</v>
      </c>
      <c r="AO4627" s="2">
        <v>3070.02123756642</v>
      </c>
      <c r="AP4627" s="2">
        <v>1738.4443832872701</v>
      </c>
      <c r="AQ4627" s="2">
        <v>2519.2185507531699</v>
      </c>
      <c r="AR4627" s="2">
        <v>2528.3185723779102</v>
      </c>
      <c r="AS4627" s="2">
        <v>3627.0012067305502</v>
      </c>
      <c r="AT4627" s="2">
        <v>3624.35952406569</v>
      </c>
      <c r="AU4627" s="2">
        <v>3361.5330836092598</v>
      </c>
      <c r="AV4627" s="2">
        <v>2151.2797725195001</v>
      </c>
      <c r="AW4627" s="2">
        <v>1903.3559990351</v>
      </c>
      <c r="AX4627" s="2">
        <v>2579.8673097052902</v>
      </c>
    </row>
    <row r="4628" spans="1:50" x14ac:dyDescent="0.25">
      <c r="A4628" s="2" t="s">
        <v>30379</v>
      </c>
      <c r="B4628" s="2">
        <v>295.22770195940097</v>
      </c>
      <c r="C4628" s="2">
        <v>13.2228333333333</v>
      </c>
      <c r="D4628" s="2" t="s">
        <v>51</v>
      </c>
      <c r="E4628" s="2" t="s">
        <v>30380</v>
      </c>
      <c r="F4628" s="2">
        <v>256861</v>
      </c>
      <c r="G4628" s="3" t="str">
        <f>HYPERLINK("https://cloud.oebiotech.com/#/lm/network/256861", "https://cloud.oebiotech.com/#/lm/network/256861")</f>
        <v>https://cloud.oebiotech.com/#/lm/network/256861</v>
      </c>
      <c r="H4628" s="2" t="s">
        <v>30381</v>
      </c>
      <c r="I4628" s="2"/>
      <c r="J4628" s="2"/>
      <c r="K4628" s="2"/>
      <c r="L4628" s="2"/>
      <c r="M4628" s="2"/>
      <c r="N4628" s="2"/>
      <c r="O4628" s="2"/>
      <c r="P4628" s="2"/>
      <c r="Q4628" s="2"/>
      <c r="R4628" s="2"/>
      <c r="S4628" s="2" t="s">
        <v>30382</v>
      </c>
      <c r="T4628" s="2" t="s">
        <v>30383</v>
      </c>
      <c r="U4628" s="2" t="s">
        <v>56</v>
      </c>
      <c r="V4628" s="2" t="s">
        <v>145</v>
      </c>
      <c r="W4628" s="2" t="s">
        <v>203</v>
      </c>
      <c r="X4628" s="2" t="s">
        <v>147</v>
      </c>
      <c r="Y4628" s="2">
        <v>38.1</v>
      </c>
      <c r="Z4628" s="2">
        <v>0</v>
      </c>
      <c r="AA4628" s="2" t="s">
        <v>122</v>
      </c>
      <c r="AB4628" s="2" t="s">
        <v>30384</v>
      </c>
      <c r="AC4628" s="2">
        <v>1.2939403820275801</v>
      </c>
      <c r="AD4628" s="2"/>
      <c r="AE4628" s="2">
        <v>8.05732089978939E-2</v>
      </c>
      <c r="AF4628" s="2">
        <v>3948.81997592589</v>
      </c>
      <c r="AG4628" s="2">
        <v>4291.3178787960396</v>
      </c>
      <c r="AH4628" s="4">
        <v>0.920188177025413</v>
      </c>
      <c r="AI4628" s="4">
        <v>-0.119999174695262</v>
      </c>
      <c r="AJ4628" s="4" t="s">
        <v>62</v>
      </c>
      <c r="AK4628" s="2">
        <v>0.63156449130421799</v>
      </c>
      <c r="AL4628" s="2">
        <v>0.81944950313377996</v>
      </c>
      <c r="AM4628" s="2">
        <v>2585.6529700348301</v>
      </c>
      <c r="AN4628" s="2">
        <v>3723.1605254614401</v>
      </c>
      <c r="AO4628" s="2">
        <v>5166.7154958809297</v>
      </c>
      <c r="AP4628" s="2">
        <v>4562.4923587477097</v>
      </c>
      <c r="AQ4628" s="2">
        <v>4712.2607533442397</v>
      </c>
      <c r="AR4628" s="2">
        <v>2942.6377520861902</v>
      </c>
      <c r="AS4628" s="2">
        <v>2886.6728107015801</v>
      </c>
      <c r="AT4628" s="2">
        <v>4144.2894969716799</v>
      </c>
      <c r="AU4628" s="2">
        <v>3154.1826133888799</v>
      </c>
      <c r="AV4628" s="2">
        <v>4087.8359806435501</v>
      </c>
      <c r="AW4628" s="2">
        <v>4868.7546018039002</v>
      </c>
      <c r="AX4628" s="2">
        <v>6606.1717692666598</v>
      </c>
    </row>
    <row r="4629" spans="1:50" x14ac:dyDescent="0.25">
      <c r="A4629" s="2" t="s">
        <v>30385</v>
      </c>
      <c r="B4629" s="2">
        <v>586.32134586292398</v>
      </c>
      <c r="C4629" s="2">
        <v>4.0250333333333304</v>
      </c>
      <c r="D4629" s="2" t="s">
        <v>51</v>
      </c>
      <c r="E4629" s="2" t="s">
        <v>30386</v>
      </c>
      <c r="F4629" s="2">
        <v>58188</v>
      </c>
      <c r="G4629" s="3" t="str">
        <f>HYPERLINK("https://cloud.oebiotech.com/#/lm/network/58188", "https://cloud.oebiotech.com/#/lm/network/58188")</f>
        <v>https://cloud.oebiotech.com/#/lm/network/58188</v>
      </c>
      <c r="H4629" s="2" t="s">
        <v>30387</v>
      </c>
      <c r="I4629" s="2">
        <v>89704</v>
      </c>
      <c r="J4629" s="2"/>
      <c r="K4629" s="2">
        <v>3729509</v>
      </c>
      <c r="L4629" s="2"/>
      <c r="M4629" s="2"/>
      <c r="N4629" s="2"/>
      <c r="O4629" s="2"/>
      <c r="P4629" s="2"/>
      <c r="Q4629" s="2"/>
      <c r="R4629" s="2" t="s">
        <v>30388</v>
      </c>
      <c r="S4629" s="2" t="s">
        <v>30389</v>
      </c>
      <c r="T4629" s="2" t="s">
        <v>30390</v>
      </c>
      <c r="U4629" s="2" t="s">
        <v>56</v>
      </c>
      <c r="V4629" s="2" t="s">
        <v>283</v>
      </c>
      <c r="W4629" s="2" t="s">
        <v>1338</v>
      </c>
      <c r="X4629" s="2" t="s">
        <v>59</v>
      </c>
      <c r="Y4629" s="2">
        <v>53.8</v>
      </c>
      <c r="Z4629" s="2">
        <v>81</v>
      </c>
      <c r="AA4629" s="2" t="s">
        <v>512</v>
      </c>
      <c r="AB4629" s="2" t="s">
        <v>30391</v>
      </c>
      <c r="AC4629" s="2">
        <v>-1.4814544384385899</v>
      </c>
      <c r="AD4629" s="2"/>
      <c r="AE4629" s="2">
        <v>8.0550502701727603E-2</v>
      </c>
      <c r="AF4629" s="2">
        <v>5454.9935986281698</v>
      </c>
      <c r="AG4629" s="2">
        <v>6065.4088896671701</v>
      </c>
      <c r="AH4629" s="4">
        <v>0.89936122986219602</v>
      </c>
      <c r="AI4629" s="4">
        <v>-0.153027401997992</v>
      </c>
      <c r="AJ4629" s="4" t="s">
        <v>62</v>
      </c>
      <c r="AK4629" s="2">
        <v>0.92364720220384</v>
      </c>
      <c r="AL4629" s="2">
        <v>0.96702918223777301</v>
      </c>
      <c r="AM4629" s="2">
        <v>8207.4680821919392</v>
      </c>
      <c r="AN4629" s="2">
        <v>229.96097873656399</v>
      </c>
      <c r="AO4629" s="2">
        <v>8.559877937157E-6</v>
      </c>
      <c r="AP4629" s="2">
        <v>8.559877937157E-6</v>
      </c>
      <c r="AQ4629" s="2">
        <v>16187.2282927259</v>
      </c>
      <c r="AR4629" s="2">
        <v>8105.3042209948499</v>
      </c>
      <c r="AS4629" s="2">
        <v>8.559877937157E-6</v>
      </c>
      <c r="AT4629" s="2">
        <v>8.559877937157E-6</v>
      </c>
      <c r="AU4629" s="2">
        <v>23.801230069397899</v>
      </c>
      <c r="AV4629" s="2">
        <v>33994.7789309492</v>
      </c>
      <c r="AW4629" s="2">
        <v>8.559877937157E-6</v>
      </c>
      <c r="AX4629" s="2">
        <v>2373.8731513048101</v>
      </c>
    </row>
    <row r="4630" spans="1:50" x14ac:dyDescent="0.25">
      <c r="A4630" s="2" t="s">
        <v>30392</v>
      </c>
      <c r="B4630" s="2">
        <v>313.23852960096201</v>
      </c>
      <c r="C4630" s="2">
        <v>13.3055</v>
      </c>
      <c r="D4630" s="2" t="s">
        <v>51</v>
      </c>
      <c r="E4630" s="2" t="s">
        <v>30393</v>
      </c>
      <c r="F4630" s="2">
        <v>207483</v>
      </c>
      <c r="G4630" s="3" t="str">
        <f>HYPERLINK("https://cloud.oebiotech.com/#/lm/network/207483", "https://cloud.oebiotech.com/#/lm/network/207483")</f>
        <v>https://cloud.oebiotech.com/#/lm/network/207483</v>
      </c>
      <c r="H4630" s="2" t="s">
        <v>30394</v>
      </c>
      <c r="I4630" s="2"/>
      <c r="J4630" s="2"/>
      <c r="K4630" s="2">
        <v>117769</v>
      </c>
      <c r="L4630" s="2"/>
      <c r="M4630" s="2"/>
      <c r="N4630" s="2"/>
      <c r="O4630" s="2"/>
      <c r="P4630" s="2"/>
      <c r="Q4630" s="2"/>
      <c r="R4630" s="2"/>
      <c r="S4630" s="2" t="s">
        <v>30395</v>
      </c>
      <c r="T4630" s="2" t="s">
        <v>30396</v>
      </c>
      <c r="U4630" s="2" t="s">
        <v>56</v>
      </c>
      <c r="V4630" s="2" t="s">
        <v>145</v>
      </c>
      <c r="W4630" s="2" t="s">
        <v>231</v>
      </c>
      <c r="X4630" s="2" t="s">
        <v>83</v>
      </c>
      <c r="Y4630" s="2">
        <v>51.4</v>
      </c>
      <c r="Z4630" s="2">
        <v>0</v>
      </c>
      <c r="AA4630" s="2" t="s">
        <v>218</v>
      </c>
      <c r="AB4630" s="2" t="s">
        <v>20680</v>
      </c>
      <c r="AC4630" s="2">
        <v>0.35962391665322802</v>
      </c>
      <c r="AD4630" s="2"/>
      <c r="AE4630" s="2">
        <v>8.0420877257937007E-2</v>
      </c>
      <c r="AF4630" s="2">
        <v>2441.9886718200601</v>
      </c>
      <c r="AG4630" s="2">
        <v>3607.43574720279</v>
      </c>
      <c r="AH4630" s="4">
        <v>0.67693199351189604</v>
      </c>
      <c r="AI4630" s="4">
        <v>-0.56291719100039295</v>
      </c>
      <c r="AJ4630" s="4" t="s">
        <v>62</v>
      </c>
      <c r="AK4630" s="2">
        <v>0.370049288672129</v>
      </c>
      <c r="AL4630" s="2">
        <v>0.65343886725755396</v>
      </c>
      <c r="AM4630" s="2">
        <v>5788.8727934261296</v>
      </c>
      <c r="AN4630" s="2">
        <v>2229.9869278310098</v>
      </c>
      <c r="AO4630" s="2">
        <v>1595.70838959462</v>
      </c>
      <c r="AP4630" s="2">
        <v>971.87563591914102</v>
      </c>
      <c r="AQ4630" s="2">
        <v>1668.25273303467</v>
      </c>
      <c r="AR4630" s="2">
        <v>2397.2355511147798</v>
      </c>
      <c r="AS4630" s="2">
        <v>1376.8086621432899</v>
      </c>
      <c r="AT4630" s="2">
        <v>1560.7537042108499</v>
      </c>
      <c r="AU4630" s="2">
        <v>8268.4633986217996</v>
      </c>
      <c r="AV4630" s="2">
        <v>2951.9650618232399</v>
      </c>
      <c r="AW4630" s="2">
        <v>4036.4470299284899</v>
      </c>
      <c r="AX4630" s="2">
        <v>3450.1766264890598</v>
      </c>
    </row>
    <row r="4631" spans="1:50" x14ac:dyDescent="0.25">
      <c r="A4631" s="2" t="s">
        <v>30397</v>
      </c>
      <c r="B4631" s="2">
        <v>219.13461284786899</v>
      </c>
      <c r="C4631" s="2">
        <v>1.1703666666666701</v>
      </c>
      <c r="D4631" s="2" t="s">
        <v>51</v>
      </c>
      <c r="E4631" s="2" t="s">
        <v>30398</v>
      </c>
      <c r="F4631" s="2">
        <v>54085</v>
      </c>
      <c r="G4631" s="3" t="str">
        <f>HYPERLINK("https://cloud.oebiotech.com/#/lm/network/54085", "https://cloud.oebiotech.com/#/lm/network/54085")</f>
        <v>https://cloud.oebiotech.com/#/lm/network/54085</v>
      </c>
      <c r="H4631" s="2" t="s">
        <v>30399</v>
      </c>
      <c r="I4631" s="2"/>
      <c r="J4631" s="2"/>
      <c r="K4631" s="2">
        <v>7020901</v>
      </c>
      <c r="L4631" s="2"/>
      <c r="M4631" s="2"/>
      <c r="N4631" s="2"/>
      <c r="O4631" s="2">
        <v>90328</v>
      </c>
      <c r="P4631" s="2"/>
      <c r="Q4631" s="2"/>
      <c r="R4631" s="2" t="s">
        <v>30400</v>
      </c>
      <c r="S4631" s="2" t="s">
        <v>30401</v>
      </c>
      <c r="T4631" s="2" t="s">
        <v>30402</v>
      </c>
      <c r="U4631" s="2" t="s">
        <v>103</v>
      </c>
      <c r="V4631" s="2" t="s">
        <v>104</v>
      </c>
      <c r="W4631" s="2" t="s">
        <v>105</v>
      </c>
      <c r="X4631" s="2" t="s">
        <v>83</v>
      </c>
      <c r="Y4631" s="2">
        <v>46.7</v>
      </c>
      <c r="Z4631" s="2">
        <v>38.200000000000003</v>
      </c>
      <c r="AA4631" s="2" t="s">
        <v>60</v>
      </c>
      <c r="AB4631" s="2" t="s">
        <v>7350</v>
      </c>
      <c r="AC4631" s="2">
        <v>3.11447843136416</v>
      </c>
      <c r="AD4631" s="2"/>
      <c r="AE4631" s="2">
        <v>8.0368521299700596E-2</v>
      </c>
      <c r="AF4631" s="2">
        <v>9623.6576957714005</v>
      </c>
      <c r="AG4631" s="2">
        <v>9542.1713659384495</v>
      </c>
      <c r="AH4631" s="5">
        <v>1.00853960033917</v>
      </c>
      <c r="AI4631" s="5">
        <v>1.2267732529246801E-2</v>
      </c>
      <c r="AJ4631" s="5" t="s">
        <v>139</v>
      </c>
      <c r="AK4631" s="2">
        <v>0.99154219413153899</v>
      </c>
      <c r="AL4631" s="2">
        <v>0.99588573656477897</v>
      </c>
      <c r="AM4631" s="2">
        <v>13820.0312465316</v>
      </c>
      <c r="AN4631" s="2">
        <v>3761.6901109577998</v>
      </c>
      <c r="AO4631" s="2">
        <v>4434.5300020813002</v>
      </c>
      <c r="AP4631" s="2">
        <v>8328.4462791737806</v>
      </c>
      <c r="AQ4631" s="2">
        <v>20807.230810420901</v>
      </c>
      <c r="AR4631" s="2">
        <v>6590.0177254630198</v>
      </c>
      <c r="AS4631" s="2">
        <v>1032.6824720510699</v>
      </c>
      <c r="AT4631" s="2">
        <v>1802.3029091319499</v>
      </c>
      <c r="AU4631" s="2">
        <v>44462.218936866302</v>
      </c>
      <c r="AV4631" s="2">
        <v>2431.7264421079099</v>
      </c>
      <c r="AW4631" s="2">
        <v>4864.7529465355201</v>
      </c>
      <c r="AX4631" s="2">
        <v>2659.3444889379498</v>
      </c>
    </row>
    <row r="4632" spans="1:50" x14ac:dyDescent="0.25">
      <c r="A4632" s="2" t="s">
        <v>30403</v>
      </c>
      <c r="B4632" s="2">
        <v>249.185845085832</v>
      </c>
      <c r="C4632" s="2">
        <v>9.7059333333333306</v>
      </c>
      <c r="D4632" s="2" t="s">
        <v>51</v>
      </c>
      <c r="E4632" s="2" t="s">
        <v>30404</v>
      </c>
      <c r="F4632" s="2">
        <v>212683</v>
      </c>
      <c r="G4632" s="3" t="str">
        <f>HYPERLINK("https://cloud.oebiotech.com/#/lm/network/212683", "https://cloud.oebiotech.com/#/lm/network/212683")</f>
        <v>https://cloud.oebiotech.com/#/lm/network/212683</v>
      </c>
      <c r="H4632" s="2" t="s">
        <v>30405</v>
      </c>
      <c r="I4632" s="2">
        <v>332602</v>
      </c>
      <c r="J4632" s="2"/>
      <c r="K4632" s="2">
        <v>5590</v>
      </c>
      <c r="L4632" s="2" t="s">
        <v>30406</v>
      </c>
      <c r="M4632" s="2"/>
      <c r="N4632" s="2"/>
      <c r="O4632" s="2"/>
      <c r="P4632" s="2"/>
      <c r="Q4632" s="2"/>
      <c r="R4632" s="2"/>
      <c r="S4632" s="2" t="s">
        <v>30407</v>
      </c>
      <c r="T4632" s="2" t="s">
        <v>30408</v>
      </c>
      <c r="U4632" s="2" t="s">
        <v>610</v>
      </c>
      <c r="V4632" s="2" t="s">
        <v>611</v>
      </c>
      <c r="W4632" s="2" t="s">
        <v>2744</v>
      </c>
      <c r="X4632" s="2" t="s">
        <v>83</v>
      </c>
      <c r="Y4632" s="2">
        <v>47.3</v>
      </c>
      <c r="Z4632" s="2">
        <v>0</v>
      </c>
      <c r="AA4632" s="2" t="s">
        <v>163</v>
      </c>
      <c r="AB4632" s="2" t="s">
        <v>6238</v>
      </c>
      <c r="AC4632" s="2">
        <v>-0.63373048318886005</v>
      </c>
      <c r="AD4632" s="2"/>
      <c r="AE4632" s="2">
        <v>8.0294102712764603E-2</v>
      </c>
      <c r="AF4632" s="2">
        <v>2079.48105312691</v>
      </c>
      <c r="AG4632" s="2">
        <v>1489.87331478735</v>
      </c>
      <c r="AH4632" s="5">
        <v>1.39574353905635</v>
      </c>
      <c r="AI4632" s="5">
        <v>0.48103387784995</v>
      </c>
      <c r="AJ4632" s="5" t="s">
        <v>139</v>
      </c>
      <c r="AK4632" s="2">
        <v>0.48942172869648898</v>
      </c>
      <c r="AL4632" s="2">
        <v>0.73154848154225005</v>
      </c>
      <c r="AM4632" s="2">
        <v>595.48525760790199</v>
      </c>
      <c r="AN4632" s="2">
        <v>2141.1192246915698</v>
      </c>
      <c r="AO4632" s="2">
        <v>4897.64939737636</v>
      </c>
      <c r="AP4632" s="2">
        <v>3347.3820326957898</v>
      </c>
      <c r="AQ4632" s="2">
        <v>523.14622546919395</v>
      </c>
      <c r="AR4632" s="2">
        <v>972.10418092065197</v>
      </c>
      <c r="AS4632" s="2">
        <v>1824.3287054990201</v>
      </c>
      <c r="AT4632" s="2">
        <v>806.91292507695198</v>
      </c>
      <c r="AU4632" s="2">
        <v>2863.32888003365</v>
      </c>
      <c r="AV4632" s="2">
        <v>587.32111095129301</v>
      </c>
      <c r="AW4632" s="2">
        <v>545.15850712718304</v>
      </c>
      <c r="AX4632" s="2">
        <v>2312.1897600360098</v>
      </c>
    </row>
    <row r="4633" spans="1:50" x14ac:dyDescent="0.25">
      <c r="A4633" s="2" t="s">
        <v>30409</v>
      </c>
      <c r="B4633" s="2">
        <v>237.070431287139</v>
      </c>
      <c r="C4633" s="2">
        <v>0.59993333333333299</v>
      </c>
      <c r="D4633" s="2" t="s">
        <v>51</v>
      </c>
      <c r="E4633" s="2" t="s">
        <v>30410</v>
      </c>
      <c r="F4633" s="2">
        <v>210004</v>
      </c>
      <c r="G4633" s="3" t="str">
        <f>HYPERLINK("https://cloud.oebiotech.com/#/lm/network/210004", "https://cloud.oebiotech.com/#/lm/network/210004")</f>
        <v>https://cloud.oebiotech.com/#/lm/network/210004</v>
      </c>
      <c r="H4633" s="2" t="s">
        <v>30411</v>
      </c>
      <c r="I4633" s="2"/>
      <c r="J4633" s="2"/>
      <c r="K4633" s="2">
        <v>19901183</v>
      </c>
      <c r="L4633" s="2"/>
      <c r="M4633" s="2"/>
      <c r="N4633" s="2"/>
      <c r="O4633" s="2"/>
      <c r="P4633" s="2"/>
      <c r="Q4633" s="2"/>
      <c r="R4633" s="2"/>
      <c r="S4633" s="2" t="s">
        <v>30412</v>
      </c>
      <c r="T4633" s="2" t="s">
        <v>30413</v>
      </c>
      <c r="U4633" s="2" t="s">
        <v>103</v>
      </c>
      <c r="V4633" s="2" t="s">
        <v>104</v>
      </c>
      <c r="W4633" s="2" t="s">
        <v>105</v>
      </c>
      <c r="X4633" s="2" t="s">
        <v>147</v>
      </c>
      <c r="Y4633" s="2">
        <v>39.4</v>
      </c>
      <c r="Z4633" s="2">
        <v>8.2200000000000006</v>
      </c>
      <c r="AA4633" s="2" t="s">
        <v>156</v>
      </c>
      <c r="AB4633" s="2" t="s">
        <v>30414</v>
      </c>
      <c r="AC4633" s="2">
        <v>4.74754180620657</v>
      </c>
      <c r="AD4633" s="2"/>
      <c r="AE4633" s="2">
        <v>8.0243280507712594E-2</v>
      </c>
      <c r="AF4633" s="2">
        <v>5766.8043946956795</v>
      </c>
      <c r="AG4633" s="2">
        <v>4797.22947901718</v>
      </c>
      <c r="AH4633" s="5">
        <v>1.20211143117488</v>
      </c>
      <c r="AI4633" s="5">
        <v>0.26557063461165697</v>
      </c>
      <c r="AJ4633" s="5" t="s">
        <v>139</v>
      </c>
      <c r="AK4633" s="2">
        <v>0.52090308974787303</v>
      </c>
      <c r="AL4633" s="2">
        <v>0.75192102353561097</v>
      </c>
      <c r="AM4633" s="2">
        <v>2186.0457780285801</v>
      </c>
      <c r="AN4633" s="2">
        <v>5975.85356349211</v>
      </c>
      <c r="AO4633" s="2">
        <v>4215.1779902899398</v>
      </c>
      <c r="AP4633" s="2">
        <v>3907.6504949662999</v>
      </c>
      <c r="AQ4633" s="2">
        <v>10957.5666656989</v>
      </c>
      <c r="AR4633" s="2">
        <v>7358.5318756982497</v>
      </c>
      <c r="AS4633" s="2">
        <v>3302.8903900103101</v>
      </c>
      <c r="AT4633" s="2">
        <v>7508.1078292669799</v>
      </c>
      <c r="AU4633" s="2">
        <v>2876.6085456635101</v>
      </c>
      <c r="AV4633" s="2">
        <v>4093.0578930902002</v>
      </c>
      <c r="AW4633" s="2">
        <v>4889.1808829332003</v>
      </c>
      <c r="AX4633" s="2">
        <v>6113.5313331388897</v>
      </c>
    </row>
    <row r="4634" spans="1:50" x14ac:dyDescent="0.25">
      <c r="A4634" s="2" t="s">
        <v>30415</v>
      </c>
      <c r="B4634" s="2">
        <v>487.02790799673397</v>
      </c>
      <c r="C4634" s="2">
        <v>4.4844999999999997</v>
      </c>
      <c r="D4634" s="2" t="s">
        <v>51</v>
      </c>
      <c r="E4634" s="2" t="s">
        <v>30416</v>
      </c>
      <c r="F4634" s="2">
        <v>256232</v>
      </c>
      <c r="G4634" s="3" t="str">
        <f>HYPERLINK("https://cloud.oebiotech.com/#/lm/network/256232", "https://cloud.oebiotech.com/#/lm/network/256232")</f>
        <v>https://cloud.oebiotech.com/#/lm/network/256232</v>
      </c>
      <c r="H4634" s="2" t="s">
        <v>30417</v>
      </c>
      <c r="I4634" s="2"/>
      <c r="J4634" s="2"/>
      <c r="K4634" s="2">
        <v>67126095</v>
      </c>
      <c r="L4634" s="2"/>
      <c r="M4634" s="2"/>
      <c r="N4634" s="2"/>
      <c r="O4634" s="2"/>
      <c r="P4634" s="2"/>
      <c r="Q4634" s="2"/>
      <c r="R4634" s="2"/>
      <c r="S4634" s="2" t="s">
        <v>30418</v>
      </c>
      <c r="T4634" s="2" t="s">
        <v>30419</v>
      </c>
      <c r="U4634" s="2" t="s">
        <v>540</v>
      </c>
      <c r="V4634" s="2" t="s">
        <v>935</v>
      </c>
      <c r="W4634" s="2" t="s">
        <v>936</v>
      </c>
      <c r="X4634" s="2" t="s">
        <v>83</v>
      </c>
      <c r="Y4634" s="2">
        <v>39.299999999999997</v>
      </c>
      <c r="Z4634" s="2">
        <v>0</v>
      </c>
      <c r="AA4634" s="2" t="s">
        <v>395</v>
      </c>
      <c r="AB4634" s="2" t="s">
        <v>30420</v>
      </c>
      <c r="AC4634" s="2">
        <v>1.2809970647970499</v>
      </c>
      <c r="AD4634" s="2"/>
      <c r="AE4634" s="2">
        <v>8.0198096648121997E-2</v>
      </c>
      <c r="AF4634" s="2">
        <v>6160.2746154563401</v>
      </c>
      <c r="AG4634" s="2">
        <v>4245.0329933306202</v>
      </c>
      <c r="AH4634" s="5">
        <v>1.45117237607688</v>
      </c>
      <c r="AI4634" s="5">
        <v>0.537218898688411</v>
      </c>
      <c r="AJ4634" s="5" t="s">
        <v>139</v>
      </c>
      <c r="AK4634" s="2">
        <v>0.70248491576563599</v>
      </c>
      <c r="AL4634" s="2">
        <v>0.85738289491811004</v>
      </c>
      <c r="AM4634" s="2">
        <v>3669.91363599427</v>
      </c>
      <c r="AN4634" s="2">
        <v>5859.2055886977596</v>
      </c>
      <c r="AO4634" s="2">
        <v>8.559877937157E-6</v>
      </c>
      <c r="AP4634" s="2">
        <v>8.559877937157E-6</v>
      </c>
      <c r="AQ4634" s="2">
        <v>699.35027076102904</v>
      </c>
      <c r="AR4634" s="2">
        <v>26733.1781801652</v>
      </c>
      <c r="AS4634" s="2">
        <v>8.559877937157E-6</v>
      </c>
      <c r="AT4634" s="2">
        <v>8.559877937157E-6</v>
      </c>
      <c r="AU4634" s="2">
        <v>4272.8828299839397</v>
      </c>
      <c r="AV4634" s="2">
        <v>4038.9010836201901</v>
      </c>
      <c r="AW4634" s="2">
        <v>1396.91188697285</v>
      </c>
      <c r="AX4634" s="2">
        <v>15761.502142287</v>
      </c>
    </row>
    <row r="4635" spans="1:50" x14ac:dyDescent="0.25">
      <c r="A4635" s="2" t="s">
        <v>30421</v>
      </c>
      <c r="B4635" s="2">
        <v>389.08891881019798</v>
      </c>
      <c r="C4635" s="2">
        <v>5.6952833333333297</v>
      </c>
      <c r="D4635" s="2" t="s">
        <v>51</v>
      </c>
      <c r="E4635" s="2" t="s">
        <v>30422</v>
      </c>
      <c r="F4635" s="2">
        <v>32635</v>
      </c>
      <c r="G4635" s="3" t="str">
        <f>HYPERLINK("https://cloud.oebiotech.com/#/lm/network/32635", "https://cloud.oebiotech.com/#/lm/network/32635")</f>
        <v>https://cloud.oebiotech.com/#/lm/network/32635</v>
      </c>
      <c r="H4635" s="2"/>
      <c r="I4635" s="2">
        <v>50965</v>
      </c>
      <c r="J4635" s="2" t="s">
        <v>30423</v>
      </c>
      <c r="K4635" s="2">
        <v>14234929</v>
      </c>
      <c r="L4635" s="2"/>
      <c r="M4635" s="2"/>
      <c r="N4635" s="2"/>
      <c r="O4635" s="2"/>
      <c r="P4635" s="2"/>
      <c r="Q4635" s="2"/>
      <c r="R4635" s="2"/>
      <c r="S4635" s="2" t="s">
        <v>30424</v>
      </c>
      <c r="T4635" s="2" t="s">
        <v>30425</v>
      </c>
      <c r="U4635" s="2" t="s">
        <v>540</v>
      </c>
      <c r="V4635" s="2" t="s">
        <v>541</v>
      </c>
      <c r="W4635" s="2" t="s">
        <v>3377</v>
      </c>
      <c r="X4635" s="2" t="s">
        <v>147</v>
      </c>
      <c r="Y4635" s="2">
        <v>36.1</v>
      </c>
      <c r="Z4635" s="2">
        <v>3.21</v>
      </c>
      <c r="AA4635" s="2" t="s">
        <v>218</v>
      </c>
      <c r="AB4635" s="2" t="s">
        <v>30426</v>
      </c>
      <c r="AC4635" s="2">
        <v>3.2348846011443499</v>
      </c>
      <c r="AD4635" s="2"/>
      <c r="AE4635" s="2">
        <v>8.01961016722883E-2</v>
      </c>
      <c r="AF4635" s="2">
        <v>881.20235601460502</v>
      </c>
      <c r="AG4635" s="2">
        <v>1207.6155148958001</v>
      </c>
      <c r="AH4635" s="4">
        <v>0.72970440106563095</v>
      </c>
      <c r="AI4635" s="4">
        <v>-0.45461593977563503</v>
      </c>
      <c r="AJ4635" s="4" t="s">
        <v>62</v>
      </c>
      <c r="AK4635" s="2">
        <v>0.61944131432941096</v>
      </c>
      <c r="AL4635" s="2">
        <v>0.81165815121909402</v>
      </c>
      <c r="AM4635" s="2">
        <v>637.52608617110297</v>
      </c>
      <c r="AN4635" s="2">
        <v>1412.0640222580701</v>
      </c>
      <c r="AO4635" s="2">
        <v>747.45304402672298</v>
      </c>
      <c r="AP4635" s="2">
        <v>802.79004791896</v>
      </c>
      <c r="AQ4635" s="2">
        <v>798.11286293443595</v>
      </c>
      <c r="AR4635" s="2">
        <v>889.26807277834098</v>
      </c>
      <c r="AS4635" s="2">
        <v>4006.4927377889398</v>
      </c>
      <c r="AT4635" s="2">
        <v>280.11107918704499</v>
      </c>
      <c r="AU4635" s="2">
        <v>8.559877937157E-6</v>
      </c>
      <c r="AV4635" s="2">
        <v>1339.08437101404</v>
      </c>
      <c r="AW4635" s="2">
        <v>1620.0048842650399</v>
      </c>
      <c r="AX4635" s="2">
        <v>8.559877937157E-6</v>
      </c>
    </row>
    <row r="4636" spans="1:50" x14ac:dyDescent="0.25">
      <c r="A4636" s="2" t="s">
        <v>30427</v>
      </c>
      <c r="B4636" s="2">
        <v>363.09417388401602</v>
      </c>
      <c r="C4636" s="2">
        <v>5.2022000000000004</v>
      </c>
      <c r="D4636" s="2" t="s">
        <v>51</v>
      </c>
      <c r="E4636" s="2" t="s">
        <v>30428</v>
      </c>
      <c r="F4636" s="2">
        <v>202997</v>
      </c>
      <c r="G4636" s="3" t="str">
        <f>HYPERLINK("https://cloud.oebiotech.com/#/lm/network/202997", "https://cloud.oebiotech.com/#/lm/network/202997")</f>
        <v>https://cloud.oebiotech.com/#/lm/network/202997</v>
      </c>
      <c r="H4636" s="2" t="s">
        <v>30429</v>
      </c>
      <c r="I4636" s="2"/>
      <c r="J4636" s="2"/>
      <c r="K4636" s="2">
        <v>136247468</v>
      </c>
      <c r="L4636" s="2"/>
      <c r="M4636" s="2"/>
      <c r="N4636" s="2"/>
      <c r="O4636" s="2"/>
      <c r="P4636" s="2"/>
      <c r="Q4636" s="2"/>
      <c r="R4636" s="2"/>
      <c r="S4636" s="2" t="s">
        <v>30430</v>
      </c>
      <c r="T4636" s="2" t="s">
        <v>30431</v>
      </c>
      <c r="U4636" s="2" t="s">
        <v>295</v>
      </c>
      <c r="V4636" s="2" t="s">
        <v>30432</v>
      </c>
      <c r="W4636" s="2" t="s">
        <v>240</v>
      </c>
      <c r="X4636" s="2" t="s">
        <v>147</v>
      </c>
      <c r="Y4636" s="2">
        <v>39.200000000000003</v>
      </c>
      <c r="Z4636" s="2">
        <v>0</v>
      </c>
      <c r="AA4636" s="2" t="s">
        <v>122</v>
      </c>
      <c r="AB4636" s="2" t="s">
        <v>30433</v>
      </c>
      <c r="AC4636" s="2">
        <v>-0.58052168416843097</v>
      </c>
      <c r="AD4636" s="2"/>
      <c r="AE4636" s="2">
        <v>8.0121511770832807E-2</v>
      </c>
      <c r="AF4636" s="2">
        <v>2613.1603781478598</v>
      </c>
      <c r="AG4636" s="2">
        <v>3265.73702326799</v>
      </c>
      <c r="AH4636" s="4">
        <v>0.80017477204361698</v>
      </c>
      <c r="AI4636" s="4">
        <v>-0.32161295085932201</v>
      </c>
      <c r="AJ4636" s="4" t="s">
        <v>62</v>
      </c>
      <c r="AK4636" s="2">
        <v>0.66623707463104498</v>
      </c>
      <c r="AL4636" s="2">
        <v>0.83819654843918501</v>
      </c>
      <c r="AM4636" s="2">
        <v>2929.80125999845</v>
      </c>
      <c r="AN4636" s="2">
        <v>4294.1660235427098</v>
      </c>
      <c r="AO4636" s="2">
        <v>1653.16124283669</v>
      </c>
      <c r="AP4636" s="2">
        <v>2324.1523089106099</v>
      </c>
      <c r="AQ4636" s="2">
        <v>2782.5019254573099</v>
      </c>
      <c r="AR4636" s="2">
        <v>1695.17950814142</v>
      </c>
      <c r="AS4636" s="2">
        <v>9935.1601505666604</v>
      </c>
      <c r="AT4636" s="2">
        <v>3765.5789016695899</v>
      </c>
      <c r="AU4636" s="2">
        <v>209.366643210234</v>
      </c>
      <c r="AV4636" s="2">
        <v>2186.52483784779</v>
      </c>
      <c r="AW4636" s="2">
        <v>1579.83126551749</v>
      </c>
      <c r="AX4636" s="2">
        <v>1917.9603407961799</v>
      </c>
    </row>
    <row r="4637" spans="1:50" x14ac:dyDescent="0.25">
      <c r="A4637" s="2" t="s">
        <v>30434</v>
      </c>
      <c r="B4637" s="2">
        <v>391.26200018761199</v>
      </c>
      <c r="C4637" s="2">
        <v>12.708216666666701</v>
      </c>
      <c r="D4637" s="2" t="s">
        <v>51</v>
      </c>
      <c r="E4637" s="2" t="s">
        <v>30435</v>
      </c>
      <c r="F4637" s="2">
        <v>18151</v>
      </c>
      <c r="G4637" s="3" t="str">
        <f>HYPERLINK("https://cloud.oebiotech.com/#/lm/network/18151", "https://cloud.oebiotech.com/#/lm/network/18151")</f>
        <v>https://cloud.oebiotech.com/#/lm/network/18151</v>
      </c>
      <c r="H4637" s="2"/>
      <c r="I4637" s="2"/>
      <c r="J4637" s="2" t="s">
        <v>30436</v>
      </c>
      <c r="K4637" s="2">
        <v>137323909</v>
      </c>
      <c r="L4637" s="2"/>
      <c r="M4637" s="2"/>
      <c r="N4637" s="2"/>
      <c r="O4637" s="2"/>
      <c r="P4637" s="2"/>
      <c r="Q4637" s="2"/>
      <c r="R4637" s="2"/>
      <c r="S4637" s="2" t="s">
        <v>30437</v>
      </c>
      <c r="T4637" s="2" t="s">
        <v>30438</v>
      </c>
      <c r="U4637" s="2" t="s">
        <v>56</v>
      </c>
      <c r="V4637" s="2" t="s">
        <v>57</v>
      </c>
      <c r="W4637" s="2" t="s">
        <v>240</v>
      </c>
      <c r="X4637" s="2" t="s">
        <v>147</v>
      </c>
      <c r="Y4637" s="2">
        <v>36.5</v>
      </c>
      <c r="Z4637" s="2">
        <v>0</v>
      </c>
      <c r="AA4637" s="2" t="s">
        <v>379</v>
      </c>
      <c r="AB4637" s="2" t="s">
        <v>30439</v>
      </c>
      <c r="AC4637" s="2">
        <v>0.28171326768299598</v>
      </c>
      <c r="AD4637" s="2"/>
      <c r="AE4637" s="2">
        <v>8.0102823067387405E-2</v>
      </c>
      <c r="AF4637" s="2">
        <v>4115.7572293570702</v>
      </c>
      <c r="AG4637" s="2">
        <v>5615.2733904466904</v>
      </c>
      <c r="AH4637" s="4">
        <v>0.73295758606504202</v>
      </c>
      <c r="AI4637" s="4">
        <v>-0.44819837830732201</v>
      </c>
      <c r="AJ4637" s="4" t="s">
        <v>62</v>
      </c>
      <c r="AK4637" s="2">
        <v>0.467631030023068</v>
      </c>
      <c r="AL4637" s="2">
        <v>0.71425917809286299</v>
      </c>
      <c r="AM4637" s="2">
        <v>5085.8075713407497</v>
      </c>
      <c r="AN4637" s="2">
        <v>2988.4191275570201</v>
      </c>
      <c r="AO4637" s="2">
        <v>3923.7489875483602</v>
      </c>
      <c r="AP4637" s="2">
        <v>2262.3683773995499</v>
      </c>
      <c r="AQ4637" s="2">
        <v>6782.3952548188199</v>
      </c>
      <c r="AR4637" s="2">
        <v>3651.8040574779302</v>
      </c>
      <c r="AS4637" s="2">
        <v>1564.2186212981201</v>
      </c>
      <c r="AT4637" s="2">
        <v>5847.6452207939501</v>
      </c>
      <c r="AU4637" s="2">
        <v>14327.945585499199</v>
      </c>
      <c r="AV4637" s="2">
        <v>5222.8631293250601</v>
      </c>
      <c r="AW4637" s="2">
        <v>4516.2218534082303</v>
      </c>
      <c r="AX4637" s="2">
        <v>2212.7459323556</v>
      </c>
    </row>
    <row r="4638" spans="1:50" x14ac:dyDescent="0.25">
      <c r="A4638" s="2" t="s">
        <v>30440</v>
      </c>
      <c r="B4638" s="2">
        <v>193.00913475397499</v>
      </c>
      <c r="C4638" s="2">
        <v>1.2111499999999999</v>
      </c>
      <c r="D4638" s="2" t="s">
        <v>51</v>
      </c>
      <c r="E4638" s="2" t="s">
        <v>30441</v>
      </c>
      <c r="F4638" s="2">
        <v>63440</v>
      </c>
      <c r="G4638" s="3" t="str">
        <f>HYPERLINK("https://cloud.oebiotech.com/#/lm/network/63440", "https://cloud.oebiotech.com/#/lm/network/63440")</f>
        <v>https://cloud.oebiotech.com/#/lm/network/63440</v>
      </c>
      <c r="H4638" s="2" t="s">
        <v>30442</v>
      </c>
      <c r="I4638" s="2">
        <v>94762</v>
      </c>
      <c r="J4638" s="2"/>
      <c r="K4638" s="2">
        <v>580407</v>
      </c>
      <c r="L4638" s="2"/>
      <c r="M4638" s="2"/>
      <c r="N4638" s="2"/>
      <c r="O4638" s="2"/>
      <c r="P4638" s="2"/>
      <c r="Q4638" s="2"/>
      <c r="R4638" s="2" t="s">
        <v>30443</v>
      </c>
      <c r="S4638" s="2" t="s">
        <v>30444</v>
      </c>
      <c r="T4638" s="2" t="s">
        <v>30445</v>
      </c>
      <c r="U4638" s="2" t="s">
        <v>331</v>
      </c>
      <c r="V4638" s="2" t="s">
        <v>332</v>
      </c>
      <c r="W4638" s="2" t="s">
        <v>1207</v>
      </c>
      <c r="X4638" s="2" t="s">
        <v>147</v>
      </c>
      <c r="Y4638" s="2">
        <v>38.1</v>
      </c>
      <c r="Z4638" s="2">
        <v>6.98</v>
      </c>
      <c r="AA4638" s="2" t="s">
        <v>395</v>
      </c>
      <c r="AB4638" s="2" t="s">
        <v>28001</v>
      </c>
      <c r="AC4638" s="2">
        <v>4.8085467246962397</v>
      </c>
      <c r="AD4638" s="2"/>
      <c r="AE4638" s="2">
        <v>7.9903068221239701E-2</v>
      </c>
      <c r="AF4638" s="2">
        <v>1931.15771324209</v>
      </c>
      <c r="AG4638" s="2">
        <v>3816.43858548959</v>
      </c>
      <c r="AH4638" s="4">
        <v>0.506010425684434</v>
      </c>
      <c r="AI4638" s="4">
        <v>-0.98276098481307494</v>
      </c>
      <c r="AJ4638" s="4" t="s">
        <v>62</v>
      </c>
      <c r="AK4638" s="2">
        <v>0.59129315913158198</v>
      </c>
      <c r="AL4638" s="2">
        <v>0.79384060507313303</v>
      </c>
      <c r="AM4638" s="2">
        <v>5095.1838687265699</v>
      </c>
      <c r="AN4638" s="2">
        <v>8.559877937157E-6</v>
      </c>
      <c r="AO4638" s="2">
        <v>8.559877937157E-6</v>
      </c>
      <c r="AP4638" s="2">
        <v>4470.6019900256397</v>
      </c>
      <c r="AQ4638" s="2">
        <v>111.161927323794</v>
      </c>
      <c r="AR4638" s="2">
        <v>1909.9984762567599</v>
      </c>
      <c r="AS4638" s="2">
        <v>2506.3696668297498</v>
      </c>
      <c r="AT4638" s="2">
        <v>188.91388738627899</v>
      </c>
      <c r="AU4638" s="2">
        <v>20009.3208214312</v>
      </c>
      <c r="AV4638" s="2">
        <v>82.445347789661099</v>
      </c>
      <c r="AW4638" s="2">
        <v>111.581780940766</v>
      </c>
      <c r="AX4638" s="2">
        <v>8.559877937157E-6</v>
      </c>
    </row>
    <row r="4639" spans="1:50" x14ac:dyDescent="0.25">
      <c r="A4639" s="2" t="s">
        <v>30446</v>
      </c>
      <c r="B4639" s="2">
        <v>461.32662732043798</v>
      </c>
      <c r="C4639" s="2">
        <v>12.6872166666667</v>
      </c>
      <c r="D4639" s="2" t="s">
        <v>51</v>
      </c>
      <c r="E4639" s="2" t="s">
        <v>30447</v>
      </c>
      <c r="F4639" s="2">
        <v>43515</v>
      </c>
      <c r="G4639" s="3" t="str">
        <f>HYPERLINK("https://cloud.oebiotech.com/#/lm/network/43515", "https://cloud.oebiotech.com/#/lm/network/43515")</f>
        <v>https://cloud.oebiotech.com/#/lm/network/43515</v>
      </c>
      <c r="H4639" s="2"/>
      <c r="I4639" s="2">
        <v>57624</v>
      </c>
      <c r="J4639" s="2" t="s">
        <v>30448</v>
      </c>
      <c r="K4639" s="2">
        <v>15942885</v>
      </c>
      <c r="L4639" s="2" t="s">
        <v>30449</v>
      </c>
      <c r="M4639" s="2"/>
      <c r="N4639" s="2"/>
      <c r="O4639" s="2">
        <v>19290</v>
      </c>
      <c r="P4639" s="2"/>
      <c r="Q4639" s="2"/>
      <c r="R4639" s="2"/>
      <c r="S4639" s="2" t="s">
        <v>30450</v>
      </c>
      <c r="T4639" s="2" t="s">
        <v>30451</v>
      </c>
      <c r="U4639" s="2" t="s">
        <v>56</v>
      </c>
      <c r="V4639" s="2" t="s">
        <v>283</v>
      </c>
      <c r="W4639" s="2" t="s">
        <v>1108</v>
      </c>
      <c r="X4639" s="2" t="s">
        <v>83</v>
      </c>
      <c r="Y4639" s="2">
        <v>41.5</v>
      </c>
      <c r="Z4639" s="2">
        <v>0</v>
      </c>
      <c r="AA4639" s="2" t="s">
        <v>218</v>
      </c>
      <c r="AB4639" s="2" t="s">
        <v>12916</v>
      </c>
      <c r="AC4639" s="2">
        <v>-1.4911746600156399</v>
      </c>
      <c r="AD4639" s="2"/>
      <c r="AE4639" s="2">
        <v>7.9845995061269104E-2</v>
      </c>
      <c r="AF4639" s="2">
        <v>3535.20122312796</v>
      </c>
      <c r="AG4639" s="2">
        <v>4291.1381465860304</v>
      </c>
      <c r="AH4639" s="4">
        <v>0.82383766319443996</v>
      </c>
      <c r="AI4639" s="4">
        <v>-0.279568011820572</v>
      </c>
      <c r="AJ4639" s="4" t="s">
        <v>62</v>
      </c>
      <c r="AK4639" s="2">
        <v>0.53072518204092201</v>
      </c>
      <c r="AL4639" s="2">
        <v>0.75833705623970704</v>
      </c>
      <c r="AM4639" s="2">
        <v>2434.5337525138102</v>
      </c>
      <c r="AN4639" s="2">
        <v>3351.5150700321601</v>
      </c>
      <c r="AO4639" s="2">
        <v>4070.01194087966</v>
      </c>
      <c r="AP4639" s="2">
        <v>5598.0029621321701</v>
      </c>
      <c r="AQ4639" s="2">
        <v>3987.4226797882702</v>
      </c>
      <c r="AR4639" s="2">
        <v>1769.72093342166</v>
      </c>
      <c r="AS4639" s="2">
        <v>3215.2105497642201</v>
      </c>
      <c r="AT4639" s="2">
        <v>4695.16487684407</v>
      </c>
      <c r="AU4639" s="2">
        <v>7839.2323422259196</v>
      </c>
      <c r="AV4639" s="2">
        <v>490.84221745965499</v>
      </c>
      <c r="AW4639" s="2">
        <v>5929.2923483749801</v>
      </c>
      <c r="AX4639" s="2">
        <v>3577.0865448473201</v>
      </c>
    </row>
    <row r="4640" spans="1:50" x14ac:dyDescent="0.25">
      <c r="A4640" s="2" t="s">
        <v>30452</v>
      </c>
      <c r="B4640" s="2">
        <v>257.22729077001901</v>
      </c>
      <c r="C4640" s="2">
        <v>7.2197666666666702</v>
      </c>
      <c r="D4640" s="2" t="s">
        <v>51</v>
      </c>
      <c r="E4640" s="2" t="s">
        <v>30453</v>
      </c>
      <c r="F4640" s="2">
        <v>202294</v>
      </c>
      <c r="G4640" s="3" t="str">
        <f>HYPERLINK("https://cloud.oebiotech.com/#/lm/network/202294", "https://cloud.oebiotech.com/#/lm/network/202294")</f>
        <v>https://cloud.oebiotech.com/#/lm/network/202294</v>
      </c>
      <c r="H4640" s="2" t="s">
        <v>30454</v>
      </c>
      <c r="I4640" s="2">
        <v>41837</v>
      </c>
      <c r="J4640" s="2"/>
      <c r="K4640" s="2">
        <v>556492</v>
      </c>
      <c r="L4640" s="2"/>
      <c r="M4640" s="2"/>
      <c r="N4640" s="2"/>
      <c r="O4640" s="2"/>
      <c r="P4640" s="2"/>
      <c r="Q4640" s="2"/>
      <c r="R4640" s="2" t="s">
        <v>30455</v>
      </c>
      <c r="S4640" s="2" t="s">
        <v>30456</v>
      </c>
      <c r="T4640" s="2" t="s">
        <v>30457</v>
      </c>
      <c r="U4640" s="2" t="s">
        <v>56</v>
      </c>
      <c r="V4640" s="2" t="s">
        <v>283</v>
      </c>
      <c r="W4640" s="2" t="s">
        <v>284</v>
      </c>
      <c r="X4640" s="2" t="s">
        <v>147</v>
      </c>
      <c r="Y4640" s="2">
        <v>40.6</v>
      </c>
      <c r="Z4640" s="2">
        <v>12.4</v>
      </c>
      <c r="AA4640" s="2" t="s">
        <v>156</v>
      </c>
      <c r="AB4640" s="2" t="s">
        <v>30458</v>
      </c>
      <c r="AC4640" s="2">
        <v>3.33092467189064</v>
      </c>
      <c r="AD4640" s="2"/>
      <c r="AE4640" s="2">
        <v>7.9780420826047194E-2</v>
      </c>
      <c r="AF4640" s="2">
        <v>2556.61763515849</v>
      </c>
      <c r="AG4640" s="2">
        <v>3192.22260820783</v>
      </c>
      <c r="AH4640" s="4">
        <v>0.80088952085763698</v>
      </c>
      <c r="AI4640" s="4">
        <v>-0.32032485188348397</v>
      </c>
      <c r="AJ4640" s="4" t="s">
        <v>62</v>
      </c>
      <c r="AK4640" s="2">
        <v>0.56368614968199504</v>
      </c>
      <c r="AL4640" s="2">
        <v>0.78088127829314202</v>
      </c>
      <c r="AM4640" s="2">
        <v>1480.5601310223401</v>
      </c>
      <c r="AN4640" s="2">
        <v>3469.3048813604801</v>
      </c>
      <c r="AO4640" s="2">
        <v>1461.13319513901</v>
      </c>
      <c r="AP4640" s="2">
        <v>1423.4363427017499</v>
      </c>
      <c r="AQ4640" s="2">
        <v>1273.49335688168</v>
      </c>
      <c r="AR4640" s="2">
        <v>6231.7779038456601</v>
      </c>
      <c r="AS4640" s="2">
        <v>2192.6023652231102</v>
      </c>
      <c r="AT4640" s="2">
        <v>5554.9387412005899</v>
      </c>
      <c r="AU4640" s="2">
        <v>2252.0883465837601</v>
      </c>
      <c r="AV4640" s="2">
        <v>3931.8664164636798</v>
      </c>
      <c r="AW4640" s="2">
        <v>4294.9864784882302</v>
      </c>
      <c r="AX4640" s="2">
        <v>926.853301287627</v>
      </c>
    </row>
    <row r="4641" spans="1:50" x14ac:dyDescent="0.25">
      <c r="A4641" s="2" t="s">
        <v>30459</v>
      </c>
      <c r="B4641" s="2">
        <v>303.02375340931599</v>
      </c>
      <c r="C4641" s="2">
        <v>5.0034000000000001</v>
      </c>
      <c r="D4641" s="2" t="s">
        <v>51</v>
      </c>
      <c r="E4641" s="2" t="s">
        <v>30460</v>
      </c>
      <c r="F4641" s="2">
        <v>53272</v>
      </c>
      <c r="G4641" s="3" t="str">
        <f>HYPERLINK("https://cloud.oebiotech.com/#/lm/network/53272", "https://cloud.oebiotech.com/#/lm/network/53272")</f>
        <v>https://cloud.oebiotech.com/#/lm/network/53272</v>
      </c>
      <c r="H4641" s="2" t="s">
        <v>30461</v>
      </c>
      <c r="I4641" s="2">
        <v>503</v>
      </c>
      <c r="J4641" s="2"/>
      <c r="K4641" s="2">
        <v>667490</v>
      </c>
      <c r="L4641" s="2" t="s">
        <v>30462</v>
      </c>
      <c r="M4641" s="2"/>
      <c r="N4641" s="2"/>
      <c r="O4641" s="2">
        <v>2208</v>
      </c>
      <c r="P4641" s="2" t="s">
        <v>30463</v>
      </c>
      <c r="Q4641" s="2" t="s">
        <v>30464</v>
      </c>
      <c r="R4641" s="2" t="s">
        <v>30465</v>
      </c>
      <c r="S4641" s="2" t="s">
        <v>30466</v>
      </c>
      <c r="T4641" s="2" t="s">
        <v>30467</v>
      </c>
      <c r="U4641" s="2" t="s">
        <v>266</v>
      </c>
      <c r="V4641" s="2" t="s">
        <v>2772</v>
      </c>
      <c r="W4641" s="2" t="s">
        <v>2773</v>
      </c>
      <c r="X4641" s="2" t="s">
        <v>147</v>
      </c>
      <c r="Y4641" s="2">
        <v>37.5</v>
      </c>
      <c r="Z4641" s="2">
        <v>0</v>
      </c>
      <c r="AA4641" s="2" t="s">
        <v>478</v>
      </c>
      <c r="AB4641" s="2" t="s">
        <v>30468</v>
      </c>
      <c r="AC4641" s="2">
        <v>-1.0013890329003501</v>
      </c>
      <c r="AD4641" s="2"/>
      <c r="AE4641" s="2">
        <v>7.9767836611571996E-2</v>
      </c>
      <c r="AF4641" s="2">
        <v>875.90695175369603</v>
      </c>
      <c r="AG4641" s="2">
        <v>1296.1356987665599</v>
      </c>
      <c r="AH4641" s="4">
        <v>0.67578337097514796</v>
      </c>
      <c r="AI4641" s="4">
        <v>-0.565367244395791</v>
      </c>
      <c r="AJ4641" s="4" t="s">
        <v>62</v>
      </c>
      <c r="AK4641" s="2">
        <v>0.28298422801550699</v>
      </c>
      <c r="AL4641" s="2">
        <v>0.60000138164408201</v>
      </c>
      <c r="AM4641" s="2">
        <v>582.488641885672</v>
      </c>
      <c r="AN4641" s="2">
        <v>1085.00934988571</v>
      </c>
      <c r="AO4641" s="2">
        <v>999.29171760007796</v>
      </c>
      <c r="AP4641" s="2">
        <v>841.602322091769</v>
      </c>
      <c r="AQ4641" s="2">
        <v>678.25980118448604</v>
      </c>
      <c r="AR4641" s="2">
        <v>1068.78987787446</v>
      </c>
      <c r="AS4641" s="2">
        <v>994.45252813013803</v>
      </c>
      <c r="AT4641" s="2">
        <v>633.09994062893998</v>
      </c>
      <c r="AU4641" s="2">
        <v>3048.47692588882</v>
      </c>
      <c r="AV4641" s="2">
        <v>1259.7054506049301</v>
      </c>
      <c r="AW4641" s="2">
        <v>982.35611344439496</v>
      </c>
      <c r="AX4641" s="2">
        <v>858.72323390214001</v>
      </c>
    </row>
    <row r="4642" spans="1:50" x14ac:dyDescent="0.25">
      <c r="A4642" s="2" t="s">
        <v>30469</v>
      </c>
      <c r="B4642" s="2">
        <v>278.08563797742198</v>
      </c>
      <c r="C4642" s="2">
        <v>7.7167000000000003</v>
      </c>
      <c r="D4642" s="2" t="s">
        <v>51</v>
      </c>
      <c r="E4642" s="2" t="s">
        <v>30470</v>
      </c>
      <c r="F4642" s="2">
        <v>211374</v>
      </c>
      <c r="G4642" s="3" t="str">
        <f>HYPERLINK("https://cloud.oebiotech.com/#/lm/network/211374", "https://cloud.oebiotech.com/#/lm/network/211374")</f>
        <v>https://cloud.oebiotech.com/#/lm/network/211374</v>
      </c>
      <c r="H4642" s="2" t="s">
        <v>30471</v>
      </c>
      <c r="I4642" s="2"/>
      <c r="J4642" s="2"/>
      <c r="K4642" s="2">
        <v>57239676</v>
      </c>
      <c r="L4642" s="2"/>
      <c r="M4642" s="2"/>
      <c r="N4642" s="2"/>
      <c r="O4642" s="2"/>
      <c r="P4642" s="2"/>
      <c r="Q4642" s="2"/>
      <c r="R4642" s="2"/>
      <c r="S4642" s="2" t="s">
        <v>30472</v>
      </c>
      <c r="T4642" s="2" t="s">
        <v>30473</v>
      </c>
      <c r="U4642" s="2" t="s">
        <v>331</v>
      </c>
      <c r="V4642" s="2" t="s">
        <v>332</v>
      </c>
      <c r="W4642" s="2" t="s">
        <v>1207</v>
      </c>
      <c r="X4642" s="2" t="s">
        <v>83</v>
      </c>
      <c r="Y4642" s="2">
        <v>48.4</v>
      </c>
      <c r="Z4642" s="2">
        <v>0</v>
      </c>
      <c r="AA4642" s="2" t="s">
        <v>218</v>
      </c>
      <c r="AB4642" s="2" t="s">
        <v>30474</v>
      </c>
      <c r="AC4642" s="2">
        <v>8.6340321194831196E-6</v>
      </c>
      <c r="AD4642" s="2"/>
      <c r="AE4642" s="2">
        <v>7.9687050659774994E-2</v>
      </c>
      <c r="AF4642" s="2">
        <v>474.45401426324798</v>
      </c>
      <c r="AG4642" s="2">
        <v>884.35625835229905</v>
      </c>
      <c r="AH4642" s="4">
        <v>0.53649647388399102</v>
      </c>
      <c r="AI4642" s="4">
        <v>-0.89835940596856001</v>
      </c>
      <c r="AJ4642" s="4" t="s">
        <v>62</v>
      </c>
      <c r="AK4642" s="2">
        <v>0.32461995282796802</v>
      </c>
      <c r="AL4642" s="2">
        <v>0.62992073899545697</v>
      </c>
      <c r="AM4642" s="2">
        <v>583.26403113082097</v>
      </c>
      <c r="AN4642" s="2">
        <v>8.559877937157E-6</v>
      </c>
      <c r="AO4642" s="2">
        <v>652.45609862205094</v>
      </c>
      <c r="AP4642" s="2">
        <v>8.559877937157E-6</v>
      </c>
      <c r="AQ4642" s="2">
        <v>134.623908067613</v>
      </c>
      <c r="AR4642" s="2">
        <v>1476.38003063925</v>
      </c>
      <c r="AS4642" s="2">
        <v>1313.8490132382001</v>
      </c>
      <c r="AT4642" s="2">
        <v>8.559877937157E-6</v>
      </c>
      <c r="AU4642" s="2">
        <v>2195.41334985292</v>
      </c>
      <c r="AV4642" s="2">
        <v>280.63027363581699</v>
      </c>
      <c r="AW4642" s="2">
        <v>727.92357407383804</v>
      </c>
      <c r="AX4642" s="2">
        <v>788.32133075314005</v>
      </c>
    </row>
    <row r="4643" spans="1:50" x14ac:dyDescent="0.25">
      <c r="A4643" s="2" t="s">
        <v>30475</v>
      </c>
      <c r="B4643" s="2">
        <v>325.27480794793098</v>
      </c>
      <c r="C4643" s="2">
        <v>13.014433333333301</v>
      </c>
      <c r="D4643" s="2" t="s">
        <v>51</v>
      </c>
      <c r="E4643" s="2" t="s">
        <v>30476</v>
      </c>
      <c r="F4643" s="2">
        <v>10432</v>
      </c>
      <c r="G4643" s="3" t="str">
        <f>HYPERLINK("https://cloud.oebiotech.com/#/lm/network/10432", "https://cloud.oebiotech.com/#/lm/network/10432")</f>
        <v>https://cloud.oebiotech.com/#/lm/network/10432</v>
      </c>
      <c r="H4643" s="2"/>
      <c r="I4643" s="2">
        <v>4248</v>
      </c>
      <c r="J4643" s="2" t="s">
        <v>30477</v>
      </c>
      <c r="K4643" s="2">
        <v>107036</v>
      </c>
      <c r="L4643" s="2"/>
      <c r="M4643" s="2"/>
      <c r="N4643" s="2"/>
      <c r="O4643" s="2">
        <v>144339</v>
      </c>
      <c r="P4643" s="2"/>
      <c r="Q4643" s="2"/>
      <c r="R4643" s="2" t="s">
        <v>30478</v>
      </c>
      <c r="S4643" s="2" t="s">
        <v>30479</v>
      </c>
      <c r="T4643" s="2" t="s">
        <v>30480</v>
      </c>
      <c r="U4643" s="2" t="s">
        <v>56</v>
      </c>
      <c r="V4643" s="2" t="s">
        <v>3215</v>
      </c>
      <c r="W4643" s="2" t="s">
        <v>4174</v>
      </c>
      <c r="X4643" s="2" t="s">
        <v>83</v>
      </c>
      <c r="Y4643" s="2">
        <v>49.8</v>
      </c>
      <c r="Z4643" s="2">
        <v>0</v>
      </c>
      <c r="AA4643" s="2" t="s">
        <v>379</v>
      </c>
      <c r="AB4643" s="2" t="s">
        <v>5195</v>
      </c>
      <c r="AC4643" s="2">
        <v>-3.1058195288971101E-2</v>
      </c>
      <c r="AD4643" s="2"/>
      <c r="AE4643" s="2">
        <v>7.9672618635311901E-2</v>
      </c>
      <c r="AF4643" s="2">
        <v>1429.0370824169199</v>
      </c>
      <c r="AG4643" s="2">
        <v>1113.2889656187799</v>
      </c>
      <c r="AH4643" s="5">
        <v>1.2836173954375301</v>
      </c>
      <c r="AI4643" s="5">
        <v>0.36021524610459699</v>
      </c>
      <c r="AJ4643" s="5" t="s">
        <v>139</v>
      </c>
      <c r="AK4643" s="2">
        <v>0.263223219435268</v>
      </c>
      <c r="AL4643" s="2">
        <v>0.58557148379005897</v>
      </c>
      <c r="AM4643" s="2">
        <v>1996.6668688459699</v>
      </c>
      <c r="AN4643" s="2">
        <v>968.81930248121603</v>
      </c>
      <c r="AO4643" s="2">
        <v>779.86720875627998</v>
      </c>
      <c r="AP4643" s="2">
        <v>2188.6541822385002</v>
      </c>
      <c r="AQ4643" s="2">
        <v>1289.59773987482</v>
      </c>
      <c r="AR4643" s="2">
        <v>1350.61719230474</v>
      </c>
      <c r="AS4643" s="2">
        <v>1074.79573144656</v>
      </c>
      <c r="AT4643" s="2">
        <v>875.54567415770896</v>
      </c>
      <c r="AU4643" s="2">
        <v>1733.19097221526</v>
      </c>
      <c r="AV4643" s="2">
        <v>756.19286532548904</v>
      </c>
      <c r="AW4643" s="2">
        <v>1129.6793510242301</v>
      </c>
      <c r="AX4643" s="2">
        <v>1110.3291995434399</v>
      </c>
    </row>
    <row r="4644" spans="1:50" x14ac:dyDescent="0.25">
      <c r="A4644" s="2" t="s">
        <v>30481</v>
      </c>
      <c r="B4644" s="2">
        <v>801.40113164891397</v>
      </c>
      <c r="C4644" s="2">
        <v>4.3824333333333296</v>
      </c>
      <c r="D4644" s="2" t="s">
        <v>51</v>
      </c>
      <c r="E4644" s="2" t="s">
        <v>30482</v>
      </c>
      <c r="F4644" s="2">
        <v>62854</v>
      </c>
      <c r="G4644" s="3" t="str">
        <f>HYPERLINK("https://cloud.oebiotech.com/#/lm/network/62854", "https://cloud.oebiotech.com/#/lm/network/62854")</f>
        <v>https://cloud.oebiotech.com/#/lm/network/62854</v>
      </c>
      <c r="H4644" s="2" t="s">
        <v>30483</v>
      </c>
      <c r="I4644" s="2">
        <v>94149</v>
      </c>
      <c r="J4644" s="2"/>
      <c r="K4644" s="2">
        <v>192588</v>
      </c>
      <c r="L4644" s="2"/>
      <c r="M4644" s="2"/>
      <c r="N4644" s="2"/>
      <c r="O4644" s="2"/>
      <c r="P4644" s="2"/>
      <c r="Q4644" s="2"/>
      <c r="R4644" s="2"/>
      <c r="S4644" s="2" t="s">
        <v>30484</v>
      </c>
      <c r="T4644" s="2" t="s">
        <v>30485</v>
      </c>
      <c r="U4644" s="2" t="s">
        <v>56</v>
      </c>
      <c r="V4644" s="2" t="s">
        <v>177</v>
      </c>
      <c r="W4644" s="2" t="s">
        <v>394</v>
      </c>
      <c r="X4644" s="2" t="s">
        <v>147</v>
      </c>
      <c r="Y4644" s="2">
        <v>37.1</v>
      </c>
      <c r="Z4644" s="2">
        <v>0</v>
      </c>
      <c r="AA4644" s="2" t="s">
        <v>95</v>
      </c>
      <c r="AB4644" s="2" t="s">
        <v>30486</v>
      </c>
      <c r="AC4644" s="2">
        <v>-2.6280274754201902</v>
      </c>
      <c r="AD4644" s="2"/>
      <c r="AE4644" s="2">
        <v>7.9668405007354198E-2</v>
      </c>
      <c r="AF4644" s="2">
        <v>6519.2508319177296</v>
      </c>
      <c r="AG4644" s="2">
        <v>7103.2447150287098</v>
      </c>
      <c r="AH4644" s="4">
        <v>0.91778491287574604</v>
      </c>
      <c r="AI4644" s="4">
        <v>-0.123772003868539</v>
      </c>
      <c r="AJ4644" s="4" t="s">
        <v>62</v>
      </c>
      <c r="AK4644" s="2">
        <v>0.854990318248115</v>
      </c>
      <c r="AL4644" s="2">
        <v>0.93591158472213798</v>
      </c>
      <c r="AM4644" s="2">
        <v>3977.5022585639699</v>
      </c>
      <c r="AN4644" s="2">
        <v>5172.9265974878899</v>
      </c>
      <c r="AO4644" s="2">
        <v>10398.041208672301</v>
      </c>
      <c r="AP4644" s="2">
        <v>3621.83620842036</v>
      </c>
      <c r="AQ4644" s="2">
        <v>7673.06266831832</v>
      </c>
      <c r="AR4644" s="2">
        <v>8272.1360500435494</v>
      </c>
      <c r="AS4644" s="2">
        <v>8.559877937157E-6</v>
      </c>
      <c r="AT4644" s="2">
        <v>1570.7882727245801</v>
      </c>
      <c r="AU4644" s="2">
        <v>7420.7019091040702</v>
      </c>
      <c r="AV4644" s="2">
        <v>20227.180269923902</v>
      </c>
      <c r="AW4644" s="2">
        <v>5968.9885775950397</v>
      </c>
      <c r="AX4644" s="2">
        <v>7431.8092522648103</v>
      </c>
    </row>
    <row r="4645" spans="1:50" x14ac:dyDescent="0.25">
      <c r="A4645" s="2" t="s">
        <v>30487</v>
      </c>
      <c r="B4645" s="2">
        <v>216.01520639423401</v>
      </c>
      <c r="C4645" s="2">
        <v>0.63544999999999996</v>
      </c>
      <c r="D4645" s="2" t="s">
        <v>51</v>
      </c>
      <c r="E4645" s="2" t="s">
        <v>30488</v>
      </c>
      <c r="F4645" s="2">
        <v>64695</v>
      </c>
      <c r="G4645" s="3" t="str">
        <f>HYPERLINK("https://cloud.oebiotech.com/#/lm/network/64695", "https://cloud.oebiotech.com/#/lm/network/64695")</f>
        <v>https://cloud.oebiotech.com/#/lm/network/64695</v>
      </c>
      <c r="H4645" s="2" t="s">
        <v>30489</v>
      </c>
      <c r="I4645" s="2">
        <v>95994</v>
      </c>
      <c r="J4645" s="2"/>
      <c r="K4645" s="2">
        <v>71214</v>
      </c>
      <c r="L4645" s="2"/>
      <c r="M4645" s="2"/>
      <c r="N4645" s="2"/>
      <c r="O4645" s="2"/>
      <c r="P4645" s="2"/>
      <c r="Q4645" s="2"/>
      <c r="R4645" s="2"/>
      <c r="S4645" s="2" t="s">
        <v>30490</v>
      </c>
      <c r="T4645" s="2" t="s">
        <v>30491</v>
      </c>
      <c r="U4645" s="2" t="s">
        <v>103</v>
      </c>
      <c r="V4645" s="2" t="s">
        <v>104</v>
      </c>
      <c r="W4645" s="2" t="s">
        <v>105</v>
      </c>
      <c r="X4645" s="2" t="s">
        <v>147</v>
      </c>
      <c r="Y4645" s="2">
        <v>37.9</v>
      </c>
      <c r="Z4645" s="2">
        <v>0</v>
      </c>
      <c r="AA4645" s="2" t="s">
        <v>95</v>
      </c>
      <c r="AB4645" s="2" t="s">
        <v>30492</v>
      </c>
      <c r="AC4645" s="2">
        <v>3.8509731935848701</v>
      </c>
      <c r="AD4645" s="2"/>
      <c r="AE4645" s="2">
        <v>7.94753867256804E-2</v>
      </c>
      <c r="AF4645" s="2">
        <v>2489.9215631181701</v>
      </c>
      <c r="AG4645" s="2">
        <v>1933.1294548834401</v>
      </c>
      <c r="AH4645" s="5">
        <v>1.2880262916837599</v>
      </c>
      <c r="AI4645" s="5">
        <v>0.36516204259433599</v>
      </c>
      <c r="AJ4645" s="5" t="s">
        <v>139</v>
      </c>
      <c r="AK4645" s="2">
        <v>0.50644166519078604</v>
      </c>
      <c r="AL4645" s="2">
        <v>0.74196312845079004</v>
      </c>
      <c r="AM4645" s="2">
        <v>3655.6358331995798</v>
      </c>
      <c r="AN4645" s="2">
        <v>2235.8267423032498</v>
      </c>
      <c r="AO4645" s="2">
        <v>1280.4245814127701</v>
      </c>
      <c r="AP4645" s="2">
        <v>4685.2431361573299</v>
      </c>
      <c r="AQ4645" s="2">
        <v>2407.00580755695</v>
      </c>
      <c r="AR4645" s="2">
        <v>675.39327807911798</v>
      </c>
      <c r="AS4645" s="2">
        <v>503.65694965229397</v>
      </c>
      <c r="AT4645" s="2">
        <v>2783.93461161293</v>
      </c>
      <c r="AU4645" s="2">
        <v>1140.14913621748</v>
      </c>
      <c r="AV4645" s="2">
        <v>3296.3217274906301</v>
      </c>
      <c r="AW4645" s="2">
        <v>3227.13272754322</v>
      </c>
      <c r="AX4645" s="2">
        <v>647.58157678408497</v>
      </c>
    </row>
    <row r="4646" spans="1:50" x14ac:dyDescent="0.25">
      <c r="A4646" s="2" t="s">
        <v>30493</v>
      </c>
      <c r="B4646" s="2">
        <v>126.091846894684</v>
      </c>
      <c r="C4646" s="2">
        <v>4.6064833333333297</v>
      </c>
      <c r="D4646" s="2" t="s">
        <v>51</v>
      </c>
      <c r="E4646" s="2" t="s">
        <v>30494</v>
      </c>
      <c r="F4646" s="2">
        <v>256692</v>
      </c>
      <c r="G4646" s="3" t="str">
        <f>HYPERLINK("https://cloud.oebiotech.com/#/lm/network/256692", "https://cloud.oebiotech.com/#/lm/network/256692")</f>
        <v>https://cloud.oebiotech.com/#/lm/network/256692</v>
      </c>
      <c r="H4646" s="2" t="s">
        <v>30495</v>
      </c>
      <c r="I4646" s="2"/>
      <c r="J4646" s="2"/>
      <c r="K4646" s="2">
        <v>520194</v>
      </c>
      <c r="L4646" s="2"/>
      <c r="M4646" s="2"/>
      <c r="N4646" s="2"/>
      <c r="O4646" s="2">
        <v>59534</v>
      </c>
      <c r="P4646" s="2"/>
      <c r="Q4646" s="2"/>
      <c r="R4646" s="2"/>
      <c r="S4646" s="2" t="s">
        <v>30496</v>
      </c>
      <c r="T4646" s="2" t="s">
        <v>30497</v>
      </c>
      <c r="U4646" s="2" t="s">
        <v>266</v>
      </c>
      <c r="V4646" s="2" t="s">
        <v>2143</v>
      </c>
      <c r="W4646" s="2" t="s">
        <v>6504</v>
      </c>
      <c r="X4646" s="2" t="s">
        <v>83</v>
      </c>
      <c r="Y4646" s="2">
        <v>46.1</v>
      </c>
      <c r="Z4646" s="2">
        <v>0</v>
      </c>
      <c r="AA4646" s="2" t="s">
        <v>259</v>
      </c>
      <c r="AB4646" s="2" t="s">
        <v>30498</v>
      </c>
      <c r="AC4646" s="2">
        <v>4.0491613203084897</v>
      </c>
      <c r="AD4646" s="2"/>
      <c r="AE4646" s="2">
        <v>7.9459232690259701E-2</v>
      </c>
      <c r="AF4646" s="2">
        <v>1906.56977936675</v>
      </c>
      <c r="AG4646" s="2">
        <v>1188.5101701256399</v>
      </c>
      <c r="AH4646" s="5">
        <v>1.6041678290100001</v>
      </c>
      <c r="AI4646" s="5">
        <v>0.68182508531796304</v>
      </c>
      <c r="AJ4646" s="5" t="s">
        <v>139</v>
      </c>
      <c r="AK4646" s="2">
        <v>0.43646168597414198</v>
      </c>
      <c r="AL4646" s="2">
        <v>0.69378126629946002</v>
      </c>
      <c r="AM4646" s="2">
        <v>842.70299673654699</v>
      </c>
      <c r="AN4646" s="2">
        <v>933.26388368779601</v>
      </c>
      <c r="AO4646" s="2">
        <v>801.09655247752903</v>
      </c>
      <c r="AP4646" s="2">
        <v>1084.8927965237899</v>
      </c>
      <c r="AQ4646" s="2">
        <v>6288.8614657095104</v>
      </c>
      <c r="AR4646" s="2">
        <v>1488.60098106534</v>
      </c>
      <c r="AS4646" s="2">
        <v>1200.82183655169</v>
      </c>
      <c r="AT4646" s="2">
        <v>1422.6051682698101</v>
      </c>
      <c r="AU4646" s="2">
        <v>1017.54708714683</v>
      </c>
      <c r="AV4646" s="2">
        <v>987.10001685177804</v>
      </c>
      <c r="AW4646" s="2">
        <v>1414.2876680802101</v>
      </c>
      <c r="AX4646" s="2">
        <v>1088.6992438535301</v>
      </c>
    </row>
    <row r="4647" spans="1:50" x14ac:dyDescent="0.25">
      <c r="A4647" s="2" t="s">
        <v>30499</v>
      </c>
      <c r="B4647" s="2">
        <v>165.03</v>
      </c>
      <c r="C4647" s="2">
        <v>8.3710000000000004</v>
      </c>
      <c r="D4647" s="2" t="s">
        <v>125</v>
      </c>
      <c r="E4647" s="2" t="s">
        <v>30500</v>
      </c>
      <c r="F4647" s="2">
        <v>47679</v>
      </c>
      <c r="G4647" s="3" t="str">
        <f>HYPERLINK("https://cloud.oebiotech.com/#/lm/network/47679", "https://cloud.oebiotech.com/#/lm/network/47679")</f>
        <v>https://cloud.oebiotech.com/#/lm/network/47679</v>
      </c>
      <c r="H4647" s="2" t="s">
        <v>30501</v>
      </c>
      <c r="I4647" s="2">
        <v>4236</v>
      </c>
      <c r="J4647" s="2"/>
      <c r="K4647" s="2">
        <v>2879</v>
      </c>
      <c r="L4647" s="2" t="s">
        <v>30502</v>
      </c>
      <c r="M4647" s="2"/>
      <c r="N4647" s="2"/>
      <c r="O4647" s="2">
        <v>17847</v>
      </c>
      <c r="P4647" s="2"/>
      <c r="Q4647" s="2"/>
      <c r="R4647" s="2" t="s">
        <v>30503</v>
      </c>
      <c r="S4647" s="2" t="s">
        <v>30504</v>
      </c>
      <c r="T4647" s="2" t="s">
        <v>30505</v>
      </c>
      <c r="U4647" s="2" t="s">
        <v>610</v>
      </c>
      <c r="V4647" s="2" t="s">
        <v>895</v>
      </c>
      <c r="W4647" s="2" t="s">
        <v>30506</v>
      </c>
      <c r="X4647" s="2" t="s">
        <v>69</v>
      </c>
      <c r="Y4647" s="2">
        <v>94.2</v>
      </c>
      <c r="Z4647" s="2">
        <v>90.8</v>
      </c>
      <c r="AA4647" s="2"/>
      <c r="AB4647" s="2" t="s">
        <v>30507</v>
      </c>
      <c r="AC4647" s="2"/>
      <c r="AD4647" s="2">
        <v>279979.75103734399</v>
      </c>
      <c r="AE4647" s="2">
        <v>7.9413940214915393E-2</v>
      </c>
      <c r="AF4647" s="2">
        <v>12008.458667688101</v>
      </c>
      <c r="AG4647" s="2">
        <v>14882.1183131204</v>
      </c>
      <c r="AH4647" s="4">
        <v>0.80690520092836004</v>
      </c>
      <c r="AI4647" s="4">
        <v>-0.30952890612308098</v>
      </c>
      <c r="AJ4647" s="4" t="s">
        <v>62</v>
      </c>
      <c r="AK4647" s="2">
        <v>0.68998794282922304</v>
      </c>
      <c r="AL4647" s="2">
        <v>0.85101051895904001</v>
      </c>
      <c r="AM4647" s="2">
        <v>10161.992837223001</v>
      </c>
      <c r="AN4647" s="2">
        <v>8027.9208800008901</v>
      </c>
      <c r="AO4647" s="2">
        <v>8622.8370611388891</v>
      </c>
      <c r="AP4647" s="2">
        <v>2299.8352172700202</v>
      </c>
      <c r="AQ4647" s="2">
        <v>5594.1526564845499</v>
      </c>
      <c r="AR4647" s="2">
        <v>37344.013354011098</v>
      </c>
      <c r="AS4647" s="2">
        <v>2299.8352172700202</v>
      </c>
      <c r="AT4647" s="2">
        <v>6374.0941038044302</v>
      </c>
      <c r="AU4647" s="2">
        <v>29778.961022289499</v>
      </c>
      <c r="AV4647" s="2">
        <v>22857.871687196301</v>
      </c>
      <c r="AW4647" s="2">
        <v>22453.975635171199</v>
      </c>
      <c r="AX4647" s="2">
        <v>5527.9722129911897</v>
      </c>
    </row>
    <row r="4648" spans="1:50" x14ac:dyDescent="0.25">
      <c r="A4648" s="2" t="s">
        <v>30508</v>
      </c>
      <c r="B4648" s="2">
        <v>213.14912339769401</v>
      </c>
      <c r="C4648" s="2">
        <v>9.0288666666666693</v>
      </c>
      <c r="D4648" s="2" t="s">
        <v>51</v>
      </c>
      <c r="E4648" s="2" t="s">
        <v>30509</v>
      </c>
      <c r="F4648" s="2">
        <v>2074</v>
      </c>
      <c r="G4648" s="3" t="str">
        <f>HYPERLINK("https://cloud.oebiotech.com/#/lm/network/2074", "https://cloud.oebiotech.com/#/lm/network/2074")</f>
        <v>https://cloud.oebiotech.com/#/lm/network/2074</v>
      </c>
      <c r="H4648" s="2"/>
      <c r="I4648" s="2">
        <v>35733</v>
      </c>
      <c r="J4648" s="2" t="s">
        <v>30510</v>
      </c>
      <c r="K4648" s="2">
        <v>5282987</v>
      </c>
      <c r="L4648" s="2"/>
      <c r="M4648" s="2"/>
      <c r="N4648" s="2"/>
      <c r="O4648" s="2"/>
      <c r="P4648" s="2"/>
      <c r="Q4648" s="2"/>
      <c r="R4648" s="2"/>
      <c r="S4648" s="2" t="s">
        <v>30511</v>
      </c>
      <c r="T4648" s="2" t="s">
        <v>30512</v>
      </c>
      <c r="U4648" s="2" t="s">
        <v>103</v>
      </c>
      <c r="V4648" s="2" t="s">
        <v>2602</v>
      </c>
      <c r="W4648" s="2" t="s">
        <v>2603</v>
      </c>
      <c r="X4648" s="2" t="s">
        <v>83</v>
      </c>
      <c r="Y4648" s="2">
        <v>42.2</v>
      </c>
      <c r="Z4648" s="2">
        <v>4.1500000000000004</v>
      </c>
      <c r="AA4648" s="2" t="s">
        <v>163</v>
      </c>
      <c r="AB4648" s="2" t="s">
        <v>28417</v>
      </c>
      <c r="AC4648" s="2">
        <v>-2.31014988883702</v>
      </c>
      <c r="AD4648" s="2"/>
      <c r="AE4648" s="2">
        <v>7.9385720621281394E-2</v>
      </c>
      <c r="AF4648" s="2">
        <v>6456.9946326552099</v>
      </c>
      <c r="AG4648" s="2">
        <v>5819.9216405119596</v>
      </c>
      <c r="AH4648" s="5">
        <v>1.10946418723384</v>
      </c>
      <c r="AI4648" s="5">
        <v>0.149863099049999</v>
      </c>
      <c r="AJ4648" s="5" t="s">
        <v>139</v>
      </c>
      <c r="AK4648" s="2">
        <v>0.52379790529464298</v>
      </c>
      <c r="AL4648" s="2">
        <v>0.753042437774049</v>
      </c>
      <c r="AM4648" s="2">
        <v>5866.2907812377998</v>
      </c>
      <c r="AN4648" s="2">
        <v>6630.5522891969204</v>
      </c>
      <c r="AO4648" s="2">
        <v>6691.1204192308596</v>
      </c>
      <c r="AP4648" s="2">
        <v>5626.2649684268199</v>
      </c>
      <c r="AQ4648" s="2">
        <v>5151.1517924792397</v>
      </c>
      <c r="AR4648" s="2">
        <v>8776.5875453596109</v>
      </c>
      <c r="AS4648" s="2">
        <v>3574.2312211783801</v>
      </c>
      <c r="AT4648" s="2">
        <v>6187.8198908343702</v>
      </c>
      <c r="AU4648" s="2">
        <v>5110.0171274200102</v>
      </c>
      <c r="AV4648" s="2">
        <v>5181.6753723354796</v>
      </c>
      <c r="AW4648" s="2">
        <v>9482.1384462797905</v>
      </c>
      <c r="AX4648" s="2">
        <v>5383.6477850237197</v>
      </c>
    </row>
    <row r="4649" spans="1:50" x14ac:dyDescent="0.25">
      <c r="A4649" s="2" t="s">
        <v>30513</v>
      </c>
      <c r="B4649" s="2">
        <v>341.317330816263</v>
      </c>
      <c r="C4649" s="2">
        <v>9.9291999999999998</v>
      </c>
      <c r="D4649" s="2" t="s">
        <v>51</v>
      </c>
      <c r="E4649" s="2" t="s">
        <v>30514</v>
      </c>
      <c r="F4649" s="2">
        <v>9016</v>
      </c>
      <c r="G4649" s="3" t="str">
        <f>HYPERLINK("https://cloud.oebiotech.com/#/lm/network/9016", "https://cloud.oebiotech.com/#/lm/network/9016")</f>
        <v>https://cloud.oebiotech.com/#/lm/network/9016</v>
      </c>
      <c r="H4649" s="2" t="s">
        <v>30515</v>
      </c>
      <c r="I4649" s="2">
        <v>3718</v>
      </c>
      <c r="J4649" s="2" t="s">
        <v>30516</v>
      </c>
      <c r="K4649" s="2">
        <v>5283446</v>
      </c>
      <c r="L4649" s="2"/>
      <c r="M4649" s="2"/>
      <c r="N4649" s="2"/>
      <c r="O4649" s="2">
        <v>64032</v>
      </c>
      <c r="P4649" s="2"/>
      <c r="Q4649" s="2"/>
      <c r="R4649" s="2" t="s">
        <v>30517</v>
      </c>
      <c r="S4649" s="2" t="s">
        <v>30518</v>
      </c>
      <c r="T4649" s="2" t="s">
        <v>30519</v>
      </c>
      <c r="U4649" s="2" t="s">
        <v>119</v>
      </c>
      <c r="V4649" s="2" t="s">
        <v>120</v>
      </c>
      <c r="W4649" s="2" t="s">
        <v>1887</v>
      </c>
      <c r="X4649" s="2" t="s">
        <v>147</v>
      </c>
      <c r="Y4649" s="2">
        <v>46.7</v>
      </c>
      <c r="Z4649" s="2">
        <v>41.8</v>
      </c>
      <c r="AA4649" s="2" t="s">
        <v>512</v>
      </c>
      <c r="AB4649" s="2" t="s">
        <v>30520</v>
      </c>
      <c r="AC4649" s="2">
        <v>3.3279128568623602</v>
      </c>
      <c r="AD4649" s="2"/>
      <c r="AE4649" s="2">
        <v>7.9372471737801195E-2</v>
      </c>
      <c r="AF4649" s="2">
        <v>29271.677157955401</v>
      </c>
      <c r="AG4649" s="2">
        <v>38936.897450297802</v>
      </c>
      <c r="AH4649" s="4">
        <v>0.751772202582913</v>
      </c>
      <c r="AI4649" s="4">
        <v>-0.41163252339735701</v>
      </c>
      <c r="AJ4649" s="4" t="s">
        <v>62</v>
      </c>
      <c r="AK4649" s="2">
        <v>0.80031237126560095</v>
      </c>
      <c r="AL4649" s="2">
        <v>0.90997111228141703</v>
      </c>
      <c r="AM4649" s="2">
        <v>497.02522544748598</v>
      </c>
      <c r="AN4649" s="2">
        <v>324.063122415924</v>
      </c>
      <c r="AO4649" s="2">
        <v>84336.886782660993</v>
      </c>
      <c r="AP4649" s="2">
        <v>354.80490375974301</v>
      </c>
      <c r="AQ4649" s="2">
        <v>88109.278356182898</v>
      </c>
      <c r="AR4649" s="2">
        <v>2008.0045572654401</v>
      </c>
      <c r="AS4649" s="2">
        <v>28801.9740240717</v>
      </c>
      <c r="AT4649" s="2">
        <v>159.54178083769401</v>
      </c>
      <c r="AU4649" s="2">
        <v>200126.83115367999</v>
      </c>
      <c r="AV4649" s="2">
        <v>2115.1498157373098</v>
      </c>
      <c r="AW4649" s="2">
        <v>1596.2791376028399</v>
      </c>
      <c r="AX4649" s="2">
        <v>821.60878985755596</v>
      </c>
    </row>
    <row r="4650" spans="1:50" x14ac:dyDescent="0.25">
      <c r="A4650" s="2" t="s">
        <v>30521</v>
      </c>
      <c r="B4650" s="2">
        <v>371.18976275787401</v>
      </c>
      <c r="C4650" s="2">
        <v>6.5790166666666696</v>
      </c>
      <c r="D4650" s="2" t="s">
        <v>51</v>
      </c>
      <c r="E4650" s="2" t="s">
        <v>30522</v>
      </c>
      <c r="F4650" s="2">
        <v>45106</v>
      </c>
      <c r="G4650" s="3" t="str">
        <f>HYPERLINK("https://cloud.oebiotech.com/#/lm/network/45106", "https://cloud.oebiotech.com/#/lm/network/45106")</f>
        <v>https://cloud.oebiotech.com/#/lm/network/45106</v>
      </c>
      <c r="H4650" s="2"/>
      <c r="I4650" s="2"/>
      <c r="J4650" s="2" t="s">
        <v>30523</v>
      </c>
      <c r="K4650" s="2"/>
      <c r="L4650" s="2"/>
      <c r="M4650" s="2"/>
      <c r="N4650" s="2"/>
      <c r="O4650" s="2"/>
      <c r="P4650" s="2"/>
      <c r="Q4650" s="2"/>
      <c r="R4650" s="2"/>
      <c r="S4650" s="2" t="s">
        <v>30524</v>
      </c>
      <c r="T4650" s="2" t="s">
        <v>30525</v>
      </c>
      <c r="U4650" s="2" t="s">
        <v>56</v>
      </c>
      <c r="V4650" s="2" t="s">
        <v>177</v>
      </c>
      <c r="W4650" s="2" t="s">
        <v>584</v>
      </c>
      <c r="X4650" s="2" t="s">
        <v>83</v>
      </c>
      <c r="Y4650" s="2">
        <v>38.1</v>
      </c>
      <c r="Z4650" s="2">
        <v>0</v>
      </c>
      <c r="AA4650" s="2" t="s">
        <v>163</v>
      </c>
      <c r="AB4650" s="2" t="s">
        <v>3981</v>
      </c>
      <c r="AC4650" s="2">
        <v>9.0415134620960504</v>
      </c>
      <c r="AD4650" s="2"/>
      <c r="AE4650" s="2">
        <v>7.9324703711337194E-2</v>
      </c>
      <c r="AF4650" s="2">
        <v>2182.9763847124</v>
      </c>
      <c r="AG4650" s="2">
        <v>1192.1684033681499</v>
      </c>
      <c r="AH4650" s="5">
        <v>1.8310973336862499</v>
      </c>
      <c r="AI4650" s="5">
        <v>0.872708480973722</v>
      </c>
      <c r="AJ4650" s="5" t="s">
        <v>139</v>
      </c>
      <c r="AK4650" s="2">
        <v>0.34929482710014698</v>
      </c>
      <c r="AL4650" s="2">
        <v>0.64223084189952795</v>
      </c>
      <c r="AM4650" s="2">
        <v>617.65586257749703</v>
      </c>
      <c r="AN4650" s="2">
        <v>722.58395148944396</v>
      </c>
      <c r="AO4650" s="2">
        <v>3940.1455530851099</v>
      </c>
      <c r="AP4650" s="2">
        <v>6280.2371496001697</v>
      </c>
      <c r="AQ4650" s="2">
        <v>954.73379132807202</v>
      </c>
      <c r="AR4650" s="2">
        <v>582.50200019413103</v>
      </c>
      <c r="AS4650" s="2">
        <v>1692.10112223496</v>
      </c>
      <c r="AT4650" s="2">
        <v>797.23491626488396</v>
      </c>
      <c r="AU4650" s="2">
        <v>220.64241242542801</v>
      </c>
      <c r="AV4650" s="2">
        <v>958.20621703397705</v>
      </c>
      <c r="AW4650" s="2">
        <v>1800.6187223796201</v>
      </c>
      <c r="AX4650" s="2">
        <v>1684.20702987001</v>
      </c>
    </row>
    <row r="4651" spans="1:50" x14ac:dyDescent="0.25">
      <c r="A4651" s="2" t="s">
        <v>30526</v>
      </c>
      <c r="B4651" s="2">
        <v>283.26420965412598</v>
      </c>
      <c r="C4651" s="2">
        <v>12.030433333333299</v>
      </c>
      <c r="D4651" s="2" t="s">
        <v>51</v>
      </c>
      <c r="E4651" s="2" t="s">
        <v>30527</v>
      </c>
      <c r="F4651" s="2">
        <v>200714</v>
      </c>
      <c r="G4651" s="3" t="str">
        <f>HYPERLINK("https://cloud.oebiotech.com/#/lm/network/200714", "https://cloud.oebiotech.com/#/lm/network/200714")</f>
        <v>https://cloud.oebiotech.com/#/lm/network/200714</v>
      </c>
      <c r="H4651" s="2" t="s">
        <v>30528</v>
      </c>
      <c r="I4651" s="2"/>
      <c r="J4651" s="2"/>
      <c r="K4651" s="2">
        <v>162822</v>
      </c>
      <c r="L4651" s="2"/>
      <c r="M4651" s="2"/>
      <c r="N4651" s="2"/>
      <c r="O4651" s="2"/>
      <c r="P4651" s="2"/>
      <c r="Q4651" s="2"/>
      <c r="R4651" s="2"/>
      <c r="S4651" s="2" t="s">
        <v>30529</v>
      </c>
      <c r="T4651" s="2" t="s">
        <v>30530</v>
      </c>
      <c r="U4651" s="2" t="s">
        <v>56</v>
      </c>
      <c r="V4651" s="2" t="s">
        <v>145</v>
      </c>
      <c r="W4651" s="2" t="s">
        <v>146</v>
      </c>
      <c r="X4651" s="2" t="s">
        <v>83</v>
      </c>
      <c r="Y4651" s="2">
        <v>50.1</v>
      </c>
      <c r="Z4651" s="2">
        <v>0</v>
      </c>
      <c r="AA4651" s="2" t="s">
        <v>163</v>
      </c>
      <c r="AB4651" s="2" t="s">
        <v>624</v>
      </c>
      <c r="AC4651" s="2">
        <v>-0.15586335489737899</v>
      </c>
      <c r="AD4651" s="2"/>
      <c r="AE4651" s="2">
        <v>7.9287646254577807E-2</v>
      </c>
      <c r="AF4651" s="2">
        <v>7558.0704561585299</v>
      </c>
      <c r="AG4651" s="2">
        <v>7862.7577921612201</v>
      </c>
      <c r="AH4651" s="4">
        <v>0.96124930411738696</v>
      </c>
      <c r="AI4651" s="4">
        <v>-5.7017446230852802E-2</v>
      </c>
      <c r="AJ4651" s="4" t="s">
        <v>62</v>
      </c>
      <c r="AK4651" s="2">
        <v>0.402803561817074</v>
      </c>
      <c r="AL4651" s="2">
        <v>0.67024796707061796</v>
      </c>
      <c r="AM4651" s="2">
        <v>7556.0863086747304</v>
      </c>
      <c r="AN4651" s="2">
        <v>8215.8900252611893</v>
      </c>
      <c r="AO4651" s="2">
        <v>7147.5568210295196</v>
      </c>
      <c r="AP4651" s="2">
        <v>8086.9146917819799</v>
      </c>
      <c r="AQ4651" s="2">
        <v>7315.5439747134797</v>
      </c>
      <c r="AR4651" s="2">
        <v>7026.4309154902903</v>
      </c>
      <c r="AS4651" s="2">
        <v>6920.1245029321899</v>
      </c>
      <c r="AT4651" s="2">
        <v>7296.32592611583</v>
      </c>
      <c r="AU4651" s="2">
        <v>7553.1799277441796</v>
      </c>
      <c r="AV4651" s="2">
        <v>8512.6653113331904</v>
      </c>
      <c r="AW4651" s="2">
        <v>8536.2782684159192</v>
      </c>
      <c r="AX4651" s="2">
        <v>8357.9728164260196</v>
      </c>
    </row>
    <row r="4652" spans="1:50" x14ac:dyDescent="0.25">
      <c r="A4652" s="2" t="s">
        <v>30531</v>
      </c>
      <c r="B4652" s="2">
        <v>192.105892833078</v>
      </c>
      <c r="C4652" s="2">
        <v>4.0481166666666697</v>
      </c>
      <c r="D4652" s="2" t="s">
        <v>51</v>
      </c>
      <c r="E4652" s="2" t="s">
        <v>30532</v>
      </c>
      <c r="F4652" s="2">
        <v>205509</v>
      </c>
      <c r="G4652" s="3" t="str">
        <f>HYPERLINK("https://cloud.oebiotech.com/#/lm/network/205509", "https://cloud.oebiotech.com/#/lm/network/205509")</f>
        <v>https://cloud.oebiotech.com/#/lm/network/205509</v>
      </c>
      <c r="H4652" s="2" t="s">
        <v>30533</v>
      </c>
      <c r="I4652" s="2"/>
      <c r="J4652" s="2"/>
      <c r="K4652" s="2">
        <v>2724716</v>
      </c>
      <c r="L4652" s="2"/>
      <c r="M4652" s="2"/>
      <c r="N4652" s="2"/>
      <c r="O4652" s="2"/>
      <c r="P4652" s="2"/>
      <c r="Q4652" s="2"/>
      <c r="R4652" s="2"/>
      <c r="S4652" s="2" t="s">
        <v>30534</v>
      </c>
      <c r="T4652" s="2" t="s">
        <v>30535</v>
      </c>
      <c r="U4652" s="2" t="s">
        <v>103</v>
      </c>
      <c r="V4652" s="2" t="s">
        <v>104</v>
      </c>
      <c r="W4652" s="2" t="s">
        <v>105</v>
      </c>
      <c r="X4652" s="2" t="s">
        <v>147</v>
      </c>
      <c r="Y4652" s="2">
        <v>42.4</v>
      </c>
      <c r="Z4652" s="2">
        <v>23.9</v>
      </c>
      <c r="AA4652" s="2" t="s">
        <v>259</v>
      </c>
      <c r="AB4652" s="2" t="s">
        <v>24513</v>
      </c>
      <c r="AC4652" s="2">
        <v>3.22667933899934</v>
      </c>
      <c r="AD4652" s="2"/>
      <c r="AE4652" s="2">
        <v>7.9281965990543296E-2</v>
      </c>
      <c r="AF4652" s="2">
        <v>422.85358934548498</v>
      </c>
      <c r="AG4652" s="2">
        <v>808.32274065868899</v>
      </c>
      <c r="AH4652" s="4">
        <v>0.52312469769303904</v>
      </c>
      <c r="AI4652" s="4">
        <v>-0.93477321093884602</v>
      </c>
      <c r="AJ4652" s="4" t="s">
        <v>62</v>
      </c>
      <c r="AK4652" s="2">
        <v>0.51028746762008403</v>
      </c>
      <c r="AL4652" s="2">
        <v>0.74448580539388298</v>
      </c>
      <c r="AM4652" s="2">
        <v>8.559877937157E-6</v>
      </c>
      <c r="AN4652" s="2">
        <v>8.559877937157E-6</v>
      </c>
      <c r="AO4652" s="2">
        <v>2119.1409735591601</v>
      </c>
      <c r="AP4652" s="2">
        <v>236.73097555806299</v>
      </c>
      <c r="AQ4652" s="2">
        <v>146.98628708984799</v>
      </c>
      <c r="AR4652" s="2">
        <v>34.263282746085601</v>
      </c>
      <c r="AS4652" s="2">
        <v>8.559877937157E-6</v>
      </c>
      <c r="AT4652" s="2">
        <v>474.00647435916301</v>
      </c>
      <c r="AU4652" s="2">
        <v>95.023475084330798</v>
      </c>
      <c r="AV4652" s="2">
        <v>2867.69275873382</v>
      </c>
      <c r="AW4652" s="2">
        <v>1221.86152817383</v>
      </c>
      <c r="AX4652" s="2">
        <v>191.35219904111301</v>
      </c>
    </row>
    <row r="4653" spans="1:50" x14ac:dyDescent="0.25">
      <c r="A4653" s="2" t="s">
        <v>30536</v>
      </c>
      <c r="B4653" s="2">
        <v>208.06099444895301</v>
      </c>
      <c r="C4653" s="2">
        <v>4.6654666666666698</v>
      </c>
      <c r="D4653" s="2" t="s">
        <v>51</v>
      </c>
      <c r="E4653" s="2" t="s">
        <v>30537</v>
      </c>
      <c r="F4653" s="2">
        <v>82276</v>
      </c>
      <c r="G4653" s="3" t="str">
        <f>HYPERLINK("https://cloud.oebiotech.com/#/lm/network/82276", "https://cloud.oebiotech.com/#/lm/network/82276")</f>
        <v>https://cloud.oebiotech.com/#/lm/network/82276</v>
      </c>
      <c r="H4653" s="2" t="s">
        <v>30538</v>
      </c>
      <c r="I4653" s="2"/>
      <c r="J4653" s="2"/>
      <c r="K4653" s="2">
        <v>3025746</v>
      </c>
      <c r="L4653" s="2" t="s">
        <v>30539</v>
      </c>
      <c r="M4653" s="2" t="s">
        <v>7436</v>
      </c>
      <c r="N4653" s="2" t="s">
        <v>7437</v>
      </c>
      <c r="O4653" s="2">
        <v>80589</v>
      </c>
      <c r="P4653" s="2"/>
      <c r="Q4653" s="2"/>
      <c r="R4653" s="2"/>
      <c r="S4653" s="2" t="s">
        <v>30540</v>
      </c>
      <c r="T4653" s="2" t="s">
        <v>30541</v>
      </c>
      <c r="U4653" s="2" t="s">
        <v>610</v>
      </c>
      <c r="V4653" s="2" t="s">
        <v>611</v>
      </c>
      <c r="W4653" s="2" t="s">
        <v>240</v>
      </c>
      <c r="X4653" s="2" t="s">
        <v>83</v>
      </c>
      <c r="Y4653" s="2">
        <v>50.5</v>
      </c>
      <c r="Z4653" s="2">
        <v>0</v>
      </c>
      <c r="AA4653" s="2" t="s">
        <v>163</v>
      </c>
      <c r="AB4653" s="2" t="s">
        <v>30542</v>
      </c>
      <c r="AC4653" s="2">
        <v>-2.5683164419829798</v>
      </c>
      <c r="AD4653" s="2"/>
      <c r="AE4653" s="2">
        <v>7.9239937938980001E-2</v>
      </c>
      <c r="AF4653" s="2">
        <v>976.67672309603904</v>
      </c>
      <c r="AG4653" s="2">
        <v>1537.51816911884</v>
      </c>
      <c r="AH4653" s="4">
        <v>0.63522938636606696</v>
      </c>
      <c r="AI4653" s="4">
        <v>-0.654650440303298</v>
      </c>
      <c r="AJ4653" s="4" t="s">
        <v>62</v>
      </c>
      <c r="AK4653" s="2">
        <v>0.17286558408824201</v>
      </c>
      <c r="AL4653" s="2">
        <v>0.49363214140836398</v>
      </c>
      <c r="AM4653" s="2">
        <v>1505.1733551575301</v>
      </c>
      <c r="AN4653" s="2">
        <v>814.72931725140302</v>
      </c>
      <c r="AO4653" s="2">
        <v>1003.90534531077</v>
      </c>
      <c r="AP4653" s="2">
        <v>908.631340461901</v>
      </c>
      <c r="AQ4653" s="2">
        <v>1016.43262970079</v>
      </c>
      <c r="AR4653" s="2">
        <v>611.18835069383704</v>
      </c>
      <c r="AS4653" s="2">
        <v>1034.55017938948</v>
      </c>
      <c r="AT4653" s="2">
        <v>2097.14549861464</v>
      </c>
      <c r="AU4653" s="2">
        <v>2988.66218959761</v>
      </c>
      <c r="AV4653" s="2">
        <v>942.94238837246496</v>
      </c>
      <c r="AW4653" s="2">
        <v>1576.2455038519099</v>
      </c>
      <c r="AX4653" s="2">
        <v>585.56325488692198</v>
      </c>
    </row>
    <row r="4654" spans="1:50" x14ac:dyDescent="0.25">
      <c r="A4654" s="2" t="s">
        <v>30543</v>
      </c>
      <c r="B4654" s="2">
        <v>272.08996760668799</v>
      </c>
      <c r="C4654" s="2">
        <v>6.7462666666666697</v>
      </c>
      <c r="D4654" s="2" t="s">
        <v>51</v>
      </c>
      <c r="E4654" s="2" t="s">
        <v>30544</v>
      </c>
      <c r="F4654" s="2">
        <v>8356</v>
      </c>
      <c r="G4654" s="3" t="str">
        <f>HYPERLINK("https://cloud.oebiotech.com/#/lm/network/8356", "https://cloud.oebiotech.com/#/lm/network/8356")</f>
        <v>https://cloud.oebiotech.com/#/lm/network/8356</v>
      </c>
      <c r="H4654" s="2" t="s">
        <v>30545</v>
      </c>
      <c r="I4654" s="2"/>
      <c r="J4654" s="2" t="s">
        <v>30546</v>
      </c>
      <c r="K4654" s="2">
        <v>53481613</v>
      </c>
      <c r="L4654" s="2"/>
      <c r="M4654" s="2"/>
      <c r="N4654" s="2"/>
      <c r="O4654" s="2"/>
      <c r="P4654" s="2"/>
      <c r="Q4654" s="2"/>
      <c r="R4654" s="2"/>
      <c r="S4654" s="2" t="s">
        <v>30547</v>
      </c>
      <c r="T4654" s="2" t="s">
        <v>30548</v>
      </c>
      <c r="U4654" s="2" t="s">
        <v>56</v>
      </c>
      <c r="V4654" s="2" t="s">
        <v>145</v>
      </c>
      <c r="W4654" s="2" t="s">
        <v>1188</v>
      </c>
      <c r="X4654" s="2" t="s">
        <v>147</v>
      </c>
      <c r="Y4654" s="2">
        <v>42.6</v>
      </c>
      <c r="Z4654" s="2">
        <v>20.100000000000001</v>
      </c>
      <c r="AA4654" s="2" t="s">
        <v>395</v>
      </c>
      <c r="AB4654" s="2" t="s">
        <v>30549</v>
      </c>
      <c r="AC4654" s="2">
        <v>2.08820159057437</v>
      </c>
      <c r="AD4654" s="2"/>
      <c r="AE4654" s="2">
        <v>7.9192347375833097E-2</v>
      </c>
      <c r="AF4654" s="2">
        <v>402.945929646205</v>
      </c>
      <c r="AG4654" s="2">
        <v>563.34544330981203</v>
      </c>
      <c r="AH4654" s="4">
        <v>0.71527325627910499</v>
      </c>
      <c r="AI4654" s="4">
        <v>-0.48343359402281799</v>
      </c>
      <c r="AJ4654" s="4" t="s">
        <v>62</v>
      </c>
      <c r="AK4654" s="2">
        <v>1.4621606259202899E-2</v>
      </c>
      <c r="AL4654" s="2">
        <v>0.19163019064213599</v>
      </c>
      <c r="AM4654" s="2">
        <v>400.21588309494302</v>
      </c>
      <c r="AN4654" s="2">
        <v>536.20101300719102</v>
      </c>
      <c r="AO4654" s="2">
        <v>349.95132717217899</v>
      </c>
      <c r="AP4654" s="2">
        <v>447.57999945384199</v>
      </c>
      <c r="AQ4654" s="2">
        <v>393.08815056667402</v>
      </c>
      <c r="AR4654" s="2">
        <v>290.63920458240199</v>
      </c>
      <c r="AS4654" s="2">
        <v>496.208888368266</v>
      </c>
      <c r="AT4654" s="2">
        <v>592.38728720383097</v>
      </c>
      <c r="AU4654" s="2">
        <v>417.75390334384002</v>
      </c>
      <c r="AV4654" s="2">
        <v>529.79059727559604</v>
      </c>
      <c r="AW4654" s="2">
        <v>706.29048190736796</v>
      </c>
      <c r="AX4654" s="2">
        <v>637.64150175997099</v>
      </c>
    </row>
    <row r="4655" spans="1:50" x14ac:dyDescent="0.25">
      <c r="A4655" s="2" t="s">
        <v>30550</v>
      </c>
      <c r="B4655" s="2">
        <v>553.41119125515797</v>
      </c>
      <c r="C4655" s="2">
        <v>13.2417833333333</v>
      </c>
      <c r="D4655" s="2" t="s">
        <v>51</v>
      </c>
      <c r="E4655" s="2" t="s">
        <v>30551</v>
      </c>
      <c r="F4655" s="2">
        <v>78521</v>
      </c>
      <c r="G4655" s="3" t="str">
        <f>HYPERLINK("https://cloud.oebiotech.com/#/lm/network/78521", "https://cloud.oebiotech.com/#/lm/network/78521")</f>
        <v>https://cloud.oebiotech.com/#/lm/network/78521</v>
      </c>
      <c r="H4655" s="2" t="s">
        <v>30552</v>
      </c>
      <c r="I4655" s="2"/>
      <c r="J4655" s="2"/>
      <c r="K4655" s="2">
        <v>131801844</v>
      </c>
      <c r="L4655" s="2"/>
      <c r="M4655" s="2"/>
      <c r="N4655" s="2"/>
      <c r="O4655" s="2"/>
      <c r="P4655" s="2"/>
      <c r="Q4655" s="2"/>
      <c r="R4655" s="2"/>
      <c r="S4655" s="2" t="s">
        <v>30553</v>
      </c>
      <c r="T4655" s="2" t="s">
        <v>30554</v>
      </c>
      <c r="U4655" s="2" t="s">
        <v>56</v>
      </c>
      <c r="V4655" s="2" t="s">
        <v>3215</v>
      </c>
      <c r="W4655" s="2" t="s">
        <v>3216</v>
      </c>
      <c r="X4655" s="2" t="s">
        <v>147</v>
      </c>
      <c r="Y4655" s="2">
        <v>36.700000000000003</v>
      </c>
      <c r="Z4655" s="2">
        <v>0</v>
      </c>
      <c r="AA4655" s="2" t="s">
        <v>218</v>
      </c>
      <c r="AB4655" s="2" t="s">
        <v>30555</v>
      </c>
      <c r="AC4655" s="2">
        <v>0.41991753285064098</v>
      </c>
      <c r="AD4655" s="2"/>
      <c r="AE4655" s="2">
        <v>7.9100133347760199E-2</v>
      </c>
      <c r="AF4655" s="2">
        <v>918.09380095459801</v>
      </c>
      <c r="AG4655" s="2">
        <v>393.89724752713801</v>
      </c>
      <c r="AH4655" s="5">
        <v>2.3307951673141498</v>
      </c>
      <c r="AI4655" s="5">
        <v>1.2208222245077001</v>
      </c>
      <c r="AJ4655" s="5" t="s">
        <v>139</v>
      </c>
      <c r="AK4655" s="2">
        <v>0.241766780227884</v>
      </c>
      <c r="AL4655" s="2">
        <v>0.56532862316382204</v>
      </c>
      <c r="AM4655" s="2">
        <v>224.911145212815</v>
      </c>
      <c r="AN4655" s="2">
        <v>404.71808373210803</v>
      </c>
      <c r="AO4655" s="2">
        <v>314.85449998477901</v>
      </c>
      <c r="AP4655" s="2">
        <v>1728.8406781792901</v>
      </c>
      <c r="AQ4655" s="2">
        <v>2583.3910583393099</v>
      </c>
      <c r="AR4655" s="2">
        <v>251.84734027928599</v>
      </c>
      <c r="AS4655" s="2">
        <v>8.559877937157E-6</v>
      </c>
      <c r="AT4655" s="2">
        <v>561.62218369836796</v>
      </c>
      <c r="AU4655" s="2">
        <v>385.09127088459798</v>
      </c>
      <c r="AV4655" s="2">
        <v>296.73085763641399</v>
      </c>
      <c r="AW4655" s="2">
        <v>776.77672858666699</v>
      </c>
      <c r="AX4655" s="2">
        <v>343.16243579690502</v>
      </c>
    </row>
    <row r="4656" spans="1:50" x14ac:dyDescent="0.25">
      <c r="A4656" s="2" t="s">
        <v>30556</v>
      </c>
      <c r="B4656" s="2">
        <v>317.02547093075299</v>
      </c>
      <c r="C4656" s="2">
        <v>3.6886666666666699</v>
      </c>
      <c r="D4656" s="2" t="s">
        <v>51</v>
      </c>
      <c r="E4656" s="2" t="s">
        <v>30557</v>
      </c>
      <c r="F4656" s="2">
        <v>212030</v>
      </c>
      <c r="G4656" s="3" t="str">
        <f>HYPERLINK("https://cloud.oebiotech.com/#/lm/network/212030", "https://cloud.oebiotech.com/#/lm/network/212030")</f>
        <v>https://cloud.oebiotech.com/#/lm/network/212030</v>
      </c>
      <c r="H4656" s="2" t="s">
        <v>30558</v>
      </c>
      <c r="I4656" s="2">
        <v>422364</v>
      </c>
      <c r="J4656" s="2"/>
      <c r="K4656" s="2">
        <v>148208</v>
      </c>
      <c r="L4656" s="2"/>
      <c r="M4656" s="2"/>
      <c r="N4656" s="2"/>
      <c r="O4656" s="2"/>
      <c r="P4656" s="2"/>
      <c r="Q4656" s="2"/>
      <c r="R4656" s="2"/>
      <c r="S4656" s="2" t="s">
        <v>30559</v>
      </c>
      <c r="T4656" s="2" t="s">
        <v>30560</v>
      </c>
      <c r="U4656" s="2" t="s">
        <v>266</v>
      </c>
      <c r="V4656" s="2" t="s">
        <v>2432</v>
      </c>
      <c r="W4656" s="2" t="s">
        <v>10026</v>
      </c>
      <c r="X4656" s="2" t="s">
        <v>147</v>
      </c>
      <c r="Y4656" s="2">
        <v>39.1</v>
      </c>
      <c r="Z4656" s="2">
        <v>0</v>
      </c>
      <c r="AA4656" s="2" t="s">
        <v>478</v>
      </c>
      <c r="AB4656" s="2" t="s">
        <v>30561</v>
      </c>
      <c r="AC4656" s="2">
        <v>-2.5065379446091902</v>
      </c>
      <c r="AD4656" s="2"/>
      <c r="AE4656" s="2">
        <v>7.9065740639835805E-2</v>
      </c>
      <c r="AF4656" s="2">
        <v>3453.5279818436902</v>
      </c>
      <c r="AG4656" s="2">
        <v>2952.2090576000501</v>
      </c>
      <c r="AH4656" s="5">
        <v>1.16981145794979</v>
      </c>
      <c r="AI4656" s="5">
        <v>0.22627602502245001</v>
      </c>
      <c r="AJ4656" s="5" t="s">
        <v>139</v>
      </c>
      <c r="AK4656" s="2">
        <v>0.58826769059783501</v>
      </c>
      <c r="AL4656" s="2">
        <v>0.79259485853877298</v>
      </c>
      <c r="AM4656" s="2">
        <v>3991.79801583263</v>
      </c>
      <c r="AN4656" s="2">
        <v>2430.9931362928</v>
      </c>
      <c r="AO4656" s="2">
        <v>1825.67567331906</v>
      </c>
      <c r="AP4656" s="2">
        <v>3822.5174284455202</v>
      </c>
      <c r="AQ4656" s="2">
        <v>5213.6147001968402</v>
      </c>
      <c r="AR4656" s="2">
        <v>3436.5689369752699</v>
      </c>
      <c r="AS4656" s="2">
        <v>4146.7635285590204</v>
      </c>
      <c r="AT4656" s="2">
        <v>5729.1580269557198</v>
      </c>
      <c r="AU4656" s="2">
        <v>2017.5191191904601</v>
      </c>
      <c r="AV4656" s="2">
        <v>868.65610340199305</v>
      </c>
      <c r="AW4656" s="2">
        <v>3494.3470413888799</v>
      </c>
      <c r="AX4656" s="2">
        <v>1456.8105261042001</v>
      </c>
    </row>
    <row r="4657" spans="1:50" x14ac:dyDescent="0.25">
      <c r="A4657" s="2" t="s">
        <v>30562</v>
      </c>
      <c r="B4657" s="2">
        <v>147.07675470949701</v>
      </c>
      <c r="C4657" s="2">
        <v>0.68110000000000004</v>
      </c>
      <c r="D4657" s="2" t="s">
        <v>51</v>
      </c>
      <c r="E4657" s="2" t="s">
        <v>30563</v>
      </c>
      <c r="F4657" s="2">
        <v>47136</v>
      </c>
      <c r="G4657" s="3" t="str">
        <f>HYPERLINK("https://cloud.oebiotech.com/#/lm/network/47136", "https://cloud.oebiotech.com/#/lm/network/47136")</f>
        <v>https://cloud.oebiotech.com/#/lm/network/47136</v>
      </c>
      <c r="H4657" s="2" t="s">
        <v>30564</v>
      </c>
      <c r="I4657" s="2">
        <v>18</v>
      </c>
      <c r="J4657" s="2"/>
      <c r="K4657" s="2">
        <v>5961</v>
      </c>
      <c r="L4657" s="2" t="s">
        <v>30565</v>
      </c>
      <c r="M4657" s="2" t="s">
        <v>30566</v>
      </c>
      <c r="N4657" s="2" t="s">
        <v>30567</v>
      </c>
      <c r="O4657" s="2">
        <v>18050</v>
      </c>
      <c r="P4657" s="2"/>
      <c r="Q4657" s="2"/>
      <c r="R4657" s="2" t="s">
        <v>30568</v>
      </c>
      <c r="S4657" s="2" t="s">
        <v>30569</v>
      </c>
      <c r="T4657" s="2" t="s">
        <v>30570</v>
      </c>
      <c r="U4657" s="2" t="s">
        <v>103</v>
      </c>
      <c r="V4657" s="2" t="s">
        <v>104</v>
      </c>
      <c r="W4657" s="2" t="s">
        <v>105</v>
      </c>
      <c r="X4657" s="2" t="s">
        <v>69</v>
      </c>
      <c r="Y4657" s="2">
        <v>54.9</v>
      </c>
      <c r="Z4657" s="2">
        <v>78.2</v>
      </c>
      <c r="AA4657" s="2" t="s">
        <v>60</v>
      </c>
      <c r="AB4657" s="2" t="s">
        <v>14458</v>
      </c>
      <c r="AC4657" s="2">
        <v>2.3008864952339101</v>
      </c>
      <c r="AD4657" s="2"/>
      <c r="AE4657" s="2">
        <v>7.8995888692287797E-2</v>
      </c>
      <c r="AF4657" s="2">
        <v>25630.935795783898</v>
      </c>
      <c r="AG4657" s="2">
        <v>23854.685064455502</v>
      </c>
      <c r="AH4657" s="5">
        <v>1.07446129456452</v>
      </c>
      <c r="AI4657" s="5">
        <v>0.103613513342174</v>
      </c>
      <c r="AJ4657" s="5" t="s">
        <v>139</v>
      </c>
      <c r="AK4657" s="2">
        <v>0.88887075572664898</v>
      </c>
      <c r="AL4657" s="2">
        <v>0.95222097208274104</v>
      </c>
      <c r="AM4657" s="2">
        <v>49259.2325304224</v>
      </c>
      <c r="AN4657" s="2">
        <v>1830.03978347251</v>
      </c>
      <c r="AO4657" s="2">
        <v>15048.0660160675</v>
      </c>
      <c r="AP4657" s="2">
        <v>40600.968821443799</v>
      </c>
      <c r="AQ4657" s="2">
        <v>25528.7159651408</v>
      </c>
      <c r="AR4657" s="2">
        <v>21518.5916581561</v>
      </c>
      <c r="AS4657" s="2">
        <v>13483.2669802855</v>
      </c>
      <c r="AT4657" s="2">
        <v>1678.5294805769799</v>
      </c>
      <c r="AU4657" s="2">
        <v>53704.183399314701</v>
      </c>
      <c r="AV4657" s="2">
        <v>57202.685489184201</v>
      </c>
      <c r="AW4657" s="2">
        <v>3192.66569211968</v>
      </c>
      <c r="AX4657" s="2">
        <v>13866.7793452521</v>
      </c>
    </row>
    <row r="4658" spans="1:50" x14ac:dyDescent="0.25">
      <c r="A4658" s="2" t="s">
        <v>30571</v>
      </c>
      <c r="B4658" s="2">
        <v>247.09320838638101</v>
      </c>
      <c r="C4658" s="2">
        <v>0.70636666666666703</v>
      </c>
      <c r="D4658" s="2" t="s">
        <v>51</v>
      </c>
      <c r="E4658" s="2" t="s">
        <v>30572</v>
      </c>
      <c r="F4658" s="2">
        <v>53728</v>
      </c>
      <c r="G4658" s="3" t="str">
        <f>HYPERLINK("https://cloud.oebiotech.com/#/lm/network/53728", "https://cloud.oebiotech.com/#/lm/network/53728")</f>
        <v>https://cloud.oebiotech.com/#/lm/network/53728</v>
      </c>
      <c r="H4658" s="2" t="s">
        <v>30573</v>
      </c>
      <c r="I4658" s="2"/>
      <c r="J4658" s="2"/>
      <c r="K4658" s="2">
        <v>20190533</v>
      </c>
      <c r="L4658" s="2"/>
      <c r="M4658" s="2"/>
      <c r="N4658" s="2"/>
      <c r="O4658" s="2"/>
      <c r="P4658" s="2"/>
      <c r="Q4658" s="2"/>
      <c r="R4658" s="2" t="s">
        <v>30574</v>
      </c>
      <c r="S4658" s="2" t="s">
        <v>30575</v>
      </c>
      <c r="T4658" s="2" t="s">
        <v>30576</v>
      </c>
      <c r="U4658" s="2" t="s">
        <v>103</v>
      </c>
      <c r="V4658" s="2" t="s">
        <v>104</v>
      </c>
      <c r="W4658" s="2" t="s">
        <v>105</v>
      </c>
      <c r="X4658" s="2" t="s">
        <v>83</v>
      </c>
      <c r="Y4658" s="2">
        <v>44.9</v>
      </c>
      <c r="Z4658" s="2">
        <v>31.2</v>
      </c>
      <c r="AA4658" s="2" t="s">
        <v>218</v>
      </c>
      <c r="AB4658" s="2" t="s">
        <v>25586</v>
      </c>
      <c r="AC4658" s="2">
        <v>-1.7388842791863499</v>
      </c>
      <c r="AD4658" s="2"/>
      <c r="AE4658" s="2">
        <v>7.8940634624374201E-2</v>
      </c>
      <c r="AF4658" s="2">
        <v>11174.936793610301</v>
      </c>
      <c r="AG4658" s="2">
        <v>10365.201454921</v>
      </c>
      <c r="AH4658" s="5">
        <v>1.0781205596640699</v>
      </c>
      <c r="AI4658" s="5">
        <v>0.10851851492188</v>
      </c>
      <c r="AJ4658" s="5" t="s">
        <v>139</v>
      </c>
      <c r="AK4658" s="2">
        <v>0.78579543101749605</v>
      </c>
      <c r="AL4658" s="2">
        <v>0.90577508306915799</v>
      </c>
      <c r="AM4658" s="2">
        <v>14278.077396553401</v>
      </c>
      <c r="AN4658" s="2">
        <v>5008.6038849646602</v>
      </c>
      <c r="AO4658" s="2">
        <v>8078.6010314863897</v>
      </c>
      <c r="AP4658" s="2">
        <v>17621.301893241402</v>
      </c>
      <c r="AQ4658" s="2">
        <v>14213.6741742341</v>
      </c>
      <c r="AR4658" s="2">
        <v>7849.3623811818397</v>
      </c>
      <c r="AS4658" s="2">
        <v>3829.8056387647298</v>
      </c>
      <c r="AT4658" s="2">
        <v>10300.730994968801</v>
      </c>
      <c r="AU4658" s="2">
        <v>18069.947862011199</v>
      </c>
      <c r="AV4658" s="2">
        <v>10826.4249102007</v>
      </c>
      <c r="AW4658" s="2">
        <v>5724.4641300672301</v>
      </c>
      <c r="AX4658" s="2">
        <v>13439.8351935133</v>
      </c>
    </row>
    <row r="4659" spans="1:50" x14ac:dyDescent="0.25">
      <c r="A4659" s="2" t="s">
        <v>30577</v>
      </c>
      <c r="B4659" s="2">
        <v>175.10827934397901</v>
      </c>
      <c r="C4659" s="2">
        <v>0.99048333333333305</v>
      </c>
      <c r="D4659" s="2" t="s">
        <v>51</v>
      </c>
      <c r="E4659" s="2" t="s">
        <v>30578</v>
      </c>
      <c r="F4659" s="2">
        <v>58404</v>
      </c>
      <c r="G4659" s="3" t="str">
        <f>HYPERLINK("https://cloud.oebiotech.com/#/lm/network/58404", "https://cloud.oebiotech.com/#/lm/network/58404")</f>
        <v>https://cloud.oebiotech.com/#/lm/network/58404</v>
      </c>
      <c r="H4659" s="2" t="s">
        <v>30579</v>
      </c>
      <c r="I4659" s="2">
        <v>44433</v>
      </c>
      <c r="J4659" s="2"/>
      <c r="K4659" s="2">
        <v>439378</v>
      </c>
      <c r="L4659" s="2" t="s">
        <v>30580</v>
      </c>
      <c r="M4659" s="2"/>
      <c r="N4659" s="2"/>
      <c r="O4659" s="2">
        <v>17394</v>
      </c>
      <c r="P4659" s="2"/>
      <c r="Q4659" s="2"/>
      <c r="R4659" s="2" t="s">
        <v>30581</v>
      </c>
      <c r="S4659" s="2" t="s">
        <v>30582</v>
      </c>
      <c r="T4659" s="2" t="s">
        <v>30583</v>
      </c>
      <c r="U4659" s="2" t="s">
        <v>103</v>
      </c>
      <c r="V4659" s="2" t="s">
        <v>104</v>
      </c>
      <c r="W4659" s="2" t="s">
        <v>105</v>
      </c>
      <c r="X4659" s="2" t="s">
        <v>83</v>
      </c>
      <c r="Y4659" s="2">
        <v>39.6</v>
      </c>
      <c r="Z4659" s="2">
        <v>0</v>
      </c>
      <c r="AA4659" s="2" t="s">
        <v>259</v>
      </c>
      <c r="AB4659" s="2" t="s">
        <v>3811</v>
      </c>
      <c r="AC4659" s="2">
        <v>3.2199500003664099</v>
      </c>
      <c r="AD4659" s="2"/>
      <c r="AE4659" s="2">
        <v>7.8867890543303606E-2</v>
      </c>
      <c r="AF4659" s="2">
        <v>1651.8253200863501</v>
      </c>
      <c r="AG4659" s="2">
        <v>2104.2896952527099</v>
      </c>
      <c r="AH4659" s="4">
        <v>0.78497999767468996</v>
      </c>
      <c r="AI4659" s="4">
        <v>-0.349272202186523</v>
      </c>
      <c r="AJ4659" s="4" t="s">
        <v>62</v>
      </c>
      <c r="AK4659" s="2">
        <v>0.81558322410824002</v>
      </c>
      <c r="AL4659" s="2">
        <v>0.91880789402858098</v>
      </c>
      <c r="AM4659" s="2">
        <v>1534.10022497723</v>
      </c>
      <c r="AN4659" s="2">
        <v>314.91444731088501</v>
      </c>
      <c r="AO4659" s="2">
        <v>8.559877937157E-6</v>
      </c>
      <c r="AP4659" s="2">
        <v>8.559877937157E-6</v>
      </c>
      <c r="AQ4659" s="2">
        <v>4099.9831758650398</v>
      </c>
      <c r="AR4659" s="2">
        <v>3961.9540552451799</v>
      </c>
      <c r="AS4659" s="2">
        <v>8.559877937157E-6</v>
      </c>
      <c r="AT4659" s="2">
        <v>8.559877937157E-6</v>
      </c>
      <c r="AU4659" s="2">
        <v>470.19867294476501</v>
      </c>
      <c r="AV4659" s="2">
        <v>10631.9037459959</v>
      </c>
      <c r="AW4659" s="2">
        <v>184.59893838717801</v>
      </c>
      <c r="AX4659" s="2">
        <v>1339.03679706868</v>
      </c>
    </row>
    <row r="4660" spans="1:50" x14ac:dyDescent="0.25">
      <c r="A4660" s="2" t="s">
        <v>30584</v>
      </c>
      <c r="B4660" s="2">
        <v>87.044805280773701</v>
      </c>
      <c r="C4660" s="2">
        <v>1.27196666666667</v>
      </c>
      <c r="D4660" s="2" t="s">
        <v>51</v>
      </c>
      <c r="E4660" s="2" t="s">
        <v>30585</v>
      </c>
      <c r="F4660" s="2">
        <v>1932</v>
      </c>
      <c r="G4660" s="3" t="str">
        <f>HYPERLINK("https://cloud.oebiotech.com/#/lm/network/1932", "https://cloud.oebiotech.com/#/lm/network/1932")</f>
        <v>https://cloud.oebiotech.com/#/lm/network/1932</v>
      </c>
      <c r="H4660" s="2" t="s">
        <v>30586</v>
      </c>
      <c r="I4660" s="2">
        <v>58005</v>
      </c>
      <c r="J4660" s="2" t="s">
        <v>30587</v>
      </c>
      <c r="K4660" s="2">
        <v>94318</v>
      </c>
      <c r="L4660" s="2" t="s">
        <v>30588</v>
      </c>
      <c r="M4660" s="2"/>
      <c r="N4660" s="2"/>
      <c r="O4660" s="2">
        <v>17290</v>
      </c>
      <c r="P4660" s="2"/>
      <c r="Q4660" s="2"/>
      <c r="R4660" s="2" t="s">
        <v>30589</v>
      </c>
      <c r="S4660" s="2" t="s">
        <v>30590</v>
      </c>
      <c r="T4660" s="2" t="s">
        <v>30591</v>
      </c>
      <c r="U4660" s="2" t="s">
        <v>103</v>
      </c>
      <c r="V4660" s="2" t="s">
        <v>377</v>
      </c>
      <c r="W4660" s="2" t="s">
        <v>7726</v>
      </c>
      <c r="X4660" s="2" t="s">
        <v>83</v>
      </c>
      <c r="Y4660" s="2">
        <v>39</v>
      </c>
      <c r="Z4660" s="2">
        <v>0</v>
      </c>
      <c r="AA4660" s="2" t="s">
        <v>156</v>
      </c>
      <c r="AB4660" s="2" t="s">
        <v>6186</v>
      </c>
      <c r="AC4660" s="2">
        <v>7.20263972169783</v>
      </c>
      <c r="AD4660" s="2"/>
      <c r="AE4660" s="2">
        <v>7.8797401388429597E-2</v>
      </c>
      <c r="AF4660" s="2">
        <v>16974.62181456</v>
      </c>
      <c r="AG4660" s="2">
        <v>15637.8435487062</v>
      </c>
      <c r="AH4660" s="5">
        <v>1.08548354264386</v>
      </c>
      <c r="AI4660" s="5">
        <v>0.118337852967264</v>
      </c>
      <c r="AJ4660" s="5" t="s">
        <v>139</v>
      </c>
      <c r="AK4660" s="2">
        <v>0.681731004073728</v>
      </c>
      <c r="AL4660" s="2">
        <v>0.84638999815678095</v>
      </c>
      <c r="AM4660" s="2">
        <v>12533.2014612361</v>
      </c>
      <c r="AN4660" s="2">
        <v>15368.1492725273</v>
      </c>
      <c r="AO4660" s="2">
        <v>30861.5495462217</v>
      </c>
      <c r="AP4660" s="2">
        <v>16068.724387902799</v>
      </c>
      <c r="AQ4660" s="2">
        <v>15358.8325838413</v>
      </c>
      <c r="AR4660" s="2">
        <v>11657.2736356309</v>
      </c>
      <c r="AS4660" s="2">
        <v>13005.767029696501</v>
      </c>
      <c r="AT4660" s="2">
        <v>14079.318932080399</v>
      </c>
      <c r="AU4660" s="2">
        <v>11762.968017564899</v>
      </c>
      <c r="AV4660" s="2">
        <v>16815.4276008899</v>
      </c>
      <c r="AW4660" s="2">
        <v>20538.679061807401</v>
      </c>
      <c r="AX4660" s="2">
        <v>17624.9006501982</v>
      </c>
    </row>
    <row r="4661" spans="1:50" x14ac:dyDescent="0.25">
      <c r="A4661" s="2" t="s">
        <v>30592</v>
      </c>
      <c r="B4661" s="2">
        <v>198.01762279529899</v>
      </c>
      <c r="C4661" s="2">
        <v>10.470333333333301</v>
      </c>
      <c r="D4661" s="2" t="s">
        <v>51</v>
      </c>
      <c r="E4661" s="2" t="s">
        <v>30593</v>
      </c>
      <c r="F4661" s="2">
        <v>256160</v>
      </c>
      <c r="G4661" s="3" t="str">
        <f>HYPERLINK("https://cloud.oebiotech.com/#/lm/network/256160", "https://cloud.oebiotech.com/#/lm/network/256160")</f>
        <v>https://cloud.oebiotech.com/#/lm/network/256160</v>
      </c>
      <c r="H4661" s="2" t="s">
        <v>30594</v>
      </c>
      <c r="I4661" s="2"/>
      <c r="J4661" s="2"/>
      <c r="K4661" s="2"/>
      <c r="L4661" s="2"/>
      <c r="M4661" s="2"/>
      <c r="N4661" s="2"/>
      <c r="O4661" s="2"/>
      <c r="P4661" s="2"/>
      <c r="Q4661" s="2"/>
      <c r="R4661" s="2"/>
      <c r="S4661" s="2" t="s">
        <v>30595</v>
      </c>
      <c r="T4661" s="2" t="s">
        <v>30596</v>
      </c>
      <c r="U4661" s="2" t="s">
        <v>331</v>
      </c>
      <c r="V4661" s="2" t="s">
        <v>332</v>
      </c>
      <c r="W4661" s="2" t="s">
        <v>1207</v>
      </c>
      <c r="X4661" s="2" t="s">
        <v>147</v>
      </c>
      <c r="Y4661" s="2">
        <v>38.700000000000003</v>
      </c>
      <c r="Z4661" s="2">
        <v>0</v>
      </c>
      <c r="AA4661" s="2" t="s">
        <v>512</v>
      </c>
      <c r="AB4661" s="2" t="s">
        <v>30597</v>
      </c>
      <c r="AC4661" s="2">
        <v>1.9732158410579399</v>
      </c>
      <c r="AD4661" s="2"/>
      <c r="AE4661" s="2">
        <v>7.8777310540448398E-2</v>
      </c>
      <c r="AF4661" s="2">
        <v>6646.4294039605702</v>
      </c>
      <c r="AG4661" s="2">
        <v>6088.5422491854897</v>
      </c>
      <c r="AH4661" s="5">
        <v>1.0916290192204401</v>
      </c>
      <c r="AI4661" s="5">
        <v>0.12648265198646</v>
      </c>
      <c r="AJ4661" s="5" t="s">
        <v>139</v>
      </c>
      <c r="AK4661" s="2">
        <v>0.41712680849546602</v>
      </c>
      <c r="AL4661" s="2">
        <v>0.67956942792655295</v>
      </c>
      <c r="AM4661" s="2">
        <v>5546.0489312646996</v>
      </c>
      <c r="AN4661" s="2">
        <v>6582.3714075357502</v>
      </c>
      <c r="AO4661" s="2">
        <v>6859.1419644909101</v>
      </c>
      <c r="AP4661" s="2">
        <v>8166.3484448352801</v>
      </c>
      <c r="AQ4661" s="2">
        <v>7491.5997586059002</v>
      </c>
      <c r="AR4661" s="2">
        <v>5233.06591703089</v>
      </c>
      <c r="AS4661" s="2">
        <v>6574.5214491099596</v>
      </c>
      <c r="AT4661" s="2">
        <v>8145.5424634455203</v>
      </c>
      <c r="AU4661" s="2">
        <v>4969.9688732778504</v>
      </c>
      <c r="AV4661" s="2">
        <v>5868.9700599883599</v>
      </c>
      <c r="AW4661" s="2">
        <v>5126.4014062299402</v>
      </c>
      <c r="AX4661" s="2">
        <v>5845.8492430613096</v>
      </c>
    </row>
    <row r="4662" spans="1:50" x14ac:dyDescent="0.25">
      <c r="A4662" s="2" t="s">
        <v>30598</v>
      </c>
      <c r="B4662" s="2">
        <v>269.17597102029799</v>
      </c>
      <c r="C4662" s="2">
        <v>8.7919833333333308</v>
      </c>
      <c r="D4662" s="2" t="s">
        <v>51</v>
      </c>
      <c r="E4662" s="2" t="s">
        <v>30599</v>
      </c>
      <c r="F4662" s="2">
        <v>689</v>
      </c>
      <c r="G4662" s="3" t="str">
        <f>HYPERLINK("https://cloud.oebiotech.com/#/lm/network/689", "https://cloud.oebiotech.com/#/lm/network/689")</f>
        <v>https://cloud.oebiotech.com/#/lm/network/689</v>
      </c>
      <c r="H4662" s="2"/>
      <c r="I4662" s="2">
        <v>34858</v>
      </c>
      <c r="J4662" s="2" t="s">
        <v>30600</v>
      </c>
      <c r="K4662" s="2">
        <v>5282854</v>
      </c>
      <c r="L4662" s="2"/>
      <c r="M4662" s="2"/>
      <c r="N4662" s="2"/>
      <c r="O4662" s="2"/>
      <c r="P4662" s="2"/>
      <c r="Q4662" s="2"/>
      <c r="R4662" s="2"/>
      <c r="S4662" s="2" t="s">
        <v>30601</v>
      </c>
      <c r="T4662" s="2" t="s">
        <v>30602</v>
      </c>
      <c r="U4662" s="2" t="s">
        <v>56</v>
      </c>
      <c r="V4662" s="2" t="s">
        <v>145</v>
      </c>
      <c r="W4662" s="2" t="s">
        <v>231</v>
      </c>
      <c r="X4662" s="2" t="s">
        <v>147</v>
      </c>
      <c r="Y4662" s="2">
        <v>44</v>
      </c>
      <c r="Z4662" s="2">
        <v>23.2</v>
      </c>
      <c r="AA4662" s="2" t="s">
        <v>218</v>
      </c>
      <c r="AB4662" s="2" t="s">
        <v>26046</v>
      </c>
      <c r="AC4662" s="2">
        <v>0.61621446277714098</v>
      </c>
      <c r="AD4662" s="2"/>
      <c r="AE4662" s="2">
        <v>7.8731099604955695E-2</v>
      </c>
      <c r="AF4662" s="2">
        <v>355.946411654146</v>
      </c>
      <c r="AG4662" s="2">
        <v>128.680525110383</v>
      </c>
      <c r="AH4662" s="5">
        <v>2.76612495440793</v>
      </c>
      <c r="AI4662" s="5">
        <v>1.4678663289514899</v>
      </c>
      <c r="AJ4662" s="5" t="s">
        <v>139</v>
      </c>
      <c r="AK4662" s="2">
        <v>2.8085794535661499E-2</v>
      </c>
      <c r="AL4662" s="2">
        <v>0.25613726906024897</v>
      </c>
      <c r="AM4662" s="2">
        <v>254.85755098928001</v>
      </c>
      <c r="AN4662" s="2">
        <v>150.78551246657</v>
      </c>
      <c r="AO4662" s="2">
        <v>322.09996166657203</v>
      </c>
      <c r="AP4662" s="2">
        <v>632.11118212433405</v>
      </c>
      <c r="AQ4662" s="2">
        <v>219.263847138676</v>
      </c>
      <c r="AR4662" s="2">
        <v>556.56041553944499</v>
      </c>
      <c r="AS4662" s="2">
        <v>110.46481122528201</v>
      </c>
      <c r="AT4662" s="2">
        <v>228.47100436613599</v>
      </c>
      <c r="AU4662" s="2">
        <v>94.689332128146603</v>
      </c>
      <c r="AV4662" s="2">
        <v>8.559877937157E-6</v>
      </c>
      <c r="AW4662" s="2">
        <v>256.97404419902699</v>
      </c>
      <c r="AX4662" s="2">
        <v>81.483950183826906</v>
      </c>
    </row>
    <row r="4663" spans="1:50" x14ac:dyDescent="0.25">
      <c r="A4663" s="2" t="s">
        <v>30603</v>
      </c>
      <c r="B4663" s="2">
        <v>287.14980964553598</v>
      </c>
      <c r="C4663" s="2">
        <v>9.1347333333333296</v>
      </c>
      <c r="D4663" s="2" t="s">
        <v>51</v>
      </c>
      <c r="E4663" s="2" t="s">
        <v>30604</v>
      </c>
      <c r="F4663" s="2">
        <v>208701</v>
      </c>
      <c r="G4663" s="3" t="str">
        <f>HYPERLINK("https://cloud.oebiotech.com/#/lm/network/208701", "https://cloud.oebiotech.com/#/lm/network/208701")</f>
        <v>https://cloud.oebiotech.com/#/lm/network/208701</v>
      </c>
      <c r="H4663" s="2" t="s">
        <v>30605</v>
      </c>
      <c r="I4663" s="2">
        <v>73153</v>
      </c>
      <c r="J4663" s="2"/>
      <c r="K4663" s="2">
        <v>10303</v>
      </c>
      <c r="L4663" s="2" t="s">
        <v>30606</v>
      </c>
      <c r="M4663" s="2"/>
      <c r="N4663" s="2"/>
      <c r="O4663" s="2"/>
      <c r="P4663" s="2"/>
      <c r="Q4663" s="2"/>
      <c r="R4663" s="2" t="s">
        <v>30607</v>
      </c>
      <c r="S4663" s="2" t="s">
        <v>30608</v>
      </c>
      <c r="T4663" s="2" t="s">
        <v>30609</v>
      </c>
      <c r="U4663" s="2" t="s">
        <v>266</v>
      </c>
      <c r="V4663" s="2" t="s">
        <v>9022</v>
      </c>
      <c r="W4663" s="2" t="s">
        <v>240</v>
      </c>
      <c r="X4663" s="2" t="s">
        <v>147</v>
      </c>
      <c r="Y4663" s="2">
        <v>36.299999999999997</v>
      </c>
      <c r="Z4663" s="2">
        <v>0</v>
      </c>
      <c r="AA4663" s="2" t="s">
        <v>512</v>
      </c>
      <c r="AB4663" s="2" t="s">
        <v>30610</v>
      </c>
      <c r="AC4663" s="2">
        <v>-1.6447120650268701</v>
      </c>
      <c r="AD4663" s="2"/>
      <c r="AE4663" s="2">
        <v>7.8656261234219399E-2</v>
      </c>
      <c r="AF4663" s="2">
        <v>432.47731784161999</v>
      </c>
      <c r="AG4663" s="2">
        <v>1125.2555792457099</v>
      </c>
      <c r="AH4663" s="4">
        <v>0.384336968257044</v>
      </c>
      <c r="AI4663" s="4">
        <v>-1.37955634316526</v>
      </c>
      <c r="AJ4663" s="4" t="s">
        <v>62</v>
      </c>
      <c r="AK4663" s="2">
        <v>0.32925482540962903</v>
      </c>
      <c r="AL4663" s="2">
        <v>0.63135842857913305</v>
      </c>
      <c r="AM4663" s="2">
        <v>441.039076614458</v>
      </c>
      <c r="AN4663" s="2">
        <v>505.28055777831202</v>
      </c>
      <c r="AO4663" s="2">
        <v>465.13706295325102</v>
      </c>
      <c r="AP4663" s="2">
        <v>598.45761608476198</v>
      </c>
      <c r="AQ4663" s="2">
        <v>211.49733137374301</v>
      </c>
      <c r="AR4663" s="2">
        <v>373.45226224519598</v>
      </c>
      <c r="AS4663" s="2">
        <v>562.57013055044195</v>
      </c>
      <c r="AT4663" s="2">
        <v>4485.8408008912502</v>
      </c>
      <c r="AU4663" s="2">
        <v>317.59872344004401</v>
      </c>
      <c r="AV4663" s="2">
        <v>347.51087135818199</v>
      </c>
      <c r="AW4663" s="2">
        <v>514.87008642986802</v>
      </c>
      <c r="AX4663" s="2">
        <v>523.14286280448403</v>
      </c>
    </row>
    <row r="4664" spans="1:50" x14ac:dyDescent="0.25">
      <c r="A4664" s="2" t="s">
        <v>30611</v>
      </c>
      <c r="B4664" s="2">
        <v>313.103245994882</v>
      </c>
      <c r="C4664" s="2">
        <v>9.0521333333333303</v>
      </c>
      <c r="D4664" s="2" t="s">
        <v>51</v>
      </c>
      <c r="E4664" s="2" t="s">
        <v>30612</v>
      </c>
      <c r="F4664" s="2">
        <v>210697</v>
      </c>
      <c r="G4664" s="3" t="str">
        <f>HYPERLINK("https://cloud.oebiotech.com/#/lm/network/210697", "https://cloud.oebiotech.com/#/lm/network/210697")</f>
        <v>https://cloud.oebiotech.com/#/lm/network/210697</v>
      </c>
      <c r="H4664" s="2" t="s">
        <v>30613</v>
      </c>
      <c r="I4664" s="2">
        <v>66690</v>
      </c>
      <c r="J4664" s="2"/>
      <c r="K4664" s="2">
        <v>135398749</v>
      </c>
      <c r="L4664" s="2" t="s">
        <v>30614</v>
      </c>
      <c r="M4664" s="2"/>
      <c r="N4664" s="2"/>
      <c r="O4664" s="2">
        <v>27623</v>
      </c>
      <c r="P4664" s="2"/>
      <c r="Q4664" s="2"/>
      <c r="R4664" s="2" t="s">
        <v>30615</v>
      </c>
      <c r="S4664" s="2" t="s">
        <v>30616</v>
      </c>
      <c r="T4664" s="2" t="s">
        <v>30617</v>
      </c>
      <c r="U4664" s="2" t="s">
        <v>266</v>
      </c>
      <c r="V4664" s="2" t="s">
        <v>13201</v>
      </c>
      <c r="W4664" s="2" t="s">
        <v>13202</v>
      </c>
      <c r="X4664" s="2" t="s">
        <v>147</v>
      </c>
      <c r="Y4664" s="2">
        <v>46.4</v>
      </c>
      <c r="Z4664" s="2">
        <v>43.1</v>
      </c>
      <c r="AA4664" s="2" t="s">
        <v>60</v>
      </c>
      <c r="AB4664" s="2" t="s">
        <v>30618</v>
      </c>
      <c r="AC4664" s="2">
        <v>-3.58449174837983</v>
      </c>
      <c r="AD4664" s="2"/>
      <c r="AE4664" s="2">
        <v>7.8650637441798996E-2</v>
      </c>
      <c r="AF4664" s="2">
        <v>8870.3353857960192</v>
      </c>
      <c r="AG4664" s="2">
        <v>9453.7555279027292</v>
      </c>
      <c r="AH4664" s="4">
        <v>0.938286944232401</v>
      </c>
      <c r="AI4664" s="4">
        <v>-9.1898903794237194E-2</v>
      </c>
      <c r="AJ4664" s="4" t="s">
        <v>62</v>
      </c>
      <c r="AK4664" s="2">
        <v>0.77665825129557298</v>
      </c>
      <c r="AL4664" s="2">
        <v>0.90070203511967495</v>
      </c>
      <c r="AM4664" s="2">
        <v>7810.51410267758</v>
      </c>
      <c r="AN4664" s="2">
        <v>12367.5326238868</v>
      </c>
      <c r="AO4664" s="2">
        <v>5215.5414649881004</v>
      </c>
      <c r="AP4664" s="2">
        <v>8777.4021475452992</v>
      </c>
      <c r="AQ4664" s="2">
        <v>4459.7867679298697</v>
      </c>
      <c r="AR4664" s="2">
        <v>14591.235207748499</v>
      </c>
      <c r="AS4664" s="2">
        <v>8675.31763419245</v>
      </c>
      <c r="AT4664" s="2">
        <v>8026.0079411567503</v>
      </c>
      <c r="AU4664" s="2">
        <v>8916.1449646869696</v>
      </c>
      <c r="AV4664" s="2">
        <v>8505.3234166575003</v>
      </c>
      <c r="AW4664" s="2">
        <v>15215.103149688301</v>
      </c>
      <c r="AX4664" s="2">
        <v>7384.63606103442</v>
      </c>
    </row>
    <row r="4665" spans="1:50" x14ac:dyDescent="0.25">
      <c r="A4665" s="2" t="s">
        <v>30619</v>
      </c>
      <c r="B4665" s="2">
        <v>325.15161220508401</v>
      </c>
      <c r="C4665" s="2">
        <v>3.77301666666667</v>
      </c>
      <c r="D4665" s="2" t="s">
        <v>51</v>
      </c>
      <c r="E4665" s="2" t="s">
        <v>30620</v>
      </c>
      <c r="F4665" s="2">
        <v>266863</v>
      </c>
      <c r="G4665" s="3" t="str">
        <f>HYPERLINK("https://cloud.oebiotech.com/#/lm/network/266863", "https://cloud.oebiotech.com/#/lm/network/266863")</f>
        <v>https://cloud.oebiotech.com/#/lm/network/266863</v>
      </c>
      <c r="H4665" s="2"/>
      <c r="I4665" s="2">
        <v>44128</v>
      </c>
      <c r="J4665" s="2"/>
      <c r="K4665" s="2">
        <v>9415</v>
      </c>
      <c r="L4665" s="2" t="s">
        <v>30621</v>
      </c>
      <c r="M4665" s="2"/>
      <c r="N4665" s="2"/>
      <c r="O4665" s="2"/>
      <c r="P4665" s="2"/>
      <c r="Q4665" s="2"/>
      <c r="R4665" s="2" t="s">
        <v>30622</v>
      </c>
      <c r="S4665" s="2" t="s">
        <v>30623</v>
      </c>
      <c r="T4665" s="2" t="s">
        <v>30624</v>
      </c>
      <c r="U4665" s="2" t="s">
        <v>266</v>
      </c>
      <c r="V4665" s="2" t="s">
        <v>30625</v>
      </c>
      <c r="W4665" s="2" t="s">
        <v>240</v>
      </c>
      <c r="X4665" s="2" t="s">
        <v>147</v>
      </c>
      <c r="Y4665" s="2">
        <v>36.9</v>
      </c>
      <c r="Z4665" s="2">
        <v>0</v>
      </c>
      <c r="AA4665" s="2" t="s">
        <v>122</v>
      </c>
      <c r="AB4665" s="2" t="s">
        <v>30626</v>
      </c>
      <c r="AC4665" s="2">
        <v>-2.8459094725715501</v>
      </c>
      <c r="AD4665" s="2"/>
      <c r="AE4665" s="2">
        <v>7.8638096515577099E-2</v>
      </c>
      <c r="AF4665" s="2">
        <v>703.004370188076</v>
      </c>
      <c r="AG4665" s="2">
        <v>1119.1642434843</v>
      </c>
      <c r="AH4665" s="4">
        <v>0.62815120683216996</v>
      </c>
      <c r="AI4665" s="4">
        <v>-0.67081621238011202</v>
      </c>
      <c r="AJ4665" s="4" t="s">
        <v>62</v>
      </c>
      <c r="AK4665" s="2">
        <v>0.49578608492564502</v>
      </c>
      <c r="AL4665" s="2">
        <v>0.73518516839452297</v>
      </c>
      <c r="AM4665" s="2">
        <v>1082.4716852444401</v>
      </c>
      <c r="AN4665" s="2">
        <v>8.559877937157E-6</v>
      </c>
      <c r="AO4665" s="2">
        <v>966.73430012143797</v>
      </c>
      <c r="AP4665" s="2">
        <v>147.55043846830199</v>
      </c>
      <c r="AQ4665" s="2">
        <v>557.67378092115496</v>
      </c>
      <c r="AR4665" s="2">
        <v>1463.59600781324</v>
      </c>
      <c r="AS4665" s="2">
        <v>8.559877937157E-6</v>
      </c>
      <c r="AT4665" s="2">
        <v>137.85057843340101</v>
      </c>
      <c r="AU4665" s="2">
        <v>1191.9097472748001</v>
      </c>
      <c r="AV4665" s="2">
        <v>3645.9887954163601</v>
      </c>
      <c r="AW4665" s="2">
        <v>708.23286510103401</v>
      </c>
      <c r="AX4665" s="2">
        <v>1031.0034661203299</v>
      </c>
    </row>
    <row r="4666" spans="1:50" x14ac:dyDescent="0.25">
      <c r="A4666" s="2" t="s">
        <v>30627</v>
      </c>
      <c r="B4666" s="2">
        <v>317.18330028877398</v>
      </c>
      <c r="C4666" s="2">
        <v>1.7034499999999999</v>
      </c>
      <c r="D4666" s="2" t="s">
        <v>51</v>
      </c>
      <c r="E4666" s="2" t="s">
        <v>30628</v>
      </c>
      <c r="F4666" s="2">
        <v>262782</v>
      </c>
      <c r="G4666" s="3" t="str">
        <f>HYPERLINK("https://cloud.oebiotech.com/#/lm/network/262782", "https://cloud.oebiotech.com/#/lm/network/262782")</f>
        <v>https://cloud.oebiotech.com/#/lm/network/262782</v>
      </c>
      <c r="H4666" s="2"/>
      <c r="I4666" s="2">
        <v>20163</v>
      </c>
      <c r="J4666" s="2"/>
      <c r="K4666" s="2">
        <v>145455647</v>
      </c>
      <c r="L4666" s="2"/>
      <c r="M4666" s="2"/>
      <c r="N4666" s="2"/>
      <c r="O4666" s="2"/>
      <c r="P4666" s="2"/>
      <c r="Q4666" s="2"/>
      <c r="R4666" s="2"/>
      <c r="S4666" s="2" t="s">
        <v>30629</v>
      </c>
      <c r="T4666" s="2" t="s">
        <v>30630</v>
      </c>
      <c r="U4666" s="2" t="s">
        <v>103</v>
      </c>
      <c r="V4666" s="2" t="s">
        <v>104</v>
      </c>
      <c r="W4666" s="2" t="s">
        <v>105</v>
      </c>
      <c r="X4666" s="2" t="s">
        <v>83</v>
      </c>
      <c r="Y4666" s="2">
        <v>46.8</v>
      </c>
      <c r="Z4666" s="2">
        <v>42.4</v>
      </c>
      <c r="AA4666" s="2" t="s">
        <v>259</v>
      </c>
      <c r="AB4666" s="2" t="s">
        <v>30631</v>
      </c>
      <c r="AC4666" s="2">
        <v>4.28234840648431</v>
      </c>
      <c r="AD4666" s="2"/>
      <c r="AE4666" s="2">
        <v>7.8637303301040296E-2</v>
      </c>
      <c r="AF4666" s="2">
        <v>1620.5062169749599</v>
      </c>
      <c r="AG4666" s="2">
        <v>1140.1845160760699</v>
      </c>
      <c r="AH4666" s="5">
        <v>1.42126664072927</v>
      </c>
      <c r="AI4666" s="5">
        <v>0.50717724083752203</v>
      </c>
      <c r="AJ4666" s="5" t="s">
        <v>139</v>
      </c>
      <c r="AK4666" s="2">
        <v>0.66566529986287803</v>
      </c>
      <c r="AL4666" s="2">
        <v>0.83800994174849597</v>
      </c>
      <c r="AM4666" s="2">
        <v>4771.2178645796103</v>
      </c>
      <c r="AN4666" s="2">
        <v>183.27751264054501</v>
      </c>
      <c r="AO4666" s="2">
        <v>8.559877937157E-6</v>
      </c>
      <c r="AP4666" s="2">
        <v>1.53685809659002</v>
      </c>
      <c r="AQ4666" s="2">
        <v>1582.34540039117</v>
      </c>
      <c r="AR4666" s="2">
        <v>3184.6596575819899</v>
      </c>
      <c r="AS4666" s="2">
        <v>8.559877937157E-6</v>
      </c>
      <c r="AT4666" s="2">
        <v>0.41280279321831997</v>
      </c>
      <c r="AU4666" s="2">
        <v>1324.0649528302399</v>
      </c>
      <c r="AV4666" s="2">
        <v>4555.6844866682004</v>
      </c>
      <c r="AW4666" s="2">
        <v>300.03760836865598</v>
      </c>
      <c r="AX4666" s="2">
        <v>660.90723723623</v>
      </c>
    </row>
    <row r="4667" spans="1:50" x14ac:dyDescent="0.25">
      <c r="A4667" s="2" t="s">
        <v>30632</v>
      </c>
      <c r="B4667" s="2">
        <v>392.22617829341402</v>
      </c>
      <c r="C4667" s="2">
        <v>14.035883333333301</v>
      </c>
      <c r="D4667" s="2" t="s">
        <v>51</v>
      </c>
      <c r="E4667" s="2" t="s">
        <v>30633</v>
      </c>
      <c r="F4667" s="2">
        <v>54673</v>
      </c>
      <c r="G4667" s="3" t="str">
        <f>HYPERLINK("https://cloud.oebiotech.com/#/lm/network/54673", "https://cloud.oebiotech.com/#/lm/network/54673")</f>
        <v>https://cloud.oebiotech.com/#/lm/network/54673</v>
      </c>
      <c r="H4667" s="2" t="s">
        <v>30634</v>
      </c>
      <c r="I4667" s="2">
        <v>86489</v>
      </c>
      <c r="J4667" s="2"/>
      <c r="K4667" s="2">
        <v>131750903</v>
      </c>
      <c r="L4667" s="2"/>
      <c r="M4667" s="2"/>
      <c r="N4667" s="2"/>
      <c r="O4667" s="2">
        <v>168143</v>
      </c>
      <c r="P4667" s="2"/>
      <c r="Q4667" s="2"/>
      <c r="R4667" s="2" t="s">
        <v>30635</v>
      </c>
      <c r="S4667" s="2" t="s">
        <v>30636</v>
      </c>
      <c r="T4667" s="2" t="s">
        <v>30637</v>
      </c>
      <c r="U4667" s="2" t="s">
        <v>56</v>
      </c>
      <c r="V4667" s="2" t="s">
        <v>145</v>
      </c>
      <c r="W4667" s="2" t="s">
        <v>3263</v>
      </c>
      <c r="X4667" s="2" t="s">
        <v>147</v>
      </c>
      <c r="Y4667" s="2">
        <v>37.9</v>
      </c>
      <c r="Z4667" s="2">
        <v>0</v>
      </c>
      <c r="AA4667" s="2" t="s">
        <v>512</v>
      </c>
      <c r="AB4667" s="2" t="s">
        <v>30638</v>
      </c>
      <c r="AC4667" s="2">
        <v>-4.5835979583941997</v>
      </c>
      <c r="AD4667" s="2"/>
      <c r="AE4667" s="2">
        <v>7.8235695444115197E-2</v>
      </c>
      <c r="AF4667" s="2">
        <v>1187.1879545130901</v>
      </c>
      <c r="AG4667" s="2">
        <v>899.47157255875197</v>
      </c>
      <c r="AH4667" s="5">
        <v>1.3198726793953699</v>
      </c>
      <c r="AI4667" s="5">
        <v>0.40039876771696498</v>
      </c>
      <c r="AJ4667" s="5" t="s">
        <v>139</v>
      </c>
      <c r="AK4667" s="2">
        <v>0.392081536228367</v>
      </c>
      <c r="AL4667" s="2">
        <v>0.66528673878009803</v>
      </c>
      <c r="AM4667" s="2">
        <v>1143.97955286762</v>
      </c>
      <c r="AN4667" s="2">
        <v>482.61084840431602</v>
      </c>
      <c r="AO4667" s="2">
        <v>1926.91518168159</v>
      </c>
      <c r="AP4667" s="2">
        <v>868.07074594722201</v>
      </c>
      <c r="AQ4667" s="2">
        <v>1919.0309322901401</v>
      </c>
      <c r="AR4667" s="2">
        <v>782.52046588764301</v>
      </c>
      <c r="AS4667" s="2">
        <v>219.354613437615</v>
      </c>
      <c r="AT4667" s="2">
        <v>856.35122125440296</v>
      </c>
      <c r="AU4667" s="2">
        <v>1770.0664772395901</v>
      </c>
      <c r="AV4667" s="2">
        <v>947.41029456023205</v>
      </c>
      <c r="AW4667" s="2">
        <v>883.85589114355798</v>
      </c>
      <c r="AX4667" s="2">
        <v>719.79093771711098</v>
      </c>
    </row>
    <row r="4668" spans="1:50" x14ac:dyDescent="0.25">
      <c r="A4668" s="2" t="s">
        <v>30639</v>
      </c>
      <c r="B4668" s="2">
        <v>164.070782893559</v>
      </c>
      <c r="C4668" s="2">
        <v>4.5305499999999999</v>
      </c>
      <c r="D4668" s="2" t="s">
        <v>51</v>
      </c>
      <c r="E4668" s="2" t="s">
        <v>30640</v>
      </c>
      <c r="F4668" s="2">
        <v>207808</v>
      </c>
      <c r="G4668" s="3" t="str">
        <f>HYPERLINK("https://cloud.oebiotech.com/#/lm/network/207808", "https://cloud.oebiotech.com/#/lm/network/207808")</f>
        <v>https://cloud.oebiotech.com/#/lm/network/207808</v>
      </c>
      <c r="H4668" s="2" t="s">
        <v>30641</v>
      </c>
      <c r="I4668" s="2">
        <v>327013</v>
      </c>
      <c r="J4668" s="2"/>
      <c r="K4668" s="2">
        <v>10328</v>
      </c>
      <c r="L4668" s="2"/>
      <c r="M4668" s="2"/>
      <c r="N4668" s="2"/>
      <c r="O4668" s="2">
        <v>43295</v>
      </c>
      <c r="P4668" s="2"/>
      <c r="Q4668" s="2"/>
      <c r="R4668" s="2"/>
      <c r="S4668" s="2" t="s">
        <v>30642</v>
      </c>
      <c r="T4668" s="2" t="s">
        <v>30643</v>
      </c>
      <c r="U4668" s="2" t="s">
        <v>266</v>
      </c>
      <c r="V4668" s="2" t="s">
        <v>445</v>
      </c>
      <c r="W4668" s="2" t="s">
        <v>8002</v>
      </c>
      <c r="X4668" s="2" t="s">
        <v>83</v>
      </c>
      <c r="Y4668" s="2">
        <v>39.700000000000003</v>
      </c>
      <c r="Z4668" s="2">
        <v>0</v>
      </c>
      <c r="AA4668" s="2" t="s">
        <v>218</v>
      </c>
      <c r="AB4668" s="2" t="s">
        <v>30644</v>
      </c>
      <c r="AC4668" s="2">
        <v>-7.7201885925483102</v>
      </c>
      <c r="AD4668" s="2"/>
      <c r="AE4668" s="2">
        <v>7.8221238858685802E-2</v>
      </c>
      <c r="AF4668" s="2">
        <v>986.54813354948601</v>
      </c>
      <c r="AG4668" s="2">
        <v>1426.7668839825001</v>
      </c>
      <c r="AH4668" s="4">
        <v>0.69145712913924795</v>
      </c>
      <c r="AI4668" s="4">
        <v>-0.53228828891365598</v>
      </c>
      <c r="AJ4668" s="4" t="s">
        <v>62</v>
      </c>
      <c r="AK4668" s="2">
        <v>0.23879413402288699</v>
      </c>
      <c r="AL4668" s="2">
        <v>0.56258760860868195</v>
      </c>
      <c r="AM4668" s="2">
        <v>855.26743851027095</v>
      </c>
      <c r="AN4668" s="2">
        <v>824.81585678522504</v>
      </c>
      <c r="AO4668" s="2">
        <v>1232.4529429576</v>
      </c>
      <c r="AP4668" s="2">
        <v>674.88698914302904</v>
      </c>
      <c r="AQ4668" s="2">
        <v>857.362941658164</v>
      </c>
      <c r="AR4668" s="2">
        <v>1474.5026322426299</v>
      </c>
      <c r="AS4668" s="2">
        <v>838.57999439238301</v>
      </c>
      <c r="AT4668" s="2">
        <v>1594.4542522890299</v>
      </c>
      <c r="AU4668" s="2">
        <v>2314.9299123067799</v>
      </c>
      <c r="AV4668" s="2">
        <v>545.83170834331395</v>
      </c>
      <c r="AW4668" s="2">
        <v>851.01140950589797</v>
      </c>
      <c r="AX4668" s="2">
        <v>2415.79402705757</v>
      </c>
    </row>
    <row r="4669" spans="1:50" x14ac:dyDescent="0.25">
      <c r="A4669" s="2" t="s">
        <v>30645</v>
      </c>
      <c r="B4669" s="2">
        <v>313.23853772365902</v>
      </c>
      <c r="C4669" s="2">
        <v>12.23695</v>
      </c>
      <c r="D4669" s="2" t="s">
        <v>51</v>
      </c>
      <c r="E4669" s="2" t="s">
        <v>30646</v>
      </c>
      <c r="F4669" s="2">
        <v>7794</v>
      </c>
      <c r="G4669" s="3" t="str">
        <f>HYPERLINK("https://cloud.oebiotech.com/#/lm/network/7794", "https://cloud.oebiotech.com/#/lm/network/7794")</f>
        <v>https://cloud.oebiotech.com/#/lm/network/7794</v>
      </c>
      <c r="H4669" s="2"/>
      <c r="I4669" s="2">
        <v>97406</v>
      </c>
      <c r="J4669" s="2" t="s">
        <v>30647</v>
      </c>
      <c r="K4669" s="2">
        <v>56936050</v>
      </c>
      <c r="L4669" s="2"/>
      <c r="M4669" s="2"/>
      <c r="N4669" s="2"/>
      <c r="O4669" s="2"/>
      <c r="P4669" s="2"/>
      <c r="Q4669" s="2"/>
      <c r="R4669" s="2"/>
      <c r="S4669" s="2" t="s">
        <v>30648</v>
      </c>
      <c r="T4669" s="2" t="s">
        <v>30649</v>
      </c>
      <c r="U4669" s="2" t="s">
        <v>540</v>
      </c>
      <c r="V4669" s="2" t="s">
        <v>563</v>
      </c>
      <c r="W4669" s="2" t="s">
        <v>240</v>
      </c>
      <c r="X4669" s="2" t="s">
        <v>69</v>
      </c>
      <c r="Y4669" s="2">
        <v>53.8</v>
      </c>
      <c r="Z4669" s="2">
        <v>45.5</v>
      </c>
      <c r="AA4669" s="2" t="s">
        <v>218</v>
      </c>
      <c r="AB4669" s="2" t="s">
        <v>20680</v>
      </c>
      <c r="AC4669" s="2">
        <v>0.38990534218071499</v>
      </c>
      <c r="AD4669" s="2"/>
      <c r="AE4669" s="2">
        <v>7.8148806926915407E-2</v>
      </c>
      <c r="AF4669" s="2">
        <v>10037.9905038258</v>
      </c>
      <c r="AG4669" s="2">
        <v>9940.0238459005704</v>
      </c>
      <c r="AH4669" s="5">
        <v>1.00985577695225</v>
      </c>
      <c r="AI4669" s="5">
        <v>1.4149268489083501E-2</v>
      </c>
      <c r="AJ4669" s="5" t="s">
        <v>139</v>
      </c>
      <c r="AK4669" s="2">
        <v>0.97615012050372996</v>
      </c>
      <c r="AL4669" s="2">
        <v>0.989990308409745</v>
      </c>
      <c r="AM4669" s="2">
        <v>22211.242650005301</v>
      </c>
      <c r="AN4669" s="2">
        <v>12324.253956770101</v>
      </c>
      <c r="AO4669" s="2">
        <v>4244.0605191657496</v>
      </c>
      <c r="AP4669" s="2">
        <v>12142.697833136201</v>
      </c>
      <c r="AQ4669" s="2">
        <v>1733.03489108857</v>
      </c>
      <c r="AR4669" s="2">
        <v>7572.6531727888696</v>
      </c>
      <c r="AS4669" s="2">
        <v>5717.3557789622</v>
      </c>
      <c r="AT4669" s="2">
        <v>9186.6850980644704</v>
      </c>
      <c r="AU4669" s="2">
        <v>10409.970177921001</v>
      </c>
      <c r="AV4669" s="2">
        <v>14495.0121312875</v>
      </c>
      <c r="AW4669" s="2">
        <v>10470.130151372699</v>
      </c>
      <c r="AX4669" s="2">
        <v>9360.9897377955604</v>
      </c>
    </row>
    <row r="4670" spans="1:50" x14ac:dyDescent="0.25">
      <c r="A4670" s="2" t="s">
        <v>30650</v>
      </c>
      <c r="B4670" s="2">
        <v>201.11262936573999</v>
      </c>
      <c r="C4670" s="2">
        <v>4.5548999999999999</v>
      </c>
      <c r="D4670" s="2" t="s">
        <v>51</v>
      </c>
      <c r="E4670" s="2" t="s">
        <v>30651</v>
      </c>
      <c r="F4670" s="2">
        <v>60674</v>
      </c>
      <c r="G4670" s="3" t="str">
        <f>HYPERLINK("https://cloud.oebiotech.com/#/lm/network/60674", "https://cloud.oebiotech.com/#/lm/network/60674")</f>
        <v>https://cloud.oebiotech.com/#/lm/network/60674</v>
      </c>
      <c r="H4670" s="2" t="s">
        <v>30652</v>
      </c>
      <c r="I4670" s="2">
        <v>92006</v>
      </c>
      <c r="J4670" s="2"/>
      <c r="K4670" s="2">
        <v>101115</v>
      </c>
      <c r="L4670" s="2"/>
      <c r="M4670" s="2"/>
      <c r="N4670" s="2"/>
      <c r="O4670" s="2">
        <v>171777</v>
      </c>
      <c r="P4670" s="2"/>
      <c r="Q4670" s="2"/>
      <c r="R4670" s="2" t="s">
        <v>30653</v>
      </c>
      <c r="S4670" s="2" t="s">
        <v>30654</v>
      </c>
      <c r="T4670" s="2" t="s">
        <v>30655</v>
      </c>
      <c r="U4670" s="2" t="s">
        <v>331</v>
      </c>
      <c r="V4670" s="2" t="s">
        <v>332</v>
      </c>
      <c r="W4670" s="2" t="s">
        <v>1207</v>
      </c>
      <c r="X4670" s="2" t="s">
        <v>147</v>
      </c>
      <c r="Y4670" s="2">
        <v>40</v>
      </c>
      <c r="Z4670" s="2">
        <v>11.4</v>
      </c>
      <c r="AA4670" s="2" t="s">
        <v>218</v>
      </c>
      <c r="AB4670" s="2" t="s">
        <v>1168</v>
      </c>
      <c r="AC4670" s="2">
        <v>-3.8641795138484198</v>
      </c>
      <c r="AD4670" s="2"/>
      <c r="AE4670" s="2">
        <v>7.7864941186786996E-2</v>
      </c>
      <c r="AF4670" s="2">
        <v>1501.3125850239301</v>
      </c>
      <c r="AG4670" s="2">
        <v>1824.5590311987</v>
      </c>
      <c r="AH4670" s="4">
        <v>0.82283585203466603</v>
      </c>
      <c r="AI4670" s="4">
        <v>-0.28132343954448302</v>
      </c>
      <c r="AJ4670" s="4" t="s">
        <v>62</v>
      </c>
      <c r="AK4670" s="2">
        <v>0.25301337806632401</v>
      </c>
      <c r="AL4670" s="2">
        <v>0.57619502323734795</v>
      </c>
      <c r="AM4670" s="2">
        <v>902.22252433529297</v>
      </c>
      <c r="AN4670" s="2">
        <v>2047.7807443643501</v>
      </c>
      <c r="AO4670" s="2">
        <v>1498.92607322003</v>
      </c>
      <c r="AP4670" s="2">
        <v>1061.8848390913399</v>
      </c>
      <c r="AQ4670" s="2">
        <v>1294.8066852531699</v>
      </c>
      <c r="AR4670" s="2">
        <v>2202.2546438793802</v>
      </c>
      <c r="AS4670" s="2">
        <v>1980.0382580164201</v>
      </c>
      <c r="AT4670" s="2">
        <v>1713.7582004481501</v>
      </c>
      <c r="AU4670" s="2">
        <v>2388.3048209610902</v>
      </c>
      <c r="AV4670" s="2">
        <v>1334.88380808074</v>
      </c>
      <c r="AW4670" s="2">
        <v>1496.10019454646</v>
      </c>
      <c r="AX4670" s="2">
        <v>2034.2689051393399</v>
      </c>
    </row>
    <row r="4671" spans="1:50" x14ac:dyDescent="0.25">
      <c r="A4671" s="2" t="s">
        <v>30656</v>
      </c>
      <c r="B4671" s="2">
        <v>153.01842414737001</v>
      </c>
      <c r="C4671" s="2">
        <v>4.4470999999999998</v>
      </c>
      <c r="D4671" s="2" t="s">
        <v>51</v>
      </c>
      <c r="E4671" s="2" t="s">
        <v>30657</v>
      </c>
      <c r="F4671" s="2">
        <v>52427</v>
      </c>
      <c r="G4671" s="3" t="str">
        <f>HYPERLINK("https://cloud.oebiotech.com/#/lm/network/52427", "https://cloud.oebiotech.com/#/lm/network/52427")</f>
        <v>https://cloud.oebiotech.com/#/lm/network/52427</v>
      </c>
      <c r="H4671" s="2" t="s">
        <v>30658</v>
      </c>
      <c r="I4671" s="2">
        <v>85249</v>
      </c>
      <c r="J4671" s="2"/>
      <c r="K4671" s="2">
        <v>9338</v>
      </c>
      <c r="L4671" s="2"/>
      <c r="M4671" s="2"/>
      <c r="N4671" s="2"/>
      <c r="O4671" s="2">
        <v>68465</v>
      </c>
      <c r="P4671" s="2"/>
      <c r="Q4671" s="2"/>
      <c r="R4671" s="2" t="s">
        <v>30659</v>
      </c>
      <c r="S4671" s="2" t="s">
        <v>30660</v>
      </c>
      <c r="T4671" s="2" t="s">
        <v>30661</v>
      </c>
      <c r="U4671" s="2" t="s">
        <v>610</v>
      </c>
      <c r="V4671" s="2" t="s">
        <v>611</v>
      </c>
      <c r="W4671" s="2" t="s">
        <v>1122</v>
      </c>
      <c r="X4671" s="2" t="s">
        <v>83</v>
      </c>
      <c r="Y4671" s="2">
        <v>41.6</v>
      </c>
      <c r="Z4671" s="2">
        <v>0</v>
      </c>
      <c r="AA4671" s="2" t="s">
        <v>163</v>
      </c>
      <c r="AB4671" s="2" t="s">
        <v>30662</v>
      </c>
      <c r="AC4671" s="2">
        <v>-5.8956780149382304</v>
      </c>
      <c r="AD4671" s="2"/>
      <c r="AE4671" s="2">
        <v>7.7779295279373398E-2</v>
      </c>
      <c r="AF4671" s="2">
        <v>2699.3581047186199</v>
      </c>
      <c r="AG4671" s="2">
        <v>3677.2635060334301</v>
      </c>
      <c r="AH4671" s="4">
        <v>0.73406708556231504</v>
      </c>
      <c r="AI4671" s="4">
        <v>-0.44601617952263101</v>
      </c>
      <c r="AJ4671" s="4" t="s">
        <v>62</v>
      </c>
      <c r="AK4671" s="2">
        <v>0.63402311334101902</v>
      </c>
      <c r="AL4671" s="2">
        <v>0.820119264563689</v>
      </c>
      <c r="AM4671" s="2">
        <v>983.89827971035004</v>
      </c>
      <c r="AN4671" s="2">
        <v>4088.4858456557699</v>
      </c>
      <c r="AO4671" s="2">
        <v>2362.47733800271</v>
      </c>
      <c r="AP4671" s="2">
        <v>2681.89912105039</v>
      </c>
      <c r="AQ4671" s="2">
        <v>298.54797710379398</v>
      </c>
      <c r="AR4671" s="2">
        <v>5780.8400667886999</v>
      </c>
      <c r="AS4671" s="2">
        <v>451.48888697647197</v>
      </c>
      <c r="AT4671" s="2">
        <v>659.344922512106</v>
      </c>
      <c r="AU4671" s="2">
        <v>12024.286235248301</v>
      </c>
      <c r="AV4671" s="2">
        <v>3137.1890992162398</v>
      </c>
      <c r="AW4671" s="2">
        <v>4902.6334756816404</v>
      </c>
      <c r="AX4671" s="2">
        <v>888.63841656580098</v>
      </c>
    </row>
    <row r="4672" spans="1:50" x14ac:dyDescent="0.25">
      <c r="A4672" s="2" t="s">
        <v>30663</v>
      </c>
      <c r="B4672" s="2">
        <v>232.02758943800299</v>
      </c>
      <c r="C4672" s="2">
        <v>0.84268333333333301</v>
      </c>
      <c r="D4672" s="2" t="s">
        <v>51</v>
      </c>
      <c r="E4672" s="2" t="s">
        <v>30664</v>
      </c>
      <c r="F4672" s="2">
        <v>47787</v>
      </c>
      <c r="G4672" s="3" t="str">
        <f>HYPERLINK("https://cloud.oebiotech.com/#/lm/network/47787", "https://cloud.oebiotech.com/#/lm/network/47787")</f>
        <v>https://cloud.oebiotech.com/#/lm/network/47787</v>
      </c>
      <c r="H4672" s="2" t="s">
        <v>30665</v>
      </c>
      <c r="I4672" s="2">
        <v>58089</v>
      </c>
      <c r="J4672" s="2"/>
      <c r="K4672" s="2">
        <v>123747</v>
      </c>
      <c r="L4672" s="2"/>
      <c r="M4672" s="2"/>
      <c r="N4672" s="2"/>
      <c r="O4672" s="2">
        <v>90022</v>
      </c>
      <c r="P4672" s="2"/>
      <c r="Q4672" s="2"/>
      <c r="R4672" s="2" t="s">
        <v>30666</v>
      </c>
      <c r="S4672" s="2" t="s">
        <v>30667</v>
      </c>
      <c r="T4672" s="2" t="s">
        <v>30668</v>
      </c>
      <c r="U4672" s="2" t="s">
        <v>103</v>
      </c>
      <c r="V4672" s="2" t="s">
        <v>4820</v>
      </c>
      <c r="W4672" s="2" t="s">
        <v>4821</v>
      </c>
      <c r="X4672" s="2" t="s">
        <v>83</v>
      </c>
      <c r="Y4672" s="2">
        <v>37.9</v>
      </c>
      <c r="Z4672" s="2">
        <v>0</v>
      </c>
      <c r="AA4672" s="2" t="s">
        <v>156</v>
      </c>
      <c r="AB4672" s="2" t="s">
        <v>30669</v>
      </c>
      <c r="AC4672" s="2">
        <v>0.681093002475612</v>
      </c>
      <c r="AD4672" s="2"/>
      <c r="AE4672" s="2">
        <v>7.7737620691300593E-2</v>
      </c>
      <c r="AF4672" s="2">
        <v>1769.72062162052</v>
      </c>
      <c r="AG4672" s="2">
        <v>1401.0927932520499</v>
      </c>
      <c r="AH4672" s="5">
        <v>1.2631002244418601</v>
      </c>
      <c r="AI4672" s="5">
        <v>0.33696911859379203</v>
      </c>
      <c r="AJ4672" s="5" t="s">
        <v>139</v>
      </c>
      <c r="AK4672" s="2">
        <v>0.34025962529349402</v>
      </c>
      <c r="AL4672" s="2">
        <v>0.63815037094278604</v>
      </c>
      <c r="AM4672" s="2">
        <v>1807.1414638382801</v>
      </c>
      <c r="AN4672" s="2">
        <v>1884.6062146808899</v>
      </c>
      <c r="AO4672" s="2">
        <v>2262.8908967750999</v>
      </c>
      <c r="AP4672" s="2">
        <v>2082.2963982709698</v>
      </c>
      <c r="AQ4672" s="2">
        <v>1978.01601734479</v>
      </c>
      <c r="AR4672" s="2">
        <v>603.37273881312001</v>
      </c>
      <c r="AS4672" s="2">
        <v>523.59564182986503</v>
      </c>
      <c r="AT4672" s="2">
        <v>896.787030687879</v>
      </c>
      <c r="AU4672" s="2">
        <v>1381.35734560132</v>
      </c>
      <c r="AV4672" s="2">
        <v>1698.5739863711001</v>
      </c>
      <c r="AW4672" s="2">
        <v>1413.00856340616</v>
      </c>
      <c r="AX4672" s="2">
        <v>2493.2341916159498</v>
      </c>
    </row>
    <row r="4673" spans="1:50" x14ac:dyDescent="0.25">
      <c r="A4673" s="2" t="s">
        <v>30670</v>
      </c>
      <c r="B4673" s="2">
        <v>285.22226251209298</v>
      </c>
      <c r="C4673" s="2">
        <v>10.0524166666667</v>
      </c>
      <c r="D4673" s="2" t="s">
        <v>51</v>
      </c>
      <c r="E4673" s="2" t="s">
        <v>30671</v>
      </c>
      <c r="F4673" s="2">
        <v>44911</v>
      </c>
      <c r="G4673" s="3" t="str">
        <f>HYPERLINK("https://cloud.oebiotech.com/#/lm/network/44911", "https://cloud.oebiotech.com/#/lm/network/44911")</f>
        <v>https://cloud.oebiotech.com/#/lm/network/44911</v>
      </c>
      <c r="H4673" s="2"/>
      <c r="I4673" s="2">
        <v>41849</v>
      </c>
      <c r="J4673" s="2" t="s">
        <v>30672</v>
      </c>
      <c r="K4673" s="2">
        <v>234454</v>
      </c>
      <c r="L4673" s="2" t="s">
        <v>30673</v>
      </c>
      <c r="M4673" s="2"/>
      <c r="N4673" s="2"/>
      <c r="O4673" s="2">
        <v>34980</v>
      </c>
      <c r="P4673" s="2"/>
      <c r="Q4673" s="2"/>
      <c r="R4673" s="2"/>
      <c r="S4673" s="2" t="s">
        <v>30674</v>
      </c>
      <c r="T4673" s="2" t="s">
        <v>30675</v>
      </c>
      <c r="U4673" s="2" t="s">
        <v>56</v>
      </c>
      <c r="V4673" s="2" t="s">
        <v>283</v>
      </c>
      <c r="W4673" s="2" t="s">
        <v>284</v>
      </c>
      <c r="X4673" s="2" t="s">
        <v>83</v>
      </c>
      <c r="Y4673" s="2">
        <v>50.1</v>
      </c>
      <c r="Z4673" s="2">
        <v>0</v>
      </c>
      <c r="AA4673" s="2" t="s">
        <v>156</v>
      </c>
      <c r="AB4673" s="2" t="s">
        <v>835</v>
      </c>
      <c r="AC4673" s="2">
        <v>3.2113895990674299</v>
      </c>
      <c r="AD4673" s="2"/>
      <c r="AE4673" s="2">
        <v>7.7659544105076403E-2</v>
      </c>
      <c r="AF4673" s="2">
        <v>1519.25741090775</v>
      </c>
      <c r="AG4673" s="2">
        <v>1206.6087779647401</v>
      </c>
      <c r="AH4673" s="5">
        <v>1.25911350775218</v>
      </c>
      <c r="AI4673" s="5">
        <v>0.33240834635295102</v>
      </c>
      <c r="AJ4673" s="5" t="s">
        <v>139</v>
      </c>
      <c r="AK4673" s="2">
        <v>0.59042253576375603</v>
      </c>
      <c r="AL4673" s="2">
        <v>0.79384060507313303</v>
      </c>
      <c r="AM4673" s="2">
        <v>2215.8364753063402</v>
      </c>
      <c r="AN4673" s="2">
        <v>862.40771649274802</v>
      </c>
      <c r="AO4673" s="2">
        <v>1303.8104480842501</v>
      </c>
      <c r="AP4673" s="2">
        <v>1994.82824878567</v>
      </c>
      <c r="AQ4673" s="2">
        <v>1219.44455372619</v>
      </c>
      <c r="AR4673" s="2">
        <v>1519.21702305132</v>
      </c>
      <c r="AS4673" s="2">
        <v>763.05231951294604</v>
      </c>
      <c r="AT4673" s="2">
        <v>651.06163858374202</v>
      </c>
      <c r="AU4673" s="2">
        <v>3760.11843408801</v>
      </c>
      <c r="AV4673" s="2">
        <v>209.99152474536899</v>
      </c>
      <c r="AW4673" s="2">
        <v>801.76411648430599</v>
      </c>
      <c r="AX4673" s="2">
        <v>1053.6646343740399</v>
      </c>
    </row>
    <row r="4674" spans="1:50" x14ac:dyDescent="0.25">
      <c r="A4674" s="2" t="s">
        <v>30676</v>
      </c>
      <c r="B4674" s="2">
        <v>483.15119732320602</v>
      </c>
      <c r="C4674" s="2">
        <v>5.7653333333333299</v>
      </c>
      <c r="D4674" s="2" t="s">
        <v>51</v>
      </c>
      <c r="E4674" s="2" t="s">
        <v>30677</v>
      </c>
      <c r="F4674" s="2">
        <v>255047</v>
      </c>
      <c r="G4674" s="3" t="str">
        <f>HYPERLINK("https://cloud.oebiotech.com/#/lm/network/255047", "https://cloud.oebiotech.com/#/lm/network/255047")</f>
        <v>https://cloud.oebiotech.com/#/lm/network/255047</v>
      </c>
      <c r="H4674" s="2" t="s">
        <v>30678</v>
      </c>
      <c r="I4674" s="2"/>
      <c r="J4674" s="2"/>
      <c r="K4674" s="2"/>
      <c r="L4674" s="2"/>
      <c r="M4674" s="2"/>
      <c r="N4674" s="2"/>
      <c r="O4674" s="2"/>
      <c r="P4674" s="2"/>
      <c r="Q4674" s="2"/>
      <c r="R4674" s="2"/>
      <c r="S4674" s="2" t="s">
        <v>30679</v>
      </c>
      <c r="T4674" s="2" t="s">
        <v>30680</v>
      </c>
      <c r="U4674" s="2" t="s">
        <v>331</v>
      </c>
      <c r="V4674" s="2" t="s">
        <v>332</v>
      </c>
      <c r="W4674" s="2" t="s">
        <v>333</v>
      </c>
      <c r="X4674" s="2" t="s">
        <v>147</v>
      </c>
      <c r="Y4674" s="2">
        <v>41.3</v>
      </c>
      <c r="Z4674" s="2">
        <v>14.8</v>
      </c>
      <c r="AA4674" s="2" t="s">
        <v>218</v>
      </c>
      <c r="AB4674" s="2" t="s">
        <v>500</v>
      </c>
      <c r="AC4674" s="2">
        <v>0.907044232321087</v>
      </c>
      <c r="AD4674" s="2"/>
      <c r="AE4674" s="2">
        <v>7.7657929532797099E-2</v>
      </c>
      <c r="AF4674" s="2">
        <v>1016.92402098528</v>
      </c>
      <c r="AG4674" s="2">
        <v>2235.4996417664202</v>
      </c>
      <c r="AH4674" s="4">
        <v>0.45489786801385301</v>
      </c>
      <c r="AI4674" s="4">
        <v>-1.13638542177252</v>
      </c>
      <c r="AJ4674" s="4" t="s">
        <v>62</v>
      </c>
      <c r="AK4674" s="2">
        <v>0.52749760409936097</v>
      </c>
      <c r="AL4674" s="2">
        <v>0.75541578468508697</v>
      </c>
      <c r="AM4674" s="2">
        <v>1722.53637539536</v>
      </c>
      <c r="AN4674" s="2">
        <v>8.559877937157E-6</v>
      </c>
      <c r="AO4674" s="2">
        <v>8.559877937157E-6</v>
      </c>
      <c r="AP4674" s="2">
        <v>2962.1254362067698</v>
      </c>
      <c r="AQ4674" s="2">
        <v>387.70557311789997</v>
      </c>
      <c r="AR4674" s="2">
        <v>1029.17672407187</v>
      </c>
      <c r="AS4674" s="2">
        <v>815.53204971159903</v>
      </c>
      <c r="AT4674" s="2">
        <v>11156.1762180518</v>
      </c>
      <c r="AU4674" s="2">
        <v>8.559877937157E-6</v>
      </c>
      <c r="AV4674" s="2">
        <v>1441.28955715548</v>
      </c>
      <c r="AW4674" s="2">
        <v>8.559877937157E-6</v>
      </c>
      <c r="AX4674" s="2">
        <v>8.559877937157E-6</v>
      </c>
    </row>
    <row r="4675" spans="1:50" x14ac:dyDescent="0.25">
      <c r="A4675" s="2" t="s">
        <v>30681</v>
      </c>
      <c r="B4675" s="2">
        <v>716.43691593845995</v>
      </c>
      <c r="C4675" s="2">
        <v>5.1612</v>
      </c>
      <c r="D4675" s="2" t="s">
        <v>51</v>
      </c>
      <c r="E4675" s="2" t="s">
        <v>30682</v>
      </c>
      <c r="F4675" s="2">
        <v>24677</v>
      </c>
      <c r="G4675" s="3" t="str">
        <f>HYPERLINK("https://cloud.oebiotech.com/#/lm/network/24677", "https://cloud.oebiotech.com/#/lm/network/24677")</f>
        <v>https://cloud.oebiotech.com/#/lm/network/24677</v>
      </c>
      <c r="H4675" s="2"/>
      <c r="I4675" s="2"/>
      <c r="J4675" s="2" t="s">
        <v>30683</v>
      </c>
      <c r="K4675" s="2">
        <v>52928414</v>
      </c>
      <c r="L4675" s="2"/>
      <c r="M4675" s="2"/>
      <c r="N4675" s="2"/>
      <c r="O4675" s="2"/>
      <c r="P4675" s="2"/>
      <c r="Q4675" s="2"/>
      <c r="R4675" s="2"/>
      <c r="S4675" s="2" t="s">
        <v>30684</v>
      </c>
      <c r="T4675" s="2" t="s">
        <v>30685</v>
      </c>
      <c r="U4675" s="2" t="s">
        <v>56</v>
      </c>
      <c r="V4675" s="2" t="s">
        <v>57</v>
      </c>
      <c r="W4675" s="2" t="s">
        <v>1097</v>
      </c>
      <c r="X4675" s="2" t="s">
        <v>147</v>
      </c>
      <c r="Y4675" s="2">
        <v>37.6</v>
      </c>
      <c r="Z4675" s="2">
        <v>6.27</v>
      </c>
      <c r="AA4675" s="2" t="s">
        <v>526</v>
      </c>
      <c r="AB4675" s="2" t="s">
        <v>30686</v>
      </c>
      <c r="AC4675" s="2">
        <v>3.5247731296200802</v>
      </c>
      <c r="AD4675" s="2"/>
      <c r="AE4675" s="2">
        <v>7.7613572829812003E-2</v>
      </c>
      <c r="AF4675" s="2">
        <v>2843.1819879026498</v>
      </c>
      <c r="AG4675" s="2">
        <v>4898.80742554688</v>
      </c>
      <c r="AH4675" s="4">
        <v>0.58038247698321099</v>
      </c>
      <c r="AI4675" s="4">
        <v>-0.78492413294489205</v>
      </c>
      <c r="AJ4675" s="4" t="s">
        <v>62</v>
      </c>
      <c r="AK4675" s="2">
        <v>0.69080997625278096</v>
      </c>
      <c r="AL4675" s="2">
        <v>0.85125338916827797</v>
      </c>
      <c r="AM4675" s="2">
        <v>8.559877937157E-6</v>
      </c>
      <c r="AN4675" s="2">
        <v>5.8924396657989497</v>
      </c>
      <c r="AO4675" s="2">
        <v>757.65526199798603</v>
      </c>
      <c r="AP4675" s="2">
        <v>8790.5154600948208</v>
      </c>
      <c r="AQ4675" s="2">
        <v>6603.0535669467199</v>
      </c>
      <c r="AR4675" s="2">
        <v>901.97519015069304</v>
      </c>
      <c r="AS4675" s="2">
        <v>8.559877937157E-6</v>
      </c>
      <c r="AT4675" s="2">
        <v>28736.438440375499</v>
      </c>
      <c r="AU4675" s="2">
        <v>8.559877937157E-6</v>
      </c>
      <c r="AV4675" s="2">
        <v>656.40607866629796</v>
      </c>
      <c r="AW4675" s="2">
        <v>8.559877937157E-6</v>
      </c>
      <c r="AX4675" s="2">
        <v>8.559877937157E-6</v>
      </c>
    </row>
    <row r="4676" spans="1:50" x14ac:dyDescent="0.25">
      <c r="A4676" s="2" t="s">
        <v>30687</v>
      </c>
      <c r="B4676" s="2">
        <v>359.29581009628703</v>
      </c>
      <c r="C4676" s="2">
        <v>14.2356833333333</v>
      </c>
      <c r="D4676" s="2" t="s">
        <v>51</v>
      </c>
      <c r="E4676" s="2" t="s">
        <v>30688</v>
      </c>
      <c r="F4676" s="2">
        <v>1230</v>
      </c>
      <c r="G4676" s="3" t="str">
        <f>HYPERLINK("https://cloud.oebiotech.com/#/lm/network/1230", "https://cloud.oebiotech.com/#/lm/network/1230")</f>
        <v>https://cloud.oebiotech.com/#/lm/network/1230</v>
      </c>
      <c r="H4676" s="2" t="s">
        <v>30689</v>
      </c>
      <c r="I4676" s="2">
        <v>74355</v>
      </c>
      <c r="J4676" s="2" t="s">
        <v>30690</v>
      </c>
      <c r="K4676" s="2">
        <v>52921800</v>
      </c>
      <c r="L4676" s="2"/>
      <c r="M4676" s="2"/>
      <c r="N4676" s="2"/>
      <c r="O4676" s="2">
        <v>77526</v>
      </c>
      <c r="P4676" s="2"/>
      <c r="Q4676" s="2"/>
      <c r="R4676" s="2"/>
      <c r="S4676" s="2" t="s">
        <v>30691</v>
      </c>
      <c r="T4676" s="2" t="s">
        <v>30692</v>
      </c>
      <c r="U4676" s="2" t="s">
        <v>56</v>
      </c>
      <c r="V4676" s="2" t="s">
        <v>145</v>
      </c>
      <c r="W4676" s="2" t="s">
        <v>231</v>
      </c>
      <c r="X4676" s="2" t="s">
        <v>83</v>
      </c>
      <c r="Y4676" s="2">
        <v>46.9</v>
      </c>
      <c r="Z4676" s="2">
        <v>0</v>
      </c>
      <c r="AA4676" s="2" t="s">
        <v>163</v>
      </c>
      <c r="AB4676" s="2" t="s">
        <v>20028</v>
      </c>
      <c r="AC4676" s="2">
        <v>0.71053110124781005</v>
      </c>
      <c r="AD4676" s="2"/>
      <c r="AE4676" s="2">
        <v>7.7605991058277105E-2</v>
      </c>
      <c r="AF4676" s="2">
        <v>5830.2864293272396</v>
      </c>
      <c r="AG4676" s="2">
        <v>5079.8266087717302</v>
      </c>
      <c r="AH4676" s="5">
        <v>1.1477333535872301</v>
      </c>
      <c r="AI4676" s="5">
        <v>0.19878750774506901</v>
      </c>
      <c r="AJ4676" s="5" t="s">
        <v>139</v>
      </c>
      <c r="AK4676" s="2">
        <v>0.52412753702060799</v>
      </c>
      <c r="AL4676" s="2">
        <v>0.75308450805695804</v>
      </c>
      <c r="AM4676" s="2">
        <v>6167.7666945608999</v>
      </c>
      <c r="AN4676" s="2">
        <v>3670.76911050843</v>
      </c>
      <c r="AO4676" s="2">
        <v>3245.4442480703201</v>
      </c>
      <c r="AP4676" s="2">
        <v>5250.9418245350198</v>
      </c>
      <c r="AQ4676" s="2">
        <v>7087.4946009648202</v>
      </c>
      <c r="AR4676" s="2">
        <v>9559.3020973239709</v>
      </c>
      <c r="AS4676" s="2">
        <v>2763.8353334078101</v>
      </c>
      <c r="AT4676" s="2">
        <v>4749.57368228224</v>
      </c>
      <c r="AU4676" s="2">
        <v>6306.2706484243199</v>
      </c>
      <c r="AV4676" s="2">
        <v>7046.9144879441501</v>
      </c>
      <c r="AW4676" s="2">
        <v>5307.9264509428103</v>
      </c>
      <c r="AX4676" s="2">
        <v>4304.4390496290698</v>
      </c>
    </row>
    <row r="4677" spans="1:50" x14ac:dyDescent="0.25">
      <c r="A4677" s="2" t="s">
        <v>30693</v>
      </c>
      <c r="B4677" s="2">
        <v>560.07954863562202</v>
      </c>
      <c r="C4677" s="2">
        <v>3.6124666666666698</v>
      </c>
      <c r="D4677" s="2" t="s">
        <v>51</v>
      </c>
      <c r="E4677" s="2" t="s">
        <v>30694</v>
      </c>
      <c r="F4677" s="2">
        <v>277179</v>
      </c>
      <c r="G4677" s="3" t="str">
        <f>HYPERLINK("https://cloud.oebiotech.com/#/lm/network/277179", "https://cloud.oebiotech.com/#/lm/network/277179")</f>
        <v>https://cloud.oebiotech.com/#/lm/network/277179</v>
      </c>
      <c r="H4677" s="2"/>
      <c r="I4677" s="2">
        <v>68912</v>
      </c>
      <c r="J4677" s="2"/>
      <c r="K4677" s="2">
        <v>9571080</v>
      </c>
      <c r="L4677" s="2" t="s">
        <v>30695</v>
      </c>
      <c r="M4677" s="2"/>
      <c r="N4677" s="2"/>
      <c r="O4677" s="2"/>
      <c r="P4677" s="2"/>
      <c r="Q4677" s="2"/>
      <c r="R4677" s="2" t="s">
        <v>30696</v>
      </c>
      <c r="S4677" s="2" t="s">
        <v>30697</v>
      </c>
      <c r="T4677" s="2" t="s">
        <v>30698</v>
      </c>
      <c r="U4677" s="2" t="s">
        <v>266</v>
      </c>
      <c r="V4677" s="2" t="s">
        <v>267</v>
      </c>
      <c r="W4677" s="2" t="s">
        <v>268</v>
      </c>
      <c r="X4677" s="2" t="s">
        <v>147</v>
      </c>
      <c r="Y4677" s="2">
        <v>36.700000000000003</v>
      </c>
      <c r="Z4677" s="2">
        <v>0</v>
      </c>
      <c r="AA4677" s="2" t="s">
        <v>218</v>
      </c>
      <c r="AB4677" s="2" t="s">
        <v>30699</v>
      </c>
      <c r="AC4677" s="2">
        <v>3.76462232146153</v>
      </c>
      <c r="AD4677" s="2"/>
      <c r="AE4677" s="2">
        <v>7.7582008551531301E-2</v>
      </c>
      <c r="AF4677" s="2">
        <v>5172.0494195875199</v>
      </c>
      <c r="AG4677" s="2">
        <v>5676.1079922204599</v>
      </c>
      <c r="AH4677" s="4">
        <v>0.91119644423189505</v>
      </c>
      <c r="AI4677" s="4">
        <v>-0.13416597766906099</v>
      </c>
      <c r="AJ4677" s="4" t="s">
        <v>62</v>
      </c>
      <c r="AK4677" s="2">
        <v>0.71183728228113397</v>
      </c>
      <c r="AL4677" s="2">
        <v>0.86345361275391197</v>
      </c>
      <c r="AM4677" s="2">
        <v>3197.3519845918199</v>
      </c>
      <c r="AN4677" s="2">
        <v>4586.3123284840203</v>
      </c>
      <c r="AO4677" s="2">
        <v>3408.1308257014098</v>
      </c>
      <c r="AP4677" s="2">
        <v>7931.9958358101003</v>
      </c>
      <c r="AQ4677" s="2">
        <v>5917.7016206040198</v>
      </c>
      <c r="AR4677" s="2">
        <v>5990.8039223337501</v>
      </c>
      <c r="AS4677" s="2">
        <v>6667.5425949076698</v>
      </c>
      <c r="AT4677" s="2">
        <v>9634.8052020511805</v>
      </c>
      <c r="AU4677" s="2">
        <v>3988.0904324495</v>
      </c>
      <c r="AV4677" s="2">
        <v>1887.63627346616</v>
      </c>
      <c r="AW4677" s="2">
        <v>4805.1619338386399</v>
      </c>
      <c r="AX4677" s="2">
        <v>7073.4115166095999</v>
      </c>
    </row>
    <row r="4678" spans="1:50" x14ac:dyDescent="0.25">
      <c r="A4678" s="2" t="s">
        <v>30700</v>
      </c>
      <c r="B4678" s="2">
        <v>207.077010634445</v>
      </c>
      <c r="C4678" s="2">
        <v>4.5305499999999999</v>
      </c>
      <c r="D4678" s="2" t="s">
        <v>51</v>
      </c>
      <c r="E4678" s="2" t="s">
        <v>30701</v>
      </c>
      <c r="F4678" s="2">
        <v>210266</v>
      </c>
      <c r="G4678" s="3" t="str">
        <f>HYPERLINK("https://cloud.oebiotech.com/#/lm/network/210266", "https://cloud.oebiotech.com/#/lm/network/210266")</f>
        <v>https://cloud.oebiotech.com/#/lm/network/210266</v>
      </c>
      <c r="H4678" s="2" t="s">
        <v>30702</v>
      </c>
      <c r="I4678" s="2">
        <v>324081</v>
      </c>
      <c r="J4678" s="2"/>
      <c r="K4678" s="2">
        <v>7090</v>
      </c>
      <c r="L4678" s="2"/>
      <c r="M4678" s="2"/>
      <c r="N4678" s="2"/>
      <c r="O4678" s="2"/>
      <c r="P4678" s="2"/>
      <c r="Q4678" s="2"/>
      <c r="R4678" s="2"/>
      <c r="S4678" s="2" t="s">
        <v>30703</v>
      </c>
      <c r="T4678" s="2" t="s">
        <v>30704</v>
      </c>
      <c r="U4678" s="2" t="s">
        <v>610</v>
      </c>
      <c r="V4678" s="2" t="s">
        <v>611</v>
      </c>
      <c r="W4678" s="2" t="s">
        <v>240</v>
      </c>
      <c r="X4678" s="2" t="s">
        <v>147</v>
      </c>
      <c r="Y4678" s="2">
        <v>37.200000000000003</v>
      </c>
      <c r="Z4678" s="2">
        <v>0</v>
      </c>
      <c r="AA4678" s="2" t="s">
        <v>218</v>
      </c>
      <c r="AB4678" s="2" t="s">
        <v>30705</v>
      </c>
      <c r="AC4678" s="2">
        <v>-3.1169024966760301</v>
      </c>
      <c r="AD4678" s="2"/>
      <c r="AE4678" s="2">
        <v>7.7409310486632896E-2</v>
      </c>
      <c r="AF4678" s="2">
        <v>576.17362484255</v>
      </c>
      <c r="AG4678" s="2">
        <v>919.88193833239495</v>
      </c>
      <c r="AH4678" s="4">
        <v>0.62635605813400896</v>
      </c>
      <c r="AI4678" s="4">
        <v>-0.67494509064892905</v>
      </c>
      <c r="AJ4678" s="4" t="s">
        <v>62</v>
      </c>
      <c r="AK4678" s="2">
        <v>0.163373082378687</v>
      </c>
      <c r="AL4678" s="2">
        <v>0.48434324587146799</v>
      </c>
      <c r="AM4678" s="2">
        <v>521.94160559767499</v>
      </c>
      <c r="AN4678" s="2">
        <v>460.941091926274</v>
      </c>
      <c r="AO4678" s="2">
        <v>761.97763157942495</v>
      </c>
      <c r="AP4678" s="2">
        <v>441.56792931121998</v>
      </c>
      <c r="AQ4678" s="2">
        <v>457.48613093181098</v>
      </c>
      <c r="AR4678" s="2">
        <v>813.12735970889401</v>
      </c>
      <c r="AS4678" s="2">
        <v>540.51824453713596</v>
      </c>
      <c r="AT4678" s="2">
        <v>1083.8460247637599</v>
      </c>
      <c r="AU4678" s="2">
        <v>1385.9489782885601</v>
      </c>
      <c r="AV4678" s="2">
        <v>281.04303124379101</v>
      </c>
      <c r="AW4678" s="2">
        <v>587.07201115296095</v>
      </c>
      <c r="AX4678" s="2">
        <v>1640.8633400081601</v>
      </c>
    </row>
    <row r="4679" spans="1:50" x14ac:dyDescent="0.25">
      <c r="A4679" s="2" t="s">
        <v>30706</v>
      </c>
      <c r="B4679" s="2">
        <v>84.04516568839</v>
      </c>
      <c r="C4679" s="2">
        <v>0.76721666666666699</v>
      </c>
      <c r="D4679" s="2" t="s">
        <v>51</v>
      </c>
      <c r="E4679" s="2" t="s">
        <v>30707</v>
      </c>
      <c r="F4679" s="2">
        <v>60212</v>
      </c>
      <c r="G4679" s="3" t="str">
        <f>HYPERLINK("https://cloud.oebiotech.com/#/lm/network/60212", "https://cloud.oebiotech.com/#/lm/network/60212")</f>
        <v>https://cloud.oebiotech.com/#/lm/network/60212</v>
      </c>
      <c r="H4679" s="2" t="s">
        <v>30708</v>
      </c>
      <c r="I4679" s="2">
        <v>6029</v>
      </c>
      <c r="J4679" s="2"/>
      <c r="K4679" s="2">
        <v>535</v>
      </c>
      <c r="L4679" s="2" t="s">
        <v>30709</v>
      </c>
      <c r="M4679" s="2" t="s">
        <v>8993</v>
      </c>
      <c r="N4679" s="2" t="s">
        <v>8994</v>
      </c>
      <c r="O4679" s="2">
        <v>18053</v>
      </c>
      <c r="P4679" s="2"/>
      <c r="Q4679" s="2"/>
      <c r="R4679" s="2" t="s">
        <v>30710</v>
      </c>
      <c r="S4679" s="2" t="s">
        <v>30711</v>
      </c>
      <c r="T4679" s="2" t="s">
        <v>30712</v>
      </c>
      <c r="U4679" s="2" t="s">
        <v>103</v>
      </c>
      <c r="V4679" s="2" t="s">
        <v>104</v>
      </c>
      <c r="W4679" s="2" t="s">
        <v>105</v>
      </c>
      <c r="X4679" s="2" t="s">
        <v>69</v>
      </c>
      <c r="Y4679" s="2">
        <v>61.2</v>
      </c>
      <c r="Z4679" s="2">
        <v>63.7</v>
      </c>
      <c r="AA4679" s="2" t="s">
        <v>156</v>
      </c>
      <c r="AB4679" s="2" t="s">
        <v>30713</v>
      </c>
      <c r="AC4679" s="2">
        <v>7.6742978336993399</v>
      </c>
      <c r="AD4679" s="2"/>
      <c r="AE4679" s="2">
        <v>7.7368127290202204E-2</v>
      </c>
      <c r="AF4679" s="2">
        <v>32561.414816663601</v>
      </c>
      <c r="AG4679" s="2">
        <v>35221.761871813498</v>
      </c>
      <c r="AH4679" s="4">
        <v>0.92446865478132501</v>
      </c>
      <c r="AI4679" s="4">
        <v>-0.113303690734555</v>
      </c>
      <c r="AJ4679" s="4" t="s">
        <v>62</v>
      </c>
      <c r="AK4679" s="2">
        <v>0.57824153364170405</v>
      </c>
      <c r="AL4679" s="2">
        <v>0.78702888244630897</v>
      </c>
      <c r="AM4679" s="2">
        <v>48530.454083558703</v>
      </c>
      <c r="AN4679" s="2">
        <v>25960.139260322401</v>
      </c>
      <c r="AO4679" s="2">
        <v>28037.706793756701</v>
      </c>
      <c r="AP4679" s="2">
        <v>37778.979572766497</v>
      </c>
      <c r="AQ4679" s="2">
        <v>29526.4214102226</v>
      </c>
      <c r="AR4679" s="2">
        <v>25534.787779354701</v>
      </c>
      <c r="AS4679" s="2">
        <v>23868.970042364399</v>
      </c>
      <c r="AT4679" s="2">
        <v>34456.582442087099</v>
      </c>
      <c r="AU4679" s="2">
        <v>42943.778519567102</v>
      </c>
      <c r="AV4679" s="2">
        <v>31553.566291850599</v>
      </c>
      <c r="AW4679" s="2">
        <v>40497.633889071702</v>
      </c>
      <c r="AX4679" s="2">
        <v>38010.040045940201</v>
      </c>
    </row>
    <row r="4680" spans="1:50" x14ac:dyDescent="0.25">
      <c r="A4680" s="2" t="s">
        <v>30714</v>
      </c>
      <c r="B4680" s="2">
        <v>284.13646998990401</v>
      </c>
      <c r="C4680" s="2">
        <v>0.59993333333333299</v>
      </c>
      <c r="D4680" s="2" t="s">
        <v>51</v>
      </c>
      <c r="E4680" s="2" t="s">
        <v>30715</v>
      </c>
      <c r="F4680" s="2">
        <v>53907</v>
      </c>
      <c r="G4680" s="3" t="str">
        <f>HYPERLINK("https://cloud.oebiotech.com/#/lm/network/53907", "https://cloud.oebiotech.com/#/lm/network/53907")</f>
        <v>https://cloud.oebiotech.com/#/lm/network/53907</v>
      </c>
      <c r="H4680" s="2" t="s">
        <v>30716</v>
      </c>
      <c r="I4680" s="2">
        <v>23820</v>
      </c>
      <c r="J4680" s="2"/>
      <c r="K4680" s="2">
        <v>9900427</v>
      </c>
      <c r="L4680" s="2"/>
      <c r="M4680" s="2"/>
      <c r="N4680" s="2"/>
      <c r="O4680" s="2"/>
      <c r="P4680" s="2"/>
      <c r="Q4680" s="2"/>
      <c r="R4680" s="2" t="s">
        <v>30717</v>
      </c>
      <c r="S4680" s="2" t="s">
        <v>30718</v>
      </c>
      <c r="T4680" s="2" t="s">
        <v>30719</v>
      </c>
      <c r="U4680" s="2" t="s">
        <v>103</v>
      </c>
      <c r="V4680" s="2" t="s">
        <v>104</v>
      </c>
      <c r="W4680" s="2" t="s">
        <v>105</v>
      </c>
      <c r="X4680" s="2" t="s">
        <v>83</v>
      </c>
      <c r="Y4680" s="2">
        <v>39.1</v>
      </c>
      <c r="Z4680" s="2">
        <v>0</v>
      </c>
      <c r="AA4680" s="2" t="s">
        <v>259</v>
      </c>
      <c r="AB4680" s="2" t="s">
        <v>30720</v>
      </c>
      <c r="AC4680" s="2">
        <v>4.02471764011338</v>
      </c>
      <c r="AD4680" s="2"/>
      <c r="AE4680" s="2">
        <v>7.7324176263001504E-2</v>
      </c>
      <c r="AF4680" s="2">
        <v>2088.44791273691</v>
      </c>
      <c r="AG4680" s="2">
        <v>1864.44086780471</v>
      </c>
      <c r="AH4680" s="5">
        <v>1.1201470364656601</v>
      </c>
      <c r="AI4680" s="5">
        <v>0.16368812054774201</v>
      </c>
      <c r="AJ4680" s="5" t="s">
        <v>139</v>
      </c>
      <c r="AK4680" s="2">
        <v>0.53438179458190604</v>
      </c>
      <c r="AL4680" s="2">
        <v>0.76085213382309003</v>
      </c>
      <c r="AM4680" s="2">
        <v>2179.06703597045</v>
      </c>
      <c r="AN4680" s="2">
        <v>2290.4060729502198</v>
      </c>
      <c r="AO4680" s="2">
        <v>2401.5894438078099</v>
      </c>
      <c r="AP4680" s="2">
        <v>1481.21495637624</v>
      </c>
      <c r="AQ4680" s="2">
        <v>2339.1989717656802</v>
      </c>
      <c r="AR4680" s="2">
        <v>1839.21099555104</v>
      </c>
      <c r="AS4680" s="2">
        <v>689.15892880357001</v>
      </c>
      <c r="AT4680" s="2">
        <v>1865.4096249418101</v>
      </c>
      <c r="AU4680" s="2">
        <v>2928.8999856751898</v>
      </c>
      <c r="AV4680" s="2">
        <v>1344.5585352406199</v>
      </c>
      <c r="AW4680" s="2">
        <v>2255.8734674064099</v>
      </c>
      <c r="AX4680" s="2">
        <v>2102.7446647606898</v>
      </c>
    </row>
    <row r="4681" spans="1:50" x14ac:dyDescent="0.25">
      <c r="A4681" s="2" t="s">
        <v>30721</v>
      </c>
      <c r="B4681" s="2">
        <v>147.04</v>
      </c>
      <c r="C4681" s="2">
        <v>9.7089999999999996</v>
      </c>
      <c r="D4681" s="2" t="s">
        <v>125</v>
      </c>
      <c r="E4681" s="2" t="s">
        <v>30722</v>
      </c>
      <c r="F4681" s="2">
        <v>1652</v>
      </c>
      <c r="G4681" s="3" t="str">
        <f>HYPERLINK("https://cloud.oebiotech.com/#/lm/network/1652", "https://cloud.oebiotech.com/#/lm/network/1652")</f>
        <v>https://cloud.oebiotech.com/#/lm/network/1652</v>
      </c>
      <c r="H4681" s="2" t="s">
        <v>30723</v>
      </c>
      <c r="I4681" s="2">
        <v>4159</v>
      </c>
      <c r="J4681" s="2" t="s">
        <v>30724</v>
      </c>
      <c r="K4681" s="2">
        <v>10413</v>
      </c>
      <c r="L4681" s="2" t="s">
        <v>30725</v>
      </c>
      <c r="M4681" s="2" t="s">
        <v>21740</v>
      </c>
      <c r="N4681" s="2" t="s">
        <v>21741</v>
      </c>
      <c r="O4681" s="2">
        <v>30830</v>
      </c>
      <c r="P4681" s="2"/>
      <c r="Q4681" s="2"/>
      <c r="R4681" s="2" t="s">
        <v>30726</v>
      </c>
      <c r="S4681" s="2" t="s">
        <v>30727</v>
      </c>
      <c r="T4681" s="2" t="s">
        <v>30728</v>
      </c>
      <c r="U4681" s="2" t="s">
        <v>56</v>
      </c>
      <c r="V4681" s="2" t="s">
        <v>145</v>
      </c>
      <c r="W4681" s="2" t="s">
        <v>231</v>
      </c>
      <c r="X4681" s="2" t="s">
        <v>59</v>
      </c>
      <c r="Y4681" s="2">
        <v>78.099999999999994</v>
      </c>
      <c r="Z4681" s="2">
        <v>64.5</v>
      </c>
      <c r="AA4681" s="2"/>
      <c r="AB4681" s="2" t="s">
        <v>6186</v>
      </c>
      <c r="AC4681" s="2"/>
      <c r="AD4681" s="2">
        <v>327965.04451038601</v>
      </c>
      <c r="AE4681" s="2">
        <v>7.7300042748445402E-2</v>
      </c>
      <c r="AF4681" s="2">
        <v>6679.0916912263401</v>
      </c>
      <c r="AG4681" s="2">
        <v>9733.1787897898594</v>
      </c>
      <c r="AH4681" s="4">
        <v>0.68621894608909595</v>
      </c>
      <c r="AI4681" s="4">
        <v>-0.54325913650644098</v>
      </c>
      <c r="AJ4681" s="4" t="s">
        <v>62</v>
      </c>
      <c r="AK4681" s="2">
        <v>0.36201185561446297</v>
      </c>
      <c r="AL4681" s="2">
        <v>0.64658976738359497</v>
      </c>
      <c r="AM4681" s="2">
        <v>7876.5635877084997</v>
      </c>
      <c r="AN4681" s="2">
        <v>2299.8352172700202</v>
      </c>
      <c r="AO4681" s="2">
        <v>9001.9541315463593</v>
      </c>
      <c r="AP4681" s="2">
        <v>12317.774256626501</v>
      </c>
      <c r="AQ4681" s="2">
        <v>6278.5877369366599</v>
      </c>
      <c r="AR4681" s="2">
        <v>2299.8352172700202</v>
      </c>
      <c r="AS4681" s="2">
        <v>2299.8352172700202</v>
      </c>
      <c r="AT4681" s="2">
        <v>11646.329216943401</v>
      </c>
      <c r="AU4681" s="2">
        <v>13962.330433695201</v>
      </c>
      <c r="AV4681" s="2">
        <v>19547.6096688246</v>
      </c>
      <c r="AW4681" s="2">
        <v>8643.1329847359393</v>
      </c>
      <c r="AX4681" s="2">
        <v>2299.8352172700202</v>
      </c>
    </row>
    <row r="4682" spans="1:50" x14ac:dyDescent="0.25">
      <c r="A4682" s="2" t="s">
        <v>30729</v>
      </c>
      <c r="B4682" s="2">
        <v>290.08822395037703</v>
      </c>
      <c r="C4682" s="2">
        <v>0.74113333333333298</v>
      </c>
      <c r="D4682" s="2" t="s">
        <v>51</v>
      </c>
      <c r="E4682" s="2" t="s">
        <v>30730</v>
      </c>
      <c r="F4682" s="2">
        <v>209764</v>
      </c>
      <c r="G4682" s="3" t="str">
        <f>HYPERLINK("https://cloud.oebiotech.com/#/lm/network/209764", "https://cloud.oebiotech.com/#/lm/network/209764")</f>
        <v>https://cloud.oebiotech.com/#/lm/network/209764</v>
      </c>
      <c r="H4682" s="2" t="s">
        <v>30731</v>
      </c>
      <c r="I4682" s="2"/>
      <c r="J4682" s="2"/>
      <c r="K4682" s="2">
        <v>3266376</v>
      </c>
      <c r="L4682" s="2"/>
      <c r="M4682" s="2"/>
      <c r="N4682" s="2"/>
      <c r="O4682" s="2"/>
      <c r="P4682" s="2"/>
      <c r="Q4682" s="2"/>
      <c r="R4682" s="2"/>
      <c r="S4682" s="2" t="s">
        <v>30732</v>
      </c>
      <c r="T4682" s="2" t="s">
        <v>30733</v>
      </c>
      <c r="U4682" s="2" t="s">
        <v>331</v>
      </c>
      <c r="V4682" s="2" t="s">
        <v>332</v>
      </c>
      <c r="W4682" s="2" t="s">
        <v>333</v>
      </c>
      <c r="X4682" s="2" t="s">
        <v>69</v>
      </c>
      <c r="Y4682" s="2">
        <v>53.9</v>
      </c>
      <c r="Z4682" s="2">
        <v>65.099999999999994</v>
      </c>
      <c r="AA4682" s="2" t="s">
        <v>379</v>
      </c>
      <c r="AB4682" s="2" t="s">
        <v>7647</v>
      </c>
      <c r="AC4682" s="2">
        <v>0.27136390657923198</v>
      </c>
      <c r="AD4682" s="2"/>
      <c r="AE4682" s="2">
        <v>7.7249268917199299E-2</v>
      </c>
      <c r="AF4682" s="2">
        <v>33435.033299944298</v>
      </c>
      <c r="AG4682" s="2">
        <v>30447.671134941302</v>
      </c>
      <c r="AH4682" s="5">
        <v>1.0981146358210201</v>
      </c>
      <c r="AI4682" s="5">
        <v>0.13502866991476201</v>
      </c>
      <c r="AJ4682" s="5" t="s">
        <v>139</v>
      </c>
      <c r="AK4682" s="2">
        <v>0.87698426977678101</v>
      </c>
      <c r="AL4682" s="2">
        <v>0.94752328784861595</v>
      </c>
      <c r="AM4682" s="2">
        <v>5414.0771491368696</v>
      </c>
      <c r="AN4682" s="2">
        <v>13925.2023419038</v>
      </c>
      <c r="AO4682" s="2">
        <v>13890.212244221701</v>
      </c>
      <c r="AP4682" s="2">
        <v>5759.3674123943902</v>
      </c>
      <c r="AQ4682" s="2">
        <v>100848.942311194</v>
      </c>
      <c r="AR4682" s="2">
        <v>60772.398340814798</v>
      </c>
      <c r="AS4682" s="2">
        <v>75124.741511965607</v>
      </c>
      <c r="AT4682" s="2">
        <v>20501.174890391401</v>
      </c>
      <c r="AU4682" s="2">
        <v>8819.1630386816396</v>
      </c>
      <c r="AV4682" s="2">
        <v>34435.443281555803</v>
      </c>
      <c r="AW4682" s="2">
        <v>9947.8124967295407</v>
      </c>
      <c r="AX4682" s="2">
        <v>33857.691590324102</v>
      </c>
    </row>
    <row r="4683" spans="1:50" x14ac:dyDescent="0.25">
      <c r="A4683" s="2" t="s">
        <v>30734</v>
      </c>
      <c r="B4683" s="2">
        <v>492.34628966513799</v>
      </c>
      <c r="C4683" s="2">
        <v>11.7151666666667</v>
      </c>
      <c r="D4683" s="2" t="s">
        <v>51</v>
      </c>
      <c r="E4683" s="2" t="s">
        <v>30735</v>
      </c>
      <c r="F4683" s="2">
        <v>19911</v>
      </c>
      <c r="G4683" s="3" t="str">
        <f>HYPERLINK("https://cloud.oebiotech.com/#/lm/network/19911", "https://cloud.oebiotech.com/#/lm/network/19911")</f>
        <v>https://cloud.oebiotech.com/#/lm/network/19911</v>
      </c>
      <c r="H4683" s="2"/>
      <c r="I4683" s="2"/>
      <c r="J4683" s="2" t="s">
        <v>30736</v>
      </c>
      <c r="K4683" s="2">
        <v>10673311</v>
      </c>
      <c r="L4683" s="2"/>
      <c r="M4683" s="2"/>
      <c r="N4683" s="2"/>
      <c r="O4683" s="2"/>
      <c r="P4683" s="2"/>
      <c r="Q4683" s="2"/>
      <c r="R4683" s="2"/>
      <c r="S4683" s="2" t="s">
        <v>30737</v>
      </c>
      <c r="T4683" s="2" t="s">
        <v>30738</v>
      </c>
      <c r="U4683" s="2" t="s">
        <v>56</v>
      </c>
      <c r="V4683" s="2" t="s">
        <v>57</v>
      </c>
      <c r="W4683" s="2" t="s">
        <v>58</v>
      </c>
      <c r="X4683" s="2" t="s">
        <v>147</v>
      </c>
      <c r="Y4683" s="2">
        <v>38.9</v>
      </c>
      <c r="Z4683" s="2">
        <v>0</v>
      </c>
      <c r="AA4683" s="2" t="s">
        <v>379</v>
      </c>
      <c r="AB4683" s="2" t="s">
        <v>14774</v>
      </c>
      <c r="AC4683" s="2">
        <v>0.66700389196350696</v>
      </c>
      <c r="AD4683" s="2"/>
      <c r="AE4683" s="2">
        <v>7.7182621097027407E-2</v>
      </c>
      <c r="AF4683" s="2">
        <v>19344.7680672276</v>
      </c>
      <c r="AG4683" s="2">
        <v>21825.034630923899</v>
      </c>
      <c r="AH4683" s="4">
        <v>0.88635680970778297</v>
      </c>
      <c r="AI4683" s="4">
        <v>-0.17404051126481301</v>
      </c>
      <c r="AJ4683" s="4" t="s">
        <v>62</v>
      </c>
      <c r="AK4683" s="2">
        <v>0.57439770990619099</v>
      </c>
      <c r="AL4683" s="2">
        <v>0.78564459545109699</v>
      </c>
      <c r="AM4683" s="2">
        <v>30814.308131978101</v>
      </c>
      <c r="AN4683" s="2">
        <v>18242.381318377898</v>
      </c>
      <c r="AO4683" s="2">
        <v>17005.307103824602</v>
      </c>
      <c r="AP4683" s="2">
        <v>14620.318941089999</v>
      </c>
      <c r="AQ4683" s="2">
        <v>15256.184377965999</v>
      </c>
      <c r="AR4683" s="2">
        <v>20130.108530129099</v>
      </c>
      <c r="AS4683" s="2">
        <v>17389.944315450899</v>
      </c>
      <c r="AT4683" s="2">
        <v>11465.2550867889</v>
      </c>
      <c r="AU4683" s="2">
        <v>36735.974245777397</v>
      </c>
      <c r="AV4683" s="2">
        <v>21265.157454934699</v>
      </c>
      <c r="AW4683" s="2">
        <v>25205.119102835299</v>
      </c>
      <c r="AX4683" s="2">
        <v>18888.757579756399</v>
      </c>
    </row>
    <row r="4684" spans="1:50" x14ac:dyDescent="0.25">
      <c r="A4684" s="2" t="s">
        <v>30739</v>
      </c>
      <c r="B4684" s="2">
        <v>197.042493059431</v>
      </c>
      <c r="C4684" s="2">
        <v>4.1837666666666697</v>
      </c>
      <c r="D4684" s="2" t="s">
        <v>51</v>
      </c>
      <c r="E4684" s="2" t="s">
        <v>30740</v>
      </c>
      <c r="F4684" s="2">
        <v>202655</v>
      </c>
      <c r="G4684" s="3" t="str">
        <f>HYPERLINK("https://cloud.oebiotech.com/#/lm/network/202655", "https://cloud.oebiotech.com/#/lm/network/202655")</f>
        <v>https://cloud.oebiotech.com/#/lm/network/202655</v>
      </c>
      <c r="H4684" s="2" t="s">
        <v>30741</v>
      </c>
      <c r="I4684" s="2"/>
      <c r="J4684" s="2"/>
      <c r="K4684" s="2">
        <v>8646</v>
      </c>
      <c r="L4684" s="2"/>
      <c r="M4684" s="2"/>
      <c r="N4684" s="2"/>
      <c r="O4684" s="2">
        <v>63486</v>
      </c>
      <c r="P4684" s="2"/>
      <c r="Q4684" s="2"/>
      <c r="R4684" s="2"/>
      <c r="S4684" s="2" t="s">
        <v>30742</v>
      </c>
      <c r="T4684" s="2" t="s">
        <v>30743</v>
      </c>
      <c r="U4684" s="2" t="s">
        <v>266</v>
      </c>
      <c r="V4684" s="2" t="s">
        <v>30744</v>
      </c>
      <c r="W4684" s="2" t="s">
        <v>240</v>
      </c>
      <c r="X4684" s="2" t="s">
        <v>147</v>
      </c>
      <c r="Y4684" s="2">
        <v>39.4</v>
      </c>
      <c r="Z4684" s="2">
        <v>0</v>
      </c>
      <c r="AA4684" s="2" t="s">
        <v>218</v>
      </c>
      <c r="AB4684" s="2" t="s">
        <v>30745</v>
      </c>
      <c r="AC4684" s="2">
        <v>-2.4242035995290299</v>
      </c>
      <c r="AD4684" s="2"/>
      <c r="AE4684" s="2">
        <v>7.7044846220512303E-2</v>
      </c>
      <c r="AF4684" s="2">
        <v>1145.54978486089</v>
      </c>
      <c r="AG4684" s="2">
        <v>610.34240651611697</v>
      </c>
      <c r="AH4684" s="5">
        <v>1.87689692315463</v>
      </c>
      <c r="AI4684" s="5">
        <v>0.908349421326477</v>
      </c>
      <c r="AJ4684" s="5" t="s">
        <v>139</v>
      </c>
      <c r="AK4684" s="2">
        <v>0.36565644244911799</v>
      </c>
      <c r="AL4684" s="2">
        <v>0.65065051178309297</v>
      </c>
      <c r="AM4684" s="2">
        <v>139.26551229014501</v>
      </c>
      <c r="AN4684" s="2">
        <v>756.700901788024</v>
      </c>
      <c r="AO4684" s="2">
        <v>564.54011327381397</v>
      </c>
      <c r="AP4684" s="2">
        <v>554.14168672127903</v>
      </c>
      <c r="AQ4684" s="2">
        <v>3849.8461984668602</v>
      </c>
      <c r="AR4684" s="2">
        <v>1008.80429662522</v>
      </c>
      <c r="AS4684" s="2">
        <v>850.44054767526802</v>
      </c>
      <c r="AT4684" s="2">
        <v>950.36446441265798</v>
      </c>
      <c r="AU4684" s="2">
        <v>542.36395891107099</v>
      </c>
      <c r="AV4684" s="2">
        <v>192.443670380735</v>
      </c>
      <c r="AW4684" s="2">
        <v>441.75116354545401</v>
      </c>
      <c r="AX4684" s="2">
        <v>684.69063417151403</v>
      </c>
    </row>
    <row r="4685" spans="1:50" x14ac:dyDescent="0.25">
      <c r="A4685" s="2" t="s">
        <v>30746</v>
      </c>
      <c r="B4685" s="2">
        <v>175.05805615911299</v>
      </c>
      <c r="C4685" s="2">
        <v>0.69773333333333298</v>
      </c>
      <c r="D4685" s="2" t="s">
        <v>51</v>
      </c>
      <c r="E4685" s="2" t="s">
        <v>30747</v>
      </c>
      <c r="F4685" s="2">
        <v>48002</v>
      </c>
      <c r="G4685" s="3" t="str">
        <f>HYPERLINK("https://cloud.oebiotech.com/#/lm/network/48002", "https://cloud.oebiotech.com/#/lm/network/48002")</f>
        <v>https://cloud.oebiotech.com/#/lm/network/48002</v>
      </c>
      <c r="H4685" s="2" t="s">
        <v>30748</v>
      </c>
      <c r="I4685" s="2"/>
      <c r="J4685" s="2"/>
      <c r="K4685" s="2">
        <v>6912</v>
      </c>
      <c r="L4685" s="2" t="s">
        <v>19225</v>
      </c>
      <c r="M4685" s="2" t="s">
        <v>19226</v>
      </c>
      <c r="N4685" s="2" t="s">
        <v>19227</v>
      </c>
      <c r="O4685" s="2">
        <v>17151</v>
      </c>
      <c r="P4685" s="2" t="s">
        <v>30749</v>
      </c>
      <c r="Q4685" s="2" t="s">
        <v>30750</v>
      </c>
      <c r="R4685" s="2" t="s">
        <v>30751</v>
      </c>
      <c r="S4685" s="2" t="s">
        <v>30752</v>
      </c>
      <c r="T4685" s="2" t="s">
        <v>30753</v>
      </c>
      <c r="U4685" s="2" t="s">
        <v>331</v>
      </c>
      <c r="V4685" s="2" t="s">
        <v>332</v>
      </c>
      <c r="W4685" s="2" t="s">
        <v>333</v>
      </c>
      <c r="X4685" s="2" t="s">
        <v>83</v>
      </c>
      <c r="Y4685" s="2">
        <v>49.3</v>
      </c>
      <c r="Z4685" s="2">
        <v>0</v>
      </c>
      <c r="AA4685" s="2" t="s">
        <v>95</v>
      </c>
      <c r="AB4685" s="2" t="s">
        <v>19231</v>
      </c>
      <c r="AC4685" s="2">
        <v>2.3804833754819601</v>
      </c>
      <c r="AD4685" s="2"/>
      <c r="AE4685" s="2">
        <v>7.7020021799172805E-2</v>
      </c>
      <c r="AF4685" s="2">
        <v>1793.1389288538501</v>
      </c>
      <c r="AG4685" s="2">
        <v>1386.6377787035201</v>
      </c>
      <c r="AH4685" s="5">
        <v>1.2931559751173101</v>
      </c>
      <c r="AI4685" s="5">
        <v>0.37089629754332398</v>
      </c>
      <c r="AJ4685" s="5" t="s">
        <v>139</v>
      </c>
      <c r="AK4685" s="2">
        <v>0.32523751333166001</v>
      </c>
      <c r="AL4685" s="2">
        <v>0.62992073899545697</v>
      </c>
      <c r="AM4685" s="2">
        <v>1604.10261319542</v>
      </c>
      <c r="AN4685" s="2">
        <v>2593.7612482662098</v>
      </c>
      <c r="AO4685" s="2">
        <v>1392.8552785401901</v>
      </c>
      <c r="AP4685" s="2">
        <v>3000.9280933130499</v>
      </c>
      <c r="AQ4685" s="2">
        <v>809.24731130224302</v>
      </c>
      <c r="AR4685" s="2">
        <v>1357.9390285060001</v>
      </c>
      <c r="AS4685" s="2">
        <v>1484.2549212538499</v>
      </c>
      <c r="AT4685" s="2">
        <v>1307.35584096202</v>
      </c>
      <c r="AU4685" s="2">
        <v>1595.4578431638799</v>
      </c>
      <c r="AV4685" s="2">
        <v>862.10489353060098</v>
      </c>
      <c r="AW4685" s="2">
        <v>2167.6035101080201</v>
      </c>
      <c r="AX4685" s="2">
        <v>903.049663202749</v>
      </c>
    </row>
    <row r="4686" spans="1:50" x14ac:dyDescent="0.25">
      <c r="A4686" s="2" t="s">
        <v>30754</v>
      </c>
      <c r="B4686" s="2">
        <v>158.08129545713999</v>
      </c>
      <c r="C4686" s="2">
        <v>3.7574999999999998</v>
      </c>
      <c r="D4686" s="2" t="s">
        <v>51</v>
      </c>
      <c r="E4686" s="2" t="s">
        <v>30755</v>
      </c>
      <c r="F4686" s="2">
        <v>209182</v>
      </c>
      <c r="G4686" s="3" t="str">
        <f>HYPERLINK("https://cloud.oebiotech.com/#/lm/network/209182", "https://cloud.oebiotech.com/#/lm/network/209182")</f>
        <v>https://cloud.oebiotech.com/#/lm/network/209182</v>
      </c>
      <c r="H4686" s="2" t="s">
        <v>30756</v>
      </c>
      <c r="I4686" s="2"/>
      <c r="J4686" s="2"/>
      <c r="K4686" s="2">
        <v>16637</v>
      </c>
      <c r="L4686" s="2"/>
      <c r="M4686" s="2"/>
      <c r="N4686" s="2"/>
      <c r="O4686" s="2"/>
      <c r="P4686" s="2"/>
      <c r="Q4686" s="2"/>
      <c r="R4686" s="2"/>
      <c r="S4686" s="2" t="s">
        <v>30757</v>
      </c>
      <c r="T4686" s="2" t="s">
        <v>30758</v>
      </c>
      <c r="U4686" s="2" t="s">
        <v>103</v>
      </c>
      <c r="V4686" s="2" t="s">
        <v>104</v>
      </c>
      <c r="W4686" s="2" t="s">
        <v>14378</v>
      </c>
      <c r="X4686" s="2" t="s">
        <v>83</v>
      </c>
      <c r="Y4686" s="2">
        <v>45.4</v>
      </c>
      <c r="Z4686" s="2">
        <v>0</v>
      </c>
      <c r="AA4686" s="2" t="s">
        <v>218</v>
      </c>
      <c r="AB4686" s="2" t="s">
        <v>30759</v>
      </c>
      <c r="AC4686" s="2">
        <v>-8.5899812601303793</v>
      </c>
      <c r="AD4686" s="2"/>
      <c r="AE4686" s="2">
        <v>7.69623050730084E-2</v>
      </c>
      <c r="AF4686" s="2">
        <v>3138.2763259132998</v>
      </c>
      <c r="AG4686" s="2">
        <v>2696.0897457917499</v>
      </c>
      <c r="AH4686" s="5">
        <v>1.1640103341558801</v>
      </c>
      <c r="AI4686" s="5">
        <v>0.21910386663903</v>
      </c>
      <c r="AJ4686" s="5" t="s">
        <v>139</v>
      </c>
      <c r="AK4686" s="2">
        <v>0.27411345624540501</v>
      </c>
      <c r="AL4686" s="2">
        <v>0.59437968945542996</v>
      </c>
      <c r="AM4686" s="2">
        <v>2175.2991024002399</v>
      </c>
      <c r="AN4686" s="2">
        <v>3391.0594886870599</v>
      </c>
      <c r="AO4686" s="2">
        <v>2310.72441901916</v>
      </c>
      <c r="AP4686" s="2">
        <v>3366.4606006363401</v>
      </c>
      <c r="AQ4686" s="2">
        <v>3986.39570181832</v>
      </c>
      <c r="AR4686" s="2">
        <v>3599.71864291868</v>
      </c>
      <c r="AS4686" s="2">
        <v>2300.6080692145201</v>
      </c>
      <c r="AT4686" s="2">
        <v>3384.7816403125898</v>
      </c>
      <c r="AU4686" s="2">
        <v>2510.2147161450298</v>
      </c>
      <c r="AV4686" s="2">
        <v>1946.1940871920301</v>
      </c>
      <c r="AW4686" s="2">
        <v>2638.8376438065402</v>
      </c>
      <c r="AX4686" s="2">
        <v>3395.9023180798099</v>
      </c>
    </row>
    <row r="4687" spans="1:50" x14ac:dyDescent="0.25">
      <c r="A4687" s="2" t="s">
        <v>30760</v>
      </c>
      <c r="B4687" s="2">
        <v>251.03521876779899</v>
      </c>
      <c r="C4687" s="2">
        <v>0.99048333333333305</v>
      </c>
      <c r="D4687" s="2" t="s">
        <v>51</v>
      </c>
      <c r="E4687" s="2" t="s">
        <v>30761</v>
      </c>
      <c r="F4687" s="2">
        <v>211930</v>
      </c>
      <c r="G4687" s="3" t="str">
        <f>HYPERLINK("https://cloud.oebiotech.com/#/lm/network/211930", "https://cloud.oebiotech.com/#/lm/network/211930")</f>
        <v>https://cloud.oebiotech.com/#/lm/network/211930</v>
      </c>
      <c r="H4687" s="2" t="s">
        <v>30762</v>
      </c>
      <c r="I4687" s="2"/>
      <c r="J4687" s="2"/>
      <c r="K4687" s="2">
        <v>135659042</v>
      </c>
      <c r="L4687" s="2"/>
      <c r="M4687" s="2"/>
      <c r="N4687" s="2"/>
      <c r="O4687" s="2"/>
      <c r="P4687" s="2"/>
      <c r="Q4687" s="2"/>
      <c r="R4687" s="2"/>
      <c r="S4687" s="2" t="s">
        <v>30763</v>
      </c>
      <c r="T4687" s="2" t="s">
        <v>30764</v>
      </c>
      <c r="U4687" s="2" t="s">
        <v>266</v>
      </c>
      <c r="V4687" s="2" t="s">
        <v>1785</v>
      </c>
      <c r="W4687" s="2" t="s">
        <v>1786</v>
      </c>
      <c r="X4687" s="2" t="s">
        <v>147</v>
      </c>
      <c r="Y4687" s="2">
        <v>42.2</v>
      </c>
      <c r="Z4687" s="2">
        <v>33</v>
      </c>
      <c r="AA4687" s="2" t="s">
        <v>156</v>
      </c>
      <c r="AB4687" s="2" t="s">
        <v>30765</v>
      </c>
      <c r="AC4687" s="2">
        <v>4.9756659591812404</v>
      </c>
      <c r="AD4687" s="2"/>
      <c r="AE4687" s="2">
        <v>7.6949582301612404E-2</v>
      </c>
      <c r="AF4687" s="2">
        <v>3590.84714094014</v>
      </c>
      <c r="AG4687" s="2">
        <v>3417.9040639998502</v>
      </c>
      <c r="AH4687" s="5">
        <v>1.05059916068501</v>
      </c>
      <c r="AI4687" s="5">
        <v>7.1212337048581403E-2</v>
      </c>
      <c r="AJ4687" s="5" t="s">
        <v>139</v>
      </c>
      <c r="AK4687" s="2">
        <v>0.80694184249298395</v>
      </c>
      <c r="AL4687" s="2">
        <v>0.913405856793297</v>
      </c>
      <c r="AM4687" s="2">
        <v>6655.9942828123603</v>
      </c>
      <c r="AN4687" s="2">
        <v>2577.8644657098198</v>
      </c>
      <c r="AO4687" s="2">
        <v>3314.6800797752499</v>
      </c>
      <c r="AP4687" s="2">
        <v>3643.8548828757798</v>
      </c>
      <c r="AQ4687" s="2">
        <v>3031.33265316501</v>
      </c>
      <c r="AR4687" s="2">
        <v>2321.3564813026501</v>
      </c>
      <c r="AS4687" s="2">
        <v>2859.6504370192802</v>
      </c>
      <c r="AT4687" s="2">
        <v>3506.0765954557</v>
      </c>
      <c r="AU4687" s="2">
        <v>4472.7945620436203</v>
      </c>
      <c r="AV4687" s="2">
        <v>3046.6721082264798</v>
      </c>
      <c r="AW4687" s="2">
        <v>3651.2176357969201</v>
      </c>
      <c r="AX4687" s="2">
        <v>2971.0130454571199</v>
      </c>
    </row>
    <row r="4688" spans="1:50" x14ac:dyDescent="0.25">
      <c r="A4688" s="2" t="s">
        <v>30766</v>
      </c>
      <c r="B4688" s="2">
        <v>188.034549845914</v>
      </c>
      <c r="C4688" s="2">
        <v>4.6654666666666698</v>
      </c>
      <c r="D4688" s="2" t="s">
        <v>51</v>
      </c>
      <c r="E4688" s="2" t="s">
        <v>30767</v>
      </c>
      <c r="F4688" s="2">
        <v>203337</v>
      </c>
      <c r="G4688" s="3" t="str">
        <f>HYPERLINK("https://cloud.oebiotech.com/#/lm/network/203337", "https://cloud.oebiotech.com/#/lm/network/203337")</f>
        <v>https://cloud.oebiotech.com/#/lm/network/203337</v>
      </c>
      <c r="H4688" s="2" t="s">
        <v>30768</v>
      </c>
      <c r="I4688" s="2"/>
      <c r="J4688" s="2"/>
      <c r="K4688" s="2">
        <v>2102</v>
      </c>
      <c r="L4688" s="2"/>
      <c r="M4688" s="2"/>
      <c r="N4688" s="2"/>
      <c r="O4688" s="2"/>
      <c r="P4688" s="2"/>
      <c r="Q4688" s="2"/>
      <c r="R4688" s="2"/>
      <c r="S4688" s="2" t="s">
        <v>30769</v>
      </c>
      <c r="T4688" s="2" t="s">
        <v>30770</v>
      </c>
      <c r="U4688" s="2" t="s">
        <v>540</v>
      </c>
      <c r="V4688" s="2" t="s">
        <v>3291</v>
      </c>
      <c r="W4688" s="2" t="s">
        <v>3292</v>
      </c>
      <c r="X4688" s="2" t="s">
        <v>83</v>
      </c>
      <c r="Y4688" s="2">
        <v>39.799999999999997</v>
      </c>
      <c r="Z4688" s="2">
        <v>0</v>
      </c>
      <c r="AA4688" s="2" t="s">
        <v>163</v>
      </c>
      <c r="AB4688" s="2" t="s">
        <v>30771</v>
      </c>
      <c r="AC4688" s="2">
        <v>-4.0562819371467898</v>
      </c>
      <c r="AD4688" s="2"/>
      <c r="AE4688" s="2">
        <v>7.6871614963932994E-2</v>
      </c>
      <c r="AF4688" s="2">
        <v>1545.6691143646001</v>
      </c>
      <c r="AG4688" s="2">
        <v>1236.40169788613</v>
      </c>
      <c r="AH4688" s="5">
        <v>1.25013506290652</v>
      </c>
      <c r="AI4688" s="5">
        <v>0.32208397013468798</v>
      </c>
      <c r="AJ4688" s="5" t="s">
        <v>139</v>
      </c>
      <c r="AK4688" s="2">
        <v>0.49101380094699099</v>
      </c>
      <c r="AL4688" s="2">
        <v>0.73263356024686699</v>
      </c>
      <c r="AM4688" s="2">
        <v>1810.5993530391199</v>
      </c>
      <c r="AN4688" s="2">
        <v>1341.6001780603001</v>
      </c>
      <c r="AO4688" s="2">
        <v>761.83019141472801</v>
      </c>
      <c r="AP4688" s="2">
        <v>2130.1949317307399</v>
      </c>
      <c r="AQ4688" s="2">
        <v>1589.2226616072201</v>
      </c>
      <c r="AR4688" s="2">
        <v>1640.5673703355101</v>
      </c>
      <c r="AS4688" s="2">
        <v>1474.2083985121401</v>
      </c>
      <c r="AT4688" s="2">
        <v>3024.0693367306999</v>
      </c>
      <c r="AU4688" s="2">
        <v>994.45451229567402</v>
      </c>
      <c r="AV4688" s="2">
        <v>399.99551510980098</v>
      </c>
      <c r="AW4688" s="2">
        <v>958.20929077138396</v>
      </c>
      <c r="AX4688" s="2">
        <v>567.473133897053</v>
      </c>
    </row>
    <row r="4689" spans="1:50" x14ac:dyDescent="0.25">
      <c r="A4689" s="2" t="s">
        <v>30772</v>
      </c>
      <c r="B4689" s="2">
        <v>237.051587458884</v>
      </c>
      <c r="C4689" s="2">
        <v>4.9970999999999997</v>
      </c>
      <c r="D4689" s="2" t="s">
        <v>51</v>
      </c>
      <c r="E4689" s="2" t="s">
        <v>30773</v>
      </c>
      <c r="F4689" s="2">
        <v>7883</v>
      </c>
      <c r="G4689" s="3" t="str">
        <f>HYPERLINK("https://cloud.oebiotech.com/#/lm/network/7883", "https://cloud.oebiotech.com/#/lm/network/7883")</f>
        <v>https://cloud.oebiotech.com/#/lm/network/7883</v>
      </c>
      <c r="H4689" s="2"/>
      <c r="I4689" s="2"/>
      <c r="J4689" s="2" t="s">
        <v>30774</v>
      </c>
      <c r="K4689" s="2">
        <v>643697</v>
      </c>
      <c r="L4689" s="2"/>
      <c r="M4689" s="2"/>
      <c r="N4689" s="2"/>
      <c r="O4689" s="2"/>
      <c r="P4689" s="2"/>
      <c r="Q4689" s="2"/>
      <c r="R4689" s="2"/>
      <c r="S4689" s="2" t="s">
        <v>30775</v>
      </c>
      <c r="T4689" s="2" t="s">
        <v>30776</v>
      </c>
      <c r="U4689" s="2" t="s">
        <v>266</v>
      </c>
      <c r="V4689" s="2" t="s">
        <v>12936</v>
      </c>
      <c r="W4689" s="2" t="s">
        <v>240</v>
      </c>
      <c r="X4689" s="2" t="s">
        <v>147</v>
      </c>
      <c r="Y4689" s="2">
        <v>42.7</v>
      </c>
      <c r="Z4689" s="2">
        <v>21.2</v>
      </c>
      <c r="AA4689" s="2" t="s">
        <v>395</v>
      </c>
      <c r="AB4689" s="2" t="s">
        <v>15887</v>
      </c>
      <c r="AC4689" s="2">
        <v>-3.93533974078604</v>
      </c>
      <c r="AD4689" s="2"/>
      <c r="AE4689" s="2">
        <v>7.6791293740207794E-2</v>
      </c>
      <c r="AF4689" s="2">
        <v>88.033052034911904</v>
      </c>
      <c r="AG4689" s="2">
        <v>802.71569141750103</v>
      </c>
      <c r="AH4689" s="4">
        <v>0.109669030985872</v>
      </c>
      <c r="AI4689" s="4">
        <v>-3.1887719087164701</v>
      </c>
      <c r="AJ4689" s="4" t="s">
        <v>62</v>
      </c>
      <c r="AK4689" s="2">
        <v>0.38400218019952698</v>
      </c>
      <c r="AL4689" s="2">
        <v>0.66085990731923905</v>
      </c>
      <c r="AM4689" s="2">
        <v>110.985799796077</v>
      </c>
      <c r="AN4689" s="2">
        <v>50.542881489445399</v>
      </c>
      <c r="AO4689" s="2">
        <v>288.85214747100099</v>
      </c>
      <c r="AP4689" s="2">
        <v>8.559877937157E-6</v>
      </c>
      <c r="AQ4689" s="2">
        <v>54.351145503861602</v>
      </c>
      <c r="AR4689" s="2">
        <v>23.466329389208699</v>
      </c>
      <c r="AS4689" s="2">
        <v>92.449732593266702</v>
      </c>
      <c r="AT4689" s="2">
        <v>8.559877937157E-6</v>
      </c>
      <c r="AU4689" s="2">
        <v>4720.97802191543</v>
      </c>
      <c r="AV4689" s="2">
        <v>8.559877937157E-6</v>
      </c>
      <c r="AW4689" s="2">
        <v>2.8663683166766298</v>
      </c>
      <c r="AX4689" s="2">
        <v>8.559877937157E-6</v>
      </c>
    </row>
    <row r="4690" spans="1:50" x14ac:dyDescent="0.25">
      <c r="A4690" s="2" t="s">
        <v>30777</v>
      </c>
      <c r="B4690" s="2">
        <v>156.13874590973199</v>
      </c>
      <c r="C4690" s="2">
        <v>4.6885500000000002</v>
      </c>
      <c r="D4690" s="2" t="s">
        <v>51</v>
      </c>
      <c r="E4690" s="2" t="s">
        <v>30778</v>
      </c>
      <c r="F4690" s="2">
        <v>2470</v>
      </c>
      <c r="G4690" s="3" t="str">
        <f>HYPERLINK("https://cloud.oebiotech.com/#/lm/network/2470", "https://cloud.oebiotech.com/#/lm/network/2470")</f>
        <v>https://cloud.oebiotech.com/#/lm/network/2470</v>
      </c>
      <c r="H4690" s="2"/>
      <c r="I4690" s="2">
        <v>35938</v>
      </c>
      <c r="J4690" s="2" t="s">
        <v>30779</v>
      </c>
      <c r="K4690" s="2">
        <v>2195180</v>
      </c>
      <c r="L4690" s="2"/>
      <c r="M4690" s="2"/>
      <c r="N4690" s="2"/>
      <c r="O4690" s="2"/>
      <c r="P4690" s="2"/>
      <c r="Q4690" s="2"/>
      <c r="R4690" s="2"/>
      <c r="S4690" s="2" t="s">
        <v>30780</v>
      </c>
      <c r="T4690" s="2" t="s">
        <v>30781</v>
      </c>
      <c r="U4690" s="2" t="s">
        <v>103</v>
      </c>
      <c r="V4690" s="2" t="s">
        <v>104</v>
      </c>
      <c r="W4690" s="2" t="s">
        <v>105</v>
      </c>
      <c r="X4690" s="2" t="s">
        <v>83</v>
      </c>
      <c r="Y4690" s="2">
        <v>51.5</v>
      </c>
      <c r="Z4690" s="2">
        <v>0</v>
      </c>
      <c r="AA4690" s="2" t="s">
        <v>156</v>
      </c>
      <c r="AB4690" s="2" t="s">
        <v>30782</v>
      </c>
      <c r="AC4690" s="2">
        <v>2.6296773153349702</v>
      </c>
      <c r="AD4690" s="2"/>
      <c r="AE4690" s="2">
        <v>7.6750211353237202E-2</v>
      </c>
      <c r="AF4690" s="2">
        <v>618.94260378497597</v>
      </c>
      <c r="AG4690" s="2">
        <v>200.82027439804099</v>
      </c>
      <c r="AH4690" s="5">
        <v>3.0820722939467</v>
      </c>
      <c r="AI4690" s="5">
        <v>1.6239007025065499</v>
      </c>
      <c r="AJ4690" s="5" t="s">
        <v>139</v>
      </c>
      <c r="AK4690" s="2">
        <v>0.30371760213968202</v>
      </c>
      <c r="AL4690" s="2">
        <v>0.61292641550155402</v>
      </c>
      <c r="AM4690" s="2">
        <v>254.68022734059099</v>
      </c>
      <c r="AN4690" s="2">
        <v>231.06202524256599</v>
      </c>
      <c r="AO4690" s="2">
        <v>278.22989172651398</v>
      </c>
      <c r="AP4690" s="2">
        <v>224.27529617216999</v>
      </c>
      <c r="AQ4690" s="2">
        <v>2543.7438288937801</v>
      </c>
      <c r="AR4690" s="2">
        <v>181.66435333423499</v>
      </c>
      <c r="AS4690" s="2">
        <v>170.372632423315</v>
      </c>
      <c r="AT4690" s="2">
        <v>183.67848296525</v>
      </c>
      <c r="AU4690" s="2">
        <v>203.46741672202199</v>
      </c>
      <c r="AV4690" s="2">
        <v>215.80561647356799</v>
      </c>
      <c r="AW4690" s="2">
        <v>281.83657657470502</v>
      </c>
      <c r="AX4690" s="2">
        <v>149.76092122938601</v>
      </c>
    </row>
    <row r="4691" spans="1:50" x14ac:dyDescent="0.25">
      <c r="A4691" s="2" t="s">
        <v>30783</v>
      </c>
      <c r="B4691" s="2">
        <v>365.34260426923299</v>
      </c>
      <c r="C4691" s="2">
        <v>14.5492333333333</v>
      </c>
      <c r="D4691" s="2" t="s">
        <v>51</v>
      </c>
      <c r="E4691" s="2" t="s">
        <v>30784</v>
      </c>
      <c r="F4691" s="2">
        <v>1707</v>
      </c>
      <c r="G4691" s="3" t="str">
        <f>HYPERLINK("https://cloud.oebiotech.com/#/lm/network/1707", "https://cloud.oebiotech.com/#/lm/network/1707")</f>
        <v>https://cloud.oebiotech.com/#/lm/network/1707</v>
      </c>
      <c r="H4691" s="2" t="s">
        <v>30785</v>
      </c>
      <c r="I4691" s="2">
        <v>35457</v>
      </c>
      <c r="J4691" s="2" t="s">
        <v>30786</v>
      </c>
      <c r="K4691" s="2">
        <v>102430</v>
      </c>
      <c r="L4691" s="2" t="s">
        <v>30787</v>
      </c>
      <c r="M4691" s="2"/>
      <c r="N4691" s="2"/>
      <c r="O4691" s="2">
        <v>61302</v>
      </c>
      <c r="P4691" s="2"/>
      <c r="Q4691" s="2"/>
      <c r="R4691" s="2" t="s">
        <v>30788</v>
      </c>
      <c r="S4691" s="2" t="s">
        <v>30789</v>
      </c>
      <c r="T4691" s="2" t="s">
        <v>30790</v>
      </c>
      <c r="U4691" s="2" t="s">
        <v>56</v>
      </c>
      <c r="V4691" s="2" t="s">
        <v>145</v>
      </c>
      <c r="W4691" s="2" t="s">
        <v>231</v>
      </c>
      <c r="X4691" s="2" t="s">
        <v>83</v>
      </c>
      <c r="Y4691" s="2">
        <v>48.5</v>
      </c>
      <c r="Z4691" s="2">
        <v>0</v>
      </c>
      <c r="AA4691" s="2" t="s">
        <v>379</v>
      </c>
      <c r="AB4691" s="2" t="s">
        <v>30791</v>
      </c>
      <c r="AC4691" s="2">
        <v>0.260149607803003</v>
      </c>
      <c r="AD4691" s="2"/>
      <c r="AE4691" s="2">
        <v>7.6715122563665403E-2</v>
      </c>
      <c r="AF4691" s="2">
        <v>5390.3281049181696</v>
      </c>
      <c r="AG4691" s="2">
        <v>6171.6260984291403</v>
      </c>
      <c r="AH4691" s="4">
        <v>0.87340483998053098</v>
      </c>
      <c r="AI4691" s="4">
        <v>-0.19527756903990201</v>
      </c>
      <c r="AJ4691" s="4" t="s">
        <v>62</v>
      </c>
      <c r="AK4691" s="2">
        <v>0.506949930557413</v>
      </c>
      <c r="AL4691" s="2">
        <v>0.74196312845079004</v>
      </c>
      <c r="AM4691" s="2">
        <v>5652.2975201141599</v>
      </c>
      <c r="AN4691" s="2">
        <v>2279.0808194034798</v>
      </c>
      <c r="AO4691" s="2">
        <v>8661.0006383237196</v>
      </c>
      <c r="AP4691" s="2">
        <v>5436.0164675922397</v>
      </c>
      <c r="AQ4691" s="2">
        <v>6666.7872981365499</v>
      </c>
      <c r="AR4691" s="2">
        <v>3646.7858859388798</v>
      </c>
      <c r="AS4691" s="2">
        <v>7270.9609466039401</v>
      </c>
      <c r="AT4691" s="2">
        <v>7140.1269012873199</v>
      </c>
      <c r="AU4691" s="2">
        <v>7806.4310655833597</v>
      </c>
      <c r="AV4691" s="2">
        <v>4675.2657284862098</v>
      </c>
      <c r="AW4691" s="2">
        <v>6491.7683420840704</v>
      </c>
      <c r="AX4691" s="2">
        <v>3645.2036065299199</v>
      </c>
    </row>
    <row r="4692" spans="1:50" x14ac:dyDescent="0.25">
      <c r="A4692" s="2" t="s">
        <v>30792</v>
      </c>
      <c r="B4692" s="2">
        <v>252.217834488254</v>
      </c>
      <c r="C4692" s="2">
        <v>3.4413666666666698</v>
      </c>
      <c r="D4692" s="2" t="s">
        <v>51</v>
      </c>
      <c r="E4692" s="2" t="s">
        <v>30793</v>
      </c>
      <c r="F4692" s="2">
        <v>212596</v>
      </c>
      <c r="G4692" s="3" t="str">
        <f>HYPERLINK("https://cloud.oebiotech.com/#/lm/network/212596", "https://cloud.oebiotech.com/#/lm/network/212596")</f>
        <v>https://cloud.oebiotech.com/#/lm/network/212596</v>
      </c>
      <c r="H4692" s="2" t="s">
        <v>30794</v>
      </c>
      <c r="I4692" s="2"/>
      <c r="J4692" s="2"/>
      <c r="K4692" s="2"/>
      <c r="L4692" s="2"/>
      <c r="M4692" s="2"/>
      <c r="N4692" s="2"/>
      <c r="O4692" s="2"/>
      <c r="P4692" s="2"/>
      <c r="Q4692" s="2"/>
      <c r="R4692" s="2"/>
      <c r="S4692" s="2" t="s">
        <v>30795</v>
      </c>
      <c r="T4692" s="2" t="s">
        <v>30796</v>
      </c>
      <c r="U4692" s="2" t="s">
        <v>331</v>
      </c>
      <c r="V4692" s="2" t="s">
        <v>332</v>
      </c>
      <c r="W4692" s="2" t="s">
        <v>511</v>
      </c>
      <c r="X4692" s="2" t="s">
        <v>147</v>
      </c>
      <c r="Y4692" s="2">
        <v>36.5</v>
      </c>
      <c r="Z4692" s="2">
        <v>0</v>
      </c>
      <c r="AA4692" s="2" t="s">
        <v>512</v>
      </c>
      <c r="AB4692" s="2" t="s">
        <v>30797</v>
      </c>
      <c r="AC4692" s="2">
        <v>3.8416357049415701</v>
      </c>
      <c r="AD4692" s="2"/>
      <c r="AE4692" s="2">
        <v>7.6683927622347506E-2</v>
      </c>
      <c r="AF4692" s="2">
        <v>2953.1803801188298</v>
      </c>
      <c r="AG4692" s="2">
        <v>3383.9914547473099</v>
      </c>
      <c r="AH4692" s="4">
        <v>0.87269144133797805</v>
      </c>
      <c r="AI4692" s="4">
        <v>-0.19645644646157601</v>
      </c>
      <c r="AJ4692" s="4" t="s">
        <v>62</v>
      </c>
      <c r="AK4692" s="2">
        <v>0.38518642164129002</v>
      </c>
      <c r="AL4692" s="2">
        <v>0.66148343152754197</v>
      </c>
      <c r="AM4692" s="2">
        <v>2154.9986253249199</v>
      </c>
      <c r="AN4692" s="2">
        <v>3298.2218422611099</v>
      </c>
      <c r="AO4692" s="2">
        <v>3118.2919038427999</v>
      </c>
      <c r="AP4692" s="2">
        <v>3697.7824917030998</v>
      </c>
      <c r="AQ4692" s="2">
        <v>3010.9213861579201</v>
      </c>
      <c r="AR4692" s="2">
        <v>2438.8660314231302</v>
      </c>
      <c r="AS4692" s="2">
        <v>3916.8901067038901</v>
      </c>
      <c r="AT4692" s="2">
        <v>5198.5414528803503</v>
      </c>
      <c r="AU4692" s="2">
        <v>2908.3557736099301</v>
      </c>
      <c r="AV4692" s="2">
        <v>2445.7799816665101</v>
      </c>
      <c r="AW4692" s="2">
        <v>2800.2395312793001</v>
      </c>
      <c r="AX4692" s="2">
        <v>3034.1418823438698</v>
      </c>
    </row>
    <row r="4693" spans="1:50" x14ac:dyDescent="0.25">
      <c r="A4693" s="2" t="s">
        <v>30798</v>
      </c>
      <c r="B4693" s="2">
        <v>320.09333577871001</v>
      </c>
      <c r="C4693" s="2">
        <v>4.5102333333333302</v>
      </c>
      <c r="D4693" s="2" t="s">
        <v>51</v>
      </c>
      <c r="E4693" s="2" t="s">
        <v>30799</v>
      </c>
      <c r="F4693" s="2">
        <v>207676</v>
      </c>
      <c r="G4693" s="3" t="str">
        <f>HYPERLINK("https://cloud.oebiotech.com/#/lm/network/207676", "https://cloud.oebiotech.com/#/lm/network/207676")</f>
        <v>https://cloud.oebiotech.com/#/lm/network/207676</v>
      </c>
      <c r="H4693" s="2" t="s">
        <v>30800</v>
      </c>
      <c r="I4693" s="2">
        <v>330217</v>
      </c>
      <c r="J4693" s="2"/>
      <c r="K4693" s="2">
        <v>71186</v>
      </c>
      <c r="L4693" s="2"/>
      <c r="M4693" s="2"/>
      <c r="N4693" s="2"/>
      <c r="O4693" s="2"/>
      <c r="P4693" s="2"/>
      <c r="Q4693" s="2"/>
      <c r="R4693" s="2"/>
      <c r="S4693" s="2" t="s">
        <v>30801</v>
      </c>
      <c r="T4693" s="2" t="s">
        <v>30802</v>
      </c>
      <c r="U4693" s="2" t="s">
        <v>266</v>
      </c>
      <c r="V4693" s="2" t="s">
        <v>1393</v>
      </c>
      <c r="W4693" s="2" t="s">
        <v>1643</v>
      </c>
      <c r="X4693" s="2" t="s">
        <v>147</v>
      </c>
      <c r="Y4693" s="2">
        <v>38.799999999999997</v>
      </c>
      <c r="Z4693" s="2">
        <v>0</v>
      </c>
      <c r="AA4693" s="2" t="s">
        <v>218</v>
      </c>
      <c r="AB4693" s="2" t="s">
        <v>30803</v>
      </c>
      <c r="AC4693" s="2">
        <v>-2.32145970907998</v>
      </c>
      <c r="AD4693" s="2"/>
      <c r="AE4693" s="2">
        <v>7.6677053527818395E-2</v>
      </c>
      <c r="AF4693" s="2">
        <v>414.116148583935</v>
      </c>
      <c r="AG4693" s="2">
        <v>18.8336022072668</v>
      </c>
      <c r="AH4693" s="5">
        <v>21.988154152695799</v>
      </c>
      <c r="AI4693" s="5">
        <v>4.4586545937357904</v>
      </c>
      <c r="AJ4693" s="5" t="s">
        <v>139</v>
      </c>
      <c r="AK4693" s="2">
        <v>0.29478686556755301</v>
      </c>
      <c r="AL4693" s="2">
        <v>0.60684799614235996</v>
      </c>
      <c r="AM4693" s="2">
        <v>133.65616296263201</v>
      </c>
      <c r="AN4693" s="2">
        <v>8.559877937157E-6</v>
      </c>
      <c r="AO4693" s="2">
        <v>157.62659952915499</v>
      </c>
      <c r="AP4693" s="2">
        <v>8.559877937157E-6</v>
      </c>
      <c r="AQ4693" s="2">
        <v>2193.4141033321898</v>
      </c>
      <c r="AR4693" s="2">
        <v>8.559877937157E-6</v>
      </c>
      <c r="AS4693" s="2">
        <v>109.75084834978399</v>
      </c>
      <c r="AT4693" s="2">
        <v>8.559877937157E-6</v>
      </c>
      <c r="AU4693" s="2">
        <v>3.2507306543052801</v>
      </c>
      <c r="AV4693" s="2">
        <v>8.559877937157E-6</v>
      </c>
      <c r="AW4693" s="2">
        <v>8.559877937157E-6</v>
      </c>
      <c r="AX4693" s="2">
        <v>8.559877937157E-6</v>
      </c>
    </row>
    <row r="4694" spans="1:50" x14ac:dyDescent="0.25">
      <c r="A4694" s="2" t="s">
        <v>30804</v>
      </c>
      <c r="B4694" s="2">
        <v>366.30160581210401</v>
      </c>
      <c r="C4694" s="2">
        <v>13.729950000000001</v>
      </c>
      <c r="D4694" s="2" t="s">
        <v>51</v>
      </c>
      <c r="E4694" s="2" t="s">
        <v>30805</v>
      </c>
      <c r="F4694" s="2">
        <v>59344</v>
      </c>
      <c r="G4694" s="3" t="str">
        <f>HYPERLINK("https://cloud.oebiotech.com/#/lm/network/59344", "https://cloud.oebiotech.com/#/lm/network/59344")</f>
        <v>https://cloud.oebiotech.com/#/lm/network/59344</v>
      </c>
      <c r="H4694" s="2" t="s">
        <v>30806</v>
      </c>
      <c r="I4694" s="2">
        <v>90761</v>
      </c>
      <c r="J4694" s="2"/>
      <c r="K4694" s="2">
        <v>131751775</v>
      </c>
      <c r="L4694" s="2"/>
      <c r="M4694" s="2"/>
      <c r="N4694" s="2"/>
      <c r="O4694" s="2">
        <v>171878</v>
      </c>
      <c r="P4694" s="2"/>
      <c r="Q4694" s="2"/>
      <c r="R4694" s="2" t="s">
        <v>30807</v>
      </c>
      <c r="S4694" s="2" t="s">
        <v>30808</v>
      </c>
      <c r="T4694" s="2" t="s">
        <v>30809</v>
      </c>
      <c r="U4694" s="2" t="s">
        <v>56</v>
      </c>
      <c r="V4694" s="2" t="s">
        <v>145</v>
      </c>
      <c r="W4694" s="2" t="s">
        <v>17251</v>
      </c>
      <c r="X4694" s="2" t="s">
        <v>83</v>
      </c>
      <c r="Y4694" s="2">
        <v>46.3</v>
      </c>
      <c r="Z4694" s="2">
        <v>0</v>
      </c>
      <c r="AA4694" s="2" t="s">
        <v>512</v>
      </c>
      <c r="AB4694" s="2" t="s">
        <v>6683</v>
      </c>
      <c r="AC4694" s="2">
        <v>3.8340440860094001</v>
      </c>
      <c r="AD4694" s="2"/>
      <c r="AE4694" s="2">
        <v>7.6606431425489299E-2</v>
      </c>
      <c r="AF4694" s="2">
        <v>2048.20063603997</v>
      </c>
      <c r="AG4694" s="2">
        <v>1697.82081152669</v>
      </c>
      <c r="AH4694" s="5">
        <v>1.20637032019782</v>
      </c>
      <c r="AI4694" s="5">
        <v>0.27067284015974802</v>
      </c>
      <c r="AJ4694" s="5" t="s">
        <v>139</v>
      </c>
      <c r="AK4694" s="2">
        <v>0.54486141989481196</v>
      </c>
      <c r="AL4694" s="2">
        <v>0.769018528661641</v>
      </c>
      <c r="AM4694" s="2">
        <v>3480.7660202045699</v>
      </c>
      <c r="AN4694" s="2">
        <v>2395.4908313863202</v>
      </c>
      <c r="AO4694" s="2">
        <v>2335.40962937835</v>
      </c>
      <c r="AP4694" s="2">
        <v>1498.2273198903699</v>
      </c>
      <c r="AQ4694" s="2">
        <v>1316.7290276378701</v>
      </c>
      <c r="AR4694" s="2">
        <v>1262.5809877423601</v>
      </c>
      <c r="AS4694" s="2">
        <v>708.185874490846</v>
      </c>
      <c r="AT4694" s="2">
        <v>256.428768370049</v>
      </c>
      <c r="AU4694" s="2">
        <v>1794.20022032981</v>
      </c>
      <c r="AV4694" s="2">
        <v>2870.0395810556602</v>
      </c>
      <c r="AW4694" s="2">
        <v>2803.2621765560498</v>
      </c>
      <c r="AX4694" s="2">
        <v>1754.8082483577</v>
      </c>
    </row>
    <row r="4695" spans="1:50" x14ac:dyDescent="0.25">
      <c r="A4695" s="2" t="s">
        <v>30810</v>
      </c>
      <c r="B4695" s="2">
        <v>314.30613269151098</v>
      </c>
      <c r="C4695" s="2">
        <v>9.6638500000000001</v>
      </c>
      <c r="D4695" s="2" t="s">
        <v>51</v>
      </c>
      <c r="E4695" s="2" t="s">
        <v>30811</v>
      </c>
      <c r="F4695" s="2">
        <v>854</v>
      </c>
      <c r="G4695" s="3" t="str">
        <f>HYPERLINK("https://cloud.oebiotech.com/#/lm/network/854", "https://cloud.oebiotech.com/#/lm/network/854")</f>
        <v>https://cloud.oebiotech.com/#/lm/network/854</v>
      </c>
      <c r="H4695" s="2" t="s">
        <v>30812</v>
      </c>
      <c r="I4695" s="2">
        <v>35026</v>
      </c>
      <c r="J4695" s="2" t="s">
        <v>30813</v>
      </c>
      <c r="K4695" s="2">
        <v>5312513</v>
      </c>
      <c r="L4695" s="2"/>
      <c r="M4695" s="2"/>
      <c r="N4695" s="2"/>
      <c r="O4695" s="2">
        <v>83051</v>
      </c>
      <c r="P4695" s="2"/>
      <c r="Q4695" s="2"/>
      <c r="R4695" s="2" t="s">
        <v>30814</v>
      </c>
      <c r="S4695" s="2" t="s">
        <v>30815</v>
      </c>
      <c r="T4695" s="2" t="s">
        <v>30816</v>
      </c>
      <c r="U4695" s="2" t="s">
        <v>56</v>
      </c>
      <c r="V4695" s="2" t="s">
        <v>145</v>
      </c>
      <c r="W4695" s="2" t="s">
        <v>231</v>
      </c>
      <c r="X4695" s="2" t="s">
        <v>147</v>
      </c>
      <c r="Y4695" s="2">
        <v>37.9</v>
      </c>
      <c r="Z4695" s="2">
        <v>0</v>
      </c>
      <c r="AA4695" s="2" t="s">
        <v>512</v>
      </c>
      <c r="AB4695" s="2" t="s">
        <v>26385</v>
      </c>
      <c r="AC4695" s="2">
        <v>2.6218107084754299</v>
      </c>
      <c r="AD4695" s="2"/>
      <c r="AE4695" s="2">
        <v>7.6549408092524196E-2</v>
      </c>
      <c r="AF4695" s="2">
        <v>2442.3328298117799</v>
      </c>
      <c r="AG4695" s="2">
        <v>2836.5299603323801</v>
      </c>
      <c r="AH4695" s="4">
        <v>0.861028391720421</v>
      </c>
      <c r="AI4695" s="4">
        <v>-0.21586728476939501</v>
      </c>
      <c r="AJ4695" s="4" t="s">
        <v>62</v>
      </c>
      <c r="AK4695" s="2">
        <v>0.571005810464709</v>
      </c>
      <c r="AL4695" s="2">
        <v>0.78325289930816699</v>
      </c>
      <c r="AM4695" s="2">
        <v>2555.4499444309699</v>
      </c>
      <c r="AN4695" s="2">
        <v>3350.2795974014898</v>
      </c>
      <c r="AO4695" s="2">
        <v>1543.6264147556001</v>
      </c>
      <c r="AP4695" s="2">
        <v>2066.8966928206</v>
      </c>
      <c r="AQ4695" s="2">
        <v>3468.57780574459</v>
      </c>
      <c r="AR4695" s="2">
        <v>1669.16652371743</v>
      </c>
      <c r="AS4695" s="2">
        <v>2129.5921122700001</v>
      </c>
      <c r="AT4695" s="2">
        <v>1594.09998541763</v>
      </c>
      <c r="AU4695" s="2">
        <v>2401.3115719014399</v>
      </c>
      <c r="AV4695" s="2">
        <v>3229.2230652229</v>
      </c>
      <c r="AW4695" s="2">
        <v>5532.1797889643203</v>
      </c>
      <c r="AX4695" s="2">
        <v>2132.7732382179902</v>
      </c>
    </row>
    <row r="4696" spans="1:50" x14ac:dyDescent="0.25">
      <c r="A4696" s="2" t="s">
        <v>30817</v>
      </c>
      <c r="B4696" s="2">
        <v>449.204354122589</v>
      </c>
      <c r="C4696" s="2">
        <v>4.6271666666666702</v>
      </c>
      <c r="D4696" s="2" t="s">
        <v>51</v>
      </c>
      <c r="E4696" s="2" t="s">
        <v>30818</v>
      </c>
      <c r="F4696" s="2">
        <v>260103</v>
      </c>
      <c r="G4696" s="3" t="str">
        <f>HYPERLINK("https://cloud.oebiotech.com/#/lm/network/260103", "https://cloud.oebiotech.com/#/lm/network/260103")</f>
        <v>https://cloud.oebiotech.com/#/lm/network/260103</v>
      </c>
      <c r="H4696" s="2"/>
      <c r="I4696" s="2">
        <v>17343</v>
      </c>
      <c r="J4696" s="2"/>
      <c r="K4696" s="2">
        <v>145456271</v>
      </c>
      <c r="L4696" s="2"/>
      <c r="M4696" s="2"/>
      <c r="N4696" s="2"/>
      <c r="O4696" s="2"/>
      <c r="P4696" s="2"/>
      <c r="Q4696" s="2"/>
      <c r="R4696" s="2"/>
      <c r="S4696" s="2" t="s">
        <v>30819</v>
      </c>
      <c r="T4696" s="2" t="s">
        <v>30820</v>
      </c>
      <c r="U4696" s="2" t="s">
        <v>103</v>
      </c>
      <c r="V4696" s="2" t="s">
        <v>104</v>
      </c>
      <c r="W4696" s="2" t="s">
        <v>105</v>
      </c>
      <c r="X4696" s="2" t="s">
        <v>83</v>
      </c>
      <c r="Y4696" s="2">
        <v>56.6</v>
      </c>
      <c r="Z4696" s="2">
        <v>0</v>
      </c>
      <c r="AA4696" s="2" t="s">
        <v>218</v>
      </c>
      <c r="AB4696" s="2" t="s">
        <v>30821</v>
      </c>
      <c r="AC4696" s="2">
        <v>0.44837939610554201</v>
      </c>
      <c r="AD4696" s="2"/>
      <c r="AE4696" s="2">
        <v>7.6436793264540295E-2</v>
      </c>
      <c r="AF4696" s="2">
        <v>3917.9743420727</v>
      </c>
      <c r="AG4696" s="2">
        <v>2995.6726405948102</v>
      </c>
      <c r="AH4696" s="5">
        <v>1.30787800007906</v>
      </c>
      <c r="AI4696" s="5">
        <v>0.38722797134838999</v>
      </c>
      <c r="AJ4696" s="5" t="s">
        <v>139</v>
      </c>
      <c r="AK4696" s="2">
        <v>0.42308425814939898</v>
      </c>
      <c r="AL4696" s="2">
        <v>0.683406571622166</v>
      </c>
      <c r="AM4696" s="2">
        <v>2721.9563034232101</v>
      </c>
      <c r="AN4696" s="2">
        <v>4434.2233977552996</v>
      </c>
      <c r="AO4696" s="2">
        <v>2310.88280619852</v>
      </c>
      <c r="AP4696" s="2">
        <v>6487.5320379862196</v>
      </c>
      <c r="AQ4696" s="2">
        <v>2037.9994675148</v>
      </c>
      <c r="AR4696" s="2">
        <v>5515.2520395581396</v>
      </c>
      <c r="AS4696" s="2">
        <v>4246.4163394153102</v>
      </c>
      <c r="AT4696" s="2">
        <v>2497.8420109159601</v>
      </c>
      <c r="AU4696" s="2">
        <v>2101.63067832045</v>
      </c>
      <c r="AV4696" s="2">
        <v>1188.54744959556</v>
      </c>
      <c r="AW4696" s="2">
        <v>1537.07081368024</v>
      </c>
      <c r="AX4696" s="2">
        <v>6402.5285516413296</v>
      </c>
    </row>
    <row r="4697" spans="1:50" x14ac:dyDescent="0.25">
      <c r="A4697" s="2" t="s">
        <v>30822</v>
      </c>
      <c r="B4697" s="2">
        <v>126.022364390166</v>
      </c>
      <c r="C4697" s="2">
        <v>0.69773333333333298</v>
      </c>
      <c r="D4697" s="2" t="s">
        <v>51</v>
      </c>
      <c r="E4697" s="2" t="s">
        <v>30823</v>
      </c>
      <c r="F4697" s="2">
        <v>46959</v>
      </c>
      <c r="G4697" s="3" t="str">
        <f>HYPERLINK("https://cloud.oebiotech.com/#/lm/network/46959", "https://cloud.oebiotech.com/#/lm/network/46959")</f>
        <v>https://cloud.oebiotech.com/#/lm/network/46959</v>
      </c>
      <c r="H4697" s="2" t="s">
        <v>30824</v>
      </c>
      <c r="I4697" s="2">
        <v>31</v>
      </c>
      <c r="J4697" s="2"/>
      <c r="K4697" s="2">
        <v>1123</v>
      </c>
      <c r="L4697" s="2" t="s">
        <v>30825</v>
      </c>
      <c r="M4697" s="2" t="s">
        <v>30826</v>
      </c>
      <c r="N4697" s="2" t="s">
        <v>30827</v>
      </c>
      <c r="O4697" s="2">
        <v>15891</v>
      </c>
      <c r="P4697" s="2"/>
      <c r="Q4697" s="2"/>
      <c r="R4697" s="2" t="s">
        <v>30828</v>
      </c>
      <c r="S4697" s="2" t="s">
        <v>30829</v>
      </c>
      <c r="T4697" s="2" t="s">
        <v>30830</v>
      </c>
      <c r="U4697" s="2" t="s">
        <v>103</v>
      </c>
      <c r="V4697" s="2" t="s">
        <v>12842</v>
      </c>
      <c r="W4697" s="2" t="s">
        <v>12843</v>
      </c>
      <c r="X4697" s="2" t="s">
        <v>69</v>
      </c>
      <c r="Y4697" s="2">
        <v>52.7</v>
      </c>
      <c r="Z4697" s="2">
        <v>67.099999999999994</v>
      </c>
      <c r="AA4697" s="2" t="s">
        <v>259</v>
      </c>
      <c r="AB4697" s="2" t="s">
        <v>30831</v>
      </c>
      <c r="AC4697" s="2">
        <v>3.3905638083976402</v>
      </c>
      <c r="AD4697" s="2"/>
      <c r="AE4697" s="2">
        <v>7.6400297586944901E-2</v>
      </c>
      <c r="AF4697" s="2">
        <v>16430.838473474902</v>
      </c>
      <c r="AG4697" s="2">
        <v>17113.515479040801</v>
      </c>
      <c r="AH4697" s="4">
        <v>0.96010889718118397</v>
      </c>
      <c r="AI4697" s="4">
        <v>-5.8730046852171001E-2</v>
      </c>
      <c r="AJ4697" s="4" t="s">
        <v>62</v>
      </c>
      <c r="AK4697" s="2">
        <v>0.83934012871142105</v>
      </c>
      <c r="AL4697" s="2">
        <v>0.92909683994561798</v>
      </c>
      <c r="AM4697" s="2">
        <v>12298.4379749934</v>
      </c>
      <c r="AN4697" s="2">
        <v>16507.561330186501</v>
      </c>
      <c r="AO4697" s="2">
        <v>17066.775321559999</v>
      </c>
      <c r="AP4697" s="2">
        <v>29900.413286869902</v>
      </c>
      <c r="AQ4697" s="2">
        <v>13658.921659367999</v>
      </c>
      <c r="AR4697" s="2">
        <v>9152.9212678718995</v>
      </c>
      <c r="AS4697" s="2">
        <v>12204.203961277601</v>
      </c>
      <c r="AT4697" s="2">
        <v>20271.107151075401</v>
      </c>
      <c r="AU4697" s="2">
        <v>19664.237478367399</v>
      </c>
      <c r="AV4697" s="2">
        <v>13555.0228371551</v>
      </c>
      <c r="AW4697" s="2">
        <v>16720.117101190801</v>
      </c>
      <c r="AX4697" s="2">
        <v>20266.4043451783</v>
      </c>
    </row>
    <row r="4698" spans="1:50" x14ac:dyDescent="0.25">
      <c r="A4698" s="2" t="s">
        <v>30832</v>
      </c>
      <c r="B4698" s="2">
        <v>260.03552630338299</v>
      </c>
      <c r="C4698" s="2">
        <v>1.57118333333333</v>
      </c>
      <c r="D4698" s="2" t="s">
        <v>51</v>
      </c>
      <c r="E4698" s="2" t="s">
        <v>30833</v>
      </c>
      <c r="F4698" s="2">
        <v>210986</v>
      </c>
      <c r="G4698" s="3" t="str">
        <f>HYPERLINK("https://cloud.oebiotech.com/#/lm/network/210986", "https://cloud.oebiotech.com/#/lm/network/210986")</f>
        <v>https://cloud.oebiotech.com/#/lm/network/210986</v>
      </c>
      <c r="H4698" s="2" t="s">
        <v>30834</v>
      </c>
      <c r="I4698" s="2">
        <v>413727</v>
      </c>
      <c r="J4698" s="2"/>
      <c r="K4698" s="2">
        <v>3495594</v>
      </c>
      <c r="L4698" s="2"/>
      <c r="M4698" s="2"/>
      <c r="N4698" s="2"/>
      <c r="O4698" s="2"/>
      <c r="P4698" s="2"/>
      <c r="Q4698" s="2"/>
      <c r="R4698" s="2"/>
      <c r="S4698" s="2" t="s">
        <v>30835</v>
      </c>
      <c r="T4698" s="2" t="s">
        <v>30836</v>
      </c>
      <c r="U4698" s="2" t="s">
        <v>610</v>
      </c>
      <c r="V4698" s="2" t="s">
        <v>611</v>
      </c>
      <c r="W4698" s="2" t="s">
        <v>22297</v>
      </c>
      <c r="X4698" s="2" t="s">
        <v>147</v>
      </c>
      <c r="Y4698" s="2">
        <v>37.200000000000003</v>
      </c>
      <c r="Z4698" s="2">
        <v>0</v>
      </c>
      <c r="AA4698" s="2" t="s">
        <v>156</v>
      </c>
      <c r="AB4698" s="2" t="s">
        <v>30837</v>
      </c>
      <c r="AC4698" s="2">
        <v>0.59188211568120297</v>
      </c>
      <c r="AD4698" s="2"/>
      <c r="AE4698" s="2">
        <v>7.6389188076775694E-2</v>
      </c>
      <c r="AF4698" s="2">
        <v>3213.2120069535999</v>
      </c>
      <c r="AG4698" s="2">
        <v>2678.7009065633601</v>
      </c>
      <c r="AH4698" s="5">
        <v>1.1995411653016499</v>
      </c>
      <c r="AI4698" s="5">
        <v>0.262482668225337</v>
      </c>
      <c r="AJ4698" s="5" t="s">
        <v>139</v>
      </c>
      <c r="AK4698" s="2">
        <v>0.313993262795149</v>
      </c>
      <c r="AL4698" s="2">
        <v>0.62367949187514204</v>
      </c>
      <c r="AM4698" s="2">
        <v>2775.56047562098</v>
      </c>
      <c r="AN4698" s="2">
        <v>2756.1539914844702</v>
      </c>
      <c r="AO4698" s="2">
        <v>4142.0681357514904</v>
      </c>
      <c r="AP4698" s="2">
        <v>4936.5700707351698</v>
      </c>
      <c r="AQ4698" s="2">
        <v>1746.4356115962601</v>
      </c>
      <c r="AR4698" s="2">
        <v>2922.48375653322</v>
      </c>
      <c r="AS4698" s="2">
        <v>2050.5020479943601</v>
      </c>
      <c r="AT4698" s="2">
        <v>2161.0776539563299</v>
      </c>
      <c r="AU4698" s="2">
        <v>2814.9875890728199</v>
      </c>
      <c r="AV4698" s="2">
        <v>3014.7021515424799</v>
      </c>
      <c r="AW4698" s="2">
        <v>2755.1912324385398</v>
      </c>
      <c r="AX4698" s="2">
        <v>3275.74476437566</v>
      </c>
    </row>
    <row r="4699" spans="1:50" x14ac:dyDescent="0.25">
      <c r="A4699" s="2" t="s">
        <v>30838</v>
      </c>
      <c r="B4699" s="2">
        <v>219.17482871442701</v>
      </c>
      <c r="C4699" s="2">
        <v>9.8077500000000004</v>
      </c>
      <c r="D4699" s="2" t="s">
        <v>51</v>
      </c>
      <c r="E4699" s="2" t="s">
        <v>30839</v>
      </c>
      <c r="F4699" s="2">
        <v>58702</v>
      </c>
      <c r="G4699" s="3" t="str">
        <f>HYPERLINK("https://cloud.oebiotech.com/#/lm/network/58702", "https://cloud.oebiotech.com/#/lm/network/58702")</f>
        <v>https://cloud.oebiotech.com/#/lm/network/58702</v>
      </c>
      <c r="H4699" s="2" t="s">
        <v>30840</v>
      </c>
      <c r="I4699" s="2"/>
      <c r="J4699" s="2"/>
      <c r="K4699" s="2">
        <v>5362828</v>
      </c>
      <c r="L4699" s="2" t="s">
        <v>30841</v>
      </c>
      <c r="M4699" s="2"/>
      <c r="N4699" s="2"/>
      <c r="O4699" s="2"/>
      <c r="P4699" s="2"/>
      <c r="Q4699" s="2"/>
      <c r="R4699" s="2" t="s">
        <v>30842</v>
      </c>
      <c r="S4699" s="2" t="s">
        <v>30843</v>
      </c>
      <c r="T4699" s="2" t="s">
        <v>30844</v>
      </c>
      <c r="U4699" s="2" t="s">
        <v>56</v>
      </c>
      <c r="V4699" s="2" t="s">
        <v>177</v>
      </c>
      <c r="W4699" s="2" t="s">
        <v>1996</v>
      </c>
      <c r="X4699" s="2" t="s">
        <v>83</v>
      </c>
      <c r="Y4699" s="2">
        <v>45.5</v>
      </c>
      <c r="Z4699" s="2">
        <v>0</v>
      </c>
      <c r="AA4699" s="2" t="s">
        <v>156</v>
      </c>
      <c r="AB4699" s="2" t="s">
        <v>4139</v>
      </c>
      <c r="AC4699" s="2">
        <v>2.0618194339777798</v>
      </c>
      <c r="AD4699" s="2"/>
      <c r="AE4699" s="2">
        <v>7.6361954490609105E-2</v>
      </c>
      <c r="AF4699" s="2">
        <v>2286.0822276254398</v>
      </c>
      <c r="AG4699" s="2">
        <v>2046.7151919887001</v>
      </c>
      <c r="AH4699" s="5">
        <v>1.11695180481079</v>
      </c>
      <c r="AI4699" s="5">
        <v>0.159566936527998</v>
      </c>
      <c r="AJ4699" s="5" t="s">
        <v>139</v>
      </c>
      <c r="AK4699" s="2">
        <v>0.28265977426907701</v>
      </c>
      <c r="AL4699" s="2">
        <v>0.60000138164408201</v>
      </c>
      <c r="AM4699" s="2">
        <v>2267.4736588876499</v>
      </c>
      <c r="AN4699" s="2">
        <v>2614.9542540841899</v>
      </c>
      <c r="AO4699" s="2">
        <v>2367.80842066173</v>
      </c>
      <c r="AP4699" s="2">
        <v>1585.1005039371801</v>
      </c>
      <c r="AQ4699" s="2">
        <v>2476.3926352232002</v>
      </c>
      <c r="AR4699" s="2">
        <v>2404.7638929587101</v>
      </c>
      <c r="AS4699" s="2">
        <v>2377.3389909593102</v>
      </c>
      <c r="AT4699" s="2">
        <v>2004.1874361464299</v>
      </c>
      <c r="AU4699" s="2">
        <v>1892.73670647227</v>
      </c>
      <c r="AV4699" s="2">
        <v>1738.8858988106999</v>
      </c>
      <c r="AW4699" s="2">
        <v>1668.98983995095</v>
      </c>
      <c r="AX4699" s="2">
        <v>2598.1522795925598</v>
      </c>
    </row>
    <row r="4700" spans="1:50" x14ac:dyDescent="0.25">
      <c r="A4700" s="2" t="s">
        <v>30845</v>
      </c>
      <c r="B4700" s="2">
        <v>413.231134091944</v>
      </c>
      <c r="C4700" s="2">
        <v>11.2129333333333</v>
      </c>
      <c r="D4700" s="2" t="s">
        <v>51</v>
      </c>
      <c r="E4700" s="2" t="s">
        <v>30846</v>
      </c>
      <c r="F4700" s="2">
        <v>205660</v>
      </c>
      <c r="G4700" s="3" t="str">
        <f>HYPERLINK("https://cloud.oebiotech.com/#/lm/network/205660", "https://cloud.oebiotech.com/#/lm/network/205660")</f>
        <v>https://cloud.oebiotech.com/#/lm/network/205660</v>
      </c>
      <c r="H4700" s="2" t="s">
        <v>30847</v>
      </c>
      <c r="I4700" s="2"/>
      <c r="J4700" s="2"/>
      <c r="K4700" s="2">
        <v>9844696</v>
      </c>
      <c r="L4700" s="2"/>
      <c r="M4700" s="2"/>
      <c r="N4700" s="2"/>
      <c r="O4700" s="2"/>
      <c r="P4700" s="2"/>
      <c r="Q4700" s="2"/>
      <c r="R4700" s="2"/>
      <c r="S4700" s="2" t="s">
        <v>30848</v>
      </c>
      <c r="T4700" s="2" t="s">
        <v>30849</v>
      </c>
      <c r="U4700" s="2" t="s">
        <v>266</v>
      </c>
      <c r="V4700" s="2" t="s">
        <v>1785</v>
      </c>
      <c r="W4700" s="2" t="s">
        <v>1786</v>
      </c>
      <c r="X4700" s="2" t="s">
        <v>83</v>
      </c>
      <c r="Y4700" s="2">
        <v>45.6</v>
      </c>
      <c r="Z4700" s="2">
        <v>0</v>
      </c>
      <c r="AA4700" s="2" t="s">
        <v>163</v>
      </c>
      <c r="AB4700" s="2" t="s">
        <v>30850</v>
      </c>
      <c r="AC4700" s="2">
        <v>-5.3439090871194104</v>
      </c>
      <c r="AD4700" s="2"/>
      <c r="AE4700" s="2">
        <v>7.6328144187717703E-2</v>
      </c>
      <c r="AF4700" s="2">
        <v>12100.4043027029</v>
      </c>
      <c r="AG4700" s="2">
        <v>10681.4735303118</v>
      </c>
      <c r="AH4700" s="5">
        <v>1.1328403584359801</v>
      </c>
      <c r="AI4700" s="5">
        <v>0.179944568731182</v>
      </c>
      <c r="AJ4700" s="5" t="s">
        <v>139</v>
      </c>
      <c r="AK4700" s="2">
        <v>0.69431433245362295</v>
      </c>
      <c r="AL4700" s="2">
        <v>0.85344600243833502</v>
      </c>
      <c r="AM4700" s="2">
        <v>15454.5002598594</v>
      </c>
      <c r="AN4700" s="2">
        <v>6179.0977326680204</v>
      </c>
      <c r="AO4700" s="2">
        <v>5668.5730784959896</v>
      </c>
      <c r="AP4700" s="2">
        <v>7521.4423113298899</v>
      </c>
      <c r="AQ4700" s="2">
        <v>17688.9494155641</v>
      </c>
      <c r="AR4700" s="2">
        <v>20089.863018299999</v>
      </c>
      <c r="AS4700" s="2">
        <v>6039.2880654030896</v>
      </c>
      <c r="AT4700" s="2">
        <v>4044.29306264864</v>
      </c>
      <c r="AU4700" s="2">
        <v>14823.2110348158</v>
      </c>
      <c r="AV4700" s="2">
        <v>14501.970959685999</v>
      </c>
      <c r="AW4700" s="2">
        <v>17928.790387543901</v>
      </c>
      <c r="AX4700" s="2">
        <v>6751.2876717735098</v>
      </c>
    </row>
    <row r="4701" spans="1:50" x14ac:dyDescent="0.25">
      <c r="A4701" s="2" t="s">
        <v>30851</v>
      </c>
      <c r="B4701" s="2">
        <v>273.23411455466101</v>
      </c>
      <c r="C4701" s="2">
        <v>12.092183333333301</v>
      </c>
      <c r="D4701" s="2" t="s">
        <v>51</v>
      </c>
      <c r="E4701" s="2" t="s">
        <v>30852</v>
      </c>
      <c r="F4701" s="2">
        <v>210771</v>
      </c>
      <c r="G4701" s="3" t="str">
        <f>HYPERLINK("https://cloud.oebiotech.com/#/lm/network/210771", "https://cloud.oebiotech.com/#/lm/network/210771")</f>
        <v>https://cloud.oebiotech.com/#/lm/network/210771</v>
      </c>
      <c r="H4701" s="2" t="s">
        <v>30853</v>
      </c>
      <c r="I4701" s="2"/>
      <c r="J4701" s="2"/>
      <c r="K4701" s="2">
        <v>529065</v>
      </c>
      <c r="L4701" s="2"/>
      <c r="M4701" s="2"/>
      <c r="N4701" s="2"/>
      <c r="O4701" s="2"/>
      <c r="P4701" s="2"/>
      <c r="Q4701" s="2"/>
      <c r="R4701" s="2"/>
      <c r="S4701" s="2" t="s">
        <v>30854</v>
      </c>
      <c r="T4701" s="2" t="s">
        <v>30855</v>
      </c>
      <c r="U4701" s="2" t="s">
        <v>266</v>
      </c>
      <c r="V4701" s="2" t="s">
        <v>8513</v>
      </c>
      <c r="W4701" s="2" t="s">
        <v>8514</v>
      </c>
      <c r="X4701" s="2" t="s">
        <v>147</v>
      </c>
      <c r="Y4701" s="2">
        <v>38.1</v>
      </c>
      <c r="Z4701" s="2">
        <v>0</v>
      </c>
      <c r="AA4701" s="2" t="s">
        <v>478</v>
      </c>
      <c r="AB4701" s="2" t="s">
        <v>30856</v>
      </c>
      <c r="AC4701" s="2">
        <v>1.79409768194404</v>
      </c>
      <c r="AD4701" s="2"/>
      <c r="AE4701" s="2">
        <v>7.6230210262486095E-2</v>
      </c>
      <c r="AF4701" s="2">
        <v>2390.0895829205401</v>
      </c>
      <c r="AG4701" s="2">
        <v>2838.3919127590302</v>
      </c>
      <c r="AH4701" s="4">
        <v>0.84205763558467595</v>
      </c>
      <c r="AI4701" s="4">
        <v>-0.248009111326739</v>
      </c>
      <c r="AJ4701" s="4" t="s">
        <v>62</v>
      </c>
      <c r="AK4701" s="2">
        <v>0.28964852691326498</v>
      </c>
      <c r="AL4701" s="2">
        <v>0.60369237994034897</v>
      </c>
      <c r="AM4701" s="2">
        <v>2467.5050296805398</v>
      </c>
      <c r="AN4701" s="2">
        <v>3748.38016801819</v>
      </c>
      <c r="AO4701" s="2">
        <v>1558.40000333539</v>
      </c>
      <c r="AP4701" s="2">
        <v>1912.66747680665</v>
      </c>
      <c r="AQ4701" s="2">
        <v>1873.7335862176899</v>
      </c>
      <c r="AR4701" s="2">
        <v>2779.8512334647498</v>
      </c>
      <c r="AS4701" s="2">
        <v>2207.4962955375399</v>
      </c>
      <c r="AT4701" s="2">
        <v>3330.9393815028802</v>
      </c>
      <c r="AU4701" s="2">
        <v>2385.6359875112098</v>
      </c>
      <c r="AV4701" s="2">
        <v>2669.3004943423798</v>
      </c>
      <c r="AW4701" s="2">
        <v>2733.6173786188701</v>
      </c>
      <c r="AX4701" s="2">
        <v>3703.3619390413101</v>
      </c>
    </row>
    <row r="4702" spans="1:50" x14ac:dyDescent="0.25">
      <c r="A4702" s="2" t="s">
        <v>30857</v>
      </c>
      <c r="B4702" s="2">
        <v>210.113153588073</v>
      </c>
      <c r="C4702" s="2">
        <v>6.68523333333333</v>
      </c>
      <c r="D4702" s="2" t="s">
        <v>51</v>
      </c>
      <c r="E4702" s="2" t="s">
        <v>30858</v>
      </c>
      <c r="F4702" s="2">
        <v>8996</v>
      </c>
      <c r="G4702" s="3" t="str">
        <f>HYPERLINK("https://cloud.oebiotech.com/#/lm/network/8996", "https://cloud.oebiotech.com/#/lm/network/8996")</f>
        <v>https://cloud.oebiotech.com/#/lm/network/8996</v>
      </c>
      <c r="H4702" s="2"/>
      <c r="I4702" s="2"/>
      <c r="J4702" s="2" t="s">
        <v>30859</v>
      </c>
      <c r="K4702" s="2">
        <v>101683572</v>
      </c>
      <c r="L4702" s="2"/>
      <c r="M4702" s="2"/>
      <c r="N4702" s="2"/>
      <c r="O4702" s="2"/>
      <c r="P4702" s="2"/>
      <c r="Q4702" s="2"/>
      <c r="R4702" s="2"/>
      <c r="S4702" s="2" t="s">
        <v>30860</v>
      </c>
      <c r="T4702" s="2" t="s">
        <v>30861</v>
      </c>
      <c r="U4702" s="2" t="s">
        <v>103</v>
      </c>
      <c r="V4702" s="2" t="s">
        <v>104</v>
      </c>
      <c r="W4702" s="2" t="s">
        <v>105</v>
      </c>
      <c r="X4702" s="2" t="s">
        <v>147</v>
      </c>
      <c r="Y4702" s="2">
        <v>41.8</v>
      </c>
      <c r="Z4702" s="2">
        <v>16.399999999999999</v>
      </c>
      <c r="AA4702" s="2" t="s">
        <v>379</v>
      </c>
      <c r="AB4702" s="2" t="s">
        <v>10932</v>
      </c>
      <c r="AC4702" s="2">
        <v>-1.80413632871285</v>
      </c>
      <c r="AD4702" s="2"/>
      <c r="AE4702" s="2">
        <v>7.6195925357238695E-2</v>
      </c>
      <c r="AF4702" s="2">
        <v>407.394798831895</v>
      </c>
      <c r="AG4702" s="2">
        <v>1005.7605571778799</v>
      </c>
      <c r="AH4702" s="4">
        <v>0.40506141936508999</v>
      </c>
      <c r="AI4702" s="4">
        <v>-1.30378741480324</v>
      </c>
      <c r="AJ4702" s="4" t="s">
        <v>62</v>
      </c>
      <c r="AK4702" s="2">
        <v>0.37170386420141899</v>
      </c>
      <c r="AL4702" s="2">
        <v>0.65414666455875103</v>
      </c>
      <c r="AM4702" s="2">
        <v>543.86971807615396</v>
      </c>
      <c r="AN4702" s="2">
        <v>64.975344999288893</v>
      </c>
      <c r="AO4702" s="2">
        <v>146.71656251176199</v>
      </c>
      <c r="AP4702" s="2">
        <v>609.78587262277597</v>
      </c>
      <c r="AQ4702" s="2">
        <v>701.02960665207502</v>
      </c>
      <c r="AR4702" s="2">
        <v>377.99168812931498</v>
      </c>
      <c r="AS4702" s="2">
        <v>51.523414484333799</v>
      </c>
      <c r="AT4702" s="2">
        <v>498.77588287654299</v>
      </c>
      <c r="AU4702" s="2">
        <v>4081.2059544274998</v>
      </c>
      <c r="AV4702" s="2">
        <v>1017.51262030847</v>
      </c>
      <c r="AW4702" s="2">
        <v>174.37968485746299</v>
      </c>
      <c r="AX4702" s="2">
        <v>211.165786112955</v>
      </c>
    </row>
    <row r="4703" spans="1:50" x14ac:dyDescent="0.25">
      <c r="A4703" s="2" t="s">
        <v>30862</v>
      </c>
      <c r="B4703" s="2">
        <v>181.122799382903</v>
      </c>
      <c r="C4703" s="2">
        <v>6.0640999999999998</v>
      </c>
      <c r="D4703" s="2" t="s">
        <v>51</v>
      </c>
      <c r="E4703" s="2" t="s">
        <v>30863</v>
      </c>
      <c r="F4703" s="2">
        <v>255431</v>
      </c>
      <c r="G4703" s="3" t="str">
        <f>HYPERLINK("https://cloud.oebiotech.com/#/lm/network/255431", "https://cloud.oebiotech.com/#/lm/network/255431")</f>
        <v>https://cloud.oebiotech.com/#/lm/network/255431</v>
      </c>
      <c r="H4703" s="2" t="s">
        <v>30864</v>
      </c>
      <c r="I4703" s="2"/>
      <c r="J4703" s="2"/>
      <c r="K4703" s="2">
        <v>22565016</v>
      </c>
      <c r="L4703" s="2"/>
      <c r="M4703" s="2"/>
      <c r="N4703" s="2"/>
      <c r="O4703" s="2"/>
      <c r="P4703" s="2"/>
      <c r="Q4703" s="2"/>
      <c r="R4703" s="2"/>
      <c r="S4703" s="2" t="s">
        <v>30865</v>
      </c>
      <c r="T4703" s="2" t="s">
        <v>30866</v>
      </c>
      <c r="U4703" s="2" t="s">
        <v>56</v>
      </c>
      <c r="V4703" s="2" t="s">
        <v>177</v>
      </c>
      <c r="W4703" s="2" t="s">
        <v>584</v>
      </c>
      <c r="X4703" s="2" t="s">
        <v>147</v>
      </c>
      <c r="Y4703" s="2">
        <v>38.9</v>
      </c>
      <c r="Z4703" s="2">
        <v>0</v>
      </c>
      <c r="AA4703" s="2" t="s">
        <v>122</v>
      </c>
      <c r="AB4703" s="2" t="s">
        <v>30867</v>
      </c>
      <c r="AC4703" s="2">
        <v>-0.306429618867614</v>
      </c>
      <c r="AD4703" s="2"/>
      <c r="AE4703" s="2">
        <v>7.61502506409832E-2</v>
      </c>
      <c r="AF4703" s="2">
        <v>5454.4711617682997</v>
      </c>
      <c r="AG4703" s="2">
        <v>5223.3079820703297</v>
      </c>
      <c r="AH4703" s="5">
        <v>1.04425608838144</v>
      </c>
      <c r="AI4703" s="5">
        <v>6.24755549463369E-2</v>
      </c>
      <c r="AJ4703" s="5" t="s">
        <v>139</v>
      </c>
      <c r="AK4703" s="2">
        <v>0.53629359364297802</v>
      </c>
      <c r="AL4703" s="2">
        <v>0.76299426442807605</v>
      </c>
      <c r="AM4703" s="2">
        <v>6201.9235529075604</v>
      </c>
      <c r="AN4703" s="2">
        <v>6328.8259853291402</v>
      </c>
      <c r="AO4703" s="2">
        <v>4790.14521478812</v>
      </c>
      <c r="AP4703" s="2">
        <v>5522.4002324836201</v>
      </c>
      <c r="AQ4703" s="2">
        <v>5128.6030219602799</v>
      </c>
      <c r="AR4703" s="2">
        <v>4754.9289631410702</v>
      </c>
      <c r="AS4703" s="2">
        <v>4914.3805659867403</v>
      </c>
      <c r="AT4703" s="2">
        <v>4815.5923887470399</v>
      </c>
      <c r="AU4703" s="2">
        <v>6039.5671063334103</v>
      </c>
      <c r="AV4703" s="2">
        <v>4905.90546083151</v>
      </c>
      <c r="AW4703" s="2">
        <v>4836.4631060335196</v>
      </c>
      <c r="AX4703" s="2">
        <v>5827.9392644897498</v>
      </c>
    </row>
    <row r="4704" spans="1:50" x14ac:dyDescent="0.25">
      <c r="A4704" s="2" t="s">
        <v>30868</v>
      </c>
      <c r="B4704" s="2">
        <v>361.14056099488602</v>
      </c>
      <c r="C4704" s="2">
        <v>4.5660166666666697</v>
      </c>
      <c r="D4704" s="2" t="s">
        <v>51</v>
      </c>
      <c r="E4704" s="2" t="s">
        <v>30869</v>
      </c>
      <c r="F4704" s="2">
        <v>34227</v>
      </c>
      <c r="G4704" s="3" t="str">
        <f>HYPERLINK("https://cloud.oebiotech.com/#/lm/network/34227", "https://cloud.oebiotech.com/#/lm/network/34227")</f>
        <v>https://cloud.oebiotech.com/#/lm/network/34227</v>
      </c>
      <c r="H4704" s="2"/>
      <c r="I4704" s="2">
        <v>52535</v>
      </c>
      <c r="J4704" s="2" t="s">
        <v>30870</v>
      </c>
      <c r="K4704" s="2">
        <v>511789</v>
      </c>
      <c r="L4704" s="2"/>
      <c r="M4704" s="2"/>
      <c r="N4704" s="2"/>
      <c r="O4704" s="2"/>
      <c r="P4704" s="2"/>
      <c r="Q4704" s="2"/>
      <c r="R4704" s="2"/>
      <c r="S4704" s="2" t="s">
        <v>30871</v>
      </c>
      <c r="T4704" s="2" t="s">
        <v>30872</v>
      </c>
      <c r="U4704" s="2" t="s">
        <v>540</v>
      </c>
      <c r="V4704" s="2" t="s">
        <v>541</v>
      </c>
      <c r="W4704" s="2" t="s">
        <v>757</v>
      </c>
      <c r="X4704" s="2" t="s">
        <v>147</v>
      </c>
      <c r="Y4704" s="2">
        <v>46.9</v>
      </c>
      <c r="Z4704" s="2">
        <v>45</v>
      </c>
      <c r="AA4704" s="2" t="s">
        <v>95</v>
      </c>
      <c r="AB4704" s="2" t="s">
        <v>30873</v>
      </c>
      <c r="AC4704" s="2">
        <v>-1.38656331732697</v>
      </c>
      <c r="AD4704" s="2"/>
      <c r="AE4704" s="2">
        <v>7.5939374031930101E-2</v>
      </c>
      <c r="AF4704" s="2">
        <v>2830.5381060546201</v>
      </c>
      <c r="AG4704" s="2">
        <v>3718.6401197565501</v>
      </c>
      <c r="AH4704" s="4">
        <v>0.76117559508284205</v>
      </c>
      <c r="AI4704" s="4">
        <v>-0.39369878842175698</v>
      </c>
      <c r="AJ4704" s="4" t="s">
        <v>62</v>
      </c>
      <c r="AK4704" s="2">
        <v>0.35904832448759899</v>
      </c>
      <c r="AL4704" s="2">
        <v>0.64449606579735297</v>
      </c>
      <c r="AM4704" s="2">
        <v>5479.3446612930102</v>
      </c>
      <c r="AN4704" s="2">
        <v>1971.62813507228</v>
      </c>
      <c r="AO4704" s="2">
        <v>2044.64935424432</v>
      </c>
      <c r="AP4704" s="2">
        <v>3673.3291414519099</v>
      </c>
      <c r="AQ4704" s="2">
        <v>2276.9080741571202</v>
      </c>
      <c r="AR4704" s="2">
        <v>1537.3692701090899</v>
      </c>
      <c r="AS4704" s="2">
        <v>2472.7003290476</v>
      </c>
      <c r="AT4704" s="2">
        <v>4235.9264353045</v>
      </c>
      <c r="AU4704" s="2">
        <v>5902.8403922735997</v>
      </c>
      <c r="AV4704" s="2">
        <v>2312.11197318732</v>
      </c>
      <c r="AW4704" s="2">
        <v>5422.1568363333199</v>
      </c>
      <c r="AX4704" s="2">
        <v>1966.1047523929401</v>
      </c>
    </row>
    <row r="4705" spans="1:50" x14ac:dyDescent="0.25">
      <c r="A4705" s="2" t="s">
        <v>30874</v>
      </c>
      <c r="B4705" s="2">
        <v>343.01966385343098</v>
      </c>
      <c r="C4705" s="2">
        <v>8.1461000000000006</v>
      </c>
      <c r="D4705" s="2" t="s">
        <v>51</v>
      </c>
      <c r="E4705" s="2" t="s">
        <v>30875</v>
      </c>
      <c r="F4705" s="2">
        <v>207279</v>
      </c>
      <c r="G4705" s="3" t="str">
        <f>HYPERLINK("https://cloud.oebiotech.com/#/lm/network/207279", "https://cloud.oebiotech.com/#/lm/network/207279")</f>
        <v>https://cloud.oebiotech.com/#/lm/network/207279</v>
      </c>
      <c r="H4705" s="2" t="s">
        <v>30876</v>
      </c>
      <c r="I4705" s="2">
        <v>65927</v>
      </c>
      <c r="J4705" s="2"/>
      <c r="K4705" s="2">
        <v>754</v>
      </c>
      <c r="L4705" s="2" t="s">
        <v>30877</v>
      </c>
      <c r="M4705" s="2"/>
      <c r="N4705" s="2"/>
      <c r="O4705" s="2">
        <v>14336</v>
      </c>
      <c r="P4705" s="2"/>
      <c r="Q4705" s="2"/>
      <c r="R4705" s="2" t="s">
        <v>12067</v>
      </c>
      <c r="S4705" s="2" t="s">
        <v>30878</v>
      </c>
      <c r="T4705" s="2" t="s">
        <v>30879</v>
      </c>
      <c r="U4705" s="2" t="s">
        <v>56</v>
      </c>
      <c r="V4705" s="2" t="s">
        <v>57</v>
      </c>
      <c r="W4705" s="2" t="s">
        <v>702</v>
      </c>
      <c r="X4705" s="2" t="s">
        <v>147</v>
      </c>
      <c r="Y4705" s="2">
        <v>40.299999999999997</v>
      </c>
      <c r="Z4705" s="2">
        <v>5.16</v>
      </c>
      <c r="AA4705" s="2" t="s">
        <v>478</v>
      </c>
      <c r="AB4705" s="2" t="s">
        <v>12070</v>
      </c>
      <c r="AC4705" s="2">
        <v>-1.1888198712718401</v>
      </c>
      <c r="AD4705" s="2"/>
      <c r="AE4705" s="2">
        <v>7.57800382766423E-2</v>
      </c>
      <c r="AF4705" s="2">
        <v>7422.5068778602299</v>
      </c>
      <c r="AG4705" s="2">
        <v>7754.63634671816</v>
      </c>
      <c r="AH4705" s="4">
        <v>0.95717020708540601</v>
      </c>
      <c r="AI4705" s="4">
        <v>-6.3152602690288606E-2</v>
      </c>
      <c r="AJ4705" s="4" t="s">
        <v>62</v>
      </c>
      <c r="AK4705" s="2">
        <v>0.69880059109828097</v>
      </c>
      <c r="AL4705" s="2">
        <v>0.855418373061957</v>
      </c>
      <c r="AM4705" s="2">
        <v>5268.0879434561202</v>
      </c>
      <c r="AN4705" s="2">
        <v>6030.5295027980701</v>
      </c>
      <c r="AO4705" s="2">
        <v>7949.1571667103699</v>
      </c>
      <c r="AP4705" s="2">
        <v>7537.6415764522499</v>
      </c>
      <c r="AQ4705" s="2">
        <v>9539.8815915219693</v>
      </c>
      <c r="AR4705" s="2">
        <v>8209.7434862226291</v>
      </c>
      <c r="AS4705" s="2">
        <v>7707.2909810634501</v>
      </c>
      <c r="AT4705" s="2">
        <v>10078.970938299601</v>
      </c>
      <c r="AU4705" s="2">
        <v>6255.4475069237196</v>
      </c>
      <c r="AV4705" s="2">
        <v>8069.7144163419898</v>
      </c>
      <c r="AW4705" s="2">
        <v>7728.5258255845501</v>
      </c>
      <c r="AX4705" s="2">
        <v>6687.8684120956304</v>
      </c>
    </row>
    <row r="4706" spans="1:50" x14ac:dyDescent="0.25">
      <c r="A4706" s="2" t="s">
        <v>30880</v>
      </c>
      <c r="B4706" s="2">
        <v>454.390223963339</v>
      </c>
      <c r="C4706" s="2">
        <v>10.6505166666667</v>
      </c>
      <c r="D4706" s="2" t="s">
        <v>51</v>
      </c>
      <c r="E4706" s="2" t="s">
        <v>30881</v>
      </c>
      <c r="F4706" s="2">
        <v>43782</v>
      </c>
      <c r="G4706" s="3" t="str">
        <f>HYPERLINK("https://cloud.oebiotech.com/#/lm/network/43782", "https://cloud.oebiotech.com/#/lm/network/43782")</f>
        <v>https://cloud.oebiotech.com/#/lm/network/43782</v>
      </c>
      <c r="H4706" s="2"/>
      <c r="I4706" s="2"/>
      <c r="J4706" s="2" t="s">
        <v>30882</v>
      </c>
      <c r="K4706" s="2">
        <v>141207061</v>
      </c>
      <c r="L4706" s="2"/>
      <c r="M4706" s="2"/>
      <c r="N4706" s="2"/>
      <c r="O4706" s="2"/>
      <c r="P4706" s="2"/>
      <c r="Q4706" s="2"/>
      <c r="R4706" s="2"/>
      <c r="S4706" s="2" t="s">
        <v>30883</v>
      </c>
      <c r="T4706" s="2" t="s">
        <v>30884</v>
      </c>
      <c r="U4706" s="2" t="s">
        <v>56</v>
      </c>
      <c r="V4706" s="2" t="s">
        <v>283</v>
      </c>
      <c r="W4706" s="2" t="s">
        <v>2042</v>
      </c>
      <c r="X4706" s="2" t="s">
        <v>83</v>
      </c>
      <c r="Y4706" s="2">
        <v>46.4</v>
      </c>
      <c r="Z4706" s="2">
        <v>0</v>
      </c>
      <c r="AA4706" s="2" t="s">
        <v>512</v>
      </c>
      <c r="AB4706" s="2" t="s">
        <v>13755</v>
      </c>
      <c r="AC4706" s="2">
        <v>2.6089194822341901</v>
      </c>
      <c r="AD4706" s="2"/>
      <c r="AE4706" s="2">
        <v>7.5768263924333598E-2</v>
      </c>
      <c r="AF4706" s="2">
        <v>21529.7544378772</v>
      </c>
      <c r="AG4706" s="2">
        <v>20089.799941628698</v>
      </c>
      <c r="AH4706" s="5">
        <v>1.0716759002295799</v>
      </c>
      <c r="AI4706" s="5">
        <v>9.9868667150614293E-2</v>
      </c>
      <c r="AJ4706" s="5" t="s">
        <v>139</v>
      </c>
      <c r="AK4706" s="2">
        <v>0.78601199730037097</v>
      </c>
      <c r="AL4706" s="2">
        <v>0.90577508306915799</v>
      </c>
      <c r="AM4706" s="2">
        <v>17277.696436898899</v>
      </c>
      <c r="AN4706" s="2">
        <v>12815.505195690899</v>
      </c>
      <c r="AO4706" s="2">
        <v>35711.330904209601</v>
      </c>
      <c r="AP4706" s="2">
        <v>28610.621712295298</v>
      </c>
      <c r="AQ4706" s="2">
        <v>20057.697662561299</v>
      </c>
      <c r="AR4706" s="2">
        <v>14705.6747156071</v>
      </c>
      <c r="AS4706" s="2">
        <v>18126.3098908869</v>
      </c>
      <c r="AT4706" s="2">
        <v>13087.7457137193</v>
      </c>
      <c r="AU4706" s="2">
        <v>34993.784503439601</v>
      </c>
      <c r="AV4706" s="2">
        <v>13001.051609624101</v>
      </c>
      <c r="AW4706" s="2">
        <v>26982.239399393999</v>
      </c>
      <c r="AX4706" s="2">
        <v>14347.6685327082</v>
      </c>
    </row>
    <row r="4707" spans="1:50" x14ac:dyDescent="0.25">
      <c r="A4707" s="2" t="s">
        <v>30885</v>
      </c>
      <c r="B4707" s="2">
        <v>683.37386736113899</v>
      </c>
      <c r="C4707" s="2">
        <v>4.3064166666666699</v>
      </c>
      <c r="D4707" s="2" t="s">
        <v>51</v>
      </c>
      <c r="E4707" s="2" t="s">
        <v>30886</v>
      </c>
      <c r="F4707" s="2">
        <v>211200</v>
      </c>
      <c r="G4707" s="3" t="str">
        <f>HYPERLINK("https://cloud.oebiotech.com/#/lm/network/211200", "https://cloud.oebiotech.com/#/lm/network/211200")</f>
        <v>https://cloud.oebiotech.com/#/lm/network/211200</v>
      </c>
      <c r="H4707" s="2" t="s">
        <v>30887</v>
      </c>
      <c r="I4707" s="2"/>
      <c r="J4707" s="2"/>
      <c r="K4707" s="2">
        <v>11393719</v>
      </c>
      <c r="L4707" s="2"/>
      <c r="M4707" s="2"/>
      <c r="N4707" s="2"/>
      <c r="O4707" s="2"/>
      <c r="P4707" s="2"/>
      <c r="Q4707" s="2"/>
      <c r="R4707" s="2"/>
      <c r="S4707" s="2" t="s">
        <v>30888</v>
      </c>
      <c r="T4707" s="2" t="s">
        <v>30889</v>
      </c>
      <c r="U4707" s="2" t="s">
        <v>266</v>
      </c>
      <c r="V4707" s="2" t="s">
        <v>11779</v>
      </c>
      <c r="W4707" s="2" t="s">
        <v>30890</v>
      </c>
      <c r="X4707" s="2" t="s">
        <v>147</v>
      </c>
      <c r="Y4707" s="2">
        <v>38.299999999999997</v>
      </c>
      <c r="Z4707" s="2">
        <v>0</v>
      </c>
      <c r="AA4707" s="2" t="s">
        <v>478</v>
      </c>
      <c r="AB4707" s="2" t="s">
        <v>30891</v>
      </c>
      <c r="AC4707" s="2">
        <v>-3.1721022631695699</v>
      </c>
      <c r="AD4707" s="2"/>
      <c r="AE4707" s="2">
        <v>7.57580052662533E-2</v>
      </c>
      <c r="AF4707" s="2">
        <v>1349.2539078770201</v>
      </c>
      <c r="AG4707" s="2">
        <v>1065.2030656122199</v>
      </c>
      <c r="AH4707" s="5">
        <v>1.2666635606249801</v>
      </c>
      <c r="AI4707" s="5">
        <v>0.34103338014314699</v>
      </c>
      <c r="AJ4707" s="5" t="s">
        <v>139</v>
      </c>
      <c r="AK4707" s="2">
        <v>0.75205165761048398</v>
      </c>
      <c r="AL4707" s="2">
        <v>0.88799216304912298</v>
      </c>
      <c r="AM4707" s="2">
        <v>3780.2865211865901</v>
      </c>
      <c r="AN4707" s="2">
        <v>8.559877937157E-6</v>
      </c>
      <c r="AO4707" s="2">
        <v>1784.2172570307901</v>
      </c>
      <c r="AP4707" s="2">
        <v>670.04053244670297</v>
      </c>
      <c r="AQ4707" s="2">
        <v>389.57395194972202</v>
      </c>
      <c r="AR4707" s="2">
        <v>1471.4051760884599</v>
      </c>
      <c r="AS4707" s="2">
        <v>8.559877937157E-6</v>
      </c>
      <c r="AT4707" s="2">
        <v>8.559877937157E-6</v>
      </c>
      <c r="AU4707" s="2">
        <v>3287.8560400033898</v>
      </c>
      <c r="AV4707" s="2">
        <v>3103.36231943044</v>
      </c>
      <c r="AW4707" s="2">
        <v>8.559877937157E-6</v>
      </c>
      <c r="AX4707" s="2">
        <v>8.559877937157E-6</v>
      </c>
    </row>
    <row r="4708" spans="1:50" x14ac:dyDescent="0.25">
      <c r="A4708" s="2" t="s">
        <v>30892</v>
      </c>
      <c r="B4708" s="2">
        <v>242.07809180246301</v>
      </c>
      <c r="C4708" s="2">
        <v>0.74113333333333298</v>
      </c>
      <c r="D4708" s="2" t="s">
        <v>51</v>
      </c>
      <c r="E4708" s="2" t="s">
        <v>30893</v>
      </c>
      <c r="F4708" s="2">
        <v>54154</v>
      </c>
      <c r="G4708" s="3" t="str">
        <f>HYPERLINK("https://cloud.oebiotech.com/#/lm/network/54154", "https://cloud.oebiotech.com/#/lm/network/54154")</f>
        <v>https://cloud.oebiotech.com/#/lm/network/54154</v>
      </c>
      <c r="H4708" s="2" t="s">
        <v>30894</v>
      </c>
      <c r="I4708" s="2"/>
      <c r="J4708" s="2"/>
      <c r="K4708" s="2">
        <v>131801686</v>
      </c>
      <c r="L4708" s="2"/>
      <c r="M4708" s="2"/>
      <c r="N4708" s="2"/>
      <c r="O4708" s="2"/>
      <c r="P4708" s="2"/>
      <c r="Q4708" s="2"/>
      <c r="R4708" s="2" t="s">
        <v>30895</v>
      </c>
      <c r="S4708" s="2" t="s">
        <v>30896</v>
      </c>
      <c r="T4708" s="2" t="s">
        <v>30897</v>
      </c>
      <c r="U4708" s="2" t="s">
        <v>103</v>
      </c>
      <c r="V4708" s="2" t="s">
        <v>104</v>
      </c>
      <c r="W4708" s="2" t="s">
        <v>105</v>
      </c>
      <c r="X4708" s="2" t="s">
        <v>83</v>
      </c>
      <c r="Y4708" s="2">
        <v>52.4</v>
      </c>
      <c r="Z4708" s="2">
        <v>0</v>
      </c>
      <c r="AA4708" s="2" t="s">
        <v>379</v>
      </c>
      <c r="AB4708" s="2" t="s">
        <v>8346</v>
      </c>
      <c r="AC4708" s="2">
        <v>-0.583273193543553</v>
      </c>
      <c r="AD4708" s="2"/>
      <c r="AE4708" s="2">
        <v>7.5718954687019599E-2</v>
      </c>
      <c r="AF4708" s="2">
        <v>5020.7222793582096</v>
      </c>
      <c r="AG4708" s="2">
        <v>5751.5858149097203</v>
      </c>
      <c r="AH4708" s="4">
        <v>0.87292834375227302</v>
      </c>
      <c r="AI4708" s="4">
        <v>-0.19606486297553199</v>
      </c>
      <c r="AJ4708" s="4" t="s">
        <v>62</v>
      </c>
      <c r="AK4708" s="2">
        <v>0.78019832991281401</v>
      </c>
      <c r="AL4708" s="2">
        <v>0.90329776206650503</v>
      </c>
      <c r="AM4708" s="2">
        <v>4572.4762252589298</v>
      </c>
      <c r="AN4708" s="2">
        <v>6962.8533753680103</v>
      </c>
      <c r="AO4708" s="2">
        <v>3349.3665972314602</v>
      </c>
      <c r="AP4708" s="2">
        <v>2038.31427795536</v>
      </c>
      <c r="AQ4708" s="2">
        <v>7762.5709968204901</v>
      </c>
      <c r="AR4708" s="2">
        <v>5438.7522035149896</v>
      </c>
      <c r="AS4708" s="2">
        <v>315.688956455229</v>
      </c>
      <c r="AT4708" s="2">
        <v>2092.8526369639198</v>
      </c>
      <c r="AU4708" s="2">
        <v>5979.5583715803996</v>
      </c>
      <c r="AV4708" s="2">
        <v>16916.9767623962</v>
      </c>
      <c r="AW4708" s="2">
        <v>3791.2586366792202</v>
      </c>
      <c r="AX4708" s="2">
        <v>5413.1795253833297</v>
      </c>
    </row>
    <row r="4709" spans="1:50" x14ac:dyDescent="0.25">
      <c r="A4709" s="2" t="s">
        <v>30898</v>
      </c>
      <c r="B4709" s="2">
        <v>313.05175956033901</v>
      </c>
      <c r="C4709" s="2">
        <v>0.99641666666666695</v>
      </c>
      <c r="D4709" s="2" t="s">
        <v>51</v>
      </c>
      <c r="E4709" s="2" t="s">
        <v>30899</v>
      </c>
      <c r="F4709" s="2">
        <v>82506</v>
      </c>
      <c r="G4709" s="3" t="str">
        <f>HYPERLINK("https://cloud.oebiotech.com/#/lm/network/82506", "https://cloud.oebiotech.com/#/lm/network/82506")</f>
        <v>https://cloud.oebiotech.com/#/lm/network/82506</v>
      </c>
      <c r="H4709" s="2" t="s">
        <v>30900</v>
      </c>
      <c r="I4709" s="2">
        <v>1060</v>
      </c>
      <c r="J4709" s="2"/>
      <c r="K4709" s="2">
        <v>15415</v>
      </c>
      <c r="L4709" s="2" t="s">
        <v>30901</v>
      </c>
      <c r="M4709" s="2"/>
      <c r="N4709" s="2"/>
      <c r="O4709" s="2">
        <v>141477</v>
      </c>
      <c r="P4709" s="2"/>
      <c r="Q4709" s="2"/>
      <c r="R4709" s="2" t="s">
        <v>30902</v>
      </c>
      <c r="S4709" s="2" t="s">
        <v>30903</v>
      </c>
      <c r="T4709" s="2" t="s">
        <v>30904</v>
      </c>
      <c r="U4709" s="2" t="s">
        <v>56</v>
      </c>
      <c r="V4709" s="2" t="s">
        <v>145</v>
      </c>
      <c r="W4709" s="2" t="s">
        <v>1188</v>
      </c>
      <c r="X4709" s="2" t="s">
        <v>147</v>
      </c>
      <c r="Y4709" s="2">
        <v>37</v>
      </c>
      <c r="Z4709" s="2">
        <v>1.34</v>
      </c>
      <c r="AA4709" s="2" t="s">
        <v>241</v>
      </c>
      <c r="AB4709" s="2" t="s">
        <v>30905</v>
      </c>
      <c r="AC4709" s="2">
        <v>0.39933937576849499</v>
      </c>
      <c r="AD4709" s="2"/>
      <c r="AE4709" s="2">
        <v>7.5661478766922294E-2</v>
      </c>
      <c r="AF4709" s="2">
        <v>18178.630520605398</v>
      </c>
      <c r="AG4709" s="2">
        <v>18551.684982974199</v>
      </c>
      <c r="AH4709" s="4">
        <v>0.97989107389915597</v>
      </c>
      <c r="AI4709" s="4">
        <v>-2.93067088019036E-2</v>
      </c>
      <c r="AJ4709" s="4" t="s">
        <v>62</v>
      </c>
      <c r="AK4709" s="2">
        <v>0.93251342824254002</v>
      </c>
      <c r="AL4709" s="2">
        <v>0.97061347617365101</v>
      </c>
      <c r="AM4709" s="2">
        <v>32923.259139355898</v>
      </c>
      <c r="AN4709" s="2">
        <v>17805.040030101001</v>
      </c>
      <c r="AO4709" s="2">
        <v>16758.291235014502</v>
      </c>
      <c r="AP4709" s="2">
        <v>18621.005152140999</v>
      </c>
      <c r="AQ4709" s="2">
        <v>16647.3425531309</v>
      </c>
      <c r="AR4709" s="2">
        <v>6316.8450138893504</v>
      </c>
      <c r="AS4709" s="2">
        <v>13277.988067648401</v>
      </c>
      <c r="AT4709" s="2">
        <v>26989.4588236407</v>
      </c>
      <c r="AU4709" s="2">
        <v>11772.024623569099</v>
      </c>
      <c r="AV4709" s="2">
        <v>24798.625257876702</v>
      </c>
      <c r="AW4709" s="2">
        <v>18536.895570618599</v>
      </c>
      <c r="AX4709" s="2">
        <v>15935.117554491801</v>
      </c>
    </row>
    <row r="4710" spans="1:50" x14ac:dyDescent="0.25">
      <c r="A4710" s="2" t="s">
        <v>30906</v>
      </c>
      <c r="B4710" s="2">
        <v>580.80813588068895</v>
      </c>
      <c r="C4710" s="2">
        <v>4.4017833333333298</v>
      </c>
      <c r="D4710" s="2" t="s">
        <v>51</v>
      </c>
      <c r="E4710" s="2" t="s">
        <v>30907</v>
      </c>
      <c r="F4710" s="2">
        <v>207890</v>
      </c>
      <c r="G4710" s="3" t="str">
        <f>HYPERLINK("https://cloud.oebiotech.com/#/lm/network/207890", "https://cloud.oebiotech.com/#/lm/network/207890")</f>
        <v>https://cloud.oebiotech.com/#/lm/network/207890</v>
      </c>
      <c r="H4710" s="2" t="s">
        <v>30908</v>
      </c>
      <c r="I4710" s="2">
        <v>72022</v>
      </c>
      <c r="J4710" s="2"/>
      <c r="K4710" s="2">
        <v>5241</v>
      </c>
      <c r="L4710" s="2" t="s">
        <v>30909</v>
      </c>
      <c r="M4710" s="2"/>
      <c r="N4710" s="2"/>
      <c r="O4710" s="2"/>
      <c r="P4710" s="2"/>
      <c r="Q4710" s="2"/>
      <c r="R4710" s="2" t="s">
        <v>30910</v>
      </c>
      <c r="S4710" s="2" t="s">
        <v>30911</v>
      </c>
      <c r="T4710" s="2" t="s">
        <v>30912</v>
      </c>
      <c r="U4710" s="2" t="s">
        <v>540</v>
      </c>
      <c r="V4710" s="2" t="s">
        <v>1916</v>
      </c>
      <c r="W4710" s="2" t="s">
        <v>240</v>
      </c>
      <c r="X4710" s="2" t="s">
        <v>147</v>
      </c>
      <c r="Y4710" s="2">
        <v>38.799999999999997</v>
      </c>
      <c r="Z4710" s="2">
        <v>0</v>
      </c>
      <c r="AA4710" s="2" t="s">
        <v>156</v>
      </c>
      <c r="AB4710" s="2" t="s">
        <v>30913</v>
      </c>
      <c r="AC4710" s="2">
        <v>0.50595421796485296</v>
      </c>
      <c r="AD4710" s="2"/>
      <c r="AE4710" s="2">
        <v>7.5575136934450199E-2</v>
      </c>
      <c r="AF4710" s="2">
        <v>4933.4165103563</v>
      </c>
      <c r="AG4710" s="2">
        <v>6174.8789793812402</v>
      </c>
      <c r="AH4710" s="4">
        <v>0.79894950602751202</v>
      </c>
      <c r="AI4710" s="4">
        <v>-0.32382376783630001</v>
      </c>
      <c r="AJ4710" s="4" t="s">
        <v>62</v>
      </c>
      <c r="AK4710" s="2">
        <v>0.85166573313570804</v>
      </c>
      <c r="AL4710" s="2">
        <v>0.93439301556015897</v>
      </c>
      <c r="AM4710" s="2">
        <v>15028.411525499099</v>
      </c>
      <c r="AN4710" s="2">
        <v>3.6603130692094599</v>
      </c>
      <c r="AO4710" s="2">
        <v>8.559877937157E-6</v>
      </c>
      <c r="AP4710" s="2">
        <v>8.559877937157E-6</v>
      </c>
      <c r="AQ4710" s="2">
        <v>9977.6442720421401</v>
      </c>
      <c r="AR4710" s="2">
        <v>4590.7829344076199</v>
      </c>
      <c r="AS4710" s="2">
        <v>8.559877937157E-6</v>
      </c>
      <c r="AT4710" s="2">
        <v>8.559877937157E-6</v>
      </c>
      <c r="AU4710" s="2">
        <v>8.559877937157E-6</v>
      </c>
      <c r="AV4710" s="2">
        <v>35811.1899806976</v>
      </c>
      <c r="AW4710" s="2">
        <v>3.9987191671760498</v>
      </c>
      <c r="AX4710" s="2">
        <v>1234.08515074301</v>
      </c>
    </row>
    <row r="4711" spans="1:50" x14ac:dyDescent="0.25">
      <c r="A4711" s="2" t="s">
        <v>30914</v>
      </c>
      <c r="B4711" s="2">
        <v>296.03560393697398</v>
      </c>
      <c r="C4711" s="2">
        <v>4.6885500000000002</v>
      </c>
      <c r="D4711" s="2" t="s">
        <v>51</v>
      </c>
      <c r="E4711" s="2" t="s">
        <v>30915</v>
      </c>
      <c r="F4711" s="2">
        <v>63487</v>
      </c>
      <c r="G4711" s="3" t="str">
        <f>HYPERLINK("https://cloud.oebiotech.com/#/lm/network/63487", "https://cloud.oebiotech.com/#/lm/network/63487")</f>
        <v>https://cloud.oebiotech.com/#/lm/network/63487</v>
      </c>
      <c r="H4711" s="2" t="s">
        <v>30916</v>
      </c>
      <c r="I4711" s="2">
        <v>94813</v>
      </c>
      <c r="J4711" s="2"/>
      <c r="K4711" s="2">
        <v>119490</v>
      </c>
      <c r="L4711" s="2"/>
      <c r="M4711" s="2"/>
      <c r="N4711" s="2"/>
      <c r="O4711" s="2">
        <v>174373</v>
      </c>
      <c r="P4711" s="2"/>
      <c r="Q4711" s="2"/>
      <c r="R4711" s="2" t="s">
        <v>30917</v>
      </c>
      <c r="S4711" s="2" t="s">
        <v>30918</v>
      </c>
      <c r="T4711" s="2" t="s">
        <v>30919</v>
      </c>
      <c r="U4711" s="2" t="s">
        <v>610</v>
      </c>
      <c r="V4711" s="2" t="s">
        <v>611</v>
      </c>
      <c r="W4711" s="2" t="s">
        <v>18837</v>
      </c>
      <c r="X4711" s="2" t="s">
        <v>147</v>
      </c>
      <c r="Y4711" s="2">
        <v>37.799999999999997</v>
      </c>
      <c r="Z4711" s="2">
        <v>0</v>
      </c>
      <c r="AA4711" s="2" t="s">
        <v>395</v>
      </c>
      <c r="AB4711" s="2" t="s">
        <v>30920</v>
      </c>
      <c r="AC4711" s="2">
        <v>1.0382021308598099</v>
      </c>
      <c r="AD4711" s="2"/>
      <c r="AE4711" s="2">
        <v>7.5542453301640194E-2</v>
      </c>
      <c r="AF4711" s="2">
        <v>1326.9605088194801</v>
      </c>
      <c r="AG4711" s="2">
        <v>1446.9640096697101</v>
      </c>
      <c r="AH4711" s="4">
        <v>0.91706531741752395</v>
      </c>
      <c r="AI4711" s="4">
        <v>-0.124903602333753</v>
      </c>
      <c r="AJ4711" s="4" t="s">
        <v>62</v>
      </c>
      <c r="AK4711" s="2">
        <v>0.90324458299318</v>
      </c>
      <c r="AL4711" s="2">
        <v>0.95998600422561597</v>
      </c>
      <c r="AM4711" s="2">
        <v>8.559877937157E-6</v>
      </c>
      <c r="AN4711" s="2">
        <v>1700.1845354945399</v>
      </c>
      <c r="AO4711" s="2">
        <v>8.559877937157E-6</v>
      </c>
      <c r="AP4711" s="2">
        <v>5156.7521342167202</v>
      </c>
      <c r="AQ4711" s="2">
        <v>343.33134585195597</v>
      </c>
      <c r="AR4711" s="2">
        <v>761.49502023391801</v>
      </c>
      <c r="AS4711" s="2">
        <v>2872.1394117231198</v>
      </c>
      <c r="AT4711" s="2">
        <v>8.559877937157E-6</v>
      </c>
      <c r="AU4711" s="2">
        <v>583.12356629170802</v>
      </c>
      <c r="AV4711" s="2">
        <v>343.06182630315698</v>
      </c>
      <c r="AW4711" s="2">
        <v>2671.59491209518</v>
      </c>
      <c r="AX4711" s="2">
        <v>2211.8643330451901</v>
      </c>
    </row>
    <row r="4712" spans="1:50" x14ac:dyDescent="0.25">
      <c r="A4712" s="2" t="s">
        <v>30921</v>
      </c>
      <c r="B4712" s="2">
        <v>328.29930000000002</v>
      </c>
      <c r="C4712" s="2">
        <v>23.170999999999999</v>
      </c>
      <c r="D4712" s="2" t="s">
        <v>125</v>
      </c>
      <c r="E4712" s="2" t="s">
        <v>30922</v>
      </c>
      <c r="F4712" s="2">
        <v>540852</v>
      </c>
      <c r="G4712" s="3" t="str">
        <f>HYPERLINK("https://cloud.oebiotech.com/#/lm/network/540852", "https://cloud.oebiotech.com/#/lm/network/540852")</f>
        <v>https://cloud.oebiotech.com/#/lm/network/540852</v>
      </c>
      <c r="H4712" s="2"/>
      <c r="I4712" s="2"/>
      <c r="J4712" s="2"/>
      <c r="K4712" s="2"/>
      <c r="L4712" s="2" t="s">
        <v>30923</v>
      </c>
      <c r="M4712" s="2" t="s">
        <v>30924</v>
      </c>
      <c r="N4712" s="2" t="s">
        <v>30925</v>
      </c>
      <c r="O4712" s="2"/>
      <c r="P4712" s="2"/>
      <c r="Q4712" s="2"/>
      <c r="R4712" s="2" t="s">
        <v>30926</v>
      </c>
      <c r="S4712" s="2" t="s">
        <v>30927</v>
      </c>
      <c r="T4712" s="2" t="s">
        <v>30928</v>
      </c>
      <c r="U4712" s="2" t="s">
        <v>331</v>
      </c>
      <c r="V4712" s="2" t="s">
        <v>332</v>
      </c>
      <c r="W4712" s="2" t="s">
        <v>333</v>
      </c>
      <c r="X4712" s="2" t="s">
        <v>83</v>
      </c>
      <c r="Y4712" s="2">
        <v>84.1</v>
      </c>
      <c r="Z4712" s="2">
        <v>73.7</v>
      </c>
      <c r="AA4712" s="2"/>
      <c r="AB4712" s="2" t="s">
        <v>22685</v>
      </c>
      <c r="AC4712" s="2"/>
      <c r="AD4712" s="2">
        <v>812017.41847826098</v>
      </c>
      <c r="AE4712" s="2">
        <v>7.5533971914848494E-2</v>
      </c>
      <c r="AF4712" s="2">
        <v>8724.2381620810702</v>
      </c>
      <c r="AG4712" s="2">
        <v>11436.2032109877</v>
      </c>
      <c r="AH4712" s="4">
        <v>0.76286141485304704</v>
      </c>
      <c r="AI4712" s="4">
        <v>-0.39050710108291398</v>
      </c>
      <c r="AJ4712" s="4" t="s">
        <v>62</v>
      </c>
      <c r="AK4712" s="2">
        <v>0.31877533624874599</v>
      </c>
      <c r="AL4712" s="2">
        <v>0.62730168091110505</v>
      </c>
      <c r="AM4712" s="2">
        <v>10262.886826319</v>
      </c>
      <c r="AN4712" s="2">
        <v>11594.9517110877</v>
      </c>
      <c r="AO4712" s="2">
        <v>6203.8221821035404</v>
      </c>
      <c r="AP4712" s="2">
        <v>6336.8492653448802</v>
      </c>
      <c r="AQ4712" s="2">
        <v>10955.476547855</v>
      </c>
      <c r="AR4712" s="2">
        <v>6991.4424397762896</v>
      </c>
      <c r="AS4712" s="2">
        <v>5971.2289096730101</v>
      </c>
      <c r="AT4712" s="2">
        <v>6389.8087721847296</v>
      </c>
      <c r="AU4712" s="2">
        <v>16562.565811224398</v>
      </c>
      <c r="AV4712" s="2">
        <v>15781.683404232899</v>
      </c>
      <c r="AW4712" s="2">
        <v>17819.1057516863</v>
      </c>
      <c r="AX4712" s="2">
        <v>6092.8266169251401</v>
      </c>
    </row>
    <row r="4713" spans="1:50" x14ac:dyDescent="0.25">
      <c r="A4713" s="2" t="s">
        <v>30929</v>
      </c>
      <c r="B4713" s="2">
        <v>341.26968328153401</v>
      </c>
      <c r="C4713" s="2">
        <v>12.83015</v>
      </c>
      <c r="D4713" s="2" t="s">
        <v>51</v>
      </c>
      <c r="E4713" s="2" t="s">
        <v>30930</v>
      </c>
      <c r="F4713" s="2">
        <v>1322</v>
      </c>
      <c r="G4713" s="3" t="str">
        <f>HYPERLINK("https://cloud.oebiotech.com/#/lm/network/1322", "https://cloud.oebiotech.com/#/lm/network/1322")</f>
        <v>https://cloud.oebiotech.com/#/lm/network/1322</v>
      </c>
      <c r="H4713" s="2"/>
      <c r="I4713" s="2">
        <v>74447</v>
      </c>
      <c r="J4713" s="2" t="s">
        <v>30931</v>
      </c>
      <c r="K4713" s="2">
        <v>52921863</v>
      </c>
      <c r="L4713" s="2"/>
      <c r="M4713" s="2"/>
      <c r="N4713" s="2"/>
      <c r="O4713" s="2"/>
      <c r="P4713" s="2"/>
      <c r="Q4713" s="2"/>
      <c r="R4713" s="2"/>
      <c r="S4713" s="2" t="s">
        <v>30932</v>
      </c>
      <c r="T4713" s="2" t="s">
        <v>30933</v>
      </c>
      <c r="U4713" s="2" t="s">
        <v>56</v>
      </c>
      <c r="V4713" s="2" t="s">
        <v>145</v>
      </c>
      <c r="W4713" s="2" t="s">
        <v>231</v>
      </c>
      <c r="X4713" s="2" t="s">
        <v>83</v>
      </c>
      <c r="Y4713" s="2">
        <v>41.9</v>
      </c>
      <c r="Z4713" s="2">
        <v>0</v>
      </c>
      <c r="AA4713" s="2" t="s">
        <v>218</v>
      </c>
      <c r="AB4713" s="2" t="s">
        <v>26385</v>
      </c>
      <c r="AC4713" s="2">
        <v>-0.168703709480198</v>
      </c>
      <c r="AD4713" s="2"/>
      <c r="AE4713" s="2">
        <v>7.5427724292769505E-2</v>
      </c>
      <c r="AF4713" s="2">
        <v>424.55213843681798</v>
      </c>
      <c r="AG4713" s="2">
        <v>255.81753132850699</v>
      </c>
      <c r="AH4713" s="5">
        <v>1.6595896936071699</v>
      </c>
      <c r="AI4713" s="5">
        <v>0.73082660291752499</v>
      </c>
      <c r="AJ4713" s="5" t="s">
        <v>139</v>
      </c>
      <c r="AK4713" s="2">
        <v>0.17294169683836899</v>
      </c>
      <c r="AL4713" s="2">
        <v>0.49363214140836398</v>
      </c>
      <c r="AM4713" s="2">
        <v>813.75783328360603</v>
      </c>
      <c r="AN4713" s="2">
        <v>408.897610176797</v>
      </c>
      <c r="AO4713" s="2">
        <v>520.49985797647696</v>
      </c>
      <c r="AP4713" s="2">
        <v>385.59742770803598</v>
      </c>
      <c r="AQ4713" s="2">
        <v>130.48986414787899</v>
      </c>
      <c r="AR4713" s="2">
        <v>288.07023732811501</v>
      </c>
      <c r="AS4713" s="2">
        <v>373.01839097371902</v>
      </c>
      <c r="AT4713" s="2">
        <v>388.782095381038</v>
      </c>
      <c r="AU4713" s="2">
        <v>8.559877937157E-6</v>
      </c>
      <c r="AV4713" s="2">
        <v>267.24178799535002</v>
      </c>
      <c r="AW4713" s="2">
        <v>379.41788101037702</v>
      </c>
      <c r="AX4713" s="2">
        <v>126.445024050679</v>
      </c>
    </row>
    <row r="4714" spans="1:50" x14ac:dyDescent="0.25">
      <c r="A4714" s="2" t="s">
        <v>30934</v>
      </c>
      <c r="B4714" s="2">
        <v>313.04562231598698</v>
      </c>
      <c r="C4714" s="2">
        <v>1.20183333333333</v>
      </c>
      <c r="D4714" s="2" t="s">
        <v>51</v>
      </c>
      <c r="E4714" s="2" t="s">
        <v>30935</v>
      </c>
      <c r="F4714" s="2">
        <v>47505</v>
      </c>
      <c r="G4714" s="3" t="str">
        <f>HYPERLINK("https://cloud.oebiotech.com/#/lm/network/47505", "https://cloud.oebiotech.com/#/lm/network/47505")</f>
        <v>https://cloud.oebiotech.com/#/lm/network/47505</v>
      </c>
      <c r="H4714" s="2" t="s">
        <v>30936</v>
      </c>
      <c r="I4714" s="2"/>
      <c r="J4714" s="2"/>
      <c r="K4714" s="2">
        <v>130805</v>
      </c>
      <c r="L4714" s="2" t="s">
        <v>30937</v>
      </c>
      <c r="M4714" s="2" t="s">
        <v>2788</v>
      </c>
      <c r="N4714" s="2" t="s">
        <v>2789</v>
      </c>
      <c r="O4714" s="2"/>
      <c r="P4714" s="2"/>
      <c r="Q4714" s="2"/>
      <c r="R4714" s="2" t="s">
        <v>30938</v>
      </c>
      <c r="S4714" s="2" t="s">
        <v>30939</v>
      </c>
      <c r="T4714" s="2" t="s">
        <v>30940</v>
      </c>
      <c r="U4714" s="2" t="s">
        <v>295</v>
      </c>
      <c r="V4714" s="2" t="s">
        <v>30941</v>
      </c>
      <c r="W4714" s="2" t="s">
        <v>240</v>
      </c>
      <c r="X4714" s="2" t="s">
        <v>147</v>
      </c>
      <c r="Y4714" s="2">
        <v>41.7</v>
      </c>
      <c r="Z4714" s="2">
        <v>17.5</v>
      </c>
      <c r="AA4714" s="2" t="s">
        <v>163</v>
      </c>
      <c r="AB4714" s="2" t="s">
        <v>30942</v>
      </c>
      <c r="AC4714" s="2">
        <v>4.4007152446350197</v>
      </c>
      <c r="AD4714" s="2"/>
      <c r="AE4714" s="2">
        <v>7.5260186556077094E-2</v>
      </c>
      <c r="AF4714" s="2">
        <v>2432.1593138512899</v>
      </c>
      <c r="AG4714" s="2">
        <v>4405.6662911988897</v>
      </c>
      <c r="AH4714" s="4">
        <v>0.55205255075945303</v>
      </c>
      <c r="AI4714" s="4">
        <v>-0.85712248891384202</v>
      </c>
      <c r="AJ4714" s="4" t="s">
        <v>62</v>
      </c>
      <c r="AK4714" s="2">
        <v>0.60903939280513697</v>
      </c>
      <c r="AL4714" s="2">
        <v>0.80500020905507597</v>
      </c>
      <c r="AM4714" s="2">
        <v>6852.5915728764203</v>
      </c>
      <c r="AN4714" s="2">
        <v>8.559877937157E-6</v>
      </c>
      <c r="AO4714" s="2">
        <v>8.559877937157E-6</v>
      </c>
      <c r="AP4714" s="2">
        <v>4395.1021716990199</v>
      </c>
      <c r="AQ4714" s="2">
        <v>8.559877937157E-6</v>
      </c>
      <c r="AR4714" s="2">
        <v>3345.2621128526498</v>
      </c>
      <c r="AS4714" s="2">
        <v>4369.4836385501203</v>
      </c>
      <c r="AT4714" s="2">
        <v>8.559877937157E-6</v>
      </c>
      <c r="AU4714" s="2">
        <v>21783.567520426601</v>
      </c>
      <c r="AV4714" s="2">
        <v>143.38876269619601</v>
      </c>
      <c r="AW4714" s="2">
        <v>137.55780840065901</v>
      </c>
      <c r="AX4714" s="2">
        <v>8.559877937157E-6</v>
      </c>
    </row>
    <row r="4715" spans="1:50" x14ac:dyDescent="0.25">
      <c r="A4715" s="2" t="s">
        <v>30943</v>
      </c>
      <c r="B4715" s="2">
        <v>247.076657652835</v>
      </c>
      <c r="C4715" s="2">
        <v>5.8082500000000001</v>
      </c>
      <c r="D4715" s="2" t="s">
        <v>51</v>
      </c>
      <c r="E4715" s="2" t="s">
        <v>30944</v>
      </c>
      <c r="F4715" s="2">
        <v>64989</v>
      </c>
      <c r="G4715" s="3" t="str">
        <f>HYPERLINK("https://cloud.oebiotech.com/#/lm/network/64989", "https://cloud.oebiotech.com/#/lm/network/64989")</f>
        <v>https://cloud.oebiotech.com/#/lm/network/64989</v>
      </c>
      <c r="H4715" s="2" t="s">
        <v>30945</v>
      </c>
      <c r="I4715" s="2">
        <v>69974</v>
      </c>
      <c r="J4715" s="2"/>
      <c r="K4715" s="2">
        <v>31423</v>
      </c>
      <c r="L4715" s="2" t="s">
        <v>30946</v>
      </c>
      <c r="M4715" s="2"/>
      <c r="N4715" s="2"/>
      <c r="O4715" s="2">
        <v>39106</v>
      </c>
      <c r="P4715" s="2"/>
      <c r="Q4715" s="2"/>
      <c r="R4715" s="2" t="s">
        <v>30947</v>
      </c>
      <c r="S4715" s="2" t="s">
        <v>30948</v>
      </c>
      <c r="T4715" s="2" t="s">
        <v>30949</v>
      </c>
      <c r="U4715" s="2" t="s">
        <v>610</v>
      </c>
      <c r="V4715" s="2" t="s">
        <v>15860</v>
      </c>
      <c r="W4715" s="2" t="s">
        <v>240</v>
      </c>
      <c r="X4715" s="2" t="s">
        <v>147</v>
      </c>
      <c r="Y4715" s="2">
        <v>36.6</v>
      </c>
      <c r="Z4715" s="2">
        <v>0</v>
      </c>
      <c r="AA4715" s="2" t="s">
        <v>218</v>
      </c>
      <c r="AB4715" s="2" t="s">
        <v>30950</v>
      </c>
      <c r="AC4715" s="2">
        <v>1.0117968383559399</v>
      </c>
      <c r="AD4715" s="2"/>
      <c r="AE4715" s="2">
        <v>7.5191445516560498E-2</v>
      </c>
      <c r="AF4715" s="2">
        <v>729.34657710274803</v>
      </c>
      <c r="AG4715" s="2">
        <v>525.00138262486303</v>
      </c>
      <c r="AH4715" s="5">
        <v>1.38922791680322</v>
      </c>
      <c r="AI4715" s="5">
        <v>0.47428330735933999</v>
      </c>
      <c r="AJ4715" s="5" t="s">
        <v>139</v>
      </c>
      <c r="AK4715" s="2">
        <v>0.14479565932517899</v>
      </c>
      <c r="AL4715" s="2">
        <v>0.46795150714190697</v>
      </c>
      <c r="AM4715" s="2">
        <v>766.01552669813998</v>
      </c>
      <c r="AN4715" s="2">
        <v>981.60991403768799</v>
      </c>
      <c r="AO4715" s="2">
        <v>623.01275671106998</v>
      </c>
      <c r="AP4715" s="2">
        <v>564.90732034520397</v>
      </c>
      <c r="AQ4715" s="2">
        <v>657.51089639203406</v>
      </c>
      <c r="AR4715" s="2">
        <v>783.02304843235197</v>
      </c>
      <c r="AS4715" s="2">
        <v>426.05592493689602</v>
      </c>
      <c r="AT4715" s="2">
        <v>245.327986307651</v>
      </c>
      <c r="AU4715" s="2">
        <v>753.727644757127</v>
      </c>
      <c r="AV4715" s="2">
        <v>252.73984698331799</v>
      </c>
      <c r="AW4715" s="2">
        <v>943.18988320801998</v>
      </c>
      <c r="AX4715" s="2">
        <v>528.96700955616404</v>
      </c>
    </row>
    <row r="4716" spans="1:50" x14ac:dyDescent="0.25">
      <c r="A4716" s="2" t="s">
        <v>30951</v>
      </c>
      <c r="B4716" s="2">
        <v>275.201693329791</v>
      </c>
      <c r="C4716" s="2">
        <v>11.842883333333299</v>
      </c>
      <c r="D4716" s="2" t="s">
        <v>51</v>
      </c>
      <c r="E4716" s="2" t="s">
        <v>30952</v>
      </c>
      <c r="F4716" s="2">
        <v>846</v>
      </c>
      <c r="G4716" s="3" t="str">
        <f>HYPERLINK("https://cloud.oebiotech.com/#/lm/network/846", "https://cloud.oebiotech.com/#/lm/network/846")</f>
        <v>https://cloud.oebiotech.com/#/lm/network/846</v>
      </c>
      <c r="H4716" s="2"/>
      <c r="I4716" s="2">
        <v>35018</v>
      </c>
      <c r="J4716" s="2" t="s">
        <v>30953</v>
      </c>
      <c r="K4716" s="2">
        <v>5312505</v>
      </c>
      <c r="L4716" s="2"/>
      <c r="M4716" s="2"/>
      <c r="N4716" s="2"/>
      <c r="O4716" s="2"/>
      <c r="P4716" s="2"/>
      <c r="Q4716" s="2"/>
      <c r="R4716" s="2"/>
      <c r="S4716" s="2" t="s">
        <v>30954</v>
      </c>
      <c r="T4716" s="2" t="s">
        <v>30955</v>
      </c>
      <c r="U4716" s="2" t="s">
        <v>56</v>
      </c>
      <c r="V4716" s="2" t="s">
        <v>145</v>
      </c>
      <c r="W4716" s="2" t="s">
        <v>203</v>
      </c>
      <c r="X4716" s="2" t="s">
        <v>83</v>
      </c>
      <c r="Y4716" s="2">
        <v>48.2</v>
      </c>
      <c r="Z4716" s="2">
        <v>0</v>
      </c>
      <c r="AA4716" s="2" t="s">
        <v>163</v>
      </c>
      <c r="AB4716" s="2" t="s">
        <v>6435</v>
      </c>
      <c r="AC4716" s="2">
        <v>0.14345919421605299</v>
      </c>
      <c r="AD4716" s="2"/>
      <c r="AE4716" s="2">
        <v>7.5154419231633504E-2</v>
      </c>
      <c r="AF4716" s="2">
        <v>891.456565640078</v>
      </c>
      <c r="AG4716" s="2">
        <v>698.19281354658494</v>
      </c>
      <c r="AH4716" s="5">
        <v>1.27680570229845</v>
      </c>
      <c r="AI4716" s="5">
        <v>0.35253899985845699</v>
      </c>
      <c r="AJ4716" s="5" t="s">
        <v>139</v>
      </c>
      <c r="AK4716" s="2">
        <v>0.28142279088220001</v>
      </c>
      <c r="AL4716" s="2">
        <v>0.60000138164408201</v>
      </c>
      <c r="AM4716" s="2">
        <v>1136.42812940986</v>
      </c>
      <c r="AN4716" s="2">
        <v>1039.99390873117</v>
      </c>
      <c r="AO4716" s="2">
        <v>955.04227010249701</v>
      </c>
      <c r="AP4716" s="2">
        <v>575.28716171832298</v>
      </c>
      <c r="AQ4716" s="2">
        <v>741.01027681731102</v>
      </c>
      <c r="AR4716" s="2">
        <v>900.97764706130499</v>
      </c>
      <c r="AS4716" s="2">
        <v>609.08561055481505</v>
      </c>
      <c r="AT4716" s="2">
        <v>538.95795066703602</v>
      </c>
      <c r="AU4716" s="2">
        <v>967.900535350577</v>
      </c>
      <c r="AV4716" s="2">
        <v>290.91271853442203</v>
      </c>
      <c r="AW4716" s="2">
        <v>1284.33339057233</v>
      </c>
      <c r="AX4716" s="2">
        <v>497.96667560033001</v>
      </c>
    </row>
    <row r="4717" spans="1:50" x14ac:dyDescent="0.25">
      <c r="A4717" s="2" t="s">
        <v>30956</v>
      </c>
      <c r="B4717" s="2">
        <v>120.081267520184</v>
      </c>
      <c r="C4717" s="2">
        <v>3.9009</v>
      </c>
      <c r="D4717" s="2" t="s">
        <v>51</v>
      </c>
      <c r="E4717" s="2" t="s">
        <v>30957</v>
      </c>
      <c r="F4717" s="2">
        <v>201690</v>
      </c>
      <c r="G4717" s="3" t="str">
        <f>HYPERLINK("https://cloud.oebiotech.com/#/lm/network/201690", "https://cloud.oebiotech.com/#/lm/network/201690")</f>
        <v>https://cloud.oebiotech.com/#/lm/network/201690</v>
      </c>
      <c r="H4717" s="2" t="s">
        <v>30958</v>
      </c>
      <c r="I4717" s="2"/>
      <c r="J4717" s="2"/>
      <c r="K4717" s="2">
        <v>76542</v>
      </c>
      <c r="L4717" s="2"/>
      <c r="M4717" s="2"/>
      <c r="N4717" s="2"/>
      <c r="O4717" s="2"/>
      <c r="P4717" s="2"/>
      <c r="Q4717" s="2"/>
      <c r="R4717" s="2"/>
      <c r="S4717" s="2" t="s">
        <v>30959</v>
      </c>
      <c r="T4717" s="2" t="s">
        <v>30960</v>
      </c>
      <c r="U4717" s="2" t="s">
        <v>610</v>
      </c>
      <c r="V4717" s="2" t="s">
        <v>895</v>
      </c>
      <c r="W4717" s="2" t="s">
        <v>30506</v>
      </c>
      <c r="X4717" s="2" t="s">
        <v>83</v>
      </c>
      <c r="Y4717" s="2">
        <v>38.799999999999997</v>
      </c>
      <c r="Z4717" s="2">
        <v>0</v>
      </c>
      <c r="AA4717" s="2" t="s">
        <v>156</v>
      </c>
      <c r="AB4717" s="2" t="s">
        <v>21268</v>
      </c>
      <c r="AC4717" s="2">
        <v>3.5875289908217698</v>
      </c>
      <c r="AD4717" s="2"/>
      <c r="AE4717" s="2">
        <v>7.5072482776073798E-2</v>
      </c>
      <c r="AF4717" s="2">
        <v>6207.7137593966099</v>
      </c>
      <c r="AG4717" s="2">
        <v>5633.1037068911701</v>
      </c>
      <c r="AH4717" s="5">
        <v>1.10200594244386</v>
      </c>
      <c r="AI4717" s="5">
        <v>0.14013200350178501</v>
      </c>
      <c r="AJ4717" s="5" t="s">
        <v>139</v>
      </c>
      <c r="AK4717" s="2">
        <v>0.35113538056085097</v>
      </c>
      <c r="AL4717" s="2">
        <v>0.64273559662805702</v>
      </c>
      <c r="AM4717" s="2">
        <v>4860.6403797727498</v>
      </c>
      <c r="AN4717" s="2">
        <v>7017.1472268685602</v>
      </c>
      <c r="AO4717" s="2">
        <v>5505.7743396556398</v>
      </c>
      <c r="AP4717" s="2">
        <v>6598.6434981617904</v>
      </c>
      <c r="AQ4717" s="2">
        <v>7899.9229759936497</v>
      </c>
      <c r="AR4717" s="2">
        <v>5364.1541359272396</v>
      </c>
      <c r="AS4717" s="2">
        <v>4377.0533614960696</v>
      </c>
      <c r="AT4717" s="2">
        <v>5484.0985768602404</v>
      </c>
      <c r="AU4717" s="2">
        <v>5437.9090752647699</v>
      </c>
      <c r="AV4717" s="2">
        <v>5463.0020458270801</v>
      </c>
      <c r="AW4717" s="2">
        <v>6053.93079741973</v>
      </c>
      <c r="AX4717" s="2">
        <v>6982.6283844791496</v>
      </c>
    </row>
    <row r="4718" spans="1:50" x14ac:dyDescent="0.25">
      <c r="A4718" s="2" t="s">
        <v>30961</v>
      </c>
      <c r="B4718" s="2">
        <v>695.42017465314905</v>
      </c>
      <c r="C4718" s="2">
        <v>15.0309333333333</v>
      </c>
      <c r="D4718" s="2" t="s">
        <v>51</v>
      </c>
      <c r="E4718" s="2" t="s">
        <v>30962</v>
      </c>
      <c r="F4718" s="2">
        <v>10353</v>
      </c>
      <c r="G4718" s="3" t="str">
        <f>HYPERLINK("https://cloud.oebiotech.com/#/lm/network/10353", "https://cloud.oebiotech.com/#/lm/network/10353")</f>
        <v>https://cloud.oebiotech.com/#/lm/network/10353</v>
      </c>
      <c r="H4718" s="2"/>
      <c r="I4718" s="2"/>
      <c r="J4718" s="2" t="s">
        <v>30963</v>
      </c>
      <c r="K4718" s="2">
        <v>86289847</v>
      </c>
      <c r="L4718" s="2"/>
      <c r="M4718" s="2"/>
      <c r="N4718" s="2"/>
      <c r="O4718" s="2">
        <v>79259</v>
      </c>
      <c r="P4718" s="2"/>
      <c r="Q4718" s="2"/>
      <c r="R4718" s="2"/>
      <c r="S4718" s="2" t="s">
        <v>30964</v>
      </c>
      <c r="T4718" s="2" t="s">
        <v>30965</v>
      </c>
      <c r="U4718" s="2" t="s">
        <v>331</v>
      </c>
      <c r="V4718" s="2" t="s">
        <v>332</v>
      </c>
      <c r="W4718" s="2" t="s">
        <v>333</v>
      </c>
      <c r="X4718" s="2" t="s">
        <v>147</v>
      </c>
      <c r="Y4718" s="2">
        <v>36.9</v>
      </c>
      <c r="Z4718" s="2">
        <v>0</v>
      </c>
      <c r="AA4718" s="2" t="s">
        <v>478</v>
      </c>
      <c r="AB4718" s="2" t="s">
        <v>30966</v>
      </c>
      <c r="AC4718" s="2">
        <v>-3.09527502851159</v>
      </c>
      <c r="AD4718" s="2"/>
      <c r="AE4718" s="2">
        <v>7.5034899494806406E-2</v>
      </c>
      <c r="AF4718" s="2">
        <v>914.92800686601402</v>
      </c>
      <c r="AG4718" s="2">
        <v>1586.8878111476899</v>
      </c>
      <c r="AH4718" s="4">
        <v>0.57655494007752595</v>
      </c>
      <c r="AI4718" s="4">
        <v>-0.794470005655875</v>
      </c>
      <c r="AJ4718" s="4" t="s">
        <v>62</v>
      </c>
      <c r="AK4718" s="2">
        <v>0.58713908606702603</v>
      </c>
      <c r="AL4718" s="2">
        <v>0.79259485853877298</v>
      </c>
      <c r="AM4718" s="2">
        <v>8.559877937157E-6</v>
      </c>
      <c r="AN4718" s="2">
        <v>8.559877937157E-6</v>
      </c>
      <c r="AO4718" s="2">
        <v>8.559877937157E-6</v>
      </c>
      <c r="AP4718" s="2">
        <v>1144.4037224548599</v>
      </c>
      <c r="AQ4718" s="2">
        <v>4148.2892705764198</v>
      </c>
      <c r="AR4718" s="2">
        <v>196.875022485171</v>
      </c>
      <c r="AS4718" s="2">
        <v>8.559877937157E-6</v>
      </c>
      <c r="AT4718" s="2">
        <v>5941.5247623402302</v>
      </c>
      <c r="AU4718" s="2">
        <v>8.559877937157E-6</v>
      </c>
      <c r="AV4718" s="2">
        <v>584.70568681009001</v>
      </c>
      <c r="AW4718" s="2">
        <v>2995.0963920561999</v>
      </c>
      <c r="AX4718" s="2">
        <v>8.559877937157E-6</v>
      </c>
    </row>
    <row r="4719" spans="1:50" x14ac:dyDescent="0.25">
      <c r="A4719" s="2" t="s">
        <v>30967</v>
      </c>
      <c r="B4719" s="2">
        <v>643.47148639806198</v>
      </c>
      <c r="C4719" s="2">
        <v>14.465633333333299</v>
      </c>
      <c r="D4719" s="2" t="s">
        <v>51</v>
      </c>
      <c r="E4719" s="2" t="s">
        <v>30968</v>
      </c>
      <c r="F4719" s="2">
        <v>25985</v>
      </c>
      <c r="G4719" s="3" t="str">
        <f>HYPERLINK("https://cloud.oebiotech.com/#/lm/network/25985", "https://cloud.oebiotech.com/#/lm/network/25985")</f>
        <v>https://cloud.oebiotech.com/#/lm/network/25985</v>
      </c>
      <c r="H4719" s="2"/>
      <c r="I4719" s="2">
        <v>82250</v>
      </c>
      <c r="J4719" s="2" t="s">
        <v>30969</v>
      </c>
      <c r="K4719" s="2">
        <v>52929665</v>
      </c>
      <c r="L4719" s="2"/>
      <c r="M4719" s="2"/>
      <c r="N4719" s="2"/>
      <c r="O4719" s="2"/>
      <c r="P4719" s="2"/>
      <c r="Q4719" s="2"/>
      <c r="R4719" s="2"/>
      <c r="S4719" s="2" t="s">
        <v>30970</v>
      </c>
      <c r="T4719" s="2" t="s">
        <v>30971</v>
      </c>
      <c r="U4719" s="2" t="s">
        <v>56</v>
      </c>
      <c r="V4719" s="2" t="s">
        <v>57</v>
      </c>
      <c r="W4719" s="2" t="s">
        <v>702</v>
      </c>
      <c r="X4719" s="2" t="s">
        <v>147</v>
      </c>
      <c r="Y4719" s="2">
        <v>36.700000000000003</v>
      </c>
      <c r="Z4719" s="2">
        <v>0.14399999999999999</v>
      </c>
      <c r="AA4719" s="2" t="s">
        <v>163</v>
      </c>
      <c r="AB4719" s="2" t="s">
        <v>30972</v>
      </c>
      <c r="AC4719" s="2">
        <v>1.04216159022618</v>
      </c>
      <c r="AD4719" s="2"/>
      <c r="AE4719" s="2">
        <v>7.5014528992192506E-2</v>
      </c>
      <c r="AF4719" s="2">
        <v>20812.539805983099</v>
      </c>
      <c r="AG4719" s="2">
        <v>25042.917463077199</v>
      </c>
      <c r="AH4719" s="4">
        <v>0.83107488720787903</v>
      </c>
      <c r="AI4719" s="4">
        <v>-0.26694961243370002</v>
      </c>
      <c r="AJ4719" s="4" t="s">
        <v>62</v>
      </c>
      <c r="AK4719" s="2">
        <v>0.54638722955016905</v>
      </c>
      <c r="AL4719" s="2">
        <v>0.77012905997405201</v>
      </c>
      <c r="AM4719" s="2">
        <v>44637.966780997704</v>
      </c>
      <c r="AN4719" s="2">
        <v>21156.052560847002</v>
      </c>
      <c r="AO4719" s="2">
        <v>11388.4077733171</v>
      </c>
      <c r="AP4719" s="2">
        <v>15090.655406267901</v>
      </c>
      <c r="AQ4719" s="2">
        <v>10160.997841790801</v>
      </c>
      <c r="AR4719" s="2">
        <v>22441.1584726781</v>
      </c>
      <c r="AS4719" s="2">
        <v>15615.111538311099</v>
      </c>
      <c r="AT4719" s="2">
        <v>18669.047944159302</v>
      </c>
      <c r="AU4719" s="2">
        <v>39805.756622563596</v>
      </c>
      <c r="AV4719" s="2">
        <v>18721.699921060401</v>
      </c>
      <c r="AW4719" s="2">
        <v>19850.838787458601</v>
      </c>
      <c r="AX4719" s="2">
        <v>37595.049964910198</v>
      </c>
    </row>
    <row r="4720" spans="1:50" x14ac:dyDescent="0.25">
      <c r="A4720" s="2" t="s">
        <v>30973</v>
      </c>
      <c r="B4720" s="2">
        <v>233.150398790141</v>
      </c>
      <c r="C4720" s="2">
        <v>2.6973833333333301</v>
      </c>
      <c r="D4720" s="2" t="s">
        <v>51</v>
      </c>
      <c r="E4720" s="2" t="s">
        <v>30974</v>
      </c>
      <c r="F4720" s="2">
        <v>54075</v>
      </c>
      <c r="G4720" s="3" t="str">
        <f>HYPERLINK("https://cloud.oebiotech.com/#/lm/network/54075", "https://cloud.oebiotech.com/#/lm/network/54075")</f>
        <v>https://cloud.oebiotech.com/#/lm/network/54075</v>
      </c>
      <c r="H4720" s="2" t="s">
        <v>30975</v>
      </c>
      <c r="I4720" s="2">
        <v>23987</v>
      </c>
      <c r="J4720" s="2"/>
      <c r="K4720" s="2">
        <v>57281443</v>
      </c>
      <c r="L4720" s="2"/>
      <c r="M4720" s="2"/>
      <c r="N4720" s="2"/>
      <c r="O4720" s="2">
        <v>141446</v>
      </c>
      <c r="P4720" s="2"/>
      <c r="Q4720" s="2"/>
      <c r="R4720" s="2" t="s">
        <v>30976</v>
      </c>
      <c r="S4720" s="2" t="s">
        <v>30977</v>
      </c>
      <c r="T4720" s="2" t="s">
        <v>30978</v>
      </c>
      <c r="U4720" s="2" t="s">
        <v>103</v>
      </c>
      <c r="V4720" s="2" t="s">
        <v>104</v>
      </c>
      <c r="W4720" s="2" t="s">
        <v>105</v>
      </c>
      <c r="X4720" s="2" t="s">
        <v>69</v>
      </c>
      <c r="Y4720" s="2">
        <v>58.8</v>
      </c>
      <c r="Z4720" s="2">
        <v>83.7</v>
      </c>
      <c r="AA4720" s="2" t="s">
        <v>259</v>
      </c>
      <c r="AB4720" s="2" t="s">
        <v>5586</v>
      </c>
      <c r="AC4720" s="2">
        <v>3.5117635853301699</v>
      </c>
      <c r="AD4720" s="2"/>
      <c r="AE4720" s="2">
        <v>7.5003350526474694E-2</v>
      </c>
      <c r="AF4720" s="2">
        <v>29373.797213798</v>
      </c>
      <c r="AG4720" s="2">
        <v>34962.360824969299</v>
      </c>
      <c r="AH4720" s="4">
        <v>0.84015485569898596</v>
      </c>
      <c r="AI4720" s="4">
        <v>-0.25127282775964399</v>
      </c>
      <c r="AJ4720" s="4" t="s">
        <v>62</v>
      </c>
      <c r="AK4720" s="2">
        <v>0.69953500205175001</v>
      </c>
      <c r="AL4720" s="2">
        <v>0.85547950942087603</v>
      </c>
      <c r="AM4720" s="2">
        <v>50560.3763763721</v>
      </c>
      <c r="AN4720" s="2">
        <v>16697.630148426801</v>
      </c>
      <c r="AO4720" s="2">
        <v>28164.172058571199</v>
      </c>
      <c r="AP4720" s="2">
        <v>22658.023926533599</v>
      </c>
      <c r="AQ4720" s="2">
        <v>26424.190904938299</v>
      </c>
      <c r="AR4720" s="2">
        <v>31738.389867945902</v>
      </c>
      <c r="AS4720" s="2">
        <v>4273.7100403078002</v>
      </c>
      <c r="AT4720" s="2">
        <v>10329.7660999114</v>
      </c>
      <c r="AU4720" s="2">
        <v>93040.502337698403</v>
      </c>
      <c r="AV4720" s="2">
        <v>45084.488994745603</v>
      </c>
      <c r="AW4720" s="2">
        <v>19574.313341801098</v>
      </c>
      <c r="AX4720" s="2">
        <v>37471.384135351698</v>
      </c>
    </row>
    <row r="4721" spans="1:50" x14ac:dyDescent="0.25">
      <c r="A4721" s="2" t="s">
        <v>30979</v>
      </c>
      <c r="B4721" s="2">
        <v>284.12513985669</v>
      </c>
      <c r="C4721" s="2">
        <v>2.3306499999999999</v>
      </c>
      <c r="D4721" s="2" t="s">
        <v>51</v>
      </c>
      <c r="E4721" s="2" t="s">
        <v>30980</v>
      </c>
      <c r="F4721" s="2">
        <v>209047</v>
      </c>
      <c r="G4721" s="3" t="str">
        <f>HYPERLINK("https://cloud.oebiotech.com/#/lm/network/209047", "https://cloud.oebiotech.com/#/lm/network/209047")</f>
        <v>https://cloud.oebiotech.com/#/lm/network/209047</v>
      </c>
      <c r="H4721" s="2" t="s">
        <v>30981</v>
      </c>
      <c r="I4721" s="2"/>
      <c r="J4721" s="2"/>
      <c r="K4721" s="2">
        <v>65138</v>
      </c>
      <c r="L4721" s="2"/>
      <c r="M4721" s="2"/>
      <c r="N4721" s="2"/>
      <c r="O4721" s="2"/>
      <c r="P4721" s="2"/>
      <c r="Q4721" s="2"/>
      <c r="R4721" s="2"/>
      <c r="S4721" s="2" t="s">
        <v>30982</v>
      </c>
      <c r="T4721" s="2" t="s">
        <v>30983</v>
      </c>
      <c r="U4721" s="2" t="s">
        <v>103</v>
      </c>
      <c r="V4721" s="2" t="s">
        <v>104</v>
      </c>
      <c r="W4721" s="2" t="s">
        <v>105</v>
      </c>
      <c r="X4721" s="2" t="s">
        <v>83</v>
      </c>
      <c r="Y4721" s="2">
        <v>38.5</v>
      </c>
      <c r="Z4721" s="2">
        <v>0</v>
      </c>
      <c r="AA4721" s="2" t="s">
        <v>512</v>
      </c>
      <c r="AB4721" s="2" t="s">
        <v>30984</v>
      </c>
      <c r="AC4721" s="2">
        <v>3.9188592028664999</v>
      </c>
      <c r="AD4721" s="2"/>
      <c r="AE4721" s="2">
        <v>7.4903681483830101E-2</v>
      </c>
      <c r="AF4721" s="2">
        <v>794.685610547789</v>
      </c>
      <c r="AG4721" s="2">
        <v>1258.4502193645301</v>
      </c>
      <c r="AH4721" s="4">
        <v>0.63147957568720803</v>
      </c>
      <c r="AI4721" s="4">
        <v>-0.663192022048395</v>
      </c>
      <c r="AJ4721" s="4" t="s">
        <v>62</v>
      </c>
      <c r="AK4721" s="2">
        <v>0.63750975133979804</v>
      </c>
      <c r="AL4721" s="2">
        <v>0.82262451504116096</v>
      </c>
      <c r="AM4721" s="2">
        <v>1792.3247390543499</v>
      </c>
      <c r="AN4721" s="2">
        <v>341.85177218193201</v>
      </c>
      <c r="AO4721" s="2">
        <v>111.2393250312</v>
      </c>
      <c r="AP4721" s="2">
        <v>319.05087768242498</v>
      </c>
      <c r="AQ4721" s="2">
        <v>1431.1860305530199</v>
      </c>
      <c r="AR4721" s="2">
        <v>772.46091878380605</v>
      </c>
      <c r="AS4721" s="2">
        <v>200.448950532373</v>
      </c>
      <c r="AT4721" s="2">
        <v>146.263661431825</v>
      </c>
      <c r="AU4721" s="2">
        <v>222.79680498736599</v>
      </c>
      <c r="AV4721" s="2">
        <v>5793.1900401695602</v>
      </c>
      <c r="AW4721" s="2">
        <v>316.50962885144497</v>
      </c>
      <c r="AX4721" s="2">
        <v>871.49223021462899</v>
      </c>
    </row>
    <row r="4722" spans="1:50" x14ac:dyDescent="0.25">
      <c r="A4722" s="2" t="s">
        <v>30985</v>
      </c>
      <c r="B4722" s="2">
        <v>264.14438310997798</v>
      </c>
      <c r="C4722" s="2">
        <v>7.6753666666666698</v>
      </c>
      <c r="D4722" s="2" t="s">
        <v>51</v>
      </c>
      <c r="E4722" s="2" t="s">
        <v>30986</v>
      </c>
      <c r="F4722" s="2">
        <v>202643</v>
      </c>
      <c r="G4722" s="3" t="str">
        <f>HYPERLINK("https://cloud.oebiotech.com/#/lm/network/202643", "https://cloud.oebiotech.com/#/lm/network/202643")</f>
        <v>https://cloud.oebiotech.com/#/lm/network/202643</v>
      </c>
      <c r="H4722" s="2" t="s">
        <v>30987</v>
      </c>
      <c r="I4722" s="2"/>
      <c r="J4722" s="2"/>
      <c r="K4722" s="2">
        <v>56998</v>
      </c>
      <c r="L4722" s="2"/>
      <c r="M4722" s="2"/>
      <c r="N4722" s="2"/>
      <c r="O4722" s="2"/>
      <c r="P4722" s="2"/>
      <c r="Q4722" s="2"/>
      <c r="R4722" s="2"/>
      <c r="S4722" s="2" t="s">
        <v>30988</v>
      </c>
      <c r="T4722" s="2" t="s">
        <v>30989</v>
      </c>
      <c r="U4722" s="2" t="s">
        <v>266</v>
      </c>
      <c r="V4722" s="2" t="s">
        <v>2772</v>
      </c>
      <c r="W4722" s="2" t="s">
        <v>2773</v>
      </c>
      <c r="X4722" s="2" t="s">
        <v>147</v>
      </c>
      <c r="Y4722" s="2">
        <v>38.6</v>
      </c>
      <c r="Z4722" s="2">
        <v>0</v>
      </c>
      <c r="AA4722" s="2" t="s">
        <v>156</v>
      </c>
      <c r="AB4722" s="2" t="s">
        <v>30990</v>
      </c>
      <c r="AC4722" s="2">
        <v>-3.97701172377112</v>
      </c>
      <c r="AD4722" s="2"/>
      <c r="AE4722" s="2">
        <v>7.4900630321656406E-2</v>
      </c>
      <c r="AF4722" s="2">
        <v>1228.8071534328999</v>
      </c>
      <c r="AG4722" s="2">
        <v>718.82992787470505</v>
      </c>
      <c r="AH4722" s="5">
        <v>1.70945463701824</v>
      </c>
      <c r="AI4722" s="5">
        <v>0.77353613916957398</v>
      </c>
      <c r="AJ4722" s="5" t="s">
        <v>139</v>
      </c>
      <c r="AK4722" s="2">
        <v>0.38181520112462403</v>
      </c>
      <c r="AL4722" s="2">
        <v>0.65973132976626603</v>
      </c>
      <c r="AM4722" s="2">
        <v>536.04763361845096</v>
      </c>
      <c r="AN4722" s="2">
        <v>692.75872913344404</v>
      </c>
      <c r="AO4722" s="2">
        <v>686.22670968907903</v>
      </c>
      <c r="AP4722" s="2">
        <v>607.51448963389498</v>
      </c>
      <c r="AQ4722" s="2">
        <v>4000.7379619779599</v>
      </c>
      <c r="AR4722" s="2">
        <v>849.55739654455999</v>
      </c>
      <c r="AS4722" s="2">
        <v>589.50452028627399</v>
      </c>
      <c r="AT4722" s="2">
        <v>760.34434650392905</v>
      </c>
      <c r="AU4722" s="2">
        <v>715.17534089661797</v>
      </c>
      <c r="AV4722" s="2">
        <v>754.28937721845796</v>
      </c>
      <c r="AW4722" s="2">
        <v>631.69674390806301</v>
      </c>
      <c r="AX4722" s="2">
        <v>861.96923843488605</v>
      </c>
    </row>
    <row r="4723" spans="1:50" x14ac:dyDescent="0.25">
      <c r="A4723" s="2" t="s">
        <v>30991</v>
      </c>
      <c r="B4723" s="2">
        <v>529.21013649144197</v>
      </c>
      <c r="C4723" s="2">
        <v>10.6505166666667</v>
      </c>
      <c r="D4723" s="2" t="s">
        <v>51</v>
      </c>
      <c r="E4723" s="2" t="s">
        <v>30992</v>
      </c>
      <c r="F4723" s="2">
        <v>205665</v>
      </c>
      <c r="G4723" s="3" t="str">
        <f>HYPERLINK("https://cloud.oebiotech.com/#/lm/network/205665", "https://cloud.oebiotech.com/#/lm/network/205665")</f>
        <v>https://cloud.oebiotech.com/#/lm/network/205665</v>
      </c>
      <c r="H4723" s="2" t="s">
        <v>30993</v>
      </c>
      <c r="I4723" s="2"/>
      <c r="J4723" s="2"/>
      <c r="K4723" s="2"/>
      <c r="L4723" s="2"/>
      <c r="M4723" s="2"/>
      <c r="N4723" s="2"/>
      <c r="O4723" s="2"/>
      <c r="P4723" s="2"/>
      <c r="Q4723" s="2"/>
      <c r="R4723" s="2"/>
      <c r="S4723" s="2" t="s">
        <v>30994</v>
      </c>
      <c r="T4723" s="2" t="s">
        <v>30995</v>
      </c>
      <c r="U4723" s="2" t="s">
        <v>56</v>
      </c>
      <c r="V4723" s="2" t="s">
        <v>177</v>
      </c>
      <c r="W4723" s="2" t="s">
        <v>1463</v>
      </c>
      <c r="X4723" s="2" t="s">
        <v>83</v>
      </c>
      <c r="Y4723" s="2">
        <v>42.9</v>
      </c>
      <c r="Z4723" s="2">
        <v>0</v>
      </c>
      <c r="AA4723" s="2" t="s">
        <v>95</v>
      </c>
      <c r="AB4723" s="2" t="s">
        <v>30996</v>
      </c>
      <c r="AC4723" s="2">
        <v>0.70791574286489001</v>
      </c>
      <c r="AD4723" s="2"/>
      <c r="AE4723" s="2">
        <v>7.4884752726439005E-2</v>
      </c>
      <c r="AF4723" s="2">
        <v>1959.74672221018</v>
      </c>
      <c r="AG4723" s="2">
        <v>2821.6941200005999</v>
      </c>
      <c r="AH4723" s="4">
        <v>0.69452840700173701</v>
      </c>
      <c r="AI4723" s="4">
        <v>-0.52589439160596096</v>
      </c>
      <c r="AJ4723" s="4" t="s">
        <v>62</v>
      </c>
      <c r="AK4723" s="2">
        <v>0.67240440605311702</v>
      </c>
      <c r="AL4723" s="2">
        <v>0.84167509144789299</v>
      </c>
      <c r="AM4723" s="2">
        <v>8.559877937157E-6</v>
      </c>
      <c r="AN4723" s="2">
        <v>1829.1306187571399</v>
      </c>
      <c r="AO4723" s="2">
        <v>2501.1354070938601</v>
      </c>
      <c r="AP4723" s="2">
        <v>4633.1771087818597</v>
      </c>
      <c r="AQ4723" s="2">
        <v>8.559877937157E-6</v>
      </c>
      <c r="AR4723" s="2">
        <v>2795.03718150847</v>
      </c>
      <c r="AS4723" s="2">
        <v>6718.06799120506</v>
      </c>
      <c r="AT4723" s="2">
        <v>10212.096694559001</v>
      </c>
      <c r="AU4723" s="2">
        <v>8.559877937157E-6</v>
      </c>
      <c r="AV4723" s="2">
        <v>8.559877937157E-6</v>
      </c>
      <c r="AW4723" s="2">
        <v>8.559877937157E-6</v>
      </c>
      <c r="AX4723" s="2">
        <v>8.559877937157E-6</v>
      </c>
    </row>
    <row r="4724" spans="1:50" x14ac:dyDescent="0.25">
      <c r="A4724" s="2" t="s">
        <v>30997</v>
      </c>
      <c r="B4724" s="2">
        <v>273.10000000000002</v>
      </c>
      <c r="C4724" s="2">
        <v>19.317</v>
      </c>
      <c r="D4724" s="2" t="s">
        <v>125</v>
      </c>
      <c r="E4724" s="2" t="s">
        <v>30998</v>
      </c>
      <c r="F4724" s="2">
        <v>47144</v>
      </c>
      <c r="G4724" s="3" t="str">
        <f>HYPERLINK("https://cloud.oebiotech.com/#/lm/network/47144", "https://cloud.oebiotech.com/#/lm/network/47144")</f>
        <v>https://cloud.oebiotech.com/#/lm/network/47144</v>
      </c>
      <c r="H4724" s="2" t="s">
        <v>30999</v>
      </c>
      <c r="I4724" s="2">
        <v>135</v>
      </c>
      <c r="J4724" s="2"/>
      <c r="K4724" s="2">
        <v>439709</v>
      </c>
      <c r="L4724" s="2" t="s">
        <v>31000</v>
      </c>
      <c r="M4724" s="2"/>
      <c r="N4724" s="2"/>
      <c r="O4724" s="2">
        <v>28645</v>
      </c>
      <c r="P4724" s="2" t="s">
        <v>31001</v>
      </c>
      <c r="Q4724" s="2" t="s">
        <v>31002</v>
      </c>
      <c r="R4724" s="2" t="s">
        <v>31003</v>
      </c>
      <c r="S4724" s="2" t="s">
        <v>31004</v>
      </c>
      <c r="T4724" s="2" t="s">
        <v>31005</v>
      </c>
      <c r="U4724" s="2" t="s">
        <v>331</v>
      </c>
      <c r="V4724" s="2" t="s">
        <v>332</v>
      </c>
      <c r="W4724" s="2" t="s">
        <v>333</v>
      </c>
      <c r="X4724" s="2" t="s">
        <v>69</v>
      </c>
      <c r="Y4724" s="2">
        <v>89.7</v>
      </c>
      <c r="Z4724" s="2">
        <v>83.2</v>
      </c>
      <c r="AA4724" s="2"/>
      <c r="AB4724" s="2" t="s">
        <v>1085</v>
      </c>
      <c r="AC4724" s="2"/>
      <c r="AD4724" s="2">
        <v>648099.83031237999</v>
      </c>
      <c r="AE4724" s="2">
        <v>7.4848244306156206E-2</v>
      </c>
      <c r="AF4724" s="2">
        <v>14156.557364784199</v>
      </c>
      <c r="AG4724" s="2">
        <v>16978.788876232102</v>
      </c>
      <c r="AH4724" s="4">
        <v>0.83377898553184504</v>
      </c>
      <c r="AI4724" s="4">
        <v>-0.26226308380012803</v>
      </c>
      <c r="AJ4724" s="4" t="s">
        <v>62</v>
      </c>
      <c r="AK4724" s="2">
        <v>0.156078922634417</v>
      </c>
      <c r="AL4724" s="2">
        <v>0.47717103882190898</v>
      </c>
      <c r="AM4724" s="2">
        <v>14564.945063785401</v>
      </c>
      <c r="AN4724" s="2">
        <v>13941.5645868746</v>
      </c>
      <c r="AO4724" s="2">
        <v>11668.924794800299</v>
      </c>
      <c r="AP4724" s="2">
        <v>11219.514425709</v>
      </c>
      <c r="AQ4724" s="2">
        <v>15455.9138880315</v>
      </c>
      <c r="AR4724" s="2">
        <v>18088.481429504202</v>
      </c>
      <c r="AS4724" s="2">
        <v>20750.985126095598</v>
      </c>
      <c r="AT4724" s="2">
        <v>19832.801273388799</v>
      </c>
      <c r="AU4724" s="2">
        <v>15913.85599176</v>
      </c>
      <c r="AV4724" s="2">
        <v>13763.468899937199</v>
      </c>
      <c r="AW4724" s="2">
        <v>11756.609572273601</v>
      </c>
      <c r="AX4724" s="2">
        <v>19855.012393937399</v>
      </c>
    </row>
    <row r="4725" spans="1:50" x14ac:dyDescent="0.25">
      <c r="A4725" s="2" t="s">
        <v>31006</v>
      </c>
      <c r="B4725" s="2">
        <v>349.09946506288702</v>
      </c>
      <c r="C4725" s="2">
        <v>3.7296666666666698</v>
      </c>
      <c r="D4725" s="2" t="s">
        <v>51</v>
      </c>
      <c r="E4725" s="2" t="s">
        <v>31007</v>
      </c>
      <c r="F4725" s="2">
        <v>58179</v>
      </c>
      <c r="G4725" s="3" t="str">
        <f>HYPERLINK("https://cloud.oebiotech.com/#/lm/network/58179", "https://cloud.oebiotech.com/#/lm/network/58179")</f>
        <v>https://cloud.oebiotech.com/#/lm/network/58179</v>
      </c>
      <c r="H4725" s="2" t="s">
        <v>31008</v>
      </c>
      <c r="I4725" s="2"/>
      <c r="J4725" s="2"/>
      <c r="K4725" s="2">
        <v>261944</v>
      </c>
      <c r="L4725" s="2" t="s">
        <v>31009</v>
      </c>
      <c r="M4725" s="2"/>
      <c r="N4725" s="2"/>
      <c r="O4725" s="2"/>
      <c r="P4725" s="2"/>
      <c r="Q4725" s="2"/>
      <c r="R4725" s="2" t="s">
        <v>31010</v>
      </c>
      <c r="S4725" s="2" t="s">
        <v>31011</v>
      </c>
      <c r="T4725" s="2" t="s">
        <v>31012</v>
      </c>
      <c r="U4725" s="2" t="s">
        <v>331</v>
      </c>
      <c r="V4725" s="2" t="s">
        <v>332</v>
      </c>
      <c r="W4725" s="2" t="s">
        <v>333</v>
      </c>
      <c r="X4725" s="2" t="s">
        <v>147</v>
      </c>
      <c r="Y4725" s="2">
        <v>40.200000000000003</v>
      </c>
      <c r="Z4725" s="2">
        <v>8.8000000000000007</v>
      </c>
      <c r="AA4725" s="2" t="s">
        <v>218</v>
      </c>
      <c r="AB4725" s="2" t="s">
        <v>31013</v>
      </c>
      <c r="AC4725" s="2">
        <v>-2.0936283366857502</v>
      </c>
      <c r="AD4725" s="2"/>
      <c r="AE4725" s="2">
        <v>7.4760485926888998E-2</v>
      </c>
      <c r="AF4725" s="2">
        <v>14275.8930830391</v>
      </c>
      <c r="AG4725" s="2">
        <v>11382.1136119601</v>
      </c>
      <c r="AH4725" s="5">
        <v>1.2542392010600101</v>
      </c>
      <c r="AI4725" s="5">
        <v>0.326812516619853</v>
      </c>
      <c r="AJ4725" s="5" t="s">
        <v>139</v>
      </c>
      <c r="AK4725" s="2">
        <v>0.53884608766944797</v>
      </c>
      <c r="AL4725" s="2">
        <v>0.76464258930367401</v>
      </c>
      <c r="AM4725" s="2">
        <v>5994.5064446369497</v>
      </c>
      <c r="AN4725" s="2">
        <v>2151.0691275221802</v>
      </c>
      <c r="AO4725" s="2">
        <v>20075.462838104999</v>
      </c>
      <c r="AP4725" s="2">
        <v>25087.698375976601</v>
      </c>
      <c r="AQ4725" s="2">
        <v>12994.7013833042</v>
      </c>
      <c r="AR4725" s="2">
        <v>19351.920328689499</v>
      </c>
      <c r="AS4725" s="2">
        <v>13678.3392147717</v>
      </c>
      <c r="AT4725" s="2">
        <v>11814.571165802499</v>
      </c>
      <c r="AU4725" s="2">
        <v>6852.06627768624</v>
      </c>
      <c r="AV4725" s="2">
        <v>5018.62799092964</v>
      </c>
      <c r="AW4725" s="2">
        <v>7493.8306236239196</v>
      </c>
      <c r="AX4725" s="2">
        <v>23435.2463989467</v>
      </c>
    </row>
    <row r="4726" spans="1:50" x14ac:dyDescent="0.25">
      <c r="A4726" s="2" t="s">
        <v>31014</v>
      </c>
      <c r="B4726" s="2">
        <v>79.018569999999997</v>
      </c>
      <c r="C4726" s="2">
        <v>7.19</v>
      </c>
      <c r="D4726" s="2" t="s">
        <v>125</v>
      </c>
      <c r="E4726" s="2" t="s">
        <v>31015</v>
      </c>
      <c r="F4726" s="2">
        <v>47637</v>
      </c>
      <c r="G4726" s="3" t="str">
        <f>HYPERLINK("https://cloud.oebiotech.com/#/lm/network/47637", "https://cloud.oebiotech.com/#/lm/network/47637")</f>
        <v>https://cloud.oebiotech.com/#/lm/network/47637</v>
      </c>
      <c r="H4726" s="2" t="s">
        <v>31016</v>
      </c>
      <c r="I4726" s="2">
        <v>4182</v>
      </c>
      <c r="J4726" s="2"/>
      <c r="K4726" s="2">
        <v>713</v>
      </c>
      <c r="L4726" s="2" t="s">
        <v>31017</v>
      </c>
      <c r="M4726" s="2" t="s">
        <v>7019</v>
      </c>
      <c r="N4726" s="2" t="s">
        <v>7020</v>
      </c>
      <c r="O4726" s="2">
        <v>16397</v>
      </c>
      <c r="P4726" s="2"/>
      <c r="Q4726" s="2"/>
      <c r="R4726" s="2" t="s">
        <v>31018</v>
      </c>
      <c r="S4726" s="2" t="s">
        <v>31019</v>
      </c>
      <c r="T4726" s="2" t="s">
        <v>31020</v>
      </c>
      <c r="U4726" s="2" t="s">
        <v>103</v>
      </c>
      <c r="V4726" s="2" t="s">
        <v>7841</v>
      </c>
      <c r="W4726" s="2" t="s">
        <v>7842</v>
      </c>
      <c r="X4726" s="2" t="s">
        <v>59</v>
      </c>
      <c r="Y4726" s="2">
        <v>76.099999999999994</v>
      </c>
      <c r="Z4726" s="2">
        <v>63.6</v>
      </c>
      <c r="AA4726" s="2"/>
      <c r="AB4726" s="2" t="s">
        <v>31021</v>
      </c>
      <c r="AC4726" s="2"/>
      <c r="AD4726" s="2">
        <v>237416.14700652001</v>
      </c>
      <c r="AE4726" s="2">
        <v>7.4692101236568498E-2</v>
      </c>
      <c r="AF4726" s="2">
        <v>79719.471646182603</v>
      </c>
      <c r="AG4726" s="2">
        <v>71567.518544430699</v>
      </c>
      <c r="AH4726" s="5">
        <v>1.1139057671349999</v>
      </c>
      <c r="AI4726" s="5">
        <v>0.15562719045416001</v>
      </c>
      <c r="AJ4726" s="5" t="s">
        <v>139</v>
      </c>
      <c r="AK4726" s="2">
        <v>0.79631883543287196</v>
      </c>
      <c r="AL4726" s="2">
        <v>0.90954932814260703</v>
      </c>
      <c r="AM4726" s="2">
        <v>146371.49808739999</v>
      </c>
      <c r="AN4726" s="2">
        <v>114836.03912943001</v>
      </c>
      <c r="AO4726" s="2">
        <v>61422.606384815299</v>
      </c>
      <c r="AP4726" s="2">
        <v>37116.023339396197</v>
      </c>
      <c r="AQ4726" s="2">
        <v>27121.182718320299</v>
      </c>
      <c r="AR4726" s="2">
        <v>91449.480217733595</v>
      </c>
      <c r="AS4726" s="2">
        <v>46635.181901049902</v>
      </c>
      <c r="AT4726" s="2">
        <v>15003.0721558565</v>
      </c>
      <c r="AU4726" s="2">
        <v>166773.86960506401</v>
      </c>
      <c r="AV4726" s="2">
        <v>118647.74102746201</v>
      </c>
      <c r="AW4726" s="2">
        <v>59733.461031190302</v>
      </c>
      <c r="AX4726" s="2">
        <v>22611.785545961298</v>
      </c>
    </row>
    <row r="4727" spans="1:50" x14ac:dyDescent="0.25">
      <c r="A4727" s="2" t="s">
        <v>31022</v>
      </c>
      <c r="B4727" s="2">
        <v>619.28989833575997</v>
      </c>
      <c r="C4727" s="2">
        <v>9.1347333333333296</v>
      </c>
      <c r="D4727" s="2" t="s">
        <v>51</v>
      </c>
      <c r="E4727" s="2" t="s">
        <v>31023</v>
      </c>
      <c r="F4727" s="2">
        <v>24893</v>
      </c>
      <c r="G4727" s="3" t="str">
        <f>HYPERLINK("https://cloud.oebiotech.com/#/lm/network/24893", "https://cloud.oebiotech.com/#/lm/network/24893")</f>
        <v>https://cloud.oebiotech.com/#/lm/network/24893</v>
      </c>
      <c r="H4727" s="2"/>
      <c r="I4727" s="2"/>
      <c r="J4727" s="2" t="s">
        <v>31024</v>
      </c>
      <c r="K4727" s="2">
        <v>52928621</v>
      </c>
      <c r="L4727" s="2"/>
      <c r="M4727" s="2"/>
      <c r="N4727" s="2"/>
      <c r="O4727" s="2"/>
      <c r="P4727" s="2"/>
      <c r="Q4727" s="2"/>
      <c r="R4727" s="2"/>
      <c r="S4727" s="2" t="s">
        <v>31025</v>
      </c>
      <c r="T4727" s="2" t="s">
        <v>31026</v>
      </c>
      <c r="U4727" s="2" t="s">
        <v>56</v>
      </c>
      <c r="V4727" s="2" t="s">
        <v>57</v>
      </c>
      <c r="W4727" s="2" t="s">
        <v>1097</v>
      </c>
      <c r="X4727" s="2" t="s">
        <v>147</v>
      </c>
      <c r="Y4727" s="2">
        <v>36.700000000000003</v>
      </c>
      <c r="Z4727" s="2">
        <v>0</v>
      </c>
      <c r="AA4727" s="2" t="s">
        <v>259</v>
      </c>
      <c r="AB4727" s="2" t="s">
        <v>31027</v>
      </c>
      <c r="AC4727" s="2">
        <v>3.4099922341545201</v>
      </c>
      <c r="AD4727" s="2"/>
      <c r="AE4727" s="2">
        <v>7.4691418634048504E-2</v>
      </c>
      <c r="AF4727" s="2">
        <v>8180.9988936545196</v>
      </c>
      <c r="AG4727" s="2">
        <v>7650.0331707130999</v>
      </c>
      <c r="AH4727" s="5">
        <v>1.0694069830931101</v>
      </c>
      <c r="AI4727" s="5">
        <v>9.6811002497110402E-2</v>
      </c>
      <c r="AJ4727" s="5" t="s">
        <v>139</v>
      </c>
      <c r="AK4727" s="2">
        <v>0.792846327746763</v>
      </c>
      <c r="AL4727" s="2">
        <v>0.90869006091559501</v>
      </c>
      <c r="AM4727" s="2">
        <v>9374.5771370041002</v>
      </c>
      <c r="AN4727" s="2">
        <v>7169.3494027854804</v>
      </c>
      <c r="AO4727" s="2">
        <v>9452.8700020967899</v>
      </c>
      <c r="AP4727" s="2">
        <v>7171.1770414219</v>
      </c>
      <c r="AQ4727" s="2">
        <v>6081.1826207835902</v>
      </c>
      <c r="AR4727" s="2">
        <v>9836.8371578352599</v>
      </c>
      <c r="AS4727" s="2">
        <v>3040.3900692447801</v>
      </c>
      <c r="AT4727" s="2">
        <v>3197.4789491923898</v>
      </c>
      <c r="AU4727" s="2">
        <v>15022.8829627666</v>
      </c>
      <c r="AV4727" s="2">
        <v>7915.5051917368</v>
      </c>
      <c r="AW4727" s="2">
        <v>10297.214481098301</v>
      </c>
      <c r="AX4727" s="2">
        <v>6426.7273702397097</v>
      </c>
    </row>
    <row r="4728" spans="1:50" x14ac:dyDescent="0.25">
      <c r="A4728" s="2" t="s">
        <v>31028</v>
      </c>
      <c r="B4728" s="2">
        <v>177.102734182646</v>
      </c>
      <c r="C4728" s="2">
        <v>1.64581666666667</v>
      </c>
      <c r="D4728" s="2" t="s">
        <v>51</v>
      </c>
      <c r="E4728" s="2" t="s">
        <v>31029</v>
      </c>
      <c r="F4728" s="2">
        <v>201684</v>
      </c>
      <c r="G4728" s="3" t="str">
        <f>HYPERLINK("https://cloud.oebiotech.com/#/lm/network/201684", "https://cloud.oebiotech.com/#/lm/network/201684")</f>
        <v>https://cloud.oebiotech.com/#/lm/network/201684</v>
      </c>
      <c r="H4728" s="2" t="s">
        <v>31030</v>
      </c>
      <c r="I4728" s="2"/>
      <c r="J4728" s="2"/>
      <c r="K4728" s="2">
        <v>17815</v>
      </c>
      <c r="L4728" s="2"/>
      <c r="M4728" s="2"/>
      <c r="N4728" s="2"/>
      <c r="O4728" s="2"/>
      <c r="P4728" s="2"/>
      <c r="Q4728" s="2"/>
      <c r="R4728" s="2"/>
      <c r="S4728" s="2" t="s">
        <v>31031</v>
      </c>
      <c r="T4728" s="2" t="s">
        <v>31032</v>
      </c>
      <c r="U4728" s="2" t="s">
        <v>610</v>
      </c>
      <c r="V4728" s="2" t="s">
        <v>813</v>
      </c>
      <c r="W4728" s="2" t="s">
        <v>5823</v>
      </c>
      <c r="X4728" s="2" t="s">
        <v>147</v>
      </c>
      <c r="Y4728" s="2">
        <v>37.6</v>
      </c>
      <c r="Z4728" s="2">
        <v>0</v>
      </c>
      <c r="AA4728" s="2" t="s">
        <v>2589</v>
      </c>
      <c r="AB4728" s="2" t="s">
        <v>5824</v>
      </c>
      <c r="AC4728" s="2">
        <v>3.1102319025239602</v>
      </c>
      <c r="AD4728" s="2"/>
      <c r="AE4728" s="2">
        <v>7.4611049546401798E-2</v>
      </c>
      <c r="AF4728" s="2">
        <v>7773.13503491557</v>
      </c>
      <c r="AG4728" s="2">
        <v>8195.8950021416294</v>
      </c>
      <c r="AH4728" s="4">
        <v>0.94841808403895</v>
      </c>
      <c r="AI4728" s="4">
        <v>-7.6404923100152206E-2</v>
      </c>
      <c r="AJ4728" s="4" t="s">
        <v>62</v>
      </c>
      <c r="AK4728" s="2">
        <v>0.68499185714389799</v>
      </c>
      <c r="AL4728" s="2">
        <v>0.84803620733194895</v>
      </c>
      <c r="AM4728" s="2">
        <v>5908.1415603589203</v>
      </c>
      <c r="AN4728" s="2">
        <v>7615.1758913748799</v>
      </c>
      <c r="AO4728" s="2">
        <v>8811.6182788206606</v>
      </c>
      <c r="AP4728" s="2">
        <v>8426.3877193000808</v>
      </c>
      <c r="AQ4728" s="2">
        <v>9220.3693201134101</v>
      </c>
      <c r="AR4728" s="2">
        <v>6657.1174395254702</v>
      </c>
      <c r="AS4728" s="2">
        <v>10918.381294054599</v>
      </c>
      <c r="AT4728" s="2">
        <v>10482.6786701579</v>
      </c>
      <c r="AU4728" s="2">
        <v>5748.7226380279499</v>
      </c>
      <c r="AV4728" s="2">
        <v>6700.0667936764703</v>
      </c>
      <c r="AW4728" s="2">
        <v>6974.7749439442996</v>
      </c>
      <c r="AX4728" s="2">
        <v>8350.7456729885307</v>
      </c>
    </row>
    <row r="4729" spans="1:50" x14ac:dyDescent="0.25">
      <c r="A4729" s="2" t="s">
        <v>31033</v>
      </c>
      <c r="B4729" s="2">
        <v>483.30963149674398</v>
      </c>
      <c r="C4729" s="2">
        <v>12.2162666666667</v>
      </c>
      <c r="D4729" s="2" t="s">
        <v>51</v>
      </c>
      <c r="E4729" s="2" t="s">
        <v>31034</v>
      </c>
      <c r="F4729" s="2">
        <v>18152</v>
      </c>
      <c r="G4729" s="3" t="str">
        <f>HYPERLINK("https://cloud.oebiotech.com/#/lm/network/18152", "https://cloud.oebiotech.com/#/lm/network/18152")</f>
        <v>https://cloud.oebiotech.com/#/lm/network/18152</v>
      </c>
      <c r="H4729" s="2"/>
      <c r="I4729" s="2"/>
      <c r="J4729" s="2" t="s">
        <v>31035</v>
      </c>
      <c r="K4729" s="2">
        <v>137323910</v>
      </c>
      <c r="L4729" s="2"/>
      <c r="M4729" s="2"/>
      <c r="N4729" s="2"/>
      <c r="O4729" s="2"/>
      <c r="P4729" s="2"/>
      <c r="Q4729" s="2"/>
      <c r="R4729" s="2"/>
      <c r="S4729" s="2" t="s">
        <v>31036</v>
      </c>
      <c r="T4729" s="2" t="s">
        <v>31037</v>
      </c>
      <c r="U4729" s="2" t="s">
        <v>56</v>
      </c>
      <c r="V4729" s="2" t="s">
        <v>57</v>
      </c>
      <c r="W4729" s="2" t="s">
        <v>240</v>
      </c>
      <c r="X4729" s="2" t="s">
        <v>83</v>
      </c>
      <c r="Y4729" s="2">
        <v>45.9</v>
      </c>
      <c r="Z4729" s="2">
        <v>0</v>
      </c>
      <c r="AA4729" s="2" t="s">
        <v>218</v>
      </c>
      <c r="AB4729" s="2" t="s">
        <v>31038</v>
      </c>
      <c r="AC4729" s="2">
        <v>0.91891846124074905</v>
      </c>
      <c r="AD4729" s="2"/>
      <c r="AE4729" s="2">
        <v>7.45976478972874E-2</v>
      </c>
      <c r="AF4729" s="2">
        <v>1925.7136259574499</v>
      </c>
      <c r="AG4729" s="2">
        <v>1533.1901435517</v>
      </c>
      <c r="AH4729" s="5">
        <v>1.2560174835825999</v>
      </c>
      <c r="AI4729" s="5">
        <v>0.32885654647664098</v>
      </c>
      <c r="AJ4729" s="5" t="s">
        <v>139</v>
      </c>
      <c r="AK4729" s="2">
        <v>0.411083770680372</v>
      </c>
      <c r="AL4729" s="2">
        <v>0.67548655599718399</v>
      </c>
      <c r="AM4729" s="2">
        <v>1260.3533768955899</v>
      </c>
      <c r="AN4729" s="2">
        <v>968.15750500830995</v>
      </c>
      <c r="AO4729" s="2">
        <v>3204.98185912078</v>
      </c>
      <c r="AP4729" s="2">
        <v>1806.1325055416701</v>
      </c>
      <c r="AQ4729" s="2">
        <v>2788.8073227139898</v>
      </c>
      <c r="AR4729" s="2">
        <v>1525.84918646439</v>
      </c>
      <c r="AS4729" s="2">
        <v>1257.73974665838</v>
      </c>
      <c r="AT4729" s="2">
        <v>2683.3063287642599</v>
      </c>
      <c r="AU4729" s="2">
        <v>1035.0540957477299</v>
      </c>
      <c r="AV4729" s="2">
        <v>1072.0505683660299</v>
      </c>
      <c r="AW4729" s="2">
        <v>2077.1362311959801</v>
      </c>
      <c r="AX4729" s="2">
        <v>1073.85389057784</v>
      </c>
    </row>
    <row r="4730" spans="1:50" x14ac:dyDescent="0.25">
      <c r="A4730" s="2" t="s">
        <v>31039</v>
      </c>
      <c r="B4730" s="2">
        <v>300.14527477238801</v>
      </c>
      <c r="C4730" s="2">
        <v>5.0382166666666697</v>
      </c>
      <c r="D4730" s="2" t="s">
        <v>51</v>
      </c>
      <c r="E4730" s="2" t="s">
        <v>31040</v>
      </c>
      <c r="F4730" s="2">
        <v>52510</v>
      </c>
      <c r="G4730" s="3" t="str">
        <f>HYPERLINK("https://cloud.oebiotech.com/#/lm/network/52510", "https://cloud.oebiotech.com/#/lm/network/52510")</f>
        <v>https://cloud.oebiotech.com/#/lm/network/52510</v>
      </c>
      <c r="H4730" s="2" t="s">
        <v>31041</v>
      </c>
      <c r="I4730" s="2">
        <v>85305</v>
      </c>
      <c r="J4730" s="2"/>
      <c r="K4730" s="2">
        <v>10978907</v>
      </c>
      <c r="L4730" s="2"/>
      <c r="M4730" s="2"/>
      <c r="N4730" s="2"/>
      <c r="O4730" s="2"/>
      <c r="P4730" s="2"/>
      <c r="Q4730" s="2"/>
      <c r="R4730" s="2"/>
      <c r="S4730" s="2" t="s">
        <v>31042</v>
      </c>
      <c r="T4730" s="2" t="s">
        <v>31043</v>
      </c>
      <c r="U4730" s="2" t="s">
        <v>119</v>
      </c>
      <c r="V4730" s="2" t="s">
        <v>120</v>
      </c>
      <c r="W4730" s="2" t="s">
        <v>1887</v>
      </c>
      <c r="X4730" s="2" t="s">
        <v>147</v>
      </c>
      <c r="Y4730" s="2">
        <v>36.5</v>
      </c>
      <c r="Z4730" s="2">
        <v>0</v>
      </c>
      <c r="AA4730" s="2" t="s">
        <v>512</v>
      </c>
      <c r="AB4730" s="2" t="s">
        <v>31044</v>
      </c>
      <c r="AC4730" s="2">
        <v>-0.80274916512386496</v>
      </c>
      <c r="AD4730" s="2"/>
      <c r="AE4730" s="2">
        <v>7.4594411161633206E-2</v>
      </c>
      <c r="AF4730" s="2">
        <v>610.380556717432</v>
      </c>
      <c r="AG4730" s="2">
        <v>436.562421580376</v>
      </c>
      <c r="AH4730" s="5">
        <v>1.3981518484981501</v>
      </c>
      <c r="AI4730" s="5">
        <v>0.48352105540472001</v>
      </c>
      <c r="AJ4730" s="5" t="s">
        <v>139</v>
      </c>
      <c r="AK4730" s="2">
        <v>0.72564726015737302</v>
      </c>
      <c r="AL4730" s="2">
        <v>0.87333626263010899</v>
      </c>
      <c r="AM4730" s="2">
        <v>2184.0011851742101</v>
      </c>
      <c r="AN4730" s="2">
        <v>705.24291431235201</v>
      </c>
      <c r="AO4730" s="2">
        <v>8.559877937157E-6</v>
      </c>
      <c r="AP4730" s="2">
        <v>129.33680330345101</v>
      </c>
      <c r="AQ4730" s="2">
        <v>86.953919557317903</v>
      </c>
      <c r="AR4730" s="2">
        <v>556.74850939738303</v>
      </c>
      <c r="AS4730" s="2">
        <v>502.25949587173602</v>
      </c>
      <c r="AT4730" s="2">
        <v>8.559877937157E-6</v>
      </c>
      <c r="AU4730" s="2">
        <v>2117.1149993710101</v>
      </c>
      <c r="AV4730" s="2">
        <v>8.559877937157E-6</v>
      </c>
      <c r="AW4730" s="2">
        <v>8.559877937157E-6</v>
      </c>
      <c r="AX4730" s="2">
        <v>8.559877937157E-6</v>
      </c>
    </row>
    <row r="4731" spans="1:50" x14ac:dyDescent="0.25">
      <c r="A4731" s="2" t="s">
        <v>31045</v>
      </c>
      <c r="B4731" s="2">
        <v>317.15064630390401</v>
      </c>
      <c r="C4731" s="2">
        <v>3.8572500000000001</v>
      </c>
      <c r="D4731" s="2" t="s">
        <v>51</v>
      </c>
      <c r="E4731" s="2" t="s">
        <v>31046</v>
      </c>
      <c r="F4731" s="2">
        <v>256998</v>
      </c>
      <c r="G4731" s="3" t="str">
        <f>HYPERLINK("https://cloud.oebiotech.com/#/lm/network/256998", "https://cloud.oebiotech.com/#/lm/network/256998")</f>
        <v>https://cloud.oebiotech.com/#/lm/network/256998</v>
      </c>
      <c r="H4731" s="2" t="s">
        <v>31047</v>
      </c>
      <c r="I4731" s="2"/>
      <c r="J4731" s="2"/>
      <c r="K4731" s="2"/>
      <c r="L4731" s="2"/>
      <c r="M4731" s="2"/>
      <c r="N4731" s="2"/>
      <c r="O4731" s="2"/>
      <c r="P4731" s="2"/>
      <c r="Q4731" s="2"/>
      <c r="R4731" s="2"/>
      <c r="S4731" s="2" t="s">
        <v>31048</v>
      </c>
      <c r="T4731" s="2" t="s">
        <v>31049</v>
      </c>
      <c r="U4731" s="2" t="s">
        <v>103</v>
      </c>
      <c r="V4731" s="2" t="s">
        <v>104</v>
      </c>
      <c r="W4731" s="2" t="s">
        <v>105</v>
      </c>
      <c r="X4731" s="2" t="s">
        <v>83</v>
      </c>
      <c r="Y4731" s="2">
        <v>38.299999999999997</v>
      </c>
      <c r="Z4731" s="2">
        <v>0</v>
      </c>
      <c r="AA4731" s="2" t="s">
        <v>156</v>
      </c>
      <c r="AB4731" s="2" t="s">
        <v>31050</v>
      </c>
      <c r="AC4731" s="2">
        <v>-6.9081077034565599</v>
      </c>
      <c r="AD4731" s="2"/>
      <c r="AE4731" s="2">
        <v>7.4578063359798205E-2</v>
      </c>
      <c r="AF4731" s="2">
        <v>1947.3628706695299</v>
      </c>
      <c r="AG4731" s="2">
        <v>2346.1571027097302</v>
      </c>
      <c r="AH4731" s="4">
        <v>0.83002236654160699</v>
      </c>
      <c r="AI4731" s="4">
        <v>-0.26877788172431599</v>
      </c>
      <c r="AJ4731" s="4" t="s">
        <v>62</v>
      </c>
      <c r="AK4731" s="2">
        <v>0.74147406371036495</v>
      </c>
      <c r="AL4731" s="2">
        <v>0.88190791048193196</v>
      </c>
      <c r="AM4731" s="2">
        <v>879.04923908050205</v>
      </c>
      <c r="AN4731" s="2">
        <v>2582.9212770490499</v>
      </c>
      <c r="AO4731" s="2">
        <v>1776.2744448748499</v>
      </c>
      <c r="AP4731" s="2">
        <v>2579.5073031469701</v>
      </c>
      <c r="AQ4731" s="2">
        <v>2314.6196732070298</v>
      </c>
      <c r="AR4731" s="2">
        <v>1551.80528665879</v>
      </c>
      <c r="AS4731" s="2">
        <v>7863.5110920696497</v>
      </c>
      <c r="AT4731" s="2">
        <v>2541.3349663423501</v>
      </c>
      <c r="AU4731" s="2">
        <v>553.62419322895903</v>
      </c>
      <c r="AV4731" s="2">
        <v>674.27057929497903</v>
      </c>
      <c r="AW4731" s="2">
        <v>1527.9984431057701</v>
      </c>
      <c r="AX4731" s="2">
        <v>916.20334221668497</v>
      </c>
    </row>
    <row r="4732" spans="1:50" x14ac:dyDescent="0.25">
      <c r="A4732" s="2" t="s">
        <v>31051</v>
      </c>
      <c r="B4732" s="2">
        <v>244.076910580971</v>
      </c>
      <c r="C4732" s="2">
        <v>1.3069999999999999</v>
      </c>
      <c r="D4732" s="2" t="s">
        <v>51</v>
      </c>
      <c r="E4732" s="2" t="s">
        <v>31052</v>
      </c>
      <c r="F4732" s="2">
        <v>53776</v>
      </c>
      <c r="G4732" s="3" t="str">
        <f>HYPERLINK("https://cloud.oebiotech.com/#/lm/network/53776", "https://cloud.oebiotech.com/#/lm/network/53776")</f>
        <v>https://cloud.oebiotech.com/#/lm/network/53776</v>
      </c>
      <c r="H4732" s="2" t="s">
        <v>31053</v>
      </c>
      <c r="I4732" s="2">
        <v>23817</v>
      </c>
      <c r="J4732" s="2"/>
      <c r="K4732" s="2">
        <v>18218183</v>
      </c>
      <c r="L4732" s="2"/>
      <c r="M4732" s="2"/>
      <c r="N4732" s="2"/>
      <c r="O4732" s="2"/>
      <c r="P4732" s="2"/>
      <c r="Q4732" s="2"/>
      <c r="R4732" s="2"/>
      <c r="S4732" s="2" t="s">
        <v>31054</v>
      </c>
      <c r="T4732" s="2" t="s">
        <v>31055</v>
      </c>
      <c r="U4732" s="2" t="s">
        <v>103</v>
      </c>
      <c r="V4732" s="2" t="s">
        <v>104</v>
      </c>
      <c r="W4732" s="2" t="s">
        <v>105</v>
      </c>
      <c r="X4732" s="2" t="s">
        <v>83</v>
      </c>
      <c r="Y4732" s="2">
        <v>49.6</v>
      </c>
      <c r="Z4732" s="2">
        <v>0</v>
      </c>
      <c r="AA4732" s="2" t="s">
        <v>379</v>
      </c>
      <c r="AB4732" s="2" t="s">
        <v>16677</v>
      </c>
      <c r="AC4732" s="2">
        <v>2.9444351000022899</v>
      </c>
      <c r="AD4732" s="2"/>
      <c r="AE4732" s="2">
        <v>7.4400455510481397E-2</v>
      </c>
      <c r="AF4732" s="2">
        <v>2128.55730552257</v>
      </c>
      <c r="AG4732" s="2">
        <v>2639.4188829725099</v>
      </c>
      <c r="AH4732" s="4">
        <v>0.806449222309644</v>
      </c>
      <c r="AI4732" s="4">
        <v>-0.31034439725139701</v>
      </c>
      <c r="AJ4732" s="4" t="s">
        <v>62</v>
      </c>
      <c r="AK4732" s="2">
        <v>0.65560693122270297</v>
      </c>
      <c r="AL4732" s="2">
        <v>0.83240942988891198</v>
      </c>
      <c r="AM4732" s="2">
        <v>2737.8495924825702</v>
      </c>
      <c r="AN4732" s="2">
        <v>2085.1414605697501</v>
      </c>
      <c r="AO4732" s="2">
        <v>2195.0132671518199</v>
      </c>
      <c r="AP4732" s="2">
        <v>2481.3101010094101</v>
      </c>
      <c r="AQ4732" s="2">
        <v>1936.1105186846601</v>
      </c>
      <c r="AR4732" s="2">
        <v>1335.9188932372001</v>
      </c>
      <c r="AS4732" s="2">
        <v>1414.5146423936201</v>
      </c>
      <c r="AT4732" s="2">
        <v>1004.53270665522</v>
      </c>
      <c r="AU4732" s="2">
        <v>2797.3022260206699</v>
      </c>
      <c r="AV4732" s="2">
        <v>7956.2367268975804</v>
      </c>
      <c r="AW4732" s="2">
        <v>1388.5271356978899</v>
      </c>
      <c r="AX4732" s="2">
        <v>1275.39986017008</v>
      </c>
    </row>
    <row r="4733" spans="1:50" x14ac:dyDescent="0.25">
      <c r="A4733" s="2" t="s">
        <v>31056</v>
      </c>
      <c r="B4733" s="2">
        <v>500.27870138141202</v>
      </c>
      <c r="C4733" s="2">
        <v>9.8284666666666691</v>
      </c>
      <c r="D4733" s="2" t="s">
        <v>51</v>
      </c>
      <c r="E4733" s="2" t="s">
        <v>31057</v>
      </c>
      <c r="F4733" s="2">
        <v>198132</v>
      </c>
      <c r="G4733" s="3" t="str">
        <f>HYPERLINK("https://cloud.oebiotech.com/#/lm/network/198132", "https://cloud.oebiotech.com/#/lm/network/198132")</f>
        <v>https://cloud.oebiotech.com/#/lm/network/198132</v>
      </c>
      <c r="H4733" s="2" t="s">
        <v>31058</v>
      </c>
      <c r="I4733" s="2"/>
      <c r="J4733" s="2"/>
      <c r="K4733" s="2"/>
      <c r="L4733" s="2"/>
      <c r="M4733" s="2"/>
      <c r="N4733" s="2"/>
      <c r="O4733" s="2"/>
      <c r="P4733" s="2"/>
      <c r="Q4733" s="2"/>
      <c r="R4733" s="2"/>
      <c r="S4733" s="2" t="s">
        <v>31059</v>
      </c>
      <c r="T4733" s="2" t="s">
        <v>31060</v>
      </c>
      <c r="U4733" s="2" t="s">
        <v>56</v>
      </c>
      <c r="V4733" s="2" t="s">
        <v>145</v>
      </c>
      <c r="W4733" s="2" t="s">
        <v>1188</v>
      </c>
      <c r="X4733" s="2" t="s">
        <v>59</v>
      </c>
      <c r="Y4733" s="2">
        <v>47.9</v>
      </c>
      <c r="Z4733" s="2">
        <v>52.8</v>
      </c>
      <c r="AA4733" s="2" t="s">
        <v>84</v>
      </c>
      <c r="AB4733" s="2" t="s">
        <v>31061</v>
      </c>
      <c r="AC4733" s="2">
        <v>3.0777722381589001</v>
      </c>
      <c r="AD4733" s="2"/>
      <c r="AE4733" s="2">
        <v>7.4361477720600297E-2</v>
      </c>
      <c r="AF4733" s="2">
        <v>11124.671456901</v>
      </c>
      <c r="AG4733" s="2">
        <v>13214.1835628265</v>
      </c>
      <c r="AH4733" s="4">
        <v>0.84187353717382196</v>
      </c>
      <c r="AI4733" s="4">
        <v>-0.248324561114388</v>
      </c>
      <c r="AJ4733" s="4" t="s">
        <v>62</v>
      </c>
      <c r="AK4733" s="2">
        <v>0.58666761087292996</v>
      </c>
      <c r="AL4733" s="2">
        <v>0.79232156636773998</v>
      </c>
      <c r="AM4733" s="2">
        <v>25593.947617498001</v>
      </c>
      <c r="AN4733" s="2">
        <v>15020.746335232399</v>
      </c>
      <c r="AO4733" s="2">
        <v>6862.1036179758403</v>
      </c>
      <c r="AP4733" s="2">
        <v>10892.3894005401</v>
      </c>
      <c r="AQ4733" s="2">
        <v>3762.5603895601798</v>
      </c>
      <c r="AR4733" s="2">
        <v>4616.28138059922</v>
      </c>
      <c r="AS4733" s="2">
        <v>14616.417970652001</v>
      </c>
      <c r="AT4733" s="2">
        <v>6225.3158345596003</v>
      </c>
      <c r="AU4733" s="2">
        <v>14143.300221191899</v>
      </c>
      <c r="AV4733" s="2">
        <v>12933.339957194599</v>
      </c>
      <c r="AW4733" s="2">
        <v>18115.711062881499</v>
      </c>
      <c r="AX4733" s="2">
        <v>13251.016330479601</v>
      </c>
    </row>
    <row r="4734" spans="1:50" x14ac:dyDescent="0.25">
      <c r="A4734" s="2" t="s">
        <v>31062</v>
      </c>
      <c r="B4734" s="2">
        <v>725.38504093907295</v>
      </c>
      <c r="C4734" s="2">
        <v>4.3206499999999997</v>
      </c>
      <c r="D4734" s="2" t="s">
        <v>51</v>
      </c>
      <c r="E4734" s="2" t="s">
        <v>31063</v>
      </c>
      <c r="F4734" s="2">
        <v>205530</v>
      </c>
      <c r="G4734" s="3" t="str">
        <f>HYPERLINK("https://cloud.oebiotech.com/#/lm/network/205530", "https://cloud.oebiotech.com/#/lm/network/205530")</f>
        <v>https://cloud.oebiotech.com/#/lm/network/205530</v>
      </c>
      <c r="H4734" s="2" t="s">
        <v>31064</v>
      </c>
      <c r="I4734" s="2"/>
      <c r="J4734" s="2"/>
      <c r="K4734" s="2">
        <v>3806994</v>
      </c>
      <c r="L4734" s="2"/>
      <c r="M4734" s="2"/>
      <c r="N4734" s="2"/>
      <c r="O4734" s="2"/>
      <c r="P4734" s="2"/>
      <c r="Q4734" s="2"/>
      <c r="R4734" s="2"/>
      <c r="S4734" s="2" t="s">
        <v>31065</v>
      </c>
      <c r="T4734" s="2" t="s">
        <v>31066</v>
      </c>
      <c r="U4734" s="2" t="s">
        <v>103</v>
      </c>
      <c r="V4734" s="2" t="s">
        <v>104</v>
      </c>
      <c r="W4734" s="2" t="s">
        <v>105</v>
      </c>
      <c r="X4734" s="2" t="s">
        <v>83</v>
      </c>
      <c r="Y4734" s="2">
        <v>40.5</v>
      </c>
      <c r="Z4734" s="2">
        <v>0</v>
      </c>
      <c r="AA4734" s="2" t="s">
        <v>122</v>
      </c>
      <c r="AB4734" s="2" t="s">
        <v>31067</v>
      </c>
      <c r="AC4734" s="2">
        <v>-1.4044882213769501</v>
      </c>
      <c r="AD4734" s="2"/>
      <c r="AE4734" s="2">
        <v>7.4321654029347206E-2</v>
      </c>
      <c r="AF4734" s="2">
        <v>1495.3992264605499</v>
      </c>
      <c r="AG4734" s="2">
        <v>1901.9526200768601</v>
      </c>
      <c r="AH4734" s="4">
        <v>0.78624420538936102</v>
      </c>
      <c r="AI4734" s="4">
        <v>-0.34695061550190798</v>
      </c>
      <c r="AJ4734" s="4" t="s">
        <v>62</v>
      </c>
      <c r="AK4734" s="2">
        <v>0.78135307973780999</v>
      </c>
      <c r="AL4734" s="2">
        <v>0.90357756566758596</v>
      </c>
      <c r="AM4734" s="2">
        <v>407.24573239014899</v>
      </c>
      <c r="AN4734" s="2">
        <v>127.183404120432</v>
      </c>
      <c r="AO4734" s="2">
        <v>3266.8444506497499</v>
      </c>
      <c r="AP4734" s="2">
        <v>337.08306800558199</v>
      </c>
      <c r="AQ4734" s="2">
        <v>4077.8319642370502</v>
      </c>
      <c r="AR4734" s="2">
        <v>756.20673936031699</v>
      </c>
      <c r="AS4734" s="2">
        <v>7923.0977653588097</v>
      </c>
      <c r="AT4734" s="2">
        <v>984.29050387746304</v>
      </c>
      <c r="AU4734" s="2">
        <v>8.559877937157E-6</v>
      </c>
      <c r="AV4734" s="2">
        <v>1979.9747621158499</v>
      </c>
      <c r="AW4734" s="2">
        <v>8.559877937157E-6</v>
      </c>
      <c r="AX4734" s="2">
        <v>524.35267198930296</v>
      </c>
    </row>
    <row r="4735" spans="1:50" x14ac:dyDescent="0.25">
      <c r="A4735" s="2" t="s">
        <v>31068</v>
      </c>
      <c r="B4735" s="2">
        <v>291.09610053425899</v>
      </c>
      <c r="C4735" s="2">
        <v>4.3206499999999997</v>
      </c>
      <c r="D4735" s="2" t="s">
        <v>51</v>
      </c>
      <c r="E4735" s="2" t="s">
        <v>31069</v>
      </c>
      <c r="F4735" s="2">
        <v>54125</v>
      </c>
      <c r="G4735" s="3" t="str">
        <f>HYPERLINK("https://cloud.oebiotech.com/#/lm/network/54125", "https://cloud.oebiotech.com/#/lm/network/54125")</f>
        <v>https://cloud.oebiotech.com/#/lm/network/54125</v>
      </c>
      <c r="H4735" s="2" t="s">
        <v>31070</v>
      </c>
      <c r="I4735" s="2">
        <v>86006</v>
      </c>
      <c r="J4735" s="2"/>
      <c r="K4735" s="2">
        <v>18218253</v>
      </c>
      <c r="L4735" s="2"/>
      <c r="M4735" s="2"/>
      <c r="N4735" s="2"/>
      <c r="O4735" s="2">
        <v>173909</v>
      </c>
      <c r="P4735" s="2"/>
      <c r="Q4735" s="2"/>
      <c r="R4735" s="2"/>
      <c r="S4735" s="2" t="s">
        <v>31071</v>
      </c>
      <c r="T4735" s="2" t="s">
        <v>31072</v>
      </c>
      <c r="U4735" s="2" t="s">
        <v>103</v>
      </c>
      <c r="V4735" s="2" t="s">
        <v>104</v>
      </c>
      <c r="W4735" s="2" t="s">
        <v>105</v>
      </c>
      <c r="X4735" s="2" t="s">
        <v>147</v>
      </c>
      <c r="Y4735" s="2">
        <v>39.299999999999997</v>
      </c>
      <c r="Z4735" s="2">
        <v>5.09</v>
      </c>
      <c r="AA4735" s="2" t="s">
        <v>196</v>
      </c>
      <c r="AB4735" s="2" t="s">
        <v>31073</v>
      </c>
      <c r="AC4735" s="2">
        <v>3.5740864405082999</v>
      </c>
      <c r="AD4735" s="2"/>
      <c r="AE4735" s="2">
        <v>7.4321221774123397E-2</v>
      </c>
      <c r="AF4735" s="2">
        <v>2657.4619635541098</v>
      </c>
      <c r="AG4735" s="2">
        <v>5546.6876377752997</v>
      </c>
      <c r="AH4735" s="4">
        <v>0.47910791757150101</v>
      </c>
      <c r="AI4735" s="4">
        <v>-1.0615774397415101</v>
      </c>
      <c r="AJ4735" s="4" t="s">
        <v>62</v>
      </c>
      <c r="AK4735" s="2">
        <v>0.64413509585736595</v>
      </c>
      <c r="AL4735" s="2">
        <v>0.82614375542364304</v>
      </c>
      <c r="AM4735" s="2">
        <v>182.36693295681201</v>
      </c>
      <c r="AN4735" s="2">
        <v>760.83348666758695</v>
      </c>
      <c r="AO4735" s="2">
        <v>14930.733075099801</v>
      </c>
      <c r="AP4735" s="2">
        <v>70.838269480716093</v>
      </c>
      <c r="AQ4735" s="2">
        <v>8.559877937157E-6</v>
      </c>
      <c r="AR4735" s="2">
        <v>8.559877937157E-6</v>
      </c>
      <c r="AS4735" s="2">
        <v>8.559877937157E-6</v>
      </c>
      <c r="AT4735" s="2">
        <v>8.559877937157E-6</v>
      </c>
      <c r="AU4735" s="2">
        <v>33280.125783852403</v>
      </c>
      <c r="AV4735" s="2">
        <v>8.559877937157E-6</v>
      </c>
      <c r="AW4735" s="2">
        <v>8.559877937157E-6</v>
      </c>
      <c r="AX4735" s="2">
        <v>8.559877937157E-6</v>
      </c>
    </row>
    <row r="4736" spans="1:50" x14ac:dyDescent="0.25">
      <c r="A4736" s="2" t="s">
        <v>31074</v>
      </c>
      <c r="B4736" s="2">
        <v>634.37256808397694</v>
      </c>
      <c r="C4736" s="2">
        <v>10.76145</v>
      </c>
      <c r="D4736" s="2" t="s">
        <v>51</v>
      </c>
      <c r="E4736" s="2" t="s">
        <v>31075</v>
      </c>
      <c r="F4736" s="2">
        <v>27831</v>
      </c>
      <c r="G4736" s="3" t="str">
        <f>HYPERLINK("https://cloud.oebiotech.com/#/lm/network/27831", "https://cloud.oebiotech.com/#/lm/network/27831")</f>
        <v>https://cloud.oebiotech.com/#/lm/network/27831</v>
      </c>
      <c r="H4736" s="2"/>
      <c r="I4736" s="2"/>
      <c r="J4736" s="2" t="s">
        <v>31076</v>
      </c>
      <c r="K4736" s="2">
        <v>134812286</v>
      </c>
      <c r="L4736" s="2"/>
      <c r="M4736" s="2"/>
      <c r="N4736" s="2"/>
      <c r="O4736" s="2"/>
      <c r="P4736" s="2"/>
      <c r="Q4736" s="2"/>
      <c r="R4736" s="2"/>
      <c r="S4736" s="2" t="s">
        <v>31077</v>
      </c>
      <c r="T4736" s="2" t="s">
        <v>31078</v>
      </c>
      <c r="U4736" s="2" t="s">
        <v>56</v>
      </c>
      <c r="V4736" s="2" t="s">
        <v>57</v>
      </c>
      <c r="W4736" s="2" t="s">
        <v>58</v>
      </c>
      <c r="X4736" s="2" t="s">
        <v>83</v>
      </c>
      <c r="Y4736" s="2">
        <v>41.9</v>
      </c>
      <c r="Z4736" s="2">
        <v>0</v>
      </c>
      <c r="AA4736" s="2" t="s">
        <v>163</v>
      </c>
      <c r="AB4736" s="2" t="s">
        <v>630</v>
      </c>
      <c r="AC4736" s="2">
        <v>1.70378667435933E-2</v>
      </c>
      <c r="AD4736" s="2"/>
      <c r="AE4736" s="2">
        <v>7.4257365771169898E-2</v>
      </c>
      <c r="AF4736" s="2">
        <v>1326.39210155162</v>
      </c>
      <c r="AG4736" s="2">
        <v>968.60243130015101</v>
      </c>
      <c r="AH4736" s="5">
        <v>1.3693875409451599</v>
      </c>
      <c r="AI4736" s="5">
        <v>0.45353079157628001</v>
      </c>
      <c r="AJ4736" s="5" t="s">
        <v>139</v>
      </c>
      <c r="AK4736" s="2">
        <v>0.51534842214692</v>
      </c>
      <c r="AL4736" s="2">
        <v>0.74825717346203602</v>
      </c>
      <c r="AM4736" s="2">
        <v>3342.2831825019698</v>
      </c>
      <c r="AN4736" s="2">
        <v>966.47061502727399</v>
      </c>
      <c r="AO4736" s="2">
        <v>495.03552469367099</v>
      </c>
      <c r="AP4736" s="2">
        <v>1785.45200409673</v>
      </c>
      <c r="AQ4736" s="2">
        <v>735.53384012693402</v>
      </c>
      <c r="AR4736" s="2">
        <v>633.57744286314096</v>
      </c>
      <c r="AS4736" s="2">
        <v>369.66189538781998</v>
      </c>
      <c r="AT4736" s="2">
        <v>8.559877937157E-6</v>
      </c>
      <c r="AU4736" s="2">
        <v>831.54856656084098</v>
      </c>
      <c r="AV4736" s="2">
        <v>1898.5145501268</v>
      </c>
      <c r="AW4736" s="2">
        <v>1495.90842190218</v>
      </c>
      <c r="AX4736" s="2">
        <v>1215.9811452633901</v>
      </c>
    </row>
    <row r="4737" spans="1:50" x14ac:dyDescent="0.25">
      <c r="A4737" s="2" t="s">
        <v>31079</v>
      </c>
      <c r="B4737" s="2">
        <v>283.166534488357</v>
      </c>
      <c r="C4737" s="2">
        <v>4.7703666666666704</v>
      </c>
      <c r="D4737" s="2" t="s">
        <v>51</v>
      </c>
      <c r="E4737" s="2" t="s">
        <v>31080</v>
      </c>
      <c r="F4737" s="2">
        <v>1749</v>
      </c>
      <c r="G4737" s="3" t="str">
        <f>HYPERLINK("https://cloud.oebiotech.com/#/lm/network/1749", "https://cloud.oebiotech.com/#/lm/network/1749")</f>
        <v>https://cloud.oebiotech.com/#/lm/network/1749</v>
      </c>
      <c r="H4737" s="2"/>
      <c r="I4737" s="2">
        <v>74552</v>
      </c>
      <c r="J4737" s="2" t="s">
        <v>31081</v>
      </c>
      <c r="K4737" s="2">
        <v>150961</v>
      </c>
      <c r="L4737" s="2"/>
      <c r="M4737" s="2"/>
      <c r="N4737" s="2"/>
      <c r="O4737" s="2"/>
      <c r="P4737" s="2"/>
      <c r="Q4737" s="2"/>
      <c r="R4737" s="2"/>
      <c r="S4737" s="2" t="s">
        <v>31082</v>
      </c>
      <c r="T4737" s="2" t="s">
        <v>31083</v>
      </c>
      <c r="U4737" s="2" t="s">
        <v>56</v>
      </c>
      <c r="V4737" s="2" t="s">
        <v>145</v>
      </c>
      <c r="W4737" s="2" t="s">
        <v>231</v>
      </c>
      <c r="X4737" s="2" t="s">
        <v>147</v>
      </c>
      <c r="Y4737" s="2">
        <v>44.2</v>
      </c>
      <c r="Z4737" s="2">
        <v>27.8</v>
      </c>
      <c r="AA4737" s="2" t="s">
        <v>395</v>
      </c>
      <c r="AB4737" s="2" t="s">
        <v>3861</v>
      </c>
      <c r="AC4737" s="2">
        <v>-1.9178579416586199</v>
      </c>
      <c r="AD4737" s="2"/>
      <c r="AE4737" s="2">
        <v>7.4220613045662007E-2</v>
      </c>
      <c r="AF4737" s="2">
        <v>940.00441625265296</v>
      </c>
      <c r="AG4737" s="2">
        <v>1732.7290269411001</v>
      </c>
      <c r="AH4737" s="4">
        <v>0.542499376207775</v>
      </c>
      <c r="AI4737" s="4">
        <v>-0.88230661621036799</v>
      </c>
      <c r="AJ4737" s="4" t="s">
        <v>62</v>
      </c>
      <c r="AK4737" s="2">
        <v>0.413127405881274</v>
      </c>
      <c r="AL4737" s="2">
        <v>0.67643061464895804</v>
      </c>
      <c r="AM4737" s="2">
        <v>1837.64649451471</v>
      </c>
      <c r="AN4737" s="2">
        <v>433.82434213201401</v>
      </c>
      <c r="AO4737" s="2">
        <v>648.38388038742005</v>
      </c>
      <c r="AP4737" s="2">
        <v>2082.7186749821499</v>
      </c>
      <c r="AQ4737" s="2">
        <v>412.008634353817</v>
      </c>
      <c r="AR4737" s="2">
        <v>225.44447114580899</v>
      </c>
      <c r="AS4737" s="2">
        <v>29.054940540668401</v>
      </c>
      <c r="AT4737" s="2">
        <v>1518.1252763908799</v>
      </c>
      <c r="AU4737" s="2">
        <v>5824.7426920546004</v>
      </c>
      <c r="AV4737" s="2">
        <v>1953.08656730132</v>
      </c>
      <c r="AW4737" s="2">
        <v>576.78359218858202</v>
      </c>
      <c r="AX4737" s="2">
        <v>494.58109317056199</v>
      </c>
    </row>
    <row r="4738" spans="1:50" x14ac:dyDescent="0.25">
      <c r="A4738" s="2" t="s">
        <v>31084</v>
      </c>
      <c r="B4738" s="2">
        <v>401.16399706289502</v>
      </c>
      <c r="C4738" s="2">
        <v>6.06213333333333</v>
      </c>
      <c r="D4738" s="2" t="s">
        <v>51</v>
      </c>
      <c r="E4738" s="2" t="s">
        <v>31085</v>
      </c>
      <c r="F4738" s="2">
        <v>59251</v>
      </c>
      <c r="G4738" s="3" t="str">
        <f>HYPERLINK("https://cloud.oebiotech.com/#/lm/network/59251", "https://cloud.oebiotech.com/#/lm/network/59251")</f>
        <v>https://cloud.oebiotech.com/#/lm/network/59251</v>
      </c>
      <c r="H4738" s="2" t="s">
        <v>31086</v>
      </c>
      <c r="I4738" s="2">
        <v>90667</v>
      </c>
      <c r="J4738" s="2"/>
      <c r="K4738" s="2">
        <v>131751727</v>
      </c>
      <c r="L4738" s="2"/>
      <c r="M4738" s="2"/>
      <c r="N4738" s="2"/>
      <c r="O4738" s="2">
        <v>175361</v>
      </c>
      <c r="P4738" s="2"/>
      <c r="Q4738" s="2"/>
      <c r="R4738" s="2" t="s">
        <v>31087</v>
      </c>
      <c r="S4738" s="2" t="s">
        <v>31088</v>
      </c>
      <c r="T4738" s="2" t="s">
        <v>31089</v>
      </c>
      <c r="U4738" s="2" t="s">
        <v>266</v>
      </c>
      <c r="V4738" s="2" t="s">
        <v>31090</v>
      </c>
      <c r="W4738" s="2" t="s">
        <v>31091</v>
      </c>
      <c r="X4738" s="2" t="s">
        <v>83</v>
      </c>
      <c r="Y4738" s="2">
        <v>42.2</v>
      </c>
      <c r="Z4738" s="2">
        <v>0</v>
      </c>
      <c r="AA4738" s="2" t="s">
        <v>379</v>
      </c>
      <c r="AB4738" s="2" t="s">
        <v>10110</v>
      </c>
      <c r="AC4738" s="2">
        <v>8.1401811940145503</v>
      </c>
      <c r="AD4738" s="2"/>
      <c r="AE4738" s="2">
        <v>7.4166706493398002E-2</v>
      </c>
      <c r="AF4738" s="2">
        <v>3612.33654091383</v>
      </c>
      <c r="AG4738" s="2">
        <v>4013.29013497393</v>
      </c>
      <c r="AH4738" s="4">
        <v>0.90009354405603903</v>
      </c>
      <c r="AI4738" s="4">
        <v>-0.151853150630889</v>
      </c>
      <c r="AJ4738" s="4" t="s">
        <v>62</v>
      </c>
      <c r="AK4738" s="2">
        <v>0.75960087413034905</v>
      </c>
      <c r="AL4738" s="2">
        <v>0.89152062866139503</v>
      </c>
      <c r="AM4738" s="2">
        <v>8.559877937157E-6</v>
      </c>
      <c r="AN4738" s="2">
        <v>2810.0744721198998</v>
      </c>
      <c r="AO4738" s="2">
        <v>7086.7893988388896</v>
      </c>
      <c r="AP4738" s="2">
        <v>4881.6625345660996</v>
      </c>
      <c r="AQ4738" s="2">
        <v>3124.4412220802301</v>
      </c>
      <c r="AR4738" s="2">
        <v>3771.0516093179799</v>
      </c>
      <c r="AS4738" s="2">
        <v>2111.2241833735202</v>
      </c>
      <c r="AT4738" s="2">
        <v>4412.9506631619697</v>
      </c>
      <c r="AU4738" s="2">
        <v>4443.2761458999103</v>
      </c>
      <c r="AV4738" s="2">
        <v>6196.1437520093996</v>
      </c>
      <c r="AW4738" s="2">
        <v>1031.54050316198</v>
      </c>
      <c r="AX4738" s="2">
        <v>5884.6055622368303</v>
      </c>
    </row>
    <row r="4739" spans="1:50" x14ac:dyDescent="0.25">
      <c r="A4739" s="2" t="s">
        <v>31092</v>
      </c>
      <c r="B4739" s="2">
        <v>331.21004422986402</v>
      </c>
      <c r="C4739" s="2">
        <v>15.293049999999999</v>
      </c>
      <c r="D4739" s="2" t="s">
        <v>51</v>
      </c>
      <c r="E4739" s="2" t="s">
        <v>31093</v>
      </c>
      <c r="F4739" s="2">
        <v>200185</v>
      </c>
      <c r="G4739" s="3" t="str">
        <f>HYPERLINK("https://cloud.oebiotech.com/#/lm/network/200185", "https://cloud.oebiotech.com/#/lm/network/200185")</f>
        <v>https://cloud.oebiotech.com/#/lm/network/200185</v>
      </c>
      <c r="H4739" s="2" t="s">
        <v>31094</v>
      </c>
      <c r="I4739" s="2"/>
      <c r="J4739" s="2"/>
      <c r="K4739" s="2">
        <v>85867</v>
      </c>
      <c r="L4739" s="2"/>
      <c r="M4739" s="2"/>
      <c r="N4739" s="2"/>
      <c r="O4739" s="2"/>
      <c r="P4739" s="2"/>
      <c r="Q4739" s="2"/>
      <c r="R4739" s="2"/>
      <c r="S4739" s="2" t="s">
        <v>31095</v>
      </c>
      <c r="T4739" s="2" t="s">
        <v>31096</v>
      </c>
      <c r="U4739" s="2" t="s">
        <v>119</v>
      </c>
      <c r="V4739" s="2" t="s">
        <v>120</v>
      </c>
      <c r="W4739" s="2" t="s">
        <v>17763</v>
      </c>
      <c r="X4739" s="2" t="s">
        <v>147</v>
      </c>
      <c r="Y4739" s="2">
        <v>38.299999999999997</v>
      </c>
      <c r="Z4739" s="2">
        <v>0</v>
      </c>
      <c r="AA4739" s="2" t="s">
        <v>95</v>
      </c>
      <c r="AB4739" s="2" t="s">
        <v>31097</v>
      </c>
      <c r="AC4739" s="2">
        <v>-1.3062254713007599</v>
      </c>
      <c r="AD4739" s="2"/>
      <c r="AE4739" s="2">
        <v>7.4026188873664203E-2</v>
      </c>
      <c r="AF4739" s="2">
        <v>57313.924591026502</v>
      </c>
      <c r="AG4739" s="2">
        <v>54299.165485452198</v>
      </c>
      <c r="AH4739" s="5">
        <v>1.0555212788009101</v>
      </c>
      <c r="AI4739" s="5">
        <v>7.7955663015816204E-2</v>
      </c>
      <c r="AJ4739" s="5" t="s">
        <v>139</v>
      </c>
      <c r="AK4739" s="2">
        <v>0.69957099852422999</v>
      </c>
      <c r="AL4739" s="2">
        <v>0.85547950942087603</v>
      </c>
      <c r="AM4739" s="2">
        <v>52624.738775387297</v>
      </c>
      <c r="AN4739" s="2">
        <v>65740.083841970903</v>
      </c>
      <c r="AO4739" s="2">
        <v>59214.680192224798</v>
      </c>
      <c r="AP4739" s="2">
        <v>60568.22051377</v>
      </c>
      <c r="AQ4739" s="2">
        <v>63016.7671673644</v>
      </c>
      <c r="AR4739" s="2">
        <v>42719.057055441401</v>
      </c>
      <c r="AS4739" s="2">
        <v>46867.468577361797</v>
      </c>
      <c r="AT4739" s="2">
        <v>57177.788611873599</v>
      </c>
      <c r="AU4739" s="2">
        <v>24722.024745254501</v>
      </c>
      <c r="AV4739" s="2">
        <v>62455.461511492198</v>
      </c>
      <c r="AW4739" s="2">
        <v>63197.878001094898</v>
      </c>
      <c r="AX4739" s="2">
        <v>71374.371465635995</v>
      </c>
    </row>
    <row r="4740" spans="1:50" x14ac:dyDescent="0.25">
      <c r="A4740" s="2" t="s">
        <v>31098</v>
      </c>
      <c r="B4740" s="2">
        <v>149.13284971858701</v>
      </c>
      <c r="C4740" s="2">
        <v>7.0755166666666698</v>
      </c>
      <c r="D4740" s="2" t="s">
        <v>51</v>
      </c>
      <c r="E4740" s="2" t="s">
        <v>31099</v>
      </c>
      <c r="F4740" s="2">
        <v>83334</v>
      </c>
      <c r="G4740" s="3" t="str">
        <f>HYPERLINK("https://cloud.oebiotech.com/#/lm/network/83334", "https://cloud.oebiotech.com/#/lm/network/83334")</f>
        <v>https://cloud.oebiotech.com/#/lm/network/83334</v>
      </c>
      <c r="H4740" s="2" t="s">
        <v>31100</v>
      </c>
      <c r="I4740" s="2"/>
      <c r="J4740" s="2"/>
      <c r="K4740" s="2">
        <v>20832</v>
      </c>
      <c r="L4740" s="2"/>
      <c r="M4740" s="2"/>
      <c r="N4740" s="2"/>
      <c r="O4740" s="2"/>
      <c r="P4740" s="2"/>
      <c r="Q4740" s="2"/>
      <c r="R4740" s="2"/>
      <c r="S4740" s="2" t="s">
        <v>31101</v>
      </c>
      <c r="T4740" s="2" t="s">
        <v>31102</v>
      </c>
      <c r="U4740" s="2" t="s">
        <v>56</v>
      </c>
      <c r="V4740" s="2" t="s">
        <v>177</v>
      </c>
      <c r="W4740" s="2" t="s">
        <v>584</v>
      </c>
      <c r="X4740" s="2" t="s">
        <v>147</v>
      </c>
      <c r="Y4740" s="2">
        <v>37.799999999999997</v>
      </c>
      <c r="Z4740" s="2">
        <v>0</v>
      </c>
      <c r="AA4740" s="2" t="s">
        <v>259</v>
      </c>
      <c r="AB4740" s="2" t="s">
        <v>31103</v>
      </c>
      <c r="AC4740" s="2">
        <v>2.51661071369917</v>
      </c>
      <c r="AD4740" s="2"/>
      <c r="AE4740" s="2">
        <v>7.4024360554366106E-2</v>
      </c>
      <c r="AF4740" s="2">
        <v>1561.44833265996</v>
      </c>
      <c r="AG4740" s="2">
        <v>1377.5388643916799</v>
      </c>
      <c r="AH4740" s="5">
        <v>1.1335058291436999</v>
      </c>
      <c r="AI4740" s="5">
        <v>0.18079181027153801</v>
      </c>
      <c r="AJ4740" s="5" t="s">
        <v>139</v>
      </c>
      <c r="AK4740" s="2">
        <v>0.242059072088296</v>
      </c>
      <c r="AL4740" s="2">
        <v>0.56556659228186301</v>
      </c>
      <c r="AM4740" s="2">
        <v>1570.7072480894101</v>
      </c>
      <c r="AN4740" s="2">
        <v>2059.7018374159202</v>
      </c>
      <c r="AO4740" s="2">
        <v>1489.87443034343</v>
      </c>
      <c r="AP4740" s="2">
        <v>1362.7637225973899</v>
      </c>
      <c r="AQ4740" s="2">
        <v>1481.7996879354</v>
      </c>
      <c r="AR4740" s="2">
        <v>1403.8430695781899</v>
      </c>
      <c r="AS4740" s="2">
        <v>1314.8207404186001</v>
      </c>
      <c r="AT4740" s="2">
        <v>1193.5556571050799</v>
      </c>
      <c r="AU4740" s="2">
        <v>1724.30861401638</v>
      </c>
      <c r="AV4740" s="2">
        <v>1018.43994969303</v>
      </c>
      <c r="AW4740" s="2">
        <v>1583.1636250466599</v>
      </c>
      <c r="AX4740" s="2">
        <v>1430.9446000703099</v>
      </c>
    </row>
    <row r="4741" spans="1:50" x14ac:dyDescent="0.25">
      <c r="A4741" s="2" t="s">
        <v>31104</v>
      </c>
      <c r="B4741" s="2">
        <v>172.17003681567499</v>
      </c>
      <c r="C4741" s="2">
        <v>8.8874666666666702</v>
      </c>
      <c r="D4741" s="2" t="s">
        <v>51</v>
      </c>
      <c r="E4741" s="2" t="s">
        <v>31105</v>
      </c>
      <c r="F4741" s="2">
        <v>255442</v>
      </c>
      <c r="G4741" s="3" t="str">
        <f>HYPERLINK("https://cloud.oebiotech.com/#/lm/network/255442", "https://cloud.oebiotech.com/#/lm/network/255442")</f>
        <v>https://cloud.oebiotech.com/#/lm/network/255442</v>
      </c>
      <c r="H4741" s="2" t="s">
        <v>31106</v>
      </c>
      <c r="I4741" s="2">
        <v>348691</v>
      </c>
      <c r="J4741" s="2"/>
      <c r="K4741" s="2">
        <v>534485</v>
      </c>
      <c r="L4741" s="2"/>
      <c r="M4741" s="2"/>
      <c r="N4741" s="2"/>
      <c r="O4741" s="2"/>
      <c r="P4741" s="2"/>
      <c r="Q4741" s="2"/>
      <c r="R4741" s="2"/>
      <c r="S4741" s="2" t="s">
        <v>31107</v>
      </c>
      <c r="T4741" s="2" t="s">
        <v>31108</v>
      </c>
      <c r="U4741" s="2" t="s">
        <v>56</v>
      </c>
      <c r="V4741" s="2" t="s">
        <v>177</v>
      </c>
      <c r="W4741" s="2" t="s">
        <v>584</v>
      </c>
      <c r="X4741" s="2" t="s">
        <v>147</v>
      </c>
      <c r="Y4741" s="2">
        <v>40.700000000000003</v>
      </c>
      <c r="Z4741" s="2">
        <v>9.34</v>
      </c>
      <c r="AA4741" s="2" t="s">
        <v>512</v>
      </c>
      <c r="AB4741" s="2" t="s">
        <v>8553</v>
      </c>
      <c r="AC4741" s="2">
        <v>2.8941294356469198</v>
      </c>
      <c r="AD4741" s="2"/>
      <c r="AE4741" s="2">
        <v>7.3982234717337406E-2</v>
      </c>
      <c r="AF4741" s="2">
        <v>15055.5772363917</v>
      </c>
      <c r="AG4741" s="2">
        <v>12376.939052019399</v>
      </c>
      <c r="AH4741" s="5">
        <v>1.21642169951021</v>
      </c>
      <c r="AI4741" s="5">
        <v>0.28264345766725402</v>
      </c>
      <c r="AJ4741" s="5" t="s">
        <v>139</v>
      </c>
      <c r="AK4741" s="2">
        <v>0.82504939967415103</v>
      </c>
      <c r="AL4741" s="2">
        <v>0.92335918893977997</v>
      </c>
      <c r="AM4741" s="2">
        <v>2125.8154454057799</v>
      </c>
      <c r="AN4741" s="2">
        <v>2152.3262911880101</v>
      </c>
      <c r="AO4741" s="2">
        <v>52803.098939775897</v>
      </c>
      <c r="AP4741" s="2">
        <v>1851.09520134647</v>
      </c>
      <c r="AQ4741" s="2">
        <v>29224.4136882206</v>
      </c>
      <c r="AR4741" s="2">
        <v>2176.7138524135598</v>
      </c>
      <c r="AS4741" s="2">
        <v>51110.917623938098</v>
      </c>
      <c r="AT4741" s="2">
        <v>2623.5890436274299</v>
      </c>
      <c r="AU4741" s="2">
        <v>12574.1875034595</v>
      </c>
      <c r="AV4741" s="2">
        <v>2174.4886237281698</v>
      </c>
      <c r="AW4741" s="2">
        <v>2285.4778445593902</v>
      </c>
      <c r="AX4741" s="2">
        <v>3492.9736728039202</v>
      </c>
    </row>
    <row r="4742" spans="1:50" x14ac:dyDescent="0.25">
      <c r="A4742" s="2" t="s">
        <v>31109</v>
      </c>
      <c r="B4742" s="2">
        <v>364.22596687231402</v>
      </c>
      <c r="C4742" s="2">
        <v>9.1509999999999998</v>
      </c>
      <c r="D4742" s="2" t="s">
        <v>51</v>
      </c>
      <c r="E4742" s="2" t="s">
        <v>31110</v>
      </c>
      <c r="F4742" s="2">
        <v>38939</v>
      </c>
      <c r="G4742" s="3" t="str">
        <f>HYPERLINK("https://cloud.oebiotech.com/#/lm/network/38939", "https://cloud.oebiotech.com/#/lm/network/38939")</f>
        <v>https://cloud.oebiotech.com/#/lm/network/38939</v>
      </c>
      <c r="H4742" s="2"/>
      <c r="I4742" s="2">
        <v>102933</v>
      </c>
      <c r="J4742" s="2" t="s">
        <v>31111</v>
      </c>
      <c r="K4742" s="2">
        <v>5283559</v>
      </c>
      <c r="L4742" s="2"/>
      <c r="M4742" s="2"/>
      <c r="N4742" s="2"/>
      <c r="O4742" s="2"/>
      <c r="P4742" s="2"/>
      <c r="Q4742" s="2"/>
      <c r="R4742" s="2"/>
      <c r="S4742" s="2" t="s">
        <v>31112</v>
      </c>
      <c r="T4742" s="2" t="s">
        <v>31113</v>
      </c>
      <c r="U4742" s="2" t="s">
        <v>103</v>
      </c>
      <c r="V4742" s="2" t="s">
        <v>1567</v>
      </c>
      <c r="W4742" s="2" t="s">
        <v>1568</v>
      </c>
      <c r="X4742" s="2" t="s">
        <v>147</v>
      </c>
      <c r="Y4742" s="2">
        <v>38.799999999999997</v>
      </c>
      <c r="Z4742" s="2">
        <v>0</v>
      </c>
      <c r="AA4742" s="2" t="s">
        <v>163</v>
      </c>
      <c r="AB4742" s="2" t="s">
        <v>31114</v>
      </c>
      <c r="AC4742" s="2">
        <v>0.36529326197665601</v>
      </c>
      <c r="AD4742" s="2"/>
      <c r="AE4742" s="2">
        <v>7.3981021267694694E-2</v>
      </c>
      <c r="AF4742" s="2">
        <v>1234.9511358576599</v>
      </c>
      <c r="AG4742" s="2">
        <v>863.96239832229901</v>
      </c>
      <c r="AH4742" s="5">
        <v>1.42940380073921</v>
      </c>
      <c r="AI4742" s="5">
        <v>0.51541352947125296</v>
      </c>
      <c r="AJ4742" s="5" t="s">
        <v>139</v>
      </c>
      <c r="AK4742" s="2">
        <v>0.15130778436790801</v>
      </c>
      <c r="AL4742" s="2">
        <v>0.472797008311721</v>
      </c>
      <c r="AM4742" s="2">
        <v>680.29596967842895</v>
      </c>
      <c r="AN4742" s="2">
        <v>901.31770708361</v>
      </c>
      <c r="AO4742" s="2">
        <v>968.73418180721899</v>
      </c>
      <c r="AP4742" s="2">
        <v>1529.99438016663</v>
      </c>
      <c r="AQ4742" s="2">
        <v>1398.36448946213</v>
      </c>
      <c r="AR4742" s="2">
        <v>1931.00008694794</v>
      </c>
      <c r="AS4742" s="2">
        <v>1283.1804929612699</v>
      </c>
      <c r="AT4742" s="2">
        <v>1016.68798858016</v>
      </c>
      <c r="AU4742" s="2">
        <v>953.46272321271897</v>
      </c>
      <c r="AV4742" s="2">
        <v>1010.1614216338299</v>
      </c>
      <c r="AW4742" s="2">
        <v>644.25078195827996</v>
      </c>
      <c r="AX4742" s="2">
        <v>276.03098158753602</v>
      </c>
    </row>
    <row r="4743" spans="1:50" x14ac:dyDescent="0.25">
      <c r="A4743" s="2" t="s">
        <v>31115</v>
      </c>
      <c r="B4743" s="2">
        <v>408.14143835465302</v>
      </c>
      <c r="C4743" s="2">
        <v>6.7833500000000004</v>
      </c>
      <c r="D4743" s="2" t="s">
        <v>51</v>
      </c>
      <c r="E4743" s="2" t="s">
        <v>31116</v>
      </c>
      <c r="F4743" s="2">
        <v>53224</v>
      </c>
      <c r="G4743" s="3" t="str">
        <f>HYPERLINK("https://cloud.oebiotech.com/#/lm/network/53224", "https://cloud.oebiotech.com/#/lm/network/53224")</f>
        <v>https://cloud.oebiotech.com/#/lm/network/53224</v>
      </c>
      <c r="H4743" s="2" t="s">
        <v>31117</v>
      </c>
      <c r="I4743" s="2">
        <v>43875</v>
      </c>
      <c r="J4743" s="2"/>
      <c r="K4743" s="2">
        <v>150311</v>
      </c>
      <c r="L4743" s="2"/>
      <c r="M4743" s="2"/>
      <c r="N4743" s="2"/>
      <c r="O4743" s="2">
        <v>49040</v>
      </c>
      <c r="P4743" s="2"/>
      <c r="Q4743" s="2"/>
      <c r="R4743" s="2" t="s">
        <v>31118</v>
      </c>
      <c r="S4743" s="2" t="s">
        <v>31119</v>
      </c>
      <c r="T4743" s="2" t="s">
        <v>31120</v>
      </c>
      <c r="U4743" s="2" t="s">
        <v>266</v>
      </c>
      <c r="V4743" s="2" t="s">
        <v>267</v>
      </c>
      <c r="W4743" s="2" t="s">
        <v>268</v>
      </c>
      <c r="X4743" s="2" t="s">
        <v>147</v>
      </c>
      <c r="Y4743" s="2">
        <v>37.6</v>
      </c>
      <c r="Z4743" s="2">
        <v>0</v>
      </c>
      <c r="AA4743" s="2" t="s">
        <v>163</v>
      </c>
      <c r="AB4743" s="2" t="s">
        <v>31121</v>
      </c>
      <c r="AC4743" s="2">
        <v>-0.57482806047364199</v>
      </c>
      <c r="AD4743" s="2"/>
      <c r="AE4743" s="2">
        <v>7.3938152452372202E-2</v>
      </c>
      <c r="AF4743" s="2">
        <v>8294.2437014893494</v>
      </c>
      <c r="AG4743" s="2">
        <v>7001.6139287720198</v>
      </c>
      <c r="AH4743" s="5">
        <v>1.18461883015364</v>
      </c>
      <c r="AI4743" s="5">
        <v>0.244422923841672</v>
      </c>
      <c r="AJ4743" s="5" t="s">
        <v>139</v>
      </c>
      <c r="AK4743" s="2">
        <v>0.58194764191277504</v>
      </c>
      <c r="AL4743" s="2">
        <v>0.78935872744714397</v>
      </c>
      <c r="AM4743" s="2">
        <v>8009.9641347940296</v>
      </c>
      <c r="AN4743" s="2">
        <v>7130.0814356963801</v>
      </c>
      <c r="AO4743" s="2">
        <v>9784.3209775674695</v>
      </c>
      <c r="AP4743" s="2">
        <v>10886.0970291378</v>
      </c>
      <c r="AQ4743" s="2">
        <v>6076.0612154506298</v>
      </c>
      <c r="AR4743" s="2">
        <v>7878.9374162898202</v>
      </c>
      <c r="AS4743" s="2">
        <v>16465.229129214302</v>
      </c>
      <c r="AT4743" s="2">
        <v>7533.3620867168802</v>
      </c>
      <c r="AU4743" s="2">
        <v>1920.1687196980399</v>
      </c>
      <c r="AV4743" s="2">
        <v>4619.9173917046501</v>
      </c>
      <c r="AW4743" s="2">
        <v>8460.2759308306304</v>
      </c>
      <c r="AX4743" s="2">
        <v>3010.7303144675998</v>
      </c>
    </row>
    <row r="4744" spans="1:50" x14ac:dyDescent="0.25">
      <c r="A4744" s="2" t="s">
        <v>31122</v>
      </c>
      <c r="B4744" s="2">
        <v>299.25908265182602</v>
      </c>
      <c r="C4744" s="2">
        <v>1.9319166666666701</v>
      </c>
      <c r="D4744" s="2" t="s">
        <v>51</v>
      </c>
      <c r="E4744" s="2" t="s">
        <v>31123</v>
      </c>
      <c r="F4744" s="2">
        <v>3138</v>
      </c>
      <c r="G4744" s="3" t="str">
        <f>HYPERLINK("https://cloud.oebiotech.com/#/lm/network/3138", "https://cloud.oebiotech.com/#/lm/network/3138")</f>
        <v>https://cloud.oebiotech.com/#/lm/network/3138</v>
      </c>
      <c r="H4744" s="2"/>
      <c r="I4744" s="2">
        <v>35485</v>
      </c>
      <c r="J4744" s="2" t="s">
        <v>31124</v>
      </c>
      <c r="K4744" s="2">
        <v>643684</v>
      </c>
      <c r="L4744" s="2" t="s">
        <v>31125</v>
      </c>
      <c r="M4744" s="2"/>
      <c r="N4744" s="2"/>
      <c r="O4744" s="2">
        <v>28592</v>
      </c>
      <c r="P4744" s="2"/>
      <c r="Q4744" s="2"/>
      <c r="R4744" s="2"/>
      <c r="S4744" s="2" t="s">
        <v>31126</v>
      </c>
      <c r="T4744" s="2" t="s">
        <v>31127</v>
      </c>
      <c r="U4744" s="2" t="s">
        <v>56</v>
      </c>
      <c r="V4744" s="2" t="s">
        <v>145</v>
      </c>
      <c r="W4744" s="2" t="s">
        <v>231</v>
      </c>
      <c r="X4744" s="2" t="s">
        <v>147</v>
      </c>
      <c r="Y4744" s="2">
        <v>37.1</v>
      </c>
      <c r="Z4744" s="2">
        <v>0</v>
      </c>
      <c r="AA4744" s="2" t="s">
        <v>259</v>
      </c>
      <c r="AB4744" s="2" t="s">
        <v>8747</v>
      </c>
      <c r="AC4744" s="2">
        <v>3.3906724907790999</v>
      </c>
      <c r="AD4744" s="2"/>
      <c r="AE4744" s="2">
        <v>7.3824594072346303E-2</v>
      </c>
      <c r="AF4744" s="2">
        <v>4592.41110246275</v>
      </c>
      <c r="AG4744" s="2">
        <v>4331.84784029805</v>
      </c>
      <c r="AH4744" s="5">
        <v>1.0601506035693899</v>
      </c>
      <c r="AI4744" s="5">
        <v>8.4269226664958397E-2</v>
      </c>
      <c r="AJ4744" s="5" t="s">
        <v>139</v>
      </c>
      <c r="AK4744" s="2">
        <v>0.50924617467536204</v>
      </c>
      <c r="AL4744" s="2">
        <v>0.74362381186305904</v>
      </c>
      <c r="AM4744" s="2">
        <v>4905.2955932278201</v>
      </c>
      <c r="AN4744" s="2">
        <v>5254.4191071416599</v>
      </c>
      <c r="AO4744" s="2">
        <v>4561.4174689794299</v>
      </c>
      <c r="AP4744" s="2">
        <v>5115.9713068135798</v>
      </c>
      <c r="AQ4744" s="2">
        <v>3896.6066587792402</v>
      </c>
      <c r="AR4744" s="2">
        <v>3820.7564798347698</v>
      </c>
      <c r="AS4744" s="2">
        <v>4906.64701738437</v>
      </c>
      <c r="AT4744" s="2">
        <v>5444.1553692484704</v>
      </c>
      <c r="AU4744" s="2">
        <v>3742.1750981596001</v>
      </c>
      <c r="AV4744" s="2">
        <v>3677.1834648252702</v>
      </c>
      <c r="AW4744" s="2">
        <v>4197.2446295850796</v>
      </c>
      <c r="AX4744" s="2">
        <v>4023.68146258553</v>
      </c>
    </row>
    <row r="4745" spans="1:50" x14ac:dyDescent="0.25">
      <c r="A4745" s="2" t="s">
        <v>31128</v>
      </c>
      <c r="B4745" s="2">
        <v>175.087147717661</v>
      </c>
      <c r="C4745" s="2">
        <v>1.5916999999999999</v>
      </c>
      <c r="D4745" s="2" t="s">
        <v>51</v>
      </c>
      <c r="E4745" s="2" t="s">
        <v>31129</v>
      </c>
      <c r="F4745" s="2">
        <v>54636</v>
      </c>
      <c r="G4745" s="3" t="str">
        <f>HYPERLINK("https://cloud.oebiotech.com/#/lm/network/54636", "https://cloud.oebiotech.com/#/lm/network/54636")</f>
        <v>https://cloud.oebiotech.com/#/lm/network/54636</v>
      </c>
      <c r="H4745" s="2" t="s">
        <v>31130</v>
      </c>
      <c r="I4745" s="2">
        <v>3302</v>
      </c>
      <c r="J4745" s="2"/>
      <c r="K4745" s="2">
        <v>397</v>
      </c>
      <c r="L4745" s="2" t="s">
        <v>31131</v>
      </c>
      <c r="M4745" s="2" t="s">
        <v>15319</v>
      </c>
      <c r="N4745" s="2" t="s">
        <v>15320</v>
      </c>
      <c r="O4745" s="2">
        <v>16031</v>
      </c>
      <c r="P4745" s="2"/>
      <c r="Q4745" s="2"/>
      <c r="R4745" s="2" t="s">
        <v>31132</v>
      </c>
      <c r="S4745" s="2" t="s">
        <v>31133</v>
      </c>
      <c r="T4745" s="2" t="s">
        <v>31134</v>
      </c>
      <c r="U4745" s="2" t="s">
        <v>266</v>
      </c>
      <c r="V4745" s="2" t="s">
        <v>445</v>
      </c>
      <c r="W4745" s="2" t="s">
        <v>446</v>
      </c>
      <c r="X4745" s="2" t="s">
        <v>147</v>
      </c>
      <c r="Y4745" s="2">
        <v>37.299999999999997</v>
      </c>
      <c r="Z4745" s="2">
        <v>0</v>
      </c>
      <c r="AA4745" s="2" t="s">
        <v>259</v>
      </c>
      <c r="AB4745" s="2" t="s">
        <v>31135</v>
      </c>
      <c r="AC4745" s="2">
        <v>3.20736445719385</v>
      </c>
      <c r="AD4745" s="2"/>
      <c r="AE4745" s="2">
        <v>7.3441314019047604E-2</v>
      </c>
      <c r="AF4745" s="2">
        <v>1904.97749681661</v>
      </c>
      <c r="AG4745" s="2">
        <v>1778.4493975790799</v>
      </c>
      <c r="AH4745" s="5">
        <v>1.071145178159</v>
      </c>
      <c r="AI4745" s="5">
        <v>9.9154029682555198E-2</v>
      </c>
      <c r="AJ4745" s="5" t="s">
        <v>139</v>
      </c>
      <c r="AK4745" s="2">
        <v>0.84510669949070105</v>
      </c>
      <c r="AL4745" s="2">
        <v>0.93101869922285796</v>
      </c>
      <c r="AM4745" s="2">
        <v>3539.3088322001799</v>
      </c>
      <c r="AN4745" s="2">
        <v>1830.5777944297499</v>
      </c>
      <c r="AO4745" s="2">
        <v>907.20555632193998</v>
      </c>
      <c r="AP4745" s="2">
        <v>1920.4092596483099</v>
      </c>
      <c r="AQ4745" s="2">
        <v>2268.1840542227301</v>
      </c>
      <c r="AR4745" s="2">
        <v>964.17948407673703</v>
      </c>
      <c r="AS4745" s="2">
        <v>1021.14316820979</v>
      </c>
      <c r="AT4745" s="2">
        <v>2708.65989718743</v>
      </c>
      <c r="AU4745" s="2">
        <v>3787.9646256501801</v>
      </c>
      <c r="AV4745" s="2">
        <v>943.91078595400597</v>
      </c>
      <c r="AW4745" s="2">
        <v>808.08369850559995</v>
      </c>
      <c r="AX4745" s="2">
        <v>1400.93420996748</v>
      </c>
    </row>
    <row r="4746" spans="1:50" x14ac:dyDescent="0.25">
      <c r="A4746" s="2" t="s">
        <v>31136</v>
      </c>
      <c r="B4746" s="2">
        <v>668.54788125560299</v>
      </c>
      <c r="C4746" s="2">
        <v>13.8921333333333</v>
      </c>
      <c r="D4746" s="2" t="s">
        <v>51</v>
      </c>
      <c r="E4746" s="2" t="s">
        <v>31137</v>
      </c>
      <c r="F4746" s="2">
        <v>40149</v>
      </c>
      <c r="G4746" s="3" t="str">
        <f>HYPERLINK("https://cloud.oebiotech.com/#/lm/network/40149", "https://cloud.oebiotech.com/#/lm/network/40149")</f>
        <v>https://cloud.oebiotech.com/#/lm/network/40149</v>
      </c>
      <c r="H4746" s="2"/>
      <c r="I4746" s="2"/>
      <c r="J4746" s="2" t="s">
        <v>31138</v>
      </c>
      <c r="K4746" s="2">
        <v>70699227</v>
      </c>
      <c r="L4746" s="2"/>
      <c r="M4746" s="2"/>
      <c r="N4746" s="2"/>
      <c r="O4746" s="2"/>
      <c r="P4746" s="2"/>
      <c r="Q4746" s="2"/>
      <c r="R4746" s="2"/>
      <c r="S4746" s="2" t="s">
        <v>31139</v>
      </c>
      <c r="T4746" s="2" t="s">
        <v>31140</v>
      </c>
      <c r="U4746" s="2" t="s">
        <v>56</v>
      </c>
      <c r="V4746" s="2" t="s">
        <v>145</v>
      </c>
      <c r="W4746" s="2" t="s">
        <v>3263</v>
      </c>
      <c r="X4746" s="2" t="s">
        <v>147</v>
      </c>
      <c r="Y4746" s="2">
        <v>45.1</v>
      </c>
      <c r="Z4746" s="2">
        <v>31.8</v>
      </c>
      <c r="AA4746" s="2" t="s">
        <v>156</v>
      </c>
      <c r="AB4746" s="2" t="s">
        <v>31141</v>
      </c>
      <c r="AC4746" s="2">
        <v>2.77316184297784</v>
      </c>
      <c r="AD4746" s="2"/>
      <c r="AE4746" s="2">
        <v>7.3346003444041893E-2</v>
      </c>
      <c r="AF4746" s="2">
        <v>227609.74898868601</v>
      </c>
      <c r="AG4746" s="2">
        <v>218873.85149460501</v>
      </c>
      <c r="AH4746" s="5">
        <v>1.0399129335662001</v>
      </c>
      <c r="AI4746" s="5">
        <v>5.6462744163987597E-2</v>
      </c>
      <c r="AJ4746" s="5" t="s">
        <v>139</v>
      </c>
      <c r="AK4746" s="2">
        <v>0.91751397685331804</v>
      </c>
      <c r="AL4746" s="2">
        <v>0.96497439868523505</v>
      </c>
      <c r="AM4746" s="2">
        <v>112355.718046936</v>
      </c>
      <c r="AN4746" s="2">
        <v>443827.07487630798</v>
      </c>
      <c r="AO4746" s="2">
        <v>260652.983555435</v>
      </c>
      <c r="AP4746" s="2">
        <v>280653.346972725</v>
      </c>
      <c r="AQ4746" s="2">
        <v>203342.763670596</v>
      </c>
      <c r="AR4746" s="2">
        <v>64826.606810117803</v>
      </c>
      <c r="AS4746" s="2">
        <v>702.91178808223299</v>
      </c>
      <c r="AT4746" s="2">
        <v>208508.04544667099</v>
      </c>
      <c r="AU4746" s="2">
        <v>196346.08505152099</v>
      </c>
      <c r="AV4746" s="2">
        <v>446462.93529709999</v>
      </c>
      <c r="AW4746" s="2">
        <v>306883.803265378</v>
      </c>
      <c r="AX4746" s="2">
        <v>154339.328118876</v>
      </c>
    </row>
    <row r="4747" spans="1:50" x14ac:dyDescent="0.25">
      <c r="A4747" s="2" t="s">
        <v>31142</v>
      </c>
      <c r="B4747" s="2">
        <v>327.21780260716099</v>
      </c>
      <c r="C4747" s="2">
        <v>7.5201000000000002</v>
      </c>
      <c r="D4747" s="2" t="s">
        <v>51</v>
      </c>
      <c r="E4747" s="2" t="s">
        <v>31143</v>
      </c>
      <c r="F4747" s="2">
        <v>59738</v>
      </c>
      <c r="G4747" s="3" t="str">
        <f>HYPERLINK("https://cloud.oebiotech.com/#/lm/network/59738", "https://cloud.oebiotech.com/#/lm/network/59738")</f>
        <v>https://cloud.oebiotech.com/#/lm/network/59738</v>
      </c>
      <c r="H4747" s="2" t="s">
        <v>31144</v>
      </c>
      <c r="I4747" s="2">
        <v>91118</v>
      </c>
      <c r="J4747" s="2"/>
      <c r="K4747" s="2">
        <v>44559173</v>
      </c>
      <c r="L4747" s="2"/>
      <c r="M4747" s="2"/>
      <c r="N4747" s="2"/>
      <c r="O4747" s="2">
        <v>91218</v>
      </c>
      <c r="P4747" s="2"/>
      <c r="Q4747" s="2"/>
      <c r="R4747" s="2" t="s">
        <v>31145</v>
      </c>
      <c r="S4747" s="2" t="s">
        <v>31146</v>
      </c>
      <c r="T4747" s="2" t="s">
        <v>31147</v>
      </c>
      <c r="U4747" s="2" t="s">
        <v>56</v>
      </c>
      <c r="V4747" s="2" t="s">
        <v>145</v>
      </c>
      <c r="W4747" s="2" t="s">
        <v>203</v>
      </c>
      <c r="X4747" s="2" t="s">
        <v>83</v>
      </c>
      <c r="Y4747" s="2">
        <v>53.6</v>
      </c>
      <c r="Z4747" s="2">
        <v>0</v>
      </c>
      <c r="AA4747" s="2" t="s">
        <v>163</v>
      </c>
      <c r="AB4747" s="2" t="s">
        <v>7255</v>
      </c>
      <c r="AC4747" s="2">
        <v>0.31964393010344599</v>
      </c>
      <c r="AD4747" s="2"/>
      <c r="AE4747" s="2">
        <v>7.3116752551621006E-2</v>
      </c>
      <c r="AF4747" s="2">
        <v>1508.17317368249</v>
      </c>
      <c r="AG4747" s="2">
        <v>1155.78034458501</v>
      </c>
      <c r="AH4747" s="5">
        <v>1.3048960217644201</v>
      </c>
      <c r="AI4747" s="5">
        <v>0.38393485287847801</v>
      </c>
      <c r="AJ4747" s="5" t="s">
        <v>139</v>
      </c>
      <c r="AK4747" s="2">
        <v>0.49428004012972199</v>
      </c>
      <c r="AL4747" s="2">
        <v>0.73513085382097298</v>
      </c>
      <c r="AM4747" s="2">
        <v>1058.5504044207801</v>
      </c>
      <c r="AN4747" s="2">
        <v>2643.9635082684699</v>
      </c>
      <c r="AO4747" s="2">
        <v>2112.2781171554202</v>
      </c>
      <c r="AP4747" s="2">
        <v>644.921075672077</v>
      </c>
      <c r="AQ4747" s="2">
        <v>1654.61798717324</v>
      </c>
      <c r="AR4747" s="2">
        <v>934.707949404945</v>
      </c>
      <c r="AS4747" s="2">
        <v>655.38273993825499</v>
      </c>
      <c r="AT4747" s="2">
        <v>125.19879914396201</v>
      </c>
      <c r="AU4747" s="2">
        <v>1932.58333742986</v>
      </c>
      <c r="AV4747" s="2">
        <v>440.11986223650098</v>
      </c>
      <c r="AW4747" s="2">
        <v>2576.87388047281</v>
      </c>
      <c r="AX4747" s="2">
        <v>1204.5234482886899</v>
      </c>
    </row>
    <row r="4748" spans="1:50" x14ac:dyDescent="0.25">
      <c r="A4748" s="2" t="s">
        <v>31148</v>
      </c>
      <c r="B4748" s="2">
        <v>347.12096003717102</v>
      </c>
      <c r="C4748" s="2">
        <v>3.6124666666666698</v>
      </c>
      <c r="D4748" s="2" t="s">
        <v>51</v>
      </c>
      <c r="E4748" s="2" t="s">
        <v>31149</v>
      </c>
      <c r="F4748" s="2">
        <v>205880</v>
      </c>
      <c r="G4748" s="3" t="str">
        <f>HYPERLINK("https://cloud.oebiotech.com/#/lm/network/205880", "https://cloud.oebiotech.com/#/lm/network/205880")</f>
        <v>https://cloud.oebiotech.com/#/lm/network/205880</v>
      </c>
      <c r="H4748" s="2" t="s">
        <v>31150</v>
      </c>
      <c r="I4748" s="2"/>
      <c r="J4748" s="2"/>
      <c r="K4748" s="2">
        <v>220568</v>
      </c>
      <c r="L4748" s="2"/>
      <c r="M4748" s="2"/>
      <c r="N4748" s="2"/>
      <c r="O4748" s="2"/>
      <c r="P4748" s="2"/>
      <c r="Q4748" s="2"/>
      <c r="R4748" s="2"/>
      <c r="S4748" s="2" t="s">
        <v>31151</v>
      </c>
      <c r="T4748" s="2" t="s">
        <v>31152</v>
      </c>
      <c r="U4748" s="2" t="s">
        <v>103</v>
      </c>
      <c r="V4748" s="2" t="s">
        <v>136</v>
      </c>
      <c r="W4748" s="2" t="s">
        <v>240</v>
      </c>
      <c r="X4748" s="2" t="s">
        <v>147</v>
      </c>
      <c r="Y4748" s="2">
        <v>39.5</v>
      </c>
      <c r="Z4748" s="2">
        <v>0</v>
      </c>
      <c r="AA4748" s="2" t="s">
        <v>478</v>
      </c>
      <c r="AB4748" s="2" t="s">
        <v>31153</v>
      </c>
      <c r="AC4748" s="2">
        <v>0.35289333513106003</v>
      </c>
      <c r="AD4748" s="2"/>
      <c r="AE4748" s="2">
        <v>7.3103299110748698E-2</v>
      </c>
      <c r="AF4748" s="2">
        <v>667.88390024715704</v>
      </c>
      <c r="AG4748" s="2">
        <v>221.96717864001499</v>
      </c>
      <c r="AH4748" s="5">
        <v>3.0089308894191298</v>
      </c>
      <c r="AI4748" s="5">
        <v>1.58925097053389</v>
      </c>
      <c r="AJ4748" s="5" t="s">
        <v>139</v>
      </c>
      <c r="AK4748" s="2">
        <v>0.276553740025346</v>
      </c>
      <c r="AL4748" s="2">
        <v>0.59599669755941997</v>
      </c>
      <c r="AM4748" s="2">
        <v>633.96354151695903</v>
      </c>
      <c r="AN4748" s="2">
        <v>8.559877937157E-6</v>
      </c>
      <c r="AO4748" s="2">
        <v>355.59011330899801</v>
      </c>
      <c r="AP4748" s="2">
        <v>2422.7821069214101</v>
      </c>
      <c r="AQ4748" s="2">
        <v>322.13003858991198</v>
      </c>
      <c r="AR4748" s="2">
        <v>272.837592585783</v>
      </c>
      <c r="AS4748" s="2">
        <v>587.26023118234195</v>
      </c>
      <c r="AT4748" s="2">
        <v>8.559877937157E-6</v>
      </c>
      <c r="AU4748" s="2">
        <v>744.542806418238</v>
      </c>
      <c r="AV4748" s="2">
        <v>8.559877937157E-6</v>
      </c>
      <c r="AW4748" s="2">
        <v>8.559877937157E-6</v>
      </c>
      <c r="AX4748" s="2">
        <v>8.559877937157E-6</v>
      </c>
    </row>
    <row r="4749" spans="1:50" x14ac:dyDescent="0.25">
      <c r="A4749" s="2" t="s">
        <v>31154</v>
      </c>
      <c r="B4749" s="2">
        <v>401.09459458717998</v>
      </c>
      <c r="C4749" s="2">
        <v>3.64218333333333</v>
      </c>
      <c r="D4749" s="2" t="s">
        <v>51</v>
      </c>
      <c r="E4749" s="2" t="s">
        <v>31155</v>
      </c>
      <c r="F4749" s="2">
        <v>212590</v>
      </c>
      <c r="G4749" s="3" t="str">
        <f>HYPERLINK("https://cloud.oebiotech.com/#/lm/network/212590", "https://cloud.oebiotech.com/#/lm/network/212590")</f>
        <v>https://cloud.oebiotech.com/#/lm/network/212590</v>
      </c>
      <c r="H4749" s="2" t="s">
        <v>31156</v>
      </c>
      <c r="I4749" s="2"/>
      <c r="J4749" s="2"/>
      <c r="K4749" s="2">
        <v>13296071</v>
      </c>
      <c r="L4749" s="2"/>
      <c r="M4749" s="2"/>
      <c r="N4749" s="2"/>
      <c r="O4749" s="2"/>
      <c r="P4749" s="2"/>
      <c r="Q4749" s="2"/>
      <c r="R4749" s="2"/>
      <c r="S4749" s="2" t="s">
        <v>31157</v>
      </c>
      <c r="T4749" s="2" t="s">
        <v>31158</v>
      </c>
      <c r="U4749" s="2" t="s">
        <v>240</v>
      </c>
      <c r="V4749" s="2" t="s">
        <v>240</v>
      </c>
      <c r="W4749" s="2" t="s">
        <v>240</v>
      </c>
      <c r="X4749" s="2" t="s">
        <v>147</v>
      </c>
      <c r="Y4749" s="2">
        <v>39.4</v>
      </c>
      <c r="Z4749" s="2">
        <v>0</v>
      </c>
      <c r="AA4749" s="2" t="s">
        <v>478</v>
      </c>
      <c r="AB4749" s="2" t="s">
        <v>31159</v>
      </c>
      <c r="AC4749" s="2">
        <v>-1.02277370151504</v>
      </c>
      <c r="AD4749" s="2"/>
      <c r="AE4749" s="2">
        <v>7.3063753747619295E-2</v>
      </c>
      <c r="AF4749" s="2">
        <v>2343.8310899223502</v>
      </c>
      <c r="AG4749" s="2">
        <v>1989.77065876558</v>
      </c>
      <c r="AH4749" s="5">
        <v>1.1779403217134701</v>
      </c>
      <c r="AI4749" s="5">
        <v>0.236266449398437</v>
      </c>
      <c r="AJ4749" s="5" t="s">
        <v>139</v>
      </c>
      <c r="AK4749" s="2">
        <v>0.68981223392894597</v>
      </c>
      <c r="AL4749" s="2">
        <v>0.85101051895904001</v>
      </c>
      <c r="AM4749" s="2">
        <v>1401.3073066183099</v>
      </c>
      <c r="AN4749" s="2">
        <v>1952.74467205219</v>
      </c>
      <c r="AO4749" s="2">
        <v>2544.33722884595</v>
      </c>
      <c r="AP4749" s="2">
        <v>1921.4493739191601</v>
      </c>
      <c r="AQ4749" s="2">
        <v>2759.8299653019999</v>
      </c>
      <c r="AR4749" s="2">
        <v>3483.3179927964602</v>
      </c>
      <c r="AS4749" s="2">
        <v>723.61815255375302</v>
      </c>
      <c r="AT4749" s="2">
        <v>3085.2906462711098</v>
      </c>
      <c r="AU4749" s="2">
        <v>4388.2776414300697</v>
      </c>
      <c r="AV4749" s="2">
        <v>8.559877937157E-6</v>
      </c>
      <c r="AW4749" s="2">
        <v>8.559877937157E-6</v>
      </c>
      <c r="AX4749" s="2">
        <v>3741.4374952188</v>
      </c>
    </row>
    <row r="4750" spans="1:50" x14ac:dyDescent="0.25">
      <c r="A4750" s="2" t="s">
        <v>31160</v>
      </c>
      <c r="B4750" s="2">
        <v>182.081801170847</v>
      </c>
      <c r="C4750" s="2">
        <v>4.8526333333333298</v>
      </c>
      <c r="D4750" s="2" t="s">
        <v>51</v>
      </c>
      <c r="E4750" s="2" t="s">
        <v>31161</v>
      </c>
      <c r="F4750" s="2">
        <v>55446</v>
      </c>
      <c r="G4750" s="3" t="str">
        <f>HYPERLINK("https://cloud.oebiotech.com/#/lm/network/55446", "https://cloud.oebiotech.com/#/lm/network/55446")</f>
        <v>https://cloud.oebiotech.com/#/lm/network/55446</v>
      </c>
      <c r="H4750" s="2" t="s">
        <v>31162</v>
      </c>
      <c r="I4750" s="2">
        <v>87135</v>
      </c>
      <c r="J4750" s="2"/>
      <c r="K4750" s="2">
        <v>1549106</v>
      </c>
      <c r="L4750" s="2" t="s">
        <v>31163</v>
      </c>
      <c r="M4750" s="2"/>
      <c r="N4750" s="2"/>
      <c r="O4750" s="2">
        <v>17450</v>
      </c>
      <c r="P4750" s="2"/>
      <c r="Q4750" s="2"/>
      <c r="R4750" s="2" t="s">
        <v>31164</v>
      </c>
      <c r="S4750" s="2" t="s">
        <v>31165</v>
      </c>
      <c r="T4750" s="2" t="s">
        <v>31166</v>
      </c>
      <c r="U4750" s="2" t="s">
        <v>540</v>
      </c>
      <c r="V4750" s="2" t="s">
        <v>3291</v>
      </c>
      <c r="W4750" s="2" t="s">
        <v>3292</v>
      </c>
      <c r="X4750" s="2" t="s">
        <v>83</v>
      </c>
      <c r="Y4750" s="2">
        <v>39</v>
      </c>
      <c r="Z4750" s="2">
        <v>0</v>
      </c>
      <c r="AA4750" s="2" t="s">
        <v>512</v>
      </c>
      <c r="AB4750" s="2" t="s">
        <v>5703</v>
      </c>
      <c r="AC4750" s="2">
        <v>3.84965456108992</v>
      </c>
      <c r="AD4750" s="2"/>
      <c r="AE4750" s="2">
        <v>7.3013433277661105E-2</v>
      </c>
      <c r="AF4750" s="2">
        <v>9681.1299427081995</v>
      </c>
      <c r="AG4750" s="2">
        <v>8920.2936572424096</v>
      </c>
      <c r="AH4750" s="5">
        <v>1.08529273975729</v>
      </c>
      <c r="AI4750" s="5">
        <v>0.118084238275434</v>
      </c>
      <c r="AJ4750" s="5" t="s">
        <v>139</v>
      </c>
      <c r="AK4750" s="2">
        <v>0.57072611198562795</v>
      </c>
      <c r="AL4750" s="2">
        <v>0.78325289930816699</v>
      </c>
      <c r="AM4750" s="2">
        <v>7174.4979125507398</v>
      </c>
      <c r="AN4750" s="2">
        <v>9896.4917759841901</v>
      </c>
      <c r="AO4750" s="2">
        <v>8029.0089110466897</v>
      </c>
      <c r="AP4750" s="2">
        <v>8856.0838789995196</v>
      </c>
      <c r="AQ4750" s="2">
        <v>15116.7520583599</v>
      </c>
      <c r="AR4750" s="2">
        <v>9013.9451193081404</v>
      </c>
      <c r="AS4750" s="2">
        <v>10200.941801013199</v>
      </c>
      <c r="AT4750" s="2">
        <v>10850.1257891193</v>
      </c>
      <c r="AU4750" s="2">
        <v>8519.2103878615198</v>
      </c>
      <c r="AV4750" s="2">
        <v>7157.3327925451504</v>
      </c>
      <c r="AW4750" s="2">
        <v>7496.1517011188198</v>
      </c>
      <c r="AX4750" s="2">
        <v>9297.9994717964491</v>
      </c>
    </row>
    <row r="4751" spans="1:50" x14ac:dyDescent="0.25">
      <c r="A4751" s="2" t="s">
        <v>31167</v>
      </c>
      <c r="B4751" s="2">
        <v>249.149412102832</v>
      </c>
      <c r="C4751" s="2">
        <v>8.2944666666666702</v>
      </c>
      <c r="D4751" s="2" t="s">
        <v>51</v>
      </c>
      <c r="E4751" s="2" t="s">
        <v>31168</v>
      </c>
      <c r="F4751" s="2">
        <v>255630</v>
      </c>
      <c r="G4751" s="3" t="str">
        <f>HYPERLINK("https://cloud.oebiotech.com/#/lm/network/255630", "https://cloud.oebiotech.com/#/lm/network/255630")</f>
        <v>https://cloud.oebiotech.com/#/lm/network/255630</v>
      </c>
      <c r="H4751" s="2" t="s">
        <v>31169</v>
      </c>
      <c r="I4751" s="2">
        <v>67618</v>
      </c>
      <c r="J4751" s="2"/>
      <c r="K4751" s="2">
        <v>5281428</v>
      </c>
      <c r="L4751" s="2" t="s">
        <v>31170</v>
      </c>
      <c r="M4751" s="2"/>
      <c r="N4751" s="2"/>
      <c r="O4751" s="2">
        <v>2853</v>
      </c>
      <c r="P4751" s="2" t="s">
        <v>24135</v>
      </c>
      <c r="Q4751" s="2" t="s">
        <v>24136</v>
      </c>
      <c r="R4751" s="2" t="s">
        <v>31171</v>
      </c>
      <c r="S4751" s="2" t="s">
        <v>31172</v>
      </c>
      <c r="T4751" s="2" t="s">
        <v>31173</v>
      </c>
      <c r="U4751" s="2" t="s">
        <v>56</v>
      </c>
      <c r="V4751" s="2" t="s">
        <v>177</v>
      </c>
      <c r="W4751" s="2" t="s">
        <v>806</v>
      </c>
      <c r="X4751" s="2" t="s">
        <v>83</v>
      </c>
      <c r="Y4751" s="2">
        <v>54</v>
      </c>
      <c r="Z4751" s="2">
        <v>31.1</v>
      </c>
      <c r="AA4751" s="2" t="s">
        <v>259</v>
      </c>
      <c r="AB4751" s="2" t="s">
        <v>18001</v>
      </c>
      <c r="AC4751" s="2">
        <v>3.59138503370581</v>
      </c>
      <c r="AD4751" s="2"/>
      <c r="AE4751" s="2">
        <v>7.2964098790641599E-2</v>
      </c>
      <c r="AF4751" s="2">
        <v>2246.8283198464901</v>
      </c>
      <c r="AG4751" s="2">
        <v>1905.91944357124</v>
      </c>
      <c r="AH4751" s="5">
        <v>1.17886846027263</v>
      </c>
      <c r="AI4751" s="5">
        <v>0.23740274944621001</v>
      </c>
      <c r="AJ4751" s="5" t="s">
        <v>139</v>
      </c>
      <c r="AK4751" s="2">
        <v>0.39147167093927099</v>
      </c>
      <c r="AL4751" s="2">
        <v>0.66528673878009803</v>
      </c>
      <c r="AM4751" s="2">
        <v>1821.60274493266</v>
      </c>
      <c r="AN4751" s="2">
        <v>2395.8715697167199</v>
      </c>
      <c r="AO4751" s="2">
        <v>3913.1197001312398</v>
      </c>
      <c r="AP4751" s="2">
        <v>2007.42516493159</v>
      </c>
      <c r="AQ4751" s="2">
        <v>1605.6511342203501</v>
      </c>
      <c r="AR4751" s="2">
        <v>1737.2996051463599</v>
      </c>
      <c r="AS4751" s="2">
        <v>1531.00838368564</v>
      </c>
      <c r="AT4751" s="2">
        <v>1472.5040106937099</v>
      </c>
      <c r="AU4751" s="2">
        <v>1916.59217089607</v>
      </c>
      <c r="AV4751" s="2">
        <v>2208.5535280228701</v>
      </c>
      <c r="AW4751" s="2">
        <v>2372.2303550117299</v>
      </c>
      <c r="AX4751" s="2">
        <v>1934.6282131174</v>
      </c>
    </row>
    <row r="4752" spans="1:50" x14ac:dyDescent="0.25">
      <c r="A4752" s="2" t="s">
        <v>31174</v>
      </c>
      <c r="B4752" s="2">
        <v>360.21370760042402</v>
      </c>
      <c r="C4752" s="2">
        <v>4.0892666666666697</v>
      </c>
      <c r="D4752" s="2" t="s">
        <v>51</v>
      </c>
      <c r="E4752" s="2" t="s">
        <v>31175</v>
      </c>
      <c r="F4752" s="2">
        <v>262389</v>
      </c>
      <c r="G4752" s="3" t="str">
        <f>HYPERLINK("https://cloud.oebiotech.com/#/lm/network/262389", "https://cloud.oebiotech.com/#/lm/network/262389")</f>
        <v>https://cloud.oebiotech.com/#/lm/network/262389</v>
      </c>
      <c r="H4752" s="2"/>
      <c r="I4752" s="2">
        <v>19748</v>
      </c>
      <c r="J4752" s="2"/>
      <c r="K4752" s="2">
        <v>145456420</v>
      </c>
      <c r="L4752" s="2"/>
      <c r="M4752" s="2"/>
      <c r="N4752" s="2"/>
      <c r="O4752" s="2"/>
      <c r="P4752" s="2"/>
      <c r="Q4752" s="2"/>
      <c r="R4752" s="2"/>
      <c r="S4752" s="2" t="s">
        <v>31176</v>
      </c>
      <c r="T4752" s="2" t="s">
        <v>31177</v>
      </c>
      <c r="U4752" s="2" t="s">
        <v>103</v>
      </c>
      <c r="V4752" s="2" t="s">
        <v>104</v>
      </c>
      <c r="W4752" s="2" t="s">
        <v>105</v>
      </c>
      <c r="X4752" s="2" t="s">
        <v>83</v>
      </c>
      <c r="Y4752" s="2">
        <v>45.2</v>
      </c>
      <c r="Z4752" s="2">
        <v>0</v>
      </c>
      <c r="AA4752" s="2" t="s">
        <v>259</v>
      </c>
      <c r="AB4752" s="2" t="s">
        <v>31178</v>
      </c>
      <c r="AC4752" s="2">
        <v>2.2146273747255001</v>
      </c>
      <c r="AD4752" s="2"/>
      <c r="AE4752" s="2">
        <v>7.2935849357640803E-2</v>
      </c>
      <c r="AF4752" s="2">
        <v>1227.6075294213799</v>
      </c>
      <c r="AG4752" s="2">
        <v>690.64348369739696</v>
      </c>
      <c r="AH4752" s="5">
        <v>1.77748369223629</v>
      </c>
      <c r="AI4752" s="5">
        <v>0.82983632370530602</v>
      </c>
      <c r="AJ4752" s="5" t="s">
        <v>139</v>
      </c>
      <c r="AK4752" s="2">
        <v>0.566596733370613</v>
      </c>
      <c r="AL4752" s="2">
        <v>0.78252627591726198</v>
      </c>
      <c r="AM4752" s="2">
        <v>427.07305708267597</v>
      </c>
      <c r="AN4752" s="2">
        <v>191.555694494584</v>
      </c>
      <c r="AO4752" s="2">
        <v>324.89637866170199</v>
      </c>
      <c r="AP4752" s="2">
        <v>269.31468777588202</v>
      </c>
      <c r="AQ4752" s="2">
        <v>5150.9549008984905</v>
      </c>
      <c r="AR4752" s="2">
        <v>1001.85045761497</v>
      </c>
      <c r="AS4752" s="2">
        <v>429.585796272849</v>
      </c>
      <c r="AT4752" s="2">
        <v>375.59067907876198</v>
      </c>
      <c r="AU4752" s="2">
        <v>2853.7173220775298</v>
      </c>
      <c r="AV4752" s="2">
        <v>8.559877937157E-6</v>
      </c>
      <c r="AW4752" s="2">
        <v>158.99665131173401</v>
      </c>
      <c r="AX4752" s="2">
        <v>325.97044488362701</v>
      </c>
    </row>
    <row r="4753" spans="1:50" x14ac:dyDescent="0.25">
      <c r="A4753" s="2" t="s">
        <v>31179</v>
      </c>
      <c r="B4753" s="2">
        <v>504.00918010757101</v>
      </c>
      <c r="C4753" s="2">
        <v>2.0702500000000001</v>
      </c>
      <c r="D4753" s="2" t="s">
        <v>51</v>
      </c>
      <c r="E4753" s="2" t="s">
        <v>31180</v>
      </c>
      <c r="F4753" s="2">
        <v>57754</v>
      </c>
      <c r="G4753" s="3" t="str">
        <f>HYPERLINK("https://cloud.oebiotech.com/#/lm/network/57754", "https://cloud.oebiotech.com/#/lm/network/57754")</f>
        <v>https://cloud.oebiotech.com/#/lm/network/57754</v>
      </c>
      <c r="H4753" s="2" t="s">
        <v>31181</v>
      </c>
      <c r="I4753" s="2"/>
      <c r="J4753" s="2"/>
      <c r="K4753" s="2">
        <v>6263274</v>
      </c>
      <c r="L4753" s="2" t="s">
        <v>31182</v>
      </c>
      <c r="M4753" s="2"/>
      <c r="N4753" s="2"/>
      <c r="O4753" s="2"/>
      <c r="P4753" s="2"/>
      <c r="Q4753" s="2"/>
      <c r="R4753" s="2" t="s">
        <v>31183</v>
      </c>
      <c r="S4753" s="2" t="s">
        <v>31184</v>
      </c>
      <c r="T4753" s="2" t="s">
        <v>31185</v>
      </c>
      <c r="U4753" s="2" t="s">
        <v>266</v>
      </c>
      <c r="V4753" s="2" t="s">
        <v>267</v>
      </c>
      <c r="W4753" s="2" t="s">
        <v>268</v>
      </c>
      <c r="X4753" s="2" t="s">
        <v>147</v>
      </c>
      <c r="Y4753" s="2">
        <v>37.9</v>
      </c>
      <c r="Z4753" s="2">
        <v>26.7</v>
      </c>
      <c r="AA4753" s="2" t="s">
        <v>379</v>
      </c>
      <c r="AB4753" s="2" t="s">
        <v>31186</v>
      </c>
      <c r="AC4753" s="2">
        <v>-3.8041456554835902</v>
      </c>
      <c r="AD4753" s="2"/>
      <c r="AE4753" s="2">
        <v>7.2874163828483093E-2</v>
      </c>
      <c r="AF4753" s="2">
        <v>25117.188756705898</v>
      </c>
      <c r="AG4753" s="2">
        <v>25698.387213698901</v>
      </c>
      <c r="AH4753" s="4">
        <v>0.97738385478590595</v>
      </c>
      <c r="AI4753" s="4">
        <v>-3.3002821705159197E-2</v>
      </c>
      <c r="AJ4753" s="4" t="s">
        <v>62</v>
      </c>
      <c r="AK4753" s="2">
        <v>0.804641242040676</v>
      </c>
      <c r="AL4753" s="2">
        <v>0.91236727540020801</v>
      </c>
      <c r="AM4753" s="2">
        <v>25688.725439564801</v>
      </c>
      <c r="AN4753" s="2">
        <v>24071.3189903579</v>
      </c>
      <c r="AO4753" s="2">
        <v>23091.150687924099</v>
      </c>
      <c r="AP4753" s="2">
        <v>24846.4818330093</v>
      </c>
      <c r="AQ4753" s="2">
        <v>31444.131905668899</v>
      </c>
      <c r="AR4753" s="2">
        <v>21561.323683710201</v>
      </c>
      <c r="AS4753" s="2">
        <v>21228.073927566002</v>
      </c>
      <c r="AT4753" s="2">
        <v>23506.084756342101</v>
      </c>
      <c r="AU4753" s="2">
        <v>23217.080530110499</v>
      </c>
      <c r="AV4753" s="2">
        <v>25107.072595359001</v>
      </c>
      <c r="AW4753" s="2">
        <v>27394.604133556099</v>
      </c>
      <c r="AX4753" s="2">
        <v>33737.407339259698</v>
      </c>
    </row>
    <row r="4754" spans="1:50" x14ac:dyDescent="0.25">
      <c r="A4754" s="2" t="s">
        <v>31187</v>
      </c>
      <c r="B4754" s="2">
        <v>369.15817811974699</v>
      </c>
      <c r="C4754" s="2">
        <v>9.7464666666666702</v>
      </c>
      <c r="D4754" s="2" t="s">
        <v>51</v>
      </c>
      <c r="E4754" s="2" t="s">
        <v>31188</v>
      </c>
      <c r="F4754" s="2">
        <v>213478</v>
      </c>
      <c r="G4754" s="3" t="str">
        <f>HYPERLINK("https://cloud.oebiotech.com/#/lm/network/213478", "https://cloud.oebiotech.com/#/lm/network/213478")</f>
        <v>https://cloud.oebiotech.com/#/lm/network/213478</v>
      </c>
      <c r="H4754" s="2" t="s">
        <v>31189</v>
      </c>
      <c r="I4754" s="2"/>
      <c r="J4754" s="2"/>
      <c r="K4754" s="2"/>
      <c r="L4754" s="2"/>
      <c r="M4754" s="2"/>
      <c r="N4754" s="2"/>
      <c r="O4754" s="2"/>
      <c r="P4754" s="2"/>
      <c r="Q4754" s="2"/>
      <c r="R4754" s="2"/>
      <c r="S4754" s="2" t="s">
        <v>31190</v>
      </c>
      <c r="T4754" s="2" t="s">
        <v>31191</v>
      </c>
      <c r="U4754" s="2" t="s">
        <v>266</v>
      </c>
      <c r="V4754" s="2" t="s">
        <v>445</v>
      </c>
      <c r="W4754" s="2" t="s">
        <v>5555</v>
      </c>
      <c r="X4754" s="2" t="s">
        <v>147</v>
      </c>
      <c r="Y4754" s="2">
        <v>37.9</v>
      </c>
      <c r="Z4754" s="2">
        <v>0</v>
      </c>
      <c r="AA4754" s="2" t="s">
        <v>395</v>
      </c>
      <c r="AB4754" s="2" t="s">
        <v>31192</v>
      </c>
      <c r="AC4754" s="2">
        <v>2.0513302616273301</v>
      </c>
      <c r="AD4754" s="2"/>
      <c r="AE4754" s="2">
        <v>7.2814162111944705E-2</v>
      </c>
      <c r="AF4754" s="2">
        <v>1035.0828676625899</v>
      </c>
      <c r="AG4754" s="2">
        <v>805.90626341182497</v>
      </c>
      <c r="AH4754" s="5">
        <v>1.28437129062695</v>
      </c>
      <c r="AI4754" s="5">
        <v>0.36106232217488698</v>
      </c>
      <c r="AJ4754" s="5" t="s">
        <v>139</v>
      </c>
      <c r="AK4754" s="2">
        <v>0.52753471376443895</v>
      </c>
      <c r="AL4754" s="2">
        <v>0.75541578468508697</v>
      </c>
      <c r="AM4754" s="2">
        <v>1373.2233227086199</v>
      </c>
      <c r="AN4754" s="2">
        <v>1834.0417014545701</v>
      </c>
      <c r="AO4754" s="2">
        <v>1105.94920322297</v>
      </c>
      <c r="AP4754" s="2">
        <v>439.48272209860602</v>
      </c>
      <c r="AQ4754" s="2">
        <v>650.81071957982397</v>
      </c>
      <c r="AR4754" s="2">
        <v>806.98953691093504</v>
      </c>
      <c r="AS4754" s="2">
        <v>437.12204462779198</v>
      </c>
      <c r="AT4754" s="2">
        <v>468.74568739105501</v>
      </c>
      <c r="AU4754" s="2">
        <v>1312.96177731425</v>
      </c>
      <c r="AV4754" s="2">
        <v>182.200471407707</v>
      </c>
      <c r="AW4754" s="2">
        <v>1969.41138783684</v>
      </c>
      <c r="AX4754" s="2">
        <v>464.99621189330799</v>
      </c>
    </row>
    <row r="4755" spans="1:50" x14ac:dyDescent="0.25">
      <c r="A4755" s="2" t="s">
        <v>31193</v>
      </c>
      <c r="B4755" s="2">
        <v>311.29567340861701</v>
      </c>
      <c r="C4755" s="2">
        <v>14.8427666666667</v>
      </c>
      <c r="D4755" s="2" t="s">
        <v>51</v>
      </c>
      <c r="E4755" s="2" t="s">
        <v>31194</v>
      </c>
      <c r="F4755" s="2">
        <v>7549</v>
      </c>
      <c r="G4755" s="3" t="str">
        <f>HYPERLINK("https://cloud.oebiotech.com/#/lm/network/7549", "https://cloud.oebiotech.com/#/lm/network/7549")</f>
        <v>https://cloud.oebiotech.com/#/lm/network/7549</v>
      </c>
      <c r="H4755" s="2" t="s">
        <v>31195</v>
      </c>
      <c r="I4755" s="2">
        <v>45003</v>
      </c>
      <c r="J4755" s="2" t="s">
        <v>31196</v>
      </c>
      <c r="K4755" s="2">
        <v>8122</v>
      </c>
      <c r="L4755" s="2"/>
      <c r="M4755" s="2"/>
      <c r="N4755" s="2"/>
      <c r="O4755" s="2">
        <v>84936</v>
      </c>
      <c r="P4755" s="2"/>
      <c r="Q4755" s="2"/>
      <c r="R4755" s="2" t="s">
        <v>31197</v>
      </c>
      <c r="S4755" s="2" t="s">
        <v>31198</v>
      </c>
      <c r="T4755" s="2" t="s">
        <v>31199</v>
      </c>
      <c r="U4755" s="2" t="s">
        <v>56</v>
      </c>
      <c r="V4755" s="2" t="s">
        <v>145</v>
      </c>
      <c r="W4755" s="2" t="s">
        <v>1188</v>
      </c>
      <c r="X4755" s="2" t="s">
        <v>69</v>
      </c>
      <c r="Y4755" s="2">
        <v>57.1</v>
      </c>
      <c r="Z4755" s="2">
        <v>75</v>
      </c>
      <c r="AA4755" s="2" t="s">
        <v>163</v>
      </c>
      <c r="AB4755" s="2" t="s">
        <v>513</v>
      </c>
      <c r="AC4755" s="2">
        <v>0.38206088984276099</v>
      </c>
      <c r="AD4755" s="2"/>
      <c r="AE4755" s="2">
        <v>7.2740178433342503E-2</v>
      </c>
      <c r="AF4755" s="2">
        <v>1280.7403770030901</v>
      </c>
      <c r="AG4755" s="2">
        <v>1036.1304951581401</v>
      </c>
      <c r="AH4755" s="5">
        <v>1.23608018776401</v>
      </c>
      <c r="AI4755" s="5">
        <v>0.305772337689657</v>
      </c>
      <c r="AJ4755" s="5" t="s">
        <v>139</v>
      </c>
      <c r="AK4755" s="2">
        <v>0.36756061958103903</v>
      </c>
      <c r="AL4755" s="2">
        <v>0.65211896511952605</v>
      </c>
      <c r="AM4755" s="2">
        <v>977.08268512171799</v>
      </c>
      <c r="AN4755" s="2">
        <v>903.21968594583495</v>
      </c>
      <c r="AO4755" s="2">
        <v>1755.9382615586901</v>
      </c>
      <c r="AP4755" s="2">
        <v>1232.31680371737</v>
      </c>
      <c r="AQ4755" s="2">
        <v>1023.20491282785</v>
      </c>
      <c r="AR4755" s="2">
        <v>1792.67991284705</v>
      </c>
      <c r="AS4755" s="2">
        <v>879.15490688758598</v>
      </c>
      <c r="AT4755" s="2">
        <v>1597.7266269475999</v>
      </c>
      <c r="AU4755" s="2">
        <v>1602.3134277382501</v>
      </c>
      <c r="AV4755" s="2">
        <v>511.93834184652701</v>
      </c>
      <c r="AW4755" s="2">
        <v>1120.36145082795</v>
      </c>
      <c r="AX4755" s="2">
        <v>505.28821670091997</v>
      </c>
    </row>
    <row r="4756" spans="1:50" x14ac:dyDescent="0.25">
      <c r="A4756" s="2" t="s">
        <v>31200</v>
      </c>
      <c r="B4756" s="2">
        <v>316.321971674255</v>
      </c>
      <c r="C4756" s="2">
        <v>9.4023000000000003</v>
      </c>
      <c r="D4756" s="2" t="s">
        <v>51</v>
      </c>
      <c r="E4756" s="2" t="s">
        <v>31201</v>
      </c>
      <c r="F4756" s="2">
        <v>111</v>
      </c>
      <c r="G4756" s="3" t="str">
        <f>HYPERLINK("https://cloud.oebiotech.com/#/lm/network/111", "https://cloud.oebiotech.com/#/lm/network/111")</f>
        <v>https://cloud.oebiotech.com/#/lm/network/111</v>
      </c>
      <c r="H4756" s="2"/>
      <c r="I4756" s="2"/>
      <c r="J4756" s="2" t="s">
        <v>31202</v>
      </c>
      <c r="K4756" s="2">
        <v>9601092</v>
      </c>
      <c r="L4756" s="2"/>
      <c r="M4756" s="2"/>
      <c r="N4756" s="2"/>
      <c r="O4756" s="2"/>
      <c r="P4756" s="2"/>
      <c r="Q4756" s="2"/>
      <c r="R4756" s="2"/>
      <c r="S4756" s="2" t="s">
        <v>31203</v>
      </c>
      <c r="T4756" s="2" t="s">
        <v>31204</v>
      </c>
      <c r="U4756" s="2" t="s">
        <v>56</v>
      </c>
      <c r="V4756" s="2" t="s">
        <v>145</v>
      </c>
      <c r="W4756" s="2" t="s">
        <v>231</v>
      </c>
      <c r="X4756" s="2" t="s">
        <v>147</v>
      </c>
      <c r="Y4756" s="2">
        <v>41.7</v>
      </c>
      <c r="Z4756" s="2">
        <v>16</v>
      </c>
      <c r="AA4756" s="2" t="s">
        <v>512</v>
      </c>
      <c r="AB4756" s="2" t="s">
        <v>31205</v>
      </c>
      <c r="AC4756" s="2">
        <v>3.2374387433936</v>
      </c>
      <c r="AD4756" s="2"/>
      <c r="AE4756" s="2">
        <v>7.2730668298734105E-2</v>
      </c>
      <c r="AF4756" s="2">
        <v>651475.19080476498</v>
      </c>
      <c r="AG4756" s="2">
        <v>644915.18616126606</v>
      </c>
      <c r="AH4756" s="5">
        <v>1.01017188738033</v>
      </c>
      <c r="AI4756" s="5">
        <v>1.4600797900037101E-2</v>
      </c>
      <c r="AJ4756" s="5" t="s">
        <v>139</v>
      </c>
      <c r="AK4756" s="2">
        <v>0.95707515730762005</v>
      </c>
      <c r="AL4756" s="2">
        <v>0.98245377088014596</v>
      </c>
      <c r="AM4756" s="2">
        <v>771688.37292249897</v>
      </c>
      <c r="AN4756" s="2">
        <v>839970.48742598004</v>
      </c>
      <c r="AO4756" s="2">
        <v>487638.73475066299</v>
      </c>
      <c r="AP4756" s="2">
        <v>507426.15215199598</v>
      </c>
      <c r="AQ4756" s="2">
        <v>856744.06674049201</v>
      </c>
      <c r="AR4756" s="2">
        <v>445383.33083695802</v>
      </c>
      <c r="AS4756" s="2">
        <v>556121.92228229297</v>
      </c>
      <c r="AT4756" s="2">
        <v>595954.24929645006</v>
      </c>
      <c r="AU4756" s="2">
        <v>362356.88214822998</v>
      </c>
      <c r="AV4756" s="2">
        <v>729465.68286936497</v>
      </c>
      <c r="AW4756" s="2">
        <v>1022611.6164799</v>
      </c>
      <c r="AX4756" s="2">
        <v>602980.76389135804</v>
      </c>
    </row>
    <row r="4757" spans="1:50" x14ac:dyDescent="0.25">
      <c r="A4757" s="2" t="s">
        <v>31206</v>
      </c>
      <c r="B4757" s="2">
        <v>185.08114801708601</v>
      </c>
      <c r="C4757" s="2">
        <v>1.4308333333333301</v>
      </c>
      <c r="D4757" s="2" t="s">
        <v>51</v>
      </c>
      <c r="E4757" s="2" t="s">
        <v>31207</v>
      </c>
      <c r="F4757" s="2">
        <v>256751</v>
      </c>
      <c r="G4757" s="3" t="str">
        <f>HYPERLINK("https://cloud.oebiotech.com/#/lm/network/256751", "https://cloud.oebiotech.com/#/lm/network/256751")</f>
        <v>https://cloud.oebiotech.com/#/lm/network/256751</v>
      </c>
      <c r="H4757" s="2" t="s">
        <v>31208</v>
      </c>
      <c r="I4757" s="2">
        <v>688177</v>
      </c>
      <c r="J4757" s="2"/>
      <c r="K4757" s="2">
        <v>13270883</v>
      </c>
      <c r="L4757" s="2"/>
      <c r="M4757" s="2"/>
      <c r="N4757" s="2"/>
      <c r="O4757" s="2">
        <v>87295</v>
      </c>
      <c r="P4757" s="2"/>
      <c r="Q4757" s="2"/>
      <c r="R4757" s="2"/>
      <c r="S4757" s="2" t="s">
        <v>31209</v>
      </c>
      <c r="T4757" s="2" t="s">
        <v>31210</v>
      </c>
      <c r="U4757" s="2" t="s">
        <v>56</v>
      </c>
      <c r="V4757" s="2" t="s">
        <v>145</v>
      </c>
      <c r="W4757" s="2" t="s">
        <v>1188</v>
      </c>
      <c r="X4757" s="2" t="s">
        <v>147</v>
      </c>
      <c r="Y4757" s="2">
        <v>38.5</v>
      </c>
      <c r="Z4757" s="2">
        <v>0</v>
      </c>
      <c r="AA4757" s="2" t="s">
        <v>379</v>
      </c>
      <c r="AB4757" s="2" t="s">
        <v>18316</v>
      </c>
      <c r="AC4757" s="2">
        <v>-3.8435801272044299</v>
      </c>
      <c r="AD4757" s="2"/>
      <c r="AE4757" s="2">
        <v>7.2657505829877594E-2</v>
      </c>
      <c r="AF4757" s="2">
        <v>2235.8238282105999</v>
      </c>
      <c r="AG4757" s="2">
        <v>2010.8037648675199</v>
      </c>
      <c r="AH4757" s="5">
        <v>1.1119055311485899</v>
      </c>
      <c r="AI4757" s="5">
        <v>0.15303422013610299</v>
      </c>
      <c r="AJ4757" s="5" t="s">
        <v>139</v>
      </c>
      <c r="AK4757" s="2">
        <v>0.245565917758122</v>
      </c>
      <c r="AL4757" s="2">
        <v>0.57060798295178805</v>
      </c>
      <c r="AM4757" s="2">
        <v>2507.3795371915198</v>
      </c>
      <c r="AN4757" s="2">
        <v>2432.8176802445901</v>
      </c>
      <c r="AO4757" s="2">
        <v>2090.2799165885399</v>
      </c>
      <c r="AP4757" s="2">
        <v>1939.96458094643</v>
      </c>
      <c r="AQ4757" s="2">
        <v>2543.0329000530601</v>
      </c>
      <c r="AR4757" s="2">
        <v>1901.4683542394901</v>
      </c>
      <c r="AS4757" s="2">
        <v>2559.9493129104699</v>
      </c>
      <c r="AT4757" s="2">
        <v>1891.8735054123699</v>
      </c>
      <c r="AU4757" s="2">
        <v>1825.9712607270701</v>
      </c>
      <c r="AV4757" s="2">
        <v>1938.60429652125</v>
      </c>
      <c r="AW4757" s="2">
        <v>2240.9987301921801</v>
      </c>
      <c r="AX4757" s="2">
        <v>1607.42548344177</v>
      </c>
    </row>
    <row r="4758" spans="1:50" x14ac:dyDescent="0.25">
      <c r="A4758" s="2" t="s">
        <v>31211</v>
      </c>
      <c r="B4758" s="2">
        <v>475.13452484059201</v>
      </c>
      <c r="C4758" s="2">
        <v>3.60421666666667</v>
      </c>
      <c r="D4758" s="2" t="s">
        <v>51</v>
      </c>
      <c r="E4758" s="2" t="s">
        <v>31212</v>
      </c>
      <c r="F4758" s="2">
        <v>30815</v>
      </c>
      <c r="G4758" s="3" t="str">
        <f>HYPERLINK("https://cloud.oebiotech.com/#/lm/network/30815", "https://cloud.oebiotech.com/#/lm/network/30815")</f>
        <v>https://cloud.oebiotech.com/#/lm/network/30815</v>
      </c>
      <c r="H4758" s="2"/>
      <c r="I4758" s="2">
        <v>49153</v>
      </c>
      <c r="J4758" s="2" t="s">
        <v>31213</v>
      </c>
      <c r="K4758" s="2">
        <v>44258147</v>
      </c>
      <c r="L4758" s="2"/>
      <c r="M4758" s="2"/>
      <c r="N4758" s="2"/>
      <c r="O4758" s="2"/>
      <c r="P4758" s="2"/>
      <c r="Q4758" s="2"/>
      <c r="R4758" s="2"/>
      <c r="S4758" s="2" t="s">
        <v>31214</v>
      </c>
      <c r="T4758" s="2" t="s">
        <v>31215</v>
      </c>
      <c r="U4758" s="2" t="s">
        <v>540</v>
      </c>
      <c r="V4758" s="2" t="s">
        <v>541</v>
      </c>
      <c r="W4758" s="2" t="s">
        <v>3377</v>
      </c>
      <c r="X4758" s="2" t="s">
        <v>147</v>
      </c>
      <c r="Y4758" s="2">
        <v>40.200000000000003</v>
      </c>
      <c r="Z4758" s="2">
        <v>17.600000000000001</v>
      </c>
      <c r="AA4758" s="2" t="s">
        <v>95</v>
      </c>
      <c r="AB4758" s="2" t="s">
        <v>31216</v>
      </c>
      <c r="AC4758" s="2">
        <v>-4.0110076948364197</v>
      </c>
      <c r="AD4758" s="2"/>
      <c r="AE4758" s="2">
        <v>7.2531546626264307E-2</v>
      </c>
      <c r="AF4758" s="2">
        <v>11367.898911357501</v>
      </c>
      <c r="AG4758" s="2">
        <v>9885.3818842758901</v>
      </c>
      <c r="AH4758" s="5">
        <v>1.14997063790118</v>
      </c>
      <c r="AI4758" s="5">
        <v>0.20159702543474101</v>
      </c>
      <c r="AJ4758" s="5" t="s">
        <v>139</v>
      </c>
      <c r="AK4758" s="2">
        <v>0.67034257737094405</v>
      </c>
      <c r="AL4758" s="2">
        <v>0.84110581294895703</v>
      </c>
      <c r="AM4758" s="2">
        <v>5543.6423957700199</v>
      </c>
      <c r="AN4758" s="2">
        <v>18154.966495151999</v>
      </c>
      <c r="AO4758" s="2">
        <v>7488.2258724076</v>
      </c>
      <c r="AP4758" s="2">
        <v>18104.423447167799</v>
      </c>
      <c r="AQ4758" s="2">
        <v>8816.8495555204499</v>
      </c>
      <c r="AR4758" s="2">
        <v>10099.285702127299</v>
      </c>
      <c r="AS4758" s="2">
        <v>11055.9056681577</v>
      </c>
      <c r="AT4758" s="2">
        <v>15623.095808706699</v>
      </c>
      <c r="AU4758" s="2">
        <v>4071.12580841827</v>
      </c>
      <c r="AV4758" s="2">
        <v>619.56847121409601</v>
      </c>
      <c r="AW4758" s="2">
        <v>12096.9153365987</v>
      </c>
      <c r="AX4758" s="2">
        <v>15845.680212559901</v>
      </c>
    </row>
    <row r="4759" spans="1:50" x14ac:dyDescent="0.25">
      <c r="A4759" s="2" t="s">
        <v>31217</v>
      </c>
      <c r="B4759" s="2">
        <v>84.045187179564394</v>
      </c>
      <c r="C4759" s="2">
        <v>1.02813333333333</v>
      </c>
      <c r="D4759" s="2" t="s">
        <v>51</v>
      </c>
      <c r="E4759" s="2" t="s">
        <v>31218</v>
      </c>
      <c r="F4759" s="2">
        <v>266919</v>
      </c>
      <c r="G4759" s="3" t="str">
        <f>HYPERLINK("https://cloud.oebiotech.com/#/lm/network/266919", "https://cloud.oebiotech.com/#/lm/network/266919")</f>
        <v>https://cloud.oebiotech.com/#/lm/network/266919</v>
      </c>
      <c r="H4759" s="2"/>
      <c r="I4759" s="2">
        <v>44303</v>
      </c>
      <c r="J4759" s="2"/>
      <c r="K4759" s="2">
        <v>5310987</v>
      </c>
      <c r="L4759" s="2"/>
      <c r="M4759" s="2"/>
      <c r="N4759" s="2"/>
      <c r="O4759" s="2"/>
      <c r="P4759" s="2"/>
      <c r="Q4759" s="2"/>
      <c r="R4759" s="2" t="s">
        <v>31219</v>
      </c>
      <c r="S4759" s="2" t="s">
        <v>31220</v>
      </c>
      <c r="T4759" s="2" t="s">
        <v>31221</v>
      </c>
      <c r="U4759" s="2" t="s">
        <v>56</v>
      </c>
      <c r="V4759" s="2" t="s">
        <v>145</v>
      </c>
      <c r="W4759" s="2" t="s">
        <v>231</v>
      </c>
      <c r="X4759" s="2" t="s">
        <v>83</v>
      </c>
      <c r="Y4759" s="2">
        <v>40.4</v>
      </c>
      <c r="Z4759" s="2">
        <v>10.8</v>
      </c>
      <c r="AA4759" s="2" t="s">
        <v>156</v>
      </c>
      <c r="AB4759" s="2" t="s">
        <v>30713</v>
      </c>
      <c r="AC4759" s="2">
        <v>7.8869813386352199</v>
      </c>
      <c r="AD4759" s="2"/>
      <c r="AE4759" s="2">
        <v>7.2472346926679906E-2</v>
      </c>
      <c r="AF4759" s="2">
        <v>11629.511633832801</v>
      </c>
      <c r="AG4759" s="2">
        <v>12662.9427903495</v>
      </c>
      <c r="AH4759" s="4">
        <v>0.91838933701064596</v>
      </c>
      <c r="AI4759" s="4">
        <v>-0.122822203234352</v>
      </c>
      <c r="AJ4759" s="4" t="s">
        <v>62</v>
      </c>
      <c r="AK4759" s="2">
        <v>0.58127772386627696</v>
      </c>
      <c r="AL4759" s="2">
        <v>0.78897394446188196</v>
      </c>
      <c r="AM4759" s="2">
        <v>16727.248557971299</v>
      </c>
      <c r="AN4759" s="2">
        <v>6834.8529233982699</v>
      </c>
      <c r="AO4759" s="2">
        <v>11548.851078595801</v>
      </c>
      <c r="AP4759" s="2">
        <v>13002.156721604601</v>
      </c>
      <c r="AQ4759" s="2">
        <v>12709.2908326875</v>
      </c>
      <c r="AR4759" s="2">
        <v>8954.6696887396301</v>
      </c>
      <c r="AS4759" s="2">
        <v>9416.7060002903108</v>
      </c>
      <c r="AT4759" s="2">
        <v>10948.353266407999</v>
      </c>
      <c r="AU4759" s="2">
        <v>14799.281537548401</v>
      </c>
      <c r="AV4759" s="2">
        <v>11130.6300781469</v>
      </c>
      <c r="AW4759" s="2">
        <v>12655.4128058269</v>
      </c>
      <c r="AX4759" s="2">
        <v>17027.273053876699</v>
      </c>
    </row>
    <row r="4760" spans="1:50" x14ac:dyDescent="0.25">
      <c r="A4760" s="2" t="s">
        <v>31222</v>
      </c>
      <c r="B4760" s="2">
        <v>437.32745223087801</v>
      </c>
      <c r="C4760" s="2">
        <v>10.5316333333333</v>
      </c>
      <c r="D4760" s="2" t="s">
        <v>51</v>
      </c>
      <c r="E4760" s="2" t="s">
        <v>31223</v>
      </c>
      <c r="F4760" s="2">
        <v>46312</v>
      </c>
      <c r="G4760" s="3" t="str">
        <f>HYPERLINK("https://cloud.oebiotech.com/#/lm/network/46312", "https://cloud.oebiotech.com/#/lm/network/46312")</f>
        <v>https://cloud.oebiotech.com/#/lm/network/46312</v>
      </c>
      <c r="H4760" s="2"/>
      <c r="I4760" s="2"/>
      <c r="J4760" s="2" t="s">
        <v>31224</v>
      </c>
      <c r="K4760" s="2">
        <v>68921349</v>
      </c>
      <c r="L4760" s="2"/>
      <c r="M4760" s="2"/>
      <c r="N4760" s="2"/>
      <c r="O4760" s="2"/>
      <c r="P4760" s="2"/>
      <c r="Q4760" s="2"/>
      <c r="R4760" s="2"/>
      <c r="S4760" s="2" t="s">
        <v>31225</v>
      </c>
      <c r="T4760" s="2" t="s">
        <v>31226</v>
      </c>
      <c r="U4760" s="2" t="s">
        <v>56</v>
      </c>
      <c r="V4760" s="2" t="s">
        <v>283</v>
      </c>
      <c r="W4760" s="2" t="s">
        <v>492</v>
      </c>
      <c r="X4760" s="2" t="s">
        <v>83</v>
      </c>
      <c r="Y4760" s="2">
        <v>55.4</v>
      </c>
      <c r="Z4760" s="2">
        <v>0</v>
      </c>
      <c r="AA4760" s="2" t="s">
        <v>259</v>
      </c>
      <c r="AB4760" s="2" t="s">
        <v>29208</v>
      </c>
      <c r="AC4760" s="2">
        <v>2.9824288465453002</v>
      </c>
      <c r="AD4760" s="2"/>
      <c r="AE4760" s="2">
        <v>7.23908965378499E-2</v>
      </c>
      <c r="AF4760" s="2">
        <v>1938.7578030172299</v>
      </c>
      <c r="AG4760" s="2">
        <v>2337.91769948204</v>
      </c>
      <c r="AH4760" s="4">
        <v>0.82926691707186795</v>
      </c>
      <c r="AI4760" s="4">
        <v>-0.270091556548475</v>
      </c>
      <c r="AJ4760" s="4" t="s">
        <v>62</v>
      </c>
      <c r="AK4760" s="2">
        <v>0.59140191203149595</v>
      </c>
      <c r="AL4760" s="2">
        <v>0.79384060507313303</v>
      </c>
      <c r="AM4760" s="2">
        <v>1512.5407333227699</v>
      </c>
      <c r="AN4760" s="2">
        <v>2048.0895965754999</v>
      </c>
      <c r="AO4760" s="2">
        <v>1307.20700580875</v>
      </c>
      <c r="AP4760" s="2">
        <v>2349.9954781185202</v>
      </c>
      <c r="AQ4760" s="2">
        <v>3241.1017401489999</v>
      </c>
      <c r="AR4760" s="2">
        <v>1173.61226412882</v>
      </c>
      <c r="AS4760" s="2">
        <v>1310.45922306186</v>
      </c>
      <c r="AT4760" s="2">
        <v>3033.8726787278401</v>
      </c>
      <c r="AU4760" s="2">
        <v>969.88470923068598</v>
      </c>
      <c r="AV4760" s="2">
        <v>1041.54593428932</v>
      </c>
      <c r="AW4760" s="2">
        <v>2627.3333583001499</v>
      </c>
      <c r="AX4760" s="2">
        <v>5044.4102932823898</v>
      </c>
    </row>
    <row r="4761" spans="1:50" x14ac:dyDescent="0.25">
      <c r="A4761" s="2" t="s">
        <v>31227</v>
      </c>
      <c r="B4761" s="2">
        <v>1011.97211080433</v>
      </c>
      <c r="C4761" s="2">
        <v>4.8042499999999997</v>
      </c>
      <c r="D4761" s="2" t="s">
        <v>51</v>
      </c>
      <c r="E4761" s="2" t="s">
        <v>31228</v>
      </c>
      <c r="F4761" s="2">
        <v>87386</v>
      </c>
      <c r="G4761" s="3" t="str">
        <f>HYPERLINK("https://cloud.oebiotech.com/#/lm/network/87386", "https://cloud.oebiotech.com/#/lm/network/87386")</f>
        <v>https://cloud.oebiotech.com/#/lm/network/87386</v>
      </c>
      <c r="H4761" s="2" t="s">
        <v>31229</v>
      </c>
      <c r="I4761" s="2"/>
      <c r="J4761" s="2"/>
      <c r="K4761" s="2">
        <v>131774002</v>
      </c>
      <c r="L4761" s="2"/>
      <c r="M4761" s="2"/>
      <c r="N4761" s="2"/>
      <c r="O4761" s="2"/>
      <c r="P4761" s="2"/>
      <c r="Q4761" s="2"/>
      <c r="R4761" s="2"/>
      <c r="S4761" s="2" t="s">
        <v>31230</v>
      </c>
      <c r="T4761" s="2" t="s">
        <v>31231</v>
      </c>
      <c r="U4761" s="2" t="s">
        <v>56</v>
      </c>
      <c r="V4761" s="2" t="s">
        <v>3215</v>
      </c>
      <c r="W4761" s="2" t="s">
        <v>12389</v>
      </c>
      <c r="X4761" s="2" t="s">
        <v>147</v>
      </c>
      <c r="Y4761" s="2">
        <v>40.1</v>
      </c>
      <c r="Z4761" s="2">
        <v>27.9</v>
      </c>
      <c r="AA4761" s="2" t="s">
        <v>379</v>
      </c>
      <c r="AB4761" s="2" t="s">
        <v>31232</v>
      </c>
      <c r="AC4761" s="2">
        <v>3.1135588265954701</v>
      </c>
      <c r="AD4761" s="2"/>
      <c r="AE4761" s="2">
        <v>7.2271959650618306E-2</v>
      </c>
      <c r="AF4761" s="2">
        <v>4842.0505166819803</v>
      </c>
      <c r="AG4761" s="2">
        <v>3735.9178378382499</v>
      </c>
      <c r="AH4761" s="5">
        <v>1.2960805689141699</v>
      </c>
      <c r="AI4761" s="5">
        <v>0.37415540399415198</v>
      </c>
      <c r="AJ4761" s="5" t="s">
        <v>139</v>
      </c>
      <c r="AK4761" s="2">
        <v>0.71003558056400895</v>
      </c>
      <c r="AL4761" s="2">
        <v>0.86206878152227195</v>
      </c>
      <c r="AM4761" s="2">
        <v>8.559877937157E-6</v>
      </c>
      <c r="AN4761" s="2">
        <v>3340.1257098752399</v>
      </c>
      <c r="AO4761" s="2">
        <v>8488.7274638712497</v>
      </c>
      <c r="AP4761" s="2">
        <v>708.61326817476902</v>
      </c>
      <c r="AQ4761" s="2">
        <v>14315.3174286916</v>
      </c>
      <c r="AR4761" s="2">
        <v>2199.51922091914</v>
      </c>
      <c r="AS4761" s="2">
        <v>8.559877937157E-6</v>
      </c>
      <c r="AT4761" s="2">
        <v>6548.2843505642104</v>
      </c>
      <c r="AU4761" s="2">
        <v>8.559877937157E-6</v>
      </c>
      <c r="AV4761" s="2">
        <v>3234.1124997700199</v>
      </c>
      <c r="AW4761" s="2">
        <v>1388.50993381331</v>
      </c>
      <c r="AX4761" s="2">
        <v>11244.6002257622</v>
      </c>
    </row>
    <row r="4762" spans="1:50" x14ac:dyDescent="0.25">
      <c r="A4762" s="2" t="s">
        <v>31233</v>
      </c>
      <c r="B4762" s="2">
        <v>459.21013369622602</v>
      </c>
      <c r="C4762" s="2">
        <v>3.8180333333333301</v>
      </c>
      <c r="D4762" s="2" t="s">
        <v>51</v>
      </c>
      <c r="E4762" s="2" t="s">
        <v>31234</v>
      </c>
      <c r="F4762" s="2">
        <v>209791</v>
      </c>
      <c r="G4762" s="3" t="str">
        <f>HYPERLINK("https://cloud.oebiotech.com/#/lm/network/209791", "https://cloud.oebiotech.com/#/lm/network/209791")</f>
        <v>https://cloud.oebiotech.com/#/lm/network/209791</v>
      </c>
      <c r="H4762" s="2" t="s">
        <v>31235</v>
      </c>
      <c r="I4762" s="2">
        <v>324202</v>
      </c>
      <c r="J4762" s="2"/>
      <c r="K4762" s="2">
        <v>6766</v>
      </c>
      <c r="L4762" s="2"/>
      <c r="M4762" s="2"/>
      <c r="N4762" s="2"/>
      <c r="O4762" s="2"/>
      <c r="P4762" s="2"/>
      <c r="Q4762" s="2"/>
      <c r="R4762" s="2"/>
      <c r="S4762" s="2" t="s">
        <v>31236</v>
      </c>
      <c r="T4762" s="2" t="s">
        <v>31237</v>
      </c>
      <c r="U4762" s="2" t="s">
        <v>610</v>
      </c>
      <c r="V4762" s="2" t="s">
        <v>611</v>
      </c>
      <c r="W4762" s="2" t="s">
        <v>20673</v>
      </c>
      <c r="X4762" s="2" t="s">
        <v>147</v>
      </c>
      <c r="Y4762" s="2">
        <v>38.200000000000003</v>
      </c>
      <c r="Z4762" s="2">
        <v>0</v>
      </c>
      <c r="AA4762" s="2" t="s">
        <v>478</v>
      </c>
      <c r="AB4762" s="2" t="s">
        <v>31238</v>
      </c>
      <c r="AC4762" s="2">
        <v>-3.67383650607198</v>
      </c>
      <c r="AD4762" s="2"/>
      <c r="AE4762" s="2">
        <v>7.2251340710473205E-2</v>
      </c>
      <c r="AF4762" s="2">
        <v>718.23846197376702</v>
      </c>
      <c r="AG4762" s="2">
        <v>1317.94773526776</v>
      </c>
      <c r="AH4762" s="4">
        <v>0.54496733273557696</v>
      </c>
      <c r="AI4762" s="4">
        <v>-0.87575834263612895</v>
      </c>
      <c r="AJ4762" s="4" t="s">
        <v>62</v>
      </c>
      <c r="AK4762" s="2">
        <v>0.61966569269273797</v>
      </c>
      <c r="AL4762" s="2">
        <v>0.811772995921621</v>
      </c>
      <c r="AM4762" s="2">
        <v>2361.1926620865202</v>
      </c>
      <c r="AN4762" s="2">
        <v>8.559877937157E-6</v>
      </c>
      <c r="AO4762" s="2">
        <v>646.76159427043001</v>
      </c>
      <c r="AP4762" s="2">
        <v>8.559877937157E-6</v>
      </c>
      <c r="AQ4762" s="2">
        <v>182.113996698477</v>
      </c>
      <c r="AR4762" s="2">
        <v>1119.36250166742</v>
      </c>
      <c r="AS4762" s="2">
        <v>8.559877937157E-6</v>
      </c>
      <c r="AT4762" s="2">
        <v>751.91238676494902</v>
      </c>
      <c r="AU4762" s="2">
        <v>173.85095177843601</v>
      </c>
      <c r="AV4762" s="2">
        <v>6837.81416775047</v>
      </c>
      <c r="AW4762" s="2">
        <v>144.108888192964</v>
      </c>
      <c r="AX4762" s="2">
        <v>8.559877937157E-6</v>
      </c>
    </row>
    <row r="4763" spans="1:50" x14ac:dyDescent="0.25">
      <c r="A4763" s="2" t="s">
        <v>31239</v>
      </c>
      <c r="B4763" s="2">
        <v>275.16535291284703</v>
      </c>
      <c r="C4763" s="2">
        <v>10.2258</v>
      </c>
      <c r="D4763" s="2" t="s">
        <v>51</v>
      </c>
      <c r="E4763" s="2" t="s">
        <v>31240</v>
      </c>
      <c r="F4763" s="2">
        <v>6450</v>
      </c>
      <c r="G4763" s="3" t="str">
        <f>HYPERLINK("https://cloud.oebiotech.com/#/lm/network/6450", "https://cloud.oebiotech.com/#/lm/network/6450")</f>
        <v>https://cloud.oebiotech.com/#/lm/network/6450</v>
      </c>
      <c r="H4763" s="2"/>
      <c r="I4763" s="2"/>
      <c r="J4763" s="2" t="s">
        <v>31241</v>
      </c>
      <c r="K4763" s="2">
        <v>23426171</v>
      </c>
      <c r="L4763" s="2"/>
      <c r="M4763" s="2"/>
      <c r="N4763" s="2"/>
      <c r="O4763" s="2"/>
      <c r="P4763" s="2"/>
      <c r="Q4763" s="2"/>
      <c r="R4763" s="2"/>
      <c r="S4763" s="2" t="s">
        <v>31242</v>
      </c>
      <c r="T4763" s="2" t="s">
        <v>31243</v>
      </c>
      <c r="U4763" s="2" t="s">
        <v>56</v>
      </c>
      <c r="V4763" s="2" t="s">
        <v>145</v>
      </c>
      <c r="W4763" s="2" t="s">
        <v>146</v>
      </c>
      <c r="X4763" s="2" t="s">
        <v>147</v>
      </c>
      <c r="Y4763" s="2">
        <v>38.9</v>
      </c>
      <c r="Z4763" s="2">
        <v>0</v>
      </c>
      <c r="AA4763" s="2" t="s">
        <v>218</v>
      </c>
      <c r="AB4763" s="2" t="s">
        <v>31244</v>
      </c>
      <c r="AC4763" s="2">
        <v>0.36807067606347699</v>
      </c>
      <c r="AD4763" s="2"/>
      <c r="AE4763" s="2">
        <v>7.2140759784886696E-2</v>
      </c>
      <c r="AF4763" s="2">
        <v>1021.95472988344</v>
      </c>
      <c r="AG4763" s="2">
        <v>1239.0206268523</v>
      </c>
      <c r="AH4763" s="4">
        <v>0.82480848803920903</v>
      </c>
      <c r="AI4763" s="4">
        <v>-0.27786891544387199</v>
      </c>
      <c r="AJ4763" s="4" t="s">
        <v>62</v>
      </c>
      <c r="AK4763" s="2">
        <v>0.108710478109998</v>
      </c>
      <c r="AL4763" s="2">
        <v>0.420407201347063</v>
      </c>
      <c r="AM4763" s="2">
        <v>930.63681928067103</v>
      </c>
      <c r="AN4763" s="2">
        <v>1035.8728259772299</v>
      </c>
      <c r="AO4763" s="2">
        <v>934.02178341023898</v>
      </c>
      <c r="AP4763" s="2">
        <v>985.68125370752796</v>
      </c>
      <c r="AQ4763" s="2">
        <v>1258.1191871055501</v>
      </c>
      <c r="AR4763" s="2">
        <v>987.39650981939496</v>
      </c>
      <c r="AS4763" s="2">
        <v>1041.46756783931</v>
      </c>
      <c r="AT4763" s="2">
        <v>1141.8558264072501</v>
      </c>
      <c r="AU4763" s="2">
        <v>1744.73128254831</v>
      </c>
      <c r="AV4763" s="2">
        <v>1348.15658131125</v>
      </c>
      <c r="AW4763" s="2">
        <v>1162.1741274443</v>
      </c>
      <c r="AX4763" s="2">
        <v>995.73837556335695</v>
      </c>
    </row>
    <row r="4764" spans="1:50" x14ac:dyDescent="0.25">
      <c r="A4764" s="2" t="s">
        <v>31245</v>
      </c>
      <c r="B4764" s="2">
        <v>186.076551316588</v>
      </c>
      <c r="C4764" s="2">
        <v>0.71519999999999995</v>
      </c>
      <c r="D4764" s="2" t="s">
        <v>51</v>
      </c>
      <c r="E4764" s="2" t="s">
        <v>31246</v>
      </c>
      <c r="F4764" s="2">
        <v>257238</v>
      </c>
      <c r="G4764" s="3" t="str">
        <f>HYPERLINK("https://cloud.oebiotech.com/#/lm/network/257238", "https://cloud.oebiotech.com/#/lm/network/257238")</f>
        <v>https://cloud.oebiotech.com/#/lm/network/257238</v>
      </c>
      <c r="H4764" s="2" t="s">
        <v>31247</v>
      </c>
      <c r="I4764" s="2"/>
      <c r="J4764" s="2"/>
      <c r="K4764" s="2"/>
      <c r="L4764" s="2"/>
      <c r="M4764" s="2"/>
      <c r="N4764" s="2"/>
      <c r="O4764" s="2"/>
      <c r="P4764" s="2"/>
      <c r="Q4764" s="2"/>
      <c r="R4764" s="2"/>
      <c r="S4764" s="2" t="s">
        <v>31248</v>
      </c>
      <c r="T4764" s="2" t="s">
        <v>31249</v>
      </c>
      <c r="U4764" s="2" t="s">
        <v>103</v>
      </c>
      <c r="V4764" s="2" t="s">
        <v>1567</v>
      </c>
      <c r="W4764" s="2" t="s">
        <v>1568</v>
      </c>
      <c r="X4764" s="2" t="s">
        <v>147</v>
      </c>
      <c r="Y4764" s="2">
        <v>38.700000000000003</v>
      </c>
      <c r="Z4764" s="2">
        <v>0</v>
      </c>
      <c r="AA4764" s="2" t="s">
        <v>512</v>
      </c>
      <c r="AB4764" s="2" t="s">
        <v>31250</v>
      </c>
      <c r="AC4764" s="2">
        <v>0.93024510466005506</v>
      </c>
      <c r="AD4764" s="2"/>
      <c r="AE4764" s="2">
        <v>7.21214373464244E-2</v>
      </c>
      <c r="AF4764" s="2">
        <v>1899.9821845328199</v>
      </c>
      <c r="AG4764" s="2">
        <v>1218.1052528438399</v>
      </c>
      <c r="AH4764" s="5">
        <v>1.5597849037240801</v>
      </c>
      <c r="AI4764" s="5">
        <v>0.64134709336557105</v>
      </c>
      <c r="AJ4764" s="5" t="s">
        <v>139</v>
      </c>
      <c r="AK4764" s="2">
        <v>0.466358383354117</v>
      </c>
      <c r="AL4764" s="2">
        <v>0.71329029553543499</v>
      </c>
      <c r="AM4764" s="2">
        <v>606.39796847238995</v>
      </c>
      <c r="AN4764" s="2">
        <v>854.355163536688</v>
      </c>
      <c r="AO4764" s="2">
        <v>619.67254595860402</v>
      </c>
      <c r="AP4764" s="2">
        <v>1549.55139734818</v>
      </c>
      <c r="AQ4764" s="2">
        <v>6093.5877974558498</v>
      </c>
      <c r="AR4764" s="2">
        <v>1676.32823442519</v>
      </c>
      <c r="AS4764" s="2">
        <v>1087.3036116384201</v>
      </c>
      <c r="AT4764" s="2">
        <v>903.02325095209301</v>
      </c>
      <c r="AU4764" s="2">
        <v>2265.2652303181499</v>
      </c>
      <c r="AV4764" s="2">
        <v>392.22719695286003</v>
      </c>
      <c r="AW4764" s="2">
        <v>1675.9017191719399</v>
      </c>
      <c r="AX4764" s="2">
        <v>984.91050802956102</v>
      </c>
    </row>
    <row r="4765" spans="1:50" x14ac:dyDescent="0.25">
      <c r="A4765" s="2" t="s">
        <v>31251</v>
      </c>
      <c r="B4765" s="2">
        <v>295.22765281636799</v>
      </c>
      <c r="C4765" s="2">
        <v>11.391833333333301</v>
      </c>
      <c r="D4765" s="2" t="s">
        <v>51</v>
      </c>
      <c r="E4765" s="2" t="s">
        <v>31252</v>
      </c>
      <c r="F4765" s="2">
        <v>2942</v>
      </c>
      <c r="G4765" s="3" t="str">
        <f>HYPERLINK("https://cloud.oebiotech.com/#/lm/network/2942", "https://cloud.oebiotech.com/#/lm/network/2942")</f>
        <v>https://cloud.oebiotech.com/#/lm/network/2942</v>
      </c>
      <c r="H4765" s="2"/>
      <c r="I4765" s="2"/>
      <c r="J4765" s="2" t="s">
        <v>31253</v>
      </c>
      <c r="K4765" s="2"/>
      <c r="L4765" s="2"/>
      <c r="M4765" s="2"/>
      <c r="N4765" s="2"/>
      <c r="O4765" s="2"/>
      <c r="P4765" s="2"/>
      <c r="Q4765" s="2"/>
      <c r="R4765" s="2"/>
      <c r="S4765" s="2" t="s">
        <v>31254</v>
      </c>
      <c r="T4765" s="2" t="s">
        <v>31255</v>
      </c>
      <c r="U4765" s="2" t="s">
        <v>56</v>
      </c>
      <c r="V4765" s="2" t="s">
        <v>145</v>
      </c>
      <c r="W4765" s="2" t="s">
        <v>231</v>
      </c>
      <c r="X4765" s="2" t="s">
        <v>83</v>
      </c>
      <c r="Y4765" s="2">
        <v>54.1</v>
      </c>
      <c r="Z4765" s="2">
        <v>0</v>
      </c>
      <c r="AA4765" s="2" t="s">
        <v>156</v>
      </c>
      <c r="AB4765" s="2" t="s">
        <v>714</v>
      </c>
      <c r="AC4765" s="2">
        <v>2.8234369548953899</v>
      </c>
      <c r="AD4765" s="2"/>
      <c r="AE4765" s="2">
        <v>7.2075916760415998E-2</v>
      </c>
      <c r="AF4765" s="2">
        <v>5449.1781479162</v>
      </c>
      <c r="AG4765" s="2">
        <v>6119.73767078131</v>
      </c>
      <c r="AH4765" s="4">
        <v>0.89042675373706104</v>
      </c>
      <c r="AI4765" s="4">
        <v>-0.167431154381875</v>
      </c>
      <c r="AJ4765" s="4" t="s">
        <v>62</v>
      </c>
      <c r="AK4765" s="2">
        <v>0.45080758236957402</v>
      </c>
      <c r="AL4765" s="2">
        <v>0.70506970930668</v>
      </c>
      <c r="AM4765" s="2">
        <v>6013.6039046874203</v>
      </c>
      <c r="AN4765" s="2">
        <v>6450.9874367747298</v>
      </c>
      <c r="AO4765" s="2">
        <v>5021.2203886323896</v>
      </c>
      <c r="AP4765" s="2">
        <v>4451.8388323053596</v>
      </c>
      <c r="AQ4765" s="2">
        <v>5501.4099967701904</v>
      </c>
      <c r="AR4765" s="2">
        <v>5256.0083283271297</v>
      </c>
      <c r="AS4765" s="2">
        <v>3447.5953835985001</v>
      </c>
      <c r="AT4765" s="2">
        <v>4565.2669488123302</v>
      </c>
      <c r="AU4765" s="2">
        <v>8323.3838123307396</v>
      </c>
      <c r="AV4765" s="2">
        <v>5375.9021541064403</v>
      </c>
      <c r="AW4765" s="2">
        <v>8038.1359118580403</v>
      </c>
      <c r="AX4765" s="2">
        <v>6968.1418139818197</v>
      </c>
    </row>
    <row r="4766" spans="1:50" x14ac:dyDescent="0.25">
      <c r="A4766" s="2" t="s">
        <v>31256</v>
      </c>
      <c r="B4766" s="2">
        <v>228.23281533327599</v>
      </c>
      <c r="C4766" s="2">
        <v>11.2897</v>
      </c>
      <c r="D4766" s="2" t="s">
        <v>51</v>
      </c>
      <c r="E4766" s="2" t="s">
        <v>31257</v>
      </c>
      <c r="F4766" s="2">
        <v>2502</v>
      </c>
      <c r="G4766" s="3" t="str">
        <f>HYPERLINK("https://cloud.oebiotech.com/#/lm/network/2502", "https://cloud.oebiotech.com/#/lm/network/2502")</f>
        <v>https://cloud.oebiotech.com/#/lm/network/2502</v>
      </c>
      <c r="H4766" s="2"/>
      <c r="I4766" s="2">
        <v>340611</v>
      </c>
      <c r="J4766" s="2" t="s">
        <v>31258</v>
      </c>
      <c r="K4766" s="2">
        <v>69492</v>
      </c>
      <c r="L4766" s="2"/>
      <c r="M4766" s="2"/>
      <c r="N4766" s="2"/>
      <c r="O4766" s="2">
        <v>137125</v>
      </c>
      <c r="P4766" s="2"/>
      <c r="Q4766" s="2"/>
      <c r="R4766" s="2"/>
      <c r="S4766" s="2" t="s">
        <v>31259</v>
      </c>
      <c r="T4766" s="2" t="s">
        <v>31260</v>
      </c>
      <c r="U4766" s="2" t="s">
        <v>56</v>
      </c>
      <c r="V4766" s="2" t="s">
        <v>145</v>
      </c>
      <c r="W4766" s="2" t="s">
        <v>1617</v>
      </c>
      <c r="X4766" s="2" t="s">
        <v>147</v>
      </c>
      <c r="Y4766" s="2">
        <v>46.6</v>
      </c>
      <c r="Z4766" s="2">
        <v>38.5</v>
      </c>
      <c r="AA4766" s="2" t="s">
        <v>259</v>
      </c>
      <c r="AB4766" s="2" t="s">
        <v>31261</v>
      </c>
      <c r="AC4766" s="2">
        <v>2.7477043487758501</v>
      </c>
      <c r="AD4766" s="2"/>
      <c r="AE4766" s="2">
        <v>7.2071823513931293E-2</v>
      </c>
      <c r="AF4766" s="2">
        <v>237692.02199161801</v>
      </c>
      <c r="AG4766" s="2">
        <v>255457.36531944299</v>
      </c>
      <c r="AH4766" s="4">
        <v>0.93045671904738303</v>
      </c>
      <c r="AI4766" s="4">
        <v>-0.103989051177826</v>
      </c>
      <c r="AJ4766" s="4" t="s">
        <v>62</v>
      </c>
      <c r="AK4766" s="2">
        <v>0.94216834252562098</v>
      </c>
      <c r="AL4766" s="2">
        <v>0.97569395596975605</v>
      </c>
      <c r="AM4766" s="2">
        <v>12236.9973840566</v>
      </c>
      <c r="AN4766" s="2">
        <v>11995.2097434359</v>
      </c>
      <c r="AO4766" s="2">
        <v>301651.29739480303</v>
      </c>
      <c r="AP4766" s="2">
        <v>9238.1484206547993</v>
      </c>
      <c r="AQ4766" s="2">
        <v>1064865.9679219199</v>
      </c>
      <c r="AR4766" s="2">
        <v>26164.5110848361</v>
      </c>
      <c r="AS4766" s="2">
        <v>353930.12911135802</v>
      </c>
      <c r="AT4766" s="2">
        <v>12288.7985531268</v>
      </c>
      <c r="AU4766" s="2">
        <v>1041127.8431326899</v>
      </c>
      <c r="AV4766" s="2">
        <v>60036.940672333898</v>
      </c>
      <c r="AW4766" s="2">
        <v>47915.3224880977</v>
      </c>
      <c r="AX4766" s="2">
        <v>17445.157959052402</v>
      </c>
    </row>
    <row r="4767" spans="1:50" x14ac:dyDescent="0.25">
      <c r="A4767" s="2" t="s">
        <v>31262</v>
      </c>
      <c r="B4767" s="2">
        <v>308.03083513230803</v>
      </c>
      <c r="C4767" s="2">
        <v>5.3358833333333298</v>
      </c>
      <c r="D4767" s="2" t="s">
        <v>51</v>
      </c>
      <c r="E4767" s="2" t="s">
        <v>31263</v>
      </c>
      <c r="F4767" s="2">
        <v>209862</v>
      </c>
      <c r="G4767" s="3" t="str">
        <f>HYPERLINK("https://cloud.oebiotech.com/#/lm/network/209862", "https://cloud.oebiotech.com/#/lm/network/209862")</f>
        <v>https://cloud.oebiotech.com/#/lm/network/209862</v>
      </c>
      <c r="H4767" s="2" t="s">
        <v>31264</v>
      </c>
      <c r="I4767" s="2">
        <v>338709</v>
      </c>
      <c r="J4767" s="2"/>
      <c r="K4767" s="2">
        <v>198716</v>
      </c>
      <c r="L4767" s="2"/>
      <c r="M4767" s="2"/>
      <c r="N4767" s="2"/>
      <c r="O4767" s="2"/>
      <c r="P4767" s="2"/>
      <c r="Q4767" s="2"/>
      <c r="R4767" s="2"/>
      <c r="S4767" s="2" t="s">
        <v>31265</v>
      </c>
      <c r="T4767" s="2" t="s">
        <v>31266</v>
      </c>
      <c r="U4767" s="2" t="s">
        <v>103</v>
      </c>
      <c r="V4767" s="2" t="s">
        <v>9072</v>
      </c>
      <c r="W4767" s="2" t="s">
        <v>9073</v>
      </c>
      <c r="X4767" s="2" t="s">
        <v>147</v>
      </c>
      <c r="Y4767" s="2">
        <v>39.5</v>
      </c>
      <c r="Z4767" s="2">
        <v>0</v>
      </c>
      <c r="AA4767" s="2" t="s">
        <v>218</v>
      </c>
      <c r="AB4767" s="2" t="s">
        <v>31267</v>
      </c>
      <c r="AC4767" s="2">
        <v>0.977748604153304</v>
      </c>
      <c r="AD4767" s="2"/>
      <c r="AE4767" s="2">
        <v>7.2063513893712794E-2</v>
      </c>
      <c r="AF4767" s="2">
        <v>7861.7752397120903</v>
      </c>
      <c r="AG4767" s="2">
        <v>7161.17591332558</v>
      </c>
      <c r="AH4767" s="5">
        <v>1.0978330004549699</v>
      </c>
      <c r="AI4767" s="5">
        <v>0.13465861195759499</v>
      </c>
      <c r="AJ4767" s="5" t="s">
        <v>139</v>
      </c>
      <c r="AK4767" s="2">
        <v>0.57751342309174103</v>
      </c>
      <c r="AL4767" s="2">
        <v>0.78657023126793102</v>
      </c>
      <c r="AM4767" s="2">
        <v>5829.8508999054602</v>
      </c>
      <c r="AN4767" s="2">
        <v>7506.9625399822298</v>
      </c>
      <c r="AO4767" s="2">
        <v>9548.7181718322408</v>
      </c>
      <c r="AP4767" s="2">
        <v>8463.2856369651199</v>
      </c>
      <c r="AQ4767" s="2">
        <v>10094.643722180999</v>
      </c>
      <c r="AR4767" s="2">
        <v>5727.1904674065099</v>
      </c>
      <c r="AS4767" s="2">
        <v>8306.9868531496795</v>
      </c>
      <c r="AT4767" s="2">
        <v>10442.6676849044</v>
      </c>
      <c r="AU4767" s="2">
        <v>4152.4021197111297</v>
      </c>
      <c r="AV4767" s="2">
        <v>7079.0188560831903</v>
      </c>
      <c r="AW4767" s="2">
        <v>4852.1960496735701</v>
      </c>
      <c r="AX4767" s="2">
        <v>8133.7839164315101</v>
      </c>
    </row>
    <row r="4768" spans="1:50" x14ac:dyDescent="0.25">
      <c r="A4768" s="2" t="s">
        <v>31268</v>
      </c>
      <c r="B4768" s="2">
        <v>241.14428144203299</v>
      </c>
      <c r="C4768" s="2">
        <v>7.5201000000000002</v>
      </c>
      <c r="D4768" s="2" t="s">
        <v>51</v>
      </c>
      <c r="E4768" s="2" t="s">
        <v>31269</v>
      </c>
      <c r="F4768" s="2">
        <v>951</v>
      </c>
      <c r="G4768" s="3" t="str">
        <f>HYPERLINK("https://cloud.oebiotech.com/#/lm/network/951", "https://cloud.oebiotech.com/#/lm/network/951")</f>
        <v>https://cloud.oebiotech.com/#/lm/network/951</v>
      </c>
      <c r="H4768" s="2"/>
      <c r="I4768" s="2">
        <v>74123</v>
      </c>
      <c r="J4768" s="2" t="s">
        <v>31270</v>
      </c>
      <c r="K4768" s="2">
        <v>5312606</v>
      </c>
      <c r="L4768" s="2"/>
      <c r="M4768" s="2"/>
      <c r="N4768" s="2"/>
      <c r="O4768" s="2"/>
      <c r="P4768" s="2"/>
      <c r="Q4768" s="2"/>
      <c r="R4768" s="2"/>
      <c r="S4768" s="2" t="s">
        <v>31271</v>
      </c>
      <c r="T4768" s="2" t="s">
        <v>31272</v>
      </c>
      <c r="U4768" s="2" t="s">
        <v>56</v>
      </c>
      <c r="V4768" s="2" t="s">
        <v>145</v>
      </c>
      <c r="W4768" s="2" t="s">
        <v>231</v>
      </c>
      <c r="X4768" s="2" t="s">
        <v>147</v>
      </c>
      <c r="Y4768" s="2">
        <v>41.5</v>
      </c>
      <c r="Z4768" s="2">
        <v>14</v>
      </c>
      <c r="AA4768" s="2" t="s">
        <v>218</v>
      </c>
      <c r="AB4768" s="2" t="s">
        <v>7868</v>
      </c>
      <c r="AC4768" s="2">
        <v>-1.28122961576595</v>
      </c>
      <c r="AD4768" s="2"/>
      <c r="AE4768" s="2">
        <v>7.1953558742008594E-2</v>
      </c>
      <c r="AF4768" s="2">
        <v>2767.2946445714701</v>
      </c>
      <c r="AG4768" s="2">
        <v>3298.52124463986</v>
      </c>
      <c r="AH4768" s="4">
        <v>0.83895007469433702</v>
      </c>
      <c r="AI4768" s="4">
        <v>-0.25334313539507602</v>
      </c>
      <c r="AJ4768" s="4" t="s">
        <v>62</v>
      </c>
      <c r="AK4768" s="2">
        <v>0.51370845376022201</v>
      </c>
      <c r="AL4768" s="2">
        <v>0.74678919930813803</v>
      </c>
      <c r="AM4768" s="2">
        <v>2686.0182775961098</v>
      </c>
      <c r="AN4768" s="2">
        <v>2095.4177899290898</v>
      </c>
      <c r="AO4768" s="2">
        <v>3982.7583906024302</v>
      </c>
      <c r="AP4768" s="2">
        <v>1481.8209742236199</v>
      </c>
      <c r="AQ4768" s="2">
        <v>3059.5263821471199</v>
      </c>
      <c r="AR4768" s="2">
        <v>3298.2260529304499</v>
      </c>
      <c r="AS4768" s="2">
        <v>1509.42365090863</v>
      </c>
      <c r="AT4768" s="2">
        <v>2333.6255210877398</v>
      </c>
      <c r="AU4768" s="2">
        <v>4697.5001697992402</v>
      </c>
      <c r="AV4768" s="2">
        <v>4688.0764559088102</v>
      </c>
      <c r="AW4768" s="2">
        <v>5082.8060311254703</v>
      </c>
      <c r="AX4768" s="2">
        <v>1479.6956390092901</v>
      </c>
    </row>
    <row r="4769" spans="1:50" x14ac:dyDescent="0.25">
      <c r="A4769" s="2" t="s">
        <v>31273</v>
      </c>
      <c r="B4769" s="2">
        <v>405.04984620035401</v>
      </c>
      <c r="C4769" s="2">
        <v>3.6067666666666698</v>
      </c>
      <c r="D4769" s="2" t="s">
        <v>51</v>
      </c>
      <c r="E4769" s="2" t="s">
        <v>31274</v>
      </c>
      <c r="F4769" s="2">
        <v>64277</v>
      </c>
      <c r="G4769" s="3" t="str">
        <f>HYPERLINK("https://cloud.oebiotech.com/#/lm/network/64277", "https://cloud.oebiotech.com/#/lm/network/64277")</f>
        <v>https://cloud.oebiotech.com/#/lm/network/64277</v>
      </c>
      <c r="H4769" s="2" t="s">
        <v>31275</v>
      </c>
      <c r="I4769" s="2">
        <v>95596</v>
      </c>
      <c r="J4769" s="2"/>
      <c r="K4769" s="2">
        <v>131753056</v>
      </c>
      <c r="L4769" s="2"/>
      <c r="M4769" s="2"/>
      <c r="N4769" s="2"/>
      <c r="O4769" s="2">
        <v>168991</v>
      </c>
      <c r="P4769" s="2"/>
      <c r="Q4769" s="2"/>
      <c r="R4769" s="2"/>
      <c r="S4769" s="2" t="s">
        <v>31276</v>
      </c>
      <c r="T4769" s="2" t="s">
        <v>31277</v>
      </c>
      <c r="U4769" s="2" t="s">
        <v>540</v>
      </c>
      <c r="V4769" s="2" t="s">
        <v>3291</v>
      </c>
      <c r="W4769" s="2" t="s">
        <v>3292</v>
      </c>
      <c r="X4769" s="2" t="s">
        <v>147</v>
      </c>
      <c r="Y4769" s="2">
        <v>37.200000000000003</v>
      </c>
      <c r="Z4769" s="2">
        <v>0</v>
      </c>
      <c r="AA4769" s="2" t="s">
        <v>163</v>
      </c>
      <c r="AB4769" s="2" t="s">
        <v>31278</v>
      </c>
      <c r="AC4769" s="2">
        <v>0.34537008416036302</v>
      </c>
      <c r="AD4769" s="2"/>
      <c r="AE4769" s="2">
        <v>7.1902973586986899E-2</v>
      </c>
      <c r="AF4769" s="2">
        <v>3211.61786916338</v>
      </c>
      <c r="AG4769" s="2">
        <v>3693.7504697834202</v>
      </c>
      <c r="AH4769" s="4">
        <v>0.86947342421636098</v>
      </c>
      <c r="AI4769" s="4">
        <v>-0.20178616320047699</v>
      </c>
      <c r="AJ4769" s="4" t="s">
        <v>62</v>
      </c>
      <c r="AK4769" s="2">
        <v>0.50927647280363797</v>
      </c>
      <c r="AL4769" s="2">
        <v>0.74362381186305904</v>
      </c>
      <c r="AM4769" s="2">
        <v>2430.6891625445701</v>
      </c>
      <c r="AN4769" s="2">
        <v>3652.6443139708599</v>
      </c>
      <c r="AO4769" s="2">
        <v>2094.7312527489298</v>
      </c>
      <c r="AP4769" s="2">
        <v>4357.7419905468796</v>
      </c>
      <c r="AQ4769" s="2">
        <v>3544.5540242566299</v>
      </c>
      <c r="AR4769" s="2">
        <v>3189.3464709124</v>
      </c>
      <c r="AS4769" s="2">
        <v>4088.4125316817999</v>
      </c>
      <c r="AT4769" s="2">
        <v>5729.47965405984</v>
      </c>
      <c r="AU4769" s="2">
        <v>3554.7279211957002</v>
      </c>
      <c r="AV4769" s="2">
        <v>1361.6188767870501</v>
      </c>
      <c r="AW4769" s="2">
        <v>2805.1402424163098</v>
      </c>
      <c r="AX4769" s="2">
        <v>4623.1235925597903</v>
      </c>
    </row>
    <row r="4770" spans="1:50" x14ac:dyDescent="0.25">
      <c r="A4770" s="2" t="s">
        <v>31279</v>
      </c>
      <c r="B4770" s="2">
        <v>185.04498300552899</v>
      </c>
      <c r="C4770" s="2">
        <v>4.6885500000000002</v>
      </c>
      <c r="D4770" s="2" t="s">
        <v>51</v>
      </c>
      <c r="E4770" s="2" t="s">
        <v>31280</v>
      </c>
      <c r="F4770" s="2">
        <v>212141</v>
      </c>
      <c r="G4770" s="3" t="str">
        <f>HYPERLINK("https://cloud.oebiotech.com/#/lm/network/212141", "https://cloud.oebiotech.com/#/lm/network/212141")</f>
        <v>https://cloud.oebiotech.com/#/lm/network/212141</v>
      </c>
      <c r="H4770" s="2" t="s">
        <v>31281</v>
      </c>
      <c r="I4770" s="2"/>
      <c r="J4770" s="2"/>
      <c r="K4770" s="2"/>
      <c r="L4770" s="2"/>
      <c r="M4770" s="2"/>
      <c r="N4770" s="2"/>
      <c r="O4770" s="2"/>
      <c r="P4770" s="2"/>
      <c r="Q4770" s="2"/>
      <c r="R4770" s="2"/>
      <c r="S4770" s="2" t="s">
        <v>31282</v>
      </c>
      <c r="T4770" s="2" t="s">
        <v>31283</v>
      </c>
      <c r="U4770" s="2" t="s">
        <v>103</v>
      </c>
      <c r="V4770" s="2" t="s">
        <v>9072</v>
      </c>
      <c r="W4770" s="2" t="s">
        <v>31284</v>
      </c>
      <c r="X4770" s="2" t="s">
        <v>147</v>
      </c>
      <c r="Y4770" s="2">
        <v>39.299999999999997</v>
      </c>
      <c r="Z4770" s="2">
        <v>0</v>
      </c>
      <c r="AA4770" s="2" t="s">
        <v>95</v>
      </c>
      <c r="AB4770" s="2" t="s">
        <v>31285</v>
      </c>
      <c r="AC4770" s="2">
        <v>-0.32029681592068798</v>
      </c>
      <c r="AD4770" s="2"/>
      <c r="AE4770" s="2">
        <v>7.17344032993458E-2</v>
      </c>
      <c r="AF4770" s="2">
        <v>1136.5871890446101</v>
      </c>
      <c r="AG4770" s="2">
        <v>1277.7692421566001</v>
      </c>
      <c r="AH4770" s="4">
        <v>0.889508959478709</v>
      </c>
      <c r="AI4770" s="4">
        <v>-0.16891895793859801</v>
      </c>
      <c r="AJ4770" s="4" t="s">
        <v>62</v>
      </c>
      <c r="AK4770" s="2">
        <v>0.84683605925555605</v>
      </c>
      <c r="AL4770" s="2">
        <v>0.93190759967874004</v>
      </c>
      <c r="AM4770" s="2">
        <v>8.559877937157E-6</v>
      </c>
      <c r="AN4770" s="2">
        <v>1976.8560925172701</v>
      </c>
      <c r="AO4770" s="2">
        <v>155.95368596705501</v>
      </c>
      <c r="AP4770" s="2">
        <v>3678.0399682850898</v>
      </c>
      <c r="AQ4770" s="2">
        <v>244.096043301772</v>
      </c>
      <c r="AR4770" s="2">
        <v>764.57733563661498</v>
      </c>
      <c r="AS4770" s="2">
        <v>2256.98488073105</v>
      </c>
      <c r="AT4770" s="2">
        <v>92.974666778280707</v>
      </c>
      <c r="AU4770" s="2">
        <v>619.38958618653305</v>
      </c>
      <c r="AV4770" s="2">
        <v>601.94981729061101</v>
      </c>
      <c r="AW4770" s="2">
        <v>2508.9370303710598</v>
      </c>
      <c r="AX4770" s="2">
        <v>1586.37947158205</v>
      </c>
    </row>
    <row r="4771" spans="1:50" x14ac:dyDescent="0.25">
      <c r="A4771" s="2" t="s">
        <v>31286</v>
      </c>
      <c r="B4771" s="2">
        <v>187.13321698804299</v>
      </c>
      <c r="C4771" s="2">
        <v>4.1008333333333304</v>
      </c>
      <c r="D4771" s="2" t="s">
        <v>51</v>
      </c>
      <c r="E4771" s="2" t="s">
        <v>31287</v>
      </c>
      <c r="F4771" s="2">
        <v>1678</v>
      </c>
      <c r="G4771" s="3" t="str">
        <f>HYPERLINK("https://cloud.oebiotech.com/#/lm/network/1678", "https://cloud.oebiotech.com/#/lm/network/1678")</f>
        <v>https://cloud.oebiotech.com/#/lm/network/1678</v>
      </c>
      <c r="H4771" s="2" t="s">
        <v>31288</v>
      </c>
      <c r="I4771" s="2">
        <v>35414</v>
      </c>
      <c r="J4771" s="2" t="s">
        <v>31289</v>
      </c>
      <c r="K4771" s="2">
        <v>74300</v>
      </c>
      <c r="L4771" s="2" t="s">
        <v>31290</v>
      </c>
      <c r="M4771" s="2"/>
      <c r="N4771" s="2"/>
      <c r="O4771" s="2">
        <v>17409</v>
      </c>
      <c r="P4771" s="2"/>
      <c r="Q4771" s="2"/>
      <c r="R4771" s="2"/>
      <c r="S4771" s="2" t="s">
        <v>31291</v>
      </c>
      <c r="T4771" s="2" t="s">
        <v>31292</v>
      </c>
      <c r="U4771" s="2" t="s">
        <v>103</v>
      </c>
      <c r="V4771" s="2" t="s">
        <v>377</v>
      </c>
      <c r="W4771" s="2" t="s">
        <v>378</v>
      </c>
      <c r="X4771" s="2" t="s">
        <v>147</v>
      </c>
      <c r="Y4771" s="2">
        <v>36.9</v>
      </c>
      <c r="Z4771" s="2">
        <v>0</v>
      </c>
      <c r="AA4771" s="2" t="s">
        <v>163</v>
      </c>
      <c r="AB4771" s="2" t="s">
        <v>16206</v>
      </c>
      <c r="AC4771" s="2">
        <v>-3.99210730951134</v>
      </c>
      <c r="AD4771" s="2"/>
      <c r="AE4771" s="2">
        <v>7.1492262110558299E-2</v>
      </c>
      <c r="AF4771" s="2">
        <v>666.48510532727698</v>
      </c>
      <c r="AG4771" s="2">
        <v>478.98891393210801</v>
      </c>
      <c r="AH4771" s="5">
        <v>1.39144160948523</v>
      </c>
      <c r="AI4771" s="5">
        <v>0.47658036862382802</v>
      </c>
      <c r="AJ4771" s="5" t="s">
        <v>139</v>
      </c>
      <c r="AK4771" s="2">
        <v>0.13149268061241501</v>
      </c>
      <c r="AL4771" s="2">
        <v>0.451255517223069</v>
      </c>
      <c r="AM4771" s="2">
        <v>422.72917880975399</v>
      </c>
      <c r="AN4771" s="2">
        <v>857.54636775937695</v>
      </c>
      <c r="AO4771" s="2">
        <v>704.61587160586998</v>
      </c>
      <c r="AP4771" s="2">
        <v>846.99340783511798</v>
      </c>
      <c r="AQ4771" s="2">
        <v>733.30561250879998</v>
      </c>
      <c r="AR4771" s="2">
        <v>433.72019344474597</v>
      </c>
      <c r="AS4771" s="2">
        <v>569.92054591759302</v>
      </c>
      <c r="AT4771" s="2">
        <v>791.28696833131903</v>
      </c>
      <c r="AU4771" s="2">
        <v>492.70438682560399</v>
      </c>
      <c r="AV4771" s="2">
        <v>298.238562868928</v>
      </c>
      <c r="AW4771" s="2">
        <v>227.256665607287</v>
      </c>
      <c r="AX4771" s="2">
        <v>494.52635404191898</v>
      </c>
    </row>
    <row r="4772" spans="1:50" x14ac:dyDescent="0.25">
      <c r="A4772" s="2" t="s">
        <v>31293</v>
      </c>
      <c r="B4772" s="2">
        <v>443.31660057158098</v>
      </c>
      <c r="C4772" s="2">
        <v>12.383366666666699</v>
      </c>
      <c r="D4772" s="2" t="s">
        <v>51</v>
      </c>
      <c r="E4772" s="2" t="s">
        <v>31294</v>
      </c>
      <c r="F4772" s="2">
        <v>45326</v>
      </c>
      <c r="G4772" s="3" t="str">
        <f>HYPERLINK("https://cloud.oebiotech.com/#/lm/network/45326", "https://cloud.oebiotech.com/#/lm/network/45326")</f>
        <v>https://cloud.oebiotech.com/#/lm/network/45326</v>
      </c>
      <c r="H4772" s="2"/>
      <c r="I4772" s="2">
        <v>42093</v>
      </c>
      <c r="J4772" s="2" t="s">
        <v>31295</v>
      </c>
      <c r="K4772" s="2">
        <v>5283683</v>
      </c>
      <c r="L4772" s="2"/>
      <c r="M4772" s="2"/>
      <c r="N4772" s="2"/>
      <c r="O4772" s="2"/>
      <c r="P4772" s="2"/>
      <c r="Q4772" s="2"/>
      <c r="R4772" s="2"/>
      <c r="S4772" s="2" t="s">
        <v>31296</v>
      </c>
      <c r="T4772" s="2" t="s">
        <v>31297</v>
      </c>
      <c r="U4772" s="2" t="s">
        <v>56</v>
      </c>
      <c r="V4772" s="2" t="s">
        <v>283</v>
      </c>
      <c r="W4772" s="2" t="s">
        <v>420</v>
      </c>
      <c r="X4772" s="2" t="s">
        <v>83</v>
      </c>
      <c r="Y4772" s="2">
        <v>47.2</v>
      </c>
      <c r="Z4772" s="2">
        <v>0</v>
      </c>
      <c r="AA4772" s="2" t="s">
        <v>218</v>
      </c>
      <c r="AB4772" s="2" t="s">
        <v>7163</v>
      </c>
      <c r="AC4772" s="2">
        <v>-0.20808594922644999</v>
      </c>
      <c r="AD4772" s="2"/>
      <c r="AE4772" s="2">
        <v>7.14614164626418E-2</v>
      </c>
      <c r="AF4772" s="2">
        <v>55243.137611662001</v>
      </c>
      <c r="AG4772" s="2">
        <v>48860.372464744898</v>
      </c>
      <c r="AH4772" s="5">
        <v>1.13063275666846</v>
      </c>
      <c r="AI4772" s="5">
        <v>0.17713040044185299</v>
      </c>
      <c r="AJ4772" s="5" t="s">
        <v>139</v>
      </c>
      <c r="AK4772" s="2">
        <v>0.76292099825098803</v>
      </c>
      <c r="AL4772" s="2">
        <v>0.89215323352690901</v>
      </c>
      <c r="AM4772" s="2">
        <v>27747.751983001301</v>
      </c>
      <c r="AN4772" s="2">
        <v>50234.878610069602</v>
      </c>
      <c r="AO4772" s="2">
        <v>108297.933116505</v>
      </c>
      <c r="AP4772" s="2">
        <v>93954.837289234594</v>
      </c>
      <c r="AQ4772" s="2">
        <v>33525.184212077998</v>
      </c>
      <c r="AR4772" s="2">
        <v>17698.2404590837</v>
      </c>
      <c r="AS4772" s="2">
        <v>76249.049959538199</v>
      </c>
      <c r="AT4772" s="2">
        <v>39305.471384046898</v>
      </c>
      <c r="AU4772" s="2">
        <v>21776.3889424476</v>
      </c>
      <c r="AV4772" s="2">
        <v>10875.253582536299</v>
      </c>
      <c r="AW4772" s="2">
        <v>44120.802771454502</v>
      </c>
      <c r="AX4772" s="2">
        <v>100835.268148446</v>
      </c>
    </row>
    <row r="4773" spans="1:50" x14ac:dyDescent="0.25">
      <c r="A4773" s="2" t="s">
        <v>31298</v>
      </c>
      <c r="B4773" s="2">
        <v>456.18067390473698</v>
      </c>
      <c r="C4773" s="2">
        <v>7.73705</v>
      </c>
      <c r="D4773" s="2" t="s">
        <v>51</v>
      </c>
      <c r="E4773" s="2" t="s">
        <v>31299</v>
      </c>
      <c r="F4773" s="2">
        <v>203642</v>
      </c>
      <c r="G4773" s="3" t="str">
        <f>HYPERLINK("https://cloud.oebiotech.com/#/lm/network/203642", "https://cloud.oebiotech.com/#/lm/network/203642")</f>
        <v>https://cloud.oebiotech.com/#/lm/network/203642</v>
      </c>
      <c r="H4773" s="2" t="s">
        <v>31300</v>
      </c>
      <c r="I4773" s="2"/>
      <c r="J4773" s="2"/>
      <c r="K4773" s="2">
        <v>4649132</v>
      </c>
      <c r="L4773" s="2"/>
      <c r="M4773" s="2"/>
      <c r="N4773" s="2"/>
      <c r="O4773" s="2"/>
      <c r="P4773" s="2"/>
      <c r="Q4773" s="2"/>
      <c r="R4773" s="2"/>
      <c r="S4773" s="2" t="s">
        <v>31301</v>
      </c>
      <c r="T4773" s="2" t="s">
        <v>31302</v>
      </c>
      <c r="U4773" s="2" t="s">
        <v>103</v>
      </c>
      <c r="V4773" s="2" t="s">
        <v>104</v>
      </c>
      <c r="W4773" s="2" t="s">
        <v>105</v>
      </c>
      <c r="X4773" s="2" t="s">
        <v>147</v>
      </c>
      <c r="Y4773" s="2">
        <v>44</v>
      </c>
      <c r="Z4773" s="2">
        <v>28.1</v>
      </c>
      <c r="AA4773" s="2" t="s">
        <v>95</v>
      </c>
      <c r="AB4773" s="2" t="s">
        <v>31303</v>
      </c>
      <c r="AC4773" s="2">
        <v>-1.5181052852644501</v>
      </c>
      <c r="AD4773" s="2"/>
      <c r="AE4773" s="2">
        <v>7.1433023513415697E-2</v>
      </c>
      <c r="AF4773" s="2">
        <v>8892.0070003921992</v>
      </c>
      <c r="AG4773" s="2">
        <v>6418.84415184521</v>
      </c>
      <c r="AH4773" s="5">
        <v>1.38529722642293</v>
      </c>
      <c r="AI4773" s="5">
        <v>0.47019555106227701</v>
      </c>
      <c r="AJ4773" s="5" t="s">
        <v>139</v>
      </c>
      <c r="AK4773" s="2">
        <v>0.63454495014856604</v>
      </c>
      <c r="AL4773" s="2">
        <v>0.82042874297625601</v>
      </c>
      <c r="AM4773" s="2">
        <v>959.69211079252102</v>
      </c>
      <c r="AN4773" s="2">
        <v>3547.5406624994898</v>
      </c>
      <c r="AO4773" s="2">
        <v>21163.4216573468</v>
      </c>
      <c r="AP4773" s="2">
        <v>25678.785711092602</v>
      </c>
      <c r="AQ4773" s="2">
        <v>2002.60185206191</v>
      </c>
      <c r="AR4773" s="2">
        <v>8.559877937157E-6</v>
      </c>
      <c r="AS4773" s="2">
        <v>7423.1136521882599</v>
      </c>
      <c r="AT4773" s="2">
        <v>8648.2589979132299</v>
      </c>
      <c r="AU4773" s="2">
        <v>2315.1439330145299</v>
      </c>
      <c r="AV4773" s="2">
        <v>14385.464582266201</v>
      </c>
      <c r="AW4773" s="2">
        <v>1962.9131587095401</v>
      </c>
      <c r="AX4773" s="2">
        <v>3778.17058697948</v>
      </c>
    </row>
    <row r="4774" spans="1:50" x14ac:dyDescent="0.25">
      <c r="A4774" s="2" t="s">
        <v>31304</v>
      </c>
      <c r="B4774" s="2">
        <v>320.16168401399699</v>
      </c>
      <c r="C4774" s="2">
        <v>4.0250333333333304</v>
      </c>
      <c r="D4774" s="2" t="s">
        <v>51</v>
      </c>
      <c r="E4774" s="2" t="s">
        <v>31305</v>
      </c>
      <c r="F4774" s="2">
        <v>261220</v>
      </c>
      <c r="G4774" s="3" t="str">
        <f>HYPERLINK("https://cloud.oebiotech.com/#/lm/network/261220", "https://cloud.oebiotech.com/#/lm/network/261220")</f>
        <v>https://cloud.oebiotech.com/#/lm/network/261220</v>
      </c>
      <c r="H4774" s="2"/>
      <c r="I4774" s="2">
        <v>18524</v>
      </c>
      <c r="J4774" s="2"/>
      <c r="K4774" s="2">
        <v>145453681</v>
      </c>
      <c r="L4774" s="2"/>
      <c r="M4774" s="2"/>
      <c r="N4774" s="2"/>
      <c r="O4774" s="2"/>
      <c r="P4774" s="2"/>
      <c r="Q4774" s="2"/>
      <c r="R4774" s="2"/>
      <c r="S4774" s="2" t="s">
        <v>31306</v>
      </c>
      <c r="T4774" s="2" t="s">
        <v>31307</v>
      </c>
      <c r="U4774" s="2" t="s">
        <v>103</v>
      </c>
      <c r="V4774" s="2" t="s">
        <v>104</v>
      </c>
      <c r="W4774" s="2" t="s">
        <v>105</v>
      </c>
      <c r="X4774" s="2" t="s">
        <v>83</v>
      </c>
      <c r="Y4774" s="2">
        <v>48</v>
      </c>
      <c r="Z4774" s="2">
        <v>0</v>
      </c>
      <c r="AA4774" s="2" t="s">
        <v>156</v>
      </c>
      <c r="AB4774" s="2" t="s">
        <v>17354</v>
      </c>
      <c r="AC4774" s="2">
        <v>3.5632956164943299</v>
      </c>
      <c r="AD4774" s="2"/>
      <c r="AE4774" s="2">
        <v>7.1262434681685902E-2</v>
      </c>
      <c r="AF4774" s="2">
        <v>783.39257589843703</v>
      </c>
      <c r="AG4774" s="2">
        <v>503.63400385602301</v>
      </c>
      <c r="AH4774" s="5">
        <v>1.55547991180197</v>
      </c>
      <c r="AI4774" s="5">
        <v>0.63735976335135502</v>
      </c>
      <c r="AJ4774" s="5" t="s">
        <v>139</v>
      </c>
      <c r="AK4774" s="2">
        <v>0.38243843422387203</v>
      </c>
      <c r="AL4774" s="2">
        <v>0.66023025420912795</v>
      </c>
      <c r="AM4774" s="2">
        <v>328.93042619265998</v>
      </c>
      <c r="AN4774" s="2">
        <v>1365.55539406496</v>
      </c>
      <c r="AO4774" s="2">
        <v>795.47844533373302</v>
      </c>
      <c r="AP4774" s="2">
        <v>8.559877937157E-6</v>
      </c>
      <c r="AQ4774" s="2">
        <v>823.34317908963999</v>
      </c>
      <c r="AR4774" s="2">
        <v>1387.0480021497499</v>
      </c>
      <c r="AS4774" s="2">
        <v>330.736047456427</v>
      </c>
      <c r="AT4774" s="2">
        <v>8.559877937157E-6</v>
      </c>
      <c r="AU4774" s="2">
        <v>1267.12644778042</v>
      </c>
      <c r="AV4774" s="2">
        <v>300.11372479396601</v>
      </c>
      <c r="AW4774" s="2">
        <v>129.93021956965501</v>
      </c>
      <c r="AX4774" s="2">
        <v>993.89757497579001</v>
      </c>
    </row>
    <row r="4775" spans="1:50" x14ac:dyDescent="0.25">
      <c r="A4775" s="2" t="s">
        <v>31308</v>
      </c>
      <c r="B4775" s="2">
        <v>288.15654634736302</v>
      </c>
      <c r="C4775" s="2">
        <v>4.1329500000000001</v>
      </c>
      <c r="D4775" s="2" t="s">
        <v>51</v>
      </c>
      <c r="E4775" s="2" t="s">
        <v>31309</v>
      </c>
      <c r="F4775" s="2">
        <v>213099</v>
      </c>
      <c r="G4775" s="3" t="str">
        <f>HYPERLINK("https://cloud.oebiotech.com/#/lm/network/213099", "https://cloud.oebiotech.com/#/lm/network/213099")</f>
        <v>https://cloud.oebiotech.com/#/lm/network/213099</v>
      </c>
      <c r="H4775" s="2" t="s">
        <v>31310</v>
      </c>
      <c r="I4775" s="2"/>
      <c r="J4775" s="2"/>
      <c r="K4775" s="2"/>
      <c r="L4775" s="2"/>
      <c r="M4775" s="2"/>
      <c r="N4775" s="2"/>
      <c r="O4775" s="2"/>
      <c r="P4775" s="2"/>
      <c r="Q4775" s="2"/>
      <c r="R4775" s="2"/>
      <c r="S4775" s="2" t="s">
        <v>31311</v>
      </c>
      <c r="T4775" s="2" t="s">
        <v>31312</v>
      </c>
      <c r="U4775" s="2" t="s">
        <v>266</v>
      </c>
      <c r="V4775" s="2" t="s">
        <v>2143</v>
      </c>
      <c r="W4775" s="2" t="s">
        <v>24472</v>
      </c>
      <c r="X4775" s="2" t="s">
        <v>83</v>
      </c>
      <c r="Y4775" s="2">
        <v>39.799999999999997</v>
      </c>
      <c r="Z4775" s="2">
        <v>2.1499999999999998E-2</v>
      </c>
      <c r="AA4775" s="2" t="s">
        <v>512</v>
      </c>
      <c r="AB4775" s="2" t="s">
        <v>31313</v>
      </c>
      <c r="AC4775" s="2">
        <v>-0.69701595462719701</v>
      </c>
      <c r="AD4775" s="2"/>
      <c r="AE4775" s="2">
        <v>7.0981044521285494E-2</v>
      </c>
      <c r="AF4775" s="2">
        <v>445.51870538181402</v>
      </c>
      <c r="AG4775" s="2">
        <v>1434.85670866645</v>
      </c>
      <c r="AH4775" s="4">
        <v>0.31049700133184499</v>
      </c>
      <c r="AI4775" s="4">
        <v>-1.68734875940317</v>
      </c>
      <c r="AJ4775" s="4" t="s">
        <v>62</v>
      </c>
      <c r="AK4775" s="2">
        <v>0.46011516142174902</v>
      </c>
      <c r="AL4775" s="2">
        <v>0.71027137632889303</v>
      </c>
      <c r="AM4775" s="2">
        <v>868.26328215199999</v>
      </c>
      <c r="AN4775" s="2">
        <v>723.57362432293905</v>
      </c>
      <c r="AO4775" s="2">
        <v>721.804637781976</v>
      </c>
      <c r="AP4775" s="2">
        <v>8.559877937157E-6</v>
      </c>
      <c r="AQ4775" s="2">
        <v>302.57408726448602</v>
      </c>
      <c r="AR4775" s="2">
        <v>56.896592209604499</v>
      </c>
      <c r="AS4775" s="2">
        <v>136.439805259667</v>
      </c>
      <c r="AT4775" s="2">
        <v>108.044790243454</v>
      </c>
      <c r="AU4775" s="2">
        <v>7825.3403677301103</v>
      </c>
      <c r="AV4775" s="2">
        <v>113.14785985729399</v>
      </c>
      <c r="AW4775" s="2">
        <v>348.19025333255001</v>
      </c>
      <c r="AX4775" s="2">
        <v>77.977175575632799</v>
      </c>
    </row>
    <row r="4776" spans="1:50" x14ac:dyDescent="0.25">
      <c r="A4776" s="2" t="s">
        <v>31314</v>
      </c>
      <c r="B4776" s="2">
        <v>176.04110938011499</v>
      </c>
      <c r="C4776" s="2">
        <v>0.69773333333333298</v>
      </c>
      <c r="D4776" s="2" t="s">
        <v>51</v>
      </c>
      <c r="E4776" s="2" t="s">
        <v>31315</v>
      </c>
      <c r="F4776" s="2">
        <v>267348</v>
      </c>
      <c r="G4776" s="3" t="str">
        <f>HYPERLINK("https://cloud.oebiotech.com/#/lm/network/267348", "https://cloud.oebiotech.com/#/lm/network/267348")</f>
        <v>https://cloud.oebiotech.com/#/lm/network/267348</v>
      </c>
      <c r="H4776" s="2"/>
      <c r="I4776" s="2">
        <v>45304</v>
      </c>
      <c r="J4776" s="2"/>
      <c r="K4776" s="2">
        <v>338037</v>
      </c>
      <c r="L4776" s="2"/>
      <c r="M4776" s="2"/>
      <c r="N4776" s="2"/>
      <c r="O4776" s="2"/>
      <c r="P4776" s="2"/>
      <c r="Q4776" s="2"/>
      <c r="R4776" s="2" t="s">
        <v>31316</v>
      </c>
      <c r="S4776" s="2" t="s">
        <v>31317</v>
      </c>
      <c r="T4776" s="2" t="s">
        <v>31318</v>
      </c>
      <c r="U4776" s="2" t="s">
        <v>610</v>
      </c>
      <c r="V4776" s="2" t="s">
        <v>611</v>
      </c>
      <c r="W4776" s="2" t="s">
        <v>240</v>
      </c>
      <c r="X4776" s="2" t="s">
        <v>147</v>
      </c>
      <c r="Y4776" s="2">
        <v>36.9</v>
      </c>
      <c r="Z4776" s="2">
        <v>0</v>
      </c>
      <c r="AA4776" s="2" t="s">
        <v>122</v>
      </c>
      <c r="AB4776" s="2" t="s">
        <v>31319</v>
      </c>
      <c r="AC4776" s="2">
        <v>1.6474244786211001</v>
      </c>
      <c r="AD4776" s="2"/>
      <c r="AE4776" s="2">
        <v>7.0925540928252206E-2</v>
      </c>
      <c r="AF4776" s="2">
        <v>6042.6464943819401</v>
      </c>
      <c r="AG4776" s="2">
        <v>5261.1634738469002</v>
      </c>
      <c r="AH4776" s="5">
        <v>1.1485380609098701</v>
      </c>
      <c r="AI4776" s="5">
        <v>0.19979866635979299</v>
      </c>
      <c r="AJ4776" s="5" t="s">
        <v>139</v>
      </c>
      <c r="AK4776" s="2">
        <v>0.76352758330525905</v>
      </c>
      <c r="AL4776" s="2">
        <v>0.89233912008317295</v>
      </c>
      <c r="AM4776" s="2">
        <v>5990.5223747070404</v>
      </c>
      <c r="AN4776" s="2">
        <v>8299.9104091972604</v>
      </c>
      <c r="AO4776" s="2">
        <v>2395.57936687766</v>
      </c>
      <c r="AP4776" s="2">
        <v>7247.9443645587799</v>
      </c>
      <c r="AQ4776" s="2">
        <v>3397.81949125455</v>
      </c>
      <c r="AR4776" s="2">
        <v>8924.1029596963508</v>
      </c>
      <c r="AS4776" s="2">
        <v>716.552322525151</v>
      </c>
      <c r="AT4776" s="2">
        <v>2939.4486018266002</v>
      </c>
      <c r="AU4776" s="2">
        <v>9014.9301246891791</v>
      </c>
      <c r="AV4776" s="2">
        <v>4269.5022327065699</v>
      </c>
      <c r="AW4776" s="2">
        <v>8.559877937157E-6</v>
      </c>
      <c r="AX4776" s="2">
        <v>14626.547552774</v>
      </c>
    </row>
    <row r="4777" spans="1:50" x14ac:dyDescent="0.25">
      <c r="A4777" s="2" t="s">
        <v>31320</v>
      </c>
      <c r="B4777" s="2">
        <v>241.18066316156501</v>
      </c>
      <c r="C4777" s="2">
        <v>10.1415333333333</v>
      </c>
      <c r="D4777" s="2" t="s">
        <v>51</v>
      </c>
      <c r="E4777" s="2" t="s">
        <v>31321</v>
      </c>
      <c r="F4777" s="2">
        <v>59961</v>
      </c>
      <c r="G4777" s="3" t="str">
        <f>HYPERLINK("https://cloud.oebiotech.com/#/lm/network/59961", "https://cloud.oebiotech.com/#/lm/network/59961")</f>
        <v>https://cloud.oebiotech.com/#/lm/network/59961</v>
      </c>
      <c r="H4777" s="2" t="s">
        <v>31322</v>
      </c>
      <c r="I4777" s="2">
        <v>91321</v>
      </c>
      <c r="J4777" s="2"/>
      <c r="K4777" s="2">
        <v>579336</v>
      </c>
      <c r="L4777" s="2"/>
      <c r="M4777" s="2"/>
      <c r="N4777" s="2"/>
      <c r="O4777" s="2"/>
      <c r="P4777" s="2"/>
      <c r="Q4777" s="2"/>
      <c r="R4777" s="2" t="s">
        <v>31323</v>
      </c>
      <c r="S4777" s="2" t="s">
        <v>31324</v>
      </c>
      <c r="T4777" s="2" t="s">
        <v>31325</v>
      </c>
      <c r="U4777" s="2" t="s">
        <v>56</v>
      </c>
      <c r="V4777" s="2" t="s">
        <v>177</v>
      </c>
      <c r="W4777" s="2" t="s">
        <v>1996</v>
      </c>
      <c r="X4777" s="2" t="s">
        <v>83</v>
      </c>
      <c r="Y4777" s="2">
        <v>42.8</v>
      </c>
      <c r="Z4777" s="2">
        <v>0</v>
      </c>
      <c r="AA4777" s="2" t="s">
        <v>218</v>
      </c>
      <c r="AB4777" s="2" t="s">
        <v>27989</v>
      </c>
      <c r="AC4777" s="2">
        <v>-1.3003065785618499</v>
      </c>
      <c r="AD4777" s="2"/>
      <c r="AE4777" s="2">
        <v>7.0831730654144595E-2</v>
      </c>
      <c r="AF4777" s="2">
        <v>2967.5168880721999</v>
      </c>
      <c r="AG4777" s="2">
        <v>2473.0284951285198</v>
      </c>
      <c r="AH4777" s="5">
        <v>1.19995256581869</v>
      </c>
      <c r="AI4777" s="5">
        <v>0.26297737715820801</v>
      </c>
      <c r="AJ4777" s="5" t="s">
        <v>139</v>
      </c>
      <c r="AK4777" s="2">
        <v>0.32690278465681999</v>
      </c>
      <c r="AL4777" s="2">
        <v>0.62992073899545697</v>
      </c>
      <c r="AM4777" s="2">
        <v>2657.81720763661</v>
      </c>
      <c r="AN4777" s="2">
        <v>2024.3087785612499</v>
      </c>
      <c r="AO4777" s="2">
        <v>2130.5103146982101</v>
      </c>
      <c r="AP4777" s="2">
        <v>3191.88212015615</v>
      </c>
      <c r="AQ4777" s="2">
        <v>3148.7118859820698</v>
      </c>
      <c r="AR4777" s="2">
        <v>4651.8710213989398</v>
      </c>
      <c r="AS4777" s="2">
        <v>1641.6544482034101</v>
      </c>
      <c r="AT4777" s="2">
        <v>2716.26002344883</v>
      </c>
      <c r="AU4777" s="2">
        <v>2308.1771910816501</v>
      </c>
      <c r="AV4777" s="2">
        <v>2304.3319691842898</v>
      </c>
      <c r="AW4777" s="2">
        <v>3663.9792279909998</v>
      </c>
      <c r="AX4777" s="2">
        <v>2203.7681108619199</v>
      </c>
    </row>
    <row r="4778" spans="1:50" x14ac:dyDescent="0.25">
      <c r="A4778" s="2" t="s">
        <v>31326</v>
      </c>
      <c r="B4778" s="2">
        <v>461.291846559764</v>
      </c>
      <c r="C4778" s="2">
        <v>9.9705999999999992</v>
      </c>
      <c r="D4778" s="2" t="s">
        <v>51</v>
      </c>
      <c r="E4778" s="2" t="s">
        <v>31327</v>
      </c>
      <c r="F4778" s="2">
        <v>56361</v>
      </c>
      <c r="G4778" s="3" t="str">
        <f>HYPERLINK("https://cloud.oebiotech.com/#/lm/network/56361", "https://cloud.oebiotech.com/#/lm/network/56361")</f>
        <v>https://cloud.oebiotech.com/#/lm/network/56361</v>
      </c>
      <c r="H4778" s="2" t="s">
        <v>31328</v>
      </c>
      <c r="I4778" s="2">
        <v>88013</v>
      </c>
      <c r="J4778" s="2"/>
      <c r="K4778" s="2">
        <v>9912965</v>
      </c>
      <c r="L4778" s="2"/>
      <c r="M4778" s="2"/>
      <c r="N4778" s="2"/>
      <c r="O4778" s="2">
        <v>176162</v>
      </c>
      <c r="P4778" s="2"/>
      <c r="Q4778" s="2"/>
      <c r="R4778" s="2" t="s">
        <v>31329</v>
      </c>
      <c r="S4778" s="2" t="s">
        <v>31330</v>
      </c>
      <c r="T4778" s="2" t="s">
        <v>31331</v>
      </c>
      <c r="U4778" s="2" t="s">
        <v>56</v>
      </c>
      <c r="V4778" s="2" t="s">
        <v>177</v>
      </c>
      <c r="W4778" s="2" t="s">
        <v>178</v>
      </c>
      <c r="X4778" s="2" t="s">
        <v>83</v>
      </c>
      <c r="Y4778" s="2">
        <v>42.4</v>
      </c>
      <c r="Z4778" s="2">
        <v>0</v>
      </c>
      <c r="AA4778" s="2" t="s">
        <v>156</v>
      </c>
      <c r="AB4778" s="2" t="s">
        <v>7733</v>
      </c>
      <c r="AC4778" s="2">
        <v>4.3511522645555596</v>
      </c>
      <c r="AD4778" s="2"/>
      <c r="AE4778" s="2">
        <v>7.0735652812609906E-2</v>
      </c>
      <c r="AF4778" s="2">
        <v>1362.99651401903</v>
      </c>
      <c r="AG4778" s="2">
        <v>883.59867678177</v>
      </c>
      <c r="AH4778" s="5">
        <v>1.5425515563053001</v>
      </c>
      <c r="AI4778" s="5">
        <v>0.62531870900709596</v>
      </c>
      <c r="AJ4778" s="5" t="s">
        <v>139</v>
      </c>
      <c r="AK4778" s="2">
        <v>0.47012990517160402</v>
      </c>
      <c r="AL4778" s="2">
        <v>0.71696923889129505</v>
      </c>
      <c r="AM4778" s="2">
        <v>1497.20656982063</v>
      </c>
      <c r="AN4778" s="2">
        <v>2582.3183302569701</v>
      </c>
      <c r="AO4778" s="2">
        <v>361.13425888087698</v>
      </c>
      <c r="AP4778" s="2">
        <v>1618.0571495079701</v>
      </c>
      <c r="AQ4778" s="2">
        <v>1721.5410647215199</v>
      </c>
      <c r="AR4778" s="2">
        <v>397.72171092618999</v>
      </c>
      <c r="AS4778" s="2">
        <v>3472.4158727938002</v>
      </c>
      <c r="AT4778" s="2">
        <v>8.559877937157E-6</v>
      </c>
      <c r="AU4778" s="2">
        <v>792.76896294912899</v>
      </c>
      <c r="AV4778" s="2">
        <v>1.2104603225779401E-3</v>
      </c>
      <c r="AW4778" s="2">
        <v>693.98681038655002</v>
      </c>
      <c r="AX4778" s="2">
        <v>342.41919554094</v>
      </c>
    </row>
    <row r="4779" spans="1:50" x14ac:dyDescent="0.25">
      <c r="A4779" s="2" t="s">
        <v>31332</v>
      </c>
      <c r="B4779" s="2">
        <v>377.234392679385</v>
      </c>
      <c r="C4779" s="2">
        <v>4.7703666666666704</v>
      </c>
      <c r="D4779" s="2" t="s">
        <v>51</v>
      </c>
      <c r="E4779" s="2" t="s">
        <v>31333</v>
      </c>
      <c r="F4779" s="2">
        <v>208029</v>
      </c>
      <c r="G4779" s="3" t="str">
        <f>HYPERLINK("https://cloud.oebiotech.com/#/lm/network/208029", "https://cloud.oebiotech.com/#/lm/network/208029")</f>
        <v>https://cloud.oebiotech.com/#/lm/network/208029</v>
      </c>
      <c r="H4779" s="2" t="s">
        <v>31334</v>
      </c>
      <c r="I4779" s="2"/>
      <c r="J4779" s="2"/>
      <c r="K4779" s="2">
        <v>18795642</v>
      </c>
      <c r="L4779" s="2"/>
      <c r="M4779" s="2"/>
      <c r="N4779" s="2"/>
      <c r="O4779" s="2"/>
      <c r="P4779" s="2"/>
      <c r="Q4779" s="2"/>
      <c r="R4779" s="2"/>
      <c r="S4779" s="2" t="s">
        <v>31335</v>
      </c>
      <c r="T4779" s="2" t="s">
        <v>31336</v>
      </c>
      <c r="U4779" s="2" t="s">
        <v>56</v>
      </c>
      <c r="V4779" s="2" t="s">
        <v>283</v>
      </c>
      <c r="W4779" s="2" t="s">
        <v>284</v>
      </c>
      <c r="X4779" s="2" t="s">
        <v>147</v>
      </c>
      <c r="Y4779" s="2">
        <v>37.200000000000003</v>
      </c>
      <c r="Z4779" s="2">
        <v>0.31900000000000001</v>
      </c>
      <c r="AA4779" s="2" t="s">
        <v>122</v>
      </c>
      <c r="AB4779" s="2" t="s">
        <v>31337</v>
      </c>
      <c r="AC4779" s="2">
        <v>-2.8805845822997802</v>
      </c>
      <c r="AD4779" s="2"/>
      <c r="AE4779" s="2">
        <v>7.0697298220504801E-2</v>
      </c>
      <c r="AF4779" s="2">
        <v>602.79754953835595</v>
      </c>
      <c r="AG4779" s="2">
        <v>203.04244635616399</v>
      </c>
      <c r="AH4779" s="5">
        <v>2.9688252892745699</v>
      </c>
      <c r="AI4779" s="5">
        <v>1.56989219547562</v>
      </c>
      <c r="AJ4779" s="5" t="s">
        <v>139</v>
      </c>
      <c r="AK4779" s="2">
        <v>0.28524391037920899</v>
      </c>
      <c r="AL4779" s="2">
        <v>0.60031658841593905</v>
      </c>
      <c r="AM4779" s="2">
        <v>8.559877937157E-6</v>
      </c>
      <c r="AN4779" s="2">
        <v>8.559877937157E-6</v>
      </c>
      <c r="AO4779" s="2">
        <v>126.12278879670799</v>
      </c>
      <c r="AP4779" s="2">
        <v>1136.8012610021501</v>
      </c>
      <c r="AQ4779" s="2">
        <v>1904.3837539687199</v>
      </c>
      <c r="AR4779" s="2">
        <v>449.4774763428</v>
      </c>
      <c r="AS4779" s="2">
        <v>8.559877937157E-6</v>
      </c>
      <c r="AT4779" s="2">
        <v>1002.5364631531399</v>
      </c>
      <c r="AU4779" s="2">
        <v>8.559877937157E-6</v>
      </c>
      <c r="AV4779" s="2">
        <v>8.559877937157E-6</v>
      </c>
      <c r="AW4779" s="2">
        <v>8.559877937157E-6</v>
      </c>
      <c r="AX4779" s="2">
        <v>215.71818074433401</v>
      </c>
    </row>
    <row r="4780" spans="1:50" x14ac:dyDescent="0.25">
      <c r="A4780" s="2" t="s">
        <v>31338</v>
      </c>
      <c r="B4780" s="2">
        <v>209.117934201878</v>
      </c>
      <c r="C4780" s="2">
        <v>9.0521333333333303</v>
      </c>
      <c r="D4780" s="2" t="s">
        <v>51</v>
      </c>
      <c r="E4780" s="2" t="s">
        <v>31339</v>
      </c>
      <c r="F4780" s="2">
        <v>63434</v>
      </c>
      <c r="G4780" s="3" t="str">
        <f>HYPERLINK("https://cloud.oebiotech.com/#/lm/network/63434", "https://cloud.oebiotech.com/#/lm/network/63434")</f>
        <v>https://cloud.oebiotech.com/#/lm/network/63434</v>
      </c>
      <c r="H4780" s="2" t="s">
        <v>31340</v>
      </c>
      <c r="I4780" s="2">
        <v>94756</v>
      </c>
      <c r="J4780" s="2"/>
      <c r="K4780" s="2">
        <v>6874</v>
      </c>
      <c r="L4780" s="2"/>
      <c r="M4780" s="2"/>
      <c r="N4780" s="2"/>
      <c r="O4780" s="2"/>
      <c r="P4780" s="2"/>
      <c r="Q4780" s="2"/>
      <c r="R4780" s="2" t="s">
        <v>31341</v>
      </c>
      <c r="S4780" s="2" t="s">
        <v>31342</v>
      </c>
      <c r="T4780" s="2" t="s">
        <v>31343</v>
      </c>
      <c r="U4780" s="2" t="s">
        <v>610</v>
      </c>
      <c r="V4780" s="2" t="s">
        <v>611</v>
      </c>
      <c r="W4780" s="2" t="s">
        <v>1122</v>
      </c>
      <c r="X4780" s="2" t="s">
        <v>69</v>
      </c>
      <c r="Y4780" s="2">
        <v>72.900000000000006</v>
      </c>
      <c r="Z4780" s="2">
        <v>96.6</v>
      </c>
      <c r="AA4780" s="2" t="s">
        <v>259</v>
      </c>
      <c r="AB4780" s="2" t="s">
        <v>2604</v>
      </c>
      <c r="AC4780" s="2">
        <v>3.4279864930450801</v>
      </c>
      <c r="AD4780" s="2"/>
      <c r="AE4780" s="2">
        <v>7.0697143315581606E-2</v>
      </c>
      <c r="AF4780" s="2">
        <v>16759.064085698999</v>
      </c>
      <c r="AG4780" s="2">
        <v>15526.5264572411</v>
      </c>
      <c r="AH4780" s="5">
        <v>1.07938270236117</v>
      </c>
      <c r="AI4780" s="5">
        <v>0.110206472710643</v>
      </c>
      <c r="AJ4780" s="5" t="s">
        <v>139</v>
      </c>
      <c r="AK4780" s="2">
        <v>0.74304097696726601</v>
      </c>
      <c r="AL4780" s="2">
        <v>0.88262853116149298</v>
      </c>
      <c r="AM4780" s="2">
        <v>13323.9290051555</v>
      </c>
      <c r="AN4780" s="2">
        <v>25544.468942763</v>
      </c>
      <c r="AO4780" s="2">
        <v>11518.1318160926</v>
      </c>
      <c r="AP4780" s="2">
        <v>15275.631460517199</v>
      </c>
      <c r="AQ4780" s="2">
        <v>9903.6896281631798</v>
      </c>
      <c r="AR4780" s="2">
        <v>24988.533661502799</v>
      </c>
      <c r="AS4780" s="2">
        <v>13301.960577150399</v>
      </c>
      <c r="AT4780" s="2">
        <v>13518.2575715856</v>
      </c>
      <c r="AU4780" s="2">
        <v>17133.6226031796</v>
      </c>
      <c r="AV4780" s="2">
        <v>13423.306081103099</v>
      </c>
      <c r="AW4780" s="2">
        <v>26275.970290764701</v>
      </c>
      <c r="AX4780" s="2">
        <v>9506.0416196631304</v>
      </c>
    </row>
    <row r="4781" spans="1:50" x14ac:dyDescent="0.25">
      <c r="A4781" s="2" t="s">
        <v>31344</v>
      </c>
      <c r="B4781" s="2">
        <v>103.016422248532</v>
      </c>
      <c r="C4781" s="2">
        <v>14.8427666666667</v>
      </c>
      <c r="D4781" s="2" t="s">
        <v>51</v>
      </c>
      <c r="E4781" s="2" t="s">
        <v>31345</v>
      </c>
      <c r="F4781" s="2">
        <v>207762</v>
      </c>
      <c r="G4781" s="3" t="str">
        <f>HYPERLINK("https://cloud.oebiotech.com/#/lm/network/207762", "https://cloud.oebiotech.com/#/lm/network/207762")</f>
        <v>https://cloud.oebiotech.com/#/lm/network/207762</v>
      </c>
      <c r="H4781" s="2" t="s">
        <v>31346</v>
      </c>
      <c r="I4781" s="2"/>
      <c r="J4781" s="2"/>
      <c r="K4781" s="2">
        <v>66601537</v>
      </c>
      <c r="L4781" s="2"/>
      <c r="M4781" s="2"/>
      <c r="N4781" s="2"/>
      <c r="O4781" s="2"/>
      <c r="P4781" s="2"/>
      <c r="Q4781" s="2"/>
      <c r="R4781" s="2"/>
      <c r="S4781" s="2" t="s">
        <v>31347</v>
      </c>
      <c r="T4781" s="2" t="s">
        <v>31348</v>
      </c>
      <c r="U4781" s="2" t="s">
        <v>266</v>
      </c>
      <c r="V4781" s="2" t="s">
        <v>31349</v>
      </c>
      <c r="W4781" s="2" t="s">
        <v>240</v>
      </c>
      <c r="X4781" s="2" t="s">
        <v>147</v>
      </c>
      <c r="Y4781" s="2">
        <v>38.6</v>
      </c>
      <c r="Z4781" s="2">
        <v>0</v>
      </c>
      <c r="AA4781" s="2" t="s">
        <v>379</v>
      </c>
      <c r="AB4781" s="2" t="s">
        <v>31350</v>
      </c>
      <c r="AC4781" s="2">
        <v>1.38711720561783</v>
      </c>
      <c r="AD4781" s="2"/>
      <c r="AE4781" s="2">
        <v>7.0610174009271595E-2</v>
      </c>
      <c r="AF4781" s="2">
        <v>1633.2437134373099</v>
      </c>
      <c r="AG4781" s="2">
        <v>1373.6813172028701</v>
      </c>
      <c r="AH4781" s="5">
        <v>1.18895386650739</v>
      </c>
      <c r="AI4781" s="5">
        <v>0.24969273707495199</v>
      </c>
      <c r="AJ4781" s="5" t="s">
        <v>139</v>
      </c>
      <c r="AK4781" s="2">
        <v>0.27452897561038703</v>
      </c>
      <c r="AL4781" s="2">
        <v>0.59452451187415001</v>
      </c>
      <c r="AM4781" s="2">
        <v>1345.5354863437301</v>
      </c>
      <c r="AN4781" s="2">
        <v>1663.4227071079599</v>
      </c>
      <c r="AO4781" s="2">
        <v>1566.56126154143</v>
      </c>
      <c r="AP4781" s="2">
        <v>1690.1881796565599</v>
      </c>
      <c r="AQ4781" s="2">
        <v>1974.6172558241201</v>
      </c>
      <c r="AR4781" s="2">
        <v>1559.1373901500699</v>
      </c>
      <c r="AS4781" s="2">
        <v>2083.0850123741998</v>
      </c>
      <c r="AT4781" s="2">
        <v>1926.80870136569</v>
      </c>
      <c r="AU4781" s="2">
        <v>1301.3465011206899</v>
      </c>
      <c r="AV4781" s="2">
        <v>1062.3834011433701</v>
      </c>
      <c r="AW4781" s="2">
        <v>960.14370371692405</v>
      </c>
      <c r="AX4781" s="2">
        <v>908.32058349631995</v>
      </c>
    </row>
    <row r="4782" spans="1:50" x14ac:dyDescent="0.25">
      <c r="A4782" s="2" t="s">
        <v>31351</v>
      </c>
      <c r="B4782" s="2">
        <v>202.14441213386399</v>
      </c>
      <c r="C4782" s="2">
        <v>6.1879499999999998</v>
      </c>
      <c r="D4782" s="2" t="s">
        <v>51</v>
      </c>
      <c r="E4782" s="2" t="s">
        <v>31352</v>
      </c>
      <c r="F4782" s="2">
        <v>7860</v>
      </c>
      <c r="G4782" s="3" t="str">
        <f>HYPERLINK("https://cloud.oebiotech.com/#/lm/network/7860", "https://cloud.oebiotech.com/#/lm/network/7860")</f>
        <v>https://cloud.oebiotech.com/#/lm/network/7860</v>
      </c>
      <c r="H4782" s="2"/>
      <c r="I4782" s="2"/>
      <c r="J4782" s="2" t="s">
        <v>31353</v>
      </c>
      <c r="K4782" s="2"/>
      <c r="L4782" s="2"/>
      <c r="M4782" s="2"/>
      <c r="N4782" s="2"/>
      <c r="O4782" s="2"/>
      <c r="P4782" s="2"/>
      <c r="Q4782" s="2"/>
      <c r="R4782" s="2"/>
      <c r="S4782" s="2" t="s">
        <v>31354</v>
      </c>
      <c r="T4782" s="2" t="s">
        <v>31355</v>
      </c>
      <c r="U4782" s="2" t="s">
        <v>266</v>
      </c>
      <c r="V4782" s="2" t="s">
        <v>11698</v>
      </c>
      <c r="W4782" s="2" t="s">
        <v>11699</v>
      </c>
      <c r="X4782" s="2" t="s">
        <v>83</v>
      </c>
      <c r="Y4782" s="2">
        <v>39.9</v>
      </c>
      <c r="Z4782" s="2">
        <v>0</v>
      </c>
      <c r="AA4782" s="2" t="s">
        <v>512</v>
      </c>
      <c r="AB4782" s="2" t="s">
        <v>8172</v>
      </c>
      <c r="AC4782" s="2">
        <v>3.4883073079690901</v>
      </c>
      <c r="AD4782" s="2"/>
      <c r="AE4782" s="2">
        <v>7.05665345317424E-2</v>
      </c>
      <c r="AF4782" s="2">
        <v>1584.57571289878</v>
      </c>
      <c r="AG4782" s="2">
        <v>1419.3368942724001</v>
      </c>
      <c r="AH4782" s="5">
        <v>1.1164197304341099</v>
      </c>
      <c r="AI4782" s="5">
        <v>0.15887952642445999</v>
      </c>
      <c r="AJ4782" s="5" t="s">
        <v>139</v>
      </c>
      <c r="AK4782" s="2">
        <v>0.16239095734574199</v>
      </c>
      <c r="AL4782" s="2">
        <v>0.48399353100485398</v>
      </c>
      <c r="AM4782" s="2">
        <v>1417.0256498798999</v>
      </c>
      <c r="AN4782" s="2">
        <v>1890.7380678474301</v>
      </c>
      <c r="AO4782" s="2">
        <v>1680.6409481349399</v>
      </c>
      <c r="AP4782" s="2">
        <v>1523.38714158683</v>
      </c>
      <c r="AQ4782" s="2">
        <v>1410.21934694383</v>
      </c>
      <c r="AR4782" s="2">
        <v>1585.4431229997699</v>
      </c>
      <c r="AS4782" s="2">
        <v>1544.8956903399301</v>
      </c>
      <c r="AT4782" s="2">
        <v>1608.55582239819</v>
      </c>
      <c r="AU4782" s="2">
        <v>1460.9969546361101</v>
      </c>
      <c r="AV4782" s="2">
        <v>1047.58755198985</v>
      </c>
      <c r="AW4782" s="2">
        <v>1467.1862205586101</v>
      </c>
      <c r="AX4782" s="2">
        <v>1386.7991257117201</v>
      </c>
    </row>
    <row r="4783" spans="1:50" x14ac:dyDescent="0.25">
      <c r="A4783" s="2" t="s">
        <v>31356</v>
      </c>
      <c r="B4783" s="2">
        <v>353.14267505373402</v>
      </c>
      <c r="C4783" s="2">
        <v>12.4242833333333</v>
      </c>
      <c r="D4783" s="2" t="s">
        <v>51</v>
      </c>
      <c r="E4783" s="2" t="s">
        <v>31357</v>
      </c>
      <c r="F4783" s="2">
        <v>51960</v>
      </c>
      <c r="G4783" s="3" t="str">
        <f>HYPERLINK("https://cloud.oebiotech.com/#/lm/network/51960", "https://cloud.oebiotech.com/#/lm/network/51960")</f>
        <v>https://cloud.oebiotech.com/#/lm/network/51960</v>
      </c>
      <c r="H4783" s="2" t="s">
        <v>31358</v>
      </c>
      <c r="I4783" s="2"/>
      <c r="J4783" s="2"/>
      <c r="K4783" s="2">
        <v>21126175</v>
      </c>
      <c r="L4783" s="2"/>
      <c r="M4783" s="2"/>
      <c r="N4783" s="2"/>
      <c r="O4783" s="2"/>
      <c r="P4783" s="2"/>
      <c r="Q4783" s="2"/>
      <c r="R4783" s="2" t="s">
        <v>31359</v>
      </c>
      <c r="S4783" s="2" t="s">
        <v>31360</v>
      </c>
      <c r="T4783" s="2" t="s">
        <v>31361</v>
      </c>
      <c r="U4783" s="2" t="s">
        <v>103</v>
      </c>
      <c r="V4783" s="2" t="s">
        <v>104</v>
      </c>
      <c r="W4783" s="2" t="s">
        <v>105</v>
      </c>
      <c r="X4783" s="2" t="s">
        <v>147</v>
      </c>
      <c r="Y4783" s="2">
        <v>40</v>
      </c>
      <c r="Z4783" s="2">
        <v>15.1</v>
      </c>
      <c r="AA4783" s="2" t="s">
        <v>478</v>
      </c>
      <c r="AB4783" s="2" t="s">
        <v>31362</v>
      </c>
      <c r="AC4783" s="2">
        <v>0.112367425098195</v>
      </c>
      <c r="AD4783" s="2"/>
      <c r="AE4783" s="2">
        <v>7.0511402396194398E-2</v>
      </c>
      <c r="AF4783" s="2">
        <v>53783.133321842797</v>
      </c>
      <c r="AG4783" s="2">
        <v>54712.167055075399</v>
      </c>
      <c r="AH4783" s="4">
        <v>0.98301961367573998</v>
      </c>
      <c r="AI4783" s="4">
        <v>-2.4707892695434601E-2</v>
      </c>
      <c r="AJ4783" s="4" t="s">
        <v>62</v>
      </c>
      <c r="AK4783" s="2">
        <v>0.970719780606903</v>
      </c>
      <c r="AL4783" s="2">
        <v>0.98915546194842796</v>
      </c>
      <c r="AM4783" s="2">
        <v>46601.955642290697</v>
      </c>
      <c r="AN4783" s="2">
        <v>23811.089284902901</v>
      </c>
      <c r="AO4783" s="2">
        <v>104524.69314092099</v>
      </c>
      <c r="AP4783" s="2">
        <v>24035.178570195301</v>
      </c>
      <c r="AQ4783" s="2">
        <v>91055.2672921091</v>
      </c>
      <c r="AR4783" s="2">
        <v>32670.616000637601</v>
      </c>
      <c r="AS4783" s="2">
        <v>50004.610669779198</v>
      </c>
      <c r="AT4783" s="2">
        <v>13591.3413470334</v>
      </c>
      <c r="AU4783" s="2">
        <v>150097.83959600399</v>
      </c>
      <c r="AV4783" s="2">
        <v>41466.770791612398</v>
      </c>
      <c r="AW4783" s="2">
        <v>50534.0183364736</v>
      </c>
      <c r="AX4783" s="2">
        <v>22578.421589549798</v>
      </c>
    </row>
    <row r="4784" spans="1:50" x14ac:dyDescent="0.25">
      <c r="A4784" s="2" t="s">
        <v>31363</v>
      </c>
      <c r="B4784" s="2">
        <v>341.21226670904298</v>
      </c>
      <c r="C4784" s="2">
        <v>11.528283333333301</v>
      </c>
      <c r="D4784" s="2" t="s">
        <v>51</v>
      </c>
      <c r="E4784" s="2" t="s">
        <v>31364</v>
      </c>
      <c r="F4784" s="2">
        <v>83513</v>
      </c>
      <c r="G4784" s="3" t="str">
        <f>HYPERLINK("https://cloud.oebiotech.com/#/lm/network/83513", "https://cloud.oebiotech.com/#/lm/network/83513")</f>
        <v>https://cloud.oebiotech.com/#/lm/network/83513</v>
      </c>
      <c r="H4784" s="2" t="s">
        <v>31365</v>
      </c>
      <c r="I4784" s="2"/>
      <c r="J4784" s="2"/>
      <c r="K4784" s="2">
        <v>122391316</v>
      </c>
      <c r="L4784" s="2"/>
      <c r="M4784" s="2"/>
      <c r="N4784" s="2"/>
      <c r="O4784" s="2">
        <v>136657</v>
      </c>
      <c r="P4784" s="2"/>
      <c r="Q4784" s="2"/>
      <c r="R4784" s="2" t="s">
        <v>31366</v>
      </c>
      <c r="S4784" s="2" t="s">
        <v>31367</v>
      </c>
      <c r="T4784" s="2" t="s">
        <v>31368</v>
      </c>
      <c r="U4784" s="2" t="s">
        <v>56</v>
      </c>
      <c r="V4784" s="2" t="s">
        <v>145</v>
      </c>
      <c r="W4784" s="2" t="s">
        <v>231</v>
      </c>
      <c r="X4784" s="2" t="s">
        <v>83</v>
      </c>
      <c r="Y4784" s="2">
        <v>41.5</v>
      </c>
      <c r="Z4784" s="2">
        <v>0</v>
      </c>
      <c r="AA4784" s="2" t="s">
        <v>379</v>
      </c>
      <c r="AB4784" s="2" t="s">
        <v>1865</v>
      </c>
      <c r="AC4784" s="2">
        <v>0.13414916992757001</v>
      </c>
      <c r="AD4784" s="2"/>
      <c r="AE4784" s="2">
        <v>7.05074966039025E-2</v>
      </c>
      <c r="AF4784" s="2">
        <v>5069.6109065814499</v>
      </c>
      <c r="AG4784" s="2">
        <v>4500.1798832573404</v>
      </c>
      <c r="AH4784" s="5">
        <v>1.12653516928126</v>
      </c>
      <c r="AI4784" s="5">
        <v>0.17189235374702899</v>
      </c>
      <c r="AJ4784" s="5" t="s">
        <v>139</v>
      </c>
      <c r="AK4784" s="2">
        <v>0.63878576939979903</v>
      </c>
      <c r="AL4784" s="2">
        <v>0.82368076196457995</v>
      </c>
      <c r="AM4784" s="2">
        <v>6568.2335986176904</v>
      </c>
      <c r="AN4784" s="2">
        <v>3163.8719600024901</v>
      </c>
      <c r="AO4784" s="2">
        <v>5557.1877358391803</v>
      </c>
      <c r="AP4784" s="2">
        <v>6715.2013749873604</v>
      </c>
      <c r="AQ4784" s="2">
        <v>3736.84687352216</v>
      </c>
      <c r="AR4784" s="2">
        <v>4676.3238965197997</v>
      </c>
      <c r="AS4784" s="2">
        <v>2153.1402379812498</v>
      </c>
      <c r="AT4784" s="2">
        <v>6399.5473421072302</v>
      </c>
      <c r="AU4784" s="2">
        <v>2484.0054110548499</v>
      </c>
      <c r="AV4784" s="2">
        <v>8529.7943669689193</v>
      </c>
      <c r="AW4784" s="2">
        <v>3962.3333329616098</v>
      </c>
      <c r="AX4784" s="2">
        <v>3472.2586084701902</v>
      </c>
    </row>
    <row r="4785" spans="1:50" x14ac:dyDescent="0.25">
      <c r="A4785" s="2" t="s">
        <v>31369</v>
      </c>
      <c r="B4785" s="2">
        <v>463.32984034017102</v>
      </c>
      <c r="C4785" s="2">
        <v>9.7464666666666702</v>
      </c>
      <c r="D4785" s="2" t="s">
        <v>51</v>
      </c>
      <c r="E4785" s="2" t="s">
        <v>31370</v>
      </c>
      <c r="F4785" s="2">
        <v>198128</v>
      </c>
      <c r="G4785" s="3" t="str">
        <f>HYPERLINK("https://cloud.oebiotech.com/#/lm/network/198128", "https://cloud.oebiotech.com/#/lm/network/198128")</f>
        <v>https://cloud.oebiotech.com/#/lm/network/198128</v>
      </c>
      <c r="H4785" s="2" t="s">
        <v>31371</v>
      </c>
      <c r="I4785" s="2"/>
      <c r="J4785" s="2"/>
      <c r="K4785" s="2"/>
      <c r="L4785" s="2"/>
      <c r="M4785" s="2"/>
      <c r="N4785" s="2"/>
      <c r="O4785" s="2"/>
      <c r="P4785" s="2"/>
      <c r="Q4785" s="2"/>
      <c r="R4785" s="2"/>
      <c r="S4785" s="2" t="s">
        <v>31372</v>
      </c>
      <c r="T4785" s="2" t="s">
        <v>31373</v>
      </c>
      <c r="U4785" s="2" t="s">
        <v>56</v>
      </c>
      <c r="V4785" s="2" t="s">
        <v>145</v>
      </c>
      <c r="W4785" s="2" t="s">
        <v>1188</v>
      </c>
      <c r="X4785" s="2" t="s">
        <v>83</v>
      </c>
      <c r="Y4785" s="2">
        <v>39.5</v>
      </c>
      <c r="Z4785" s="2">
        <v>0</v>
      </c>
      <c r="AA4785" s="2" t="s">
        <v>122</v>
      </c>
      <c r="AB4785" s="2" t="s">
        <v>15185</v>
      </c>
      <c r="AC4785" s="2">
        <v>0.14394589880360201</v>
      </c>
      <c r="AD4785" s="2"/>
      <c r="AE4785" s="2">
        <v>7.0470956731343695E-2</v>
      </c>
      <c r="AF4785" s="2">
        <v>3183.50538255129</v>
      </c>
      <c r="AG4785" s="2">
        <v>3456.3547299573402</v>
      </c>
      <c r="AH4785" s="4">
        <v>0.92105863873254301</v>
      </c>
      <c r="AI4785" s="4">
        <v>-0.11863508719654101</v>
      </c>
      <c r="AJ4785" s="4" t="s">
        <v>62</v>
      </c>
      <c r="AK4785" s="2">
        <v>0.54986743443823105</v>
      </c>
      <c r="AL4785" s="2">
        <v>0.77171998913606199</v>
      </c>
      <c r="AM4785" s="2">
        <v>2529.9351471722998</v>
      </c>
      <c r="AN4785" s="2">
        <v>2696.0363349019399</v>
      </c>
      <c r="AO4785" s="2">
        <v>3708.0502595473599</v>
      </c>
      <c r="AP4785" s="2">
        <v>2122.38487381186</v>
      </c>
      <c r="AQ4785" s="2">
        <v>3533.7387261383301</v>
      </c>
      <c r="AR4785" s="2">
        <v>4510.8869537359597</v>
      </c>
      <c r="AS4785" s="2">
        <v>4426.5061060046401</v>
      </c>
      <c r="AT4785" s="2">
        <v>3296.42246221908</v>
      </c>
      <c r="AU4785" s="2">
        <v>2952.4129368848498</v>
      </c>
      <c r="AV4785" s="2">
        <v>3010.6902653040001</v>
      </c>
      <c r="AW4785" s="2">
        <v>4001.7636720516002</v>
      </c>
      <c r="AX4785" s="2">
        <v>3050.3329372798598</v>
      </c>
    </row>
    <row r="4786" spans="1:50" x14ac:dyDescent="0.25">
      <c r="A4786" s="2" t="s">
        <v>31374</v>
      </c>
      <c r="B4786" s="2">
        <v>147.04447702149699</v>
      </c>
      <c r="C4786" s="2">
        <v>3.8365666666666698</v>
      </c>
      <c r="D4786" s="2" t="s">
        <v>51</v>
      </c>
      <c r="E4786" s="2" t="s">
        <v>31375</v>
      </c>
      <c r="F4786" s="2">
        <v>200259</v>
      </c>
      <c r="G4786" s="3" t="str">
        <f>HYPERLINK("https://cloud.oebiotech.com/#/lm/network/200259", "https://cloud.oebiotech.com/#/lm/network/200259")</f>
        <v>https://cloud.oebiotech.com/#/lm/network/200259</v>
      </c>
      <c r="H4786" s="2" t="s">
        <v>31376</v>
      </c>
      <c r="I4786" s="2">
        <v>344265</v>
      </c>
      <c r="J4786" s="2"/>
      <c r="K4786" s="2">
        <v>74460</v>
      </c>
      <c r="L4786" s="2"/>
      <c r="M4786" s="2"/>
      <c r="N4786" s="2"/>
      <c r="O4786" s="2"/>
      <c r="P4786" s="2"/>
      <c r="Q4786" s="2"/>
      <c r="R4786" s="2"/>
      <c r="S4786" s="2" t="s">
        <v>31377</v>
      </c>
      <c r="T4786" s="2" t="s">
        <v>31378</v>
      </c>
      <c r="U4786" s="2" t="s">
        <v>266</v>
      </c>
      <c r="V4786" s="2" t="s">
        <v>1585</v>
      </c>
      <c r="W4786" s="2" t="s">
        <v>23124</v>
      </c>
      <c r="X4786" s="2" t="s">
        <v>147</v>
      </c>
      <c r="Y4786" s="2">
        <v>37.700000000000003</v>
      </c>
      <c r="Z4786" s="2">
        <v>0</v>
      </c>
      <c r="AA4786" s="2" t="s">
        <v>259</v>
      </c>
      <c r="AB4786" s="2" t="s">
        <v>31379</v>
      </c>
      <c r="AC4786" s="2">
        <v>-1.8120810448020099</v>
      </c>
      <c r="AD4786" s="2"/>
      <c r="AE4786" s="2">
        <v>7.0444987343648693E-2</v>
      </c>
      <c r="AF4786" s="2">
        <v>972.77905078858305</v>
      </c>
      <c r="AG4786" s="2">
        <v>827.42136531636902</v>
      </c>
      <c r="AH4786" s="5">
        <v>1.17567552829221</v>
      </c>
      <c r="AI4786" s="5">
        <v>0.233489949362579</v>
      </c>
      <c r="AJ4786" s="5" t="s">
        <v>139</v>
      </c>
      <c r="AK4786" s="2">
        <v>0.16912638551748399</v>
      </c>
      <c r="AL4786" s="2">
        <v>0.49098458663462602</v>
      </c>
      <c r="AM4786" s="2">
        <v>983.71576759760205</v>
      </c>
      <c r="AN4786" s="2">
        <v>1187.30318521812</v>
      </c>
      <c r="AO4786" s="2">
        <v>1117.7209166084499</v>
      </c>
      <c r="AP4786" s="2">
        <v>1024.1697418753199</v>
      </c>
      <c r="AQ4786" s="2">
        <v>921.87786591054498</v>
      </c>
      <c r="AR4786" s="2">
        <v>601.88682752146099</v>
      </c>
      <c r="AS4786" s="2">
        <v>779.70686704604395</v>
      </c>
      <c r="AT4786" s="2">
        <v>958.40763083988702</v>
      </c>
      <c r="AU4786" s="2">
        <v>872.85152493563101</v>
      </c>
      <c r="AV4786" s="2">
        <v>603.36393853633399</v>
      </c>
      <c r="AW4786" s="2">
        <v>909.58475114513794</v>
      </c>
      <c r="AX4786" s="2">
        <v>840.61347939517998</v>
      </c>
    </row>
    <row r="4787" spans="1:50" x14ac:dyDescent="0.25">
      <c r="A4787" s="2" t="s">
        <v>31380</v>
      </c>
      <c r="B4787" s="2">
        <v>235.097192743823</v>
      </c>
      <c r="C4787" s="2">
        <v>8.2502666666666702</v>
      </c>
      <c r="D4787" s="2" t="s">
        <v>51</v>
      </c>
      <c r="E4787" s="2" t="s">
        <v>31381</v>
      </c>
      <c r="F4787" s="2">
        <v>210550</v>
      </c>
      <c r="G4787" s="3" t="str">
        <f>HYPERLINK("https://cloud.oebiotech.com/#/lm/network/210550", "https://cloud.oebiotech.com/#/lm/network/210550")</f>
        <v>https://cloud.oebiotech.com/#/lm/network/210550</v>
      </c>
      <c r="H4787" s="2" t="s">
        <v>31382</v>
      </c>
      <c r="I4787" s="2">
        <v>67354</v>
      </c>
      <c r="J4787" s="2"/>
      <c r="K4787" s="2">
        <v>28619</v>
      </c>
      <c r="L4787" s="2" t="s">
        <v>31383</v>
      </c>
      <c r="M4787" s="2"/>
      <c r="N4787" s="2"/>
      <c r="O4787" s="2">
        <v>8368</v>
      </c>
      <c r="P4787" s="2"/>
      <c r="Q4787" s="2"/>
      <c r="R4787" s="2" t="s">
        <v>31384</v>
      </c>
      <c r="S4787" s="2" t="s">
        <v>31385</v>
      </c>
      <c r="T4787" s="2" t="s">
        <v>31386</v>
      </c>
      <c r="U4787" s="2" t="s">
        <v>266</v>
      </c>
      <c r="V4787" s="2" t="s">
        <v>1785</v>
      </c>
      <c r="W4787" s="2" t="s">
        <v>1786</v>
      </c>
      <c r="X4787" s="2" t="s">
        <v>147</v>
      </c>
      <c r="Y4787" s="2">
        <v>38.5</v>
      </c>
      <c r="Z4787" s="2">
        <v>0</v>
      </c>
      <c r="AA4787" s="2" t="s">
        <v>218</v>
      </c>
      <c r="AB4787" s="2" t="s">
        <v>31387</v>
      </c>
      <c r="AC4787" s="2">
        <v>-2.0505815283059801</v>
      </c>
      <c r="AD4787" s="2"/>
      <c r="AE4787" s="2">
        <v>7.0379729159698798E-2</v>
      </c>
      <c r="AF4787" s="2">
        <v>1017.643070867</v>
      </c>
      <c r="AG4787" s="2">
        <v>1256.3646143143901</v>
      </c>
      <c r="AH4787" s="4">
        <v>0.80999023633146106</v>
      </c>
      <c r="AI4787" s="4">
        <v>-0.30402357711365302</v>
      </c>
      <c r="AJ4787" s="4" t="s">
        <v>62</v>
      </c>
      <c r="AK4787" s="2">
        <v>0.229324091402551</v>
      </c>
      <c r="AL4787" s="2">
        <v>0.55435550922514198</v>
      </c>
      <c r="AM4787" s="2">
        <v>1114.6490368039399</v>
      </c>
      <c r="AN4787" s="2">
        <v>1351.2844139513199</v>
      </c>
      <c r="AO4787" s="2">
        <v>1083.28330783823</v>
      </c>
      <c r="AP4787" s="2">
        <v>1015.57901411507</v>
      </c>
      <c r="AQ4787" s="2">
        <v>1157.5043141556</v>
      </c>
      <c r="AR4787" s="2">
        <v>383.55833833782998</v>
      </c>
      <c r="AS4787" s="2">
        <v>1774.1302727350301</v>
      </c>
      <c r="AT4787" s="2">
        <v>969.95422831128099</v>
      </c>
      <c r="AU4787" s="2">
        <v>1090.0238946668801</v>
      </c>
      <c r="AV4787" s="2">
        <v>1348.1102923021699</v>
      </c>
      <c r="AW4787" s="2">
        <v>956.887572107751</v>
      </c>
      <c r="AX4787" s="2">
        <v>1399.0814257632301</v>
      </c>
    </row>
    <row r="4788" spans="1:50" x14ac:dyDescent="0.25">
      <c r="A4788" s="2" t="s">
        <v>31388</v>
      </c>
      <c r="B4788" s="2">
        <v>253.06690141080401</v>
      </c>
      <c r="C4788" s="2">
        <v>1.27196666666667</v>
      </c>
      <c r="D4788" s="2" t="s">
        <v>51</v>
      </c>
      <c r="E4788" s="2" t="s">
        <v>31389</v>
      </c>
      <c r="F4788" s="2">
        <v>208294</v>
      </c>
      <c r="G4788" s="3" t="str">
        <f>HYPERLINK("https://cloud.oebiotech.com/#/lm/network/208294", "https://cloud.oebiotech.com/#/lm/network/208294")</f>
        <v>https://cloud.oebiotech.com/#/lm/network/208294</v>
      </c>
      <c r="H4788" s="2" t="s">
        <v>31390</v>
      </c>
      <c r="I4788" s="2"/>
      <c r="J4788" s="2"/>
      <c r="K4788" s="2">
        <v>18755209</v>
      </c>
      <c r="L4788" s="2"/>
      <c r="M4788" s="2"/>
      <c r="N4788" s="2"/>
      <c r="O4788" s="2"/>
      <c r="P4788" s="2"/>
      <c r="Q4788" s="2"/>
      <c r="R4788" s="2"/>
      <c r="S4788" s="2" t="s">
        <v>31391</v>
      </c>
      <c r="T4788" s="2" t="s">
        <v>31392</v>
      </c>
      <c r="U4788" s="2" t="s">
        <v>103</v>
      </c>
      <c r="V4788" s="2" t="s">
        <v>104</v>
      </c>
      <c r="W4788" s="2" t="s">
        <v>105</v>
      </c>
      <c r="X4788" s="2" t="s">
        <v>147</v>
      </c>
      <c r="Y4788" s="2">
        <v>38.799999999999997</v>
      </c>
      <c r="Z4788" s="2">
        <v>11.3</v>
      </c>
      <c r="AA4788" s="2" t="s">
        <v>512</v>
      </c>
      <c r="AB4788" s="2" t="s">
        <v>31393</v>
      </c>
      <c r="AC4788" s="2">
        <v>-2.5928180695731302</v>
      </c>
      <c r="AD4788" s="2"/>
      <c r="AE4788" s="2">
        <v>7.01170889098712E-2</v>
      </c>
      <c r="AF4788" s="2">
        <v>2791.1830013791</v>
      </c>
      <c r="AG4788" s="2">
        <v>1844.31693775092</v>
      </c>
      <c r="AH4788" s="5">
        <v>1.5133966100115399</v>
      </c>
      <c r="AI4788" s="5">
        <v>0.59779011862854703</v>
      </c>
      <c r="AJ4788" s="5" t="s">
        <v>139</v>
      </c>
      <c r="AK4788" s="2">
        <v>0.741979116196269</v>
      </c>
      <c r="AL4788" s="2">
        <v>0.88190791048193196</v>
      </c>
      <c r="AM4788" s="2">
        <v>8.559877937157E-6</v>
      </c>
      <c r="AN4788" s="2">
        <v>0.58995620945507898</v>
      </c>
      <c r="AO4788" s="2">
        <v>16078.656571736199</v>
      </c>
      <c r="AP4788" s="2">
        <v>8.559877937157E-6</v>
      </c>
      <c r="AQ4788" s="2">
        <v>667.85145464932896</v>
      </c>
      <c r="AR4788" s="2">
        <v>8.559877937157E-6</v>
      </c>
      <c r="AS4788" s="2">
        <v>161.53948045611099</v>
      </c>
      <c r="AT4788" s="2">
        <v>8.559877937157E-6</v>
      </c>
      <c r="AU4788" s="2">
        <v>8.559877937157E-6</v>
      </c>
      <c r="AV4788" s="2">
        <v>4327.4260968091103</v>
      </c>
      <c r="AW4788" s="2">
        <v>4412.4220361526704</v>
      </c>
      <c r="AX4788" s="2">
        <v>2164.51399596786</v>
      </c>
    </row>
    <row r="4789" spans="1:50" x14ac:dyDescent="0.25">
      <c r="A4789" s="2" t="s">
        <v>31394</v>
      </c>
      <c r="B4789" s="2">
        <v>257.19057047280398</v>
      </c>
      <c r="C4789" s="2">
        <v>10.98715</v>
      </c>
      <c r="D4789" s="2" t="s">
        <v>51</v>
      </c>
      <c r="E4789" s="2" t="s">
        <v>31395</v>
      </c>
      <c r="F4789" s="2">
        <v>3303</v>
      </c>
      <c r="G4789" s="3" t="str">
        <f>HYPERLINK("https://cloud.oebiotech.com/#/lm/network/3303", "https://cloud.oebiotech.com/#/lm/network/3303")</f>
        <v>https://cloud.oebiotech.com/#/lm/network/3303</v>
      </c>
      <c r="H4789" s="2"/>
      <c r="I4789" s="2"/>
      <c r="J4789" s="2" t="s">
        <v>31396</v>
      </c>
      <c r="K4789" s="2"/>
      <c r="L4789" s="2"/>
      <c r="M4789" s="2"/>
      <c r="N4789" s="2"/>
      <c r="O4789" s="2"/>
      <c r="P4789" s="2"/>
      <c r="Q4789" s="2"/>
      <c r="R4789" s="2"/>
      <c r="S4789" s="2" t="s">
        <v>31397</v>
      </c>
      <c r="T4789" s="2" t="s">
        <v>31398</v>
      </c>
      <c r="U4789" s="2" t="s">
        <v>56</v>
      </c>
      <c r="V4789" s="2" t="s">
        <v>145</v>
      </c>
      <c r="W4789" s="2" t="s">
        <v>203</v>
      </c>
      <c r="X4789" s="2" t="s">
        <v>83</v>
      </c>
      <c r="Y4789" s="2">
        <v>40.1</v>
      </c>
      <c r="Z4789" s="2">
        <v>0</v>
      </c>
      <c r="AA4789" s="2" t="s">
        <v>156</v>
      </c>
      <c r="AB4789" s="2" t="s">
        <v>6458</v>
      </c>
      <c r="AC4789" s="2">
        <v>2.1103721571352398</v>
      </c>
      <c r="AD4789" s="2"/>
      <c r="AE4789" s="2">
        <v>6.9935914415164696E-2</v>
      </c>
      <c r="AF4789" s="2">
        <v>1610.4603606713599</v>
      </c>
      <c r="AG4789" s="2">
        <v>1357.32028297222</v>
      </c>
      <c r="AH4789" s="5">
        <v>1.1864998857490101</v>
      </c>
      <c r="AI4789" s="5">
        <v>0.246711961611221</v>
      </c>
      <c r="AJ4789" s="5" t="s">
        <v>139</v>
      </c>
      <c r="AK4789" s="2">
        <v>0.128441540525254</v>
      </c>
      <c r="AL4789" s="2">
        <v>0.44698559560283302</v>
      </c>
      <c r="AM4789" s="2">
        <v>1479.8933767943799</v>
      </c>
      <c r="AN4789" s="2">
        <v>1514.26980331965</v>
      </c>
      <c r="AO4789" s="2">
        <v>1603.3570822297399</v>
      </c>
      <c r="AP4789" s="2">
        <v>1700.4431815820799</v>
      </c>
      <c r="AQ4789" s="2">
        <v>1525.0356320445501</v>
      </c>
      <c r="AR4789" s="2">
        <v>1839.7630880577401</v>
      </c>
      <c r="AS4789" s="2">
        <v>1234.57469688673</v>
      </c>
      <c r="AT4789" s="2">
        <v>848.59140617760295</v>
      </c>
      <c r="AU4789" s="2">
        <v>1806.64956521812</v>
      </c>
      <c r="AV4789" s="2">
        <v>1583.5577301834401</v>
      </c>
      <c r="AW4789" s="2">
        <v>1532.26517480698</v>
      </c>
      <c r="AX4789" s="2">
        <v>1138.28312456044</v>
      </c>
    </row>
    <row r="4790" spans="1:50" x14ac:dyDescent="0.25">
      <c r="A4790" s="2" t="s">
        <v>31399</v>
      </c>
      <c r="B4790" s="2">
        <v>210.98740000000001</v>
      </c>
      <c r="C4790" s="2">
        <v>10.712999999999999</v>
      </c>
      <c r="D4790" s="2" t="s">
        <v>125</v>
      </c>
      <c r="E4790" s="2" t="s">
        <v>31400</v>
      </c>
      <c r="F4790" s="2">
        <v>205503</v>
      </c>
      <c r="G4790" s="3" t="str">
        <f>HYPERLINK("https://cloud.oebiotech.com/#/lm/network/205503", "https://cloud.oebiotech.com/#/lm/network/205503")</f>
        <v>https://cloud.oebiotech.com/#/lm/network/205503</v>
      </c>
      <c r="H4790" s="2" t="s">
        <v>31401</v>
      </c>
      <c r="I4790" s="2"/>
      <c r="J4790" s="2"/>
      <c r="K4790" s="2">
        <v>205</v>
      </c>
      <c r="L4790" s="2"/>
      <c r="M4790" s="2"/>
      <c r="N4790" s="2"/>
      <c r="O4790" s="2">
        <v>38263</v>
      </c>
      <c r="P4790" s="2"/>
      <c r="Q4790" s="2"/>
      <c r="R4790" s="2"/>
      <c r="S4790" s="2" t="s">
        <v>31402</v>
      </c>
      <c r="T4790" s="2" t="s">
        <v>31403</v>
      </c>
      <c r="U4790" s="2" t="s">
        <v>103</v>
      </c>
      <c r="V4790" s="2" t="s">
        <v>104</v>
      </c>
      <c r="W4790" s="2" t="s">
        <v>105</v>
      </c>
      <c r="X4790" s="2" t="s">
        <v>59</v>
      </c>
      <c r="Y4790" s="2">
        <v>72.3</v>
      </c>
      <c r="Z4790" s="2">
        <v>54.2</v>
      </c>
      <c r="AA4790" s="2"/>
      <c r="AB4790" s="2" t="s">
        <v>17097</v>
      </c>
      <c r="AC4790" s="2"/>
      <c r="AD4790" s="2">
        <v>362464.51038575702</v>
      </c>
      <c r="AE4790" s="2">
        <v>6.9917178238830799E-2</v>
      </c>
      <c r="AF4790" s="2">
        <v>7363.0462749806302</v>
      </c>
      <c r="AG4790" s="2">
        <v>5954.5646404385298</v>
      </c>
      <c r="AH4790" s="5">
        <v>1.23653813831776</v>
      </c>
      <c r="AI4790" s="5">
        <v>0.30630673719115598</v>
      </c>
      <c r="AJ4790" s="5" t="s">
        <v>139</v>
      </c>
      <c r="AK4790" s="2">
        <v>0.13595927392693</v>
      </c>
      <c r="AL4790" s="2">
        <v>0.457070459966327</v>
      </c>
      <c r="AM4790" s="2">
        <v>8795.8294589400994</v>
      </c>
      <c r="AN4790" s="2">
        <v>6791.2952940211098</v>
      </c>
      <c r="AO4790" s="2">
        <v>6186.9546995514802</v>
      </c>
      <c r="AP4790" s="2">
        <v>8051.2818988402496</v>
      </c>
      <c r="AQ4790" s="2">
        <v>7208.4124891738202</v>
      </c>
      <c r="AR4790" s="2">
        <v>7144.5038093570201</v>
      </c>
      <c r="AS4790" s="2">
        <v>5857.9708688299197</v>
      </c>
      <c r="AT4790" s="2">
        <v>6255.1044561727203</v>
      </c>
      <c r="AU4790" s="2">
        <v>7818.0424778952301</v>
      </c>
      <c r="AV4790" s="2">
        <v>7008.8777157596696</v>
      </c>
      <c r="AW4790" s="2">
        <v>2299.8352172700202</v>
      </c>
      <c r="AX4790" s="2">
        <v>6487.5571067036199</v>
      </c>
    </row>
    <row r="4791" spans="1:50" x14ac:dyDescent="0.25">
      <c r="A4791" s="2" t="s">
        <v>31404</v>
      </c>
      <c r="B4791" s="2">
        <v>273.19290639495102</v>
      </c>
      <c r="C4791" s="2">
        <v>0.73424999999999996</v>
      </c>
      <c r="D4791" s="2" t="s">
        <v>51</v>
      </c>
      <c r="E4791" s="2" t="s">
        <v>31405</v>
      </c>
      <c r="F4791" s="2">
        <v>211821</v>
      </c>
      <c r="G4791" s="3" t="str">
        <f>HYPERLINK("https://cloud.oebiotech.com/#/lm/network/211821", "https://cloud.oebiotech.com/#/lm/network/211821")</f>
        <v>https://cloud.oebiotech.com/#/lm/network/211821</v>
      </c>
      <c r="H4791" s="2" t="s">
        <v>31406</v>
      </c>
      <c r="I4791" s="2">
        <v>428909</v>
      </c>
      <c r="J4791" s="2"/>
      <c r="K4791" s="2">
        <v>126860</v>
      </c>
      <c r="L4791" s="2"/>
      <c r="M4791" s="2"/>
      <c r="N4791" s="2"/>
      <c r="O4791" s="2"/>
      <c r="P4791" s="2"/>
      <c r="Q4791" s="2"/>
      <c r="R4791" s="2"/>
      <c r="S4791" s="2" t="s">
        <v>31407</v>
      </c>
      <c r="T4791" s="2" t="s">
        <v>31408</v>
      </c>
      <c r="U4791" s="2" t="s">
        <v>56</v>
      </c>
      <c r="V4791" s="2" t="s">
        <v>145</v>
      </c>
      <c r="W4791" s="2" t="s">
        <v>1617</v>
      </c>
      <c r="X4791" s="2" t="s">
        <v>147</v>
      </c>
      <c r="Y4791" s="2">
        <v>36.5</v>
      </c>
      <c r="Z4791" s="2">
        <v>0</v>
      </c>
      <c r="AA4791" s="2" t="s">
        <v>259</v>
      </c>
      <c r="AB4791" s="2" t="s">
        <v>31409</v>
      </c>
      <c r="AC4791" s="2">
        <v>2.8999241424072402</v>
      </c>
      <c r="AD4791" s="2"/>
      <c r="AE4791" s="2">
        <v>6.9871607931633398E-2</v>
      </c>
      <c r="AF4791" s="2">
        <v>5960.6950411695898</v>
      </c>
      <c r="AG4791" s="2">
        <v>5852.6293664975501</v>
      </c>
      <c r="AH4791" s="5">
        <v>1.01846446578193</v>
      </c>
      <c r="AI4791" s="5">
        <v>2.6395645562029599E-2</v>
      </c>
      <c r="AJ4791" s="5" t="s">
        <v>139</v>
      </c>
      <c r="AK4791" s="2">
        <v>0.977598028161484</v>
      </c>
      <c r="AL4791" s="2">
        <v>0.99078175028930104</v>
      </c>
      <c r="AM4791" s="2">
        <v>2057.2328343336499</v>
      </c>
      <c r="AN4791" s="2">
        <v>18412.028300749302</v>
      </c>
      <c r="AO4791" s="2">
        <v>8983.4272582660906</v>
      </c>
      <c r="AP4791" s="2">
        <v>1497.5692690742101</v>
      </c>
      <c r="AQ4791" s="2">
        <v>1430.1310866776</v>
      </c>
      <c r="AR4791" s="2">
        <v>3383.7814979166701</v>
      </c>
      <c r="AS4791" s="2">
        <v>2424.3244601062502</v>
      </c>
      <c r="AT4791" s="2">
        <v>1517.5298619339901</v>
      </c>
      <c r="AU4791" s="2">
        <v>17180.431936895598</v>
      </c>
      <c r="AV4791" s="2">
        <v>2797.40143906294</v>
      </c>
      <c r="AW4791" s="2">
        <v>1867.28414805179</v>
      </c>
      <c r="AX4791" s="2">
        <v>9328.8043529347506</v>
      </c>
    </row>
    <row r="4792" spans="1:50" x14ac:dyDescent="0.25">
      <c r="A4792" s="2" t="s">
        <v>31410</v>
      </c>
      <c r="B4792" s="2">
        <v>388.19808788946898</v>
      </c>
      <c r="C4792" s="2">
        <v>4.8935333333333304</v>
      </c>
      <c r="D4792" s="2" t="s">
        <v>51</v>
      </c>
      <c r="E4792" s="2" t="s">
        <v>31411</v>
      </c>
      <c r="F4792" s="2">
        <v>53380</v>
      </c>
      <c r="G4792" s="3" t="str">
        <f>HYPERLINK("https://cloud.oebiotech.com/#/lm/network/53380", "https://cloud.oebiotech.com/#/lm/network/53380")</f>
        <v>https://cloud.oebiotech.com/#/lm/network/53380</v>
      </c>
      <c r="H4792" s="2" t="s">
        <v>31412</v>
      </c>
      <c r="I4792" s="2">
        <v>2721</v>
      </c>
      <c r="J4792" s="2"/>
      <c r="K4792" s="2">
        <v>5401</v>
      </c>
      <c r="L4792" s="2" t="s">
        <v>31413</v>
      </c>
      <c r="M4792" s="2"/>
      <c r="N4792" s="2"/>
      <c r="O4792" s="2">
        <v>9445</v>
      </c>
      <c r="P4792" s="2" t="s">
        <v>31414</v>
      </c>
      <c r="Q4792" s="2" t="s">
        <v>31415</v>
      </c>
      <c r="R4792" s="2" t="s">
        <v>31416</v>
      </c>
      <c r="S4792" s="2" t="s">
        <v>31417</v>
      </c>
      <c r="T4792" s="2" t="s">
        <v>31418</v>
      </c>
      <c r="U4792" s="2" t="s">
        <v>266</v>
      </c>
      <c r="V4792" s="2" t="s">
        <v>2781</v>
      </c>
      <c r="W4792" s="2" t="s">
        <v>2782</v>
      </c>
      <c r="X4792" s="2" t="s">
        <v>147</v>
      </c>
      <c r="Y4792" s="2">
        <v>36.799999999999997</v>
      </c>
      <c r="Z4792" s="2">
        <v>0</v>
      </c>
      <c r="AA4792" s="2" t="s">
        <v>259</v>
      </c>
      <c r="AB4792" s="2" t="s">
        <v>31419</v>
      </c>
      <c r="AC4792" s="2">
        <v>0.40588138564785797</v>
      </c>
      <c r="AD4792" s="2"/>
      <c r="AE4792" s="2">
        <v>6.98071403951082E-2</v>
      </c>
      <c r="AF4792" s="2">
        <v>3499.67517101251</v>
      </c>
      <c r="AG4792" s="2">
        <v>4259.1102261644201</v>
      </c>
      <c r="AH4792" s="4">
        <v>0.82169161753866304</v>
      </c>
      <c r="AI4792" s="4">
        <v>-0.283331045656182</v>
      </c>
      <c r="AJ4792" s="4" t="s">
        <v>62</v>
      </c>
      <c r="AK4792" s="2">
        <v>0.64077403202243</v>
      </c>
      <c r="AL4792" s="2">
        <v>0.824370604399012</v>
      </c>
      <c r="AM4792" s="2">
        <v>6166.4381268259403</v>
      </c>
      <c r="AN4792" s="2">
        <v>3068.1486436816499</v>
      </c>
      <c r="AO4792" s="2">
        <v>2982.0438012977602</v>
      </c>
      <c r="AP4792" s="2">
        <v>3378.5989499746702</v>
      </c>
      <c r="AQ4792" s="2">
        <v>1073.3099738882199</v>
      </c>
      <c r="AR4792" s="2">
        <v>4329.5115304068004</v>
      </c>
      <c r="AS4792" s="2">
        <v>2263.2737869322</v>
      </c>
      <c r="AT4792" s="2">
        <v>2631.0334491404301</v>
      </c>
      <c r="AU4792" s="2">
        <v>4560.61057253951</v>
      </c>
      <c r="AV4792" s="2">
        <v>3397.4318039376999</v>
      </c>
      <c r="AW4792" s="2">
        <v>11061.007029730201</v>
      </c>
      <c r="AX4792" s="2">
        <v>1641.3047147064899</v>
      </c>
    </row>
    <row r="4793" spans="1:50" x14ac:dyDescent="0.25">
      <c r="A4793" s="2" t="s">
        <v>31420</v>
      </c>
      <c r="B4793" s="2">
        <v>415.15395948432302</v>
      </c>
      <c r="C4793" s="2">
        <v>7.73705</v>
      </c>
      <c r="D4793" s="2" t="s">
        <v>51</v>
      </c>
      <c r="E4793" s="2" t="s">
        <v>31421</v>
      </c>
      <c r="F4793" s="2">
        <v>47786</v>
      </c>
      <c r="G4793" s="3" t="str">
        <f>HYPERLINK("https://cloud.oebiotech.com/#/lm/network/47786", "https://cloud.oebiotech.com/#/lm/network/47786")</f>
        <v>https://cloud.oebiotech.com/#/lm/network/47786</v>
      </c>
      <c r="H4793" s="2" t="s">
        <v>31422</v>
      </c>
      <c r="I4793" s="2"/>
      <c r="J4793" s="2"/>
      <c r="K4793" s="2">
        <v>53477741</v>
      </c>
      <c r="L4793" s="2" t="s">
        <v>31423</v>
      </c>
      <c r="M4793" s="2" t="s">
        <v>31424</v>
      </c>
      <c r="N4793" s="2" t="s">
        <v>31425</v>
      </c>
      <c r="O4793" s="2">
        <v>150712</v>
      </c>
      <c r="P4793" s="2"/>
      <c r="Q4793" s="2"/>
      <c r="R4793" s="2" t="s">
        <v>31426</v>
      </c>
      <c r="S4793" s="2" t="s">
        <v>31427</v>
      </c>
      <c r="T4793" s="2" t="s">
        <v>31428</v>
      </c>
      <c r="U4793" s="2" t="s">
        <v>331</v>
      </c>
      <c r="V4793" s="2" t="s">
        <v>332</v>
      </c>
      <c r="W4793" s="2" t="s">
        <v>333</v>
      </c>
      <c r="X4793" s="2" t="s">
        <v>147</v>
      </c>
      <c r="Y4793" s="2">
        <v>38.1</v>
      </c>
      <c r="Z4793" s="2">
        <v>0</v>
      </c>
      <c r="AA4793" s="2" t="s">
        <v>512</v>
      </c>
      <c r="AB4793" s="2" t="s">
        <v>31429</v>
      </c>
      <c r="AC4793" s="2">
        <v>-4.7623216226470904</v>
      </c>
      <c r="AD4793" s="2"/>
      <c r="AE4793" s="2">
        <v>6.9546133478230701E-2</v>
      </c>
      <c r="AF4793" s="2">
        <v>6719.8514504756404</v>
      </c>
      <c r="AG4793" s="2">
        <v>4794.0396749464098</v>
      </c>
      <c r="AH4793" s="5">
        <v>1.40170960319613</v>
      </c>
      <c r="AI4793" s="5">
        <v>0.487187492412816</v>
      </c>
      <c r="AJ4793" s="5" t="s">
        <v>139</v>
      </c>
      <c r="AK4793" s="2">
        <v>0.60548340789411303</v>
      </c>
      <c r="AL4793" s="2">
        <v>0.80368370570869196</v>
      </c>
      <c r="AM4793" s="2">
        <v>1054.73488409023</v>
      </c>
      <c r="AN4793" s="2">
        <v>3266.76477173379</v>
      </c>
      <c r="AO4793" s="2">
        <v>15350.930330322701</v>
      </c>
      <c r="AP4793" s="2">
        <v>18365.721799568</v>
      </c>
      <c r="AQ4793" s="2">
        <v>2280.95690857925</v>
      </c>
      <c r="AR4793" s="2">
        <v>8.559877937157E-6</v>
      </c>
      <c r="AS4793" s="2">
        <v>4690.1087365986996</v>
      </c>
      <c r="AT4793" s="2">
        <v>5362.2293362832297</v>
      </c>
      <c r="AU4793" s="2">
        <v>2198.1146686392199</v>
      </c>
      <c r="AV4793" s="2">
        <v>11900.5766131199</v>
      </c>
      <c r="AW4793" s="2">
        <v>1240.0011508054199</v>
      </c>
      <c r="AX4793" s="2">
        <v>3373.2075442319901</v>
      </c>
    </row>
    <row r="4794" spans="1:50" x14ac:dyDescent="0.25">
      <c r="A4794" s="2" t="s">
        <v>31430</v>
      </c>
      <c r="B4794" s="2">
        <v>375.13234637121798</v>
      </c>
      <c r="C4794" s="2">
        <v>12.1956333333333</v>
      </c>
      <c r="D4794" s="2" t="s">
        <v>51</v>
      </c>
      <c r="E4794" s="2" t="s">
        <v>31431</v>
      </c>
      <c r="F4794" s="2">
        <v>64527</v>
      </c>
      <c r="G4794" s="3" t="str">
        <f>HYPERLINK("https://cloud.oebiotech.com/#/lm/network/64527", "https://cloud.oebiotech.com/#/lm/network/64527")</f>
        <v>https://cloud.oebiotech.com/#/lm/network/64527</v>
      </c>
      <c r="H4794" s="2" t="s">
        <v>31432</v>
      </c>
      <c r="I4794" s="2">
        <v>95834</v>
      </c>
      <c r="J4794" s="2"/>
      <c r="K4794" s="2">
        <v>177258</v>
      </c>
      <c r="L4794" s="2"/>
      <c r="M4794" s="2"/>
      <c r="N4794" s="2"/>
      <c r="O4794" s="2"/>
      <c r="P4794" s="2"/>
      <c r="Q4794" s="2"/>
      <c r="R4794" s="2" t="s">
        <v>31433</v>
      </c>
      <c r="S4794" s="2" t="s">
        <v>31434</v>
      </c>
      <c r="T4794" s="2" t="s">
        <v>31435</v>
      </c>
      <c r="U4794" s="2" t="s">
        <v>103</v>
      </c>
      <c r="V4794" s="2" t="s">
        <v>104</v>
      </c>
      <c r="W4794" s="2" t="s">
        <v>105</v>
      </c>
      <c r="X4794" s="2" t="s">
        <v>147</v>
      </c>
      <c r="Y4794" s="2">
        <v>37.5</v>
      </c>
      <c r="Z4794" s="2">
        <v>0</v>
      </c>
      <c r="AA4794" s="2" t="s">
        <v>218</v>
      </c>
      <c r="AB4794" s="2" t="s">
        <v>31436</v>
      </c>
      <c r="AC4794" s="2">
        <v>4.0542063603344696</v>
      </c>
      <c r="AD4794" s="2"/>
      <c r="AE4794" s="2">
        <v>6.9454518810439805E-2</v>
      </c>
      <c r="AF4794" s="2">
        <v>706.39606260089704</v>
      </c>
      <c r="AG4794" s="2">
        <v>1265.3597784025001</v>
      </c>
      <c r="AH4794" s="4">
        <v>0.55825708597495605</v>
      </c>
      <c r="AI4794" s="4">
        <v>-0.84099843654933304</v>
      </c>
      <c r="AJ4794" s="4" t="s">
        <v>62</v>
      </c>
      <c r="AK4794" s="2">
        <v>0.32438674837548898</v>
      </c>
      <c r="AL4794" s="2">
        <v>0.62992073899545697</v>
      </c>
      <c r="AM4794" s="2">
        <v>1595.74299052283</v>
      </c>
      <c r="AN4794" s="2">
        <v>496.18191875269599</v>
      </c>
      <c r="AO4794" s="2">
        <v>355.16564664122302</v>
      </c>
      <c r="AP4794" s="2">
        <v>467.91104680353197</v>
      </c>
      <c r="AQ4794" s="2">
        <v>590.46081879968006</v>
      </c>
      <c r="AR4794" s="2">
        <v>732.91395408541996</v>
      </c>
      <c r="AS4794" s="2">
        <v>388.54882123884101</v>
      </c>
      <c r="AT4794" s="2">
        <v>520.94186385994897</v>
      </c>
      <c r="AU4794" s="2">
        <v>3706.88709554972</v>
      </c>
      <c r="AV4794" s="2">
        <v>1041.51516858072</v>
      </c>
      <c r="AW4794" s="2">
        <v>1269.8939845556199</v>
      </c>
      <c r="AX4794" s="2">
        <v>664.37173663015903</v>
      </c>
    </row>
    <row r="4795" spans="1:50" x14ac:dyDescent="0.25">
      <c r="A4795" s="2" t="s">
        <v>31437</v>
      </c>
      <c r="B4795" s="2">
        <v>291.07084189873501</v>
      </c>
      <c r="C4795" s="2">
        <v>0.74455000000000005</v>
      </c>
      <c r="D4795" s="2" t="s">
        <v>51</v>
      </c>
      <c r="E4795" s="2" t="s">
        <v>31438</v>
      </c>
      <c r="F4795" s="2">
        <v>202551</v>
      </c>
      <c r="G4795" s="3" t="str">
        <f>HYPERLINK("https://cloud.oebiotech.com/#/lm/network/202551", "https://cloud.oebiotech.com/#/lm/network/202551")</f>
        <v>https://cloud.oebiotech.com/#/lm/network/202551</v>
      </c>
      <c r="H4795" s="2" t="s">
        <v>31439</v>
      </c>
      <c r="I4795" s="2">
        <v>3022</v>
      </c>
      <c r="J4795" s="2"/>
      <c r="K4795" s="2">
        <v>804</v>
      </c>
      <c r="L4795" s="2"/>
      <c r="M4795" s="2"/>
      <c r="N4795" s="2"/>
      <c r="O4795" s="2"/>
      <c r="P4795" s="2"/>
      <c r="Q4795" s="2"/>
      <c r="R4795" s="2" t="s">
        <v>31440</v>
      </c>
      <c r="S4795" s="2" t="s">
        <v>31441</v>
      </c>
      <c r="T4795" s="2" t="s">
        <v>31442</v>
      </c>
      <c r="U4795" s="2" t="s">
        <v>295</v>
      </c>
      <c r="V4795" s="2" t="s">
        <v>5395</v>
      </c>
      <c r="W4795" s="2" t="s">
        <v>240</v>
      </c>
      <c r="X4795" s="2" t="s">
        <v>69</v>
      </c>
      <c r="Y4795" s="2">
        <v>51.9</v>
      </c>
      <c r="Z4795" s="2">
        <v>57.2</v>
      </c>
      <c r="AA4795" s="2" t="s">
        <v>1888</v>
      </c>
      <c r="AB4795" s="2" t="s">
        <v>14486</v>
      </c>
      <c r="AC4795" s="2">
        <v>3.1770906087464899</v>
      </c>
      <c r="AD4795" s="2"/>
      <c r="AE4795" s="2">
        <v>6.9244608612287803E-2</v>
      </c>
      <c r="AF4795" s="2">
        <v>199251.06448577699</v>
      </c>
      <c r="AG4795" s="2">
        <v>241702.35516537901</v>
      </c>
      <c r="AH4795" s="4">
        <v>0.82436542395064405</v>
      </c>
      <c r="AI4795" s="4">
        <v>-0.278644099157489</v>
      </c>
      <c r="AJ4795" s="4" t="s">
        <v>62</v>
      </c>
      <c r="AK4795" s="2">
        <v>0.81924227657497495</v>
      </c>
      <c r="AL4795" s="2">
        <v>0.92118208258061096</v>
      </c>
      <c r="AM4795" s="2">
        <v>3322.4530009590399</v>
      </c>
      <c r="AN4795" s="2">
        <v>459428.22826332401</v>
      </c>
      <c r="AO4795" s="2">
        <v>258497.35015372399</v>
      </c>
      <c r="AP4795" s="2">
        <v>63885.218765871599</v>
      </c>
      <c r="AQ4795" s="2">
        <v>340341.16163094499</v>
      </c>
      <c r="AR4795" s="2">
        <v>70031.975099836694</v>
      </c>
      <c r="AS4795" s="2">
        <v>2713.2398777377698</v>
      </c>
      <c r="AT4795" s="2">
        <v>1031899.33779236</v>
      </c>
      <c r="AU4795" s="2">
        <v>63470.242666080398</v>
      </c>
      <c r="AV4795" s="2">
        <v>37899.054315014699</v>
      </c>
      <c r="AW4795" s="2">
        <v>1342.1251879932399</v>
      </c>
      <c r="AX4795" s="2">
        <v>312890.131153088</v>
      </c>
    </row>
    <row r="4796" spans="1:50" x14ac:dyDescent="0.25">
      <c r="A4796" s="2" t="s">
        <v>31443</v>
      </c>
      <c r="B4796" s="2">
        <v>160.10842559091299</v>
      </c>
      <c r="C4796" s="2">
        <v>1.02813333333333</v>
      </c>
      <c r="D4796" s="2" t="s">
        <v>51</v>
      </c>
      <c r="E4796" s="2" t="s">
        <v>31444</v>
      </c>
      <c r="F4796" s="2">
        <v>201081</v>
      </c>
      <c r="G4796" s="3" t="str">
        <f>HYPERLINK("https://cloud.oebiotech.com/#/lm/network/201081", "https://cloud.oebiotech.com/#/lm/network/201081")</f>
        <v>https://cloud.oebiotech.com/#/lm/network/201081</v>
      </c>
      <c r="H4796" s="2" t="s">
        <v>31445</v>
      </c>
      <c r="I4796" s="2"/>
      <c r="J4796" s="2"/>
      <c r="K4796" s="2">
        <v>19076196</v>
      </c>
      <c r="L4796" s="2"/>
      <c r="M4796" s="2"/>
      <c r="N4796" s="2"/>
      <c r="O4796" s="2"/>
      <c r="P4796" s="2"/>
      <c r="Q4796" s="2"/>
      <c r="R4796" s="2"/>
      <c r="S4796" s="2" t="s">
        <v>31446</v>
      </c>
      <c r="T4796" s="2" t="s">
        <v>31447</v>
      </c>
      <c r="U4796" s="2" t="s">
        <v>103</v>
      </c>
      <c r="V4796" s="2" t="s">
        <v>104</v>
      </c>
      <c r="W4796" s="2" t="s">
        <v>105</v>
      </c>
      <c r="X4796" s="2" t="s">
        <v>83</v>
      </c>
      <c r="Y4796" s="2">
        <v>40.200000000000003</v>
      </c>
      <c r="Z4796" s="2">
        <v>0</v>
      </c>
      <c r="AA4796" s="2" t="s">
        <v>512</v>
      </c>
      <c r="AB4796" s="2" t="s">
        <v>1951</v>
      </c>
      <c r="AC4796" s="2">
        <v>2.6218090288783702</v>
      </c>
      <c r="AD4796" s="2"/>
      <c r="AE4796" s="2">
        <v>6.9174371588089797E-2</v>
      </c>
      <c r="AF4796" s="2">
        <v>2041.1816362546001</v>
      </c>
      <c r="AG4796" s="2">
        <v>1565.6971120534199</v>
      </c>
      <c r="AH4796" s="5">
        <v>1.30368870232991</v>
      </c>
      <c r="AI4796" s="5">
        <v>0.382599420780593</v>
      </c>
      <c r="AJ4796" s="5" t="s">
        <v>139</v>
      </c>
      <c r="AK4796" s="2">
        <v>0.560204589977637</v>
      </c>
      <c r="AL4796" s="2">
        <v>0.77927241112868595</v>
      </c>
      <c r="AM4796" s="2">
        <v>2256.3441889864098</v>
      </c>
      <c r="AN4796" s="2">
        <v>2071.2186400953401</v>
      </c>
      <c r="AO4796" s="2">
        <v>158.23043921805299</v>
      </c>
      <c r="AP4796" s="2">
        <v>1589.35142623856</v>
      </c>
      <c r="AQ4796" s="2">
        <v>1094.4857148204701</v>
      </c>
      <c r="AR4796" s="2">
        <v>5077.4594081687801</v>
      </c>
      <c r="AS4796" s="2">
        <v>2699.99050491958</v>
      </c>
      <c r="AT4796" s="2">
        <v>2784.1670704896601</v>
      </c>
      <c r="AU4796" s="2">
        <v>782.58581980413805</v>
      </c>
      <c r="AV4796" s="2">
        <v>627.59242064672799</v>
      </c>
      <c r="AW4796" s="2">
        <v>860.38955314000304</v>
      </c>
      <c r="AX4796" s="2">
        <v>1639.4573033203999</v>
      </c>
    </row>
    <row r="4797" spans="1:50" x14ac:dyDescent="0.25">
      <c r="A4797" s="2" t="s">
        <v>31448</v>
      </c>
      <c r="B4797" s="2">
        <v>479.33763323536601</v>
      </c>
      <c r="C4797" s="2">
        <v>11.1512666666667</v>
      </c>
      <c r="D4797" s="2" t="s">
        <v>51</v>
      </c>
      <c r="E4797" s="2" t="s">
        <v>31449</v>
      </c>
      <c r="F4797" s="2">
        <v>46404</v>
      </c>
      <c r="G4797" s="3" t="str">
        <f>HYPERLINK("https://cloud.oebiotech.com/#/lm/network/46404", "https://cloud.oebiotech.com/#/lm/network/46404")</f>
        <v>https://cloud.oebiotech.com/#/lm/network/46404</v>
      </c>
      <c r="H4797" s="2"/>
      <c r="I4797" s="2">
        <v>84824</v>
      </c>
      <c r="J4797" s="2" t="s">
        <v>31450</v>
      </c>
      <c r="K4797" s="2">
        <v>5284252</v>
      </c>
      <c r="L4797" s="2"/>
      <c r="M4797" s="2"/>
      <c r="N4797" s="2"/>
      <c r="O4797" s="2"/>
      <c r="P4797" s="2"/>
      <c r="Q4797" s="2"/>
      <c r="R4797" s="2"/>
      <c r="S4797" s="2" t="s">
        <v>31451</v>
      </c>
      <c r="T4797" s="2" t="s">
        <v>31452</v>
      </c>
      <c r="U4797" s="2" t="s">
        <v>56</v>
      </c>
      <c r="V4797" s="2" t="s">
        <v>283</v>
      </c>
      <c r="W4797" s="2" t="s">
        <v>1108</v>
      </c>
      <c r="X4797" s="2" t="s">
        <v>83</v>
      </c>
      <c r="Y4797" s="2">
        <v>43.4</v>
      </c>
      <c r="Z4797" s="2">
        <v>0</v>
      </c>
      <c r="AA4797" s="2" t="s">
        <v>218</v>
      </c>
      <c r="AB4797" s="2" t="s">
        <v>16486</v>
      </c>
      <c r="AC4797" s="2">
        <v>-0.41347390356286101</v>
      </c>
      <c r="AD4797" s="2"/>
      <c r="AE4797" s="2">
        <v>6.9160414046725294E-2</v>
      </c>
      <c r="AF4797" s="2">
        <v>3563.72198426163</v>
      </c>
      <c r="AG4797" s="2">
        <v>2792.5978734453001</v>
      </c>
      <c r="AH4797" s="5">
        <v>1.27613145385124</v>
      </c>
      <c r="AI4797" s="5">
        <v>0.351776948265145</v>
      </c>
      <c r="AJ4797" s="5" t="s">
        <v>139</v>
      </c>
      <c r="AK4797" s="2">
        <v>0.41122172651841099</v>
      </c>
      <c r="AL4797" s="2">
        <v>0.67548655599718399</v>
      </c>
      <c r="AM4797" s="2">
        <v>2506.8240353553701</v>
      </c>
      <c r="AN4797" s="2">
        <v>3612.7686509743698</v>
      </c>
      <c r="AO4797" s="2">
        <v>2450.5793601888699</v>
      </c>
      <c r="AP4797" s="2">
        <v>6389.2006352873204</v>
      </c>
      <c r="AQ4797" s="2">
        <v>3313.2735965106399</v>
      </c>
      <c r="AR4797" s="2">
        <v>3109.68562725321</v>
      </c>
      <c r="AS4797" s="2">
        <v>2043.7059798256901</v>
      </c>
      <c r="AT4797" s="2">
        <v>3483.9485536053799</v>
      </c>
      <c r="AU4797" s="2">
        <v>1177.31888401166</v>
      </c>
      <c r="AV4797" s="2">
        <v>978.98894055205005</v>
      </c>
      <c r="AW4797" s="2">
        <v>5098.0879688702998</v>
      </c>
      <c r="AX4797" s="2">
        <v>3973.5369138067299</v>
      </c>
    </row>
    <row r="4798" spans="1:50" x14ac:dyDescent="0.25">
      <c r="A4798" s="2" t="s">
        <v>31453</v>
      </c>
      <c r="B4798" s="2">
        <v>368.28049531132501</v>
      </c>
      <c r="C4798" s="2">
        <v>11.769866666666699</v>
      </c>
      <c r="D4798" s="2" t="s">
        <v>51</v>
      </c>
      <c r="E4798" s="2" t="s">
        <v>31454</v>
      </c>
      <c r="F4798" s="2">
        <v>8879</v>
      </c>
      <c r="G4798" s="3" t="str">
        <f>HYPERLINK("https://cloud.oebiotech.com/#/lm/network/8879", "https://cloud.oebiotech.com/#/lm/network/8879")</f>
        <v>https://cloud.oebiotech.com/#/lm/network/8879</v>
      </c>
      <c r="H4798" s="2" t="s">
        <v>31455</v>
      </c>
      <c r="I4798" s="2">
        <v>45444</v>
      </c>
      <c r="J4798" s="2" t="s">
        <v>31456</v>
      </c>
      <c r="K4798" s="2">
        <v>44190514</v>
      </c>
      <c r="L4798" s="2"/>
      <c r="M4798" s="2"/>
      <c r="N4798" s="2"/>
      <c r="O4798" s="2">
        <v>136614</v>
      </c>
      <c r="P4798" s="2"/>
      <c r="Q4798" s="2"/>
      <c r="R4798" s="2"/>
      <c r="S4798" s="2" t="s">
        <v>31457</v>
      </c>
      <c r="T4798" s="2" t="s">
        <v>31458</v>
      </c>
      <c r="U4798" s="2" t="s">
        <v>103</v>
      </c>
      <c r="V4798" s="2" t="s">
        <v>104</v>
      </c>
      <c r="W4798" s="2" t="s">
        <v>105</v>
      </c>
      <c r="X4798" s="2" t="s">
        <v>83</v>
      </c>
      <c r="Y4798" s="2">
        <v>54.9</v>
      </c>
      <c r="Z4798" s="2">
        <v>0</v>
      </c>
      <c r="AA4798" s="2" t="s">
        <v>163</v>
      </c>
      <c r="AB4798" s="2" t="s">
        <v>23761</v>
      </c>
      <c r="AC4798" s="2">
        <v>-0.37095838280214699</v>
      </c>
      <c r="AD4798" s="2"/>
      <c r="AE4798" s="2">
        <v>6.9013734611759595E-2</v>
      </c>
      <c r="AF4798" s="2">
        <v>4358.2054621112802</v>
      </c>
      <c r="AG4798" s="2">
        <v>4824.4874162291699</v>
      </c>
      <c r="AH4798" s="4">
        <v>0.90335098552659598</v>
      </c>
      <c r="AI4798" s="4">
        <v>-0.14664145746356799</v>
      </c>
      <c r="AJ4798" s="4" t="s">
        <v>62</v>
      </c>
      <c r="AK4798" s="2">
        <v>0.52064988033118398</v>
      </c>
      <c r="AL4798" s="2">
        <v>0.75192102353561097</v>
      </c>
      <c r="AM4798" s="2">
        <v>4752.2645812415903</v>
      </c>
      <c r="AN4798" s="2">
        <v>4892.4970600438301</v>
      </c>
      <c r="AO4798" s="2">
        <v>4167.5108052768901</v>
      </c>
      <c r="AP4798" s="2">
        <v>4323.9149990465503</v>
      </c>
      <c r="AQ4798" s="2">
        <v>4652.1742838950804</v>
      </c>
      <c r="AR4798" s="2">
        <v>3360.8710431637201</v>
      </c>
      <c r="AS4798" s="2">
        <v>3165.6218881959699</v>
      </c>
      <c r="AT4798" s="2">
        <v>2732.49589673118</v>
      </c>
      <c r="AU4798" s="2">
        <v>6727.83878351372</v>
      </c>
      <c r="AV4798" s="2">
        <v>6128.1809725467701</v>
      </c>
      <c r="AW4798" s="2">
        <v>5625.3945493352203</v>
      </c>
      <c r="AX4798" s="2">
        <v>4567.3924070521398</v>
      </c>
    </row>
    <row r="4799" spans="1:50" x14ac:dyDescent="0.25">
      <c r="A4799" s="2" t="s">
        <v>31459</v>
      </c>
      <c r="B4799" s="2">
        <v>286.10856019925802</v>
      </c>
      <c r="C4799" s="2">
        <v>5.2853833333333302</v>
      </c>
      <c r="D4799" s="2" t="s">
        <v>51</v>
      </c>
      <c r="E4799" s="2" t="s">
        <v>31460</v>
      </c>
      <c r="F4799" s="2">
        <v>53070</v>
      </c>
      <c r="G4799" s="3" t="str">
        <f>HYPERLINK("https://cloud.oebiotech.com/#/lm/network/53070", "https://cloud.oebiotech.com/#/lm/network/53070")</f>
        <v>https://cloud.oebiotech.com/#/lm/network/53070</v>
      </c>
      <c r="H4799" s="2" t="s">
        <v>31461</v>
      </c>
      <c r="I4799" s="2">
        <v>1098</v>
      </c>
      <c r="J4799" s="2"/>
      <c r="K4799" s="2">
        <v>4044</v>
      </c>
      <c r="L4799" s="2" t="s">
        <v>31462</v>
      </c>
      <c r="M4799" s="2"/>
      <c r="N4799" s="2"/>
      <c r="O4799" s="2">
        <v>6717</v>
      </c>
      <c r="P4799" s="2"/>
      <c r="Q4799" s="2"/>
      <c r="R4799" s="2" t="s">
        <v>31463</v>
      </c>
      <c r="S4799" s="2" t="s">
        <v>31464</v>
      </c>
      <c r="T4799" s="2" t="s">
        <v>31465</v>
      </c>
      <c r="U4799" s="2" t="s">
        <v>610</v>
      </c>
      <c r="V4799" s="2" t="s">
        <v>611</v>
      </c>
      <c r="W4799" s="2" t="s">
        <v>1122</v>
      </c>
      <c r="X4799" s="2" t="s">
        <v>147</v>
      </c>
      <c r="Y4799" s="2">
        <v>43.3</v>
      </c>
      <c r="Z4799" s="2">
        <v>18.899999999999999</v>
      </c>
      <c r="AA4799" s="2" t="s">
        <v>218</v>
      </c>
      <c r="AB4799" s="2" t="s">
        <v>31466</v>
      </c>
      <c r="AC4799" s="2">
        <v>0.326009692542711</v>
      </c>
      <c r="AD4799" s="2"/>
      <c r="AE4799" s="2">
        <v>6.8973428782281798E-2</v>
      </c>
      <c r="AF4799" s="2">
        <v>659.46975167392497</v>
      </c>
      <c r="AG4799" s="2">
        <v>838.12658435255003</v>
      </c>
      <c r="AH4799" s="4">
        <v>0.78683788819723799</v>
      </c>
      <c r="AI4799" s="4">
        <v>-0.34586166625133502</v>
      </c>
      <c r="AJ4799" s="4" t="s">
        <v>62</v>
      </c>
      <c r="AK4799" s="2">
        <v>0.730169913494082</v>
      </c>
      <c r="AL4799" s="2">
        <v>0.87592840640547398</v>
      </c>
      <c r="AM4799" s="2">
        <v>8.559877937157E-6</v>
      </c>
      <c r="AN4799" s="2">
        <v>1022.15087397754</v>
      </c>
      <c r="AO4799" s="2">
        <v>8.559877937157E-6</v>
      </c>
      <c r="AP4799" s="2">
        <v>2837.9766861268299</v>
      </c>
      <c r="AQ4799" s="2">
        <v>8.559877937157E-6</v>
      </c>
      <c r="AR4799" s="2">
        <v>96.690924259548098</v>
      </c>
      <c r="AS4799" s="2">
        <v>737.09916429418104</v>
      </c>
      <c r="AT4799" s="2">
        <v>8.559877937157E-6</v>
      </c>
      <c r="AU4799" s="2">
        <v>1001.26301546799</v>
      </c>
      <c r="AV4799" s="2">
        <v>824.00181774465398</v>
      </c>
      <c r="AW4799" s="2">
        <v>1406.1369320383301</v>
      </c>
      <c r="AX4799" s="2">
        <v>1060.25856801027</v>
      </c>
    </row>
    <row r="4800" spans="1:50" x14ac:dyDescent="0.25">
      <c r="A4800" s="2" t="s">
        <v>31467</v>
      </c>
      <c r="B4800" s="2">
        <v>123.092139393282</v>
      </c>
      <c r="C4800" s="2">
        <v>10.691333333333301</v>
      </c>
      <c r="D4800" s="2" t="s">
        <v>51</v>
      </c>
      <c r="E4800" s="2" t="s">
        <v>31468</v>
      </c>
      <c r="F4800" s="2">
        <v>280126</v>
      </c>
      <c r="G4800" s="3" t="str">
        <f>HYPERLINK("https://cloud.oebiotech.com/#/lm/network/280126", "https://cloud.oebiotech.com/#/lm/network/280126")</f>
        <v>https://cloud.oebiotech.com/#/lm/network/280126</v>
      </c>
      <c r="H4800" s="2"/>
      <c r="I4800" s="2">
        <v>73089</v>
      </c>
      <c r="J4800" s="2"/>
      <c r="K4800" s="2">
        <v>7252</v>
      </c>
      <c r="L4800" s="2" t="s">
        <v>31469</v>
      </c>
      <c r="M4800" s="2"/>
      <c r="N4800" s="2"/>
      <c r="O4800" s="2"/>
      <c r="P4800" s="2"/>
      <c r="Q4800" s="2"/>
      <c r="R4800" s="2" t="s">
        <v>31470</v>
      </c>
      <c r="S4800" s="2" t="s">
        <v>31471</v>
      </c>
      <c r="T4800" s="2" t="s">
        <v>31472</v>
      </c>
      <c r="U4800" s="2" t="s">
        <v>610</v>
      </c>
      <c r="V4800" s="2" t="s">
        <v>611</v>
      </c>
      <c r="W4800" s="2" t="s">
        <v>6372</v>
      </c>
      <c r="X4800" s="2" t="s">
        <v>147</v>
      </c>
      <c r="Y4800" s="2">
        <v>37.5</v>
      </c>
      <c r="Z4800" s="2">
        <v>0</v>
      </c>
      <c r="AA4800" s="2" t="s">
        <v>259</v>
      </c>
      <c r="AB4800" s="2" t="s">
        <v>31473</v>
      </c>
      <c r="AC4800" s="2">
        <v>3.8058178484227998</v>
      </c>
      <c r="AD4800" s="2"/>
      <c r="AE4800" s="2">
        <v>6.8946831832066097E-2</v>
      </c>
      <c r="AF4800" s="2">
        <v>417.99697219314999</v>
      </c>
      <c r="AG4800" s="2">
        <v>566.48508708673705</v>
      </c>
      <c r="AH4800" s="4">
        <v>0.73787815729233497</v>
      </c>
      <c r="AI4800" s="4">
        <v>-0.43854548508187702</v>
      </c>
      <c r="AJ4800" s="4" t="s">
        <v>62</v>
      </c>
      <c r="AK4800" s="2">
        <v>0.17190386033525901</v>
      </c>
      <c r="AL4800" s="2">
        <v>0.49215166418631001</v>
      </c>
      <c r="AM4800" s="2">
        <v>344.40959946753202</v>
      </c>
      <c r="AN4800" s="2">
        <v>495.249193254734</v>
      </c>
      <c r="AO4800" s="2">
        <v>390.99217952062298</v>
      </c>
      <c r="AP4800" s="2">
        <v>539.32980014517102</v>
      </c>
      <c r="AQ4800" s="2">
        <v>390.80221862128298</v>
      </c>
      <c r="AR4800" s="2">
        <v>347.19884214955403</v>
      </c>
      <c r="AS4800" s="2">
        <v>433.42259261000498</v>
      </c>
      <c r="AT4800" s="2">
        <v>537.55798747260201</v>
      </c>
      <c r="AU4800" s="2">
        <v>264.50552019635302</v>
      </c>
      <c r="AV4800" s="2">
        <v>670.02245995583701</v>
      </c>
      <c r="AW4800" s="2">
        <v>537.56919326890795</v>
      </c>
      <c r="AX4800" s="2">
        <v>955.83276901671798</v>
      </c>
    </row>
    <row r="4801" spans="1:50" x14ac:dyDescent="0.25">
      <c r="A4801" s="2" t="s">
        <v>31474</v>
      </c>
      <c r="B4801" s="2">
        <v>174.09350000000001</v>
      </c>
      <c r="C4801" s="2">
        <v>13.858000000000001</v>
      </c>
      <c r="D4801" s="2" t="s">
        <v>125</v>
      </c>
      <c r="E4801" s="2" t="s">
        <v>31475</v>
      </c>
      <c r="F4801" s="2">
        <v>209832</v>
      </c>
      <c r="G4801" s="3" t="str">
        <f>HYPERLINK("https://cloud.oebiotech.com/#/lm/network/209832", "https://cloud.oebiotech.com/#/lm/network/209832")</f>
        <v>https://cloud.oebiotech.com/#/lm/network/209832</v>
      </c>
      <c r="H4801" s="2" t="s">
        <v>31476</v>
      </c>
      <c r="I4801" s="2">
        <v>65641</v>
      </c>
      <c r="J4801" s="2"/>
      <c r="K4801" s="2">
        <v>8143</v>
      </c>
      <c r="L4801" s="2" t="s">
        <v>31477</v>
      </c>
      <c r="M4801" s="2"/>
      <c r="N4801" s="2"/>
      <c r="O4801" s="2">
        <v>7728</v>
      </c>
      <c r="P4801" s="2"/>
      <c r="Q4801" s="2"/>
      <c r="R4801" s="2" t="s">
        <v>31478</v>
      </c>
      <c r="S4801" s="2" t="s">
        <v>31479</v>
      </c>
      <c r="T4801" s="2" t="s">
        <v>31480</v>
      </c>
      <c r="U4801" s="2" t="s">
        <v>119</v>
      </c>
      <c r="V4801" s="2" t="s">
        <v>120</v>
      </c>
      <c r="W4801" s="2" t="s">
        <v>1887</v>
      </c>
      <c r="X4801" s="2" t="s">
        <v>69</v>
      </c>
      <c r="Y4801" s="2">
        <v>92.4</v>
      </c>
      <c r="Z4801" s="2">
        <v>87.6</v>
      </c>
      <c r="AA4801" s="2"/>
      <c r="AB4801" s="2" t="s">
        <v>31481</v>
      </c>
      <c r="AC4801" s="2"/>
      <c r="AD4801" s="2">
        <v>466904.079071227</v>
      </c>
      <c r="AE4801" s="2">
        <v>6.8613550751545405E-2</v>
      </c>
      <c r="AF4801" s="2">
        <v>120855.18506316</v>
      </c>
      <c r="AG4801" s="2">
        <v>135667.16510203001</v>
      </c>
      <c r="AH4801" s="4">
        <v>0.89082118707404001</v>
      </c>
      <c r="AI4801" s="4">
        <v>-0.16679222364631099</v>
      </c>
      <c r="AJ4801" s="4" t="s">
        <v>62</v>
      </c>
      <c r="AK4801" s="2">
        <v>0.71676960146900504</v>
      </c>
      <c r="AL4801" s="2">
        <v>0.867274659721886</v>
      </c>
      <c r="AM4801" s="2">
        <v>255739.72033814399</v>
      </c>
      <c r="AN4801" s="2">
        <v>96628.127805120399</v>
      </c>
      <c r="AO4801" s="2">
        <v>92679.269147301195</v>
      </c>
      <c r="AP4801" s="2">
        <v>100245.03954496801</v>
      </c>
      <c r="AQ4801" s="2">
        <v>75045.021624412795</v>
      </c>
      <c r="AR4801" s="2">
        <v>104793.931919013</v>
      </c>
      <c r="AS4801" s="2">
        <v>83667.548920760295</v>
      </c>
      <c r="AT4801" s="2">
        <v>96967.894085254506</v>
      </c>
      <c r="AU4801" s="2">
        <v>271012.83962550201</v>
      </c>
      <c r="AV4801" s="2">
        <v>144176.972915355</v>
      </c>
      <c r="AW4801" s="2">
        <v>130168.99158764099</v>
      </c>
      <c r="AX4801" s="2">
        <v>88008.743477665397</v>
      </c>
    </row>
    <row r="4802" spans="1:50" x14ac:dyDescent="0.25">
      <c r="A4802" s="2" t="s">
        <v>31482</v>
      </c>
      <c r="B4802" s="2">
        <v>120.081269894996</v>
      </c>
      <c r="C4802" s="2">
        <v>3.5446</v>
      </c>
      <c r="D4802" s="2" t="s">
        <v>51</v>
      </c>
      <c r="E4802" s="2" t="s">
        <v>31483</v>
      </c>
      <c r="F4802" s="2">
        <v>267223</v>
      </c>
      <c r="G4802" s="3" t="str">
        <f>HYPERLINK("https://cloud.oebiotech.com/#/lm/network/267223", "https://cloud.oebiotech.com/#/lm/network/267223")</f>
        <v>https://cloud.oebiotech.com/#/lm/network/267223</v>
      </c>
      <c r="H4802" s="2"/>
      <c r="I4802" s="2">
        <v>45040</v>
      </c>
      <c r="J4802" s="2"/>
      <c r="K4802" s="2">
        <v>2724025</v>
      </c>
      <c r="L4802" s="2"/>
      <c r="M4802" s="2"/>
      <c r="N4802" s="2"/>
      <c r="O4802" s="2"/>
      <c r="P4802" s="2"/>
      <c r="Q4802" s="2"/>
      <c r="R4802" s="2" t="s">
        <v>31484</v>
      </c>
      <c r="S4802" s="2" t="s">
        <v>31485</v>
      </c>
      <c r="T4802" s="2" t="s">
        <v>31486</v>
      </c>
      <c r="U4802" s="2" t="s">
        <v>119</v>
      </c>
      <c r="V4802" s="2" t="s">
        <v>120</v>
      </c>
      <c r="W4802" s="2" t="s">
        <v>1887</v>
      </c>
      <c r="X4802" s="2" t="s">
        <v>147</v>
      </c>
      <c r="Y4802" s="2">
        <v>38</v>
      </c>
      <c r="Z4802" s="2">
        <v>0</v>
      </c>
      <c r="AA4802" s="2" t="s">
        <v>156</v>
      </c>
      <c r="AB4802" s="2" t="s">
        <v>21268</v>
      </c>
      <c r="AC4802" s="2">
        <v>3.6048527589514898</v>
      </c>
      <c r="AD4802" s="2"/>
      <c r="AE4802" s="2">
        <v>6.8526596530980199E-2</v>
      </c>
      <c r="AF4802" s="2">
        <v>5252.0558262425002</v>
      </c>
      <c r="AG4802" s="2">
        <v>5522.5761340313902</v>
      </c>
      <c r="AH4802" s="4">
        <v>0.95101555845977703</v>
      </c>
      <c r="AI4802" s="4">
        <v>-7.2459151352358905E-2</v>
      </c>
      <c r="AJ4802" s="4" t="s">
        <v>62</v>
      </c>
      <c r="AK4802" s="2">
        <v>0.67518303551869197</v>
      </c>
      <c r="AL4802" s="2">
        <v>0.84266589906968103</v>
      </c>
      <c r="AM4802" s="2">
        <v>4411.2162843236902</v>
      </c>
      <c r="AN4802" s="2">
        <v>4779.2420842085403</v>
      </c>
      <c r="AO4802" s="2">
        <v>5380.0752516501598</v>
      </c>
      <c r="AP4802" s="2">
        <v>4975.2966965563401</v>
      </c>
      <c r="AQ4802" s="2">
        <v>7150.6767835525197</v>
      </c>
      <c r="AR4802" s="2">
        <v>4815.8278571637302</v>
      </c>
      <c r="AS4802" s="2">
        <v>6473.45706295522</v>
      </c>
      <c r="AT4802" s="2">
        <v>5245.4518833187003</v>
      </c>
      <c r="AU4802" s="2">
        <v>4777.6184995315898</v>
      </c>
      <c r="AV4802" s="2">
        <v>6226.9348455195104</v>
      </c>
      <c r="AW4802" s="2">
        <v>3667.4583330855398</v>
      </c>
      <c r="AX4802" s="2">
        <v>6744.5361797777696</v>
      </c>
    </row>
    <row r="4803" spans="1:50" x14ac:dyDescent="0.25">
      <c r="A4803" s="2" t="s">
        <v>31487</v>
      </c>
      <c r="B4803" s="2">
        <v>444.13908492951498</v>
      </c>
      <c r="C4803" s="2">
        <v>4.3825500000000002</v>
      </c>
      <c r="D4803" s="2" t="s">
        <v>51</v>
      </c>
      <c r="E4803" s="2" t="s">
        <v>31488</v>
      </c>
      <c r="F4803" s="2">
        <v>205902</v>
      </c>
      <c r="G4803" s="3" t="str">
        <f>HYPERLINK("https://cloud.oebiotech.com/#/lm/network/205902", "https://cloud.oebiotech.com/#/lm/network/205902")</f>
        <v>https://cloud.oebiotech.com/#/lm/network/205902</v>
      </c>
      <c r="H4803" s="2" t="s">
        <v>31489</v>
      </c>
      <c r="I4803" s="2">
        <v>68932</v>
      </c>
      <c r="J4803" s="2"/>
      <c r="K4803" s="2">
        <v>56206</v>
      </c>
      <c r="L4803" s="2" t="s">
        <v>31490</v>
      </c>
      <c r="M4803" s="2"/>
      <c r="N4803" s="2"/>
      <c r="O4803" s="2">
        <v>4537</v>
      </c>
      <c r="P4803" s="2"/>
      <c r="Q4803" s="2"/>
      <c r="R4803" s="2" t="s">
        <v>31491</v>
      </c>
      <c r="S4803" s="2" t="s">
        <v>31492</v>
      </c>
      <c r="T4803" s="2" t="s">
        <v>31493</v>
      </c>
      <c r="U4803" s="2" t="s">
        <v>266</v>
      </c>
      <c r="V4803" s="2" t="s">
        <v>1393</v>
      </c>
      <c r="W4803" s="2" t="s">
        <v>16186</v>
      </c>
      <c r="X4803" s="2" t="s">
        <v>147</v>
      </c>
      <c r="Y4803" s="2">
        <v>38.799999999999997</v>
      </c>
      <c r="Z4803" s="2">
        <v>8.43</v>
      </c>
      <c r="AA4803" s="2" t="s">
        <v>241</v>
      </c>
      <c r="AB4803" s="2" t="s">
        <v>31494</v>
      </c>
      <c r="AC4803" s="2">
        <v>3.5930728277395998</v>
      </c>
      <c r="AD4803" s="2"/>
      <c r="AE4803" s="2">
        <v>6.84812086681581E-2</v>
      </c>
      <c r="AF4803" s="2">
        <v>2209.5948901206002</v>
      </c>
      <c r="AG4803" s="2">
        <v>2623.6626976488801</v>
      </c>
      <c r="AH4803" s="4">
        <v>0.84217948141758803</v>
      </c>
      <c r="AI4803" s="4">
        <v>-0.24780036829711699</v>
      </c>
      <c r="AJ4803" s="4" t="s">
        <v>62</v>
      </c>
      <c r="AK4803" s="2">
        <v>0.80278155923944905</v>
      </c>
      <c r="AL4803" s="2">
        <v>0.91130289047889301</v>
      </c>
      <c r="AM4803" s="2">
        <v>1004.17479239127</v>
      </c>
      <c r="AN4803" s="2">
        <v>936.01003004587699</v>
      </c>
      <c r="AO4803" s="2">
        <v>2604.5937067640398</v>
      </c>
      <c r="AP4803" s="2">
        <v>3233.9327683066099</v>
      </c>
      <c r="AQ4803" s="2">
        <v>990.98324170238698</v>
      </c>
      <c r="AR4803" s="2">
        <v>4487.8748015134197</v>
      </c>
      <c r="AS4803" s="2">
        <v>773.16949715697399</v>
      </c>
      <c r="AT4803" s="2">
        <v>2911.2768230049001</v>
      </c>
      <c r="AU4803" s="2">
        <v>519.27212148517901</v>
      </c>
      <c r="AV4803" s="2">
        <v>1729.96290561868</v>
      </c>
      <c r="AW4803" s="2">
        <v>8.559877937157E-6</v>
      </c>
      <c r="AX4803" s="2">
        <v>9808.2948300676508</v>
      </c>
    </row>
    <row r="4804" spans="1:50" x14ac:dyDescent="0.25">
      <c r="A4804" s="2" t="s">
        <v>31495</v>
      </c>
      <c r="B4804" s="2">
        <v>183.081084680071</v>
      </c>
      <c r="C4804" s="2">
        <v>9.5639333333333294</v>
      </c>
      <c r="D4804" s="2" t="s">
        <v>51</v>
      </c>
      <c r="E4804" s="2" t="s">
        <v>31496</v>
      </c>
      <c r="F4804" s="2">
        <v>56086</v>
      </c>
      <c r="G4804" s="3" t="str">
        <f>HYPERLINK("https://cloud.oebiotech.com/#/lm/network/56086", "https://cloud.oebiotech.com/#/lm/network/56086")</f>
        <v>https://cloud.oebiotech.com/#/lm/network/56086</v>
      </c>
      <c r="H4804" s="2" t="s">
        <v>31497</v>
      </c>
      <c r="I4804" s="2">
        <v>87777</v>
      </c>
      <c r="J4804" s="2"/>
      <c r="K4804" s="2">
        <v>101010</v>
      </c>
      <c r="L4804" s="2"/>
      <c r="M4804" s="2"/>
      <c r="N4804" s="2"/>
      <c r="O4804" s="2">
        <v>87335</v>
      </c>
      <c r="P4804" s="2"/>
      <c r="Q4804" s="2"/>
      <c r="R4804" s="2" t="s">
        <v>31498</v>
      </c>
      <c r="S4804" s="2" t="s">
        <v>31499</v>
      </c>
      <c r="T4804" s="2" t="s">
        <v>31500</v>
      </c>
      <c r="U4804" s="2" t="s">
        <v>266</v>
      </c>
      <c r="V4804" s="2" t="s">
        <v>31501</v>
      </c>
      <c r="W4804" s="2" t="s">
        <v>240</v>
      </c>
      <c r="X4804" s="2" t="s">
        <v>147</v>
      </c>
      <c r="Y4804" s="2">
        <v>38</v>
      </c>
      <c r="Z4804" s="2">
        <v>0</v>
      </c>
      <c r="AA4804" s="2" t="s">
        <v>95</v>
      </c>
      <c r="AB4804" s="2" t="s">
        <v>31502</v>
      </c>
      <c r="AC4804" s="2">
        <v>-2.0121694671022401</v>
      </c>
      <c r="AD4804" s="2"/>
      <c r="AE4804" s="2">
        <v>6.8442962500377499E-2</v>
      </c>
      <c r="AF4804" s="2">
        <v>1533.5583689463101</v>
      </c>
      <c r="AG4804" s="2">
        <v>1785.9572070558199</v>
      </c>
      <c r="AH4804" s="4">
        <v>0.85867587582034199</v>
      </c>
      <c r="AI4804" s="4">
        <v>-0.21981443452511701</v>
      </c>
      <c r="AJ4804" s="4" t="s">
        <v>62</v>
      </c>
      <c r="AK4804" s="2">
        <v>0.16709182302817399</v>
      </c>
      <c r="AL4804" s="2">
        <v>0.49000624457817699</v>
      </c>
      <c r="AM4804" s="2">
        <v>1466.3339998582201</v>
      </c>
      <c r="AN4804" s="2">
        <v>1703.4553953606201</v>
      </c>
      <c r="AO4804" s="2">
        <v>1384.3401388704101</v>
      </c>
      <c r="AP4804" s="2">
        <v>1437.8680778006301</v>
      </c>
      <c r="AQ4804" s="2">
        <v>2082.00670360501</v>
      </c>
      <c r="AR4804" s="2">
        <v>1127.3458981829699</v>
      </c>
      <c r="AS4804" s="2">
        <v>1710.7337503577701</v>
      </c>
      <c r="AT4804" s="2">
        <v>1834.9990202333699</v>
      </c>
      <c r="AU4804" s="2">
        <v>2094.0172022972101</v>
      </c>
      <c r="AV4804" s="2">
        <v>1549.05652173968</v>
      </c>
      <c r="AW4804" s="2">
        <v>1471.73636280239</v>
      </c>
      <c r="AX4804" s="2">
        <v>2055.20038490451</v>
      </c>
    </row>
    <row r="4805" spans="1:50" x14ac:dyDescent="0.25">
      <c r="A4805" s="2" t="s">
        <v>31503</v>
      </c>
      <c r="B4805" s="2">
        <v>159.0857</v>
      </c>
      <c r="C4805" s="2">
        <v>9.64</v>
      </c>
      <c r="D4805" s="2" t="s">
        <v>125</v>
      </c>
      <c r="E4805" s="2" t="s">
        <v>31504</v>
      </c>
      <c r="F4805" s="2">
        <v>1867</v>
      </c>
      <c r="G4805" s="3" t="str">
        <f>HYPERLINK("https://cloud.oebiotech.com/#/lm/network/1867", "https://cloud.oebiotech.com/#/lm/network/1867")</f>
        <v>https://cloud.oebiotech.com/#/lm/network/1867</v>
      </c>
      <c r="H4805" s="2" t="s">
        <v>31505</v>
      </c>
      <c r="I4805" s="2">
        <v>64935</v>
      </c>
      <c r="J4805" s="2" t="s">
        <v>31506</v>
      </c>
      <c r="K4805" s="2">
        <v>92779</v>
      </c>
      <c r="L4805" s="2"/>
      <c r="M4805" s="2"/>
      <c r="N4805" s="2"/>
      <c r="O4805" s="2">
        <v>59783</v>
      </c>
      <c r="P4805" s="2"/>
      <c r="Q4805" s="2"/>
      <c r="R4805" s="2" t="s">
        <v>31507</v>
      </c>
      <c r="S4805" s="2" t="s">
        <v>31508</v>
      </c>
      <c r="T4805" s="2" t="s">
        <v>31509</v>
      </c>
      <c r="U4805" s="2" t="s">
        <v>56</v>
      </c>
      <c r="V4805" s="2" t="s">
        <v>145</v>
      </c>
      <c r="W4805" s="2" t="s">
        <v>231</v>
      </c>
      <c r="X4805" s="2" t="s">
        <v>83</v>
      </c>
      <c r="Y4805" s="2">
        <v>83.7</v>
      </c>
      <c r="Z4805" s="2">
        <v>75.5</v>
      </c>
      <c r="AA4805" s="2"/>
      <c r="AB4805" s="2" t="s">
        <v>1431</v>
      </c>
      <c r="AC4805" s="2"/>
      <c r="AD4805" s="2">
        <v>325594.06528189901</v>
      </c>
      <c r="AE4805" s="2">
        <v>6.8330852571699005E-2</v>
      </c>
      <c r="AF4805" s="2">
        <v>16336.0078667206</v>
      </c>
      <c r="AG4805" s="2">
        <v>12455.0232056523</v>
      </c>
      <c r="AH4805" s="5">
        <v>1.31159995425035</v>
      </c>
      <c r="AI4805" s="5">
        <v>0.39132775652126001</v>
      </c>
      <c r="AJ4805" s="5" t="s">
        <v>139</v>
      </c>
      <c r="AK4805" s="2">
        <v>0.39965632039031002</v>
      </c>
      <c r="AL4805" s="2">
        <v>0.66838297863585105</v>
      </c>
      <c r="AM4805" s="2">
        <v>12461.0306589261</v>
      </c>
      <c r="AN4805" s="2">
        <v>13050.9958162893</v>
      </c>
      <c r="AO4805" s="2">
        <v>16478.021825181899</v>
      </c>
      <c r="AP4805" s="2">
        <v>34843.968251147002</v>
      </c>
      <c r="AQ4805" s="2">
        <v>15306.5370258248</v>
      </c>
      <c r="AR4805" s="2">
        <v>5875.4936229546502</v>
      </c>
      <c r="AS4805" s="2">
        <v>7394.4145540181598</v>
      </c>
      <c r="AT4805" s="2">
        <v>10319.998323403899</v>
      </c>
      <c r="AU4805" s="2">
        <v>17344.641334084699</v>
      </c>
      <c r="AV4805" s="2">
        <v>16697.811984469699</v>
      </c>
      <c r="AW4805" s="2">
        <v>15427.3853974186</v>
      </c>
      <c r="AX4805" s="2">
        <v>7545.8876405189203</v>
      </c>
    </row>
    <row r="4806" spans="1:50" x14ac:dyDescent="0.25">
      <c r="A4806" s="2" t="s">
        <v>31510</v>
      </c>
      <c r="B4806" s="2">
        <v>341.24484260487401</v>
      </c>
      <c r="C4806" s="2">
        <v>5.1816500000000003</v>
      </c>
      <c r="D4806" s="2" t="s">
        <v>51</v>
      </c>
      <c r="E4806" s="2" t="s">
        <v>31511</v>
      </c>
      <c r="F4806" s="2">
        <v>45007</v>
      </c>
      <c r="G4806" s="3" t="str">
        <f>HYPERLINK("https://cloud.oebiotech.com/#/lm/network/45007", "https://cloud.oebiotech.com/#/lm/network/45007")</f>
        <v>https://cloud.oebiotech.com/#/lm/network/45007</v>
      </c>
      <c r="H4806" s="2" t="s">
        <v>31512</v>
      </c>
      <c r="I4806" s="2">
        <v>41883</v>
      </c>
      <c r="J4806" s="2" t="s">
        <v>31513</v>
      </c>
      <c r="K4806" s="2">
        <v>92786</v>
      </c>
      <c r="L4806" s="2" t="s">
        <v>31514</v>
      </c>
      <c r="M4806" s="2" t="s">
        <v>2681</v>
      </c>
      <c r="N4806" s="2" t="s">
        <v>2682</v>
      </c>
      <c r="O4806" s="2">
        <v>50169</v>
      </c>
      <c r="P4806" s="2"/>
      <c r="Q4806" s="2"/>
      <c r="R4806" s="2" t="s">
        <v>31515</v>
      </c>
      <c r="S4806" s="2" t="s">
        <v>31516</v>
      </c>
      <c r="T4806" s="2" t="s">
        <v>31517</v>
      </c>
      <c r="U4806" s="2" t="s">
        <v>56</v>
      </c>
      <c r="V4806" s="2" t="s">
        <v>283</v>
      </c>
      <c r="W4806" s="2" t="s">
        <v>3686</v>
      </c>
      <c r="X4806" s="2" t="s">
        <v>147</v>
      </c>
      <c r="Y4806" s="2">
        <v>38.200000000000003</v>
      </c>
      <c r="Z4806" s="2">
        <v>0</v>
      </c>
      <c r="AA4806" s="2" t="s">
        <v>95</v>
      </c>
      <c r="AB4806" s="2" t="s">
        <v>24389</v>
      </c>
      <c r="AC4806" s="2">
        <v>-0.81193983263120295</v>
      </c>
      <c r="AD4806" s="2"/>
      <c r="AE4806" s="2">
        <v>6.8328543078925594E-2</v>
      </c>
      <c r="AF4806" s="2">
        <v>237.17602932083699</v>
      </c>
      <c r="AG4806" s="2">
        <v>42.082444816770497</v>
      </c>
      <c r="AH4806" s="5">
        <v>5.6359850373122597</v>
      </c>
      <c r="AI4806" s="5">
        <v>2.4946677815155298</v>
      </c>
      <c r="AJ4806" s="5" t="s">
        <v>139</v>
      </c>
      <c r="AK4806" s="2">
        <v>0.196118847104093</v>
      </c>
      <c r="AL4806" s="2">
        <v>0.520034656211255</v>
      </c>
      <c r="AM4806" s="2">
        <v>102.18243033757599</v>
      </c>
      <c r="AN4806" s="2">
        <v>8.559877937157E-6</v>
      </c>
      <c r="AO4806" s="2">
        <v>779.98122481125097</v>
      </c>
      <c r="AP4806" s="2">
        <v>8.559877937157E-6</v>
      </c>
      <c r="AQ4806" s="2">
        <v>540.89249509656202</v>
      </c>
      <c r="AR4806" s="2">
        <v>8.559877937157E-6</v>
      </c>
      <c r="AS4806" s="2">
        <v>125.383369746078</v>
      </c>
      <c r="AT4806" s="2">
        <v>8.559877937157E-6</v>
      </c>
      <c r="AU4806" s="2">
        <v>127.111264915033</v>
      </c>
      <c r="AV4806" s="2">
        <v>8.559877937157E-6</v>
      </c>
      <c r="AW4806" s="2">
        <v>8.559877937157E-6</v>
      </c>
      <c r="AX4806" s="2">
        <v>8.559877937157E-6</v>
      </c>
    </row>
    <row r="4807" spans="1:50" x14ac:dyDescent="0.25">
      <c r="A4807" s="2" t="s">
        <v>31518</v>
      </c>
      <c r="B4807" s="2">
        <v>305.14904511168697</v>
      </c>
      <c r="C4807" s="2">
        <v>0.54148333333333298</v>
      </c>
      <c r="D4807" s="2" t="s">
        <v>51</v>
      </c>
      <c r="E4807" s="2" t="s">
        <v>31519</v>
      </c>
      <c r="F4807" s="2">
        <v>266713</v>
      </c>
      <c r="G4807" s="3" t="str">
        <f>HYPERLINK("https://cloud.oebiotech.com/#/lm/network/266713", "https://cloud.oebiotech.com/#/lm/network/266713")</f>
        <v>https://cloud.oebiotech.com/#/lm/network/266713</v>
      </c>
      <c r="H4807" s="2"/>
      <c r="I4807" s="2">
        <v>43822</v>
      </c>
      <c r="J4807" s="2"/>
      <c r="K4807" s="2">
        <v>72378</v>
      </c>
      <c r="L4807" s="2" t="s">
        <v>31520</v>
      </c>
      <c r="M4807" s="2"/>
      <c r="N4807" s="2"/>
      <c r="O4807" s="2"/>
      <c r="P4807" s="2"/>
      <c r="Q4807" s="2"/>
      <c r="R4807" s="2" t="s">
        <v>31521</v>
      </c>
      <c r="S4807" s="2" t="s">
        <v>31522</v>
      </c>
      <c r="T4807" s="2" t="s">
        <v>31523</v>
      </c>
      <c r="U4807" s="2" t="s">
        <v>238</v>
      </c>
      <c r="V4807" s="2" t="s">
        <v>31524</v>
      </c>
      <c r="W4807" s="2" t="s">
        <v>31525</v>
      </c>
      <c r="X4807" s="2" t="s">
        <v>147</v>
      </c>
      <c r="Y4807" s="2">
        <v>36.1</v>
      </c>
      <c r="Z4807" s="2">
        <v>0</v>
      </c>
      <c r="AA4807" s="2" t="s">
        <v>512</v>
      </c>
      <c r="AB4807" s="2" t="s">
        <v>31526</v>
      </c>
      <c r="AC4807" s="2">
        <v>-1.8753639537026801</v>
      </c>
      <c r="AD4807" s="2"/>
      <c r="AE4807" s="2">
        <v>6.8271302498767006E-2</v>
      </c>
      <c r="AF4807" s="2">
        <v>393.93546799539001</v>
      </c>
      <c r="AG4807" s="2">
        <v>148.28682806831</v>
      </c>
      <c r="AH4807" s="5">
        <v>2.6565776146612299</v>
      </c>
      <c r="AI4807" s="5">
        <v>1.40956886325371</v>
      </c>
      <c r="AJ4807" s="5" t="s">
        <v>139</v>
      </c>
      <c r="AK4807" s="2">
        <v>0.15594714958731301</v>
      </c>
      <c r="AL4807" s="2">
        <v>0.47717103882190898</v>
      </c>
      <c r="AM4807" s="2">
        <v>426.88519601545102</v>
      </c>
      <c r="AN4807" s="2">
        <v>272.27971984081898</v>
      </c>
      <c r="AO4807" s="2">
        <v>8.559877937157E-6</v>
      </c>
      <c r="AP4807" s="2">
        <v>1035.0256716563299</v>
      </c>
      <c r="AQ4807" s="2">
        <v>414.99190035617897</v>
      </c>
      <c r="AR4807" s="2">
        <v>214.430311543681</v>
      </c>
      <c r="AS4807" s="2">
        <v>8.559877937157E-6</v>
      </c>
      <c r="AT4807" s="2">
        <v>244.393669207155</v>
      </c>
      <c r="AU4807" s="2">
        <v>227.313852349332</v>
      </c>
      <c r="AV4807" s="2">
        <v>418.01342117373702</v>
      </c>
      <c r="AW4807" s="2">
        <v>8.559877937157E-6</v>
      </c>
      <c r="AX4807" s="2">
        <v>8.559877937157E-6</v>
      </c>
    </row>
    <row r="4808" spans="1:50" x14ac:dyDescent="0.25">
      <c r="A4808" s="2" t="s">
        <v>31527</v>
      </c>
      <c r="B4808" s="2">
        <v>455.302761451028</v>
      </c>
      <c r="C4808" s="2">
        <v>9.4429666666666705</v>
      </c>
      <c r="D4808" s="2" t="s">
        <v>51</v>
      </c>
      <c r="E4808" s="2" t="s">
        <v>31528</v>
      </c>
      <c r="F4808" s="2">
        <v>255973</v>
      </c>
      <c r="G4808" s="3" t="str">
        <f>HYPERLINK("https://cloud.oebiotech.com/#/lm/network/255973", "https://cloud.oebiotech.com/#/lm/network/255973")</f>
        <v>https://cloud.oebiotech.com/#/lm/network/255973</v>
      </c>
      <c r="H4808" s="2" t="s">
        <v>31529</v>
      </c>
      <c r="I4808" s="2"/>
      <c r="J4808" s="2"/>
      <c r="K4808" s="2"/>
      <c r="L4808" s="2"/>
      <c r="M4808" s="2"/>
      <c r="N4808" s="2"/>
      <c r="O4808" s="2"/>
      <c r="P4808" s="2"/>
      <c r="Q4808" s="2"/>
      <c r="R4808" s="2"/>
      <c r="S4808" s="2" t="s">
        <v>31530</v>
      </c>
      <c r="T4808" s="2" t="s">
        <v>31531</v>
      </c>
      <c r="U4808" s="2" t="s">
        <v>331</v>
      </c>
      <c r="V4808" s="2" t="s">
        <v>332</v>
      </c>
      <c r="W4808" s="2" t="s">
        <v>333</v>
      </c>
      <c r="X4808" s="2" t="s">
        <v>83</v>
      </c>
      <c r="Y4808" s="2">
        <v>41.1</v>
      </c>
      <c r="Z4808" s="2">
        <v>0</v>
      </c>
      <c r="AA4808" s="2" t="s">
        <v>259</v>
      </c>
      <c r="AB4808" s="2" t="s">
        <v>19122</v>
      </c>
      <c r="AC4808" s="2">
        <v>5.3519091885306498</v>
      </c>
      <c r="AD4808" s="2"/>
      <c r="AE4808" s="2">
        <v>6.8186112134550905E-2</v>
      </c>
      <c r="AF4808" s="2">
        <v>4186.8863854708698</v>
      </c>
      <c r="AG4808" s="2">
        <v>4562.4381485636404</v>
      </c>
      <c r="AH4808" s="4">
        <v>0.91768616891584498</v>
      </c>
      <c r="AI4808" s="4">
        <v>-0.123927230962899</v>
      </c>
      <c r="AJ4808" s="4" t="s">
        <v>62</v>
      </c>
      <c r="AK4808" s="2">
        <v>0.45548635017453598</v>
      </c>
      <c r="AL4808" s="2">
        <v>0.70746115680770305</v>
      </c>
      <c r="AM4808" s="2">
        <v>3969.80860988937</v>
      </c>
      <c r="AN4808" s="2">
        <v>5447.33654580854</v>
      </c>
      <c r="AO4808" s="2">
        <v>4205.0098981595102</v>
      </c>
      <c r="AP4808" s="2">
        <v>3133.1439845158802</v>
      </c>
      <c r="AQ4808" s="2">
        <v>4862.1898496042504</v>
      </c>
      <c r="AR4808" s="2">
        <v>3503.82942484769</v>
      </c>
      <c r="AS4808" s="2">
        <v>5021.9542938576296</v>
      </c>
      <c r="AT4808" s="2">
        <v>3664.8804946314199</v>
      </c>
      <c r="AU4808" s="2">
        <v>4309.1364063516403</v>
      </c>
      <c r="AV4808" s="2">
        <v>3664.6356831831899</v>
      </c>
      <c r="AW4808" s="2">
        <v>5040.4087190288701</v>
      </c>
      <c r="AX4808" s="2">
        <v>5673.6132943291204</v>
      </c>
    </row>
    <row r="4809" spans="1:50" x14ac:dyDescent="0.25">
      <c r="A4809" s="2" t="s">
        <v>31532</v>
      </c>
      <c r="B4809" s="2">
        <v>395.31678216845</v>
      </c>
      <c r="C4809" s="2">
        <v>13.510733333333301</v>
      </c>
      <c r="D4809" s="2" t="s">
        <v>51</v>
      </c>
      <c r="E4809" s="2" t="s">
        <v>31533</v>
      </c>
      <c r="F4809" s="2">
        <v>7783</v>
      </c>
      <c r="G4809" s="3" t="str">
        <f>HYPERLINK("https://cloud.oebiotech.com/#/lm/network/7783", "https://cloud.oebiotech.com/#/lm/network/7783")</f>
        <v>https://cloud.oebiotech.com/#/lm/network/7783</v>
      </c>
      <c r="H4809" s="2" t="s">
        <v>31534</v>
      </c>
      <c r="I4809" s="2">
        <v>87860</v>
      </c>
      <c r="J4809" s="2" t="s">
        <v>31535</v>
      </c>
      <c r="K4809" s="2">
        <v>16821</v>
      </c>
      <c r="L4809" s="2"/>
      <c r="M4809" s="2"/>
      <c r="N4809" s="2"/>
      <c r="O4809" s="2"/>
      <c r="P4809" s="2"/>
      <c r="Q4809" s="2"/>
      <c r="R4809" s="2" t="s">
        <v>31536</v>
      </c>
      <c r="S4809" s="2" t="s">
        <v>31537</v>
      </c>
      <c r="T4809" s="2" t="s">
        <v>31538</v>
      </c>
      <c r="U4809" s="2" t="s">
        <v>266</v>
      </c>
      <c r="V4809" s="2" t="s">
        <v>3994</v>
      </c>
      <c r="W4809" s="2" t="s">
        <v>3995</v>
      </c>
      <c r="X4809" s="2" t="s">
        <v>147</v>
      </c>
      <c r="Y4809" s="2">
        <v>38.700000000000003</v>
      </c>
      <c r="Z4809" s="2">
        <v>0</v>
      </c>
      <c r="AA4809" s="2" t="s">
        <v>478</v>
      </c>
      <c r="AB4809" s="2" t="s">
        <v>31539</v>
      </c>
      <c r="AC4809" s="2">
        <v>0.24906677353706899</v>
      </c>
      <c r="AD4809" s="2"/>
      <c r="AE4809" s="2">
        <v>6.8034711217940802E-2</v>
      </c>
      <c r="AF4809" s="2">
        <v>2254.0281212724799</v>
      </c>
      <c r="AG4809" s="2">
        <v>1491.10225252283</v>
      </c>
      <c r="AH4809" s="5">
        <v>1.51165228102824</v>
      </c>
      <c r="AI4809" s="5">
        <v>0.59612632069109095</v>
      </c>
      <c r="AJ4809" s="5" t="s">
        <v>139</v>
      </c>
      <c r="AK4809" s="2">
        <v>0.41983934476324303</v>
      </c>
      <c r="AL4809" s="2">
        <v>0.68072239494470299</v>
      </c>
      <c r="AM4809" s="2">
        <v>646.87824032975197</v>
      </c>
      <c r="AN4809" s="2">
        <v>1558.46335528993</v>
      </c>
      <c r="AO4809" s="2">
        <v>3592.7864715842002</v>
      </c>
      <c r="AP4809" s="2">
        <v>2546.4822756052699</v>
      </c>
      <c r="AQ4809" s="2">
        <v>4167.8800969164304</v>
      </c>
      <c r="AR4809" s="2">
        <v>1011.6782879093</v>
      </c>
      <c r="AS4809" s="2">
        <v>1012.53967922627</v>
      </c>
      <c r="AT4809" s="2">
        <v>669.97303340383303</v>
      </c>
      <c r="AU4809" s="2">
        <v>8.559877937157E-6</v>
      </c>
      <c r="AV4809" s="2">
        <v>8.559877937157E-6</v>
      </c>
      <c r="AW4809" s="2">
        <v>3666.0147289419801</v>
      </c>
      <c r="AX4809" s="2">
        <v>3598.08605644516</v>
      </c>
    </row>
    <row r="4810" spans="1:50" x14ac:dyDescent="0.25">
      <c r="A4810" s="2" t="s">
        <v>31540</v>
      </c>
      <c r="B4810" s="2">
        <v>261.05574322522</v>
      </c>
      <c r="C4810" s="2">
        <v>5.4175500000000003</v>
      </c>
      <c r="D4810" s="2" t="s">
        <v>51</v>
      </c>
      <c r="E4810" s="2" t="s">
        <v>31541</v>
      </c>
      <c r="F4810" s="2">
        <v>534688</v>
      </c>
      <c r="G4810" s="3" t="str">
        <f>HYPERLINK("https://cloud.oebiotech.com/#/lm/network/534688", "https://cloud.oebiotech.com/#/lm/network/534688")</f>
        <v>https://cloud.oebiotech.com/#/lm/network/534688</v>
      </c>
      <c r="H4810" s="2"/>
      <c r="I4810" s="2">
        <v>985115</v>
      </c>
      <c r="J4810" s="2"/>
      <c r="K4810" s="2">
        <v>10978265</v>
      </c>
      <c r="L4810" s="2"/>
      <c r="M4810" s="2"/>
      <c r="N4810" s="2"/>
      <c r="O4810" s="2"/>
      <c r="P4810" s="2"/>
      <c r="Q4810" s="2"/>
      <c r="R4810" s="2"/>
      <c r="S4810" s="2" t="s">
        <v>31542</v>
      </c>
      <c r="T4810" s="2" t="s">
        <v>31543</v>
      </c>
      <c r="U4810" s="2" t="s">
        <v>540</v>
      </c>
      <c r="V4810" s="2" t="s">
        <v>541</v>
      </c>
      <c r="W4810" s="2" t="s">
        <v>3377</v>
      </c>
      <c r="X4810" s="2" t="s">
        <v>147</v>
      </c>
      <c r="Y4810" s="2">
        <v>36.5</v>
      </c>
      <c r="Z4810" s="2">
        <v>0</v>
      </c>
      <c r="AA4810" s="2" t="s">
        <v>163</v>
      </c>
      <c r="AB4810" s="2" t="s">
        <v>31544</v>
      </c>
      <c r="AC4810" s="2">
        <v>9.7220289905948595E-2</v>
      </c>
      <c r="AD4810" s="2"/>
      <c r="AE4810" s="2">
        <v>6.8002304812618097E-2</v>
      </c>
      <c r="AF4810" s="2">
        <v>886.19953039320899</v>
      </c>
      <c r="AG4810" s="2">
        <v>626.81942543993898</v>
      </c>
      <c r="AH4810" s="5">
        <v>1.4138035523886701</v>
      </c>
      <c r="AI4810" s="5">
        <v>0.49958167199745301</v>
      </c>
      <c r="AJ4810" s="5" t="s">
        <v>139</v>
      </c>
      <c r="AK4810" s="2">
        <v>0.46277820123139402</v>
      </c>
      <c r="AL4810" s="2">
        <v>0.71230743534755303</v>
      </c>
      <c r="AM4810" s="2">
        <v>1459.25439280516</v>
      </c>
      <c r="AN4810" s="2">
        <v>970.31248130756705</v>
      </c>
      <c r="AO4810" s="2">
        <v>553.82277425109805</v>
      </c>
      <c r="AP4810" s="2">
        <v>1517.53302117517</v>
      </c>
      <c r="AQ4810" s="2">
        <v>322.40244919114502</v>
      </c>
      <c r="AR4810" s="2">
        <v>493.87206362911201</v>
      </c>
      <c r="AS4810" s="2">
        <v>1093.08018402994</v>
      </c>
      <c r="AT4810" s="2">
        <v>8.559877937157E-6</v>
      </c>
      <c r="AU4810" s="2">
        <v>1674.5916214988799</v>
      </c>
      <c r="AV4810" s="2">
        <v>8.559877937157E-6</v>
      </c>
      <c r="AW4810" s="2">
        <v>570.23724326995602</v>
      </c>
      <c r="AX4810" s="2">
        <v>423.00748672109899</v>
      </c>
    </row>
    <row r="4811" spans="1:50" x14ac:dyDescent="0.25">
      <c r="A4811" s="2" t="s">
        <v>31545</v>
      </c>
      <c r="B4811" s="2">
        <v>490.17595210609801</v>
      </c>
      <c r="C4811" s="2">
        <v>4.5462333333333298</v>
      </c>
      <c r="D4811" s="2" t="s">
        <v>51</v>
      </c>
      <c r="E4811" s="2" t="s">
        <v>31546</v>
      </c>
      <c r="F4811" s="2">
        <v>62997</v>
      </c>
      <c r="G4811" s="3" t="str">
        <f>HYPERLINK("https://cloud.oebiotech.com/#/lm/network/62997", "https://cloud.oebiotech.com/#/lm/network/62997")</f>
        <v>https://cloud.oebiotech.com/#/lm/network/62997</v>
      </c>
      <c r="H4811" s="2" t="s">
        <v>31547</v>
      </c>
      <c r="I4811" s="2">
        <v>94294</v>
      </c>
      <c r="J4811" s="2"/>
      <c r="K4811" s="2">
        <v>78382737</v>
      </c>
      <c r="L4811" s="2"/>
      <c r="M4811" s="2"/>
      <c r="N4811" s="2"/>
      <c r="O4811" s="2">
        <v>168540</v>
      </c>
      <c r="P4811" s="2"/>
      <c r="Q4811" s="2"/>
      <c r="R4811" s="2" t="s">
        <v>31548</v>
      </c>
      <c r="S4811" s="2" t="s">
        <v>31549</v>
      </c>
      <c r="T4811" s="2" t="s">
        <v>31550</v>
      </c>
      <c r="U4811" s="2" t="s">
        <v>331</v>
      </c>
      <c r="V4811" s="2" t="s">
        <v>332</v>
      </c>
      <c r="W4811" s="2" t="s">
        <v>333</v>
      </c>
      <c r="X4811" s="2" t="s">
        <v>147</v>
      </c>
      <c r="Y4811" s="2">
        <v>38.700000000000003</v>
      </c>
      <c r="Z4811" s="2">
        <v>0</v>
      </c>
      <c r="AA4811" s="2" t="s">
        <v>512</v>
      </c>
      <c r="AB4811" s="2" t="s">
        <v>31551</v>
      </c>
      <c r="AC4811" s="2">
        <v>-1.4690793382927501</v>
      </c>
      <c r="AD4811" s="2"/>
      <c r="AE4811" s="2">
        <v>6.7960906453791894E-2</v>
      </c>
      <c r="AF4811" s="2">
        <v>8168.24833488885</v>
      </c>
      <c r="AG4811" s="2">
        <v>8860.1093315454491</v>
      </c>
      <c r="AH4811" s="4">
        <v>0.92191281498149202</v>
      </c>
      <c r="AI4811" s="4">
        <v>-0.11729777301930901</v>
      </c>
      <c r="AJ4811" s="4" t="s">
        <v>62</v>
      </c>
      <c r="AK4811" s="2">
        <v>0.85813306650632104</v>
      </c>
      <c r="AL4811" s="2">
        <v>0.93793357376805098</v>
      </c>
      <c r="AM4811" s="2">
        <v>6168.7614778104698</v>
      </c>
      <c r="AN4811" s="2">
        <v>2433.62464731201</v>
      </c>
      <c r="AO4811" s="2">
        <v>15246.004780041099</v>
      </c>
      <c r="AP4811" s="2">
        <v>8.559877937157E-6</v>
      </c>
      <c r="AQ4811" s="2">
        <v>3104.7752976914298</v>
      </c>
      <c r="AR4811" s="2">
        <v>22056.323797918201</v>
      </c>
      <c r="AS4811" s="2">
        <v>14331.7978704126</v>
      </c>
      <c r="AT4811" s="2">
        <v>8025.1556914861303</v>
      </c>
      <c r="AU4811" s="2">
        <v>4785.2984050158702</v>
      </c>
      <c r="AV4811" s="2">
        <v>7193.06163277009</v>
      </c>
      <c r="AW4811" s="2">
        <v>8000.6838747477996</v>
      </c>
      <c r="AX4811" s="2">
        <v>10824.658514840199</v>
      </c>
    </row>
    <row r="4812" spans="1:50" x14ac:dyDescent="0.25">
      <c r="A4812" s="2" t="s">
        <v>31552</v>
      </c>
      <c r="B4812" s="2">
        <v>297.12781186185902</v>
      </c>
      <c r="C4812" s="2">
        <v>4.1329500000000001</v>
      </c>
      <c r="D4812" s="2" t="s">
        <v>51</v>
      </c>
      <c r="E4812" s="2" t="s">
        <v>31553</v>
      </c>
      <c r="F4812" s="2">
        <v>54020</v>
      </c>
      <c r="G4812" s="3" t="str">
        <f>HYPERLINK("https://cloud.oebiotech.com/#/lm/network/54020", "https://cloud.oebiotech.com/#/lm/network/54020")</f>
        <v>https://cloud.oebiotech.com/#/lm/network/54020</v>
      </c>
      <c r="H4812" s="2" t="s">
        <v>31554</v>
      </c>
      <c r="I4812" s="2">
        <v>85901</v>
      </c>
      <c r="J4812" s="2"/>
      <c r="K4812" s="2">
        <v>7010505</v>
      </c>
      <c r="L4812" s="2"/>
      <c r="M4812" s="2"/>
      <c r="N4812" s="2"/>
      <c r="O4812" s="2">
        <v>74719</v>
      </c>
      <c r="P4812" s="2"/>
      <c r="Q4812" s="2"/>
      <c r="R4812" s="2" t="s">
        <v>31555</v>
      </c>
      <c r="S4812" s="2" t="s">
        <v>31556</v>
      </c>
      <c r="T4812" s="2" t="s">
        <v>31557</v>
      </c>
      <c r="U4812" s="2" t="s">
        <v>103</v>
      </c>
      <c r="V4812" s="2" t="s">
        <v>104</v>
      </c>
      <c r="W4812" s="2" t="s">
        <v>105</v>
      </c>
      <c r="X4812" s="2" t="s">
        <v>83</v>
      </c>
      <c r="Y4812" s="2">
        <v>43.7</v>
      </c>
      <c r="Z4812" s="2">
        <v>21</v>
      </c>
      <c r="AA4812" s="2" t="s">
        <v>259</v>
      </c>
      <c r="AB4812" s="2" t="s">
        <v>17976</v>
      </c>
      <c r="AC4812" s="2">
        <v>3.6198909931149501</v>
      </c>
      <c r="AD4812" s="2"/>
      <c r="AE4812" s="2">
        <v>6.7958816858562296E-2</v>
      </c>
      <c r="AF4812" s="2">
        <v>225.085429419544</v>
      </c>
      <c r="AG4812" s="2">
        <v>448.21663373654297</v>
      </c>
      <c r="AH4812" s="4">
        <v>0.50218000064639901</v>
      </c>
      <c r="AI4812" s="4">
        <v>-0.99372352056466795</v>
      </c>
      <c r="AJ4812" s="4" t="s">
        <v>62</v>
      </c>
      <c r="AK4812" s="2">
        <v>0.26334442676763598</v>
      </c>
      <c r="AL4812" s="2">
        <v>0.58557148379005897</v>
      </c>
      <c r="AM4812" s="2">
        <v>115.27781821336799</v>
      </c>
      <c r="AN4812" s="2">
        <v>193.54110610604599</v>
      </c>
      <c r="AO4812" s="2">
        <v>8.559877937157E-6</v>
      </c>
      <c r="AP4812" s="2">
        <v>229.31294881170101</v>
      </c>
      <c r="AQ4812" s="2">
        <v>363.62960812265402</v>
      </c>
      <c r="AR4812" s="2">
        <v>448.75108670361601</v>
      </c>
      <c r="AS4812" s="2">
        <v>8.559877937157E-6</v>
      </c>
      <c r="AT4812" s="2">
        <v>255.69216138437699</v>
      </c>
      <c r="AU4812" s="2">
        <v>852.973729365091</v>
      </c>
      <c r="AV4812" s="2">
        <v>8.559877937157E-6</v>
      </c>
      <c r="AW4812" s="2">
        <v>1006.67565217996</v>
      </c>
      <c r="AX4812" s="2">
        <v>573.95824237007503</v>
      </c>
    </row>
    <row r="4813" spans="1:50" x14ac:dyDescent="0.25">
      <c r="A4813" s="2" t="s">
        <v>31558</v>
      </c>
      <c r="B4813" s="2">
        <v>451.306726994271</v>
      </c>
      <c r="C4813" s="2">
        <v>11.842883333333299</v>
      </c>
      <c r="D4813" s="2" t="s">
        <v>51</v>
      </c>
      <c r="E4813" s="2" t="s">
        <v>31559</v>
      </c>
      <c r="F4813" s="2">
        <v>51372</v>
      </c>
      <c r="G4813" s="3" t="str">
        <f>HYPERLINK("https://cloud.oebiotech.com/#/lm/network/51372", "https://cloud.oebiotech.com/#/lm/network/51372")</f>
        <v>https://cloud.oebiotech.com/#/lm/network/51372</v>
      </c>
      <c r="H4813" s="2" t="s">
        <v>31560</v>
      </c>
      <c r="I4813" s="2">
        <v>62337</v>
      </c>
      <c r="J4813" s="2"/>
      <c r="K4813" s="2">
        <v>53480969</v>
      </c>
      <c r="L4813" s="2"/>
      <c r="M4813" s="2"/>
      <c r="N4813" s="2"/>
      <c r="O4813" s="2"/>
      <c r="P4813" s="2"/>
      <c r="Q4813" s="2"/>
      <c r="R4813" s="2"/>
      <c r="S4813" s="2" t="s">
        <v>31561</v>
      </c>
      <c r="T4813" s="2" t="s">
        <v>31562</v>
      </c>
      <c r="U4813" s="2" t="s">
        <v>56</v>
      </c>
      <c r="V4813" s="2" t="s">
        <v>3215</v>
      </c>
      <c r="W4813" s="2" t="s">
        <v>4174</v>
      </c>
      <c r="X4813" s="2" t="s">
        <v>83</v>
      </c>
      <c r="Y4813" s="2">
        <v>51.3</v>
      </c>
      <c r="Z4813" s="2">
        <v>0</v>
      </c>
      <c r="AA4813" s="2" t="s">
        <v>218</v>
      </c>
      <c r="AB4813" s="2" t="s">
        <v>29228</v>
      </c>
      <c r="AC4813" s="2">
        <v>0.52742975262322001</v>
      </c>
      <c r="AD4813" s="2"/>
      <c r="AE4813" s="2">
        <v>6.7944960048868297E-2</v>
      </c>
      <c r="AF4813" s="2">
        <v>893.27722228018297</v>
      </c>
      <c r="AG4813" s="2">
        <v>593.81482255718402</v>
      </c>
      <c r="AH4813" s="5">
        <v>1.50430266868955</v>
      </c>
      <c r="AI4813" s="5">
        <v>0.58909486933350697</v>
      </c>
      <c r="AJ4813" s="5" t="s">
        <v>139</v>
      </c>
      <c r="AK4813" s="2">
        <v>0.23607974041589799</v>
      </c>
      <c r="AL4813" s="2">
        <v>0.56083325745832202</v>
      </c>
      <c r="AM4813" s="2">
        <v>819.54653490221904</v>
      </c>
      <c r="AN4813" s="2">
        <v>607.10238616985805</v>
      </c>
      <c r="AO4813" s="2">
        <v>1204.06940867602</v>
      </c>
      <c r="AP4813" s="2">
        <v>1294.0480652537799</v>
      </c>
      <c r="AQ4813" s="2">
        <v>1019.10650552547</v>
      </c>
      <c r="AR4813" s="2">
        <v>415.79043315375299</v>
      </c>
      <c r="AS4813" s="2">
        <v>847.02482337965898</v>
      </c>
      <c r="AT4813" s="2">
        <v>774.45007541724897</v>
      </c>
      <c r="AU4813" s="2">
        <v>8.559877937157E-6</v>
      </c>
      <c r="AV4813" s="2">
        <v>8.559877937157E-6</v>
      </c>
      <c r="AW4813" s="2">
        <v>1067.14165352091</v>
      </c>
      <c r="AX4813" s="2">
        <v>874.27236590553105</v>
      </c>
    </row>
    <row r="4814" spans="1:50" x14ac:dyDescent="0.25">
      <c r="A4814" s="2" t="s">
        <v>31563</v>
      </c>
      <c r="B4814" s="2">
        <v>392.28076657071898</v>
      </c>
      <c r="C4814" s="2">
        <v>11.505183333333299</v>
      </c>
      <c r="D4814" s="2" t="s">
        <v>51</v>
      </c>
      <c r="E4814" s="2" t="s">
        <v>31564</v>
      </c>
      <c r="F4814" s="2">
        <v>198477</v>
      </c>
      <c r="G4814" s="3" t="str">
        <f>HYPERLINK("https://cloud.oebiotech.com/#/lm/network/198477", "https://cloud.oebiotech.com/#/lm/network/198477")</f>
        <v>https://cloud.oebiotech.com/#/lm/network/198477</v>
      </c>
      <c r="H4814" s="2" t="s">
        <v>31565</v>
      </c>
      <c r="I4814" s="2"/>
      <c r="J4814" s="2"/>
      <c r="K4814" s="2">
        <v>350647</v>
      </c>
      <c r="L4814" s="2"/>
      <c r="M4814" s="2"/>
      <c r="N4814" s="2"/>
      <c r="O4814" s="2"/>
      <c r="P4814" s="2"/>
      <c r="Q4814" s="2"/>
      <c r="R4814" s="2"/>
      <c r="S4814" s="2" t="s">
        <v>31566</v>
      </c>
      <c r="T4814" s="2" t="s">
        <v>31567</v>
      </c>
      <c r="U4814" s="2" t="s">
        <v>103</v>
      </c>
      <c r="V4814" s="2" t="s">
        <v>104</v>
      </c>
      <c r="W4814" s="2" t="s">
        <v>105</v>
      </c>
      <c r="X4814" s="2" t="s">
        <v>83</v>
      </c>
      <c r="Y4814" s="2">
        <v>53.5</v>
      </c>
      <c r="Z4814" s="2">
        <v>0</v>
      </c>
      <c r="AA4814" s="2" t="s">
        <v>379</v>
      </c>
      <c r="AB4814" s="2" t="s">
        <v>31568</v>
      </c>
      <c r="AC4814" s="2">
        <v>0.32646182220629399</v>
      </c>
      <c r="AD4814" s="2"/>
      <c r="AE4814" s="2">
        <v>6.7919852452291998E-2</v>
      </c>
      <c r="AF4814" s="2">
        <v>773.85765260947596</v>
      </c>
      <c r="AG4814" s="2">
        <v>1055.70772363988</v>
      </c>
      <c r="AH4814" s="4">
        <v>0.73302263048844696</v>
      </c>
      <c r="AI4814" s="4">
        <v>-0.44807035575137399</v>
      </c>
      <c r="AJ4814" s="4" t="s">
        <v>62</v>
      </c>
      <c r="AK4814" s="2">
        <v>0.39635232792875102</v>
      </c>
      <c r="AL4814" s="2">
        <v>0.66752996494649497</v>
      </c>
      <c r="AM4814" s="2">
        <v>983.13638280707198</v>
      </c>
      <c r="AN4814" s="2">
        <v>266.29701455695999</v>
      </c>
      <c r="AO4814" s="2">
        <v>765.62135855943302</v>
      </c>
      <c r="AP4814" s="2">
        <v>679.67671694754495</v>
      </c>
      <c r="AQ4814" s="2">
        <v>1492.59109870311</v>
      </c>
      <c r="AR4814" s="2">
        <v>455.82334408273601</v>
      </c>
      <c r="AS4814" s="2">
        <v>309.08090140570403</v>
      </c>
      <c r="AT4814" s="2">
        <v>186.98286410742199</v>
      </c>
      <c r="AU4814" s="2">
        <v>1780.84507235671</v>
      </c>
      <c r="AV4814" s="2">
        <v>1315.80884737156</v>
      </c>
      <c r="AW4814" s="2">
        <v>1407.89997032769</v>
      </c>
      <c r="AX4814" s="2">
        <v>1333.6286862702</v>
      </c>
    </row>
    <row r="4815" spans="1:50" x14ac:dyDescent="0.25">
      <c r="A4815" s="2" t="s">
        <v>31569</v>
      </c>
      <c r="B4815" s="2">
        <v>331.17971143749298</v>
      </c>
      <c r="C4815" s="2">
        <v>4.1536</v>
      </c>
      <c r="D4815" s="2" t="s">
        <v>51</v>
      </c>
      <c r="E4815" s="2" t="s">
        <v>31570</v>
      </c>
      <c r="F4815" s="2">
        <v>211785</v>
      </c>
      <c r="G4815" s="3" t="str">
        <f>HYPERLINK("https://cloud.oebiotech.com/#/lm/network/211785", "https://cloud.oebiotech.com/#/lm/network/211785")</f>
        <v>https://cloud.oebiotech.com/#/lm/network/211785</v>
      </c>
      <c r="H4815" s="2" t="s">
        <v>31571</v>
      </c>
      <c r="I4815" s="2">
        <v>332727</v>
      </c>
      <c r="J4815" s="2"/>
      <c r="K4815" s="2">
        <v>58505</v>
      </c>
      <c r="L4815" s="2"/>
      <c r="M4815" s="2"/>
      <c r="N4815" s="2"/>
      <c r="O4815" s="2"/>
      <c r="P4815" s="2"/>
      <c r="Q4815" s="2"/>
      <c r="R4815" s="2"/>
      <c r="S4815" s="2" t="s">
        <v>31572</v>
      </c>
      <c r="T4815" s="2" t="s">
        <v>31573</v>
      </c>
      <c r="U4815" s="2" t="s">
        <v>610</v>
      </c>
      <c r="V4815" s="2" t="s">
        <v>611</v>
      </c>
      <c r="W4815" s="2" t="s">
        <v>11492</v>
      </c>
      <c r="X4815" s="2" t="s">
        <v>147</v>
      </c>
      <c r="Y4815" s="2">
        <v>36.299999999999997</v>
      </c>
      <c r="Z4815" s="2">
        <v>0</v>
      </c>
      <c r="AA4815" s="2" t="s">
        <v>512</v>
      </c>
      <c r="AB4815" s="2" t="s">
        <v>31574</v>
      </c>
      <c r="AC4815" s="2">
        <v>-0.40461379624221899</v>
      </c>
      <c r="AD4815" s="2"/>
      <c r="AE4815" s="2">
        <v>6.7892353130583297E-2</v>
      </c>
      <c r="AF4815" s="2">
        <v>10137.637243727</v>
      </c>
      <c r="AG4815" s="2">
        <v>11315.453387584401</v>
      </c>
      <c r="AH4815" s="4">
        <v>0.89591083065662303</v>
      </c>
      <c r="AI4815" s="4">
        <v>-0.15857294583127601</v>
      </c>
      <c r="AJ4815" s="4" t="s">
        <v>62</v>
      </c>
      <c r="AK4815" s="2">
        <v>0.791498796376508</v>
      </c>
      <c r="AL4815" s="2">
        <v>0.90801243635244999</v>
      </c>
      <c r="AM4815" s="2">
        <v>16238.025362885601</v>
      </c>
      <c r="AN4815" s="2">
        <v>3538.9557923202901</v>
      </c>
      <c r="AO4815" s="2">
        <v>14103.3148946404</v>
      </c>
      <c r="AP4815" s="2">
        <v>4293.11808392291</v>
      </c>
      <c r="AQ4815" s="2">
        <v>8048.7941580244496</v>
      </c>
      <c r="AR4815" s="2">
        <v>14603.615170568401</v>
      </c>
      <c r="AS4815" s="2">
        <v>134.36708670670799</v>
      </c>
      <c r="AT4815" s="2">
        <v>4069.67901581561</v>
      </c>
      <c r="AU4815" s="2">
        <v>12524.5760316988</v>
      </c>
      <c r="AV4815" s="2">
        <v>25988.621497699201</v>
      </c>
      <c r="AW4815" s="2">
        <v>15032.8341959626</v>
      </c>
      <c r="AX4815" s="2">
        <v>10142.642497623299</v>
      </c>
    </row>
    <row r="4816" spans="1:50" x14ac:dyDescent="0.25">
      <c r="A4816" s="2" t="s">
        <v>31575</v>
      </c>
      <c r="B4816" s="2">
        <v>350.172718484131</v>
      </c>
      <c r="C4816" s="2">
        <v>4.1098999999999997</v>
      </c>
      <c r="D4816" s="2" t="s">
        <v>51</v>
      </c>
      <c r="E4816" s="2" t="s">
        <v>31576</v>
      </c>
      <c r="F4816" s="2">
        <v>263573</v>
      </c>
      <c r="G4816" s="3" t="str">
        <f>HYPERLINK("https://cloud.oebiotech.com/#/lm/network/263573", "https://cloud.oebiotech.com/#/lm/network/263573")</f>
        <v>https://cloud.oebiotech.com/#/lm/network/263573</v>
      </c>
      <c r="H4816" s="2"/>
      <c r="I4816" s="2">
        <v>20994</v>
      </c>
      <c r="J4816" s="2"/>
      <c r="K4816" s="2">
        <v>145457783</v>
      </c>
      <c r="L4816" s="2"/>
      <c r="M4816" s="2"/>
      <c r="N4816" s="2"/>
      <c r="O4816" s="2"/>
      <c r="P4816" s="2"/>
      <c r="Q4816" s="2"/>
      <c r="R4816" s="2"/>
      <c r="S4816" s="2" t="s">
        <v>31577</v>
      </c>
      <c r="T4816" s="2" t="s">
        <v>31578</v>
      </c>
      <c r="U4816" s="2" t="s">
        <v>103</v>
      </c>
      <c r="V4816" s="2" t="s">
        <v>104</v>
      </c>
      <c r="W4816" s="2" t="s">
        <v>105</v>
      </c>
      <c r="X4816" s="2" t="s">
        <v>83</v>
      </c>
      <c r="Y4816" s="2">
        <v>51.2</v>
      </c>
      <c r="Z4816" s="2">
        <v>0</v>
      </c>
      <c r="AA4816" s="2" t="s">
        <v>259</v>
      </c>
      <c r="AB4816" s="2" t="s">
        <v>31579</v>
      </c>
      <c r="AC4816" s="2">
        <v>-4.8685164046629801</v>
      </c>
      <c r="AD4816" s="2"/>
      <c r="AE4816" s="2">
        <v>6.7871151640348598E-2</v>
      </c>
      <c r="AF4816" s="2">
        <v>1517.5054119843601</v>
      </c>
      <c r="AG4816" s="2">
        <v>1815.0044100017001</v>
      </c>
      <c r="AH4816" s="4">
        <v>0.83608910458952701</v>
      </c>
      <c r="AI4816" s="4">
        <v>-0.25827139193627302</v>
      </c>
      <c r="AJ4816" s="4" t="s">
        <v>62</v>
      </c>
      <c r="AK4816" s="2">
        <v>0.71004149261308902</v>
      </c>
      <c r="AL4816" s="2">
        <v>0.86206878152227195</v>
      </c>
      <c r="AM4816" s="2">
        <v>1981.4810498583699</v>
      </c>
      <c r="AN4816" s="2">
        <v>14.7685022990173</v>
      </c>
      <c r="AO4816" s="2">
        <v>2501.23065684537</v>
      </c>
      <c r="AP4816" s="2">
        <v>1291.3807561388901</v>
      </c>
      <c r="AQ4816" s="2">
        <v>1715.3810626998099</v>
      </c>
      <c r="AR4816" s="2">
        <v>1600.7904440647301</v>
      </c>
      <c r="AS4816" s="2">
        <v>704.19637492491802</v>
      </c>
      <c r="AT4816" s="2">
        <v>1069.80372433038</v>
      </c>
      <c r="AU4816" s="2">
        <v>3.40728973923094</v>
      </c>
      <c r="AV4816" s="2">
        <v>4805.4391196607203</v>
      </c>
      <c r="AW4816" s="2">
        <v>2577.5752572093302</v>
      </c>
      <c r="AX4816" s="2">
        <v>1729.60469414563</v>
      </c>
    </row>
    <row r="4817" spans="1:50" x14ac:dyDescent="0.25">
      <c r="A4817" s="2" t="s">
        <v>31580</v>
      </c>
      <c r="B4817" s="2">
        <v>224.03842700315101</v>
      </c>
      <c r="C4817" s="2">
        <v>6.4981666666666698</v>
      </c>
      <c r="D4817" s="2" t="s">
        <v>51</v>
      </c>
      <c r="E4817" s="2" t="s">
        <v>31581</v>
      </c>
      <c r="F4817" s="2">
        <v>202601</v>
      </c>
      <c r="G4817" s="3" t="str">
        <f>HYPERLINK("https://cloud.oebiotech.com/#/lm/network/202601", "https://cloud.oebiotech.com/#/lm/network/202601")</f>
        <v>https://cloud.oebiotech.com/#/lm/network/202601</v>
      </c>
      <c r="H4817" s="2" t="s">
        <v>31582</v>
      </c>
      <c r="I4817" s="2"/>
      <c r="J4817" s="2"/>
      <c r="K4817" s="2">
        <v>10198397</v>
      </c>
      <c r="L4817" s="2"/>
      <c r="M4817" s="2"/>
      <c r="N4817" s="2"/>
      <c r="O4817" s="2"/>
      <c r="P4817" s="2"/>
      <c r="Q4817" s="2"/>
      <c r="R4817" s="2"/>
      <c r="S4817" s="2" t="s">
        <v>31583</v>
      </c>
      <c r="T4817" s="2" t="s">
        <v>31584</v>
      </c>
      <c r="U4817" s="2" t="s">
        <v>266</v>
      </c>
      <c r="V4817" s="2" t="s">
        <v>13648</v>
      </c>
      <c r="W4817" s="2" t="s">
        <v>31585</v>
      </c>
      <c r="X4817" s="2" t="s">
        <v>147</v>
      </c>
      <c r="Y4817" s="2">
        <v>37</v>
      </c>
      <c r="Z4817" s="2">
        <v>0</v>
      </c>
      <c r="AA4817" s="2" t="s">
        <v>259</v>
      </c>
      <c r="AB4817" s="2" t="s">
        <v>31586</v>
      </c>
      <c r="AC4817" s="2">
        <v>3.7502482322056099</v>
      </c>
      <c r="AD4817" s="2"/>
      <c r="AE4817" s="2">
        <v>6.7830138094646095E-2</v>
      </c>
      <c r="AF4817" s="2">
        <v>1407.04429322894</v>
      </c>
      <c r="AG4817" s="2">
        <v>1543.40846104563</v>
      </c>
      <c r="AH4817" s="4">
        <v>0.91164738871244499</v>
      </c>
      <c r="AI4817" s="4">
        <v>-0.133452175019245</v>
      </c>
      <c r="AJ4817" s="4" t="s">
        <v>62</v>
      </c>
      <c r="AK4817" s="2">
        <v>8.5765071239509993E-2</v>
      </c>
      <c r="AL4817" s="2">
        <v>0.378105092551277</v>
      </c>
      <c r="AM4817" s="2">
        <v>1245.0980619172699</v>
      </c>
      <c r="AN4817" s="2">
        <v>1396.4690741535101</v>
      </c>
      <c r="AO4817" s="2">
        <v>1341.25303203199</v>
      </c>
      <c r="AP4817" s="2">
        <v>1461.6595869978901</v>
      </c>
      <c r="AQ4817" s="2">
        <v>1618.9794176774201</v>
      </c>
      <c r="AR4817" s="2">
        <v>1378.80658659556</v>
      </c>
      <c r="AS4817" s="2">
        <v>1599.6467240693801</v>
      </c>
      <c r="AT4817" s="2">
        <v>1620.0209717223599</v>
      </c>
      <c r="AU4817" s="2">
        <v>1616.4223608494599</v>
      </c>
      <c r="AV4817" s="2">
        <v>1467.6728724889299</v>
      </c>
      <c r="AW4817" s="2">
        <v>1629.3818717650499</v>
      </c>
      <c r="AX4817" s="2">
        <v>1327.3059653785899</v>
      </c>
    </row>
    <row r="4818" spans="1:50" x14ac:dyDescent="0.25">
      <c r="A4818" s="2" t="s">
        <v>31587</v>
      </c>
      <c r="B4818" s="2">
        <v>307.19169474959699</v>
      </c>
      <c r="C4818" s="2">
        <v>7.8818000000000001</v>
      </c>
      <c r="D4818" s="2" t="s">
        <v>51</v>
      </c>
      <c r="E4818" s="2" t="s">
        <v>31588</v>
      </c>
      <c r="F4818" s="2">
        <v>3325</v>
      </c>
      <c r="G4818" s="3" t="str">
        <f>HYPERLINK("https://cloud.oebiotech.com/#/lm/network/3325", "https://cloud.oebiotech.com/#/lm/network/3325")</f>
        <v>https://cloud.oebiotech.com/#/lm/network/3325</v>
      </c>
      <c r="H4818" s="2"/>
      <c r="I4818" s="2"/>
      <c r="J4818" s="2" t="s">
        <v>31589</v>
      </c>
      <c r="K4818" s="2">
        <v>101563153</v>
      </c>
      <c r="L4818" s="2"/>
      <c r="M4818" s="2"/>
      <c r="N4818" s="2"/>
      <c r="O4818" s="2"/>
      <c r="P4818" s="2"/>
      <c r="Q4818" s="2"/>
      <c r="R4818" s="2"/>
      <c r="S4818" s="2" t="s">
        <v>31590</v>
      </c>
      <c r="T4818" s="2" t="s">
        <v>31591</v>
      </c>
      <c r="U4818" s="2" t="s">
        <v>56</v>
      </c>
      <c r="V4818" s="2" t="s">
        <v>145</v>
      </c>
      <c r="W4818" s="2" t="s">
        <v>187</v>
      </c>
      <c r="X4818" s="2" t="s">
        <v>83</v>
      </c>
      <c r="Y4818" s="2">
        <v>41.5</v>
      </c>
      <c r="Z4818" s="2">
        <v>0</v>
      </c>
      <c r="AA4818" s="2" t="s">
        <v>163</v>
      </c>
      <c r="AB4818" s="2" t="s">
        <v>12571</v>
      </c>
      <c r="AC4818" s="2">
        <v>0.68723637188771103</v>
      </c>
      <c r="AD4818" s="2"/>
      <c r="AE4818" s="2">
        <v>6.7795949089466095E-2</v>
      </c>
      <c r="AF4818" s="2">
        <v>321.34284373286101</v>
      </c>
      <c r="AG4818" s="2">
        <v>932.27088516013498</v>
      </c>
      <c r="AH4818" s="4">
        <v>0.34468827553019998</v>
      </c>
      <c r="AI4818" s="4">
        <v>-1.53663586819294</v>
      </c>
      <c r="AJ4818" s="4" t="s">
        <v>62</v>
      </c>
      <c r="AK4818" s="2">
        <v>0.38935351939160801</v>
      </c>
      <c r="AL4818" s="2">
        <v>0.66425053006551105</v>
      </c>
      <c r="AM4818" s="2">
        <v>462.01545793788102</v>
      </c>
      <c r="AN4818" s="2">
        <v>829.91322169682701</v>
      </c>
      <c r="AO4818" s="2">
        <v>232.042554045587</v>
      </c>
      <c r="AP4818" s="2">
        <v>8.559877937157E-6</v>
      </c>
      <c r="AQ4818" s="2">
        <v>404.08581159711201</v>
      </c>
      <c r="AR4818" s="2">
        <v>8.559877937157E-6</v>
      </c>
      <c r="AS4818" s="2">
        <v>168.787707843406</v>
      </c>
      <c r="AT4818" s="2">
        <v>8.559877937157E-6</v>
      </c>
      <c r="AU4818" s="2">
        <v>4237.9616953834902</v>
      </c>
      <c r="AV4818" s="2">
        <v>257.89337892694198</v>
      </c>
      <c r="AW4818" s="2">
        <v>632.00651804236702</v>
      </c>
      <c r="AX4818" s="2">
        <v>296.97600220472799</v>
      </c>
    </row>
    <row r="4819" spans="1:50" x14ac:dyDescent="0.25">
      <c r="A4819" s="2" t="s">
        <v>31592</v>
      </c>
      <c r="B4819" s="2">
        <v>210.9965</v>
      </c>
      <c r="C4819" s="2">
        <v>8.8889999999999993</v>
      </c>
      <c r="D4819" s="2" t="s">
        <v>125</v>
      </c>
      <c r="E4819" s="2" t="s">
        <v>31593</v>
      </c>
      <c r="F4819" s="2">
        <v>355793</v>
      </c>
      <c r="G4819" s="3" t="str">
        <f>HYPERLINK("https://cloud.oebiotech.com/#/lm/network/355793", "https://cloud.oebiotech.com/#/lm/network/355793")</f>
        <v>https://cloud.oebiotech.com/#/lm/network/355793</v>
      </c>
      <c r="H4819" s="2"/>
      <c r="I4819" s="2">
        <v>431106</v>
      </c>
      <c r="J4819" s="2"/>
      <c r="K4819" s="2">
        <v>107908</v>
      </c>
      <c r="L4819" s="2"/>
      <c r="M4819" s="2"/>
      <c r="N4819" s="2"/>
      <c r="O4819" s="2"/>
      <c r="P4819" s="2"/>
      <c r="Q4819" s="2"/>
      <c r="R4819" s="2"/>
      <c r="S4819" s="2" t="s">
        <v>31594</v>
      </c>
      <c r="T4819" s="2" t="s">
        <v>31595</v>
      </c>
      <c r="U4819" s="2" t="s">
        <v>683</v>
      </c>
      <c r="V4819" s="2" t="s">
        <v>684</v>
      </c>
      <c r="W4819" s="2" t="s">
        <v>31596</v>
      </c>
      <c r="X4819" s="2" t="s">
        <v>83</v>
      </c>
      <c r="Y4819" s="2">
        <v>81.099999999999994</v>
      </c>
      <c r="Z4819" s="2">
        <v>70.900000000000006</v>
      </c>
      <c r="AA4819" s="2"/>
      <c r="AB4819" s="2" t="s">
        <v>31597</v>
      </c>
      <c r="AC4819" s="2"/>
      <c r="AD4819" s="2">
        <v>298648.63070539403</v>
      </c>
      <c r="AE4819" s="2">
        <v>6.7729986463828398E-2</v>
      </c>
      <c r="AF4819" s="2">
        <v>50670.9796632055</v>
      </c>
      <c r="AG4819" s="2">
        <v>47483.594718689797</v>
      </c>
      <c r="AH4819" s="5">
        <v>1.0671260245438201</v>
      </c>
      <c r="AI4819" s="5">
        <v>9.3730564398575203E-2</v>
      </c>
      <c r="AJ4819" s="5" t="s">
        <v>139</v>
      </c>
      <c r="AK4819" s="2">
        <v>0.186157310398263</v>
      </c>
      <c r="AL4819" s="2">
        <v>0.51040020334889302</v>
      </c>
      <c r="AM4819" s="2">
        <v>47834.037130398501</v>
      </c>
      <c r="AN4819" s="2">
        <v>48453.755405746902</v>
      </c>
      <c r="AO4819" s="2">
        <v>51408.172616194803</v>
      </c>
      <c r="AP4819" s="2">
        <v>54043.884309912501</v>
      </c>
      <c r="AQ4819" s="2">
        <v>46919.079998536799</v>
      </c>
      <c r="AR4819" s="2">
        <v>55366.9485184433</v>
      </c>
      <c r="AS4819" s="2">
        <v>42148.412827925298</v>
      </c>
      <c r="AT4819" s="2">
        <v>46055.779604933799</v>
      </c>
      <c r="AU4819" s="2">
        <v>51905.865062000201</v>
      </c>
      <c r="AV4819" s="2">
        <v>53282.205270321203</v>
      </c>
      <c r="AW4819" s="2">
        <v>45217.418639238</v>
      </c>
      <c r="AX4819" s="2">
        <v>46291.88690772</v>
      </c>
    </row>
    <row r="4820" spans="1:50" x14ac:dyDescent="0.25">
      <c r="A4820" s="2" t="s">
        <v>31598</v>
      </c>
      <c r="B4820" s="2">
        <v>298.31132383493502</v>
      </c>
      <c r="C4820" s="2">
        <v>14.077</v>
      </c>
      <c r="D4820" s="2" t="s">
        <v>51</v>
      </c>
      <c r="E4820" s="2" t="s">
        <v>31599</v>
      </c>
      <c r="F4820" s="2">
        <v>274716</v>
      </c>
      <c r="G4820" s="3" t="str">
        <f>HYPERLINK("https://cloud.oebiotech.com/#/lm/network/274716", "https://cloud.oebiotech.com/#/lm/network/274716")</f>
        <v>https://cloud.oebiotech.com/#/lm/network/274716</v>
      </c>
      <c r="H4820" s="2"/>
      <c r="I4820" s="2">
        <v>64930</v>
      </c>
      <c r="J4820" s="2"/>
      <c r="K4820" s="2">
        <v>5063962</v>
      </c>
      <c r="L4820" s="2"/>
      <c r="M4820" s="2"/>
      <c r="N4820" s="2"/>
      <c r="O4820" s="2"/>
      <c r="P4820" s="2"/>
      <c r="Q4820" s="2"/>
      <c r="R4820" s="2" t="s">
        <v>31600</v>
      </c>
      <c r="S4820" s="2" t="s">
        <v>31601</v>
      </c>
      <c r="T4820" s="2" t="s">
        <v>31602</v>
      </c>
      <c r="U4820" s="2" t="s">
        <v>56</v>
      </c>
      <c r="V4820" s="2" t="s">
        <v>145</v>
      </c>
      <c r="W4820" s="2" t="s">
        <v>1617</v>
      </c>
      <c r="X4820" s="2" t="s">
        <v>83</v>
      </c>
      <c r="Y4820" s="2">
        <v>46.3</v>
      </c>
      <c r="Z4820" s="2">
        <v>1.49E-2</v>
      </c>
      <c r="AA4820" s="2" t="s">
        <v>259</v>
      </c>
      <c r="AB4820" s="2" t="s">
        <v>31603</v>
      </c>
      <c r="AC4820" s="2">
        <v>2.9684441652323899</v>
      </c>
      <c r="AD4820" s="2"/>
      <c r="AE4820" s="2">
        <v>6.7697917138964905E-2</v>
      </c>
      <c r="AF4820" s="2">
        <v>4409.36524352379</v>
      </c>
      <c r="AG4820" s="2">
        <v>4056.4336331783702</v>
      </c>
      <c r="AH4820" s="5">
        <v>1.08700539495056</v>
      </c>
      <c r="AI4820" s="5">
        <v>0.12035910066798899</v>
      </c>
      <c r="AJ4820" s="5" t="s">
        <v>139</v>
      </c>
      <c r="AK4820" s="2">
        <v>0.721616728412518</v>
      </c>
      <c r="AL4820" s="2">
        <v>0.87113430593434704</v>
      </c>
      <c r="AM4820" s="2">
        <v>4542.1073253165296</v>
      </c>
      <c r="AN4820" s="2">
        <v>2485.8278173526501</v>
      </c>
      <c r="AO4820" s="2">
        <v>8023.2194422326102</v>
      </c>
      <c r="AP4820" s="2">
        <v>3939.3473519509598</v>
      </c>
      <c r="AQ4820" s="2">
        <v>4552.2697106165997</v>
      </c>
      <c r="AR4820" s="2">
        <v>2913.4198136734199</v>
      </c>
      <c r="AS4820" s="2">
        <v>4162.6495907872204</v>
      </c>
      <c r="AT4820" s="2">
        <v>2930.4371786543402</v>
      </c>
      <c r="AU4820" s="2">
        <v>6546.35759737235</v>
      </c>
      <c r="AV4820" s="2">
        <v>3536.8683522787001</v>
      </c>
      <c r="AW4820" s="2">
        <v>3156.7734397523</v>
      </c>
      <c r="AX4820" s="2">
        <v>4005.5156402252801</v>
      </c>
    </row>
    <row r="4821" spans="1:50" x14ac:dyDescent="0.25">
      <c r="A4821" s="2" t="s">
        <v>31604</v>
      </c>
      <c r="B4821" s="2">
        <v>241.07151728843601</v>
      </c>
      <c r="C4821" s="2">
        <v>4.5012333333333299</v>
      </c>
      <c r="D4821" s="2" t="s">
        <v>51</v>
      </c>
      <c r="E4821" s="2" t="s">
        <v>31605</v>
      </c>
      <c r="F4821" s="2">
        <v>62437</v>
      </c>
      <c r="G4821" s="3" t="str">
        <f>HYPERLINK("https://cloud.oebiotech.com/#/lm/network/62437", "https://cloud.oebiotech.com/#/lm/network/62437")</f>
        <v>https://cloud.oebiotech.com/#/lm/network/62437</v>
      </c>
      <c r="H4821" s="2" t="s">
        <v>31606</v>
      </c>
      <c r="I4821" s="2">
        <v>93733</v>
      </c>
      <c r="J4821" s="2"/>
      <c r="K4821" s="2">
        <v>188234</v>
      </c>
      <c r="L4821" s="2"/>
      <c r="M4821" s="2"/>
      <c r="N4821" s="2"/>
      <c r="O4821" s="2">
        <v>174252</v>
      </c>
      <c r="P4821" s="2"/>
      <c r="Q4821" s="2"/>
      <c r="R4821" s="2" t="s">
        <v>31607</v>
      </c>
      <c r="S4821" s="2" t="s">
        <v>31608</v>
      </c>
      <c r="T4821" s="2" t="s">
        <v>31609</v>
      </c>
      <c r="U4821" s="2" t="s">
        <v>103</v>
      </c>
      <c r="V4821" s="2" t="s">
        <v>104</v>
      </c>
      <c r="W4821" s="2" t="s">
        <v>3415</v>
      </c>
      <c r="X4821" s="2" t="s">
        <v>83</v>
      </c>
      <c r="Y4821" s="2">
        <v>43.4</v>
      </c>
      <c r="Z4821" s="2">
        <v>0</v>
      </c>
      <c r="AA4821" s="2" t="s">
        <v>163</v>
      </c>
      <c r="AB4821" s="2" t="s">
        <v>31610</v>
      </c>
      <c r="AC4821" s="2">
        <v>-1.0097772452248801</v>
      </c>
      <c r="AD4821" s="2"/>
      <c r="AE4821" s="2">
        <v>6.7530400202576196E-2</v>
      </c>
      <c r="AF4821" s="2">
        <v>148.836148849952</v>
      </c>
      <c r="AG4821" s="2">
        <v>364.44854192999401</v>
      </c>
      <c r="AH4821" s="4">
        <v>0.40838728030510701</v>
      </c>
      <c r="AI4821" s="4">
        <v>-1.29199016238006</v>
      </c>
      <c r="AJ4821" s="4" t="s">
        <v>62</v>
      </c>
      <c r="AK4821" s="2">
        <v>0.135923554597003</v>
      </c>
      <c r="AL4821" s="2">
        <v>0.457070459966327</v>
      </c>
      <c r="AM4821" s="2">
        <v>192.894003732812</v>
      </c>
      <c r="AN4821" s="2">
        <v>155.99649678363301</v>
      </c>
      <c r="AO4821" s="2">
        <v>93.1281330810165</v>
      </c>
      <c r="AP4821" s="2">
        <v>276.064551335445</v>
      </c>
      <c r="AQ4821" s="2">
        <v>8.559877937157E-6</v>
      </c>
      <c r="AR4821" s="2">
        <v>174.933699606928</v>
      </c>
      <c r="AS4821" s="2">
        <v>655.89457464197403</v>
      </c>
      <c r="AT4821" s="2">
        <v>845.00810019727498</v>
      </c>
      <c r="AU4821" s="2">
        <v>180.56048187699199</v>
      </c>
      <c r="AV4821" s="2">
        <v>183.58569208359901</v>
      </c>
      <c r="AW4821" s="2">
        <v>262.86959415198697</v>
      </c>
      <c r="AX4821" s="2">
        <v>58.772808628136602</v>
      </c>
    </row>
    <row r="4822" spans="1:50" x14ac:dyDescent="0.25">
      <c r="A4822" s="2" t="s">
        <v>31611</v>
      </c>
      <c r="B4822" s="2">
        <v>159.10174929802599</v>
      </c>
      <c r="C4822" s="2">
        <v>7.65811666666667</v>
      </c>
      <c r="D4822" s="2" t="s">
        <v>51</v>
      </c>
      <c r="E4822" s="2" t="s">
        <v>31612</v>
      </c>
      <c r="F4822" s="2">
        <v>256109</v>
      </c>
      <c r="G4822" s="3" t="str">
        <f>HYPERLINK("https://cloud.oebiotech.com/#/lm/network/256109", "https://cloud.oebiotech.com/#/lm/network/256109")</f>
        <v>https://cloud.oebiotech.com/#/lm/network/256109</v>
      </c>
      <c r="H4822" s="2" t="s">
        <v>31613</v>
      </c>
      <c r="I4822" s="2"/>
      <c r="J4822" s="2"/>
      <c r="K4822" s="2"/>
      <c r="L4822" s="2"/>
      <c r="M4822" s="2"/>
      <c r="N4822" s="2"/>
      <c r="O4822" s="2"/>
      <c r="P4822" s="2"/>
      <c r="Q4822" s="2"/>
      <c r="R4822" s="2"/>
      <c r="S4822" s="2" t="s">
        <v>31614</v>
      </c>
      <c r="T4822" s="2" t="s">
        <v>31615</v>
      </c>
      <c r="U4822" s="2" t="s">
        <v>331</v>
      </c>
      <c r="V4822" s="2" t="s">
        <v>332</v>
      </c>
      <c r="W4822" s="2" t="s">
        <v>519</v>
      </c>
      <c r="X4822" s="2" t="s">
        <v>83</v>
      </c>
      <c r="Y4822" s="2">
        <v>40.6</v>
      </c>
      <c r="Z4822" s="2">
        <v>0</v>
      </c>
      <c r="AA4822" s="2" t="s">
        <v>218</v>
      </c>
      <c r="AB4822" s="2" t="s">
        <v>31616</v>
      </c>
      <c r="AC4822" s="2">
        <v>-8.0508726220456204</v>
      </c>
      <c r="AD4822" s="2"/>
      <c r="AE4822" s="2">
        <v>6.7493396429330305E-2</v>
      </c>
      <c r="AF4822" s="2">
        <v>1118.4107290591</v>
      </c>
      <c r="AG4822" s="2">
        <v>1621.0534613171601</v>
      </c>
      <c r="AH4822" s="4">
        <v>0.68992834335664199</v>
      </c>
      <c r="AI4822" s="4">
        <v>-0.53548156495646804</v>
      </c>
      <c r="AJ4822" s="4" t="s">
        <v>62</v>
      </c>
      <c r="AK4822" s="2">
        <v>0.35884260831411402</v>
      </c>
      <c r="AL4822" s="2">
        <v>0.64449606579735297</v>
      </c>
      <c r="AM4822" s="2">
        <v>1527.66033352618</v>
      </c>
      <c r="AN4822" s="2">
        <v>864.35817166566403</v>
      </c>
      <c r="AO4822" s="2">
        <v>929.21243134314398</v>
      </c>
      <c r="AP4822" s="2">
        <v>1160.80123051889</v>
      </c>
      <c r="AQ4822" s="2">
        <v>1304.07730005026</v>
      </c>
      <c r="AR4822" s="2">
        <v>924.35490725046498</v>
      </c>
      <c r="AS4822" s="2">
        <v>906.47003542380196</v>
      </c>
      <c r="AT4822" s="2">
        <v>3921.6895162135702</v>
      </c>
      <c r="AU4822" s="2">
        <v>595.78515336061798</v>
      </c>
      <c r="AV4822" s="2">
        <v>1941.64073996713</v>
      </c>
      <c r="AW4822" s="2">
        <v>677.21937230651099</v>
      </c>
      <c r="AX4822" s="2">
        <v>1683.51595063134</v>
      </c>
    </row>
    <row r="4823" spans="1:50" x14ac:dyDescent="0.25">
      <c r="A4823" s="2" t="s">
        <v>31617</v>
      </c>
      <c r="B4823" s="2">
        <v>172.097062347882</v>
      </c>
      <c r="C4823" s="2">
        <v>4.59985</v>
      </c>
      <c r="D4823" s="2" t="s">
        <v>51</v>
      </c>
      <c r="E4823" s="2" t="s">
        <v>31618</v>
      </c>
      <c r="F4823" s="2">
        <v>280448</v>
      </c>
      <c r="G4823" s="3" t="str">
        <f>HYPERLINK("https://cloud.oebiotech.com/#/lm/network/280448", "https://cloud.oebiotech.com/#/lm/network/280448")</f>
        <v>https://cloud.oebiotech.com/#/lm/network/280448</v>
      </c>
      <c r="H4823" s="2"/>
      <c r="I4823" s="2">
        <v>73549</v>
      </c>
      <c r="J4823" s="2"/>
      <c r="K4823" s="2">
        <v>1995</v>
      </c>
      <c r="L4823" s="2"/>
      <c r="M4823" s="2"/>
      <c r="N4823" s="2"/>
      <c r="O4823" s="2"/>
      <c r="P4823" s="2"/>
      <c r="Q4823" s="2"/>
      <c r="R4823" s="2" t="s">
        <v>31619</v>
      </c>
      <c r="S4823" s="2" t="s">
        <v>31620</v>
      </c>
      <c r="T4823" s="2" t="s">
        <v>31621</v>
      </c>
      <c r="U4823" s="2" t="s">
        <v>103</v>
      </c>
      <c r="V4823" s="2" t="s">
        <v>104</v>
      </c>
      <c r="W4823" s="2" t="s">
        <v>105</v>
      </c>
      <c r="X4823" s="2" t="s">
        <v>69</v>
      </c>
      <c r="Y4823" s="2">
        <v>64.2</v>
      </c>
      <c r="Z4823" s="2">
        <v>67</v>
      </c>
      <c r="AA4823" s="2" t="s">
        <v>163</v>
      </c>
      <c r="AB4823" s="2" t="s">
        <v>18232</v>
      </c>
      <c r="AC4823" s="2">
        <v>-4.9366782804778904</v>
      </c>
      <c r="AD4823" s="2"/>
      <c r="AE4823" s="2">
        <v>6.7417007957553399E-2</v>
      </c>
      <c r="AF4823" s="2">
        <v>2279.77407823475</v>
      </c>
      <c r="AG4823" s="2">
        <v>1863.8075752673401</v>
      </c>
      <c r="AH4823" s="5">
        <v>1.22318103461284</v>
      </c>
      <c r="AI4823" s="5">
        <v>0.290637943039181</v>
      </c>
      <c r="AJ4823" s="5" t="s">
        <v>139</v>
      </c>
      <c r="AK4823" s="2">
        <v>0.458972872851445</v>
      </c>
      <c r="AL4823" s="2">
        <v>0.70929339009649395</v>
      </c>
      <c r="AM4823" s="2">
        <v>1913.100393944</v>
      </c>
      <c r="AN4823" s="2">
        <v>1732.2386881216601</v>
      </c>
      <c r="AO4823" s="2">
        <v>1488.3128247555201</v>
      </c>
      <c r="AP4823" s="2">
        <v>1289.18314938139</v>
      </c>
      <c r="AQ4823" s="2">
        <v>4729.8054963497198</v>
      </c>
      <c r="AR4823" s="2">
        <v>2526.0039168561898</v>
      </c>
      <c r="AS4823" s="2">
        <v>1545.0616267722901</v>
      </c>
      <c r="AT4823" s="2">
        <v>1769.10456204037</v>
      </c>
      <c r="AU4823" s="2">
        <v>2124.5454582447201</v>
      </c>
      <c r="AV4823" s="2">
        <v>1594.5865755238899</v>
      </c>
      <c r="AW4823" s="2">
        <v>1684.5646372597701</v>
      </c>
      <c r="AX4823" s="2">
        <v>2464.9825917629801</v>
      </c>
    </row>
    <row r="4824" spans="1:50" x14ac:dyDescent="0.25">
      <c r="A4824" s="2" t="s">
        <v>31622</v>
      </c>
      <c r="B4824" s="2">
        <v>509.23931660919499</v>
      </c>
      <c r="C4824" s="2">
        <v>7.3994666666666697</v>
      </c>
      <c r="D4824" s="2" t="s">
        <v>51</v>
      </c>
      <c r="E4824" s="2" t="s">
        <v>31623</v>
      </c>
      <c r="F4824" s="2">
        <v>212297</v>
      </c>
      <c r="G4824" s="3" t="str">
        <f>HYPERLINK("https://cloud.oebiotech.com/#/lm/network/212297", "https://cloud.oebiotech.com/#/lm/network/212297")</f>
        <v>https://cloud.oebiotech.com/#/lm/network/212297</v>
      </c>
      <c r="H4824" s="2" t="s">
        <v>31624</v>
      </c>
      <c r="I4824" s="2"/>
      <c r="J4824" s="2"/>
      <c r="K4824" s="2">
        <v>4400268</v>
      </c>
      <c r="L4824" s="2"/>
      <c r="M4824" s="2"/>
      <c r="N4824" s="2"/>
      <c r="O4824" s="2"/>
      <c r="P4824" s="2"/>
      <c r="Q4824" s="2"/>
      <c r="R4824" s="2"/>
      <c r="S4824" s="2" t="s">
        <v>31625</v>
      </c>
      <c r="T4824" s="2" t="s">
        <v>31626</v>
      </c>
      <c r="U4824" s="2" t="s">
        <v>56</v>
      </c>
      <c r="V4824" s="2" t="s">
        <v>283</v>
      </c>
      <c r="W4824" s="2" t="s">
        <v>3462</v>
      </c>
      <c r="X4824" s="2" t="s">
        <v>83</v>
      </c>
      <c r="Y4824" s="2">
        <v>42.6</v>
      </c>
      <c r="Z4824" s="2">
        <v>0</v>
      </c>
      <c r="AA4824" s="2" t="s">
        <v>218</v>
      </c>
      <c r="AB4824" s="2" t="s">
        <v>31627</v>
      </c>
      <c r="AC4824" s="2">
        <v>0.20598824941800301</v>
      </c>
      <c r="AD4824" s="2"/>
      <c r="AE4824" s="2">
        <v>6.7297694130110705E-2</v>
      </c>
      <c r="AF4824" s="2">
        <v>978.77798539510002</v>
      </c>
      <c r="AG4824" s="2">
        <v>504.07316799176601</v>
      </c>
      <c r="AH4824" s="5">
        <v>1.9417379212913899</v>
      </c>
      <c r="AI4824" s="5">
        <v>0.95734849160758695</v>
      </c>
      <c r="AJ4824" s="5" t="s">
        <v>139</v>
      </c>
      <c r="AK4824" s="2">
        <v>0.47123243454776598</v>
      </c>
      <c r="AL4824" s="2">
        <v>0.71809726999745505</v>
      </c>
      <c r="AM4824" s="2">
        <v>8.559877937157E-6</v>
      </c>
      <c r="AN4824" s="2">
        <v>1500.54440541025</v>
      </c>
      <c r="AO4824" s="2">
        <v>8.559877937157E-6</v>
      </c>
      <c r="AP4824" s="2">
        <v>8.559877937157E-6</v>
      </c>
      <c r="AQ4824" s="2">
        <v>3558.9376073370099</v>
      </c>
      <c r="AR4824" s="2">
        <v>813.18587394370604</v>
      </c>
      <c r="AS4824" s="2">
        <v>255.07724244293601</v>
      </c>
      <c r="AT4824" s="2">
        <v>780.01998986237095</v>
      </c>
      <c r="AU4824" s="2">
        <v>253.44421974279501</v>
      </c>
      <c r="AV4824" s="2">
        <v>8.559877937157E-6</v>
      </c>
      <c r="AW4824" s="2">
        <v>1735.89753878274</v>
      </c>
      <c r="AX4824" s="2">
        <v>8.559877937157E-6</v>
      </c>
    </row>
    <row r="4825" spans="1:50" x14ac:dyDescent="0.25">
      <c r="A4825" s="2" t="s">
        <v>31628</v>
      </c>
      <c r="B4825" s="2">
        <v>143.025315781003</v>
      </c>
      <c r="C4825" s="2">
        <v>0.92595000000000005</v>
      </c>
      <c r="D4825" s="2" t="s">
        <v>51</v>
      </c>
      <c r="E4825" s="2" t="s">
        <v>31629</v>
      </c>
      <c r="F4825" s="2">
        <v>57190</v>
      </c>
      <c r="G4825" s="3" t="str">
        <f>HYPERLINK("https://cloud.oebiotech.com/#/lm/network/57190", "https://cloud.oebiotech.com/#/lm/network/57190")</f>
        <v>https://cloud.oebiotech.com/#/lm/network/57190</v>
      </c>
      <c r="H4825" s="2" t="s">
        <v>31630</v>
      </c>
      <c r="I4825" s="2">
        <v>88831</v>
      </c>
      <c r="J4825" s="2"/>
      <c r="K4825" s="2">
        <v>72073</v>
      </c>
      <c r="L4825" s="2"/>
      <c r="M4825" s="2"/>
      <c r="N4825" s="2"/>
      <c r="O4825" s="2"/>
      <c r="P4825" s="2"/>
      <c r="Q4825" s="2"/>
      <c r="R4825" s="2" t="s">
        <v>31631</v>
      </c>
      <c r="S4825" s="2" t="s">
        <v>31632</v>
      </c>
      <c r="T4825" s="2" t="s">
        <v>31633</v>
      </c>
      <c r="U4825" s="2" t="s">
        <v>266</v>
      </c>
      <c r="V4825" s="2" t="s">
        <v>6667</v>
      </c>
      <c r="W4825" s="2" t="s">
        <v>6668</v>
      </c>
      <c r="X4825" s="2" t="s">
        <v>147</v>
      </c>
      <c r="Y4825" s="2">
        <v>39.1</v>
      </c>
      <c r="Z4825" s="2">
        <v>0</v>
      </c>
      <c r="AA4825" s="2" t="s">
        <v>379</v>
      </c>
      <c r="AB4825" s="2" t="s">
        <v>6669</v>
      </c>
      <c r="AC4825" s="2">
        <v>1.4160436751751</v>
      </c>
      <c r="AD4825" s="2"/>
      <c r="AE4825" s="2">
        <v>6.7276488408613805E-2</v>
      </c>
      <c r="AF4825" s="2">
        <v>1851.9518347794899</v>
      </c>
      <c r="AG4825" s="2">
        <v>2074.9108205183702</v>
      </c>
      <c r="AH4825" s="4">
        <v>0.89254526819462199</v>
      </c>
      <c r="AI4825" s="4">
        <v>-0.16400275314763099</v>
      </c>
      <c r="AJ4825" s="4" t="s">
        <v>62</v>
      </c>
      <c r="AK4825" s="2">
        <v>0.31497590359223898</v>
      </c>
      <c r="AL4825" s="2">
        <v>0.62413706859245499</v>
      </c>
      <c r="AM4825" s="2">
        <v>1780.8482529734799</v>
      </c>
      <c r="AN4825" s="2">
        <v>2074.79189894928</v>
      </c>
      <c r="AO4825" s="2">
        <v>1537.7953834571099</v>
      </c>
      <c r="AP4825" s="2">
        <v>1433.0849634045101</v>
      </c>
      <c r="AQ4825" s="2">
        <v>1975.90973237307</v>
      </c>
      <c r="AR4825" s="2">
        <v>2309.2807775194801</v>
      </c>
      <c r="AS4825" s="2">
        <v>2740.5714590910502</v>
      </c>
      <c r="AT4825" s="2">
        <v>2077.1119584308599</v>
      </c>
      <c r="AU4825" s="2">
        <v>1837.2253932788401</v>
      </c>
      <c r="AV4825" s="2">
        <v>2167.6261467412601</v>
      </c>
      <c r="AW4825" s="2">
        <v>2072.50635533678</v>
      </c>
      <c r="AX4825" s="2">
        <v>1554.4236102314001</v>
      </c>
    </row>
    <row r="4826" spans="1:50" x14ac:dyDescent="0.25">
      <c r="A4826" s="2" t="s">
        <v>31634</v>
      </c>
      <c r="B4826" s="2">
        <v>435.34808987987401</v>
      </c>
      <c r="C4826" s="2">
        <v>14.6521666666667</v>
      </c>
      <c r="D4826" s="2" t="s">
        <v>51</v>
      </c>
      <c r="E4826" s="2" t="s">
        <v>31635</v>
      </c>
      <c r="F4826" s="2">
        <v>1479</v>
      </c>
      <c r="G4826" s="3" t="str">
        <f>HYPERLINK("https://cloud.oebiotech.com/#/lm/network/1479", "https://cloud.oebiotech.com/#/lm/network/1479")</f>
        <v>https://cloud.oebiotech.com/#/lm/network/1479</v>
      </c>
      <c r="H4826" s="2"/>
      <c r="I4826" s="2"/>
      <c r="J4826" s="2" t="s">
        <v>31636</v>
      </c>
      <c r="K4826" s="2">
        <v>21774063</v>
      </c>
      <c r="L4826" s="2"/>
      <c r="M4826" s="2"/>
      <c r="N4826" s="2"/>
      <c r="O4826" s="2"/>
      <c r="P4826" s="2"/>
      <c r="Q4826" s="2"/>
      <c r="R4826" s="2"/>
      <c r="S4826" s="2" t="s">
        <v>31637</v>
      </c>
      <c r="T4826" s="2" t="s">
        <v>31638</v>
      </c>
      <c r="U4826" s="2" t="s">
        <v>56</v>
      </c>
      <c r="V4826" s="2" t="s">
        <v>145</v>
      </c>
      <c r="W4826" s="2" t="s">
        <v>231</v>
      </c>
      <c r="X4826" s="2" t="s">
        <v>83</v>
      </c>
      <c r="Y4826" s="2">
        <v>44.2</v>
      </c>
      <c r="Z4826" s="2">
        <v>0</v>
      </c>
      <c r="AA4826" s="2" t="s">
        <v>218</v>
      </c>
      <c r="AB4826" s="2" t="s">
        <v>17252</v>
      </c>
      <c r="AC4826" s="2">
        <v>0.27230842593751198</v>
      </c>
      <c r="AD4826" s="2"/>
      <c r="AE4826" s="2">
        <v>6.7248813778159305E-2</v>
      </c>
      <c r="AF4826" s="2">
        <v>7111.5950722553798</v>
      </c>
      <c r="AG4826" s="2">
        <v>8945.0940873795407</v>
      </c>
      <c r="AH4826" s="4">
        <v>0.79502741981093195</v>
      </c>
      <c r="AI4826" s="4">
        <v>-0.33092347632297597</v>
      </c>
      <c r="AJ4826" s="4" t="s">
        <v>62</v>
      </c>
      <c r="AK4826" s="2">
        <v>0.59896575581244205</v>
      </c>
      <c r="AL4826" s="2">
        <v>0.79875554632939605</v>
      </c>
      <c r="AM4826" s="2">
        <v>5304.0810833474097</v>
      </c>
      <c r="AN4826" s="2">
        <v>21258.5758172612</v>
      </c>
      <c r="AO4826" s="2">
        <v>3537.5765186875701</v>
      </c>
      <c r="AP4826" s="2">
        <v>4567.9078309531897</v>
      </c>
      <c r="AQ4826" s="2">
        <v>658.58057398754795</v>
      </c>
      <c r="AR4826" s="2">
        <v>7342.8486092953499</v>
      </c>
      <c r="AS4826" s="2">
        <v>10019.3257542969</v>
      </c>
      <c r="AT4826" s="2">
        <v>9838.4906070774905</v>
      </c>
      <c r="AU4826" s="2">
        <v>15800.848486279299</v>
      </c>
      <c r="AV4826" s="2">
        <v>7331.3447642034298</v>
      </c>
      <c r="AW4826" s="2">
        <v>5491.0287986427902</v>
      </c>
      <c r="AX4826" s="2">
        <v>5189.5261137773095</v>
      </c>
    </row>
    <row r="4827" spans="1:50" x14ac:dyDescent="0.25">
      <c r="A4827" s="2" t="s">
        <v>31639</v>
      </c>
      <c r="B4827" s="2">
        <v>207.998875853567</v>
      </c>
      <c r="C4827" s="2">
        <v>0.68110000000000004</v>
      </c>
      <c r="D4827" s="2" t="s">
        <v>51</v>
      </c>
      <c r="E4827" s="2" t="s">
        <v>31640</v>
      </c>
      <c r="F4827" s="2">
        <v>46968</v>
      </c>
      <c r="G4827" s="3" t="str">
        <f>HYPERLINK("https://cloud.oebiotech.com/#/lm/network/46968", "https://cloud.oebiotech.com/#/lm/network/46968")</f>
        <v>https://cloud.oebiotech.com/#/lm/network/46968</v>
      </c>
      <c r="H4827" s="2" t="s">
        <v>31641</v>
      </c>
      <c r="I4827" s="2">
        <v>297</v>
      </c>
      <c r="J4827" s="2"/>
      <c r="K4827" s="2">
        <v>68841</v>
      </c>
      <c r="L4827" s="2" t="s">
        <v>31642</v>
      </c>
      <c r="M4827" s="2" t="s">
        <v>31643</v>
      </c>
      <c r="N4827" s="2" t="s">
        <v>31644</v>
      </c>
      <c r="O4827" s="2">
        <v>15811</v>
      </c>
      <c r="P4827" s="2" t="s">
        <v>31645</v>
      </c>
      <c r="Q4827" s="2" t="s">
        <v>31646</v>
      </c>
      <c r="R4827" s="2" t="s">
        <v>31647</v>
      </c>
      <c r="S4827" s="2" t="s">
        <v>31648</v>
      </c>
      <c r="T4827" s="2" t="s">
        <v>31649</v>
      </c>
      <c r="U4827" s="2" t="s">
        <v>103</v>
      </c>
      <c r="V4827" s="2" t="s">
        <v>104</v>
      </c>
      <c r="W4827" s="2" t="s">
        <v>105</v>
      </c>
      <c r="X4827" s="2" t="s">
        <v>147</v>
      </c>
      <c r="Y4827" s="2">
        <v>39.9</v>
      </c>
      <c r="Z4827" s="2">
        <v>6.43</v>
      </c>
      <c r="AA4827" s="2" t="s">
        <v>95</v>
      </c>
      <c r="AB4827" s="2" t="s">
        <v>31650</v>
      </c>
      <c r="AC4827" s="2">
        <v>3.9542138423321398</v>
      </c>
      <c r="AD4827" s="2"/>
      <c r="AE4827" s="2">
        <v>6.7216413891886206E-2</v>
      </c>
      <c r="AF4827" s="2">
        <v>15769.655777794</v>
      </c>
      <c r="AG4827" s="2">
        <v>14690.001924593</v>
      </c>
      <c r="AH4827" s="5">
        <v>1.0734958278932201</v>
      </c>
      <c r="AI4827" s="5">
        <v>0.10231658422001701</v>
      </c>
      <c r="AJ4827" s="5" t="s">
        <v>139</v>
      </c>
      <c r="AK4827" s="2">
        <v>0.81483218114322198</v>
      </c>
      <c r="AL4827" s="2">
        <v>0.91838413387428997</v>
      </c>
      <c r="AM4827" s="2">
        <v>12934.615212708901</v>
      </c>
      <c r="AN4827" s="2">
        <v>24513.0016690716</v>
      </c>
      <c r="AO4827" s="2">
        <v>10369.028317216</v>
      </c>
      <c r="AP4827" s="2">
        <v>28079.410938542402</v>
      </c>
      <c r="AQ4827" s="2">
        <v>14421.6193402032</v>
      </c>
      <c r="AR4827" s="2">
        <v>4300.2591890220201</v>
      </c>
      <c r="AS4827" s="2">
        <v>3054.8335448211201</v>
      </c>
      <c r="AT4827" s="2">
        <v>21044.5085249154</v>
      </c>
      <c r="AU4827" s="2">
        <v>13868.385584768601</v>
      </c>
      <c r="AV4827" s="2">
        <v>20126.5210157814</v>
      </c>
      <c r="AW4827" s="2">
        <v>15165.0315273141</v>
      </c>
      <c r="AX4827" s="2">
        <v>14880.731349957499</v>
      </c>
    </row>
    <row r="4828" spans="1:50" x14ac:dyDescent="0.25">
      <c r="A4828" s="2" t="s">
        <v>31651</v>
      </c>
      <c r="B4828" s="2">
        <v>225.185566017323</v>
      </c>
      <c r="C4828" s="2">
        <v>9.7259833333333301</v>
      </c>
      <c r="D4828" s="2" t="s">
        <v>51</v>
      </c>
      <c r="E4828" s="2" t="s">
        <v>31652</v>
      </c>
      <c r="F4828" s="2">
        <v>1756</v>
      </c>
      <c r="G4828" s="3" t="str">
        <f>HYPERLINK("https://cloud.oebiotech.com/#/lm/network/1756", "https://cloud.oebiotech.com/#/lm/network/1756")</f>
        <v>https://cloud.oebiotech.com/#/lm/network/1756</v>
      </c>
      <c r="H4828" s="2"/>
      <c r="I4828" s="2">
        <v>74559</v>
      </c>
      <c r="J4828" s="2" t="s">
        <v>31653</v>
      </c>
      <c r="K4828" s="2">
        <v>5312755</v>
      </c>
      <c r="L4828" s="2"/>
      <c r="M4828" s="2"/>
      <c r="N4828" s="2"/>
      <c r="O4828" s="2"/>
      <c r="P4828" s="2"/>
      <c r="Q4828" s="2"/>
      <c r="R4828" s="2"/>
      <c r="S4828" s="2" t="s">
        <v>31654</v>
      </c>
      <c r="T4828" s="2" t="s">
        <v>31655</v>
      </c>
      <c r="U4828" s="2" t="s">
        <v>56</v>
      </c>
      <c r="V4828" s="2" t="s">
        <v>145</v>
      </c>
      <c r="W4828" s="2" t="s">
        <v>231</v>
      </c>
      <c r="X4828" s="2" t="s">
        <v>83</v>
      </c>
      <c r="Y4828" s="2">
        <v>43.7</v>
      </c>
      <c r="Z4828" s="2">
        <v>0</v>
      </c>
      <c r="AA4828" s="2" t="s">
        <v>156</v>
      </c>
      <c r="AB4828" s="2" t="s">
        <v>31656</v>
      </c>
      <c r="AC4828" s="2">
        <v>2.7233979088579101</v>
      </c>
      <c r="AD4828" s="2"/>
      <c r="AE4828" s="2">
        <v>6.7211437247472194E-2</v>
      </c>
      <c r="AF4828" s="2">
        <v>9099.7866135626191</v>
      </c>
      <c r="AG4828" s="2">
        <v>8818.4607567847997</v>
      </c>
      <c r="AH4828" s="5">
        <v>1.0319019230835</v>
      </c>
      <c r="AI4828" s="5">
        <v>4.5305856609004297E-2</v>
      </c>
      <c r="AJ4828" s="5" t="s">
        <v>139</v>
      </c>
      <c r="AK4828" s="2">
        <v>0.54718820222599995</v>
      </c>
      <c r="AL4828" s="2">
        <v>0.77054320949467303</v>
      </c>
      <c r="AM4828" s="2">
        <v>8962.8550580268493</v>
      </c>
      <c r="AN4828" s="2">
        <v>10218.756614734601</v>
      </c>
      <c r="AO4828" s="2">
        <v>9577.3826147650507</v>
      </c>
      <c r="AP4828" s="2">
        <v>9014.6383439458696</v>
      </c>
      <c r="AQ4828" s="2">
        <v>9468.0921840077008</v>
      </c>
      <c r="AR4828" s="2">
        <v>7356.99486589567</v>
      </c>
      <c r="AS4828" s="2">
        <v>9372.2602454942607</v>
      </c>
      <c r="AT4828" s="2">
        <v>9257.0559636945</v>
      </c>
      <c r="AU4828" s="2">
        <v>8123.1327647641901</v>
      </c>
      <c r="AV4828" s="2">
        <v>8501.5110726505409</v>
      </c>
      <c r="AW4828" s="2">
        <v>8407.8428391866491</v>
      </c>
      <c r="AX4828" s="2">
        <v>9248.9616549186794</v>
      </c>
    </row>
    <row r="4829" spans="1:50" x14ac:dyDescent="0.25">
      <c r="A4829" s="2" t="s">
        <v>31657</v>
      </c>
      <c r="B4829" s="2">
        <v>325.08246931347901</v>
      </c>
      <c r="C4829" s="2">
        <v>9.0696833333333302</v>
      </c>
      <c r="D4829" s="2" t="s">
        <v>51</v>
      </c>
      <c r="E4829" s="2" t="s">
        <v>31658</v>
      </c>
      <c r="F4829" s="2">
        <v>63267</v>
      </c>
      <c r="G4829" s="3" t="str">
        <f>HYPERLINK("https://cloud.oebiotech.com/#/lm/network/63267", "https://cloud.oebiotech.com/#/lm/network/63267")</f>
        <v>https://cloud.oebiotech.com/#/lm/network/63267</v>
      </c>
      <c r="H4829" s="2" t="s">
        <v>31659</v>
      </c>
      <c r="I4829" s="2">
        <v>94575</v>
      </c>
      <c r="J4829" s="2"/>
      <c r="K4829" s="2">
        <v>638567</v>
      </c>
      <c r="L4829" s="2"/>
      <c r="M4829" s="2"/>
      <c r="N4829" s="2"/>
      <c r="O4829" s="2"/>
      <c r="P4829" s="2"/>
      <c r="Q4829" s="2"/>
      <c r="R4829" s="2" t="s">
        <v>31660</v>
      </c>
      <c r="S4829" s="2" t="s">
        <v>31661</v>
      </c>
      <c r="T4829" s="2" t="s">
        <v>31662</v>
      </c>
      <c r="U4829" s="2" t="s">
        <v>266</v>
      </c>
      <c r="V4829" s="2" t="s">
        <v>9065</v>
      </c>
      <c r="W4829" s="2" t="s">
        <v>240</v>
      </c>
      <c r="X4829" s="2" t="s">
        <v>147</v>
      </c>
      <c r="Y4829" s="2">
        <v>38</v>
      </c>
      <c r="Z4829" s="2">
        <v>0</v>
      </c>
      <c r="AA4829" s="2" t="s">
        <v>478</v>
      </c>
      <c r="AB4829" s="2" t="s">
        <v>31663</v>
      </c>
      <c r="AC4829" s="2">
        <v>-4.2774586827122896</v>
      </c>
      <c r="AD4829" s="2"/>
      <c r="AE4829" s="2">
        <v>6.7189724027853198E-2</v>
      </c>
      <c r="AF4829" s="2">
        <v>3397.8160230066901</v>
      </c>
      <c r="AG4829" s="2">
        <v>2709.6246166415499</v>
      </c>
      <c r="AH4829" s="5">
        <v>1.25398034921093</v>
      </c>
      <c r="AI4829" s="5">
        <v>0.32651474023079902</v>
      </c>
      <c r="AJ4829" s="5" t="s">
        <v>139</v>
      </c>
      <c r="AK4829" s="2">
        <v>0.50343539707335505</v>
      </c>
      <c r="AL4829" s="2">
        <v>0.74055895748872902</v>
      </c>
      <c r="AM4829" s="2">
        <v>2425.1361492957899</v>
      </c>
      <c r="AN4829" s="2">
        <v>4239.8542020403602</v>
      </c>
      <c r="AO4829" s="2">
        <v>2220.1486942023598</v>
      </c>
      <c r="AP4829" s="2">
        <v>2666.8356850457799</v>
      </c>
      <c r="AQ4829" s="2">
        <v>1539.8212513194501</v>
      </c>
      <c r="AR4829" s="2">
        <v>7295.1001561364201</v>
      </c>
      <c r="AS4829" s="2">
        <v>2691.87575020554</v>
      </c>
      <c r="AT4829" s="2">
        <v>2048.95694975796</v>
      </c>
      <c r="AU4829" s="2">
        <v>2393.9406445252298</v>
      </c>
      <c r="AV4829" s="2">
        <v>2805.4543977377798</v>
      </c>
      <c r="AW4829" s="2">
        <v>4937.3188658670297</v>
      </c>
      <c r="AX4829" s="2">
        <v>1380.20109175575</v>
      </c>
    </row>
    <row r="4830" spans="1:50" x14ac:dyDescent="0.25">
      <c r="A4830" s="2" t="s">
        <v>31664</v>
      </c>
      <c r="B4830" s="2">
        <v>166.08667394712</v>
      </c>
      <c r="C4830" s="2">
        <v>2.0634666666666699</v>
      </c>
      <c r="D4830" s="2" t="s">
        <v>51</v>
      </c>
      <c r="E4830" s="2" t="s">
        <v>31665</v>
      </c>
      <c r="F4830" s="2">
        <v>47096</v>
      </c>
      <c r="G4830" s="3" t="str">
        <f>HYPERLINK("https://cloud.oebiotech.com/#/lm/network/47096", "https://cloud.oebiotech.com/#/lm/network/47096")</f>
        <v>https://cloud.oebiotech.com/#/lm/network/47096</v>
      </c>
      <c r="H4830" s="2" t="s">
        <v>31666</v>
      </c>
      <c r="I4830" s="2">
        <v>310</v>
      </c>
      <c r="J4830" s="2"/>
      <c r="K4830" s="2">
        <v>5372954</v>
      </c>
      <c r="L4830" s="2" t="s">
        <v>31667</v>
      </c>
      <c r="M4830" s="2"/>
      <c r="N4830" s="2"/>
      <c r="O4830" s="2">
        <v>35699</v>
      </c>
      <c r="P4830" s="2"/>
      <c r="Q4830" s="2"/>
      <c r="R4830" s="2" t="s">
        <v>31668</v>
      </c>
      <c r="S4830" s="2" t="s">
        <v>31669</v>
      </c>
      <c r="T4830" s="2" t="s">
        <v>31670</v>
      </c>
      <c r="U4830" s="2" t="s">
        <v>540</v>
      </c>
      <c r="V4830" s="2" t="s">
        <v>3291</v>
      </c>
      <c r="W4830" s="2" t="s">
        <v>31671</v>
      </c>
      <c r="X4830" s="2" t="s">
        <v>59</v>
      </c>
      <c r="Y4830" s="2">
        <v>48.3</v>
      </c>
      <c r="Z4830" s="2">
        <v>54.5</v>
      </c>
      <c r="AA4830" s="2" t="s">
        <v>23562</v>
      </c>
      <c r="AB4830" s="2" t="s">
        <v>31672</v>
      </c>
      <c r="AC4830" s="2">
        <v>2.8295478944219101</v>
      </c>
      <c r="AD4830" s="2"/>
      <c r="AE4830" s="2">
        <v>6.7187628445523298E-2</v>
      </c>
      <c r="AF4830" s="2">
        <v>5827833.4056082796</v>
      </c>
      <c r="AG4830" s="2">
        <v>5832655.1049300404</v>
      </c>
      <c r="AH4830" s="4">
        <v>0.99917332685800597</v>
      </c>
      <c r="AI4830" s="4">
        <v>-1.1931304748258301E-3</v>
      </c>
      <c r="AJ4830" s="4" t="s">
        <v>62</v>
      </c>
      <c r="AK4830" s="2">
        <v>0.99554484616179295</v>
      </c>
      <c r="AL4830" s="2">
        <v>0.99756113952110803</v>
      </c>
      <c r="AM4830" s="2">
        <v>6415439.01994316</v>
      </c>
      <c r="AN4830" s="2">
        <v>6063098.78005285</v>
      </c>
      <c r="AO4830" s="2">
        <v>4656378.3888860801</v>
      </c>
      <c r="AP4830" s="2">
        <v>7493701.0537728099</v>
      </c>
      <c r="AQ4830" s="2">
        <v>6455532.4993532896</v>
      </c>
      <c r="AR4830" s="2">
        <v>3882850.69164149</v>
      </c>
      <c r="AS4830" s="2">
        <v>4570247.1405686298</v>
      </c>
      <c r="AT4830" s="2">
        <v>5609759.6190665504</v>
      </c>
      <c r="AU4830" s="2">
        <v>6182218.95071973</v>
      </c>
      <c r="AV4830" s="2">
        <v>4450374.1512602</v>
      </c>
      <c r="AW4830" s="2">
        <v>5402062.0178099396</v>
      </c>
      <c r="AX4830" s="2">
        <v>8781268.75015519</v>
      </c>
    </row>
    <row r="4831" spans="1:50" x14ac:dyDescent="0.25">
      <c r="A4831" s="2" t="s">
        <v>31673</v>
      </c>
      <c r="B4831" s="2">
        <v>368.31727037248697</v>
      </c>
      <c r="C4831" s="2">
        <v>13.159000000000001</v>
      </c>
      <c r="D4831" s="2" t="s">
        <v>51</v>
      </c>
      <c r="E4831" s="2" t="s">
        <v>31674</v>
      </c>
      <c r="F4831" s="2">
        <v>198446</v>
      </c>
      <c r="G4831" s="3" t="str">
        <f>HYPERLINK("https://cloud.oebiotech.com/#/lm/network/198446", "https://cloud.oebiotech.com/#/lm/network/198446")</f>
        <v>https://cloud.oebiotech.com/#/lm/network/198446</v>
      </c>
      <c r="H4831" s="2" t="s">
        <v>31675</v>
      </c>
      <c r="I4831" s="2"/>
      <c r="J4831" s="2"/>
      <c r="K4831" s="2">
        <v>19368987</v>
      </c>
      <c r="L4831" s="2"/>
      <c r="M4831" s="2"/>
      <c r="N4831" s="2"/>
      <c r="O4831" s="2"/>
      <c r="P4831" s="2"/>
      <c r="Q4831" s="2"/>
      <c r="R4831" s="2"/>
      <c r="S4831" s="2" t="s">
        <v>31676</v>
      </c>
      <c r="T4831" s="2" t="s">
        <v>31677</v>
      </c>
      <c r="U4831" s="2" t="s">
        <v>103</v>
      </c>
      <c r="V4831" s="2" t="s">
        <v>104</v>
      </c>
      <c r="W4831" s="2" t="s">
        <v>105</v>
      </c>
      <c r="X4831" s="2" t="s">
        <v>83</v>
      </c>
      <c r="Y4831" s="2">
        <v>43.3</v>
      </c>
      <c r="Z4831" s="2">
        <v>0</v>
      </c>
      <c r="AA4831" s="2" t="s">
        <v>163</v>
      </c>
      <c r="AB4831" s="2" t="s">
        <v>31678</v>
      </c>
      <c r="AC4831" s="2">
        <v>0.68384885948932095</v>
      </c>
      <c r="AD4831" s="2"/>
      <c r="AE4831" s="2">
        <v>6.7173129990707806E-2</v>
      </c>
      <c r="AF4831" s="2">
        <v>855.587896799497</v>
      </c>
      <c r="AG4831" s="2">
        <v>582.01447802427697</v>
      </c>
      <c r="AH4831" s="5">
        <v>1.47004572756317</v>
      </c>
      <c r="AI4831" s="5">
        <v>0.55586103254637098</v>
      </c>
      <c r="AJ4831" s="5" t="s">
        <v>139</v>
      </c>
      <c r="AK4831" s="2">
        <v>0.35477769080531701</v>
      </c>
      <c r="AL4831" s="2">
        <v>0.644232435870006</v>
      </c>
      <c r="AM4831" s="2">
        <v>1077.02563943572</v>
      </c>
      <c r="AN4831" s="2">
        <v>163.82493123185799</v>
      </c>
      <c r="AO4831" s="2">
        <v>1057.6123431487899</v>
      </c>
      <c r="AP4831" s="2">
        <v>517.65466802000003</v>
      </c>
      <c r="AQ4831" s="2">
        <v>1746.71257748371</v>
      </c>
      <c r="AR4831" s="2">
        <v>570.69722147690402</v>
      </c>
      <c r="AS4831" s="2">
        <v>8.559877937157E-6</v>
      </c>
      <c r="AT4831" s="2">
        <v>214.335138331998</v>
      </c>
      <c r="AU4831" s="2">
        <v>880.77360937907599</v>
      </c>
      <c r="AV4831" s="2">
        <v>1058.74059274209</v>
      </c>
      <c r="AW4831" s="2">
        <v>772.37698625380006</v>
      </c>
      <c r="AX4831" s="2">
        <v>565.86053287881703</v>
      </c>
    </row>
    <row r="4832" spans="1:50" x14ac:dyDescent="0.25">
      <c r="A4832" s="2" t="s">
        <v>31679</v>
      </c>
      <c r="B4832" s="2">
        <v>280.137390906755</v>
      </c>
      <c r="C4832" s="2">
        <v>11.411483333333299</v>
      </c>
      <c r="D4832" s="2" t="s">
        <v>51</v>
      </c>
      <c r="E4832" s="2" t="s">
        <v>31680</v>
      </c>
      <c r="F4832" s="2">
        <v>202564</v>
      </c>
      <c r="G4832" s="3" t="str">
        <f>HYPERLINK("https://cloud.oebiotech.com/#/lm/network/202564", "https://cloud.oebiotech.com/#/lm/network/202564")</f>
        <v>https://cloud.oebiotech.com/#/lm/network/202564</v>
      </c>
      <c r="H4832" s="2" t="s">
        <v>31681</v>
      </c>
      <c r="I4832" s="2"/>
      <c r="J4832" s="2"/>
      <c r="K4832" s="2">
        <v>92387</v>
      </c>
      <c r="L4832" s="2"/>
      <c r="M4832" s="2"/>
      <c r="N4832" s="2"/>
      <c r="O4832" s="2"/>
      <c r="P4832" s="2"/>
      <c r="Q4832" s="2"/>
      <c r="R4832" s="2"/>
      <c r="S4832" s="2" t="s">
        <v>31682</v>
      </c>
      <c r="T4832" s="2" t="s">
        <v>31683</v>
      </c>
      <c r="U4832" s="2" t="s">
        <v>331</v>
      </c>
      <c r="V4832" s="2" t="s">
        <v>332</v>
      </c>
      <c r="W4832" s="2" t="s">
        <v>1207</v>
      </c>
      <c r="X4832" s="2" t="s">
        <v>147</v>
      </c>
      <c r="Y4832" s="2">
        <v>37.5</v>
      </c>
      <c r="Z4832" s="2">
        <v>0</v>
      </c>
      <c r="AA4832" s="2" t="s">
        <v>259</v>
      </c>
      <c r="AB4832" s="2" t="s">
        <v>31684</v>
      </c>
      <c r="AC4832" s="2">
        <v>2.9182080334920002</v>
      </c>
      <c r="AD4832" s="2"/>
      <c r="AE4832" s="2">
        <v>6.7121952042130298E-2</v>
      </c>
      <c r="AF4832" s="2">
        <v>5536.16617284727</v>
      </c>
      <c r="AG4832" s="2">
        <v>5810.3993278439002</v>
      </c>
      <c r="AH4832" s="4">
        <v>0.95280304510526803</v>
      </c>
      <c r="AI4832" s="4">
        <v>-6.9750070905267303E-2</v>
      </c>
      <c r="AJ4832" s="4" t="s">
        <v>62</v>
      </c>
      <c r="AK4832" s="2">
        <v>0.92722285363272705</v>
      </c>
      <c r="AL4832" s="2">
        <v>0.96883528370600103</v>
      </c>
      <c r="AM4832" s="2">
        <v>15742.012489094999</v>
      </c>
      <c r="AN4832" s="2">
        <v>842.36427224972897</v>
      </c>
      <c r="AO4832" s="2">
        <v>4731.2929735867001</v>
      </c>
      <c r="AP4832" s="2">
        <v>8.559877937157E-6</v>
      </c>
      <c r="AQ4832" s="2">
        <v>2433.5325570668901</v>
      </c>
      <c r="AR4832" s="2">
        <v>9467.7947365254404</v>
      </c>
      <c r="AS4832" s="2">
        <v>1171.3962274825401</v>
      </c>
      <c r="AT4832" s="2">
        <v>7268.3707308159801</v>
      </c>
      <c r="AU4832" s="2">
        <v>8275.4900096338297</v>
      </c>
      <c r="AV4832" s="2">
        <v>3575.8254060716399</v>
      </c>
      <c r="AW4832" s="2">
        <v>11498.9187707047</v>
      </c>
      <c r="AX4832" s="2">
        <v>3072.39482235473</v>
      </c>
    </row>
    <row r="4833" spans="1:50" x14ac:dyDescent="0.25">
      <c r="A4833" s="2" t="s">
        <v>31685</v>
      </c>
      <c r="B4833" s="2">
        <v>520.99950263421795</v>
      </c>
      <c r="C4833" s="2">
        <v>2.03488333333333</v>
      </c>
      <c r="D4833" s="2" t="s">
        <v>51</v>
      </c>
      <c r="E4833" s="2" t="s">
        <v>31686</v>
      </c>
      <c r="F4833" s="2">
        <v>200711</v>
      </c>
      <c r="G4833" s="3" t="str">
        <f>HYPERLINK("https://cloud.oebiotech.com/#/lm/network/200711", "https://cloud.oebiotech.com/#/lm/network/200711")</f>
        <v>https://cloud.oebiotech.com/#/lm/network/200711</v>
      </c>
      <c r="H4833" s="2" t="s">
        <v>31687</v>
      </c>
      <c r="I4833" s="2"/>
      <c r="J4833" s="2"/>
      <c r="K4833" s="2"/>
      <c r="L4833" s="2"/>
      <c r="M4833" s="2"/>
      <c r="N4833" s="2"/>
      <c r="O4833" s="2"/>
      <c r="P4833" s="2"/>
      <c r="Q4833" s="2"/>
      <c r="R4833" s="2"/>
      <c r="S4833" s="2" t="s">
        <v>31688</v>
      </c>
      <c r="T4833" s="2" t="s">
        <v>31689</v>
      </c>
      <c r="U4833" s="2" t="s">
        <v>266</v>
      </c>
      <c r="V4833" s="2" t="s">
        <v>2143</v>
      </c>
      <c r="W4833" s="2" t="s">
        <v>21965</v>
      </c>
      <c r="X4833" s="2" t="s">
        <v>147</v>
      </c>
      <c r="Y4833" s="2">
        <v>38.9</v>
      </c>
      <c r="Z4833" s="2">
        <v>0</v>
      </c>
      <c r="AA4833" s="2" t="s">
        <v>478</v>
      </c>
      <c r="AB4833" s="2" t="s">
        <v>31690</v>
      </c>
      <c r="AC4833" s="2">
        <v>-1.71911330594538</v>
      </c>
      <c r="AD4833" s="2"/>
      <c r="AE4833" s="2">
        <v>6.7003735748852794E-2</v>
      </c>
      <c r="AF4833" s="2">
        <v>5947.7640957031999</v>
      </c>
      <c r="AG4833" s="2">
        <v>6211.5099129276196</v>
      </c>
      <c r="AH4833" s="4">
        <v>0.95753917792588605</v>
      </c>
      <c r="AI4833" s="4">
        <v>-6.2596578457526406E-2</v>
      </c>
      <c r="AJ4833" s="4" t="s">
        <v>62</v>
      </c>
      <c r="AK4833" s="2">
        <v>0.736079365958759</v>
      </c>
      <c r="AL4833" s="2">
        <v>0.87876597540662604</v>
      </c>
      <c r="AM4833" s="2">
        <v>5613.9842849713204</v>
      </c>
      <c r="AN4833" s="2">
        <v>5690.6886077270201</v>
      </c>
      <c r="AO4833" s="2">
        <v>5080.9265070500096</v>
      </c>
      <c r="AP4833" s="2">
        <v>5734.1445651308004</v>
      </c>
      <c r="AQ4833" s="2">
        <v>8373.4884584088704</v>
      </c>
      <c r="AR4833" s="2">
        <v>5193.3521509311804</v>
      </c>
      <c r="AS4833" s="2">
        <v>5126.3280949015298</v>
      </c>
      <c r="AT4833" s="2">
        <v>5390.3719727847301</v>
      </c>
      <c r="AU4833" s="2">
        <v>4851.2053947340601</v>
      </c>
      <c r="AV4833" s="2">
        <v>6294.7436722443999</v>
      </c>
      <c r="AW4833" s="2">
        <v>7038.9872523557196</v>
      </c>
      <c r="AX4833" s="2">
        <v>8567.4230905452605</v>
      </c>
    </row>
    <row r="4834" spans="1:50" x14ac:dyDescent="0.25">
      <c r="A4834" s="2" t="s">
        <v>31691</v>
      </c>
      <c r="B4834" s="2">
        <v>302.10327587109703</v>
      </c>
      <c r="C4834" s="2">
        <v>5.6691833333333301</v>
      </c>
      <c r="D4834" s="2" t="s">
        <v>51</v>
      </c>
      <c r="E4834" s="2" t="s">
        <v>31692</v>
      </c>
      <c r="F4834" s="2">
        <v>54292</v>
      </c>
      <c r="G4834" s="3" t="str">
        <f>HYPERLINK("https://cloud.oebiotech.com/#/lm/network/54292", "https://cloud.oebiotech.com/#/lm/network/54292")</f>
        <v>https://cloud.oebiotech.com/#/lm/network/54292</v>
      </c>
      <c r="H4834" s="2" t="s">
        <v>31693</v>
      </c>
      <c r="I4834" s="2">
        <v>86187</v>
      </c>
      <c r="J4834" s="2"/>
      <c r="K4834" s="2">
        <v>5494827</v>
      </c>
      <c r="L4834" s="2"/>
      <c r="M4834" s="2"/>
      <c r="N4834" s="2"/>
      <c r="O4834" s="2">
        <v>542817</v>
      </c>
      <c r="P4834" s="2"/>
      <c r="Q4834" s="2"/>
      <c r="R4834" s="2" t="s">
        <v>31694</v>
      </c>
      <c r="S4834" s="2" t="s">
        <v>31695</v>
      </c>
      <c r="T4834" s="2" t="s">
        <v>31696</v>
      </c>
      <c r="U4834" s="2" t="s">
        <v>266</v>
      </c>
      <c r="V4834" s="2" t="s">
        <v>1393</v>
      </c>
      <c r="W4834" s="2" t="s">
        <v>1394</v>
      </c>
      <c r="X4834" s="2" t="s">
        <v>147</v>
      </c>
      <c r="Y4834" s="2">
        <v>45</v>
      </c>
      <c r="Z4834" s="2">
        <v>33.9</v>
      </c>
      <c r="AA4834" s="2" t="s">
        <v>2589</v>
      </c>
      <c r="AB4834" s="2" t="s">
        <v>31697</v>
      </c>
      <c r="AC4834" s="2">
        <v>3.2443427281216399</v>
      </c>
      <c r="AD4834" s="2"/>
      <c r="AE4834" s="2">
        <v>6.6973173135181599E-2</v>
      </c>
      <c r="AF4834" s="2">
        <v>3440.2589967251802</v>
      </c>
      <c r="AG4834" s="2">
        <v>4144.5037536070304</v>
      </c>
      <c r="AH4834" s="4">
        <v>0.83007742331782697</v>
      </c>
      <c r="AI4834" s="4">
        <v>-0.26868218851534897</v>
      </c>
      <c r="AJ4834" s="4" t="s">
        <v>62</v>
      </c>
      <c r="AK4834" s="2">
        <v>0.68505670378373396</v>
      </c>
      <c r="AL4834" s="2">
        <v>0.84803620733194895</v>
      </c>
      <c r="AM4834" s="2">
        <v>2891.2817528420201</v>
      </c>
      <c r="AN4834" s="2">
        <v>3352.70589219453</v>
      </c>
      <c r="AO4834" s="2">
        <v>3033.7837784245098</v>
      </c>
      <c r="AP4834" s="2">
        <v>3880.2100365702399</v>
      </c>
      <c r="AQ4834" s="2">
        <v>4464.0812241242002</v>
      </c>
      <c r="AR4834" s="2">
        <v>3019.4912961955902</v>
      </c>
      <c r="AS4834" s="2">
        <v>9570.6469256944602</v>
      </c>
      <c r="AT4834" s="2">
        <v>9004.6550252935795</v>
      </c>
      <c r="AU4834" s="2">
        <v>632.325394459314</v>
      </c>
      <c r="AV4834" s="2">
        <v>1005.6875308715601</v>
      </c>
      <c r="AW4834" s="2">
        <v>1442.95509511256</v>
      </c>
      <c r="AX4834" s="2">
        <v>3210.7525502106901</v>
      </c>
    </row>
    <row r="4835" spans="1:50" x14ac:dyDescent="0.25">
      <c r="A4835" s="2" t="s">
        <v>31698</v>
      </c>
      <c r="B4835" s="2">
        <v>431.31654423451403</v>
      </c>
      <c r="C4835" s="2">
        <v>10.691333333333301</v>
      </c>
      <c r="D4835" s="2" t="s">
        <v>51</v>
      </c>
      <c r="E4835" s="2" t="s">
        <v>31699</v>
      </c>
      <c r="F4835" s="2">
        <v>57055</v>
      </c>
      <c r="G4835" s="3" t="str">
        <f>HYPERLINK("https://cloud.oebiotech.com/#/lm/network/57055", "https://cloud.oebiotech.com/#/lm/network/57055")</f>
        <v>https://cloud.oebiotech.com/#/lm/network/57055</v>
      </c>
      <c r="H4835" s="2" t="s">
        <v>31700</v>
      </c>
      <c r="I4835" s="2"/>
      <c r="J4835" s="2"/>
      <c r="K4835" s="2">
        <v>12312669</v>
      </c>
      <c r="L4835" s="2"/>
      <c r="M4835" s="2"/>
      <c r="N4835" s="2"/>
      <c r="O4835" s="2"/>
      <c r="P4835" s="2"/>
      <c r="Q4835" s="2"/>
      <c r="R4835" s="2" t="s">
        <v>31701</v>
      </c>
      <c r="S4835" s="2" t="s">
        <v>31702</v>
      </c>
      <c r="T4835" s="2" t="s">
        <v>31703</v>
      </c>
      <c r="U4835" s="2" t="s">
        <v>56</v>
      </c>
      <c r="V4835" s="2" t="s">
        <v>177</v>
      </c>
      <c r="W4835" s="2" t="s">
        <v>3270</v>
      </c>
      <c r="X4835" s="2" t="s">
        <v>83</v>
      </c>
      <c r="Y4835" s="2">
        <v>47.9</v>
      </c>
      <c r="Z4835" s="2">
        <v>0</v>
      </c>
      <c r="AA4835" s="2" t="s">
        <v>156</v>
      </c>
      <c r="AB4835" s="2" t="s">
        <v>12928</v>
      </c>
      <c r="AC4835" s="2">
        <v>2.1368175397133302</v>
      </c>
      <c r="AD4835" s="2"/>
      <c r="AE4835" s="2">
        <v>6.6971301101162298E-2</v>
      </c>
      <c r="AF4835" s="2">
        <v>23491.070192081199</v>
      </c>
      <c r="AG4835" s="2">
        <v>24226.489218463401</v>
      </c>
      <c r="AH4835" s="4">
        <v>0.96964401157136004</v>
      </c>
      <c r="AI4835" s="4">
        <v>-4.4472911510992599E-2</v>
      </c>
      <c r="AJ4835" s="4" t="s">
        <v>62</v>
      </c>
      <c r="AK4835" s="2">
        <v>0.91798729372439203</v>
      </c>
      <c r="AL4835" s="2">
        <v>0.964986111549196</v>
      </c>
      <c r="AM4835" s="2">
        <v>8410.1800498451594</v>
      </c>
      <c r="AN4835" s="2">
        <v>21852.821624916702</v>
      </c>
      <c r="AO4835" s="2">
        <v>25677.707705139401</v>
      </c>
      <c r="AP4835" s="2">
        <v>21665.050688993</v>
      </c>
      <c r="AQ4835" s="2">
        <v>40076.795001069899</v>
      </c>
      <c r="AR4835" s="2">
        <v>23263.866082523</v>
      </c>
      <c r="AS4835" s="2">
        <v>37091.7153222653</v>
      </c>
      <c r="AT4835" s="2">
        <v>43328.386057163298</v>
      </c>
      <c r="AU4835" s="2">
        <v>13572.5820550477</v>
      </c>
      <c r="AV4835" s="2">
        <v>7514.8061552901299</v>
      </c>
      <c r="AW4835" s="2">
        <v>19946.253950156701</v>
      </c>
      <c r="AX4835" s="2">
        <v>23905.191770857498</v>
      </c>
    </row>
    <row r="4836" spans="1:50" x14ac:dyDescent="0.25">
      <c r="A4836" s="2" t="s">
        <v>31704</v>
      </c>
      <c r="B4836" s="2">
        <v>218.06109140804901</v>
      </c>
      <c r="C4836" s="2">
        <v>1.15001666666667</v>
      </c>
      <c r="D4836" s="2" t="s">
        <v>51</v>
      </c>
      <c r="E4836" s="2" t="s">
        <v>31705</v>
      </c>
      <c r="F4836" s="2">
        <v>199356</v>
      </c>
      <c r="G4836" s="3" t="str">
        <f>HYPERLINK("https://cloud.oebiotech.com/#/lm/network/199356", "https://cloud.oebiotech.com/#/lm/network/199356")</f>
        <v>https://cloud.oebiotech.com/#/lm/network/199356</v>
      </c>
      <c r="H4836" s="2" t="s">
        <v>31706</v>
      </c>
      <c r="I4836" s="2">
        <v>73030</v>
      </c>
      <c r="J4836" s="2"/>
      <c r="K4836" s="2">
        <v>6702</v>
      </c>
      <c r="L4836" s="2" t="s">
        <v>31707</v>
      </c>
      <c r="M4836" s="2"/>
      <c r="N4836" s="2"/>
      <c r="O4836" s="2"/>
      <c r="P4836" s="2"/>
      <c r="Q4836" s="2"/>
      <c r="R4836" s="2" t="s">
        <v>31708</v>
      </c>
      <c r="S4836" s="2" t="s">
        <v>31709</v>
      </c>
      <c r="T4836" s="2" t="s">
        <v>31710</v>
      </c>
      <c r="U4836" s="2" t="s">
        <v>610</v>
      </c>
      <c r="V4836" s="2" t="s">
        <v>9240</v>
      </c>
      <c r="W4836" s="2" t="s">
        <v>9633</v>
      </c>
      <c r="X4836" s="2" t="s">
        <v>147</v>
      </c>
      <c r="Y4836" s="2">
        <v>36.799999999999997</v>
      </c>
      <c r="Z4836" s="2">
        <v>0</v>
      </c>
      <c r="AA4836" s="2" t="s">
        <v>379</v>
      </c>
      <c r="AB4836" s="2" t="s">
        <v>31711</v>
      </c>
      <c r="AC4836" s="2">
        <v>-0.19431769639157501</v>
      </c>
      <c r="AD4836" s="2"/>
      <c r="AE4836" s="2">
        <v>6.68902922102836E-2</v>
      </c>
      <c r="AF4836" s="2">
        <v>563.12121849341702</v>
      </c>
      <c r="AG4836" s="2">
        <v>712.47494897992101</v>
      </c>
      <c r="AH4836" s="4">
        <v>0.79037335881024295</v>
      </c>
      <c r="AI4836" s="4">
        <v>-0.33939377620377198</v>
      </c>
      <c r="AJ4836" s="4" t="s">
        <v>62</v>
      </c>
      <c r="AK4836" s="2">
        <v>0.63902199589167197</v>
      </c>
      <c r="AL4836" s="2">
        <v>0.82368076196457995</v>
      </c>
      <c r="AM4836" s="2">
        <v>8.559877937157E-6</v>
      </c>
      <c r="AN4836" s="2">
        <v>696.07319517357598</v>
      </c>
      <c r="AO4836" s="2">
        <v>278.17602418896399</v>
      </c>
      <c r="AP4836" s="2">
        <v>979.53777180612303</v>
      </c>
      <c r="AQ4836" s="2">
        <v>1006.00745145525</v>
      </c>
      <c r="AR4836" s="2">
        <v>418.93285977670899</v>
      </c>
      <c r="AS4836" s="2">
        <v>186.70581789954099</v>
      </c>
      <c r="AT4836" s="2">
        <v>299.00047622200401</v>
      </c>
      <c r="AU4836" s="2">
        <v>112.665657150572</v>
      </c>
      <c r="AV4836" s="2">
        <v>1591.07893511723</v>
      </c>
      <c r="AW4836" s="2">
        <v>684.35857732031695</v>
      </c>
      <c r="AX4836" s="2">
        <v>1401.04023016986</v>
      </c>
    </row>
    <row r="4837" spans="1:50" x14ac:dyDescent="0.25">
      <c r="A4837" s="2" t="s">
        <v>31712</v>
      </c>
      <c r="B4837" s="2">
        <v>177.06</v>
      </c>
      <c r="C4837" s="2">
        <v>8.1449999999999996</v>
      </c>
      <c r="D4837" s="2" t="s">
        <v>125</v>
      </c>
      <c r="E4837" s="2" t="s">
        <v>31713</v>
      </c>
      <c r="F4837" s="2">
        <v>47167</v>
      </c>
      <c r="G4837" s="3" t="str">
        <f>HYPERLINK("https://cloud.oebiotech.com/#/lm/network/47167", "https://cloud.oebiotech.com/#/lm/network/47167")</f>
        <v>https://cloud.oebiotech.com/#/lm/network/47167</v>
      </c>
      <c r="H4837" s="2" t="s">
        <v>31714</v>
      </c>
      <c r="I4837" s="2">
        <v>5668</v>
      </c>
      <c r="J4837" s="2"/>
      <c r="K4837" s="2">
        <v>68152</v>
      </c>
      <c r="L4837" s="2" t="s">
        <v>31715</v>
      </c>
      <c r="M4837" s="2" t="s">
        <v>31716</v>
      </c>
      <c r="N4837" s="2" t="s">
        <v>31717</v>
      </c>
      <c r="O4837" s="2">
        <v>33404</v>
      </c>
      <c r="P4837" s="2"/>
      <c r="Q4837" s="2"/>
      <c r="R4837" s="2" t="s">
        <v>31718</v>
      </c>
      <c r="S4837" s="2" t="s">
        <v>31719</v>
      </c>
      <c r="T4837" s="2" t="s">
        <v>31720</v>
      </c>
      <c r="U4837" s="2" t="s">
        <v>103</v>
      </c>
      <c r="V4837" s="2" t="s">
        <v>377</v>
      </c>
      <c r="W4837" s="2" t="s">
        <v>7726</v>
      </c>
      <c r="X4837" s="2" t="s">
        <v>69</v>
      </c>
      <c r="Y4837" s="2">
        <v>92</v>
      </c>
      <c r="Z4837" s="2">
        <v>88.8</v>
      </c>
      <c r="AA4837" s="2"/>
      <c r="AB4837" s="2" t="s">
        <v>2286</v>
      </c>
      <c r="AC4837" s="2"/>
      <c r="AD4837" s="2">
        <v>271834.64137522201</v>
      </c>
      <c r="AE4837" s="2">
        <v>6.6882653263799996E-2</v>
      </c>
      <c r="AF4837" s="2">
        <v>10661.8827516209</v>
      </c>
      <c r="AG4837" s="2">
        <v>13873.597168300799</v>
      </c>
      <c r="AH4837" s="4">
        <v>0.76850168145156805</v>
      </c>
      <c r="AI4837" s="4">
        <v>-0.37987967840763998</v>
      </c>
      <c r="AJ4837" s="4" t="s">
        <v>62</v>
      </c>
      <c r="AK4837" s="2">
        <v>0.230178546259689</v>
      </c>
      <c r="AL4837" s="2">
        <v>0.55482191344430198</v>
      </c>
      <c r="AM4837" s="2">
        <v>10781.3696346177</v>
      </c>
      <c r="AN4837" s="2">
        <v>10428.2396532443</v>
      </c>
      <c r="AO4837" s="2">
        <v>9778.6720842431605</v>
      </c>
      <c r="AP4837" s="2">
        <v>13188.0954580584</v>
      </c>
      <c r="AQ4837" s="2">
        <v>9871.5671751760492</v>
      </c>
      <c r="AR4837" s="2">
        <v>9923.3525043855207</v>
      </c>
      <c r="AS4837" s="2">
        <v>22783.756509591301</v>
      </c>
      <c r="AT4837" s="2">
        <v>19117.709974322799</v>
      </c>
      <c r="AU4837" s="2">
        <v>9748.7744876711404</v>
      </c>
      <c r="AV4837" s="2">
        <v>9121.1021867303898</v>
      </c>
      <c r="AW4837" s="2">
        <v>8017.6158104095903</v>
      </c>
      <c r="AX4837" s="2">
        <v>14452.6240410794</v>
      </c>
    </row>
    <row r="4838" spans="1:50" x14ac:dyDescent="0.25">
      <c r="A4838" s="2" t="s">
        <v>31721</v>
      </c>
      <c r="B4838" s="2">
        <v>255.16139999999999</v>
      </c>
      <c r="C4838" s="2">
        <v>28.718</v>
      </c>
      <c r="D4838" s="2" t="s">
        <v>125</v>
      </c>
      <c r="E4838" s="2" t="s">
        <v>31722</v>
      </c>
      <c r="F4838" s="2">
        <v>43446</v>
      </c>
      <c r="G4838" s="3" t="str">
        <f>HYPERLINK("https://cloud.oebiotech.com/#/lm/network/43446", "https://cloud.oebiotech.com/#/lm/network/43446")</f>
        <v>https://cloud.oebiotech.com/#/lm/network/43446</v>
      </c>
      <c r="H4838" s="2" t="s">
        <v>31723</v>
      </c>
      <c r="I4838" s="2">
        <v>166</v>
      </c>
      <c r="J4838" s="2" t="s">
        <v>31724</v>
      </c>
      <c r="K4838" s="2">
        <v>65728</v>
      </c>
      <c r="L4838" s="2" t="s">
        <v>31725</v>
      </c>
      <c r="M4838" s="2" t="s">
        <v>4155</v>
      </c>
      <c r="N4838" s="2" t="s">
        <v>4156</v>
      </c>
      <c r="O4838" s="2">
        <v>17168</v>
      </c>
      <c r="P4838" s="2" t="s">
        <v>31726</v>
      </c>
      <c r="Q4838" s="2" t="s">
        <v>31727</v>
      </c>
      <c r="R4838" s="2" t="s">
        <v>31728</v>
      </c>
      <c r="S4838" s="2" t="s">
        <v>31729</v>
      </c>
      <c r="T4838" s="2" t="s">
        <v>31730</v>
      </c>
      <c r="U4838" s="2" t="s">
        <v>56</v>
      </c>
      <c r="V4838" s="2" t="s">
        <v>283</v>
      </c>
      <c r="W4838" s="2" t="s">
        <v>1108</v>
      </c>
      <c r="X4838" s="2" t="s">
        <v>69</v>
      </c>
      <c r="Y4838" s="2">
        <v>90.3</v>
      </c>
      <c r="Z4838" s="2">
        <v>84.1</v>
      </c>
      <c r="AA4838" s="2"/>
      <c r="AB4838" s="2" t="s">
        <v>1423</v>
      </c>
      <c r="AC4838" s="2"/>
      <c r="AD4838" s="2">
        <v>1155537.9119754301</v>
      </c>
      <c r="AE4838" s="2">
        <v>6.67494279814346E-2</v>
      </c>
      <c r="AF4838" s="2">
        <v>3276.30787606698</v>
      </c>
      <c r="AG4838" s="2">
        <v>4595.8950159671904</v>
      </c>
      <c r="AH4838" s="4">
        <v>0.71287700538944798</v>
      </c>
      <c r="AI4838" s="4">
        <v>-0.48827490885107799</v>
      </c>
      <c r="AJ4838" s="4" t="s">
        <v>62</v>
      </c>
      <c r="AK4838" s="2">
        <v>0.33956128170182698</v>
      </c>
      <c r="AL4838" s="2">
        <v>0.63815037094278604</v>
      </c>
      <c r="AM4838" s="2">
        <v>2299.8352172700202</v>
      </c>
      <c r="AN4838" s="2">
        <v>2299.8352172700202</v>
      </c>
      <c r="AO4838" s="2">
        <v>5240.8451928166496</v>
      </c>
      <c r="AP4838" s="2">
        <v>5217.66119450514</v>
      </c>
      <c r="AQ4838" s="2">
        <v>2299.8352172700202</v>
      </c>
      <c r="AR4838" s="2">
        <v>2299.8352172700202</v>
      </c>
      <c r="AS4838" s="2">
        <v>2299.8352172700202</v>
      </c>
      <c r="AT4838" s="2">
        <v>2299.8352172700202</v>
      </c>
      <c r="AU4838" s="2">
        <v>6075.3439677086599</v>
      </c>
      <c r="AV4838" s="2">
        <v>5317.29852701869</v>
      </c>
      <c r="AW4838" s="2">
        <v>9283.2219492657096</v>
      </c>
      <c r="AX4838" s="2">
        <v>2299.8352172700202</v>
      </c>
    </row>
    <row r="4839" spans="1:50" x14ac:dyDescent="0.25">
      <c r="A4839" s="2" t="s">
        <v>31731</v>
      </c>
      <c r="B4839" s="2">
        <v>237.05568581819901</v>
      </c>
      <c r="C4839" s="2">
        <v>0.82335000000000003</v>
      </c>
      <c r="D4839" s="2" t="s">
        <v>51</v>
      </c>
      <c r="E4839" s="2" t="s">
        <v>31732</v>
      </c>
      <c r="F4839" s="2">
        <v>202547</v>
      </c>
      <c r="G4839" s="3" t="str">
        <f>HYPERLINK("https://cloud.oebiotech.com/#/lm/network/202547", "https://cloud.oebiotech.com/#/lm/network/202547")</f>
        <v>https://cloud.oebiotech.com/#/lm/network/202547</v>
      </c>
      <c r="H4839" s="2" t="s">
        <v>31733</v>
      </c>
      <c r="I4839" s="2">
        <v>44149</v>
      </c>
      <c r="J4839" s="2"/>
      <c r="K4839" s="2">
        <v>1880</v>
      </c>
      <c r="L4839" s="2"/>
      <c r="M4839" s="2"/>
      <c r="N4839" s="2"/>
      <c r="O4839" s="2">
        <v>140464</v>
      </c>
      <c r="P4839" s="2"/>
      <c r="Q4839" s="2"/>
      <c r="R4839" s="2" t="s">
        <v>31734</v>
      </c>
      <c r="S4839" s="2" t="s">
        <v>31735</v>
      </c>
      <c r="T4839" s="2" t="s">
        <v>31736</v>
      </c>
      <c r="U4839" s="2" t="s">
        <v>540</v>
      </c>
      <c r="V4839" s="2" t="s">
        <v>541</v>
      </c>
      <c r="W4839" s="2" t="s">
        <v>3377</v>
      </c>
      <c r="X4839" s="2" t="s">
        <v>147</v>
      </c>
      <c r="Y4839" s="2">
        <v>41.9</v>
      </c>
      <c r="Z4839" s="2">
        <v>38</v>
      </c>
      <c r="AA4839" s="2" t="s">
        <v>156</v>
      </c>
      <c r="AB4839" s="2" t="s">
        <v>31737</v>
      </c>
      <c r="AC4839" s="2">
        <v>4.1930175034175301</v>
      </c>
      <c r="AD4839" s="2"/>
      <c r="AE4839" s="2">
        <v>6.6726660188688405E-2</v>
      </c>
      <c r="AF4839" s="2">
        <v>3606.0319037347699</v>
      </c>
      <c r="AG4839" s="2">
        <v>4206.4433998961003</v>
      </c>
      <c r="AH4839" s="4">
        <v>0.85726385949323303</v>
      </c>
      <c r="AI4839" s="4">
        <v>-0.222188771304727</v>
      </c>
      <c r="AJ4839" s="4" t="s">
        <v>62</v>
      </c>
      <c r="AK4839" s="2">
        <v>0.41477819754100698</v>
      </c>
      <c r="AL4839" s="2">
        <v>0.677638458668398</v>
      </c>
      <c r="AM4839" s="2">
        <v>4149.8955255834499</v>
      </c>
      <c r="AN4839" s="2">
        <v>3701.3311546149998</v>
      </c>
      <c r="AO4839" s="2">
        <v>2928.6178045338902</v>
      </c>
      <c r="AP4839" s="2">
        <v>4711.2134367000699</v>
      </c>
      <c r="AQ4839" s="2">
        <v>4237.2493994686502</v>
      </c>
      <c r="AR4839" s="2">
        <v>1907.88410150756</v>
      </c>
      <c r="AS4839" s="2">
        <v>3143.2707568457899</v>
      </c>
      <c r="AT4839" s="2">
        <v>6955.9135663014204</v>
      </c>
      <c r="AU4839" s="2">
        <v>3727.74798774377</v>
      </c>
      <c r="AV4839" s="2">
        <v>4052.3550882520999</v>
      </c>
      <c r="AW4839" s="2">
        <v>3975.2582695291599</v>
      </c>
      <c r="AX4839" s="2">
        <v>3384.1147307043798</v>
      </c>
    </row>
    <row r="4840" spans="1:50" x14ac:dyDescent="0.25">
      <c r="A4840" s="2" t="s">
        <v>31738</v>
      </c>
      <c r="B4840" s="2">
        <v>272.03795729291102</v>
      </c>
      <c r="C4840" s="2">
        <v>0.99048333333333305</v>
      </c>
      <c r="D4840" s="2" t="s">
        <v>51</v>
      </c>
      <c r="E4840" s="2" t="s">
        <v>31739</v>
      </c>
      <c r="F4840" s="2">
        <v>211720</v>
      </c>
      <c r="G4840" s="3" t="str">
        <f>HYPERLINK("https://cloud.oebiotech.com/#/lm/network/211720", "https://cloud.oebiotech.com/#/lm/network/211720")</f>
        <v>https://cloud.oebiotech.com/#/lm/network/211720</v>
      </c>
      <c r="H4840" s="2" t="s">
        <v>31740</v>
      </c>
      <c r="I4840" s="2"/>
      <c r="J4840" s="2"/>
      <c r="K4840" s="2"/>
      <c r="L4840" s="2"/>
      <c r="M4840" s="2"/>
      <c r="N4840" s="2"/>
      <c r="O4840" s="2"/>
      <c r="P4840" s="2"/>
      <c r="Q4840" s="2"/>
      <c r="R4840" s="2"/>
      <c r="S4840" s="2" t="s">
        <v>31741</v>
      </c>
      <c r="T4840" s="2" t="s">
        <v>31742</v>
      </c>
      <c r="U4840" s="2" t="s">
        <v>103</v>
      </c>
      <c r="V4840" s="2" t="s">
        <v>104</v>
      </c>
      <c r="W4840" s="2" t="s">
        <v>105</v>
      </c>
      <c r="X4840" s="2" t="s">
        <v>83</v>
      </c>
      <c r="Y4840" s="2">
        <v>39.299999999999997</v>
      </c>
      <c r="Z4840" s="2">
        <v>0</v>
      </c>
      <c r="AA4840" s="2" t="s">
        <v>95</v>
      </c>
      <c r="AB4840" s="2" t="s">
        <v>31743</v>
      </c>
      <c r="AC4840" s="2">
        <v>1.08532634314298</v>
      </c>
      <c r="AD4840" s="2"/>
      <c r="AE4840" s="2">
        <v>6.6709946553348096E-2</v>
      </c>
      <c r="AF4840" s="2">
        <v>2073.3106415678399</v>
      </c>
      <c r="AG4840" s="2">
        <v>2232.5219345759701</v>
      </c>
      <c r="AH4840" s="4">
        <v>0.92868545184602003</v>
      </c>
      <c r="AI4840" s="4">
        <v>-0.106738060070941</v>
      </c>
      <c r="AJ4840" s="4" t="s">
        <v>62</v>
      </c>
      <c r="AK4840" s="2">
        <v>0.86364579051318602</v>
      </c>
      <c r="AL4840" s="2">
        <v>0.94110408824290404</v>
      </c>
      <c r="AM4840" s="2">
        <v>132.268175939478</v>
      </c>
      <c r="AN4840" s="2">
        <v>2391.5160625343501</v>
      </c>
      <c r="AO4840" s="2">
        <v>4043.46198616829</v>
      </c>
      <c r="AP4840" s="2">
        <v>2883.3182932719401</v>
      </c>
      <c r="AQ4840" s="2">
        <v>1132.0366126973299</v>
      </c>
      <c r="AR4840" s="2">
        <v>1857.26271879564</v>
      </c>
      <c r="AS4840" s="2">
        <v>1695.1891775486499</v>
      </c>
      <c r="AT4840" s="2">
        <v>1011.5541205488</v>
      </c>
      <c r="AU4840" s="2">
        <v>580.79466200516299</v>
      </c>
      <c r="AV4840" s="2">
        <v>2476.1514226342802</v>
      </c>
      <c r="AW4840" s="2">
        <v>5484.7944117148099</v>
      </c>
      <c r="AX4840" s="2">
        <v>2146.6478130041401</v>
      </c>
    </row>
    <row r="4841" spans="1:50" x14ac:dyDescent="0.25">
      <c r="A4841" s="2" t="s">
        <v>31744</v>
      </c>
      <c r="B4841" s="2">
        <v>225.10241338444999</v>
      </c>
      <c r="C4841" s="2">
        <v>7.2403166666666703</v>
      </c>
      <c r="D4841" s="2" t="s">
        <v>51</v>
      </c>
      <c r="E4841" s="2" t="s">
        <v>31745</v>
      </c>
      <c r="F4841" s="2">
        <v>82547</v>
      </c>
      <c r="G4841" s="3" t="str">
        <f>HYPERLINK("https://cloud.oebiotech.com/#/lm/network/82547", "https://cloud.oebiotech.com/#/lm/network/82547")</f>
        <v>https://cloud.oebiotech.com/#/lm/network/82547</v>
      </c>
      <c r="H4841" s="2" t="s">
        <v>31746</v>
      </c>
      <c r="I4841" s="2">
        <v>71259</v>
      </c>
      <c r="J4841" s="2"/>
      <c r="K4841" s="2">
        <v>276457</v>
      </c>
      <c r="L4841" s="2" t="s">
        <v>31747</v>
      </c>
      <c r="M4841" s="2" t="s">
        <v>7436</v>
      </c>
      <c r="N4841" s="2" t="s">
        <v>7437</v>
      </c>
      <c r="O4841" s="2"/>
      <c r="P4841" s="2"/>
      <c r="Q4841" s="2"/>
      <c r="R4841" s="2"/>
      <c r="S4841" s="2" t="s">
        <v>31748</v>
      </c>
      <c r="T4841" s="2" t="s">
        <v>31749</v>
      </c>
      <c r="U4841" s="2" t="s">
        <v>266</v>
      </c>
      <c r="V4841" s="2" t="s">
        <v>5066</v>
      </c>
      <c r="W4841" s="2" t="s">
        <v>5067</v>
      </c>
      <c r="X4841" s="2" t="s">
        <v>147</v>
      </c>
      <c r="Y4841" s="2">
        <v>36.9</v>
      </c>
      <c r="Z4841" s="2">
        <v>0</v>
      </c>
      <c r="AA4841" s="2" t="s">
        <v>512</v>
      </c>
      <c r="AB4841" s="2" t="s">
        <v>31750</v>
      </c>
      <c r="AC4841" s="2">
        <v>0.84001928053310504</v>
      </c>
      <c r="AD4841" s="2"/>
      <c r="AE4841" s="2">
        <v>6.6648483626120997E-2</v>
      </c>
      <c r="AF4841" s="2">
        <v>383.38542454228502</v>
      </c>
      <c r="AG4841" s="2">
        <v>661.04481984985898</v>
      </c>
      <c r="AH4841" s="4">
        <v>0.57996888112573397</v>
      </c>
      <c r="AI4841" s="4">
        <v>-0.78595260197475103</v>
      </c>
      <c r="AJ4841" s="4" t="s">
        <v>62</v>
      </c>
      <c r="AK4841" s="2">
        <v>0.37787930730506802</v>
      </c>
      <c r="AL4841" s="2">
        <v>0.65844593389412398</v>
      </c>
      <c r="AM4841" s="2">
        <v>920.72026842769105</v>
      </c>
      <c r="AN4841" s="2">
        <v>385.2209354341</v>
      </c>
      <c r="AO4841" s="2">
        <v>0.451691399393788</v>
      </c>
      <c r="AP4841" s="2">
        <v>767.31803771196905</v>
      </c>
      <c r="AQ4841" s="2">
        <v>8.559877937157E-6</v>
      </c>
      <c r="AR4841" s="2">
        <v>226.60160572068</v>
      </c>
      <c r="AS4841" s="2">
        <v>1635.29294699365</v>
      </c>
      <c r="AT4841" s="2">
        <v>192.404954251627</v>
      </c>
      <c r="AU4841" s="2">
        <v>858.63092497355694</v>
      </c>
      <c r="AV4841" s="2">
        <v>242.05459293649</v>
      </c>
      <c r="AW4841" s="2">
        <v>1037.7791983745001</v>
      </c>
      <c r="AX4841" s="2">
        <v>0.10630156933236</v>
      </c>
    </row>
    <row r="4842" spans="1:50" x14ac:dyDescent="0.25">
      <c r="A4842" s="2" t="s">
        <v>31751</v>
      </c>
      <c r="B4842" s="2">
        <v>321.17063203574099</v>
      </c>
      <c r="C4842" s="2">
        <v>7.8285</v>
      </c>
      <c r="D4842" s="2" t="s">
        <v>51</v>
      </c>
      <c r="E4842" s="2" t="s">
        <v>31752</v>
      </c>
      <c r="F4842" s="2">
        <v>6382</v>
      </c>
      <c r="G4842" s="3" t="str">
        <f>HYPERLINK("https://cloud.oebiotech.com/#/lm/network/6382", "https://cloud.oebiotech.com/#/lm/network/6382")</f>
        <v>https://cloud.oebiotech.com/#/lm/network/6382</v>
      </c>
      <c r="H4842" s="2" t="s">
        <v>31753</v>
      </c>
      <c r="I4842" s="2">
        <v>93600</v>
      </c>
      <c r="J4842" s="2" t="s">
        <v>31754</v>
      </c>
      <c r="K4842" s="2">
        <v>5317634</v>
      </c>
      <c r="L4842" s="2"/>
      <c r="M4842" s="2"/>
      <c r="N4842" s="2"/>
      <c r="O4842" s="2"/>
      <c r="P4842" s="2"/>
      <c r="Q4842" s="2"/>
      <c r="R4842" s="2" t="s">
        <v>31755</v>
      </c>
      <c r="S4842" s="2" t="s">
        <v>31756</v>
      </c>
      <c r="T4842" s="2" t="s">
        <v>31757</v>
      </c>
      <c r="U4842" s="2" t="s">
        <v>56</v>
      </c>
      <c r="V4842" s="2" t="s">
        <v>145</v>
      </c>
      <c r="W4842" s="2" t="s">
        <v>146</v>
      </c>
      <c r="X4842" s="2" t="s">
        <v>83</v>
      </c>
      <c r="Y4842" s="2">
        <v>43.9</v>
      </c>
      <c r="Z4842" s="2">
        <v>0</v>
      </c>
      <c r="AA4842" s="2" t="s">
        <v>218</v>
      </c>
      <c r="AB4842" s="2" t="s">
        <v>24245</v>
      </c>
      <c r="AC4842" s="2">
        <v>-0.41808145403003799</v>
      </c>
      <c r="AD4842" s="2"/>
      <c r="AE4842" s="2">
        <v>6.66129129345399E-2</v>
      </c>
      <c r="AF4842" s="2">
        <v>2207.7913158133802</v>
      </c>
      <c r="AG4842" s="2">
        <v>1515.8491198249801</v>
      </c>
      <c r="AH4842" s="5">
        <v>1.4564716810788501</v>
      </c>
      <c r="AI4842" s="5">
        <v>0.54247765069605003</v>
      </c>
      <c r="AJ4842" s="5" t="s">
        <v>139</v>
      </c>
      <c r="AK4842" s="2">
        <v>0.439908431099654</v>
      </c>
      <c r="AL4842" s="2">
        <v>0.696825248373656</v>
      </c>
      <c r="AM4842" s="2">
        <v>437.00952937170302</v>
      </c>
      <c r="AN4842" s="2">
        <v>2041.44621657016</v>
      </c>
      <c r="AO4842" s="2">
        <v>1468.1289619592401</v>
      </c>
      <c r="AP4842" s="2">
        <v>5310.3168756185696</v>
      </c>
      <c r="AQ4842" s="2">
        <v>739.81614333386597</v>
      </c>
      <c r="AR4842" s="2">
        <v>3250.0301680267398</v>
      </c>
      <c r="AS4842" s="2">
        <v>1346.1158739543</v>
      </c>
      <c r="AT4842" s="2">
        <v>1232.5700632778401</v>
      </c>
      <c r="AU4842" s="2">
        <v>3616.0633816002201</v>
      </c>
      <c r="AV4842" s="2">
        <v>945.53449859476405</v>
      </c>
      <c r="AW4842" s="2">
        <v>1293.2906935035401</v>
      </c>
      <c r="AX4842" s="2">
        <v>661.520208019199</v>
      </c>
    </row>
    <row r="4843" spans="1:50" x14ac:dyDescent="0.25">
      <c r="A4843" s="2" t="s">
        <v>31758</v>
      </c>
      <c r="B4843" s="2">
        <v>397.11238442561603</v>
      </c>
      <c r="C4843" s="2">
        <v>2.0634666666666699</v>
      </c>
      <c r="D4843" s="2" t="s">
        <v>51</v>
      </c>
      <c r="E4843" s="2" t="s">
        <v>31759</v>
      </c>
      <c r="F4843" s="2">
        <v>212123</v>
      </c>
      <c r="G4843" s="3" t="str">
        <f>HYPERLINK("https://cloud.oebiotech.com/#/lm/network/212123", "https://cloud.oebiotech.com/#/lm/network/212123")</f>
        <v>https://cloud.oebiotech.com/#/lm/network/212123</v>
      </c>
      <c r="H4843" s="2" t="s">
        <v>31760</v>
      </c>
      <c r="I4843" s="2"/>
      <c r="J4843" s="2"/>
      <c r="K4843" s="2">
        <v>3515878</v>
      </c>
      <c r="L4843" s="2"/>
      <c r="M4843" s="2"/>
      <c r="N4843" s="2"/>
      <c r="O4843" s="2"/>
      <c r="P4843" s="2"/>
      <c r="Q4843" s="2"/>
      <c r="R4843" s="2"/>
      <c r="S4843" s="2" t="s">
        <v>31761</v>
      </c>
      <c r="T4843" s="2" t="s">
        <v>31762</v>
      </c>
      <c r="U4843" s="2" t="s">
        <v>331</v>
      </c>
      <c r="V4843" s="2" t="s">
        <v>332</v>
      </c>
      <c r="W4843" s="2" t="s">
        <v>333</v>
      </c>
      <c r="X4843" s="2" t="s">
        <v>59</v>
      </c>
      <c r="Y4843" s="2">
        <v>50.3</v>
      </c>
      <c r="Z4843" s="2">
        <v>63.7</v>
      </c>
      <c r="AA4843" s="2" t="s">
        <v>95</v>
      </c>
      <c r="AB4843" s="2" t="s">
        <v>31763</v>
      </c>
      <c r="AC4843" s="2">
        <v>4.9899444144135598</v>
      </c>
      <c r="AD4843" s="2"/>
      <c r="AE4843" s="2">
        <v>6.6488872951175504E-2</v>
      </c>
      <c r="AF4843" s="2">
        <v>26259.668928332201</v>
      </c>
      <c r="AG4843" s="2">
        <v>24886.373503063802</v>
      </c>
      <c r="AH4843" s="5">
        <v>1.0551826253471299</v>
      </c>
      <c r="AI4843" s="5">
        <v>7.74927144595811E-2</v>
      </c>
      <c r="AJ4843" s="5" t="s">
        <v>139</v>
      </c>
      <c r="AK4843" s="2">
        <v>0.796255253493518</v>
      </c>
      <c r="AL4843" s="2">
        <v>0.90954932814260703</v>
      </c>
      <c r="AM4843" s="2">
        <v>28707.381655744299</v>
      </c>
      <c r="AN4843" s="2">
        <v>27507.209168035399</v>
      </c>
      <c r="AO4843" s="2">
        <v>16326.094566845</v>
      </c>
      <c r="AP4843" s="2">
        <v>36515.765562843597</v>
      </c>
      <c r="AQ4843" s="2">
        <v>30401.764838586001</v>
      </c>
      <c r="AR4843" s="2">
        <v>18099.7977779389</v>
      </c>
      <c r="AS4843" s="2">
        <v>15576.9544207993</v>
      </c>
      <c r="AT4843" s="2">
        <v>20209.253422375401</v>
      </c>
      <c r="AU4843" s="2">
        <v>29224.4099596616</v>
      </c>
      <c r="AV4843" s="2">
        <v>17070.302163467099</v>
      </c>
      <c r="AW4843" s="2">
        <v>24441.083273973902</v>
      </c>
      <c r="AX4843" s="2">
        <v>42796.237778105802</v>
      </c>
    </row>
    <row r="4844" spans="1:50" x14ac:dyDescent="0.25">
      <c r="A4844" s="2" t="s">
        <v>31764</v>
      </c>
      <c r="B4844" s="2">
        <v>142.12295272311101</v>
      </c>
      <c r="C4844" s="2">
        <v>12.6778666666667</v>
      </c>
      <c r="D4844" s="2" t="s">
        <v>51</v>
      </c>
      <c r="E4844" s="2" t="s">
        <v>31765</v>
      </c>
      <c r="F4844" s="2">
        <v>2471</v>
      </c>
      <c r="G4844" s="3" t="str">
        <f>HYPERLINK("https://cloud.oebiotech.com/#/lm/network/2471", "https://cloud.oebiotech.com/#/lm/network/2471")</f>
        <v>https://cloud.oebiotech.com/#/lm/network/2471</v>
      </c>
      <c r="H4844" s="2"/>
      <c r="I4844" s="2">
        <v>35939</v>
      </c>
      <c r="J4844" s="2" t="s">
        <v>31766</v>
      </c>
      <c r="K4844" s="2">
        <v>295606</v>
      </c>
      <c r="L4844" s="2"/>
      <c r="M4844" s="2"/>
      <c r="N4844" s="2"/>
      <c r="O4844" s="2">
        <v>73739</v>
      </c>
      <c r="P4844" s="2"/>
      <c r="Q4844" s="2"/>
      <c r="R4844" s="2"/>
      <c r="S4844" s="2" t="s">
        <v>31767</v>
      </c>
      <c r="T4844" s="2" t="s">
        <v>31768</v>
      </c>
      <c r="U4844" s="2" t="s">
        <v>103</v>
      </c>
      <c r="V4844" s="2" t="s">
        <v>104</v>
      </c>
      <c r="W4844" s="2" t="s">
        <v>105</v>
      </c>
      <c r="X4844" s="2" t="s">
        <v>147</v>
      </c>
      <c r="Y4844" s="2">
        <v>40.799999999999997</v>
      </c>
      <c r="Z4844" s="2">
        <v>15.4</v>
      </c>
      <c r="AA4844" s="2" t="s">
        <v>156</v>
      </c>
      <c r="AB4844" s="2" t="s">
        <v>31769</v>
      </c>
      <c r="AC4844" s="2">
        <v>1.9618675815469999</v>
      </c>
      <c r="AD4844" s="2"/>
      <c r="AE4844" s="2">
        <v>6.6429241144582304E-2</v>
      </c>
      <c r="AF4844" s="2">
        <v>5569.5991567644896</v>
      </c>
      <c r="AG4844" s="2">
        <v>6774.2211728535003</v>
      </c>
      <c r="AH4844" s="4">
        <v>0.82217557039378697</v>
      </c>
      <c r="AI4844" s="4">
        <v>-0.28248158967894998</v>
      </c>
      <c r="AJ4844" s="4" t="s">
        <v>62</v>
      </c>
      <c r="AK4844" s="2">
        <v>0.82717538052217698</v>
      </c>
      <c r="AL4844" s="2">
        <v>0.92429976515301204</v>
      </c>
      <c r="AM4844" s="2">
        <v>8.559877937157E-6</v>
      </c>
      <c r="AN4844" s="2">
        <v>141.34294167442201</v>
      </c>
      <c r="AO4844" s="2">
        <v>15197.498033060499</v>
      </c>
      <c r="AP4844" s="2">
        <v>224.455898506132</v>
      </c>
      <c r="AQ4844" s="2">
        <v>17440.042094583401</v>
      </c>
      <c r="AR4844" s="2">
        <v>414.25596420263003</v>
      </c>
      <c r="AS4844" s="2">
        <v>20109.177840855999</v>
      </c>
      <c r="AT4844" s="2">
        <v>175.58100055059001</v>
      </c>
      <c r="AU4844" s="2">
        <v>19703.300242967001</v>
      </c>
      <c r="AV4844" s="2">
        <v>247.45725534147201</v>
      </c>
      <c r="AW4844" s="2">
        <v>198.10826333427499</v>
      </c>
      <c r="AX4844" s="2">
        <v>211.70243407164901</v>
      </c>
    </row>
    <row r="4845" spans="1:50" x14ac:dyDescent="0.25">
      <c r="A4845" s="2" t="s">
        <v>31770</v>
      </c>
      <c r="B4845" s="2">
        <v>352.10396901760998</v>
      </c>
      <c r="C4845" s="2">
        <v>4.1008333333333304</v>
      </c>
      <c r="D4845" s="2" t="s">
        <v>51</v>
      </c>
      <c r="E4845" s="2" t="s">
        <v>31771</v>
      </c>
      <c r="F4845" s="2">
        <v>83556</v>
      </c>
      <c r="G4845" s="3" t="str">
        <f>HYPERLINK("https://cloud.oebiotech.com/#/lm/network/83556", "https://cloud.oebiotech.com/#/lm/network/83556")</f>
        <v>https://cloud.oebiotech.com/#/lm/network/83556</v>
      </c>
      <c r="H4845" s="2" t="s">
        <v>31772</v>
      </c>
      <c r="I4845" s="2"/>
      <c r="J4845" s="2"/>
      <c r="K4845" s="2">
        <v>10948689</v>
      </c>
      <c r="L4845" s="2"/>
      <c r="M4845" s="2"/>
      <c r="N4845" s="2"/>
      <c r="O4845" s="2"/>
      <c r="P4845" s="2"/>
      <c r="Q4845" s="2"/>
      <c r="R4845" s="2"/>
      <c r="S4845" s="2" t="s">
        <v>31773</v>
      </c>
      <c r="T4845" s="2" t="s">
        <v>31774</v>
      </c>
      <c r="U4845" s="2" t="s">
        <v>331</v>
      </c>
      <c r="V4845" s="2" t="s">
        <v>332</v>
      </c>
      <c r="W4845" s="2" t="s">
        <v>333</v>
      </c>
      <c r="X4845" s="2" t="s">
        <v>147</v>
      </c>
      <c r="Y4845" s="2">
        <v>41.1</v>
      </c>
      <c r="Z4845" s="2">
        <v>16.3</v>
      </c>
      <c r="AA4845" s="2" t="s">
        <v>379</v>
      </c>
      <c r="AB4845" s="2" t="s">
        <v>31775</v>
      </c>
      <c r="AC4845" s="2">
        <v>0.48200720526253799</v>
      </c>
      <c r="AD4845" s="2"/>
      <c r="AE4845" s="2">
        <v>6.6335040282169397E-2</v>
      </c>
      <c r="AF4845" s="2">
        <v>2090.1585568926298</v>
      </c>
      <c r="AG4845" s="2">
        <v>2463.1954987653899</v>
      </c>
      <c r="AH4845" s="4">
        <v>0.84855569033812595</v>
      </c>
      <c r="AI4845" s="4">
        <v>-0.23691874856891501</v>
      </c>
      <c r="AJ4845" s="4" t="s">
        <v>62</v>
      </c>
      <c r="AK4845" s="2">
        <v>0.60763619583745998</v>
      </c>
      <c r="AL4845" s="2">
        <v>0.80448616752299296</v>
      </c>
      <c r="AM4845" s="2">
        <v>2022.59618505242</v>
      </c>
      <c r="AN4845" s="2">
        <v>1543.7352843508399</v>
      </c>
      <c r="AO4845" s="2">
        <v>2467.8805951209401</v>
      </c>
      <c r="AP4845" s="2">
        <v>2199.7822893820098</v>
      </c>
      <c r="AQ4845" s="2">
        <v>2831.2502043284098</v>
      </c>
      <c r="AR4845" s="2">
        <v>1475.70678312117</v>
      </c>
      <c r="AS4845" s="2">
        <v>5226.5213861127204</v>
      </c>
      <c r="AT4845" s="2">
        <v>2000.07467460309</v>
      </c>
      <c r="AU4845" s="2">
        <v>2824.63776947205</v>
      </c>
      <c r="AV4845" s="2">
        <v>1309.8084210643999</v>
      </c>
      <c r="AW4845" s="2">
        <v>2938.88675941982</v>
      </c>
      <c r="AX4845" s="2">
        <v>479.24398192026302</v>
      </c>
    </row>
    <row r="4846" spans="1:50" x14ac:dyDescent="0.25">
      <c r="A4846" s="2" t="s">
        <v>31776</v>
      </c>
      <c r="B4846" s="2">
        <v>309.08325089681</v>
      </c>
      <c r="C4846" s="2">
        <v>4.2174666666666702</v>
      </c>
      <c r="D4846" s="2" t="s">
        <v>51</v>
      </c>
      <c r="E4846" s="2" t="s">
        <v>31777</v>
      </c>
      <c r="F4846" s="2">
        <v>50887</v>
      </c>
      <c r="G4846" s="3" t="str">
        <f>HYPERLINK("https://cloud.oebiotech.com/#/lm/network/50887", "https://cloud.oebiotech.com/#/lm/network/50887")</f>
        <v>https://cloud.oebiotech.com/#/lm/network/50887</v>
      </c>
      <c r="H4846" s="2" t="s">
        <v>31778</v>
      </c>
      <c r="I4846" s="2">
        <v>61642</v>
      </c>
      <c r="J4846" s="2"/>
      <c r="K4846" s="2">
        <v>2733785</v>
      </c>
      <c r="L4846" s="2" t="s">
        <v>3258</v>
      </c>
      <c r="M4846" s="2" t="s">
        <v>3259</v>
      </c>
      <c r="N4846" s="2" t="s">
        <v>3260</v>
      </c>
      <c r="O4846" s="2">
        <v>145223</v>
      </c>
      <c r="P4846" s="2"/>
      <c r="Q4846" s="2"/>
      <c r="R4846" s="2" t="s">
        <v>31779</v>
      </c>
      <c r="S4846" s="2" t="s">
        <v>31780</v>
      </c>
      <c r="T4846" s="2" t="s">
        <v>31781</v>
      </c>
      <c r="U4846" s="2" t="s">
        <v>331</v>
      </c>
      <c r="V4846" s="2" t="s">
        <v>332</v>
      </c>
      <c r="W4846" s="2" t="s">
        <v>333</v>
      </c>
      <c r="X4846" s="2" t="s">
        <v>83</v>
      </c>
      <c r="Y4846" s="2">
        <v>40.4</v>
      </c>
      <c r="Z4846" s="2">
        <v>0</v>
      </c>
      <c r="AA4846" s="2" t="s">
        <v>122</v>
      </c>
      <c r="AB4846" s="2" t="s">
        <v>31782</v>
      </c>
      <c r="AC4846" s="2">
        <v>-5.1798913822031301</v>
      </c>
      <c r="AD4846" s="2"/>
      <c r="AE4846" s="2">
        <v>6.63195588757058E-2</v>
      </c>
      <c r="AF4846" s="2">
        <v>3413.6851200125702</v>
      </c>
      <c r="AG4846" s="2">
        <v>2519.3424761695201</v>
      </c>
      <c r="AH4846" s="5">
        <v>1.3549904994269899</v>
      </c>
      <c r="AI4846" s="5">
        <v>0.43828273609750901</v>
      </c>
      <c r="AJ4846" s="5" t="s">
        <v>139</v>
      </c>
      <c r="AK4846" s="2">
        <v>0.591875975636035</v>
      </c>
      <c r="AL4846" s="2">
        <v>0.79384060507313303</v>
      </c>
      <c r="AM4846" s="2">
        <v>993.59617736851101</v>
      </c>
      <c r="AN4846" s="2">
        <v>2755.3566351221202</v>
      </c>
      <c r="AO4846" s="2">
        <v>2102.84103469608</v>
      </c>
      <c r="AP4846" s="2">
        <v>2541.9496456005199</v>
      </c>
      <c r="AQ4846" s="2">
        <v>1784.38187589586</v>
      </c>
      <c r="AR4846" s="2">
        <v>10303.985351392301</v>
      </c>
      <c r="AS4846" s="2">
        <v>425.03374596504102</v>
      </c>
      <c r="AT4846" s="2">
        <v>2515.8093388933198</v>
      </c>
      <c r="AU4846" s="2">
        <v>3692.1872755080299</v>
      </c>
      <c r="AV4846" s="2">
        <v>1255.9922698871301</v>
      </c>
      <c r="AW4846" s="2">
        <v>5802.6571031592002</v>
      </c>
      <c r="AX4846" s="2">
        <v>1424.3751236044</v>
      </c>
    </row>
    <row r="4847" spans="1:50" x14ac:dyDescent="0.25">
      <c r="A4847" s="2" t="s">
        <v>31783</v>
      </c>
      <c r="B4847" s="2">
        <v>205.19576816305101</v>
      </c>
      <c r="C4847" s="2">
        <v>9.5221499999999999</v>
      </c>
      <c r="D4847" s="2" t="s">
        <v>51</v>
      </c>
      <c r="E4847" s="2" t="s">
        <v>31784</v>
      </c>
      <c r="F4847" s="2">
        <v>35511</v>
      </c>
      <c r="G4847" s="3" t="str">
        <f>HYPERLINK("https://cloud.oebiotech.com/#/lm/network/35511", "https://cloud.oebiotech.com/#/lm/network/35511")</f>
        <v>https://cloud.oebiotech.com/#/lm/network/35511</v>
      </c>
      <c r="H4847" s="2"/>
      <c r="I4847" s="2">
        <v>41208</v>
      </c>
      <c r="J4847" s="2" t="s">
        <v>31785</v>
      </c>
      <c r="K4847" s="2">
        <v>92776</v>
      </c>
      <c r="L4847" s="2" t="s">
        <v>31786</v>
      </c>
      <c r="M4847" s="2"/>
      <c r="N4847" s="2"/>
      <c r="O4847" s="2">
        <v>10115</v>
      </c>
      <c r="P4847" s="2"/>
      <c r="Q4847" s="2"/>
      <c r="R4847" s="2"/>
      <c r="S4847" s="2" t="s">
        <v>31787</v>
      </c>
      <c r="T4847" s="2" t="s">
        <v>31788</v>
      </c>
      <c r="U4847" s="2" t="s">
        <v>56</v>
      </c>
      <c r="V4847" s="2" t="s">
        <v>177</v>
      </c>
      <c r="W4847" s="2" t="s">
        <v>1996</v>
      </c>
      <c r="X4847" s="2" t="s">
        <v>147</v>
      </c>
      <c r="Y4847" s="2">
        <v>37.799999999999997</v>
      </c>
      <c r="Z4847" s="2">
        <v>0</v>
      </c>
      <c r="AA4847" s="2" t="s">
        <v>259</v>
      </c>
      <c r="AB4847" s="2" t="s">
        <v>31789</v>
      </c>
      <c r="AC4847" s="2">
        <v>3.3839503050792001</v>
      </c>
      <c r="AD4847" s="2"/>
      <c r="AE4847" s="2">
        <v>6.6173270463021294E-2</v>
      </c>
      <c r="AF4847" s="2">
        <v>1074.16706166669</v>
      </c>
      <c r="AG4847" s="2">
        <v>924.00496587726605</v>
      </c>
      <c r="AH4847" s="5">
        <v>1.1625122172875499</v>
      </c>
      <c r="AI4847" s="5">
        <v>0.21724587813683499</v>
      </c>
      <c r="AJ4847" s="5" t="s">
        <v>139</v>
      </c>
      <c r="AK4847" s="2">
        <v>0.31526952507848999</v>
      </c>
      <c r="AL4847" s="2">
        <v>0.62413706859245499</v>
      </c>
      <c r="AM4847" s="2">
        <v>1475.2344711569201</v>
      </c>
      <c r="AN4847" s="2">
        <v>894.44840967284904</v>
      </c>
      <c r="AO4847" s="2">
        <v>933.19797821414602</v>
      </c>
      <c r="AP4847" s="2">
        <v>1226.1799279258901</v>
      </c>
      <c r="AQ4847" s="2">
        <v>1008.35037308304</v>
      </c>
      <c r="AR4847" s="2">
        <v>907.59120994728005</v>
      </c>
      <c r="AS4847" s="2">
        <v>1118.2301911454999</v>
      </c>
      <c r="AT4847" s="2">
        <v>962.021421410833</v>
      </c>
      <c r="AU4847" s="2">
        <v>1264.95665296635</v>
      </c>
      <c r="AV4847" s="2">
        <v>539.34308120062201</v>
      </c>
      <c r="AW4847" s="2">
        <v>918.67151778678794</v>
      </c>
      <c r="AX4847" s="2">
        <v>740.80693075350496</v>
      </c>
    </row>
    <row r="4848" spans="1:50" x14ac:dyDescent="0.25">
      <c r="A4848" s="2" t="s">
        <v>31790</v>
      </c>
      <c r="B4848" s="2">
        <v>161.04462420678601</v>
      </c>
      <c r="C4848" s="2">
        <v>2.2440333333333302</v>
      </c>
      <c r="D4848" s="2" t="s">
        <v>51</v>
      </c>
      <c r="E4848" s="2" t="s">
        <v>31791</v>
      </c>
      <c r="F4848" s="2">
        <v>348</v>
      </c>
      <c r="G4848" s="3" t="str">
        <f>HYPERLINK("https://cloud.oebiotech.com/#/lm/network/348", "https://cloud.oebiotech.com/#/lm/network/348")</f>
        <v>https://cloud.oebiotech.com/#/lm/network/348</v>
      </c>
      <c r="H4848" s="2" t="s">
        <v>31792</v>
      </c>
      <c r="I4848" s="2">
        <v>120</v>
      </c>
      <c r="J4848" s="2" t="s">
        <v>31793</v>
      </c>
      <c r="K4848" s="2">
        <v>49</v>
      </c>
      <c r="L4848" s="2" t="s">
        <v>31794</v>
      </c>
      <c r="M4848" s="2" t="s">
        <v>31795</v>
      </c>
      <c r="N4848" s="2" t="s">
        <v>31796</v>
      </c>
      <c r="O4848" s="2">
        <v>16530</v>
      </c>
      <c r="P4848" s="2" t="s">
        <v>31797</v>
      </c>
      <c r="Q4848" s="2" t="s">
        <v>31798</v>
      </c>
      <c r="R4848" s="2" t="s">
        <v>31799</v>
      </c>
      <c r="S4848" s="2" t="s">
        <v>31800</v>
      </c>
      <c r="T4848" s="2" t="s">
        <v>31801</v>
      </c>
      <c r="U4848" s="2" t="s">
        <v>103</v>
      </c>
      <c r="V4848" s="2" t="s">
        <v>2602</v>
      </c>
      <c r="W4848" s="2" t="s">
        <v>19845</v>
      </c>
      <c r="X4848" s="2" t="s">
        <v>83</v>
      </c>
      <c r="Y4848" s="2">
        <v>38.799999999999997</v>
      </c>
      <c r="Z4848" s="2">
        <v>0</v>
      </c>
      <c r="AA4848" s="2" t="s">
        <v>218</v>
      </c>
      <c r="AB4848" s="2" t="s">
        <v>25836</v>
      </c>
      <c r="AC4848" s="2">
        <v>-7.95174126069527</v>
      </c>
      <c r="AD4848" s="2"/>
      <c r="AE4848" s="2">
        <v>6.6091198626350503E-2</v>
      </c>
      <c r="AF4848" s="2">
        <v>1434.6020122576499</v>
      </c>
      <c r="AG4848" s="2">
        <v>1821.90473711963</v>
      </c>
      <c r="AH4848" s="4">
        <v>0.78741878377554797</v>
      </c>
      <c r="AI4848" s="4">
        <v>-0.34479696667208798</v>
      </c>
      <c r="AJ4848" s="4" t="s">
        <v>62</v>
      </c>
      <c r="AK4848" s="2">
        <v>0.49788208546252199</v>
      </c>
      <c r="AL4848" s="2">
        <v>0.73659080265504795</v>
      </c>
      <c r="AM4848" s="2">
        <v>1226.97873969278</v>
      </c>
      <c r="AN4848" s="2">
        <v>987.32206250361196</v>
      </c>
      <c r="AO4848" s="2">
        <v>848.99353037954597</v>
      </c>
      <c r="AP4848" s="2">
        <v>1377.3249409602399</v>
      </c>
      <c r="AQ4848" s="2">
        <v>1333.2106315414401</v>
      </c>
      <c r="AR4848" s="2">
        <v>2833.7821684682699</v>
      </c>
      <c r="AS4848" s="2">
        <v>2639.8432612617999</v>
      </c>
      <c r="AT4848" s="2">
        <v>1399.9175890101901</v>
      </c>
      <c r="AU4848" s="2">
        <v>3769.9434509122102</v>
      </c>
      <c r="AV4848" s="2">
        <v>1116.4012917678599</v>
      </c>
      <c r="AW4848" s="2">
        <v>1171.5626732738899</v>
      </c>
      <c r="AX4848" s="2">
        <v>833.76015649181898</v>
      </c>
    </row>
    <row r="4849" spans="1:50" x14ac:dyDescent="0.25">
      <c r="A4849" s="2" t="s">
        <v>31802</v>
      </c>
      <c r="B4849" s="2">
        <v>319.07282162879898</v>
      </c>
      <c r="C4849" s="2">
        <v>1.02813333333333</v>
      </c>
      <c r="D4849" s="2" t="s">
        <v>51</v>
      </c>
      <c r="E4849" s="2" t="s">
        <v>31803</v>
      </c>
      <c r="F4849" s="2">
        <v>1559</v>
      </c>
      <c r="G4849" s="3" t="str">
        <f>HYPERLINK("https://cloud.oebiotech.com/#/lm/network/1559", "https://cloud.oebiotech.com/#/lm/network/1559")</f>
        <v>https://cloud.oebiotech.com/#/lm/network/1559</v>
      </c>
      <c r="H4849" s="2"/>
      <c r="I4849" s="2"/>
      <c r="J4849" s="2" t="s">
        <v>31804</v>
      </c>
      <c r="K4849" s="2"/>
      <c r="L4849" s="2"/>
      <c r="M4849" s="2"/>
      <c r="N4849" s="2"/>
      <c r="O4849" s="2"/>
      <c r="P4849" s="2"/>
      <c r="Q4849" s="2"/>
      <c r="R4849" s="2"/>
      <c r="S4849" s="2" t="s">
        <v>31805</v>
      </c>
      <c r="T4849" s="2" t="s">
        <v>31806</v>
      </c>
      <c r="U4849" s="2" t="s">
        <v>56</v>
      </c>
      <c r="V4849" s="2" t="s">
        <v>145</v>
      </c>
      <c r="W4849" s="2" t="s">
        <v>231</v>
      </c>
      <c r="X4849" s="2" t="s">
        <v>147</v>
      </c>
      <c r="Y4849" s="2">
        <v>45.2</v>
      </c>
      <c r="Z4849" s="2">
        <v>37.4</v>
      </c>
      <c r="AA4849" s="2" t="s">
        <v>395</v>
      </c>
      <c r="AB4849" s="2" t="s">
        <v>31807</v>
      </c>
      <c r="AC4849" s="2">
        <v>-1.00254563041053</v>
      </c>
      <c r="AD4849" s="2"/>
      <c r="AE4849" s="2">
        <v>6.6068023147748997E-2</v>
      </c>
      <c r="AF4849" s="2">
        <v>25419.308843813698</v>
      </c>
      <c r="AG4849" s="2">
        <v>25427.853078439599</v>
      </c>
      <c r="AH4849" s="4">
        <v>0.999663981280699</v>
      </c>
      <c r="AI4849" s="4">
        <v>-4.8485400455438498E-4</v>
      </c>
      <c r="AJ4849" s="4" t="s">
        <v>62</v>
      </c>
      <c r="AK4849" s="2">
        <v>0.99919765586194298</v>
      </c>
      <c r="AL4849" s="2">
        <v>0.99936598430801105</v>
      </c>
      <c r="AM4849" s="2">
        <v>50979.028783099697</v>
      </c>
      <c r="AN4849" s="2">
        <v>4440.9610846683199</v>
      </c>
      <c r="AO4849" s="2">
        <v>25681.6290426183</v>
      </c>
      <c r="AP4849" s="2">
        <v>34149.111322823097</v>
      </c>
      <c r="AQ4849" s="2">
        <v>23298.849707162299</v>
      </c>
      <c r="AR4849" s="2">
        <v>13966.2731225103</v>
      </c>
      <c r="AS4849" s="2">
        <v>11961.5705513435</v>
      </c>
      <c r="AT4849" s="2">
        <v>16640.299751195202</v>
      </c>
      <c r="AU4849" s="2">
        <v>35526.322420894503</v>
      </c>
      <c r="AV4849" s="2">
        <v>20123.483554056998</v>
      </c>
      <c r="AW4849" s="2">
        <v>23814.993683094399</v>
      </c>
      <c r="AX4849" s="2">
        <v>44500.448510053298</v>
      </c>
    </row>
    <row r="4850" spans="1:50" x14ac:dyDescent="0.25">
      <c r="A4850" s="2" t="s">
        <v>31808</v>
      </c>
      <c r="B4850" s="2">
        <v>290.00569314541502</v>
      </c>
      <c r="C4850" s="2">
        <v>0.69093333333333296</v>
      </c>
      <c r="D4850" s="2" t="s">
        <v>51</v>
      </c>
      <c r="E4850" s="2" t="s">
        <v>31809</v>
      </c>
      <c r="F4850" s="2">
        <v>82590</v>
      </c>
      <c r="G4850" s="3" t="str">
        <f>HYPERLINK("https://cloud.oebiotech.com/#/lm/network/82590", "https://cloud.oebiotech.com/#/lm/network/82590")</f>
        <v>https://cloud.oebiotech.com/#/lm/network/82590</v>
      </c>
      <c r="H4850" s="2" t="s">
        <v>31810</v>
      </c>
      <c r="I4850" s="2">
        <v>1106</v>
      </c>
      <c r="J4850" s="2"/>
      <c r="K4850" s="2">
        <v>169721</v>
      </c>
      <c r="L4850" s="2"/>
      <c r="M4850" s="2"/>
      <c r="N4850" s="2"/>
      <c r="O4850" s="2"/>
      <c r="P4850" s="2"/>
      <c r="Q4850" s="2"/>
      <c r="R4850" s="2" t="s">
        <v>31811</v>
      </c>
      <c r="S4850" s="2" t="s">
        <v>31812</v>
      </c>
      <c r="T4850" s="2" t="s">
        <v>31813</v>
      </c>
      <c r="U4850" s="2" t="s">
        <v>266</v>
      </c>
      <c r="V4850" s="2" t="s">
        <v>1393</v>
      </c>
      <c r="W4850" s="2" t="s">
        <v>1643</v>
      </c>
      <c r="X4850" s="2" t="s">
        <v>147</v>
      </c>
      <c r="Y4850" s="2">
        <v>36.6</v>
      </c>
      <c r="Z4850" s="2">
        <v>0</v>
      </c>
      <c r="AA4850" s="2" t="s">
        <v>379</v>
      </c>
      <c r="AB4850" s="2" t="s">
        <v>31814</v>
      </c>
      <c r="AC4850" s="2">
        <v>3.5160589572047898</v>
      </c>
      <c r="AD4850" s="2"/>
      <c r="AE4850" s="2">
        <v>6.6021737498626498E-2</v>
      </c>
      <c r="AF4850" s="2">
        <v>1629.9655857606199</v>
      </c>
      <c r="AG4850" s="2">
        <v>2251.10577727379</v>
      </c>
      <c r="AH4850" s="4">
        <v>0.72407329864996195</v>
      </c>
      <c r="AI4850" s="4">
        <v>-0.46579234475269898</v>
      </c>
      <c r="AJ4850" s="4" t="s">
        <v>62</v>
      </c>
      <c r="AK4850" s="2">
        <v>0.57468339448089001</v>
      </c>
      <c r="AL4850" s="2">
        <v>0.78564459545109699</v>
      </c>
      <c r="AM4850" s="2">
        <v>1293.9193716746299</v>
      </c>
      <c r="AN4850" s="2">
        <v>1615.3372863552499</v>
      </c>
      <c r="AO4850" s="2">
        <v>3661.9609983779601</v>
      </c>
      <c r="AP4850" s="2">
        <v>1199.17446334635</v>
      </c>
      <c r="AQ4850" s="2">
        <v>2009.4013862496499</v>
      </c>
      <c r="AR4850" s="2">
        <v>8.559877937157E-6</v>
      </c>
      <c r="AS4850" s="2">
        <v>823.56130508470505</v>
      </c>
      <c r="AT4850" s="2">
        <v>1367.55493541122</v>
      </c>
      <c r="AU4850" s="2">
        <v>3885.2026366118598</v>
      </c>
      <c r="AV4850" s="2">
        <v>8.559877937157E-6</v>
      </c>
      <c r="AW4850" s="2">
        <v>6197.4032230490002</v>
      </c>
      <c r="AX4850" s="2">
        <v>1232.91255492608</v>
      </c>
    </row>
    <row r="4851" spans="1:50" x14ac:dyDescent="0.25">
      <c r="A4851" s="2" t="s">
        <v>31815</v>
      </c>
      <c r="B4851" s="2">
        <v>465.13802456455301</v>
      </c>
      <c r="C4851" s="2">
        <v>7.1716333333333298</v>
      </c>
      <c r="D4851" s="2" t="s">
        <v>51</v>
      </c>
      <c r="E4851" s="2" t="s">
        <v>31816</v>
      </c>
      <c r="F4851" s="2">
        <v>200117</v>
      </c>
      <c r="G4851" s="3" t="str">
        <f>HYPERLINK("https://cloud.oebiotech.com/#/lm/network/200117", "https://cloud.oebiotech.com/#/lm/network/200117")</f>
        <v>https://cloud.oebiotech.com/#/lm/network/200117</v>
      </c>
      <c r="H4851" s="2" t="s">
        <v>31817</v>
      </c>
      <c r="I4851" s="2"/>
      <c r="J4851" s="2"/>
      <c r="K4851" s="2">
        <v>3547512</v>
      </c>
      <c r="L4851" s="2"/>
      <c r="M4851" s="2"/>
      <c r="N4851" s="2"/>
      <c r="O4851" s="2"/>
      <c r="P4851" s="2"/>
      <c r="Q4851" s="2"/>
      <c r="R4851" s="2"/>
      <c r="S4851" s="2" t="s">
        <v>31818</v>
      </c>
      <c r="T4851" s="2" t="s">
        <v>31819</v>
      </c>
      <c r="U4851" s="2" t="s">
        <v>103</v>
      </c>
      <c r="V4851" s="2" t="s">
        <v>104</v>
      </c>
      <c r="W4851" s="2" t="s">
        <v>105</v>
      </c>
      <c r="X4851" s="2" t="s">
        <v>147</v>
      </c>
      <c r="Y4851" s="2">
        <v>38.4</v>
      </c>
      <c r="Z4851" s="2">
        <v>0</v>
      </c>
      <c r="AA4851" s="2" t="s">
        <v>478</v>
      </c>
      <c r="AB4851" s="2" t="s">
        <v>31820</v>
      </c>
      <c r="AC4851" s="2">
        <v>2.0231251467096798</v>
      </c>
      <c r="AD4851" s="2"/>
      <c r="AE4851" s="2">
        <v>6.5936789882869995E-2</v>
      </c>
      <c r="AF4851" s="2">
        <v>795.03284904915495</v>
      </c>
      <c r="AG4851" s="2">
        <v>1060.8103105882799</v>
      </c>
      <c r="AH4851" s="4">
        <v>0.74945807097996897</v>
      </c>
      <c r="AI4851" s="4">
        <v>-0.41608032716297799</v>
      </c>
      <c r="AJ4851" s="4" t="s">
        <v>62</v>
      </c>
      <c r="AK4851" s="2">
        <v>0.63895181232459597</v>
      </c>
      <c r="AL4851" s="2">
        <v>0.82368076196457995</v>
      </c>
      <c r="AM4851" s="2">
        <v>562.79319038279596</v>
      </c>
      <c r="AN4851" s="2">
        <v>1292.18614189191</v>
      </c>
      <c r="AO4851" s="2">
        <v>497.93582361467799</v>
      </c>
      <c r="AP4851" s="2">
        <v>341.67106193214602</v>
      </c>
      <c r="AQ4851" s="2">
        <v>8.559877937157E-6</v>
      </c>
      <c r="AR4851" s="2">
        <v>2075.61086791352</v>
      </c>
      <c r="AS4851" s="2">
        <v>1205.16770540743</v>
      </c>
      <c r="AT4851" s="2">
        <v>8.559877937157E-6</v>
      </c>
      <c r="AU4851" s="2">
        <v>827.00596572791699</v>
      </c>
      <c r="AV4851" s="2">
        <v>1324.75693320242</v>
      </c>
      <c r="AW4851" s="2">
        <v>3007.9312420721599</v>
      </c>
      <c r="AX4851" s="2">
        <v>8.559877937157E-6</v>
      </c>
    </row>
    <row r="4852" spans="1:50" x14ac:dyDescent="0.25">
      <c r="A4852" s="2" t="s">
        <v>31821</v>
      </c>
      <c r="B4852" s="2">
        <v>149.002198673506</v>
      </c>
      <c r="C4852" s="2">
        <v>4.5435833333333298</v>
      </c>
      <c r="D4852" s="2" t="s">
        <v>51</v>
      </c>
      <c r="E4852" s="2" t="s">
        <v>31822</v>
      </c>
      <c r="F4852" s="2">
        <v>199640</v>
      </c>
      <c r="G4852" s="3" t="str">
        <f>HYPERLINK("https://cloud.oebiotech.com/#/lm/network/199640", "https://cloud.oebiotech.com/#/lm/network/199640")</f>
        <v>https://cloud.oebiotech.com/#/lm/network/199640</v>
      </c>
      <c r="H4852" s="2" t="s">
        <v>31823</v>
      </c>
      <c r="I4852" s="2"/>
      <c r="J4852" s="2"/>
      <c r="K4852" s="2">
        <v>11084</v>
      </c>
      <c r="L4852" s="2"/>
      <c r="M4852" s="2"/>
      <c r="N4852" s="2"/>
      <c r="O4852" s="2"/>
      <c r="P4852" s="2"/>
      <c r="Q4852" s="2"/>
      <c r="R4852" s="2"/>
      <c r="S4852" s="2" t="s">
        <v>31824</v>
      </c>
      <c r="T4852" s="2" t="s">
        <v>31825</v>
      </c>
      <c r="U4852" s="2" t="s">
        <v>610</v>
      </c>
      <c r="V4852" s="2" t="s">
        <v>611</v>
      </c>
      <c r="W4852" s="2" t="s">
        <v>1409</v>
      </c>
      <c r="X4852" s="2" t="s">
        <v>147</v>
      </c>
      <c r="Y4852" s="2">
        <v>39.200000000000003</v>
      </c>
      <c r="Z4852" s="2">
        <v>0</v>
      </c>
      <c r="AA4852" s="2" t="s">
        <v>163</v>
      </c>
      <c r="AB4852" s="2" t="s">
        <v>31826</v>
      </c>
      <c r="AC4852" s="2">
        <v>1.41432176484738</v>
      </c>
      <c r="AD4852" s="2"/>
      <c r="AE4852" s="2">
        <v>6.5800668508739696E-2</v>
      </c>
      <c r="AF4852" s="2">
        <v>1161.59065026657</v>
      </c>
      <c r="AG4852" s="2">
        <v>1416.91551109134</v>
      </c>
      <c r="AH4852" s="4">
        <v>0.81980233907658095</v>
      </c>
      <c r="AI4852" s="4">
        <v>-0.28665198858218699</v>
      </c>
      <c r="AJ4852" s="4" t="s">
        <v>62</v>
      </c>
      <c r="AK4852" s="2">
        <v>0.219810596692539</v>
      </c>
      <c r="AL4852" s="2">
        <v>0.545275084359649</v>
      </c>
      <c r="AM4852" s="2">
        <v>826.52837544998602</v>
      </c>
      <c r="AN4852" s="2">
        <v>1397.4515011932399</v>
      </c>
      <c r="AO4852" s="2">
        <v>1147.6555546393799</v>
      </c>
      <c r="AP4852" s="2">
        <v>1238.1141083862699</v>
      </c>
      <c r="AQ4852" s="2">
        <v>1011.68499637609</v>
      </c>
      <c r="AR4852" s="2">
        <v>1348.1093655544501</v>
      </c>
      <c r="AS4852" s="2">
        <v>1624.6369781348701</v>
      </c>
      <c r="AT4852" s="2">
        <v>1750.54435781948</v>
      </c>
      <c r="AU4852" s="2">
        <v>1840.2384942139499</v>
      </c>
      <c r="AV4852" s="2">
        <v>730.11844016288296</v>
      </c>
      <c r="AW4852" s="2">
        <v>1096.06067212322</v>
      </c>
      <c r="AX4852" s="2">
        <v>1459.8941240936299</v>
      </c>
    </row>
    <row r="4853" spans="1:50" x14ac:dyDescent="0.25">
      <c r="A4853" s="2" t="s">
        <v>31827</v>
      </c>
      <c r="B4853" s="2">
        <v>271.10889553999499</v>
      </c>
      <c r="C4853" s="2">
        <v>6.0798500000000004</v>
      </c>
      <c r="D4853" s="2" t="s">
        <v>51</v>
      </c>
      <c r="E4853" s="2" t="s">
        <v>31828</v>
      </c>
      <c r="F4853" s="2">
        <v>202617</v>
      </c>
      <c r="G4853" s="3" t="str">
        <f>HYPERLINK("https://cloud.oebiotech.com/#/lm/network/202617", "https://cloud.oebiotech.com/#/lm/network/202617")</f>
        <v>https://cloud.oebiotech.com/#/lm/network/202617</v>
      </c>
      <c r="H4853" s="2" t="s">
        <v>31829</v>
      </c>
      <c r="I4853" s="2"/>
      <c r="J4853" s="2"/>
      <c r="K4853" s="2">
        <v>6918822</v>
      </c>
      <c r="L4853" s="2"/>
      <c r="M4853" s="2"/>
      <c r="N4853" s="2"/>
      <c r="O4853" s="2"/>
      <c r="P4853" s="2"/>
      <c r="Q4853" s="2"/>
      <c r="R4853" s="2"/>
      <c r="S4853" s="2" t="s">
        <v>31830</v>
      </c>
      <c r="T4853" s="2" t="s">
        <v>31831</v>
      </c>
      <c r="U4853" s="2" t="s">
        <v>266</v>
      </c>
      <c r="V4853" s="2" t="s">
        <v>1393</v>
      </c>
      <c r="W4853" s="2" t="s">
        <v>25566</v>
      </c>
      <c r="X4853" s="2" t="s">
        <v>147</v>
      </c>
      <c r="Y4853" s="2">
        <v>42.6</v>
      </c>
      <c r="Z4853" s="2">
        <v>18.8</v>
      </c>
      <c r="AA4853" s="2" t="s">
        <v>218</v>
      </c>
      <c r="AB4853" s="2" t="s">
        <v>31832</v>
      </c>
      <c r="AC4853" s="2">
        <v>0.35200406606088802</v>
      </c>
      <c r="AD4853" s="2"/>
      <c r="AE4853" s="2">
        <v>6.572184698222E-2</v>
      </c>
      <c r="AF4853" s="2">
        <v>2019.95343201571</v>
      </c>
      <c r="AG4853" s="2">
        <v>2666.8988657382401</v>
      </c>
      <c r="AH4853" s="4">
        <v>0.75741658522043598</v>
      </c>
      <c r="AI4853" s="4">
        <v>-0.40084108249351802</v>
      </c>
      <c r="AJ4853" s="4" t="s">
        <v>62</v>
      </c>
      <c r="AK4853" s="2">
        <v>0.35886657453828902</v>
      </c>
      <c r="AL4853" s="2">
        <v>0.64449606579735297</v>
      </c>
      <c r="AM4853" s="2">
        <v>2855.1920300479701</v>
      </c>
      <c r="AN4853" s="2">
        <v>1619.82120673082</v>
      </c>
      <c r="AO4853" s="2">
        <v>2705.0265210924699</v>
      </c>
      <c r="AP4853" s="2">
        <v>940.457620078285</v>
      </c>
      <c r="AQ4853" s="2">
        <v>2230.1104495598502</v>
      </c>
      <c r="AR4853" s="2">
        <v>1769.1127645848801</v>
      </c>
      <c r="AS4853" s="2">
        <v>3409.0844315596701</v>
      </c>
      <c r="AT4853" s="2">
        <v>2192.1002503797099</v>
      </c>
      <c r="AU4853" s="2">
        <v>5199.6641284554198</v>
      </c>
      <c r="AV4853" s="2">
        <v>1931.1595301633399</v>
      </c>
      <c r="AW4853" s="2">
        <v>2380.5777979356899</v>
      </c>
      <c r="AX4853" s="2">
        <v>888.80705593560799</v>
      </c>
    </row>
    <row r="4854" spans="1:50" x14ac:dyDescent="0.25">
      <c r="A4854" s="2" t="s">
        <v>31833</v>
      </c>
      <c r="B4854" s="2">
        <v>311.22284985430503</v>
      </c>
      <c r="C4854" s="2">
        <v>11.672833333333299</v>
      </c>
      <c r="D4854" s="2" t="s">
        <v>51</v>
      </c>
      <c r="E4854" s="2" t="s">
        <v>31834</v>
      </c>
      <c r="F4854" s="2">
        <v>211292</v>
      </c>
      <c r="G4854" s="3" t="str">
        <f>HYPERLINK("https://cloud.oebiotech.com/#/lm/network/211292", "https://cloud.oebiotech.com/#/lm/network/211292")</f>
        <v>https://cloud.oebiotech.com/#/lm/network/211292</v>
      </c>
      <c r="H4854" s="2" t="s">
        <v>31835</v>
      </c>
      <c r="I4854" s="2"/>
      <c r="J4854" s="2"/>
      <c r="K4854" s="2">
        <v>53636117</v>
      </c>
      <c r="L4854" s="2"/>
      <c r="M4854" s="2"/>
      <c r="N4854" s="2"/>
      <c r="O4854" s="2"/>
      <c r="P4854" s="2"/>
      <c r="Q4854" s="2"/>
      <c r="R4854" s="2"/>
      <c r="S4854" s="2" t="s">
        <v>31836</v>
      </c>
      <c r="T4854" s="2" t="s">
        <v>31837</v>
      </c>
      <c r="U4854" s="2" t="s">
        <v>56</v>
      </c>
      <c r="V4854" s="2" t="s">
        <v>145</v>
      </c>
      <c r="W4854" s="2" t="s">
        <v>203</v>
      </c>
      <c r="X4854" s="2" t="s">
        <v>83</v>
      </c>
      <c r="Y4854" s="2">
        <v>47.9</v>
      </c>
      <c r="Z4854" s="2">
        <v>0</v>
      </c>
      <c r="AA4854" s="2" t="s">
        <v>163</v>
      </c>
      <c r="AB4854" s="2" t="s">
        <v>714</v>
      </c>
      <c r="AC4854" s="2">
        <v>0.213886596603789</v>
      </c>
      <c r="AD4854" s="2"/>
      <c r="AE4854" s="2">
        <v>6.5690907154829198E-2</v>
      </c>
      <c r="AF4854" s="2">
        <v>1916.0735214962001</v>
      </c>
      <c r="AG4854" s="2">
        <v>1744.0330471943601</v>
      </c>
      <c r="AH4854" s="5">
        <v>1.0986451917173301</v>
      </c>
      <c r="AI4854" s="5">
        <v>0.13572554206784099</v>
      </c>
      <c r="AJ4854" s="5" t="s">
        <v>139</v>
      </c>
      <c r="AK4854" s="2">
        <v>0.75495704832464905</v>
      </c>
      <c r="AL4854" s="2">
        <v>0.88955174233736001</v>
      </c>
      <c r="AM4854" s="2">
        <v>4115.8510061799298</v>
      </c>
      <c r="AN4854" s="2">
        <v>1835.0916156978201</v>
      </c>
      <c r="AO4854" s="2">
        <v>1759.3675941887</v>
      </c>
      <c r="AP4854" s="2">
        <v>1329.3369581429999</v>
      </c>
      <c r="AQ4854" s="2">
        <v>638.33048827953996</v>
      </c>
      <c r="AR4854" s="2">
        <v>1818.4634664882401</v>
      </c>
      <c r="AS4854" s="2">
        <v>2652.0566432621299</v>
      </c>
      <c r="AT4854" s="2">
        <v>2099.7231004219202</v>
      </c>
      <c r="AU4854" s="2">
        <v>883.79439769985697</v>
      </c>
      <c r="AV4854" s="2">
        <v>1502.1602506971501</v>
      </c>
      <c r="AW4854" s="2">
        <v>1598.7693328028399</v>
      </c>
      <c r="AX4854" s="2">
        <v>1727.69455828224</v>
      </c>
    </row>
    <row r="4855" spans="1:50" x14ac:dyDescent="0.25">
      <c r="A4855" s="2" t="s">
        <v>31838</v>
      </c>
      <c r="B4855" s="2">
        <v>371.31669884770503</v>
      </c>
      <c r="C4855" s="2">
        <v>14.7495166666667</v>
      </c>
      <c r="D4855" s="2" t="s">
        <v>51</v>
      </c>
      <c r="E4855" s="2" t="s">
        <v>31839</v>
      </c>
      <c r="F4855" s="2">
        <v>8536</v>
      </c>
      <c r="G4855" s="3" t="str">
        <f>HYPERLINK("https://cloud.oebiotech.com/#/lm/network/8536", "https://cloud.oebiotech.com/#/lm/network/8536")</f>
        <v>https://cloud.oebiotech.com/#/lm/network/8536</v>
      </c>
      <c r="H4855" s="2"/>
      <c r="I4855" s="2"/>
      <c r="J4855" s="2" t="s">
        <v>31840</v>
      </c>
      <c r="K4855" s="2"/>
      <c r="L4855" s="2"/>
      <c r="M4855" s="2"/>
      <c r="N4855" s="2"/>
      <c r="O4855" s="2"/>
      <c r="P4855" s="2"/>
      <c r="Q4855" s="2"/>
      <c r="R4855" s="2"/>
      <c r="S4855" s="2" t="s">
        <v>31841</v>
      </c>
      <c r="T4855" s="2" t="s">
        <v>31842</v>
      </c>
      <c r="U4855" s="2" t="s">
        <v>56</v>
      </c>
      <c r="V4855" s="2" t="s">
        <v>145</v>
      </c>
      <c r="W4855" s="2" t="s">
        <v>231</v>
      </c>
      <c r="X4855" s="2" t="s">
        <v>147</v>
      </c>
      <c r="Y4855" s="2">
        <v>37.9</v>
      </c>
      <c r="Z4855" s="2">
        <v>0</v>
      </c>
      <c r="AA4855" s="2" t="s">
        <v>259</v>
      </c>
      <c r="AB4855" s="2" t="s">
        <v>31843</v>
      </c>
      <c r="AC4855" s="2">
        <v>3.00449786051046</v>
      </c>
      <c r="AD4855" s="2"/>
      <c r="AE4855" s="2">
        <v>6.5640243538897594E-2</v>
      </c>
      <c r="AF4855" s="2">
        <v>6953.6333946853802</v>
      </c>
      <c r="AG4855" s="2">
        <v>7266.70228668048</v>
      </c>
      <c r="AH4855" s="4">
        <v>0.956917336138988</v>
      </c>
      <c r="AI4855" s="4">
        <v>-6.3533792844099504E-2</v>
      </c>
      <c r="AJ4855" s="4" t="s">
        <v>62</v>
      </c>
      <c r="AK4855" s="2">
        <v>0.55843258007202201</v>
      </c>
      <c r="AL4855" s="2">
        <v>0.778439037851683</v>
      </c>
      <c r="AM4855" s="2">
        <v>6342.39770628523</v>
      </c>
      <c r="AN4855" s="2">
        <v>7237.6016023478896</v>
      </c>
      <c r="AO4855" s="2">
        <v>7302.3254323563397</v>
      </c>
      <c r="AP4855" s="2">
        <v>6437.7799853586303</v>
      </c>
      <c r="AQ4855" s="2">
        <v>8563.8549763753799</v>
      </c>
      <c r="AR4855" s="2">
        <v>5837.8406653888196</v>
      </c>
      <c r="AS4855" s="2">
        <v>8133.6387114383497</v>
      </c>
      <c r="AT4855" s="2">
        <v>7832.8511436451399</v>
      </c>
      <c r="AU4855" s="2">
        <v>5910.6352858098799</v>
      </c>
      <c r="AV4855" s="2">
        <v>6709.1686114663598</v>
      </c>
      <c r="AW4855" s="2">
        <v>7565.4776972190803</v>
      </c>
      <c r="AX4855" s="2">
        <v>7448.4422705040897</v>
      </c>
    </row>
    <row r="4856" spans="1:50" x14ac:dyDescent="0.25">
      <c r="A4856" s="2" t="s">
        <v>31844</v>
      </c>
      <c r="B4856" s="2">
        <v>336.15983449408498</v>
      </c>
      <c r="C4856" s="2">
        <v>7.4851333333333301</v>
      </c>
      <c r="D4856" s="2" t="s">
        <v>51</v>
      </c>
      <c r="E4856" s="2" t="s">
        <v>31845</v>
      </c>
      <c r="F4856" s="2">
        <v>53056</v>
      </c>
      <c r="G4856" s="3" t="str">
        <f>HYPERLINK("https://cloud.oebiotech.com/#/lm/network/53056", "https://cloud.oebiotech.com/#/lm/network/53056")</f>
        <v>https://cloud.oebiotech.com/#/lm/network/53056</v>
      </c>
      <c r="H4856" s="2" t="s">
        <v>31846</v>
      </c>
      <c r="I4856" s="2">
        <v>66742</v>
      </c>
      <c r="J4856" s="2"/>
      <c r="K4856" s="2">
        <v>5281071</v>
      </c>
      <c r="L4856" s="2" t="s">
        <v>31847</v>
      </c>
      <c r="M4856" s="2"/>
      <c r="N4856" s="2"/>
      <c r="O4856" s="2">
        <v>763382</v>
      </c>
      <c r="P4856" s="2"/>
      <c r="Q4856" s="2"/>
      <c r="R4856" s="2" t="s">
        <v>31848</v>
      </c>
      <c r="S4856" s="2" t="s">
        <v>31849</v>
      </c>
      <c r="T4856" s="2" t="s">
        <v>31850</v>
      </c>
      <c r="U4856" s="2" t="s">
        <v>266</v>
      </c>
      <c r="V4856" s="2" t="s">
        <v>31851</v>
      </c>
      <c r="W4856" s="2" t="s">
        <v>31852</v>
      </c>
      <c r="X4856" s="2" t="s">
        <v>147</v>
      </c>
      <c r="Y4856" s="2">
        <v>37.4</v>
      </c>
      <c r="Z4856" s="2">
        <v>0</v>
      </c>
      <c r="AA4856" s="2" t="s">
        <v>163</v>
      </c>
      <c r="AB4856" s="2" t="s">
        <v>6441</v>
      </c>
      <c r="AC4856" s="2">
        <v>-2.0247337328969799</v>
      </c>
      <c r="AD4856" s="2"/>
      <c r="AE4856" s="2">
        <v>6.5600140531022297E-2</v>
      </c>
      <c r="AF4856" s="2">
        <v>693.17420386286403</v>
      </c>
      <c r="AG4856" s="2">
        <v>914.32311202399296</v>
      </c>
      <c r="AH4856" s="4">
        <v>0.75812827516567705</v>
      </c>
      <c r="AI4856" s="4">
        <v>-0.39948612210011802</v>
      </c>
      <c r="AJ4856" s="4" t="s">
        <v>62</v>
      </c>
      <c r="AK4856" s="2">
        <v>0.58029166738666005</v>
      </c>
      <c r="AL4856" s="2">
        <v>0.788322492623872</v>
      </c>
      <c r="AM4856" s="2">
        <v>416.85439412891401</v>
      </c>
      <c r="AN4856" s="2">
        <v>542.64013278381901</v>
      </c>
      <c r="AO4856" s="2">
        <v>446.836320157339</v>
      </c>
      <c r="AP4856" s="2">
        <v>253.95100233927499</v>
      </c>
      <c r="AQ4856" s="2">
        <v>1536.13998259445</v>
      </c>
      <c r="AR4856" s="2">
        <v>962.62339117339002</v>
      </c>
      <c r="AS4856" s="2">
        <v>1151.5569031207799</v>
      </c>
      <c r="AT4856" s="2">
        <v>952.896232767436</v>
      </c>
      <c r="AU4856" s="2">
        <v>8.559877937157E-6</v>
      </c>
      <c r="AV4856" s="2">
        <v>2372.6839882618201</v>
      </c>
      <c r="AW4856" s="2">
        <v>498.43596474095102</v>
      </c>
      <c r="AX4856" s="2">
        <v>510.36557469309503</v>
      </c>
    </row>
    <row r="4857" spans="1:50" x14ac:dyDescent="0.25">
      <c r="A4857" s="2" t="s">
        <v>31853</v>
      </c>
      <c r="B4857" s="2">
        <v>248.087529809508</v>
      </c>
      <c r="C4857" s="2">
        <v>4.6885500000000002</v>
      </c>
      <c r="D4857" s="2" t="s">
        <v>51</v>
      </c>
      <c r="E4857" s="2" t="s">
        <v>31854</v>
      </c>
      <c r="F4857" s="2">
        <v>206197</v>
      </c>
      <c r="G4857" s="3" t="str">
        <f>HYPERLINK("https://cloud.oebiotech.com/#/lm/network/206197", "https://cloud.oebiotech.com/#/lm/network/206197")</f>
        <v>https://cloud.oebiotech.com/#/lm/network/206197</v>
      </c>
      <c r="H4857" s="2" t="s">
        <v>31855</v>
      </c>
      <c r="I4857" s="2"/>
      <c r="J4857" s="2"/>
      <c r="K4857" s="2">
        <v>9881360</v>
      </c>
      <c r="L4857" s="2"/>
      <c r="M4857" s="2"/>
      <c r="N4857" s="2"/>
      <c r="O4857" s="2"/>
      <c r="P4857" s="2"/>
      <c r="Q4857" s="2"/>
      <c r="R4857" s="2"/>
      <c r="S4857" s="2" t="s">
        <v>31856</v>
      </c>
      <c r="T4857" s="2" t="s">
        <v>31857</v>
      </c>
      <c r="U4857" s="2" t="s">
        <v>3062</v>
      </c>
      <c r="V4857" s="2" t="s">
        <v>3063</v>
      </c>
      <c r="W4857" s="2" t="s">
        <v>3064</v>
      </c>
      <c r="X4857" s="2" t="s">
        <v>147</v>
      </c>
      <c r="Y4857" s="2">
        <v>39.4</v>
      </c>
      <c r="Z4857" s="2">
        <v>0</v>
      </c>
      <c r="AA4857" s="2" t="s">
        <v>259</v>
      </c>
      <c r="AB4857" s="2" t="s">
        <v>31858</v>
      </c>
      <c r="AC4857" s="2">
        <v>-0.73567606220706305</v>
      </c>
      <c r="AD4857" s="2"/>
      <c r="AE4857" s="2">
        <v>6.5584601703169002E-2</v>
      </c>
      <c r="AF4857" s="2">
        <v>667.11769549293604</v>
      </c>
      <c r="AG4857" s="2">
        <v>478.15248152762001</v>
      </c>
      <c r="AH4857" s="5">
        <v>1.3951986474306299</v>
      </c>
      <c r="AI4857" s="5">
        <v>0.48047054661361199</v>
      </c>
      <c r="AJ4857" s="5" t="s">
        <v>139</v>
      </c>
      <c r="AK4857" s="2">
        <v>0.51681153968910798</v>
      </c>
      <c r="AL4857" s="2">
        <v>0.74951702456617197</v>
      </c>
      <c r="AM4857" s="2">
        <v>1659.94191740782</v>
      </c>
      <c r="AN4857" s="2">
        <v>265.10937432146602</v>
      </c>
      <c r="AO4857" s="2">
        <v>443.86476945980399</v>
      </c>
      <c r="AP4857" s="2">
        <v>1035.28000123946</v>
      </c>
      <c r="AQ4857" s="2">
        <v>598.51010196918799</v>
      </c>
      <c r="AR4857" s="2">
        <v>8.559877937157E-6</v>
      </c>
      <c r="AS4857" s="2">
        <v>294.99157406449302</v>
      </c>
      <c r="AT4857" s="2">
        <v>385.06864923028098</v>
      </c>
      <c r="AU4857" s="2">
        <v>919.93672321874203</v>
      </c>
      <c r="AV4857" s="2">
        <v>300.84729033131998</v>
      </c>
      <c r="AW4857" s="2">
        <v>884.58117674918003</v>
      </c>
      <c r="AX4857" s="2">
        <v>83.489475571704006</v>
      </c>
    </row>
    <row r="4858" spans="1:50" x14ac:dyDescent="0.25">
      <c r="A4858" s="2" t="s">
        <v>31859</v>
      </c>
      <c r="B4858" s="2">
        <v>164.01105461325201</v>
      </c>
      <c r="C4858" s="2">
        <v>1.0339</v>
      </c>
      <c r="D4858" s="2" t="s">
        <v>51</v>
      </c>
      <c r="E4858" s="2" t="s">
        <v>31860</v>
      </c>
      <c r="F4858" s="2">
        <v>200443</v>
      </c>
      <c r="G4858" s="3" t="str">
        <f>HYPERLINK("https://cloud.oebiotech.com/#/lm/network/200443", "https://cloud.oebiotech.com/#/lm/network/200443")</f>
        <v>https://cloud.oebiotech.com/#/lm/network/200443</v>
      </c>
      <c r="H4858" s="2" t="s">
        <v>31861</v>
      </c>
      <c r="I4858" s="2"/>
      <c r="J4858" s="2"/>
      <c r="K4858" s="2"/>
      <c r="L4858" s="2"/>
      <c r="M4858" s="2"/>
      <c r="N4858" s="2"/>
      <c r="O4858" s="2"/>
      <c r="P4858" s="2"/>
      <c r="Q4858" s="2"/>
      <c r="R4858" s="2"/>
      <c r="S4858" s="2" t="s">
        <v>31862</v>
      </c>
      <c r="T4858" s="2" t="s">
        <v>31863</v>
      </c>
      <c r="U4858" s="2" t="s">
        <v>103</v>
      </c>
      <c r="V4858" s="2" t="s">
        <v>104</v>
      </c>
      <c r="W4858" s="2" t="s">
        <v>105</v>
      </c>
      <c r="X4858" s="2" t="s">
        <v>147</v>
      </c>
      <c r="Y4858" s="2">
        <v>38.299999999999997</v>
      </c>
      <c r="Z4858" s="2">
        <v>2.17</v>
      </c>
      <c r="AA4858" s="2" t="s">
        <v>379</v>
      </c>
      <c r="AB4858" s="2" t="s">
        <v>31864</v>
      </c>
      <c r="AC4858" s="2">
        <v>-4.1704718912653602</v>
      </c>
      <c r="AD4858" s="2"/>
      <c r="AE4858" s="2">
        <v>6.5579062405284397E-2</v>
      </c>
      <c r="AF4858" s="2">
        <v>1341.3591550665501</v>
      </c>
      <c r="AG4858" s="2">
        <v>1162.73821675523</v>
      </c>
      <c r="AH4858" s="5">
        <v>1.1536209404123501</v>
      </c>
      <c r="AI4858" s="5">
        <v>0.20616925758566901</v>
      </c>
      <c r="AJ4858" s="5" t="s">
        <v>139</v>
      </c>
      <c r="AK4858" s="2">
        <v>0.66476956726601999</v>
      </c>
      <c r="AL4858" s="2">
        <v>0.83759272513972005</v>
      </c>
      <c r="AM4858" s="2">
        <v>2823.0477329034502</v>
      </c>
      <c r="AN4858" s="2">
        <v>216.93973842256901</v>
      </c>
      <c r="AO4858" s="2">
        <v>1182.72552190124</v>
      </c>
      <c r="AP4858" s="2">
        <v>1590.1154567204101</v>
      </c>
      <c r="AQ4858" s="2">
        <v>1161.32703390298</v>
      </c>
      <c r="AR4858" s="2">
        <v>1073.99944654866</v>
      </c>
      <c r="AS4858" s="2">
        <v>555.55446553868705</v>
      </c>
      <c r="AT4858" s="2">
        <v>1288.97488045519</v>
      </c>
      <c r="AU4858" s="2">
        <v>2001.2293584946101</v>
      </c>
      <c r="AV4858" s="2">
        <v>1147.2184556208299</v>
      </c>
      <c r="AW4858" s="2">
        <v>1040.08736549895</v>
      </c>
      <c r="AX4858" s="2">
        <v>943.36477492313304</v>
      </c>
    </row>
    <row r="4859" spans="1:50" x14ac:dyDescent="0.25">
      <c r="A4859" s="2" t="s">
        <v>31865</v>
      </c>
      <c r="B4859" s="2">
        <v>477.39567171636003</v>
      </c>
      <c r="C4859" s="2">
        <v>14.465633333333299</v>
      </c>
      <c r="D4859" s="2" t="s">
        <v>51</v>
      </c>
      <c r="E4859" s="2" t="s">
        <v>31866</v>
      </c>
      <c r="F4859" s="2">
        <v>35159</v>
      </c>
      <c r="G4859" s="3" t="str">
        <f>HYPERLINK("https://cloud.oebiotech.com/#/lm/network/35159", "https://cloud.oebiotech.com/#/lm/network/35159")</f>
        <v>https://cloud.oebiotech.com/#/lm/network/35159</v>
      </c>
      <c r="H4859" s="2" t="s">
        <v>31867</v>
      </c>
      <c r="I4859" s="2">
        <v>93199</v>
      </c>
      <c r="J4859" s="2" t="s">
        <v>31868</v>
      </c>
      <c r="K4859" s="2">
        <v>155462</v>
      </c>
      <c r="L4859" s="2"/>
      <c r="M4859" s="2"/>
      <c r="N4859" s="2"/>
      <c r="O4859" s="2">
        <v>145969</v>
      </c>
      <c r="P4859" s="2"/>
      <c r="Q4859" s="2"/>
      <c r="R4859" s="2" t="s">
        <v>31869</v>
      </c>
      <c r="S4859" s="2" t="s">
        <v>31870</v>
      </c>
      <c r="T4859" s="2" t="s">
        <v>31871</v>
      </c>
      <c r="U4859" s="2" t="s">
        <v>610</v>
      </c>
      <c r="V4859" s="2" t="s">
        <v>895</v>
      </c>
      <c r="W4859" s="2" t="s">
        <v>5219</v>
      </c>
      <c r="X4859" s="2" t="s">
        <v>83</v>
      </c>
      <c r="Y4859" s="2">
        <v>41.4</v>
      </c>
      <c r="Z4859" s="2">
        <v>0</v>
      </c>
      <c r="AA4859" s="2" t="s">
        <v>218</v>
      </c>
      <c r="AB4859" s="2" t="s">
        <v>31872</v>
      </c>
      <c r="AC4859" s="2">
        <v>1.7066262226645901</v>
      </c>
      <c r="AD4859" s="2"/>
      <c r="AE4859" s="2">
        <v>6.5566944783421899E-2</v>
      </c>
      <c r="AF4859" s="2">
        <v>10391.4739549408</v>
      </c>
      <c r="AG4859" s="2">
        <v>11213.195920451401</v>
      </c>
      <c r="AH4859" s="4">
        <v>0.926718308380584</v>
      </c>
      <c r="AI4859" s="4">
        <v>-0.109797220827763</v>
      </c>
      <c r="AJ4859" s="4" t="s">
        <v>62</v>
      </c>
      <c r="AK4859" s="2">
        <v>0.79223599577077197</v>
      </c>
      <c r="AL4859" s="2">
        <v>0.90849146831974703</v>
      </c>
      <c r="AM4859" s="2">
        <v>7653.1022788338296</v>
      </c>
      <c r="AN4859" s="2">
        <v>10021.9847195979</v>
      </c>
      <c r="AO4859" s="2">
        <v>11122.913109761001</v>
      </c>
      <c r="AP4859" s="2">
        <v>17319.872946615102</v>
      </c>
      <c r="AQ4859" s="2">
        <v>8280.1016104708397</v>
      </c>
      <c r="AR4859" s="2">
        <v>7950.8690643659002</v>
      </c>
      <c r="AS4859" s="2">
        <v>3144.4151331765602</v>
      </c>
      <c r="AT4859" s="2">
        <v>14804.4694544594</v>
      </c>
      <c r="AU4859" s="2">
        <v>13513.197122727501</v>
      </c>
      <c r="AV4859" s="2">
        <v>4248.8127903697996</v>
      </c>
      <c r="AW4859" s="2">
        <v>20059.921323582799</v>
      </c>
      <c r="AX4859" s="2">
        <v>11508.3596983922</v>
      </c>
    </row>
    <row r="4860" spans="1:50" x14ac:dyDescent="0.25">
      <c r="A4860" s="2" t="s">
        <v>31873</v>
      </c>
      <c r="B4860" s="2">
        <v>249.18555387355599</v>
      </c>
      <c r="C4860" s="2">
        <v>10.0932166666667</v>
      </c>
      <c r="D4860" s="2" t="s">
        <v>51</v>
      </c>
      <c r="E4860" s="2" t="s">
        <v>31874</v>
      </c>
      <c r="F4860" s="2">
        <v>2234</v>
      </c>
      <c r="G4860" s="3" t="str">
        <f>HYPERLINK("https://cloud.oebiotech.com/#/lm/network/2234", "https://cloud.oebiotech.com/#/lm/network/2234")</f>
        <v>https://cloud.oebiotech.com/#/lm/network/2234</v>
      </c>
      <c r="H4860" s="2"/>
      <c r="I4860" s="2"/>
      <c r="J4860" s="2" t="s">
        <v>31875</v>
      </c>
      <c r="K4860" s="2">
        <v>131839785</v>
      </c>
      <c r="L4860" s="2"/>
      <c r="M4860" s="2"/>
      <c r="N4860" s="2"/>
      <c r="O4860" s="2"/>
      <c r="P4860" s="2"/>
      <c r="Q4860" s="2"/>
      <c r="R4860" s="2"/>
      <c r="S4860" s="2" t="s">
        <v>31876</v>
      </c>
      <c r="T4860" s="2" t="s">
        <v>31877</v>
      </c>
      <c r="U4860" s="2" t="s">
        <v>56</v>
      </c>
      <c r="V4860" s="2" t="s">
        <v>145</v>
      </c>
      <c r="W4860" s="2" t="s">
        <v>231</v>
      </c>
      <c r="X4860" s="2" t="s">
        <v>83</v>
      </c>
      <c r="Y4860" s="2">
        <v>49.4</v>
      </c>
      <c r="Z4860" s="2">
        <v>0</v>
      </c>
      <c r="AA4860" s="2" t="s">
        <v>179</v>
      </c>
      <c r="AB4860" s="2" t="s">
        <v>10329</v>
      </c>
      <c r="AC4860" s="2">
        <v>2.43223053632543</v>
      </c>
      <c r="AD4860" s="2"/>
      <c r="AE4860" s="2">
        <v>6.5379124774726294E-2</v>
      </c>
      <c r="AF4860" s="2">
        <v>4559.7447924138396</v>
      </c>
      <c r="AG4860" s="2">
        <v>4360.7969056412303</v>
      </c>
      <c r="AH4860" s="5">
        <v>1.04562191064556</v>
      </c>
      <c r="AI4860" s="5">
        <v>6.4361277738429007E-2</v>
      </c>
      <c r="AJ4860" s="5" t="s">
        <v>139</v>
      </c>
      <c r="AK4860" s="2">
        <v>0.74705038247793598</v>
      </c>
      <c r="AL4860" s="2">
        <v>0.88438089966151401</v>
      </c>
      <c r="AM4860" s="2">
        <v>4408.7901631510504</v>
      </c>
      <c r="AN4860" s="2">
        <v>6844.4537723722497</v>
      </c>
      <c r="AO4860" s="2">
        <v>3622.4478880382999</v>
      </c>
      <c r="AP4860" s="2">
        <v>4076.8308143476402</v>
      </c>
      <c r="AQ4860" s="2">
        <v>4388.9993016650196</v>
      </c>
      <c r="AR4860" s="2">
        <v>4016.9468149087802</v>
      </c>
      <c r="AS4860" s="2">
        <v>3236.9689562665199</v>
      </c>
      <c r="AT4860" s="2">
        <v>4400.2385956898397</v>
      </c>
      <c r="AU4860" s="2">
        <v>5999.4887272803298</v>
      </c>
      <c r="AV4860" s="2">
        <v>3963.7653639051</v>
      </c>
      <c r="AW4860" s="2">
        <v>4312.9727946322901</v>
      </c>
      <c r="AX4860" s="2">
        <v>4251.34699607331</v>
      </c>
    </row>
    <row r="4861" spans="1:50" x14ac:dyDescent="0.25">
      <c r="A4861" s="2" t="s">
        <v>31878</v>
      </c>
      <c r="B4861" s="2">
        <v>219.02281141829201</v>
      </c>
      <c r="C4861" s="2">
        <v>5.4322166666666698</v>
      </c>
      <c r="D4861" s="2" t="s">
        <v>51</v>
      </c>
      <c r="E4861" s="2" t="s">
        <v>31879</v>
      </c>
      <c r="F4861" s="2">
        <v>62897</v>
      </c>
      <c r="G4861" s="3" t="str">
        <f>HYPERLINK("https://cloud.oebiotech.com/#/lm/network/62897", "https://cloud.oebiotech.com/#/lm/network/62897")</f>
        <v>https://cloud.oebiotech.com/#/lm/network/62897</v>
      </c>
      <c r="H4861" s="2" t="s">
        <v>31880</v>
      </c>
      <c r="I4861" s="2">
        <v>94193</v>
      </c>
      <c r="J4861" s="2"/>
      <c r="K4861" s="2">
        <v>135413564</v>
      </c>
      <c r="L4861" s="2"/>
      <c r="M4861" s="2"/>
      <c r="N4861" s="2"/>
      <c r="O4861" s="2">
        <v>169691</v>
      </c>
      <c r="P4861" s="2"/>
      <c r="Q4861" s="2"/>
      <c r="R4861" s="2" t="s">
        <v>31881</v>
      </c>
      <c r="S4861" s="2" t="s">
        <v>31882</v>
      </c>
      <c r="T4861" s="2" t="s">
        <v>31883</v>
      </c>
      <c r="U4861" s="2" t="s">
        <v>266</v>
      </c>
      <c r="V4861" s="2" t="s">
        <v>445</v>
      </c>
      <c r="W4861" s="2" t="s">
        <v>446</v>
      </c>
      <c r="X4861" s="2" t="s">
        <v>147</v>
      </c>
      <c r="Y4861" s="2">
        <v>36.299999999999997</v>
      </c>
      <c r="Z4861" s="2">
        <v>0</v>
      </c>
      <c r="AA4861" s="2" t="s">
        <v>218</v>
      </c>
      <c r="AB4861" s="2" t="s">
        <v>31884</v>
      </c>
      <c r="AC4861" s="2">
        <v>-3.2216818463604402</v>
      </c>
      <c r="AD4861" s="2"/>
      <c r="AE4861" s="2">
        <v>6.5338821613114106E-2</v>
      </c>
      <c r="AF4861" s="2">
        <v>2082.8987201753598</v>
      </c>
      <c r="AG4861" s="2">
        <v>2388.2157302898399</v>
      </c>
      <c r="AH4861" s="4">
        <v>0.872156854909659</v>
      </c>
      <c r="AI4861" s="4">
        <v>-0.19734047198385499</v>
      </c>
      <c r="AJ4861" s="4" t="s">
        <v>62</v>
      </c>
      <c r="AK4861" s="2">
        <v>0.42639755532444601</v>
      </c>
      <c r="AL4861" s="2">
        <v>0.68512105168098303</v>
      </c>
      <c r="AM4861" s="2">
        <v>1966.93016441857</v>
      </c>
      <c r="AN4861" s="2">
        <v>1789.87530932811</v>
      </c>
      <c r="AO4861" s="2">
        <v>2210.03885397777</v>
      </c>
      <c r="AP4861" s="2">
        <v>3124.6783101175602</v>
      </c>
      <c r="AQ4861" s="2">
        <v>1174.1765647191</v>
      </c>
      <c r="AR4861" s="2">
        <v>2231.69311849105</v>
      </c>
      <c r="AS4861" s="2">
        <v>2474.9320940417601</v>
      </c>
      <c r="AT4861" s="2">
        <v>3549.1788107398102</v>
      </c>
      <c r="AU4861" s="2">
        <v>2097.4958189405902</v>
      </c>
      <c r="AV4861" s="2">
        <v>2418.5285873479102</v>
      </c>
      <c r="AW4861" s="2">
        <v>2108.4375094798602</v>
      </c>
      <c r="AX4861" s="2">
        <v>1680.7215611890999</v>
      </c>
    </row>
    <row r="4862" spans="1:50" x14ac:dyDescent="0.25">
      <c r="A4862" s="2" t="s">
        <v>31885</v>
      </c>
      <c r="B4862" s="2">
        <v>325.170362205152</v>
      </c>
      <c r="C4862" s="2">
        <v>11.493266666666701</v>
      </c>
      <c r="D4862" s="2" t="s">
        <v>51</v>
      </c>
      <c r="E4862" s="2" t="s">
        <v>31886</v>
      </c>
      <c r="F4862" s="2">
        <v>48470</v>
      </c>
      <c r="G4862" s="3" t="str">
        <f>HYPERLINK("https://cloud.oebiotech.com/#/lm/network/48470", "https://cloud.oebiotech.com/#/lm/network/48470")</f>
        <v>https://cloud.oebiotech.com/#/lm/network/48470</v>
      </c>
      <c r="H4862" s="2" t="s">
        <v>31887</v>
      </c>
      <c r="I4862" s="2">
        <v>1781</v>
      </c>
      <c r="J4862" s="2"/>
      <c r="K4862" s="2">
        <v>2771</v>
      </c>
      <c r="L4862" s="2" t="s">
        <v>31888</v>
      </c>
      <c r="M4862" s="2"/>
      <c r="N4862" s="2"/>
      <c r="O4862" s="2">
        <v>77397</v>
      </c>
      <c r="P4862" s="2"/>
      <c r="Q4862" s="2"/>
      <c r="R4862" s="2" t="s">
        <v>31889</v>
      </c>
      <c r="S4862" s="2" t="s">
        <v>31890</v>
      </c>
      <c r="T4862" s="2" t="s">
        <v>31891</v>
      </c>
      <c r="U4862" s="2" t="s">
        <v>610</v>
      </c>
      <c r="V4862" s="2" t="s">
        <v>611</v>
      </c>
      <c r="W4862" s="2" t="s">
        <v>3953</v>
      </c>
      <c r="X4862" s="2" t="s">
        <v>147</v>
      </c>
      <c r="Y4862" s="2">
        <v>36.700000000000003</v>
      </c>
      <c r="Z4862" s="2">
        <v>0</v>
      </c>
      <c r="AA4862" s="2" t="s">
        <v>259</v>
      </c>
      <c r="AB4862" s="2" t="s">
        <v>31892</v>
      </c>
      <c r="AC4862" s="2">
        <v>-2.1771385209394398</v>
      </c>
      <c r="AD4862" s="2"/>
      <c r="AE4862" s="2">
        <v>6.5199233000875698E-2</v>
      </c>
      <c r="AF4862" s="2">
        <v>1049.0975820767501</v>
      </c>
      <c r="AG4862" s="2">
        <v>916.88557306884002</v>
      </c>
      <c r="AH4862" s="5">
        <v>1.1441968473398401</v>
      </c>
      <c r="AI4862" s="5">
        <v>0.19433527436346401</v>
      </c>
      <c r="AJ4862" s="5" t="s">
        <v>139</v>
      </c>
      <c r="AK4862" s="2">
        <v>0.79818862037788396</v>
      </c>
      <c r="AL4862" s="2">
        <v>0.90954932814260703</v>
      </c>
      <c r="AM4862" s="2">
        <v>2873.0442743731801</v>
      </c>
      <c r="AN4862" s="2">
        <v>1518.32475302739</v>
      </c>
      <c r="AO4862" s="2">
        <v>1238.3494148448201</v>
      </c>
      <c r="AP4862" s="2">
        <v>8.559877937157E-6</v>
      </c>
      <c r="AQ4862" s="2">
        <v>441.01715095103998</v>
      </c>
      <c r="AR4862" s="2">
        <v>223.84989070417399</v>
      </c>
      <c r="AS4862" s="2">
        <v>8.559877937157E-6</v>
      </c>
      <c r="AT4862" s="2">
        <v>362.87425850423898</v>
      </c>
      <c r="AU4862" s="2">
        <v>1127.7858320938201</v>
      </c>
      <c r="AV4862" s="2">
        <v>1606.8553464005799</v>
      </c>
      <c r="AW4862" s="2">
        <v>1342.7809861035601</v>
      </c>
      <c r="AX4862" s="2">
        <v>1061.01700675096</v>
      </c>
    </row>
    <row r="4863" spans="1:50" x14ac:dyDescent="0.25">
      <c r="A4863" s="2" t="s">
        <v>31893</v>
      </c>
      <c r="B4863" s="2">
        <v>204.06</v>
      </c>
      <c r="C4863" s="2">
        <v>17.125</v>
      </c>
      <c r="D4863" s="2" t="s">
        <v>125</v>
      </c>
      <c r="E4863" s="2" t="s">
        <v>31894</v>
      </c>
      <c r="F4863" s="2">
        <v>546363</v>
      </c>
      <c r="G4863" s="3" t="str">
        <f>HYPERLINK("https://cloud.oebiotech.com/#/lm/network/546363", "https://cloud.oebiotech.com/#/lm/network/546363")</f>
        <v>https://cloud.oebiotech.com/#/lm/network/546363</v>
      </c>
      <c r="H4863" s="2"/>
      <c r="I4863" s="2"/>
      <c r="J4863" s="2"/>
      <c r="K4863" s="2">
        <v>2734151</v>
      </c>
      <c r="L4863" s="2"/>
      <c r="M4863" s="2"/>
      <c r="N4863" s="2"/>
      <c r="O4863" s="2"/>
      <c r="P4863" s="2"/>
      <c r="Q4863" s="2"/>
      <c r="R4863" s="2"/>
      <c r="S4863" s="2" t="s">
        <v>31895</v>
      </c>
      <c r="T4863" s="2" t="s">
        <v>31896</v>
      </c>
      <c r="U4863" s="2" t="s">
        <v>331</v>
      </c>
      <c r="V4863" s="2" t="s">
        <v>332</v>
      </c>
      <c r="W4863" s="2" t="s">
        <v>333</v>
      </c>
      <c r="X4863" s="2" t="s">
        <v>59</v>
      </c>
      <c r="Y4863" s="2">
        <v>70.599999999999994</v>
      </c>
      <c r="Z4863" s="2">
        <v>51.4</v>
      </c>
      <c r="AA4863" s="2"/>
      <c r="AB4863" s="2" t="s">
        <v>11679</v>
      </c>
      <c r="AC4863" s="2"/>
      <c r="AD4863" s="2">
        <v>575309.79001721204</v>
      </c>
      <c r="AE4863" s="2">
        <v>6.51537034876256E-2</v>
      </c>
      <c r="AF4863" s="2">
        <v>3151.25939792688</v>
      </c>
      <c r="AG4863" s="2">
        <v>5164.5918994376998</v>
      </c>
      <c r="AH4863" s="4">
        <v>0.61016619692060903</v>
      </c>
      <c r="AI4863" s="4">
        <v>-0.71272583775977105</v>
      </c>
      <c r="AJ4863" s="4" t="s">
        <v>62</v>
      </c>
      <c r="AK4863" s="2">
        <v>0.17519577942571599</v>
      </c>
      <c r="AL4863" s="2">
        <v>0.496012085097987</v>
      </c>
      <c r="AM4863" s="2">
        <v>2299.8352172700202</v>
      </c>
      <c r="AN4863" s="2">
        <v>2299.8352172700202</v>
      </c>
      <c r="AO4863" s="2">
        <v>2299.8352172700202</v>
      </c>
      <c r="AP4863" s="2">
        <v>2299.8352172700202</v>
      </c>
      <c r="AQ4863" s="2">
        <v>2299.8352172700202</v>
      </c>
      <c r="AR4863" s="2">
        <v>7408.3803012112103</v>
      </c>
      <c r="AS4863" s="2">
        <v>6523.3821553898997</v>
      </c>
      <c r="AT4863" s="2">
        <v>9274.5870984999092</v>
      </c>
      <c r="AU4863" s="2">
        <v>2299.8352172700202</v>
      </c>
      <c r="AV4863" s="2">
        <v>4997.0055627496404</v>
      </c>
      <c r="AW4863" s="2">
        <v>2299.8352172700202</v>
      </c>
      <c r="AX4863" s="2">
        <v>5592.9061454466901</v>
      </c>
    </row>
    <row r="4864" spans="1:50" x14ac:dyDescent="0.25">
      <c r="A4864" s="2" t="s">
        <v>31897</v>
      </c>
      <c r="B4864" s="2">
        <v>547.32962381265099</v>
      </c>
      <c r="C4864" s="2">
        <v>1.3012999999999999</v>
      </c>
      <c r="D4864" s="2" t="s">
        <v>51</v>
      </c>
      <c r="E4864" s="2" t="s">
        <v>31898</v>
      </c>
      <c r="F4864" s="2">
        <v>43755</v>
      </c>
      <c r="G4864" s="3" t="str">
        <f>HYPERLINK("https://cloud.oebiotech.com/#/lm/network/43755", "https://cloud.oebiotech.com/#/lm/network/43755")</f>
        <v>https://cloud.oebiotech.com/#/lm/network/43755</v>
      </c>
      <c r="H4864" s="2"/>
      <c r="I4864" s="2"/>
      <c r="J4864" s="2" t="s">
        <v>31899</v>
      </c>
      <c r="K4864" s="2"/>
      <c r="L4864" s="2"/>
      <c r="M4864" s="2"/>
      <c r="N4864" s="2"/>
      <c r="O4864" s="2"/>
      <c r="P4864" s="2"/>
      <c r="Q4864" s="2"/>
      <c r="R4864" s="2"/>
      <c r="S4864" s="2" t="s">
        <v>31900</v>
      </c>
      <c r="T4864" s="2" t="s">
        <v>31901</v>
      </c>
      <c r="U4864" s="2" t="s">
        <v>56</v>
      </c>
      <c r="V4864" s="2" t="s">
        <v>283</v>
      </c>
      <c r="W4864" s="2" t="s">
        <v>2042</v>
      </c>
      <c r="X4864" s="2" t="s">
        <v>147</v>
      </c>
      <c r="Y4864" s="2">
        <v>42.5</v>
      </c>
      <c r="Z4864" s="2">
        <v>26.2</v>
      </c>
      <c r="AA4864" s="2" t="s">
        <v>379</v>
      </c>
      <c r="AB4864" s="2" t="s">
        <v>31902</v>
      </c>
      <c r="AC4864" s="2">
        <v>3.4991946969944001</v>
      </c>
      <c r="AD4864" s="2"/>
      <c r="AE4864" s="2">
        <v>6.5055897583438702E-2</v>
      </c>
      <c r="AF4864" s="2">
        <v>57202.491854069798</v>
      </c>
      <c r="AG4864" s="2">
        <v>60332.523454654503</v>
      </c>
      <c r="AH4864" s="4">
        <v>0.948120326792941</v>
      </c>
      <c r="AI4864" s="4">
        <v>-7.6857930435287006E-2</v>
      </c>
      <c r="AJ4864" s="4" t="s">
        <v>62</v>
      </c>
      <c r="AK4864" s="2">
        <v>0.87038864591402798</v>
      </c>
      <c r="AL4864" s="2">
        <v>0.94366278137172899</v>
      </c>
      <c r="AM4864" s="2">
        <v>75739.079176016996</v>
      </c>
      <c r="AN4864" s="2">
        <v>49844.379676347198</v>
      </c>
      <c r="AO4864" s="2">
        <v>42292.192900317801</v>
      </c>
      <c r="AP4864" s="2">
        <v>64689.117086625403</v>
      </c>
      <c r="AQ4864" s="2">
        <v>62836.1597109422</v>
      </c>
      <c r="AR4864" s="2">
        <v>47814.022574169401</v>
      </c>
      <c r="AS4864" s="2">
        <v>11743.6516507406</v>
      </c>
      <c r="AT4864" s="2">
        <v>8680.7291738143595</v>
      </c>
      <c r="AU4864" s="2">
        <v>121390.45847826199</v>
      </c>
      <c r="AV4864" s="2">
        <v>75990.664914534602</v>
      </c>
      <c r="AW4864" s="2">
        <v>57723.703003165501</v>
      </c>
      <c r="AX4864" s="2">
        <v>86465.933507410096</v>
      </c>
    </row>
    <row r="4865" spans="1:50" x14ac:dyDescent="0.25">
      <c r="A4865" s="2" t="s">
        <v>31903</v>
      </c>
      <c r="B4865" s="2">
        <v>530.96641039957103</v>
      </c>
      <c r="C4865" s="2">
        <v>5.2849000000000004</v>
      </c>
      <c r="D4865" s="2" t="s">
        <v>51</v>
      </c>
      <c r="E4865" s="2" t="s">
        <v>31904</v>
      </c>
      <c r="F4865" s="2">
        <v>209364</v>
      </c>
      <c r="G4865" s="3" t="str">
        <f>HYPERLINK("https://cloud.oebiotech.com/#/lm/network/209364", "https://cloud.oebiotech.com/#/lm/network/209364")</f>
        <v>https://cloud.oebiotech.com/#/lm/network/209364</v>
      </c>
      <c r="H4865" s="2" t="s">
        <v>31905</v>
      </c>
      <c r="I4865" s="2"/>
      <c r="J4865" s="2"/>
      <c r="K4865" s="2">
        <v>90738448</v>
      </c>
      <c r="L4865" s="2"/>
      <c r="M4865" s="2"/>
      <c r="N4865" s="2"/>
      <c r="O4865" s="2"/>
      <c r="P4865" s="2"/>
      <c r="Q4865" s="2"/>
      <c r="R4865" s="2"/>
      <c r="S4865" s="2" t="s">
        <v>31906</v>
      </c>
      <c r="T4865" s="2" t="s">
        <v>31907</v>
      </c>
      <c r="U4865" s="2" t="s">
        <v>610</v>
      </c>
      <c r="V4865" s="2" t="s">
        <v>611</v>
      </c>
      <c r="W4865" s="2" t="s">
        <v>1409</v>
      </c>
      <c r="X4865" s="2" t="s">
        <v>147</v>
      </c>
      <c r="Y4865" s="2">
        <v>37.299999999999997</v>
      </c>
      <c r="Z4865" s="2">
        <v>0</v>
      </c>
      <c r="AA4865" s="2" t="s">
        <v>156</v>
      </c>
      <c r="AB4865" s="2" t="s">
        <v>31908</v>
      </c>
      <c r="AC4865" s="2">
        <v>2.6608175491459298</v>
      </c>
      <c r="AD4865" s="2"/>
      <c r="AE4865" s="2">
        <v>6.5054602776581399E-2</v>
      </c>
      <c r="AF4865" s="2">
        <v>489.27055329299998</v>
      </c>
      <c r="AG4865" s="2">
        <v>1290.4608098383401</v>
      </c>
      <c r="AH4865" s="4">
        <v>0.37914406199929002</v>
      </c>
      <c r="AI4865" s="4">
        <v>-1.3991819666986001</v>
      </c>
      <c r="AJ4865" s="4" t="s">
        <v>62</v>
      </c>
      <c r="AK4865" s="2">
        <v>0.56993492186029604</v>
      </c>
      <c r="AL4865" s="2">
        <v>0.78311574344879098</v>
      </c>
      <c r="AM4865" s="2">
        <v>8.559877937157E-6</v>
      </c>
      <c r="AN4865" s="2">
        <v>8.559877937157E-6</v>
      </c>
      <c r="AO4865" s="2">
        <v>8.559877937157E-6</v>
      </c>
      <c r="AP4865" s="2">
        <v>2687.0423127778599</v>
      </c>
      <c r="AQ4865" s="2">
        <v>248.580972740627</v>
      </c>
      <c r="AR4865" s="2">
        <v>8.559877937157E-6</v>
      </c>
      <c r="AS4865" s="2">
        <v>8.559877937157E-6</v>
      </c>
      <c r="AT4865" s="2">
        <v>7742.7648162306205</v>
      </c>
      <c r="AU4865" s="2">
        <v>8.559877937157E-6</v>
      </c>
      <c r="AV4865" s="2">
        <v>8.559877937157E-6</v>
      </c>
      <c r="AW4865" s="2">
        <v>8.559877937157E-6</v>
      </c>
      <c r="AX4865" s="2">
        <v>8.559877937157E-6</v>
      </c>
    </row>
    <row r="4866" spans="1:50" x14ac:dyDescent="0.25">
      <c r="A4866" s="2" t="s">
        <v>31909</v>
      </c>
      <c r="B4866" s="2">
        <v>205.134266309531</v>
      </c>
      <c r="C4866" s="2">
        <v>4.2577833333333297</v>
      </c>
      <c r="D4866" s="2" t="s">
        <v>51</v>
      </c>
      <c r="E4866" s="2" t="s">
        <v>31910</v>
      </c>
      <c r="F4866" s="2">
        <v>207977</v>
      </c>
      <c r="G4866" s="3" t="str">
        <f>HYPERLINK("https://cloud.oebiotech.com/#/lm/network/207977", "https://cloud.oebiotech.com/#/lm/network/207977")</f>
        <v>https://cloud.oebiotech.com/#/lm/network/207977</v>
      </c>
      <c r="H4866" s="2" t="s">
        <v>31911</v>
      </c>
      <c r="I4866" s="2"/>
      <c r="J4866" s="2"/>
      <c r="K4866" s="2">
        <v>169132</v>
      </c>
      <c r="L4866" s="2"/>
      <c r="M4866" s="2"/>
      <c r="N4866" s="2"/>
      <c r="O4866" s="2">
        <v>53214</v>
      </c>
      <c r="P4866" s="2"/>
      <c r="Q4866" s="2"/>
      <c r="R4866" s="2"/>
      <c r="S4866" s="2" t="s">
        <v>31912</v>
      </c>
      <c r="T4866" s="2" t="s">
        <v>31913</v>
      </c>
      <c r="U4866" s="2" t="s">
        <v>119</v>
      </c>
      <c r="V4866" s="2" t="s">
        <v>120</v>
      </c>
      <c r="W4866" s="2" t="s">
        <v>18928</v>
      </c>
      <c r="X4866" s="2" t="s">
        <v>147</v>
      </c>
      <c r="Y4866" s="2">
        <v>39.6</v>
      </c>
      <c r="Z4866" s="2">
        <v>10.199999999999999</v>
      </c>
      <c r="AA4866" s="2" t="s">
        <v>156</v>
      </c>
      <c r="AB4866" s="2" t="s">
        <v>31914</v>
      </c>
      <c r="AC4866" s="2">
        <v>3.2715581586150799</v>
      </c>
      <c r="AD4866" s="2"/>
      <c r="AE4866" s="2">
        <v>6.5039559121879101E-2</v>
      </c>
      <c r="AF4866" s="2">
        <v>1319.28277270891</v>
      </c>
      <c r="AG4866" s="2">
        <v>1416.2586945922501</v>
      </c>
      <c r="AH4866" s="4">
        <v>0.93152668911856995</v>
      </c>
      <c r="AI4866" s="4">
        <v>-0.102330990554149</v>
      </c>
      <c r="AJ4866" s="4" t="s">
        <v>62</v>
      </c>
      <c r="AK4866" s="2">
        <v>0.94176499664830704</v>
      </c>
      <c r="AL4866" s="2">
        <v>0.97561660881190004</v>
      </c>
      <c r="AM4866" s="2">
        <v>395.41565686287299</v>
      </c>
      <c r="AN4866" s="2">
        <v>251.07503466440599</v>
      </c>
      <c r="AO4866" s="2">
        <v>556.49251701651804</v>
      </c>
      <c r="AP4866" s="2">
        <v>6461.6991070746899</v>
      </c>
      <c r="AQ4866" s="2">
        <v>91.353773011331398</v>
      </c>
      <c r="AR4866" s="2">
        <v>159.660547623627</v>
      </c>
      <c r="AS4866" s="2">
        <v>2231.0723150286099</v>
      </c>
      <c r="AT4866" s="2">
        <v>258.65233656612401</v>
      </c>
      <c r="AU4866" s="2">
        <v>209.401541694011</v>
      </c>
      <c r="AV4866" s="2">
        <v>8.559877937157E-6</v>
      </c>
      <c r="AW4866" s="2">
        <v>832.66066429958596</v>
      </c>
      <c r="AX4866" s="2">
        <v>4965.7653014053003</v>
      </c>
    </row>
    <row r="4867" spans="1:50" x14ac:dyDescent="0.25">
      <c r="A4867" s="2" t="s">
        <v>31915</v>
      </c>
      <c r="B4867" s="2">
        <v>306.28011039826498</v>
      </c>
      <c r="C4867" s="2">
        <v>12.194933333333299</v>
      </c>
      <c r="D4867" s="2" t="s">
        <v>51</v>
      </c>
      <c r="E4867" s="2" t="s">
        <v>31916</v>
      </c>
      <c r="F4867" s="2">
        <v>206600</v>
      </c>
      <c r="G4867" s="3" t="str">
        <f>HYPERLINK("https://cloud.oebiotech.com/#/lm/network/206600", "https://cloud.oebiotech.com/#/lm/network/206600")</f>
        <v>https://cloud.oebiotech.com/#/lm/network/206600</v>
      </c>
      <c r="H4867" s="2" t="s">
        <v>31917</v>
      </c>
      <c r="I4867" s="2"/>
      <c r="J4867" s="2"/>
      <c r="K4867" s="2">
        <v>3302</v>
      </c>
      <c r="L4867" s="2"/>
      <c r="M4867" s="2"/>
      <c r="N4867" s="2"/>
      <c r="O4867" s="2"/>
      <c r="P4867" s="2"/>
      <c r="Q4867" s="2"/>
      <c r="R4867" s="2"/>
      <c r="S4867" s="2" t="s">
        <v>31918</v>
      </c>
      <c r="T4867" s="2" t="s">
        <v>31919</v>
      </c>
      <c r="U4867" s="2" t="s">
        <v>56</v>
      </c>
      <c r="V4867" s="2" t="s">
        <v>283</v>
      </c>
      <c r="W4867" s="2" t="s">
        <v>3686</v>
      </c>
      <c r="X4867" s="2" t="s">
        <v>83</v>
      </c>
      <c r="Y4867" s="2">
        <v>45</v>
      </c>
      <c r="Z4867" s="2">
        <v>0</v>
      </c>
      <c r="AA4867" s="2" t="s">
        <v>512</v>
      </c>
      <c r="AB4867" s="2" t="s">
        <v>13076</v>
      </c>
      <c r="AC4867" s="2">
        <v>3.36249164327953</v>
      </c>
      <c r="AD4867" s="2"/>
      <c r="AE4867" s="2">
        <v>6.4895113285000194E-2</v>
      </c>
      <c r="AF4867" s="2">
        <v>490.53492934711898</v>
      </c>
      <c r="AG4867" s="2">
        <v>845.80346323837603</v>
      </c>
      <c r="AH4867" s="4">
        <v>0.57996325466554599</v>
      </c>
      <c r="AI4867" s="4">
        <v>-0.78596659808014402</v>
      </c>
      <c r="AJ4867" s="4" t="s">
        <v>62</v>
      </c>
      <c r="AK4867" s="2">
        <v>0.52099892983704199</v>
      </c>
      <c r="AL4867" s="2">
        <v>0.75192102353561097</v>
      </c>
      <c r="AM4867" s="2">
        <v>8.559877937157E-6</v>
      </c>
      <c r="AN4867" s="2">
        <v>8.559877937157E-6</v>
      </c>
      <c r="AO4867" s="2">
        <v>2685.9934889245001</v>
      </c>
      <c r="AP4867" s="2">
        <v>8.559877937157E-6</v>
      </c>
      <c r="AQ4867" s="2">
        <v>8.559877937157E-6</v>
      </c>
      <c r="AR4867" s="2">
        <v>257.21605291870497</v>
      </c>
      <c r="AS4867" s="2">
        <v>327.57071400025899</v>
      </c>
      <c r="AT4867" s="2">
        <v>596.77923586503402</v>
      </c>
      <c r="AU4867" s="2">
        <v>737.52162295763799</v>
      </c>
      <c r="AV4867" s="2">
        <v>1404.5809688019799</v>
      </c>
      <c r="AW4867" s="2">
        <v>2008.36822924547</v>
      </c>
      <c r="AX4867" s="2">
        <v>8.559877937157E-6</v>
      </c>
    </row>
    <row r="4868" spans="1:50" x14ac:dyDescent="0.25">
      <c r="A4868" s="2" t="s">
        <v>31920</v>
      </c>
      <c r="B4868" s="2">
        <v>255.23252211115201</v>
      </c>
      <c r="C4868" s="2">
        <v>11.00775</v>
      </c>
      <c r="D4868" s="2" t="s">
        <v>51</v>
      </c>
      <c r="E4868" s="2" t="s">
        <v>31921</v>
      </c>
      <c r="F4868" s="2">
        <v>1762</v>
      </c>
      <c r="G4868" s="3" t="str">
        <f>HYPERLINK("https://cloud.oebiotech.com/#/lm/network/1762", "https://cloud.oebiotech.com/#/lm/network/1762")</f>
        <v>https://cloud.oebiotech.com/#/lm/network/1762</v>
      </c>
      <c r="H4868" s="2"/>
      <c r="I4868" s="2">
        <v>74565</v>
      </c>
      <c r="J4868" s="2" t="s">
        <v>31922</v>
      </c>
      <c r="K4868" s="2">
        <v>5312759</v>
      </c>
      <c r="L4868" s="2"/>
      <c r="M4868" s="2"/>
      <c r="N4868" s="2"/>
      <c r="O4868" s="2">
        <v>83935</v>
      </c>
      <c r="P4868" s="2"/>
      <c r="Q4868" s="2"/>
      <c r="R4868" s="2"/>
      <c r="S4868" s="2" t="s">
        <v>31923</v>
      </c>
      <c r="T4868" s="2" t="s">
        <v>31924</v>
      </c>
      <c r="U4868" s="2" t="s">
        <v>56</v>
      </c>
      <c r="V4868" s="2" t="s">
        <v>145</v>
      </c>
      <c r="W4868" s="2" t="s">
        <v>231</v>
      </c>
      <c r="X4868" s="2" t="s">
        <v>83</v>
      </c>
      <c r="Y4868" s="2">
        <v>48.2</v>
      </c>
      <c r="Z4868" s="2">
        <v>0</v>
      </c>
      <c r="AA4868" s="2" t="s">
        <v>156</v>
      </c>
      <c r="AB4868" s="2" t="s">
        <v>8612</v>
      </c>
      <c r="AC4868" s="2">
        <v>2.4444905252590901</v>
      </c>
      <c r="AD4868" s="2"/>
      <c r="AE4868" s="2">
        <v>6.4872467825772898E-2</v>
      </c>
      <c r="AF4868" s="2">
        <v>11431.362077997301</v>
      </c>
      <c r="AG4868" s="2">
        <v>11211.6057551825</v>
      </c>
      <c r="AH4868" s="5">
        <v>1.01960078936179</v>
      </c>
      <c r="AI4868" s="5">
        <v>2.8004395389094699E-2</v>
      </c>
      <c r="AJ4868" s="5" t="s">
        <v>139</v>
      </c>
      <c r="AK4868" s="2">
        <v>0.82028826291715096</v>
      </c>
      <c r="AL4868" s="2">
        <v>0.92148560396199097</v>
      </c>
      <c r="AM4868" s="2">
        <v>12929.164862805201</v>
      </c>
      <c r="AN4868" s="2">
        <v>14001.8623079641</v>
      </c>
      <c r="AO4868" s="2">
        <v>11551.3398791691</v>
      </c>
      <c r="AP4868" s="2">
        <v>12459.0599340112</v>
      </c>
      <c r="AQ4868" s="2">
        <v>9826.4012964040594</v>
      </c>
      <c r="AR4868" s="2">
        <v>7820.3441876298903</v>
      </c>
      <c r="AS4868" s="2">
        <v>11875.6378561116</v>
      </c>
      <c r="AT4868" s="2">
        <v>11096.351371299001</v>
      </c>
      <c r="AU4868" s="2">
        <v>11386.870540244299</v>
      </c>
      <c r="AV4868" s="2">
        <v>10673.514118126899</v>
      </c>
      <c r="AW4868" s="2">
        <v>10727.7490431694</v>
      </c>
      <c r="AX4868" s="2">
        <v>11509.511602143601</v>
      </c>
    </row>
    <row r="4869" spans="1:50" x14ac:dyDescent="0.25">
      <c r="A4869" s="2" t="s">
        <v>31925</v>
      </c>
      <c r="B4869" s="2">
        <v>231.1037</v>
      </c>
      <c r="C4869" s="2">
        <v>15.603</v>
      </c>
      <c r="D4869" s="2" t="s">
        <v>125</v>
      </c>
      <c r="E4869" s="2" t="s">
        <v>31926</v>
      </c>
      <c r="F4869" s="2">
        <v>58071</v>
      </c>
      <c r="G4869" s="3" t="str">
        <f>HYPERLINK("https://cloud.oebiotech.com/#/lm/network/58071", "https://cloud.oebiotech.com/#/lm/network/58071")</f>
        <v>https://cloud.oebiotech.com/#/lm/network/58071</v>
      </c>
      <c r="H4869" s="2" t="s">
        <v>31927</v>
      </c>
      <c r="I4869" s="2">
        <v>89618</v>
      </c>
      <c r="J4869" s="2"/>
      <c r="K4869" s="2">
        <v>249377</v>
      </c>
      <c r="L4869" s="2"/>
      <c r="M4869" s="2"/>
      <c r="N4869" s="2"/>
      <c r="O4869" s="2"/>
      <c r="P4869" s="2"/>
      <c r="Q4869" s="2"/>
      <c r="R4869" s="2"/>
      <c r="S4869" s="2" t="s">
        <v>31928</v>
      </c>
      <c r="T4869" s="2" t="s">
        <v>31929</v>
      </c>
      <c r="U4869" s="2" t="s">
        <v>331</v>
      </c>
      <c r="V4869" s="2" t="s">
        <v>332</v>
      </c>
      <c r="W4869" s="2" t="s">
        <v>519</v>
      </c>
      <c r="X4869" s="2" t="s">
        <v>59</v>
      </c>
      <c r="Y4869" s="2">
        <v>75.2</v>
      </c>
      <c r="Z4869" s="2">
        <v>59.6</v>
      </c>
      <c r="AA4869" s="2"/>
      <c r="AB4869" s="2" t="s">
        <v>31930</v>
      </c>
      <c r="AC4869" s="2"/>
      <c r="AD4869" s="2">
        <v>524736.428227194</v>
      </c>
      <c r="AE4869" s="2">
        <v>6.4722483298613603E-2</v>
      </c>
      <c r="AF4869" s="2">
        <v>6154.8264044238103</v>
      </c>
      <c r="AG4869" s="2">
        <v>4738.49450666348</v>
      </c>
      <c r="AH4869" s="5">
        <v>1.29889913257652</v>
      </c>
      <c r="AI4869" s="5">
        <v>0.37728940108465198</v>
      </c>
      <c r="AJ4869" s="5" t="s">
        <v>139</v>
      </c>
      <c r="AK4869" s="2">
        <v>0.345599487411832</v>
      </c>
      <c r="AL4869" s="2">
        <v>0.63919755662431299</v>
      </c>
      <c r="AM4869" s="2">
        <v>5812.1351062452204</v>
      </c>
      <c r="AN4869" s="2">
        <v>6707.1242195319301</v>
      </c>
      <c r="AO4869" s="2">
        <v>7319.5749256161398</v>
      </c>
      <c r="AP4869" s="2">
        <v>7481.0618040459303</v>
      </c>
      <c r="AQ4869" s="2">
        <v>7309.2271538336499</v>
      </c>
      <c r="AR4869" s="2">
        <v>2299.8352172700202</v>
      </c>
      <c r="AS4869" s="2">
        <v>2299.8352172700202</v>
      </c>
      <c r="AT4869" s="2">
        <v>9024.0656286700705</v>
      </c>
      <c r="AU4869" s="2">
        <v>2299.8352172700202</v>
      </c>
      <c r="AV4869" s="2">
        <v>5586.0642822544196</v>
      </c>
      <c r="AW4869" s="2">
        <v>6921.33147724632</v>
      </c>
      <c r="AX4869" s="2">
        <v>2299.8352172700202</v>
      </c>
    </row>
    <row r="4870" spans="1:50" x14ac:dyDescent="0.25">
      <c r="A4870" s="2" t="s">
        <v>31931</v>
      </c>
      <c r="B4870" s="2">
        <v>174.0933</v>
      </c>
      <c r="C4870" s="2">
        <v>21.77</v>
      </c>
      <c r="D4870" s="2" t="s">
        <v>125</v>
      </c>
      <c r="E4870" s="2" t="s">
        <v>31932</v>
      </c>
      <c r="F4870" s="2">
        <v>273773</v>
      </c>
      <c r="G4870" s="3" t="str">
        <f>HYPERLINK("https://cloud.oebiotech.com/#/lm/network/273773", "https://cloud.oebiotech.com/#/lm/network/273773")</f>
        <v>https://cloud.oebiotech.com/#/lm/network/273773</v>
      </c>
      <c r="H4870" s="2" t="s">
        <v>31933</v>
      </c>
      <c r="I4870" s="2">
        <v>63102</v>
      </c>
      <c r="J4870" s="2"/>
      <c r="K4870" s="2">
        <v>192590</v>
      </c>
      <c r="L4870" s="2" t="s">
        <v>31934</v>
      </c>
      <c r="M4870" s="2"/>
      <c r="N4870" s="2"/>
      <c r="O4870" s="2"/>
      <c r="P4870" s="2"/>
      <c r="Q4870" s="2"/>
      <c r="R4870" s="2" t="s">
        <v>31935</v>
      </c>
      <c r="S4870" s="2" t="s">
        <v>31936</v>
      </c>
      <c r="T4870" s="2" t="s">
        <v>31937</v>
      </c>
      <c r="U4870" s="2" t="s">
        <v>103</v>
      </c>
      <c r="V4870" s="2" t="s">
        <v>104</v>
      </c>
      <c r="W4870" s="2" t="s">
        <v>105</v>
      </c>
      <c r="X4870" s="2" t="s">
        <v>69</v>
      </c>
      <c r="Y4870" s="2">
        <v>85.8</v>
      </c>
      <c r="Z4870" s="2">
        <v>76.3</v>
      </c>
      <c r="AA4870" s="2"/>
      <c r="AB4870" s="2" t="s">
        <v>14061</v>
      </c>
      <c r="AC4870" s="2"/>
      <c r="AD4870" s="2">
        <v>743969.68684759899</v>
      </c>
      <c r="AE4870" s="2">
        <v>6.4706348264965102E-2</v>
      </c>
      <c r="AF4870" s="2">
        <v>12444.0206126333</v>
      </c>
      <c r="AG4870" s="2">
        <v>15920.0405445612</v>
      </c>
      <c r="AH4870" s="4">
        <v>0.78165759551941505</v>
      </c>
      <c r="AI4870" s="4">
        <v>-0.35539132037934201</v>
      </c>
      <c r="AJ4870" s="4" t="s">
        <v>62</v>
      </c>
      <c r="AK4870" s="2">
        <v>0.67188399726247505</v>
      </c>
      <c r="AL4870" s="2">
        <v>0.84137846271826899</v>
      </c>
      <c r="AM4870" s="2">
        <v>7915.4492358568205</v>
      </c>
      <c r="AN4870" s="2">
        <v>2299.8352172700202</v>
      </c>
      <c r="AO4870" s="2">
        <v>7573.2004333493896</v>
      </c>
      <c r="AP4870" s="2">
        <v>10098.395976391101</v>
      </c>
      <c r="AQ4870" s="2">
        <v>41247.014448447197</v>
      </c>
      <c r="AR4870" s="2">
        <v>5530.2283644851996</v>
      </c>
      <c r="AS4870" s="2">
        <v>11445.8424765564</v>
      </c>
      <c r="AT4870" s="2">
        <v>6980.0637542219101</v>
      </c>
      <c r="AU4870" s="2">
        <v>33355.550520737401</v>
      </c>
      <c r="AV4870" s="2">
        <v>32172.9129930542</v>
      </c>
      <c r="AW4870" s="2">
        <v>5286.6725560185396</v>
      </c>
      <c r="AX4870" s="2">
        <v>6279.2009667785696</v>
      </c>
    </row>
    <row r="4871" spans="1:50" x14ac:dyDescent="0.25">
      <c r="A4871" s="2" t="s">
        <v>31938</v>
      </c>
      <c r="B4871" s="2">
        <v>320.07527307157898</v>
      </c>
      <c r="C4871" s="2">
        <v>3.9827333333333299</v>
      </c>
      <c r="D4871" s="2" t="s">
        <v>51</v>
      </c>
      <c r="E4871" s="2" t="s">
        <v>31939</v>
      </c>
      <c r="F4871" s="2">
        <v>50923</v>
      </c>
      <c r="G4871" s="3" t="str">
        <f>HYPERLINK("https://cloud.oebiotech.com/#/lm/network/50923", "https://cloud.oebiotech.com/#/lm/network/50923")</f>
        <v>https://cloud.oebiotech.com/#/lm/network/50923</v>
      </c>
      <c r="H4871" s="2" t="s">
        <v>31940</v>
      </c>
      <c r="I4871" s="2">
        <v>61677</v>
      </c>
      <c r="J4871" s="2"/>
      <c r="K4871" s="2">
        <v>196512</v>
      </c>
      <c r="L4871" s="2" t="s">
        <v>3258</v>
      </c>
      <c r="M4871" s="2" t="s">
        <v>3259</v>
      </c>
      <c r="N4871" s="2" t="s">
        <v>3260</v>
      </c>
      <c r="O4871" s="2"/>
      <c r="P4871" s="2"/>
      <c r="Q4871" s="2"/>
      <c r="R4871" s="2" t="s">
        <v>31941</v>
      </c>
      <c r="S4871" s="2" t="s">
        <v>31942</v>
      </c>
      <c r="T4871" s="2" t="s">
        <v>31943</v>
      </c>
      <c r="U4871" s="2" t="s">
        <v>331</v>
      </c>
      <c r="V4871" s="2" t="s">
        <v>332</v>
      </c>
      <c r="W4871" s="2" t="s">
        <v>333</v>
      </c>
      <c r="X4871" s="2" t="s">
        <v>83</v>
      </c>
      <c r="Y4871" s="2">
        <v>37.9</v>
      </c>
      <c r="Z4871" s="2">
        <v>0</v>
      </c>
      <c r="AA4871" s="2" t="s">
        <v>379</v>
      </c>
      <c r="AB4871" s="2" t="s">
        <v>31944</v>
      </c>
      <c r="AC4871" s="2">
        <v>-6.7895783280095898</v>
      </c>
      <c r="AD4871" s="2"/>
      <c r="AE4871" s="2">
        <v>6.4687524567649493E-2</v>
      </c>
      <c r="AF4871" s="2">
        <v>992.34123530101999</v>
      </c>
      <c r="AG4871" s="2">
        <v>708.91733908783795</v>
      </c>
      <c r="AH4871" s="5">
        <v>1.3997982283489701</v>
      </c>
      <c r="AI4871" s="5">
        <v>0.48521888721378797</v>
      </c>
      <c r="AJ4871" s="5" t="s">
        <v>139</v>
      </c>
      <c r="AK4871" s="2">
        <v>0.55991488335850503</v>
      </c>
      <c r="AL4871" s="2">
        <v>0.779051948089863</v>
      </c>
      <c r="AM4871" s="2">
        <v>1913.2228051603599</v>
      </c>
      <c r="AN4871" s="2">
        <v>8.559877937157E-6</v>
      </c>
      <c r="AO4871" s="2">
        <v>227.68509761373701</v>
      </c>
      <c r="AP4871" s="2">
        <v>2323.6824003152201</v>
      </c>
      <c r="AQ4871" s="2">
        <v>1376.06475599946</v>
      </c>
      <c r="AR4871" s="2">
        <v>113.392344157465</v>
      </c>
      <c r="AS4871" s="2">
        <v>709.17384718721098</v>
      </c>
      <c r="AT4871" s="2">
        <v>1378.96349007299</v>
      </c>
      <c r="AU4871" s="2">
        <v>1277.4547130962101</v>
      </c>
      <c r="AV4871" s="2">
        <v>8.559877937157E-6</v>
      </c>
      <c r="AW4871" s="2">
        <v>669.85360213611</v>
      </c>
      <c r="AX4871" s="2">
        <v>218.058373474631</v>
      </c>
    </row>
    <row r="4872" spans="1:50" x14ac:dyDescent="0.25">
      <c r="A4872" s="2" t="s">
        <v>31945</v>
      </c>
      <c r="B4872" s="2">
        <v>339.21543830653599</v>
      </c>
      <c r="C4872" s="2">
        <v>11.254516666666699</v>
      </c>
      <c r="D4872" s="2" t="s">
        <v>51</v>
      </c>
      <c r="E4872" s="2" t="s">
        <v>31946</v>
      </c>
      <c r="F4872" s="2">
        <v>7880</v>
      </c>
      <c r="G4872" s="3" t="str">
        <f>HYPERLINK("https://cloud.oebiotech.com/#/lm/network/7880", "https://cloud.oebiotech.com/#/lm/network/7880")</f>
        <v>https://cloud.oebiotech.com/#/lm/network/7880</v>
      </c>
      <c r="H4872" s="2"/>
      <c r="I4872" s="2"/>
      <c r="J4872" s="2" t="s">
        <v>31947</v>
      </c>
      <c r="K4872" s="2">
        <v>14754245</v>
      </c>
      <c r="L4872" s="2"/>
      <c r="M4872" s="2"/>
      <c r="N4872" s="2"/>
      <c r="O4872" s="2"/>
      <c r="P4872" s="2"/>
      <c r="Q4872" s="2"/>
      <c r="R4872" s="2"/>
      <c r="S4872" s="2" t="s">
        <v>31948</v>
      </c>
      <c r="T4872" s="2" t="s">
        <v>31949</v>
      </c>
      <c r="U4872" s="2" t="s">
        <v>56</v>
      </c>
      <c r="V4872" s="2" t="s">
        <v>145</v>
      </c>
      <c r="W4872" s="2" t="s">
        <v>146</v>
      </c>
      <c r="X4872" s="2" t="s">
        <v>83</v>
      </c>
      <c r="Y4872" s="2">
        <v>47.3</v>
      </c>
      <c r="Z4872" s="2">
        <v>0</v>
      </c>
      <c r="AA4872" s="2" t="s">
        <v>218</v>
      </c>
      <c r="AB4872" s="2" t="s">
        <v>1722</v>
      </c>
      <c r="AC4872" s="2">
        <v>-7.6792472406818</v>
      </c>
      <c r="AD4872" s="2"/>
      <c r="AE4872" s="2">
        <v>6.4638097859263305E-2</v>
      </c>
      <c r="AF4872" s="2">
        <v>838.074530589029</v>
      </c>
      <c r="AG4872" s="2">
        <v>685.462499346909</v>
      </c>
      <c r="AH4872" s="5">
        <v>1.2226409634188999</v>
      </c>
      <c r="AI4872" s="5">
        <v>0.29000080914593901</v>
      </c>
      <c r="AJ4872" s="5" t="s">
        <v>139</v>
      </c>
      <c r="AK4872" s="2">
        <v>0.35997753679228101</v>
      </c>
      <c r="AL4872" s="2">
        <v>0.64489638984181297</v>
      </c>
      <c r="AM4872" s="2">
        <v>1100.6567660522301</v>
      </c>
      <c r="AN4872" s="2">
        <v>1198.25656344296</v>
      </c>
      <c r="AO4872" s="2">
        <v>638.950598316227</v>
      </c>
      <c r="AP4872" s="2">
        <v>881.77392358493705</v>
      </c>
      <c r="AQ4872" s="2">
        <v>373.06532363447701</v>
      </c>
      <c r="AR4872" s="2">
        <v>835.74400850334098</v>
      </c>
      <c r="AS4872" s="2">
        <v>443.81711361574298</v>
      </c>
      <c r="AT4872" s="2">
        <v>538.22977802888704</v>
      </c>
      <c r="AU4872" s="2">
        <v>1072.0764117948099</v>
      </c>
      <c r="AV4872" s="2">
        <v>512.23397112134103</v>
      </c>
      <c r="AW4872" s="2">
        <v>890.82864657043604</v>
      </c>
      <c r="AX4872" s="2">
        <v>655.58907495023698</v>
      </c>
    </row>
    <row r="4873" spans="1:50" x14ac:dyDescent="0.25">
      <c r="A4873" s="2" t="s">
        <v>31950</v>
      </c>
      <c r="B4873" s="2">
        <v>425.10731854228197</v>
      </c>
      <c r="C4873" s="2">
        <v>4.6280333333333301</v>
      </c>
      <c r="D4873" s="2" t="s">
        <v>51</v>
      </c>
      <c r="E4873" s="2" t="s">
        <v>31951</v>
      </c>
      <c r="F4873" s="2">
        <v>56929</v>
      </c>
      <c r="G4873" s="3" t="str">
        <f>HYPERLINK("https://cloud.oebiotech.com/#/lm/network/56929", "https://cloud.oebiotech.com/#/lm/network/56929")</f>
        <v>https://cloud.oebiotech.com/#/lm/network/56929</v>
      </c>
      <c r="H4873" s="2" t="s">
        <v>31952</v>
      </c>
      <c r="I4873" s="2">
        <v>88586</v>
      </c>
      <c r="J4873" s="2"/>
      <c r="K4873" s="2">
        <v>75169766</v>
      </c>
      <c r="L4873" s="2"/>
      <c r="M4873" s="2"/>
      <c r="N4873" s="2"/>
      <c r="O4873" s="2"/>
      <c r="P4873" s="2"/>
      <c r="Q4873" s="2"/>
      <c r="R4873" s="2" t="s">
        <v>31953</v>
      </c>
      <c r="S4873" s="2" t="s">
        <v>31954</v>
      </c>
      <c r="T4873" s="2" t="s">
        <v>31955</v>
      </c>
      <c r="U4873" s="2" t="s">
        <v>331</v>
      </c>
      <c r="V4873" s="2" t="s">
        <v>332</v>
      </c>
      <c r="W4873" s="2" t="s">
        <v>333</v>
      </c>
      <c r="X4873" s="2" t="s">
        <v>83</v>
      </c>
      <c r="Y4873" s="2">
        <v>39.5</v>
      </c>
      <c r="Z4873" s="2">
        <v>0</v>
      </c>
      <c r="AA4873" s="2" t="s">
        <v>259</v>
      </c>
      <c r="AB4873" s="2" t="s">
        <v>31956</v>
      </c>
      <c r="AC4873" s="2">
        <v>-1.2245828602109301</v>
      </c>
      <c r="AD4873" s="2"/>
      <c r="AE4873" s="2">
        <v>6.4627875267852505E-2</v>
      </c>
      <c r="AF4873" s="2">
        <v>3609.9016799917799</v>
      </c>
      <c r="AG4873" s="2">
        <v>4064.1503636985899</v>
      </c>
      <c r="AH4873" s="4">
        <v>0.88823034507674603</v>
      </c>
      <c r="AI4873" s="4">
        <v>-0.17099423519693799</v>
      </c>
      <c r="AJ4873" s="4" t="s">
        <v>62</v>
      </c>
      <c r="AK4873" s="2">
        <v>0.83926070436269795</v>
      </c>
      <c r="AL4873" s="2">
        <v>0.92909683994561798</v>
      </c>
      <c r="AM4873" s="2">
        <v>816.00066920102302</v>
      </c>
      <c r="AN4873" s="2">
        <v>4323.7299655920397</v>
      </c>
      <c r="AO4873" s="2">
        <v>5221.3122032941301</v>
      </c>
      <c r="AP4873" s="2">
        <v>1784.7466605617401</v>
      </c>
      <c r="AQ4873" s="2">
        <v>4217.35355255595</v>
      </c>
      <c r="AR4873" s="2">
        <v>5296.2670287458104</v>
      </c>
      <c r="AS4873" s="2">
        <v>5815.7024293759496</v>
      </c>
      <c r="AT4873" s="2">
        <v>3143.2007725405101</v>
      </c>
      <c r="AU4873" s="2">
        <v>1195.9421204841599</v>
      </c>
      <c r="AV4873" s="2">
        <v>479.91888218386902</v>
      </c>
      <c r="AW4873" s="2">
        <v>372.23242251925899</v>
      </c>
      <c r="AX4873" s="2">
        <v>13377.9055550878</v>
      </c>
    </row>
    <row r="4874" spans="1:50" x14ac:dyDescent="0.25">
      <c r="A4874" s="2" t="s">
        <v>31957</v>
      </c>
      <c r="B4874" s="2">
        <v>171.102106083504</v>
      </c>
      <c r="C4874" s="2">
        <v>1.0683</v>
      </c>
      <c r="D4874" s="2" t="s">
        <v>51</v>
      </c>
      <c r="E4874" s="2" t="s">
        <v>31958</v>
      </c>
      <c r="F4874" s="2">
        <v>266878</v>
      </c>
      <c r="G4874" s="3" t="str">
        <f>HYPERLINK("https://cloud.oebiotech.com/#/lm/network/266878", "https://cloud.oebiotech.com/#/lm/network/266878")</f>
        <v>https://cloud.oebiotech.com/#/lm/network/266878</v>
      </c>
      <c r="H4874" s="2"/>
      <c r="I4874" s="2">
        <v>44183</v>
      </c>
      <c r="J4874" s="2"/>
      <c r="K4874" s="2">
        <v>6708681</v>
      </c>
      <c r="L4874" s="2"/>
      <c r="M4874" s="2"/>
      <c r="N4874" s="2"/>
      <c r="O4874" s="2"/>
      <c r="P4874" s="2"/>
      <c r="Q4874" s="2"/>
      <c r="R4874" s="2"/>
      <c r="S4874" s="2" t="s">
        <v>31959</v>
      </c>
      <c r="T4874" s="2" t="s">
        <v>31960</v>
      </c>
      <c r="U4874" s="2" t="s">
        <v>56</v>
      </c>
      <c r="V4874" s="2" t="s">
        <v>145</v>
      </c>
      <c r="W4874" s="2" t="s">
        <v>231</v>
      </c>
      <c r="X4874" s="2" t="s">
        <v>147</v>
      </c>
      <c r="Y4874" s="2">
        <v>38.299999999999997</v>
      </c>
      <c r="Z4874" s="2">
        <v>0</v>
      </c>
      <c r="AA4874" s="2" t="s">
        <v>156</v>
      </c>
      <c r="AB4874" s="2" t="s">
        <v>3431</v>
      </c>
      <c r="AC4874" s="2">
        <v>2.8459772237181702</v>
      </c>
      <c r="AD4874" s="2"/>
      <c r="AE4874" s="2">
        <v>6.4601762433185897E-2</v>
      </c>
      <c r="AF4874" s="2">
        <v>7932.8644409736398</v>
      </c>
      <c r="AG4874" s="2">
        <v>8231.6822526589294</v>
      </c>
      <c r="AH4874" s="4">
        <v>0.96369905901205399</v>
      </c>
      <c r="AI4874" s="4">
        <v>-5.3345398488016497E-2</v>
      </c>
      <c r="AJ4874" s="4" t="s">
        <v>62</v>
      </c>
      <c r="AK4874" s="2">
        <v>0.60843655391178997</v>
      </c>
      <c r="AL4874" s="2">
        <v>0.80469766553225597</v>
      </c>
      <c r="AM4874" s="2">
        <v>7273.9105508679904</v>
      </c>
      <c r="AN4874" s="2">
        <v>9024.2827642724096</v>
      </c>
      <c r="AO4874" s="2">
        <v>7553.3828974149201</v>
      </c>
      <c r="AP4874" s="2">
        <v>8825.4892595968395</v>
      </c>
      <c r="AQ4874" s="2">
        <v>8551.0044594559604</v>
      </c>
      <c r="AR4874" s="2">
        <v>6369.1167142337199</v>
      </c>
      <c r="AS4874" s="2">
        <v>8852.00065607959</v>
      </c>
      <c r="AT4874" s="2">
        <v>8753.4041684182594</v>
      </c>
      <c r="AU4874" s="2">
        <v>7123.6559206136899</v>
      </c>
      <c r="AV4874" s="2">
        <v>6993.7005167688803</v>
      </c>
      <c r="AW4874" s="2">
        <v>8977.9482917332498</v>
      </c>
      <c r="AX4874" s="2">
        <v>8689.3839623399199</v>
      </c>
    </row>
    <row r="4875" spans="1:50" x14ac:dyDescent="0.25">
      <c r="A4875" s="2" t="s">
        <v>31961</v>
      </c>
      <c r="B4875" s="2">
        <v>203.12824764767501</v>
      </c>
      <c r="C4875" s="2">
        <v>5.3058500000000004</v>
      </c>
      <c r="D4875" s="2" t="s">
        <v>51</v>
      </c>
      <c r="E4875" s="2" t="s">
        <v>31962</v>
      </c>
      <c r="F4875" s="2">
        <v>1901</v>
      </c>
      <c r="G4875" s="3" t="str">
        <f>HYPERLINK("https://cloud.oebiotech.com/#/lm/network/1901", "https://cloud.oebiotech.com/#/lm/network/1901")</f>
        <v>https://cloud.oebiotech.com/#/lm/network/1901</v>
      </c>
      <c r="H4875" s="2"/>
      <c r="I4875" s="2"/>
      <c r="J4875" s="2" t="s">
        <v>31963</v>
      </c>
      <c r="K4875" s="2">
        <v>9859090</v>
      </c>
      <c r="L4875" s="2"/>
      <c r="M4875" s="2"/>
      <c r="N4875" s="2"/>
      <c r="O4875" s="2"/>
      <c r="P4875" s="2"/>
      <c r="Q4875" s="2"/>
      <c r="R4875" s="2"/>
      <c r="S4875" s="2" t="s">
        <v>31964</v>
      </c>
      <c r="T4875" s="2" t="s">
        <v>31965</v>
      </c>
      <c r="U4875" s="2" t="s">
        <v>103</v>
      </c>
      <c r="V4875" s="2" t="s">
        <v>377</v>
      </c>
      <c r="W4875" s="2" t="s">
        <v>378</v>
      </c>
      <c r="X4875" s="2" t="s">
        <v>83</v>
      </c>
      <c r="Y4875" s="2">
        <v>45.1</v>
      </c>
      <c r="Z4875" s="2">
        <v>0</v>
      </c>
      <c r="AA4875" s="2" t="s">
        <v>163</v>
      </c>
      <c r="AB4875" s="2" t="s">
        <v>31966</v>
      </c>
      <c r="AC4875" s="2">
        <v>-3.1108646686763399</v>
      </c>
      <c r="AD4875" s="2"/>
      <c r="AE4875" s="2">
        <v>6.4492745440061894E-2</v>
      </c>
      <c r="AF4875" s="2">
        <v>791.81407748220602</v>
      </c>
      <c r="AG4875" s="2">
        <v>634.43355331255202</v>
      </c>
      <c r="AH4875" s="5">
        <v>1.24806462922386</v>
      </c>
      <c r="AI4875" s="5">
        <v>0.31969264401311098</v>
      </c>
      <c r="AJ4875" s="5" t="s">
        <v>139</v>
      </c>
      <c r="AK4875" s="2">
        <v>0.30756227185184398</v>
      </c>
      <c r="AL4875" s="2">
        <v>0.61756871527620305</v>
      </c>
      <c r="AM4875" s="2">
        <v>705.10123847867203</v>
      </c>
      <c r="AN4875" s="2">
        <v>1342.32134146926</v>
      </c>
      <c r="AO4875" s="2">
        <v>763.49914981039103</v>
      </c>
      <c r="AP4875" s="2">
        <v>687.30938871078502</v>
      </c>
      <c r="AQ4875" s="2">
        <v>522.04443370543197</v>
      </c>
      <c r="AR4875" s="2">
        <v>730.608912718699</v>
      </c>
      <c r="AS4875" s="2">
        <v>916.10044389667905</v>
      </c>
      <c r="AT4875" s="2">
        <v>640.00375238737399</v>
      </c>
      <c r="AU4875" s="2">
        <v>884.69780065182101</v>
      </c>
      <c r="AV4875" s="2">
        <v>499.46747023016701</v>
      </c>
      <c r="AW4875" s="2">
        <v>396.04982977279099</v>
      </c>
      <c r="AX4875" s="2">
        <v>470.28202293648201</v>
      </c>
    </row>
    <row r="4876" spans="1:50" x14ac:dyDescent="0.25">
      <c r="A4876" s="2" t="s">
        <v>31967</v>
      </c>
      <c r="B4876" s="2">
        <v>330.10460821803002</v>
      </c>
      <c r="C4876" s="2">
        <v>3.62381666666667</v>
      </c>
      <c r="D4876" s="2" t="s">
        <v>51</v>
      </c>
      <c r="E4876" s="2" t="s">
        <v>31968</v>
      </c>
      <c r="F4876" s="2">
        <v>279952</v>
      </c>
      <c r="G4876" s="3" t="str">
        <f>HYPERLINK("https://cloud.oebiotech.com/#/lm/network/279952", "https://cloud.oebiotech.com/#/lm/network/279952")</f>
        <v>https://cloud.oebiotech.com/#/lm/network/279952</v>
      </c>
      <c r="H4876" s="2"/>
      <c r="I4876" s="2">
        <v>72813</v>
      </c>
      <c r="J4876" s="2"/>
      <c r="K4876" s="2">
        <v>33500</v>
      </c>
      <c r="L4876" s="2" t="s">
        <v>31969</v>
      </c>
      <c r="M4876" s="2"/>
      <c r="N4876" s="2"/>
      <c r="O4876" s="2"/>
      <c r="P4876" s="2"/>
      <c r="Q4876" s="2"/>
      <c r="R4876" s="2" t="s">
        <v>31970</v>
      </c>
      <c r="S4876" s="2" t="s">
        <v>31971</v>
      </c>
      <c r="T4876" s="2" t="s">
        <v>31972</v>
      </c>
      <c r="U4876" s="2" t="s">
        <v>610</v>
      </c>
      <c r="V4876" s="2" t="s">
        <v>611</v>
      </c>
      <c r="W4876" s="2" t="s">
        <v>977</v>
      </c>
      <c r="X4876" s="2" t="s">
        <v>147</v>
      </c>
      <c r="Y4876" s="2">
        <v>37.6</v>
      </c>
      <c r="Z4876" s="2">
        <v>2.82</v>
      </c>
      <c r="AA4876" s="2" t="s">
        <v>156</v>
      </c>
      <c r="AB4876" s="2" t="s">
        <v>31973</v>
      </c>
      <c r="AC4876" s="2">
        <v>-4.0165958306464997</v>
      </c>
      <c r="AD4876" s="2"/>
      <c r="AE4876" s="2">
        <v>6.4489646612773899E-2</v>
      </c>
      <c r="AF4876" s="2">
        <v>1624.77392332772</v>
      </c>
      <c r="AG4876" s="2">
        <v>853.62290247758597</v>
      </c>
      <c r="AH4876" s="5">
        <v>1.9033860485841201</v>
      </c>
      <c r="AI4876" s="5">
        <v>0.92856820159782205</v>
      </c>
      <c r="AJ4876" s="5" t="s">
        <v>139</v>
      </c>
      <c r="AK4876" s="2">
        <v>0.47535725005123303</v>
      </c>
      <c r="AL4876" s="2">
        <v>0.72142024375106595</v>
      </c>
      <c r="AM4876" s="2">
        <v>443.61349556733802</v>
      </c>
      <c r="AN4876" s="2">
        <v>8.559877937157E-6</v>
      </c>
      <c r="AO4876" s="2">
        <v>3127.4036437756199</v>
      </c>
      <c r="AP4876" s="2">
        <v>5814.6132287271703</v>
      </c>
      <c r="AQ4876" s="2">
        <v>8.559877937157E-6</v>
      </c>
      <c r="AR4876" s="2">
        <v>363.01315477645898</v>
      </c>
      <c r="AS4876" s="2">
        <v>1994.64732370868</v>
      </c>
      <c r="AT4876" s="2">
        <v>8.559877937157E-6</v>
      </c>
      <c r="AU4876" s="2">
        <v>2036.9387752764801</v>
      </c>
      <c r="AV4876" s="2">
        <v>8.559877937157E-6</v>
      </c>
      <c r="AW4876" s="2">
        <v>496.83738067279899</v>
      </c>
      <c r="AX4876" s="2">
        <v>593.31391808779995</v>
      </c>
    </row>
    <row r="4877" spans="1:50" x14ac:dyDescent="0.25">
      <c r="A4877" s="2" t="s">
        <v>31974</v>
      </c>
      <c r="B4877" s="2">
        <v>466.19825467084797</v>
      </c>
      <c r="C4877" s="2">
        <v>5.0586333333333302</v>
      </c>
      <c r="D4877" s="2" t="s">
        <v>51</v>
      </c>
      <c r="E4877" s="2" t="s">
        <v>31975</v>
      </c>
      <c r="F4877" s="2">
        <v>63923</v>
      </c>
      <c r="G4877" s="3" t="str">
        <f>HYPERLINK("https://cloud.oebiotech.com/#/lm/network/63923", "https://cloud.oebiotech.com/#/lm/network/63923")</f>
        <v>https://cloud.oebiotech.com/#/lm/network/63923</v>
      </c>
      <c r="H4877" s="2" t="s">
        <v>31976</v>
      </c>
      <c r="I4877" s="2">
        <v>95257</v>
      </c>
      <c r="J4877" s="2"/>
      <c r="K4877" s="2">
        <v>101676196</v>
      </c>
      <c r="L4877" s="2"/>
      <c r="M4877" s="2"/>
      <c r="N4877" s="2"/>
      <c r="O4877" s="2">
        <v>175474</v>
      </c>
      <c r="P4877" s="2"/>
      <c r="Q4877" s="2"/>
      <c r="R4877" s="2" t="s">
        <v>31977</v>
      </c>
      <c r="S4877" s="2" t="s">
        <v>31978</v>
      </c>
      <c r="T4877" s="2" t="s">
        <v>31979</v>
      </c>
      <c r="U4877" s="2" t="s">
        <v>610</v>
      </c>
      <c r="V4877" s="2" t="s">
        <v>611</v>
      </c>
      <c r="W4877" s="2" t="s">
        <v>1122</v>
      </c>
      <c r="X4877" s="2" t="s">
        <v>147</v>
      </c>
      <c r="Y4877" s="2">
        <v>37.700000000000003</v>
      </c>
      <c r="Z4877" s="2">
        <v>0</v>
      </c>
      <c r="AA4877" s="2" t="s">
        <v>395</v>
      </c>
      <c r="AB4877" s="2" t="s">
        <v>31980</v>
      </c>
      <c r="AC4877" s="2">
        <v>-1.81766118269326</v>
      </c>
      <c r="AD4877" s="2"/>
      <c r="AE4877" s="2">
        <v>6.4365514463889495E-2</v>
      </c>
      <c r="AF4877" s="2">
        <v>3289.7468681216901</v>
      </c>
      <c r="AG4877" s="2">
        <v>5043.6919906986304</v>
      </c>
      <c r="AH4877" s="4">
        <v>0.65224975557359699</v>
      </c>
      <c r="AI4877" s="4">
        <v>-0.61650359648522601</v>
      </c>
      <c r="AJ4877" s="4" t="s">
        <v>62</v>
      </c>
      <c r="AK4877" s="2">
        <v>0.52672007749513405</v>
      </c>
      <c r="AL4877" s="2">
        <v>0.75541578468508697</v>
      </c>
      <c r="AM4877" s="2">
        <v>3845.7225573588698</v>
      </c>
      <c r="AN4877" s="2">
        <v>1839.6665777114099</v>
      </c>
      <c r="AO4877" s="2">
        <v>3459.3709848939602</v>
      </c>
      <c r="AP4877" s="2">
        <v>4078.18714466552</v>
      </c>
      <c r="AQ4877" s="2">
        <v>4706.9928345938197</v>
      </c>
      <c r="AR4877" s="2">
        <v>1808.5411095065499</v>
      </c>
      <c r="AS4877" s="2">
        <v>3426.05949414008</v>
      </c>
      <c r="AT4877" s="2">
        <v>17321.409199883401</v>
      </c>
      <c r="AU4877" s="2">
        <v>6733.8956971170701</v>
      </c>
      <c r="AV4877" s="2">
        <v>1064.18036783047</v>
      </c>
      <c r="AW4877" s="2">
        <v>538.95905891280904</v>
      </c>
      <c r="AX4877" s="2">
        <v>1177.6481263079299</v>
      </c>
    </row>
    <row r="4878" spans="1:50" x14ac:dyDescent="0.25">
      <c r="A4878" s="2" t="s">
        <v>31981</v>
      </c>
      <c r="B4878" s="2">
        <v>507.14855252017202</v>
      </c>
      <c r="C4878" s="2">
        <v>5.0034000000000001</v>
      </c>
      <c r="D4878" s="2" t="s">
        <v>51</v>
      </c>
      <c r="E4878" s="2" t="s">
        <v>31982</v>
      </c>
      <c r="F4878" s="2">
        <v>204224</v>
      </c>
      <c r="G4878" s="3" t="str">
        <f>HYPERLINK("https://cloud.oebiotech.com/#/lm/network/204224", "https://cloud.oebiotech.com/#/lm/network/204224")</f>
        <v>https://cloud.oebiotech.com/#/lm/network/204224</v>
      </c>
      <c r="H4878" s="2" t="s">
        <v>31983</v>
      </c>
      <c r="I4878" s="2">
        <v>328740</v>
      </c>
      <c r="J4878" s="2"/>
      <c r="K4878" s="2">
        <v>13739</v>
      </c>
      <c r="L4878" s="2"/>
      <c r="M4878" s="2"/>
      <c r="N4878" s="2"/>
      <c r="O4878" s="2"/>
      <c r="P4878" s="2"/>
      <c r="Q4878" s="2"/>
      <c r="R4878" s="2"/>
      <c r="S4878" s="2" t="s">
        <v>31984</v>
      </c>
      <c r="T4878" s="2" t="s">
        <v>31985</v>
      </c>
      <c r="U4878" s="2" t="s">
        <v>610</v>
      </c>
      <c r="V4878" s="2" t="s">
        <v>611</v>
      </c>
      <c r="W4878" s="2" t="s">
        <v>1122</v>
      </c>
      <c r="X4878" s="2" t="s">
        <v>83</v>
      </c>
      <c r="Y4878" s="2">
        <v>44.3</v>
      </c>
      <c r="Z4878" s="2">
        <v>0</v>
      </c>
      <c r="AA4878" s="2" t="s">
        <v>478</v>
      </c>
      <c r="AB4878" s="2" t="s">
        <v>31986</v>
      </c>
      <c r="AC4878" s="2">
        <v>-4.4226011802682699</v>
      </c>
      <c r="AD4878" s="2"/>
      <c r="AE4878" s="2">
        <v>6.4364241816693202E-2</v>
      </c>
      <c r="AF4878" s="2">
        <v>1384.7206239299601</v>
      </c>
      <c r="AG4878" s="2">
        <v>1737.9994187002601</v>
      </c>
      <c r="AH4878" s="4">
        <v>0.79673250119123196</v>
      </c>
      <c r="AI4878" s="4">
        <v>-0.32783266676043699</v>
      </c>
      <c r="AJ4878" s="4" t="s">
        <v>62</v>
      </c>
      <c r="AK4878" s="2">
        <v>0.56140896319623201</v>
      </c>
      <c r="AL4878" s="2">
        <v>0.78053845689509405</v>
      </c>
      <c r="AM4878" s="2">
        <v>2008.49156622999</v>
      </c>
      <c r="AN4878" s="2">
        <v>1286.4078636772199</v>
      </c>
      <c r="AO4878" s="2">
        <v>596.09428474011497</v>
      </c>
      <c r="AP4878" s="2">
        <v>1531.1336820689</v>
      </c>
      <c r="AQ4878" s="2">
        <v>231.34295268037999</v>
      </c>
      <c r="AR4878" s="2">
        <v>2654.8533941831702</v>
      </c>
      <c r="AS4878" s="2">
        <v>2023.95538800234</v>
      </c>
      <c r="AT4878" s="2">
        <v>2164.7435501677901</v>
      </c>
      <c r="AU4878" s="2">
        <v>783.14692239467001</v>
      </c>
      <c r="AV4878" s="2">
        <v>994.85901728926103</v>
      </c>
      <c r="AW4878" s="2">
        <v>3675.8893408218901</v>
      </c>
      <c r="AX4878" s="2">
        <v>785.402293525593</v>
      </c>
    </row>
    <row r="4879" spans="1:50" x14ac:dyDescent="0.25">
      <c r="A4879" s="2" t="s">
        <v>31987</v>
      </c>
      <c r="B4879" s="2">
        <v>294.051035465312</v>
      </c>
      <c r="C4879" s="2">
        <v>1.0339</v>
      </c>
      <c r="D4879" s="2" t="s">
        <v>51</v>
      </c>
      <c r="E4879" s="2" t="s">
        <v>31988</v>
      </c>
      <c r="F4879" s="2">
        <v>47902</v>
      </c>
      <c r="G4879" s="3" t="str">
        <f>HYPERLINK("https://cloud.oebiotech.com/#/lm/network/47902", "https://cloud.oebiotech.com/#/lm/network/47902")</f>
        <v>https://cloud.oebiotech.com/#/lm/network/47902</v>
      </c>
      <c r="H4879" s="2" t="s">
        <v>31989</v>
      </c>
      <c r="I4879" s="2">
        <v>3442</v>
      </c>
      <c r="J4879" s="2"/>
      <c r="K4879" s="2">
        <v>440417</v>
      </c>
      <c r="L4879" s="2" t="s">
        <v>31990</v>
      </c>
      <c r="M4879" s="2" t="s">
        <v>2788</v>
      </c>
      <c r="N4879" s="2" t="s">
        <v>2789</v>
      </c>
      <c r="O4879" s="2">
        <v>18413</v>
      </c>
      <c r="P4879" s="2"/>
      <c r="Q4879" s="2"/>
      <c r="R4879" s="2" t="s">
        <v>31991</v>
      </c>
      <c r="S4879" s="2" t="s">
        <v>31992</v>
      </c>
      <c r="T4879" s="2" t="s">
        <v>31993</v>
      </c>
      <c r="U4879" s="2" t="s">
        <v>331</v>
      </c>
      <c r="V4879" s="2" t="s">
        <v>332</v>
      </c>
      <c r="W4879" s="2" t="s">
        <v>333</v>
      </c>
      <c r="X4879" s="2" t="s">
        <v>147</v>
      </c>
      <c r="Y4879" s="2">
        <v>40.700000000000003</v>
      </c>
      <c r="Z4879" s="2">
        <v>16.600000000000001</v>
      </c>
      <c r="AA4879" s="2" t="s">
        <v>379</v>
      </c>
      <c r="AB4879" s="2" t="s">
        <v>31994</v>
      </c>
      <c r="AC4879" s="2">
        <v>4.3935295342931102</v>
      </c>
      <c r="AD4879" s="2"/>
      <c r="AE4879" s="2">
        <v>6.4360786778969004E-2</v>
      </c>
      <c r="AF4879" s="2">
        <v>10616.687690537499</v>
      </c>
      <c r="AG4879" s="2">
        <v>11517.458901005501</v>
      </c>
      <c r="AH4879" s="4">
        <v>0.92179080314414297</v>
      </c>
      <c r="AI4879" s="4">
        <v>-0.11748872114264</v>
      </c>
      <c r="AJ4879" s="4" t="s">
        <v>62</v>
      </c>
      <c r="AK4879" s="2">
        <v>0.57187179682257105</v>
      </c>
      <c r="AL4879" s="2">
        <v>0.78374950547913302</v>
      </c>
      <c r="AM4879" s="2">
        <v>15303.268772446099</v>
      </c>
      <c r="AN4879" s="2">
        <v>5453.0927312290996</v>
      </c>
      <c r="AO4879" s="2">
        <v>12667.9356728279</v>
      </c>
      <c r="AP4879" s="2">
        <v>12164.699241943499</v>
      </c>
      <c r="AQ4879" s="2">
        <v>9003.4928822131405</v>
      </c>
      <c r="AR4879" s="2">
        <v>9107.6368425655292</v>
      </c>
      <c r="AS4879" s="2">
        <v>12957.6146255245</v>
      </c>
      <c r="AT4879" s="2">
        <v>12180.356351050101</v>
      </c>
      <c r="AU4879" s="2">
        <v>12136.020313642801</v>
      </c>
      <c r="AV4879" s="2">
        <v>12489.030165091401</v>
      </c>
      <c r="AW4879" s="2">
        <v>10167.5610030891</v>
      </c>
      <c r="AX4879" s="2">
        <v>9174.1709476352498</v>
      </c>
    </row>
    <row r="4880" spans="1:50" x14ac:dyDescent="0.25">
      <c r="A4880" s="2" t="s">
        <v>31995</v>
      </c>
      <c r="B4880" s="2">
        <v>248.12549999999999</v>
      </c>
      <c r="C4880" s="2">
        <v>12.866</v>
      </c>
      <c r="D4880" s="2" t="s">
        <v>125</v>
      </c>
      <c r="E4880" s="2" t="s">
        <v>31996</v>
      </c>
      <c r="F4880" s="2">
        <v>46848</v>
      </c>
      <c r="G4880" s="3" t="str">
        <f>HYPERLINK("https://cloud.oebiotech.com/#/lm/network/46848", "https://cloud.oebiotech.com/#/lm/network/46848")</f>
        <v>https://cloud.oebiotech.com/#/lm/network/46848</v>
      </c>
      <c r="H4880" s="2" t="s">
        <v>31997</v>
      </c>
      <c r="I4880" s="2">
        <v>36</v>
      </c>
      <c r="J4880" s="2"/>
      <c r="K4880" s="2">
        <v>239</v>
      </c>
      <c r="L4880" s="2" t="s">
        <v>31998</v>
      </c>
      <c r="M4880" s="2" t="s">
        <v>31999</v>
      </c>
      <c r="N4880" s="2" t="s">
        <v>32000</v>
      </c>
      <c r="O4880" s="2">
        <v>16958</v>
      </c>
      <c r="P4880" s="2" t="s">
        <v>32001</v>
      </c>
      <c r="Q4880" s="2" t="s">
        <v>32002</v>
      </c>
      <c r="R4880" s="2" t="s">
        <v>32003</v>
      </c>
      <c r="S4880" s="2" t="s">
        <v>32004</v>
      </c>
      <c r="T4880" s="2" t="s">
        <v>32005</v>
      </c>
      <c r="U4880" s="2" t="s">
        <v>103</v>
      </c>
      <c r="V4880" s="2" t="s">
        <v>104</v>
      </c>
      <c r="W4880" s="2" t="s">
        <v>105</v>
      </c>
      <c r="X4880" s="2" t="s">
        <v>69</v>
      </c>
      <c r="Y4880" s="2">
        <v>88.5</v>
      </c>
      <c r="Z4880" s="2">
        <v>83</v>
      </c>
      <c r="AA4880" s="2"/>
      <c r="AB4880" s="2" t="s">
        <v>3480</v>
      </c>
      <c r="AC4880" s="2"/>
      <c r="AD4880" s="2">
        <v>434198.89425792301</v>
      </c>
      <c r="AE4880" s="2">
        <v>6.4329896481708795E-2</v>
      </c>
      <c r="AF4880" s="2">
        <v>16418.525092440399</v>
      </c>
      <c r="AG4880" s="2">
        <v>18876.796126021502</v>
      </c>
      <c r="AH4880" s="4">
        <v>0.86977286732506598</v>
      </c>
      <c r="AI4880" s="4">
        <v>-0.20128939043824401</v>
      </c>
      <c r="AJ4880" s="4" t="s">
        <v>62</v>
      </c>
      <c r="AK4880" s="2">
        <v>0.46721431954064602</v>
      </c>
      <c r="AL4880" s="2">
        <v>0.71407035004167796</v>
      </c>
      <c r="AM4880" s="2">
        <v>20847.9339355417</v>
      </c>
      <c r="AN4880" s="2">
        <v>14405.1510278809</v>
      </c>
      <c r="AO4880" s="2">
        <v>19336.502916769899</v>
      </c>
      <c r="AP4880" s="2">
        <v>20342.757158604702</v>
      </c>
      <c r="AQ4880" s="2">
        <v>8424.3127448798496</v>
      </c>
      <c r="AR4880" s="2">
        <v>15154.4927709653</v>
      </c>
      <c r="AS4880" s="2">
        <v>13499.8485313564</v>
      </c>
      <c r="AT4880" s="2">
        <v>17980.866620269098</v>
      </c>
      <c r="AU4880" s="2">
        <v>26050.107690661702</v>
      </c>
      <c r="AV4880" s="2">
        <v>19787.755982614301</v>
      </c>
      <c r="AW4880" s="2">
        <v>25738.317189650399</v>
      </c>
      <c r="AX4880" s="2">
        <v>10203.880741576901</v>
      </c>
    </row>
    <row r="4881" spans="1:50" x14ac:dyDescent="0.25">
      <c r="A4881" s="2" t="s">
        <v>32006</v>
      </c>
      <c r="B4881" s="2">
        <v>432.136890918181</v>
      </c>
      <c r="C4881" s="2">
        <v>3.7296666666666698</v>
      </c>
      <c r="D4881" s="2" t="s">
        <v>51</v>
      </c>
      <c r="E4881" s="2" t="s">
        <v>32007</v>
      </c>
      <c r="F4881" s="2">
        <v>212228</v>
      </c>
      <c r="G4881" s="3" t="str">
        <f>HYPERLINK("https://cloud.oebiotech.com/#/lm/network/212228", "https://cloud.oebiotech.com/#/lm/network/212228")</f>
        <v>https://cloud.oebiotech.com/#/lm/network/212228</v>
      </c>
      <c r="H4881" s="2" t="s">
        <v>32008</v>
      </c>
      <c r="I4881" s="2"/>
      <c r="J4881" s="2"/>
      <c r="K4881" s="2">
        <v>23582788</v>
      </c>
      <c r="L4881" s="2"/>
      <c r="M4881" s="2"/>
      <c r="N4881" s="2"/>
      <c r="O4881" s="2"/>
      <c r="P4881" s="2"/>
      <c r="Q4881" s="2"/>
      <c r="R4881" s="2"/>
      <c r="S4881" s="2" t="s">
        <v>32009</v>
      </c>
      <c r="T4881" s="2" t="s">
        <v>32010</v>
      </c>
      <c r="U4881" s="2" t="s">
        <v>266</v>
      </c>
      <c r="V4881" s="2" t="s">
        <v>1785</v>
      </c>
      <c r="W4881" s="2" t="s">
        <v>1786</v>
      </c>
      <c r="X4881" s="2" t="s">
        <v>147</v>
      </c>
      <c r="Y4881" s="2">
        <v>38.4</v>
      </c>
      <c r="Z4881" s="2">
        <v>15.1</v>
      </c>
      <c r="AA4881" s="2" t="s">
        <v>218</v>
      </c>
      <c r="AB4881" s="2" t="s">
        <v>32011</v>
      </c>
      <c r="AC4881" s="2">
        <v>-1.96279204493644</v>
      </c>
      <c r="AD4881" s="2"/>
      <c r="AE4881" s="2">
        <v>6.4279740340018807E-2</v>
      </c>
      <c r="AF4881" s="2">
        <v>647.06997907668301</v>
      </c>
      <c r="AG4881" s="2">
        <v>1331.8673224896299</v>
      </c>
      <c r="AH4881" s="4">
        <v>0.48583666567261902</v>
      </c>
      <c r="AI4881" s="4">
        <v>-1.0414567218589399</v>
      </c>
      <c r="AJ4881" s="4" t="s">
        <v>62</v>
      </c>
      <c r="AK4881" s="2">
        <v>0.46321894619655601</v>
      </c>
      <c r="AL4881" s="2">
        <v>0.712359837368158</v>
      </c>
      <c r="AM4881" s="2">
        <v>1594.47813666414</v>
      </c>
      <c r="AN4881" s="2">
        <v>8.559877937157E-6</v>
      </c>
      <c r="AO4881" s="2">
        <v>519.57513558533606</v>
      </c>
      <c r="AP4881" s="2">
        <v>1066.2503435563101</v>
      </c>
      <c r="AQ4881" s="2">
        <v>8.559877937157E-6</v>
      </c>
      <c r="AR4881" s="2">
        <v>702.11624153455796</v>
      </c>
      <c r="AS4881" s="2">
        <v>8.559877937157E-6</v>
      </c>
      <c r="AT4881" s="2">
        <v>340.78880538793902</v>
      </c>
      <c r="AU4881" s="2">
        <v>5500.59359508335</v>
      </c>
      <c r="AV4881" s="2">
        <v>1519.86785248976</v>
      </c>
      <c r="AW4881" s="2">
        <v>234.890710248533</v>
      </c>
      <c r="AX4881" s="2">
        <v>395.06296316835</v>
      </c>
    </row>
    <row r="4882" spans="1:50" x14ac:dyDescent="0.25">
      <c r="A4882" s="2" t="s">
        <v>32012</v>
      </c>
      <c r="B4882" s="2">
        <v>278.15312921072001</v>
      </c>
      <c r="C4882" s="2">
        <v>3.7524500000000001</v>
      </c>
      <c r="D4882" s="2" t="s">
        <v>51</v>
      </c>
      <c r="E4882" s="2" t="s">
        <v>32013</v>
      </c>
      <c r="F4882" s="2">
        <v>53999</v>
      </c>
      <c r="G4882" s="3" t="str">
        <f>HYPERLINK("https://cloud.oebiotech.com/#/lm/network/53999", "https://cloud.oebiotech.com/#/lm/network/53999")</f>
        <v>https://cloud.oebiotech.com/#/lm/network/53999</v>
      </c>
      <c r="H4882" s="2" t="s">
        <v>32014</v>
      </c>
      <c r="I4882" s="2"/>
      <c r="J4882" s="2"/>
      <c r="K4882" s="2">
        <v>18218229</v>
      </c>
      <c r="L4882" s="2"/>
      <c r="M4882" s="2"/>
      <c r="N4882" s="2"/>
      <c r="O4882" s="2"/>
      <c r="P4882" s="2"/>
      <c r="Q4882" s="2"/>
      <c r="R4882" s="2"/>
      <c r="S4882" s="2" t="s">
        <v>32015</v>
      </c>
      <c r="T4882" s="2" t="s">
        <v>32016</v>
      </c>
      <c r="U4882" s="2" t="s">
        <v>103</v>
      </c>
      <c r="V4882" s="2" t="s">
        <v>104</v>
      </c>
      <c r="W4882" s="2" t="s">
        <v>105</v>
      </c>
      <c r="X4882" s="2" t="s">
        <v>147</v>
      </c>
      <c r="Y4882" s="2">
        <v>36.4</v>
      </c>
      <c r="Z4882" s="2">
        <v>0</v>
      </c>
      <c r="AA4882" s="2" t="s">
        <v>60</v>
      </c>
      <c r="AB4882" s="2" t="s">
        <v>32017</v>
      </c>
      <c r="AC4882" s="2">
        <v>-0.57670672819740998</v>
      </c>
      <c r="AD4882" s="2"/>
      <c r="AE4882" s="2">
        <v>6.4245630948307195E-2</v>
      </c>
      <c r="AF4882" s="2">
        <v>6073.44162946283</v>
      </c>
      <c r="AG4882" s="2">
        <v>5248.1835641886601</v>
      </c>
      <c r="AH4882" s="5">
        <v>1.1572464177711701</v>
      </c>
      <c r="AI4882" s="5">
        <v>0.21069609680844001</v>
      </c>
      <c r="AJ4882" s="5" t="s">
        <v>139</v>
      </c>
      <c r="AK4882" s="2">
        <v>0.78010820569944594</v>
      </c>
      <c r="AL4882" s="2">
        <v>0.90329776206650503</v>
      </c>
      <c r="AM4882" s="2">
        <v>10273.493187944499</v>
      </c>
      <c r="AN4882" s="2">
        <v>3528.0992718063198</v>
      </c>
      <c r="AO4882" s="2">
        <v>7228.0411599598901</v>
      </c>
      <c r="AP4882" s="2">
        <v>1797.1840076721301</v>
      </c>
      <c r="AQ4882" s="2">
        <v>2642.8497897091602</v>
      </c>
      <c r="AR4882" s="2">
        <v>10970.982359685</v>
      </c>
      <c r="AS4882" s="2">
        <v>8.559877937157E-6</v>
      </c>
      <c r="AT4882" s="2">
        <v>715.70993735008301</v>
      </c>
      <c r="AU4882" s="2">
        <v>4149.7216277571797</v>
      </c>
      <c r="AV4882" s="2">
        <v>15445.5513135701</v>
      </c>
      <c r="AW4882" s="2">
        <v>8360.5055438722502</v>
      </c>
      <c r="AX4882" s="2">
        <v>2817.6129540224601</v>
      </c>
    </row>
    <row r="4883" spans="1:50" x14ac:dyDescent="0.25">
      <c r="A4883" s="2" t="s">
        <v>32018</v>
      </c>
      <c r="B4883" s="2">
        <v>483.31142756555897</v>
      </c>
      <c r="C4883" s="2">
        <v>11.505183333333299</v>
      </c>
      <c r="D4883" s="2" t="s">
        <v>51</v>
      </c>
      <c r="E4883" s="2" t="s">
        <v>32019</v>
      </c>
      <c r="F4883" s="2">
        <v>61139</v>
      </c>
      <c r="G4883" s="3" t="str">
        <f>HYPERLINK("https://cloud.oebiotech.com/#/lm/network/61139", "https://cloud.oebiotech.com/#/lm/network/61139")</f>
        <v>https://cloud.oebiotech.com/#/lm/network/61139</v>
      </c>
      <c r="H4883" s="2" t="s">
        <v>32020</v>
      </c>
      <c r="I4883" s="2"/>
      <c r="J4883" s="2"/>
      <c r="K4883" s="2">
        <v>131752214</v>
      </c>
      <c r="L4883" s="2"/>
      <c r="M4883" s="2"/>
      <c r="N4883" s="2"/>
      <c r="O4883" s="2"/>
      <c r="P4883" s="2"/>
      <c r="Q4883" s="2"/>
      <c r="R4883" s="2" t="s">
        <v>32021</v>
      </c>
      <c r="S4883" s="2" t="s">
        <v>32022</v>
      </c>
      <c r="T4883" s="2" t="s">
        <v>32023</v>
      </c>
      <c r="U4883" s="2" t="s">
        <v>56</v>
      </c>
      <c r="V4883" s="2" t="s">
        <v>177</v>
      </c>
      <c r="W4883" s="2" t="s">
        <v>3270</v>
      </c>
      <c r="X4883" s="2" t="s">
        <v>59</v>
      </c>
      <c r="Y4883" s="2">
        <v>54.7</v>
      </c>
      <c r="Z4883" s="2">
        <v>81.400000000000006</v>
      </c>
      <c r="AA4883" s="2" t="s">
        <v>163</v>
      </c>
      <c r="AB4883" s="2" t="s">
        <v>32024</v>
      </c>
      <c r="AC4883" s="2">
        <v>-0.35206416773261801</v>
      </c>
      <c r="AD4883" s="2"/>
      <c r="AE4883" s="2">
        <v>6.4213011044305296E-2</v>
      </c>
      <c r="AF4883" s="2">
        <v>697.93108448239695</v>
      </c>
      <c r="AG4883" s="2">
        <v>940.411506545159</v>
      </c>
      <c r="AH4883" s="4">
        <v>0.74215498175519401</v>
      </c>
      <c r="AI4883" s="4">
        <v>-0.43020760337538499</v>
      </c>
      <c r="AJ4883" s="4" t="s">
        <v>62</v>
      </c>
      <c r="AK4883" s="2">
        <v>0.49371067930766999</v>
      </c>
      <c r="AL4883" s="2">
        <v>0.73513085382097298</v>
      </c>
      <c r="AM4883" s="2">
        <v>389.41273022570601</v>
      </c>
      <c r="AN4883" s="2">
        <v>744.50239780347295</v>
      </c>
      <c r="AO4883" s="2">
        <v>502.57801634656403</v>
      </c>
      <c r="AP4883" s="2">
        <v>832.37396945143405</v>
      </c>
      <c r="AQ4883" s="2">
        <v>976.89449704207402</v>
      </c>
      <c r="AR4883" s="2">
        <v>741.82489602513294</v>
      </c>
      <c r="AS4883" s="2">
        <v>8.559877937157E-6</v>
      </c>
      <c r="AT4883" s="2">
        <v>625.94114496356895</v>
      </c>
      <c r="AU4883" s="2">
        <v>1174.1182680664999</v>
      </c>
      <c r="AV4883" s="2">
        <v>517.93069068129296</v>
      </c>
      <c r="AW4883" s="2">
        <v>2370.6634853934302</v>
      </c>
      <c r="AX4883" s="2">
        <v>953.81544160628596</v>
      </c>
    </row>
    <row r="4884" spans="1:50" x14ac:dyDescent="0.25">
      <c r="A4884" s="2" t="s">
        <v>32025</v>
      </c>
      <c r="B4884" s="2">
        <v>185.08117715237901</v>
      </c>
      <c r="C4884" s="2">
        <v>5.1999000000000004</v>
      </c>
      <c r="D4884" s="2" t="s">
        <v>51</v>
      </c>
      <c r="E4884" s="2" t="s">
        <v>32026</v>
      </c>
      <c r="F4884" s="2">
        <v>201926</v>
      </c>
      <c r="G4884" s="3" t="str">
        <f>HYPERLINK("https://cloud.oebiotech.com/#/lm/network/201926", "https://cloud.oebiotech.com/#/lm/network/201926")</f>
        <v>https://cloud.oebiotech.com/#/lm/network/201926</v>
      </c>
      <c r="H4884" s="2" t="s">
        <v>32027</v>
      </c>
      <c r="I4884" s="2">
        <v>73022</v>
      </c>
      <c r="J4884" s="2"/>
      <c r="K4884" s="2">
        <v>7833</v>
      </c>
      <c r="L4884" s="2" t="s">
        <v>32028</v>
      </c>
      <c r="M4884" s="2"/>
      <c r="N4884" s="2"/>
      <c r="O4884" s="2">
        <v>59001</v>
      </c>
      <c r="P4884" s="2"/>
      <c r="Q4884" s="2"/>
      <c r="R4884" s="2" t="s">
        <v>32029</v>
      </c>
      <c r="S4884" s="2" t="s">
        <v>32030</v>
      </c>
      <c r="T4884" s="2" t="s">
        <v>32031</v>
      </c>
      <c r="U4884" s="2" t="s">
        <v>266</v>
      </c>
      <c r="V4884" s="2" t="s">
        <v>4491</v>
      </c>
      <c r="W4884" s="2" t="s">
        <v>240</v>
      </c>
      <c r="X4884" s="2" t="s">
        <v>83</v>
      </c>
      <c r="Y4884" s="2">
        <v>41.6</v>
      </c>
      <c r="Z4884" s="2">
        <v>0</v>
      </c>
      <c r="AA4884" s="2" t="s">
        <v>218</v>
      </c>
      <c r="AB4884" s="2" t="s">
        <v>2068</v>
      </c>
      <c r="AC4884" s="2">
        <v>-5.3920721805478404</v>
      </c>
      <c r="AD4884" s="2"/>
      <c r="AE4884" s="2">
        <v>6.4204798810512304E-2</v>
      </c>
      <c r="AF4884" s="2">
        <v>2444.7288322118102</v>
      </c>
      <c r="AG4884" s="2">
        <v>2207.8023361802202</v>
      </c>
      <c r="AH4884" s="5">
        <v>1.1073132735430899</v>
      </c>
      <c r="AI4884" s="5">
        <v>0.14706343733948801</v>
      </c>
      <c r="AJ4884" s="5" t="s">
        <v>139</v>
      </c>
      <c r="AK4884" s="2">
        <v>0.54051292425535802</v>
      </c>
      <c r="AL4884" s="2">
        <v>0.76532917512617804</v>
      </c>
      <c r="AM4884" s="2">
        <v>2716.3730607084199</v>
      </c>
      <c r="AN4884" s="2">
        <v>2525.4555152768899</v>
      </c>
      <c r="AO4884" s="2">
        <v>2842.0724243322302</v>
      </c>
      <c r="AP4884" s="2">
        <v>2818.2238114083102</v>
      </c>
      <c r="AQ4884" s="2">
        <v>1865.9893487918901</v>
      </c>
      <c r="AR4884" s="2">
        <v>1900.2588327531</v>
      </c>
      <c r="AS4884" s="2">
        <v>2986.4473743347999</v>
      </c>
      <c r="AT4884" s="2">
        <v>3017.4044497168902</v>
      </c>
      <c r="AU4884" s="2">
        <v>1670.02448509847</v>
      </c>
      <c r="AV4884" s="2">
        <v>1928.4081053121599</v>
      </c>
      <c r="AW4884" s="2">
        <v>1029.02210485871</v>
      </c>
      <c r="AX4884" s="2">
        <v>2615.5074977602699</v>
      </c>
    </row>
    <row r="4885" spans="1:50" x14ac:dyDescent="0.25">
      <c r="A4885" s="2" t="s">
        <v>32032</v>
      </c>
      <c r="B4885" s="2">
        <v>407.112548390732</v>
      </c>
      <c r="C4885" s="2">
        <v>9.0521333333333303</v>
      </c>
      <c r="D4885" s="2" t="s">
        <v>51</v>
      </c>
      <c r="E4885" s="2" t="s">
        <v>32033</v>
      </c>
      <c r="F4885" s="2">
        <v>200090</v>
      </c>
      <c r="G4885" s="3" t="str">
        <f>HYPERLINK("https://cloud.oebiotech.com/#/lm/network/200090", "https://cloud.oebiotech.com/#/lm/network/200090")</f>
        <v>https://cloud.oebiotech.com/#/lm/network/200090</v>
      </c>
      <c r="H4885" s="2" t="s">
        <v>32034</v>
      </c>
      <c r="I4885" s="2"/>
      <c r="J4885" s="2"/>
      <c r="K4885" s="2">
        <v>312833</v>
      </c>
      <c r="L4885" s="2"/>
      <c r="M4885" s="2"/>
      <c r="N4885" s="2"/>
      <c r="O4885" s="2"/>
      <c r="P4885" s="2"/>
      <c r="Q4885" s="2"/>
      <c r="R4885" s="2"/>
      <c r="S4885" s="2" t="s">
        <v>32035</v>
      </c>
      <c r="T4885" s="2" t="s">
        <v>32036</v>
      </c>
      <c r="U4885" s="2" t="s">
        <v>103</v>
      </c>
      <c r="V4885" s="2" t="s">
        <v>104</v>
      </c>
      <c r="W4885" s="2" t="s">
        <v>4850</v>
      </c>
      <c r="X4885" s="2" t="s">
        <v>147</v>
      </c>
      <c r="Y4885" s="2">
        <v>37.299999999999997</v>
      </c>
      <c r="Z4885" s="2">
        <v>0</v>
      </c>
      <c r="AA4885" s="2" t="s">
        <v>512</v>
      </c>
      <c r="AB4885" s="2" t="s">
        <v>32037</v>
      </c>
      <c r="AC4885" s="2">
        <v>1.7237429816074199</v>
      </c>
      <c r="AD4885" s="2"/>
      <c r="AE4885" s="2">
        <v>6.4069234528319793E-2</v>
      </c>
      <c r="AF4885" s="2">
        <v>1978.1967992120599</v>
      </c>
      <c r="AG4885" s="2">
        <v>1641.59854312986</v>
      </c>
      <c r="AH4885" s="5">
        <v>1.20504297929044</v>
      </c>
      <c r="AI4885" s="5">
        <v>0.269084602806616</v>
      </c>
      <c r="AJ4885" s="5" t="s">
        <v>139</v>
      </c>
      <c r="AK4885" s="2">
        <v>0.52446477447070206</v>
      </c>
      <c r="AL4885" s="2">
        <v>0.75323485167623805</v>
      </c>
      <c r="AM4885" s="2">
        <v>1941.5508527441</v>
      </c>
      <c r="AN4885" s="2">
        <v>2904.4176854924899</v>
      </c>
      <c r="AO4885" s="2">
        <v>1211.1857132345001</v>
      </c>
      <c r="AP4885" s="2">
        <v>1538.3643488965599</v>
      </c>
      <c r="AQ4885" s="2">
        <v>789.85264082932304</v>
      </c>
      <c r="AR4885" s="2">
        <v>3483.8095540753702</v>
      </c>
      <c r="AS4885" s="2">
        <v>1388.40060645891</v>
      </c>
      <c r="AT4885" s="2">
        <v>1830.9605488638999</v>
      </c>
      <c r="AU4885" s="2">
        <v>1485.4706186620699</v>
      </c>
      <c r="AV4885" s="2">
        <v>1569.91011275252</v>
      </c>
      <c r="AW4885" s="2">
        <v>2865.0315665619</v>
      </c>
      <c r="AX4885" s="2">
        <v>709.81780547985295</v>
      </c>
    </row>
    <row r="4886" spans="1:50" x14ac:dyDescent="0.25">
      <c r="A4886" s="2" t="s">
        <v>32038</v>
      </c>
      <c r="B4886" s="2">
        <v>430.12110116267098</v>
      </c>
      <c r="C4886" s="2">
        <v>4.5012333333333299</v>
      </c>
      <c r="D4886" s="2" t="s">
        <v>51</v>
      </c>
      <c r="E4886" s="2" t="s">
        <v>32039</v>
      </c>
      <c r="F4886" s="2">
        <v>62800</v>
      </c>
      <c r="G4886" s="3" t="str">
        <f>HYPERLINK("https://cloud.oebiotech.com/#/lm/network/62800", "https://cloud.oebiotech.com/#/lm/network/62800")</f>
        <v>https://cloud.oebiotech.com/#/lm/network/62800</v>
      </c>
      <c r="H4886" s="2" t="s">
        <v>32040</v>
      </c>
      <c r="I4886" s="2">
        <v>43557</v>
      </c>
      <c r="J4886" s="2"/>
      <c r="K4886" s="2">
        <v>25273230</v>
      </c>
      <c r="L4886" s="2"/>
      <c r="M4886" s="2"/>
      <c r="N4886" s="2"/>
      <c r="O4886" s="2"/>
      <c r="P4886" s="2"/>
      <c r="Q4886" s="2"/>
      <c r="R4886" s="2" t="s">
        <v>32041</v>
      </c>
      <c r="S4886" s="2" t="s">
        <v>32042</v>
      </c>
      <c r="T4886" s="2" t="s">
        <v>32043</v>
      </c>
      <c r="U4886" s="2" t="s">
        <v>266</v>
      </c>
      <c r="V4886" s="2" t="s">
        <v>1393</v>
      </c>
      <c r="W4886" s="2" t="s">
        <v>16186</v>
      </c>
      <c r="X4886" s="2" t="s">
        <v>147</v>
      </c>
      <c r="Y4886" s="2">
        <v>37.1</v>
      </c>
      <c r="Z4886" s="2">
        <v>0</v>
      </c>
      <c r="AA4886" s="2" t="s">
        <v>218</v>
      </c>
      <c r="AB4886" s="2" t="s">
        <v>32044</v>
      </c>
      <c r="AC4886" s="2">
        <v>-2.3357829465669502</v>
      </c>
      <c r="AD4886" s="2"/>
      <c r="AE4886" s="2">
        <v>6.3844009582524494E-2</v>
      </c>
      <c r="AF4886" s="2">
        <v>2381.2083969360301</v>
      </c>
      <c r="AG4886" s="2">
        <v>1933.54311231321</v>
      </c>
      <c r="AH4886" s="5">
        <v>1.23152588725434</v>
      </c>
      <c r="AI4886" s="5">
        <v>0.30044695428504198</v>
      </c>
      <c r="AJ4886" s="5" t="s">
        <v>139</v>
      </c>
      <c r="AK4886" s="2">
        <v>0.57847686161942302</v>
      </c>
      <c r="AL4886" s="2">
        <v>0.78716872047547903</v>
      </c>
      <c r="AM4886" s="2">
        <v>1265.49903762535</v>
      </c>
      <c r="AN4886" s="2">
        <v>2857.8993857036198</v>
      </c>
      <c r="AO4886" s="2">
        <v>2038.54554341943</v>
      </c>
      <c r="AP4886" s="2">
        <v>2189.91736403505</v>
      </c>
      <c r="AQ4886" s="2">
        <v>1341.6273439520701</v>
      </c>
      <c r="AR4886" s="2">
        <v>4593.7617068806603</v>
      </c>
      <c r="AS4886" s="2">
        <v>934.67522266417404</v>
      </c>
      <c r="AT4886" s="2">
        <v>1047.96115419787</v>
      </c>
      <c r="AU4886" s="2">
        <v>4033.08029139153</v>
      </c>
      <c r="AV4886" s="2">
        <v>712.701804712534</v>
      </c>
      <c r="AW4886" s="2">
        <v>1331.36367022792</v>
      </c>
      <c r="AX4886" s="2">
        <v>3541.47653068521</v>
      </c>
    </row>
    <row r="4887" spans="1:50" x14ac:dyDescent="0.25">
      <c r="A4887" s="2" t="s">
        <v>32045</v>
      </c>
      <c r="B4887" s="2">
        <v>179.07045674693799</v>
      </c>
      <c r="C4887" s="2">
        <v>8.62388333333333</v>
      </c>
      <c r="D4887" s="2" t="s">
        <v>51</v>
      </c>
      <c r="E4887" s="2" t="s">
        <v>32046</v>
      </c>
      <c r="F4887" s="2">
        <v>54549</v>
      </c>
      <c r="G4887" s="3" t="str">
        <f>HYPERLINK("https://cloud.oebiotech.com/#/lm/network/54549", "https://cloud.oebiotech.com/#/lm/network/54549")</f>
        <v>https://cloud.oebiotech.com/#/lm/network/54549</v>
      </c>
      <c r="H4887" s="2" t="s">
        <v>32047</v>
      </c>
      <c r="I4887" s="2">
        <v>86393</v>
      </c>
      <c r="J4887" s="2"/>
      <c r="K4887" s="2">
        <v>61006</v>
      </c>
      <c r="L4887" s="2"/>
      <c r="M4887" s="2"/>
      <c r="N4887" s="2"/>
      <c r="O4887" s="2"/>
      <c r="P4887" s="2"/>
      <c r="Q4887" s="2"/>
      <c r="R4887" s="2" t="s">
        <v>32048</v>
      </c>
      <c r="S4887" s="2" t="s">
        <v>32049</v>
      </c>
      <c r="T4887" s="2" t="s">
        <v>32050</v>
      </c>
      <c r="U4887" s="2" t="s">
        <v>610</v>
      </c>
      <c r="V4887" s="2" t="s">
        <v>611</v>
      </c>
      <c r="W4887" s="2" t="s">
        <v>32051</v>
      </c>
      <c r="X4887" s="2" t="s">
        <v>83</v>
      </c>
      <c r="Y4887" s="2">
        <v>42.3</v>
      </c>
      <c r="Z4887" s="2">
        <v>0</v>
      </c>
      <c r="AA4887" s="2" t="s">
        <v>218</v>
      </c>
      <c r="AB4887" s="2" t="s">
        <v>27813</v>
      </c>
      <c r="AC4887" s="2">
        <v>-6.7952697495925296</v>
      </c>
      <c r="AD4887" s="2"/>
      <c r="AE4887" s="2">
        <v>6.3778844546222194E-2</v>
      </c>
      <c r="AF4887" s="2">
        <v>473.996164445896</v>
      </c>
      <c r="AG4887" s="2">
        <v>256.72812074745099</v>
      </c>
      <c r="AH4887" s="5">
        <v>1.84629624158771</v>
      </c>
      <c r="AI4887" s="5">
        <v>0.88463405459810396</v>
      </c>
      <c r="AJ4887" s="5" t="s">
        <v>139</v>
      </c>
      <c r="AK4887" s="2">
        <v>0.49838851860924799</v>
      </c>
      <c r="AL4887" s="2">
        <v>0.73671083391796099</v>
      </c>
      <c r="AM4887" s="2">
        <v>187.48679082420301</v>
      </c>
      <c r="AN4887" s="2">
        <v>1998.1055391638499</v>
      </c>
      <c r="AO4887" s="2">
        <v>229.32012594439499</v>
      </c>
      <c r="AP4887" s="2">
        <v>187.93765742695001</v>
      </c>
      <c r="AQ4887" s="2">
        <v>96.317156792028001</v>
      </c>
      <c r="AR4887" s="2">
        <v>144.80971652395101</v>
      </c>
      <c r="AS4887" s="2">
        <v>269.44910112049803</v>
      </c>
      <c r="AT4887" s="2">
        <v>212.511297869515</v>
      </c>
      <c r="AU4887" s="2">
        <v>418.157784045695</v>
      </c>
      <c r="AV4887" s="2">
        <v>244.73328235277799</v>
      </c>
      <c r="AW4887" s="2">
        <v>62.569952430750199</v>
      </c>
      <c r="AX4887" s="2">
        <v>332.94730666547201</v>
      </c>
    </row>
    <row r="4888" spans="1:50" x14ac:dyDescent="0.25">
      <c r="A4888" s="2" t="s">
        <v>32052</v>
      </c>
      <c r="B4888" s="2">
        <v>249.049684934932</v>
      </c>
      <c r="C4888" s="2">
        <v>1.20183333333333</v>
      </c>
      <c r="D4888" s="2" t="s">
        <v>51</v>
      </c>
      <c r="E4888" s="2" t="s">
        <v>32053</v>
      </c>
      <c r="F4888" s="2">
        <v>202167</v>
      </c>
      <c r="G4888" s="3" t="str">
        <f>HYPERLINK("https://cloud.oebiotech.com/#/lm/network/202167", "https://cloud.oebiotech.com/#/lm/network/202167")</f>
        <v>https://cloud.oebiotech.com/#/lm/network/202167</v>
      </c>
      <c r="H4888" s="2" t="s">
        <v>32054</v>
      </c>
      <c r="I4888" s="2"/>
      <c r="J4888" s="2"/>
      <c r="K4888" s="2">
        <v>30476</v>
      </c>
      <c r="L4888" s="2"/>
      <c r="M4888" s="2"/>
      <c r="N4888" s="2"/>
      <c r="O4888" s="2"/>
      <c r="P4888" s="2"/>
      <c r="Q4888" s="2"/>
      <c r="R4888" s="2"/>
      <c r="S4888" s="2" t="s">
        <v>32055</v>
      </c>
      <c r="T4888" s="2" t="s">
        <v>32056</v>
      </c>
      <c r="U4888" s="2" t="s">
        <v>610</v>
      </c>
      <c r="V4888" s="2" t="s">
        <v>611</v>
      </c>
      <c r="W4888" s="2" t="s">
        <v>2327</v>
      </c>
      <c r="X4888" s="2" t="s">
        <v>147</v>
      </c>
      <c r="Y4888" s="2">
        <v>36.1</v>
      </c>
      <c r="Z4888" s="2">
        <v>0</v>
      </c>
      <c r="AA4888" s="2" t="s">
        <v>379</v>
      </c>
      <c r="AB4888" s="2" t="s">
        <v>32057</v>
      </c>
      <c r="AC4888" s="2">
        <v>1.83551451459612</v>
      </c>
      <c r="AD4888" s="2"/>
      <c r="AE4888" s="2">
        <v>6.3682837357664501E-2</v>
      </c>
      <c r="AF4888" s="2">
        <v>5964.1502957823895</v>
      </c>
      <c r="AG4888" s="2">
        <v>6359.4315897701399</v>
      </c>
      <c r="AH4888" s="4">
        <v>0.937843298035692</v>
      </c>
      <c r="AI4888" s="4">
        <v>-9.2581208428969997E-2</v>
      </c>
      <c r="AJ4888" s="4" t="s">
        <v>62</v>
      </c>
      <c r="AK4888" s="2">
        <v>0.93179957726040397</v>
      </c>
      <c r="AL4888" s="2">
        <v>0.97061347617365101</v>
      </c>
      <c r="AM4888" s="2">
        <v>112.444162811529</v>
      </c>
      <c r="AN4888" s="2">
        <v>2678.87556805026</v>
      </c>
      <c r="AO4888" s="2">
        <v>24070.473907397001</v>
      </c>
      <c r="AP4888" s="2">
        <v>2195.4605739130998</v>
      </c>
      <c r="AQ4888" s="2">
        <v>4605.9643253910999</v>
      </c>
      <c r="AR4888" s="2">
        <v>2121.6832371313699</v>
      </c>
      <c r="AS4888" s="2">
        <v>811.34765167858598</v>
      </c>
      <c r="AT4888" s="2">
        <v>998.97441742781598</v>
      </c>
      <c r="AU4888" s="2">
        <v>963.55276812376803</v>
      </c>
      <c r="AV4888" s="2">
        <v>16029.544000710301</v>
      </c>
      <c r="AW4888" s="2">
        <v>10296.547338425</v>
      </c>
      <c r="AX4888" s="2">
        <v>9056.6233622553591</v>
      </c>
    </row>
    <row r="4889" spans="1:50" x14ac:dyDescent="0.25">
      <c r="A4889" s="2" t="s">
        <v>32058</v>
      </c>
      <c r="B4889" s="2">
        <v>319.03939304086998</v>
      </c>
      <c r="C4889" s="2">
        <v>7.3330166666666701</v>
      </c>
      <c r="D4889" s="2" t="s">
        <v>51</v>
      </c>
      <c r="E4889" s="2" t="s">
        <v>32059</v>
      </c>
      <c r="F4889" s="2">
        <v>258324</v>
      </c>
      <c r="G4889" s="3" t="str">
        <f>HYPERLINK("https://cloud.oebiotech.com/#/lm/network/258324", "https://cloud.oebiotech.com/#/lm/network/258324")</f>
        <v>https://cloud.oebiotech.com/#/lm/network/258324</v>
      </c>
      <c r="H4889" s="2"/>
      <c r="I4889" s="2">
        <v>4009</v>
      </c>
      <c r="J4889" s="2"/>
      <c r="K4889" s="2">
        <v>33919</v>
      </c>
      <c r="L4889" s="2"/>
      <c r="M4889" s="2"/>
      <c r="N4889" s="2"/>
      <c r="O4889" s="2"/>
      <c r="P4889" s="2"/>
      <c r="Q4889" s="2"/>
      <c r="R4889" s="2" t="s">
        <v>32060</v>
      </c>
      <c r="S4889" s="2" t="s">
        <v>32061</v>
      </c>
      <c r="T4889" s="2" t="s">
        <v>32062</v>
      </c>
      <c r="U4889" s="2" t="s">
        <v>266</v>
      </c>
      <c r="V4889" s="2" t="s">
        <v>2963</v>
      </c>
      <c r="W4889" s="2" t="s">
        <v>23087</v>
      </c>
      <c r="X4889" s="2" t="s">
        <v>147</v>
      </c>
      <c r="Y4889" s="2">
        <v>37.6</v>
      </c>
      <c r="Z4889" s="2">
        <v>0</v>
      </c>
      <c r="AA4889" s="2" t="s">
        <v>218</v>
      </c>
      <c r="AB4889" s="2" t="s">
        <v>32063</v>
      </c>
      <c r="AC4889" s="2">
        <v>-8.3995065836011601E-2</v>
      </c>
      <c r="AD4889" s="2"/>
      <c r="AE4889" s="2">
        <v>6.3657387801356005E-2</v>
      </c>
      <c r="AF4889" s="2">
        <v>1037.3609683841601</v>
      </c>
      <c r="AG4889" s="2">
        <v>1240.5630358892299</v>
      </c>
      <c r="AH4889" s="4">
        <v>0.83620173935022202</v>
      </c>
      <c r="AI4889" s="4">
        <v>-0.258077050609199</v>
      </c>
      <c r="AJ4889" s="4" t="s">
        <v>62</v>
      </c>
      <c r="AK4889" s="2">
        <v>0.43019089159820301</v>
      </c>
      <c r="AL4889" s="2">
        <v>0.68819175824183598</v>
      </c>
      <c r="AM4889" s="2">
        <v>886.23835276060197</v>
      </c>
      <c r="AN4889" s="2">
        <v>769.09711883123998</v>
      </c>
      <c r="AO4889" s="2">
        <v>1021.15479178715</v>
      </c>
      <c r="AP4889" s="2">
        <v>936.26124424903003</v>
      </c>
      <c r="AQ4889" s="2">
        <v>1438.36706053799</v>
      </c>
      <c r="AR4889" s="2">
        <v>1173.04724213897</v>
      </c>
      <c r="AS4889" s="2">
        <v>1451.72372892055</v>
      </c>
      <c r="AT4889" s="2">
        <v>1485.14279839959</v>
      </c>
      <c r="AU4889" s="2">
        <v>556.41295204660798</v>
      </c>
      <c r="AV4889" s="2">
        <v>971.59855112677496</v>
      </c>
      <c r="AW4889" s="2">
        <v>864.79293105848399</v>
      </c>
      <c r="AX4889" s="2">
        <v>2113.7072537833601</v>
      </c>
    </row>
    <row r="4890" spans="1:50" x14ac:dyDescent="0.25">
      <c r="A4890" s="2" t="s">
        <v>32064</v>
      </c>
      <c r="B4890" s="2">
        <v>681.45080771535197</v>
      </c>
      <c r="C4890" s="2">
        <v>14.152233333333299</v>
      </c>
      <c r="D4890" s="2" t="s">
        <v>51</v>
      </c>
      <c r="E4890" s="2" t="s">
        <v>32065</v>
      </c>
      <c r="F4890" s="2">
        <v>25133</v>
      </c>
      <c r="G4890" s="3" t="str">
        <f>HYPERLINK("https://cloud.oebiotech.com/#/lm/network/25133", "https://cloud.oebiotech.com/#/lm/network/25133")</f>
        <v>https://cloud.oebiotech.com/#/lm/network/25133</v>
      </c>
      <c r="H4890" s="2"/>
      <c r="I4890" s="2">
        <v>81400</v>
      </c>
      <c r="J4890" s="2" t="s">
        <v>32066</v>
      </c>
      <c r="K4890" s="2">
        <v>52928827</v>
      </c>
      <c r="L4890" s="2"/>
      <c r="M4890" s="2"/>
      <c r="N4890" s="2"/>
      <c r="O4890" s="2"/>
      <c r="P4890" s="2"/>
      <c r="Q4890" s="2"/>
      <c r="R4890" s="2"/>
      <c r="S4890" s="2" t="s">
        <v>32067</v>
      </c>
      <c r="T4890" s="2" t="s">
        <v>32068</v>
      </c>
      <c r="U4890" s="2" t="s">
        <v>56</v>
      </c>
      <c r="V4890" s="2" t="s">
        <v>57</v>
      </c>
      <c r="W4890" s="2" t="s">
        <v>702</v>
      </c>
      <c r="X4890" s="2" t="s">
        <v>147</v>
      </c>
      <c r="Y4890" s="2">
        <v>37.299999999999997</v>
      </c>
      <c r="Z4890" s="2">
        <v>0</v>
      </c>
      <c r="AA4890" s="2" t="s">
        <v>163</v>
      </c>
      <c r="AB4890" s="2" t="s">
        <v>32069</v>
      </c>
      <c r="AC4890" s="2">
        <v>1.0673372856109</v>
      </c>
      <c r="AD4890" s="2"/>
      <c r="AE4890" s="2">
        <v>6.3632091938134905E-2</v>
      </c>
      <c r="AF4890" s="2">
        <v>2076.4250672898602</v>
      </c>
      <c r="AG4890" s="2">
        <v>2121.6137390752101</v>
      </c>
      <c r="AH4890" s="4">
        <v>0.978700801680779</v>
      </c>
      <c r="AI4890" s="4">
        <v>-3.1060213510638899E-2</v>
      </c>
      <c r="AJ4890" s="4" t="s">
        <v>62</v>
      </c>
      <c r="AK4890" s="2">
        <v>0.979124262181995</v>
      </c>
      <c r="AL4890" s="2">
        <v>0.99133503713063797</v>
      </c>
      <c r="AM4890" s="2">
        <v>4490.5345952627404</v>
      </c>
      <c r="AN4890" s="2">
        <v>6616.7859183138198</v>
      </c>
      <c r="AO4890" s="2">
        <v>389.42348961472101</v>
      </c>
      <c r="AP4890" s="2">
        <v>8.559877937157E-6</v>
      </c>
      <c r="AQ4890" s="2">
        <v>8.559877937157E-6</v>
      </c>
      <c r="AR4890" s="2">
        <v>961.80638342811699</v>
      </c>
      <c r="AS4890" s="2">
        <v>8.559877937157E-6</v>
      </c>
      <c r="AT4890" s="2">
        <v>396.90761971248202</v>
      </c>
      <c r="AU4890" s="2">
        <v>6949.6620228539005</v>
      </c>
      <c r="AV4890" s="2">
        <v>8.559877937157E-6</v>
      </c>
      <c r="AW4890" s="2">
        <v>453.31178795285098</v>
      </c>
      <c r="AX4890" s="2">
        <v>4929.8009868122499</v>
      </c>
    </row>
    <row r="4891" spans="1:50" x14ac:dyDescent="0.25">
      <c r="A4891" s="2" t="s">
        <v>32070</v>
      </c>
      <c r="B4891" s="2">
        <v>314.23345234619899</v>
      </c>
      <c r="C4891" s="2">
        <v>6.1879499999999998</v>
      </c>
      <c r="D4891" s="2" t="s">
        <v>51</v>
      </c>
      <c r="E4891" s="2" t="s">
        <v>32071</v>
      </c>
      <c r="F4891" s="2">
        <v>83245</v>
      </c>
      <c r="G4891" s="3" t="str">
        <f>HYPERLINK("https://cloud.oebiotech.com/#/lm/network/83245", "https://cloud.oebiotech.com/#/lm/network/83245")</f>
        <v>https://cloud.oebiotech.com/#/lm/network/83245</v>
      </c>
      <c r="H4891" s="2" t="s">
        <v>32072</v>
      </c>
      <c r="I4891" s="2"/>
      <c r="J4891" s="2"/>
      <c r="K4891" s="2">
        <v>121454166</v>
      </c>
      <c r="L4891" s="2"/>
      <c r="M4891" s="2"/>
      <c r="N4891" s="2"/>
      <c r="O4891" s="2"/>
      <c r="P4891" s="2"/>
      <c r="Q4891" s="2"/>
      <c r="R4891" s="2"/>
      <c r="S4891" s="2" t="s">
        <v>32073</v>
      </c>
      <c r="T4891" s="2" t="s">
        <v>32074</v>
      </c>
      <c r="U4891" s="2" t="s">
        <v>56</v>
      </c>
      <c r="V4891" s="2" t="s">
        <v>145</v>
      </c>
      <c r="W4891" s="2" t="s">
        <v>1188</v>
      </c>
      <c r="X4891" s="2" t="s">
        <v>83</v>
      </c>
      <c r="Y4891" s="2">
        <v>43.3</v>
      </c>
      <c r="Z4891" s="2">
        <v>3.01</v>
      </c>
      <c r="AA4891" s="2" t="s">
        <v>156</v>
      </c>
      <c r="AB4891" s="2" t="s">
        <v>32075</v>
      </c>
      <c r="AC4891" s="2">
        <v>2.6187842537478199</v>
      </c>
      <c r="AD4891" s="2"/>
      <c r="AE4891" s="2">
        <v>6.3587755771448096E-2</v>
      </c>
      <c r="AF4891" s="2">
        <v>1382.2040531191201</v>
      </c>
      <c r="AG4891" s="2">
        <v>1608.5517812611899</v>
      </c>
      <c r="AH4891" s="4">
        <v>0.85928477355910604</v>
      </c>
      <c r="AI4891" s="4">
        <v>-0.21879176408709</v>
      </c>
      <c r="AJ4891" s="4" t="s">
        <v>62</v>
      </c>
      <c r="AK4891" s="2">
        <v>0.68589054271864502</v>
      </c>
      <c r="AL4891" s="2">
        <v>0.84845792633565997</v>
      </c>
      <c r="AM4891" s="2">
        <v>1167.1484541857601</v>
      </c>
      <c r="AN4891" s="2">
        <v>1195.0118346178499</v>
      </c>
      <c r="AO4891" s="2">
        <v>1151.3484367175699</v>
      </c>
      <c r="AP4891" s="2">
        <v>1596.82466085225</v>
      </c>
      <c r="AQ4891" s="2">
        <v>1745.7328365804799</v>
      </c>
      <c r="AR4891" s="2">
        <v>1437.15809576079</v>
      </c>
      <c r="AS4891" s="2">
        <v>900.55939887653301</v>
      </c>
      <c r="AT4891" s="2">
        <v>1233.37562533037</v>
      </c>
      <c r="AU4891" s="2">
        <v>667.09247335251496</v>
      </c>
      <c r="AV4891" s="2">
        <v>1162.8871804447499</v>
      </c>
      <c r="AW4891" s="2">
        <v>4216.4878890629898</v>
      </c>
      <c r="AX4891" s="2">
        <v>1470.90812049997</v>
      </c>
    </row>
    <row r="4892" spans="1:50" x14ac:dyDescent="0.25">
      <c r="A4892" s="2" t="s">
        <v>32076</v>
      </c>
      <c r="B4892" s="2">
        <v>335.08390689196301</v>
      </c>
      <c r="C4892" s="2">
        <v>1.85361666666667</v>
      </c>
      <c r="D4892" s="2" t="s">
        <v>51</v>
      </c>
      <c r="E4892" s="2" t="s">
        <v>32077</v>
      </c>
      <c r="F4892" s="2">
        <v>58793</v>
      </c>
      <c r="G4892" s="3" t="str">
        <f>HYPERLINK("https://cloud.oebiotech.com/#/lm/network/58793", "https://cloud.oebiotech.com/#/lm/network/58793")</f>
        <v>https://cloud.oebiotech.com/#/lm/network/58793</v>
      </c>
      <c r="H4892" s="2" t="s">
        <v>32078</v>
      </c>
      <c r="I4892" s="2">
        <v>68790</v>
      </c>
      <c r="J4892" s="2"/>
      <c r="K4892" s="2">
        <v>92425</v>
      </c>
      <c r="L4892" s="2" t="s">
        <v>32079</v>
      </c>
      <c r="M4892" s="2"/>
      <c r="N4892" s="2"/>
      <c r="O4892" s="2">
        <v>8939</v>
      </c>
      <c r="P4892" s="2"/>
      <c r="Q4892" s="2"/>
      <c r="R4892" s="2" t="s">
        <v>32080</v>
      </c>
      <c r="S4892" s="2" t="s">
        <v>32081</v>
      </c>
      <c r="T4892" s="2" t="s">
        <v>32082</v>
      </c>
      <c r="U4892" s="2" t="s">
        <v>266</v>
      </c>
      <c r="V4892" s="2" t="s">
        <v>19336</v>
      </c>
      <c r="W4892" s="2" t="s">
        <v>19337</v>
      </c>
      <c r="X4892" s="2" t="s">
        <v>147</v>
      </c>
      <c r="Y4892" s="2">
        <v>36.9</v>
      </c>
      <c r="Z4892" s="2">
        <v>0</v>
      </c>
      <c r="AA4892" s="2" t="s">
        <v>379</v>
      </c>
      <c r="AB4892" s="2" t="s">
        <v>32083</v>
      </c>
      <c r="AC4892" s="2">
        <v>0.459820230960725</v>
      </c>
      <c r="AD4892" s="2"/>
      <c r="AE4892" s="2">
        <v>6.3559728659352402E-2</v>
      </c>
      <c r="AF4892" s="2">
        <v>5116.6590955312604</v>
      </c>
      <c r="AG4892" s="2">
        <v>3784.3819289112998</v>
      </c>
      <c r="AH4892" s="5">
        <v>1.3520461707212601</v>
      </c>
      <c r="AI4892" s="5">
        <v>0.43514441873049298</v>
      </c>
      <c r="AJ4892" s="5" t="s">
        <v>139</v>
      </c>
      <c r="AK4892" s="2">
        <v>0.44412453041231797</v>
      </c>
      <c r="AL4892" s="2">
        <v>0.6992223116038</v>
      </c>
      <c r="AM4892" s="2">
        <v>1335.89718009171</v>
      </c>
      <c r="AN4892" s="2">
        <v>947.38042531177098</v>
      </c>
      <c r="AO4892" s="2">
        <v>6563.2989669016397</v>
      </c>
      <c r="AP4892" s="2">
        <v>9060.1770287424497</v>
      </c>
      <c r="AQ4892" s="2">
        <v>3883.3314579798198</v>
      </c>
      <c r="AR4892" s="2">
        <v>8909.8695141601802</v>
      </c>
      <c r="AS4892" s="2">
        <v>4491.03712844033</v>
      </c>
      <c r="AT4892" s="2">
        <v>4263.86739843125</v>
      </c>
      <c r="AU4892" s="2">
        <v>2109.7936410383199</v>
      </c>
      <c r="AV4892" s="2">
        <v>2860.72414942263</v>
      </c>
      <c r="AW4892" s="2">
        <v>1913.9911833261899</v>
      </c>
      <c r="AX4892" s="2">
        <v>7066.8780728090796</v>
      </c>
    </row>
    <row r="4893" spans="1:50" x14ac:dyDescent="0.25">
      <c r="A4893" s="2" t="s">
        <v>32084</v>
      </c>
      <c r="B4893" s="2">
        <v>218.11070000000001</v>
      </c>
      <c r="C4893" s="2">
        <v>24.571999999999999</v>
      </c>
      <c r="D4893" s="2" t="s">
        <v>125</v>
      </c>
      <c r="E4893" s="2" t="s">
        <v>32085</v>
      </c>
      <c r="F4893" s="2">
        <v>10442</v>
      </c>
      <c r="G4893" s="3" t="str">
        <f>HYPERLINK("https://cloud.oebiotech.com/#/lm/network/10442", "https://cloud.oebiotech.com/#/lm/network/10442")</f>
        <v>https://cloud.oebiotech.com/#/lm/network/10442</v>
      </c>
      <c r="H4893" s="2" t="s">
        <v>32086</v>
      </c>
      <c r="I4893" s="2">
        <v>62317</v>
      </c>
      <c r="J4893" s="2" t="s">
        <v>32087</v>
      </c>
      <c r="K4893" s="2">
        <v>123409</v>
      </c>
      <c r="L4893" s="2"/>
      <c r="M4893" s="2"/>
      <c r="N4893" s="2"/>
      <c r="O4893" s="2">
        <v>75455</v>
      </c>
      <c r="P4893" s="2"/>
      <c r="Q4893" s="2"/>
      <c r="R4893" s="2"/>
      <c r="S4893" s="2" t="s">
        <v>32088</v>
      </c>
      <c r="T4893" s="2" t="s">
        <v>32089</v>
      </c>
      <c r="U4893" s="2" t="s">
        <v>56</v>
      </c>
      <c r="V4893" s="2" t="s">
        <v>3215</v>
      </c>
      <c r="W4893" s="2" t="s">
        <v>4174</v>
      </c>
      <c r="X4893" s="2" t="s">
        <v>69</v>
      </c>
      <c r="Y4893" s="2">
        <v>86.3</v>
      </c>
      <c r="Z4893" s="2">
        <v>80.900000000000006</v>
      </c>
      <c r="AA4893" s="2"/>
      <c r="AB4893" s="2" t="s">
        <v>16374</v>
      </c>
      <c r="AC4893" s="2"/>
      <c r="AD4893" s="2">
        <v>891585.81371545501</v>
      </c>
      <c r="AE4893" s="2">
        <v>6.3546088162261705E-2</v>
      </c>
      <c r="AF4893" s="2">
        <v>16987.066196296</v>
      </c>
      <c r="AG4893" s="2">
        <v>13271.989743558301</v>
      </c>
      <c r="AH4893" s="5">
        <v>1.2799185747216899</v>
      </c>
      <c r="AI4893" s="5">
        <v>0.356052032427011</v>
      </c>
      <c r="AJ4893" s="5" t="s">
        <v>139</v>
      </c>
      <c r="AK4893" s="2">
        <v>0.58749994585049903</v>
      </c>
      <c r="AL4893" s="2">
        <v>0.79259485853877298</v>
      </c>
      <c r="AM4893" s="2">
        <v>9763.3112998521392</v>
      </c>
      <c r="AN4893" s="2">
        <v>10526.5929909972</v>
      </c>
      <c r="AO4893" s="2">
        <v>10175.286635087899</v>
      </c>
      <c r="AP4893" s="2">
        <v>10550.690470740101</v>
      </c>
      <c r="AQ4893" s="2">
        <v>49860.002178893199</v>
      </c>
      <c r="AR4893" s="2">
        <v>11046.513602205399</v>
      </c>
      <c r="AS4893" s="2">
        <v>11836.776326486901</v>
      </c>
      <c r="AT4893" s="2">
        <v>11069.161890372299</v>
      </c>
      <c r="AU4893" s="2">
        <v>16237.3531573043</v>
      </c>
      <c r="AV4893" s="2">
        <v>14406.1314898328</v>
      </c>
      <c r="AW4893" s="2">
        <v>14341.265675304699</v>
      </c>
      <c r="AX4893" s="2">
        <v>11741.249922048701</v>
      </c>
    </row>
    <row r="4894" spans="1:50" x14ac:dyDescent="0.25">
      <c r="A4894" s="2" t="s">
        <v>32090</v>
      </c>
      <c r="B4894" s="2">
        <v>321.06788499157898</v>
      </c>
      <c r="C4894" s="2">
        <v>0.73424999999999996</v>
      </c>
      <c r="D4894" s="2" t="s">
        <v>51</v>
      </c>
      <c r="E4894" s="2" t="s">
        <v>32091</v>
      </c>
      <c r="F4894" s="2">
        <v>257499</v>
      </c>
      <c r="G4894" s="3" t="str">
        <f>HYPERLINK("https://cloud.oebiotech.com/#/lm/network/257499", "https://cloud.oebiotech.com/#/lm/network/257499")</f>
        <v>https://cloud.oebiotech.com/#/lm/network/257499</v>
      </c>
      <c r="H4894" s="2" t="s">
        <v>32092</v>
      </c>
      <c r="I4894" s="2"/>
      <c r="J4894" s="2"/>
      <c r="K4894" s="2"/>
      <c r="L4894" s="2"/>
      <c r="M4894" s="2"/>
      <c r="N4894" s="2"/>
      <c r="O4894" s="2"/>
      <c r="P4894" s="2"/>
      <c r="Q4894" s="2"/>
      <c r="R4894" s="2"/>
      <c r="S4894" s="2" t="s">
        <v>32093</v>
      </c>
      <c r="T4894" s="2" t="s">
        <v>32094</v>
      </c>
      <c r="U4894" s="2" t="s">
        <v>103</v>
      </c>
      <c r="V4894" s="2" t="s">
        <v>104</v>
      </c>
      <c r="W4894" s="2" t="s">
        <v>105</v>
      </c>
      <c r="X4894" s="2" t="s">
        <v>147</v>
      </c>
      <c r="Y4894" s="2">
        <v>42.5</v>
      </c>
      <c r="Z4894" s="2">
        <v>32.5</v>
      </c>
      <c r="AA4894" s="2" t="s">
        <v>95</v>
      </c>
      <c r="AB4894" s="2" t="s">
        <v>32095</v>
      </c>
      <c r="AC4894" s="2">
        <v>-4.8191204895868403</v>
      </c>
      <c r="AD4894" s="2"/>
      <c r="AE4894" s="2">
        <v>6.3533678742799707E-2</v>
      </c>
      <c r="AF4894" s="2">
        <v>11506.881103551101</v>
      </c>
      <c r="AG4894" s="2">
        <v>10616.249084466701</v>
      </c>
      <c r="AH4894" s="5">
        <v>1.08389328584872</v>
      </c>
      <c r="AI4894" s="5">
        <v>0.11622272389157901</v>
      </c>
      <c r="AJ4894" s="5" t="s">
        <v>139</v>
      </c>
      <c r="AK4894" s="2">
        <v>0.83443342014168798</v>
      </c>
      <c r="AL4894" s="2">
        <v>0.92739717256062304</v>
      </c>
      <c r="AM4894" s="2">
        <v>12433.7301284883</v>
      </c>
      <c r="AN4894" s="2">
        <v>2794.3899638030998</v>
      </c>
      <c r="AO4894" s="2">
        <v>18331.541702817001</v>
      </c>
      <c r="AP4894" s="2">
        <v>15430.724218467099</v>
      </c>
      <c r="AQ4894" s="2">
        <v>11079.8761470644</v>
      </c>
      <c r="AR4894" s="2">
        <v>8971.0244606666292</v>
      </c>
      <c r="AS4894" s="2">
        <v>15893.693101499701</v>
      </c>
      <c r="AT4894" s="2">
        <v>5452.7126982250402</v>
      </c>
      <c r="AU4894" s="2">
        <v>19721.2781778889</v>
      </c>
      <c r="AV4894" s="2">
        <v>2331.9755789699502</v>
      </c>
      <c r="AW4894" s="2">
        <v>1061.76588901843</v>
      </c>
      <c r="AX4894" s="2">
        <v>19236.069061198199</v>
      </c>
    </row>
    <row r="4895" spans="1:50" x14ac:dyDescent="0.25">
      <c r="A4895" s="2" t="s">
        <v>32096</v>
      </c>
      <c r="B4895" s="2">
        <v>405.26461131077502</v>
      </c>
      <c r="C4895" s="2">
        <v>10.534700000000001</v>
      </c>
      <c r="D4895" s="2" t="s">
        <v>51</v>
      </c>
      <c r="E4895" s="2" t="s">
        <v>32097</v>
      </c>
      <c r="F4895" s="2">
        <v>267143</v>
      </c>
      <c r="G4895" s="3" t="str">
        <f>HYPERLINK("https://cloud.oebiotech.com/#/lm/network/267143", "https://cloud.oebiotech.com/#/lm/network/267143")</f>
        <v>https://cloud.oebiotech.com/#/lm/network/267143</v>
      </c>
      <c r="H4895" s="2"/>
      <c r="I4895" s="2">
        <v>44872</v>
      </c>
      <c r="J4895" s="2"/>
      <c r="K4895" s="2">
        <v>53394706</v>
      </c>
      <c r="L4895" s="2"/>
      <c r="M4895" s="2"/>
      <c r="N4895" s="2"/>
      <c r="O4895" s="2"/>
      <c r="P4895" s="2"/>
      <c r="Q4895" s="2"/>
      <c r="R4895" s="2" t="s">
        <v>32098</v>
      </c>
      <c r="S4895" s="2" t="s">
        <v>32099</v>
      </c>
      <c r="T4895" s="2" t="s">
        <v>32100</v>
      </c>
      <c r="U4895" s="2" t="s">
        <v>56</v>
      </c>
      <c r="V4895" s="2" t="s">
        <v>145</v>
      </c>
      <c r="W4895" s="2" t="s">
        <v>1188</v>
      </c>
      <c r="X4895" s="2" t="s">
        <v>147</v>
      </c>
      <c r="Y4895" s="2">
        <v>36.700000000000003</v>
      </c>
      <c r="Z4895" s="2">
        <v>0</v>
      </c>
      <c r="AA4895" s="2" t="s">
        <v>218</v>
      </c>
      <c r="AB4895" s="2" t="s">
        <v>32101</v>
      </c>
      <c r="AC4895" s="2">
        <v>-0.101514935273645</v>
      </c>
      <c r="AD4895" s="2"/>
      <c r="AE4895" s="2">
        <v>6.3530223525141705E-2</v>
      </c>
      <c r="AF4895" s="2">
        <v>2661.4995993011898</v>
      </c>
      <c r="AG4895" s="2">
        <v>2060.8592052558602</v>
      </c>
      <c r="AH4895" s="5">
        <v>1.29145144535517</v>
      </c>
      <c r="AI4895" s="5">
        <v>0.36899340353170601</v>
      </c>
      <c r="AJ4895" s="5" t="s">
        <v>139</v>
      </c>
      <c r="AK4895" s="2">
        <v>0.50466316033344505</v>
      </c>
      <c r="AL4895" s="2">
        <v>0.74126303386928905</v>
      </c>
      <c r="AM4895" s="2">
        <v>1575.2258891998399</v>
      </c>
      <c r="AN4895" s="2">
        <v>2637.9946186034299</v>
      </c>
      <c r="AO4895" s="2">
        <v>3098.5357004407902</v>
      </c>
      <c r="AP4895" s="2">
        <v>5403.1633810781896</v>
      </c>
      <c r="AQ4895" s="2">
        <v>2344.5085164471602</v>
      </c>
      <c r="AR4895" s="2">
        <v>909.56949003775298</v>
      </c>
      <c r="AS4895" s="2">
        <v>1910.90491313658</v>
      </c>
      <c r="AT4895" s="2">
        <v>3147.8304876727798</v>
      </c>
      <c r="AU4895" s="2">
        <v>802.74634533950996</v>
      </c>
      <c r="AV4895" s="2">
        <v>192.938221311511</v>
      </c>
      <c r="AW4895" s="2">
        <v>2188.6526657285399</v>
      </c>
      <c r="AX4895" s="2">
        <v>4122.0825983462501</v>
      </c>
    </row>
    <row r="4896" spans="1:50" x14ac:dyDescent="0.25">
      <c r="A4896" s="2" t="s">
        <v>32102</v>
      </c>
      <c r="B4896" s="2">
        <v>429.15443100482901</v>
      </c>
      <c r="C4896" s="2">
        <v>3.6124666666666698</v>
      </c>
      <c r="D4896" s="2" t="s">
        <v>51</v>
      </c>
      <c r="E4896" s="2" t="s">
        <v>32103</v>
      </c>
      <c r="F4896" s="2">
        <v>209185</v>
      </c>
      <c r="G4896" s="3" t="str">
        <f>HYPERLINK("https://cloud.oebiotech.com/#/lm/network/209185", "https://cloud.oebiotech.com/#/lm/network/209185")</f>
        <v>https://cloud.oebiotech.com/#/lm/network/209185</v>
      </c>
      <c r="H4896" s="2" t="s">
        <v>32104</v>
      </c>
      <c r="I4896" s="2"/>
      <c r="J4896" s="2"/>
      <c r="K4896" s="2">
        <v>22244854</v>
      </c>
      <c r="L4896" s="2"/>
      <c r="M4896" s="2"/>
      <c r="N4896" s="2"/>
      <c r="O4896" s="2"/>
      <c r="P4896" s="2"/>
      <c r="Q4896" s="2"/>
      <c r="R4896" s="2"/>
      <c r="S4896" s="2" t="s">
        <v>32105</v>
      </c>
      <c r="T4896" s="2" t="s">
        <v>32106</v>
      </c>
      <c r="U4896" s="2" t="s">
        <v>103</v>
      </c>
      <c r="V4896" s="2" t="s">
        <v>104</v>
      </c>
      <c r="W4896" s="2" t="s">
        <v>105</v>
      </c>
      <c r="X4896" s="2" t="s">
        <v>83</v>
      </c>
      <c r="Y4896" s="2">
        <v>40.5</v>
      </c>
      <c r="Z4896" s="2">
        <v>0.1</v>
      </c>
      <c r="AA4896" s="2" t="s">
        <v>478</v>
      </c>
      <c r="AB4896" s="2" t="s">
        <v>32107</v>
      </c>
      <c r="AC4896" s="2">
        <v>6.8867548153079596</v>
      </c>
      <c r="AD4896" s="2"/>
      <c r="AE4896" s="2">
        <v>6.3206718275425705E-2</v>
      </c>
      <c r="AF4896" s="2">
        <v>12995.9545620756</v>
      </c>
      <c r="AG4896" s="2">
        <v>11597.9150434452</v>
      </c>
      <c r="AH4896" s="5">
        <v>1.1205423141481501</v>
      </c>
      <c r="AI4896" s="5">
        <v>0.16419712922229199</v>
      </c>
      <c r="AJ4896" s="5" t="s">
        <v>139</v>
      </c>
      <c r="AK4896" s="2">
        <v>0.72660408337132298</v>
      </c>
      <c r="AL4896" s="2">
        <v>0.87395632961417002</v>
      </c>
      <c r="AM4896" s="2">
        <v>8716.1027206846902</v>
      </c>
      <c r="AN4896" s="2">
        <v>15446.3694022868</v>
      </c>
      <c r="AO4896" s="2">
        <v>6802.6184596500398</v>
      </c>
      <c r="AP4896" s="2">
        <v>22182.434450382101</v>
      </c>
      <c r="AQ4896" s="2">
        <v>14990.175426940599</v>
      </c>
      <c r="AR4896" s="2">
        <v>9838.0269125095801</v>
      </c>
      <c r="AS4896" s="2">
        <v>13004.8320181454</v>
      </c>
      <c r="AT4896" s="2">
        <v>19324.187692207401</v>
      </c>
      <c r="AU4896" s="2">
        <v>6442.3484380098898</v>
      </c>
      <c r="AV4896" s="2">
        <v>1858.8409887934999</v>
      </c>
      <c r="AW4896" s="2">
        <v>7672.39076782757</v>
      </c>
      <c r="AX4896" s="2">
        <v>21284.890355687199</v>
      </c>
    </row>
    <row r="4897" spans="1:50" x14ac:dyDescent="0.25">
      <c r="A4897" s="2" t="s">
        <v>32108</v>
      </c>
      <c r="B4897" s="2">
        <v>349.23847338582402</v>
      </c>
      <c r="C4897" s="2">
        <v>10.96625</v>
      </c>
      <c r="D4897" s="2" t="s">
        <v>51</v>
      </c>
      <c r="E4897" s="2" t="s">
        <v>32109</v>
      </c>
      <c r="F4897" s="2">
        <v>62959</v>
      </c>
      <c r="G4897" s="3" t="str">
        <f>HYPERLINK("https://cloud.oebiotech.com/#/lm/network/62959", "https://cloud.oebiotech.com/#/lm/network/62959")</f>
        <v>https://cloud.oebiotech.com/#/lm/network/62959</v>
      </c>
      <c r="H4897" s="2" t="s">
        <v>32110</v>
      </c>
      <c r="I4897" s="2">
        <v>94257</v>
      </c>
      <c r="J4897" s="2"/>
      <c r="K4897" s="2">
        <v>86289490</v>
      </c>
      <c r="L4897" s="2"/>
      <c r="M4897" s="2"/>
      <c r="N4897" s="2"/>
      <c r="O4897" s="2">
        <v>78259</v>
      </c>
      <c r="P4897" s="2"/>
      <c r="Q4897" s="2"/>
      <c r="R4897" s="2" t="s">
        <v>32111</v>
      </c>
      <c r="S4897" s="2" t="s">
        <v>32112</v>
      </c>
      <c r="T4897" s="2" t="s">
        <v>32113</v>
      </c>
      <c r="U4897" s="2" t="s">
        <v>610</v>
      </c>
      <c r="V4897" s="2" t="s">
        <v>5991</v>
      </c>
      <c r="W4897" s="2" t="s">
        <v>32114</v>
      </c>
      <c r="X4897" s="2" t="s">
        <v>83</v>
      </c>
      <c r="Y4897" s="2">
        <v>49.2</v>
      </c>
      <c r="Z4897" s="2">
        <v>0</v>
      </c>
      <c r="AA4897" s="2" t="s">
        <v>218</v>
      </c>
      <c r="AB4897" s="2" t="s">
        <v>1794</v>
      </c>
      <c r="AC4897" s="2">
        <v>0.13229829548734701</v>
      </c>
      <c r="AD4897" s="2"/>
      <c r="AE4897" s="2">
        <v>6.3164764064745096E-2</v>
      </c>
      <c r="AF4897" s="2">
        <v>5193.8447663086699</v>
      </c>
      <c r="AG4897" s="2">
        <v>4312.9468210475898</v>
      </c>
      <c r="AH4897" s="5">
        <v>1.2042450282396799</v>
      </c>
      <c r="AI4897" s="5">
        <v>0.26812896772910799</v>
      </c>
      <c r="AJ4897" s="5" t="s">
        <v>139</v>
      </c>
      <c r="AK4897" s="2">
        <v>0.58617413474856495</v>
      </c>
      <c r="AL4897" s="2">
        <v>0.79183523048969995</v>
      </c>
      <c r="AM4897" s="2">
        <v>1637.78456664345</v>
      </c>
      <c r="AN4897" s="2">
        <v>6521.6056818970601</v>
      </c>
      <c r="AO4897" s="2">
        <v>9615.0269037374692</v>
      </c>
      <c r="AP4897" s="2">
        <v>8437.8201509368391</v>
      </c>
      <c r="AQ4897" s="2">
        <v>2044.28834005506</v>
      </c>
      <c r="AR4897" s="2">
        <v>2906.5429545821698</v>
      </c>
      <c r="AS4897" s="2">
        <v>6915.6424944392402</v>
      </c>
      <c r="AT4897" s="2">
        <v>3415.4634323717901</v>
      </c>
      <c r="AU4897" s="2">
        <v>4454.6548010151801</v>
      </c>
      <c r="AV4897" s="2">
        <v>1879.89155690639</v>
      </c>
      <c r="AW4897" s="2">
        <v>4964.8730963123098</v>
      </c>
      <c r="AX4897" s="2">
        <v>4247.1555452406401</v>
      </c>
    </row>
    <row r="4898" spans="1:50" x14ac:dyDescent="0.25">
      <c r="A4898" s="2" t="s">
        <v>32115</v>
      </c>
      <c r="B4898" s="2">
        <v>223.13354581946999</v>
      </c>
      <c r="C4898" s="2">
        <v>9.0696833333333302</v>
      </c>
      <c r="D4898" s="2" t="s">
        <v>51</v>
      </c>
      <c r="E4898" s="2" t="s">
        <v>32116</v>
      </c>
      <c r="F4898" s="2">
        <v>56209</v>
      </c>
      <c r="G4898" s="3" t="str">
        <f>HYPERLINK("https://cloud.oebiotech.com/#/lm/network/56209", "https://cloud.oebiotech.com/#/lm/network/56209")</f>
        <v>https://cloud.oebiotech.com/#/lm/network/56209</v>
      </c>
      <c r="H4898" s="2" t="s">
        <v>32117</v>
      </c>
      <c r="I4898" s="2">
        <v>87902</v>
      </c>
      <c r="J4898" s="2"/>
      <c r="K4898" s="2">
        <v>61516</v>
      </c>
      <c r="L4898" s="2"/>
      <c r="M4898" s="2"/>
      <c r="N4898" s="2"/>
      <c r="O4898" s="2"/>
      <c r="P4898" s="2"/>
      <c r="Q4898" s="2"/>
      <c r="R4898" s="2" t="s">
        <v>32118</v>
      </c>
      <c r="S4898" s="2" t="s">
        <v>32119</v>
      </c>
      <c r="T4898" s="2" t="s">
        <v>32120</v>
      </c>
      <c r="U4898" s="2" t="s">
        <v>610</v>
      </c>
      <c r="V4898" s="2" t="s">
        <v>611</v>
      </c>
      <c r="W4898" s="2" t="s">
        <v>240</v>
      </c>
      <c r="X4898" s="2" t="s">
        <v>69</v>
      </c>
      <c r="Y4898" s="2">
        <v>54.8</v>
      </c>
      <c r="Z4898" s="2">
        <v>57.6</v>
      </c>
      <c r="AA4898" s="2" t="s">
        <v>218</v>
      </c>
      <c r="AB4898" s="2" t="s">
        <v>23563</v>
      </c>
      <c r="AC4898" s="2">
        <v>-2.3703681800277301</v>
      </c>
      <c r="AD4898" s="2"/>
      <c r="AE4898" s="2">
        <v>6.3163213946801494E-2</v>
      </c>
      <c r="AF4898" s="2">
        <v>4424.8006360628697</v>
      </c>
      <c r="AG4898" s="2">
        <v>3821.3356436832401</v>
      </c>
      <c r="AH4898" s="5">
        <v>1.1579199129961699</v>
      </c>
      <c r="AI4898" s="5">
        <v>0.21153547343177501</v>
      </c>
      <c r="AJ4898" s="5" t="s">
        <v>139</v>
      </c>
      <c r="AK4898" s="2">
        <v>0.616024579683497</v>
      </c>
      <c r="AL4898" s="2">
        <v>0.80961248686495102</v>
      </c>
      <c r="AM4898" s="2">
        <v>4171.5930045032601</v>
      </c>
      <c r="AN4898" s="2">
        <v>5437.39710663184</v>
      </c>
      <c r="AO4898" s="2">
        <v>2486.15110832868</v>
      </c>
      <c r="AP4898" s="2">
        <v>3153.9968692725001</v>
      </c>
      <c r="AQ4898" s="2">
        <v>2372.4435518556902</v>
      </c>
      <c r="AR4898" s="2">
        <v>8927.2221757852494</v>
      </c>
      <c r="AS4898" s="2">
        <v>3387.34435104247</v>
      </c>
      <c r="AT4898" s="2">
        <v>2893.4085442556402</v>
      </c>
      <c r="AU4898" s="2">
        <v>4256.1027823409104</v>
      </c>
      <c r="AV4898" s="2">
        <v>3635.9223617335902</v>
      </c>
      <c r="AW4898" s="2">
        <v>6371.0985886137496</v>
      </c>
      <c r="AX4898" s="2">
        <v>2384.13723411308</v>
      </c>
    </row>
    <row r="4899" spans="1:50" x14ac:dyDescent="0.25">
      <c r="A4899" s="2" t="s">
        <v>32121</v>
      </c>
      <c r="B4899" s="2">
        <v>390.170952301711</v>
      </c>
      <c r="C4899" s="2">
        <v>4.2577833333333297</v>
      </c>
      <c r="D4899" s="2" t="s">
        <v>51</v>
      </c>
      <c r="E4899" s="2" t="s">
        <v>32122</v>
      </c>
      <c r="F4899" s="2">
        <v>212890</v>
      </c>
      <c r="G4899" s="3" t="str">
        <f>HYPERLINK("https://cloud.oebiotech.com/#/lm/network/212890", "https://cloud.oebiotech.com/#/lm/network/212890")</f>
        <v>https://cloud.oebiotech.com/#/lm/network/212890</v>
      </c>
      <c r="H4899" s="2" t="s">
        <v>32123</v>
      </c>
      <c r="I4899" s="2"/>
      <c r="J4899" s="2"/>
      <c r="K4899" s="2"/>
      <c r="L4899" s="2"/>
      <c r="M4899" s="2"/>
      <c r="N4899" s="2"/>
      <c r="O4899" s="2"/>
      <c r="P4899" s="2"/>
      <c r="Q4899" s="2"/>
      <c r="R4899" s="2"/>
      <c r="S4899" s="2" t="s">
        <v>32124</v>
      </c>
      <c r="T4899" s="2" t="s">
        <v>32125</v>
      </c>
      <c r="U4899" s="2" t="s">
        <v>266</v>
      </c>
      <c r="V4899" s="2" t="s">
        <v>1742</v>
      </c>
      <c r="W4899" s="2" t="s">
        <v>21672</v>
      </c>
      <c r="X4899" s="2" t="s">
        <v>147</v>
      </c>
      <c r="Y4899" s="2">
        <v>38.799999999999997</v>
      </c>
      <c r="Z4899" s="2">
        <v>0</v>
      </c>
      <c r="AA4899" s="2" t="s">
        <v>512</v>
      </c>
      <c r="AB4899" s="2" t="s">
        <v>32126</v>
      </c>
      <c r="AC4899" s="2">
        <v>-0.56670658346125502</v>
      </c>
      <c r="AD4899" s="2"/>
      <c r="AE4899" s="2">
        <v>6.3121344382505704E-2</v>
      </c>
      <c r="AF4899" s="2">
        <v>1205.2787888264199</v>
      </c>
      <c r="AG4899" s="2">
        <v>1053.1391612044599</v>
      </c>
      <c r="AH4899" s="5">
        <v>1.14446298573492</v>
      </c>
      <c r="AI4899" s="5">
        <v>0.194670803950652</v>
      </c>
      <c r="AJ4899" s="5" t="s">
        <v>139</v>
      </c>
      <c r="AK4899" s="2">
        <v>0.87965274938365201</v>
      </c>
      <c r="AL4899" s="2">
        <v>0.947767478779867</v>
      </c>
      <c r="AM4899" s="2">
        <v>2674.4230732185501</v>
      </c>
      <c r="AN4899" s="2">
        <v>194.762052812679</v>
      </c>
      <c r="AO4899" s="2">
        <v>1744.9739115847301</v>
      </c>
      <c r="AP4899" s="2">
        <v>1440.83402514929</v>
      </c>
      <c r="AQ4899" s="2">
        <v>703.62764239688602</v>
      </c>
      <c r="AR4899" s="2">
        <v>473.052027796385</v>
      </c>
      <c r="AS4899" s="2">
        <v>8.559877937157E-6</v>
      </c>
      <c r="AT4899" s="2">
        <v>182.07705150055699</v>
      </c>
      <c r="AU4899" s="2">
        <v>5560.7185590703502</v>
      </c>
      <c r="AV4899" s="2">
        <v>270.31984145272003</v>
      </c>
      <c r="AW4899" s="2">
        <v>8.559877937157E-6</v>
      </c>
      <c r="AX4899" s="2">
        <v>305.719498083357</v>
      </c>
    </row>
    <row r="4900" spans="1:50" x14ac:dyDescent="0.25">
      <c r="A4900" s="2" t="s">
        <v>32127</v>
      </c>
      <c r="B4900" s="2">
        <v>339.25410875271598</v>
      </c>
      <c r="C4900" s="2">
        <v>10.555249999999999</v>
      </c>
      <c r="D4900" s="2" t="s">
        <v>51</v>
      </c>
      <c r="E4900" s="2" t="s">
        <v>32128</v>
      </c>
      <c r="F4900" s="2">
        <v>2267</v>
      </c>
      <c r="G4900" s="3" t="str">
        <f>HYPERLINK("https://cloud.oebiotech.com/#/lm/network/2267", "https://cloud.oebiotech.com/#/lm/network/2267")</f>
        <v>https://cloud.oebiotech.com/#/lm/network/2267</v>
      </c>
      <c r="H4900" s="2"/>
      <c r="I4900" s="2">
        <v>74815</v>
      </c>
      <c r="J4900" s="2" t="s">
        <v>32129</v>
      </c>
      <c r="K4900" s="2">
        <v>5283024</v>
      </c>
      <c r="L4900" s="2"/>
      <c r="M4900" s="2"/>
      <c r="N4900" s="2"/>
      <c r="O4900" s="2"/>
      <c r="P4900" s="2"/>
      <c r="Q4900" s="2"/>
      <c r="R4900" s="2"/>
      <c r="S4900" s="2" t="s">
        <v>32130</v>
      </c>
      <c r="T4900" s="2" t="s">
        <v>32131</v>
      </c>
      <c r="U4900" s="2" t="s">
        <v>56</v>
      </c>
      <c r="V4900" s="2" t="s">
        <v>145</v>
      </c>
      <c r="W4900" s="2" t="s">
        <v>231</v>
      </c>
      <c r="X4900" s="2" t="s">
        <v>83</v>
      </c>
      <c r="Y4900" s="2">
        <v>41.6</v>
      </c>
      <c r="Z4900" s="2">
        <v>0</v>
      </c>
      <c r="AA4900" s="2" t="s">
        <v>379</v>
      </c>
      <c r="AB4900" s="2" t="s">
        <v>10283</v>
      </c>
      <c r="AC4900" s="2">
        <v>7.1332009565782201E-2</v>
      </c>
      <c r="AD4900" s="2"/>
      <c r="AE4900" s="2">
        <v>6.2976863098091404E-2</v>
      </c>
      <c r="AF4900" s="2">
        <v>1075.87383975998</v>
      </c>
      <c r="AG4900" s="2">
        <v>914.79832362846605</v>
      </c>
      <c r="AH4900" s="5">
        <v>1.17607762494866</v>
      </c>
      <c r="AI4900" s="5">
        <v>0.23398328588225301</v>
      </c>
      <c r="AJ4900" s="5" t="s">
        <v>139</v>
      </c>
      <c r="AK4900" s="2">
        <v>0.75557179072700398</v>
      </c>
      <c r="AL4900" s="2">
        <v>0.88968290941317296</v>
      </c>
      <c r="AM4900" s="2">
        <v>1987.2859710765999</v>
      </c>
      <c r="AN4900" s="2">
        <v>1748.5376575729099</v>
      </c>
      <c r="AO4900" s="2">
        <v>748.58652586620406</v>
      </c>
      <c r="AP4900" s="2">
        <v>438.613598098105</v>
      </c>
      <c r="AQ4900" s="2">
        <v>702.86619961239705</v>
      </c>
      <c r="AR4900" s="2">
        <v>829.35308633368504</v>
      </c>
      <c r="AS4900" s="2">
        <v>327.90362237254601</v>
      </c>
      <c r="AT4900" s="2">
        <v>8.559877937157E-6</v>
      </c>
      <c r="AU4900" s="2">
        <v>2839.1470359627001</v>
      </c>
      <c r="AV4900" s="2">
        <v>713.628909597693</v>
      </c>
      <c r="AW4900" s="2">
        <v>1377.0397732015399</v>
      </c>
      <c r="AX4900" s="2">
        <v>231.070592076438</v>
      </c>
    </row>
    <row r="4901" spans="1:50" x14ac:dyDescent="0.25">
      <c r="A4901" s="2" t="s">
        <v>32132</v>
      </c>
      <c r="B4901" s="2">
        <v>799.38450663228298</v>
      </c>
      <c r="C4901" s="2">
        <v>4.3974166666666701</v>
      </c>
      <c r="D4901" s="2" t="s">
        <v>51</v>
      </c>
      <c r="E4901" s="2" t="s">
        <v>32133</v>
      </c>
      <c r="F4901" s="2">
        <v>258072</v>
      </c>
      <c r="G4901" s="3" t="str">
        <f>HYPERLINK("https://cloud.oebiotech.com/#/lm/network/258072", "https://cloud.oebiotech.com/#/lm/network/258072")</f>
        <v>https://cloud.oebiotech.com/#/lm/network/258072</v>
      </c>
      <c r="H4901" s="2"/>
      <c r="I4901" s="2">
        <v>2255</v>
      </c>
      <c r="J4901" s="2"/>
      <c r="K4901" s="2">
        <v>65747</v>
      </c>
      <c r="L4901" s="2"/>
      <c r="M4901" s="2"/>
      <c r="N4901" s="2"/>
      <c r="O4901" s="2"/>
      <c r="P4901" s="2"/>
      <c r="Q4901" s="2"/>
      <c r="R4901" s="2" t="s">
        <v>32134</v>
      </c>
      <c r="S4901" s="2" t="s">
        <v>32135</v>
      </c>
      <c r="T4901" s="2" t="s">
        <v>32136</v>
      </c>
      <c r="U4901" s="2" t="s">
        <v>238</v>
      </c>
      <c r="V4901" s="2" t="s">
        <v>32137</v>
      </c>
      <c r="W4901" s="2" t="s">
        <v>240</v>
      </c>
      <c r="X4901" s="2" t="s">
        <v>83</v>
      </c>
      <c r="Y4901" s="2">
        <v>39.9</v>
      </c>
      <c r="Z4901" s="2">
        <v>0</v>
      </c>
      <c r="AA4901" s="2" t="s">
        <v>478</v>
      </c>
      <c r="AB4901" s="2" t="s">
        <v>32138</v>
      </c>
      <c r="AC4901" s="2">
        <v>-9.8212767784181096</v>
      </c>
      <c r="AD4901" s="2"/>
      <c r="AE4901" s="2">
        <v>6.2965192515799101E-2</v>
      </c>
      <c r="AF4901" s="2">
        <v>5857.5604564578998</v>
      </c>
      <c r="AG4901" s="2">
        <v>4809.3879902278404</v>
      </c>
      <c r="AH4901" s="5">
        <v>1.21794300404955</v>
      </c>
      <c r="AI4901" s="5">
        <v>0.28444662117606501</v>
      </c>
      <c r="AJ4901" s="5" t="s">
        <v>139</v>
      </c>
      <c r="AK4901" s="2">
        <v>0.71428165514556097</v>
      </c>
      <c r="AL4901" s="2">
        <v>0.86562363474161996</v>
      </c>
      <c r="AM4901" s="2">
        <v>4290.8349098517101</v>
      </c>
      <c r="AN4901" s="2">
        <v>4780.5069328933796</v>
      </c>
      <c r="AO4901" s="2">
        <v>10466.8947909329</v>
      </c>
      <c r="AP4901" s="2">
        <v>1969.39652006561</v>
      </c>
      <c r="AQ4901" s="2">
        <v>4758.82335023617</v>
      </c>
      <c r="AR4901" s="2">
        <v>8878.9062347676208</v>
      </c>
      <c r="AS4901" s="2">
        <v>8.559877937157E-6</v>
      </c>
      <c r="AT4901" s="2">
        <v>510.96337147571103</v>
      </c>
      <c r="AU4901" s="2">
        <v>4620.0707358190102</v>
      </c>
      <c r="AV4901" s="2">
        <v>16065.1767887922</v>
      </c>
      <c r="AW4901" s="2">
        <v>1408.3271462452401</v>
      </c>
      <c r="AX4901" s="2">
        <v>6251.78989047499</v>
      </c>
    </row>
    <row r="4902" spans="1:50" x14ac:dyDescent="0.25">
      <c r="A4902" s="2" t="s">
        <v>32139</v>
      </c>
      <c r="B4902" s="2">
        <v>407.316668894163</v>
      </c>
      <c r="C4902" s="2">
        <v>13.0974</v>
      </c>
      <c r="D4902" s="2" t="s">
        <v>51</v>
      </c>
      <c r="E4902" s="2" t="s">
        <v>32140</v>
      </c>
      <c r="F4902" s="2">
        <v>46173</v>
      </c>
      <c r="G4902" s="3" t="str">
        <f>HYPERLINK("https://cloud.oebiotech.com/#/lm/network/46173", "https://cloud.oebiotech.com/#/lm/network/46173")</f>
        <v>https://cloud.oebiotech.com/#/lm/network/46173</v>
      </c>
      <c r="H4902" s="2"/>
      <c r="I4902" s="2">
        <v>84625</v>
      </c>
      <c r="J4902" s="2" t="s">
        <v>32141</v>
      </c>
      <c r="K4902" s="2">
        <v>5284063</v>
      </c>
      <c r="L4902" s="2"/>
      <c r="M4902" s="2"/>
      <c r="N4902" s="2"/>
      <c r="O4902" s="2"/>
      <c r="P4902" s="2"/>
      <c r="Q4902" s="2"/>
      <c r="R4902" s="2"/>
      <c r="S4902" s="2" t="s">
        <v>32142</v>
      </c>
      <c r="T4902" s="2" t="s">
        <v>32143</v>
      </c>
      <c r="U4902" s="2" t="s">
        <v>56</v>
      </c>
      <c r="V4902" s="2" t="s">
        <v>283</v>
      </c>
      <c r="W4902" s="2" t="s">
        <v>2042</v>
      </c>
      <c r="X4902" s="2" t="s">
        <v>147</v>
      </c>
      <c r="Y4902" s="2">
        <v>38.799999999999997</v>
      </c>
      <c r="Z4902" s="2">
        <v>0</v>
      </c>
      <c r="AA4902" s="2" t="s">
        <v>218</v>
      </c>
      <c r="AB4902" s="2" t="s">
        <v>32144</v>
      </c>
      <c r="AC4902" s="2">
        <v>-4.0190875781029402E-2</v>
      </c>
      <c r="AD4902" s="2"/>
      <c r="AE4902" s="2">
        <v>6.2958773334095899E-2</v>
      </c>
      <c r="AF4902" s="2">
        <v>1069.87657965014</v>
      </c>
      <c r="AG4902" s="2">
        <v>783.09043104953298</v>
      </c>
      <c r="AH4902" s="5">
        <v>1.36622353846956</v>
      </c>
      <c r="AI4902" s="5">
        <v>0.45019355350856699</v>
      </c>
      <c r="AJ4902" s="5" t="s">
        <v>139</v>
      </c>
      <c r="AK4902" s="2">
        <v>0.42360118604031799</v>
      </c>
      <c r="AL4902" s="2">
        <v>0.683406571622166</v>
      </c>
      <c r="AM4902" s="2">
        <v>1029.2435529888701</v>
      </c>
      <c r="AN4902" s="2">
        <v>629.07831149304502</v>
      </c>
      <c r="AO4902" s="2">
        <v>736.21821281895905</v>
      </c>
      <c r="AP4902" s="2">
        <v>1836.0305424872099</v>
      </c>
      <c r="AQ4902" s="2">
        <v>1827.17965405577</v>
      </c>
      <c r="AR4902" s="2">
        <v>361.50920405701498</v>
      </c>
      <c r="AS4902" s="2">
        <v>1040.93836094676</v>
      </c>
      <c r="AT4902" s="2">
        <v>1697.5788008654399</v>
      </c>
      <c r="AU4902" s="2">
        <v>577.66633539956604</v>
      </c>
      <c r="AV4902" s="2">
        <v>8.559877937157E-6</v>
      </c>
      <c r="AW4902" s="2">
        <v>679.75226720587796</v>
      </c>
      <c r="AX4902" s="2">
        <v>702.60681331967498</v>
      </c>
    </row>
    <row r="4903" spans="1:50" x14ac:dyDescent="0.25">
      <c r="A4903" s="2" t="s">
        <v>32145</v>
      </c>
      <c r="B4903" s="2">
        <v>201.102945725702</v>
      </c>
      <c r="C4903" s="2">
        <v>4.9557333333333302</v>
      </c>
      <c r="D4903" s="2" t="s">
        <v>51</v>
      </c>
      <c r="E4903" s="2" t="s">
        <v>32146</v>
      </c>
      <c r="F4903" s="2">
        <v>208662</v>
      </c>
      <c r="G4903" s="3" t="str">
        <f>HYPERLINK("https://cloud.oebiotech.com/#/lm/network/208662", "https://cloud.oebiotech.com/#/lm/network/208662")</f>
        <v>https://cloud.oebiotech.com/#/lm/network/208662</v>
      </c>
      <c r="H4903" s="2" t="s">
        <v>32147</v>
      </c>
      <c r="I4903" s="2"/>
      <c r="J4903" s="2"/>
      <c r="K4903" s="2">
        <v>122205</v>
      </c>
      <c r="L4903" s="2"/>
      <c r="M4903" s="2"/>
      <c r="N4903" s="2"/>
      <c r="O4903" s="2"/>
      <c r="P4903" s="2"/>
      <c r="Q4903" s="2"/>
      <c r="R4903" s="2"/>
      <c r="S4903" s="2" t="s">
        <v>32148</v>
      </c>
      <c r="T4903" s="2" t="s">
        <v>32149</v>
      </c>
      <c r="U4903" s="2" t="s">
        <v>103</v>
      </c>
      <c r="V4903" s="2" t="s">
        <v>104</v>
      </c>
      <c r="W4903" s="2" t="s">
        <v>105</v>
      </c>
      <c r="X4903" s="2" t="s">
        <v>83</v>
      </c>
      <c r="Y4903" s="2">
        <v>45.5</v>
      </c>
      <c r="Z4903" s="2">
        <v>0</v>
      </c>
      <c r="AA4903" s="2" t="s">
        <v>156</v>
      </c>
      <c r="AB4903" s="2" t="s">
        <v>32150</v>
      </c>
      <c r="AC4903" s="2">
        <v>3.2382398067889202</v>
      </c>
      <c r="AD4903" s="2"/>
      <c r="AE4903" s="2">
        <v>6.2899320137709297E-2</v>
      </c>
      <c r="AF4903" s="2">
        <v>10.8549754959633</v>
      </c>
      <c r="AG4903" s="2">
        <v>463.87024331494302</v>
      </c>
      <c r="AH4903" s="4">
        <v>2.3400887753417299E-2</v>
      </c>
      <c r="AI4903" s="4">
        <v>-5.4172929277797799</v>
      </c>
      <c r="AJ4903" s="4" t="s">
        <v>62</v>
      </c>
      <c r="AK4903" s="2">
        <v>0.32302493497664297</v>
      </c>
      <c r="AL4903" s="2">
        <v>0.62992073899545697</v>
      </c>
      <c r="AM4903" s="2">
        <v>8.559877937157E-6</v>
      </c>
      <c r="AN4903" s="2">
        <v>8.559877937157E-6</v>
      </c>
      <c r="AO4903" s="2">
        <v>8.559877937157E-6</v>
      </c>
      <c r="AP4903" s="2">
        <v>8.559877937157E-6</v>
      </c>
      <c r="AQ4903" s="2">
        <v>65.129810176390393</v>
      </c>
      <c r="AR4903" s="2">
        <v>8.559877937157E-6</v>
      </c>
      <c r="AS4903" s="2">
        <v>8.559877937157E-6</v>
      </c>
      <c r="AT4903" s="2">
        <v>2640.9015294034002</v>
      </c>
      <c r="AU4903" s="2">
        <v>68.548140566739306</v>
      </c>
      <c r="AV4903" s="2">
        <v>8.559877937157E-6</v>
      </c>
      <c r="AW4903" s="2">
        <v>8.559877937157E-6</v>
      </c>
      <c r="AX4903" s="2">
        <v>73.771764239881804</v>
      </c>
    </row>
    <row r="4904" spans="1:50" x14ac:dyDescent="0.25">
      <c r="A4904" s="2" t="s">
        <v>32151</v>
      </c>
      <c r="B4904" s="2">
        <v>511.31002967984699</v>
      </c>
      <c r="C4904" s="2">
        <v>15.0309333333333</v>
      </c>
      <c r="D4904" s="2" t="s">
        <v>51</v>
      </c>
      <c r="E4904" s="2" t="s">
        <v>32152</v>
      </c>
      <c r="F4904" s="2">
        <v>55026</v>
      </c>
      <c r="G4904" s="3" t="str">
        <f>HYPERLINK("https://cloud.oebiotech.com/#/lm/network/55026", "https://cloud.oebiotech.com/#/lm/network/55026")</f>
        <v>https://cloud.oebiotech.com/#/lm/network/55026</v>
      </c>
      <c r="H4904" s="2" t="s">
        <v>32153</v>
      </c>
      <c r="I4904" s="2">
        <v>86792</v>
      </c>
      <c r="J4904" s="2"/>
      <c r="K4904" s="2">
        <v>5318090</v>
      </c>
      <c r="L4904" s="2"/>
      <c r="M4904" s="2"/>
      <c r="N4904" s="2"/>
      <c r="O4904" s="2"/>
      <c r="P4904" s="2"/>
      <c r="Q4904" s="2"/>
      <c r="R4904" s="2" t="s">
        <v>32154</v>
      </c>
      <c r="S4904" s="2" t="s">
        <v>32155</v>
      </c>
      <c r="T4904" s="2" t="s">
        <v>32156</v>
      </c>
      <c r="U4904" s="2" t="s">
        <v>238</v>
      </c>
      <c r="V4904" s="2" t="s">
        <v>860</v>
      </c>
      <c r="W4904" s="2" t="s">
        <v>32157</v>
      </c>
      <c r="X4904" s="2" t="s">
        <v>147</v>
      </c>
      <c r="Y4904" s="2">
        <v>38.5</v>
      </c>
      <c r="Z4904" s="2">
        <v>0</v>
      </c>
      <c r="AA4904" s="2" t="s">
        <v>478</v>
      </c>
      <c r="AB4904" s="2" t="s">
        <v>32158</v>
      </c>
      <c r="AC4904" s="2">
        <v>4.2543555981930901</v>
      </c>
      <c r="AD4904" s="2"/>
      <c r="AE4904" s="2">
        <v>6.2717812700112494E-2</v>
      </c>
      <c r="AF4904" s="2">
        <v>1050.8598374062201</v>
      </c>
      <c r="AG4904" s="2">
        <v>1421.93235094957</v>
      </c>
      <c r="AH4904" s="4">
        <v>0.739036450436235</v>
      </c>
      <c r="AI4904" s="4">
        <v>-0.43628257278015697</v>
      </c>
      <c r="AJ4904" s="4" t="s">
        <v>62</v>
      </c>
      <c r="AK4904" s="2">
        <v>0.54107345171819199</v>
      </c>
      <c r="AL4904" s="2">
        <v>0.76575758828388696</v>
      </c>
      <c r="AM4904" s="2">
        <v>1845.1109627878</v>
      </c>
      <c r="AN4904" s="2">
        <v>1672.3588133830499</v>
      </c>
      <c r="AO4904" s="2">
        <v>843.043139285351</v>
      </c>
      <c r="AP4904" s="2">
        <v>1037.5708977141901</v>
      </c>
      <c r="AQ4904" s="2">
        <v>314.960897770771</v>
      </c>
      <c r="AR4904" s="2">
        <v>592.11431349617396</v>
      </c>
      <c r="AS4904" s="2">
        <v>956.77447751162299</v>
      </c>
      <c r="AT4904" s="2">
        <v>8.559877937157E-6</v>
      </c>
      <c r="AU4904" s="2">
        <v>1826.6097244955599</v>
      </c>
      <c r="AV4904" s="2">
        <v>3537.82213134224</v>
      </c>
      <c r="AW4904" s="2">
        <v>1949.0749669143099</v>
      </c>
      <c r="AX4904" s="2">
        <v>261.312796873818</v>
      </c>
    </row>
    <row r="4905" spans="1:50" x14ac:dyDescent="0.25">
      <c r="A4905" s="2" t="s">
        <v>32159</v>
      </c>
      <c r="B4905" s="2">
        <v>329.02878853679999</v>
      </c>
      <c r="C4905" s="2">
        <v>3.6124666666666698</v>
      </c>
      <c r="D4905" s="2" t="s">
        <v>51</v>
      </c>
      <c r="E4905" s="2" t="s">
        <v>32160</v>
      </c>
      <c r="F4905" s="2">
        <v>46911</v>
      </c>
      <c r="G4905" s="3" t="str">
        <f>HYPERLINK("https://cloud.oebiotech.com/#/lm/network/46911", "https://cloud.oebiotech.com/#/lm/network/46911")</f>
        <v>https://cloud.oebiotech.com/#/lm/network/46911</v>
      </c>
      <c r="H4905" s="2" t="s">
        <v>32161</v>
      </c>
      <c r="I4905" s="2">
        <v>3490</v>
      </c>
      <c r="J4905" s="2"/>
      <c r="K4905" s="2">
        <v>8582</v>
      </c>
      <c r="L4905" s="2" t="s">
        <v>32162</v>
      </c>
      <c r="M4905" s="2" t="s">
        <v>32163</v>
      </c>
      <c r="N4905" s="2" t="s">
        <v>32164</v>
      </c>
      <c r="O4905" s="2">
        <v>17202</v>
      </c>
      <c r="P4905" s="2" t="s">
        <v>32165</v>
      </c>
      <c r="Q4905" s="2" t="s">
        <v>32166</v>
      </c>
      <c r="R4905" s="2" t="s">
        <v>32167</v>
      </c>
      <c r="S4905" s="2" t="s">
        <v>32168</v>
      </c>
      <c r="T4905" s="2" t="s">
        <v>32169</v>
      </c>
      <c r="U4905" s="2" t="s">
        <v>295</v>
      </c>
      <c r="V4905" s="2" t="s">
        <v>1023</v>
      </c>
      <c r="W4905" s="2" t="s">
        <v>4858</v>
      </c>
      <c r="X4905" s="2" t="s">
        <v>147</v>
      </c>
      <c r="Y4905" s="2">
        <v>40.9</v>
      </c>
      <c r="Z4905" s="2">
        <v>13.9</v>
      </c>
      <c r="AA4905" s="2" t="s">
        <v>379</v>
      </c>
      <c r="AB4905" s="2" t="s">
        <v>32170</v>
      </c>
      <c r="AC4905" s="2">
        <v>-1.3514429231534699</v>
      </c>
      <c r="AD4905" s="2"/>
      <c r="AE4905" s="2">
        <v>6.2648242848257901E-2</v>
      </c>
      <c r="AF4905" s="2">
        <v>27661.529366804301</v>
      </c>
      <c r="AG4905" s="2">
        <v>28720.784473587501</v>
      </c>
      <c r="AH4905" s="4">
        <v>0.96311886579012695</v>
      </c>
      <c r="AI4905" s="4">
        <v>-5.4214231913900103E-2</v>
      </c>
      <c r="AJ4905" s="4" t="s">
        <v>62</v>
      </c>
      <c r="AK4905" s="2">
        <v>0.84948204142665695</v>
      </c>
      <c r="AL4905" s="2">
        <v>0.93318515058070095</v>
      </c>
      <c r="AM4905" s="2">
        <v>21464.889986861301</v>
      </c>
      <c r="AN4905" s="2">
        <v>31141.340723661498</v>
      </c>
      <c r="AO4905" s="2">
        <v>23575.210515630199</v>
      </c>
      <c r="AP4905" s="2">
        <v>38558.052197930003</v>
      </c>
      <c r="AQ4905" s="2">
        <v>29101.1857136416</v>
      </c>
      <c r="AR4905" s="2">
        <v>22128.4970631012</v>
      </c>
      <c r="AS4905" s="2">
        <v>32471.943722474702</v>
      </c>
      <c r="AT4905" s="2">
        <v>42895.657395611997</v>
      </c>
      <c r="AU4905" s="2">
        <v>23971.745054626601</v>
      </c>
      <c r="AV4905" s="2">
        <v>11377.7696789073</v>
      </c>
      <c r="AW4905" s="2">
        <v>23000.398556395499</v>
      </c>
      <c r="AX4905" s="2">
        <v>38607.192433509001</v>
      </c>
    </row>
    <row r="4906" spans="1:50" x14ac:dyDescent="0.25">
      <c r="A4906" s="2" t="s">
        <v>32171</v>
      </c>
      <c r="B4906" s="2">
        <v>144.13864307103501</v>
      </c>
      <c r="C4906" s="2">
        <v>6.68445</v>
      </c>
      <c r="D4906" s="2" t="s">
        <v>51</v>
      </c>
      <c r="E4906" s="2" t="s">
        <v>32172</v>
      </c>
      <c r="F4906" s="2">
        <v>9919</v>
      </c>
      <c r="G4906" s="3" t="str">
        <f>HYPERLINK("https://cloud.oebiotech.com/#/lm/network/9919", "https://cloud.oebiotech.com/#/lm/network/9919")</f>
        <v>https://cloud.oebiotech.com/#/lm/network/9919</v>
      </c>
      <c r="H4906" s="2"/>
      <c r="I4906" s="2">
        <v>98134</v>
      </c>
      <c r="J4906" s="2" t="s">
        <v>32173</v>
      </c>
      <c r="K4906" s="2">
        <v>117297</v>
      </c>
      <c r="L4906" s="2"/>
      <c r="M4906" s="2"/>
      <c r="N4906" s="2"/>
      <c r="O4906" s="2"/>
      <c r="P4906" s="2"/>
      <c r="Q4906" s="2"/>
      <c r="R4906" s="2"/>
      <c r="S4906" s="2" t="s">
        <v>32174</v>
      </c>
      <c r="T4906" s="2" t="s">
        <v>32175</v>
      </c>
      <c r="U4906" s="2" t="s">
        <v>331</v>
      </c>
      <c r="V4906" s="2" t="s">
        <v>332</v>
      </c>
      <c r="W4906" s="2" t="s">
        <v>1207</v>
      </c>
      <c r="X4906" s="2" t="s">
        <v>147</v>
      </c>
      <c r="Y4906" s="2">
        <v>38.9</v>
      </c>
      <c r="Z4906" s="2">
        <v>0</v>
      </c>
      <c r="AA4906" s="2" t="s">
        <v>512</v>
      </c>
      <c r="AB4906" s="2" t="s">
        <v>32176</v>
      </c>
      <c r="AC4906" s="2">
        <v>2.79508338111583</v>
      </c>
      <c r="AD4906" s="2"/>
      <c r="AE4906" s="2">
        <v>6.2574162537859301E-2</v>
      </c>
      <c r="AF4906" s="2">
        <v>1761.8513442496101</v>
      </c>
      <c r="AG4906" s="2">
        <v>1272.0003228495</v>
      </c>
      <c r="AH4906" s="5">
        <v>1.38510290650143</v>
      </c>
      <c r="AI4906" s="5">
        <v>0.46999316557707999</v>
      </c>
      <c r="AJ4906" s="5" t="s">
        <v>139</v>
      </c>
      <c r="AK4906" s="2">
        <v>0.57981027579659905</v>
      </c>
      <c r="AL4906" s="2">
        <v>0.788322492623872</v>
      </c>
      <c r="AM4906" s="2">
        <v>567.35711980628196</v>
      </c>
      <c r="AN4906" s="2">
        <v>631.43107658905899</v>
      </c>
      <c r="AO4906" s="2">
        <v>5228.5876599454396</v>
      </c>
      <c r="AP4906" s="2">
        <v>758.46226655888904</v>
      </c>
      <c r="AQ4906" s="2">
        <v>2817.67832529424</v>
      </c>
      <c r="AR4906" s="2">
        <v>567.59161730374296</v>
      </c>
      <c r="AS4906" s="2">
        <v>3023.1059601082002</v>
      </c>
      <c r="AT4906" s="2">
        <v>977.92369249082299</v>
      </c>
      <c r="AU4906" s="2">
        <v>884.24350234863198</v>
      </c>
      <c r="AV4906" s="2">
        <v>903.64870813960204</v>
      </c>
      <c r="AW4906" s="2">
        <v>799.56906533672895</v>
      </c>
      <c r="AX4906" s="2">
        <v>1043.5110086730299</v>
      </c>
    </row>
    <row r="4907" spans="1:50" x14ac:dyDescent="0.25">
      <c r="A4907" s="2" t="s">
        <v>32177</v>
      </c>
      <c r="B4907" s="2">
        <v>247.14047934926501</v>
      </c>
      <c r="C4907" s="2">
        <v>12.9179333333333</v>
      </c>
      <c r="D4907" s="2" t="s">
        <v>51</v>
      </c>
      <c r="E4907" s="2" t="s">
        <v>32178</v>
      </c>
      <c r="F4907" s="2">
        <v>213297</v>
      </c>
      <c r="G4907" s="3" t="str">
        <f>HYPERLINK("https://cloud.oebiotech.com/#/lm/network/213297", "https://cloud.oebiotech.com/#/lm/network/213297")</f>
        <v>https://cloud.oebiotech.com/#/lm/network/213297</v>
      </c>
      <c r="H4907" s="2" t="s">
        <v>32179</v>
      </c>
      <c r="I4907" s="2"/>
      <c r="J4907" s="2"/>
      <c r="K4907" s="2"/>
      <c r="L4907" s="2"/>
      <c r="M4907" s="2"/>
      <c r="N4907" s="2"/>
      <c r="O4907" s="2"/>
      <c r="P4907" s="2"/>
      <c r="Q4907" s="2"/>
      <c r="R4907" s="2"/>
      <c r="S4907" s="2" t="s">
        <v>32180</v>
      </c>
      <c r="T4907" s="2" t="s">
        <v>32181</v>
      </c>
      <c r="U4907" s="2" t="s">
        <v>103</v>
      </c>
      <c r="V4907" s="2" t="s">
        <v>104</v>
      </c>
      <c r="W4907" s="2" t="s">
        <v>105</v>
      </c>
      <c r="X4907" s="2" t="s">
        <v>147</v>
      </c>
      <c r="Y4907" s="2">
        <v>38.9</v>
      </c>
      <c r="Z4907" s="2">
        <v>0</v>
      </c>
      <c r="AA4907" s="2" t="s">
        <v>259</v>
      </c>
      <c r="AB4907" s="2" t="s">
        <v>10679</v>
      </c>
      <c r="AC4907" s="2">
        <v>1.61637358730806</v>
      </c>
      <c r="AD4907" s="2"/>
      <c r="AE4907" s="2">
        <v>6.25645248131705E-2</v>
      </c>
      <c r="AF4907" s="2">
        <v>4484.7560279088902</v>
      </c>
      <c r="AG4907" s="2">
        <v>5886.1008852915802</v>
      </c>
      <c r="AH4907" s="4">
        <v>0.76192306508296104</v>
      </c>
      <c r="AI4907" s="4">
        <v>-0.39228276544549301</v>
      </c>
      <c r="AJ4907" s="4" t="s">
        <v>62</v>
      </c>
      <c r="AK4907" s="2">
        <v>0.36267949730433402</v>
      </c>
      <c r="AL4907" s="2">
        <v>0.64719812909402796</v>
      </c>
      <c r="AM4907" s="2">
        <v>8201.3834489490091</v>
      </c>
      <c r="AN4907" s="2">
        <v>4690.8553136640503</v>
      </c>
      <c r="AO4907" s="2">
        <v>2682.8829771128699</v>
      </c>
      <c r="AP4907" s="2">
        <v>3450.8605559012699</v>
      </c>
      <c r="AQ4907" s="2">
        <v>3451.86796104425</v>
      </c>
      <c r="AR4907" s="2">
        <v>4430.68591078187</v>
      </c>
      <c r="AS4907" s="2">
        <v>2400.8240171737202</v>
      </c>
      <c r="AT4907" s="2">
        <v>9012.9924628039698</v>
      </c>
      <c r="AU4907" s="2">
        <v>10092.0039637718</v>
      </c>
      <c r="AV4907" s="2">
        <v>4427.54178142205</v>
      </c>
      <c r="AW4907" s="2">
        <v>5371.4357742903403</v>
      </c>
      <c r="AX4907" s="2">
        <v>4011.8073122875799</v>
      </c>
    </row>
    <row r="4908" spans="1:50" x14ac:dyDescent="0.25">
      <c r="A4908" s="2" t="s">
        <v>32182</v>
      </c>
      <c r="B4908" s="2">
        <v>417.30124523782501</v>
      </c>
      <c r="C4908" s="2">
        <v>11.925333333333301</v>
      </c>
      <c r="D4908" s="2" t="s">
        <v>51</v>
      </c>
      <c r="E4908" s="2" t="s">
        <v>32183</v>
      </c>
      <c r="F4908" s="2">
        <v>52034</v>
      </c>
      <c r="G4908" s="3" t="str">
        <f>HYPERLINK("https://cloud.oebiotech.com/#/lm/network/52034", "https://cloud.oebiotech.com/#/lm/network/52034")</f>
        <v>https://cloud.oebiotech.com/#/lm/network/52034</v>
      </c>
      <c r="H4908" s="2" t="s">
        <v>32184</v>
      </c>
      <c r="I4908" s="2"/>
      <c r="J4908" s="2"/>
      <c r="K4908" s="2">
        <v>53481451</v>
      </c>
      <c r="L4908" s="2"/>
      <c r="M4908" s="2"/>
      <c r="N4908" s="2"/>
      <c r="O4908" s="2">
        <v>172659</v>
      </c>
      <c r="P4908" s="2"/>
      <c r="Q4908" s="2"/>
      <c r="R4908" s="2"/>
      <c r="S4908" s="2" t="s">
        <v>32185</v>
      </c>
      <c r="T4908" s="2" t="s">
        <v>32186</v>
      </c>
      <c r="U4908" s="2" t="s">
        <v>56</v>
      </c>
      <c r="V4908" s="2" t="s">
        <v>177</v>
      </c>
      <c r="W4908" s="2" t="s">
        <v>1996</v>
      </c>
      <c r="X4908" s="2" t="s">
        <v>69</v>
      </c>
      <c r="Y4908" s="2">
        <v>59.8</v>
      </c>
      <c r="Z4908" s="2">
        <v>54.2</v>
      </c>
      <c r="AA4908" s="2" t="s">
        <v>163</v>
      </c>
      <c r="AB4908" s="2" t="s">
        <v>1750</v>
      </c>
      <c r="AC4908" s="2">
        <v>0.50643183414297899</v>
      </c>
      <c r="AD4908" s="2"/>
      <c r="AE4908" s="2">
        <v>6.2546928639315699E-2</v>
      </c>
      <c r="AF4908" s="2">
        <v>34561.408234092298</v>
      </c>
      <c r="AG4908" s="2">
        <v>33486.347631490702</v>
      </c>
      <c r="AH4908" s="5">
        <v>1.0321044449048999</v>
      </c>
      <c r="AI4908" s="5">
        <v>4.5588973204844598E-2</v>
      </c>
      <c r="AJ4908" s="5" t="s">
        <v>139</v>
      </c>
      <c r="AK4908" s="2">
        <v>0.92865161113056405</v>
      </c>
      <c r="AL4908" s="2">
        <v>0.96964555316253198</v>
      </c>
      <c r="AM4908" s="2">
        <v>19220.4919451805</v>
      </c>
      <c r="AN4908" s="2">
        <v>33125.712707900202</v>
      </c>
      <c r="AO4908" s="2">
        <v>58748.9849522281</v>
      </c>
      <c r="AP4908" s="2">
        <v>58031.041626972001</v>
      </c>
      <c r="AQ4908" s="2">
        <v>22829.7564756787</v>
      </c>
      <c r="AR4908" s="2">
        <v>15412.461696594601</v>
      </c>
      <c r="AS4908" s="2">
        <v>47252.523846579403</v>
      </c>
      <c r="AT4908" s="2">
        <v>23146.754617199</v>
      </c>
      <c r="AU4908" s="2">
        <v>18503.0800750243</v>
      </c>
      <c r="AV4908" s="2">
        <v>10989.246695174001</v>
      </c>
      <c r="AW4908" s="2">
        <v>32796.070013957702</v>
      </c>
      <c r="AX4908" s="2">
        <v>68230.410541009594</v>
      </c>
    </row>
    <row r="4909" spans="1:50" x14ac:dyDescent="0.25">
      <c r="A4909" s="2" t="s">
        <v>32187</v>
      </c>
      <c r="B4909" s="2">
        <v>156.07910000000001</v>
      </c>
      <c r="C4909" s="2">
        <v>11.845000000000001</v>
      </c>
      <c r="D4909" s="2" t="s">
        <v>125</v>
      </c>
      <c r="E4909" s="2" t="s">
        <v>32188</v>
      </c>
      <c r="F4909" s="2">
        <v>46854</v>
      </c>
      <c r="G4909" s="3" t="str">
        <f>HYPERLINK("https://cloud.oebiotech.com/#/lm/network/46854", "https://cloud.oebiotech.com/#/lm/network/46854")</f>
        <v>https://cloud.oebiotech.com/#/lm/network/46854</v>
      </c>
      <c r="H4909" s="2" t="s">
        <v>32189</v>
      </c>
      <c r="I4909" s="2">
        <v>50</v>
      </c>
      <c r="J4909" s="2"/>
      <c r="K4909" s="2">
        <v>849</v>
      </c>
      <c r="L4909" s="2" t="s">
        <v>32190</v>
      </c>
      <c r="M4909" s="2" t="s">
        <v>6725</v>
      </c>
      <c r="N4909" s="2" t="s">
        <v>6726</v>
      </c>
      <c r="O4909" s="2">
        <v>17964</v>
      </c>
      <c r="P4909" s="2"/>
      <c r="Q4909" s="2"/>
      <c r="R4909" s="2" t="s">
        <v>32191</v>
      </c>
      <c r="S4909" s="2" t="s">
        <v>32192</v>
      </c>
      <c r="T4909" s="2" t="s">
        <v>32193</v>
      </c>
      <c r="U4909" s="2" t="s">
        <v>103</v>
      </c>
      <c r="V4909" s="2" t="s">
        <v>104</v>
      </c>
      <c r="W4909" s="2" t="s">
        <v>105</v>
      </c>
      <c r="X4909" s="2" t="s">
        <v>83</v>
      </c>
      <c r="Y4909" s="2">
        <v>82.1</v>
      </c>
      <c r="Z4909" s="2">
        <v>70.2</v>
      </c>
      <c r="AA4909" s="2"/>
      <c r="AB4909" s="2" t="s">
        <v>16733</v>
      </c>
      <c r="AC4909" s="2"/>
      <c r="AD4909" s="2">
        <v>400537.61029181001</v>
      </c>
      <c r="AE4909" s="2">
        <v>6.2477382117596403E-2</v>
      </c>
      <c r="AF4909" s="2">
        <v>17788.460207166601</v>
      </c>
      <c r="AG4909" s="2">
        <v>15903.322891243501</v>
      </c>
      <c r="AH4909" s="5">
        <v>1.1185373225969699</v>
      </c>
      <c r="AI4909" s="5">
        <v>0.16161339607267899</v>
      </c>
      <c r="AJ4909" s="5" t="s">
        <v>139</v>
      </c>
      <c r="AK4909" s="2">
        <v>0.369599798842695</v>
      </c>
      <c r="AL4909" s="2">
        <v>0.65308465149296302</v>
      </c>
      <c r="AM4909" s="2">
        <v>15878.895814768601</v>
      </c>
      <c r="AN4909" s="2">
        <v>23065.3556088927</v>
      </c>
      <c r="AO4909" s="2">
        <v>17880.0511981583</v>
      </c>
      <c r="AP4909" s="2">
        <v>22611.6260868918</v>
      </c>
      <c r="AQ4909" s="2">
        <v>14130.4507376807</v>
      </c>
      <c r="AR4909" s="2">
        <v>13164.3817966072</v>
      </c>
      <c r="AS4909" s="2">
        <v>17031.9808834867</v>
      </c>
      <c r="AT4909" s="2">
        <v>15977.116122642399</v>
      </c>
      <c r="AU4909" s="2">
        <v>11971.3843776877</v>
      </c>
      <c r="AV4909" s="2">
        <v>14376.675098427801</v>
      </c>
      <c r="AW4909" s="2">
        <v>16781.503881664699</v>
      </c>
      <c r="AX4909" s="2">
        <v>19281.276983551801</v>
      </c>
    </row>
    <row r="4910" spans="1:50" x14ac:dyDescent="0.25">
      <c r="A4910" s="2" t="s">
        <v>32194</v>
      </c>
      <c r="B4910" s="2">
        <v>357.11958281424199</v>
      </c>
      <c r="C4910" s="2">
        <v>4.6280333333333301</v>
      </c>
      <c r="D4910" s="2" t="s">
        <v>51</v>
      </c>
      <c r="E4910" s="2" t="s">
        <v>32195</v>
      </c>
      <c r="F4910" s="2">
        <v>209661</v>
      </c>
      <c r="G4910" s="3" t="str">
        <f>HYPERLINK("https://cloud.oebiotech.com/#/lm/network/209661", "https://cloud.oebiotech.com/#/lm/network/209661")</f>
        <v>https://cloud.oebiotech.com/#/lm/network/209661</v>
      </c>
      <c r="H4910" s="2" t="s">
        <v>32196</v>
      </c>
      <c r="I4910" s="2"/>
      <c r="J4910" s="2"/>
      <c r="K4910" s="2">
        <v>45926902</v>
      </c>
      <c r="L4910" s="2"/>
      <c r="M4910" s="2"/>
      <c r="N4910" s="2"/>
      <c r="O4910" s="2"/>
      <c r="P4910" s="2"/>
      <c r="Q4910" s="2"/>
      <c r="R4910" s="2"/>
      <c r="S4910" s="2" t="s">
        <v>32197</v>
      </c>
      <c r="T4910" s="2" t="s">
        <v>32198</v>
      </c>
      <c r="U4910" s="2" t="s">
        <v>103</v>
      </c>
      <c r="V4910" s="2" t="s">
        <v>104</v>
      </c>
      <c r="W4910" s="2" t="s">
        <v>105</v>
      </c>
      <c r="X4910" s="2" t="s">
        <v>147</v>
      </c>
      <c r="Y4910" s="2">
        <v>44.7</v>
      </c>
      <c r="Z4910" s="2">
        <v>32.6</v>
      </c>
      <c r="AA4910" s="2" t="s">
        <v>32199</v>
      </c>
      <c r="AB4910" s="2" t="s">
        <v>32200</v>
      </c>
      <c r="AC4910" s="2">
        <v>-4.8166613589177896</v>
      </c>
      <c r="AD4910" s="2"/>
      <c r="AE4910" s="2">
        <v>6.22609958388377E-2</v>
      </c>
      <c r="AF4910" s="2">
        <v>13242.4872172701</v>
      </c>
      <c r="AG4910" s="2">
        <v>13398.598319414201</v>
      </c>
      <c r="AH4910" s="4">
        <v>0.98834869898906397</v>
      </c>
      <c r="AI4910" s="4">
        <v>-1.69079664898425E-2</v>
      </c>
      <c r="AJ4910" s="4" t="s">
        <v>62</v>
      </c>
      <c r="AK4910" s="2">
        <v>0.98295215160844096</v>
      </c>
      <c r="AL4910" s="2">
        <v>0.99261612839763103</v>
      </c>
      <c r="AM4910" s="2">
        <v>3050.6056776013802</v>
      </c>
      <c r="AN4910" s="2">
        <v>14488.968712889</v>
      </c>
      <c r="AO4910" s="2">
        <v>16898.866707799501</v>
      </c>
      <c r="AP4910" s="2">
        <v>5767.7513378949197</v>
      </c>
      <c r="AQ4910" s="2">
        <v>19563.478656053299</v>
      </c>
      <c r="AR4910" s="2">
        <v>19685.252211382201</v>
      </c>
      <c r="AS4910" s="2">
        <v>18817.850963805398</v>
      </c>
      <c r="AT4910" s="2">
        <v>9611.60264592356</v>
      </c>
      <c r="AU4910" s="2">
        <v>3990.8531689125002</v>
      </c>
      <c r="AV4910" s="2">
        <v>2886.70899868675</v>
      </c>
      <c r="AW4910" s="2">
        <v>1839.6417433602101</v>
      </c>
      <c r="AX4910" s="2">
        <v>43244.932395796597</v>
      </c>
    </row>
    <row r="4911" spans="1:50" x14ac:dyDescent="0.25">
      <c r="A4911" s="2" t="s">
        <v>32201</v>
      </c>
      <c r="B4911" s="2">
        <v>281.111904167945</v>
      </c>
      <c r="C4911" s="2">
        <v>2.9351333333333298</v>
      </c>
      <c r="D4911" s="2" t="s">
        <v>51</v>
      </c>
      <c r="E4911" s="2" t="s">
        <v>32202</v>
      </c>
      <c r="F4911" s="2">
        <v>82964</v>
      </c>
      <c r="G4911" s="3" t="str">
        <f>HYPERLINK("https://cloud.oebiotech.com/#/lm/network/82964", "https://cloud.oebiotech.com/#/lm/network/82964")</f>
        <v>https://cloud.oebiotech.com/#/lm/network/82964</v>
      </c>
      <c r="H4911" s="2" t="s">
        <v>32203</v>
      </c>
      <c r="I4911" s="2"/>
      <c r="J4911" s="2"/>
      <c r="K4911" s="2">
        <v>131770049</v>
      </c>
      <c r="L4911" s="2"/>
      <c r="M4911" s="2"/>
      <c r="N4911" s="2"/>
      <c r="O4911" s="2"/>
      <c r="P4911" s="2"/>
      <c r="Q4911" s="2"/>
      <c r="R4911" s="2"/>
      <c r="S4911" s="2" t="s">
        <v>32204</v>
      </c>
      <c r="T4911" s="2" t="s">
        <v>32205</v>
      </c>
      <c r="U4911" s="2" t="s">
        <v>103</v>
      </c>
      <c r="V4911" s="2" t="s">
        <v>104</v>
      </c>
      <c r="W4911" s="2" t="s">
        <v>105</v>
      </c>
      <c r="X4911" s="2" t="s">
        <v>83</v>
      </c>
      <c r="Y4911" s="2">
        <v>38.1</v>
      </c>
      <c r="Z4911" s="2">
        <v>1.68</v>
      </c>
      <c r="AA4911" s="2" t="s">
        <v>163</v>
      </c>
      <c r="AB4911" s="2" t="s">
        <v>29683</v>
      </c>
      <c r="AC4911" s="2">
        <v>-8.4753700351640298</v>
      </c>
      <c r="AD4911" s="2"/>
      <c r="AE4911" s="2">
        <v>6.2196622799982101E-2</v>
      </c>
      <c r="AF4911" s="2">
        <v>5544.7431357615797</v>
      </c>
      <c r="AG4911" s="2">
        <v>5644.4979826564304</v>
      </c>
      <c r="AH4911" s="4">
        <v>0.98232706483351395</v>
      </c>
      <c r="AI4911" s="4">
        <v>-2.57246464646631E-2</v>
      </c>
      <c r="AJ4911" s="4" t="s">
        <v>62</v>
      </c>
      <c r="AK4911" s="2">
        <v>0.98016998856262905</v>
      </c>
      <c r="AL4911" s="2">
        <v>0.99157642038675697</v>
      </c>
      <c r="AM4911" s="2">
        <v>6899.5263039250403</v>
      </c>
      <c r="AN4911" s="2">
        <v>6870.9455588317996</v>
      </c>
      <c r="AO4911" s="2">
        <v>6049.7276392362701</v>
      </c>
      <c r="AP4911" s="2">
        <v>3869.56364464333</v>
      </c>
      <c r="AQ4911" s="2">
        <v>2890.3889071160902</v>
      </c>
      <c r="AR4911" s="2">
        <v>6688.3067608169504</v>
      </c>
      <c r="AS4911" s="2">
        <v>8.559877937157E-6</v>
      </c>
      <c r="AT4911" s="2">
        <v>589.33125714659798</v>
      </c>
      <c r="AU4911" s="2">
        <v>24509.619291620798</v>
      </c>
      <c r="AV4911" s="2">
        <v>5380.7241971127196</v>
      </c>
      <c r="AW4911" s="2">
        <v>1520.3444005431099</v>
      </c>
      <c r="AX4911" s="2">
        <v>1866.9687409554699</v>
      </c>
    </row>
    <row r="4912" spans="1:50" x14ac:dyDescent="0.25">
      <c r="A4912" s="2" t="s">
        <v>32206</v>
      </c>
      <c r="B4912" s="2">
        <v>225.06106023419801</v>
      </c>
      <c r="C4912" s="2">
        <v>0.94951666666666701</v>
      </c>
      <c r="D4912" s="2" t="s">
        <v>51</v>
      </c>
      <c r="E4912" s="2" t="s">
        <v>32207</v>
      </c>
      <c r="F4912" s="2">
        <v>205289</v>
      </c>
      <c r="G4912" s="3" t="str">
        <f>HYPERLINK("https://cloud.oebiotech.com/#/lm/network/205289", "https://cloud.oebiotech.com/#/lm/network/205289")</f>
        <v>https://cloud.oebiotech.com/#/lm/network/205289</v>
      </c>
      <c r="H4912" s="2" t="s">
        <v>32208</v>
      </c>
      <c r="I4912" s="2"/>
      <c r="J4912" s="2"/>
      <c r="K4912" s="2">
        <v>129729445</v>
      </c>
      <c r="L4912" s="2"/>
      <c r="M4912" s="2"/>
      <c r="N4912" s="2"/>
      <c r="O4912" s="2"/>
      <c r="P4912" s="2"/>
      <c r="Q4912" s="2"/>
      <c r="R4912" s="2"/>
      <c r="S4912" s="2" t="s">
        <v>32209</v>
      </c>
      <c r="T4912" s="2" t="s">
        <v>32210</v>
      </c>
      <c r="U4912" s="2" t="s">
        <v>103</v>
      </c>
      <c r="V4912" s="2" t="s">
        <v>104</v>
      </c>
      <c r="W4912" s="2" t="s">
        <v>105</v>
      </c>
      <c r="X4912" s="2" t="s">
        <v>147</v>
      </c>
      <c r="Y4912" s="2">
        <v>38</v>
      </c>
      <c r="Z4912" s="2">
        <v>0</v>
      </c>
      <c r="AA4912" s="2" t="s">
        <v>156</v>
      </c>
      <c r="AB4912" s="2" t="s">
        <v>32211</v>
      </c>
      <c r="AC4912" s="2">
        <v>-3.1849012513844799</v>
      </c>
      <c r="AD4912" s="2"/>
      <c r="AE4912" s="2">
        <v>6.2173389108083399E-2</v>
      </c>
      <c r="AF4912" s="2">
        <v>622.02982474193698</v>
      </c>
      <c r="AG4912" s="2">
        <v>762.93450616860503</v>
      </c>
      <c r="AH4912" s="4">
        <v>0.81531221843106805</v>
      </c>
      <c r="AI4912" s="4">
        <v>-0.29457545919343597</v>
      </c>
      <c r="AJ4912" s="4" t="s">
        <v>62</v>
      </c>
      <c r="AK4912" s="2">
        <v>0.26646837646647098</v>
      </c>
      <c r="AL4912" s="2">
        <v>0.58793719391510602</v>
      </c>
      <c r="AM4912" s="2">
        <v>364.89621002791603</v>
      </c>
      <c r="AN4912" s="2">
        <v>947.86479293976504</v>
      </c>
      <c r="AO4912" s="2">
        <v>399.46648817765902</v>
      </c>
      <c r="AP4912" s="2">
        <v>613.18033025224304</v>
      </c>
      <c r="AQ4912" s="2">
        <v>607.55841292827699</v>
      </c>
      <c r="AR4912" s="2">
        <v>799.21271412576004</v>
      </c>
      <c r="AS4912" s="2">
        <v>970.11282764351097</v>
      </c>
      <c r="AT4912" s="2">
        <v>574.31301805858197</v>
      </c>
      <c r="AU4912" s="2">
        <v>821.82239146078302</v>
      </c>
      <c r="AV4912" s="2">
        <v>488.93067500114603</v>
      </c>
      <c r="AW4912" s="2">
        <v>868.91521644559396</v>
      </c>
      <c r="AX4912" s="2">
        <v>853.51290840201295</v>
      </c>
    </row>
    <row r="4913" spans="1:50" x14ac:dyDescent="0.25">
      <c r="A4913" s="2" t="s">
        <v>32212</v>
      </c>
      <c r="B4913" s="2">
        <v>305.08190301599302</v>
      </c>
      <c r="C4913" s="2">
        <v>7.9022333333333297</v>
      </c>
      <c r="D4913" s="2" t="s">
        <v>51</v>
      </c>
      <c r="E4913" s="2" t="s">
        <v>32213</v>
      </c>
      <c r="F4913" s="2">
        <v>60757</v>
      </c>
      <c r="G4913" s="3" t="str">
        <f>HYPERLINK("https://cloud.oebiotech.com/#/lm/network/60757", "https://cloud.oebiotech.com/#/lm/network/60757")</f>
        <v>https://cloud.oebiotech.com/#/lm/network/60757</v>
      </c>
      <c r="H4913" s="2" t="s">
        <v>32214</v>
      </c>
      <c r="I4913" s="2">
        <v>92083</v>
      </c>
      <c r="J4913" s="2"/>
      <c r="K4913" s="2">
        <v>10804574</v>
      </c>
      <c r="L4913" s="2"/>
      <c r="M4913" s="2"/>
      <c r="N4913" s="2"/>
      <c r="O4913" s="2">
        <v>174927</v>
      </c>
      <c r="P4913" s="2"/>
      <c r="Q4913" s="2"/>
      <c r="R4913" s="2"/>
      <c r="S4913" s="2" t="s">
        <v>32215</v>
      </c>
      <c r="T4913" s="2" t="s">
        <v>32216</v>
      </c>
      <c r="U4913" s="2" t="s">
        <v>610</v>
      </c>
      <c r="V4913" s="2" t="s">
        <v>813</v>
      </c>
      <c r="W4913" s="2" t="s">
        <v>12504</v>
      </c>
      <c r="X4913" s="2" t="s">
        <v>83</v>
      </c>
      <c r="Y4913" s="2">
        <v>51.3</v>
      </c>
      <c r="Z4913" s="2">
        <v>0</v>
      </c>
      <c r="AA4913" s="2" t="s">
        <v>163</v>
      </c>
      <c r="AB4913" s="2" t="s">
        <v>32217</v>
      </c>
      <c r="AC4913" s="2">
        <v>-9.6309266450577094E-2</v>
      </c>
      <c r="AD4913" s="2"/>
      <c r="AE4913" s="2">
        <v>6.2033755629254901E-2</v>
      </c>
      <c r="AF4913" s="2">
        <v>2268.9403371516501</v>
      </c>
      <c r="AG4913" s="2">
        <v>2477.00961200554</v>
      </c>
      <c r="AH4913" s="4">
        <v>0.91599981128639096</v>
      </c>
      <c r="AI4913" s="4">
        <v>-0.12658079378808701</v>
      </c>
      <c r="AJ4913" s="4" t="s">
        <v>62</v>
      </c>
      <c r="AK4913" s="2">
        <v>0.43292703774552699</v>
      </c>
      <c r="AL4913" s="2">
        <v>0.69056631464137397</v>
      </c>
      <c r="AM4913" s="2">
        <v>2288.8976783289099</v>
      </c>
      <c r="AN4913" s="2">
        <v>1761.08494205492</v>
      </c>
      <c r="AO4913" s="2">
        <v>2293.3372599372901</v>
      </c>
      <c r="AP4913" s="2">
        <v>2569.2675259375801</v>
      </c>
      <c r="AQ4913" s="2">
        <v>2789.3017078707499</v>
      </c>
      <c r="AR4913" s="2">
        <v>1911.7529087804701</v>
      </c>
      <c r="AS4913" s="2">
        <v>2834.3336393365498</v>
      </c>
      <c r="AT4913" s="2">
        <v>2417.50177232237</v>
      </c>
      <c r="AU4913" s="2">
        <v>2405.7613651208198</v>
      </c>
      <c r="AV4913" s="2">
        <v>2496.5742395305001</v>
      </c>
      <c r="AW4913" s="2">
        <v>1635.94616884479</v>
      </c>
      <c r="AX4913" s="2">
        <v>3071.9404868782299</v>
      </c>
    </row>
    <row r="4914" spans="1:50" x14ac:dyDescent="0.25">
      <c r="A4914" s="2" t="s">
        <v>32218</v>
      </c>
      <c r="B4914" s="2">
        <v>221.0873</v>
      </c>
      <c r="C4914" s="2">
        <v>11.776</v>
      </c>
      <c r="D4914" s="2" t="s">
        <v>125</v>
      </c>
      <c r="E4914" s="2" t="s">
        <v>32219</v>
      </c>
      <c r="F4914" s="2">
        <v>2909</v>
      </c>
      <c r="G4914" s="3" t="str">
        <f>HYPERLINK("https://cloud.oebiotech.com/#/lm/network/2909", "https://cloud.oebiotech.com/#/lm/network/2909")</f>
        <v>https://cloud.oebiotech.com/#/lm/network/2909</v>
      </c>
      <c r="H4914" s="2" t="s">
        <v>32220</v>
      </c>
      <c r="I4914" s="2">
        <v>5607</v>
      </c>
      <c r="J4914" s="2" t="s">
        <v>32221</v>
      </c>
      <c r="K4914" s="2">
        <v>643798</v>
      </c>
      <c r="L4914" s="2" t="s">
        <v>32222</v>
      </c>
      <c r="M4914" s="2" t="s">
        <v>32223</v>
      </c>
      <c r="N4914" s="2" t="s">
        <v>32224</v>
      </c>
      <c r="O4914" s="2">
        <v>17626</v>
      </c>
      <c r="P4914" s="2"/>
      <c r="Q4914" s="2"/>
      <c r="R4914" s="2" t="s">
        <v>32225</v>
      </c>
      <c r="S4914" s="2" t="s">
        <v>32226</v>
      </c>
      <c r="T4914" s="2" t="s">
        <v>32227</v>
      </c>
      <c r="U4914" s="2" t="s">
        <v>56</v>
      </c>
      <c r="V4914" s="2" t="s">
        <v>145</v>
      </c>
      <c r="W4914" s="2" t="s">
        <v>231</v>
      </c>
      <c r="X4914" s="2" t="s">
        <v>59</v>
      </c>
      <c r="Y4914" s="2">
        <v>70.7</v>
      </c>
      <c r="Z4914" s="2">
        <v>51.4</v>
      </c>
      <c r="AA4914" s="2"/>
      <c r="AB4914" s="2" t="s">
        <v>19846</v>
      </c>
      <c r="AC4914" s="2"/>
      <c r="AD4914" s="2">
        <v>398262.75368685299</v>
      </c>
      <c r="AE4914" s="2">
        <v>6.1988097187817302E-2</v>
      </c>
      <c r="AF4914" s="2">
        <v>98044.863289169996</v>
      </c>
      <c r="AG4914" s="2">
        <v>101696.837887029</v>
      </c>
      <c r="AH4914" s="4">
        <v>0.96408959537251504</v>
      </c>
      <c r="AI4914" s="4">
        <v>-5.2760868771078898E-2</v>
      </c>
      <c r="AJ4914" s="4" t="s">
        <v>62</v>
      </c>
      <c r="AK4914" s="2">
        <v>0.68471738109709002</v>
      </c>
      <c r="AL4914" s="2">
        <v>0.847969772960664</v>
      </c>
      <c r="AM4914" s="2">
        <v>108301.07043937501</v>
      </c>
      <c r="AN4914" s="2">
        <v>97260.274982810995</v>
      </c>
      <c r="AO4914" s="2">
        <v>93106.743389817799</v>
      </c>
      <c r="AP4914" s="2">
        <v>110055.676072364</v>
      </c>
      <c r="AQ4914" s="2">
        <v>85093.574582761707</v>
      </c>
      <c r="AR4914" s="2">
        <v>94451.840267890497</v>
      </c>
      <c r="AS4914" s="2">
        <v>71422.886182038201</v>
      </c>
      <c r="AT4914" s="2">
        <v>96391.067302126103</v>
      </c>
      <c r="AU4914" s="2">
        <v>128378.39455101499</v>
      </c>
      <c r="AV4914" s="2">
        <v>114370.801997239</v>
      </c>
      <c r="AW4914" s="2">
        <v>97626.042470407294</v>
      </c>
      <c r="AX4914" s="2">
        <v>101991.83481934801</v>
      </c>
    </row>
    <row r="4915" spans="1:50" x14ac:dyDescent="0.25">
      <c r="A4915" s="2" t="s">
        <v>32228</v>
      </c>
      <c r="B4915" s="2">
        <v>170.08140348684799</v>
      </c>
      <c r="C4915" s="2">
        <v>4.0390499999999996</v>
      </c>
      <c r="D4915" s="2" t="s">
        <v>51</v>
      </c>
      <c r="E4915" s="2" t="s">
        <v>32229</v>
      </c>
      <c r="F4915" s="2">
        <v>62846</v>
      </c>
      <c r="G4915" s="3" t="str">
        <f>HYPERLINK("https://cloud.oebiotech.com/#/lm/network/62846", "https://cloud.oebiotech.com/#/lm/network/62846")</f>
        <v>https://cloud.oebiotech.com/#/lm/network/62846</v>
      </c>
      <c r="H4915" s="2" t="s">
        <v>32230</v>
      </c>
      <c r="I4915" s="2">
        <v>94142</v>
      </c>
      <c r="J4915" s="2"/>
      <c r="K4915" s="2">
        <v>129720151</v>
      </c>
      <c r="L4915" s="2"/>
      <c r="M4915" s="2"/>
      <c r="N4915" s="2"/>
      <c r="O4915" s="2"/>
      <c r="P4915" s="2"/>
      <c r="Q4915" s="2"/>
      <c r="R4915" s="2" t="s">
        <v>32231</v>
      </c>
      <c r="S4915" s="2" t="s">
        <v>32232</v>
      </c>
      <c r="T4915" s="2" t="s">
        <v>32233</v>
      </c>
      <c r="U4915" s="2" t="s">
        <v>119</v>
      </c>
      <c r="V4915" s="2" t="s">
        <v>120</v>
      </c>
      <c r="W4915" s="2" t="s">
        <v>32234</v>
      </c>
      <c r="X4915" s="2" t="s">
        <v>83</v>
      </c>
      <c r="Y4915" s="2">
        <v>45.5</v>
      </c>
      <c r="Z4915" s="2">
        <v>0</v>
      </c>
      <c r="AA4915" s="2" t="s">
        <v>218</v>
      </c>
      <c r="AB4915" s="2" t="s">
        <v>30498</v>
      </c>
      <c r="AC4915" s="2">
        <v>-6.90224042057097</v>
      </c>
      <c r="AD4915" s="2"/>
      <c r="AE4915" s="2">
        <v>6.19595478236631E-2</v>
      </c>
      <c r="AF4915" s="2">
        <v>658.75849998549495</v>
      </c>
      <c r="AG4915" s="2">
        <v>508.08555237654798</v>
      </c>
      <c r="AH4915" s="5">
        <v>1.2965503484682499</v>
      </c>
      <c r="AI4915" s="5">
        <v>0.37467823093095798</v>
      </c>
      <c r="AJ4915" s="5" t="s">
        <v>139</v>
      </c>
      <c r="AK4915" s="2">
        <v>0.14680223887659299</v>
      </c>
      <c r="AL4915" s="2">
        <v>0.46813495501649</v>
      </c>
      <c r="AM4915" s="2">
        <v>664.96664713344705</v>
      </c>
      <c r="AN4915" s="2">
        <v>920.26983539677406</v>
      </c>
      <c r="AO4915" s="2">
        <v>638.46832757866298</v>
      </c>
      <c r="AP4915" s="2">
        <v>573.72761143466698</v>
      </c>
      <c r="AQ4915" s="2">
        <v>574.72023290042898</v>
      </c>
      <c r="AR4915" s="2">
        <v>580.39834546898896</v>
      </c>
      <c r="AS4915" s="2">
        <v>348.96174451582402</v>
      </c>
      <c r="AT4915" s="2">
        <v>203.59270476501101</v>
      </c>
      <c r="AU4915" s="2">
        <v>636.87693212935403</v>
      </c>
      <c r="AV4915" s="2">
        <v>537.83070112795201</v>
      </c>
      <c r="AW4915" s="2">
        <v>705.06439279081303</v>
      </c>
      <c r="AX4915" s="2">
        <v>616.18683893033096</v>
      </c>
    </row>
    <row r="4916" spans="1:50" x14ac:dyDescent="0.25">
      <c r="A4916" s="2" t="s">
        <v>32235</v>
      </c>
      <c r="B4916" s="2">
        <v>373.17941921077801</v>
      </c>
      <c r="C4916" s="2">
        <v>3.7524500000000001</v>
      </c>
      <c r="D4916" s="2" t="s">
        <v>51</v>
      </c>
      <c r="E4916" s="2" t="s">
        <v>32236</v>
      </c>
      <c r="F4916" s="2">
        <v>34233</v>
      </c>
      <c r="G4916" s="3" t="str">
        <f>HYPERLINK("https://cloud.oebiotech.com/#/lm/network/34233", "https://cloud.oebiotech.com/#/lm/network/34233")</f>
        <v>https://cloud.oebiotech.com/#/lm/network/34233</v>
      </c>
      <c r="H4916" s="2"/>
      <c r="I4916" s="2">
        <v>52541</v>
      </c>
      <c r="J4916" s="2" t="s">
        <v>32237</v>
      </c>
      <c r="K4916" s="2">
        <v>42607817</v>
      </c>
      <c r="L4916" s="2"/>
      <c r="M4916" s="2"/>
      <c r="N4916" s="2"/>
      <c r="O4916" s="2"/>
      <c r="P4916" s="2"/>
      <c r="Q4916" s="2"/>
      <c r="R4916" s="2"/>
      <c r="S4916" s="2" t="s">
        <v>32238</v>
      </c>
      <c r="T4916" s="2" t="s">
        <v>32239</v>
      </c>
      <c r="U4916" s="2" t="s">
        <v>540</v>
      </c>
      <c r="V4916" s="2" t="s">
        <v>541</v>
      </c>
      <c r="W4916" s="2" t="s">
        <v>757</v>
      </c>
      <c r="X4916" s="2" t="s">
        <v>147</v>
      </c>
      <c r="Y4916" s="2">
        <v>36.299999999999997</v>
      </c>
      <c r="Z4916" s="2">
        <v>0</v>
      </c>
      <c r="AA4916" s="2" t="s">
        <v>156</v>
      </c>
      <c r="AB4916" s="2" t="s">
        <v>32240</v>
      </c>
      <c r="AC4916" s="2">
        <v>-1.0299043500451801</v>
      </c>
      <c r="AD4916" s="2"/>
      <c r="AE4916" s="2">
        <v>6.1902977913161697E-2</v>
      </c>
      <c r="AF4916" s="2">
        <v>1494.35180052027</v>
      </c>
      <c r="AG4916" s="2">
        <v>2262.45826227306</v>
      </c>
      <c r="AH4916" s="4">
        <v>0.66049916828915001</v>
      </c>
      <c r="AI4916" s="4">
        <v>-0.59837135007820297</v>
      </c>
      <c r="AJ4916" s="4" t="s">
        <v>62</v>
      </c>
      <c r="AK4916" s="2">
        <v>0.56366791383498405</v>
      </c>
      <c r="AL4916" s="2">
        <v>0.78088127829314202</v>
      </c>
      <c r="AM4916" s="2">
        <v>4007.0764381051499</v>
      </c>
      <c r="AN4916" s="2">
        <v>647.66728290864501</v>
      </c>
      <c r="AO4916" s="2">
        <v>990.37172760778003</v>
      </c>
      <c r="AP4916" s="2">
        <v>177.81596930550401</v>
      </c>
      <c r="AQ4916" s="2">
        <v>793.96220056963602</v>
      </c>
      <c r="AR4916" s="2">
        <v>2349.2171846249098</v>
      </c>
      <c r="AS4916" s="2">
        <v>8.559877937157E-6</v>
      </c>
      <c r="AT4916" s="2">
        <v>154.142314060313</v>
      </c>
      <c r="AU4916" s="2">
        <v>5278.0753725227596</v>
      </c>
      <c r="AV4916" s="2">
        <v>6371.5309722532202</v>
      </c>
      <c r="AW4916" s="2">
        <v>1056.9577566374801</v>
      </c>
      <c r="AX4916" s="2">
        <v>714.04314960470197</v>
      </c>
    </row>
    <row r="4917" spans="1:50" x14ac:dyDescent="0.25">
      <c r="A4917" s="2" t="s">
        <v>32241</v>
      </c>
      <c r="B4917" s="2">
        <v>287.22278147520097</v>
      </c>
      <c r="C4917" s="2">
        <v>9.4598666666666702</v>
      </c>
      <c r="D4917" s="2" t="s">
        <v>51</v>
      </c>
      <c r="E4917" s="2" t="s">
        <v>32242</v>
      </c>
      <c r="F4917" s="2">
        <v>1766</v>
      </c>
      <c r="G4917" s="3" t="str">
        <f>HYPERLINK("https://cloud.oebiotech.com/#/lm/network/1766", "https://cloud.oebiotech.com/#/lm/network/1766")</f>
        <v>https://cloud.oebiotech.com/#/lm/network/1766</v>
      </c>
      <c r="H4917" s="2"/>
      <c r="I4917" s="2">
        <v>74569</v>
      </c>
      <c r="J4917" s="2" t="s">
        <v>32243</v>
      </c>
      <c r="K4917" s="2">
        <v>193113</v>
      </c>
      <c r="L4917" s="2"/>
      <c r="M4917" s="2"/>
      <c r="N4917" s="2"/>
      <c r="O4917" s="2"/>
      <c r="P4917" s="2"/>
      <c r="Q4917" s="2"/>
      <c r="R4917" s="2"/>
      <c r="S4917" s="2" t="s">
        <v>32244</v>
      </c>
      <c r="T4917" s="2" t="s">
        <v>32245</v>
      </c>
      <c r="U4917" s="2" t="s">
        <v>56</v>
      </c>
      <c r="V4917" s="2" t="s">
        <v>145</v>
      </c>
      <c r="W4917" s="2" t="s">
        <v>231</v>
      </c>
      <c r="X4917" s="2" t="s">
        <v>83</v>
      </c>
      <c r="Y4917" s="2">
        <v>39.200000000000003</v>
      </c>
      <c r="Z4917" s="2">
        <v>0</v>
      </c>
      <c r="AA4917" s="2" t="s">
        <v>163</v>
      </c>
      <c r="AB4917" s="2" t="s">
        <v>5226</v>
      </c>
      <c r="AC4917" s="2">
        <v>-5.5416815692297897E-3</v>
      </c>
      <c r="AD4917" s="2"/>
      <c r="AE4917" s="2">
        <v>6.1819753685788702E-2</v>
      </c>
      <c r="AF4917" s="2">
        <v>359.85556841906703</v>
      </c>
      <c r="AG4917" s="2">
        <v>180.780276991969</v>
      </c>
      <c r="AH4917" s="5">
        <v>1.9905687412739901</v>
      </c>
      <c r="AI4917" s="5">
        <v>0.99318069357579797</v>
      </c>
      <c r="AJ4917" s="5" t="s">
        <v>139</v>
      </c>
      <c r="AK4917" s="2">
        <v>0.19906296119924499</v>
      </c>
      <c r="AL4917" s="2">
        <v>0.52280983610549903</v>
      </c>
      <c r="AM4917" s="2">
        <v>560.71288769046305</v>
      </c>
      <c r="AN4917" s="2">
        <v>104.052535536836</v>
      </c>
      <c r="AO4917" s="2">
        <v>111.55611983017</v>
      </c>
      <c r="AP4917" s="2">
        <v>152.879709222233</v>
      </c>
      <c r="AQ4917" s="2">
        <v>860.16925872606396</v>
      </c>
      <c r="AR4917" s="2">
        <v>369.76289950863401</v>
      </c>
      <c r="AS4917" s="2">
        <v>239.179071212803</v>
      </c>
      <c r="AT4917" s="2">
        <v>8.559877937157E-6</v>
      </c>
      <c r="AU4917" s="2">
        <v>246.41980103357699</v>
      </c>
      <c r="AV4917" s="2">
        <v>164.82290180205601</v>
      </c>
      <c r="AW4917" s="2">
        <v>265.32324999300801</v>
      </c>
      <c r="AX4917" s="2">
        <v>168.93662935049201</v>
      </c>
    </row>
    <row r="4918" spans="1:50" x14ac:dyDescent="0.25">
      <c r="A4918" s="2" t="s">
        <v>32246</v>
      </c>
      <c r="B4918" s="2">
        <v>814.44952724487405</v>
      </c>
      <c r="C4918" s="2">
        <v>4.5462333333333298</v>
      </c>
      <c r="D4918" s="2" t="s">
        <v>51</v>
      </c>
      <c r="E4918" s="2" t="s">
        <v>32247</v>
      </c>
      <c r="F4918" s="2">
        <v>234153</v>
      </c>
      <c r="G4918" s="3" t="str">
        <f>HYPERLINK("https://cloud.oebiotech.com/#/lm/network/234153", "https://cloud.oebiotech.com/#/lm/network/234153")</f>
        <v>https://cloud.oebiotech.com/#/lm/network/234153</v>
      </c>
      <c r="H4918" s="2" t="s">
        <v>32248</v>
      </c>
      <c r="I4918" s="2"/>
      <c r="J4918" s="2"/>
      <c r="K4918" s="2"/>
      <c r="L4918" s="2"/>
      <c r="M4918" s="2"/>
      <c r="N4918" s="2"/>
      <c r="O4918" s="2"/>
      <c r="P4918" s="2"/>
      <c r="Q4918" s="2"/>
      <c r="R4918" s="2"/>
      <c r="S4918" s="2" t="s">
        <v>32249</v>
      </c>
      <c r="T4918" s="2" t="s">
        <v>32250</v>
      </c>
      <c r="U4918" s="2" t="s">
        <v>56</v>
      </c>
      <c r="V4918" s="2" t="s">
        <v>145</v>
      </c>
      <c r="W4918" s="2" t="s">
        <v>187</v>
      </c>
      <c r="X4918" s="2" t="s">
        <v>147</v>
      </c>
      <c r="Y4918" s="2">
        <v>36.1</v>
      </c>
      <c r="Z4918" s="2">
        <v>0</v>
      </c>
      <c r="AA4918" s="2" t="s">
        <v>95</v>
      </c>
      <c r="AB4918" s="2" t="s">
        <v>32251</v>
      </c>
      <c r="AC4918" s="2">
        <v>2.31045714407206</v>
      </c>
      <c r="AD4918" s="2"/>
      <c r="AE4918" s="2">
        <v>6.1810701314061599E-2</v>
      </c>
      <c r="AF4918" s="2">
        <v>366.36492934352901</v>
      </c>
      <c r="AG4918" s="2">
        <v>636.42441771843596</v>
      </c>
      <c r="AH4918" s="4">
        <v>0.57566133407787401</v>
      </c>
      <c r="AI4918" s="4">
        <v>-0.796707782072685</v>
      </c>
      <c r="AJ4918" s="4" t="s">
        <v>62</v>
      </c>
      <c r="AK4918" s="2">
        <v>0.61690899881539896</v>
      </c>
      <c r="AL4918" s="2">
        <v>0.80992842385250696</v>
      </c>
      <c r="AM4918" s="2">
        <v>694.22653556837804</v>
      </c>
      <c r="AN4918" s="2">
        <v>8.559877937157E-6</v>
      </c>
      <c r="AO4918" s="2">
        <v>8.559877937157E-6</v>
      </c>
      <c r="AP4918" s="2">
        <v>649.40187410805902</v>
      </c>
      <c r="AQ4918" s="2">
        <v>385.12134560935198</v>
      </c>
      <c r="AR4918" s="2">
        <v>469.439803655628</v>
      </c>
      <c r="AS4918" s="2">
        <v>8.559877937157E-6</v>
      </c>
      <c r="AT4918" s="2">
        <v>8.559877937157E-6</v>
      </c>
      <c r="AU4918" s="2">
        <v>8.559877937157E-6</v>
      </c>
      <c r="AV4918" s="2">
        <v>708.76609947370196</v>
      </c>
      <c r="AW4918" s="2">
        <v>8.559877937157E-6</v>
      </c>
      <c r="AX4918" s="2">
        <v>3109.7803725973999</v>
      </c>
    </row>
    <row r="4919" spans="1:50" x14ac:dyDescent="0.25">
      <c r="A4919" s="2" t="s">
        <v>32252</v>
      </c>
      <c r="B4919" s="2">
        <v>403.21053978319998</v>
      </c>
      <c r="C4919" s="2">
        <v>8.53006666666667</v>
      </c>
      <c r="D4919" s="2" t="s">
        <v>51</v>
      </c>
      <c r="E4919" s="2" t="s">
        <v>32253</v>
      </c>
      <c r="F4919" s="2">
        <v>204509</v>
      </c>
      <c r="G4919" s="3" t="str">
        <f>HYPERLINK("https://cloud.oebiotech.com/#/lm/network/204509", "https://cloud.oebiotech.com/#/lm/network/204509")</f>
        <v>https://cloud.oebiotech.com/#/lm/network/204509</v>
      </c>
      <c r="H4919" s="2" t="s">
        <v>32254</v>
      </c>
      <c r="I4919" s="2"/>
      <c r="J4919" s="2"/>
      <c r="K4919" s="2">
        <v>4872</v>
      </c>
      <c r="L4919" s="2"/>
      <c r="M4919" s="2"/>
      <c r="N4919" s="2"/>
      <c r="O4919" s="2">
        <v>143459</v>
      </c>
      <c r="P4919" s="2"/>
      <c r="Q4919" s="2"/>
      <c r="R4919" s="2"/>
      <c r="S4919" s="2" t="s">
        <v>32255</v>
      </c>
      <c r="T4919" s="2" t="s">
        <v>32256</v>
      </c>
      <c r="U4919" s="2" t="s">
        <v>56</v>
      </c>
      <c r="V4919" s="2" t="s">
        <v>283</v>
      </c>
      <c r="W4919" s="2" t="s">
        <v>284</v>
      </c>
      <c r="X4919" s="2" t="s">
        <v>83</v>
      </c>
      <c r="Y4919" s="2">
        <v>48.9</v>
      </c>
      <c r="Z4919" s="2">
        <v>0</v>
      </c>
      <c r="AA4919" s="2" t="s">
        <v>218</v>
      </c>
      <c r="AB4919" s="2" t="s">
        <v>232</v>
      </c>
      <c r="AC4919" s="2">
        <v>-5.7857168358591302</v>
      </c>
      <c r="AD4919" s="2"/>
      <c r="AE4919" s="2">
        <v>6.1723785718758799E-2</v>
      </c>
      <c r="AF4919" s="2">
        <v>1444.9780335033699</v>
      </c>
      <c r="AG4919" s="2">
        <v>1302.7806741465899</v>
      </c>
      <c r="AH4919" s="5">
        <v>1.10914911633144</v>
      </c>
      <c r="AI4919" s="5">
        <v>0.14945333748340001</v>
      </c>
      <c r="AJ4919" s="5" t="s">
        <v>139</v>
      </c>
      <c r="AK4919" s="2">
        <v>0.88959723890068498</v>
      </c>
      <c r="AL4919" s="2">
        <v>0.95226347994190097</v>
      </c>
      <c r="AM4919" s="2">
        <v>2967.5799525432099</v>
      </c>
      <c r="AN4919" s="2">
        <v>346.40366156203697</v>
      </c>
      <c r="AO4919" s="2">
        <v>4374.9366622226298</v>
      </c>
      <c r="AP4919" s="2">
        <v>8.559877937157E-6</v>
      </c>
      <c r="AQ4919" s="2">
        <v>256.06656609480098</v>
      </c>
      <c r="AR4919" s="2">
        <v>724.88135003764501</v>
      </c>
      <c r="AS4919" s="2">
        <v>1886.1223135088101</v>
      </c>
      <c r="AT4919" s="2">
        <v>8.559877937157E-6</v>
      </c>
      <c r="AU4919" s="2">
        <v>4154.3389874045597</v>
      </c>
      <c r="AV4919" s="2">
        <v>8.559877937157E-6</v>
      </c>
      <c r="AW4919" s="2">
        <v>1776.2227182865499</v>
      </c>
      <c r="AX4919" s="2">
        <v>8.559877937157E-6</v>
      </c>
    </row>
    <row r="4920" spans="1:50" x14ac:dyDescent="0.25">
      <c r="A4920" s="2" t="s">
        <v>32257</v>
      </c>
      <c r="B4920" s="2">
        <v>299.14000122441001</v>
      </c>
      <c r="C4920" s="2">
        <v>8.0252666666666705</v>
      </c>
      <c r="D4920" s="2" t="s">
        <v>51</v>
      </c>
      <c r="E4920" s="2" t="s">
        <v>32258</v>
      </c>
      <c r="F4920" s="2">
        <v>209217</v>
      </c>
      <c r="G4920" s="3" t="str">
        <f>HYPERLINK("https://cloud.oebiotech.com/#/lm/network/209217", "https://cloud.oebiotech.com/#/lm/network/209217")</f>
        <v>https://cloud.oebiotech.com/#/lm/network/209217</v>
      </c>
      <c r="H4920" s="2" t="s">
        <v>32259</v>
      </c>
      <c r="I4920" s="2"/>
      <c r="J4920" s="2"/>
      <c r="K4920" s="2">
        <v>52445</v>
      </c>
      <c r="L4920" s="2"/>
      <c r="M4920" s="2"/>
      <c r="N4920" s="2"/>
      <c r="O4920" s="2"/>
      <c r="P4920" s="2"/>
      <c r="Q4920" s="2"/>
      <c r="R4920" s="2"/>
      <c r="S4920" s="2" t="s">
        <v>32260</v>
      </c>
      <c r="T4920" s="2" t="s">
        <v>32261</v>
      </c>
      <c r="U4920" s="2" t="s">
        <v>266</v>
      </c>
      <c r="V4920" s="2" t="s">
        <v>1585</v>
      </c>
      <c r="W4920" s="2" t="s">
        <v>1586</v>
      </c>
      <c r="X4920" s="2" t="s">
        <v>147</v>
      </c>
      <c r="Y4920" s="2">
        <v>38.700000000000003</v>
      </c>
      <c r="Z4920" s="2">
        <v>0</v>
      </c>
      <c r="AA4920" s="2" t="s">
        <v>512</v>
      </c>
      <c r="AB4920" s="2" t="s">
        <v>32262</v>
      </c>
      <c r="AC4920" s="2">
        <v>1.05497686662321</v>
      </c>
      <c r="AD4920" s="2"/>
      <c r="AE4920" s="2">
        <v>6.1714432398920799E-2</v>
      </c>
      <c r="AF4920" s="2">
        <v>206.87868180514101</v>
      </c>
      <c r="AG4920" s="2">
        <v>104.77551281549</v>
      </c>
      <c r="AH4920" s="5">
        <v>1.97449457650906</v>
      </c>
      <c r="AI4920" s="5">
        <v>0.98148340504605702</v>
      </c>
      <c r="AJ4920" s="5" t="s">
        <v>139</v>
      </c>
      <c r="AK4920" s="2">
        <v>3.3373617930567097E-2</v>
      </c>
      <c r="AL4920" s="2">
        <v>0.27023848021491997</v>
      </c>
      <c r="AM4920" s="2">
        <v>288.44336242408502</v>
      </c>
      <c r="AN4920" s="2">
        <v>228.05962554204001</v>
      </c>
      <c r="AO4920" s="2">
        <v>84.270776615655706</v>
      </c>
      <c r="AP4920" s="2">
        <v>272.91513474374898</v>
      </c>
      <c r="AQ4920" s="2">
        <v>238.99468777642701</v>
      </c>
      <c r="AR4920" s="2">
        <v>128.58850372889199</v>
      </c>
      <c r="AS4920" s="2">
        <v>170.068067561438</v>
      </c>
      <c r="AT4920" s="2">
        <v>144.29328778265901</v>
      </c>
      <c r="AU4920" s="2">
        <v>112.282022413006</v>
      </c>
      <c r="AV4920" s="2">
        <v>122.413009228273</v>
      </c>
      <c r="AW4920" s="2">
        <v>79.596681347688801</v>
      </c>
      <c r="AX4920" s="2">
        <v>8.559877937157E-6</v>
      </c>
    </row>
    <row r="4921" spans="1:50" x14ac:dyDescent="0.25">
      <c r="A4921" s="2" t="s">
        <v>32263</v>
      </c>
      <c r="B4921" s="2">
        <v>245.11415883287199</v>
      </c>
      <c r="C4921" s="2">
        <v>2.8710166666666699</v>
      </c>
      <c r="D4921" s="2" t="s">
        <v>51</v>
      </c>
      <c r="E4921" s="2" t="s">
        <v>32264</v>
      </c>
      <c r="F4921" s="2">
        <v>53794</v>
      </c>
      <c r="G4921" s="3" t="str">
        <f>HYPERLINK("https://cloud.oebiotech.com/#/lm/network/53794", "https://cloud.oebiotech.com/#/lm/network/53794")</f>
        <v>https://cloud.oebiotech.com/#/lm/network/53794</v>
      </c>
      <c r="H4921" s="2" t="s">
        <v>32265</v>
      </c>
      <c r="I4921" s="2"/>
      <c r="J4921" s="2"/>
      <c r="K4921" s="2">
        <v>21845165</v>
      </c>
      <c r="L4921" s="2"/>
      <c r="M4921" s="2"/>
      <c r="N4921" s="2"/>
      <c r="O4921" s="2"/>
      <c r="P4921" s="2"/>
      <c r="Q4921" s="2"/>
      <c r="R4921" s="2"/>
      <c r="S4921" s="2" t="s">
        <v>32266</v>
      </c>
      <c r="T4921" s="2" t="s">
        <v>32267</v>
      </c>
      <c r="U4921" s="2" t="s">
        <v>103</v>
      </c>
      <c r="V4921" s="2" t="s">
        <v>104</v>
      </c>
      <c r="W4921" s="2" t="s">
        <v>105</v>
      </c>
      <c r="X4921" s="2" t="s">
        <v>69</v>
      </c>
      <c r="Y4921" s="2">
        <v>56.9</v>
      </c>
      <c r="Z4921" s="2">
        <v>80.5</v>
      </c>
      <c r="AA4921" s="2" t="s">
        <v>163</v>
      </c>
      <c r="AB4921" s="2" t="s">
        <v>14956</v>
      </c>
      <c r="AC4921" s="2">
        <v>-0.55427806382790801</v>
      </c>
      <c r="AD4921" s="2"/>
      <c r="AE4921" s="2">
        <v>6.1692380508398703E-2</v>
      </c>
      <c r="AF4921" s="2">
        <v>4866.6154513454803</v>
      </c>
      <c r="AG4921" s="2">
        <v>7391.0047483345797</v>
      </c>
      <c r="AH4921" s="4">
        <v>0.65845113310772396</v>
      </c>
      <c r="AI4921" s="4">
        <v>-0.60285171991682796</v>
      </c>
      <c r="AJ4921" s="4" t="s">
        <v>62</v>
      </c>
      <c r="AK4921" s="2">
        <v>0.64946628870529099</v>
      </c>
      <c r="AL4921" s="2">
        <v>0.82993572019873296</v>
      </c>
      <c r="AM4921" s="2">
        <v>7482.0663605545196</v>
      </c>
      <c r="AN4921" s="2">
        <v>4752.1256600524002</v>
      </c>
      <c r="AO4921" s="2">
        <v>3256.08494664609</v>
      </c>
      <c r="AP4921" s="2">
        <v>3852.8245986954198</v>
      </c>
      <c r="AQ4921" s="2">
        <v>3335.6816534529798</v>
      </c>
      <c r="AR4921" s="2">
        <v>6520.9094886714602</v>
      </c>
      <c r="AS4921" s="2">
        <v>632.09293629749902</v>
      </c>
      <c r="AT4921" s="2">
        <v>2039.3453555338699</v>
      </c>
      <c r="AU4921" s="2">
        <v>34008.629935419398</v>
      </c>
      <c r="AV4921" s="2">
        <v>3802.8827476993001</v>
      </c>
      <c r="AW4921" s="2">
        <v>1712.39504146903</v>
      </c>
      <c r="AX4921" s="2">
        <v>2150.6824735884102</v>
      </c>
    </row>
    <row r="4922" spans="1:50" x14ac:dyDescent="0.25">
      <c r="A4922" s="2" t="s">
        <v>32268</v>
      </c>
      <c r="B4922" s="2">
        <v>271.03120193579701</v>
      </c>
      <c r="C4922" s="2">
        <v>3.9216000000000002</v>
      </c>
      <c r="D4922" s="2" t="s">
        <v>51</v>
      </c>
      <c r="E4922" s="2" t="s">
        <v>32269</v>
      </c>
      <c r="F4922" s="2">
        <v>52907</v>
      </c>
      <c r="G4922" s="3" t="str">
        <f>HYPERLINK("https://cloud.oebiotech.com/#/lm/network/52907", "https://cloud.oebiotech.com/#/lm/network/52907")</f>
        <v>https://cloud.oebiotech.com/#/lm/network/52907</v>
      </c>
      <c r="H4922" s="2" t="s">
        <v>32270</v>
      </c>
      <c r="I4922" s="2">
        <v>43336</v>
      </c>
      <c r="J4922" s="2"/>
      <c r="K4922" s="2">
        <v>5328</v>
      </c>
      <c r="L4922" s="2" t="s">
        <v>32271</v>
      </c>
      <c r="M4922" s="2"/>
      <c r="N4922" s="2"/>
      <c r="O4922" s="2">
        <v>9331</v>
      </c>
      <c r="P4922" s="2"/>
      <c r="Q4922" s="2"/>
      <c r="R4922" s="2" t="s">
        <v>32272</v>
      </c>
      <c r="S4922" s="2" t="s">
        <v>32273</v>
      </c>
      <c r="T4922" s="2" t="s">
        <v>32274</v>
      </c>
      <c r="U4922" s="2" t="s">
        <v>610</v>
      </c>
      <c r="V4922" s="2" t="s">
        <v>611</v>
      </c>
      <c r="W4922" s="2" t="s">
        <v>5656</v>
      </c>
      <c r="X4922" s="2" t="s">
        <v>147</v>
      </c>
      <c r="Y4922" s="2">
        <v>36</v>
      </c>
      <c r="Z4922" s="2">
        <v>0</v>
      </c>
      <c r="AA4922" s="2" t="s">
        <v>259</v>
      </c>
      <c r="AB4922" s="2" t="s">
        <v>32275</v>
      </c>
      <c r="AC4922" s="2">
        <v>-2.1926720887831701</v>
      </c>
      <c r="AD4922" s="2"/>
      <c r="AE4922" s="2">
        <v>6.16631203011027E-2</v>
      </c>
      <c r="AF4922" s="2">
        <v>541.23625273458799</v>
      </c>
      <c r="AG4922" s="2">
        <v>1351.1599724222399</v>
      </c>
      <c r="AH4922" s="4">
        <v>0.40057155613062601</v>
      </c>
      <c r="AI4922" s="4">
        <v>-1.3198681132929</v>
      </c>
      <c r="AJ4922" s="4" t="s">
        <v>62</v>
      </c>
      <c r="AK4922" s="2">
        <v>0.478224444698791</v>
      </c>
      <c r="AL4922" s="2">
        <v>0.72373656084035698</v>
      </c>
      <c r="AM4922" s="2">
        <v>642.55106922185701</v>
      </c>
      <c r="AN4922" s="2">
        <v>643.01082101248699</v>
      </c>
      <c r="AO4922" s="2">
        <v>1391.1153226629101</v>
      </c>
      <c r="AP4922" s="2">
        <v>409.140862577208</v>
      </c>
      <c r="AQ4922" s="2">
        <v>161.59943237319001</v>
      </c>
      <c r="AR4922" s="2">
        <v>8.559877937157E-6</v>
      </c>
      <c r="AS4922" s="2">
        <v>254.51968840423501</v>
      </c>
      <c r="AT4922" s="2">
        <v>479.23655024860898</v>
      </c>
      <c r="AU4922" s="2">
        <v>6738.6299215543904</v>
      </c>
      <c r="AV4922" s="2">
        <v>8.559877937157E-6</v>
      </c>
      <c r="AW4922" s="2">
        <v>552.05334618410802</v>
      </c>
      <c r="AX4922" s="2">
        <v>82.5203195821977</v>
      </c>
    </row>
    <row r="4923" spans="1:50" x14ac:dyDescent="0.25">
      <c r="A4923" s="2" t="s">
        <v>32276</v>
      </c>
      <c r="B4923" s="2">
        <v>407.083881996777</v>
      </c>
      <c r="C4923" s="2">
        <v>5.0332333333333299</v>
      </c>
      <c r="D4923" s="2" t="s">
        <v>51</v>
      </c>
      <c r="E4923" s="2" t="s">
        <v>32277</v>
      </c>
      <c r="F4923" s="2">
        <v>202531</v>
      </c>
      <c r="G4923" s="3" t="str">
        <f>HYPERLINK("https://cloud.oebiotech.com/#/lm/network/202531", "https://cloud.oebiotech.com/#/lm/network/202531")</f>
        <v>https://cloud.oebiotech.com/#/lm/network/202531</v>
      </c>
      <c r="H4923" s="2" t="s">
        <v>32278</v>
      </c>
      <c r="I4923" s="2"/>
      <c r="J4923" s="2"/>
      <c r="K4923" s="2">
        <v>74833049</v>
      </c>
      <c r="L4923" s="2"/>
      <c r="M4923" s="2"/>
      <c r="N4923" s="2"/>
      <c r="O4923" s="2"/>
      <c r="P4923" s="2"/>
      <c r="Q4923" s="2"/>
      <c r="R4923" s="2"/>
      <c r="S4923" s="2" t="s">
        <v>32279</v>
      </c>
      <c r="T4923" s="2" t="s">
        <v>32280</v>
      </c>
      <c r="U4923" s="2" t="s">
        <v>331</v>
      </c>
      <c r="V4923" s="2" t="s">
        <v>332</v>
      </c>
      <c r="W4923" s="2" t="s">
        <v>333</v>
      </c>
      <c r="X4923" s="2" t="s">
        <v>147</v>
      </c>
      <c r="Y4923" s="2">
        <v>44.7</v>
      </c>
      <c r="Z4923" s="2">
        <v>29.6</v>
      </c>
      <c r="AA4923" s="2" t="s">
        <v>218</v>
      </c>
      <c r="AB4923" s="2" t="s">
        <v>32281</v>
      </c>
      <c r="AC4923" s="2">
        <v>2.1203157942541702</v>
      </c>
      <c r="AD4923" s="2"/>
      <c r="AE4923" s="2">
        <v>6.1601947250354602E-2</v>
      </c>
      <c r="AF4923" s="2">
        <v>4632.0212306432004</v>
      </c>
      <c r="AG4923" s="2">
        <v>5093.21430521603</v>
      </c>
      <c r="AH4923" s="4">
        <v>0.90944950537413805</v>
      </c>
      <c r="AI4923" s="4">
        <v>-0.13693455637138699</v>
      </c>
      <c r="AJ4923" s="4" t="s">
        <v>62</v>
      </c>
      <c r="AK4923" s="2">
        <v>0.79362814670676296</v>
      </c>
      <c r="AL4923" s="2">
        <v>0.909036351917616</v>
      </c>
      <c r="AM4923" s="2">
        <v>4288.0134710498896</v>
      </c>
      <c r="AN4923" s="2">
        <v>8003.3462309358902</v>
      </c>
      <c r="AO4923" s="2">
        <v>3923.20836542916</v>
      </c>
      <c r="AP4923" s="2">
        <v>5358.1271790198598</v>
      </c>
      <c r="AQ4923" s="2">
        <v>3252.5407476639798</v>
      </c>
      <c r="AR4923" s="2">
        <v>2966.8913897604202</v>
      </c>
      <c r="AS4923" s="2">
        <v>12764.349160419901</v>
      </c>
      <c r="AT4923" s="2">
        <v>3285.4696659845799</v>
      </c>
      <c r="AU4923" s="2">
        <v>3961.4366801677302</v>
      </c>
      <c r="AV4923" s="2">
        <v>3614.3106396012399</v>
      </c>
      <c r="AW4923" s="2">
        <v>3868.4708823292099</v>
      </c>
      <c r="AX4923" s="2">
        <v>3065.2488027935201</v>
      </c>
    </row>
    <row r="4924" spans="1:50" x14ac:dyDescent="0.25">
      <c r="A4924" s="2" t="s">
        <v>32282</v>
      </c>
      <c r="B4924" s="2">
        <v>444.27550274916302</v>
      </c>
      <c r="C4924" s="2">
        <v>9.4191166666666692</v>
      </c>
      <c r="D4924" s="2" t="s">
        <v>51</v>
      </c>
      <c r="E4924" s="2" t="s">
        <v>32283</v>
      </c>
      <c r="F4924" s="2">
        <v>46740</v>
      </c>
      <c r="G4924" s="3" t="str">
        <f>HYPERLINK("https://cloud.oebiotech.com/#/lm/network/46740", "https://cloud.oebiotech.com/#/lm/network/46740")</f>
        <v>https://cloud.oebiotech.com/#/lm/network/46740</v>
      </c>
      <c r="H4924" s="2"/>
      <c r="I4924" s="2"/>
      <c r="J4924" s="2" t="s">
        <v>32284</v>
      </c>
      <c r="K4924" s="2"/>
      <c r="L4924" s="2"/>
      <c r="M4924" s="2"/>
      <c r="N4924" s="2"/>
      <c r="O4924" s="2"/>
      <c r="P4924" s="2"/>
      <c r="Q4924" s="2"/>
      <c r="R4924" s="2"/>
      <c r="S4924" s="2" t="s">
        <v>32285</v>
      </c>
      <c r="T4924" s="2" t="s">
        <v>32286</v>
      </c>
      <c r="U4924" s="2" t="s">
        <v>56</v>
      </c>
      <c r="V4924" s="2" t="s">
        <v>283</v>
      </c>
      <c r="W4924" s="2" t="s">
        <v>2042</v>
      </c>
      <c r="X4924" s="2" t="s">
        <v>147</v>
      </c>
      <c r="Y4924" s="2">
        <v>39.1</v>
      </c>
      <c r="Z4924" s="2">
        <v>0</v>
      </c>
      <c r="AA4924" s="2" t="s">
        <v>163</v>
      </c>
      <c r="AB4924" s="2" t="s">
        <v>32287</v>
      </c>
      <c r="AC4924" s="2">
        <v>-9.9200249254563305E-2</v>
      </c>
      <c r="AD4924" s="2"/>
      <c r="AE4924" s="2">
        <v>6.1587140757709803E-2</v>
      </c>
      <c r="AF4924" s="2">
        <v>744.96452693515005</v>
      </c>
      <c r="AG4924" s="2">
        <v>299.44028228057402</v>
      </c>
      <c r="AH4924" s="5">
        <v>2.4878567481349099</v>
      </c>
      <c r="AI4924" s="5">
        <v>1.3149034168570699</v>
      </c>
      <c r="AJ4924" s="5" t="s">
        <v>139</v>
      </c>
      <c r="AK4924" s="2">
        <v>0.46347749700727697</v>
      </c>
      <c r="AL4924" s="2">
        <v>0.71249764363858203</v>
      </c>
      <c r="AM4924" s="2">
        <v>8.559877937157E-6</v>
      </c>
      <c r="AN4924" s="2">
        <v>369.34521433114099</v>
      </c>
      <c r="AO4924" s="2">
        <v>8.559877937157E-6</v>
      </c>
      <c r="AP4924" s="2">
        <v>8.559877937157E-6</v>
      </c>
      <c r="AQ4924" s="2">
        <v>3497.71513130009</v>
      </c>
      <c r="AR4924" s="2">
        <v>602.72679030003303</v>
      </c>
      <c r="AS4924" s="2">
        <v>8.559877937157E-6</v>
      </c>
      <c r="AT4924" s="2">
        <v>8.559877937157E-6</v>
      </c>
      <c r="AU4924" s="2">
        <v>521.28555449868304</v>
      </c>
      <c r="AV4924" s="2">
        <v>8.559877937157E-6</v>
      </c>
      <c r="AW4924" s="2">
        <v>252.800010090059</v>
      </c>
      <c r="AX4924" s="2">
        <v>1022.55610341507</v>
      </c>
    </row>
    <row r="4925" spans="1:50" x14ac:dyDescent="0.25">
      <c r="A4925" s="2" t="s">
        <v>32288</v>
      </c>
      <c r="B4925" s="2">
        <v>319.22748495227597</v>
      </c>
      <c r="C4925" s="2">
        <v>11.2897</v>
      </c>
      <c r="D4925" s="2" t="s">
        <v>51</v>
      </c>
      <c r="E4925" s="2" t="s">
        <v>32289</v>
      </c>
      <c r="F4925" s="2">
        <v>3970</v>
      </c>
      <c r="G4925" s="3" t="str">
        <f>HYPERLINK("https://cloud.oebiotech.com/#/lm/network/3970", "https://cloud.oebiotech.com/#/lm/network/3970")</f>
        <v>https://cloud.oebiotech.com/#/lm/network/3970</v>
      </c>
      <c r="H4925" s="2" t="s">
        <v>32290</v>
      </c>
      <c r="I4925" s="2">
        <v>3844</v>
      </c>
      <c r="J4925" s="2" t="s">
        <v>32291</v>
      </c>
      <c r="K4925" s="2">
        <v>5283159</v>
      </c>
      <c r="L4925" s="2" t="s">
        <v>32292</v>
      </c>
      <c r="M4925" s="2" t="s">
        <v>305</v>
      </c>
      <c r="N4925" s="2" t="s">
        <v>306</v>
      </c>
      <c r="O4925" s="2">
        <v>52449</v>
      </c>
      <c r="P4925" s="2" t="s">
        <v>32293</v>
      </c>
      <c r="Q4925" s="2" t="s">
        <v>32294</v>
      </c>
      <c r="R4925" s="2" t="s">
        <v>32295</v>
      </c>
      <c r="S4925" s="2" t="s">
        <v>32296</v>
      </c>
      <c r="T4925" s="2" t="s">
        <v>32297</v>
      </c>
      <c r="U4925" s="2" t="s">
        <v>56</v>
      </c>
      <c r="V4925" s="2" t="s">
        <v>145</v>
      </c>
      <c r="W4925" s="2" t="s">
        <v>231</v>
      </c>
      <c r="X4925" s="2" t="s">
        <v>69</v>
      </c>
      <c r="Y4925" s="2">
        <v>71.900000000000006</v>
      </c>
      <c r="Z4925" s="2">
        <v>83.4</v>
      </c>
      <c r="AA4925" s="2" t="s">
        <v>259</v>
      </c>
      <c r="AB4925" s="2" t="s">
        <v>180</v>
      </c>
      <c r="AC4925" s="2">
        <v>2.2427899848721098</v>
      </c>
      <c r="AD4925" s="2"/>
      <c r="AE4925" s="2">
        <v>6.1567783548153003E-2</v>
      </c>
      <c r="AF4925" s="2">
        <v>14210.4335870472</v>
      </c>
      <c r="AG4925" s="2">
        <v>15721.316330273199</v>
      </c>
      <c r="AH4925" s="4">
        <v>0.90389591358093502</v>
      </c>
      <c r="AI4925" s="4">
        <v>-0.14577144349276</v>
      </c>
      <c r="AJ4925" s="4" t="s">
        <v>62</v>
      </c>
      <c r="AK4925" s="2">
        <v>0.78027674242335299</v>
      </c>
      <c r="AL4925" s="2">
        <v>0.90329776206650503</v>
      </c>
      <c r="AM4925" s="2">
        <v>10479.916919384599</v>
      </c>
      <c r="AN4925" s="2">
        <v>12502.337460143201</v>
      </c>
      <c r="AO4925" s="2">
        <v>22335.230540463301</v>
      </c>
      <c r="AP4925" s="2">
        <v>15114.3810168202</v>
      </c>
      <c r="AQ4925" s="2">
        <v>14965.7227801553</v>
      </c>
      <c r="AR4925" s="2">
        <v>9865.0128053164008</v>
      </c>
      <c r="AS4925" s="2">
        <v>7145.5779401647796</v>
      </c>
      <c r="AT4925" s="2">
        <v>6897.1582219859902</v>
      </c>
      <c r="AU4925" s="2">
        <v>36753.6260433028</v>
      </c>
      <c r="AV4925" s="2">
        <v>23909.770748696399</v>
      </c>
      <c r="AW4925" s="2">
        <v>9791.3256984178897</v>
      </c>
      <c r="AX4925" s="2">
        <v>9830.4393290713306</v>
      </c>
    </row>
    <row r="4926" spans="1:50" x14ac:dyDescent="0.25">
      <c r="A4926" s="2" t="s">
        <v>32298</v>
      </c>
      <c r="B4926" s="2">
        <v>202.07499999999999</v>
      </c>
      <c r="C4926" s="2">
        <v>21.356000000000002</v>
      </c>
      <c r="D4926" s="2" t="s">
        <v>125</v>
      </c>
      <c r="E4926" s="2" t="s">
        <v>32299</v>
      </c>
      <c r="F4926" s="2">
        <v>47396</v>
      </c>
      <c r="G4926" s="3" t="str">
        <f>HYPERLINK("https://cloud.oebiotech.com/#/lm/network/47396", "https://cloud.oebiotech.com/#/lm/network/47396")</f>
        <v>https://cloud.oebiotech.com/#/lm/network/47396</v>
      </c>
      <c r="H4926" s="2" t="s">
        <v>32300</v>
      </c>
      <c r="I4926" s="2">
        <v>6006</v>
      </c>
      <c r="J4926" s="2"/>
      <c r="K4926" s="2">
        <v>439454</v>
      </c>
      <c r="L4926" s="2" t="s">
        <v>32301</v>
      </c>
      <c r="M4926" s="2"/>
      <c r="N4926" s="2"/>
      <c r="O4926" s="2">
        <v>15947</v>
      </c>
      <c r="P4926" s="2"/>
      <c r="Q4926" s="2"/>
      <c r="R4926" s="2"/>
      <c r="S4926" s="2" t="s">
        <v>32302</v>
      </c>
      <c r="T4926" s="2" t="s">
        <v>32303</v>
      </c>
      <c r="U4926" s="2" t="s">
        <v>331</v>
      </c>
      <c r="V4926" s="2" t="s">
        <v>332</v>
      </c>
      <c r="W4926" s="2" t="s">
        <v>333</v>
      </c>
      <c r="X4926" s="2" t="s">
        <v>69</v>
      </c>
      <c r="Y4926" s="2">
        <v>90.8</v>
      </c>
      <c r="Z4926" s="2">
        <v>87.1</v>
      </c>
      <c r="AA4926" s="2"/>
      <c r="AB4926" s="2" t="s">
        <v>32304</v>
      </c>
      <c r="AC4926" s="2"/>
      <c r="AD4926" s="2">
        <v>726964.57202505204</v>
      </c>
      <c r="AE4926" s="2">
        <v>6.1423530391073101E-2</v>
      </c>
      <c r="AF4926" s="2">
        <v>6604.0421042934704</v>
      </c>
      <c r="AG4926" s="2">
        <v>5106.5085887739097</v>
      </c>
      <c r="AH4926" s="5">
        <v>1.2932597663326599</v>
      </c>
      <c r="AI4926" s="5">
        <v>0.37101208640847499</v>
      </c>
      <c r="AJ4926" s="5" t="s">
        <v>139</v>
      </c>
      <c r="AK4926" s="2">
        <v>0.33164009440098202</v>
      </c>
      <c r="AL4926" s="2">
        <v>0.63330564183294702</v>
      </c>
      <c r="AM4926" s="2">
        <v>5706.7503201774298</v>
      </c>
      <c r="AN4926" s="2">
        <v>5933.7104818560701</v>
      </c>
      <c r="AO4926" s="2">
        <v>7803.3360101716898</v>
      </c>
      <c r="AP4926" s="2">
        <v>7601.03982015158</v>
      </c>
      <c r="AQ4926" s="2">
        <v>5550.5663875525997</v>
      </c>
      <c r="AR4926" s="2">
        <v>7028.8496058514602</v>
      </c>
      <c r="AS4926" s="2">
        <v>2299.8352172700202</v>
      </c>
      <c r="AT4926" s="2">
        <v>10667.802379377499</v>
      </c>
      <c r="AU4926" s="2">
        <v>2299.8352172700202</v>
      </c>
      <c r="AV4926" s="2">
        <v>5826.7908290173</v>
      </c>
      <c r="AW4926" s="2">
        <v>7244.9526724385696</v>
      </c>
      <c r="AX4926" s="2">
        <v>2299.8352172700202</v>
      </c>
    </row>
    <row r="4927" spans="1:50" x14ac:dyDescent="0.25">
      <c r="A4927" s="2" t="s">
        <v>32305</v>
      </c>
      <c r="B4927" s="2">
        <v>322.99394692536799</v>
      </c>
      <c r="C4927" s="2">
        <v>15.0309333333333</v>
      </c>
      <c r="D4927" s="2" t="s">
        <v>51</v>
      </c>
      <c r="E4927" s="2" t="s">
        <v>32306</v>
      </c>
      <c r="F4927" s="2">
        <v>274225</v>
      </c>
      <c r="G4927" s="3" t="str">
        <f>HYPERLINK("https://cloud.oebiotech.com/#/lm/network/274225", "https://cloud.oebiotech.com/#/lm/network/274225")</f>
        <v>https://cloud.oebiotech.com/#/lm/network/274225</v>
      </c>
      <c r="H4927" s="2"/>
      <c r="I4927" s="2">
        <v>64016</v>
      </c>
      <c r="J4927" s="2"/>
      <c r="K4927" s="2">
        <v>126747</v>
      </c>
      <c r="L4927" s="2" t="s">
        <v>32307</v>
      </c>
      <c r="M4927" s="2" t="s">
        <v>1563</v>
      </c>
      <c r="N4927" s="2" t="s">
        <v>1564</v>
      </c>
      <c r="O4927" s="2"/>
      <c r="P4927" s="2"/>
      <c r="Q4927" s="2"/>
      <c r="R4927" s="2" t="s">
        <v>32308</v>
      </c>
      <c r="S4927" s="2" t="s">
        <v>32309</v>
      </c>
      <c r="T4927" s="2" t="s">
        <v>32310</v>
      </c>
      <c r="U4927" s="2" t="s">
        <v>331</v>
      </c>
      <c r="V4927" s="2" t="s">
        <v>1284</v>
      </c>
      <c r="W4927" s="2" t="s">
        <v>4947</v>
      </c>
      <c r="X4927" s="2" t="s">
        <v>147</v>
      </c>
      <c r="Y4927" s="2">
        <v>39.4</v>
      </c>
      <c r="Z4927" s="2">
        <v>0</v>
      </c>
      <c r="AA4927" s="2" t="s">
        <v>218</v>
      </c>
      <c r="AB4927" s="2" t="s">
        <v>32311</v>
      </c>
      <c r="AC4927" s="2">
        <v>0.31955351238511998</v>
      </c>
      <c r="AD4927" s="2"/>
      <c r="AE4927" s="2">
        <v>6.1356291257996701E-2</v>
      </c>
      <c r="AF4927" s="2">
        <v>2468.0156242540802</v>
      </c>
      <c r="AG4927" s="2">
        <v>2768.4598194473201</v>
      </c>
      <c r="AH4927" s="4">
        <v>0.89147604993840102</v>
      </c>
      <c r="AI4927" s="4">
        <v>-0.16573205542097699</v>
      </c>
      <c r="AJ4927" s="4" t="s">
        <v>62</v>
      </c>
      <c r="AK4927" s="2">
        <v>0.41415912310075298</v>
      </c>
      <c r="AL4927" s="2">
        <v>0.67718609579982703</v>
      </c>
      <c r="AM4927" s="2">
        <v>1932.4379404736901</v>
      </c>
      <c r="AN4927" s="2">
        <v>2446.6944842693101</v>
      </c>
      <c r="AO4927" s="2">
        <v>2282.4750971015301</v>
      </c>
      <c r="AP4927" s="2">
        <v>2056.2359690634098</v>
      </c>
      <c r="AQ4927" s="2">
        <v>3672.8838234335999</v>
      </c>
      <c r="AR4927" s="2">
        <v>2417.3664311829202</v>
      </c>
      <c r="AS4927" s="2">
        <v>3113.9459652932001</v>
      </c>
      <c r="AT4927" s="2">
        <v>3802.7342109348901</v>
      </c>
      <c r="AU4927" s="2">
        <v>2657.2981365569599</v>
      </c>
      <c r="AV4927" s="2">
        <v>2492.66907970596</v>
      </c>
      <c r="AW4927" s="2">
        <v>2357.8937208101102</v>
      </c>
      <c r="AX4927" s="2">
        <v>2186.21780338281</v>
      </c>
    </row>
    <row r="4928" spans="1:50" x14ac:dyDescent="0.25">
      <c r="A4928" s="2" t="s">
        <v>32312</v>
      </c>
      <c r="B4928" s="2">
        <v>254.17614835929001</v>
      </c>
      <c r="C4928" s="2">
        <v>9.1713500000000003</v>
      </c>
      <c r="D4928" s="2" t="s">
        <v>51</v>
      </c>
      <c r="E4928" s="2" t="s">
        <v>32313</v>
      </c>
      <c r="F4928" s="2">
        <v>59835</v>
      </c>
      <c r="G4928" s="3" t="str">
        <f>HYPERLINK("https://cloud.oebiotech.com/#/lm/network/59835", "https://cloud.oebiotech.com/#/lm/network/59835")</f>
        <v>https://cloud.oebiotech.com/#/lm/network/59835</v>
      </c>
      <c r="H4928" s="2" t="s">
        <v>32314</v>
      </c>
      <c r="I4928" s="2">
        <v>91209</v>
      </c>
      <c r="J4928" s="2"/>
      <c r="K4928" s="2">
        <v>6432934</v>
      </c>
      <c r="L4928" s="2"/>
      <c r="M4928" s="2"/>
      <c r="N4928" s="2"/>
      <c r="O4928" s="2">
        <v>172451</v>
      </c>
      <c r="P4928" s="2"/>
      <c r="Q4928" s="2"/>
      <c r="R4928" s="2" t="s">
        <v>32315</v>
      </c>
      <c r="S4928" s="2" t="s">
        <v>32316</v>
      </c>
      <c r="T4928" s="2" t="s">
        <v>32317</v>
      </c>
      <c r="U4928" s="2" t="s">
        <v>119</v>
      </c>
      <c r="V4928" s="2" t="s">
        <v>120</v>
      </c>
      <c r="W4928" s="2" t="s">
        <v>15355</v>
      </c>
      <c r="X4928" s="2" t="s">
        <v>147</v>
      </c>
      <c r="Y4928" s="2">
        <v>41.1</v>
      </c>
      <c r="Z4928" s="2">
        <v>13.7</v>
      </c>
      <c r="AA4928" s="2" t="s">
        <v>218</v>
      </c>
      <c r="AB4928" s="2" t="s">
        <v>32318</v>
      </c>
      <c r="AC4928" s="2">
        <v>-9.0223080418074697E-2</v>
      </c>
      <c r="AD4928" s="2"/>
      <c r="AE4928" s="2">
        <v>6.1355660050022902E-2</v>
      </c>
      <c r="AF4928" s="2">
        <v>2049.4443837214098</v>
      </c>
      <c r="AG4928" s="2">
        <v>1799.2657625257</v>
      </c>
      <c r="AH4928" s="5">
        <v>1.1390448406268401</v>
      </c>
      <c r="AI4928" s="5">
        <v>0.18782454254787501</v>
      </c>
      <c r="AJ4928" s="5" t="s">
        <v>139</v>
      </c>
      <c r="AK4928" s="2">
        <v>0.69499498680703897</v>
      </c>
      <c r="AL4928" s="2">
        <v>0.85378616196188595</v>
      </c>
      <c r="AM4928" s="2">
        <v>2915.6701039477898</v>
      </c>
      <c r="AN4928" s="2">
        <v>1904.1226473264201</v>
      </c>
      <c r="AO4928" s="2">
        <v>2270.35880910485</v>
      </c>
      <c r="AP4928" s="2">
        <v>2313.2734084072499</v>
      </c>
      <c r="AQ4928" s="2">
        <v>1154.4430797119301</v>
      </c>
      <c r="AR4928" s="2">
        <v>1738.7982538302199</v>
      </c>
      <c r="AS4928" s="2">
        <v>397.80655049292699</v>
      </c>
      <c r="AT4928" s="2">
        <v>568.83797995770703</v>
      </c>
      <c r="AU4928" s="2">
        <v>3879.2873637518701</v>
      </c>
      <c r="AV4928" s="2">
        <v>1287.3949456887899</v>
      </c>
      <c r="AW4928" s="2">
        <v>3075.0430836853898</v>
      </c>
      <c r="AX4928" s="2">
        <v>1587.22465157749</v>
      </c>
    </row>
    <row r="4929" spans="1:50" x14ac:dyDescent="0.25">
      <c r="A4929" s="2" t="s">
        <v>32319</v>
      </c>
      <c r="B4929" s="2">
        <v>237.10499999999999</v>
      </c>
      <c r="C4929" s="2">
        <v>20.457000000000001</v>
      </c>
      <c r="D4929" s="2" t="s">
        <v>125</v>
      </c>
      <c r="E4929" s="2" t="s">
        <v>32320</v>
      </c>
      <c r="F4929" s="2">
        <v>202315</v>
      </c>
      <c r="G4929" s="3" t="str">
        <f>HYPERLINK("https://cloud.oebiotech.com/#/lm/network/202315", "https://cloud.oebiotech.com/#/lm/network/202315")</f>
        <v>https://cloud.oebiotech.com/#/lm/network/202315</v>
      </c>
      <c r="H4929" s="2" t="s">
        <v>32321</v>
      </c>
      <c r="I4929" s="2">
        <v>44444</v>
      </c>
      <c r="J4929" s="2"/>
      <c r="K4929" s="2">
        <v>9500</v>
      </c>
      <c r="L4929" s="2"/>
      <c r="M4929" s="2"/>
      <c r="N4929" s="2"/>
      <c r="O4929" s="2">
        <v>74514</v>
      </c>
      <c r="P4929" s="2"/>
      <c r="Q4929" s="2"/>
      <c r="R4929" s="2" t="s">
        <v>32322</v>
      </c>
      <c r="S4929" s="2" t="s">
        <v>32323</v>
      </c>
      <c r="T4929" s="2" t="s">
        <v>32324</v>
      </c>
      <c r="U4929" s="2" t="s">
        <v>266</v>
      </c>
      <c r="V4929" s="2" t="s">
        <v>2143</v>
      </c>
      <c r="W4929" s="2" t="s">
        <v>2624</v>
      </c>
      <c r="X4929" s="2" t="s">
        <v>59</v>
      </c>
      <c r="Y4929" s="2">
        <v>76.3</v>
      </c>
      <c r="Z4929" s="2">
        <v>63.9</v>
      </c>
      <c r="AA4929" s="2"/>
      <c r="AB4929" s="2" t="s">
        <v>32325</v>
      </c>
      <c r="AC4929" s="2"/>
      <c r="AD4929" s="2">
        <v>690038.00626304804</v>
      </c>
      <c r="AE4929" s="2">
        <v>6.1327755718884699E-2</v>
      </c>
      <c r="AF4929" s="2">
        <v>11896.3645669895</v>
      </c>
      <c r="AG4929" s="2">
        <v>15299.099826742</v>
      </c>
      <c r="AH4929" s="4">
        <v>0.777585916930572</v>
      </c>
      <c r="AI4929" s="4">
        <v>-0.36292600474821102</v>
      </c>
      <c r="AJ4929" s="4" t="s">
        <v>62</v>
      </c>
      <c r="AK4929" s="2">
        <v>0.57619937882682004</v>
      </c>
      <c r="AL4929" s="2">
        <v>0.78623206437481696</v>
      </c>
      <c r="AM4929" s="2">
        <v>12837.481228336401</v>
      </c>
      <c r="AN4929" s="2">
        <v>11559.8574846875</v>
      </c>
      <c r="AO4929" s="2">
        <v>6757.8835339529496</v>
      </c>
      <c r="AP4929" s="2">
        <v>23488.472108913498</v>
      </c>
      <c r="AQ4929" s="2">
        <v>2299.8352172700202</v>
      </c>
      <c r="AR4929" s="2">
        <v>14434.657828776701</v>
      </c>
      <c r="AS4929" s="2">
        <v>36652.3300033665</v>
      </c>
      <c r="AT4929" s="2">
        <v>9055.0337709788291</v>
      </c>
      <c r="AU4929" s="2">
        <v>10031.2817415833</v>
      </c>
      <c r="AV4929" s="2">
        <v>10413.067639368201</v>
      </c>
      <c r="AW4929" s="2">
        <v>23343.050587885002</v>
      </c>
      <c r="AX4929" s="2">
        <v>2299.8352172700202</v>
      </c>
    </row>
    <row r="4930" spans="1:50" x14ac:dyDescent="0.25">
      <c r="A4930" s="2" t="s">
        <v>32326</v>
      </c>
      <c r="B4930" s="2">
        <v>392.28895440981501</v>
      </c>
      <c r="C4930" s="2">
        <v>10.0152</v>
      </c>
      <c r="D4930" s="2" t="s">
        <v>51</v>
      </c>
      <c r="E4930" s="2" t="s">
        <v>32327</v>
      </c>
      <c r="F4930" s="2">
        <v>198444</v>
      </c>
      <c r="G4930" s="3" t="str">
        <f>HYPERLINK("https://cloud.oebiotech.com/#/lm/network/198444", "https://cloud.oebiotech.com/#/lm/network/198444")</f>
        <v>https://cloud.oebiotech.com/#/lm/network/198444</v>
      </c>
      <c r="H4930" s="2" t="s">
        <v>32328</v>
      </c>
      <c r="I4930" s="2"/>
      <c r="J4930" s="2"/>
      <c r="K4930" s="2">
        <v>67901977</v>
      </c>
      <c r="L4930" s="2"/>
      <c r="M4930" s="2"/>
      <c r="N4930" s="2"/>
      <c r="O4930" s="2"/>
      <c r="P4930" s="2"/>
      <c r="Q4930" s="2"/>
      <c r="R4930" s="2"/>
      <c r="S4930" s="2" t="s">
        <v>32329</v>
      </c>
      <c r="T4930" s="2" t="s">
        <v>32330</v>
      </c>
      <c r="U4930" s="2" t="s">
        <v>103</v>
      </c>
      <c r="V4930" s="2" t="s">
        <v>104</v>
      </c>
      <c r="W4930" s="2" t="s">
        <v>105</v>
      </c>
      <c r="X4930" s="2" t="s">
        <v>83</v>
      </c>
      <c r="Y4930" s="2">
        <v>44.6</v>
      </c>
      <c r="Z4930" s="2">
        <v>0</v>
      </c>
      <c r="AA4930" s="2" t="s">
        <v>163</v>
      </c>
      <c r="AB4930" s="2" t="s">
        <v>32331</v>
      </c>
      <c r="AC4930" s="2">
        <v>-7.4022078433547103</v>
      </c>
      <c r="AD4930" s="2"/>
      <c r="AE4930" s="2">
        <v>6.1221427651167899E-2</v>
      </c>
      <c r="AF4930" s="2">
        <v>1258.3776834138</v>
      </c>
      <c r="AG4930" s="2">
        <v>781.78036147901003</v>
      </c>
      <c r="AH4930" s="5">
        <v>1.60963071652649</v>
      </c>
      <c r="AI4930" s="5">
        <v>0.686729741417616</v>
      </c>
      <c r="AJ4930" s="5" t="s">
        <v>139</v>
      </c>
      <c r="AK4930" s="2">
        <v>0.70178190036502097</v>
      </c>
      <c r="AL4930" s="2">
        <v>0.85677136386328001</v>
      </c>
      <c r="AM4930" s="2">
        <v>8.559877937157E-6</v>
      </c>
      <c r="AN4930" s="2">
        <v>8.559877937157E-6</v>
      </c>
      <c r="AO4930" s="2">
        <v>8.559877937157E-6</v>
      </c>
      <c r="AP4930" s="2">
        <v>8.559877937157E-6</v>
      </c>
      <c r="AQ4930" s="2">
        <v>6219.4055022755401</v>
      </c>
      <c r="AR4930" s="2">
        <v>1330.8605639677301</v>
      </c>
      <c r="AS4930" s="2">
        <v>8.559877937157E-6</v>
      </c>
      <c r="AT4930" s="2">
        <v>4046.86985025485</v>
      </c>
      <c r="AU4930" s="2">
        <v>378.83469914282102</v>
      </c>
      <c r="AV4930" s="2">
        <v>264.97759379675301</v>
      </c>
      <c r="AW4930" s="2">
        <v>8.559877937157E-6</v>
      </c>
      <c r="AX4930" s="2">
        <v>8.559877937157E-6</v>
      </c>
    </row>
    <row r="4931" spans="1:50" x14ac:dyDescent="0.25">
      <c r="A4931" s="2" t="s">
        <v>32332</v>
      </c>
      <c r="B4931" s="2">
        <v>319.11631943416302</v>
      </c>
      <c r="C4931" s="2">
        <v>7.8818000000000001</v>
      </c>
      <c r="D4931" s="2" t="s">
        <v>51</v>
      </c>
      <c r="E4931" s="2" t="s">
        <v>32333</v>
      </c>
      <c r="F4931" s="2">
        <v>267313</v>
      </c>
      <c r="G4931" s="3" t="str">
        <f>HYPERLINK("https://cloud.oebiotech.com/#/lm/network/267313", "https://cloud.oebiotech.com/#/lm/network/267313")</f>
        <v>https://cloud.oebiotech.com/#/lm/network/267313</v>
      </c>
      <c r="H4931" s="2"/>
      <c r="I4931" s="2">
        <v>45227</v>
      </c>
      <c r="J4931" s="2"/>
      <c r="K4931" s="2">
        <v>65399</v>
      </c>
      <c r="L4931" s="2"/>
      <c r="M4931" s="2"/>
      <c r="N4931" s="2"/>
      <c r="O4931" s="2"/>
      <c r="P4931" s="2"/>
      <c r="Q4931" s="2"/>
      <c r="R4931" s="2" t="s">
        <v>32334</v>
      </c>
      <c r="S4931" s="2" t="s">
        <v>32335</v>
      </c>
      <c r="T4931" s="2" t="s">
        <v>32336</v>
      </c>
      <c r="U4931" s="2" t="s">
        <v>331</v>
      </c>
      <c r="V4931" s="2" t="s">
        <v>332</v>
      </c>
      <c r="W4931" s="2" t="s">
        <v>333</v>
      </c>
      <c r="X4931" s="2" t="s">
        <v>147</v>
      </c>
      <c r="Y4931" s="2">
        <v>38.299999999999997</v>
      </c>
      <c r="Z4931" s="2">
        <v>0</v>
      </c>
      <c r="AA4931" s="2" t="s">
        <v>163</v>
      </c>
      <c r="AB4931" s="2" t="s">
        <v>32337</v>
      </c>
      <c r="AC4931" s="2">
        <v>0.91479126984996595</v>
      </c>
      <c r="AD4931" s="2"/>
      <c r="AE4931" s="2">
        <v>6.1213873236326197E-2</v>
      </c>
      <c r="AF4931" s="2">
        <v>2776.5191988378401</v>
      </c>
      <c r="AG4931" s="2">
        <v>3773.8883444940102</v>
      </c>
      <c r="AH4931" s="4">
        <v>0.73571842762351503</v>
      </c>
      <c r="AI4931" s="4">
        <v>-0.442774367729594</v>
      </c>
      <c r="AJ4931" s="4" t="s">
        <v>62</v>
      </c>
      <c r="AK4931" s="2">
        <v>0.43003617815960199</v>
      </c>
      <c r="AL4931" s="2">
        <v>0.68819175824183598</v>
      </c>
      <c r="AM4931" s="2">
        <v>7148.48366336444</v>
      </c>
      <c r="AN4931" s="2">
        <v>850.40681458572794</v>
      </c>
      <c r="AO4931" s="2">
        <v>3986.7715215216999</v>
      </c>
      <c r="AP4931" s="2">
        <v>8.559877937157E-6</v>
      </c>
      <c r="AQ4931" s="2">
        <v>1895.61296107883</v>
      </c>
      <c r="AR4931" s="2">
        <v>2777.8402239164898</v>
      </c>
      <c r="AS4931" s="2">
        <v>4734.60758689262</v>
      </c>
      <c r="AT4931" s="2">
        <v>2648.2212992456998</v>
      </c>
      <c r="AU4931" s="2">
        <v>5584.9114224343602</v>
      </c>
      <c r="AV4931" s="2">
        <v>2899.0248381658198</v>
      </c>
      <c r="AW4931" s="2">
        <v>4940.6091578037503</v>
      </c>
      <c r="AX4931" s="2">
        <v>1835.9557624218101</v>
      </c>
    </row>
    <row r="4932" spans="1:50" x14ac:dyDescent="0.25">
      <c r="A4932" s="2" t="s">
        <v>32338</v>
      </c>
      <c r="B4932" s="2">
        <v>363.25426870043702</v>
      </c>
      <c r="C4932" s="2">
        <v>10.7014833333333</v>
      </c>
      <c r="D4932" s="2" t="s">
        <v>51</v>
      </c>
      <c r="E4932" s="2" t="s">
        <v>32339</v>
      </c>
      <c r="F4932" s="2">
        <v>45042</v>
      </c>
      <c r="G4932" s="3" t="str">
        <f>HYPERLINK("https://cloud.oebiotech.com/#/lm/network/45042", "https://cloud.oebiotech.com/#/lm/network/45042")</f>
        <v>https://cloud.oebiotech.com/#/lm/network/45042</v>
      </c>
      <c r="H4932" s="2" t="s">
        <v>32340</v>
      </c>
      <c r="I4932" s="2">
        <v>57867</v>
      </c>
      <c r="J4932" s="2" t="s">
        <v>32341</v>
      </c>
      <c r="K4932" s="2">
        <v>92787</v>
      </c>
      <c r="L4932" s="2" t="s">
        <v>32342</v>
      </c>
      <c r="M4932" s="2"/>
      <c r="N4932" s="2"/>
      <c r="O4932" s="2">
        <v>11909</v>
      </c>
      <c r="P4932" s="2"/>
      <c r="Q4932" s="2"/>
      <c r="R4932" s="2" t="s">
        <v>32343</v>
      </c>
      <c r="S4932" s="2" t="s">
        <v>32344</v>
      </c>
      <c r="T4932" s="2" t="s">
        <v>32345</v>
      </c>
      <c r="U4932" s="2" t="s">
        <v>56</v>
      </c>
      <c r="V4932" s="2" t="s">
        <v>283</v>
      </c>
      <c r="W4932" s="2" t="s">
        <v>3686</v>
      </c>
      <c r="X4932" s="2" t="s">
        <v>83</v>
      </c>
      <c r="Y4932" s="2">
        <v>51.5</v>
      </c>
      <c r="Z4932" s="2">
        <v>0</v>
      </c>
      <c r="AA4932" s="2" t="s">
        <v>218</v>
      </c>
      <c r="AB4932" s="2" t="s">
        <v>24389</v>
      </c>
      <c r="AC4932" s="2">
        <v>0.58286727253687598</v>
      </c>
      <c r="AD4932" s="2"/>
      <c r="AE4932" s="2">
        <v>6.1170024754742397E-2</v>
      </c>
      <c r="AF4932" s="2">
        <v>346.742781620637</v>
      </c>
      <c r="AG4932" s="2">
        <v>656.45789463324002</v>
      </c>
      <c r="AH4932" s="4">
        <v>0.52820262267446805</v>
      </c>
      <c r="AI4932" s="4">
        <v>-0.92083662997823801</v>
      </c>
      <c r="AJ4932" s="4" t="s">
        <v>62</v>
      </c>
      <c r="AK4932" s="2">
        <v>0.49454482569664199</v>
      </c>
      <c r="AL4932" s="2">
        <v>0.73513085382097298</v>
      </c>
      <c r="AM4932" s="2">
        <v>484.72217943858601</v>
      </c>
      <c r="AN4932" s="2">
        <v>304.85341764562497</v>
      </c>
      <c r="AO4932" s="2">
        <v>396.51547710681899</v>
      </c>
      <c r="AP4932" s="2">
        <v>8.559877937157E-6</v>
      </c>
      <c r="AQ4932" s="2">
        <v>587.61661498146896</v>
      </c>
      <c r="AR4932" s="2">
        <v>306.74899199144397</v>
      </c>
      <c r="AS4932" s="2">
        <v>231.469673387694</v>
      </c>
      <c r="AT4932" s="2">
        <v>8.559877937157E-6</v>
      </c>
      <c r="AU4932" s="2">
        <v>1084.7733438625701</v>
      </c>
      <c r="AV4932" s="2">
        <v>8.559877937157E-6</v>
      </c>
      <c r="AW4932" s="2">
        <v>2622.5043248695401</v>
      </c>
      <c r="AX4932" s="2">
        <v>8.559877937157E-6</v>
      </c>
    </row>
    <row r="4933" spans="1:50" x14ac:dyDescent="0.25">
      <c r="A4933" s="2" t="s">
        <v>32346</v>
      </c>
      <c r="B4933" s="2">
        <v>316.28547897746199</v>
      </c>
      <c r="C4933" s="2">
        <v>10.753966666666701</v>
      </c>
      <c r="D4933" s="2" t="s">
        <v>51</v>
      </c>
      <c r="E4933" s="2" t="s">
        <v>32347</v>
      </c>
      <c r="F4933" s="2">
        <v>3052</v>
      </c>
      <c r="G4933" s="3" t="str">
        <f>HYPERLINK("https://cloud.oebiotech.com/#/lm/network/3052", "https://cloud.oebiotech.com/#/lm/network/3052")</f>
        <v>https://cloud.oebiotech.com/#/lm/network/3052</v>
      </c>
      <c r="H4933" s="2"/>
      <c r="I4933" s="2">
        <v>96916</v>
      </c>
      <c r="J4933" s="2" t="s">
        <v>32348</v>
      </c>
      <c r="K4933" s="2">
        <v>56935874</v>
      </c>
      <c r="L4933" s="2"/>
      <c r="M4933" s="2"/>
      <c r="N4933" s="2"/>
      <c r="O4933" s="2"/>
      <c r="P4933" s="2"/>
      <c r="Q4933" s="2"/>
      <c r="R4933" s="2"/>
      <c r="S4933" s="2" t="s">
        <v>32349</v>
      </c>
      <c r="T4933" s="2" t="s">
        <v>32350</v>
      </c>
      <c r="U4933" s="2" t="s">
        <v>56</v>
      </c>
      <c r="V4933" s="2" t="s">
        <v>145</v>
      </c>
      <c r="W4933" s="2" t="s">
        <v>231</v>
      </c>
      <c r="X4933" s="2" t="s">
        <v>83</v>
      </c>
      <c r="Y4933" s="2">
        <v>49.2</v>
      </c>
      <c r="Z4933" s="2">
        <v>0</v>
      </c>
      <c r="AA4933" s="2" t="s">
        <v>512</v>
      </c>
      <c r="AB4933" s="2" t="s">
        <v>8747</v>
      </c>
      <c r="AC4933" s="2">
        <v>2.87844463875701</v>
      </c>
      <c r="AD4933" s="2"/>
      <c r="AE4933" s="2">
        <v>6.1123994079758298E-2</v>
      </c>
      <c r="AF4933" s="2">
        <v>1514.8968062743099</v>
      </c>
      <c r="AG4933" s="2">
        <v>2101.55776051775</v>
      </c>
      <c r="AH4933" s="4">
        <v>0.72084471563660402</v>
      </c>
      <c r="AI4933" s="4">
        <v>-0.47223958730658899</v>
      </c>
      <c r="AJ4933" s="4" t="s">
        <v>62</v>
      </c>
      <c r="AK4933" s="2">
        <v>0.592427274998368</v>
      </c>
      <c r="AL4933" s="2">
        <v>0.79395953310729295</v>
      </c>
      <c r="AM4933" s="2">
        <v>615.441727748944</v>
      </c>
      <c r="AN4933" s="2">
        <v>4394.6134611748103</v>
      </c>
      <c r="AO4933" s="2">
        <v>1126.9788698049499</v>
      </c>
      <c r="AP4933" s="2">
        <v>689.88493449346504</v>
      </c>
      <c r="AQ4933" s="2">
        <v>1470.0942566286601</v>
      </c>
      <c r="AR4933" s="2">
        <v>792.36758779504896</v>
      </c>
      <c r="AS4933" s="2">
        <v>5931.86734843868</v>
      </c>
      <c r="AT4933" s="2">
        <v>2195.64082179053</v>
      </c>
      <c r="AU4933" s="2">
        <v>2970.53327702866</v>
      </c>
      <c r="AV4933" s="2">
        <v>880.80338963819599</v>
      </c>
      <c r="AW4933" s="2">
        <v>281.17906088934501</v>
      </c>
      <c r="AX4933" s="2">
        <v>349.322665321062</v>
      </c>
    </row>
    <row r="4934" spans="1:50" x14ac:dyDescent="0.25">
      <c r="A4934" s="2" t="s">
        <v>32351</v>
      </c>
      <c r="B4934" s="2">
        <v>273.074531159147</v>
      </c>
      <c r="C4934" s="2">
        <v>7.3330166666666701</v>
      </c>
      <c r="D4934" s="2" t="s">
        <v>51</v>
      </c>
      <c r="E4934" s="2" t="s">
        <v>32352</v>
      </c>
      <c r="F4934" s="2">
        <v>53155</v>
      </c>
      <c r="G4934" s="3" t="str">
        <f>HYPERLINK("https://cloud.oebiotech.com/#/lm/network/53155", "https://cloud.oebiotech.com/#/lm/network/53155")</f>
        <v>https://cloud.oebiotech.com/#/lm/network/53155</v>
      </c>
      <c r="H4934" s="2" t="s">
        <v>32353</v>
      </c>
      <c r="I4934" s="2">
        <v>85441</v>
      </c>
      <c r="J4934" s="2"/>
      <c r="K4934" s="2">
        <v>57697</v>
      </c>
      <c r="L4934" s="2"/>
      <c r="M4934" s="2"/>
      <c r="N4934" s="2"/>
      <c r="O4934" s="2">
        <v>775149</v>
      </c>
      <c r="P4934" s="2"/>
      <c r="Q4934" s="2"/>
      <c r="R4934" s="2" t="s">
        <v>32354</v>
      </c>
      <c r="S4934" s="2" t="s">
        <v>32355</v>
      </c>
      <c r="T4934" s="2" t="s">
        <v>32356</v>
      </c>
      <c r="U4934" s="2" t="s">
        <v>266</v>
      </c>
      <c r="V4934" s="2" t="s">
        <v>27962</v>
      </c>
      <c r="W4934" s="2" t="s">
        <v>240</v>
      </c>
      <c r="X4934" s="2" t="s">
        <v>147</v>
      </c>
      <c r="Y4934" s="2">
        <v>39.299999999999997</v>
      </c>
      <c r="Z4934" s="2">
        <v>0</v>
      </c>
      <c r="AA4934" s="2" t="s">
        <v>218</v>
      </c>
      <c r="AB4934" s="2" t="s">
        <v>32357</v>
      </c>
      <c r="AC4934" s="2">
        <v>1.6195666954299901</v>
      </c>
      <c r="AD4934" s="2"/>
      <c r="AE4934" s="2">
        <v>6.1089750376866502E-2</v>
      </c>
      <c r="AF4934" s="2">
        <v>14575.1750540706</v>
      </c>
      <c r="AG4934" s="2">
        <v>13882.518930710999</v>
      </c>
      <c r="AH4934" s="5">
        <v>1.04989412417276</v>
      </c>
      <c r="AI4934" s="5">
        <v>7.0243847670014806E-2</v>
      </c>
      <c r="AJ4934" s="5" t="s">
        <v>139</v>
      </c>
      <c r="AK4934" s="2">
        <v>0.92074843711854704</v>
      </c>
      <c r="AL4934" s="2">
        <v>0.96547519393645298</v>
      </c>
      <c r="AM4934" s="2">
        <v>21551.491993506501</v>
      </c>
      <c r="AN4934" s="2">
        <v>9574.04988153265</v>
      </c>
      <c r="AO4934" s="2">
        <v>14810.9002099358</v>
      </c>
      <c r="AP4934" s="2">
        <v>386.94224545267502</v>
      </c>
      <c r="AQ4934" s="2">
        <v>9195.9443789643101</v>
      </c>
      <c r="AR4934" s="2">
        <v>31931.7216150317</v>
      </c>
      <c r="AS4934" s="2">
        <v>21164.262967291299</v>
      </c>
      <c r="AT4934" s="2">
        <v>14937.7429475765</v>
      </c>
      <c r="AU4934" s="2">
        <v>3832.82737936781</v>
      </c>
      <c r="AV4934" s="2">
        <v>1693.8290401870399</v>
      </c>
      <c r="AW4934" s="2">
        <v>7103.3902183084501</v>
      </c>
      <c r="AX4934" s="2">
        <v>34563.0610315347</v>
      </c>
    </row>
    <row r="4935" spans="1:50" x14ac:dyDescent="0.25">
      <c r="A4935" s="2" t="s">
        <v>32358</v>
      </c>
      <c r="B4935" s="2">
        <v>466.31801671621002</v>
      </c>
      <c r="C4935" s="2">
        <v>6.3127000000000004</v>
      </c>
      <c r="D4935" s="2" t="s">
        <v>51</v>
      </c>
      <c r="E4935" s="2" t="s">
        <v>32359</v>
      </c>
      <c r="F4935" s="2">
        <v>197244</v>
      </c>
      <c r="G4935" s="3" t="str">
        <f>HYPERLINK("https://cloud.oebiotech.com/#/lm/network/197244", "https://cloud.oebiotech.com/#/lm/network/197244")</f>
        <v>https://cloud.oebiotech.com/#/lm/network/197244</v>
      </c>
      <c r="H4935" s="2" t="s">
        <v>32360</v>
      </c>
      <c r="I4935" s="2"/>
      <c r="J4935" s="2"/>
      <c r="K4935" s="2">
        <v>71361462</v>
      </c>
      <c r="L4935" s="2"/>
      <c r="M4935" s="2"/>
      <c r="N4935" s="2"/>
      <c r="O4935" s="2">
        <v>133176</v>
      </c>
      <c r="P4935" s="2"/>
      <c r="Q4935" s="2"/>
      <c r="R4935" s="2" t="s">
        <v>32361</v>
      </c>
      <c r="S4935" s="2" t="s">
        <v>32362</v>
      </c>
      <c r="T4935" s="2" t="s">
        <v>32363</v>
      </c>
      <c r="U4935" s="2" t="s">
        <v>56</v>
      </c>
      <c r="V4935" s="2" t="s">
        <v>283</v>
      </c>
      <c r="W4935" s="2" t="s">
        <v>2042</v>
      </c>
      <c r="X4935" s="2" t="s">
        <v>69</v>
      </c>
      <c r="Y4935" s="2">
        <v>58.6</v>
      </c>
      <c r="Z4935" s="2">
        <v>92.3</v>
      </c>
      <c r="AA4935" s="2" t="s">
        <v>259</v>
      </c>
      <c r="AB4935" s="2" t="s">
        <v>4671</v>
      </c>
      <c r="AC4935" s="2">
        <v>3.6581774711890001</v>
      </c>
      <c r="AD4935" s="2"/>
      <c r="AE4935" s="2">
        <v>6.1077544985030298E-2</v>
      </c>
      <c r="AF4935" s="2">
        <v>677.65239467595802</v>
      </c>
      <c r="AG4935" s="2">
        <v>390.69384139032502</v>
      </c>
      <c r="AH4935" s="5">
        <v>1.7344844553076699</v>
      </c>
      <c r="AI4935" s="5">
        <v>0.79450691104745097</v>
      </c>
      <c r="AJ4935" s="5" t="s">
        <v>139</v>
      </c>
      <c r="AK4935" s="2">
        <v>0.49451552188536901</v>
      </c>
      <c r="AL4935" s="2">
        <v>0.73513085382097298</v>
      </c>
      <c r="AM4935" s="2">
        <v>8.559877937157E-6</v>
      </c>
      <c r="AN4935" s="2">
        <v>1175.8809243000701</v>
      </c>
      <c r="AO4935" s="2">
        <v>8.559877937157E-6</v>
      </c>
      <c r="AP4935" s="2">
        <v>8.559877937157E-6</v>
      </c>
      <c r="AQ4935" s="2">
        <v>822.63309076088103</v>
      </c>
      <c r="AR4935" s="2">
        <v>2067.4003273151602</v>
      </c>
      <c r="AS4935" s="2">
        <v>8.559877937157E-6</v>
      </c>
      <c r="AT4935" s="2">
        <v>1425.5191360220399</v>
      </c>
      <c r="AU4935" s="2">
        <v>158.18489059935101</v>
      </c>
      <c r="AV4935" s="2">
        <v>274.26918604661802</v>
      </c>
      <c r="AW4935" s="2">
        <v>267.97035866958299</v>
      </c>
      <c r="AX4935" s="2">
        <v>218.21946844448101</v>
      </c>
    </row>
    <row r="4936" spans="1:50" x14ac:dyDescent="0.25">
      <c r="A4936" s="2" t="s">
        <v>32364</v>
      </c>
      <c r="B4936" s="2">
        <v>537.41633802085096</v>
      </c>
      <c r="C4936" s="2">
        <v>14.69575</v>
      </c>
      <c r="D4936" s="2" t="s">
        <v>51</v>
      </c>
      <c r="E4936" s="2" t="s">
        <v>32365</v>
      </c>
      <c r="F4936" s="2">
        <v>256855</v>
      </c>
      <c r="G4936" s="3" t="str">
        <f>HYPERLINK("https://cloud.oebiotech.com/#/lm/network/256855", "https://cloud.oebiotech.com/#/lm/network/256855")</f>
        <v>https://cloud.oebiotech.com/#/lm/network/256855</v>
      </c>
      <c r="H4936" s="2" t="s">
        <v>32366</v>
      </c>
      <c r="I4936" s="2"/>
      <c r="J4936" s="2"/>
      <c r="K4936" s="2"/>
      <c r="L4936" s="2"/>
      <c r="M4936" s="2"/>
      <c r="N4936" s="2"/>
      <c r="O4936" s="2">
        <v>144068</v>
      </c>
      <c r="P4936" s="2"/>
      <c r="Q4936" s="2"/>
      <c r="R4936" s="2"/>
      <c r="S4936" s="2" t="s">
        <v>32367</v>
      </c>
      <c r="T4936" s="2" t="s">
        <v>32368</v>
      </c>
      <c r="U4936" s="2" t="s">
        <v>56</v>
      </c>
      <c r="V4936" s="2" t="s">
        <v>145</v>
      </c>
      <c r="W4936" s="2" t="s">
        <v>231</v>
      </c>
      <c r="X4936" s="2" t="s">
        <v>147</v>
      </c>
      <c r="Y4936" s="2">
        <v>39</v>
      </c>
      <c r="Z4936" s="2">
        <v>0</v>
      </c>
      <c r="AA4936" s="2" t="s">
        <v>478</v>
      </c>
      <c r="AB4936" s="2" t="s">
        <v>32369</v>
      </c>
      <c r="AC4936" s="2">
        <v>0.51051915915638502</v>
      </c>
      <c r="AD4936" s="2"/>
      <c r="AE4936" s="2">
        <v>6.10580677919247E-2</v>
      </c>
      <c r="AF4936" s="2">
        <v>1889.1691978075701</v>
      </c>
      <c r="AG4936" s="2">
        <v>1621.70313532208</v>
      </c>
      <c r="AH4936" s="5">
        <v>1.1649291147435401</v>
      </c>
      <c r="AI4936" s="5">
        <v>0.22024217039945601</v>
      </c>
      <c r="AJ4936" s="5" t="s">
        <v>139</v>
      </c>
      <c r="AK4936" s="2">
        <v>0.60907208001943802</v>
      </c>
      <c r="AL4936" s="2">
        <v>0.80500020905507597</v>
      </c>
      <c r="AM4936" s="2">
        <v>1746.1548668380201</v>
      </c>
      <c r="AN4936" s="2">
        <v>1939.37770579888</v>
      </c>
      <c r="AO4936" s="2">
        <v>1923.38105843577</v>
      </c>
      <c r="AP4936" s="2">
        <v>3270.21677747085</v>
      </c>
      <c r="AQ4936" s="2">
        <v>923.66120619148205</v>
      </c>
      <c r="AR4936" s="2">
        <v>1532.22357211044</v>
      </c>
      <c r="AS4936" s="2">
        <v>669.33742391874296</v>
      </c>
      <c r="AT4936" s="2">
        <v>2729.42451267363</v>
      </c>
      <c r="AU4936" s="2">
        <v>2313.6194663853898</v>
      </c>
      <c r="AV4936" s="2">
        <v>679.842574202538</v>
      </c>
      <c r="AW4936" s="2">
        <v>2445.2955579110999</v>
      </c>
      <c r="AX4936" s="2">
        <v>892.69927684110405</v>
      </c>
    </row>
    <row r="4937" spans="1:50" x14ac:dyDescent="0.25">
      <c r="A4937" s="2" t="s">
        <v>32370</v>
      </c>
      <c r="B4937" s="2">
        <v>191.013813711654</v>
      </c>
      <c r="C4937" s="2">
        <v>1.2111499999999999</v>
      </c>
      <c r="D4937" s="2" t="s">
        <v>51</v>
      </c>
      <c r="E4937" s="2" t="s">
        <v>32371</v>
      </c>
      <c r="F4937" s="2">
        <v>10130</v>
      </c>
      <c r="G4937" s="3" t="str">
        <f>HYPERLINK("https://cloud.oebiotech.com/#/lm/network/10130", "https://cloud.oebiotech.com/#/lm/network/10130")</f>
        <v>https://cloud.oebiotech.com/#/lm/network/10130</v>
      </c>
      <c r="H4937" s="2"/>
      <c r="I4937" s="2"/>
      <c r="J4937" s="2" t="s">
        <v>32372</v>
      </c>
      <c r="K4937" s="2">
        <v>57292281</v>
      </c>
      <c r="L4937" s="2"/>
      <c r="M4937" s="2"/>
      <c r="N4937" s="2"/>
      <c r="O4937" s="2"/>
      <c r="P4937" s="2"/>
      <c r="Q4937" s="2"/>
      <c r="R4937" s="2"/>
      <c r="S4937" s="2" t="s">
        <v>32373</v>
      </c>
      <c r="T4937" s="2" t="s">
        <v>32374</v>
      </c>
      <c r="U4937" s="2" t="s">
        <v>266</v>
      </c>
      <c r="V4937" s="2" t="s">
        <v>7754</v>
      </c>
      <c r="W4937" s="2" t="s">
        <v>240</v>
      </c>
      <c r="X4937" s="2" t="s">
        <v>147</v>
      </c>
      <c r="Y4937" s="2">
        <v>36.700000000000003</v>
      </c>
      <c r="Z4937" s="2">
        <v>0</v>
      </c>
      <c r="AA4937" s="2" t="s">
        <v>95</v>
      </c>
      <c r="AB4937" s="2" t="s">
        <v>32375</v>
      </c>
      <c r="AC4937" s="2">
        <v>0.55072905567546804</v>
      </c>
      <c r="AD4937" s="2"/>
      <c r="AE4937" s="2">
        <v>6.1049566457688297E-2</v>
      </c>
      <c r="AF4937" s="2">
        <v>745.04105976512903</v>
      </c>
      <c r="AG4937" s="2">
        <v>1318.78537074972</v>
      </c>
      <c r="AH4937" s="4">
        <v>0.56494489269438697</v>
      </c>
      <c r="AI4937" s="4">
        <v>-0.82381794756120597</v>
      </c>
      <c r="AJ4937" s="4" t="s">
        <v>62</v>
      </c>
      <c r="AK4937" s="2">
        <v>0.44740731268814299</v>
      </c>
      <c r="AL4937" s="2">
        <v>0.70214849250196898</v>
      </c>
      <c r="AM4937" s="2">
        <v>1463.9065499655501</v>
      </c>
      <c r="AN4937" s="2">
        <v>397.94152722957301</v>
      </c>
      <c r="AO4937" s="2">
        <v>96.704069417894004</v>
      </c>
      <c r="AP4937" s="2">
        <v>1280.46088629836</v>
      </c>
      <c r="AQ4937" s="2">
        <v>625.89701509583404</v>
      </c>
      <c r="AR4937" s="2">
        <v>605.33631058356298</v>
      </c>
      <c r="AS4937" s="2">
        <v>1001.22522909593</v>
      </c>
      <c r="AT4937" s="2">
        <v>723.510355942248</v>
      </c>
      <c r="AU4937" s="2">
        <v>4755.7710942674903</v>
      </c>
      <c r="AV4937" s="2">
        <v>569.55697691601802</v>
      </c>
      <c r="AW4937" s="2">
        <v>364.91350462101599</v>
      </c>
      <c r="AX4937" s="2">
        <v>497.73506365562599</v>
      </c>
    </row>
    <row r="4938" spans="1:50" x14ac:dyDescent="0.25">
      <c r="A4938" s="2" t="s">
        <v>32376</v>
      </c>
      <c r="B4938" s="2">
        <v>365.05458057658399</v>
      </c>
      <c r="C4938" s="2">
        <v>0.99048333333333305</v>
      </c>
      <c r="D4938" s="2" t="s">
        <v>51</v>
      </c>
      <c r="E4938" s="2" t="s">
        <v>32377</v>
      </c>
      <c r="F4938" s="2">
        <v>53306</v>
      </c>
      <c r="G4938" s="3" t="str">
        <f>HYPERLINK("https://cloud.oebiotech.com/#/lm/network/53306", "https://cloud.oebiotech.com/#/lm/network/53306")</f>
        <v>https://cloud.oebiotech.com/#/lm/network/53306</v>
      </c>
      <c r="H4938" s="2" t="s">
        <v>32378</v>
      </c>
      <c r="I4938" s="2">
        <v>675</v>
      </c>
      <c r="J4938" s="2"/>
      <c r="K4938" s="2">
        <v>30751</v>
      </c>
      <c r="L4938" s="2"/>
      <c r="M4938" s="2"/>
      <c r="N4938" s="2"/>
      <c r="O4938" s="2">
        <v>63599</v>
      </c>
      <c r="P4938" s="2"/>
      <c r="Q4938" s="2"/>
      <c r="R4938" s="2" t="s">
        <v>32379</v>
      </c>
      <c r="S4938" s="2" t="s">
        <v>32380</v>
      </c>
      <c r="T4938" s="2" t="s">
        <v>32381</v>
      </c>
      <c r="U4938" s="2" t="s">
        <v>295</v>
      </c>
      <c r="V4938" s="2" t="s">
        <v>1023</v>
      </c>
      <c r="W4938" s="2" t="s">
        <v>4858</v>
      </c>
      <c r="X4938" s="2" t="s">
        <v>147</v>
      </c>
      <c r="Y4938" s="2">
        <v>38</v>
      </c>
      <c r="Z4938" s="2">
        <v>0</v>
      </c>
      <c r="AA4938" s="2" t="s">
        <v>122</v>
      </c>
      <c r="AB4938" s="2" t="s">
        <v>32382</v>
      </c>
      <c r="AC4938" s="2">
        <v>2.5142844669409601</v>
      </c>
      <c r="AD4938" s="2"/>
      <c r="AE4938" s="2">
        <v>6.1002635889441603E-2</v>
      </c>
      <c r="AF4938" s="2">
        <v>4136.4546931263503</v>
      </c>
      <c r="AG4938" s="2">
        <v>2938.9943909920598</v>
      </c>
      <c r="AH4938" s="5">
        <v>1.4074387844374501</v>
      </c>
      <c r="AI4938" s="5">
        <v>0.49307217466138797</v>
      </c>
      <c r="AJ4938" s="5" t="s">
        <v>139</v>
      </c>
      <c r="AK4938" s="2">
        <v>0.50795081084501403</v>
      </c>
      <c r="AL4938" s="2">
        <v>0.74278422758296803</v>
      </c>
      <c r="AM4938" s="2">
        <v>480.73576258119698</v>
      </c>
      <c r="AN4938" s="2">
        <v>4596.9679093975601</v>
      </c>
      <c r="AO4938" s="2">
        <v>7069.3928981041499</v>
      </c>
      <c r="AP4938" s="2">
        <v>9059.2373755016906</v>
      </c>
      <c r="AQ4938" s="2">
        <v>2304.06083562905</v>
      </c>
      <c r="AR4938" s="2">
        <v>1308.33337754443</v>
      </c>
      <c r="AS4938" s="2">
        <v>8.559877937157E-6</v>
      </c>
      <c r="AT4938" s="2">
        <v>2400.9214898406599</v>
      </c>
      <c r="AU4938" s="2">
        <v>349.60989391341502</v>
      </c>
      <c r="AV4938" s="2">
        <v>6678.8060640670001</v>
      </c>
      <c r="AW4938" s="2">
        <v>4864.2583679415302</v>
      </c>
      <c r="AX4938" s="2">
        <v>3340.3705216298499</v>
      </c>
    </row>
    <row r="4939" spans="1:50" x14ac:dyDescent="0.25">
      <c r="A4939" s="2" t="s">
        <v>32383</v>
      </c>
      <c r="B4939" s="2">
        <v>440.13593778956698</v>
      </c>
      <c r="C4939" s="2">
        <v>13.3257833333333</v>
      </c>
      <c r="D4939" s="2" t="s">
        <v>51</v>
      </c>
      <c r="E4939" s="2" t="s">
        <v>32384</v>
      </c>
      <c r="F4939" s="2">
        <v>513579</v>
      </c>
      <c r="G4939" s="3" t="str">
        <f>HYPERLINK("https://cloud.oebiotech.com/#/lm/network/513579", "https://cloud.oebiotech.com/#/lm/network/513579")</f>
        <v>https://cloud.oebiotech.com/#/lm/network/513579</v>
      </c>
      <c r="H4939" s="2"/>
      <c r="I4939" s="2">
        <v>96306</v>
      </c>
      <c r="J4939" s="2"/>
      <c r="K4939" s="2">
        <v>54688361</v>
      </c>
      <c r="L4939" s="2"/>
      <c r="M4939" s="2"/>
      <c r="N4939" s="2"/>
      <c r="O4939" s="2"/>
      <c r="P4939" s="2"/>
      <c r="Q4939" s="2"/>
      <c r="R4939" s="2"/>
      <c r="S4939" s="2" t="s">
        <v>32385</v>
      </c>
      <c r="T4939" s="2" t="s">
        <v>32386</v>
      </c>
      <c r="U4939" s="2" t="s">
        <v>540</v>
      </c>
      <c r="V4939" s="2" t="s">
        <v>1826</v>
      </c>
      <c r="W4939" s="2" t="s">
        <v>16766</v>
      </c>
      <c r="X4939" s="2" t="s">
        <v>147</v>
      </c>
      <c r="Y4939" s="2">
        <v>38.299999999999997</v>
      </c>
      <c r="Z4939" s="2">
        <v>0</v>
      </c>
      <c r="AA4939" s="2" t="s">
        <v>218</v>
      </c>
      <c r="AB4939" s="2" t="s">
        <v>32387</v>
      </c>
      <c r="AC4939" s="2">
        <v>2.1448869092206002</v>
      </c>
      <c r="AD4939" s="2"/>
      <c r="AE4939" s="2">
        <v>6.0985403919404699E-2</v>
      </c>
      <c r="AF4939" s="2">
        <v>2456.51853087881</v>
      </c>
      <c r="AG4939" s="2">
        <v>2127.1150703169801</v>
      </c>
      <c r="AH4939" s="5">
        <v>1.1548592575731</v>
      </c>
      <c r="AI4939" s="5">
        <v>0.207717041447773</v>
      </c>
      <c r="AJ4939" s="5" t="s">
        <v>139</v>
      </c>
      <c r="AK4939" s="2">
        <v>0.60637565989754705</v>
      </c>
      <c r="AL4939" s="2">
        <v>0.80376251234912599</v>
      </c>
      <c r="AM4939" s="2">
        <v>2689.73377496889</v>
      </c>
      <c r="AN4939" s="2">
        <v>3521.3620000360302</v>
      </c>
      <c r="AO4939" s="2">
        <v>3290.0135499258399</v>
      </c>
      <c r="AP4939" s="2">
        <v>2477.0402410496899</v>
      </c>
      <c r="AQ4939" s="2">
        <v>1763.9801566926801</v>
      </c>
      <c r="AR4939" s="2">
        <v>996.98146259975101</v>
      </c>
      <c r="AS4939" s="2">
        <v>729.20209346721902</v>
      </c>
      <c r="AT4939" s="2">
        <v>697.45664665336699</v>
      </c>
      <c r="AU4939" s="2">
        <v>2410.13549554567</v>
      </c>
      <c r="AV4939" s="2">
        <v>2259.3418551781701</v>
      </c>
      <c r="AW4939" s="2">
        <v>3383.5348373741099</v>
      </c>
      <c r="AX4939" s="2">
        <v>3283.01949368333</v>
      </c>
    </row>
    <row r="4940" spans="1:50" x14ac:dyDescent="0.25">
      <c r="A4940" s="2" t="s">
        <v>32388</v>
      </c>
      <c r="B4940" s="2">
        <v>288.03022687959998</v>
      </c>
      <c r="C4940" s="2">
        <v>4.6687166666666702</v>
      </c>
      <c r="D4940" s="2" t="s">
        <v>51</v>
      </c>
      <c r="E4940" s="2" t="s">
        <v>32389</v>
      </c>
      <c r="F4940" s="2">
        <v>197132</v>
      </c>
      <c r="G4940" s="3" t="str">
        <f>HYPERLINK("https://cloud.oebiotech.com/#/lm/network/197132", "https://cloud.oebiotech.com/#/lm/network/197132")</f>
        <v>https://cloud.oebiotech.com/#/lm/network/197132</v>
      </c>
      <c r="H4940" s="2" t="s">
        <v>32390</v>
      </c>
      <c r="I4940" s="2"/>
      <c r="J4940" s="2"/>
      <c r="K4940" s="2"/>
      <c r="L4940" s="2"/>
      <c r="M4940" s="2"/>
      <c r="N4940" s="2"/>
      <c r="O4940" s="2"/>
      <c r="P4940" s="2"/>
      <c r="Q4940" s="2"/>
      <c r="R4940" s="2"/>
      <c r="S4940" s="2" t="s">
        <v>32391</v>
      </c>
      <c r="T4940" s="2" t="s">
        <v>32392</v>
      </c>
      <c r="U4940" s="2" t="s">
        <v>103</v>
      </c>
      <c r="V4940" s="2" t="s">
        <v>4820</v>
      </c>
      <c r="W4940" s="2" t="s">
        <v>4821</v>
      </c>
      <c r="X4940" s="2" t="s">
        <v>83</v>
      </c>
      <c r="Y4940" s="2">
        <v>39.799999999999997</v>
      </c>
      <c r="Z4940" s="2">
        <v>0</v>
      </c>
      <c r="AA4940" s="2" t="s">
        <v>122</v>
      </c>
      <c r="AB4940" s="2" t="s">
        <v>32393</v>
      </c>
      <c r="AC4940" s="2">
        <v>-0.51016203092850099</v>
      </c>
      <c r="AD4940" s="2"/>
      <c r="AE4940" s="2">
        <v>6.0900623240956901E-2</v>
      </c>
      <c r="AF4940" s="2">
        <v>971.85495422038196</v>
      </c>
      <c r="AG4940" s="2">
        <v>577.20215882926504</v>
      </c>
      <c r="AH4940" s="5">
        <v>1.68373409446629</v>
      </c>
      <c r="AI4940" s="5">
        <v>0.75166431721364402</v>
      </c>
      <c r="AJ4940" s="5" t="s">
        <v>139</v>
      </c>
      <c r="AK4940" s="2">
        <v>0.57714982727469699</v>
      </c>
      <c r="AL4940" s="2">
        <v>0.78657023126793102</v>
      </c>
      <c r="AM4940" s="2">
        <v>368.88503970164902</v>
      </c>
      <c r="AN4940" s="2">
        <v>1205.8908210199299</v>
      </c>
      <c r="AO4940" s="2">
        <v>76.6100671011353</v>
      </c>
      <c r="AP4940" s="2">
        <v>3143.2677093532302</v>
      </c>
      <c r="AQ4940" s="2">
        <v>267.28921144487202</v>
      </c>
      <c r="AR4940" s="2">
        <v>769.18687670147494</v>
      </c>
      <c r="AS4940" s="2">
        <v>8.559877937157E-6</v>
      </c>
      <c r="AT4940" s="2">
        <v>3075.95472464146</v>
      </c>
      <c r="AU4940" s="2">
        <v>22.336328199746202</v>
      </c>
      <c r="AV4940" s="2">
        <v>364.92187445475003</v>
      </c>
      <c r="AW4940" s="2">
        <v>8.559877937157E-6</v>
      </c>
      <c r="AX4940" s="2">
        <v>8.559877937157E-6</v>
      </c>
    </row>
    <row r="4941" spans="1:50" x14ac:dyDescent="0.25">
      <c r="A4941" s="2" t="s">
        <v>32394</v>
      </c>
      <c r="B4941" s="2">
        <v>356.12980238589</v>
      </c>
      <c r="C4941" s="2">
        <v>12.1956333333333</v>
      </c>
      <c r="D4941" s="2" t="s">
        <v>51</v>
      </c>
      <c r="E4941" s="2" t="s">
        <v>32395</v>
      </c>
      <c r="F4941" s="2">
        <v>212188</v>
      </c>
      <c r="G4941" s="3" t="str">
        <f>HYPERLINK("https://cloud.oebiotech.com/#/lm/network/212188", "https://cloud.oebiotech.com/#/lm/network/212188")</f>
        <v>https://cloud.oebiotech.com/#/lm/network/212188</v>
      </c>
      <c r="H4941" s="2" t="s">
        <v>32396</v>
      </c>
      <c r="I4941" s="2"/>
      <c r="J4941" s="2"/>
      <c r="K4941" s="2"/>
      <c r="L4941" s="2"/>
      <c r="M4941" s="2"/>
      <c r="N4941" s="2"/>
      <c r="O4941" s="2"/>
      <c r="P4941" s="2"/>
      <c r="Q4941" s="2"/>
      <c r="R4941" s="2"/>
      <c r="S4941" s="2" t="s">
        <v>32397</v>
      </c>
      <c r="T4941" s="2" t="s">
        <v>32398</v>
      </c>
      <c r="U4941" s="2" t="s">
        <v>610</v>
      </c>
      <c r="V4941" s="2" t="s">
        <v>611</v>
      </c>
      <c r="W4941" s="2" t="s">
        <v>2327</v>
      </c>
      <c r="X4941" s="2" t="s">
        <v>147</v>
      </c>
      <c r="Y4941" s="2">
        <v>44.1</v>
      </c>
      <c r="Z4941" s="2">
        <v>32.6</v>
      </c>
      <c r="AA4941" s="2" t="s">
        <v>163</v>
      </c>
      <c r="AB4941" s="2" t="s">
        <v>32399</v>
      </c>
      <c r="AC4941" s="2">
        <v>1.6389954275091101</v>
      </c>
      <c r="AD4941" s="2"/>
      <c r="AE4941" s="2">
        <v>6.0895470784225698E-2</v>
      </c>
      <c r="AF4941" s="2">
        <v>2193.0528949067502</v>
      </c>
      <c r="AG4941" s="2">
        <v>2054.56127335972</v>
      </c>
      <c r="AH4941" s="5">
        <v>1.06740690742241</v>
      </c>
      <c r="AI4941" s="5">
        <v>9.4110252462677596E-2</v>
      </c>
      <c r="AJ4941" s="5" t="s">
        <v>139</v>
      </c>
      <c r="AK4941" s="2">
        <v>0.80107104365823301</v>
      </c>
      <c r="AL4941" s="2">
        <v>0.91034349227655897</v>
      </c>
      <c r="AM4941" s="2">
        <v>3081.2722716162002</v>
      </c>
      <c r="AN4941" s="2">
        <v>1858.8765513216299</v>
      </c>
      <c r="AO4941" s="2">
        <v>1648.54519562775</v>
      </c>
      <c r="AP4941" s="2">
        <v>1378.3233594275</v>
      </c>
      <c r="AQ4941" s="2">
        <v>2798.5798946114801</v>
      </c>
      <c r="AR4941" s="2">
        <v>2392.7200968359698</v>
      </c>
      <c r="AS4941" s="2">
        <v>2986.5710946046102</v>
      </c>
      <c r="AT4941" s="2">
        <v>2682.6704659705001</v>
      </c>
      <c r="AU4941" s="2">
        <v>3462.0103258899899</v>
      </c>
      <c r="AV4941" s="2">
        <v>1247.63473039527</v>
      </c>
      <c r="AW4941" s="2">
        <v>1194.45168471702</v>
      </c>
      <c r="AX4941" s="2">
        <v>754.02933858094195</v>
      </c>
    </row>
    <row r="4942" spans="1:50" x14ac:dyDescent="0.25">
      <c r="A4942" s="2" t="s">
        <v>32400</v>
      </c>
      <c r="B4942" s="2">
        <v>756.38872337315604</v>
      </c>
      <c r="C4942" s="2">
        <v>3.9216000000000002</v>
      </c>
      <c r="D4942" s="2" t="s">
        <v>51</v>
      </c>
      <c r="E4942" s="2" t="s">
        <v>32401</v>
      </c>
      <c r="F4942" s="2">
        <v>203647</v>
      </c>
      <c r="G4942" s="3" t="str">
        <f>HYPERLINK("https://cloud.oebiotech.com/#/lm/network/203647", "https://cloud.oebiotech.com/#/lm/network/203647")</f>
        <v>https://cloud.oebiotech.com/#/lm/network/203647</v>
      </c>
      <c r="H4942" s="2" t="s">
        <v>32402</v>
      </c>
      <c r="I4942" s="2"/>
      <c r="J4942" s="2"/>
      <c r="K4942" s="2">
        <v>4223795</v>
      </c>
      <c r="L4942" s="2"/>
      <c r="M4942" s="2"/>
      <c r="N4942" s="2"/>
      <c r="O4942" s="2"/>
      <c r="P4942" s="2"/>
      <c r="Q4942" s="2"/>
      <c r="R4942" s="2"/>
      <c r="S4942" s="2" t="s">
        <v>32403</v>
      </c>
      <c r="T4942" s="2" t="s">
        <v>32404</v>
      </c>
      <c r="U4942" s="2" t="s">
        <v>103</v>
      </c>
      <c r="V4942" s="2" t="s">
        <v>104</v>
      </c>
      <c r="W4942" s="2" t="s">
        <v>105</v>
      </c>
      <c r="X4942" s="2" t="s">
        <v>147</v>
      </c>
      <c r="Y4942" s="2">
        <v>36.1</v>
      </c>
      <c r="Z4942" s="2">
        <v>0</v>
      </c>
      <c r="AA4942" s="2" t="s">
        <v>122</v>
      </c>
      <c r="AB4942" s="2" t="s">
        <v>32405</v>
      </c>
      <c r="AC4942" s="2">
        <v>-4.1645324802739099</v>
      </c>
      <c r="AD4942" s="2"/>
      <c r="AE4942" s="2">
        <v>6.08644396816986E-2</v>
      </c>
      <c r="AF4942" s="2">
        <v>5893.7659816224796</v>
      </c>
      <c r="AG4942" s="2">
        <v>5070.0110705080197</v>
      </c>
      <c r="AH4942" s="5">
        <v>1.1624759590578</v>
      </c>
      <c r="AI4942" s="5">
        <v>0.21720088042993299</v>
      </c>
      <c r="AJ4942" s="5" t="s">
        <v>139</v>
      </c>
      <c r="AK4942" s="2">
        <v>0.77541930919329305</v>
      </c>
      <c r="AL4942" s="2">
        <v>0.90020814209632105</v>
      </c>
      <c r="AM4942" s="2">
        <v>6261.7386238608296</v>
      </c>
      <c r="AN4942" s="2">
        <v>5630.4897395772396</v>
      </c>
      <c r="AO4942" s="2">
        <v>8944.3734108919907</v>
      </c>
      <c r="AP4942" s="2">
        <v>505.98710313862898</v>
      </c>
      <c r="AQ4942" s="2">
        <v>3469.0397757492901</v>
      </c>
      <c r="AR4942" s="2">
        <v>10550.967236516901</v>
      </c>
      <c r="AS4942" s="2">
        <v>8.559877937157E-6</v>
      </c>
      <c r="AT4942" s="2">
        <v>1056.65715918465</v>
      </c>
      <c r="AU4942" s="2">
        <v>4941.23434483234</v>
      </c>
      <c r="AV4942" s="2">
        <v>16262.9643034949</v>
      </c>
      <c r="AW4942" s="2">
        <v>5013.6630636642203</v>
      </c>
      <c r="AX4942" s="2">
        <v>3145.5475433121401</v>
      </c>
    </row>
    <row r="4943" spans="1:50" x14ac:dyDescent="0.25">
      <c r="A4943" s="2" t="s">
        <v>32406</v>
      </c>
      <c r="B4943" s="2">
        <v>413.29952384112403</v>
      </c>
      <c r="C4943" s="2">
        <v>7.8409500000000003</v>
      </c>
      <c r="D4943" s="2" t="s">
        <v>51</v>
      </c>
      <c r="E4943" s="2" t="s">
        <v>32407</v>
      </c>
      <c r="F4943" s="2">
        <v>8857</v>
      </c>
      <c r="G4943" s="3" t="str">
        <f>HYPERLINK("https://cloud.oebiotech.com/#/lm/network/8857", "https://cloud.oebiotech.com/#/lm/network/8857")</f>
        <v>https://cloud.oebiotech.com/#/lm/network/8857</v>
      </c>
      <c r="H4943" s="2"/>
      <c r="I4943" s="2"/>
      <c r="J4943" s="2" t="s">
        <v>32408</v>
      </c>
      <c r="K4943" s="2"/>
      <c r="L4943" s="2"/>
      <c r="M4943" s="2"/>
      <c r="N4943" s="2"/>
      <c r="O4943" s="2"/>
      <c r="P4943" s="2"/>
      <c r="Q4943" s="2"/>
      <c r="R4943" s="2"/>
      <c r="S4943" s="2" t="s">
        <v>32409</v>
      </c>
      <c r="T4943" s="2" t="s">
        <v>32410</v>
      </c>
      <c r="U4943" s="2" t="s">
        <v>103</v>
      </c>
      <c r="V4943" s="2" t="s">
        <v>104</v>
      </c>
      <c r="W4943" s="2" t="s">
        <v>105</v>
      </c>
      <c r="X4943" s="2" t="s">
        <v>147</v>
      </c>
      <c r="Y4943" s="2">
        <v>38</v>
      </c>
      <c r="Z4943" s="2">
        <v>0</v>
      </c>
      <c r="AA4943" s="2" t="s">
        <v>156</v>
      </c>
      <c r="AB4943" s="2" t="s">
        <v>32411</v>
      </c>
      <c r="AC4943" s="2">
        <v>-3.4277668620883301</v>
      </c>
      <c r="AD4943" s="2"/>
      <c r="AE4943" s="2">
        <v>6.0835607460422297E-2</v>
      </c>
      <c r="AF4943" s="2">
        <v>5430.2295502372599</v>
      </c>
      <c r="AG4943" s="2">
        <v>4992.8131424134099</v>
      </c>
      <c r="AH4943" s="5">
        <v>1.08760920854579</v>
      </c>
      <c r="AI4943" s="5">
        <v>0.121160271505746</v>
      </c>
      <c r="AJ4943" s="5" t="s">
        <v>139</v>
      </c>
      <c r="AK4943" s="2">
        <v>0.72281415579732999</v>
      </c>
      <c r="AL4943" s="2">
        <v>0.87169361019068603</v>
      </c>
      <c r="AM4943" s="2">
        <v>4148.4105600251096</v>
      </c>
      <c r="AN4943" s="2">
        <v>5202.6115084658304</v>
      </c>
      <c r="AO4943" s="2">
        <v>4882.8969762607703</v>
      </c>
      <c r="AP4943" s="2">
        <v>4711.0792590773099</v>
      </c>
      <c r="AQ4943" s="2">
        <v>6015.92373085088</v>
      </c>
      <c r="AR4943" s="2">
        <v>7620.4552667436401</v>
      </c>
      <c r="AS4943" s="2">
        <v>5063.7944598409003</v>
      </c>
      <c r="AT4943" s="2">
        <v>9894.0412230297497</v>
      </c>
      <c r="AU4943" s="2">
        <v>2919.1818581512798</v>
      </c>
      <c r="AV4943" s="2">
        <v>4085.4355642025898</v>
      </c>
      <c r="AW4943" s="2">
        <v>5469.2116914056496</v>
      </c>
      <c r="AX4943" s="2">
        <v>2525.2140578502699</v>
      </c>
    </row>
    <row r="4944" spans="1:50" x14ac:dyDescent="0.25">
      <c r="A4944" s="2" t="s">
        <v>32412</v>
      </c>
      <c r="B4944" s="2">
        <v>343.229382626063</v>
      </c>
      <c r="C4944" s="2">
        <v>12.092183333333301</v>
      </c>
      <c r="D4944" s="2" t="s">
        <v>51</v>
      </c>
      <c r="E4944" s="2" t="s">
        <v>32413</v>
      </c>
      <c r="F4944" s="2">
        <v>62514</v>
      </c>
      <c r="G4944" s="3" t="str">
        <f>HYPERLINK("https://cloud.oebiotech.com/#/lm/network/62514", "https://cloud.oebiotech.com/#/lm/network/62514")</f>
        <v>https://cloud.oebiotech.com/#/lm/network/62514</v>
      </c>
      <c r="H4944" s="2" t="s">
        <v>32414</v>
      </c>
      <c r="I4944" s="2">
        <v>93817</v>
      </c>
      <c r="J4944" s="2"/>
      <c r="K4944" s="2">
        <v>22665100</v>
      </c>
      <c r="L4944" s="2"/>
      <c r="M4944" s="2"/>
      <c r="N4944" s="2"/>
      <c r="O4944" s="2">
        <v>174853</v>
      </c>
      <c r="P4944" s="2"/>
      <c r="Q4944" s="2"/>
      <c r="R4944" s="2" t="s">
        <v>32415</v>
      </c>
      <c r="S4944" s="2" t="s">
        <v>32416</v>
      </c>
      <c r="T4944" s="2" t="s">
        <v>32417</v>
      </c>
      <c r="U4944" s="2" t="s">
        <v>610</v>
      </c>
      <c r="V4944" s="2" t="s">
        <v>611</v>
      </c>
      <c r="W4944" s="2" t="s">
        <v>1122</v>
      </c>
      <c r="X4944" s="2" t="s">
        <v>83</v>
      </c>
      <c r="Y4944" s="2">
        <v>52.6</v>
      </c>
      <c r="Z4944" s="2">
        <v>0</v>
      </c>
      <c r="AA4944" s="2" t="s">
        <v>379</v>
      </c>
      <c r="AB4944" s="2" t="s">
        <v>2410</v>
      </c>
      <c r="AC4944" s="2">
        <v>4.1799734338308303</v>
      </c>
      <c r="AD4944" s="2"/>
      <c r="AE4944" s="2">
        <v>6.0758066848091499E-2</v>
      </c>
      <c r="AF4944" s="2">
        <v>762.37401076223102</v>
      </c>
      <c r="AG4944" s="2">
        <v>964.400232413563</v>
      </c>
      <c r="AH4944" s="4">
        <v>0.79051620389417598</v>
      </c>
      <c r="AI4944" s="4">
        <v>-0.33913305983290298</v>
      </c>
      <c r="AJ4944" s="4" t="s">
        <v>62</v>
      </c>
      <c r="AK4944" s="2">
        <v>0.247289194860385</v>
      </c>
      <c r="AL4944" s="2">
        <v>0.57119796911972998</v>
      </c>
      <c r="AM4944" s="2">
        <v>789.00343722882701</v>
      </c>
      <c r="AN4944" s="2">
        <v>753.96599442101797</v>
      </c>
      <c r="AO4944" s="2">
        <v>507.54508292327398</v>
      </c>
      <c r="AP4944" s="2">
        <v>515.22111186697202</v>
      </c>
      <c r="AQ4944" s="2">
        <v>846.25863530133404</v>
      </c>
      <c r="AR4944" s="2">
        <v>1162.2498028319601</v>
      </c>
      <c r="AS4944" s="2">
        <v>1151.12583425147</v>
      </c>
      <c r="AT4944" s="2">
        <v>1342.64926018494</v>
      </c>
      <c r="AU4944" s="2">
        <v>622.70762519807795</v>
      </c>
      <c r="AV4944" s="2">
        <v>616.29498877999197</v>
      </c>
      <c r="AW4944" s="2">
        <v>810.53482483708603</v>
      </c>
      <c r="AX4944" s="2">
        <v>1243.0888612298099</v>
      </c>
    </row>
    <row r="4945" spans="1:50" x14ac:dyDescent="0.25">
      <c r="A4945" s="2" t="s">
        <v>32418</v>
      </c>
      <c r="B4945" s="2">
        <v>215.016892641114</v>
      </c>
      <c r="C4945" s="2">
        <v>1.20183333333333</v>
      </c>
      <c r="D4945" s="2" t="s">
        <v>51</v>
      </c>
      <c r="E4945" s="2" t="s">
        <v>32419</v>
      </c>
      <c r="F4945" s="2">
        <v>256570</v>
      </c>
      <c r="G4945" s="3" t="str">
        <f>HYPERLINK("https://cloud.oebiotech.com/#/lm/network/256570", "https://cloud.oebiotech.com/#/lm/network/256570")</f>
        <v>https://cloud.oebiotech.com/#/lm/network/256570</v>
      </c>
      <c r="H4945" s="2" t="s">
        <v>32420</v>
      </c>
      <c r="I4945" s="2"/>
      <c r="J4945" s="2"/>
      <c r="K4945" s="2">
        <v>5102882</v>
      </c>
      <c r="L4945" s="2"/>
      <c r="M4945" s="2"/>
      <c r="N4945" s="2"/>
      <c r="O4945" s="2"/>
      <c r="P4945" s="2"/>
      <c r="Q4945" s="2"/>
      <c r="R4945" s="2"/>
      <c r="S4945" s="2" t="s">
        <v>32421</v>
      </c>
      <c r="T4945" s="2" t="s">
        <v>32422</v>
      </c>
      <c r="U4945" s="2" t="s">
        <v>331</v>
      </c>
      <c r="V4945" s="2" t="s">
        <v>332</v>
      </c>
      <c r="W4945" s="2" t="s">
        <v>333</v>
      </c>
      <c r="X4945" s="2" t="s">
        <v>147</v>
      </c>
      <c r="Y4945" s="2">
        <v>38.700000000000003</v>
      </c>
      <c r="Z4945" s="2">
        <v>0</v>
      </c>
      <c r="AA4945" s="2" t="s">
        <v>163</v>
      </c>
      <c r="AB4945" s="2" t="s">
        <v>32423</v>
      </c>
      <c r="AC4945" s="2">
        <v>-1.98048436290164</v>
      </c>
      <c r="AD4945" s="2"/>
      <c r="AE4945" s="2">
        <v>6.0697756084655802E-2</v>
      </c>
      <c r="AF4945" s="2">
        <v>2384.70226991456</v>
      </c>
      <c r="AG4945" s="2">
        <v>4084.1099336406901</v>
      </c>
      <c r="AH4945" s="4">
        <v>0.58389766893193495</v>
      </c>
      <c r="AI4945" s="4">
        <v>-0.77621254335116197</v>
      </c>
      <c r="AJ4945" s="4" t="s">
        <v>62</v>
      </c>
      <c r="AK4945" s="2">
        <v>0.64840579085546501</v>
      </c>
      <c r="AL4945" s="2">
        <v>0.82893737732749595</v>
      </c>
      <c r="AM4945" s="2">
        <v>6444.0376237568598</v>
      </c>
      <c r="AN4945" s="2">
        <v>8.559877937157E-6</v>
      </c>
      <c r="AO4945" s="2">
        <v>8.5834964592677903</v>
      </c>
      <c r="AP4945" s="2">
        <v>5129.9798698416498</v>
      </c>
      <c r="AQ4945" s="2">
        <v>446.99029997489703</v>
      </c>
      <c r="AR4945" s="2">
        <v>2278.6223208947999</v>
      </c>
      <c r="AS4945" s="2">
        <v>3277.5271987883102</v>
      </c>
      <c r="AT4945" s="2">
        <v>89.724549250326305</v>
      </c>
      <c r="AU4945" s="2">
        <v>21031.905335207899</v>
      </c>
      <c r="AV4945" s="2">
        <v>105.502501477842</v>
      </c>
      <c r="AW4945" s="2">
        <v>8.559877937157E-6</v>
      </c>
      <c r="AX4945" s="2">
        <v>8.559877937157E-6</v>
      </c>
    </row>
    <row r="4946" spans="1:50" x14ac:dyDescent="0.25">
      <c r="A4946" s="2" t="s">
        <v>32424</v>
      </c>
      <c r="B4946" s="2">
        <v>121.028852823931</v>
      </c>
      <c r="C4946" s="2">
        <v>14.7086166666667</v>
      </c>
      <c r="D4946" s="2" t="s">
        <v>51</v>
      </c>
      <c r="E4946" s="2" t="s">
        <v>32425</v>
      </c>
      <c r="F4946" s="2">
        <v>213398</v>
      </c>
      <c r="G4946" s="3" t="str">
        <f>HYPERLINK("https://cloud.oebiotech.com/#/lm/network/213398", "https://cloud.oebiotech.com/#/lm/network/213398")</f>
        <v>https://cloud.oebiotech.com/#/lm/network/213398</v>
      </c>
      <c r="H4946" s="2" t="s">
        <v>32426</v>
      </c>
      <c r="I4946" s="2"/>
      <c r="J4946" s="2"/>
      <c r="K4946" s="2">
        <v>53734048</v>
      </c>
      <c r="L4946" s="2"/>
      <c r="M4946" s="2"/>
      <c r="N4946" s="2"/>
      <c r="O4946" s="2"/>
      <c r="P4946" s="2"/>
      <c r="Q4946" s="2"/>
      <c r="R4946" s="2"/>
      <c r="S4946" s="2" t="s">
        <v>32427</v>
      </c>
      <c r="T4946" s="2" t="s">
        <v>32428</v>
      </c>
      <c r="U4946" s="2" t="s">
        <v>11948</v>
      </c>
      <c r="V4946" s="2" t="s">
        <v>11949</v>
      </c>
      <c r="W4946" s="2" t="s">
        <v>240</v>
      </c>
      <c r="X4946" s="2" t="s">
        <v>147</v>
      </c>
      <c r="Y4946" s="2">
        <v>39.700000000000003</v>
      </c>
      <c r="Z4946" s="2">
        <v>4.9000000000000004</v>
      </c>
      <c r="AA4946" s="2" t="s">
        <v>156</v>
      </c>
      <c r="AB4946" s="2" t="s">
        <v>19963</v>
      </c>
      <c r="AC4946" s="2">
        <v>3.2385520858624601</v>
      </c>
      <c r="AD4946" s="2"/>
      <c r="AE4946" s="2">
        <v>6.0348120273564197E-2</v>
      </c>
      <c r="AF4946" s="2">
        <v>3349.8589784676601</v>
      </c>
      <c r="AG4946" s="2">
        <v>3595.8804384465302</v>
      </c>
      <c r="AH4946" s="4">
        <v>0.931582413767583</v>
      </c>
      <c r="AI4946" s="4">
        <v>-0.10224468999913899</v>
      </c>
      <c r="AJ4946" s="4" t="s">
        <v>62</v>
      </c>
      <c r="AK4946" s="2">
        <v>0.41999092684562001</v>
      </c>
      <c r="AL4946" s="2">
        <v>0.68072239494470299</v>
      </c>
      <c r="AM4946" s="2">
        <v>3187.8193767002099</v>
      </c>
      <c r="AN4946" s="2">
        <v>3445.49150064798</v>
      </c>
      <c r="AO4946" s="2">
        <v>3616.1172920100498</v>
      </c>
      <c r="AP4946" s="2">
        <v>3453.5721812308502</v>
      </c>
      <c r="AQ4946" s="2">
        <v>3788.2443145626498</v>
      </c>
      <c r="AR4946" s="2">
        <v>2607.9092056541999</v>
      </c>
      <c r="AS4946" s="2">
        <v>4326.9172342465999</v>
      </c>
      <c r="AT4946" s="2">
        <v>4058.6051386080198</v>
      </c>
      <c r="AU4946" s="2">
        <v>2918.7743065843501</v>
      </c>
      <c r="AV4946" s="2">
        <v>3081.5928328285599</v>
      </c>
      <c r="AW4946" s="2">
        <v>3251.2335198572</v>
      </c>
      <c r="AX4946" s="2">
        <v>3938.15959855447</v>
      </c>
    </row>
    <row r="4947" spans="1:50" x14ac:dyDescent="0.25">
      <c r="A4947" s="2" t="s">
        <v>32429</v>
      </c>
      <c r="B4947" s="2">
        <v>211.06021861596699</v>
      </c>
      <c r="C4947" s="2">
        <v>4.0088666666666697</v>
      </c>
      <c r="D4947" s="2" t="s">
        <v>51</v>
      </c>
      <c r="E4947" s="2" t="s">
        <v>32430</v>
      </c>
      <c r="F4947" s="2">
        <v>55746</v>
      </c>
      <c r="G4947" s="3" t="str">
        <f>HYPERLINK("https://cloud.oebiotech.com/#/lm/network/55746", "https://cloud.oebiotech.com/#/lm/network/55746")</f>
        <v>https://cloud.oebiotech.com/#/lm/network/55746</v>
      </c>
      <c r="H4947" s="2" t="s">
        <v>32431</v>
      </c>
      <c r="I4947" s="2">
        <v>1221</v>
      </c>
      <c r="J4947" s="2"/>
      <c r="K4947" s="2">
        <v>2762430</v>
      </c>
      <c r="L4947" s="2"/>
      <c r="M4947" s="2"/>
      <c r="N4947" s="2"/>
      <c r="O4947" s="2"/>
      <c r="P4947" s="2"/>
      <c r="Q4947" s="2"/>
      <c r="R4947" s="2" t="s">
        <v>32432</v>
      </c>
      <c r="S4947" s="2" t="s">
        <v>32433</v>
      </c>
      <c r="T4947" s="2" t="s">
        <v>32434</v>
      </c>
      <c r="U4947" s="2" t="s">
        <v>610</v>
      </c>
      <c r="V4947" s="2" t="s">
        <v>611</v>
      </c>
      <c r="W4947" s="2" t="s">
        <v>2744</v>
      </c>
      <c r="X4947" s="2" t="s">
        <v>69</v>
      </c>
      <c r="Y4947" s="2">
        <v>54.5</v>
      </c>
      <c r="Z4947" s="2">
        <v>70.2</v>
      </c>
      <c r="AA4947" s="2" t="s">
        <v>218</v>
      </c>
      <c r="AB4947" s="2" t="s">
        <v>4935</v>
      </c>
      <c r="AC4947" s="2">
        <v>-5.8919412927198103</v>
      </c>
      <c r="AD4947" s="2"/>
      <c r="AE4947" s="2">
        <v>6.0272388159817003E-2</v>
      </c>
      <c r="AF4947" s="2">
        <v>4425.1604047277297</v>
      </c>
      <c r="AG4947" s="2">
        <v>2737.4183019751099</v>
      </c>
      <c r="AH4947" s="5">
        <v>1.6165451957177599</v>
      </c>
      <c r="AI4947" s="5">
        <v>0.69291384320565297</v>
      </c>
      <c r="AJ4947" s="5" t="s">
        <v>139</v>
      </c>
      <c r="AK4947" s="2">
        <v>0.68954530096264</v>
      </c>
      <c r="AL4947" s="2">
        <v>0.85093129324780503</v>
      </c>
      <c r="AM4947" s="2">
        <v>166.87333672465999</v>
      </c>
      <c r="AN4947" s="2">
        <v>757.94801301985206</v>
      </c>
      <c r="AO4947" s="2">
        <v>496.58191018954398</v>
      </c>
      <c r="AP4947" s="2">
        <v>411.93563674954498</v>
      </c>
      <c r="AQ4947" s="2">
        <v>20726.651636736002</v>
      </c>
      <c r="AR4947" s="2">
        <v>3990.9718949467801</v>
      </c>
      <c r="AS4947" s="2">
        <v>297.04008676055997</v>
      </c>
      <c r="AT4947" s="2">
        <v>193.37492782442101</v>
      </c>
      <c r="AU4947" s="2">
        <v>307.76322699394302</v>
      </c>
      <c r="AV4947" s="2">
        <v>315.03175791073301</v>
      </c>
      <c r="AW4947" s="2">
        <v>459.20389652439798</v>
      </c>
      <c r="AX4947" s="2">
        <v>14852.0959158366</v>
      </c>
    </row>
    <row r="4948" spans="1:50" x14ac:dyDescent="0.25">
      <c r="A4948" s="2" t="s">
        <v>32435</v>
      </c>
      <c r="B4948" s="2">
        <v>293.19650000000001</v>
      </c>
      <c r="C4948" s="2">
        <v>20.693999999999999</v>
      </c>
      <c r="D4948" s="2" t="s">
        <v>125</v>
      </c>
      <c r="E4948" s="2" t="s">
        <v>32436</v>
      </c>
      <c r="F4948" s="2">
        <v>47230</v>
      </c>
      <c r="G4948" s="3" t="str">
        <f>HYPERLINK("https://cloud.oebiotech.com/#/lm/network/47230", "https://cloud.oebiotech.com/#/lm/network/47230")</f>
        <v>https://cloud.oebiotech.com/#/lm/network/47230</v>
      </c>
      <c r="H4948" s="2" t="s">
        <v>32437</v>
      </c>
      <c r="I4948" s="2">
        <v>5766</v>
      </c>
      <c r="J4948" s="2"/>
      <c r="K4948" s="2">
        <v>73000</v>
      </c>
      <c r="L4948" s="2" t="s">
        <v>32438</v>
      </c>
      <c r="M4948" s="2"/>
      <c r="N4948" s="2"/>
      <c r="O4948" s="2">
        <v>18265</v>
      </c>
      <c r="P4948" s="2"/>
      <c r="Q4948" s="2"/>
      <c r="R4948" s="2" t="s">
        <v>32439</v>
      </c>
      <c r="S4948" s="2" t="s">
        <v>32440</v>
      </c>
      <c r="T4948" s="2" t="s">
        <v>32441</v>
      </c>
      <c r="U4948" s="2" t="s">
        <v>266</v>
      </c>
      <c r="V4948" s="2" t="s">
        <v>13201</v>
      </c>
      <c r="W4948" s="2" t="s">
        <v>13202</v>
      </c>
      <c r="X4948" s="2" t="s">
        <v>59</v>
      </c>
      <c r="Y4948" s="2">
        <v>73.3</v>
      </c>
      <c r="Z4948" s="2">
        <v>60.7</v>
      </c>
      <c r="AA4948" s="2"/>
      <c r="AB4948" s="2" t="s">
        <v>32442</v>
      </c>
      <c r="AC4948" s="2"/>
      <c r="AD4948" s="2">
        <v>699772.81837160804</v>
      </c>
      <c r="AE4948" s="2">
        <v>6.0269813882958802E-2</v>
      </c>
      <c r="AF4948" s="2">
        <v>51376.301961376797</v>
      </c>
      <c r="AG4948" s="2">
        <v>52038.297481628397</v>
      </c>
      <c r="AH4948" s="4">
        <v>0.98727868603915503</v>
      </c>
      <c r="AI4948" s="4">
        <v>-1.8470713128364999E-2</v>
      </c>
      <c r="AJ4948" s="4" t="s">
        <v>62</v>
      </c>
      <c r="AK4948" s="2">
        <v>0.94860034643493396</v>
      </c>
      <c r="AL4948" s="2">
        <v>0.97875606918993896</v>
      </c>
      <c r="AM4948" s="2">
        <v>28209.5074966586</v>
      </c>
      <c r="AN4948" s="2">
        <v>27314.801674675698</v>
      </c>
      <c r="AO4948" s="2">
        <v>72262.4574305571</v>
      </c>
      <c r="AP4948" s="2">
        <v>57248.597366834401</v>
      </c>
      <c r="AQ4948" s="2">
        <v>57821.474150756003</v>
      </c>
      <c r="AR4948" s="2">
        <v>65400.973648778898</v>
      </c>
      <c r="AS4948" s="2">
        <v>24083.896075236298</v>
      </c>
      <c r="AT4948" s="2">
        <v>64587.100621859499</v>
      </c>
      <c r="AU4948" s="2">
        <v>50937.976452588002</v>
      </c>
      <c r="AV4948" s="2">
        <v>48754.1172405404</v>
      </c>
      <c r="AW4948" s="2">
        <v>66270.227930933703</v>
      </c>
      <c r="AX4948" s="2">
        <v>57596.466568612799</v>
      </c>
    </row>
    <row r="4949" spans="1:50" x14ac:dyDescent="0.25">
      <c r="A4949" s="2" t="s">
        <v>32443</v>
      </c>
      <c r="B4949" s="2">
        <v>148.08722234272699</v>
      </c>
      <c r="C4949" s="2">
        <v>14.7086166666667</v>
      </c>
      <c r="D4949" s="2" t="s">
        <v>51</v>
      </c>
      <c r="E4949" s="2" t="s">
        <v>32444</v>
      </c>
      <c r="F4949" s="2">
        <v>199772</v>
      </c>
      <c r="G4949" s="3" t="str">
        <f>HYPERLINK("https://cloud.oebiotech.com/#/lm/network/199772", "https://cloud.oebiotech.com/#/lm/network/199772")</f>
        <v>https://cloud.oebiotech.com/#/lm/network/199772</v>
      </c>
      <c r="H4949" s="2" t="s">
        <v>32445</v>
      </c>
      <c r="I4949" s="2">
        <v>461043</v>
      </c>
      <c r="J4949" s="2"/>
      <c r="K4949" s="2">
        <v>136069</v>
      </c>
      <c r="L4949" s="2"/>
      <c r="M4949" s="2"/>
      <c r="N4949" s="2"/>
      <c r="O4949" s="2">
        <v>36628</v>
      </c>
      <c r="P4949" s="2"/>
      <c r="Q4949" s="2"/>
      <c r="R4949" s="2"/>
      <c r="S4949" s="2" t="s">
        <v>32446</v>
      </c>
      <c r="T4949" s="2" t="s">
        <v>32447</v>
      </c>
      <c r="U4949" s="2" t="s">
        <v>266</v>
      </c>
      <c r="V4949" s="2" t="s">
        <v>6667</v>
      </c>
      <c r="W4949" s="2" t="s">
        <v>14241</v>
      </c>
      <c r="X4949" s="2" t="s">
        <v>147</v>
      </c>
      <c r="Y4949" s="2">
        <v>38.9</v>
      </c>
      <c r="Z4949" s="2">
        <v>0</v>
      </c>
      <c r="AA4949" s="2" t="s">
        <v>512</v>
      </c>
      <c r="AB4949" s="2" t="s">
        <v>32448</v>
      </c>
      <c r="AC4949" s="2">
        <v>2.29606761429587</v>
      </c>
      <c r="AD4949" s="2"/>
      <c r="AE4949" s="2">
        <v>6.0269793359389999E-2</v>
      </c>
      <c r="AF4949" s="2">
        <v>2624.2882530482102</v>
      </c>
      <c r="AG4949" s="2">
        <v>2841.7590924802598</v>
      </c>
      <c r="AH4949" s="4">
        <v>0.92347316139235402</v>
      </c>
      <c r="AI4949" s="4">
        <v>-0.114858061658861</v>
      </c>
      <c r="AJ4949" s="4" t="s">
        <v>62</v>
      </c>
      <c r="AK4949" s="2">
        <v>0.32370836624845301</v>
      </c>
      <c r="AL4949" s="2">
        <v>0.62992073899545697</v>
      </c>
      <c r="AM4949" s="2">
        <v>2442.9254315711401</v>
      </c>
      <c r="AN4949" s="2">
        <v>3030.1246565909</v>
      </c>
      <c r="AO4949" s="2">
        <v>2625.5774394554601</v>
      </c>
      <c r="AP4949" s="2">
        <v>2976.0525011112099</v>
      </c>
      <c r="AQ4949" s="2">
        <v>2734.9011753684399</v>
      </c>
      <c r="AR4949" s="2">
        <v>1936.1483141921201</v>
      </c>
      <c r="AS4949" s="2">
        <v>3080.3211139622399</v>
      </c>
      <c r="AT4949" s="2">
        <v>3153.4911668596701</v>
      </c>
      <c r="AU4949" s="2">
        <v>2592.06698342446</v>
      </c>
      <c r="AV4949" s="2">
        <v>2681.2265942603799</v>
      </c>
      <c r="AW4949" s="2">
        <v>2412.8007219413398</v>
      </c>
      <c r="AX4949" s="2">
        <v>3130.6479744334601</v>
      </c>
    </row>
    <row r="4950" spans="1:50" x14ac:dyDescent="0.25">
      <c r="A4950" s="2" t="s">
        <v>32449</v>
      </c>
      <c r="B4950" s="2">
        <v>347.11684245263098</v>
      </c>
      <c r="C4950" s="2">
        <v>4.6271666666666702</v>
      </c>
      <c r="D4950" s="2" t="s">
        <v>51</v>
      </c>
      <c r="E4950" s="2" t="s">
        <v>32450</v>
      </c>
      <c r="F4950" s="2">
        <v>52613</v>
      </c>
      <c r="G4950" s="3" t="str">
        <f>HYPERLINK("https://cloud.oebiotech.com/#/lm/network/52613", "https://cloud.oebiotech.com/#/lm/network/52613")</f>
        <v>https://cloud.oebiotech.com/#/lm/network/52613</v>
      </c>
      <c r="H4950" s="2" t="s">
        <v>32451</v>
      </c>
      <c r="I4950" s="2">
        <v>43357</v>
      </c>
      <c r="J4950" s="2"/>
      <c r="K4950" s="2">
        <v>41781</v>
      </c>
      <c r="L4950" s="2"/>
      <c r="M4950" s="2"/>
      <c r="N4950" s="2"/>
      <c r="O4950" s="2">
        <v>9637</v>
      </c>
      <c r="P4950" s="2"/>
      <c r="Q4950" s="2"/>
      <c r="R4950" s="2" t="s">
        <v>32452</v>
      </c>
      <c r="S4950" s="2" t="s">
        <v>32453</v>
      </c>
      <c r="T4950" s="2" t="s">
        <v>32454</v>
      </c>
      <c r="U4950" s="2" t="s">
        <v>266</v>
      </c>
      <c r="V4950" s="2" t="s">
        <v>2143</v>
      </c>
      <c r="W4950" s="2" t="s">
        <v>32455</v>
      </c>
      <c r="X4950" s="2" t="s">
        <v>147</v>
      </c>
      <c r="Y4950" s="2">
        <v>37.5</v>
      </c>
      <c r="Z4950" s="2">
        <v>0</v>
      </c>
      <c r="AA4950" s="2" t="s">
        <v>163</v>
      </c>
      <c r="AB4950" s="2" t="s">
        <v>32456</v>
      </c>
      <c r="AC4950" s="2">
        <v>-4.2876323925538999</v>
      </c>
      <c r="AD4950" s="2"/>
      <c r="AE4950" s="2">
        <v>6.0207562678665297E-2</v>
      </c>
      <c r="AF4950" s="2">
        <v>3387.5003991966701</v>
      </c>
      <c r="AG4950" s="2">
        <v>2625.4213503178999</v>
      </c>
      <c r="AH4950" s="5">
        <v>1.2902692357501</v>
      </c>
      <c r="AI4950" s="5">
        <v>0.36767213894547601</v>
      </c>
      <c r="AJ4950" s="5" t="s">
        <v>139</v>
      </c>
      <c r="AK4950" s="2">
        <v>0.59037649657814395</v>
      </c>
      <c r="AL4950" s="2">
        <v>0.79384060507313303</v>
      </c>
      <c r="AM4950" s="2">
        <v>862.15377041290901</v>
      </c>
      <c r="AN4950" s="2">
        <v>3254.5440539497499</v>
      </c>
      <c r="AO4950" s="2">
        <v>3781.8144655196302</v>
      </c>
      <c r="AP4950" s="2">
        <v>2202.15498980746</v>
      </c>
      <c r="AQ4950" s="2">
        <v>3629.8630318136102</v>
      </c>
      <c r="AR4950" s="2">
        <v>6594.4720836766701</v>
      </c>
      <c r="AS4950" s="2">
        <v>3665.0014386395301</v>
      </c>
      <c r="AT4950" s="2">
        <v>3023.8242377378301</v>
      </c>
      <c r="AU4950" s="2">
        <v>1079.2550123793001</v>
      </c>
      <c r="AV4950" s="2">
        <v>339.34625032770703</v>
      </c>
      <c r="AW4950" s="2">
        <v>194.802283311379</v>
      </c>
      <c r="AX4950" s="2">
        <v>7450.2988795116498</v>
      </c>
    </row>
    <row r="4951" spans="1:50" x14ac:dyDescent="0.25">
      <c r="A4951" s="2" t="s">
        <v>32457</v>
      </c>
      <c r="B4951" s="2">
        <v>397.36880865811702</v>
      </c>
      <c r="C4951" s="2">
        <v>14.5698666666667</v>
      </c>
      <c r="D4951" s="2" t="s">
        <v>51</v>
      </c>
      <c r="E4951" s="2" t="s">
        <v>32458</v>
      </c>
      <c r="F4951" s="2">
        <v>1781</v>
      </c>
      <c r="G4951" s="3" t="str">
        <f>HYPERLINK("https://cloud.oebiotech.com/#/lm/network/1781", "https://cloud.oebiotech.com/#/lm/network/1781")</f>
        <v>https://cloud.oebiotech.com/#/lm/network/1781</v>
      </c>
      <c r="H4951" s="2"/>
      <c r="I4951" s="2">
        <v>74594</v>
      </c>
      <c r="J4951" s="2" t="s">
        <v>32459</v>
      </c>
      <c r="K4951" s="2">
        <v>5312784</v>
      </c>
      <c r="L4951" s="2"/>
      <c r="M4951" s="2"/>
      <c r="N4951" s="2"/>
      <c r="O4951" s="2"/>
      <c r="P4951" s="2"/>
      <c r="Q4951" s="2"/>
      <c r="R4951" s="2"/>
      <c r="S4951" s="2" t="s">
        <v>32460</v>
      </c>
      <c r="T4951" s="2" t="s">
        <v>32461</v>
      </c>
      <c r="U4951" s="2" t="s">
        <v>56</v>
      </c>
      <c r="V4951" s="2" t="s">
        <v>145</v>
      </c>
      <c r="W4951" s="2" t="s">
        <v>231</v>
      </c>
      <c r="X4951" s="2" t="s">
        <v>83</v>
      </c>
      <c r="Y4951" s="2">
        <v>47.1</v>
      </c>
      <c r="Z4951" s="2">
        <v>0</v>
      </c>
      <c r="AA4951" s="2" t="s">
        <v>163</v>
      </c>
      <c r="AB4951" s="2" t="s">
        <v>32462</v>
      </c>
      <c r="AC4951" s="2">
        <v>0.22498327680355701</v>
      </c>
      <c r="AD4951" s="2"/>
      <c r="AE4951" s="2">
        <v>6.0152902325268397E-2</v>
      </c>
      <c r="AF4951" s="2">
        <v>8556.0527018190696</v>
      </c>
      <c r="AG4951" s="2">
        <v>9231.2639150276591</v>
      </c>
      <c r="AH4951" s="4">
        <v>0.92685603841209596</v>
      </c>
      <c r="AI4951" s="4">
        <v>-0.10958282162208299</v>
      </c>
      <c r="AJ4951" s="4" t="s">
        <v>62</v>
      </c>
      <c r="AK4951" s="2">
        <v>0.87441891599958699</v>
      </c>
      <c r="AL4951" s="2">
        <v>0.94630424795653401</v>
      </c>
      <c r="AM4951" s="2">
        <v>1319.71615109141</v>
      </c>
      <c r="AN4951" s="2">
        <v>5777.9055086749004</v>
      </c>
      <c r="AO4951" s="2">
        <v>6521.3711698689904</v>
      </c>
      <c r="AP4951" s="2">
        <v>22303.407269028699</v>
      </c>
      <c r="AQ4951" s="2">
        <v>11608.941070663301</v>
      </c>
      <c r="AR4951" s="2">
        <v>3804.9750415871199</v>
      </c>
      <c r="AS4951" s="2">
        <v>4104.5455901407504</v>
      </c>
      <c r="AT4951" s="2">
        <v>21171.140967032799</v>
      </c>
      <c r="AU4951" s="2">
        <v>13076.3181826372</v>
      </c>
      <c r="AV4951" s="2">
        <v>3470.47877437535</v>
      </c>
      <c r="AW4951" s="2">
        <v>8556.8614195123791</v>
      </c>
      <c r="AX4951" s="2">
        <v>5008.2385564674496</v>
      </c>
    </row>
    <row r="4952" spans="1:50" x14ac:dyDescent="0.25">
      <c r="A4952" s="2" t="s">
        <v>32463</v>
      </c>
      <c r="B4952" s="2">
        <v>304.16656321273302</v>
      </c>
      <c r="C4952" s="2">
        <v>4.23708333333333</v>
      </c>
      <c r="D4952" s="2" t="s">
        <v>51</v>
      </c>
      <c r="E4952" s="2" t="s">
        <v>32464</v>
      </c>
      <c r="F4952" s="2">
        <v>266191</v>
      </c>
      <c r="G4952" s="3" t="str">
        <f>HYPERLINK("https://cloud.oebiotech.com/#/lm/network/266191", "https://cloud.oebiotech.com/#/lm/network/266191")</f>
        <v>https://cloud.oebiotech.com/#/lm/network/266191</v>
      </c>
      <c r="H4952" s="2"/>
      <c r="I4952" s="2">
        <v>23894</v>
      </c>
      <c r="J4952" s="2"/>
      <c r="K4952" s="2">
        <v>7009658</v>
      </c>
      <c r="L4952" s="2"/>
      <c r="M4952" s="2"/>
      <c r="N4952" s="2"/>
      <c r="O4952" s="2"/>
      <c r="P4952" s="2"/>
      <c r="Q4952" s="2"/>
      <c r="R4952" s="2"/>
      <c r="S4952" s="2" t="s">
        <v>32465</v>
      </c>
      <c r="T4952" s="2" t="s">
        <v>32466</v>
      </c>
      <c r="U4952" s="2" t="s">
        <v>103</v>
      </c>
      <c r="V4952" s="2" t="s">
        <v>104</v>
      </c>
      <c r="W4952" s="2" t="s">
        <v>105</v>
      </c>
      <c r="X4952" s="2" t="s">
        <v>69</v>
      </c>
      <c r="Y4952" s="2">
        <v>66.900000000000006</v>
      </c>
      <c r="Z4952" s="2">
        <v>81.7</v>
      </c>
      <c r="AA4952" s="2" t="s">
        <v>259</v>
      </c>
      <c r="AB4952" s="2" t="s">
        <v>32467</v>
      </c>
      <c r="AC4952" s="2">
        <v>3.2828862371445</v>
      </c>
      <c r="AD4952" s="2"/>
      <c r="AE4952" s="2">
        <v>6.0091943834578401E-2</v>
      </c>
      <c r="AF4952" s="2">
        <v>4664.5624428473302</v>
      </c>
      <c r="AG4952" s="2">
        <v>4714.7389056704496</v>
      </c>
      <c r="AH4952" s="4">
        <v>0.98935753096258106</v>
      </c>
      <c r="AI4952" s="4">
        <v>-1.5436123008259899E-2</v>
      </c>
      <c r="AJ4952" s="4" t="s">
        <v>62</v>
      </c>
      <c r="AK4952" s="2">
        <v>0.98965306871327097</v>
      </c>
      <c r="AL4952" s="2">
        <v>0.99545530263140103</v>
      </c>
      <c r="AM4952" s="2">
        <v>7384.6122048904099</v>
      </c>
      <c r="AN4952" s="2">
        <v>2953.2398715199301</v>
      </c>
      <c r="AO4952" s="2">
        <v>1911.2391879168499</v>
      </c>
      <c r="AP4952" s="2">
        <v>5387.74104582359</v>
      </c>
      <c r="AQ4952" s="2">
        <v>6610.3941740874998</v>
      </c>
      <c r="AR4952" s="2">
        <v>3740.1481728457302</v>
      </c>
      <c r="AS4952" s="2">
        <v>566.86381353111904</v>
      </c>
      <c r="AT4952" s="2">
        <v>1295.8224848520599</v>
      </c>
      <c r="AU4952" s="2">
        <v>23055.470694364201</v>
      </c>
      <c r="AV4952" s="2">
        <v>794.19187302141495</v>
      </c>
      <c r="AW4952" s="2">
        <v>1422.14766123966</v>
      </c>
      <c r="AX4952" s="2">
        <v>1153.93690701424</v>
      </c>
    </row>
    <row r="4953" spans="1:50" x14ac:dyDescent="0.25">
      <c r="A4953" s="2" t="s">
        <v>32468</v>
      </c>
      <c r="B4953" s="2">
        <v>357.10166736649899</v>
      </c>
      <c r="C4953" s="2">
        <v>5.8082500000000001</v>
      </c>
      <c r="D4953" s="2" t="s">
        <v>51</v>
      </c>
      <c r="E4953" s="2" t="s">
        <v>32469</v>
      </c>
      <c r="F4953" s="2">
        <v>37474</v>
      </c>
      <c r="G4953" s="3" t="str">
        <f>HYPERLINK("https://cloud.oebiotech.com/#/lm/network/37474", "https://cloud.oebiotech.com/#/lm/network/37474")</f>
        <v>https://cloud.oebiotech.com/#/lm/network/37474</v>
      </c>
      <c r="H4953" s="2"/>
      <c r="I4953" s="2"/>
      <c r="J4953" s="2" t="s">
        <v>32470</v>
      </c>
      <c r="K4953" s="2"/>
      <c r="L4953" s="2"/>
      <c r="M4953" s="2"/>
      <c r="N4953" s="2"/>
      <c r="O4953" s="2"/>
      <c r="P4953" s="2"/>
      <c r="Q4953" s="2"/>
      <c r="R4953" s="2"/>
      <c r="S4953" s="2" t="s">
        <v>32471</v>
      </c>
      <c r="T4953" s="2" t="s">
        <v>32472</v>
      </c>
      <c r="U4953" s="2" t="s">
        <v>266</v>
      </c>
      <c r="V4953" s="2" t="s">
        <v>1785</v>
      </c>
      <c r="W4953" s="2" t="s">
        <v>1786</v>
      </c>
      <c r="X4953" s="2" t="s">
        <v>83</v>
      </c>
      <c r="Y4953" s="2">
        <v>60.9</v>
      </c>
      <c r="Z4953" s="2">
        <v>28.7</v>
      </c>
      <c r="AA4953" s="2" t="s">
        <v>163</v>
      </c>
      <c r="AB4953" s="2" t="s">
        <v>32473</v>
      </c>
      <c r="AC4953" s="2">
        <v>0.89290236918860599</v>
      </c>
      <c r="AD4953" s="2"/>
      <c r="AE4953" s="2">
        <v>6.0076220539160702E-2</v>
      </c>
      <c r="AF4953" s="2">
        <v>557.30322182865598</v>
      </c>
      <c r="AG4953" s="2">
        <v>875.47089710909904</v>
      </c>
      <c r="AH4953" s="4">
        <v>0.63657538322396801</v>
      </c>
      <c r="AI4953" s="4">
        <v>-0.65159672677211899</v>
      </c>
      <c r="AJ4953" s="4" t="s">
        <v>62</v>
      </c>
      <c r="AK4953" s="2">
        <v>0.64022244793324301</v>
      </c>
      <c r="AL4953" s="2">
        <v>0.824370604399012</v>
      </c>
      <c r="AM4953" s="2">
        <v>225.704769754252</v>
      </c>
      <c r="AN4953" s="2">
        <v>94.735709672031305</v>
      </c>
      <c r="AO4953" s="2">
        <v>8.559877937157E-6</v>
      </c>
      <c r="AP4953" s="2">
        <v>8.559877937157E-6</v>
      </c>
      <c r="AQ4953" s="2">
        <v>356.43670483359602</v>
      </c>
      <c r="AR4953" s="2">
        <v>2666.9421295922998</v>
      </c>
      <c r="AS4953" s="2">
        <v>8.559877937157E-6</v>
      </c>
      <c r="AT4953" s="2">
        <v>1886.82845809476</v>
      </c>
      <c r="AU4953" s="2">
        <v>8.559877937157E-6</v>
      </c>
      <c r="AV4953" s="2">
        <v>455.651159073418</v>
      </c>
      <c r="AW4953" s="2">
        <v>2910.3457398067799</v>
      </c>
      <c r="AX4953" s="2">
        <v>8.559877937157E-6</v>
      </c>
    </row>
    <row r="4954" spans="1:50" x14ac:dyDescent="0.25">
      <c r="A4954" s="2" t="s">
        <v>32474</v>
      </c>
      <c r="B4954" s="2">
        <v>324.083455974625</v>
      </c>
      <c r="C4954" s="2">
        <v>4.8935333333333304</v>
      </c>
      <c r="D4954" s="2" t="s">
        <v>51</v>
      </c>
      <c r="E4954" s="2" t="s">
        <v>32475</v>
      </c>
      <c r="F4954" s="2">
        <v>57246</v>
      </c>
      <c r="G4954" s="3" t="str">
        <f>HYPERLINK("https://cloud.oebiotech.com/#/lm/network/57246", "https://cloud.oebiotech.com/#/lm/network/57246")</f>
        <v>https://cloud.oebiotech.com/#/lm/network/57246</v>
      </c>
      <c r="H4954" s="2" t="s">
        <v>32476</v>
      </c>
      <c r="I4954" s="2">
        <v>88883</v>
      </c>
      <c r="J4954" s="2"/>
      <c r="K4954" s="2">
        <v>131751353</v>
      </c>
      <c r="L4954" s="2"/>
      <c r="M4954" s="2"/>
      <c r="N4954" s="2"/>
      <c r="O4954" s="2">
        <v>175126</v>
      </c>
      <c r="P4954" s="2"/>
      <c r="Q4954" s="2"/>
      <c r="R4954" s="2"/>
      <c r="S4954" s="2" t="s">
        <v>32477</v>
      </c>
      <c r="T4954" s="2" t="s">
        <v>32478</v>
      </c>
      <c r="U4954" s="2" t="s">
        <v>540</v>
      </c>
      <c r="V4954" s="2" t="s">
        <v>1826</v>
      </c>
      <c r="W4954" s="2" t="s">
        <v>4348</v>
      </c>
      <c r="X4954" s="2" t="s">
        <v>83</v>
      </c>
      <c r="Y4954" s="2">
        <v>46.1</v>
      </c>
      <c r="Z4954" s="2">
        <v>0</v>
      </c>
      <c r="AA4954" s="2" t="s">
        <v>122</v>
      </c>
      <c r="AB4954" s="2" t="s">
        <v>32479</v>
      </c>
      <c r="AC4954" s="2">
        <v>-3.2756732212078701</v>
      </c>
      <c r="AD4954" s="2"/>
      <c r="AE4954" s="2">
        <v>6.0045008223066403E-2</v>
      </c>
      <c r="AF4954" s="2">
        <v>1125.7874483621399</v>
      </c>
      <c r="AG4954" s="2">
        <v>1447.0596083022499</v>
      </c>
      <c r="AH4954" s="4">
        <v>0.77798277410490202</v>
      </c>
      <c r="AI4954" s="4">
        <v>-0.36218988310592298</v>
      </c>
      <c r="AJ4954" s="4" t="s">
        <v>62</v>
      </c>
      <c r="AK4954" s="2">
        <v>0.48316303402741401</v>
      </c>
      <c r="AL4954" s="2">
        <v>0.72731717368680504</v>
      </c>
      <c r="AM4954" s="2">
        <v>1757.64388004851</v>
      </c>
      <c r="AN4954" s="2">
        <v>1029.6159935036401</v>
      </c>
      <c r="AO4954" s="2">
        <v>1248.85327466692</v>
      </c>
      <c r="AP4954" s="2">
        <v>2313.69652965151</v>
      </c>
      <c r="AQ4954" s="2">
        <v>99.809708233790701</v>
      </c>
      <c r="AR4954" s="2">
        <v>305.10530406844401</v>
      </c>
      <c r="AS4954" s="2">
        <v>2197.52797725665</v>
      </c>
      <c r="AT4954" s="2">
        <v>1534.2346028264101</v>
      </c>
      <c r="AU4954" s="2">
        <v>1138.3912430668299</v>
      </c>
      <c r="AV4954" s="2">
        <v>277.69000895153198</v>
      </c>
      <c r="AW4954" s="2">
        <v>1627.53119859142</v>
      </c>
      <c r="AX4954" s="2">
        <v>1906.98261912065</v>
      </c>
    </row>
    <row r="4955" spans="1:50" x14ac:dyDescent="0.25">
      <c r="A4955" s="2" t="s">
        <v>32480</v>
      </c>
      <c r="B4955" s="2">
        <v>338.98915639135902</v>
      </c>
      <c r="C4955" s="2">
        <v>0.98923333333333296</v>
      </c>
      <c r="D4955" s="2" t="s">
        <v>51</v>
      </c>
      <c r="E4955" s="2" t="s">
        <v>32481</v>
      </c>
      <c r="F4955" s="2">
        <v>47602</v>
      </c>
      <c r="G4955" s="3" t="str">
        <f>HYPERLINK("https://cloud.oebiotech.com/#/lm/network/47602", "https://cloud.oebiotech.com/#/lm/network/47602")</f>
        <v>https://cloud.oebiotech.com/#/lm/network/47602</v>
      </c>
      <c r="H4955" s="2" t="s">
        <v>32482</v>
      </c>
      <c r="I4955" s="2">
        <v>148</v>
      </c>
      <c r="J4955" s="2"/>
      <c r="K4955" s="2">
        <v>668</v>
      </c>
      <c r="L4955" s="2" t="s">
        <v>32483</v>
      </c>
      <c r="M4955" s="2" t="s">
        <v>32484</v>
      </c>
      <c r="N4955" s="2" t="s">
        <v>32485</v>
      </c>
      <c r="O4955" s="2">
        <v>16108</v>
      </c>
      <c r="P4955" s="2"/>
      <c r="Q4955" s="2"/>
      <c r="R4955" s="2" t="s">
        <v>32486</v>
      </c>
      <c r="S4955" s="2" t="s">
        <v>32487</v>
      </c>
      <c r="T4955" s="2" t="s">
        <v>32488</v>
      </c>
      <c r="U4955" s="2" t="s">
        <v>331</v>
      </c>
      <c r="V4955" s="2" t="s">
        <v>332</v>
      </c>
      <c r="W4955" s="2" t="s">
        <v>333</v>
      </c>
      <c r="X4955" s="2" t="s">
        <v>83</v>
      </c>
      <c r="Y4955" s="2">
        <v>39.200000000000003</v>
      </c>
      <c r="Z4955" s="2">
        <v>0</v>
      </c>
      <c r="AA4955" s="2" t="s">
        <v>478</v>
      </c>
      <c r="AB4955" s="2" t="s">
        <v>32489</v>
      </c>
      <c r="AC4955" s="2">
        <v>1.1284826990207</v>
      </c>
      <c r="AD4955" s="2"/>
      <c r="AE4955" s="2">
        <v>5.9947522924545499E-2</v>
      </c>
      <c r="AF4955" s="2">
        <v>17850.420826400401</v>
      </c>
      <c r="AG4955" s="2">
        <v>19950.764946839899</v>
      </c>
      <c r="AH4955" s="4">
        <v>0.89472362959335205</v>
      </c>
      <c r="AI4955" s="4">
        <v>-0.160485976520124</v>
      </c>
      <c r="AJ4955" s="4" t="s">
        <v>62</v>
      </c>
      <c r="AK4955" s="2">
        <v>0.46441250434256598</v>
      </c>
      <c r="AL4955" s="2">
        <v>0.71301190542586401</v>
      </c>
      <c r="AM4955" s="2">
        <v>25506.029053794002</v>
      </c>
      <c r="AN4955" s="2">
        <v>20419.272184596601</v>
      </c>
      <c r="AO4955" s="2">
        <v>18907.9047572155</v>
      </c>
      <c r="AP4955" s="2">
        <v>15877.039717911201</v>
      </c>
      <c r="AQ4955" s="2">
        <v>18008.8422793196</v>
      </c>
      <c r="AR4955" s="2">
        <v>8383.4369655656592</v>
      </c>
      <c r="AS4955" s="2">
        <v>16143.4401140378</v>
      </c>
      <c r="AT4955" s="2">
        <v>25896.741499854201</v>
      </c>
      <c r="AU4955" s="2">
        <v>18400.201241156501</v>
      </c>
      <c r="AV4955" s="2">
        <v>19029.724542817999</v>
      </c>
      <c r="AW4955" s="2">
        <v>22918.673194756098</v>
      </c>
      <c r="AX4955" s="2">
        <v>17315.8090884169</v>
      </c>
    </row>
    <row r="4956" spans="1:50" x14ac:dyDescent="0.25">
      <c r="A4956" s="2" t="s">
        <v>32490</v>
      </c>
      <c r="B4956" s="2">
        <v>303.05026748437598</v>
      </c>
      <c r="C4956" s="2">
        <v>1.27705</v>
      </c>
      <c r="D4956" s="2" t="s">
        <v>51</v>
      </c>
      <c r="E4956" s="2" t="s">
        <v>32491</v>
      </c>
      <c r="F4956" s="2">
        <v>53531</v>
      </c>
      <c r="G4956" s="3" t="str">
        <f>HYPERLINK("https://cloud.oebiotech.com/#/lm/network/53531", "https://cloud.oebiotech.com/#/lm/network/53531")</f>
        <v>https://cloud.oebiotech.com/#/lm/network/53531</v>
      </c>
      <c r="H4956" s="2" t="s">
        <v>32492</v>
      </c>
      <c r="I4956" s="2">
        <v>43330</v>
      </c>
      <c r="J4956" s="2"/>
      <c r="K4956" s="2">
        <v>5161</v>
      </c>
      <c r="L4956" s="2"/>
      <c r="M4956" s="2"/>
      <c r="N4956" s="2"/>
      <c r="O4956" s="2">
        <v>9014</v>
      </c>
      <c r="P4956" s="2"/>
      <c r="Q4956" s="2"/>
      <c r="R4956" s="2" t="s">
        <v>32493</v>
      </c>
      <c r="S4956" s="2" t="s">
        <v>32494</v>
      </c>
      <c r="T4956" s="2" t="s">
        <v>32495</v>
      </c>
      <c r="U4956" s="2" t="s">
        <v>540</v>
      </c>
      <c r="V4956" s="2" t="s">
        <v>24973</v>
      </c>
      <c r="W4956" s="2" t="s">
        <v>240</v>
      </c>
      <c r="X4956" s="2" t="s">
        <v>147</v>
      </c>
      <c r="Y4956" s="2">
        <v>36.799999999999997</v>
      </c>
      <c r="Z4956" s="2">
        <v>0</v>
      </c>
      <c r="AA4956" s="2" t="s">
        <v>218</v>
      </c>
      <c r="AB4956" s="2" t="s">
        <v>32496</v>
      </c>
      <c r="AC4956" s="2">
        <v>-2.9404992117337501</v>
      </c>
      <c r="AD4956" s="2"/>
      <c r="AE4956" s="2">
        <v>5.9932986565124101E-2</v>
      </c>
      <c r="AF4956" s="2">
        <v>4464.9455898695896</v>
      </c>
      <c r="AG4956" s="2">
        <v>4400.8765582815604</v>
      </c>
      <c r="AH4956" s="5">
        <v>1.01455824328166</v>
      </c>
      <c r="AI4956" s="5">
        <v>2.08516890291949E-2</v>
      </c>
      <c r="AJ4956" s="5" t="s">
        <v>139</v>
      </c>
      <c r="AK4956" s="2">
        <v>0.98526030468780801</v>
      </c>
      <c r="AL4956" s="2">
        <v>0.994389282669362</v>
      </c>
      <c r="AM4956" s="2">
        <v>141.89193826915201</v>
      </c>
      <c r="AN4956" s="2">
        <v>6274.2157057434797</v>
      </c>
      <c r="AO4956" s="2">
        <v>8356.1801895644094</v>
      </c>
      <c r="AP4956" s="2">
        <v>1267.05783094976</v>
      </c>
      <c r="AQ4956" s="2">
        <v>9671.77927635573</v>
      </c>
      <c r="AR4956" s="2">
        <v>1078.54859833503</v>
      </c>
      <c r="AS4956" s="2">
        <v>44.704205479309202</v>
      </c>
      <c r="AT4956" s="2">
        <v>18576.480030900599</v>
      </c>
      <c r="AU4956" s="2">
        <v>623.34670632711402</v>
      </c>
      <c r="AV4956" s="2">
        <v>1964.0301054562899</v>
      </c>
      <c r="AW4956" s="2">
        <v>286.41128930326801</v>
      </c>
      <c r="AX4956" s="2">
        <v>4910.2870122227896</v>
      </c>
    </row>
    <row r="4957" spans="1:50" x14ac:dyDescent="0.25">
      <c r="A4957" s="2" t="s">
        <v>32497</v>
      </c>
      <c r="B4957" s="2">
        <v>223.13356471759499</v>
      </c>
      <c r="C4957" s="2">
        <v>8.4065166666666702</v>
      </c>
      <c r="D4957" s="2" t="s">
        <v>51</v>
      </c>
      <c r="E4957" s="2" t="s">
        <v>32498</v>
      </c>
      <c r="F4957" s="2">
        <v>2189</v>
      </c>
      <c r="G4957" s="3" t="str">
        <f>HYPERLINK("https://cloud.oebiotech.com/#/lm/network/2189", "https://cloud.oebiotech.com/#/lm/network/2189")</f>
        <v>https://cloud.oebiotech.com/#/lm/network/2189</v>
      </c>
      <c r="H4957" s="2" t="s">
        <v>32499</v>
      </c>
      <c r="I4957" s="2">
        <v>90028</v>
      </c>
      <c r="J4957" s="2" t="s">
        <v>32500</v>
      </c>
      <c r="K4957" s="2">
        <v>11106999</v>
      </c>
      <c r="L4957" s="2"/>
      <c r="M4957" s="2"/>
      <c r="N4957" s="2"/>
      <c r="O4957" s="2"/>
      <c r="P4957" s="2"/>
      <c r="Q4957" s="2"/>
      <c r="R4957" s="2" t="s">
        <v>32501</v>
      </c>
      <c r="S4957" s="2" t="s">
        <v>32502</v>
      </c>
      <c r="T4957" s="2" t="s">
        <v>32503</v>
      </c>
      <c r="U4957" s="2" t="s">
        <v>56</v>
      </c>
      <c r="V4957" s="2" t="s">
        <v>145</v>
      </c>
      <c r="W4957" s="2" t="s">
        <v>231</v>
      </c>
      <c r="X4957" s="2" t="s">
        <v>83</v>
      </c>
      <c r="Y4957" s="2">
        <v>47.9</v>
      </c>
      <c r="Z4957" s="2">
        <v>27.6</v>
      </c>
      <c r="AA4957" s="2" t="s">
        <v>163</v>
      </c>
      <c r="AB4957" s="2" t="s">
        <v>14864</v>
      </c>
      <c r="AC4957" s="2">
        <v>-1.79953709827486</v>
      </c>
      <c r="AD4957" s="2"/>
      <c r="AE4957" s="2">
        <v>5.9792775309554701E-2</v>
      </c>
      <c r="AF4957" s="2">
        <v>6130.4007499379504</v>
      </c>
      <c r="AG4957" s="2">
        <v>5832.71750525893</v>
      </c>
      <c r="AH4957" s="5">
        <v>1.05103680135556</v>
      </c>
      <c r="AI4957" s="5">
        <v>7.1813185193192394E-2</v>
      </c>
      <c r="AJ4957" s="5" t="s">
        <v>139</v>
      </c>
      <c r="AK4957" s="2">
        <v>0.77448412461910099</v>
      </c>
      <c r="AL4957" s="2">
        <v>0.89930575991566697</v>
      </c>
      <c r="AM4957" s="2">
        <v>6140.5462907491701</v>
      </c>
      <c r="AN4957" s="2">
        <v>7722.8973498370897</v>
      </c>
      <c r="AO4957" s="2">
        <v>4760.9711134106201</v>
      </c>
      <c r="AP4957" s="2">
        <v>3959.9531066003201</v>
      </c>
      <c r="AQ4957" s="2">
        <v>6433.8248803718498</v>
      </c>
      <c r="AR4957" s="2">
        <v>7764.2117586586401</v>
      </c>
      <c r="AS4957" s="2">
        <v>3424.9344982002999</v>
      </c>
      <c r="AT4957" s="2">
        <v>5444.8891369474404</v>
      </c>
      <c r="AU4957" s="2">
        <v>6972.8432957892101</v>
      </c>
      <c r="AV4957" s="2">
        <v>7293.7010210980798</v>
      </c>
      <c r="AW4957" s="2">
        <v>3763.0353846559901</v>
      </c>
      <c r="AX4957" s="2">
        <v>8096.9016948625404</v>
      </c>
    </row>
    <row r="4958" spans="1:50" x14ac:dyDescent="0.25">
      <c r="A4958" s="2" t="s">
        <v>32504</v>
      </c>
      <c r="B4958" s="2">
        <v>168.06609151852999</v>
      </c>
      <c r="C4958" s="2">
        <v>5.5685333333333302</v>
      </c>
      <c r="D4958" s="2" t="s">
        <v>51</v>
      </c>
      <c r="E4958" s="2" t="s">
        <v>32505</v>
      </c>
      <c r="F4958" s="2">
        <v>58823</v>
      </c>
      <c r="G4958" s="3" t="str">
        <f>HYPERLINK("https://cloud.oebiotech.com/#/lm/network/58823", "https://cloud.oebiotech.com/#/lm/network/58823")</f>
        <v>https://cloud.oebiotech.com/#/lm/network/58823</v>
      </c>
      <c r="H4958" s="2" t="s">
        <v>32506</v>
      </c>
      <c r="I4958" s="2">
        <v>90275</v>
      </c>
      <c r="J4958" s="2"/>
      <c r="K4958" s="2">
        <v>130791563</v>
      </c>
      <c r="L4958" s="2"/>
      <c r="M4958" s="2"/>
      <c r="N4958" s="2"/>
      <c r="O4958" s="2"/>
      <c r="P4958" s="2"/>
      <c r="Q4958" s="2"/>
      <c r="R4958" s="2"/>
      <c r="S4958" s="2" t="s">
        <v>32507</v>
      </c>
      <c r="T4958" s="2" t="s">
        <v>32508</v>
      </c>
      <c r="U4958" s="2" t="s">
        <v>266</v>
      </c>
      <c r="V4958" s="2" t="s">
        <v>984</v>
      </c>
      <c r="W4958" s="2" t="s">
        <v>985</v>
      </c>
      <c r="X4958" s="2" t="s">
        <v>147</v>
      </c>
      <c r="Y4958" s="2">
        <v>43.3</v>
      </c>
      <c r="Z4958" s="2">
        <v>25.2</v>
      </c>
      <c r="AA4958" s="2" t="s">
        <v>259</v>
      </c>
      <c r="AB4958" s="2" t="s">
        <v>32509</v>
      </c>
      <c r="AC4958" s="2">
        <v>3.4235629982597802</v>
      </c>
      <c r="AD4958" s="2"/>
      <c r="AE4958" s="2">
        <v>5.9760383254124402E-2</v>
      </c>
      <c r="AF4958" s="2">
        <v>739.57574300743204</v>
      </c>
      <c r="AG4958" s="2">
        <v>1146.9231643688299</v>
      </c>
      <c r="AH4958" s="4">
        <v>0.64483460268625004</v>
      </c>
      <c r="AI4958" s="4">
        <v>-0.632998932000989</v>
      </c>
      <c r="AJ4958" s="4" t="s">
        <v>62</v>
      </c>
      <c r="AK4958" s="2">
        <v>0.30939245169975099</v>
      </c>
      <c r="AL4958" s="2">
        <v>0.61930646855745797</v>
      </c>
      <c r="AM4958" s="2">
        <v>2072.7903727861299</v>
      </c>
      <c r="AN4958" s="2">
        <v>404.42344226069503</v>
      </c>
      <c r="AO4958" s="2">
        <v>325.30209865391902</v>
      </c>
      <c r="AP4958" s="2">
        <v>118.30921139152601</v>
      </c>
      <c r="AQ4958" s="2">
        <v>933.12960564779803</v>
      </c>
      <c r="AR4958" s="2">
        <v>583.49972730452498</v>
      </c>
      <c r="AS4958" s="2">
        <v>1818.5952465033099</v>
      </c>
      <c r="AT4958" s="2">
        <v>525.80850430112298</v>
      </c>
      <c r="AU4958" s="2">
        <v>1969.99731357465</v>
      </c>
      <c r="AV4958" s="2">
        <v>1054.77036184284</v>
      </c>
      <c r="AW4958" s="2">
        <v>714.69237627637904</v>
      </c>
      <c r="AX4958" s="2">
        <v>797.67518371468498</v>
      </c>
    </row>
    <row r="4959" spans="1:50" x14ac:dyDescent="0.25">
      <c r="A4959" s="2" t="s">
        <v>32510</v>
      </c>
      <c r="B4959" s="2">
        <v>414.32258921872699</v>
      </c>
      <c r="C4959" s="2">
        <v>11.904616666666699</v>
      </c>
      <c r="D4959" s="2" t="s">
        <v>51</v>
      </c>
      <c r="E4959" s="2" t="s">
        <v>32511</v>
      </c>
      <c r="F4959" s="2">
        <v>273716</v>
      </c>
      <c r="G4959" s="3" t="str">
        <f>HYPERLINK("https://cloud.oebiotech.com/#/lm/network/273716", "https://cloud.oebiotech.com/#/lm/network/273716")</f>
        <v>https://cloud.oebiotech.com/#/lm/network/273716</v>
      </c>
      <c r="H4959" s="2"/>
      <c r="I4959" s="2">
        <v>62991</v>
      </c>
      <c r="J4959" s="2"/>
      <c r="K4959" s="2">
        <v>71433203</v>
      </c>
      <c r="L4959" s="2"/>
      <c r="M4959" s="2"/>
      <c r="N4959" s="2"/>
      <c r="O4959" s="2"/>
      <c r="P4959" s="2"/>
      <c r="Q4959" s="2"/>
      <c r="R4959" s="2" t="s">
        <v>32512</v>
      </c>
      <c r="S4959" s="2" t="s">
        <v>32513</v>
      </c>
      <c r="T4959" s="2" t="s">
        <v>32514</v>
      </c>
      <c r="U4959" s="2" t="s">
        <v>103</v>
      </c>
      <c r="V4959" s="2" t="s">
        <v>104</v>
      </c>
      <c r="W4959" s="2" t="s">
        <v>105</v>
      </c>
      <c r="X4959" s="2" t="s">
        <v>147</v>
      </c>
      <c r="Y4959" s="2">
        <v>38.6</v>
      </c>
      <c r="Z4959" s="2">
        <v>0</v>
      </c>
      <c r="AA4959" s="2" t="s">
        <v>218</v>
      </c>
      <c r="AB4959" s="2" t="s">
        <v>31678</v>
      </c>
      <c r="AC4959" s="2">
        <v>0.24939122197998101</v>
      </c>
      <c r="AD4959" s="2"/>
      <c r="AE4959" s="2">
        <v>5.9677240013643898E-2</v>
      </c>
      <c r="AF4959" s="2">
        <v>424.52469843720201</v>
      </c>
      <c r="AG4959" s="2">
        <v>620.17108245956399</v>
      </c>
      <c r="AH4959" s="4">
        <v>0.68452836716210697</v>
      </c>
      <c r="AI4959" s="4">
        <v>-0.54681776623675804</v>
      </c>
      <c r="AJ4959" s="4" t="s">
        <v>62</v>
      </c>
      <c r="AK4959" s="2">
        <v>0.391948402124697</v>
      </c>
      <c r="AL4959" s="2">
        <v>0.66528673878009803</v>
      </c>
      <c r="AM4959" s="2">
        <v>836.31322397140605</v>
      </c>
      <c r="AN4959" s="2">
        <v>136.27677644878801</v>
      </c>
      <c r="AO4959" s="2">
        <v>723.651646540417</v>
      </c>
      <c r="AP4959" s="2">
        <v>117.063951116675</v>
      </c>
      <c r="AQ4959" s="2">
        <v>465.601784890418</v>
      </c>
      <c r="AR4959" s="2">
        <v>268.24080765550701</v>
      </c>
      <c r="AS4959" s="2">
        <v>1057.7949596757401</v>
      </c>
      <c r="AT4959" s="2">
        <v>8.559877937157E-6</v>
      </c>
      <c r="AU4959" s="2">
        <v>301.21001919022598</v>
      </c>
      <c r="AV4959" s="2">
        <v>785.40019012085997</v>
      </c>
      <c r="AW4959" s="2">
        <v>1112.2644306085899</v>
      </c>
      <c r="AX4959" s="2">
        <v>464.35688660209001</v>
      </c>
    </row>
    <row r="4960" spans="1:50" x14ac:dyDescent="0.25">
      <c r="A4960" s="2" t="s">
        <v>32515</v>
      </c>
      <c r="B4960" s="2">
        <v>356.18294717234602</v>
      </c>
      <c r="C4960" s="2">
        <v>3.8311500000000001</v>
      </c>
      <c r="D4960" s="2" t="s">
        <v>51</v>
      </c>
      <c r="E4960" s="2" t="s">
        <v>32516</v>
      </c>
      <c r="F4960" s="2">
        <v>207428</v>
      </c>
      <c r="G4960" s="3" t="str">
        <f>HYPERLINK("https://cloud.oebiotech.com/#/lm/network/207428", "https://cloud.oebiotech.com/#/lm/network/207428")</f>
        <v>https://cloud.oebiotech.com/#/lm/network/207428</v>
      </c>
      <c r="H4960" s="2" t="s">
        <v>32517</v>
      </c>
      <c r="I4960" s="2"/>
      <c r="J4960" s="2"/>
      <c r="K4960" s="2">
        <v>18232492</v>
      </c>
      <c r="L4960" s="2"/>
      <c r="M4960" s="2"/>
      <c r="N4960" s="2"/>
      <c r="O4960" s="2"/>
      <c r="P4960" s="2"/>
      <c r="Q4960" s="2"/>
      <c r="R4960" s="2"/>
      <c r="S4960" s="2" t="s">
        <v>32518</v>
      </c>
      <c r="T4960" s="2" t="s">
        <v>32519</v>
      </c>
      <c r="U4960" s="2" t="s">
        <v>103</v>
      </c>
      <c r="V4960" s="2" t="s">
        <v>104</v>
      </c>
      <c r="W4960" s="2" t="s">
        <v>105</v>
      </c>
      <c r="X4960" s="2" t="s">
        <v>83</v>
      </c>
      <c r="Y4960" s="2">
        <v>43.5</v>
      </c>
      <c r="Z4960" s="2">
        <v>17.5</v>
      </c>
      <c r="AA4960" s="2" t="s">
        <v>218</v>
      </c>
      <c r="AB4960" s="2" t="s">
        <v>32520</v>
      </c>
      <c r="AC4960" s="2">
        <v>0.76484513514719399</v>
      </c>
      <c r="AD4960" s="2"/>
      <c r="AE4960" s="2">
        <v>5.9557164901685999E-2</v>
      </c>
      <c r="AF4960" s="2">
        <v>1864.6290313495599</v>
      </c>
      <c r="AG4960" s="2">
        <v>1663.7539601896799</v>
      </c>
      <c r="AH4960" s="5">
        <v>1.1207360438901499</v>
      </c>
      <c r="AI4960" s="5">
        <v>0.16444653415475899</v>
      </c>
      <c r="AJ4960" s="5" t="s">
        <v>139</v>
      </c>
      <c r="AK4960" s="2">
        <v>0.878158083343482</v>
      </c>
      <c r="AL4960" s="2">
        <v>0.94752328784861595</v>
      </c>
      <c r="AM4960" s="2">
        <v>5424.7787398779201</v>
      </c>
      <c r="AN4960" s="2">
        <v>8.559877937157E-6</v>
      </c>
      <c r="AO4960" s="2">
        <v>1882.16627385637</v>
      </c>
      <c r="AP4960" s="2">
        <v>154.81996804667901</v>
      </c>
      <c r="AQ4960" s="2">
        <v>938.60756472663604</v>
      </c>
      <c r="AR4960" s="2">
        <v>2787.40163302985</v>
      </c>
      <c r="AS4960" s="2">
        <v>8.559877937157E-6</v>
      </c>
      <c r="AT4960" s="2">
        <v>8.559877937157E-6</v>
      </c>
      <c r="AU4960" s="2">
        <v>4013.0747146062299</v>
      </c>
      <c r="AV4960" s="2">
        <v>5312.9126792731704</v>
      </c>
      <c r="AW4960" s="2">
        <v>656.53634157903502</v>
      </c>
      <c r="AX4960" s="2">
        <v>8.559877937157E-6</v>
      </c>
    </row>
    <row r="4961" spans="1:50" x14ac:dyDescent="0.25">
      <c r="A4961" s="2" t="s">
        <v>32521</v>
      </c>
      <c r="B4961" s="2">
        <v>283.05175992036197</v>
      </c>
      <c r="C4961" s="2">
        <v>0.74113333333333298</v>
      </c>
      <c r="D4961" s="2" t="s">
        <v>51</v>
      </c>
      <c r="E4961" s="2" t="s">
        <v>32522</v>
      </c>
      <c r="F4961" s="2">
        <v>203739</v>
      </c>
      <c r="G4961" s="3" t="str">
        <f>HYPERLINK("https://cloud.oebiotech.com/#/lm/network/203739", "https://cloud.oebiotech.com/#/lm/network/203739")</f>
        <v>https://cloud.oebiotech.com/#/lm/network/203739</v>
      </c>
      <c r="H4961" s="2" t="s">
        <v>32523</v>
      </c>
      <c r="I4961" s="2">
        <v>316025</v>
      </c>
      <c r="J4961" s="2"/>
      <c r="K4961" s="2">
        <v>11219835</v>
      </c>
      <c r="L4961" s="2"/>
      <c r="M4961" s="2"/>
      <c r="N4961" s="2"/>
      <c r="O4961" s="2"/>
      <c r="P4961" s="2"/>
      <c r="Q4961" s="2"/>
      <c r="R4961" s="2"/>
      <c r="S4961" s="2" t="s">
        <v>32524</v>
      </c>
      <c r="T4961" s="2" t="s">
        <v>32525</v>
      </c>
      <c r="U4961" s="2" t="s">
        <v>266</v>
      </c>
      <c r="V4961" s="2" t="s">
        <v>1585</v>
      </c>
      <c r="W4961" s="2" t="s">
        <v>13935</v>
      </c>
      <c r="X4961" s="2" t="s">
        <v>147</v>
      </c>
      <c r="Y4961" s="2">
        <v>36.200000000000003</v>
      </c>
      <c r="Z4961" s="2">
        <v>0</v>
      </c>
      <c r="AA4961" s="2" t="s">
        <v>163</v>
      </c>
      <c r="AB4961" s="2" t="s">
        <v>32526</v>
      </c>
      <c r="AC4961" s="2">
        <v>-2.4080307731958999</v>
      </c>
      <c r="AD4961" s="2"/>
      <c r="AE4961" s="2">
        <v>5.9487495135613001E-2</v>
      </c>
      <c r="AF4961" s="2">
        <v>2861.5398072119201</v>
      </c>
      <c r="AG4961" s="2">
        <v>2478.5589014306602</v>
      </c>
      <c r="AH4961" s="5">
        <v>1.15451757291715</v>
      </c>
      <c r="AI4961" s="5">
        <v>0.20729013254683101</v>
      </c>
      <c r="AJ4961" s="5" t="s">
        <v>139</v>
      </c>
      <c r="AK4961" s="2">
        <v>0.65701541852884604</v>
      </c>
      <c r="AL4961" s="2">
        <v>0.83277125102599503</v>
      </c>
      <c r="AM4961" s="2">
        <v>1919.0725604249999</v>
      </c>
      <c r="AN4961" s="2">
        <v>3202.3854832666402</v>
      </c>
      <c r="AO4961" s="2">
        <v>1340.35586599406</v>
      </c>
      <c r="AP4961" s="2">
        <v>1309.26334983825</v>
      </c>
      <c r="AQ4961" s="2">
        <v>3839.32414037631</v>
      </c>
      <c r="AR4961" s="2">
        <v>5558.8374433712597</v>
      </c>
      <c r="AS4961" s="2">
        <v>1957.7373396891401</v>
      </c>
      <c r="AT4961" s="2">
        <v>3364.2323141759398</v>
      </c>
      <c r="AU4961" s="2">
        <v>3048.8951512886802</v>
      </c>
      <c r="AV4961" s="2">
        <v>558.75520914949198</v>
      </c>
      <c r="AW4961" s="2">
        <v>2104.2013448696698</v>
      </c>
      <c r="AX4961" s="2">
        <v>3837.5320494110301</v>
      </c>
    </row>
    <row r="4962" spans="1:50" x14ac:dyDescent="0.25">
      <c r="A4962" s="2" t="s">
        <v>32527</v>
      </c>
      <c r="B4962" s="2">
        <v>342.08386754344701</v>
      </c>
      <c r="C4962" s="2">
        <v>3.6124666666666698</v>
      </c>
      <c r="D4962" s="2" t="s">
        <v>51</v>
      </c>
      <c r="E4962" s="2" t="s">
        <v>32528</v>
      </c>
      <c r="F4962" s="2">
        <v>197081</v>
      </c>
      <c r="G4962" s="3" t="str">
        <f>HYPERLINK("https://cloud.oebiotech.com/#/lm/network/197081", "https://cloud.oebiotech.com/#/lm/network/197081")</f>
        <v>https://cloud.oebiotech.com/#/lm/network/197081</v>
      </c>
      <c r="H4962" s="2" t="s">
        <v>32529</v>
      </c>
      <c r="I4962" s="2"/>
      <c r="J4962" s="2"/>
      <c r="K4962" s="2"/>
      <c r="L4962" s="2"/>
      <c r="M4962" s="2"/>
      <c r="N4962" s="2"/>
      <c r="O4962" s="2"/>
      <c r="P4962" s="2"/>
      <c r="Q4962" s="2"/>
      <c r="R4962" s="2"/>
      <c r="S4962" s="2" t="s">
        <v>32530</v>
      </c>
      <c r="T4962" s="2" t="s">
        <v>32531</v>
      </c>
      <c r="U4962" s="2" t="s">
        <v>331</v>
      </c>
      <c r="V4962" s="2" t="s">
        <v>332</v>
      </c>
      <c r="W4962" s="2" t="s">
        <v>333</v>
      </c>
      <c r="X4962" s="2" t="s">
        <v>83</v>
      </c>
      <c r="Y4962" s="2">
        <v>51.8</v>
      </c>
      <c r="Z4962" s="2">
        <v>0</v>
      </c>
      <c r="AA4962" s="2" t="s">
        <v>163</v>
      </c>
      <c r="AB4962" s="2" t="s">
        <v>32532</v>
      </c>
      <c r="AC4962" s="2">
        <v>2.3691994293465499</v>
      </c>
      <c r="AD4962" s="2"/>
      <c r="AE4962" s="2">
        <v>5.9371061388011397E-2</v>
      </c>
      <c r="AF4962" s="2">
        <v>521.77686560144105</v>
      </c>
      <c r="AG4962" s="2">
        <v>155.54063413904001</v>
      </c>
      <c r="AH4962" s="5">
        <v>3.3546016350622301</v>
      </c>
      <c r="AI4962" s="5">
        <v>1.74614145398335</v>
      </c>
      <c r="AJ4962" s="5" t="s">
        <v>139</v>
      </c>
      <c r="AK4962" s="2">
        <v>0.28514966331463598</v>
      </c>
      <c r="AL4962" s="2">
        <v>0.60031658841593905</v>
      </c>
      <c r="AM4962" s="2">
        <v>282.809400497659</v>
      </c>
      <c r="AN4962" s="2">
        <v>8.559877937157E-6</v>
      </c>
      <c r="AO4962" s="2">
        <v>253.24017936441101</v>
      </c>
      <c r="AP4962" s="2">
        <v>2051.0168510103599</v>
      </c>
      <c r="AQ4962" s="2">
        <v>278.27218895278003</v>
      </c>
      <c r="AR4962" s="2">
        <v>265.32256522355999</v>
      </c>
      <c r="AS4962" s="2">
        <v>467.31040992791498</v>
      </c>
      <c r="AT4962" s="2">
        <v>8.559877937157E-6</v>
      </c>
      <c r="AU4962" s="2">
        <v>465.93336066681502</v>
      </c>
      <c r="AV4962" s="2">
        <v>8.559877937157E-6</v>
      </c>
      <c r="AW4962" s="2">
        <v>8.559877937157E-6</v>
      </c>
      <c r="AX4962" s="2">
        <v>8.559877937157E-6</v>
      </c>
    </row>
    <row r="4963" spans="1:50" x14ac:dyDescent="0.25">
      <c r="A4963" s="2" t="s">
        <v>32533</v>
      </c>
      <c r="B4963" s="2">
        <v>228.02523850228999</v>
      </c>
      <c r="C4963" s="2">
        <v>3.9637500000000001</v>
      </c>
      <c r="D4963" s="2" t="s">
        <v>51</v>
      </c>
      <c r="E4963" s="2" t="s">
        <v>32534</v>
      </c>
      <c r="F4963" s="2">
        <v>47277</v>
      </c>
      <c r="G4963" s="3" t="str">
        <f>HYPERLINK("https://cloud.oebiotech.com/#/lm/network/47277", "https://cloud.oebiotech.com/#/lm/network/47277")</f>
        <v>https://cloud.oebiotech.com/#/lm/network/47277</v>
      </c>
      <c r="H4963" s="2" t="s">
        <v>32535</v>
      </c>
      <c r="I4963" s="2">
        <v>5841</v>
      </c>
      <c r="J4963" s="2"/>
      <c r="K4963" s="2">
        <v>5699</v>
      </c>
      <c r="L4963" s="2" t="s">
        <v>32536</v>
      </c>
      <c r="M4963" s="2" t="s">
        <v>15319</v>
      </c>
      <c r="N4963" s="2" t="s">
        <v>15320</v>
      </c>
      <c r="O4963" s="2">
        <v>10072</v>
      </c>
      <c r="P4963" s="2"/>
      <c r="Q4963" s="2"/>
      <c r="R4963" s="2" t="s">
        <v>32537</v>
      </c>
      <c r="S4963" s="2" t="s">
        <v>32538</v>
      </c>
      <c r="T4963" s="2" t="s">
        <v>32539</v>
      </c>
      <c r="U4963" s="2" t="s">
        <v>266</v>
      </c>
      <c r="V4963" s="2" t="s">
        <v>1393</v>
      </c>
      <c r="W4963" s="2" t="s">
        <v>1643</v>
      </c>
      <c r="X4963" s="2" t="s">
        <v>83</v>
      </c>
      <c r="Y4963" s="2">
        <v>39.1</v>
      </c>
      <c r="Z4963" s="2">
        <v>0</v>
      </c>
      <c r="AA4963" s="2" t="s">
        <v>95</v>
      </c>
      <c r="AB4963" s="2" t="s">
        <v>32540</v>
      </c>
      <c r="AC4963" s="2">
        <v>-7.2664033844652103</v>
      </c>
      <c r="AD4963" s="2"/>
      <c r="AE4963" s="2">
        <v>5.9317934789260097E-2</v>
      </c>
      <c r="AF4963" s="2">
        <v>451.15895597939999</v>
      </c>
      <c r="AG4963" s="2">
        <v>799.92659187911397</v>
      </c>
      <c r="AH4963" s="4">
        <v>0.56400044774056002</v>
      </c>
      <c r="AI4963" s="4">
        <v>-0.82623178695685895</v>
      </c>
      <c r="AJ4963" s="4" t="s">
        <v>62</v>
      </c>
      <c r="AK4963" s="2">
        <v>0.29604115177743301</v>
      </c>
      <c r="AL4963" s="2">
        <v>0.60778876168892604</v>
      </c>
      <c r="AM4963" s="2">
        <v>577.96988738748496</v>
      </c>
      <c r="AN4963" s="2">
        <v>395.08376231155199</v>
      </c>
      <c r="AO4963" s="2">
        <v>629.97167345974003</v>
      </c>
      <c r="AP4963" s="2">
        <v>528.48988807496505</v>
      </c>
      <c r="AQ4963" s="2">
        <v>371.86463525323398</v>
      </c>
      <c r="AR4963" s="2">
        <v>203.573889389426</v>
      </c>
      <c r="AS4963" s="2">
        <v>585.36018069615295</v>
      </c>
      <c r="AT4963" s="2">
        <v>781.39041878673402</v>
      </c>
      <c r="AU4963" s="2">
        <v>2088.9907074820098</v>
      </c>
      <c r="AV4963" s="2">
        <v>8.559877937157E-6</v>
      </c>
      <c r="AW4963" s="2">
        <v>1170.05685558596</v>
      </c>
      <c r="AX4963" s="2">
        <v>173.76138016394901</v>
      </c>
    </row>
    <row r="4964" spans="1:50" x14ac:dyDescent="0.25">
      <c r="A4964" s="2" t="s">
        <v>32541</v>
      </c>
      <c r="B4964" s="2">
        <v>409.10806227495999</v>
      </c>
      <c r="C4964" s="2">
        <v>9.0521333333333303</v>
      </c>
      <c r="D4964" s="2" t="s">
        <v>51</v>
      </c>
      <c r="E4964" s="2" t="s">
        <v>32542</v>
      </c>
      <c r="F4964" s="2">
        <v>204341</v>
      </c>
      <c r="G4964" s="3" t="str">
        <f>HYPERLINK("https://cloud.oebiotech.com/#/lm/network/204341", "https://cloud.oebiotech.com/#/lm/network/204341")</f>
        <v>https://cloud.oebiotech.com/#/lm/network/204341</v>
      </c>
      <c r="H4964" s="2" t="s">
        <v>32543</v>
      </c>
      <c r="I4964" s="2"/>
      <c r="J4964" s="2"/>
      <c r="K4964" s="2">
        <v>11451527</v>
      </c>
      <c r="L4964" s="2"/>
      <c r="M4964" s="2"/>
      <c r="N4964" s="2"/>
      <c r="O4964" s="2">
        <v>91432</v>
      </c>
      <c r="P4964" s="2"/>
      <c r="Q4964" s="2"/>
      <c r="R4964" s="2"/>
      <c r="S4964" s="2" t="s">
        <v>32544</v>
      </c>
      <c r="T4964" s="2" t="s">
        <v>32545</v>
      </c>
      <c r="U4964" s="2" t="s">
        <v>331</v>
      </c>
      <c r="V4964" s="2" t="s">
        <v>332</v>
      </c>
      <c r="W4964" s="2" t="s">
        <v>511</v>
      </c>
      <c r="X4964" s="2" t="s">
        <v>147</v>
      </c>
      <c r="Y4964" s="2">
        <v>37.299999999999997</v>
      </c>
      <c r="Z4964" s="2">
        <v>0</v>
      </c>
      <c r="AA4964" s="2" t="s">
        <v>395</v>
      </c>
      <c r="AB4964" s="2" t="s">
        <v>32546</v>
      </c>
      <c r="AC4964" s="2">
        <v>2.1221132814609902</v>
      </c>
      <c r="AD4964" s="2"/>
      <c r="AE4964" s="2">
        <v>5.9258173222061901E-2</v>
      </c>
      <c r="AF4964" s="2">
        <v>546.91871284349202</v>
      </c>
      <c r="AG4964" s="2">
        <v>343.80513226574902</v>
      </c>
      <c r="AH4964" s="5">
        <v>1.5907811184759799</v>
      </c>
      <c r="AI4964" s="5">
        <v>0.66973534351756403</v>
      </c>
      <c r="AJ4964" s="5" t="s">
        <v>139</v>
      </c>
      <c r="AK4964" s="2">
        <v>0.303727389995886</v>
      </c>
      <c r="AL4964" s="2">
        <v>0.61292641550155402</v>
      </c>
      <c r="AM4964" s="2">
        <v>546.81112147752003</v>
      </c>
      <c r="AN4964" s="2">
        <v>889.56286602397495</v>
      </c>
      <c r="AO4964" s="2">
        <v>129.92447761240501</v>
      </c>
      <c r="AP4964" s="2">
        <v>503.28149956446299</v>
      </c>
      <c r="AQ4964" s="2">
        <v>158.521300565437</v>
      </c>
      <c r="AR4964" s="2">
        <v>1053.41101181715</v>
      </c>
      <c r="AS4964" s="2">
        <v>511.152823115849</v>
      </c>
      <c r="AT4964" s="2">
        <v>364.42967626752699</v>
      </c>
      <c r="AU4964" s="2">
        <v>292.23470130432798</v>
      </c>
      <c r="AV4964" s="2">
        <v>8.559877937157E-6</v>
      </c>
      <c r="AW4964" s="2">
        <v>748.77265197610302</v>
      </c>
      <c r="AX4964" s="2">
        <v>146.24093237080999</v>
      </c>
    </row>
    <row r="4965" spans="1:50" x14ac:dyDescent="0.25">
      <c r="A4965" s="2" t="s">
        <v>32547</v>
      </c>
      <c r="B4965" s="2">
        <v>524.27960244207304</v>
      </c>
      <c r="C4965" s="2">
        <v>9.0521333333333303</v>
      </c>
      <c r="D4965" s="2" t="s">
        <v>51</v>
      </c>
      <c r="E4965" s="2" t="s">
        <v>32548</v>
      </c>
      <c r="F4965" s="2">
        <v>267374</v>
      </c>
      <c r="G4965" s="3" t="str">
        <f>HYPERLINK("https://cloud.oebiotech.com/#/lm/network/267374", "https://cloud.oebiotech.com/#/lm/network/267374")</f>
        <v>https://cloud.oebiotech.com/#/lm/network/267374</v>
      </c>
      <c r="H4965" s="2"/>
      <c r="I4965" s="2">
        <v>45345</v>
      </c>
      <c r="J4965" s="2"/>
      <c r="K4965" s="2">
        <v>11027759</v>
      </c>
      <c r="L4965" s="2"/>
      <c r="M4965" s="2"/>
      <c r="N4965" s="2"/>
      <c r="O4965" s="2"/>
      <c r="P4965" s="2"/>
      <c r="Q4965" s="2"/>
      <c r="R4965" s="2" t="s">
        <v>32549</v>
      </c>
      <c r="S4965" s="2" t="s">
        <v>32550</v>
      </c>
      <c r="T4965" s="2" t="s">
        <v>32551</v>
      </c>
      <c r="U4965" s="2" t="s">
        <v>610</v>
      </c>
      <c r="V4965" s="2" t="s">
        <v>611</v>
      </c>
      <c r="W4965" s="2" t="s">
        <v>9921</v>
      </c>
      <c r="X4965" s="2" t="s">
        <v>147</v>
      </c>
      <c r="Y4965" s="2">
        <v>37.200000000000003</v>
      </c>
      <c r="Z4965" s="2">
        <v>0</v>
      </c>
      <c r="AA4965" s="2" t="s">
        <v>259</v>
      </c>
      <c r="AB4965" s="2" t="s">
        <v>32552</v>
      </c>
      <c r="AC4965" s="2">
        <v>0.12869102464818399</v>
      </c>
      <c r="AD4965" s="2"/>
      <c r="AE4965" s="2">
        <v>5.92064449726332E-2</v>
      </c>
      <c r="AF4965" s="2">
        <v>4437.1834108275698</v>
      </c>
      <c r="AG4965" s="2">
        <v>4804.91984992585</v>
      </c>
      <c r="AH4965" s="4">
        <v>0.92346668610841498</v>
      </c>
      <c r="AI4965" s="4">
        <v>-0.11486817770031101</v>
      </c>
      <c r="AJ4965" s="4" t="s">
        <v>62</v>
      </c>
      <c r="AK4965" s="2">
        <v>0.89645286541931501</v>
      </c>
      <c r="AL4965" s="2">
        <v>0.95663376568814995</v>
      </c>
      <c r="AM4965" s="2">
        <v>16392.2180510086</v>
      </c>
      <c r="AN4965" s="2">
        <v>1722.7544945483801</v>
      </c>
      <c r="AO4965" s="2">
        <v>2531.62172172379</v>
      </c>
      <c r="AP4965" s="2">
        <v>2524.7215928444498</v>
      </c>
      <c r="AQ4965" s="2">
        <v>503.43494936491601</v>
      </c>
      <c r="AR4965" s="2">
        <v>2948.3496554752601</v>
      </c>
      <c r="AS4965" s="2">
        <v>3531.6723487921499</v>
      </c>
      <c r="AT4965" s="2">
        <v>1027.0721426305399</v>
      </c>
      <c r="AU4965" s="2">
        <v>10796.2457225126</v>
      </c>
      <c r="AV4965" s="2">
        <v>4921.2422456099403</v>
      </c>
      <c r="AW4965" s="2">
        <v>4396.2000004683396</v>
      </c>
      <c r="AX4965" s="2">
        <v>4157.0866395415196</v>
      </c>
    </row>
    <row r="4966" spans="1:50" x14ac:dyDescent="0.25">
      <c r="A4966" s="2" t="s">
        <v>32553</v>
      </c>
      <c r="B4966" s="2">
        <v>204.08</v>
      </c>
      <c r="C4966" s="2">
        <v>25.629000000000001</v>
      </c>
      <c r="D4966" s="2" t="s">
        <v>125</v>
      </c>
      <c r="E4966" s="2" t="s">
        <v>32554</v>
      </c>
      <c r="F4966" s="2">
        <v>46916</v>
      </c>
      <c r="G4966" s="3" t="str">
        <f>HYPERLINK("https://cloud.oebiotech.com/#/lm/network/46916", "https://cloud.oebiotech.com/#/lm/network/46916")</f>
        <v>https://cloud.oebiotech.com/#/lm/network/46916</v>
      </c>
      <c r="H4966" s="2" t="s">
        <v>32555</v>
      </c>
      <c r="I4966" s="2">
        <v>984806</v>
      </c>
      <c r="J4966" s="2"/>
      <c r="K4966" s="2">
        <v>84571</v>
      </c>
      <c r="L4966" s="2" t="s">
        <v>32556</v>
      </c>
      <c r="M4966" s="2" t="s">
        <v>32557</v>
      </c>
      <c r="N4966" s="2" t="s">
        <v>32558</v>
      </c>
      <c r="O4966" s="2">
        <v>36219</v>
      </c>
      <c r="P4966" s="2"/>
      <c r="Q4966" s="2"/>
      <c r="R4966" s="2" t="s">
        <v>32559</v>
      </c>
      <c r="S4966" s="2" t="s">
        <v>32560</v>
      </c>
      <c r="T4966" s="2" t="s">
        <v>32561</v>
      </c>
      <c r="U4966" s="2" t="s">
        <v>331</v>
      </c>
      <c r="V4966" s="2" t="s">
        <v>332</v>
      </c>
      <c r="W4966" s="2" t="s">
        <v>333</v>
      </c>
      <c r="X4966" s="2" t="s">
        <v>83</v>
      </c>
      <c r="Y4966" s="2">
        <v>83.2</v>
      </c>
      <c r="Z4966" s="2">
        <v>73.400000000000006</v>
      </c>
      <c r="AA4966" s="2"/>
      <c r="AB4966" s="2" t="s">
        <v>18083</v>
      </c>
      <c r="AC4966" s="2"/>
      <c r="AD4966" s="2">
        <v>958878.95598771796</v>
      </c>
      <c r="AE4966" s="2">
        <v>5.9174835088369702E-2</v>
      </c>
      <c r="AF4966" s="2">
        <v>11286.5650834603</v>
      </c>
      <c r="AG4966" s="2">
        <v>9794.4129838854005</v>
      </c>
      <c r="AH4966" s="5">
        <v>1.1523472720651999</v>
      </c>
      <c r="AI4966" s="5">
        <v>0.20457555374787101</v>
      </c>
      <c r="AJ4966" s="5" t="s">
        <v>139</v>
      </c>
      <c r="AK4966" s="2">
        <v>0.52383413969683101</v>
      </c>
      <c r="AL4966" s="2">
        <v>0.753042437774049</v>
      </c>
      <c r="AM4966" s="2">
        <v>13456.542264290299</v>
      </c>
      <c r="AN4966" s="2">
        <v>10408.389477127401</v>
      </c>
      <c r="AO4966" s="2">
        <v>10323.5396403141</v>
      </c>
      <c r="AP4966" s="2">
        <v>7500.8390716214499</v>
      </c>
      <c r="AQ4966" s="2">
        <v>19018.3149286277</v>
      </c>
      <c r="AR4966" s="2">
        <v>7011.7651187808697</v>
      </c>
      <c r="AS4966" s="2">
        <v>5841.0519366798699</v>
      </c>
      <c r="AT4966" s="2">
        <v>12201.6178189986</v>
      </c>
      <c r="AU4966" s="2">
        <v>11817.8080548127</v>
      </c>
      <c r="AV4966" s="2">
        <v>14002.331495802</v>
      </c>
      <c r="AW4966" s="2">
        <v>7227.8507824641301</v>
      </c>
      <c r="AX4966" s="2">
        <v>7675.8178145551001</v>
      </c>
    </row>
    <row r="4967" spans="1:50" x14ac:dyDescent="0.25">
      <c r="A4967" s="2" t="s">
        <v>32562</v>
      </c>
      <c r="B4967" s="2">
        <v>275.20130207037198</v>
      </c>
      <c r="C4967" s="2">
        <v>10.511383333333301</v>
      </c>
      <c r="D4967" s="2" t="s">
        <v>51</v>
      </c>
      <c r="E4967" s="2" t="s">
        <v>32563</v>
      </c>
      <c r="F4967" s="2">
        <v>2984</v>
      </c>
      <c r="G4967" s="3" t="str">
        <f>HYPERLINK("https://cloud.oebiotech.com/#/lm/network/2984", "https://cloud.oebiotech.com/#/lm/network/2984")</f>
        <v>https://cloud.oebiotech.com/#/lm/network/2984</v>
      </c>
      <c r="H4967" s="2"/>
      <c r="I4967" s="2">
        <v>74951</v>
      </c>
      <c r="J4967" s="2" t="s">
        <v>32564</v>
      </c>
      <c r="K4967" s="2">
        <v>11426350</v>
      </c>
      <c r="L4967" s="2"/>
      <c r="M4967" s="2"/>
      <c r="N4967" s="2"/>
      <c r="O4967" s="2"/>
      <c r="P4967" s="2"/>
      <c r="Q4967" s="2"/>
      <c r="R4967" s="2"/>
      <c r="S4967" s="2" t="s">
        <v>32565</v>
      </c>
      <c r="T4967" s="2" t="s">
        <v>32566</v>
      </c>
      <c r="U4967" s="2" t="s">
        <v>56</v>
      </c>
      <c r="V4967" s="2" t="s">
        <v>145</v>
      </c>
      <c r="W4967" s="2" t="s">
        <v>203</v>
      </c>
      <c r="X4967" s="2" t="s">
        <v>83</v>
      </c>
      <c r="Y4967" s="2">
        <v>55.6</v>
      </c>
      <c r="Z4967" s="2">
        <v>0</v>
      </c>
      <c r="AA4967" s="2" t="s">
        <v>156</v>
      </c>
      <c r="AB4967" s="2" t="s">
        <v>10721</v>
      </c>
      <c r="AC4967" s="2">
        <v>2.5515192400917801</v>
      </c>
      <c r="AD4967" s="2"/>
      <c r="AE4967" s="2">
        <v>5.9126441949686401E-2</v>
      </c>
      <c r="AF4967" s="2">
        <v>3057.4395301488898</v>
      </c>
      <c r="AG4967" s="2">
        <v>3656.03596355133</v>
      </c>
      <c r="AH4967" s="4">
        <v>0.83627173272634203</v>
      </c>
      <c r="AI4967" s="4">
        <v>-0.25795629641085999</v>
      </c>
      <c r="AJ4967" s="4" t="s">
        <v>62</v>
      </c>
      <c r="AK4967" s="2">
        <v>0.59422034608303698</v>
      </c>
      <c r="AL4967" s="2">
        <v>0.79530268796482995</v>
      </c>
      <c r="AM4967" s="2">
        <v>2294.3884637544402</v>
      </c>
      <c r="AN4967" s="2">
        <v>6310.8119225974897</v>
      </c>
      <c r="AO4967" s="2">
        <v>2783.1312784249499</v>
      </c>
      <c r="AP4967" s="2">
        <v>2143.9209149676599</v>
      </c>
      <c r="AQ4967" s="2">
        <v>2556.69821183867</v>
      </c>
      <c r="AR4967" s="2">
        <v>2255.6863893101299</v>
      </c>
      <c r="AS4967" s="2">
        <v>3440.3039787093799</v>
      </c>
      <c r="AT4967" s="2">
        <v>1022.90393189127</v>
      </c>
      <c r="AU4967" s="2">
        <v>7364.1726756098096</v>
      </c>
      <c r="AV4967" s="2">
        <v>4197.8344257624503</v>
      </c>
      <c r="AW4967" s="2">
        <v>3468.9521907439598</v>
      </c>
      <c r="AX4967" s="2">
        <v>2442.0485785911001</v>
      </c>
    </row>
    <row r="4968" spans="1:50" x14ac:dyDescent="0.25">
      <c r="A4968" s="2" t="s">
        <v>32567</v>
      </c>
      <c r="B4968" s="2">
        <v>368.28074997693801</v>
      </c>
      <c r="C4968" s="2">
        <v>8.5398833333333304</v>
      </c>
      <c r="D4968" s="2" t="s">
        <v>51</v>
      </c>
      <c r="E4968" s="2" t="s">
        <v>32568</v>
      </c>
      <c r="F4968" s="2">
        <v>197908</v>
      </c>
      <c r="G4968" s="3" t="str">
        <f>HYPERLINK("https://cloud.oebiotech.com/#/lm/network/197908", "https://cloud.oebiotech.com/#/lm/network/197908")</f>
        <v>https://cloud.oebiotech.com/#/lm/network/197908</v>
      </c>
      <c r="H4968" s="2" t="s">
        <v>32569</v>
      </c>
      <c r="I4968" s="2"/>
      <c r="J4968" s="2"/>
      <c r="K4968" s="2"/>
      <c r="L4968" s="2"/>
      <c r="M4968" s="2"/>
      <c r="N4968" s="2"/>
      <c r="O4968" s="2"/>
      <c r="P4968" s="2"/>
      <c r="Q4968" s="2"/>
      <c r="R4968" s="2"/>
      <c r="S4968" s="2" t="s">
        <v>32570</v>
      </c>
      <c r="T4968" s="2" t="s">
        <v>32571</v>
      </c>
      <c r="U4968" s="2" t="s">
        <v>56</v>
      </c>
      <c r="V4968" s="2" t="s">
        <v>145</v>
      </c>
      <c r="W4968" s="2" t="s">
        <v>1188</v>
      </c>
      <c r="X4968" s="2" t="s">
        <v>69</v>
      </c>
      <c r="Y4968" s="2">
        <v>58</v>
      </c>
      <c r="Z4968" s="2">
        <v>82.8</v>
      </c>
      <c r="AA4968" s="2" t="s">
        <v>156</v>
      </c>
      <c r="AB4968" s="2" t="s">
        <v>13103</v>
      </c>
      <c r="AC4968" s="2">
        <v>3.1531995058374598</v>
      </c>
      <c r="AD4968" s="2"/>
      <c r="AE4968" s="2">
        <v>5.8956779850359402E-2</v>
      </c>
      <c r="AF4968" s="2">
        <v>91006.915376751902</v>
      </c>
      <c r="AG4968" s="2">
        <v>84214.6627073657</v>
      </c>
      <c r="AH4968" s="5">
        <v>1.0806540387508099</v>
      </c>
      <c r="AI4968" s="5">
        <v>0.111904731709226</v>
      </c>
      <c r="AJ4968" s="5" t="s">
        <v>139</v>
      </c>
      <c r="AK4968" s="2">
        <v>0.85253243685192104</v>
      </c>
      <c r="AL4968" s="2">
        <v>0.93488826700957794</v>
      </c>
      <c r="AM4968" s="2">
        <v>33144.382909468797</v>
      </c>
      <c r="AN4968" s="2">
        <v>119716.46365382901</v>
      </c>
      <c r="AO4968" s="2">
        <v>130186.271281981</v>
      </c>
      <c r="AP4968" s="2">
        <v>108024.48333924</v>
      </c>
      <c r="AQ4968" s="2">
        <v>78649.876541045902</v>
      </c>
      <c r="AR4968" s="2">
        <v>76320.014534946502</v>
      </c>
      <c r="AS4968" s="2">
        <v>39751.125197699097</v>
      </c>
      <c r="AT4968" s="2">
        <v>38893.7225176789</v>
      </c>
      <c r="AU4968" s="2">
        <v>36533.852274546</v>
      </c>
      <c r="AV4968" s="2">
        <v>65294.142808435798</v>
      </c>
      <c r="AW4968" s="2">
        <v>242342.03740972601</v>
      </c>
      <c r="AX4968" s="2">
        <v>82473.096036108502</v>
      </c>
    </row>
    <row r="4969" spans="1:50" x14ac:dyDescent="0.25">
      <c r="A4969" s="2" t="s">
        <v>32572</v>
      </c>
      <c r="B4969" s="2">
        <v>231.097452124163</v>
      </c>
      <c r="C4969" s="2">
        <v>7.69593333333333</v>
      </c>
      <c r="D4969" s="2" t="s">
        <v>51</v>
      </c>
      <c r="E4969" s="2" t="s">
        <v>32573</v>
      </c>
      <c r="F4969" s="2">
        <v>54071</v>
      </c>
      <c r="G4969" s="3" t="str">
        <f>HYPERLINK("https://cloud.oebiotech.com/#/lm/network/54071", "https://cloud.oebiotech.com/#/lm/network/54071")</f>
        <v>https://cloud.oebiotech.com/#/lm/network/54071</v>
      </c>
      <c r="H4969" s="2" t="s">
        <v>32574</v>
      </c>
      <c r="I4969" s="2">
        <v>23995</v>
      </c>
      <c r="J4969" s="2"/>
      <c r="K4969" s="2">
        <v>7020163</v>
      </c>
      <c r="L4969" s="2"/>
      <c r="M4969" s="2"/>
      <c r="N4969" s="2"/>
      <c r="O4969" s="2">
        <v>74857</v>
      </c>
      <c r="P4969" s="2"/>
      <c r="Q4969" s="2"/>
      <c r="R4969" s="2" t="s">
        <v>32575</v>
      </c>
      <c r="S4969" s="2" t="s">
        <v>32576</v>
      </c>
      <c r="T4969" s="2" t="s">
        <v>32577</v>
      </c>
      <c r="U4969" s="2" t="s">
        <v>103</v>
      </c>
      <c r="V4969" s="2" t="s">
        <v>104</v>
      </c>
      <c r="W4969" s="2" t="s">
        <v>105</v>
      </c>
      <c r="X4969" s="2" t="s">
        <v>147</v>
      </c>
      <c r="Y4969" s="2">
        <v>38.799999999999997</v>
      </c>
      <c r="Z4969" s="2">
        <v>1.08</v>
      </c>
      <c r="AA4969" s="2" t="s">
        <v>156</v>
      </c>
      <c r="AB4969" s="2" t="s">
        <v>32578</v>
      </c>
      <c r="AC4969" s="2">
        <v>-0.38639900896042301</v>
      </c>
      <c r="AD4969" s="2"/>
      <c r="AE4969" s="2">
        <v>5.8906525496124199E-2</v>
      </c>
      <c r="AF4969" s="2">
        <v>1306.0635278930999</v>
      </c>
      <c r="AG4969" s="2">
        <v>1131.4785082704</v>
      </c>
      <c r="AH4969" s="5">
        <v>1.15429813146834</v>
      </c>
      <c r="AI4969" s="5">
        <v>0.20701589057046099</v>
      </c>
      <c r="AJ4969" s="5" t="s">
        <v>139</v>
      </c>
      <c r="AK4969" s="2">
        <v>0.58105491144630395</v>
      </c>
      <c r="AL4969" s="2">
        <v>0.78897394446188196</v>
      </c>
      <c r="AM4969" s="2">
        <v>1512.4998082121999</v>
      </c>
      <c r="AN4969" s="2">
        <v>1907.4691639949999</v>
      </c>
      <c r="AO4969" s="2">
        <v>997.08415598280806</v>
      </c>
      <c r="AP4969" s="2">
        <v>1154.6523054520101</v>
      </c>
      <c r="AQ4969" s="2">
        <v>742.56015815975002</v>
      </c>
      <c r="AR4969" s="2">
        <v>1522.11557555685</v>
      </c>
      <c r="AS4969" s="2">
        <v>1061.15026894841</v>
      </c>
      <c r="AT4969" s="2">
        <v>601.04055806263</v>
      </c>
      <c r="AU4969" s="2">
        <v>2272.6851075663699</v>
      </c>
      <c r="AV4969" s="2">
        <v>553.58760919105498</v>
      </c>
      <c r="AW4969" s="2">
        <v>1173.7905417602799</v>
      </c>
      <c r="AX4969" s="2">
        <v>1126.61696409366</v>
      </c>
    </row>
    <row r="4970" spans="1:50" x14ac:dyDescent="0.25">
      <c r="A4970" s="2" t="s">
        <v>32579</v>
      </c>
      <c r="B4970" s="2">
        <v>249.18583776077401</v>
      </c>
      <c r="C4970" s="2">
        <v>11.4227333333333</v>
      </c>
      <c r="D4970" s="2" t="s">
        <v>51</v>
      </c>
      <c r="E4970" s="2" t="s">
        <v>32580</v>
      </c>
      <c r="F4970" s="2">
        <v>59176</v>
      </c>
      <c r="G4970" s="3" t="str">
        <f>HYPERLINK("https://cloud.oebiotech.com/#/lm/network/59176", "https://cloud.oebiotech.com/#/lm/network/59176")</f>
        <v>https://cloud.oebiotech.com/#/lm/network/59176</v>
      </c>
      <c r="H4970" s="2" t="s">
        <v>32581</v>
      </c>
      <c r="I4970" s="2">
        <v>85004</v>
      </c>
      <c r="J4970" s="2"/>
      <c r="K4970" s="2">
        <v>61129</v>
      </c>
      <c r="L4970" s="2"/>
      <c r="M4970" s="2"/>
      <c r="N4970" s="2"/>
      <c r="O4970" s="2"/>
      <c r="P4970" s="2"/>
      <c r="Q4970" s="2"/>
      <c r="R4970" s="2" t="s">
        <v>32582</v>
      </c>
      <c r="S4970" s="2" t="s">
        <v>32583</v>
      </c>
      <c r="T4970" s="2" t="s">
        <v>32584</v>
      </c>
      <c r="U4970" s="2" t="s">
        <v>266</v>
      </c>
      <c r="V4970" s="2" t="s">
        <v>17476</v>
      </c>
      <c r="W4970" s="2" t="s">
        <v>240</v>
      </c>
      <c r="X4970" s="2" t="s">
        <v>83</v>
      </c>
      <c r="Y4970" s="2">
        <v>49</v>
      </c>
      <c r="Z4970" s="2">
        <v>0</v>
      </c>
      <c r="AA4970" s="2" t="s">
        <v>163</v>
      </c>
      <c r="AB4970" s="2" t="s">
        <v>6238</v>
      </c>
      <c r="AC4970" s="2">
        <v>-0.66300807903446501</v>
      </c>
      <c r="AD4970" s="2"/>
      <c r="AE4970" s="2">
        <v>5.8887963072475097E-2</v>
      </c>
      <c r="AF4970" s="2">
        <v>879.352329617603</v>
      </c>
      <c r="AG4970" s="2">
        <v>1332.68394181079</v>
      </c>
      <c r="AH4970" s="4">
        <v>0.65983561595465601</v>
      </c>
      <c r="AI4970" s="4">
        <v>-0.59982144251591596</v>
      </c>
      <c r="AJ4970" s="4" t="s">
        <v>62</v>
      </c>
      <c r="AK4970" s="2">
        <v>0.39745973152869402</v>
      </c>
      <c r="AL4970" s="2">
        <v>0.66752996494649497</v>
      </c>
      <c r="AM4970" s="2">
        <v>1051.98342237772</v>
      </c>
      <c r="AN4970" s="2">
        <v>1352.89494020354</v>
      </c>
      <c r="AO4970" s="2">
        <v>972.254338436534</v>
      </c>
      <c r="AP4970" s="2">
        <v>458.61615094426702</v>
      </c>
      <c r="AQ4970" s="2">
        <v>437.89970883998598</v>
      </c>
      <c r="AR4970" s="2">
        <v>1002.46541690357</v>
      </c>
      <c r="AS4970" s="2">
        <v>377.67082718347802</v>
      </c>
      <c r="AT4970" s="2">
        <v>550.91057903243097</v>
      </c>
      <c r="AU4970" s="2">
        <v>3473.1841076271899</v>
      </c>
      <c r="AV4970" s="2">
        <v>758.34557576007705</v>
      </c>
      <c r="AW4970" s="2">
        <v>2046.74673670633</v>
      </c>
      <c r="AX4970" s="2">
        <v>789.24582455524899</v>
      </c>
    </row>
    <row r="4971" spans="1:50" x14ac:dyDescent="0.25">
      <c r="A4971" s="2" t="s">
        <v>32585</v>
      </c>
      <c r="B4971" s="2">
        <v>253.144453955855</v>
      </c>
      <c r="C4971" s="2">
        <v>8.7284333333333297</v>
      </c>
      <c r="D4971" s="2" t="s">
        <v>51</v>
      </c>
      <c r="E4971" s="2" t="s">
        <v>32586</v>
      </c>
      <c r="F4971" s="2">
        <v>61903</v>
      </c>
      <c r="G4971" s="3" t="str">
        <f>HYPERLINK("https://cloud.oebiotech.com/#/lm/network/61903", "https://cloud.oebiotech.com/#/lm/network/61903")</f>
        <v>https://cloud.oebiotech.com/#/lm/network/61903</v>
      </c>
      <c r="H4971" s="2" t="s">
        <v>32587</v>
      </c>
      <c r="I4971" s="2">
        <v>93202</v>
      </c>
      <c r="J4971" s="2"/>
      <c r="K4971" s="2">
        <v>73817713</v>
      </c>
      <c r="L4971" s="2"/>
      <c r="M4971" s="2"/>
      <c r="N4971" s="2"/>
      <c r="O4971" s="2"/>
      <c r="P4971" s="2"/>
      <c r="Q4971" s="2"/>
      <c r="R4971" s="2" t="s">
        <v>32588</v>
      </c>
      <c r="S4971" s="2" t="s">
        <v>32589</v>
      </c>
      <c r="T4971" s="2" t="s">
        <v>32590</v>
      </c>
      <c r="U4971" s="2" t="s">
        <v>266</v>
      </c>
      <c r="V4971" s="2" t="s">
        <v>4491</v>
      </c>
      <c r="W4971" s="2" t="s">
        <v>240</v>
      </c>
      <c r="X4971" s="2" t="s">
        <v>83</v>
      </c>
      <c r="Y4971" s="2">
        <v>46</v>
      </c>
      <c r="Z4971" s="2">
        <v>18.899999999999999</v>
      </c>
      <c r="AA4971" s="2" t="s">
        <v>218</v>
      </c>
      <c r="AB4971" s="2" t="s">
        <v>7088</v>
      </c>
      <c r="AC4971" s="2">
        <v>-0.37855418783427702</v>
      </c>
      <c r="AD4971" s="2"/>
      <c r="AE4971" s="2">
        <v>5.8716506685811701E-2</v>
      </c>
      <c r="AF4971" s="2">
        <v>1356.66611639347</v>
      </c>
      <c r="AG4971" s="2">
        <v>1146.1536238731101</v>
      </c>
      <c r="AH4971" s="5">
        <v>1.1836686532552201</v>
      </c>
      <c r="AI4971" s="5">
        <v>0.24326528096049499</v>
      </c>
      <c r="AJ4971" s="5" t="s">
        <v>139</v>
      </c>
      <c r="AK4971" s="2">
        <v>0.320523193045961</v>
      </c>
      <c r="AL4971" s="2">
        <v>0.62865748170263303</v>
      </c>
      <c r="AM4971" s="2">
        <v>1581.82876500714</v>
      </c>
      <c r="AN4971" s="2">
        <v>1541.6421298006001</v>
      </c>
      <c r="AO4971" s="2">
        <v>1286.10683373804</v>
      </c>
      <c r="AP4971" s="2">
        <v>1127.09879693281</v>
      </c>
      <c r="AQ4971" s="2">
        <v>1150.08837170589</v>
      </c>
      <c r="AR4971" s="2">
        <v>1453.23180117636</v>
      </c>
      <c r="AS4971" s="2">
        <v>1155.0746410811901</v>
      </c>
      <c r="AT4971" s="2">
        <v>521.68862732442096</v>
      </c>
      <c r="AU4971" s="2">
        <v>1289.21720998404</v>
      </c>
      <c r="AV4971" s="2">
        <v>1357.53637516669</v>
      </c>
      <c r="AW4971" s="2">
        <v>1792.9502858856699</v>
      </c>
      <c r="AX4971" s="2">
        <v>760.45460379664905</v>
      </c>
    </row>
    <row r="4972" spans="1:50" x14ac:dyDescent="0.25">
      <c r="A4972" s="2" t="s">
        <v>32591</v>
      </c>
      <c r="B4972" s="2">
        <v>371.18399743839598</v>
      </c>
      <c r="C4972" s="2">
        <v>11.5544166666667</v>
      </c>
      <c r="D4972" s="2" t="s">
        <v>51</v>
      </c>
      <c r="E4972" s="2" t="s">
        <v>32592</v>
      </c>
      <c r="F4972" s="2">
        <v>10274</v>
      </c>
      <c r="G4972" s="3" t="str">
        <f>HYPERLINK("https://cloud.oebiotech.com/#/lm/network/10274", "https://cloud.oebiotech.com/#/lm/network/10274")</f>
        <v>https://cloud.oebiotech.com/#/lm/network/10274</v>
      </c>
      <c r="H4972" s="2"/>
      <c r="I4972" s="2"/>
      <c r="J4972" s="2" t="s">
        <v>32593</v>
      </c>
      <c r="K4972" s="2">
        <v>78093979</v>
      </c>
      <c r="L4972" s="2"/>
      <c r="M4972" s="2"/>
      <c r="N4972" s="2"/>
      <c r="O4972" s="2">
        <v>78955</v>
      </c>
      <c r="P4972" s="2"/>
      <c r="Q4972" s="2"/>
      <c r="R4972" s="2"/>
      <c r="S4972" s="2" t="s">
        <v>32594</v>
      </c>
      <c r="T4972" s="2" t="s">
        <v>32595</v>
      </c>
      <c r="U4972" s="2" t="s">
        <v>331</v>
      </c>
      <c r="V4972" s="2" t="s">
        <v>332</v>
      </c>
      <c r="W4972" s="2" t="s">
        <v>333</v>
      </c>
      <c r="X4972" s="2" t="s">
        <v>147</v>
      </c>
      <c r="Y4972" s="2">
        <v>37.799999999999997</v>
      </c>
      <c r="Z4972" s="2">
        <v>0</v>
      </c>
      <c r="AA4972" s="2" t="s">
        <v>395</v>
      </c>
      <c r="AB4972" s="2" t="s">
        <v>32596</v>
      </c>
      <c r="AC4972" s="2">
        <v>2.86140242701669</v>
      </c>
      <c r="AD4972" s="2"/>
      <c r="AE4972" s="2">
        <v>5.8710108072801602E-2</v>
      </c>
      <c r="AF4972" s="2">
        <v>3425.6322908039701</v>
      </c>
      <c r="AG4972" s="2">
        <v>3704.9795052694099</v>
      </c>
      <c r="AH4972" s="4">
        <v>0.92460222409648096</v>
      </c>
      <c r="AI4972" s="4">
        <v>-0.11309526195972899</v>
      </c>
      <c r="AJ4972" s="4" t="s">
        <v>62</v>
      </c>
      <c r="AK4972" s="2">
        <v>0.65324252837676899</v>
      </c>
      <c r="AL4972" s="2">
        <v>0.83240942988891198</v>
      </c>
      <c r="AM4972" s="2">
        <v>3262.1939865450699</v>
      </c>
      <c r="AN4972" s="2">
        <v>3082.9010283113798</v>
      </c>
      <c r="AO4972" s="2">
        <v>4850.2784282412103</v>
      </c>
      <c r="AP4972" s="2">
        <v>4017.0380649613498</v>
      </c>
      <c r="AQ4972" s="2">
        <v>3220.7202367771101</v>
      </c>
      <c r="AR4972" s="2">
        <v>2120.6619999877198</v>
      </c>
      <c r="AS4972" s="2">
        <v>4998.4177747032099</v>
      </c>
      <c r="AT4972" s="2">
        <v>4188.7901636854303</v>
      </c>
      <c r="AU4972" s="2">
        <v>1925.5459395938501</v>
      </c>
      <c r="AV4972" s="2">
        <v>2763.6823804816499</v>
      </c>
      <c r="AW4972" s="2">
        <v>4526.92669242996</v>
      </c>
      <c r="AX4972" s="2">
        <v>3826.5140807223502</v>
      </c>
    </row>
    <row r="4973" spans="1:50" x14ac:dyDescent="0.25">
      <c r="A4973" s="2" t="s">
        <v>32597</v>
      </c>
      <c r="B4973" s="2">
        <v>603.22294072096497</v>
      </c>
      <c r="C4973" s="2">
        <v>8.7284333333333297</v>
      </c>
      <c r="D4973" s="2" t="s">
        <v>51</v>
      </c>
      <c r="E4973" s="2" t="s">
        <v>32598</v>
      </c>
      <c r="F4973" s="2">
        <v>257193</v>
      </c>
      <c r="G4973" s="3" t="str">
        <f>HYPERLINK("https://cloud.oebiotech.com/#/lm/network/257193", "https://cloud.oebiotech.com/#/lm/network/257193")</f>
        <v>https://cloud.oebiotech.com/#/lm/network/257193</v>
      </c>
      <c r="H4973" s="2" t="s">
        <v>32599</v>
      </c>
      <c r="I4973" s="2"/>
      <c r="J4973" s="2"/>
      <c r="K4973" s="2"/>
      <c r="L4973" s="2"/>
      <c r="M4973" s="2"/>
      <c r="N4973" s="2"/>
      <c r="O4973" s="2">
        <v>133730</v>
      </c>
      <c r="P4973" s="2"/>
      <c r="Q4973" s="2"/>
      <c r="R4973" s="2"/>
      <c r="S4973" s="2" t="s">
        <v>32600</v>
      </c>
      <c r="T4973" s="2" t="s">
        <v>32601</v>
      </c>
      <c r="U4973" s="2" t="s">
        <v>103</v>
      </c>
      <c r="V4973" s="2" t="s">
        <v>104</v>
      </c>
      <c r="W4973" s="2" t="s">
        <v>105</v>
      </c>
      <c r="X4973" s="2" t="s">
        <v>147</v>
      </c>
      <c r="Y4973" s="2">
        <v>43.4</v>
      </c>
      <c r="Z4973" s="2">
        <v>31.1</v>
      </c>
      <c r="AA4973" s="2" t="s">
        <v>478</v>
      </c>
      <c r="AB4973" s="2" t="s">
        <v>32602</v>
      </c>
      <c r="AC4973" s="2">
        <v>3.4012672262999502</v>
      </c>
      <c r="AD4973" s="2"/>
      <c r="AE4973" s="2">
        <v>5.8601507700981902E-2</v>
      </c>
      <c r="AF4973" s="2">
        <v>5504.9471436334297</v>
      </c>
      <c r="AG4973" s="2">
        <v>5901.48842348162</v>
      </c>
      <c r="AH4973" s="4">
        <v>0.93280656482009305</v>
      </c>
      <c r="AI4973" s="4">
        <v>-0.100350153046997</v>
      </c>
      <c r="AJ4973" s="4" t="s">
        <v>62</v>
      </c>
      <c r="AK4973" s="2">
        <v>0.86664829682122801</v>
      </c>
      <c r="AL4973" s="2">
        <v>0.94236097769736804</v>
      </c>
      <c r="AM4973" s="2">
        <v>2801.7783568217501</v>
      </c>
      <c r="AN4973" s="2">
        <v>4323.3362249441598</v>
      </c>
      <c r="AO4973" s="2">
        <v>8506.11592447775</v>
      </c>
      <c r="AP4973" s="2">
        <v>7323.3072217462504</v>
      </c>
      <c r="AQ4973" s="2">
        <v>5353.2840312325397</v>
      </c>
      <c r="AR4973" s="2">
        <v>4721.8611025781502</v>
      </c>
      <c r="AS4973" s="2">
        <v>13070.375526969099</v>
      </c>
      <c r="AT4973" s="2">
        <v>11443.369111493699</v>
      </c>
      <c r="AU4973" s="2">
        <v>8.559877937157E-6</v>
      </c>
      <c r="AV4973" s="2">
        <v>4812.0302522697702</v>
      </c>
      <c r="AW4973" s="2">
        <v>4223.3276476870096</v>
      </c>
      <c r="AX4973" s="2">
        <v>1859.8279939102599</v>
      </c>
    </row>
    <row r="4974" spans="1:50" x14ac:dyDescent="0.25">
      <c r="A4974" s="2" t="s">
        <v>32603</v>
      </c>
      <c r="B4974" s="2">
        <v>450.26276805735398</v>
      </c>
      <c r="C4974" s="2">
        <v>9.95386666666667</v>
      </c>
      <c r="D4974" s="2" t="s">
        <v>51</v>
      </c>
      <c r="E4974" s="2" t="s">
        <v>32604</v>
      </c>
      <c r="F4974" s="2">
        <v>21198</v>
      </c>
      <c r="G4974" s="3" t="str">
        <f>HYPERLINK("https://cloud.oebiotech.com/#/lm/network/21198", "https://cloud.oebiotech.com/#/lm/network/21198")</f>
        <v>https://cloud.oebiotech.com/#/lm/network/21198</v>
      </c>
      <c r="H4974" s="2" t="s">
        <v>32605</v>
      </c>
      <c r="I4974" s="2">
        <v>62262</v>
      </c>
      <c r="J4974" s="2" t="s">
        <v>32606</v>
      </c>
      <c r="K4974" s="2">
        <v>53480923</v>
      </c>
      <c r="L4974" s="2"/>
      <c r="M4974" s="2"/>
      <c r="N4974" s="2"/>
      <c r="O4974" s="2"/>
      <c r="P4974" s="2"/>
      <c r="Q4974" s="2"/>
      <c r="R4974" s="2"/>
      <c r="S4974" s="2" t="s">
        <v>32607</v>
      </c>
      <c r="T4974" s="2" t="s">
        <v>32608</v>
      </c>
      <c r="U4974" s="2" t="s">
        <v>56</v>
      </c>
      <c r="V4974" s="2" t="s">
        <v>57</v>
      </c>
      <c r="W4974" s="2" t="s">
        <v>155</v>
      </c>
      <c r="X4974" s="2" t="s">
        <v>83</v>
      </c>
      <c r="Y4974" s="2">
        <v>62.9</v>
      </c>
      <c r="Z4974" s="2">
        <v>33</v>
      </c>
      <c r="AA4974" s="2" t="s">
        <v>163</v>
      </c>
      <c r="AB4974" s="2" t="s">
        <v>32609</v>
      </c>
      <c r="AC4974" s="2">
        <v>0.34385341870216501</v>
      </c>
      <c r="AD4974" s="2"/>
      <c r="AE4974" s="2">
        <v>5.8596238021551901E-2</v>
      </c>
      <c r="AF4974" s="2">
        <v>6310.1100168861103</v>
      </c>
      <c r="AG4974" s="2">
        <v>5893.89501823717</v>
      </c>
      <c r="AH4974" s="5">
        <v>1.07061798646923</v>
      </c>
      <c r="AI4974" s="5">
        <v>9.8443795363141295E-2</v>
      </c>
      <c r="AJ4974" s="5" t="s">
        <v>139</v>
      </c>
      <c r="AK4974" s="2">
        <v>0.70804331077604898</v>
      </c>
      <c r="AL4974" s="2">
        <v>0.86105144122847299</v>
      </c>
      <c r="AM4974" s="2">
        <v>8233.0032575492805</v>
      </c>
      <c r="AN4974" s="2">
        <v>4418.7591872927396</v>
      </c>
      <c r="AO4974" s="2">
        <v>6540.2513905109699</v>
      </c>
      <c r="AP4974" s="2">
        <v>6770.2295953843204</v>
      </c>
      <c r="AQ4974" s="2">
        <v>5678.6702963694797</v>
      </c>
      <c r="AR4974" s="2">
        <v>6219.7463742098498</v>
      </c>
      <c r="AS4974" s="2">
        <v>4914.4631102604699</v>
      </c>
      <c r="AT4974" s="2">
        <v>2551.32576098151</v>
      </c>
      <c r="AU4974" s="2">
        <v>9345.4078449930494</v>
      </c>
      <c r="AV4974" s="2">
        <v>7165.7111041694498</v>
      </c>
      <c r="AW4974" s="2">
        <v>6501.8447632889802</v>
      </c>
      <c r="AX4974" s="2">
        <v>4884.6175257295799</v>
      </c>
    </row>
    <row r="4975" spans="1:50" x14ac:dyDescent="0.25">
      <c r="A4975" s="2" t="s">
        <v>32610</v>
      </c>
      <c r="B4975" s="2">
        <v>291.19660950492602</v>
      </c>
      <c r="C4975" s="2">
        <v>10.534700000000001</v>
      </c>
      <c r="D4975" s="2" t="s">
        <v>51</v>
      </c>
      <c r="E4975" s="2" t="s">
        <v>32611</v>
      </c>
      <c r="F4975" s="2">
        <v>3322</v>
      </c>
      <c r="G4975" s="3" t="str">
        <f>HYPERLINK("https://cloud.oebiotech.com/#/lm/network/3322", "https://cloud.oebiotech.com/#/lm/network/3322")</f>
        <v>https://cloud.oebiotech.com/#/lm/network/3322</v>
      </c>
      <c r="H4975" s="2"/>
      <c r="I4975" s="2">
        <v>45173</v>
      </c>
      <c r="J4975" s="2" t="s">
        <v>32612</v>
      </c>
      <c r="K4975" s="2">
        <v>11380794</v>
      </c>
      <c r="L4975" s="2"/>
      <c r="M4975" s="2"/>
      <c r="N4975" s="2"/>
      <c r="O4975" s="2">
        <v>142251</v>
      </c>
      <c r="P4975" s="2"/>
      <c r="Q4975" s="2"/>
      <c r="R4975" s="2" t="s">
        <v>32613</v>
      </c>
      <c r="S4975" s="2" t="s">
        <v>32614</v>
      </c>
      <c r="T4975" s="2" t="s">
        <v>32615</v>
      </c>
      <c r="U4975" s="2" t="s">
        <v>56</v>
      </c>
      <c r="V4975" s="2" t="s">
        <v>145</v>
      </c>
      <c r="W4975" s="2" t="s">
        <v>203</v>
      </c>
      <c r="X4975" s="2" t="s">
        <v>83</v>
      </c>
      <c r="Y4975" s="2">
        <v>53.3</v>
      </c>
      <c r="Z4975" s="2">
        <v>0</v>
      </c>
      <c r="AA4975" s="2" t="s">
        <v>163</v>
      </c>
      <c r="AB4975" s="2" t="s">
        <v>10721</v>
      </c>
      <c r="AC4975" s="2">
        <v>0.14092999531734501</v>
      </c>
      <c r="AD4975" s="2"/>
      <c r="AE4975" s="2">
        <v>5.8481323365626198E-2</v>
      </c>
      <c r="AF4975" s="2">
        <v>8687.66246141595</v>
      </c>
      <c r="AG4975" s="2">
        <v>10070.527039090201</v>
      </c>
      <c r="AH4975" s="4">
        <v>0.862682005389944</v>
      </c>
      <c r="AI4975" s="4">
        <v>-0.21309923164814601</v>
      </c>
      <c r="AJ4975" s="4" t="s">
        <v>62</v>
      </c>
      <c r="AK4975" s="2">
        <v>0.66946509673300902</v>
      </c>
      <c r="AL4975" s="2">
        <v>0.84072381993123702</v>
      </c>
      <c r="AM4975" s="2">
        <v>8585.0777310875401</v>
      </c>
      <c r="AN4975" s="2">
        <v>16285.615516031499</v>
      </c>
      <c r="AO4975" s="2">
        <v>10501.627905265401</v>
      </c>
      <c r="AP4975" s="2">
        <v>4964.1639426445199</v>
      </c>
      <c r="AQ4975" s="2">
        <v>5492.3890437754399</v>
      </c>
      <c r="AR4975" s="2">
        <v>6297.1006296912901</v>
      </c>
      <c r="AS4975" s="2">
        <v>13123.995862308</v>
      </c>
      <c r="AT4975" s="2">
        <v>1909.00300845833</v>
      </c>
      <c r="AU4975" s="2">
        <v>20913.635656225499</v>
      </c>
      <c r="AV4975" s="2">
        <v>8758.8022995268402</v>
      </c>
      <c r="AW4975" s="2">
        <v>8502.3863618860396</v>
      </c>
      <c r="AX4975" s="2">
        <v>7215.3390461361996</v>
      </c>
    </row>
    <row r="4976" spans="1:50" x14ac:dyDescent="0.25">
      <c r="A4976" s="2" t="s">
        <v>32616</v>
      </c>
      <c r="B4976" s="2">
        <v>277.10809077163799</v>
      </c>
      <c r="C4976" s="2">
        <v>6.0965999999999996</v>
      </c>
      <c r="D4976" s="2" t="s">
        <v>51</v>
      </c>
      <c r="E4976" s="2" t="s">
        <v>32617</v>
      </c>
      <c r="F4976" s="2">
        <v>289880</v>
      </c>
      <c r="G4976" s="3" t="str">
        <f>HYPERLINK("https://cloud.oebiotech.com/#/lm/network/289880", "https://cloud.oebiotech.com/#/lm/network/289880")</f>
        <v>https://cloud.oebiotech.com/#/lm/network/289880</v>
      </c>
      <c r="H4976" s="2"/>
      <c r="I4976" s="2">
        <v>985088</v>
      </c>
      <c r="J4976" s="2"/>
      <c r="K4976" s="2">
        <v>6442165</v>
      </c>
      <c r="L4976" s="2"/>
      <c r="M4976" s="2"/>
      <c r="N4976" s="2"/>
      <c r="O4976" s="2"/>
      <c r="P4976" s="2"/>
      <c r="Q4976" s="2"/>
      <c r="R4976" s="2"/>
      <c r="S4976" s="2" t="s">
        <v>32618</v>
      </c>
      <c r="T4976" s="2" t="s">
        <v>32619</v>
      </c>
      <c r="U4976" s="2" t="s">
        <v>266</v>
      </c>
      <c r="V4976" s="2" t="s">
        <v>11698</v>
      </c>
      <c r="W4976" s="2" t="s">
        <v>11699</v>
      </c>
      <c r="X4976" s="2" t="s">
        <v>147</v>
      </c>
      <c r="Y4976" s="2">
        <v>39</v>
      </c>
      <c r="Z4976" s="2">
        <v>1.32</v>
      </c>
      <c r="AA4976" s="2" t="s">
        <v>298</v>
      </c>
      <c r="AB4976" s="2" t="s">
        <v>32620</v>
      </c>
      <c r="AC4976" s="2">
        <v>-0.19068614002333001</v>
      </c>
      <c r="AD4976" s="2"/>
      <c r="AE4976" s="2">
        <v>5.8258951958293601E-2</v>
      </c>
      <c r="AF4976" s="2">
        <v>2274.1509478857402</v>
      </c>
      <c r="AG4976" s="2">
        <v>2717.3458409264199</v>
      </c>
      <c r="AH4976" s="4">
        <v>0.83690155063604799</v>
      </c>
      <c r="AI4976" s="4">
        <v>-0.25687017433737602</v>
      </c>
      <c r="AJ4976" s="4" t="s">
        <v>62</v>
      </c>
      <c r="AK4976" s="2">
        <v>0.64665730474393701</v>
      </c>
      <c r="AL4976" s="2">
        <v>0.82748660873842805</v>
      </c>
      <c r="AM4976" s="2">
        <v>1775.2701846687801</v>
      </c>
      <c r="AN4976" s="2">
        <v>2604.79908464665</v>
      </c>
      <c r="AO4976" s="2">
        <v>692.81436188581097</v>
      </c>
      <c r="AP4976" s="2">
        <v>1108.10709467071</v>
      </c>
      <c r="AQ4976" s="2">
        <v>1232.3859551232999</v>
      </c>
      <c r="AR4976" s="2">
        <v>6231.5290063191896</v>
      </c>
      <c r="AS4976" s="2">
        <v>2759.2313543952801</v>
      </c>
      <c r="AT4976" s="2">
        <v>2191.9083658040299</v>
      </c>
      <c r="AU4976" s="2">
        <v>4740.9596978525797</v>
      </c>
      <c r="AV4976" s="2">
        <v>2051.8180320870301</v>
      </c>
      <c r="AW4976" s="2">
        <v>1946.68094230773</v>
      </c>
      <c r="AX4976" s="2">
        <v>2613.4766531118999</v>
      </c>
    </row>
    <row r="4977" spans="1:50" x14ac:dyDescent="0.25">
      <c r="A4977" s="2" t="s">
        <v>32621</v>
      </c>
      <c r="B4977" s="2">
        <v>821.33268519507499</v>
      </c>
      <c r="C4977" s="2">
        <v>4.3974166666666701</v>
      </c>
      <c r="D4977" s="2" t="s">
        <v>51</v>
      </c>
      <c r="E4977" s="2" t="s">
        <v>32622</v>
      </c>
      <c r="F4977" s="2">
        <v>210454</v>
      </c>
      <c r="G4977" s="3" t="str">
        <f>HYPERLINK("https://cloud.oebiotech.com/#/lm/network/210454", "https://cloud.oebiotech.com/#/lm/network/210454")</f>
        <v>https://cloud.oebiotech.com/#/lm/network/210454</v>
      </c>
      <c r="H4977" s="2" t="s">
        <v>32623</v>
      </c>
      <c r="I4977" s="2"/>
      <c r="J4977" s="2"/>
      <c r="K4977" s="2"/>
      <c r="L4977" s="2"/>
      <c r="M4977" s="2"/>
      <c r="N4977" s="2"/>
      <c r="O4977" s="2"/>
      <c r="P4977" s="2"/>
      <c r="Q4977" s="2"/>
      <c r="R4977" s="2"/>
      <c r="S4977" s="2" t="s">
        <v>32624</v>
      </c>
      <c r="T4977" s="2" t="s">
        <v>32625</v>
      </c>
      <c r="U4977" s="2" t="s">
        <v>103</v>
      </c>
      <c r="V4977" s="2" t="s">
        <v>104</v>
      </c>
      <c r="W4977" s="2" t="s">
        <v>105</v>
      </c>
      <c r="X4977" s="2" t="s">
        <v>147</v>
      </c>
      <c r="Y4977" s="2">
        <v>38.700000000000003</v>
      </c>
      <c r="Z4977" s="2">
        <v>0</v>
      </c>
      <c r="AA4977" s="2" t="s">
        <v>478</v>
      </c>
      <c r="AB4977" s="2" t="s">
        <v>32626</v>
      </c>
      <c r="AC4977" s="2">
        <v>1.10873233553317</v>
      </c>
      <c r="AD4977" s="2"/>
      <c r="AE4977" s="2">
        <v>5.8243671389004402E-2</v>
      </c>
      <c r="AF4977" s="2">
        <v>8763.6136625548297</v>
      </c>
      <c r="AG4977" s="2">
        <v>8381.8793992234005</v>
      </c>
      <c r="AH4977" s="5">
        <v>1.04554280074309</v>
      </c>
      <c r="AI4977" s="5">
        <v>6.4252121856622102E-2</v>
      </c>
      <c r="AJ4977" s="5" t="s">
        <v>139</v>
      </c>
      <c r="AK4977" s="2">
        <v>0.93252135221399801</v>
      </c>
      <c r="AL4977" s="2">
        <v>0.97061347617365101</v>
      </c>
      <c r="AM4977" s="2">
        <v>8.559877937157E-6</v>
      </c>
      <c r="AN4977" s="2">
        <v>15140.440415752</v>
      </c>
      <c r="AO4977" s="2">
        <v>7571.6984817275497</v>
      </c>
      <c r="AP4977" s="2">
        <v>14959.723868466501</v>
      </c>
      <c r="AQ4977" s="2">
        <v>2008.0371270564599</v>
      </c>
      <c r="AR4977" s="2">
        <v>12901.782073766601</v>
      </c>
      <c r="AS4977" s="2">
        <v>22882.1503839451</v>
      </c>
      <c r="AT4977" s="2">
        <v>8287.5364822378106</v>
      </c>
      <c r="AU4977" s="2">
        <v>303.02056585916102</v>
      </c>
      <c r="AV4977" s="2">
        <v>3029.50897940287</v>
      </c>
      <c r="AW4977" s="2">
        <v>2643.4154275137398</v>
      </c>
      <c r="AX4977" s="2">
        <v>13145.6445563817</v>
      </c>
    </row>
    <row r="4978" spans="1:50" x14ac:dyDescent="0.25">
      <c r="A4978" s="2" t="s">
        <v>32627</v>
      </c>
      <c r="B4978" s="2">
        <v>134.01923127121199</v>
      </c>
      <c r="C4978" s="2">
        <v>0.67084999999999995</v>
      </c>
      <c r="D4978" s="2" t="s">
        <v>51</v>
      </c>
      <c r="E4978" s="2" t="s">
        <v>32628</v>
      </c>
      <c r="F4978" s="2">
        <v>204031</v>
      </c>
      <c r="G4978" s="3" t="str">
        <f>HYPERLINK("https://cloud.oebiotech.com/#/lm/network/204031", "https://cloud.oebiotech.com/#/lm/network/204031")</f>
        <v>https://cloud.oebiotech.com/#/lm/network/204031</v>
      </c>
      <c r="H4978" s="2" t="s">
        <v>32629</v>
      </c>
      <c r="I4978" s="2">
        <v>329053</v>
      </c>
      <c r="J4978" s="2"/>
      <c r="K4978" s="2">
        <v>7221</v>
      </c>
      <c r="L4978" s="2"/>
      <c r="M4978" s="2"/>
      <c r="N4978" s="2"/>
      <c r="O4978" s="2">
        <v>35858</v>
      </c>
      <c r="P4978" s="2"/>
      <c r="Q4978" s="2"/>
      <c r="R4978" s="2"/>
      <c r="S4978" s="2" t="s">
        <v>32630</v>
      </c>
      <c r="T4978" s="2" t="s">
        <v>32631</v>
      </c>
      <c r="U4978" s="2" t="s">
        <v>266</v>
      </c>
      <c r="V4978" s="2" t="s">
        <v>32632</v>
      </c>
      <c r="W4978" s="2" t="s">
        <v>32633</v>
      </c>
      <c r="X4978" s="2" t="s">
        <v>147</v>
      </c>
      <c r="Y4978" s="2">
        <v>37</v>
      </c>
      <c r="Z4978" s="2">
        <v>0</v>
      </c>
      <c r="AA4978" s="2" t="s">
        <v>122</v>
      </c>
      <c r="AB4978" s="2" t="s">
        <v>32634</v>
      </c>
      <c r="AC4978" s="2">
        <v>1.5667835090154101</v>
      </c>
      <c r="AD4978" s="2"/>
      <c r="AE4978" s="2">
        <v>5.8212024761243902E-2</v>
      </c>
      <c r="AF4978" s="2">
        <v>4703.1731498504096</v>
      </c>
      <c r="AG4978" s="2">
        <v>4716.8032129438097</v>
      </c>
      <c r="AH4978" s="4">
        <v>0.99711031762868596</v>
      </c>
      <c r="AI4978" s="4">
        <v>-4.1749654983172999E-3</v>
      </c>
      <c r="AJ4978" s="4" t="s">
        <v>62</v>
      </c>
      <c r="AK4978" s="2">
        <v>0.99352517646820404</v>
      </c>
      <c r="AL4978" s="2">
        <v>0.99650644689565104</v>
      </c>
      <c r="AM4978" s="2">
        <v>10934.225276158601</v>
      </c>
      <c r="AN4978" s="2">
        <v>2896.4973107521701</v>
      </c>
      <c r="AO4978" s="2">
        <v>3028.4985243375099</v>
      </c>
      <c r="AP4978" s="2">
        <v>4357.5266562963297</v>
      </c>
      <c r="AQ4978" s="2">
        <v>3593.81570791796</v>
      </c>
      <c r="AR4978" s="2">
        <v>3408.4754236398699</v>
      </c>
      <c r="AS4978" s="2">
        <v>2285.0146588514699</v>
      </c>
      <c r="AT4978" s="2">
        <v>2286.54740496154</v>
      </c>
      <c r="AU4978" s="2">
        <v>9170.8017735024805</v>
      </c>
      <c r="AV4978" s="2">
        <v>5228.0067878169502</v>
      </c>
      <c r="AW4978" s="2">
        <v>4088.6990810234602</v>
      </c>
      <c r="AX4978" s="2">
        <v>5241.7495715069499</v>
      </c>
    </row>
    <row r="4979" spans="1:50" x14ac:dyDescent="0.25">
      <c r="A4979" s="2" t="s">
        <v>32635</v>
      </c>
      <c r="B4979" s="2">
        <v>680.24883525356802</v>
      </c>
      <c r="C4979" s="2">
        <v>10.61675</v>
      </c>
      <c r="D4979" s="2" t="s">
        <v>51</v>
      </c>
      <c r="E4979" s="2" t="s">
        <v>32636</v>
      </c>
      <c r="F4979" s="2">
        <v>219622</v>
      </c>
      <c r="G4979" s="3" t="str">
        <f>HYPERLINK("https://cloud.oebiotech.com/#/lm/network/219622", "https://cloud.oebiotech.com/#/lm/network/219622")</f>
        <v>https://cloud.oebiotech.com/#/lm/network/219622</v>
      </c>
      <c r="H4979" s="2" t="s">
        <v>32637</v>
      </c>
      <c r="I4979" s="2"/>
      <c r="J4979" s="2"/>
      <c r="K4979" s="2"/>
      <c r="L4979" s="2"/>
      <c r="M4979" s="2"/>
      <c r="N4979" s="2"/>
      <c r="O4979" s="2"/>
      <c r="P4979" s="2"/>
      <c r="Q4979" s="2"/>
      <c r="R4979" s="2"/>
      <c r="S4979" s="2" t="s">
        <v>32638</v>
      </c>
      <c r="T4979" s="2" t="s">
        <v>32639</v>
      </c>
      <c r="U4979" s="2" t="s">
        <v>56</v>
      </c>
      <c r="V4979" s="2" t="s">
        <v>145</v>
      </c>
      <c r="W4979" s="2" t="s">
        <v>187</v>
      </c>
      <c r="X4979" s="2" t="s">
        <v>147</v>
      </c>
      <c r="Y4979" s="2">
        <v>37.4</v>
      </c>
      <c r="Z4979" s="2">
        <v>1.24</v>
      </c>
      <c r="AA4979" s="2" t="s">
        <v>218</v>
      </c>
      <c r="AB4979" s="2" t="s">
        <v>32640</v>
      </c>
      <c r="AC4979" s="2">
        <v>-3.5994192922730202</v>
      </c>
      <c r="AD4979" s="2"/>
      <c r="AE4979" s="2">
        <v>5.8193770996941403E-2</v>
      </c>
      <c r="AF4979" s="2">
        <v>23917.813470652101</v>
      </c>
      <c r="AG4979" s="2">
        <v>24048.324187526101</v>
      </c>
      <c r="AH4979" s="4">
        <v>0.99457298080912704</v>
      </c>
      <c r="AI4979" s="4">
        <v>-7.8508563690079802E-3</v>
      </c>
      <c r="AJ4979" s="4" t="s">
        <v>62</v>
      </c>
      <c r="AK4979" s="2">
        <v>0.94758985225272896</v>
      </c>
      <c r="AL4979" s="2">
        <v>0.97858121017919897</v>
      </c>
      <c r="AM4979" s="2">
        <v>24408.102601737799</v>
      </c>
      <c r="AN4979" s="2">
        <v>24810.7648159366</v>
      </c>
      <c r="AO4979" s="2">
        <v>24007.719288071199</v>
      </c>
      <c r="AP4979" s="2">
        <v>24030.644559852099</v>
      </c>
      <c r="AQ4979" s="2">
        <v>24439.0095785228</v>
      </c>
      <c r="AR4979" s="2">
        <v>21810.639979791998</v>
      </c>
      <c r="AS4979" s="2">
        <v>27741.323082758699</v>
      </c>
      <c r="AT4979" s="2">
        <v>21433.472535668901</v>
      </c>
      <c r="AU4979" s="2">
        <v>17649.069064090199</v>
      </c>
      <c r="AV4979" s="2">
        <v>29551.497589517501</v>
      </c>
      <c r="AW4979" s="2">
        <v>21220.666248143902</v>
      </c>
      <c r="AX4979" s="2">
        <v>26693.916604977501</v>
      </c>
    </row>
    <row r="4980" spans="1:50" x14ac:dyDescent="0.25">
      <c r="A4980" s="2" t="s">
        <v>32641</v>
      </c>
      <c r="B4980" s="2">
        <v>362.13361616420502</v>
      </c>
      <c r="C4980" s="2">
        <v>4.5012333333333299</v>
      </c>
      <c r="D4980" s="2" t="s">
        <v>51</v>
      </c>
      <c r="E4980" s="2" t="s">
        <v>32642</v>
      </c>
      <c r="F4980" s="2">
        <v>209366</v>
      </c>
      <c r="G4980" s="3" t="str">
        <f>HYPERLINK("https://cloud.oebiotech.com/#/lm/network/209366", "https://cloud.oebiotech.com/#/lm/network/209366")</f>
        <v>https://cloud.oebiotech.com/#/lm/network/209366</v>
      </c>
      <c r="H4980" s="2" t="s">
        <v>32643</v>
      </c>
      <c r="I4980" s="2"/>
      <c r="J4980" s="2"/>
      <c r="K4980" s="2">
        <v>90891399</v>
      </c>
      <c r="L4980" s="2"/>
      <c r="M4980" s="2"/>
      <c r="N4980" s="2"/>
      <c r="O4980" s="2"/>
      <c r="P4980" s="2"/>
      <c r="Q4980" s="2"/>
      <c r="R4980" s="2"/>
      <c r="S4980" s="2" t="s">
        <v>32644</v>
      </c>
      <c r="T4980" s="2" t="s">
        <v>32645</v>
      </c>
      <c r="U4980" s="2" t="s">
        <v>266</v>
      </c>
      <c r="V4980" s="2" t="s">
        <v>1585</v>
      </c>
      <c r="W4980" s="2" t="s">
        <v>12356</v>
      </c>
      <c r="X4980" s="2" t="s">
        <v>147</v>
      </c>
      <c r="Y4980" s="2">
        <v>36.799999999999997</v>
      </c>
      <c r="Z4980" s="2">
        <v>0.46200000000000002</v>
      </c>
      <c r="AA4980" s="2" t="s">
        <v>163</v>
      </c>
      <c r="AB4980" s="2" t="s">
        <v>32646</v>
      </c>
      <c r="AC4980" s="2">
        <v>0.989393202953194</v>
      </c>
      <c r="AD4980" s="2"/>
      <c r="AE4980" s="2">
        <v>5.8168824107287E-2</v>
      </c>
      <c r="AF4980" s="2">
        <v>7767.1873303665798</v>
      </c>
      <c r="AG4980" s="2">
        <v>6731.2177501877104</v>
      </c>
      <c r="AH4980" s="5">
        <v>1.1539052246749799</v>
      </c>
      <c r="AI4980" s="5">
        <v>0.20652473394314799</v>
      </c>
      <c r="AJ4980" s="5" t="s">
        <v>139</v>
      </c>
      <c r="AK4980" s="2">
        <v>0.65429407383905303</v>
      </c>
      <c r="AL4980" s="2">
        <v>0.83240942988891198</v>
      </c>
      <c r="AM4980" s="2">
        <v>5061.5780080243303</v>
      </c>
      <c r="AN4980" s="2">
        <v>7040.5277435344597</v>
      </c>
      <c r="AO4980" s="2">
        <v>6229.5032237379801</v>
      </c>
      <c r="AP4980" s="2">
        <v>5229.35819502912</v>
      </c>
      <c r="AQ4980" s="2">
        <v>6670.5031037067702</v>
      </c>
      <c r="AR4980" s="2">
        <v>16371.653708166799</v>
      </c>
      <c r="AS4980" s="2">
        <v>2192.29141209616</v>
      </c>
      <c r="AT4980" s="2">
        <v>3692.3779775159201</v>
      </c>
      <c r="AU4980" s="2">
        <v>8928.1905681595599</v>
      </c>
      <c r="AV4980" s="2">
        <v>10717.872928618999</v>
      </c>
      <c r="AW4980" s="2">
        <v>5462.2409932348401</v>
      </c>
      <c r="AX4980" s="2">
        <v>9394.3326215008001</v>
      </c>
    </row>
    <row r="4981" spans="1:50" x14ac:dyDescent="0.25">
      <c r="A4981" s="2" t="s">
        <v>32647</v>
      </c>
      <c r="B4981" s="2">
        <v>290.09769431406301</v>
      </c>
      <c r="C4981" s="2">
        <v>7.3238666666666701</v>
      </c>
      <c r="D4981" s="2" t="s">
        <v>51</v>
      </c>
      <c r="E4981" s="2" t="s">
        <v>32648</v>
      </c>
      <c r="F4981" s="2">
        <v>82636</v>
      </c>
      <c r="G4981" s="3" t="str">
        <f>HYPERLINK("https://cloud.oebiotech.com/#/lm/network/82636", "https://cloud.oebiotech.com/#/lm/network/82636")</f>
        <v>https://cloud.oebiotech.com/#/lm/network/82636</v>
      </c>
      <c r="H4981" s="2" t="s">
        <v>32649</v>
      </c>
      <c r="I4981" s="2"/>
      <c r="J4981" s="2"/>
      <c r="K4981" s="2">
        <v>189023</v>
      </c>
      <c r="L4981" s="2"/>
      <c r="M4981" s="2"/>
      <c r="N4981" s="2"/>
      <c r="O4981" s="2"/>
      <c r="P4981" s="2"/>
      <c r="Q4981" s="2"/>
      <c r="R4981" s="2"/>
      <c r="S4981" s="2" t="s">
        <v>32650</v>
      </c>
      <c r="T4981" s="2" t="s">
        <v>32651</v>
      </c>
      <c r="U4981" s="2" t="s">
        <v>295</v>
      </c>
      <c r="V4981" s="2" t="s">
        <v>1818</v>
      </c>
      <c r="W4981" s="2" t="s">
        <v>1819</v>
      </c>
      <c r="X4981" s="2" t="s">
        <v>147</v>
      </c>
      <c r="Y4981" s="2">
        <v>38.9</v>
      </c>
      <c r="Z4981" s="2">
        <v>0</v>
      </c>
      <c r="AA4981" s="2" t="s">
        <v>512</v>
      </c>
      <c r="AB4981" s="2" t="s">
        <v>32652</v>
      </c>
      <c r="AC4981" s="2">
        <v>-2.1390052822793901</v>
      </c>
      <c r="AD4981" s="2"/>
      <c r="AE4981" s="2">
        <v>5.8104799544599697E-2</v>
      </c>
      <c r="AF4981" s="2">
        <v>1506.3513941787</v>
      </c>
      <c r="AG4981" s="2">
        <v>2041.38614895092</v>
      </c>
      <c r="AH4981" s="4">
        <v>0.73790615016802297</v>
      </c>
      <c r="AI4981" s="4">
        <v>-0.43849075461383202</v>
      </c>
      <c r="AJ4981" s="4" t="s">
        <v>62</v>
      </c>
      <c r="AK4981" s="2">
        <v>0.58915877369736802</v>
      </c>
      <c r="AL4981" s="2">
        <v>0.79327163560381597</v>
      </c>
      <c r="AM4981" s="2">
        <v>2727.9903249569902</v>
      </c>
      <c r="AN4981" s="2">
        <v>1176.88197539209</v>
      </c>
      <c r="AO4981" s="2">
        <v>1280.84138618056</v>
      </c>
      <c r="AP4981" s="2">
        <v>8.559877937157E-6</v>
      </c>
      <c r="AQ4981" s="2">
        <v>854.90281014281504</v>
      </c>
      <c r="AR4981" s="2">
        <v>2997.4918598398699</v>
      </c>
      <c r="AS4981" s="2">
        <v>2734.6796748030802</v>
      </c>
      <c r="AT4981" s="2">
        <v>2352.5169888191699</v>
      </c>
      <c r="AU4981" s="2">
        <v>471.28182987253803</v>
      </c>
      <c r="AV4981" s="2">
        <v>8.559877937157E-6</v>
      </c>
      <c r="AW4981" s="2">
        <v>1063.4200976699999</v>
      </c>
      <c r="AX4981" s="2">
        <v>5626.4182939808597</v>
      </c>
    </row>
    <row r="4982" spans="1:50" x14ac:dyDescent="0.25">
      <c r="A4982" s="2" t="s">
        <v>32653</v>
      </c>
      <c r="B4982" s="2">
        <v>323.17149336188601</v>
      </c>
      <c r="C4982" s="2">
        <v>11.2129333333333</v>
      </c>
      <c r="D4982" s="2" t="s">
        <v>51</v>
      </c>
      <c r="E4982" s="2" t="s">
        <v>32654</v>
      </c>
      <c r="F4982" s="2">
        <v>81938</v>
      </c>
      <c r="G4982" s="3" t="str">
        <f>HYPERLINK("https://cloud.oebiotech.com/#/lm/network/81938", "https://cloud.oebiotech.com/#/lm/network/81938")</f>
        <v>https://cloud.oebiotech.com/#/lm/network/81938</v>
      </c>
      <c r="H4982" s="2" t="s">
        <v>32655</v>
      </c>
      <c r="I4982" s="2"/>
      <c r="J4982" s="2"/>
      <c r="K4982" s="2">
        <v>21286131</v>
      </c>
      <c r="L4982" s="2"/>
      <c r="M4982" s="2"/>
      <c r="N4982" s="2"/>
      <c r="O4982" s="2"/>
      <c r="P4982" s="2"/>
      <c r="Q4982" s="2"/>
      <c r="R4982" s="2"/>
      <c r="S4982" s="2" t="s">
        <v>32656</v>
      </c>
      <c r="T4982" s="2" t="s">
        <v>32657</v>
      </c>
      <c r="U4982" s="2" t="s">
        <v>103</v>
      </c>
      <c r="V4982" s="2" t="s">
        <v>104</v>
      </c>
      <c r="W4982" s="2" t="s">
        <v>7932</v>
      </c>
      <c r="X4982" s="2" t="s">
        <v>147</v>
      </c>
      <c r="Y4982" s="2">
        <v>39.200000000000003</v>
      </c>
      <c r="Z4982" s="2">
        <v>0</v>
      </c>
      <c r="AA4982" s="2" t="s">
        <v>478</v>
      </c>
      <c r="AB4982" s="2" t="s">
        <v>32658</v>
      </c>
      <c r="AC4982" s="2">
        <v>1.0856350301209601</v>
      </c>
      <c r="AD4982" s="2"/>
      <c r="AE4982" s="2">
        <v>5.8085482809370502E-2</v>
      </c>
      <c r="AF4982" s="2">
        <v>502.42261891576499</v>
      </c>
      <c r="AG4982" s="2">
        <v>611.56412115153501</v>
      </c>
      <c r="AH4982" s="4">
        <v>0.82153710713070605</v>
      </c>
      <c r="AI4982" s="4">
        <v>-0.28360235469141898</v>
      </c>
      <c r="AJ4982" s="4" t="s">
        <v>62</v>
      </c>
      <c r="AK4982" s="2">
        <v>0.31755439032838101</v>
      </c>
      <c r="AL4982" s="2">
        <v>0.62593639288831204</v>
      </c>
      <c r="AM4982" s="2">
        <v>457.49344277731802</v>
      </c>
      <c r="AN4982" s="2">
        <v>419.994091552268</v>
      </c>
      <c r="AO4982" s="2">
        <v>493.97495532521299</v>
      </c>
      <c r="AP4982" s="2">
        <v>453.53672474858598</v>
      </c>
      <c r="AQ4982" s="2">
        <v>385.17555316887501</v>
      </c>
      <c r="AR4982" s="2">
        <v>804.36094592232996</v>
      </c>
      <c r="AS4982" s="2">
        <v>734.14035774190995</v>
      </c>
      <c r="AT4982" s="2">
        <v>448.07037452903899</v>
      </c>
      <c r="AU4982" s="2">
        <v>380.83959915847601</v>
      </c>
      <c r="AV4982" s="2">
        <v>940.18969859138997</v>
      </c>
      <c r="AW4982" s="2">
        <v>550.641594338</v>
      </c>
      <c r="AX4982" s="2">
        <v>615.50310255039506</v>
      </c>
    </row>
    <row r="4983" spans="1:50" x14ac:dyDescent="0.25">
      <c r="A4983" s="2" t="s">
        <v>32659</v>
      </c>
      <c r="B4983" s="2">
        <v>375.25421540582403</v>
      </c>
      <c r="C4983" s="2">
        <v>11.1512666666667</v>
      </c>
      <c r="D4983" s="2" t="s">
        <v>51</v>
      </c>
      <c r="E4983" s="2" t="s">
        <v>32660</v>
      </c>
      <c r="F4983" s="2">
        <v>51394</v>
      </c>
      <c r="G4983" s="3" t="str">
        <f>HYPERLINK("https://cloud.oebiotech.com/#/lm/network/51394", "https://cloud.oebiotech.com/#/lm/network/51394")</f>
        <v>https://cloud.oebiotech.com/#/lm/network/51394</v>
      </c>
      <c r="H4983" s="2" t="s">
        <v>32661</v>
      </c>
      <c r="I4983" s="2">
        <v>62362</v>
      </c>
      <c r="J4983" s="2"/>
      <c r="K4983" s="2">
        <v>53480988</v>
      </c>
      <c r="L4983" s="2"/>
      <c r="M4983" s="2"/>
      <c r="N4983" s="2"/>
      <c r="O4983" s="2"/>
      <c r="P4983" s="2"/>
      <c r="Q4983" s="2"/>
      <c r="R4983" s="2"/>
      <c r="S4983" s="2" t="s">
        <v>32662</v>
      </c>
      <c r="T4983" s="2" t="s">
        <v>32663</v>
      </c>
      <c r="U4983" s="2" t="s">
        <v>56</v>
      </c>
      <c r="V4983" s="2" t="s">
        <v>3215</v>
      </c>
      <c r="W4983" s="2" t="s">
        <v>4174</v>
      </c>
      <c r="X4983" s="2" t="s">
        <v>83</v>
      </c>
      <c r="Y4983" s="2">
        <v>54.7</v>
      </c>
      <c r="Z4983" s="2">
        <v>0</v>
      </c>
      <c r="AA4983" s="2" t="s">
        <v>163</v>
      </c>
      <c r="AB4983" s="2" t="s">
        <v>32664</v>
      </c>
      <c r="AC4983" s="2">
        <v>0.35136497768993302</v>
      </c>
      <c r="AD4983" s="2"/>
      <c r="AE4983" s="2">
        <v>5.79831296249885E-2</v>
      </c>
      <c r="AF4983" s="2">
        <v>1377.9620392960001</v>
      </c>
      <c r="AG4983" s="2">
        <v>1062.8878922848301</v>
      </c>
      <c r="AH4983" s="5">
        <v>1.2964321536619201</v>
      </c>
      <c r="AI4983" s="5">
        <v>0.374546707435579</v>
      </c>
      <c r="AJ4983" s="5" t="s">
        <v>139</v>
      </c>
      <c r="AK4983" s="2">
        <v>0.32536139157163702</v>
      </c>
      <c r="AL4983" s="2">
        <v>0.62992073899545697</v>
      </c>
      <c r="AM4983" s="2">
        <v>1063.0414275323899</v>
      </c>
      <c r="AN4983" s="2">
        <v>1362.8525259632099</v>
      </c>
      <c r="AO4983" s="2">
        <v>1843.4890052409801</v>
      </c>
      <c r="AP4983" s="2">
        <v>2351.3690082415201</v>
      </c>
      <c r="AQ4983" s="2">
        <v>877.07075038499295</v>
      </c>
      <c r="AR4983" s="2">
        <v>769.94951841292004</v>
      </c>
      <c r="AS4983" s="2">
        <v>1582.2001495171401</v>
      </c>
      <c r="AT4983" s="2">
        <v>1123.6767041335099</v>
      </c>
      <c r="AU4983" s="2">
        <v>565.13872057781896</v>
      </c>
      <c r="AV4983" s="2">
        <v>639.03714046763901</v>
      </c>
      <c r="AW4983" s="2">
        <v>968.49299662864803</v>
      </c>
      <c r="AX4983" s="2">
        <v>1498.7816423842401</v>
      </c>
    </row>
    <row r="4984" spans="1:50" x14ac:dyDescent="0.25">
      <c r="A4984" s="2" t="s">
        <v>32665</v>
      </c>
      <c r="B4984" s="2">
        <v>243.01519101908599</v>
      </c>
      <c r="C4984" s="2">
        <v>0.74113333333333298</v>
      </c>
      <c r="D4984" s="2" t="s">
        <v>51</v>
      </c>
      <c r="E4984" s="2" t="s">
        <v>32666</v>
      </c>
      <c r="F4984" s="2">
        <v>257007</v>
      </c>
      <c r="G4984" s="3" t="str">
        <f>HYPERLINK("https://cloud.oebiotech.com/#/lm/network/257007", "https://cloud.oebiotech.com/#/lm/network/257007")</f>
        <v>https://cloud.oebiotech.com/#/lm/network/257007</v>
      </c>
      <c r="H4984" s="2" t="s">
        <v>32667</v>
      </c>
      <c r="I4984" s="2"/>
      <c r="J4984" s="2"/>
      <c r="K4984" s="2">
        <v>78391306</v>
      </c>
      <c r="L4984" s="2"/>
      <c r="M4984" s="2"/>
      <c r="N4984" s="2"/>
      <c r="O4984" s="2"/>
      <c r="P4984" s="2"/>
      <c r="Q4984" s="2"/>
      <c r="R4984" s="2"/>
      <c r="S4984" s="2" t="s">
        <v>32668</v>
      </c>
      <c r="T4984" s="2" t="s">
        <v>32669</v>
      </c>
      <c r="U4984" s="2" t="s">
        <v>103</v>
      </c>
      <c r="V4984" s="2" t="s">
        <v>2602</v>
      </c>
      <c r="W4984" s="2" t="s">
        <v>2603</v>
      </c>
      <c r="X4984" s="2" t="s">
        <v>147</v>
      </c>
      <c r="Y4984" s="2">
        <v>37.799999999999997</v>
      </c>
      <c r="Z4984" s="2">
        <v>0</v>
      </c>
      <c r="AA4984" s="2" t="s">
        <v>218</v>
      </c>
      <c r="AB4984" s="2" t="s">
        <v>32670</v>
      </c>
      <c r="AC4984" s="2">
        <v>2.778755702747</v>
      </c>
      <c r="AD4984" s="2"/>
      <c r="AE4984" s="2">
        <v>5.7965659459067599E-2</v>
      </c>
      <c r="AF4984" s="2">
        <v>18464.885067314699</v>
      </c>
      <c r="AG4984" s="2">
        <v>20983.776029606201</v>
      </c>
      <c r="AH4984" s="4">
        <v>0.87996007207007798</v>
      </c>
      <c r="AI4984" s="4">
        <v>-0.184490031516235</v>
      </c>
      <c r="AJ4984" s="4" t="s">
        <v>62</v>
      </c>
      <c r="AK4984" s="2">
        <v>0.77260572573048902</v>
      </c>
      <c r="AL4984" s="2">
        <v>0.89834708062317203</v>
      </c>
      <c r="AM4984" s="2">
        <v>15535.231757689</v>
      </c>
      <c r="AN4984" s="2">
        <v>50789.752895539197</v>
      </c>
      <c r="AO4984" s="2">
        <v>11477.655177569801</v>
      </c>
      <c r="AP4984" s="2">
        <v>16955.620101540699</v>
      </c>
      <c r="AQ4984" s="2">
        <v>11880.1886235155</v>
      </c>
      <c r="AR4984" s="2">
        <v>4150.86184803381</v>
      </c>
      <c r="AS4984" s="2">
        <v>10142.8479096512</v>
      </c>
      <c r="AT4984" s="2">
        <v>18038.945559370899</v>
      </c>
      <c r="AU4984" s="2">
        <v>22105.091352473599</v>
      </c>
      <c r="AV4984" s="2">
        <v>8942.1599515160106</v>
      </c>
      <c r="AW4984" s="2">
        <v>22645.490436231201</v>
      </c>
      <c r="AX4984" s="2">
        <v>44028.120968394498</v>
      </c>
    </row>
    <row r="4985" spans="1:50" x14ac:dyDescent="0.25">
      <c r="A4985" s="2" t="s">
        <v>32671</v>
      </c>
      <c r="B4985" s="2">
        <v>114.128230906241</v>
      </c>
      <c r="C4985" s="2">
        <v>14.72875</v>
      </c>
      <c r="D4985" s="2" t="s">
        <v>51</v>
      </c>
      <c r="E4985" s="2" t="s">
        <v>32672</v>
      </c>
      <c r="F4985" s="2">
        <v>205401</v>
      </c>
      <c r="G4985" s="3" t="str">
        <f>HYPERLINK("https://cloud.oebiotech.com/#/lm/network/205401", "https://cloud.oebiotech.com/#/lm/network/205401")</f>
        <v>https://cloud.oebiotech.com/#/lm/network/205401</v>
      </c>
      <c r="H4985" s="2" t="s">
        <v>32673</v>
      </c>
      <c r="I4985" s="2"/>
      <c r="J4985" s="2"/>
      <c r="K4985" s="2">
        <v>76688</v>
      </c>
      <c r="L4985" s="2"/>
      <c r="M4985" s="2"/>
      <c r="N4985" s="2"/>
      <c r="O4985" s="2"/>
      <c r="P4985" s="2"/>
      <c r="Q4985" s="2"/>
      <c r="R4985" s="2"/>
      <c r="S4985" s="2" t="s">
        <v>32674</v>
      </c>
      <c r="T4985" s="2" t="s">
        <v>32675</v>
      </c>
      <c r="U4985" s="2" t="s">
        <v>119</v>
      </c>
      <c r="V4985" s="2" t="s">
        <v>120</v>
      </c>
      <c r="W4985" s="2" t="s">
        <v>1887</v>
      </c>
      <c r="X4985" s="2" t="s">
        <v>147</v>
      </c>
      <c r="Y4985" s="2">
        <v>37.6</v>
      </c>
      <c r="Z4985" s="2">
        <v>0</v>
      </c>
      <c r="AA4985" s="2" t="s">
        <v>259</v>
      </c>
      <c r="AB4985" s="2" t="s">
        <v>32676</v>
      </c>
      <c r="AC4985" s="2">
        <v>4.4641653502588499</v>
      </c>
      <c r="AD4985" s="2"/>
      <c r="AE4985" s="2">
        <v>5.7803317679339702E-2</v>
      </c>
      <c r="AF4985" s="2">
        <v>755.33273577851196</v>
      </c>
      <c r="AG4985" s="2">
        <v>858.01310841416102</v>
      </c>
      <c r="AH4985" s="4">
        <v>0.88032773435661105</v>
      </c>
      <c r="AI4985" s="4">
        <v>-0.18388737487874601</v>
      </c>
      <c r="AJ4985" s="4" t="s">
        <v>62</v>
      </c>
      <c r="AK4985" s="2">
        <v>8.4759823784319205E-2</v>
      </c>
      <c r="AL4985" s="2">
        <v>0.37683388396156398</v>
      </c>
      <c r="AM4985" s="2">
        <v>629.68221115749202</v>
      </c>
      <c r="AN4985" s="2">
        <v>819.13969206435797</v>
      </c>
      <c r="AO4985" s="2">
        <v>771.10021107645298</v>
      </c>
      <c r="AP4985" s="2">
        <v>916.48508509362296</v>
      </c>
      <c r="AQ4985" s="2">
        <v>776.721495164972</v>
      </c>
      <c r="AR4985" s="2">
        <v>618.86772011417497</v>
      </c>
      <c r="AS4985" s="2">
        <v>860.17343741518505</v>
      </c>
      <c r="AT4985" s="2">
        <v>960.58509035386396</v>
      </c>
      <c r="AU4985" s="2">
        <v>834.90924108864294</v>
      </c>
      <c r="AV4985" s="2">
        <v>810.92493860526895</v>
      </c>
      <c r="AW4985" s="2">
        <v>779.98400770287105</v>
      </c>
      <c r="AX4985" s="2">
        <v>901.50193531913601</v>
      </c>
    </row>
    <row r="4986" spans="1:50" x14ac:dyDescent="0.25">
      <c r="A4986" s="2" t="s">
        <v>32677</v>
      </c>
      <c r="B4986" s="2">
        <v>360.11816778789699</v>
      </c>
      <c r="C4986" s="2">
        <v>3.8572500000000001</v>
      </c>
      <c r="D4986" s="2" t="s">
        <v>51</v>
      </c>
      <c r="E4986" s="2" t="s">
        <v>32678</v>
      </c>
      <c r="F4986" s="2">
        <v>213304</v>
      </c>
      <c r="G4986" s="3" t="str">
        <f>HYPERLINK("https://cloud.oebiotech.com/#/lm/network/213304", "https://cloud.oebiotech.com/#/lm/network/213304")</f>
        <v>https://cloud.oebiotech.com/#/lm/network/213304</v>
      </c>
      <c r="H4986" s="2" t="s">
        <v>32679</v>
      </c>
      <c r="I4986" s="2"/>
      <c r="J4986" s="2"/>
      <c r="K4986" s="2"/>
      <c r="L4986" s="2"/>
      <c r="M4986" s="2"/>
      <c r="N4986" s="2"/>
      <c r="O4986" s="2"/>
      <c r="P4986" s="2"/>
      <c r="Q4986" s="2"/>
      <c r="R4986" s="2"/>
      <c r="S4986" s="2" t="s">
        <v>32680</v>
      </c>
      <c r="T4986" s="2" t="s">
        <v>32681</v>
      </c>
      <c r="U4986" s="2" t="s">
        <v>540</v>
      </c>
      <c r="V4986" s="2" t="s">
        <v>24973</v>
      </c>
      <c r="W4986" s="2" t="s">
        <v>240</v>
      </c>
      <c r="X4986" s="2" t="s">
        <v>147</v>
      </c>
      <c r="Y4986" s="2">
        <v>44.3</v>
      </c>
      <c r="Z4986" s="2">
        <v>32</v>
      </c>
      <c r="AA4986" s="2" t="s">
        <v>259</v>
      </c>
      <c r="AB4986" s="2" t="s">
        <v>32682</v>
      </c>
      <c r="AC4986" s="2">
        <v>-2.3500236014117899</v>
      </c>
      <c r="AD4986" s="2"/>
      <c r="AE4986" s="2">
        <v>5.7693547149525799E-2</v>
      </c>
      <c r="AF4986" s="2">
        <v>3093.3009606665</v>
      </c>
      <c r="AG4986" s="2">
        <v>2586.9845444627299</v>
      </c>
      <c r="AH4986" s="5">
        <v>1.19571683073542</v>
      </c>
      <c r="AI4986" s="5">
        <v>0.25787577142270401</v>
      </c>
      <c r="AJ4986" s="5" t="s">
        <v>139</v>
      </c>
      <c r="AK4986" s="2">
        <v>0.63404874925843502</v>
      </c>
      <c r="AL4986" s="2">
        <v>0.820119264563689</v>
      </c>
      <c r="AM4986" s="2">
        <v>2800.35630316998</v>
      </c>
      <c r="AN4986" s="2">
        <v>2649.9434677633699</v>
      </c>
      <c r="AO4986" s="2">
        <v>4339.2873509869596</v>
      </c>
      <c r="AP4986" s="2">
        <v>2248.6326827223602</v>
      </c>
      <c r="AQ4986" s="2">
        <v>3392.4283273200499</v>
      </c>
      <c r="AR4986" s="2">
        <v>3129.1576320362701</v>
      </c>
      <c r="AS4986" s="2">
        <v>538.20179612494201</v>
      </c>
      <c r="AT4986" s="2">
        <v>490.03291613871698</v>
      </c>
      <c r="AU4986" s="2">
        <v>2925.9245208080902</v>
      </c>
      <c r="AV4986" s="2">
        <v>3092.88148612144</v>
      </c>
      <c r="AW4986" s="2">
        <v>1512.25388415061</v>
      </c>
      <c r="AX4986" s="2">
        <v>6962.6126634326001</v>
      </c>
    </row>
    <row r="4987" spans="1:50" x14ac:dyDescent="0.25">
      <c r="A4987" s="2" t="s">
        <v>32683</v>
      </c>
      <c r="B4987" s="2">
        <v>332.125332327401</v>
      </c>
      <c r="C4987" s="2">
        <v>4.2211666666666696</v>
      </c>
      <c r="D4987" s="2" t="s">
        <v>51</v>
      </c>
      <c r="E4987" s="2" t="s">
        <v>32684</v>
      </c>
      <c r="F4987" s="2">
        <v>54163</v>
      </c>
      <c r="G4987" s="3" t="str">
        <f>HYPERLINK("https://cloud.oebiotech.com/#/lm/network/54163", "https://cloud.oebiotech.com/#/lm/network/54163")</f>
        <v>https://cloud.oebiotech.com/#/lm/network/54163</v>
      </c>
      <c r="H4987" s="2" t="s">
        <v>32685</v>
      </c>
      <c r="I4987" s="2"/>
      <c r="J4987" s="2"/>
      <c r="K4987" s="2">
        <v>3038501</v>
      </c>
      <c r="L4987" s="2"/>
      <c r="M4987" s="2"/>
      <c r="N4987" s="2"/>
      <c r="O4987" s="2">
        <v>133028</v>
      </c>
      <c r="P4987" s="2"/>
      <c r="Q4987" s="2"/>
      <c r="R4987" s="2" t="s">
        <v>32686</v>
      </c>
      <c r="S4987" s="2" t="s">
        <v>32687</v>
      </c>
      <c r="T4987" s="2" t="s">
        <v>32688</v>
      </c>
      <c r="U4987" s="2" t="s">
        <v>103</v>
      </c>
      <c r="V4987" s="2" t="s">
        <v>104</v>
      </c>
      <c r="W4987" s="2" t="s">
        <v>105</v>
      </c>
      <c r="X4987" s="2" t="s">
        <v>83</v>
      </c>
      <c r="Y4987" s="2">
        <v>42.2</v>
      </c>
      <c r="Z4987" s="2">
        <v>0</v>
      </c>
      <c r="AA4987" s="2" t="s">
        <v>163</v>
      </c>
      <c r="AB4987" s="2" t="s">
        <v>7339</v>
      </c>
      <c r="AC4987" s="2">
        <v>0.41436330383081499</v>
      </c>
      <c r="AD4987" s="2"/>
      <c r="AE4987" s="2">
        <v>5.7634675859329597E-2</v>
      </c>
      <c r="AF4987" s="2">
        <v>1258.9858395921999</v>
      </c>
      <c r="AG4987" s="2">
        <v>1474.1131679953601</v>
      </c>
      <c r="AH4987" s="4">
        <v>0.85406322046786198</v>
      </c>
      <c r="AI4987" s="4">
        <v>-0.227585228227034</v>
      </c>
      <c r="AJ4987" s="4" t="s">
        <v>62</v>
      </c>
      <c r="AK4987" s="2">
        <v>0.61095778248867205</v>
      </c>
      <c r="AL4987" s="2">
        <v>0.80562509339130595</v>
      </c>
      <c r="AM4987" s="2">
        <v>1117.3117525517</v>
      </c>
      <c r="AN4987" s="2">
        <v>749.98593300984601</v>
      </c>
      <c r="AO4987" s="2">
        <v>1195.8735548596901</v>
      </c>
      <c r="AP4987" s="2">
        <v>1342.2846835488599</v>
      </c>
      <c r="AQ4987" s="2">
        <v>2006.82589382888</v>
      </c>
      <c r="AR4987" s="2">
        <v>1141.6332197542399</v>
      </c>
      <c r="AS4987" s="2">
        <v>1685.6467303193201</v>
      </c>
      <c r="AT4987" s="2">
        <v>1546.27816226921</v>
      </c>
      <c r="AU4987" s="2">
        <v>697.40549124821098</v>
      </c>
      <c r="AV4987" s="2">
        <v>646.36476843598098</v>
      </c>
      <c r="AW4987" s="2">
        <v>1144.1260485555299</v>
      </c>
      <c r="AX4987" s="2">
        <v>3124.8578071439301</v>
      </c>
    </row>
    <row r="4988" spans="1:50" x14ac:dyDescent="0.25">
      <c r="A4988" s="2" t="s">
        <v>32689</v>
      </c>
      <c r="B4988" s="2">
        <v>164.07081675310101</v>
      </c>
      <c r="C4988" s="2">
        <v>4.6280333333333301</v>
      </c>
      <c r="D4988" s="2" t="s">
        <v>51</v>
      </c>
      <c r="E4988" s="2" t="s">
        <v>32690</v>
      </c>
      <c r="F4988" s="2">
        <v>204531</v>
      </c>
      <c r="G4988" s="3" t="str">
        <f>HYPERLINK("https://cloud.oebiotech.com/#/lm/network/204531", "https://cloud.oebiotech.com/#/lm/network/204531")</f>
        <v>https://cloud.oebiotech.com/#/lm/network/204531</v>
      </c>
      <c r="H4988" s="2" t="s">
        <v>32691</v>
      </c>
      <c r="I4988" s="2"/>
      <c r="J4988" s="2"/>
      <c r="K4988" s="2">
        <v>30199</v>
      </c>
      <c r="L4988" s="2"/>
      <c r="M4988" s="2"/>
      <c r="N4988" s="2"/>
      <c r="O4988" s="2"/>
      <c r="P4988" s="2"/>
      <c r="Q4988" s="2"/>
      <c r="R4988" s="2"/>
      <c r="S4988" s="2" t="s">
        <v>32692</v>
      </c>
      <c r="T4988" s="2" t="s">
        <v>32693</v>
      </c>
      <c r="U4988" s="2" t="s">
        <v>266</v>
      </c>
      <c r="V4988" s="2" t="s">
        <v>19336</v>
      </c>
      <c r="W4988" s="2" t="s">
        <v>240</v>
      </c>
      <c r="X4988" s="2" t="s">
        <v>83</v>
      </c>
      <c r="Y4988" s="2">
        <v>41.8</v>
      </c>
      <c r="Z4988" s="2">
        <v>0</v>
      </c>
      <c r="AA4988" s="2" t="s">
        <v>259</v>
      </c>
      <c r="AB4988" s="2" t="s">
        <v>32694</v>
      </c>
      <c r="AC4988" s="2">
        <v>1.29881164843062</v>
      </c>
      <c r="AD4988" s="2"/>
      <c r="AE4988" s="2">
        <v>5.7629383969731302E-2</v>
      </c>
      <c r="AF4988" s="2">
        <v>371.30332139076501</v>
      </c>
      <c r="AG4988" s="2">
        <v>100.402042822788</v>
      </c>
      <c r="AH4988" s="5">
        <v>3.6981650069224701</v>
      </c>
      <c r="AI4988" s="5">
        <v>1.88680959720232</v>
      </c>
      <c r="AJ4988" s="5" t="s">
        <v>139</v>
      </c>
      <c r="AK4988" s="2">
        <v>0.28302383304352102</v>
      </c>
      <c r="AL4988" s="2">
        <v>0.60000138164408201</v>
      </c>
      <c r="AM4988" s="2">
        <v>30.513416024312502</v>
      </c>
      <c r="AN4988" s="2">
        <v>31.029219203236</v>
      </c>
      <c r="AO4988" s="2">
        <v>31.828623411358102</v>
      </c>
      <c r="AP4988" s="2">
        <v>164.05961723457901</v>
      </c>
      <c r="AQ4988" s="2">
        <v>1506.5964738996199</v>
      </c>
      <c r="AR4988" s="2">
        <v>463.792578571484</v>
      </c>
      <c r="AS4988" s="2">
        <v>24.865033243929101</v>
      </c>
      <c r="AT4988" s="2">
        <v>162.06933633487199</v>
      </c>
      <c r="AU4988" s="2">
        <v>51.360528199284801</v>
      </c>
      <c r="AV4988" s="2">
        <v>149.05395040551201</v>
      </c>
      <c r="AW4988" s="2">
        <v>172.41990970696</v>
      </c>
      <c r="AX4988" s="2">
        <v>42.643499046168102</v>
      </c>
    </row>
    <row r="4989" spans="1:50" x14ac:dyDescent="0.25">
      <c r="A4989" s="2" t="s">
        <v>32695</v>
      </c>
      <c r="B4989" s="2">
        <v>481.25542806111298</v>
      </c>
      <c r="C4989" s="2">
        <v>12.2162666666667</v>
      </c>
      <c r="D4989" s="2" t="s">
        <v>51</v>
      </c>
      <c r="E4989" s="2" t="s">
        <v>32696</v>
      </c>
      <c r="F4989" s="2">
        <v>8967</v>
      </c>
      <c r="G4989" s="3" t="str">
        <f>HYPERLINK("https://cloud.oebiotech.com/#/lm/network/8967", "https://cloud.oebiotech.com/#/lm/network/8967")</f>
        <v>https://cloud.oebiotech.com/#/lm/network/8967</v>
      </c>
      <c r="H4989" s="2"/>
      <c r="I4989" s="2">
        <v>36734</v>
      </c>
      <c r="J4989" s="2" t="s">
        <v>32697</v>
      </c>
      <c r="K4989" s="2">
        <v>127293</v>
      </c>
      <c r="L4989" s="2" t="s">
        <v>32698</v>
      </c>
      <c r="M4989" s="2"/>
      <c r="N4989" s="2"/>
      <c r="O4989" s="2"/>
      <c r="P4989" s="2"/>
      <c r="Q4989" s="2"/>
      <c r="R4989" s="2" t="s">
        <v>32699</v>
      </c>
      <c r="S4989" s="2" t="s">
        <v>32700</v>
      </c>
      <c r="T4989" s="2" t="s">
        <v>32701</v>
      </c>
      <c r="U4989" s="2" t="s">
        <v>103</v>
      </c>
      <c r="V4989" s="2" t="s">
        <v>104</v>
      </c>
      <c r="W4989" s="2" t="s">
        <v>105</v>
      </c>
      <c r="X4989" s="2" t="s">
        <v>147</v>
      </c>
      <c r="Y4989" s="2">
        <v>38.5</v>
      </c>
      <c r="Z4989" s="2">
        <v>0</v>
      </c>
      <c r="AA4989" s="2" t="s">
        <v>478</v>
      </c>
      <c r="AB4989" s="2" t="s">
        <v>32702</v>
      </c>
      <c r="AC4989" s="2">
        <v>-0.231599085465928</v>
      </c>
      <c r="AD4989" s="2"/>
      <c r="AE4989" s="2">
        <v>5.7598952905263498E-2</v>
      </c>
      <c r="AF4989" s="2">
        <v>929.14062621805795</v>
      </c>
      <c r="AG4989" s="2">
        <v>582.68089559349198</v>
      </c>
      <c r="AH4989" s="5">
        <v>1.59459600142146</v>
      </c>
      <c r="AI4989" s="5">
        <v>0.67319095654621597</v>
      </c>
      <c r="AJ4989" s="5" t="s">
        <v>139</v>
      </c>
      <c r="AK4989" s="2">
        <v>0.40187431965127002</v>
      </c>
      <c r="AL4989" s="2">
        <v>0.67001624144049199</v>
      </c>
      <c r="AM4989" s="2">
        <v>93.753854670139702</v>
      </c>
      <c r="AN4989" s="2">
        <v>713.69638429385202</v>
      </c>
      <c r="AO4989" s="2">
        <v>758.76592794199598</v>
      </c>
      <c r="AP4989" s="2">
        <v>898.38070118395399</v>
      </c>
      <c r="AQ4989" s="2">
        <v>2484.5550800937399</v>
      </c>
      <c r="AR4989" s="2">
        <v>625.69180912466402</v>
      </c>
      <c r="AS4989" s="2">
        <v>8.559877937157E-6</v>
      </c>
      <c r="AT4989" s="2">
        <v>875.97214479271304</v>
      </c>
      <c r="AU4989" s="2">
        <v>455.89303559478401</v>
      </c>
      <c r="AV4989" s="2">
        <v>8.559877937157E-6</v>
      </c>
      <c r="AW4989" s="2">
        <v>824.18568571351898</v>
      </c>
      <c r="AX4989" s="2">
        <v>1340.0344903401799</v>
      </c>
    </row>
    <row r="4990" spans="1:50" x14ac:dyDescent="0.25">
      <c r="A4990" s="2" t="s">
        <v>32703</v>
      </c>
      <c r="B4990" s="2">
        <v>242.21192016083299</v>
      </c>
      <c r="C4990" s="2">
        <v>11.819000000000001</v>
      </c>
      <c r="D4990" s="2" t="s">
        <v>51</v>
      </c>
      <c r="E4990" s="2" t="s">
        <v>32704</v>
      </c>
      <c r="F4990" s="2">
        <v>1079</v>
      </c>
      <c r="G4990" s="3" t="str">
        <f>HYPERLINK("https://cloud.oebiotech.com/#/lm/network/1079", "https://cloud.oebiotech.com/#/lm/network/1079")</f>
        <v>https://cloud.oebiotech.com/#/lm/network/1079</v>
      </c>
      <c r="H4990" s="2"/>
      <c r="I4990" s="2">
        <v>74251</v>
      </c>
      <c r="J4990" s="2" t="s">
        <v>32705</v>
      </c>
      <c r="K4990" s="2">
        <v>5312715</v>
      </c>
      <c r="L4990" s="2"/>
      <c r="M4990" s="2"/>
      <c r="N4990" s="2"/>
      <c r="O4990" s="2"/>
      <c r="P4990" s="2"/>
      <c r="Q4990" s="2"/>
      <c r="R4990" s="2"/>
      <c r="S4990" s="2" t="s">
        <v>32706</v>
      </c>
      <c r="T4990" s="2" t="s">
        <v>32707</v>
      </c>
      <c r="U4990" s="2" t="s">
        <v>56</v>
      </c>
      <c r="V4990" s="2" t="s">
        <v>145</v>
      </c>
      <c r="W4990" s="2" t="s">
        <v>231</v>
      </c>
      <c r="X4990" s="2" t="s">
        <v>83</v>
      </c>
      <c r="Y4990" s="2">
        <v>45.6</v>
      </c>
      <c r="Z4990" s="2">
        <v>0</v>
      </c>
      <c r="AA4990" s="2" t="s">
        <v>512</v>
      </c>
      <c r="AB4990" s="2" t="s">
        <v>26046</v>
      </c>
      <c r="AC4990" s="2">
        <v>2.07256198190343</v>
      </c>
      <c r="AD4990" s="2"/>
      <c r="AE4990" s="2">
        <v>5.7566119421724599E-2</v>
      </c>
      <c r="AF4990" s="2">
        <v>854.95959005185603</v>
      </c>
      <c r="AG4990" s="2">
        <v>662.02737199717706</v>
      </c>
      <c r="AH4990" s="5">
        <v>1.2914263461232001</v>
      </c>
      <c r="AI4990" s="5">
        <v>0.36896536462284002</v>
      </c>
      <c r="AJ4990" s="5" t="s">
        <v>139</v>
      </c>
      <c r="AK4990" s="2">
        <v>0.54967305097804597</v>
      </c>
      <c r="AL4990" s="2">
        <v>0.77167389540237896</v>
      </c>
      <c r="AM4990" s="2">
        <v>1623.2965259831401</v>
      </c>
      <c r="AN4990" s="2">
        <v>1102.3813116440199</v>
      </c>
      <c r="AO4990" s="2">
        <v>1206.4873248968699</v>
      </c>
      <c r="AP4990" s="2">
        <v>224.74749568389299</v>
      </c>
      <c r="AQ4990" s="2">
        <v>277.27812377729299</v>
      </c>
      <c r="AR4990" s="2">
        <v>695.56675832592202</v>
      </c>
      <c r="AS4990" s="2">
        <v>1117.1483963590599</v>
      </c>
      <c r="AT4990" s="2">
        <v>8.559877937157E-6</v>
      </c>
      <c r="AU4990" s="2">
        <v>357.94062695135898</v>
      </c>
      <c r="AV4990" s="2">
        <v>456.266806699028</v>
      </c>
      <c r="AW4990" s="2">
        <v>1435.5218691877999</v>
      </c>
      <c r="AX4990" s="2">
        <v>605.28652422593802</v>
      </c>
    </row>
    <row r="4991" spans="1:50" x14ac:dyDescent="0.25">
      <c r="A4991" s="2" t="s">
        <v>32708</v>
      </c>
      <c r="B4991" s="2">
        <v>233.11367273109201</v>
      </c>
      <c r="C4991" s="2">
        <v>1.00901666666667</v>
      </c>
      <c r="D4991" s="2" t="s">
        <v>51</v>
      </c>
      <c r="E4991" s="2" t="s">
        <v>32709</v>
      </c>
      <c r="F4991" s="2">
        <v>207068</v>
      </c>
      <c r="G4991" s="3" t="str">
        <f>HYPERLINK("https://cloud.oebiotech.com/#/lm/network/207068", "https://cloud.oebiotech.com/#/lm/network/207068")</f>
        <v>https://cloud.oebiotech.com/#/lm/network/207068</v>
      </c>
      <c r="H4991" s="2" t="s">
        <v>32710</v>
      </c>
      <c r="I4991" s="2"/>
      <c r="J4991" s="2"/>
      <c r="K4991" s="2"/>
      <c r="L4991" s="2"/>
      <c r="M4991" s="2"/>
      <c r="N4991" s="2"/>
      <c r="O4991" s="2"/>
      <c r="P4991" s="2"/>
      <c r="Q4991" s="2"/>
      <c r="R4991" s="2"/>
      <c r="S4991" s="2" t="s">
        <v>32711</v>
      </c>
      <c r="T4991" s="2" t="s">
        <v>32712</v>
      </c>
      <c r="U4991" s="2" t="s">
        <v>103</v>
      </c>
      <c r="V4991" s="2" t="s">
        <v>104</v>
      </c>
      <c r="W4991" s="2" t="s">
        <v>105</v>
      </c>
      <c r="X4991" s="2" t="s">
        <v>83</v>
      </c>
      <c r="Y4991" s="2">
        <v>39.299999999999997</v>
      </c>
      <c r="Z4991" s="2">
        <v>0</v>
      </c>
      <c r="AA4991" s="2" t="s">
        <v>259</v>
      </c>
      <c r="AB4991" s="2" t="s">
        <v>21862</v>
      </c>
      <c r="AC4991" s="2">
        <v>2.0450946213549699</v>
      </c>
      <c r="AD4991" s="2"/>
      <c r="AE4991" s="2">
        <v>5.7523418424215302E-2</v>
      </c>
      <c r="AF4991" s="2">
        <v>638.87827034337397</v>
      </c>
      <c r="AG4991" s="2">
        <v>324.558140182584</v>
      </c>
      <c r="AH4991" s="5">
        <v>1.9684555438478999</v>
      </c>
      <c r="AI4991" s="5">
        <v>0.97706413063543496</v>
      </c>
      <c r="AJ4991" s="5" t="s">
        <v>139</v>
      </c>
      <c r="AK4991" s="2">
        <v>0.170390880044133</v>
      </c>
      <c r="AL4991" s="2">
        <v>0.491550366774546</v>
      </c>
      <c r="AM4991" s="2">
        <v>8.559877937157E-6</v>
      </c>
      <c r="AN4991" s="2">
        <v>329.30838419792002</v>
      </c>
      <c r="AO4991" s="2">
        <v>670.79540042294502</v>
      </c>
      <c r="AP4991" s="2">
        <v>1124.0750599359801</v>
      </c>
      <c r="AQ4991" s="2">
        <v>906.09147616190899</v>
      </c>
      <c r="AR4991" s="2">
        <v>802.99929278161005</v>
      </c>
      <c r="AS4991" s="2">
        <v>8.559877937157E-6</v>
      </c>
      <c r="AT4991" s="2">
        <v>8.559877937157E-6</v>
      </c>
      <c r="AU4991" s="2">
        <v>449.63827269759298</v>
      </c>
      <c r="AV4991" s="2">
        <v>572.83197427481696</v>
      </c>
      <c r="AW4991" s="2">
        <v>151.478727731763</v>
      </c>
      <c r="AX4991" s="2">
        <v>773.39984927157798</v>
      </c>
    </row>
    <row r="4992" spans="1:50" x14ac:dyDescent="0.25">
      <c r="A4992" s="2" t="s">
        <v>32713</v>
      </c>
      <c r="B4992" s="2">
        <v>168.02589965929701</v>
      </c>
      <c r="C4992" s="2">
        <v>0.56125000000000003</v>
      </c>
      <c r="D4992" s="2" t="s">
        <v>51</v>
      </c>
      <c r="E4992" s="2" t="s">
        <v>32714</v>
      </c>
      <c r="F4992" s="2">
        <v>199494</v>
      </c>
      <c r="G4992" s="3" t="str">
        <f>HYPERLINK("https://cloud.oebiotech.com/#/lm/network/199494", "https://cloud.oebiotech.com/#/lm/network/199494")</f>
        <v>https://cloud.oebiotech.com/#/lm/network/199494</v>
      </c>
      <c r="H4992" s="2" t="s">
        <v>32715</v>
      </c>
      <c r="I4992" s="2"/>
      <c r="J4992" s="2"/>
      <c r="K4992" s="2"/>
      <c r="L4992" s="2"/>
      <c r="M4992" s="2"/>
      <c r="N4992" s="2"/>
      <c r="O4992" s="2">
        <v>35455</v>
      </c>
      <c r="P4992" s="2"/>
      <c r="Q4992" s="2"/>
      <c r="R4992" s="2"/>
      <c r="S4992" s="2" t="s">
        <v>32716</v>
      </c>
      <c r="T4992" s="2" t="s">
        <v>32717</v>
      </c>
      <c r="U4992" s="2" t="s">
        <v>610</v>
      </c>
      <c r="V4992" s="2" t="s">
        <v>813</v>
      </c>
      <c r="W4992" s="2" t="s">
        <v>240</v>
      </c>
      <c r="X4992" s="2" t="s">
        <v>147</v>
      </c>
      <c r="Y4992" s="2">
        <v>36.9</v>
      </c>
      <c r="Z4992" s="2">
        <v>0</v>
      </c>
      <c r="AA4992" s="2" t="s">
        <v>156</v>
      </c>
      <c r="AB4992" s="2" t="s">
        <v>32718</v>
      </c>
      <c r="AC4992" s="2">
        <v>-3.9578463435831499</v>
      </c>
      <c r="AD4992" s="2"/>
      <c r="AE4992" s="2">
        <v>5.7478211129252103E-2</v>
      </c>
      <c r="AF4992" s="2">
        <v>2481.9534730836099</v>
      </c>
      <c r="AG4992" s="2">
        <v>2774.94800302661</v>
      </c>
      <c r="AH4992" s="4">
        <v>0.89441440718044896</v>
      </c>
      <c r="AI4992" s="4">
        <v>-0.16098466766289801</v>
      </c>
      <c r="AJ4992" s="4" t="s">
        <v>62</v>
      </c>
      <c r="AK4992" s="2">
        <v>0.73181776390809505</v>
      </c>
      <c r="AL4992" s="2">
        <v>0.87636111571333197</v>
      </c>
      <c r="AM4992" s="2">
        <v>540.68605764050801</v>
      </c>
      <c r="AN4992" s="2">
        <v>2231.5612160751398</v>
      </c>
      <c r="AO4992" s="2">
        <v>2973.1523659434702</v>
      </c>
      <c r="AP4992" s="2">
        <v>1475.69164475923</v>
      </c>
      <c r="AQ4992" s="2">
        <v>4910.7023004328303</v>
      </c>
      <c r="AR4992" s="2">
        <v>2759.9272536505</v>
      </c>
      <c r="AS4992" s="2">
        <v>3474.9820526722401</v>
      </c>
      <c r="AT4992" s="2">
        <v>5008.6230458153896</v>
      </c>
      <c r="AU4992" s="2">
        <v>925.06879128244395</v>
      </c>
      <c r="AV4992" s="2">
        <v>2696.6239100398502</v>
      </c>
      <c r="AW4992" s="2">
        <v>2631.5566659891701</v>
      </c>
      <c r="AX4992" s="2">
        <v>1912.8335523605499</v>
      </c>
    </row>
    <row r="4993" spans="1:50" x14ac:dyDescent="0.25">
      <c r="A4993" s="2" t="s">
        <v>32719</v>
      </c>
      <c r="B4993" s="2">
        <v>265.14384817957603</v>
      </c>
      <c r="C4993" s="2">
        <v>8.3100500000000004</v>
      </c>
      <c r="D4993" s="2" t="s">
        <v>51</v>
      </c>
      <c r="E4993" s="2" t="s">
        <v>32720</v>
      </c>
      <c r="F4993" s="2">
        <v>58686</v>
      </c>
      <c r="G4993" s="3" t="str">
        <f>HYPERLINK("https://cloud.oebiotech.com/#/lm/network/58686", "https://cloud.oebiotech.com/#/lm/network/58686")</f>
        <v>https://cloud.oebiotech.com/#/lm/network/58686</v>
      </c>
      <c r="H4993" s="2" t="s">
        <v>32721</v>
      </c>
      <c r="I4993" s="2">
        <v>90145</v>
      </c>
      <c r="J4993" s="2"/>
      <c r="K4993" s="2">
        <v>3678270</v>
      </c>
      <c r="L4993" s="2"/>
      <c r="M4993" s="2"/>
      <c r="N4993" s="2"/>
      <c r="O4993" s="2">
        <v>168328</v>
      </c>
      <c r="P4993" s="2"/>
      <c r="Q4993" s="2"/>
      <c r="R4993" s="2" t="s">
        <v>32722</v>
      </c>
      <c r="S4993" s="2" t="s">
        <v>32723</v>
      </c>
      <c r="T4993" s="2" t="s">
        <v>32724</v>
      </c>
      <c r="U4993" s="2" t="s">
        <v>56</v>
      </c>
      <c r="V4993" s="2" t="s">
        <v>177</v>
      </c>
      <c r="W4993" s="2" t="s">
        <v>806</v>
      </c>
      <c r="X4993" s="2" t="s">
        <v>147</v>
      </c>
      <c r="Y4993" s="2">
        <v>42.7</v>
      </c>
      <c r="Z4993" s="2">
        <v>24.1</v>
      </c>
      <c r="AA4993" s="2" t="s">
        <v>163</v>
      </c>
      <c r="AB4993" s="2" t="s">
        <v>15678</v>
      </c>
      <c r="AC4993" s="2">
        <v>-2.5721117828198401</v>
      </c>
      <c r="AD4993" s="2"/>
      <c r="AE4993" s="2">
        <v>5.7407638926895599E-2</v>
      </c>
      <c r="AF4993" s="2">
        <v>3350.0778649377698</v>
      </c>
      <c r="AG4993" s="2">
        <v>3751.9469506486798</v>
      </c>
      <c r="AH4993" s="4">
        <v>0.89289052030934801</v>
      </c>
      <c r="AI4993" s="4">
        <v>-0.16344480138796899</v>
      </c>
      <c r="AJ4993" s="4" t="s">
        <v>62</v>
      </c>
      <c r="AK4993" s="2">
        <v>0.72218188869051503</v>
      </c>
      <c r="AL4993" s="2">
        <v>0.87146216934056697</v>
      </c>
      <c r="AM4993" s="2">
        <v>1982.65680879411</v>
      </c>
      <c r="AN4993" s="2">
        <v>2095.1204965838501</v>
      </c>
      <c r="AO4993" s="2">
        <v>7997.2994150213499</v>
      </c>
      <c r="AP4993" s="2">
        <v>3064.04853209775</v>
      </c>
      <c r="AQ4993" s="2">
        <v>2383.7721297108001</v>
      </c>
      <c r="AR4993" s="2">
        <v>2577.5698074187799</v>
      </c>
      <c r="AS4993" s="2">
        <v>2219.0149218050301</v>
      </c>
      <c r="AT4993" s="2">
        <v>2420.69359636132</v>
      </c>
      <c r="AU4993" s="2">
        <v>4725.3612046477701</v>
      </c>
      <c r="AV4993" s="2">
        <v>4765.5421079879197</v>
      </c>
      <c r="AW4993" s="2">
        <v>5432.6153492723797</v>
      </c>
      <c r="AX4993" s="2">
        <v>2948.4545238176702</v>
      </c>
    </row>
    <row r="4994" spans="1:50" x14ac:dyDescent="0.25">
      <c r="A4994" s="2" t="s">
        <v>32725</v>
      </c>
      <c r="B4994" s="2">
        <v>529.28975516205105</v>
      </c>
      <c r="C4994" s="2">
        <v>9.8078500000000002</v>
      </c>
      <c r="D4994" s="2" t="s">
        <v>51</v>
      </c>
      <c r="E4994" s="2" t="s">
        <v>32726</v>
      </c>
      <c r="F4994" s="2">
        <v>207058</v>
      </c>
      <c r="G4994" s="3" t="str">
        <f>HYPERLINK("https://cloud.oebiotech.com/#/lm/network/207058", "https://cloud.oebiotech.com/#/lm/network/207058")</f>
        <v>https://cloud.oebiotech.com/#/lm/network/207058</v>
      </c>
      <c r="H4994" s="2" t="s">
        <v>32727</v>
      </c>
      <c r="I4994" s="2">
        <v>2999</v>
      </c>
      <c r="J4994" s="2"/>
      <c r="K4994" s="2">
        <v>1234</v>
      </c>
      <c r="L4994" s="2" t="s">
        <v>32728</v>
      </c>
      <c r="M4994" s="2"/>
      <c r="N4994" s="2"/>
      <c r="O4994" s="2"/>
      <c r="P4994" s="2"/>
      <c r="Q4994" s="2"/>
      <c r="R4994" s="2" t="s">
        <v>32729</v>
      </c>
      <c r="S4994" s="2" t="s">
        <v>32730</v>
      </c>
      <c r="T4994" s="2" t="s">
        <v>32731</v>
      </c>
      <c r="U4994" s="2" t="s">
        <v>610</v>
      </c>
      <c r="V4994" s="2" t="s">
        <v>611</v>
      </c>
      <c r="W4994" s="2" t="s">
        <v>3953</v>
      </c>
      <c r="X4994" s="2" t="s">
        <v>147</v>
      </c>
      <c r="Y4994" s="2">
        <v>36.1</v>
      </c>
      <c r="Z4994" s="2">
        <v>0</v>
      </c>
      <c r="AA4994" s="2" t="s">
        <v>218</v>
      </c>
      <c r="AB4994" s="2" t="s">
        <v>32732</v>
      </c>
      <c r="AC4994" s="2">
        <v>-4.4809545299671303</v>
      </c>
      <c r="AD4994" s="2"/>
      <c r="AE4994" s="2">
        <v>5.7162058895772E-2</v>
      </c>
      <c r="AF4994" s="2">
        <v>11373.211918487001</v>
      </c>
      <c r="AG4994" s="2">
        <v>11776.3360728484</v>
      </c>
      <c r="AH4994" s="4">
        <v>0.96576828719325902</v>
      </c>
      <c r="AI4994" s="4">
        <v>-5.0251004187091101E-2</v>
      </c>
      <c r="AJ4994" s="4" t="s">
        <v>62</v>
      </c>
      <c r="AK4994" s="2">
        <v>0.93534870622403399</v>
      </c>
      <c r="AL4994" s="2">
        <v>0.97251863385723103</v>
      </c>
      <c r="AM4994" s="2">
        <v>28877.921790325901</v>
      </c>
      <c r="AN4994" s="2">
        <v>12336.267065063999</v>
      </c>
      <c r="AO4994" s="2">
        <v>3445.18840316454</v>
      </c>
      <c r="AP4994" s="2">
        <v>9203.2945179874605</v>
      </c>
      <c r="AQ4994" s="2">
        <v>5165.5450418819701</v>
      </c>
      <c r="AR4994" s="2">
        <v>9211.05469249817</v>
      </c>
      <c r="AS4994" s="2">
        <v>3588.3531565938301</v>
      </c>
      <c r="AT4994" s="2">
        <v>3285.8055341695799</v>
      </c>
      <c r="AU4994" s="2">
        <v>19621.718338432602</v>
      </c>
      <c r="AV4994" s="2">
        <v>20656.1441230538</v>
      </c>
      <c r="AW4994" s="2">
        <v>13617.722990619501</v>
      </c>
      <c r="AX4994" s="2">
        <v>9888.2722942212204</v>
      </c>
    </row>
    <row r="4995" spans="1:50" x14ac:dyDescent="0.25">
      <c r="A4995" s="2" t="s">
        <v>32733</v>
      </c>
      <c r="B4995" s="2">
        <v>303.17117724533603</v>
      </c>
      <c r="C4995" s="2">
        <v>4.9970999999999997</v>
      </c>
      <c r="D4995" s="2" t="s">
        <v>51</v>
      </c>
      <c r="E4995" s="2" t="s">
        <v>32734</v>
      </c>
      <c r="F4995" s="2">
        <v>6429</v>
      </c>
      <c r="G4995" s="3" t="str">
        <f>HYPERLINK("https://cloud.oebiotech.com/#/lm/network/6429", "https://cloud.oebiotech.com/#/lm/network/6429")</f>
        <v>https://cloud.oebiotech.com/#/lm/network/6429</v>
      </c>
      <c r="H4995" s="2"/>
      <c r="I4995" s="2"/>
      <c r="J4995" s="2" t="s">
        <v>32735</v>
      </c>
      <c r="K4995" s="2">
        <v>86287599</v>
      </c>
      <c r="L4995" s="2"/>
      <c r="M4995" s="2"/>
      <c r="N4995" s="2"/>
      <c r="O4995" s="2"/>
      <c r="P4995" s="2"/>
      <c r="Q4995" s="2"/>
      <c r="R4995" s="2"/>
      <c r="S4995" s="2" t="s">
        <v>32736</v>
      </c>
      <c r="T4995" s="2" t="s">
        <v>32737</v>
      </c>
      <c r="U4995" s="2" t="s">
        <v>56</v>
      </c>
      <c r="V4995" s="2" t="s">
        <v>145</v>
      </c>
      <c r="W4995" s="2" t="s">
        <v>146</v>
      </c>
      <c r="X4995" s="2" t="s">
        <v>147</v>
      </c>
      <c r="Y4995" s="2">
        <v>38.799999999999997</v>
      </c>
      <c r="Z4995" s="2">
        <v>0</v>
      </c>
      <c r="AA4995" s="2" t="s">
        <v>95</v>
      </c>
      <c r="AB4995" s="2" t="s">
        <v>32738</v>
      </c>
      <c r="AC4995" s="2">
        <v>-2.7083180462440901</v>
      </c>
      <c r="AD4995" s="2"/>
      <c r="AE4995" s="2">
        <v>5.70839067555029E-2</v>
      </c>
      <c r="AF4995" s="2">
        <v>1808.6582213266099</v>
      </c>
      <c r="AG4995" s="2">
        <v>1526.1020387358701</v>
      </c>
      <c r="AH4995" s="5">
        <v>1.1851489451025099</v>
      </c>
      <c r="AI4995" s="5">
        <v>0.245068383053821</v>
      </c>
      <c r="AJ4995" s="5" t="s">
        <v>139</v>
      </c>
      <c r="AK4995" s="2">
        <v>0.68748216980180099</v>
      </c>
      <c r="AL4995" s="2">
        <v>0.84972173218991098</v>
      </c>
      <c r="AM4995" s="2">
        <v>1655.5061848314599</v>
      </c>
      <c r="AN4995" s="2">
        <v>3703.4319585179901</v>
      </c>
      <c r="AO4995" s="2">
        <v>321.02501859438598</v>
      </c>
      <c r="AP4995" s="2">
        <v>710.55492121933901</v>
      </c>
      <c r="AQ4995" s="2">
        <v>2480.8670460138301</v>
      </c>
      <c r="AR4995" s="2">
        <v>1980.56419878265</v>
      </c>
      <c r="AS4995" s="2">
        <v>951.42387429844405</v>
      </c>
      <c r="AT4995" s="2">
        <v>181.01938793758001</v>
      </c>
      <c r="AU4995" s="2">
        <v>3172.2262293577501</v>
      </c>
      <c r="AV4995" s="2">
        <v>718.02726915541496</v>
      </c>
      <c r="AW4995" s="2">
        <v>1642.34352331433</v>
      </c>
      <c r="AX4995" s="2">
        <v>2491.57194835168</v>
      </c>
    </row>
    <row r="4996" spans="1:50" x14ac:dyDescent="0.25">
      <c r="A4996" s="2" t="s">
        <v>32739</v>
      </c>
      <c r="B4996" s="2">
        <v>444.968981747442</v>
      </c>
      <c r="C4996" s="2">
        <v>1.9577</v>
      </c>
      <c r="D4996" s="2" t="s">
        <v>51</v>
      </c>
      <c r="E4996" s="2" t="s">
        <v>32740</v>
      </c>
      <c r="F4996" s="2">
        <v>202738</v>
      </c>
      <c r="G4996" s="3" t="str">
        <f>HYPERLINK("https://cloud.oebiotech.com/#/lm/network/202738", "https://cloud.oebiotech.com/#/lm/network/202738")</f>
        <v>https://cloud.oebiotech.com/#/lm/network/202738</v>
      </c>
      <c r="H4996" s="2" t="s">
        <v>32741</v>
      </c>
      <c r="I4996" s="2"/>
      <c r="J4996" s="2"/>
      <c r="K4996" s="2">
        <v>128620</v>
      </c>
      <c r="L4996" s="2"/>
      <c r="M4996" s="2"/>
      <c r="N4996" s="2"/>
      <c r="O4996" s="2">
        <v>38810</v>
      </c>
      <c r="P4996" s="2"/>
      <c r="Q4996" s="2"/>
      <c r="R4996" s="2"/>
      <c r="S4996" s="2" t="s">
        <v>32742</v>
      </c>
      <c r="T4996" s="2" t="s">
        <v>32743</v>
      </c>
      <c r="U4996" s="2" t="s">
        <v>1357</v>
      </c>
      <c r="V4996" s="2" t="s">
        <v>11149</v>
      </c>
      <c r="W4996" s="2" t="s">
        <v>240</v>
      </c>
      <c r="X4996" s="2" t="s">
        <v>147</v>
      </c>
      <c r="Y4996" s="2">
        <v>37.9</v>
      </c>
      <c r="Z4996" s="2">
        <v>0</v>
      </c>
      <c r="AA4996" s="2" t="s">
        <v>379</v>
      </c>
      <c r="AB4996" s="2" t="s">
        <v>32744</v>
      </c>
      <c r="AC4996" s="2">
        <v>-0.18353254432774199</v>
      </c>
      <c r="AD4996" s="2"/>
      <c r="AE4996" s="2">
        <v>5.7068457552713697E-2</v>
      </c>
      <c r="AF4996" s="2">
        <v>2063.9749128333401</v>
      </c>
      <c r="AG4996" s="2">
        <v>2179.2607348225201</v>
      </c>
      <c r="AH4996" s="4">
        <v>0.94709865591252096</v>
      </c>
      <c r="AI4996" s="4">
        <v>-7.8413380933443896E-2</v>
      </c>
      <c r="AJ4996" s="4" t="s">
        <v>62</v>
      </c>
      <c r="AK4996" s="2">
        <v>0.62942359022500205</v>
      </c>
      <c r="AL4996" s="2">
        <v>0.81859536805385202</v>
      </c>
      <c r="AM4996" s="2">
        <v>1976.6925483090799</v>
      </c>
      <c r="AN4996" s="2">
        <v>1894.15251391166</v>
      </c>
      <c r="AO4996" s="2">
        <v>2077.4136876785601</v>
      </c>
      <c r="AP4996" s="2">
        <v>2527.12878451492</v>
      </c>
      <c r="AQ4996" s="2">
        <v>2287.0504788129601</v>
      </c>
      <c r="AR4996" s="2">
        <v>1621.4114637728501</v>
      </c>
      <c r="AS4996" s="2">
        <v>2234.9909847491199</v>
      </c>
      <c r="AT4996" s="2">
        <v>1435.2607824771101</v>
      </c>
      <c r="AU4996" s="2">
        <v>1918.60321791961</v>
      </c>
      <c r="AV4996" s="2">
        <v>2192.5798523807698</v>
      </c>
      <c r="AW4996" s="2">
        <v>2488.73552424942</v>
      </c>
      <c r="AX4996" s="2">
        <v>2805.3940471590699</v>
      </c>
    </row>
    <row r="4997" spans="1:50" x14ac:dyDescent="0.25">
      <c r="A4997" s="2" t="s">
        <v>32745</v>
      </c>
      <c r="B4997" s="2">
        <v>191.070628257843</v>
      </c>
      <c r="C4997" s="2">
        <v>6.6164666666666703</v>
      </c>
      <c r="D4997" s="2" t="s">
        <v>51</v>
      </c>
      <c r="E4997" s="2" t="s">
        <v>32746</v>
      </c>
      <c r="F4997" s="2">
        <v>266257</v>
      </c>
      <c r="G4997" s="3" t="str">
        <f>HYPERLINK("https://cloud.oebiotech.com/#/lm/network/266257", "https://cloud.oebiotech.com/#/lm/network/266257")</f>
        <v>https://cloud.oebiotech.com/#/lm/network/266257</v>
      </c>
      <c r="H4997" s="2"/>
      <c r="I4997" s="2">
        <v>24106</v>
      </c>
      <c r="J4997" s="2"/>
      <c r="K4997" s="2">
        <v>66343</v>
      </c>
      <c r="L4997" s="2"/>
      <c r="M4997" s="2"/>
      <c r="N4997" s="2"/>
      <c r="O4997" s="2"/>
      <c r="P4997" s="2"/>
      <c r="Q4997" s="2"/>
      <c r="R4997" s="2"/>
      <c r="S4997" s="2" t="s">
        <v>32747</v>
      </c>
      <c r="T4997" s="2" t="s">
        <v>32748</v>
      </c>
      <c r="U4997" s="2" t="s">
        <v>540</v>
      </c>
      <c r="V4997" s="2" t="s">
        <v>1916</v>
      </c>
      <c r="W4997" s="2" t="s">
        <v>240</v>
      </c>
      <c r="X4997" s="2" t="s">
        <v>83</v>
      </c>
      <c r="Y4997" s="2">
        <v>51.9</v>
      </c>
      <c r="Z4997" s="2">
        <v>0</v>
      </c>
      <c r="AA4997" s="2" t="s">
        <v>379</v>
      </c>
      <c r="AB4997" s="2" t="s">
        <v>20034</v>
      </c>
      <c r="AC4997" s="2">
        <v>-3.5201683178448002</v>
      </c>
      <c r="AD4997" s="2"/>
      <c r="AE4997" s="2">
        <v>5.7039568961016703E-2</v>
      </c>
      <c r="AF4997" s="2">
        <v>1338.3122832696099</v>
      </c>
      <c r="AG4997" s="2">
        <v>1813.0427270354801</v>
      </c>
      <c r="AH4997" s="4">
        <v>0.73815815993365697</v>
      </c>
      <c r="AI4997" s="4">
        <v>-0.437998129407491</v>
      </c>
      <c r="AJ4997" s="4" t="s">
        <v>62</v>
      </c>
      <c r="AK4997" s="2">
        <v>0.73945606421988697</v>
      </c>
      <c r="AL4997" s="2">
        <v>0.88120245950892595</v>
      </c>
      <c r="AM4997" s="2">
        <v>1590.2591489910999</v>
      </c>
      <c r="AN4997" s="2">
        <v>1045.8875757521</v>
      </c>
      <c r="AO4997" s="2">
        <v>1057.01808585858</v>
      </c>
      <c r="AP4997" s="2">
        <v>62.886282355518802</v>
      </c>
      <c r="AQ4997" s="2">
        <v>378.41224018379597</v>
      </c>
      <c r="AR4997" s="2">
        <v>3895.4103664765698</v>
      </c>
      <c r="AS4997" s="2">
        <v>1047.52733721292</v>
      </c>
      <c r="AT4997" s="2">
        <v>1438.28325825151</v>
      </c>
      <c r="AU4997" s="2">
        <v>136.72131834907699</v>
      </c>
      <c r="AV4997" s="2">
        <v>8.559877937157E-6</v>
      </c>
      <c r="AW4997" s="2">
        <v>193.29760801774199</v>
      </c>
      <c r="AX4997" s="2">
        <v>8062.4268318217601</v>
      </c>
    </row>
    <row r="4998" spans="1:50" x14ac:dyDescent="0.25">
      <c r="A4998" s="2" t="s">
        <v>32749</v>
      </c>
      <c r="B4998" s="2">
        <v>200.04799252803801</v>
      </c>
      <c r="C4998" s="2">
        <v>5.1612</v>
      </c>
      <c r="D4998" s="2" t="s">
        <v>51</v>
      </c>
      <c r="E4998" s="2" t="s">
        <v>32750</v>
      </c>
      <c r="F4998" s="2">
        <v>208678</v>
      </c>
      <c r="G4998" s="3" t="str">
        <f>HYPERLINK("https://cloud.oebiotech.com/#/lm/network/208678", "https://cloud.oebiotech.com/#/lm/network/208678")</f>
        <v>https://cloud.oebiotech.com/#/lm/network/208678</v>
      </c>
      <c r="H4998" s="2" t="s">
        <v>32751</v>
      </c>
      <c r="I4998" s="2"/>
      <c r="J4998" s="2"/>
      <c r="K4998" s="2">
        <v>54512336</v>
      </c>
      <c r="L4998" s="2"/>
      <c r="M4998" s="2"/>
      <c r="N4998" s="2"/>
      <c r="O4998" s="2"/>
      <c r="P4998" s="2"/>
      <c r="Q4998" s="2"/>
      <c r="R4998" s="2"/>
      <c r="S4998" s="2" t="s">
        <v>32752</v>
      </c>
      <c r="T4998" s="2" t="s">
        <v>32753</v>
      </c>
      <c r="U4998" s="2" t="s">
        <v>266</v>
      </c>
      <c r="V4998" s="2" t="s">
        <v>1393</v>
      </c>
      <c r="W4998" s="2" t="s">
        <v>19215</v>
      </c>
      <c r="X4998" s="2" t="s">
        <v>147</v>
      </c>
      <c r="Y4998" s="2">
        <v>37.5</v>
      </c>
      <c r="Z4998" s="2">
        <v>0</v>
      </c>
      <c r="AA4998" s="2" t="s">
        <v>95</v>
      </c>
      <c r="AB4998" s="2" t="s">
        <v>32754</v>
      </c>
      <c r="AC4998" s="2">
        <v>-1.2439519725704999</v>
      </c>
      <c r="AD4998" s="2"/>
      <c r="AE4998" s="2">
        <v>5.7039211576823401E-2</v>
      </c>
      <c r="AF4998" s="2">
        <v>697.94507770046096</v>
      </c>
      <c r="AG4998" s="2">
        <v>789.46807708584402</v>
      </c>
      <c r="AH4998" s="4">
        <v>0.88407004406913903</v>
      </c>
      <c r="AI4998" s="4">
        <v>-0.17776741732048901</v>
      </c>
      <c r="AJ4998" s="4" t="s">
        <v>62</v>
      </c>
      <c r="AK4998" s="2">
        <v>0.252606119654118</v>
      </c>
      <c r="AL4998" s="2">
        <v>0.57619502323734795</v>
      </c>
      <c r="AM4998" s="2">
        <v>451.19221413771203</v>
      </c>
      <c r="AN4998" s="2">
        <v>674.36252920861</v>
      </c>
      <c r="AO4998" s="2">
        <v>678.10531619740004</v>
      </c>
      <c r="AP4998" s="2">
        <v>880.81819218364899</v>
      </c>
      <c r="AQ4998" s="2">
        <v>854.45018693441705</v>
      </c>
      <c r="AR4998" s="2">
        <v>648.74202754097905</v>
      </c>
      <c r="AS4998" s="2">
        <v>799.52101865630402</v>
      </c>
      <c r="AT4998" s="2">
        <v>819.60227759512702</v>
      </c>
      <c r="AU4998" s="2">
        <v>730.32789871172304</v>
      </c>
      <c r="AV4998" s="2">
        <v>727.84397593079495</v>
      </c>
      <c r="AW4998" s="2">
        <v>694.22536405555604</v>
      </c>
      <c r="AX4998" s="2">
        <v>965.28792756556095</v>
      </c>
    </row>
    <row r="4999" spans="1:50" x14ac:dyDescent="0.25">
      <c r="A4999" s="2" t="s">
        <v>32755</v>
      </c>
      <c r="B4999" s="2">
        <v>318.328633808615</v>
      </c>
      <c r="C4999" s="2">
        <v>9.4023000000000003</v>
      </c>
      <c r="D4999" s="2" t="s">
        <v>51</v>
      </c>
      <c r="E4999" s="2" t="s">
        <v>32756</v>
      </c>
      <c r="F4999" s="2">
        <v>9283</v>
      </c>
      <c r="G4999" s="3" t="str">
        <f>HYPERLINK("https://cloud.oebiotech.com/#/lm/network/9283", "https://cloud.oebiotech.com/#/lm/network/9283")</f>
        <v>https://cloud.oebiotech.com/#/lm/network/9283</v>
      </c>
      <c r="H4999" s="2"/>
      <c r="I4999" s="2">
        <v>97581</v>
      </c>
      <c r="J4999" s="2" t="s">
        <v>32757</v>
      </c>
      <c r="K4999" s="2">
        <v>56936133</v>
      </c>
      <c r="L4999" s="2"/>
      <c r="M4999" s="2"/>
      <c r="N4999" s="2"/>
      <c r="O4999" s="2"/>
      <c r="P4999" s="2"/>
      <c r="Q4999" s="2"/>
      <c r="R4999" s="2"/>
      <c r="S4999" s="2" t="s">
        <v>32758</v>
      </c>
      <c r="T4999" s="2" t="s">
        <v>32759</v>
      </c>
      <c r="U4999" s="2" t="s">
        <v>1491</v>
      </c>
      <c r="V4999" s="2" t="s">
        <v>1492</v>
      </c>
      <c r="W4999" s="2" t="s">
        <v>6421</v>
      </c>
      <c r="X4999" s="2" t="s">
        <v>147</v>
      </c>
      <c r="Y4999" s="2">
        <v>36.1</v>
      </c>
      <c r="Z4999" s="2">
        <v>0</v>
      </c>
      <c r="AA4999" s="2" t="s">
        <v>122</v>
      </c>
      <c r="AB4999" s="2" t="s">
        <v>32760</v>
      </c>
      <c r="AC4999" s="2">
        <v>-5.5409164855753597E-2</v>
      </c>
      <c r="AD4999" s="2"/>
      <c r="AE4999" s="2">
        <v>5.7006400766166497E-2</v>
      </c>
      <c r="AF4999" s="2">
        <v>5893.0539355318897</v>
      </c>
      <c r="AG4999" s="2">
        <v>6312.1642003719699</v>
      </c>
      <c r="AH4999" s="4">
        <v>0.93360276261264297</v>
      </c>
      <c r="AI4999" s="4">
        <v>-9.9119264774339494E-2</v>
      </c>
      <c r="AJ4999" s="4" t="s">
        <v>62</v>
      </c>
      <c r="AK4999" s="2">
        <v>0.74037286085139098</v>
      </c>
      <c r="AL4999" s="2">
        <v>0.88190791048193196</v>
      </c>
      <c r="AM4999" s="2">
        <v>6345.3859298024499</v>
      </c>
      <c r="AN4999" s="2">
        <v>7988.3223310046897</v>
      </c>
      <c r="AO4999" s="2">
        <v>4776.5406010848801</v>
      </c>
      <c r="AP4999" s="2">
        <v>4229.52737062083</v>
      </c>
      <c r="AQ4999" s="2">
        <v>7893.5097944850304</v>
      </c>
      <c r="AR4999" s="2">
        <v>4125.0375861934499</v>
      </c>
      <c r="AS4999" s="2">
        <v>4974.10991538076</v>
      </c>
      <c r="AT4999" s="2">
        <v>5680.4371599512097</v>
      </c>
      <c r="AU4999" s="2">
        <v>3229.0945763823602</v>
      </c>
      <c r="AV4999" s="2">
        <v>6824.7128391430297</v>
      </c>
      <c r="AW4999" s="2">
        <v>10505.1351980829</v>
      </c>
      <c r="AX4999" s="2">
        <v>6659.4955132915302</v>
      </c>
    </row>
    <row r="5000" spans="1:50" x14ac:dyDescent="0.25">
      <c r="A5000" s="2" t="s">
        <v>32761</v>
      </c>
      <c r="B5000" s="2">
        <v>339.19217191635698</v>
      </c>
      <c r="C5000" s="2">
        <v>10.192183333333301</v>
      </c>
      <c r="D5000" s="2" t="s">
        <v>51</v>
      </c>
      <c r="E5000" s="2" t="s">
        <v>32762</v>
      </c>
      <c r="F5000" s="2">
        <v>3773</v>
      </c>
      <c r="G5000" s="3" t="str">
        <f>HYPERLINK("https://cloud.oebiotech.com/#/lm/network/3773", "https://cloud.oebiotech.com/#/lm/network/3773")</f>
        <v>https://cloud.oebiotech.com/#/lm/network/3773</v>
      </c>
      <c r="H5000" s="2"/>
      <c r="I5000" s="2">
        <v>36219</v>
      </c>
      <c r="J5000" s="2" t="s">
        <v>32763</v>
      </c>
      <c r="K5000" s="2">
        <v>16061104</v>
      </c>
      <c r="L5000" s="2"/>
      <c r="M5000" s="2"/>
      <c r="N5000" s="2"/>
      <c r="O5000" s="2">
        <v>63975</v>
      </c>
      <c r="P5000" s="2" t="s">
        <v>307</v>
      </c>
      <c r="Q5000" s="2" t="s">
        <v>308</v>
      </c>
      <c r="R5000" s="2"/>
      <c r="S5000" s="2" t="s">
        <v>32764</v>
      </c>
      <c r="T5000" s="2" t="s">
        <v>32765</v>
      </c>
      <c r="U5000" s="2" t="s">
        <v>56</v>
      </c>
      <c r="V5000" s="2" t="s">
        <v>145</v>
      </c>
      <c r="W5000" s="2" t="s">
        <v>187</v>
      </c>
      <c r="X5000" s="2" t="s">
        <v>83</v>
      </c>
      <c r="Y5000" s="2">
        <v>57.6</v>
      </c>
      <c r="Z5000" s="2">
        <v>0.11799999999999999</v>
      </c>
      <c r="AA5000" s="2" t="s">
        <v>95</v>
      </c>
      <c r="AB5000" s="2" t="s">
        <v>708</v>
      </c>
      <c r="AC5000" s="2">
        <v>-2.8257729882195699</v>
      </c>
      <c r="AD5000" s="2"/>
      <c r="AE5000" s="2">
        <v>5.6892028919065897E-2</v>
      </c>
      <c r="AF5000" s="2">
        <v>3090.6172501320002</v>
      </c>
      <c r="AG5000" s="2">
        <v>4321.5836401693996</v>
      </c>
      <c r="AH5000" s="4">
        <v>0.71515849453994496</v>
      </c>
      <c r="AI5000" s="4">
        <v>-0.48366508523829299</v>
      </c>
      <c r="AJ5000" s="4" t="s">
        <v>62</v>
      </c>
      <c r="AK5000" s="2">
        <v>0.54554004663534195</v>
      </c>
      <c r="AL5000" s="2">
        <v>0.76932808951877096</v>
      </c>
      <c r="AM5000" s="2">
        <v>5839.2762791598698</v>
      </c>
      <c r="AN5000" s="2">
        <v>5072.1601325056499</v>
      </c>
      <c r="AO5000" s="2">
        <v>2707.6805073154201</v>
      </c>
      <c r="AP5000" s="2">
        <v>1785.7394095330601</v>
      </c>
      <c r="AQ5000" s="2">
        <v>1541.18105555433</v>
      </c>
      <c r="AR5000" s="2">
        <v>1597.66611672366</v>
      </c>
      <c r="AS5000" s="2">
        <v>3740.92765344081</v>
      </c>
      <c r="AT5000" s="2">
        <v>324.79863283273801</v>
      </c>
      <c r="AU5000" s="2">
        <v>12996.080694403199</v>
      </c>
      <c r="AV5000" s="2">
        <v>3154.3846478034602</v>
      </c>
      <c r="AW5000" s="2">
        <v>3545.0882350233801</v>
      </c>
      <c r="AX5000" s="2">
        <v>2168.2219775127901</v>
      </c>
    </row>
    <row r="5001" spans="1:50" x14ac:dyDescent="0.25">
      <c r="A5001" s="2" t="s">
        <v>32766</v>
      </c>
      <c r="B5001" s="2">
        <v>285.12202628720797</v>
      </c>
      <c r="C5001" s="2">
        <v>4.1098999999999997</v>
      </c>
      <c r="D5001" s="2" t="s">
        <v>51</v>
      </c>
      <c r="E5001" s="2" t="s">
        <v>32767</v>
      </c>
      <c r="F5001" s="2">
        <v>266227</v>
      </c>
      <c r="G5001" s="3" t="str">
        <f>HYPERLINK("https://cloud.oebiotech.com/#/lm/network/266227", "https://cloud.oebiotech.com/#/lm/network/266227")</f>
        <v>https://cloud.oebiotech.com/#/lm/network/266227</v>
      </c>
      <c r="H5001" s="2" t="s">
        <v>5744</v>
      </c>
      <c r="I5001" s="2">
        <v>23997</v>
      </c>
      <c r="J5001" s="2"/>
      <c r="K5001" s="2">
        <v>44369313</v>
      </c>
      <c r="L5001" s="2"/>
      <c r="M5001" s="2"/>
      <c r="N5001" s="2"/>
      <c r="O5001" s="2"/>
      <c r="P5001" s="2"/>
      <c r="Q5001" s="2"/>
      <c r="R5001" s="2" t="s">
        <v>5745</v>
      </c>
      <c r="S5001" s="2" t="s">
        <v>32768</v>
      </c>
      <c r="T5001" s="2" t="s">
        <v>32769</v>
      </c>
      <c r="U5001" s="2" t="s">
        <v>103</v>
      </c>
      <c r="V5001" s="2" t="s">
        <v>104</v>
      </c>
      <c r="W5001" s="2" t="s">
        <v>105</v>
      </c>
      <c r="X5001" s="2" t="s">
        <v>83</v>
      </c>
      <c r="Y5001" s="2">
        <v>56</v>
      </c>
      <c r="Z5001" s="2">
        <v>33.1</v>
      </c>
      <c r="AA5001" s="2" t="s">
        <v>95</v>
      </c>
      <c r="AB5001" s="2" t="s">
        <v>5748</v>
      </c>
      <c r="AC5001" s="2">
        <v>4.05582955277157</v>
      </c>
      <c r="AD5001" s="2"/>
      <c r="AE5001" s="2">
        <v>5.6815043280376898E-2</v>
      </c>
      <c r="AF5001" s="2">
        <v>6688.8621821270099</v>
      </c>
      <c r="AG5001" s="2">
        <v>5539.999129244</v>
      </c>
      <c r="AH5001" s="5">
        <v>1.20737603492002</v>
      </c>
      <c r="AI5001" s="5">
        <v>0.27187507064528199</v>
      </c>
      <c r="AJ5001" s="5" t="s">
        <v>139</v>
      </c>
      <c r="AK5001" s="2">
        <v>0.61040466402500804</v>
      </c>
      <c r="AL5001" s="2">
        <v>0.80553815117069005</v>
      </c>
      <c r="AM5001" s="2">
        <v>2778.2542517060201</v>
      </c>
      <c r="AN5001" s="2">
        <v>9839.7637411437299</v>
      </c>
      <c r="AO5001" s="2">
        <v>4162.1754968824098</v>
      </c>
      <c r="AP5001" s="2">
        <v>4387.0549082371899</v>
      </c>
      <c r="AQ5001" s="2">
        <v>11112.4010096806</v>
      </c>
      <c r="AR5001" s="2">
        <v>7853.5236851120999</v>
      </c>
      <c r="AS5001" s="2">
        <v>1109.4613919216099</v>
      </c>
      <c r="AT5001" s="2">
        <v>3525.7772450418202</v>
      </c>
      <c r="AU5001" s="2">
        <v>3736.6236005507599</v>
      </c>
      <c r="AV5001" s="2">
        <v>13156.0327944893</v>
      </c>
      <c r="AW5001" s="2">
        <v>6161.14294921486</v>
      </c>
      <c r="AX5001" s="2">
        <v>5550.9567942456797</v>
      </c>
    </row>
    <row r="5002" spans="1:50" x14ac:dyDescent="0.25">
      <c r="A5002" s="2" t="s">
        <v>32770</v>
      </c>
      <c r="B5002" s="2">
        <v>229.03564375956299</v>
      </c>
      <c r="C5002" s="2">
        <v>0.74113333333333298</v>
      </c>
      <c r="D5002" s="2" t="s">
        <v>51</v>
      </c>
      <c r="E5002" s="2" t="s">
        <v>32771</v>
      </c>
      <c r="F5002" s="2">
        <v>47683</v>
      </c>
      <c r="G5002" s="3" t="str">
        <f>HYPERLINK("https://cloud.oebiotech.com/#/lm/network/47683", "https://cloud.oebiotech.com/#/lm/network/47683")</f>
        <v>https://cloud.oebiotech.com/#/lm/network/47683</v>
      </c>
      <c r="H5002" s="2" t="s">
        <v>32772</v>
      </c>
      <c r="I5002" s="2">
        <v>696</v>
      </c>
      <c r="J5002" s="2"/>
      <c r="K5002" s="2">
        <v>85782</v>
      </c>
      <c r="L5002" s="2" t="s">
        <v>32773</v>
      </c>
      <c r="M5002" s="2" t="s">
        <v>9850</v>
      </c>
      <c r="N5002" s="2" t="s">
        <v>9851</v>
      </c>
      <c r="O5002" s="2">
        <v>27637</v>
      </c>
      <c r="P5002" s="2"/>
      <c r="Q5002" s="2"/>
      <c r="R5002" s="2" t="s">
        <v>32774</v>
      </c>
      <c r="S5002" s="2" t="s">
        <v>32775</v>
      </c>
      <c r="T5002" s="2" t="s">
        <v>32776</v>
      </c>
      <c r="U5002" s="2" t="s">
        <v>610</v>
      </c>
      <c r="V5002" s="2" t="s">
        <v>895</v>
      </c>
      <c r="W5002" s="2" t="s">
        <v>5219</v>
      </c>
      <c r="X5002" s="2" t="s">
        <v>147</v>
      </c>
      <c r="Y5002" s="2">
        <v>38.5</v>
      </c>
      <c r="Z5002" s="2">
        <v>0</v>
      </c>
      <c r="AA5002" s="2" t="s">
        <v>11323</v>
      </c>
      <c r="AB5002" s="2" t="s">
        <v>32777</v>
      </c>
      <c r="AC5002" s="2">
        <v>1.4537019803509399</v>
      </c>
      <c r="AD5002" s="2"/>
      <c r="AE5002" s="2">
        <v>5.6800138370193501E-2</v>
      </c>
      <c r="AF5002" s="2">
        <v>3846.5050714998401</v>
      </c>
      <c r="AG5002" s="2">
        <v>2884.35887211205</v>
      </c>
      <c r="AH5002" s="5">
        <v>1.33357367860514</v>
      </c>
      <c r="AI5002" s="5">
        <v>0.41529753454150597</v>
      </c>
      <c r="AJ5002" s="5" t="s">
        <v>139</v>
      </c>
      <c r="AK5002" s="2">
        <v>0.71650010137543496</v>
      </c>
      <c r="AL5002" s="2">
        <v>0.86724996979937996</v>
      </c>
      <c r="AM5002" s="2">
        <v>6075.3537626896696</v>
      </c>
      <c r="AN5002" s="2">
        <v>215.37172353291399</v>
      </c>
      <c r="AO5002" s="2">
        <v>636.98298669183703</v>
      </c>
      <c r="AP5002" s="2">
        <v>654.06137979914695</v>
      </c>
      <c r="AQ5002" s="2">
        <v>11610.8771151084</v>
      </c>
      <c r="AR5002" s="2">
        <v>3886.3834611770499</v>
      </c>
      <c r="AS5002" s="2">
        <v>588.88008566468898</v>
      </c>
      <c r="AT5002" s="2">
        <v>598.03643010163398</v>
      </c>
      <c r="AU5002" s="2">
        <v>511.70915093886498</v>
      </c>
      <c r="AV5002" s="2">
        <v>11490.9796723002</v>
      </c>
      <c r="AW5002" s="2">
        <v>8.559877937157E-6</v>
      </c>
      <c r="AX5002" s="2">
        <v>4116.5478851070502</v>
      </c>
    </row>
    <row r="5003" spans="1:50" x14ac:dyDescent="0.25">
      <c r="A5003" s="2" t="s">
        <v>32778</v>
      </c>
      <c r="B5003" s="2">
        <v>381.22599378538098</v>
      </c>
      <c r="C5003" s="2">
        <v>12.2162666666667</v>
      </c>
      <c r="D5003" s="2" t="s">
        <v>51</v>
      </c>
      <c r="E5003" s="2" t="s">
        <v>32779</v>
      </c>
      <c r="F5003" s="2">
        <v>209034</v>
      </c>
      <c r="G5003" s="3" t="str">
        <f>HYPERLINK("https://cloud.oebiotech.com/#/lm/network/209034", "https://cloud.oebiotech.com/#/lm/network/209034")</f>
        <v>https://cloud.oebiotech.com/#/lm/network/209034</v>
      </c>
      <c r="H5003" s="2" t="s">
        <v>32780</v>
      </c>
      <c r="I5003" s="2"/>
      <c r="J5003" s="2"/>
      <c r="K5003" s="2">
        <v>23088918</v>
      </c>
      <c r="L5003" s="2"/>
      <c r="M5003" s="2"/>
      <c r="N5003" s="2"/>
      <c r="O5003" s="2"/>
      <c r="P5003" s="2"/>
      <c r="Q5003" s="2"/>
      <c r="R5003" s="2"/>
      <c r="S5003" s="2" t="s">
        <v>32781</v>
      </c>
      <c r="T5003" s="2" t="s">
        <v>32782</v>
      </c>
      <c r="U5003" s="2" t="s">
        <v>103</v>
      </c>
      <c r="V5003" s="2" t="s">
        <v>104</v>
      </c>
      <c r="W5003" s="2" t="s">
        <v>105</v>
      </c>
      <c r="X5003" s="2" t="s">
        <v>147</v>
      </c>
      <c r="Y5003" s="2">
        <v>38</v>
      </c>
      <c r="Z5003" s="2">
        <v>0</v>
      </c>
      <c r="AA5003" s="2" t="s">
        <v>478</v>
      </c>
      <c r="AB5003" s="2" t="s">
        <v>32783</v>
      </c>
      <c r="AC5003" s="2">
        <v>4.5892629145066799</v>
      </c>
      <c r="AD5003" s="2"/>
      <c r="AE5003" s="2">
        <v>5.6774321041509999E-2</v>
      </c>
      <c r="AF5003" s="2">
        <v>2092.1260225420901</v>
      </c>
      <c r="AG5003" s="2">
        <v>1961.2968642149201</v>
      </c>
      <c r="AH5003" s="5">
        <v>1.0667054338964299</v>
      </c>
      <c r="AI5003" s="5">
        <v>9.3161837148169099E-2</v>
      </c>
      <c r="AJ5003" s="5" t="s">
        <v>139</v>
      </c>
      <c r="AK5003" s="2">
        <v>0.87125717995311502</v>
      </c>
      <c r="AL5003" s="2">
        <v>0.94408721981778498</v>
      </c>
      <c r="AM5003" s="2">
        <v>5129.9819370787</v>
      </c>
      <c r="AN5003" s="2">
        <v>2505.7757386410099</v>
      </c>
      <c r="AO5003" s="2">
        <v>453.65201740328001</v>
      </c>
      <c r="AP5003" s="2">
        <v>2601.6750368683702</v>
      </c>
      <c r="AQ5003" s="2">
        <v>8.559877937157E-6</v>
      </c>
      <c r="AR5003" s="2">
        <v>1861.67139670131</v>
      </c>
      <c r="AS5003" s="2">
        <v>959.99705046394899</v>
      </c>
      <c r="AT5003" s="2">
        <v>2197.80057504044</v>
      </c>
      <c r="AU5003" s="2">
        <v>2026.8239020666399</v>
      </c>
      <c r="AV5003" s="2">
        <v>2686.07955707977</v>
      </c>
      <c r="AW5003" s="2">
        <v>2273.4267115477001</v>
      </c>
      <c r="AX5003" s="2">
        <v>1623.65338909105</v>
      </c>
    </row>
    <row r="5004" spans="1:50" x14ac:dyDescent="0.25">
      <c r="A5004" s="2" t="s">
        <v>32784</v>
      </c>
      <c r="B5004" s="2">
        <v>364.221959211448</v>
      </c>
      <c r="C5004" s="2">
        <v>7.7576166666666699</v>
      </c>
      <c r="D5004" s="2" t="s">
        <v>51</v>
      </c>
      <c r="E5004" s="2" t="s">
        <v>32785</v>
      </c>
      <c r="F5004" s="2">
        <v>206095</v>
      </c>
      <c r="G5004" s="3" t="str">
        <f>HYPERLINK("https://cloud.oebiotech.com/#/lm/network/206095", "https://cloud.oebiotech.com/#/lm/network/206095")</f>
        <v>https://cloud.oebiotech.com/#/lm/network/206095</v>
      </c>
      <c r="H5004" s="2" t="s">
        <v>32786</v>
      </c>
      <c r="I5004" s="2"/>
      <c r="J5004" s="2"/>
      <c r="K5004" s="2"/>
      <c r="L5004" s="2"/>
      <c r="M5004" s="2"/>
      <c r="N5004" s="2"/>
      <c r="O5004" s="2"/>
      <c r="P5004" s="2"/>
      <c r="Q5004" s="2"/>
      <c r="R5004" s="2"/>
      <c r="S5004" s="2" t="s">
        <v>32787</v>
      </c>
      <c r="T5004" s="2" t="s">
        <v>32788</v>
      </c>
      <c r="U5004" s="2" t="s">
        <v>103</v>
      </c>
      <c r="V5004" s="2" t="s">
        <v>104</v>
      </c>
      <c r="W5004" s="2" t="s">
        <v>105</v>
      </c>
      <c r="X5004" s="2" t="s">
        <v>147</v>
      </c>
      <c r="Y5004" s="2">
        <v>41</v>
      </c>
      <c r="Z5004" s="2">
        <v>20.7</v>
      </c>
      <c r="AA5004" s="2" t="s">
        <v>95</v>
      </c>
      <c r="AB5004" s="2" t="s">
        <v>32789</v>
      </c>
      <c r="AC5004" s="2">
        <v>3.7571115239232502</v>
      </c>
      <c r="AD5004" s="2"/>
      <c r="AE5004" s="2">
        <v>5.6675167708441401E-2</v>
      </c>
      <c r="AF5004" s="2">
        <v>4366.7217972651997</v>
      </c>
      <c r="AG5004" s="2">
        <v>3269.8370287794601</v>
      </c>
      <c r="AH5004" s="5">
        <v>1.33545548565005</v>
      </c>
      <c r="AI5004" s="5">
        <v>0.41733188783956798</v>
      </c>
      <c r="AJ5004" s="5" t="s">
        <v>139</v>
      </c>
      <c r="AK5004" s="2">
        <v>0.57224878068519802</v>
      </c>
      <c r="AL5004" s="2">
        <v>0.78390424802215597</v>
      </c>
      <c r="AM5004" s="2">
        <v>417.40387948164198</v>
      </c>
      <c r="AN5004" s="2">
        <v>9279.1163119119392</v>
      </c>
      <c r="AO5004" s="2">
        <v>2923.4652710249602</v>
      </c>
      <c r="AP5004" s="2">
        <v>5559.08688003304</v>
      </c>
      <c r="AQ5004" s="2">
        <v>4181.45638176184</v>
      </c>
      <c r="AR5004" s="2">
        <v>3839.8020593777701</v>
      </c>
      <c r="AS5004" s="2">
        <v>10155.411868997</v>
      </c>
      <c r="AT5004" s="2">
        <v>2075.86465416188</v>
      </c>
      <c r="AU5004" s="2">
        <v>438.88062923350202</v>
      </c>
      <c r="AV5004" s="2">
        <v>1580.7918893287899</v>
      </c>
      <c r="AW5004" s="2">
        <v>1697.22840470662</v>
      </c>
      <c r="AX5004" s="2">
        <v>3670.8447262489599</v>
      </c>
    </row>
    <row r="5005" spans="1:50" x14ac:dyDescent="0.25">
      <c r="A5005" s="2" t="s">
        <v>32790</v>
      </c>
      <c r="B5005" s="2">
        <v>394.33278353584598</v>
      </c>
      <c r="C5005" s="2">
        <v>13.368783333333299</v>
      </c>
      <c r="D5005" s="2" t="s">
        <v>51</v>
      </c>
      <c r="E5005" s="2" t="s">
        <v>32791</v>
      </c>
      <c r="F5005" s="2">
        <v>198480</v>
      </c>
      <c r="G5005" s="3" t="str">
        <f>HYPERLINK("https://cloud.oebiotech.com/#/lm/network/198480", "https://cloud.oebiotech.com/#/lm/network/198480")</f>
        <v>https://cloud.oebiotech.com/#/lm/network/198480</v>
      </c>
      <c r="H5005" s="2" t="s">
        <v>32792</v>
      </c>
      <c r="I5005" s="2"/>
      <c r="J5005" s="2"/>
      <c r="K5005" s="2">
        <v>75955260</v>
      </c>
      <c r="L5005" s="2"/>
      <c r="M5005" s="2"/>
      <c r="N5005" s="2"/>
      <c r="O5005" s="2"/>
      <c r="P5005" s="2"/>
      <c r="Q5005" s="2"/>
      <c r="R5005" s="2"/>
      <c r="S5005" s="2" t="s">
        <v>32793</v>
      </c>
      <c r="T5005" s="2" t="s">
        <v>32794</v>
      </c>
      <c r="U5005" s="2" t="s">
        <v>103</v>
      </c>
      <c r="V5005" s="2" t="s">
        <v>104</v>
      </c>
      <c r="W5005" s="2" t="s">
        <v>105</v>
      </c>
      <c r="X5005" s="2" t="s">
        <v>83</v>
      </c>
      <c r="Y5005" s="2">
        <v>54.7</v>
      </c>
      <c r="Z5005" s="2">
        <v>0</v>
      </c>
      <c r="AA5005" s="2" t="s">
        <v>163</v>
      </c>
      <c r="AB5005" s="2" t="s">
        <v>32795</v>
      </c>
      <c r="AC5005" s="2">
        <v>0.29256141999899599</v>
      </c>
      <c r="AD5005" s="2"/>
      <c r="AE5005" s="2">
        <v>5.6662342515482203E-2</v>
      </c>
      <c r="AF5005" s="2">
        <v>2633.75301597921</v>
      </c>
      <c r="AG5005" s="2">
        <v>2244.3682765638</v>
      </c>
      <c r="AH5005" s="5">
        <v>1.1734941379636501</v>
      </c>
      <c r="AI5005" s="5">
        <v>0.23081063508486899</v>
      </c>
      <c r="AJ5005" s="5" t="s">
        <v>139</v>
      </c>
      <c r="AK5005" s="2">
        <v>0.732110802253087</v>
      </c>
      <c r="AL5005" s="2">
        <v>0.87636111571333197</v>
      </c>
      <c r="AM5005" s="2">
        <v>3000.58049714143</v>
      </c>
      <c r="AN5005" s="2">
        <v>219.194911023901</v>
      </c>
      <c r="AO5005" s="2">
        <v>5423.9661149274098</v>
      </c>
      <c r="AP5005" s="2">
        <v>1245.3424420167601</v>
      </c>
      <c r="AQ5005" s="2">
        <v>4124.7562381689804</v>
      </c>
      <c r="AR5005" s="2">
        <v>1788.6778925967899</v>
      </c>
      <c r="AS5005" s="2">
        <v>285.083788425048</v>
      </c>
      <c r="AT5005" s="2">
        <v>799.81180774570498</v>
      </c>
      <c r="AU5005" s="2">
        <v>3994.0910601810801</v>
      </c>
      <c r="AV5005" s="2">
        <v>4732.6140378262098</v>
      </c>
      <c r="AW5005" s="2">
        <v>2958.7458363451201</v>
      </c>
      <c r="AX5005" s="2">
        <v>695.86312885964298</v>
      </c>
    </row>
    <row r="5006" spans="1:50" x14ac:dyDescent="0.25">
      <c r="A5006" s="2" t="s">
        <v>32796</v>
      </c>
      <c r="B5006" s="2">
        <v>321.07040058372098</v>
      </c>
      <c r="C5006" s="2">
        <v>4.9210500000000001</v>
      </c>
      <c r="D5006" s="2" t="s">
        <v>51</v>
      </c>
      <c r="E5006" s="2" t="s">
        <v>32797</v>
      </c>
      <c r="F5006" s="2">
        <v>52846</v>
      </c>
      <c r="G5006" s="3" t="str">
        <f>HYPERLINK("https://cloud.oebiotech.com/#/lm/network/52846", "https://cloud.oebiotech.com/#/lm/network/52846")</f>
        <v>https://cloud.oebiotech.com/#/lm/network/52846</v>
      </c>
      <c r="H5006" s="2" t="s">
        <v>32798</v>
      </c>
      <c r="I5006" s="2">
        <v>553</v>
      </c>
      <c r="J5006" s="2"/>
      <c r="K5006" s="2">
        <v>3397</v>
      </c>
      <c r="L5006" s="2" t="s">
        <v>32799</v>
      </c>
      <c r="M5006" s="2"/>
      <c r="N5006" s="2"/>
      <c r="O5006" s="2">
        <v>5132</v>
      </c>
      <c r="P5006" s="2"/>
      <c r="Q5006" s="2"/>
      <c r="R5006" s="2" t="s">
        <v>32800</v>
      </c>
      <c r="S5006" s="2" t="s">
        <v>32801</v>
      </c>
      <c r="T5006" s="2" t="s">
        <v>32802</v>
      </c>
      <c r="U5006" s="2" t="s">
        <v>610</v>
      </c>
      <c r="V5006" s="2" t="s">
        <v>611</v>
      </c>
      <c r="W5006" s="2" t="s">
        <v>3746</v>
      </c>
      <c r="X5006" s="2" t="s">
        <v>147</v>
      </c>
      <c r="Y5006" s="2">
        <v>37.5</v>
      </c>
      <c r="Z5006" s="2">
        <v>0</v>
      </c>
      <c r="AA5006" s="2" t="s">
        <v>218</v>
      </c>
      <c r="AB5006" s="2" t="s">
        <v>32803</v>
      </c>
      <c r="AC5006" s="2">
        <v>7.5460958193687006E-2</v>
      </c>
      <c r="AD5006" s="2"/>
      <c r="AE5006" s="2">
        <v>5.6611596362381403E-2</v>
      </c>
      <c r="AF5006" s="2">
        <v>750.55922840753794</v>
      </c>
      <c r="AG5006" s="2">
        <v>609.30156820039304</v>
      </c>
      <c r="AH5006" s="5">
        <v>1.2318353793579699</v>
      </c>
      <c r="AI5006" s="5">
        <v>0.300809469301829</v>
      </c>
      <c r="AJ5006" s="5" t="s">
        <v>139</v>
      </c>
      <c r="AK5006" s="2">
        <v>0.73337488222152103</v>
      </c>
      <c r="AL5006" s="2">
        <v>0.87695736399617197</v>
      </c>
      <c r="AM5006" s="2">
        <v>2467.6159126899001</v>
      </c>
      <c r="AN5006" s="2">
        <v>8.559877937157E-6</v>
      </c>
      <c r="AO5006" s="2">
        <v>305.41800649589698</v>
      </c>
      <c r="AP5006" s="2">
        <v>814.65931844039096</v>
      </c>
      <c r="AQ5006" s="2">
        <v>521.996738999336</v>
      </c>
      <c r="AR5006" s="2">
        <v>393.66538525982799</v>
      </c>
      <c r="AS5006" s="2">
        <v>299.73166570862998</v>
      </c>
      <c r="AT5006" s="2">
        <v>679.44667737460702</v>
      </c>
      <c r="AU5006" s="2">
        <v>937.76691571061099</v>
      </c>
      <c r="AV5006" s="2">
        <v>1236.40888972685</v>
      </c>
      <c r="AW5006" s="2">
        <v>502.45525212178501</v>
      </c>
      <c r="AX5006" s="2">
        <v>8.559877937157E-6</v>
      </c>
    </row>
    <row r="5007" spans="1:50" x14ac:dyDescent="0.25">
      <c r="A5007" s="2" t="s">
        <v>32804</v>
      </c>
      <c r="B5007" s="2">
        <v>442.15255264644497</v>
      </c>
      <c r="C5007" s="2">
        <v>1.6289833333333299</v>
      </c>
      <c r="D5007" s="2" t="s">
        <v>51</v>
      </c>
      <c r="E5007" s="2" t="s">
        <v>32805</v>
      </c>
      <c r="F5007" s="2">
        <v>257621</v>
      </c>
      <c r="G5007" s="3" t="str">
        <f>HYPERLINK("https://cloud.oebiotech.com/#/lm/network/257621", "https://cloud.oebiotech.com/#/lm/network/257621")</f>
        <v>https://cloud.oebiotech.com/#/lm/network/257621</v>
      </c>
      <c r="H5007" s="2" t="s">
        <v>32806</v>
      </c>
      <c r="I5007" s="2">
        <v>411011</v>
      </c>
      <c r="J5007" s="2"/>
      <c r="K5007" s="2">
        <v>56649450</v>
      </c>
      <c r="L5007" s="2"/>
      <c r="M5007" s="2"/>
      <c r="N5007" s="2"/>
      <c r="O5007" s="2"/>
      <c r="P5007" s="2"/>
      <c r="Q5007" s="2"/>
      <c r="R5007" s="2"/>
      <c r="S5007" s="2" t="s">
        <v>32807</v>
      </c>
      <c r="T5007" s="2" t="s">
        <v>32808</v>
      </c>
      <c r="U5007" s="2" t="s">
        <v>103</v>
      </c>
      <c r="V5007" s="2" t="s">
        <v>104</v>
      </c>
      <c r="W5007" s="2" t="s">
        <v>105</v>
      </c>
      <c r="X5007" s="2" t="s">
        <v>147</v>
      </c>
      <c r="Y5007" s="2">
        <v>36.9</v>
      </c>
      <c r="Z5007" s="2">
        <v>0</v>
      </c>
      <c r="AA5007" s="2" t="s">
        <v>259</v>
      </c>
      <c r="AB5007" s="2" t="s">
        <v>32809</v>
      </c>
      <c r="AC5007" s="2">
        <v>1.46343339611792</v>
      </c>
      <c r="AD5007" s="2"/>
      <c r="AE5007" s="2">
        <v>5.65664806023893E-2</v>
      </c>
      <c r="AF5007" s="2">
        <v>321.10499436908702</v>
      </c>
      <c r="AG5007" s="2">
        <v>531.304288266551</v>
      </c>
      <c r="AH5007" s="4">
        <v>0.60437117008171304</v>
      </c>
      <c r="AI5007" s="4">
        <v>-0.72649325267079201</v>
      </c>
      <c r="AJ5007" s="4" t="s">
        <v>62</v>
      </c>
      <c r="AK5007" s="2">
        <v>0.64856167613615501</v>
      </c>
      <c r="AL5007" s="2">
        <v>0.82895816387951604</v>
      </c>
      <c r="AM5007" s="2">
        <v>8.559877937157E-6</v>
      </c>
      <c r="AN5007" s="2">
        <v>209.94369181772899</v>
      </c>
      <c r="AO5007" s="2">
        <v>196.25111046263001</v>
      </c>
      <c r="AP5007" s="2">
        <v>8.559877937157E-6</v>
      </c>
      <c r="AQ5007" s="2">
        <v>8.559877937157E-6</v>
      </c>
      <c r="AR5007" s="2">
        <v>1520.4351382545301</v>
      </c>
      <c r="AS5007" s="2">
        <v>2360.9160422775899</v>
      </c>
      <c r="AT5007" s="2">
        <v>474.071256647788</v>
      </c>
      <c r="AU5007" s="2">
        <v>8.559877937157E-6</v>
      </c>
      <c r="AV5007" s="2">
        <v>8.559877937157E-6</v>
      </c>
      <c r="AW5007" s="2">
        <v>8.559877937157E-6</v>
      </c>
      <c r="AX5007" s="2">
        <v>352.838404994293</v>
      </c>
    </row>
    <row r="5008" spans="1:50" x14ac:dyDescent="0.25">
      <c r="A5008" s="2" t="s">
        <v>32810</v>
      </c>
      <c r="B5008" s="2">
        <v>307.19166031540499</v>
      </c>
      <c r="C5008" s="2">
        <v>7.4851333333333301</v>
      </c>
      <c r="D5008" s="2" t="s">
        <v>51</v>
      </c>
      <c r="E5008" s="2" t="s">
        <v>32811</v>
      </c>
      <c r="F5008" s="2">
        <v>202910</v>
      </c>
      <c r="G5008" s="3" t="str">
        <f>HYPERLINK("https://cloud.oebiotech.com/#/lm/network/202910", "https://cloud.oebiotech.com/#/lm/network/202910")</f>
        <v>https://cloud.oebiotech.com/#/lm/network/202910</v>
      </c>
      <c r="H5008" s="2" t="s">
        <v>32812</v>
      </c>
      <c r="I5008" s="2"/>
      <c r="J5008" s="2"/>
      <c r="K5008" s="2">
        <v>456854</v>
      </c>
      <c r="L5008" s="2"/>
      <c r="M5008" s="2"/>
      <c r="N5008" s="2"/>
      <c r="O5008" s="2"/>
      <c r="P5008" s="2"/>
      <c r="Q5008" s="2"/>
      <c r="R5008" s="2"/>
      <c r="S5008" s="2" t="s">
        <v>32813</v>
      </c>
      <c r="T5008" s="2" t="s">
        <v>32814</v>
      </c>
      <c r="U5008" s="2" t="s">
        <v>56</v>
      </c>
      <c r="V5008" s="2" t="s">
        <v>145</v>
      </c>
      <c r="W5008" s="2" t="s">
        <v>146</v>
      </c>
      <c r="X5008" s="2" t="s">
        <v>83</v>
      </c>
      <c r="Y5008" s="2">
        <v>52.9</v>
      </c>
      <c r="Z5008" s="2">
        <v>0</v>
      </c>
      <c r="AA5008" s="2" t="s">
        <v>379</v>
      </c>
      <c r="AB5008" s="2" t="s">
        <v>12004</v>
      </c>
      <c r="AC5008" s="2">
        <v>0.54374750074412803</v>
      </c>
      <c r="AD5008" s="2"/>
      <c r="AE5008" s="2">
        <v>5.6428411169092398E-2</v>
      </c>
      <c r="AF5008" s="2">
        <v>618.61713928739903</v>
      </c>
      <c r="AG5008" s="2">
        <v>1292.8658488567801</v>
      </c>
      <c r="AH5008" s="4">
        <v>0.478485172946917</v>
      </c>
      <c r="AI5008" s="4">
        <v>-1.06345387497727</v>
      </c>
      <c r="AJ5008" s="4" t="s">
        <v>62</v>
      </c>
      <c r="AK5008" s="2">
        <v>0.47482988306865598</v>
      </c>
      <c r="AL5008" s="2">
        <v>0.720891618216292</v>
      </c>
      <c r="AM5008" s="2">
        <v>949.26187284737796</v>
      </c>
      <c r="AN5008" s="2">
        <v>1508.7735751666301</v>
      </c>
      <c r="AO5008" s="2">
        <v>584.42866086823994</v>
      </c>
      <c r="AP5008" s="2">
        <v>8.559877937157E-6</v>
      </c>
      <c r="AQ5008" s="2">
        <v>462.11202702909799</v>
      </c>
      <c r="AR5008" s="2">
        <v>207.12669125317001</v>
      </c>
      <c r="AS5008" s="2">
        <v>653.31364327613903</v>
      </c>
      <c r="AT5008" s="2">
        <v>8.559877937157E-6</v>
      </c>
      <c r="AU5008" s="2">
        <v>5635.3410275886599</v>
      </c>
      <c r="AV5008" s="2">
        <v>342.60001477572899</v>
      </c>
      <c r="AW5008" s="2">
        <v>980.56848256909097</v>
      </c>
      <c r="AX5008" s="2">
        <v>145.37191637118701</v>
      </c>
    </row>
    <row r="5009" spans="1:50" x14ac:dyDescent="0.25">
      <c r="A5009" s="2" t="s">
        <v>32815</v>
      </c>
      <c r="B5009" s="2">
        <v>348.08157981669501</v>
      </c>
      <c r="C5009" s="2">
        <v>4.2211666666666696</v>
      </c>
      <c r="D5009" s="2" t="s">
        <v>51</v>
      </c>
      <c r="E5009" s="2" t="s">
        <v>32816</v>
      </c>
      <c r="F5009" s="2">
        <v>212760</v>
      </c>
      <c r="G5009" s="3" t="str">
        <f>HYPERLINK("https://cloud.oebiotech.com/#/lm/network/212760", "https://cloud.oebiotech.com/#/lm/network/212760")</f>
        <v>https://cloud.oebiotech.com/#/lm/network/212760</v>
      </c>
      <c r="H5009" s="2" t="s">
        <v>32817</v>
      </c>
      <c r="I5009" s="2">
        <v>70101</v>
      </c>
      <c r="J5009" s="2"/>
      <c r="K5009" s="2">
        <v>124225</v>
      </c>
      <c r="L5009" s="2" t="s">
        <v>32818</v>
      </c>
      <c r="M5009" s="2"/>
      <c r="N5009" s="2"/>
      <c r="O5009" s="2"/>
      <c r="P5009" s="2"/>
      <c r="Q5009" s="2"/>
      <c r="R5009" s="2" t="s">
        <v>32819</v>
      </c>
      <c r="S5009" s="2" t="s">
        <v>32820</v>
      </c>
      <c r="T5009" s="2" t="s">
        <v>32821</v>
      </c>
      <c r="U5009" s="2" t="s">
        <v>266</v>
      </c>
      <c r="V5009" s="2" t="s">
        <v>1393</v>
      </c>
      <c r="W5009" s="2" t="s">
        <v>1643</v>
      </c>
      <c r="X5009" s="2" t="s">
        <v>147</v>
      </c>
      <c r="Y5009" s="2">
        <v>36.700000000000003</v>
      </c>
      <c r="Z5009" s="2">
        <v>0</v>
      </c>
      <c r="AA5009" s="2" t="s">
        <v>163</v>
      </c>
      <c r="AB5009" s="2" t="s">
        <v>32822</v>
      </c>
      <c r="AC5009" s="2">
        <v>-2.2468656008666601</v>
      </c>
      <c r="AD5009" s="2"/>
      <c r="AE5009" s="2">
        <v>5.63241859372983E-2</v>
      </c>
      <c r="AF5009" s="2">
        <v>2373.7333358118999</v>
      </c>
      <c r="AG5009" s="2">
        <v>1744.07423457358</v>
      </c>
      <c r="AH5009" s="5">
        <v>1.3610276952415801</v>
      </c>
      <c r="AI5009" s="5">
        <v>0.44469642421233802</v>
      </c>
      <c r="AJ5009" s="5" t="s">
        <v>139</v>
      </c>
      <c r="AK5009" s="2">
        <v>0.55132723907363801</v>
      </c>
      <c r="AL5009" s="2">
        <v>0.77238447628740203</v>
      </c>
      <c r="AM5009" s="2">
        <v>364.10896400290397</v>
      </c>
      <c r="AN5009" s="2">
        <v>2237.2909829847499</v>
      </c>
      <c r="AO5009" s="2">
        <v>1794.3092783346799</v>
      </c>
      <c r="AP5009" s="2">
        <v>1937.5790198316899</v>
      </c>
      <c r="AQ5009" s="2">
        <v>1332.33106815886</v>
      </c>
      <c r="AR5009" s="2">
        <v>6576.7807015585004</v>
      </c>
      <c r="AS5009" s="2">
        <v>8.559877937157E-6</v>
      </c>
      <c r="AT5009" s="2">
        <v>2361.0568516063699</v>
      </c>
      <c r="AU5009" s="2">
        <v>1785.3215706701401</v>
      </c>
      <c r="AV5009" s="2">
        <v>3501.33814208073</v>
      </c>
      <c r="AW5009" s="2">
        <v>2189.8487701070098</v>
      </c>
      <c r="AX5009" s="2">
        <v>626.88006441733</v>
      </c>
    </row>
    <row r="5010" spans="1:50" x14ac:dyDescent="0.25">
      <c r="A5010" s="2" t="s">
        <v>32823</v>
      </c>
      <c r="B5010" s="2">
        <v>453.193843522988</v>
      </c>
      <c r="C5010" s="2">
        <v>4.9626666666666699</v>
      </c>
      <c r="D5010" s="2" t="s">
        <v>51</v>
      </c>
      <c r="E5010" s="2" t="s">
        <v>32824</v>
      </c>
      <c r="F5010" s="2">
        <v>82859</v>
      </c>
      <c r="G5010" s="3" t="str">
        <f>HYPERLINK("https://cloud.oebiotech.com/#/lm/network/82859", "https://cloud.oebiotech.com/#/lm/network/82859")</f>
        <v>https://cloud.oebiotech.com/#/lm/network/82859</v>
      </c>
      <c r="H5010" s="2" t="s">
        <v>32825</v>
      </c>
      <c r="I5010" s="2"/>
      <c r="J5010" s="2"/>
      <c r="K5010" s="2">
        <v>131770005</v>
      </c>
      <c r="L5010" s="2"/>
      <c r="M5010" s="2"/>
      <c r="N5010" s="2"/>
      <c r="O5010" s="2"/>
      <c r="P5010" s="2"/>
      <c r="Q5010" s="2"/>
      <c r="R5010" s="2"/>
      <c r="S5010" s="2" t="s">
        <v>32826</v>
      </c>
      <c r="T5010" s="2" t="s">
        <v>32827</v>
      </c>
      <c r="U5010" s="2" t="s">
        <v>56</v>
      </c>
      <c r="V5010" s="2" t="s">
        <v>283</v>
      </c>
      <c r="W5010" s="2" t="s">
        <v>492</v>
      </c>
      <c r="X5010" s="2" t="s">
        <v>147</v>
      </c>
      <c r="Y5010" s="2">
        <v>37.799999999999997</v>
      </c>
      <c r="Z5010" s="2">
        <v>0</v>
      </c>
      <c r="AA5010" s="2" t="s">
        <v>218</v>
      </c>
      <c r="AB5010" s="2" t="s">
        <v>32828</v>
      </c>
      <c r="AC5010" s="2">
        <v>2.01811871272298</v>
      </c>
      <c r="AD5010" s="2"/>
      <c r="AE5010" s="2">
        <v>5.6316148094549101E-2</v>
      </c>
      <c r="AF5010" s="2">
        <v>2240.2806617299698</v>
      </c>
      <c r="AG5010" s="2">
        <v>2439.2782310439502</v>
      </c>
      <c r="AH5010" s="4">
        <v>0.91841948705096499</v>
      </c>
      <c r="AI5010" s="4">
        <v>-0.122774841404329</v>
      </c>
      <c r="AJ5010" s="4" t="s">
        <v>62</v>
      </c>
      <c r="AK5010" s="2">
        <v>0.89425956554886998</v>
      </c>
      <c r="AL5010" s="2">
        <v>0.95523912210572803</v>
      </c>
      <c r="AM5010" s="2">
        <v>1555.66849764821</v>
      </c>
      <c r="AN5010" s="2">
        <v>533.04794043804804</v>
      </c>
      <c r="AO5010" s="2">
        <v>3018.6874962340798</v>
      </c>
      <c r="AP5010" s="2">
        <v>1297.8375154410201</v>
      </c>
      <c r="AQ5010" s="2">
        <v>593.26290323622698</v>
      </c>
      <c r="AR5010" s="2">
        <v>6443.1796173822604</v>
      </c>
      <c r="AS5010" s="2">
        <v>516.53868066404596</v>
      </c>
      <c r="AT5010" s="2">
        <v>10.863018430508999</v>
      </c>
      <c r="AU5010" s="2">
        <v>2511.0735091943902</v>
      </c>
      <c r="AV5010" s="2">
        <v>6407.3281433563498</v>
      </c>
      <c r="AW5010" s="2">
        <v>5170.2214542923202</v>
      </c>
      <c r="AX5010" s="2">
        <v>19.644580326107601</v>
      </c>
    </row>
    <row r="5011" spans="1:50" x14ac:dyDescent="0.25">
      <c r="A5011" s="2" t="s">
        <v>32829</v>
      </c>
      <c r="B5011" s="2">
        <v>321.14732321550503</v>
      </c>
      <c r="C5011" s="2">
        <v>7.8025333333333302</v>
      </c>
      <c r="D5011" s="2" t="s">
        <v>51</v>
      </c>
      <c r="E5011" s="2" t="s">
        <v>32830</v>
      </c>
      <c r="F5011" s="2">
        <v>202744</v>
      </c>
      <c r="G5011" s="3" t="str">
        <f>HYPERLINK("https://cloud.oebiotech.com/#/lm/network/202744", "https://cloud.oebiotech.com/#/lm/network/202744")</f>
        <v>https://cloud.oebiotech.com/#/lm/network/202744</v>
      </c>
      <c r="H5011" s="2" t="s">
        <v>32831</v>
      </c>
      <c r="I5011" s="2"/>
      <c r="J5011" s="2"/>
      <c r="K5011" s="2"/>
      <c r="L5011" s="2"/>
      <c r="M5011" s="2"/>
      <c r="N5011" s="2"/>
      <c r="O5011" s="2"/>
      <c r="P5011" s="2"/>
      <c r="Q5011" s="2"/>
      <c r="R5011" s="2"/>
      <c r="S5011" s="2" t="s">
        <v>32832</v>
      </c>
      <c r="T5011" s="2" t="s">
        <v>32833</v>
      </c>
      <c r="U5011" s="2" t="s">
        <v>103</v>
      </c>
      <c r="V5011" s="2" t="s">
        <v>1567</v>
      </c>
      <c r="W5011" s="2" t="s">
        <v>1568</v>
      </c>
      <c r="X5011" s="2" t="s">
        <v>83</v>
      </c>
      <c r="Y5011" s="2">
        <v>47.9</v>
      </c>
      <c r="Z5011" s="2">
        <v>0</v>
      </c>
      <c r="AA5011" s="2" t="s">
        <v>163</v>
      </c>
      <c r="AB5011" s="2" t="s">
        <v>32834</v>
      </c>
      <c r="AC5011" s="2">
        <v>0.23105140377219199</v>
      </c>
      <c r="AD5011" s="2"/>
      <c r="AE5011" s="2">
        <v>5.6308597551027101E-2</v>
      </c>
      <c r="AF5011" s="2">
        <v>11962.318873987</v>
      </c>
      <c r="AG5011" s="2">
        <v>11678.0650235421</v>
      </c>
      <c r="AH5011" s="5">
        <v>1.0243408347078</v>
      </c>
      <c r="AI5011" s="5">
        <v>3.4695831282395201E-2</v>
      </c>
      <c r="AJ5011" s="5" t="s">
        <v>139</v>
      </c>
      <c r="AK5011" s="2">
        <v>0.90423583038705002</v>
      </c>
      <c r="AL5011" s="2">
        <v>0.96002291219740998</v>
      </c>
      <c r="AM5011" s="2">
        <v>9213.8409909390593</v>
      </c>
      <c r="AN5011" s="2">
        <v>7121.8921276513101</v>
      </c>
      <c r="AO5011" s="2">
        <v>9416.2099860129492</v>
      </c>
      <c r="AP5011" s="2">
        <v>15232.3758687105</v>
      </c>
      <c r="AQ5011" s="2">
        <v>10050.172408137299</v>
      </c>
      <c r="AR5011" s="2">
        <v>20739.421862471099</v>
      </c>
      <c r="AS5011" s="2">
        <v>14523.951370647401</v>
      </c>
      <c r="AT5011" s="2">
        <v>10296.7145817002</v>
      </c>
      <c r="AU5011" s="2">
        <v>9835.5008627928091</v>
      </c>
      <c r="AV5011" s="2">
        <v>10025.670974020501</v>
      </c>
      <c r="AW5011" s="2">
        <v>10229.5844470876</v>
      </c>
      <c r="AX5011" s="2">
        <v>15156.9679050041</v>
      </c>
    </row>
    <row r="5012" spans="1:50" x14ac:dyDescent="0.25">
      <c r="A5012" s="2" t="s">
        <v>32835</v>
      </c>
      <c r="B5012" s="2">
        <v>413.14230326330102</v>
      </c>
      <c r="C5012" s="2">
        <v>0.74113333333333298</v>
      </c>
      <c r="D5012" s="2" t="s">
        <v>51</v>
      </c>
      <c r="E5012" s="2" t="s">
        <v>32836</v>
      </c>
      <c r="F5012" s="2">
        <v>54806</v>
      </c>
      <c r="G5012" s="3" t="str">
        <f>HYPERLINK("https://cloud.oebiotech.com/#/lm/network/54806", "https://cloud.oebiotech.com/#/lm/network/54806")</f>
        <v>https://cloud.oebiotech.com/#/lm/network/54806</v>
      </c>
      <c r="H5012" s="2" t="s">
        <v>32837</v>
      </c>
      <c r="I5012" s="2">
        <v>86603</v>
      </c>
      <c r="J5012" s="2"/>
      <c r="K5012" s="2">
        <v>255450</v>
      </c>
      <c r="L5012" s="2"/>
      <c r="M5012" s="2"/>
      <c r="N5012" s="2"/>
      <c r="O5012" s="2">
        <v>681033</v>
      </c>
      <c r="P5012" s="2"/>
      <c r="Q5012" s="2"/>
      <c r="R5012" s="2" t="s">
        <v>32838</v>
      </c>
      <c r="S5012" s="2" t="s">
        <v>32839</v>
      </c>
      <c r="T5012" s="2" t="s">
        <v>32840</v>
      </c>
      <c r="U5012" s="2" t="s">
        <v>266</v>
      </c>
      <c r="V5012" s="2" t="s">
        <v>2772</v>
      </c>
      <c r="W5012" s="2" t="s">
        <v>2773</v>
      </c>
      <c r="X5012" s="2" t="s">
        <v>147</v>
      </c>
      <c r="Y5012" s="2">
        <v>37</v>
      </c>
      <c r="Z5012" s="2">
        <v>0</v>
      </c>
      <c r="AA5012" s="2" t="s">
        <v>478</v>
      </c>
      <c r="AB5012" s="2" t="s">
        <v>32841</v>
      </c>
      <c r="AC5012" s="2">
        <v>-4.0309143171128898</v>
      </c>
      <c r="AD5012" s="2"/>
      <c r="AE5012" s="2">
        <v>5.6296956420673602E-2</v>
      </c>
      <c r="AF5012" s="2">
        <v>1428.3635643801599</v>
      </c>
      <c r="AG5012" s="2">
        <v>1675.71178699916</v>
      </c>
      <c r="AH5012" s="4">
        <v>0.85239214491535598</v>
      </c>
      <c r="AI5012" s="4">
        <v>-0.23041079663286301</v>
      </c>
      <c r="AJ5012" s="4" t="s">
        <v>62</v>
      </c>
      <c r="AK5012" s="2">
        <v>0.87765412102150697</v>
      </c>
      <c r="AL5012" s="2">
        <v>0.94752328784861595</v>
      </c>
      <c r="AM5012" s="2">
        <v>1809.54752928945</v>
      </c>
      <c r="AN5012" s="2">
        <v>8.559877937157E-6</v>
      </c>
      <c r="AO5012" s="2">
        <v>8.559877937157E-6</v>
      </c>
      <c r="AP5012" s="2">
        <v>180.47000772156699</v>
      </c>
      <c r="AQ5012" s="2">
        <v>4095.20691729081</v>
      </c>
      <c r="AR5012" s="2">
        <v>2484.95691485936</v>
      </c>
      <c r="AS5012" s="2">
        <v>8.559877937157E-6</v>
      </c>
      <c r="AT5012" s="2">
        <v>8.559877937157E-6</v>
      </c>
      <c r="AU5012" s="2">
        <v>8.559877937157E-6</v>
      </c>
      <c r="AV5012" s="2">
        <v>8624.3015781808408</v>
      </c>
      <c r="AW5012" s="2">
        <v>8.559877937157E-6</v>
      </c>
      <c r="AX5012" s="2">
        <v>1429.9691095746</v>
      </c>
    </row>
    <row r="5013" spans="1:50" x14ac:dyDescent="0.25">
      <c r="A5013" s="2" t="s">
        <v>32842</v>
      </c>
      <c r="B5013" s="2">
        <v>208.06093792403499</v>
      </c>
      <c r="C5013" s="2">
        <v>3.69625</v>
      </c>
      <c r="D5013" s="2" t="s">
        <v>51</v>
      </c>
      <c r="E5013" s="2" t="s">
        <v>32843</v>
      </c>
      <c r="F5013" s="2">
        <v>202236</v>
      </c>
      <c r="G5013" s="3" t="str">
        <f>HYPERLINK("https://cloud.oebiotech.com/#/lm/network/202236", "https://cloud.oebiotech.com/#/lm/network/202236")</f>
        <v>https://cloud.oebiotech.com/#/lm/network/202236</v>
      </c>
      <c r="H5013" s="2" t="s">
        <v>32844</v>
      </c>
      <c r="I5013" s="2"/>
      <c r="J5013" s="2"/>
      <c r="K5013" s="2">
        <v>2774040</v>
      </c>
      <c r="L5013" s="2"/>
      <c r="M5013" s="2"/>
      <c r="N5013" s="2"/>
      <c r="O5013" s="2"/>
      <c r="P5013" s="2"/>
      <c r="Q5013" s="2"/>
      <c r="R5013" s="2"/>
      <c r="S5013" s="2" t="s">
        <v>32845</v>
      </c>
      <c r="T5013" s="2" t="s">
        <v>32846</v>
      </c>
      <c r="U5013" s="2" t="s">
        <v>266</v>
      </c>
      <c r="V5013" s="2" t="s">
        <v>1393</v>
      </c>
      <c r="W5013" s="2" t="s">
        <v>19215</v>
      </c>
      <c r="X5013" s="2" t="s">
        <v>83</v>
      </c>
      <c r="Y5013" s="2">
        <v>39.4</v>
      </c>
      <c r="Z5013" s="2">
        <v>0</v>
      </c>
      <c r="AA5013" s="2" t="s">
        <v>218</v>
      </c>
      <c r="AB5013" s="2" t="s">
        <v>32694</v>
      </c>
      <c r="AC5013" s="2">
        <v>-3.6395584454447598</v>
      </c>
      <c r="AD5013" s="2"/>
      <c r="AE5013" s="2">
        <v>5.6265918565207101E-2</v>
      </c>
      <c r="AF5013" s="2">
        <v>323.78211170885697</v>
      </c>
      <c r="AG5013" s="2">
        <v>227.26118023758701</v>
      </c>
      <c r="AH5013" s="5">
        <v>1.4247136768821</v>
      </c>
      <c r="AI5013" s="5">
        <v>0.51067201159505204</v>
      </c>
      <c r="AJ5013" s="5" t="s">
        <v>139</v>
      </c>
      <c r="AK5013" s="2">
        <v>0.24002497907717399</v>
      </c>
      <c r="AL5013" s="2">
        <v>0.56436764387373395</v>
      </c>
      <c r="AM5013" s="2">
        <v>472.50974367910698</v>
      </c>
      <c r="AN5013" s="2">
        <v>386.25149031571101</v>
      </c>
      <c r="AO5013" s="2">
        <v>207.15261766524799</v>
      </c>
      <c r="AP5013" s="2">
        <v>229.17761251413401</v>
      </c>
      <c r="AQ5013" s="2">
        <v>258.64118324707403</v>
      </c>
      <c r="AR5013" s="2">
        <v>388.96002283186903</v>
      </c>
      <c r="AS5013" s="2">
        <v>316.66871361051301</v>
      </c>
      <c r="AT5013" s="2">
        <v>160.30790058207799</v>
      </c>
      <c r="AU5013" s="2">
        <v>457.86671444274299</v>
      </c>
      <c r="AV5013" s="2">
        <v>8.559877937157E-6</v>
      </c>
      <c r="AW5013" s="2">
        <v>167.52783088280901</v>
      </c>
      <c r="AX5013" s="2">
        <v>261.19591334749998</v>
      </c>
    </row>
    <row r="5014" spans="1:50" x14ac:dyDescent="0.25">
      <c r="A5014" s="2" t="s">
        <v>32847</v>
      </c>
      <c r="B5014" s="2">
        <v>173.117485578491</v>
      </c>
      <c r="C5014" s="2">
        <v>6.1134166666666703</v>
      </c>
      <c r="D5014" s="2" t="s">
        <v>51</v>
      </c>
      <c r="E5014" s="2" t="s">
        <v>32848</v>
      </c>
      <c r="F5014" s="2">
        <v>1792</v>
      </c>
      <c r="G5014" s="3" t="str">
        <f>HYPERLINK("https://cloud.oebiotech.com/#/lm/network/1792", "https://cloud.oebiotech.com/#/lm/network/1792")</f>
        <v>https://cloud.oebiotech.com/#/lm/network/1792</v>
      </c>
      <c r="H5014" s="2"/>
      <c r="I5014" s="2">
        <v>74605</v>
      </c>
      <c r="J5014" s="2" t="s">
        <v>32849</v>
      </c>
      <c r="K5014" s="2">
        <v>5312792</v>
      </c>
      <c r="L5014" s="2"/>
      <c r="M5014" s="2"/>
      <c r="N5014" s="2"/>
      <c r="O5014" s="2"/>
      <c r="P5014" s="2"/>
      <c r="Q5014" s="2"/>
      <c r="R5014" s="2"/>
      <c r="S5014" s="2" t="s">
        <v>32850</v>
      </c>
      <c r="T5014" s="2" t="s">
        <v>32851</v>
      </c>
      <c r="U5014" s="2" t="s">
        <v>103</v>
      </c>
      <c r="V5014" s="2" t="s">
        <v>377</v>
      </c>
      <c r="W5014" s="2" t="s">
        <v>378</v>
      </c>
      <c r="X5014" s="2" t="s">
        <v>83</v>
      </c>
      <c r="Y5014" s="2">
        <v>41</v>
      </c>
      <c r="Z5014" s="2">
        <v>0</v>
      </c>
      <c r="AA5014" s="2" t="s">
        <v>163</v>
      </c>
      <c r="AB5014" s="2" t="s">
        <v>7431</v>
      </c>
      <c r="AC5014" s="2">
        <v>-4.7806036321102496</v>
      </c>
      <c r="AD5014" s="2"/>
      <c r="AE5014" s="2">
        <v>5.6238454786063402E-2</v>
      </c>
      <c r="AF5014" s="2">
        <v>1434.45791946848</v>
      </c>
      <c r="AG5014" s="2">
        <v>1271.2763638981701</v>
      </c>
      <c r="AH5014" s="5">
        <v>1.1283604102179201</v>
      </c>
      <c r="AI5014" s="5">
        <v>0.174227953361308</v>
      </c>
      <c r="AJ5014" s="5" t="s">
        <v>139</v>
      </c>
      <c r="AK5014" s="2">
        <v>0.48244015524568001</v>
      </c>
      <c r="AL5014" s="2">
        <v>0.72659746364627098</v>
      </c>
      <c r="AM5014" s="2">
        <v>1284.64155715384</v>
      </c>
      <c r="AN5014" s="2">
        <v>2191.6064257774001</v>
      </c>
      <c r="AO5014" s="2">
        <v>1197.0986421120199</v>
      </c>
      <c r="AP5014" s="2">
        <v>1217.01517838112</v>
      </c>
      <c r="AQ5014" s="2">
        <v>1163.98759654131</v>
      </c>
      <c r="AR5014" s="2">
        <v>1552.3981168451801</v>
      </c>
      <c r="AS5014" s="2">
        <v>1622.8874389735299</v>
      </c>
      <c r="AT5014" s="2">
        <v>1329.63852563867</v>
      </c>
      <c r="AU5014" s="2">
        <v>1518.0778726037199</v>
      </c>
      <c r="AV5014" s="2">
        <v>1091.22144073768</v>
      </c>
      <c r="AW5014" s="2">
        <v>596.59194119999597</v>
      </c>
      <c r="AX5014" s="2">
        <v>1469.2409642354201</v>
      </c>
    </row>
    <row r="5015" spans="1:50" x14ac:dyDescent="0.25">
      <c r="A5015" s="2" t="s">
        <v>32852</v>
      </c>
      <c r="B5015" s="2">
        <v>489.25727127154897</v>
      </c>
      <c r="C5015" s="2">
        <v>4.2174666666666702</v>
      </c>
      <c r="D5015" s="2" t="s">
        <v>51</v>
      </c>
      <c r="E5015" s="2" t="s">
        <v>32853</v>
      </c>
      <c r="F5015" s="2">
        <v>45253</v>
      </c>
      <c r="G5015" s="3" t="str">
        <f>HYPERLINK("https://cloud.oebiotech.com/#/lm/network/45253", "https://cloud.oebiotech.com/#/lm/network/45253")</f>
        <v>https://cloud.oebiotech.com/#/lm/network/45253</v>
      </c>
      <c r="H5015" s="2"/>
      <c r="I5015" s="2">
        <v>42021</v>
      </c>
      <c r="J5015" s="2" t="s">
        <v>32854</v>
      </c>
      <c r="K5015" s="2">
        <v>9547332</v>
      </c>
      <c r="L5015" s="2"/>
      <c r="M5015" s="2"/>
      <c r="N5015" s="2"/>
      <c r="O5015" s="2"/>
      <c r="P5015" s="2"/>
      <c r="Q5015" s="2"/>
      <c r="R5015" s="2"/>
      <c r="S5015" s="2" t="s">
        <v>32855</v>
      </c>
      <c r="T5015" s="2" t="s">
        <v>32856</v>
      </c>
      <c r="U5015" s="2" t="s">
        <v>56</v>
      </c>
      <c r="V5015" s="2" t="s">
        <v>283</v>
      </c>
      <c r="W5015" s="2" t="s">
        <v>420</v>
      </c>
      <c r="X5015" s="2" t="s">
        <v>147</v>
      </c>
      <c r="Y5015" s="2">
        <v>41.2</v>
      </c>
      <c r="Z5015" s="2">
        <v>16.2</v>
      </c>
      <c r="AA5015" s="2" t="s">
        <v>156</v>
      </c>
      <c r="AB5015" s="2" t="s">
        <v>32857</v>
      </c>
      <c r="AC5015" s="2">
        <v>-2.7459936331883501</v>
      </c>
      <c r="AD5015" s="2"/>
      <c r="AE5015" s="2">
        <v>5.61893210148742E-2</v>
      </c>
      <c r="AF5015" s="2">
        <v>2704.50657588493</v>
      </c>
      <c r="AG5015" s="2">
        <v>3187.6952933789798</v>
      </c>
      <c r="AH5015" s="4">
        <v>0.84842066978683395</v>
      </c>
      <c r="AI5015" s="4">
        <v>-0.23714832569769101</v>
      </c>
      <c r="AJ5015" s="4" t="s">
        <v>62</v>
      </c>
      <c r="AK5015" s="2">
        <v>0.86970298330782003</v>
      </c>
      <c r="AL5015" s="2">
        <v>0.94347394765202897</v>
      </c>
      <c r="AM5015" s="2">
        <v>12749.23367485</v>
      </c>
      <c r="AN5015" s="2">
        <v>8.559877937157E-6</v>
      </c>
      <c r="AO5015" s="2">
        <v>1387.4592452751799</v>
      </c>
      <c r="AP5015" s="2">
        <v>160.72538718122499</v>
      </c>
      <c r="AQ5015" s="2">
        <v>275.919872290944</v>
      </c>
      <c r="AR5015" s="2">
        <v>1653.7012671523601</v>
      </c>
      <c r="AS5015" s="2">
        <v>388.75242992155103</v>
      </c>
      <c r="AT5015" s="2">
        <v>8.559877937157E-6</v>
      </c>
      <c r="AU5015" s="2">
        <v>12666.2454940681</v>
      </c>
      <c r="AV5015" s="2">
        <v>4740.8438050238401</v>
      </c>
      <c r="AW5015" s="2">
        <v>1330.3300141406201</v>
      </c>
      <c r="AX5015" s="2">
        <v>8.559877937157E-6</v>
      </c>
    </row>
    <row r="5016" spans="1:50" x14ac:dyDescent="0.25">
      <c r="A5016" s="2" t="s">
        <v>32858</v>
      </c>
      <c r="B5016" s="2">
        <v>437.08650251941702</v>
      </c>
      <c r="C5016" s="2">
        <v>4.6271666666666702</v>
      </c>
      <c r="D5016" s="2" t="s">
        <v>51</v>
      </c>
      <c r="E5016" s="2" t="s">
        <v>32859</v>
      </c>
      <c r="F5016" s="2">
        <v>47629</v>
      </c>
      <c r="G5016" s="3" t="str">
        <f>HYPERLINK("https://cloud.oebiotech.com/#/lm/network/47629", "https://cloud.oebiotech.com/#/lm/network/47629")</f>
        <v>https://cloud.oebiotech.com/#/lm/network/47629</v>
      </c>
      <c r="H5016" s="2" t="s">
        <v>32860</v>
      </c>
      <c r="I5016" s="2">
        <v>6295</v>
      </c>
      <c r="J5016" s="2"/>
      <c r="K5016" s="2">
        <v>643976</v>
      </c>
      <c r="L5016" s="2" t="s">
        <v>32861</v>
      </c>
      <c r="M5016" s="2" t="s">
        <v>32862</v>
      </c>
      <c r="N5016" s="2" t="s">
        <v>32863</v>
      </c>
      <c r="O5016" s="2">
        <v>17621</v>
      </c>
      <c r="P5016" s="2"/>
      <c r="Q5016" s="2"/>
      <c r="R5016" s="2" t="s">
        <v>32864</v>
      </c>
      <c r="S5016" s="2" t="s">
        <v>32865</v>
      </c>
      <c r="T5016" s="2" t="s">
        <v>32866</v>
      </c>
      <c r="U5016" s="2" t="s">
        <v>295</v>
      </c>
      <c r="V5016" s="2" t="s">
        <v>32867</v>
      </c>
      <c r="W5016" s="2" t="s">
        <v>240</v>
      </c>
      <c r="X5016" s="2" t="s">
        <v>147</v>
      </c>
      <c r="Y5016" s="2">
        <v>37.4</v>
      </c>
      <c r="Z5016" s="2">
        <v>1.43</v>
      </c>
      <c r="AA5016" s="2" t="s">
        <v>379</v>
      </c>
      <c r="AB5016" s="2" t="s">
        <v>32868</v>
      </c>
      <c r="AC5016" s="2">
        <v>-0.59473042815351596</v>
      </c>
      <c r="AD5016" s="2"/>
      <c r="AE5016" s="2">
        <v>5.6179594829424903E-2</v>
      </c>
      <c r="AF5016" s="2">
        <v>4340.60027767052</v>
      </c>
      <c r="AG5016" s="2">
        <v>3638.6009940725598</v>
      </c>
      <c r="AH5016" s="5">
        <v>1.19293109762284</v>
      </c>
      <c r="AI5016" s="5">
        <v>0.25451071697400701</v>
      </c>
      <c r="AJ5016" s="5" t="s">
        <v>139</v>
      </c>
      <c r="AK5016" s="2">
        <v>0.68770640444206199</v>
      </c>
      <c r="AL5016" s="2">
        <v>0.84972173218991098</v>
      </c>
      <c r="AM5016" s="2">
        <v>910.81704739971406</v>
      </c>
      <c r="AN5016" s="2">
        <v>5492.8190289884096</v>
      </c>
      <c r="AO5016" s="2">
        <v>5617.5559482457902</v>
      </c>
      <c r="AP5016" s="2">
        <v>3429.5407583900701</v>
      </c>
      <c r="AQ5016" s="2">
        <v>3851.7405922644698</v>
      </c>
      <c r="AR5016" s="2">
        <v>6741.1282907346904</v>
      </c>
      <c r="AS5016" s="2">
        <v>4610.8594889066098</v>
      </c>
      <c r="AT5016" s="2">
        <v>5019.33132907666</v>
      </c>
      <c r="AU5016" s="2">
        <v>1968.90515099089</v>
      </c>
      <c r="AV5016" s="2">
        <v>175.48568444007799</v>
      </c>
      <c r="AW5016" s="2">
        <v>377.61113960336797</v>
      </c>
      <c r="AX5016" s="2">
        <v>9679.4131714177292</v>
      </c>
    </row>
    <row r="5017" spans="1:50" x14ac:dyDescent="0.25">
      <c r="A5017" s="2" t="s">
        <v>32869</v>
      </c>
      <c r="B5017" s="2">
        <v>111.023828703611</v>
      </c>
      <c r="C5017" s="2">
        <v>0.84268333333333301</v>
      </c>
      <c r="D5017" s="2" t="s">
        <v>51</v>
      </c>
      <c r="E5017" s="2" t="s">
        <v>32870</v>
      </c>
      <c r="F5017" s="2">
        <v>56143</v>
      </c>
      <c r="G5017" s="3" t="str">
        <f>HYPERLINK("https://cloud.oebiotech.com/#/lm/network/56143", "https://cloud.oebiotech.com/#/lm/network/56143")</f>
        <v>https://cloud.oebiotech.com/#/lm/network/56143</v>
      </c>
      <c r="H5017" s="2" t="s">
        <v>32871</v>
      </c>
      <c r="I5017" s="2">
        <v>87837</v>
      </c>
      <c r="J5017" s="2"/>
      <c r="K5017" s="2">
        <v>66282</v>
      </c>
      <c r="L5017" s="2"/>
      <c r="M5017" s="2"/>
      <c r="N5017" s="2"/>
      <c r="O5017" s="2"/>
      <c r="P5017" s="2"/>
      <c r="Q5017" s="2"/>
      <c r="R5017" s="2" t="s">
        <v>32872</v>
      </c>
      <c r="S5017" s="2" t="s">
        <v>32873</v>
      </c>
      <c r="T5017" s="2" t="s">
        <v>32874</v>
      </c>
      <c r="U5017" s="2" t="s">
        <v>1231</v>
      </c>
      <c r="V5017" s="2" t="s">
        <v>32875</v>
      </c>
      <c r="W5017" s="2" t="s">
        <v>240</v>
      </c>
      <c r="X5017" s="2" t="s">
        <v>147</v>
      </c>
      <c r="Y5017" s="2">
        <v>38</v>
      </c>
      <c r="Z5017" s="2">
        <v>0</v>
      </c>
      <c r="AA5017" s="2" t="s">
        <v>95</v>
      </c>
      <c r="AB5017" s="2" t="s">
        <v>32876</v>
      </c>
      <c r="AC5017" s="2">
        <v>-0.71827324217576605</v>
      </c>
      <c r="AD5017" s="2"/>
      <c r="AE5017" s="2">
        <v>5.6160831498491701E-2</v>
      </c>
      <c r="AF5017" s="2">
        <v>809.70208240023305</v>
      </c>
      <c r="AG5017" s="2">
        <v>942.75669776366203</v>
      </c>
      <c r="AH5017" s="4">
        <v>0.85886643321755096</v>
      </c>
      <c r="AI5017" s="4">
        <v>-0.21949430708296999</v>
      </c>
      <c r="AJ5017" s="4" t="s">
        <v>62</v>
      </c>
      <c r="AK5017" s="2">
        <v>0.42541101303398499</v>
      </c>
      <c r="AL5017" s="2">
        <v>0.68446210958882703</v>
      </c>
      <c r="AM5017" s="2">
        <v>595.33620872711003</v>
      </c>
      <c r="AN5017" s="2">
        <v>939.52371586266497</v>
      </c>
      <c r="AO5017" s="2">
        <v>450.169036500846</v>
      </c>
      <c r="AP5017" s="2">
        <v>1035.7163952163901</v>
      </c>
      <c r="AQ5017" s="2">
        <v>857.300325248425</v>
      </c>
      <c r="AR5017" s="2">
        <v>980.166812845962</v>
      </c>
      <c r="AS5017" s="2">
        <v>1286.52989398863</v>
      </c>
      <c r="AT5017" s="2">
        <v>1125.81429128371</v>
      </c>
      <c r="AU5017" s="2">
        <v>648.17624528923602</v>
      </c>
      <c r="AV5017" s="2">
        <v>469.477833849126</v>
      </c>
      <c r="AW5017" s="2">
        <v>1103.5776249815599</v>
      </c>
      <c r="AX5017" s="2">
        <v>1022.96429718971</v>
      </c>
    </row>
    <row r="5018" spans="1:50" x14ac:dyDescent="0.25">
      <c r="A5018" s="2" t="s">
        <v>32877</v>
      </c>
      <c r="B5018" s="2">
        <v>625.456753205155</v>
      </c>
      <c r="C5018" s="2">
        <v>11.087300000000001</v>
      </c>
      <c r="D5018" s="2" t="s">
        <v>51</v>
      </c>
      <c r="E5018" s="2" t="s">
        <v>32878</v>
      </c>
      <c r="F5018" s="2">
        <v>25986</v>
      </c>
      <c r="G5018" s="3" t="str">
        <f>HYPERLINK("https://cloud.oebiotech.com/#/lm/network/25986", "https://cloud.oebiotech.com/#/lm/network/25986")</f>
        <v>https://cloud.oebiotech.com/#/lm/network/25986</v>
      </c>
      <c r="H5018" s="2"/>
      <c r="I5018" s="2">
        <v>82251</v>
      </c>
      <c r="J5018" s="2" t="s">
        <v>32879</v>
      </c>
      <c r="K5018" s="2">
        <v>52929666</v>
      </c>
      <c r="L5018" s="2"/>
      <c r="M5018" s="2"/>
      <c r="N5018" s="2"/>
      <c r="O5018" s="2"/>
      <c r="P5018" s="2"/>
      <c r="Q5018" s="2"/>
      <c r="R5018" s="2"/>
      <c r="S5018" s="2" t="s">
        <v>32880</v>
      </c>
      <c r="T5018" s="2" t="s">
        <v>32881</v>
      </c>
      <c r="U5018" s="2" t="s">
        <v>56</v>
      </c>
      <c r="V5018" s="2" t="s">
        <v>57</v>
      </c>
      <c r="W5018" s="2" t="s">
        <v>702</v>
      </c>
      <c r="X5018" s="2" t="s">
        <v>147</v>
      </c>
      <c r="Y5018" s="2">
        <v>38.200000000000003</v>
      </c>
      <c r="Z5018" s="2">
        <v>0</v>
      </c>
      <c r="AA5018" s="2" t="s">
        <v>84</v>
      </c>
      <c r="AB5018" s="2" t="s">
        <v>32882</v>
      </c>
      <c r="AC5018" s="2">
        <v>-3.7350984297932501</v>
      </c>
      <c r="AD5018" s="2"/>
      <c r="AE5018" s="2">
        <v>5.6093008220822201E-2</v>
      </c>
      <c r="AF5018" s="2">
        <v>27611.059571905698</v>
      </c>
      <c r="AG5018" s="2">
        <v>30166.364112375799</v>
      </c>
      <c r="AH5018" s="4">
        <v>0.91529292257591599</v>
      </c>
      <c r="AI5018" s="4">
        <v>-0.127694569722273</v>
      </c>
      <c r="AJ5018" s="4" t="s">
        <v>62</v>
      </c>
      <c r="AK5018" s="2">
        <v>0.84655179373045997</v>
      </c>
      <c r="AL5018" s="2">
        <v>0.93190759967874004</v>
      </c>
      <c r="AM5018" s="2">
        <v>73175.545433762003</v>
      </c>
      <c r="AN5018" s="2">
        <v>35415.885886577598</v>
      </c>
      <c r="AO5018" s="2">
        <v>17783.5821912967</v>
      </c>
      <c r="AP5018" s="2">
        <v>14118.960649987401</v>
      </c>
      <c r="AQ5018" s="2">
        <v>10536.003681717901</v>
      </c>
      <c r="AR5018" s="2">
        <v>14636.379588092501</v>
      </c>
      <c r="AS5018" s="2">
        <v>7574.1076164423303</v>
      </c>
      <c r="AT5018" s="2">
        <v>4838.5937787080602</v>
      </c>
      <c r="AU5018" s="2">
        <v>47190.579592806796</v>
      </c>
      <c r="AV5018" s="2">
        <v>42690.837278535299</v>
      </c>
      <c r="AW5018" s="2">
        <v>52067.196328451799</v>
      </c>
      <c r="AX5018" s="2">
        <v>26636.870079310502</v>
      </c>
    </row>
    <row r="5019" spans="1:50" x14ac:dyDescent="0.25">
      <c r="A5019" s="2" t="s">
        <v>32883</v>
      </c>
      <c r="B5019" s="2">
        <v>906.48203578857203</v>
      </c>
      <c r="C5019" s="2">
        <v>4.7703666666666704</v>
      </c>
      <c r="D5019" s="2" t="s">
        <v>51</v>
      </c>
      <c r="E5019" s="2" t="s">
        <v>32884</v>
      </c>
      <c r="F5019" s="2">
        <v>28292</v>
      </c>
      <c r="G5019" s="3" t="str">
        <f>HYPERLINK("https://cloud.oebiotech.com/#/lm/network/28292", "https://cloud.oebiotech.com/#/lm/network/28292")</f>
        <v>https://cloud.oebiotech.com/#/lm/network/28292</v>
      </c>
      <c r="H5019" s="2"/>
      <c r="I5019" s="2">
        <v>1614</v>
      </c>
      <c r="J5019" s="2" t="s">
        <v>32885</v>
      </c>
      <c r="K5019" s="2">
        <v>11286230</v>
      </c>
      <c r="L5019" s="2" t="s">
        <v>32886</v>
      </c>
      <c r="M5019" s="2"/>
      <c r="N5019" s="2"/>
      <c r="O5019" s="2"/>
      <c r="P5019" s="2"/>
      <c r="Q5019" s="2"/>
      <c r="R5019" s="2" t="s">
        <v>32887</v>
      </c>
      <c r="S5019" s="2" t="s">
        <v>32888</v>
      </c>
      <c r="T5019" s="2" t="s">
        <v>32889</v>
      </c>
      <c r="U5019" s="2" t="s">
        <v>331</v>
      </c>
      <c r="V5019" s="2" t="s">
        <v>332</v>
      </c>
      <c r="W5019" s="2" t="s">
        <v>333</v>
      </c>
      <c r="X5019" s="2" t="s">
        <v>147</v>
      </c>
      <c r="Y5019" s="2">
        <v>45.5</v>
      </c>
      <c r="Z5019" s="2">
        <v>43.1</v>
      </c>
      <c r="AA5019" s="2" t="s">
        <v>379</v>
      </c>
      <c r="AB5019" s="2" t="s">
        <v>25109</v>
      </c>
      <c r="AC5019" s="2">
        <v>-3.9146626646204798</v>
      </c>
      <c r="AD5019" s="2"/>
      <c r="AE5019" s="2">
        <v>5.5822521203811502E-2</v>
      </c>
      <c r="AF5019" s="2">
        <v>7369.9647224914197</v>
      </c>
      <c r="AG5019" s="2">
        <v>4896.8133782907698</v>
      </c>
      <c r="AH5019" s="5">
        <v>1.5050532158658501</v>
      </c>
      <c r="AI5019" s="5">
        <v>0.58981449888427395</v>
      </c>
      <c r="AJ5019" s="5" t="s">
        <v>139</v>
      </c>
      <c r="AK5019" s="2">
        <v>0.73176766836920704</v>
      </c>
      <c r="AL5019" s="2">
        <v>0.87636111571333197</v>
      </c>
      <c r="AM5019" s="2">
        <v>3298.1486568711398</v>
      </c>
      <c r="AN5019" s="2">
        <v>1620.49883868866</v>
      </c>
      <c r="AO5019" s="2">
        <v>8.559877937157E-6</v>
      </c>
      <c r="AP5019" s="2">
        <v>8.559877937157E-6</v>
      </c>
      <c r="AQ5019" s="2">
        <v>8.559877937157E-6</v>
      </c>
      <c r="AR5019" s="2">
        <v>39301.140813709098</v>
      </c>
      <c r="AS5019" s="2">
        <v>8.559877937157E-6</v>
      </c>
      <c r="AT5019" s="2">
        <v>8.559877937157E-6</v>
      </c>
      <c r="AU5019" s="2">
        <v>2494.1202455585299</v>
      </c>
      <c r="AV5019" s="2">
        <v>17289.903656917701</v>
      </c>
      <c r="AW5019" s="2">
        <v>492.612427813208</v>
      </c>
      <c r="AX5019" s="2">
        <v>9104.2439223354104</v>
      </c>
    </row>
    <row r="5020" spans="1:50" x14ac:dyDescent="0.25">
      <c r="A5020" s="2" t="s">
        <v>32890</v>
      </c>
      <c r="B5020" s="2">
        <v>271.18975426546501</v>
      </c>
      <c r="C5020" s="2">
        <v>8.3148833333333307</v>
      </c>
      <c r="D5020" s="2" t="s">
        <v>51</v>
      </c>
      <c r="E5020" s="2" t="s">
        <v>32891</v>
      </c>
      <c r="F5020" s="2">
        <v>200780</v>
      </c>
      <c r="G5020" s="3" t="str">
        <f>HYPERLINK("https://cloud.oebiotech.com/#/lm/network/200780", "https://cloud.oebiotech.com/#/lm/network/200780")</f>
        <v>https://cloud.oebiotech.com/#/lm/network/200780</v>
      </c>
      <c r="H5020" s="2" t="s">
        <v>32892</v>
      </c>
      <c r="I5020" s="2"/>
      <c r="J5020" s="2"/>
      <c r="K5020" s="2">
        <v>91537</v>
      </c>
      <c r="L5020" s="2"/>
      <c r="M5020" s="2"/>
      <c r="N5020" s="2"/>
      <c r="O5020" s="2"/>
      <c r="P5020" s="2"/>
      <c r="Q5020" s="2"/>
      <c r="R5020" s="2"/>
      <c r="S5020" s="2" t="s">
        <v>32893</v>
      </c>
      <c r="T5020" s="2" t="s">
        <v>32894</v>
      </c>
      <c r="U5020" s="2" t="s">
        <v>119</v>
      </c>
      <c r="V5020" s="2" t="s">
        <v>120</v>
      </c>
      <c r="W5020" s="2" t="s">
        <v>17763</v>
      </c>
      <c r="X5020" s="2" t="s">
        <v>147</v>
      </c>
      <c r="Y5020" s="2">
        <v>37.4</v>
      </c>
      <c r="Z5020" s="2">
        <v>2.6</v>
      </c>
      <c r="AA5020" s="2" t="s">
        <v>95</v>
      </c>
      <c r="AB5020" s="2" t="s">
        <v>32895</v>
      </c>
      <c r="AC5020" s="2">
        <v>1.7598566263978801</v>
      </c>
      <c r="AD5020" s="2"/>
      <c r="AE5020" s="2">
        <v>5.5685987343103101E-2</v>
      </c>
      <c r="AF5020" s="2">
        <v>2353.2222879380201</v>
      </c>
      <c r="AG5020" s="2">
        <v>2817.7000046855901</v>
      </c>
      <c r="AH5020" s="4">
        <v>0.83515714377854999</v>
      </c>
      <c r="AI5020" s="4">
        <v>-0.25988041320525801</v>
      </c>
      <c r="AJ5020" s="4" t="s">
        <v>62</v>
      </c>
      <c r="AK5020" s="2">
        <v>0.49357014837650998</v>
      </c>
      <c r="AL5020" s="2">
        <v>0.73513085382097298</v>
      </c>
      <c r="AM5020" s="2">
        <v>3119.5163469838999</v>
      </c>
      <c r="AN5020" s="2">
        <v>2118.1760953777298</v>
      </c>
      <c r="AO5020" s="2">
        <v>2300.7367342082198</v>
      </c>
      <c r="AP5020" s="2">
        <v>2829.18491834928</v>
      </c>
      <c r="AQ5020" s="2">
        <v>2014.1628354470199</v>
      </c>
      <c r="AR5020" s="2">
        <v>1737.5567972619699</v>
      </c>
      <c r="AS5020" s="2">
        <v>1453.37521841797</v>
      </c>
      <c r="AT5020" s="2">
        <v>2565.2922175716899</v>
      </c>
      <c r="AU5020" s="2">
        <v>3796.1989819979899</v>
      </c>
      <c r="AV5020" s="2">
        <v>1580.0997182077999</v>
      </c>
      <c r="AW5020" s="2">
        <v>2131.1170949054299</v>
      </c>
      <c r="AX5020" s="2">
        <v>5380.1167970126298</v>
      </c>
    </row>
    <row r="5021" spans="1:50" x14ac:dyDescent="0.25">
      <c r="A5021" s="2" t="s">
        <v>32896</v>
      </c>
      <c r="B5021" s="2">
        <v>244.11314544172299</v>
      </c>
      <c r="C5021" s="2">
        <v>5.7962499999999997</v>
      </c>
      <c r="D5021" s="2" t="s">
        <v>51</v>
      </c>
      <c r="E5021" s="2" t="s">
        <v>32897</v>
      </c>
      <c r="F5021" s="2">
        <v>204052</v>
      </c>
      <c r="G5021" s="3" t="str">
        <f>HYPERLINK("https://cloud.oebiotech.com/#/lm/network/204052", "https://cloud.oebiotech.com/#/lm/network/204052")</f>
        <v>https://cloud.oebiotech.com/#/lm/network/204052</v>
      </c>
      <c r="H5021" s="2" t="s">
        <v>32898</v>
      </c>
      <c r="I5021" s="2"/>
      <c r="J5021" s="2"/>
      <c r="K5021" s="2">
        <v>129671953</v>
      </c>
      <c r="L5021" s="2"/>
      <c r="M5021" s="2"/>
      <c r="N5021" s="2"/>
      <c r="O5021" s="2"/>
      <c r="P5021" s="2"/>
      <c r="Q5021" s="2"/>
      <c r="R5021" s="2"/>
      <c r="S5021" s="2" t="s">
        <v>32899</v>
      </c>
      <c r="T5021" s="2" t="s">
        <v>32900</v>
      </c>
      <c r="U5021" s="2" t="s">
        <v>610</v>
      </c>
      <c r="V5021" s="2" t="s">
        <v>5991</v>
      </c>
      <c r="W5021" s="2" t="s">
        <v>240</v>
      </c>
      <c r="X5021" s="2" t="s">
        <v>147</v>
      </c>
      <c r="Y5021" s="2">
        <v>38.200000000000003</v>
      </c>
      <c r="Z5021" s="2">
        <v>0</v>
      </c>
      <c r="AA5021" s="2" t="s">
        <v>259</v>
      </c>
      <c r="AB5021" s="2" t="s">
        <v>32901</v>
      </c>
      <c r="AC5021" s="2">
        <v>4.3996992892263398</v>
      </c>
      <c r="AD5021" s="2"/>
      <c r="AE5021" s="2">
        <v>5.5641836924197399E-2</v>
      </c>
      <c r="AF5021" s="2">
        <v>641.72954378436202</v>
      </c>
      <c r="AG5021" s="2">
        <v>477.63925283527101</v>
      </c>
      <c r="AH5021" s="5">
        <v>1.34354440087378</v>
      </c>
      <c r="AI5021" s="5">
        <v>0.42604399970011703</v>
      </c>
      <c r="AJ5021" s="5" t="s">
        <v>139</v>
      </c>
      <c r="AK5021" s="2">
        <v>0.28346826452738699</v>
      </c>
      <c r="AL5021" s="2">
        <v>0.60000138164408201</v>
      </c>
      <c r="AM5021" s="2">
        <v>652.43264773471606</v>
      </c>
      <c r="AN5021" s="2">
        <v>678.75525705516998</v>
      </c>
      <c r="AO5021" s="2">
        <v>640.14636642821404</v>
      </c>
      <c r="AP5021" s="2">
        <v>739.70736863238801</v>
      </c>
      <c r="AQ5021" s="2">
        <v>572.08771754125701</v>
      </c>
      <c r="AR5021" s="2">
        <v>567.247905314425</v>
      </c>
      <c r="AS5021" s="2">
        <v>226.870446989025</v>
      </c>
      <c r="AT5021" s="2">
        <v>111.01185131218099</v>
      </c>
      <c r="AU5021" s="2">
        <v>921.33686975674095</v>
      </c>
      <c r="AV5021" s="2">
        <v>288.400557214863</v>
      </c>
      <c r="AW5021" s="2">
        <v>895.14977344629096</v>
      </c>
      <c r="AX5021" s="2">
        <v>423.06601829252298</v>
      </c>
    </row>
    <row r="5022" spans="1:50" x14ac:dyDescent="0.25">
      <c r="A5022" s="2" t="s">
        <v>32902</v>
      </c>
      <c r="B5022" s="2">
        <v>401.16347392693302</v>
      </c>
      <c r="C5022" s="2">
        <v>12.55655</v>
      </c>
      <c r="D5022" s="2" t="s">
        <v>51</v>
      </c>
      <c r="E5022" s="2" t="s">
        <v>32903</v>
      </c>
      <c r="F5022" s="2">
        <v>203926</v>
      </c>
      <c r="G5022" s="3" t="str">
        <f>HYPERLINK("https://cloud.oebiotech.com/#/lm/network/203926", "https://cloud.oebiotech.com/#/lm/network/203926")</f>
        <v>https://cloud.oebiotech.com/#/lm/network/203926</v>
      </c>
      <c r="H5022" s="2" t="s">
        <v>32904</v>
      </c>
      <c r="I5022" s="2">
        <v>64714</v>
      </c>
      <c r="J5022" s="2"/>
      <c r="K5022" s="2">
        <v>9953906</v>
      </c>
      <c r="L5022" s="2"/>
      <c r="M5022" s="2"/>
      <c r="N5022" s="2"/>
      <c r="O5022" s="2"/>
      <c r="P5022" s="2"/>
      <c r="Q5022" s="2"/>
      <c r="R5022" s="2" t="s">
        <v>32905</v>
      </c>
      <c r="S5022" s="2" t="s">
        <v>32906</v>
      </c>
      <c r="T5022" s="2" t="s">
        <v>32907</v>
      </c>
      <c r="U5022" s="2" t="s">
        <v>266</v>
      </c>
      <c r="V5022" s="2" t="s">
        <v>28920</v>
      </c>
      <c r="W5022" s="2" t="s">
        <v>240</v>
      </c>
      <c r="X5022" s="2" t="s">
        <v>147</v>
      </c>
      <c r="Y5022" s="2">
        <v>37.700000000000003</v>
      </c>
      <c r="Z5022" s="2">
        <v>0</v>
      </c>
      <c r="AA5022" s="2" t="s">
        <v>379</v>
      </c>
      <c r="AB5022" s="2" t="s">
        <v>32908</v>
      </c>
      <c r="AC5022" s="2">
        <v>-2.19072683075817</v>
      </c>
      <c r="AD5022" s="2"/>
      <c r="AE5022" s="2">
        <v>5.5574440363738903E-2</v>
      </c>
      <c r="AF5022" s="2">
        <v>1849.0203348610701</v>
      </c>
      <c r="AG5022" s="2">
        <v>2109.2081007853099</v>
      </c>
      <c r="AH5022" s="4">
        <v>0.87664196537678496</v>
      </c>
      <c r="AI5022" s="4">
        <v>-0.18994035169461801</v>
      </c>
      <c r="AJ5022" s="4" t="s">
        <v>62</v>
      </c>
      <c r="AK5022" s="2">
        <v>0.65036674437075204</v>
      </c>
      <c r="AL5022" s="2">
        <v>0.83021999206264596</v>
      </c>
      <c r="AM5022" s="2">
        <v>1869.63141624223</v>
      </c>
      <c r="AN5022" s="2">
        <v>1580.7752672643101</v>
      </c>
      <c r="AO5022" s="2">
        <v>1633.5929706898901</v>
      </c>
      <c r="AP5022" s="2">
        <v>832.08555108124597</v>
      </c>
      <c r="AQ5022" s="2">
        <v>2707.0357973268801</v>
      </c>
      <c r="AR5022" s="2">
        <v>2471.0010065618699</v>
      </c>
      <c r="AS5022" s="2">
        <v>1027.20138560029</v>
      </c>
      <c r="AT5022" s="2">
        <v>528.314021859543</v>
      </c>
      <c r="AU5022" s="2">
        <v>2777.6402384797698</v>
      </c>
      <c r="AV5022" s="2">
        <v>3651.6930952624298</v>
      </c>
      <c r="AW5022" s="2">
        <v>1871.5056878514799</v>
      </c>
      <c r="AX5022" s="2">
        <v>2798.8941756583499</v>
      </c>
    </row>
    <row r="5023" spans="1:50" x14ac:dyDescent="0.25">
      <c r="A5023" s="2" t="s">
        <v>32909</v>
      </c>
      <c r="B5023" s="2">
        <v>173.10350669111901</v>
      </c>
      <c r="C5023" s="2">
        <v>0.65100000000000002</v>
      </c>
      <c r="D5023" s="2" t="s">
        <v>51</v>
      </c>
      <c r="E5023" s="2" t="s">
        <v>32910</v>
      </c>
      <c r="F5023" s="2">
        <v>47071</v>
      </c>
      <c r="G5023" s="3" t="str">
        <f>HYPERLINK("https://cloud.oebiotech.com/#/lm/network/47071", "https://cloud.oebiotech.com/#/lm/network/47071")</f>
        <v>https://cloud.oebiotech.com/#/lm/network/47071</v>
      </c>
      <c r="H5023" s="2" t="s">
        <v>32911</v>
      </c>
      <c r="I5023" s="2">
        <v>13</v>
      </c>
      <c r="J5023" s="2"/>
      <c r="K5023" s="2">
        <v>6322</v>
      </c>
      <c r="L5023" s="2" t="s">
        <v>32912</v>
      </c>
      <c r="M5023" s="2" t="s">
        <v>32913</v>
      </c>
      <c r="N5023" s="2" t="s">
        <v>32914</v>
      </c>
      <c r="O5023" s="2">
        <v>16467</v>
      </c>
      <c r="P5023" s="2"/>
      <c r="Q5023" s="2"/>
      <c r="R5023" s="2" t="s">
        <v>32915</v>
      </c>
      <c r="S5023" s="2" t="s">
        <v>32916</v>
      </c>
      <c r="T5023" s="2" t="s">
        <v>32917</v>
      </c>
      <c r="U5023" s="2" t="s">
        <v>103</v>
      </c>
      <c r="V5023" s="2" t="s">
        <v>104</v>
      </c>
      <c r="W5023" s="2" t="s">
        <v>105</v>
      </c>
      <c r="X5023" s="2" t="s">
        <v>69</v>
      </c>
      <c r="Y5023" s="2">
        <v>59.5</v>
      </c>
      <c r="Z5023" s="2">
        <v>91.7</v>
      </c>
      <c r="AA5023" s="2" t="s">
        <v>163</v>
      </c>
      <c r="AB5023" s="2" t="s">
        <v>32918</v>
      </c>
      <c r="AC5023" s="2">
        <v>-5.1265038788150799</v>
      </c>
      <c r="AD5023" s="2"/>
      <c r="AE5023" s="2">
        <v>5.5561849558238202E-2</v>
      </c>
      <c r="AF5023" s="2">
        <v>19009.648073894699</v>
      </c>
      <c r="AG5023" s="2">
        <v>18540.018748212799</v>
      </c>
      <c r="AH5023" s="5">
        <v>1.02533057447567</v>
      </c>
      <c r="AI5023" s="5">
        <v>3.6089120723295703E-2</v>
      </c>
      <c r="AJ5023" s="5" t="s">
        <v>139</v>
      </c>
      <c r="AK5023" s="2">
        <v>0.94605367515779804</v>
      </c>
      <c r="AL5023" s="2">
        <v>0.97784134216780005</v>
      </c>
      <c r="AM5023" s="2">
        <v>32798.821830100896</v>
      </c>
      <c r="AN5023" s="2">
        <v>24253.905610905898</v>
      </c>
      <c r="AO5023" s="2">
        <v>10390.5215109163</v>
      </c>
      <c r="AP5023" s="2">
        <v>8755.7709819658703</v>
      </c>
      <c r="AQ5023" s="2">
        <v>18284.245075232</v>
      </c>
      <c r="AR5023" s="2">
        <v>19574.6234342475</v>
      </c>
      <c r="AS5023" s="2">
        <v>4317.9437403810898</v>
      </c>
      <c r="AT5023" s="2">
        <v>8434.2627126964308</v>
      </c>
      <c r="AU5023" s="2">
        <v>13673.5135771593</v>
      </c>
      <c r="AV5023" s="2">
        <v>42024.439868619404</v>
      </c>
      <c r="AW5023" s="2">
        <v>15043.685443993199</v>
      </c>
      <c r="AX5023" s="2">
        <v>27746.267146427301</v>
      </c>
    </row>
    <row r="5024" spans="1:50" x14ac:dyDescent="0.25">
      <c r="A5024" s="2" t="s">
        <v>32919</v>
      </c>
      <c r="B5024" s="2">
        <v>302.04163496413202</v>
      </c>
      <c r="C5024" s="2">
        <v>4.5305499999999999</v>
      </c>
      <c r="D5024" s="2" t="s">
        <v>51</v>
      </c>
      <c r="E5024" s="2" t="s">
        <v>32920</v>
      </c>
      <c r="F5024" s="2">
        <v>199029</v>
      </c>
      <c r="G5024" s="3" t="str">
        <f>HYPERLINK("https://cloud.oebiotech.com/#/lm/network/199029", "https://cloud.oebiotech.com/#/lm/network/199029")</f>
        <v>https://cloud.oebiotech.com/#/lm/network/199029</v>
      </c>
      <c r="H5024" s="2" t="s">
        <v>32921</v>
      </c>
      <c r="I5024" s="2">
        <v>321029</v>
      </c>
      <c r="J5024" s="2"/>
      <c r="K5024" s="2">
        <v>3729</v>
      </c>
      <c r="L5024" s="2"/>
      <c r="M5024" s="2"/>
      <c r="N5024" s="2"/>
      <c r="O5024" s="2"/>
      <c r="P5024" s="2"/>
      <c r="Q5024" s="2"/>
      <c r="R5024" s="2"/>
      <c r="S5024" s="2" t="s">
        <v>32922</v>
      </c>
      <c r="T5024" s="2" t="s">
        <v>32923</v>
      </c>
      <c r="U5024" s="2" t="s">
        <v>610</v>
      </c>
      <c r="V5024" s="2" t="s">
        <v>611</v>
      </c>
      <c r="W5024" s="2" t="s">
        <v>11083</v>
      </c>
      <c r="X5024" s="2" t="s">
        <v>147</v>
      </c>
      <c r="Y5024" s="2">
        <v>38.9</v>
      </c>
      <c r="Z5024" s="2">
        <v>0</v>
      </c>
      <c r="AA5024" s="2" t="s">
        <v>163</v>
      </c>
      <c r="AB5024" s="2" t="s">
        <v>32924</v>
      </c>
      <c r="AC5024" s="2">
        <v>1.69548519546537</v>
      </c>
      <c r="AD5024" s="2"/>
      <c r="AE5024" s="2">
        <v>5.5476747228908503E-2</v>
      </c>
      <c r="AF5024" s="2">
        <v>216.53250857285801</v>
      </c>
      <c r="AG5024" s="2">
        <v>91.119705794490699</v>
      </c>
      <c r="AH5024" s="5">
        <v>2.37635214781334</v>
      </c>
      <c r="AI5024" s="5">
        <v>1.24874864264506</v>
      </c>
      <c r="AJ5024" s="5" t="s">
        <v>139</v>
      </c>
      <c r="AK5024" s="2">
        <v>0.392089994777086</v>
      </c>
      <c r="AL5024" s="2">
        <v>0.66528673878009803</v>
      </c>
      <c r="AM5024" s="2">
        <v>773.04162438289404</v>
      </c>
      <c r="AN5024" s="2">
        <v>187.47369273775001</v>
      </c>
      <c r="AO5024" s="2">
        <v>8.559877937157E-6</v>
      </c>
      <c r="AP5024" s="2">
        <v>88.937392165916293</v>
      </c>
      <c r="AQ5024" s="2">
        <v>8.559877937157E-6</v>
      </c>
      <c r="AR5024" s="2">
        <v>249.74232503083201</v>
      </c>
      <c r="AS5024" s="2">
        <v>458.318487285922</v>
      </c>
      <c r="AT5024" s="2">
        <v>8.559877937157E-6</v>
      </c>
      <c r="AU5024" s="2">
        <v>8.559877937157E-6</v>
      </c>
      <c r="AV5024" s="2">
        <v>8.559877937157E-6</v>
      </c>
      <c r="AW5024" s="2">
        <v>88.399713241510497</v>
      </c>
      <c r="AX5024" s="2">
        <v>8.559877937157E-6</v>
      </c>
    </row>
    <row r="5025" spans="1:50" x14ac:dyDescent="0.25">
      <c r="A5025" s="2" t="s">
        <v>32925</v>
      </c>
      <c r="B5025" s="2">
        <v>323.135355454219</v>
      </c>
      <c r="C5025" s="2">
        <v>4.5051166666666704</v>
      </c>
      <c r="D5025" s="2" t="s">
        <v>51</v>
      </c>
      <c r="E5025" s="2" t="s">
        <v>32926</v>
      </c>
      <c r="F5025" s="2">
        <v>205636</v>
      </c>
      <c r="G5025" s="3" t="str">
        <f>HYPERLINK("https://cloud.oebiotech.com/#/lm/network/205636", "https://cloud.oebiotech.com/#/lm/network/205636")</f>
        <v>https://cloud.oebiotech.com/#/lm/network/205636</v>
      </c>
      <c r="H5025" s="2" t="s">
        <v>32927</v>
      </c>
      <c r="I5025" s="2"/>
      <c r="J5025" s="2"/>
      <c r="K5025" s="2">
        <v>577090</v>
      </c>
      <c r="L5025" s="2"/>
      <c r="M5025" s="2"/>
      <c r="N5025" s="2"/>
      <c r="O5025" s="2"/>
      <c r="P5025" s="2"/>
      <c r="Q5025" s="2"/>
      <c r="R5025" s="2"/>
      <c r="S5025" s="2" t="s">
        <v>32928</v>
      </c>
      <c r="T5025" s="2" t="s">
        <v>32929</v>
      </c>
      <c r="U5025" s="2" t="s">
        <v>266</v>
      </c>
      <c r="V5025" s="2" t="s">
        <v>30625</v>
      </c>
      <c r="W5025" s="2" t="s">
        <v>240</v>
      </c>
      <c r="X5025" s="2" t="s">
        <v>147</v>
      </c>
      <c r="Y5025" s="2">
        <v>46.6</v>
      </c>
      <c r="Z5025" s="2">
        <v>43.5</v>
      </c>
      <c r="AA5025" s="2" t="s">
        <v>122</v>
      </c>
      <c r="AB5025" s="2" t="s">
        <v>32930</v>
      </c>
      <c r="AC5025" s="2">
        <v>-4.7411529638170302</v>
      </c>
      <c r="AD5025" s="2"/>
      <c r="AE5025" s="2">
        <v>5.5460488559923103E-2</v>
      </c>
      <c r="AF5025" s="2">
        <v>5905.0795755259096</v>
      </c>
      <c r="AG5025" s="2">
        <v>6084.9466600560299</v>
      </c>
      <c r="AH5025" s="4">
        <v>0.97044064729263202</v>
      </c>
      <c r="AI5025" s="4">
        <v>-4.32881153075724E-2</v>
      </c>
      <c r="AJ5025" s="4" t="s">
        <v>62</v>
      </c>
      <c r="AK5025" s="2">
        <v>0.90522345827641504</v>
      </c>
      <c r="AL5025" s="2">
        <v>0.96038450174894097</v>
      </c>
      <c r="AM5025" s="2">
        <v>3900.0083042947899</v>
      </c>
      <c r="AN5025" s="2">
        <v>5831.9386459050802</v>
      </c>
      <c r="AO5025" s="2">
        <v>5711.9834338604096</v>
      </c>
      <c r="AP5025" s="2">
        <v>4563.91858645098</v>
      </c>
      <c r="AQ5025" s="2">
        <v>7004.4297086297502</v>
      </c>
      <c r="AR5025" s="2">
        <v>8418.1987740144505</v>
      </c>
      <c r="AS5025" s="2">
        <v>2584.8121193844499</v>
      </c>
      <c r="AT5025" s="2">
        <v>2643.7072115277601</v>
      </c>
      <c r="AU5025" s="2">
        <v>7216.6830198655698</v>
      </c>
      <c r="AV5025" s="2">
        <v>5615.8418484364502</v>
      </c>
      <c r="AW5025" s="2">
        <v>11011.7114214311</v>
      </c>
      <c r="AX5025" s="2">
        <v>7436.9243396908296</v>
      </c>
    </row>
    <row r="5026" spans="1:50" x14ac:dyDescent="0.25">
      <c r="A5026" s="2" t="s">
        <v>32931</v>
      </c>
      <c r="B5026" s="2">
        <v>483.23792267072702</v>
      </c>
      <c r="C5026" s="2">
        <v>4.8935333333333304</v>
      </c>
      <c r="D5026" s="2" t="s">
        <v>51</v>
      </c>
      <c r="E5026" s="2" t="s">
        <v>32932</v>
      </c>
      <c r="F5026" s="2">
        <v>265336</v>
      </c>
      <c r="G5026" s="3" t="str">
        <f>HYPERLINK("https://cloud.oebiotech.com/#/lm/network/265336", "https://cloud.oebiotech.com/#/lm/network/265336")</f>
        <v>https://cloud.oebiotech.com/#/lm/network/265336</v>
      </c>
      <c r="H5026" s="2"/>
      <c r="I5026" s="2">
        <v>22823</v>
      </c>
      <c r="J5026" s="2"/>
      <c r="K5026" s="2">
        <v>145457155</v>
      </c>
      <c r="L5026" s="2"/>
      <c r="M5026" s="2"/>
      <c r="N5026" s="2"/>
      <c r="O5026" s="2"/>
      <c r="P5026" s="2"/>
      <c r="Q5026" s="2"/>
      <c r="R5026" s="2"/>
      <c r="S5026" s="2" t="s">
        <v>32933</v>
      </c>
      <c r="T5026" s="2" t="s">
        <v>32934</v>
      </c>
      <c r="U5026" s="2" t="s">
        <v>103</v>
      </c>
      <c r="V5026" s="2" t="s">
        <v>104</v>
      </c>
      <c r="W5026" s="2" t="s">
        <v>105</v>
      </c>
      <c r="X5026" s="2" t="s">
        <v>83</v>
      </c>
      <c r="Y5026" s="2">
        <v>37.1</v>
      </c>
      <c r="Z5026" s="2">
        <v>0</v>
      </c>
      <c r="AA5026" s="2" t="s">
        <v>512</v>
      </c>
      <c r="AB5026" s="2" t="s">
        <v>32935</v>
      </c>
      <c r="AC5026" s="2">
        <v>6.1868991725363101</v>
      </c>
      <c r="AD5026" s="2"/>
      <c r="AE5026" s="2">
        <v>5.5444561511690499E-2</v>
      </c>
      <c r="AF5026" s="2">
        <v>4910.6209366568401</v>
      </c>
      <c r="AG5026" s="2">
        <v>4236.8589358573199</v>
      </c>
      <c r="AH5026" s="5">
        <v>1.1590239399044799</v>
      </c>
      <c r="AI5026" s="5">
        <v>0.21291036584806999</v>
      </c>
      <c r="AJ5026" s="5" t="s">
        <v>139</v>
      </c>
      <c r="AK5026" s="2">
        <v>0.81045951554674101</v>
      </c>
      <c r="AL5026" s="2">
        <v>0.91544385088115199</v>
      </c>
      <c r="AM5026" s="2">
        <v>12009.2874383832</v>
      </c>
      <c r="AN5026" s="2">
        <v>296.94202445418</v>
      </c>
      <c r="AO5026" s="2">
        <v>5232.7923985341604</v>
      </c>
      <c r="AP5026" s="2">
        <v>6079.7584944556502</v>
      </c>
      <c r="AQ5026" s="2">
        <v>2300.57021441593</v>
      </c>
      <c r="AR5026" s="2">
        <v>3544.3750496978901</v>
      </c>
      <c r="AS5026" s="2">
        <v>8.559877937157E-6</v>
      </c>
      <c r="AT5026" s="2">
        <v>641.44753672918205</v>
      </c>
      <c r="AU5026" s="2">
        <v>1377.5681330105599</v>
      </c>
      <c r="AV5026" s="2">
        <v>13386.2850511874</v>
      </c>
      <c r="AW5026" s="2">
        <v>1943.6448865371699</v>
      </c>
      <c r="AX5026" s="2">
        <v>8072.2079991196997</v>
      </c>
    </row>
    <row r="5027" spans="1:50" x14ac:dyDescent="0.25">
      <c r="A5027" s="2" t="s">
        <v>32936</v>
      </c>
      <c r="B5027" s="2">
        <v>490.20912277353398</v>
      </c>
      <c r="C5027" s="2">
        <v>6.3127000000000004</v>
      </c>
      <c r="D5027" s="2" t="s">
        <v>51</v>
      </c>
      <c r="E5027" s="2" t="s">
        <v>32937</v>
      </c>
      <c r="F5027" s="2">
        <v>208353</v>
      </c>
      <c r="G5027" s="3" t="str">
        <f>HYPERLINK("https://cloud.oebiotech.com/#/lm/network/208353", "https://cloud.oebiotech.com/#/lm/network/208353")</f>
        <v>https://cloud.oebiotech.com/#/lm/network/208353</v>
      </c>
      <c r="H5027" s="2" t="s">
        <v>32938</v>
      </c>
      <c r="I5027" s="2"/>
      <c r="J5027" s="2"/>
      <c r="K5027" s="2"/>
      <c r="L5027" s="2"/>
      <c r="M5027" s="2"/>
      <c r="N5027" s="2"/>
      <c r="O5027" s="2"/>
      <c r="P5027" s="2"/>
      <c r="Q5027" s="2"/>
      <c r="R5027" s="2"/>
      <c r="S5027" s="2" t="s">
        <v>32939</v>
      </c>
      <c r="T5027" s="2" t="s">
        <v>32940</v>
      </c>
      <c r="U5027" s="2" t="s">
        <v>610</v>
      </c>
      <c r="V5027" s="2" t="s">
        <v>611</v>
      </c>
      <c r="W5027" s="2" t="s">
        <v>1267</v>
      </c>
      <c r="X5027" s="2" t="s">
        <v>147</v>
      </c>
      <c r="Y5027" s="2">
        <v>38</v>
      </c>
      <c r="Z5027" s="2">
        <v>0</v>
      </c>
      <c r="AA5027" s="2" t="s">
        <v>512</v>
      </c>
      <c r="AB5027" s="2" t="s">
        <v>32941</v>
      </c>
      <c r="AC5027" s="2">
        <v>1.32865419011909</v>
      </c>
      <c r="AD5027" s="2"/>
      <c r="AE5027" s="2">
        <v>5.53455954613154E-2</v>
      </c>
      <c r="AF5027" s="2">
        <v>1295.1114051550401</v>
      </c>
      <c r="AG5027" s="2">
        <v>2175.5904193992501</v>
      </c>
      <c r="AH5027" s="4">
        <v>0.59529192333576197</v>
      </c>
      <c r="AI5027" s="4">
        <v>-0.74833077425304895</v>
      </c>
      <c r="AJ5027" s="4" t="s">
        <v>62</v>
      </c>
      <c r="AK5027" s="2">
        <v>0.48879878737161597</v>
      </c>
      <c r="AL5027" s="2">
        <v>0.73154848154225005</v>
      </c>
      <c r="AM5027" s="2">
        <v>1803.4020796858099</v>
      </c>
      <c r="AN5027" s="2">
        <v>1752.72326447204</v>
      </c>
      <c r="AO5027" s="2">
        <v>1416.6174350633801</v>
      </c>
      <c r="AP5027" s="2">
        <v>1671.1087003498501</v>
      </c>
      <c r="AQ5027" s="2">
        <v>1018.95056992818</v>
      </c>
      <c r="AR5027" s="2">
        <v>107.866381430977</v>
      </c>
      <c r="AS5027" s="2">
        <v>25.4261117505513</v>
      </c>
      <c r="AT5027" s="2">
        <v>2031.20761165607</v>
      </c>
      <c r="AU5027" s="2">
        <v>8010.3070648289704</v>
      </c>
      <c r="AV5027" s="2">
        <v>1007.78342855225</v>
      </c>
      <c r="AW5027" s="2">
        <v>1155.00682813553</v>
      </c>
      <c r="AX5027" s="2">
        <v>823.81147147215404</v>
      </c>
    </row>
    <row r="5028" spans="1:50" x14ac:dyDescent="0.25">
      <c r="A5028" s="2" t="s">
        <v>32942</v>
      </c>
      <c r="B5028" s="2">
        <v>203.17986257506001</v>
      </c>
      <c r="C5028" s="2">
        <v>10.9866666666667</v>
      </c>
      <c r="D5028" s="2" t="s">
        <v>51</v>
      </c>
      <c r="E5028" s="2" t="s">
        <v>32943</v>
      </c>
      <c r="F5028" s="2">
        <v>35564</v>
      </c>
      <c r="G5028" s="3" t="str">
        <f>HYPERLINK("https://cloud.oebiotech.com/#/lm/network/35564", "https://cloud.oebiotech.com/#/lm/network/35564")</f>
        <v>https://cloud.oebiotech.com/#/lm/network/35564</v>
      </c>
      <c r="H5028" s="2" t="s">
        <v>32944</v>
      </c>
      <c r="I5028" s="2">
        <v>43510</v>
      </c>
      <c r="J5028" s="2" t="s">
        <v>32945</v>
      </c>
      <c r="K5028" s="2">
        <v>5281520</v>
      </c>
      <c r="L5028" s="2" t="s">
        <v>32946</v>
      </c>
      <c r="M5028" s="2"/>
      <c r="N5028" s="2"/>
      <c r="O5028" s="2">
        <v>5768</v>
      </c>
      <c r="P5028" s="2"/>
      <c r="Q5028" s="2"/>
      <c r="R5028" s="2" t="s">
        <v>32947</v>
      </c>
      <c r="S5028" s="2" t="s">
        <v>32948</v>
      </c>
      <c r="T5028" s="2" t="s">
        <v>32949</v>
      </c>
      <c r="U5028" s="2" t="s">
        <v>56</v>
      </c>
      <c r="V5028" s="2" t="s">
        <v>177</v>
      </c>
      <c r="W5028" s="2" t="s">
        <v>1996</v>
      </c>
      <c r="X5028" s="2" t="s">
        <v>83</v>
      </c>
      <c r="Y5028" s="2">
        <v>44.2</v>
      </c>
      <c r="Z5028" s="2">
        <v>0</v>
      </c>
      <c r="AA5028" s="2" t="s">
        <v>163</v>
      </c>
      <c r="AB5028" s="2" t="s">
        <v>31789</v>
      </c>
      <c r="AC5028" s="2">
        <v>-3.24095081645474</v>
      </c>
      <c r="AD5028" s="2"/>
      <c r="AE5028" s="2">
        <v>5.5300461727922398E-2</v>
      </c>
      <c r="AF5028" s="2">
        <v>1477.6699470087401</v>
      </c>
      <c r="AG5028" s="2">
        <v>1248.1150551128501</v>
      </c>
      <c r="AH5028" s="5">
        <v>1.18392125866564</v>
      </c>
      <c r="AI5028" s="5">
        <v>0.24357313205620901</v>
      </c>
      <c r="AJ5028" s="5" t="s">
        <v>139</v>
      </c>
      <c r="AK5028" s="2">
        <v>0.31091236369300002</v>
      </c>
      <c r="AL5028" s="2">
        <v>0.62015055657616003</v>
      </c>
      <c r="AM5028" s="2">
        <v>1604.01986403964</v>
      </c>
      <c r="AN5028" s="2">
        <v>1174.93015251611</v>
      </c>
      <c r="AO5028" s="2">
        <v>1127.7987286432999</v>
      </c>
      <c r="AP5028" s="2">
        <v>1870.39632344398</v>
      </c>
      <c r="AQ5028" s="2">
        <v>1430.7945151633101</v>
      </c>
      <c r="AR5028" s="2">
        <v>1658.0800982460701</v>
      </c>
      <c r="AS5028" s="2">
        <v>1146.7251636428</v>
      </c>
      <c r="AT5028" s="2">
        <v>746.02987964899</v>
      </c>
      <c r="AU5028" s="2">
        <v>1901.4517928001401</v>
      </c>
      <c r="AV5028" s="2">
        <v>1569.43336133666</v>
      </c>
      <c r="AW5028" s="2">
        <v>1294.2052232533699</v>
      </c>
      <c r="AX5028" s="2">
        <v>830.84490999514105</v>
      </c>
    </row>
    <row r="5029" spans="1:50" x14ac:dyDescent="0.25">
      <c r="A5029" s="2" t="s">
        <v>32950</v>
      </c>
      <c r="B5029" s="2">
        <v>253.180691702524</v>
      </c>
      <c r="C5029" s="2">
        <v>5.8581000000000003</v>
      </c>
      <c r="D5029" s="2" t="s">
        <v>51</v>
      </c>
      <c r="E5029" s="2" t="s">
        <v>32951</v>
      </c>
      <c r="F5029" s="2">
        <v>63825</v>
      </c>
      <c r="G5029" s="3" t="str">
        <f>HYPERLINK("https://cloud.oebiotech.com/#/lm/network/63825", "https://cloud.oebiotech.com/#/lm/network/63825")</f>
        <v>https://cloud.oebiotech.com/#/lm/network/63825</v>
      </c>
      <c r="H5029" s="2" t="s">
        <v>32952</v>
      </c>
      <c r="I5029" s="2">
        <v>95160</v>
      </c>
      <c r="J5029" s="2"/>
      <c r="K5029" s="2">
        <v>131752905</v>
      </c>
      <c r="L5029" s="2"/>
      <c r="M5029" s="2"/>
      <c r="N5029" s="2"/>
      <c r="O5029" s="2">
        <v>168266</v>
      </c>
      <c r="P5029" s="2"/>
      <c r="Q5029" s="2"/>
      <c r="R5029" s="2"/>
      <c r="S5029" s="2" t="s">
        <v>32953</v>
      </c>
      <c r="T5029" s="2" t="s">
        <v>32954</v>
      </c>
      <c r="U5029" s="2" t="s">
        <v>56</v>
      </c>
      <c r="V5029" s="2" t="s">
        <v>177</v>
      </c>
      <c r="W5029" s="2" t="s">
        <v>1996</v>
      </c>
      <c r="X5029" s="2" t="s">
        <v>83</v>
      </c>
      <c r="Y5029" s="2">
        <v>41.1</v>
      </c>
      <c r="Z5029" s="2">
        <v>0</v>
      </c>
      <c r="AA5029" s="2" t="s">
        <v>259</v>
      </c>
      <c r="AB5029" s="2" t="s">
        <v>18466</v>
      </c>
      <c r="AC5029" s="2">
        <v>3.4525652492010699</v>
      </c>
      <c r="AD5029" s="2"/>
      <c r="AE5029" s="2">
        <v>5.5266542352996897E-2</v>
      </c>
      <c r="AF5029" s="2">
        <v>3166.0516212429602</v>
      </c>
      <c r="AG5029" s="2">
        <v>2967.5845408580399</v>
      </c>
      <c r="AH5029" s="5">
        <v>1.0668783239878801</v>
      </c>
      <c r="AI5029" s="5">
        <v>9.3395648150125604E-2</v>
      </c>
      <c r="AJ5029" s="5" t="s">
        <v>139</v>
      </c>
      <c r="AK5029" s="2">
        <v>0.499616136170285</v>
      </c>
      <c r="AL5029" s="2">
        <v>0.73772066252204804</v>
      </c>
      <c r="AM5029" s="2">
        <v>2842.1573398355599</v>
      </c>
      <c r="AN5029" s="2">
        <v>3635.4752851305102</v>
      </c>
      <c r="AO5029" s="2">
        <v>3667.1686748035099</v>
      </c>
      <c r="AP5029" s="2">
        <v>3483.3442455851</v>
      </c>
      <c r="AQ5029" s="2">
        <v>2943.64186023616</v>
      </c>
      <c r="AR5029" s="2">
        <v>2424.5223218669498</v>
      </c>
      <c r="AS5029" s="2">
        <v>3256.8083304237898</v>
      </c>
      <c r="AT5029" s="2">
        <v>3703.3070452892998</v>
      </c>
      <c r="AU5029" s="2">
        <v>2464.8538257504201</v>
      </c>
      <c r="AV5029" s="2">
        <v>2608.4260219303901</v>
      </c>
      <c r="AW5029" s="2">
        <v>2649.3040942108</v>
      </c>
      <c r="AX5029" s="2">
        <v>3122.8079275435598</v>
      </c>
    </row>
    <row r="5030" spans="1:50" x14ac:dyDescent="0.25">
      <c r="A5030" s="2" t="s">
        <v>32955</v>
      </c>
      <c r="B5030" s="2">
        <v>381.07629021377102</v>
      </c>
      <c r="C5030" s="2">
        <v>4.6213499999999996</v>
      </c>
      <c r="D5030" s="2" t="s">
        <v>51</v>
      </c>
      <c r="E5030" s="2" t="s">
        <v>32956</v>
      </c>
      <c r="F5030" s="2">
        <v>274639</v>
      </c>
      <c r="G5030" s="3" t="str">
        <f>HYPERLINK("https://cloud.oebiotech.com/#/lm/network/274639", "https://cloud.oebiotech.com/#/lm/network/274639")</f>
        <v>https://cloud.oebiotech.com/#/lm/network/274639</v>
      </c>
      <c r="H5030" s="2"/>
      <c r="I5030" s="2">
        <v>64793</v>
      </c>
      <c r="J5030" s="2"/>
      <c r="K5030" s="2">
        <v>337218</v>
      </c>
      <c r="L5030" s="2"/>
      <c r="M5030" s="2"/>
      <c r="N5030" s="2"/>
      <c r="O5030" s="2"/>
      <c r="P5030" s="2"/>
      <c r="Q5030" s="2"/>
      <c r="R5030" s="2" t="s">
        <v>32957</v>
      </c>
      <c r="S5030" s="2" t="s">
        <v>32958</v>
      </c>
      <c r="T5030" s="2" t="s">
        <v>32959</v>
      </c>
      <c r="U5030" s="2" t="s">
        <v>266</v>
      </c>
      <c r="V5030" s="2" t="s">
        <v>1785</v>
      </c>
      <c r="W5030" s="2" t="s">
        <v>1786</v>
      </c>
      <c r="X5030" s="2" t="s">
        <v>147</v>
      </c>
      <c r="Y5030" s="2">
        <v>36.200000000000003</v>
      </c>
      <c r="Z5030" s="2">
        <v>0</v>
      </c>
      <c r="AA5030" s="2" t="s">
        <v>163</v>
      </c>
      <c r="AB5030" s="2" t="s">
        <v>32960</v>
      </c>
      <c r="AC5030" s="2">
        <v>-1.4575350685100801</v>
      </c>
      <c r="AD5030" s="2"/>
      <c r="AE5030" s="2">
        <v>5.5264093046561602E-2</v>
      </c>
      <c r="AF5030" s="2">
        <v>2928.53392843356</v>
      </c>
      <c r="AG5030" s="2">
        <v>4178.3058013793898</v>
      </c>
      <c r="AH5030" s="4">
        <v>0.70089028128739606</v>
      </c>
      <c r="AI5030" s="4">
        <v>-0.51273947523274999</v>
      </c>
      <c r="AJ5030" s="4" t="s">
        <v>62</v>
      </c>
      <c r="AK5030" s="2">
        <v>0.56604534137588602</v>
      </c>
      <c r="AL5030" s="2">
        <v>0.78226517498804404</v>
      </c>
      <c r="AM5030" s="2">
        <v>5201.8822400707204</v>
      </c>
      <c r="AN5030" s="2">
        <v>1601.2494375819599</v>
      </c>
      <c r="AO5030" s="2">
        <v>2821.76567828613</v>
      </c>
      <c r="AP5030" s="2">
        <v>3402.3515762678699</v>
      </c>
      <c r="AQ5030" s="2">
        <v>2090.5052642444798</v>
      </c>
      <c r="AR5030" s="2">
        <v>2453.4493741502001</v>
      </c>
      <c r="AS5030" s="2">
        <v>1724.42809674164</v>
      </c>
      <c r="AT5030" s="2">
        <v>2914.5408196656299</v>
      </c>
      <c r="AU5030" s="2">
        <v>14202.0008282528</v>
      </c>
      <c r="AV5030" s="2">
        <v>2398.9006105928302</v>
      </c>
      <c r="AW5030" s="2">
        <v>3226.6993641941699</v>
      </c>
      <c r="AX5030" s="2">
        <v>603.26508882929704</v>
      </c>
    </row>
    <row r="5031" spans="1:50" x14ac:dyDescent="0.25">
      <c r="A5031" s="2" t="s">
        <v>32961</v>
      </c>
      <c r="B5031" s="2">
        <v>330.22846541668002</v>
      </c>
      <c r="C5031" s="2">
        <v>5.3695666666666702</v>
      </c>
      <c r="D5031" s="2" t="s">
        <v>51</v>
      </c>
      <c r="E5031" s="2" t="s">
        <v>32962</v>
      </c>
      <c r="F5031" s="2">
        <v>197627</v>
      </c>
      <c r="G5031" s="3" t="str">
        <f>HYPERLINK("https://cloud.oebiotech.com/#/lm/network/197627", "https://cloud.oebiotech.com/#/lm/network/197627")</f>
        <v>https://cloud.oebiotech.com/#/lm/network/197627</v>
      </c>
      <c r="H5031" s="2" t="s">
        <v>32963</v>
      </c>
      <c r="I5031" s="2"/>
      <c r="J5031" s="2"/>
      <c r="K5031" s="2"/>
      <c r="L5031" s="2"/>
      <c r="M5031" s="2"/>
      <c r="N5031" s="2"/>
      <c r="O5031" s="2"/>
      <c r="P5031" s="2"/>
      <c r="Q5031" s="2"/>
      <c r="R5031" s="2"/>
      <c r="S5031" s="2" t="s">
        <v>32964</v>
      </c>
      <c r="T5031" s="2" t="s">
        <v>32965</v>
      </c>
      <c r="U5031" s="2" t="s">
        <v>56</v>
      </c>
      <c r="V5031" s="2" t="s">
        <v>145</v>
      </c>
      <c r="W5031" s="2" t="s">
        <v>1188</v>
      </c>
      <c r="X5031" s="2" t="s">
        <v>83</v>
      </c>
      <c r="Y5031" s="2">
        <v>47.3</v>
      </c>
      <c r="Z5031" s="2">
        <v>0</v>
      </c>
      <c r="AA5031" s="2" t="s">
        <v>259</v>
      </c>
      <c r="AB5031" s="2" t="s">
        <v>32966</v>
      </c>
      <c r="AC5031" s="2">
        <v>2.9338656694744301</v>
      </c>
      <c r="AD5031" s="2"/>
      <c r="AE5031" s="2">
        <v>5.5116809847583097E-2</v>
      </c>
      <c r="AF5031" s="2">
        <v>1752.1808453963499</v>
      </c>
      <c r="AG5031" s="2">
        <v>1324.2890041441401</v>
      </c>
      <c r="AH5031" s="5">
        <v>1.32311062004834</v>
      </c>
      <c r="AI5031" s="5">
        <v>0.40393368468808599</v>
      </c>
      <c r="AJ5031" s="5" t="s">
        <v>139</v>
      </c>
      <c r="AK5031" s="2">
        <v>0.330606114457832</v>
      </c>
      <c r="AL5031" s="2">
        <v>0.63290471104282697</v>
      </c>
      <c r="AM5031" s="2">
        <v>524.30550223226396</v>
      </c>
      <c r="AN5031" s="2">
        <v>1561.7211050062299</v>
      </c>
      <c r="AO5031" s="2">
        <v>2497.8755140967401</v>
      </c>
      <c r="AP5031" s="2">
        <v>1744.13986076336</v>
      </c>
      <c r="AQ5031" s="2">
        <v>1784.5657720531401</v>
      </c>
      <c r="AR5031" s="2">
        <v>2400.4773182263498</v>
      </c>
      <c r="AS5031" s="2">
        <v>848.94170588398299</v>
      </c>
      <c r="AT5031" s="2">
        <v>1217.41245587556</v>
      </c>
      <c r="AU5031" s="2">
        <v>581.22343080944199</v>
      </c>
      <c r="AV5031" s="2">
        <v>997.34489378917101</v>
      </c>
      <c r="AW5031" s="2">
        <v>2635.19974588587</v>
      </c>
      <c r="AX5031" s="2">
        <v>1665.6117926208001</v>
      </c>
    </row>
    <row r="5032" spans="1:50" x14ac:dyDescent="0.25">
      <c r="A5032" s="2" t="s">
        <v>32967</v>
      </c>
      <c r="B5032" s="2">
        <v>251.12637236438499</v>
      </c>
      <c r="C5032" s="2">
        <v>7.6136333333333299</v>
      </c>
      <c r="D5032" s="2" t="s">
        <v>51</v>
      </c>
      <c r="E5032" s="2" t="s">
        <v>32968</v>
      </c>
      <c r="F5032" s="2">
        <v>2018</v>
      </c>
      <c r="G5032" s="3" t="str">
        <f>HYPERLINK("https://cloud.oebiotech.com/#/lm/network/2018", "https://cloud.oebiotech.com/#/lm/network/2018")</f>
        <v>https://cloud.oebiotech.com/#/lm/network/2018</v>
      </c>
      <c r="H5032" s="2"/>
      <c r="I5032" s="2"/>
      <c r="J5032" s="2" t="s">
        <v>32969</v>
      </c>
      <c r="K5032" s="2"/>
      <c r="L5032" s="2"/>
      <c r="M5032" s="2"/>
      <c r="N5032" s="2"/>
      <c r="O5032" s="2"/>
      <c r="P5032" s="2"/>
      <c r="Q5032" s="2"/>
      <c r="R5032" s="2"/>
      <c r="S5032" s="2" t="s">
        <v>32970</v>
      </c>
      <c r="T5032" s="2" t="s">
        <v>32971</v>
      </c>
      <c r="U5032" s="2" t="s">
        <v>103</v>
      </c>
      <c r="V5032" s="2" t="s">
        <v>377</v>
      </c>
      <c r="W5032" s="2" t="s">
        <v>378</v>
      </c>
      <c r="X5032" s="2" t="s">
        <v>147</v>
      </c>
      <c r="Y5032" s="2">
        <v>38.200000000000003</v>
      </c>
      <c r="Z5032" s="2">
        <v>2.29</v>
      </c>
      <c r="AA5032" s="2" t="s">
        <v>95</v>
      </c>
      <c r="AB5032" s="2" t="s">
        <v>7377</v>
      </c>
      <c r="AC5032" s="2">
        <v>4.3507559225832999</v>
      </c>
      <c r="AD5032" s="2"/>
      <c r="AE5032" s="2">
        <v>5.5012268697087398E-2</v>
      </c>
      <c r="AF5032" s="2">
        <v>2512.0639696911499</v>
      </c>
      <c r="AG5032" s="2">
        <v>2721.1743016955702</v>
      </c>
      <c r="AH5032" s="4">
        <v>0.92315437791907495</v>
      </c>
      <c r="AI5032" s="4">
        <v>-0.11535616680545401</v>
      </c>
      <c r="AJ5032" s="4" t="s">
        <v>62</v>
      </c>
      <c r="AK5032" s="2">
        <v>0.64690538531685005</v>
      </c>
      <c r="AL5032" s="2">
        <v>0.82748660873842805</v>
      </c>
      <c r="AM5032" s="2">
        <v>2075.6126018221398</v>
      </c>
      <c r="AN5032" s="2">
        <v>2594.8911603694601</v>
      </c>
      <c r="AO5032" s="2">
        <v>1878.03859874211</v>
      </c>
      <c r="AP5032" s="2">
        <v>3743.6419659123699</v>
      </c>
      <c r="AQ5032" s="2">
        <v>2316.9179700648101</v>
      </c>
      <c r="AR5032" s="2">
        <v>2463.2815212360001</v>
      </c>
      <c r="AS5032" s="2">
        <v>1545.2325449954701</v>
      </c>
      <c r="AT5032" s="2">
        <v>2582.8574903742301</v>
      </c>
      <c r="AU5032" s="2">
        <v>3579.2904865558698</v>
      </c>
      <c r="AV5032" s="2">
        <v>3402.7974978062098</v>
      </c>
      <c r="AW5032" s="2">
        <v>3349.3195384641599</v>
      </c>
      <c r="AX5032" s="2">
        <v>1867.5482519774901</v>
      </c>
    </row>
    <row r="5033" spans="1:50" x14ac:dyDescent="0.25">
      <c r="A5033" s="2" t="s">
        <v>32972</v>
      </c>
      <c r="B5033" s="2">
        <v>314.13286982485602</v>
      </c>
      <c r="C5033" s="2">
        <v>4.0250333333333304</v>
      </c>
      <c r="D5033" s="2" t="s">
        <v>51</v>
      </c>
      <c r="E5033" s="2" t="s">
        <v>32973</v>
      </c>
      <c r="F5033" s="2">
        <v>257515</v>
      </c>
      <c r="G5033" s="3" t="str">
        <f>HYPERLINK("https://cloud.oebiotech.com/#/lm/network/257515", "https://cloud.oebiotech.com/#/lm/network/257515")</f>
        <v>https://cloud.oebiotech.com/#/lm/network/257515</v>
      </c>
      <c r="H5033" s="2" t="s">
        <v>32974</v>
      </c>
      <c r="I5033" s="2"/>
      <c r="J5033" s="2"/>
      <c r="K5033" s="2"/>
      <c r="L5033" s="2"/>
      <c r="M5033" s="2"/>
      <c r="N5033" s="2"/>
      <c r="O5033" s="2"/>
      <c r="P5033" s="2"/>
      <c r="Q5033" s="2"/>
      <c r="R5033" s="2"/>
      <c r="S5033" s="2" t="s">
        <v>32975</v>
      </c>
      <c r="T5033" s="2" t="s">
        <v>32976</v>
      </c>
      <c r="U5033" s="2" t="s">
        <v>103</v>
      </c>
      <c r="V5033" s="2" t="s">
        <v>104</v>
      </c>
      <c r="W5033" s="2" t="s">
        <v>105</v>
      </c>
      <c r="X5033" s="2" t="s">
        <v>83</v>
      </c>
      <c r="Y5033" s="2">
        <v>38.6</v>
      </c>
      <c r="Z5033" s="2">
        <v>0</v>
      </c>
      <c r="AA5033" s="2" t="s">
        <v>512</v>
      </c>
      <c r="AB5033" s="2" t="s">
        <v>32977</v>
      </c>
      <c r="AC5033" s="2">
        <v>-6.0518073723447898</v>
      </c>
      <c r="AD5033" s="2"/>
      <c r="AE5033" s="2">
        <v>5.4983353032683403E-2</v>
      </c>
      <c r="AF5033" s="2">
        <v>966.46769178852196</v>
      </c>
      <c r="AG5033" s="2">
        <v>629.06725289293695</v>
      </c>
      <c r="AH5033" s="5">
        <v>1.5363503462371599</v>
      </c>
      <c r="AI5033" s="5">
        <v>0.61950724284584402</v>
      </c>
      <c r="AJ5033" s="5" t="s">
        <v>139</v>
      </c>
      <c r="AK5033" s="2">
        <v>0.59071719744933504</v>
      </c>
      <c r="AL5033" s="2">
        <v>0.79384060507313303</v>
      </c>
      <c r="AM5033" s="2">
        <v>2285.7250894563299</v>
      </c>
      <c r="AN5033" s="2">
        <v>8.559877937157E-6</v>
      </c>
      <c r="AO5033" s="2">
        <v>23.115043130845802</v>
      </c>
      <c r="AP5033" s="2">
        <v>9.0145258700553708</v>
      </c>
      <c r="AQ5033" s="2">
        <v>1610.56043255038</v>
      </c>
      <c r="AR5033" s="2">
        <v>1870.39105116364</v>
      </c>
      <c r="AS5033" s="2">
        <v>164.34328551305899</v>
      </c>
      <c r="AT5033" s="2">
        <v>8.559877937157E-6</v>
      </c>
      <c r="AU5033" s="2">
        <v>8.559877937157E-6</v>
      </c>
      <c r="AV5033" s="2">
        <v>2643.17271567749</v>
      </c>
      <c r="AW5033" s="2">
        <v>133.36804896272301</v>
      </c>
      <c r="AX5033" s="2">
        <v>833.51945008459199</v>
      </c>
    </row>
    <row r="5034" spans="1:50" x14ac:dyDescent="0.25">
      <c r="A5034" s="2" t="s">
        <v>32978</v>
      </c>
      <c r="B5034" s="2">
        <v>253.11919007389901</v>
      </c>
      <c r="C5034" s="2">
        <v>3.4208666666666701</v>
      </c>
      <c r="D5034" s="2" t="s">
        <v>51</v>
      </c>
      <c r="E5034" s="2" t="s">
        <v>32979</v>
      </c>
      <c r="F5034" s="2">
        <v>54057</v>
      </c>
      <c r="G5034" s="3" t="str">
        <f>HYPERLINK("https://cloud.oebiotech.com/#/lm/network/54057", "https://cloud.oebiotech.com/#/lm/network/54057")</f>
        <v>https://cloud.oebiotech.com/#/lm/network/54057</v>
      </c>
      <c r="H5034" s="2" t="s">
        <v>32980</v>
      </c>
      <c r="I5034" s="2">
        <v>23895</v>
      </c>
      <c r="J5034" s="2"/>
      <c r="K5034" s="2">
        <v>7009597</v>
      </c>
      <c r="L5034" s="2"/>
      <c r="M5034" s="2"/>
      <c r="N5034" s="2"/>
      <c r="O5034" s="2">
        <v>71029</v>
      </c>
      <c r="P5034" s="2"/>
      <c r="Q5034" s="2"/>
      <c r="R5034" s="2" t="s">
        <v>32981</v>
      </c>
      <c r="S5034" s="2" t="s">
        <v>32982</v>
      </c>
      <c r="T5034" s="2" t="s">
        <v>32983</v>
      </c>
      <c r="U5034" s="2" t="s">
        <v>103</v>
      </c>
      <c r="V5034" s="2" t="s">
        <v>104</v>
      </c>
      <c r="W5034" s="2" t="s">
        <v>105</v>
      </c>
      <c r="X5034" s="2" t="s">
        <v>69</v>
      </c>
      <c r="Y5034" s="2">
        <v>55.2</v>
      </c>
      <c r="Z5034" s="2">
        <v>81.5</v>
      </c>
      <c r="AA5034" s="2" t="s">
        <v>259</v>
      </c>
      <c r="AB5034" s="2" t="s">
        <v>23803</v>
      </c>
      <c r="AC5034" s="2">
        <v>3.5961973663519</v>
      </c>
      <c r="AD5034" s="2"/>
      <c r="AE5034" s="2">
        <v>5.49598406893139E-2</v>
      </c>
      <c r="AF5034" s="2">
        <v>9053.5622143030596</v>
      </c>
      <c r="AG5034" s="2">
        <v>13093.379593179599</v>
      </c>
      <c r="AH5034" s="4">
        <v>0.69146106624901404</v>
      </c>
      <c r="AI5034" s="4">
        <v>-0.53228007432980695</v>
      </c>
      <c r="AJ5034" s="4" t="s">
        <v>62</v>
      </c>
      <c r="AK5034" s="2">
        <v>0.66099268999775795</v>
      </c>
      <c r="AL5034" s="2">
        <v>0.83574911185836298</v>
      </c>
      <c r="AM5034" s="2">
        <v>16288.8092736334</v>
      </c>
      <c r="AN5034" s="2">
        <v>6944.4525314605298</v>
      </c>
      <c r="AO5034" s="2">
        <v>8455.1069655657393</v>
      </c>
      <c r="AP5034" s="2">
        <v>7141.6208512222202</v>
      </c>
      <c r="AQ5034" s="2">
        <v>7263.7600261020698</v>
      </c>
      <c r="AR5034" s="2">
        <v>8227.6236378343801</v>
      </c>
      <c r="AS5034" s="2">
        <v>2470.0968866088801</v>
      </c>
      <c r="AT5034" s="2">
        <v>6038.6218542341003</v>
      </c>
      <c r="AU5034" s="2">
        <v>57105.760190491899</v>
      </c>
      <c r="AV5034" s="2">
        <v>5083.1894437331703</v>
      </c>
      <c r="AW5034" s="2">
        <v>4697.0402171716796</v>
      </c>
      <c r="AX5034" s="2">
        <v>3165.5689668379</v>
      </c>
    </row>
    <row r="5035" spans="1:50" x14ac:dyDescent="0.25">
      <c r="A5035" s="2" t="s">
        <v>32984</v>
      </c>
      <c r="B5035" s="2">
        <v>231.08600000000001</v>
      </c>
      <c r="C5035" s="2">
        <v>18.399999999999999</v>
      </c>
      <c r="D5035" s="2" t="s">
        <v>125</v>
      </c>
      <c r="E5035" s="2" t="s">
        <v>32985</v>
      </c>
      <c r="F5035" s="2">
        <v>546039</v>
      </c>
      <c r="G5035" s="3" t="str">
        <f>HYPERLINK("https://cloud.oebiotech.com/#/lm/network/546039", "https://cloud.oebiotech.com/#/lm/network/546039")</f>
        <v>https://cloud.oebiotech.com/#/lm/network/546039</v>
      </c>
      <c r="H5035" s="2"/>
      <c r="I5035" s="2"/>
      <c r="J5035" s="2"/>
      <c r="K5035" s="2">
        <v>560035</v>
      </c>
      <c r="L5035" s="2"/>
      <c r="M5035" s="2"/>
      <c r="N5035" s="2"/>
      <c r="O5035" s="2"/>
      <c r="P5035" s="2"/>
      <c r="Q5035" s="2"/>
      <c r="R5035" s="2"/>
      <c r="S5035" s="2" t="s">
        <v>32986</v>
      </c>
      <c r="T5035" s="2" t="s">
        <v>32987</v>
      </c>
      <c r="U5035" s="2" t="s">
        <v>56</v>
      </c>
      <c r="V5035" s="2" t="s">
        <v>145</v>
      </c>
      <c r="W5035" s="2" t="s">
        <v>146</v>
      </c>
      <c r="X5035" s="2" t="s">
        <v>83</v>
      </c>
      <c r="Y5035" s="2">
        <v>80.5</v>
      </c>
      <c r="Z5035" s="2">
        <v>70.900000000000006</v>
      </c>
      <c r="AA5035" s="2"/>
      <c r="AB5035" s="2" t="s">
        <v>21734</v>
      </c>
      <c r="AC5035" s="2"/>
      <c r="AD5035" s="2">
        <v>617651.04512148094</v>
      </c>
      <c r="AE5035" s="2">
        <v>5.4953016628271602E-2</v>
      </c>
      <c r="AF5035" s="2">
        <v>8061.8998894570504</v>
      </c>
      <c r="AG5035" s="2">
        <v>10734.7588594832</v>
      </c>
      <c r="AH5035" s="4">
        <v>0.751008941606086</v>
      </c>
      <c r="AI5035" s="4">
        <v>-0.41309801013854403</v>
      </c>
      <c r="AJ5035" s="4" t="s">
        <v>62</v>
      </c>
      <c r="AK5035" s="2">
        <v>0.34705510718967503</v>
      </c>
      <c r="AL5035" s="2">
        <v>0.64017301858619302</v>
      </c>
      <c r="AM5035" s="2">
        <v>6850.4338698117199</v>
      </c>
      <c r="AN5035" s="2">
        <v>8482.0723524949208</v>
      </c>
      <c r="AO5035" s="2">
        <v>7582.9163796951498</v>
      </c>
      <c r="AP5035" s="2">
        <v>5350.2982004107298</v>
      </c>
      <c r="AQ5035" s="2">
        <v>11207.6269951218</v>
      </c>
      <c r="AR5035" s="2">
        <v>8898.0515392079906</v>
      </c>
      <c r="AS5035" s="2">
        <v>21486.279930482498</v>
      </c>
      <c r="AT5035" s="2">
        <v>13970.0586292281</v>
      </c>
      <c r="AU5035" s="2">
        <v>6341.1441795439196</v>
      </c>
      <c r="AV5035" s="2">
        <v>5723.8399821210196</v>
      </c>
      <c r="AW5035" s="2">
        <v>5333.9060351824301</v>
      </c>
      <c r="AX5035" s="2">
        <v>11553.3244003414</v>
      </c>
    </row>
    <row r="5036" spans="1:50" x14ac:dyDescent="0.25">
      <c r="A5036" s="2" t="s">
        <v>32988</v>
      </c>
      <c r="B5036" s="2">
        <v>359.124908688429</v>
      </c>
      <c r="C5036" s="2">
        <v>5.08686666666667</v>
      </c>
      <c r="D5036" s="2" t="s">
        <v>51</v>
      </c>
      <c r="E5036" s="2" t="s">
        <v>32989</v>
      </c>
      <c r="F5036" s="2">
        <v>255868</v>
      </c>
      <c r="G5036" s="3" t="str">
        <f>HYPERLINK("https://cloud.oebiotech.com/#/lm/network/255868", "https://cloud.oebiotech.com/#/lm/network/255868")</f>
        <v>https://cloud.oebiotech.com/#/lm/network/255868</v>
      </c>
      <c r="H5036" s="2" t="s">
        <v>32990</v>
      </c>
      <c r="I5036" s="2"/>
      <c r="J5036" s="2"/>
      <c r="K5036" s="2"/>
      <c r="L5036" s="2"/>
      <c r="M5036" s="2"/>
      <c r="N5036" s="2"/>
      <c r="O5036" s="2"/>
      <c r="P5036" s="2"/>
      <c r="Q5036" s="2"/>
      <c r="R5036" s="2"/>
      <c r="S5036" s="2" t="s">
        <v>32991</v>
      </c>
      <c r="T5036" s="2" t="s">
        <v>32992</v>
      </c>
      <c r="U5036" s="2" t="s">
        <v>103</v>
      </c>
      <c r="V5036" s="2" t="s">
        <v>104</v>
      </c>
      <c r="W5036" s="2" t="s">
        <v>105</v>
      </c>
      <c r="X5036" s="2" t="s">
        <v>59</v>
      </c>
      <c r="Y5036" s="2">
        <v>48.2</v>
      </c>
      <c r="Z5036" s="2">
        <v>48.8</v>
      </c>
      <c r="AA5036" s="2" t="s">
        <v>163</v>
      </c>
      <c r="AB5036" s="2" t="s">
        <v>32993</v>
      </c>
      <c r="AC5036" s="2">
        <v>0.13537272501240999</v>
      </c>
      <c r="AD5036" s="2"/>
      <c r="AE5036" s="2">
        <v>5.4938507584303797E-2</v>
      </c>
      <c r="AF5036" s="2">
        <v>3526.0249018193499</v>
      </c>
      <c r="AG5036" s="2">
        <v>3310.5408502415698</v>
      </c>
      <c r="AH5036" s="5">
        <v>1.0650902862479601</v>
      </c>
      <c r="AI5036" s="5">
        <v>9.0975730921763906E-2</v>
      </c>
      <c r="AJ5036" s="5" t="s">
        <v>139</v>
      </c>
      <c r="AK5036" s="2">
        <v>0.81585883797094105</v>
      </c>
      <c r="AL5036" s="2">
        <v>0.91889489993959605</v>
      </c>
      <c r="AM5036" s="2">
        <v>5447.0466278649701</v>
      </c>
      <c r="AN5036" s="2">
        <v>2177.8805700388598</v>
      </c>
      <c r="AO5036" s="2">
        <v>2191.1811939158501</v>
      </c>
      <c r="AP5036" s="2">
        <v>4395.9544892970498</v>
      </c>
      <c r="AQ5036" s="2">
        <v>5525.9874011457096</v>
      </c>
      <c r="AR5036" s="2">
        <v>1418.0991286536801</v>
      </c>
      <c r="AS5036" s="2">
        <v>3309.3826244894399</v>
      </c>
      <c r="AT5036" s="2">
        <v>3583.3388700700598</v>
      </c>
      <c r="AU5036" s="2">
        <v>5203.7451315220096</v>
      </c>
      <c r="AV5036" s="2">
        <v>2471.1106593539198</v>
      </c>
      <c r="AW5036" s="2">
        <v>3795.8075229063502</v>
      </c>
      <c r="AX5036" s="2">
        <v>1499.86029310764</v>
      </c>
    </row>
    <row r="5037" spans="1:50" x14ac:dyDescent="0.25">
      <c r="A5037" s="2" t="s">
        <v>32994</v>
      </c>
      <c r="B5037" s="2">
        <v>138.05495427754099</v>
      </c>
      <c r="C5037" s="2">
        <v>3.9604499999999998</v>
      </c>
      <c r="D5037" s="2" t="s">
        <v>51</v>
      </c>
      <c r="E5037" s="2" t="s">
        <v>32995</v>
      </c>
      <c r="F5037" s="2">
        <v>52941</v>
      </c>
      <c r="G5037" s="3" t="str">
        <f>HYPERLINK("https://cloud.oebiotech.com/#/lm/network/52941", "https://cloud.oebiotech.com/#/lm/network/52941")</f>
        <v>https://cloud.oebiotech.com/#/lm/network/52941</v>
      </c>
      <c r="H5037" s="2" t="s">
        <v>32996</v>
      </c>
      <c r="I5037" s="2">
        <v>66639</v>
      </c>
      <c r="J5037" s="2"/>
      <c r="K5037" s="2">
        <v>8280</v>
      </c>
      <c r="L5037" s="2" t="s">
        <v>32997</v>
      </c>
      <c r="M5037" s="2"/>
      <c r="N5037" s="2"/>
      <c r="O5037" s="2">
        <v>250989</v>
      </c>
      <c r="P5037" s="2"/>
      <c r="Q5037" s="2"/>
      <c r="R5037" s="2" t="s">
        <v>32998</v>
      </c>
      <c r="S5037" s="2" t="s">
        <v>32999</v>
      </c>
      <c r="T5037" s="2" t="s">
        <v>33000</v>
      </c>
      <c r="U5037" s="2" t="s">
        <v>266</v>
      </c>
      <c r="V5037" s="2" t="s">
        <v>13648</v>
      </c>
      <c r="W5037" s="2" t="s">
        <v>15090</v>
      </c>
      <c r="X5037" s="2" t="s">
        <v>69</v>
      </c>
      <c r="Y5037" s="2">
        <v>59.6</v>
      </c>
      <c r="Z5037" s="2">
        <v>65.7</v>
      </c>
      <c r="AA5037" s="2" t="s">
        <v>379</v>
      </c>
      <c r="AB5037" s="2" t="s">
        <v>33001</v>
      </c>
      <c r="AC5037" s="2">
        <v>-6.9891863431078303</v>
      </c>
      <c r="AD5037" s="2"/>
      <c r="AE5037" s="2">
        <v>5.4877803167584199E-2</v>
      </c>
      <c r="AF5037" s="2">
        <v>2257.7969802020498</v>
      </c>
      <c r="AG5037" s="2">
        <v>2825.3539010282202</v>
      </c>
      <c r="AH5037" s="4">
        <v>0.79912006045698503</v>
      </c>
      <c r="AI5037" s="4">
        <v>-0.32351582375714799</v>
      </c>
      <c r="AJ5037" s="4" t="s">
        <v>62</v>
      </c>
      <c r="AK5037" s="2">
        <v>0.50499815960220895</v>
      </c>
      <c r="AL5037" s="2">
        <v>0.74142646109220101</v>
      </c>
      <c r="AM5037" s="2">
        <v>2840.37631356559</v>
      </c>
      <c r="AN5037" s="2">
        <v>1811.9907129027199</v>
      </c>
      <c r="AO5037" s="2">
        <v>2617.5382722935501</v>
      </c>
      <c r="AP5037" s="2">
        <v>2925.6777654193802</v>
      </c>
      <c r="AQ5037" s="2">
        <v>2027.07555825094</v>
      </c>
      <c r="AR5037" s="2">
        <v>1324.1232587801101</v>
      </c>
      <c r="AS5037" s="2">
        <v>2197.85260060887</v>
      </c>
      <c r="AT5037" s="2">
        <v>2755.1365698356999</v>
      </c>
      <c r="AU5037" s="2">
        <v>5655.9980705220596</v>
      </c>
      <c r="AV5037" s="2">
        <v>935.71565252747996</v>
      </c>
      <c r="AW5037" s="2">
        <v>4458.7508789795602</v>
      </c>
      <c r="AX5037" s="2">
        <v>948.66963369565201</v>
      </c>
    </row>
    <row r="5038" spans="1:50" x14ac:dyDescent="0.25">
      <c r="A5038" s="2" t="s">
        <v>33002</v>
      </c>
      <c r="B5038" s="2">
        <v>193.12279322799901</v>
      </c>
      <c r="C5038" s="2">
        <v>10.5512333333333</v>
      </c>
      <c r="D5038" s="2" t="s">
        <v>51</v>
      </c>
      <c r="E5038" s="2" t="s">
        <v>33003</v>
      </c>
      <c r="F5038" s="2">
        <v>212281</v>
      </c>
      <c r="G5038" s="3" t="str">
        <f>HYPERLINK("https://cloud.oebiotech.com/#/lm/network/212281", "https://cloud.oebiotech.com/#/lm/network/212281")</f>
        <v>https://cloud.oebiotech.com/#/lm/network/212281</v>
      </c>
      <c r="H5038" s="2" t="s">
        <v>33004</v>
      </c>
      <c r="I5038" s="2">
        <v>45038</v>
      </c>
      <c r="J5038" s="2"/>
      <c r="K5038" s="2">
        <v>11629749</v>
      </c>
      <c r="L5038" s="2"/>
      <c r="M5038" s="2"/>
      <c r="N5038" s="2"/>
      <c r="O5038" s="2"/>
      <c r="P5038" s="2"/>
      <c r="Q5038" s="2"/>
      <c r="R5038" s="2" t="s">
        <v>33005</v>
      </c>
      <c r="S5038" s="2" t="s">
        <v>33006</v>
      </c>
      <c r="T5038" s="2" t="s">
        <v>33007</v>
      </c>
      <c r="U5038" s="2" t="s">
        <v>610</v>
      </c>
      <c r="V5038" s="2" t="s">
        <v>611</v>
      </c>
      <c r="W5038" s="2" t="s">
        <v>1122</v>
      </c>
      <c r="X5038" s="2" t="s">
        <v>147</v>
      </c>
      <c r="Y5038" s="2">
        <v>39.1</v>
      </c>
      <c r="Z5038" s="2">
        <v>0</v>
      </c>
      <c r="AA5038" s="2" t="s">
        <v>259</v>
      </c>
      <c r="AB5038" s="2" t="s">
        <v>10866</v>
      </c>
      <c r="AC5038" s="2">
        <v>2.5351673903544301</v>
      </c>
      <c r="AD5038" s="2"/>
      <c r="AE5038" s="2">
        <v>5.4849273195770903E-2</v>
      </c>
      <c r="AF5038" s="2">
        <v>2004.21798320728</v>
      </c>
      <c r="AG5038" s="2">
        <v>1698.14321575031</v>
      </c>
      <c r="AH5038" s="5">
        <v>1.18024084459904</v>
      </c>
      <c r="AI5038" s="5">
        <v>0.23908129166650199</v>
      </c>
      <c r="AJ5038" s="5" t="s">
        <v>139</v>
      </c>
      <c r="AK5038" s="2">
        <v>0.64073240999352998</v>
      </c>
      <c r="AL5038" s="2">
        <v>0.824370604399012</v>
      </c>
      <c r="AM5038" s="2">
        <v>2189.8418645711399</v>
      </c>
      <c r="AN5038" s="2">
        <v>1353.0209132518801</v>
      </c>
      <c r="AO5038" s="2">
        <v>1699.8104495488001</v>
      </c>
      <c r="AP5038" s="2">
        <v>3911.3436220818398</v>
      </c>
      <c r="AQ5038" s="2">
        <v>1320.08219269547</v>
      </c>
      <c r="AR5038" s="2">
        <v>1551.20885709453</v>
      </c>
      <c r="AS5038" s="2">
        <v>2286.82133534683</v>
      </c>
      <c r="AT5038" s="2">
        <v>3876.8133188932202</v>
      </c>
      <c r="AU5038" s="2">
        <v>1003.97803798017</v>
      </c>
      <c r="AV5038" s="2">
        <v>675.82615551900506</v>
      </c>
      <c r="AW5038" s="2">
        <v>945.01248306491902</v>
      </c>
      <c r="AX5038" s="2">
        <v>1400.4079636977399</v>
      </c>
    </row>
    <row r="5039" spans="1:50" x14ac:dyDescent="0.25">
      <c r="A5039" s="2" t="s">
        <v>33008</v>
      </c>
      <c r="B5039" s="2">
        <v>217.119026672177</v>
      </c>
      <c r="C5039" s="2">
        <v>0.74455000000000005</v>
      </c>
      <c r="D5039" s="2" t="s">
        <v>51</v>
      </c>
      <c r="E5039" s="2" t="s">
        <v>33009</v>
      </c>
      <c r="F5039" s="2">
        <v>211493</v>
      </c>
      <c r="G5039" s="3" t="str">
        <f>HYPERLINK("https://cloud.oebiotech.com/#/lm/network/211493", "https://cloud.oebiotech.com/#/lm/network/211493")</f>
        <v>https://cloud.oebiotech.com/#/lm/network/211493</v>
      </c>
      <c r="H5039" s="2" t="s">
        <v>33010</v>
      </c>
      <c r="I5039" s="2"/>
      <c r="J5039" s="2"/>
      <c r="K5039" s="2"/>
      <c r="L5039" s="2"/>
      <c r="M5039" s="2"/>
      <c r="N5039" s="2"/>
      <c r="O5039" s="2"/>
      <c r="P5039" s="2"/>
      <c r="Q5039" s="2"/>
      <c r="R5039" s="2"/>
      <c r="S5039" s="2" t="s">
        <v>33011</v>
      </c>
      <c r="T5039" s="2" t="s">
        <v>33012</v>
      </c>
      <c r="U5039" s="2" t="s">
        <v>103</v>
      </c>
      <c r="V5039" s="2" t="s">
        <v>104</v>
      </c>
      <c r="W5039" s="2" t="s">
        <v>105</v>
      </c>
      <c r="X5039" s="2" t="s">
        <v>83</v>
      </c>
      <c r="Y5039" s="2">
        <v>44.5</v>
      </c>
      <c r="Z5039" s="2">
        <v>24.3</v>
      </c>
      <c r="AA5039" s="2" t="s">
        <v>259</v>
      </c>
      <c r="AB5039" s="2" t="s">
        <v>25130</v>
      </c>
      <c r="AC5039" s="2">
        <v>3.4391548444237201</v>
      </c>
      <c r="AD5039" s="2"/>
      <c r="AE5039" s="2">
        <v>5.4836251244424802E-2</v>
      </c>
      <c r="AF5039" s="2">
        <v>12737.279984820399</v>
      </c>
      <c r="AG5039" s="2">
        <v>10906.2418854936</v>
      </c>
      <c r="AH5039" s="5">
        <v>1.1678890050808699</v>
      </c>
      <c r="AI5039" s="5">
        <v>0.223903168542816</v>
      </c>
      <c r="AJ5039" s="5" t="s">
        <v>139</v>
      </c>
      <c r="AK5039" s="2">
        <v>0.73037483967024097</v>
      </c>
      <c r="AL5039" s="2">
        <v>0.87592840640547398</v>
      </c>
      <c r="AM5039" s="2">
        <v>4846.0623299796998</v>
      </c>
      <c r="AN5039" s="2">
        <v>17851.459036529301</v>
      </c>
      <c r="AO5039" s="2">
        <v>4894.2797246704304</v>
      </c>
      <c r="AP5039" s="2">
        <v>4518.4007332239298</v>
      </c>
      <c r="AQ5039" s="2">
        <v>22987.547427345798</v>
      </c>
      <c r="AR5039" s="2">
        <v>21325.9306571735</v>
      </c>
      <c r="AS5039" s="2">
        <v>1862.1918173971901</v>
      </c>
      <c r="AT5039" s="2">
        <v>5834.5840790335396</v>
      </c>
      <c r="AU5039" s="2">
        <v>12035.817093108501</v>
      </c>
      <c r="AV5039" s="2">
        <v>27792.7312584971</v>
      </c>
      <c r="AW5039" s="2">
        <v>7775.6738488629699</v>
      </c>
      <c r="AX5039" s="2">
        <v>10136.4532160625</v>
      </c>
    </row>
    <row r="5040" spans="1:50" x14ac:dyDescent="0.25">
      <c r="A5040" s="2" t="s">
        <v>33013</v>
      </c>
      <c r="B5040" s="2">
        <v>317.11442067592202</v>
      </c>
      <c r="C5040" s="2">
        <v>5.6818</v>
      </c>
      <c r="D5040" s="2" t="s">
        <v>51</v>
      </c>
      <c r="E5040" s="2" t="s">
        <v>33014</v>
      </c>
      <c r="F5040" s="2">
        <v>82799</v>
      </c>
      <c r="G5040" s="3" t="str">
        <f>HYPERLINK("https://cloud.oebiotech.com/#/lm/network/82799", "https://cloud.oebiotech.com/#/lm/network/82799")</f>
        <v>https://cloud.oebiotech.com/#/lm/network/82799</v>
      </c>
      <c r="H5040" s="2" t="s">
        <v>33015</v>
      </c>
      <c r="I5040" s="2">
        <v>2951</v>
      </c>
      <c r="J5040" s="2"/>
      <c r="K5040" s="2">
        <v>46781630</v>
      </c>
      <c r="L5040" s="2"/>
      <c r="M5040" s="2"/>
      <c r="N5040" s="2"/>
      <c r="O5040" s="2"/>
      <c r="P5040" s="2"/>
      <c r="Q5040" s="2"/>
      <c r="R5040" s="2" t="s">
        <v>33016</v>
      </c>
      <c r="S5040" s="2" t="s">
        <v>33017</v>
      </c>
      <c r="T5040" s="2" t="s">
        <v>33018</v>
      </c>
      <c r="U5040" s="2" t="s">
        <v>610</v>
      </c>
      <c r="V5040" s="2" t="s">
        <v>611</v>
      </c>
      <c r="W5040" s="2" t="s">
        <v>3746</v>
      </c>
      <c r="X5040" s="2" t="s">
        <v>83</v>
      </c>
      <c r="Y5040" s="2">
        <v>41</v>
      </c>
      <c r="Z5040" s="2">
        <v>0</v>
      </c>
      <c r="AA5040" s="2" t="s">
        <v>163</v>
      </c>
      <c r="AB5040" s="2" t="s">
        <v>33019</v>
      </c>
      <c r="AC5040" s="2">
        <v>8.0788429033029008</v>
      </c>
      <c r="AD5040" s="2"/>
      <c r="AE5040" s="2">
        <v>5.4790493932336898E-2</v>
      </c>
      <c r="AF5040" s="2">
        <v>1634.7295356499401</v>
      </c>
      <c r="AG5040" s="2">
        <v>2041.05331660558</v>
      </c>
      <c r="AH5040" s="4">
        <v>0.80092446500546099</v>
      </c>
      <c r="AI5040" s="4">
        <v>-0.32026190606177701</v>
      </c>
      <c r="AJ5040" s="4" t="s">
        <v>62</v>
      </c>
      <c r="AK5040" s="2">
        <v>0.68833027382194401</v>
      </c>
      <c r="AL5040" s="2">
        <v>0.84996190425975005</v>
      </c>
      <c r="AM5040" s="2">
        <v>1124.34449257654</v>
      </c>
      <c r="AN5040" s="2">
        <v>1287.79240658103</v>
      </c>
      <c r="AO5040" s="2">
        <v>2268.1293288348402</v>
      </c>
      <c r="AP5040" s="2">
        <v>2046.14165027542</v>
      </c>
      <c r="AQ5040" s="2">
        <v>1643.3862299959501</v>
      </c>
      <c r="AR5040" s="2">
        <v>1438.58310563588</v>
      </c>
      <c r="AS5040" s="2">
        <v>5574.9809648036098</v>
      </c>
      <c r="AT5040" s="2">
        <v>4482.6132373877899</v>
      </c>
      <c r="AU5040" s="2">
        <v>128.08133364587599</v>
      </c>
      <c r="AV5040" s="2">
        <v>527.29610427597595</v>
      </c>
      <c r="AW5040" s="2">
        <v>319.06705037973597</v>
      </c>
      <c r="AX5040" s="2">
        <v>1214.2812091404801</v>
      </c>
    </row>
    <row r="5041" spans="1:50" x14ac:dyDescent="0.25">
      <c r="A5041" s="2" t="s">
        <v>33020</v>
      </c>
      <c r="B5041" s="2">
        <v>147.09205791561499</v>
      </c>
      <c r="C5041" s="2">
        <v>3.4413666666666698</v>
      </c>
      <c r="D5041" s="2" t="s">
        <v>51</v>
      </c>
      <c r="E5041" s="2" t="s">
        <v>33021</v>
      </c>
      <c r="F5041" s="2">
        <v>48159</v>
      </c>
      <c r="G5041" s="3" t="str">
        <f>HYPERLINK("https://cloud.oebiotech.com/#/lm/network/48159", "https://cloud.oebiotech.com/#/lm/network/48159")</f>
        <v>https://cloud.oebiotech.com/#/lm/network/48159</v>
      </c>
      <c r="H5041" s="2" t="s">
        <v>33022</v>
      </c>
      <c r="I5041" s="2">
        <v>4161</v>
      </c>
      <c r="J5041" s="2"/>
      <c r="K5041" s="2">
        <v>675</v>
      </c>
      <c r="L5041" s="2" t="s">
        <v>33023</v>
      </c>
      <c r="M5041" s="2" t="s">
        <v>33024</v>
      </c>
      <c r="N5041" s="2" t="s">
        <v>33025</v>
      </c>
      <c r="O5041" s="2">
        <v>15890</v>
      </c>
      <c r="P5041" s="2"/>
      <c r="Q5041" s="2"/>
      <c r="R5041" s="2" t="s">
        <v>33026</v>
      </c>
      <c r="S5041" s="2" t="s">
        <v>33027</v>
      </c>
      <c r="T5041" s="2" t="s">
        <v>33028</v>
      </c>
      <c r="U5041" s="2" t="s">
        <v>266</v>
      </c>
      <c r="V5041" s="2" t="s">
        <v>2963</v>
      </c>
      <c r="W5041" s="2" t="s">
        <v>240</v>
      </c>
      <c r="X5041" s="2" t="s">
        <v>147</v>
      </c>
      <c r="Y5041" s="2">
        <v>37.4</v>
      </c>
      <c r="Z5041" s="2">
        <v>0</v>
      </c>
      <c r="AA5041" s="2" t="s">
        <v>259</v>
      </c>
      <c r="AB5041" s="2" t="s">
        <v>33029</v>
      </c>
      <c r="AC5041" s="2">
        <v>2.62282159497527</v>
      </c>
      <c r="AD5041" s="2"/>
      <c r="AE5041" s="2">
        <v>5.4676109177761598E-2</v>
      </c>
      <c r="AF5041" s="2">
        <v>3647.9904207842801</v>
      </c>
      <c r="AG5041" s="2">
        <v>3911.7856382069499</v>
      </c>
      <c r="AH5041" s="4">
        <v>0.93256398948701502</v>
      </c>
      <c r="AI5041" s="4">
        <v>-0.10072537311385001</v>
      </c>
      <c r="AJ5041" s="4" t="s">
        <v>62</v>
      </c>
      <c r="AK5041" s="2">
        <v>0.49619116889958798</v>
      </c>
      <c r="AL5041" s="2">
        <v>0.73518516839452297</v>
      </c>
      <c r="AM5041" s="2">
        <v>3295.63822198866</v>
      </c>
      <c r="AN5041" s="2">
        <v>4506.6811589840299</v>
      </c>
      <c r="AO5041" s="2">
        <v>3500.1045343552901</v>
      </c>
      <c r="AP5041" s="2">
        <v>3811.5585225363602</v>
      </c>
      <c r="AQ5041" s="2">
        <v>3684.47261422362</v>
      </c>
      <c r="AR5041" s="2">
        <v>3089.48747261772</v>
      </c>
      <c r="AS5041" s="2">
        <v>4706.4568016596504</v>
      </c>
      <c r="AT5041" s="2">
        <v>4656.3069579005996</v>
      </c>
      <c r="AU5041" s="2">
        <v>3115.5779079734102</v>
      </c>
      <c r="AV5041" s="2">
        <v>2890.0648172435999</v>
      </c>
      <c r="AW5041" s="2">
        <v>3877.69279610371</v>
      </c>
      <c r="AX5041" s="2">
        <v>4224.6145483607197</v>
      </c>
    </row>
    <row r="5042" spans="1:50" x14ac:dyDescent="0.25">
      <c r="A5042" s="2" t="s">
        <v>33030</v>
      </c>
      <c r="B5042" s="2">
        <v>371.259305443654</v>
      </c>
      <c r="C5042" s="2">
        <v>11.297000000000001</v>
      </c>
      <c r="D5042" s="2" t="s">
        <v>51</v>
      </c>
      <c r="E5042" s="2" t="s">
        <v>33031</v>
      </c>
      <c r="F5042" s="2">
        <v>52086</v>
      </c>
      <c r="G5042" s="3" t="str">
        <f>HYPERLINK("https://cloud.oebiotech.com/#/lm/network/52086", "https://cloud.oebiotech.com/#/lm/network/52086")</f>
        <v>https://cloud.oebiotech.com/#/lm/network/52086</v>
      </c>
      <c r="H5042" s="2" t="s">
        <v>33032</v>
      </c>
      <c r="I5042" s="2"/>
      <c r="J5042" s="2"/>
      <c r="K5042" s="2">
        <v>53481534</v>
      </c>
      <c r="L5042" s="2"/>
      <c r="M5042" s="2"/>
      <c r="N5042" s="2"/>
      <c r="O5042" s="2">
        <v>175124</v>
      </c>
      <c r="P5042" s="2"/>
      <c r="Q5042" s="2"/>
      <c r="R5042" s="2"/>
      <c r="S5042" s="2" t="s">
        <v>33033</v>
      </c>
      <c r="T5042" s="2" t="s">
        <v>33034</v>
      </c>
      <c r="U5042" s="2" t="s">
        <v>266</v>
      </c>
      <c r="V5042" s="2" t="s">
        <v>1785</v>
      </c>
      <c r="W5042" s="2" t="s">
        <v>1786</v>
      </c>
      <c r="X5042" s="2" t="s">
        <v>83</v>
      </c>
      <c r="Y5042" s="2">
        <v>42</v>
      </c>
      <c r="Z5042" s="2">
        <v>0</v>
      </c>
      <c r="AA5042" s="2" t="s">
        <v>379</v>
      </c>
      <c r="AB5042" s="2" t="s">
        <v>1124</v>
      </c>
      <c r="AC5042" s="2">
        <v>0.35069130443406998</v>
      </c>
      <c r="AD5042" s="2"/>
      <c r="AE5042" s="2">
        <v>5.4494876969571997E-2</v>
      </c>
      <c r="AF5042" s="2">
        <v>1349.2873406680501</v>
      </c>
      <c r="AG5042" s="2">
        <v>1218.39026443785</v>
      </c>
      <c r="AH5042" s="5">
        <v>1.10743444038483</v>
      </c>
      <c r="AI5042" s="5">
        <v>0.14722129441798601</v>
      </c>
      <c r="AJ5042" s="5" t="s">
        <v>139</v>
      </c>
      <c r="AK5042" s="2">
        <v>0.87221151885608905</v>
      </c>
      <c r="AL5042" s="2">
        <v>0.94460412029343299</v>
      </c>
      <c r="AM5042" s="2">
        <v>2694.0690598513502</v>
      </c>
      <c r="AN5042" s="2">
        <v>1258.67353475602</v>
      </c>
      <c r="AO5042" s="2">
        <v>508.82978084183497</v>
      </c>
      <c r="AP5042" s="2">
        <v>350.83859495670498</v>
      </c>
      <c r="AQ5042" s="2">
        <v>1622.52396341235</v>
      </c>
      <c r="AR5042" s="2">
        <v>1660.78911019006</v>
      </c>
      <c r="AS5042" s="2">
        <v>8.559877937157E-6</v>
      </c>
      <c r="AT5042" s="2">
        <v>8.559877937157E-6</v>
      </c>
      <c r="AU5042" s="2">
        <v>4500.0510414566997</v>
      </c>
      <c r="AV5042" s="2">
        <v>750.33848321600897</v>
      </c>
      <c r="AW5042" s="2">
        <v>1789.75325272585</v>
      </c>
      <c r="AX5042" s="2">
        <v>270.19879210878003</v>
      </c>
    </row>
    <row r="5043" spans="1:50" x14ac:dyDescent="0.25">
      <c r="A5043" s="2" t="s">
        <v>33035</v>
      </c>
      <c r="B5043" s="2">
        <v>178.01376818793599</v>
      </c>
      <c r="C5043" s="2">
        <v>4.78165</v>
      </c>
      <c r="D5043" s="2" t="s">
        <v>51</v>
      </c>
      <c r="E5043" s="2" t="s">
        <v>33036</v>
      </c>
      <c r="F5043" s="2">
        <v>83565</v>
      </c>
      <c r="G5043" s="3" t="str">
        <f>HYPERLINK("https://cloud.oebiotech.com/#/lm/network/83565", "https://cloud.oebiotech.com/#/lm/network/83565")</f>
        <v>https://cloud.oebiotech.com/#/lm/network/83565</v>
      </c>
      <c r="H5043" s="2" t="s">
        <v>33037</v>
      </c>
      <c r="I5043" s="2"/>
      <c r="J5043" s="2"/>
      <c r="K5043" s="2">
        <v>447364</v>
      </c>
      <c r="L5043" s="2"/>
      <c r="M5043" s="2"/>
      <c r="N5043" s="2"/>
      <c r="O5043" s="2">
        <v>546274</v>
      </c>
      <c r="P5043" s="2"/>
      <c r="Q5043" s="2"/>
      <c r="R5043" s="2"/>
      <c r="S5043" s="2" t="s">
        <v>33038</v>
      </c>
      <c r="T5043" s="2" t="s">
        <v>33039</v>
      </c>
      <c r="U5043" s="2" t="s">
        <v>610</v>
      </c>
      <c r="V5043" s="2" t="s">
        <v>895</v>
      </c>
      <c r="W5043" s="2" t="s">
        <v>5799</v>
      </c>
      <c r="X5043" s="2" t="s">
        <v>83</v>
      </c>
      <c r="Y5043" s="2">
        <v>49.9</v>
      </c>
      <c r="Z5043" s="2">
        <v>0</v>
      </c>
      <c r="AA5043" s="2" t="s">
        <v>379</v>
      </c>
      <c r="AB5043" s="2" t="s">
        <v>33040</v>
      </c>
      <c r="AC5043" s="2">
        <v>-4.1263216716440496</v>
      </c>
      <c r="AD5043" s="2"/>
      <c r="AE5043" s="2">
        <v>5.4432964714155999E-2</v>
      </c>
      <c r="AF5043" s="2">
        <v>447.687612089455</v>
      </c>
      <c r="AG5043" s="2">
        <v>317.36609960438398</v>
      </c>
      <c r="AH5043" s="5">
        <v>1.41063463503986</v>
      </c>
      <c r="AI5043" s="5">
        <v>0.49634436747241201</v>
      </c>
      <c r="AJ5043" s="5" t="s">
        <v>139</v>
      </c>
      <c r="AK5043" s="2">
        <v>0.17440265854058501</v>
      </c>
      <c r="AL5043" s="2">
        <v>0.49564171907790799</v>
      </c>
      <c r="AM5043" s="2">
        <v>555.22112364281202</v>
      </c>
      <c r="AN5043" s="2">
        <v>540.153319406278</v>
      </c>
      <c r="AO5043" s="2">
        <v>353.39534443607403</v>
      </c>
      <c r="AP5043" s="2">
        <v>661.03080351918402</v>
      </c>
      <c r="AQ5043" s="2">
        <v>297.41744636743101</v>
      </c>
      <c r="AR5043" s="2">
        <v>278.90763516495201</v>
      </c>
      <c r="AS5043" s="2">
        <v>221.35320449319701</v>
      </c>
      <c r="AT5043" s="2">
        <v>250.15580697639399</v>
      </c>
      <c r="AU5043" s="2">
        <v>319.22738409789798</v>
      </c>
      <c r="AV5043" s="2">
        <v>335.21728093852403</v>
      </c>
      <c r="AW5043" s="2">
        <v>599.33653614063701</v>
      </c>
      <c r="AX5043" s="2">
        <v>178.90638497965401</v>
      </c>
    </row>
    <row r="5044" spans="1:50" x14ac:dyDescent="0.25">
      <c r="A5044" s="2" t="s">
        <v>33041</v>
      </c>
      <c r="B5044" s="2">
        <v>670.42770326434402</v>
      </c>
      <c r="C5044" s="2">
        <v>13.346133333333301</v>
      </c>
      <c r="D5044" s="2" t="s">
        <v>51</v>
      </c>
      <c r="E5044" s="2" t="s">
        <v>33042</v>
      </c>
      <c r="F5044" s="2">
        <v>22486</v>
      </c>
      <c r="G5044" s="3" t="str">
        <f>HYPERLINK("https://cloud.oebiotech.com/#/lm/network/22486", "https://cloud.oebiotech.com/#/lm/network/22486")</f>
        <v>https://cloud.oebiotech.com/#/lm/network/22486</v>
      </c>
      <c r="H5044" s="2"/>
      <c r="I5044" s="2"/>
      <c r="J5044" s="2" t="s">
        <v>33043</v>
      </c>
      <c r="K5044" s="2">
        <v>137323959</v>
      </c>
      <c r="L5044" s="2"/>
      <c r="M5044" s="2"/>
      <c r="N5044" s="2"/>
      <c r="O5044" s="2"/>
      <c r="P5044" s="2"/>
      <c r="Q5044" s="2"/>
      <c r="R5044" s="2"/>
      <c r="S5044" s="2" t="s">
        <v>33044</v>
      </c>
      <c r="T5044" s="2" t="s">
        <v>33045</v>
      </c>
      <c r="U5044" s="2" t="s">
        <v>56</v>
      </c>
      <c r="V5044" s="2" t="s">
        <v>57</v>
      </c>
      <c r="W5044" s="2" t="s">
        <v>82</v>
      </c>
      <c r="X5044" s="2" t="s">
        <v>147</v>
      </c>
      <c r="Y5044" s="2">
        <v>36.5</v>
      </c>
      <c r="Z5044" s="2">
        <v>0</v>
      </c>
      <c r="AA5044" s="2" t="s">
        <v>218</v>
      </c>
      <c r="AB5044" s="2" t="s">
        <v>33046</v>
      </c>
      <c r="AC5044" s="2">
        <v>-3.7875731825102901</v>
      </c>
      <c r="AD5044" s="2"/>
      <c r="AE5044" s="2">
        <v>5.43475070788009E-2</v>
      </c>
      <c r="AF5044" s="2">
        <v>4472.3290945019698</v>
      </c>
      <c r="AG5044" s="2">
        <v>5355.2724828705404</v>
      </c>
      <c r="AH5044" s="4">
        <v>0.83512633741928699</v>
      </c>
      <c r="AI5044" s="4">
        <v>-0.25993363073658299</v>
      </c>
      <c r="AJ5044" s="4" t="s">
        <v>62</v>
      </c>
      <c r="AK5044" s="2">
        <v>0.60013506933858995</v>
      </c>
      <c r="AL5044" s="2">
        <v>0.79995552462128705</v>
      </c>
      <c r="AM5044" s="2">
        <v>5030.1411302728702</v>
      </c>
      <c r="AN5044" s="2">
        <v>3186.4401018436301</v>
      </c>
      <c r="AO5044" s="2">
        <v>3452.4356214259501</v>
      </c>
      <c r="AP5044" s="2">
        <v>2147.0022732123298</v>
      </c>
      <c r="AQ5044" s="2">
        <v>6122.2837434221501</v>
      </c>
      <c r="AR5044" s="2">
        <v>6895.6716968348901</v>
      </c>
      <c r="AS5044" s="2">
        <v>1964.70089786834</v>
      </c>
      <c r="AT5044" s="2">
        <v>5154.3765023466003</v>
      </c>
      <c r="AU5044" s="2">
        <v>11337.081030044699</v>
      </c>
      <c r="AV5044" s="2">
        <v>4724.3048848898297</v>
      </c>
      <c r="AW5044" s="2">
        <v>7077.6508065927101</v>
      </c>
      <c r="AX5044" s="2">
        <v>1873.5207754810799</v>
      </c>
    </row>
    <row r="5045" spans="1:50" x14ac:dyDescent="0.25">
      <c r="A5045" s="2" t="s">
        <v>33047</v>
      </c>
      <c r="B5045" s="2">
        <v>349.01304412666099</v>
      </c>
      <c r="C5045" s="2">
        <v>3.6067666666666698</v>
      </c>
      <c r="D5045" s="2" t="s">
        <v>51</v>
      </c>
      <c r="E5045" s="2" t="s">
        <v>33048</v>
      </c>
      <c r="F5045" s="2">
        <v>30523</v>
      </c>
      <c r="G5045" s="3" t="str">
        <f>HYPERLINK("https://cloud.oebiotech.com/#/lm/network/30523", "https://cloud.oebiotech.com/#/lm/network/30523")</f>
        <v>https://cloud.oebiotech.com/#/lm/network/30523</v>
      </c>
      <c r="H5045" s="2"/>
      <c r="I5045" s="2">
        <v>48861</v>
      </c>
      <c r="J5045" s="2" t="s">
        <v>33049</v>
      </c>
      <c r="K5045" s="2">
        <v>23266570</v>
      </c>
      <c r="L5045" s="2"/>
      <c r="M5045" s="2"/>
      <c r="N5045" s="2"/>
      <c r="O5045" s="2"/>
      <c r="P5045" s="2"/>
      <c r="Q5045" s="2"/>
      <c r="R5045" s="2"/>
      <c r="S5045" s="2" t="s">
        <v>33050</v>
      </c>
      <c r="T5045" s="2" t="s">
        <v>33051</v>
      </c>
      <c r="U5045" s="2" t="s">
        <v>540</v>
      </c>
      <c r="V5045" s="2" t="s">
        <v>541</v>
      </c>
      <c r="W5045" s="2" t="s">
        <v>3377</v>
      </c>
      <c r="X5045" s="2" t="s">
        <v>59</v>
      </c>
      <c r="Y5045" s="2">
        <v>45.3</v>
      </c>
      <c r="Z5045" s="2">
        <v>59.4</v>
      </c>
      <c r="AA5045" s="2" t="s">
        <v>218</v>
      </c>
      <c r="AB5045" s="2" t="s">
        <v>33052</v>
      </c>
      <c r="AC5045" s="2">
        <v>3.2569905193849502</v>
      </c>
      <c r="AD5045" s="2"/>
      <c r="AE5045" s="2">
        <v>5.4333658092716501E-2</v>
      </c>
      <c r="AF5045" s="2">
        <v>10914.2329880126</v>
      </c>
      <c r="AG5045" s="2">
        <v>10401.337406353399</v>
      </c>
      <c r="AH5045" s="5">
        <v>1.04931054167572</v>
      </c>
      <c r="AI5045" s="5">
        <v>6.9441704258440706E-2</v>
      </c>
      <c r="AJ5045" s="5" t="s">
        <v>139</v>
      </c>
      <c r="AK5045" s="2">
        <v>0.78473915529232696</v>
      </c>
      <c r="AL5045" s="2">
        <v>0.90560695252028101</v>
      </c>
      <c r="AM5045" s="2">
        <v>9502.8057255515396</v>
      </c>
      <c r="AN5045" s="2">
        <v>12977.5665211249</v>
      </c>
      <c r="AO5045" s="2">
        <v>8976.1181110202506</v>
      </c>
      <c r="AP5045" s="2">
        <v>14303.247591985501</v>
      </c>
      <c r="AQ5045" s="2">
        <v>11740.2837345103</v>
      </c>
      <c r="AR5045" s="2">
        <v>7985.37624388321</v>
      </c>
      <c r="AS5045" s="2">
        <v>12177.572108938601</v>
      </c>
      <c r="AT5045" s="2">
        <v>14400.5011878513</v>
      </c>
      <c r="AU5045" s="2">
        <v>8998.71706636196</v>
      </c>
      <c r="AV5045" s="2">
        <v>4971.1749627474701</v>
      </c>
      <c r="AW5045" s="2">
        <v>7903.4326854764204</v>
      </c>
      <c r="AX5045" s="2">
        <v>13956.6264267448</v>
      </c>
    </row>
    <row r="5046" spans="1:50" x14ac:dyDescent="0.25">
      <c r="A5046" s="2" t="s">
        <v>33053</v>
      </c>
      <c r="B5046" s="2">
        <v>305.05804773057201</v>
      </c>
      <c r="C5046" s="2">
        <v>0.59993333333333299</v>
      </c>
      <c r="D5046" s="2" t="s">
        <v>51</v>
      </c>
      <c r="E5046" s="2" t="s">
        <v>33054</v>
      </c>
      <c r="F5046" s="2">
        <v>211038</v>
      </c>
      <c r="G5046" s="3" t="str">
        <f>HYPERLINK("https://cloud.oebiotech.com/#/lm/network/211038", "https://cloud.oebiotech.com/#/lm/network/211038")</f>
        <v>https://cloud.oebiotech.com/#/lm/network/211038</v>
      </c>
      <c r="H5046" s="2" t="s">
        <v>33055</v>
      </c>
      <c r="I5046" s="2">
        <v>984250</v>
      </c>
      <c r="J5046" s="2"/>
      <c r="K5046" s="2">
        <v>159505</v>
      </c>
      <c r="L5046" s="2"/>
      <c r="M5046" s="2"/>
      <c r="N5046" s="2"/>
      <c r="O5046" s="2"/>
      <c r="P5046" s="2"/>
      <c r="Q5046" s="2"/>
      <c r="R5046" s="2"/>
      <c r="S5046" s="2" t="s">
        <v>33056</v>
      </c>
      <c r="T5046" s="2" t="s">
        <v>33057</v>
      </c>
      <c r="U5046" s="2" t="s">
        <v>103</v>
      </c>
      <c r="V5046" s="2" t="s">
        <v>11073</v>
      </c>
      <c r="W5046" s="2" t="s">
        <v>11074</v>
      </c>
      <c r="X5046" s="2" t="s">
        <v>147</v>
      </c>
      <c r="Y5046" s="2">
        <v>39.1</v>
      </c>
      <c r="Z5046" s="2">
        <v>0</v>
      </c>
      <c r="AA5046" s="2" t="s">
        <v>95</v>
      </c>
      <c r="AB5046" s="2" t="s">
        <v>33058</v>
      </c>
      <c r="AC5046" s="2">
        <v>-0.90150454106605005</v>
      </c>
      <c r="AD5046" s="2"/>
      <c r="AE5046" s="2">
        <v>5.42550141079505E-2</v>
      </c>
      <c r="AF5046" s="2">
        <v>5672.8952496207903</v>
      </c>
      <c r="AG5046" s="2">
        <v>4889.4667733101896</v>
      </c>
      <c r="AH5046" s="5">
        <v>1.1602277942836301</v>
      </c>
      <c r="AI5046" s="5">
        <v>0.21440808588694599</v>
      </c>
      <c r="AJ5046" s="5" t="s">
        <v>139</v>
      </c>
      <c r="AK5046" s="2">
        <v>0.653497921937787</v>
      </c>
      <c r="AL5046" s="2">
        <v>0.83240942988891198</v>
      </c>
      <c r="AM5046" s="2">
        <v>1345.3127826994</v>
      </c>
      <c r="AN5046" s="2">
        <v>5690.4057873680404</v>
      </c>
      <c r="AO5046" s="2">
        <v>4253.0625367933499</v>
      </c>
      <c r="AP5046" s="2">
        <v>3247.8459132452999</v>
      </c>
      <c r="AQ5046" s="2">
        <v>11553.856271296099</v>
      </c>
      <c r="AR5046" s="2">
        <v>7946.8882063225801</v>
      </c>
      <c r="AS5046" s="2">
        <v>3900.4375662669499</v>
      </c>
      <c r="AT5046" s="2">
        <v>8295.3472688099992</v>
      </c>
      <c r="AU5046" s="2">
        <v>2871.8157779922699</v>
      </c>
      <c r="AV5046" s="2">
        <v>3413.04460133665</v>
      </c>
      <c r="AW5046" s="2">
        <v>5095.7032365256</v>
      </c>
      <c r="AX5046" s="2">
        <v>5760.4521889296402</v>
      </c>
    </row>
    <row r="5047" spans="1:50" x14ac:dyDescent="0.25">
      <c r="A5047" s="2" t="s">
        <v>33059</v>
      </c>
      <c r="B5047" s="2">
        <v>239.05352452148401</v>
      </c>
      <c r="C5047" s="2">
        <v>4.9422166666666696</v>
      </c>
      <c r="D5047" s="2" t="s">
        <v>51</v>
      </c>
      <c r="E5047" s="2" t="s">
        <v>33060</v>
      </c>
      <c r="F5047" s="2">
        <v>53127</v>
      </c>
      <c r="G5047" s="3" t="str">
        <f>HYPERLINK("https://cloud.oebiotech.com/#/lm/network/53127", "https://cloud.oebiotech.com/#/lm/network/53127")</f>
        <v>https://cloud.oebiotech.com/#/lm/network/53127</v>
      </c>
      <c r="H5047" s="2" t="s">
        <v>33061</v>
      </c>
      <c r="I5047" s="2">
        <v>85179</v>
      </c>
      <c r="J5047" s="2"/>
      <c r="K5047" s="2">
        <v>5394</v>
      </c>
      <c r="L5047" s="2"/>
      <c r="M5047" s="2"/>
      <c r="N5047" s="2"/>
      <c r="O5047" s="2">
        <v>72564</v>
      </c>
      <c r="P5047" s="2"/>
      <c r="Q5047" s="2"/>
      <c r="R5047" s="2" t="s">
        <v>33062</v>
      </c>
      <c r="S5047" s="2" t="s">
        <v>33063</v>
      </c>
      <c r="T5047" s="2" t="s">
        <v>33064</v>
      </c>
      <c r="U5047" s="2" t="s">
        <v>266</v>
      </c>
      <c r="V5047" s="2" t="s">
        <v>33065</v>
      </c>
      <c r="W5047" s="2" t="s">
        <v>240</v>
      </c>
      <c r="X5047" s="2" t="s">
        <v>147</v>
      </c>
      <c r="Y5047" s="2">
        <v>39.700000000000003</v>
      </c>
      <c r="Z5047" s="2">
        <v>0</v>
      </c>
      <c r="AA5047" s="2" t="s">
        <v>218</v>
      </c>
      <c r="AB5047" s="2" t="s">
        <v>33066</v>
      </c>
      <c r="AC5047" s="2">
        <v>0.50599588249527405</v>
      </c>
      <c r="AD5047" s="2"/>
      <c r="AE5047" s="2">
        <v>5.4245454848426897E-2</v>
      </c>
      <c r="AF5047" s="2">
        <v>1303.8708587521201</v>
      </c>
      <c r="AG5047" s="2">
        <v>1124.9173070351101</v>
      </c>
      <c r="AH5047" s="5">
        <v>1.15908151701272</v>
      </c>
      <c r="AI5047" s="5">
        <v>0.21298203317304301</v>
      </c>
      <c r="AJ5047" s="5" t="s">
        <v>139</v>
      </c>
      <c r="AK5047" s="2">
        <v>0.29753756204500797</v>
      </c>
      <c r="AL5047" s="2">
        <v>0.60853987330779502</v>
      </c>
      <c r="AM5047" s="2">
        <v>1000.20461678347</v>
      </c>
      <c r="AN5047" s="2">
        <v>1761.9594456468801</v>
      </c>
      <c r="AO5047" s="2">
        <v>1353.1161596930799</v>
      </c>
      <c r="AP5047" s="2">
        <v>1584.6970006357899</v>
      </c>
      <c r="AQ5047" s="2">
        <v>1179.9687537790001</v>
      </c>
      <c r="AR5047" s="2">
        <v>943.27917597449004</v>
      </c>
      <c r="AS5047" s="2">
        <v>797.06144703782695</v>
      </c>
      <c r="AT5047" s="2">
        <v>1159.5643175027401</v>
      </c>
      <c r="AU5047" s="2">
        <v>1113.6211782547</v>
      </c>
      <c r="AV5047" s="2">
        <v>1297.19001195445</v>
      </c>
      <c r="AW5047" s="2">
        <v>946.56594153635604</v>
      </c>
      <c r="AX5047" s="2">
        <v>1435.50094592457</v>
      </c>
    </row>
    <row r="5048" spans="1:50" x14ac:dyDescent="0.25">
      <c r="A5048" s="2" t="s">
        <v>33067</v>
      </c>
      <c r="B5048" s="2">
        <v>389.09152321324501</v>
      </c>
      <c r="C5048" s="2">
        <v>5.24315</v>
      </c>
      <c r="D5048" s="2" t="s">
        <v>51</v>
      </c>
      <c r="E5048" s="2" t="s">
        <v>33068</v>
      </c>
      <c r="F5048" s="2">
        <v>58734</v>
      </c>
      <c r="G5048" s="3" t="str">
        <f>HYPERLINK("https://cloud.oebiotech.com/#/lm/network/58734", "https://cloud.oebiotech.com/#/lm/network/58734")</f>
        <v>https://cloud.oebiotech.com/#/lm/network/58734</v>
      </c>
      <c r="H5048" s="2" t="s">
        <v>33069</v>
      </c>
      <c r="I5048" s="2">
        <v>90183</v>
      </c>
      <c r="J5048" s="2"/>
      <c r="K5048" s="2">
        <v>74087011</v>
      </c>
      <c r="L5048" s="2"/>
      <c r="M5048" s="2"/>
      <c r="N5048" s="2"/>
      <c r="O5048" s="2"/>
      <c r="P5048" s="2"/>
      <c r="Q5048" s="2"/>
      <c r="R5048" s="2" t="s">
        <v>33070</v>
      </c>
      <c r="S5048" s="2" t="s">
        <v>33071</v>
      </c>
      <c r="T5048" s="2" t="s">
        <v>33072</v>
      </c>
      <c r="U5048" s="2" t="s">
        <v>56</v>
      </c>
      <c r="V5048" s="2" t="s">
        <v>145</v>
      </c>
      <c r="W5048" s="2" t="s">
        <v>3263</v>
      </c>
      <c r="X5048" s="2" t="s">
        <v>147</v>
      </c>
      <c r="Y5048" s="2">
        <v>37.5</v>
      </c>
      <c r="Z5048" s="2">
        <v>0.82399999999999995</v>
      </c>
      <c r="AA5048" s="2" t="s">
        <v>379</v>
      </c>
      <c r="AB5048" s="2" t="s">
        <v>33073</v>
      </c>
      <c r="AC5048" s="2">
        <v>0.84871431428284605</v>
      </c>
      <c r="AD5048" s="2"/>
      <c r="AE5048" s="2">
        <v>5.4194148088999701E-2</v>
      </c>
      <c r="AF5048" s="2">
        <v>3196.31201127747</v>
      </c>
      <c r="AG5048" s="2">
        <v>3610.3225343029999</v>
      </c>
      <c r="AH5048" s="4">
        <v>0.88532589011317897</v>
      </c>
      <c r="AI5048" s="4">
        <v>-0.17571948318761199</v>
      </c>
      <c r="AJ5048" s="4" t="s">
        <v>62</v>
      </c>
      <c r="AK5048" s="2">
        <v>0.74143187345078798</v>
      </c>
      <c r="AL5048" s="2">
        <v>0.88190791048193196</v>
      </c>
      <c r="AM5048" s="2">
        <v>4489.9488818309201</v>
      </c>
      <c r="AN5048" s="2">
        <v>1439.8928490870601</v>
      </c>
      <c r="AO5048" s="2">
        <v>2978.8799823079298</v>
      </c>
      <c r="AP5048" s="2">
        <v>2277.5935763799898</v>
      </c>
      <c r="AQ5048" s="2">
        <v>1964.57920554784</v>
      </c>
      <c r="AR5048" s="2">
        <v>6026.9775725110903</v>
      </c>
      <c r="AS5048" s="2">
        <v>2030.1890882053799</v>
      </c>
      <c r="AT5048" s="2">
        <v>2534.2593557381401</v>
      </c>
      <c r="AU5048" s="2">
        <v>3828.8326674639602</v>
      </c>
      <c r="AV5048" s="2">
        <v>4081.0283722148802</v>
      </c>
      <c r="AW5048" s="2">
        <v>8031.7373699339896</v>
      </c>
      <c r="AX5048" s="2">
        <v>1155.88835226166</v>
      </c>
    </row>
    <row r="5049" spans="1:50" x14ac:dyDescent="0.25">
      <c r="A5049" s="2" t="s">
        <v>33074</v>
      </c>
      <c r="B5049" s="2">
        <v>221.12916248009401</v>
      </c>
      <c r="C5049" s="2">
        <v>6.6638666666666699</v>
      </c>
      <c r="D5049" s="2" t="s">
        <v>51</v>
      </c>
      <c r="E5049" s="2" t="s">
        <v>33075</v>
      </c>
      <c r="F5049" s="2">
        <v>47805</v>
      </c>
      <c r="G5049" s="3" t="str">
        <f>HYPERLINK("https://cloud.oebiotech.com/#/lm/network/47805", "https://cloud.oebiotech.com/#/lm/network/47805")</f>
        <v>https://cloud.oebiotech.com/#/lm/network/47805</v>
      </c>
      <c r="H5049" s="2" t="s">
        <v>33076</v>
      </c>
      <c r="I5049" s="2">
        <v>6485</v>
      </c>
      <c r="J5049" s="2"/>
      <c r="K5049" s="2">
        <v>8617</v>
      </c>
      <c r="L5049" s="2" t="s">
        <v>33077</v>
      </c>
      <c r="M5049" s="2"/>
      <c r="N5049" s="2"/>
      <c r="O5049" s="2">
        <v>33070</v>
      </c>
      <c r="P5049" s="2"/>
      <c r="Q5049" s="2"/>
      <c r="R5049" s="2" t="s">
        <v>33078</v>
      </c>
      <c r="S5049" s="2" t="s">
        <v>33079</v>
      </c>
      <c r="T5049" s="2" t="s">
        <v>33080</v>
      </c>
      <c r="U5049" s="2" t="s">
        <v>266</v>
      </c>
      <c r="V5049" s="2" t="s">
        <v>445</v>
      </c>
      <c r="W5049" s="2" t="s">
        <v>446</v>
      </c>
      <c r="X5049" s="2" t="s">
        <v>83</v>
      </c>
      <c r="Y5049" s="2">
        <v>41.5</v>
      </c>
      <c r="Z5049" s="2">
        <v>0</v>
      </c>
      <c r="AA5049" s="2" t="s">
        <v>512</v>
      </c>
      <c r="AB5049" s="2" t="s">
        <v>33081</v>
      </c>
      <c r="AC5049" s="2">
        <v>3.4874839783440699</v>
      </c>
      <c r="AD5049" s="2"/>
      <c r="AE5049" s="2">
        <v>5.4182093966684997E-2</v>
      </c>
      <c r="AF5049" s="2">
        <v>139.17976067653399</v>
      </c>
      <c r="AG5049" s="2">
        <v>324.82233658594703</v>
      </c>
      <c r="AH5049" s="4">
        <v>0.42847964871931499</v>
      </c>
      <c r="AI5049" s="4">
        <v>-1.22270141187741</v>
      </c>
      <c r="AJ5049" s="4" t="s">
        <v>62</v>
      </c>
      <c r="AK5049" s="2">
        <v>0.49651906034234</v>
      </c>
      <c r="AL5049" s="2">
        <v>0.73530398135506903</v>
      </c>
      <c r="AM5049" s="2">
        <v>379.43986036876203</v>
      </c>
      <c r="AN5049" s="2">
        <v>8.559877937157E-6</v>
      </c>
      <c r="AO5049" s="2">
        <v>260.26370843863998</v>
      </c>
      <c r="AP5049" s="2">
        <v>195.374969572167</v>
      </c>
      <c r="AQ5049" s="2">
        <v>8.559877937157E-6</v>
      </c>
      <c r="AR5049" s="2">
        <v>8.559877937157E-6</v>
      </c>
      <c r="AS5049" s="2">
        <v>1583.9590428894901</v>
      </c>
      <c r="AT5049" s="2">
        <v>8.559877937157E-6</v>
      </c>
      <c r="AU5049" s="2">
        <v>8.559877937157E-6</v>
      </c>
      <c r="AV5049" s="2">
        <v>8.559877937157E-6</v>
      </c>
      <c r="AW5049" s="2">
        <v>171.33612735676201</v>
      </c>
      <c r="AX5049" s="2">
        <v>193.63882358979799</v>
      </c>
    </row>
    <row r="5050" spans="1:50" x14ac:dyDescent="0.25">
      <c r="A5050" s="2" t="s">
        <v>33082</v>
      </c>
      <c r="B5050" s="2">
        <v>475.07134726317997</v>
      </c>
      <c r="C5050" s="2">
        <v>5.0332333333333299</v>
      </c>
      <c r="D5050" s="2" t="s">
        <v>51</v>
      </c>
      <c r="E5050" s="2" t="s">
        <v>33083</v>
      </c>
      <c r="F5050" s="2">
        <v>203404</v>
      </c>
      <c r="G5050" s="3" t="str">
        <f>HYPERLINK("https://cloud.oebiotech.com/#/lm/network/203404", "https://cloud.oebiotech.com/#/lm/network/203404")</f>
        <v>https://cloud.oebiotech.com/#/lm/network/203404</v>
      </c>
      <c r="H5050" s="2" t="s">
        <v>33084</v>
      </c>
      <c r="I5050" s="2">
        <v>356325</v>
      </c>
      <c r="J5050" s="2"/>
      <c r="K5050" s="2">
        <v>16007367</v>
      </c>
      <c r="L5050" s="2"/>
      <c r="M5050" s="2"/>
      <c r="N5050" s="2"/>
      <c r="O5050" s="2"/>
      <c r="P5050" s="2"/>
      <c r="Q5050" s="2"/>
      <c r="R5050" s="2"/>
      <c r="S5050" s="2" t="s">
        <v>33085</v>
      </c>
      <c r="T5050" s="2" t="s">
        <v>33086</v>
      </c>
      <c r="U5050" s="2" t="s">
        <v>266</v>
      </c>
      <c r="V5050" s="2" t="s">
        <v>3926</v>
      </c>
      <c r="W5050" s="2" t="s">
        <v>4115</v>
      </c>
      <c r="X5050" s="2" t="s">
        <v>147</v>
      </c>
      <c r="Y5050" s="2">
        <v>37.6</v>
      </c>
      <c r="Z5050" s="2">
        <v>8.23</v>
      </c>
      <c r="AA5050" s="2" t="s">
        <v>218</v>
      </c>
      <c r="AB5050" s="2" t="s">
        <v>33087</v>
      </c>
      <c r="AC5050" s="2">
        <v>4.6807558179668298</v>
      </c>
      <c r="AD5050" s="2"/>
      <c r="AE5050" s="2">
        <v>5.3984842602022701E-2</v>
      </c>
      <c r="AF5050" s="2">
        <v>1925.19713817916</v>
      </c>
      <c r="AG5050" s="2">
        <v>2248.3198109516402</v>
      </c>
      <c r="AH5050" s="4">
        <v>0.856282602146481</v>
      </c>
      <c r="AI5050" s="4">
        <v>-0.22384108163821201</v>
      </c>
      <c r="AJ5050" s="4" t="s">
        <v>62</v>
      </c>
      <c r="AK5050" s="2">
        <v>0.70615549704256497</v>
      </c>
      <c r="AL5050" s="2">
        <v>0.85966136788168601</v>
      </c>
      <c r="AM5050" s="2">
        <v>1687.9184364953701</v>
      </c>
      <c r="AN5050" s="2">
        <v>3802.3452772025198</v>
      </c>
      <c r="AO5050" s="2">
        <v>1584.87430565158</v>
      </c>
      <c r="AP5050" s="2">
        <v>2044.6837100472601</v>
      </c>
      <c r="AQ5050" s="2">
        <v>1358.0886891134201</v>
      </c>
      <c r="AR5050" s="2">
        <v>1073.2724105648001</v>
      </c>
      <c r="AS5050" s="2">
        <v>5880.9432592925295</v>
      </c>
      <c r="AT5050" s="2">
        <v>1624.5605087471799</v>
      </c>
      <c r="AU5050" s="2">
        <v>1572.5700273498001</v>
      </c>
      <c r="AV5050" s="2">
        <v>1752.40182935504</v>
      </c>
      <c r="AW5050" s="2">
        <v>1522.9784929780001</v>
      </c>
      <c r="AX5050" s="2">
        <v>1136.4647479873099</v>
      </c>
    </row>
    <row r="5051" spans="1:50" x14ac:dyDescent="0.25">
      <c r="A5051" s="2" t="s">
        <v>33088</v>
      </c>
      <c r="B5051" s="2">
        <v>484.21389079860597</v>
      </c>
      <c r="C5051" s="2">
        <v>12.6872166666667</v>
      </c>
      <c r="D5051" s="2" t="s">
        <v>51</v>
      </c>
      <c r="E5051" s="2" t="s">
        <v>33089</v>
      </c>
      <c r="F5051" s="2">
        <v>53588</v>
      </c>
      <c r="G5051" s="3" t="str">
        <f>HYPERLINK("https://cloud.oebiotech.com/#/lm/network/53588", "https://cloud.oebiotech.com/#/lm/network/53588")</f>
        <v>https://cloud.oebiotech.com/#/lm/network/53588</v>
      </c>
      <c r="H5051" s="2" t="s">
        <v>33090</v>
      </c>
      <c r="I5051" s="2">
        <v>321318</v>
      </c>
      <c r="J5051" s="2"/>
      <c r="K5051" s="2">
        <v>115163</v>
      </c>
      <c r="L5051" s="2"/>
      <c r="M5051" s="2"/>
      <c r="N5051" s="2"/>
      <c r="O5051" s="2">
        <v>51210</v>
      </c>
      <c r="P5051" s="2"/>
      <c r="Q5051" s="2"/>
      <c r="R5051" s="2" t="s">
        <v>33091</v>
      </c>
      <c r="S5051" s="2" t="s">
        <v>33092</v>
      </c>
      <c r="T5051" s="2" t="s">
        <v>33093</v>
      </c>
      <c r="U5051" s="2" t="s">
        <v>103</v>
      </c>
      <c r="V5051" s="2" t="s">
        <v>104</v>
      </c>
      <c r="W5051" s="2" t="s">
        <v>105</v>
      </c>
      <c r="X5051" s="2" t="s">
        <v>147</v>
      </c>
      <c r="Y5051" s="2">
        <v>36.799999999999997</v>
      </c>
      <c r="Z5051" s="2">
        <v>0</v>
      </c>
      <c r="AA5051" s="2" t="s">
        <v>218</v>
      </c>
      <c r="AB5051" s="2" t="s">
        <v>33094</v>
      </c>
      <c r="AC5051" s="2">
        <v>3.6332124237438199</v>
      </c>
      <c r="AD5051" s="2"/>
      <c r="AE5051" s="2">
        <v>5.3966449741637099E-2</v>
      </c>
      <c r="AF5051" s="2">
        <v>2083.6199769036498</v>
      </c>
      <c r="AG5051" s="2">
        <v>1797.93689559581</v>
      </c>
      <c r="AH5051" s="5">
        <v>1.15889494342523</v>
      </c>
      <c r="AI5051" s="5">
        <v>0.212749788545364</v>
      </c>
      <c r="AJ5051" s="5" t="s">
        <v>139</v>
      </c>
      <c r="AK5051" s="2">
        <v>0.81874806675297795</v>
      </c>
      <c r="AL5051" s="2">
        <v>0.920971933247829</v>
      </c>
      <c r="AM5051" s="2">
        <v>2188.6100617280799</v>
      </c>
      <c r="AN5051" s="2">
        <v>1478.20920759979</v>
      </c>
      <c r="AO5051" s="2">
        <v>1487.66882542244</v>
      </c>
      <c r="AP5051" s="2">
        <v>915.26519845623602</v>
      </c>
      <c r="AQ5051" s="2">
        <v>6431.9665596554896</v>
      </c>
      <c r="AR5051" s="2">
        <v>8.559877937157E-6</v>
      </c>
      <c r="AS5051" s="2">
        <v>4038.54675861138</v>
      </c>
      <c r="AT5051" s="2">
        <v>1925.4205850890301</v>
      </c>
      <c r="AU5051" s="2">
        <v>4258.4174533104597</v>
      </c>
      <c r="AV5051" s="2">
        <v>183.37652129637399</v>
      </c>
      <c r="AW5051" s="2">
        <v>302.63443288971098</v>
      </c>
      <c r="AX5051" s="2">
        <v>79.225622377928104</v>
      </c>
    </row>
    <row r="5052" spans="1:50" x14ac:dyDescent="0.25">
      <c r="A5052" s="2" t="s">
        <v>33095</v>
      </c>
      <c r="B5052" s="2">
        <v>269.17571245455201</v>
      </c>
      <c r="C5052" s="2">
        <v>10.2727</v>
      </c>
      <c r="D5052" s="2" t="s">
        <v>51</v>
      </c>
      <c r="E5052" s="2" t="s">
        <v>33096</v>
      </c>
      <c r="F5052" s="2">
        <v>52218</v>
      </c>
      <c r="G5052" s="3" t="str">
        <f>HYPERLINK("https://cloud.oebiotech.com/#/lm/network/52218", "https://cloud.oebiotech.com/#/lm/network/52218")</f>
        <v>https://cloud.oebiotech.com/#/lm/network/52218</v>
      </c>
      <c r="H5052" s="2" t="s">
        <v>33097</v>
      </c>
      <c r="I5052" s="2">
        <v>85238</v>
      </c>
      <c r="J5052" s="2"/>
      <c r="K5052" s="2">
        <v>22155836</v>
      </c>
      <c r="L5052" s="2"/>
      <c r="M5052" s="2"/>
      <c r="N5052" s="2"/>
      <c r="O5052" s="2">
        <v>166482</v>
      </c>
      <c r="P5052" s="2"/>
      <c r="Q5052" s="2"/>
      <c r="R5052" s="2"/>
      <c r="S5052" s="2" t="s">
        <v>33098</v>
      </c>
      <c r="T5052" s="2" t="s">
        <v>33099</v>
      </c>
      <c r="U5052" s="2" t="s">
        <v>119</v>
      </c>
      <c r="V5052" s="2" t="s">
        <v>120</v>
      </c>
      <c r="W5052" s="2" t="s">
        <v>121</v>
      </c>
      <c r="X5052" s="2" t="s">
        <v>147</v>
      </c>
      <c r="Y5052" s="2">
        <v>36.6</v>
      </c>
      <c r="Z5052" s="2">
        <v>0</v>
      </c>
      <c r="AA5052" s="2" t="s">
        <v>395</v>
      </c>
      <c r="AB5052" s="2" t="s">
        <v>33100</v>
      </c>
      <c r="AC5052" s="2">
        <v>2.3901128600102299</v>
      </c>
      <c r="AD5052" s="2"/>
      <c r="AE5052" s="2">
        <v>5.3960431133671202E-2</v>
      </c>
      <c r="AF5052" s="2">
        <v>1151.10382187819</v>
      </c>
      <c r="AG5052" s="2">
        <v>1446.3685392274001</v>
      </c>
      <c r="AH5052" s="4">
        <v>0.79585789559075204</v>
      </c>
      <c r="AI5052" s="4">
        <v>-0.32941724154117602</v>
      </c>
      <c r="AJ5052" s="4" t="s">
        <v>62</v>
      </c>
      <c r="AK5052" s="2">
        <v>0.56164060769005297</v>
      </c>
      <c r="AL5052" s="2">
        <v>0.78053845689509405</v>
      </c>
      <c r="AM5052" s="2">
        <v>1514.0157917607</v>
      </c>
      <c r="AN5052" s="2">
        <v>1400.5255196322601</v>
      </c>
      <c r="AO5052" s="2">
        <v>1694.6603635923</v>
      </c>
      <c r="AP5052" s="2">
        <v>672.11784417950105</v>
      </c>
      <c r="AQ5052" s="2">
        <v>810.61033385959001</v>
      </c>
      <c r="AR5052" s="2">
        <v>814.69307824476505</v>
      </c>
      <c r="AS5052" s="2">
        <v>1292.6734984269399</v>
      </c>
      <c r="AT5052" s="2">
        <v>439.68079319402102</v>
      </c>
      <c r="AU5052" s="2">
        <v>1020.48328525974</v>
      </c>
      <c r="AV5052" s="2">
        <v>1283.3839928611501</v>
      </c>
      <c r="AW5052" s="2">
        <v>991.67792960452005</v>
      </c>
      <c r="AX5052" s="2">
        <v>3650.3117360180099</v>
      </c>
    </row>
    <row r="5053" spans="1:50" x14ac:dyDescent="0.25">
      <c r="A5053" s="2" t="s">
        <v>33101</v>
      </c>
      <c r="B5053" s="2">
        <v>283.118744906355</v>
      </c>
      <c r="C5053" s="2">
        <v>5.5183</v>
      </c>
      <c r="D5053" s="2" t="s">
        <v>51</v>
      </c>
      <c r="E5053" s="2" t="s">
        <v>33102</v>
      </c>
      <c r="F5053" s="2">
        <v>57768</v>
      </c>
      <c r="G5053" s="3" t="str">
        <f>HYPERLINK("https://cloud.oebiotech.com/#/lm/network/57768", "https://cloud.oebiotech.com/#/lm/network/57768")</f>
        <v>https://cloud.oebiotech.com/#/lm/network/57768</v>
      </c>
      <c r="H5053" s="2" t="s">
        <v>33103</v>
      </c>
      <c r="I5053" s="2">
        <v>89361</v>
      </c>
      <c r="J5053" s="2"/>
      <c r="K5053" s="2">
        <v>61199</v>
      </c>
      <c r="L5053" s="2"/>
      <c r="M5053" s="2"/>
      <c r="N5053" s="2"/>
      <c r="O5053" s="2"/>
      <c r="P5053" s="2"/>
      <c r="Q5053" s="2"/>
      <c r="R5053" s="2"/>
      <c r="S5053" s="2" t="s">
        <v>33104</v>
      </c>
      <c r="T5053" s="2" t="s">
        <v>33105</v>
      </c>
      <c r="U5053" s="2" t="s">
        <v>266</v>
      </c>
      <c r="V5053" s="2" t="s">
        <v>10648</v>
      </c>
      <c r="W5053" s="2" t="s">
        <v>10649</v>
      </c>
      <c r="X5053" s="2" t="s">
        <v>69</v>
      </c>
      <c r="Y5053" s="2">
        <v>67.099999999999994</v>
      </c>
      <c r="Z5053" s="2">
        <v>65.900000000000006</v>
      </c>
      <c r="AA5053" s="2" t="s">
        <v>478</v>
      </c>
      <c r="AB5053" s="2" t="s">
        <v>33106</v>
      </c>
      <c r="AC5053" s="2">
        <v>0.116073842933941</v>
      </c>
      <c r="AD5053" s="2"/>
      <c r="AE5053" s="2">
        <v>5.3840168340505097E-2</v>
      </c>
      <c r="AF5053" s="2">
        <v>5692.0097364269895</v>
      </c>
      <c r="AG5053" s="2">
        <v>4861.3061325500303</v>
      </c>
      <c r="AH5053" s="5">
        <v>1.17088074299925</v>
      </c>
      <c r="AI5053" s="5">
        <v>0.227594141385496</v>
      </c>
      <c r="AJ5053" s="5" t="s">
        <v>139</v>
      </c>
      <c r="AK5053" s="2">
        <v>0.70939240188341102</v>
      </c>
      <c r="AL5053" s="2">
        <v>0.86197581336170703</v>
      </c>
      <c r="AM5053" s="2">
        <v>1936.0786122033201</v>
      </c>
      <c r="AN5053" s="2">
        <v>11309.6052876716</v>
      </c>
      <c r="AO5053" s="2">
        <v>4071.0617914075501</v>
      </c>
      <c r="AP5053" s="2">
        <v>2535.9629296306098</v>
      </c>
      <c r="AQ5053" s="2">
        <v>4389.7337018197504</v>
      </c>
      <c r="AR5053" s="2">
        <v>9909.6160958291093</v>
      </c>
      <c r="AS5053" s="2">
        <v>3158.3689847415999</v>
      </c>
      <c r="AT5053" s="2">
        <v>5721.7097961385998</v>
      </c>
      <c r="AU5053" s="2">
        <v>1696.76537872733</v>
      </c>
      <c r="AV5053" s="2">
        <v>5247.2855984924599</v>
      </c>
      <c r="AW5053" s="2">
        <v>11291.454322298199</v>
      </c>
      <c r="AX5053" s="2">
        <v>2052.2527149019802</v>
      </c>
    </row>
    <row r="5054" spans="1:50" x14ac:dyDescent="0.25">
      <c r="A5054" s="2" t="s">
        <v>33107</v>
      </c>
      <c r="B5054" s="2">
        <v>266.17589920436899</v>
      </c>
      <c r="C5054" s="2">
        <v>9.5840166666666704</v>
      </c>
      <c r="D5054" s="2" t="s">
        <v>51</v>
      </c>
      <c r="E5054" s="2" t="s">
        <v>33108</v>
      </c>
      <c r="F5054" s="2">
        <v>266369</v>
      </c>
      <c r="G5054" s="3" t="str">
        <f>HYPERLINK("https://cloud.oebiotech.com/#/lm/network/266369", "https://cloud.oebiotech.com/#/lm/network/266369")</f>
        <v>https://cloud.oebiotech.com/#/lm/network/266369</v>
      </c>
      <c r="H5054" s="2"/>
      <c r="I5054" s="2">
        <v>41188</v>
      </c>
      <c r="J5054" s="2"/>
      <c r="K5054" s="2">
        <v>7251185</v>
      </c>
      <c r="L5054" s="2" t="s">
        <v>33109</v>
      </c>
      <c r="M5054" s="2"/>
      <c r="N5054" s="2"/>
      <c r="O5054" s="2"/>
      <c r="P5054" s="2"/>
      <c r="Q5054" s="2"/>
      <c r="R5054" s="2"/>
      <c r="S5054" s="2" t="s">
        <v>33110</v>
      </c>
      <c r="T5054" s="2" t="s">
        <v>33111</v>
      </c>
      <c r="U5054" s="2" t="s">
        <v>56</v>
      </c>
      <c r="V5054" s="2" t="s">
        <v>177</v>
      </c>
      <c r="W5054" s="2" t="s">
        <v>806</v>
      </c>
      <c r="X5054" s="2" t="s">
        <v>147</v>
      </c>
      <c r="Y5054" s="2">
        <v>38.200000000000003</v>
      </c>
      <c r="Z5054" s="2">
        <v>0</v>
      </c>
      <c r="AA5054" s="2" t="s">
        <v>512</v>
      </c>
      <c r="AB5054" s="2" t="s">
        <v>18001</v>
      </c>
      <c r="AC5054" s="2">
        <v>3.3415415928852301</v>
      </c>
      <c r="AD5054" s="2"/>
      <c r="AE5054" s="2">
        <v>5.3806251813724899E-2</v>
      </c>
      <c r="AF5054" s="2">
        <v>1463.9113378383099</v>
      </c>
      <c r="AG5054" s="2">
        <v>1364.45992967098</v>
      </c>
      <c r="AH5054" s="5">
        <v>1.07288701265951</v>
      </c>
      <c r="AI5054" s="5">
        <v>0.10149815171538699</v>
      </c>
      <c r="AJ5054" s="5" t="s">
        <v>139</v>
      </c>
      <c r="AK5054" s="2">
        <v>0.89300168808946101</v>
      </c>
      <c r="AL5054" s="2">
        <v>0.95462268632708103</v>
      </c>
      <c r="AM5054" s="2">
        <v>3327.0994343572902</v>
      </c>
      <c r="AN5054" s="2">
        <v>1373.8782757028901</v>
      </c>
      <c r="AO5054" s="2">
        <v>280.91692738924201</v>
      </c>
      <c r="AP5054" s="2">
        <v>1543.07831149508</v>
      </c>
      <c r="AQ5054" s="2">
        <v>1210.530958633</v>
      </c>
      <c r="AR5054" s="2">
        <v>1047.9641194523699</v>
      </c>
      <c r="AS5054" s="2">
        <v>359.90476909494402</v>
      </c>
      <c r="AT5054" s="2">
        <v>645.84411623211599</v>
      </c>
      <c r="AU5054" s="2">
        <v>4187.42867168672</v>
      </c>
      <c r="AV5054" s="2">
        <v>1550.7213078310101</v>
      </c>
      <c r="AW5054" s="2">
        <v>954.02261843806696</v>
      </c>
      <c r="AX5054" s="2">
        <v>488.838094743044</v>
      </c>
    </row>
    <row r="5055" spans="1:50" x14ac:dyDescent="0.25">
      <c r="A5055" s="2" t="s">
        <v>33112</v>
      </c>
      <c r="B5055" s="2">
        <v>269.11384645214798</v>
      </c>
      <c r="C5055" s="2">
        <v>1.00901666666667</v>
      </c>
      <c r="D5055" s="2" t="s">
        <v>51</v>
      </c>
      <c r="E5055" s="2" t="s">
        <v>33113</v>
      </c>
      <c r="F5055" s="2">
        <v>207909</v>
      </c>
      <c r="G5055" s="3" t="str">
        <f>HYPERLINK("https://cloud.oebiotech.com/#/lm/network/207909", "https://cloud.oebiotech.com/#/lm/network/207909")</f>
        <v>https://cloud.oebiotech.com/#/lm/network/207909</v>
      </c>
      <c r="H5055" s="2" t="s">
        <v>33114</v>
      </c>
      <c r="I5055" s="2"/>
      <c r="J5055" s="2"/>
      <c r="K5055" s="2">
        <v>3844471</v>
      </c>
      <c r="L5055" s="2"/>
      <c r="M5055" s="2"/>
      <c r="N5055" s="2"/>
      <c r="O5055" s="2"/>
      <c r="P5055" s="2"/>
      <c r="Q5055" s="2"/>
      <c r="R5055" s="2"/>
      <c r="S5055" s="2" t="s">
        <v>33115</v>
      </c>
      <c r="T5055" s="2" t="s">
        <v>33116</v>
      </c>
      <c r="U5055" s="2" t="s">
        <v>331</v>
      </c>
      <c r="V5055" s="2" t="s">
        <v>332</v>
      </c>
      <c r="W5055" s="2" t="s">
        <v>1207</v>
      </c>
      <c r="X5055" s="2" t="s">
        <v>147</v>
      </c>
      <c r="Y5055" s="2">
        <v>38.799999999999997</v>
      </c>
      <c r="Z5055" s="2">
        <v>5.95</v>
      </c>
      <c r="AA5055" s="2" t="s">
        <v>526</v>
      </c>
      <c r="AB5055" s="2" t="s">
        <v>18871</v>
      </c>
      <c r="AC5055" s="2">
        <v>-3.9356483595289999</v>
      </c>
      <c r="AD5055" s="2"/>
      <c r="AE5055" s="2">
        <v>5.3605347821350201E-2</v>
      </c>
      <c r="AF5055" s="2">
        <v>5426.3370140572297</v>
      </c>
      <c r="AG5055" s="2">
        <v>4690.2147273780702</v>
      </c>
      <c r="AH5055" s="5">
        <v>1.1569485257001599</v>
      </c>
      <c r="AI5055" s="5">
        <v>0.21032467830098101</v>
      </c>
      <c r="AJ5055" s="5" t="s">
        <v>139</v>
      </c>
      <c r="AK5055" s="2">
        <v>0.69458658502192805</v>
      </c>
      <c r="AL5055" s="2">
        <v>0.85360392367526094</v>
      </c>
      <c r="AM5055" s="2">
        <v>3403.70071422107</v>
      </c>
      <c r="AN5055" s="2">
        <v>2288.2268253123898</v>
      </c>
      <c r="AO5055" s="2">
        <v>7410.5478155922801</v>
      </c>
      <c r="AP5055" s="2">
        <v>2973.7770990256699</v>
      </c>
      <c r="AQ5055" s="2">
        <v>6057.38481448316</v>
      </c>
      <c r="AR5055" s="2">
        <v>10424.3848157088</v>
      </c>
      <c r="AS5055" s="2">
        <v>4692.0141837002102</v>
      </c>
      <c r="AT5055" s="2">
        <v>7308.4056064214801</v>
      </c>
      <c r="AU5055" s="2">
        <v>1533.44702079691</v>
      </c>
      <c r="AV5055" s="2">
        <v>6281.6124487028701</v>
      </c>
      <c r="AW5055" s="2">
        <v>268.61735199970099</v>
      </c>
      <c r="AX5055" s="2">
        <v>8057.1917526472498</v>
      </c>
    </row>
    <row r="5056" spans="1:50" x14ac:dyDescent="0.25">
      <c r="A5056" s="2" t="s">
        <v>33117</v>
      </c>
      <c r="B5056" s="2">
        <v>513.12600910460401</v>
      </c>
      <c r="C5056" s="2">
        <v>1.3012999999999999</v>
      </c>
      <c r="D5056" s="2" t="s">
        <v>51</v>
      </c>
      <c r="E5056" s="2" t="s">
        <v>33118</v>
      </c>
      <c r="F5056" s="2">
        <v>29020</v>
      </c>
      <c r="G5056" s="3" t="str">
        <f>HYPERLINK("https://cloud.oebiotech.com/#/lm/network/29020", "https://cloud.oebiotech.com/#/lm/network/29020")</f>
        <v>https://cloud.oebiotech.com/#/lm/network/29020</v>
      </c>
      <c r="H5056" s="2"/>
      <c r="I5056" s="2"/>
      <c r="J5056" s="2" t="s">
        <v>33119</v>
      </c>
      <c r="K5056" s="2">
        <v>44257154</v>
      </c>
      <c r="L5056" s="2"/>
      <c r="M5056" s="2"/>
      <c r="N5056" s="2"/>
      <c r="O5056" s="2"/>
      <c r="P5056" s="2"/>
      <c r="Q5056" s="2"/>
      <c r="R5056" s="2"/>
      <c r="S5056" s="2" t="s">
        <v>33120</v>
      </c>
      <c r="T5056" s="2" t="s">
        <v>33121</v>
      </c>
      <c r="U5056" s="2" t="s">
        <v>540</v>
      </c>
      <c r="V5056" s="2" t="s">
        <v>541</v>
      </c>
      <c r="W5056" s="2" t="s">
        <v>542</v>
      </c>
      <c r="X5056" s="2" t="s">
        <v>147</v>
      </c>
      <c r="Y5056" s="2">
        <v>38.4</v>
      </c>
      <c r="Z5056" s="2">
        <v>6.92</v>
      </c>
      <c r="AA5056" s="2" t="s">
        <v>218</v>
      </c>
      <c r="AB5056" s="2" t="s">
        <v>33122</v>
      </c>
      <c r="AC5056" s="2">
        <v>2.20032319414035</v>
      </c>
      <c r="AD5056" s="2"/>
      <c r="AE5056" s="2">
        <v>5.3455663710895503E-2</v>
      </c>
      <c r="AF5056" s="2">
        <v>4012.94792690349</v>
      </c>
      <c r="AG5056" s="2">
        <v>3718.34462163128</v>
      </c>
      <c r="AH5056" s="5">
        <v>1.0792296936540999</v>
      </c>
      <c r="AI5056" s="5">
        <v>0.110001947893052</v>
      </c>
      <c r="AJ5056" s="5" t="s">
        <v>139</v>
      </c>
      <c r="AK5056" s="2">
        <v>0.64309185317529105</v>
      </c>
      <c r="AL5056" s="2">
        <v>0.82605719002633105</v>
      </c>
      <c r="AM5056" s="2">
        <v>4128.4254544793703</v>
      </c>
      <c r="AN5056" s="2">
        <v>4906.0581938865098</v>
      </c>
      <c r="AO5056" s="2">
        <v>3706.5799745612198</v>
      </c>
      <c r="AP5056" s="2">
        <v>3558.3332395777002</v>
      </c>
      <c r="AQ5056" s="2">
        <v>5013.8044775213402</v>
      </c>
      <c r="AR5056" s="2">
        <v>2764.4862213947999</v>
      </c>
      <c r="AS5056" s="2">
        <v>3971.2727473207101</v>
      </c>
      <c r="AT5056" s="2">
        <v>1841.68179538457</v>
      </c>
      <c r="AU5056" s="2">
        <v>5163.9144202730704</v>
      </c>
      <c r="AV5056" s="2">
        <v>4243.21405386485</v>
      </c>
      <c r="AW5056" s="2">
        <v>2616.5218149788302</v>
      </c>
      <c r="AX5056" s="2">
        <v>4473.46289796567</v>
      </c>
    </row>
    <row r="5057" spans="1:50" x14ac:dyDescent="0.25">
      <c r="A5057" s="2" t="s">
        <v>33123</v>
      </c>
      <c r="B5057" s="2">
        <v>128.10737830314599</v>
      </c>
      <c r="C5057" s="2">
        <v>11.880366666666699</v>
      </c>
      <c r="D5057" s="2" t="s">
        <v>51</v>
      </c>
      <c r="E5057" s="2" t="s">
        <v>33124</v>
      </c>
      <c r="F5057" s="2">
        <v>202491</v>
      </c>
      <c r="G5057" s="3" t="str">
        <f>HYPERLINK("https://cloud.oebiotech.com/#/lm/network/202491", "https://cloud.oebiotech.com/#/lm/network/202491")</f>
        <v>https://cloud.oebiotech.com/#/lm/network/202491</v>
      </c>
      <c r="H5057" s="2" t="s">
        <v>33125</v>
      </c>
      <c r="I5057" s="2"/>
      <c r="J5057" s="2"/>
      <c r="K5057" s="2"/>
      <c r="L5057" s="2"/>
      <c r="M5057" s="2"/>
      <c r="N5057" s="2"/>
      <c r="O5057" s="2"/>
      <c r="P5057" s="2"/>
      <c r="Q5057" s="2"/>
      <c r="R5057" s="2"/>
      <c r="S5057" s="2" t="s">
        <v>33126</v>
      </c>
      <c r="T5057" s="2" t="s">
        <v>33127</v>
      </c>
      <c r="U5057" s="2" t="s">
        <v>56</v>
      </c>
      <c r="V5057" s="2" t="s">
        <v>145</v>
      </c>
      <c r="W5057" s="2" t="s">
        <v>231</v>
      </c>
      <c r="X5057" s="2" t="s">
        <v>147</v>
      </c>
      <c r="Y5057" s="2">
        <v>43.1</v>
      </c>
      <c r="Z5057" s="2">
        <v>24.8</v>
      </c>
      <c r="AA5057" s="2" t="s">
        <v>156</v>
      </c>
      <c r="AB5057" s="2" t="s">
        <v>21462</v>
      </c>
      <c r="AC5057" s="2">
        <v>2.6726444148659798</v>
      </c>
      <c r="AD5057" s="2"/>
      <c r="AE5057" s="2">
        <v>5.3395294057999899E-2</v>
      </c>
      <c r="AF5057" s="2">
        <v>3738.8270792394801</v>
      </c>
      <c r="AG5057" s="2">
        <v>3295.4690577657698</v>
      </c>
      <c r="AH5057" s="5">
        <v>1.1345356347464199</v>
      </c>
      <c r="AI5057" s="5">
        <v>0.182101923478798</v>
      </c>
      <c r="AJ5057" s="5" t="s">
        <v>139</v>
      </c>
      <c r="AK5057" s="2">
        <v>0.83612860362510799</v>
      </c>
      <c r="AL5057" s="2">
        <v>0.92804178719803099</v>
      </c>
      <c r="AM5057" s="2">
        <v>1138.32632566245</v>
      </c>
      <c r="AN5057" s="2">
        <v>1302.09683005275</v>
      </c>
      <c r="AO5057" s="2">
        <v>9599.9463167177892</v>
      </c>
      <c r="AP5057" s="2">
        <v>1166.6592138026299</v>
      </c>
      <c r="AQ5057" s="2">
        <v>8227.8159467160895</v>
      </c>
      <c r="AR5057" s="2">
        <v>998.11784248518302</v>
      </c>
      <c r="AS5057" s="2">
        <v>5707.1571013185303</v>
      </c>
      <c r="AT5057" s="2">
        <v>1468.3475037839801</v>
      </c>
      <c r="AU5057" s="2">
        <v>8641.7183318744701</v>
      </c>
      <c r="AV5057" s="2">
        <v>1208.2274683295</v>
      </c>
      <c r="AW5057" s="2">
        <v>1301.9869198900501</v>
      </c>
      <c r="AX5057" s="2">
        <v>1445.3770213980799</v>
      </c>
    </row>
    <row r="5058" spans="1:50" x14ac:dyDescent="0.25">
      <c r="A5058" s="2" t="s">
        <v>33128</v>
      </c>
      <c r="B5058" s="2">
        <v>309.24307339944301</v>
      </c>
      <c r="C5058" s="2">
        <v>11.819000000000001</v>
      </c>
      <c r="D5058" s="2" t="s">
        <v>51</v>
      </c>
      <c r="E5058" s="2" t="s">
        <v>33129</v>
      </c>
      <c r="F5058" s="2">
        <v>2227</v>
      </c>
      <c r="G5058" s="3" t="str">
        <f>HYPERLINK("https://cloud.oebiotech.com/#/lm/network/2227", "https://cloud.oebiotech.com/#/lm/network/2227")</f>
        <v>https://cloud.oebiotech.com/#/lm/network/2227</v>
      </c>
      <c r="H5058" s="2"/>
      <c r="I5058" s="2">
        <v>74809</v>
      </c>
      <c r="J5058" s="2" t="s">
        <v>33130</v>
      </c>
      <c r="K5058" s="2">
        <v>5283019</v>
      </c>
      <c r="L5058" s="2"/>
      <c r="M5058" s="2"/>
      <c r="N5058" s="2"/>
      <c r="O5058" s="2"/>
      <c r="P5058" s="2"/>
      <c r="Q5058" s="2"/>
      <c r="R5058" s="2"/>
      <c r="S5058" s="2" t="s">
        <v>33131</v>
      </c>
      <c r="T5058" s="2" t="s">
        <v>33132</v>
      </c>
      <c r="U5058" s="2" t="s">
        <v>56</v>
      </c>
      <c r="V5058" s="2" t="s">
        <v>145</v>
      </c>
      <c r="W5058" s="2" t="s">
        <v>1188</v>
      </c>
      <c r="X5058" s="2" t="s">
        <v>69</v>
      </c>
      <c r="Y5058" s="2">
        <v>59.8</v>
      </c>
      <c r="Z5058" s="2">
        <v>88.8</v>
      </c>
      <c r="AA5058" s="2" t="s">
        <v>179</v>
      </c>
      <c r="AB5058" s="2" t="s">
        <v>33133</v>
      </c>
      <c r="AC5058" s="2">
        <v>2.1155359267479099</v>
      </c>
      <c r="AD5058" s="2"/>
      <c r="AE5058" s="2">
        <v>5.3283732616055297E-2</v>
      </c>
      <c r="AF5058" s="2">
        <v>7136.7162882199</v>
      </c>
      <c r="AG5058" s="2">
        <v>7628.2747340128799</v>
      </c>
      <c r="AH5058" s="4">
        <v>0.935560993418181</v>
      </c>
      <c r="AI5058" s="4">
        <v>-9.6096382593422097E-2</v>
      </c>
      <c r="AJ5058" s="4" t="s">
        <v>62</v>
      </c>
      <c r="AK5058" s="2">
        <v>0.90482494579415595</v>
      </c>
      <c r="AL5058" s="2">
        <v>0.96038450174894097</v>
      </c>
      <c r="AM5058" s="2">
        <v>4593.2030421383697</v>
      </c>
      <c r="AN5058" s="2">
        <v>15264.842273664701</v>
      </c>
      <c r="AO5058" s="2">
        <v>10036.0999937332</v>
      </c>
      <c r="AP5058" s="2">
        <v>5674.5382445626401</v>
      </c>
      <c r="AQ5058" s="2">
        <v>1456.4703737909799</v>
      </c>
      <c r="AR5058" s="2">
        <v>5795.1438014294899</v>
      </c>
      <c r="AS5058" s="2">
        <v>6818.9788414763498</v>
      </c>
      <c r="AT5058" s="2">
        <v>570.81713448404901</v>
      </c>
      <c r="AU5058" s="2">
        <v>3353.4040868367501</v>
      </c>
      <c r="AV5058" s="2">
        <v>5707.4573574840397</v>
      </c>
      <c r="AW5058" s="2">
        <v>4822.3517741730802</v>
      </c>
      <c r="AX5058" s="2">
        <v>24496.639209623001</v>
      </c>
    </row>
    <row r="5059" spans="1:50" x14ac:dyDescent="0.25">
      <c r="A5059" s="2" t="s">
        <v>33134</v>
      </c>
      <c r="B5059" s="2">
        <v>211.00159580688199</v>
      </c>
      <c r="C5059" s="2">
        <v>4.8803666666666699</v>
      </c>
      <c r="D5059" s="2" t="s">
        <v>51</v>
      </c>
      <c r="E5059" s="2" t="s">
        <v>33135</v>
      </c>
      <c r="F5059" s="2">
        <v>202513</v>
      </c>
      <c r="G5059" s="3" t="str">
        <f>HYPERLINK("https://cloud.oebiotech.com/#/lm/network/202513", "https://cloud.oebiotech.com/#/lm/network/202513")</f>
        <v>https://cloud.oebiotech.com/#/lm/network/202513</v>
      </c>
      <c r="H5059" s="2" t="s">
        <v>33136</v>
      </c>
      <c r="I5059" s="2"/>
      <c r="J5059" s="2"/>
      <c r="K5059" s="2"/>
      <c r="L5059" s="2"/>
      <c r="M5059" s="2"/>
      <c r="N5059" s="2"/>
      <c r="O5059" s="2"/>
      <c r="P5059" s="2"/>
      <c r="Q5059" s="2"/>
      <c r="R5059" s="2"/>
      <c r="S5059" s="2" t="s">
        <v>33137</v>
      </c>
      <c r="T5059" s="2" t="s">
        <v>33138</v>
      </c>
      <c r="U5059" s="2" t="s">
        <v>540</v>
      </c>
      <c r="V5059" s="2" t="s">
        <v>1826</v>
      </c>
      <c r="W5059" s="2" t="s">
        <v>16766</v>
      </c>
      <c r="X5059" s="2" t="s">
        <v>147</v>
      </c>
      <c r="Y5059" s="2">
        <v>36.299999999999997</v>
      </c>
      <c r="Z5059" s="2">
        <v>0</v>
      </c>
      <c r="AA5059" s="2" t="s">
        <v>379</v>
      </c>
      <c r="AB5059" s="2" t="s">
        <v>33139</v>
      </c>
      <c r="AC5059" s="2">
        <v>1.5574701633085499</v>
      </c>
      <c r="AD5059" s="2"/>
      <c r="AE5059" s="2">
        <v>5.32675808440118E-2</v>
      </c>
      <c r="AF5059" s="2">
        <v>1182.45882729764</v>
      </c>
      <c r="AG5059" s="2">
        <v>1284.9292804813799</v>
      </c>
      <c r="AH5059" s="4">
        <v>0.92025206776722801</v>
      </c>
      <c r="AI5059" s="4">
        <v>-0.119899008600032</v>
      </c>
      <c r="AJ5059" s="4" t="s">
        <v>62</v>
      </c>
      <c r="AK5059" s="2">
        <v>0.62238586164820298</v>
      </c>
      <c r="AL5059" s="2">
        <v>0.813004369770161</v>
      </c>
      <c r="AM5059" s="2">
        <v>823.64705840681404</v>
      </c>
      <c r="AN5059" s="2">
        <v>1020.22178610413</v>
      </c>
      <c r="AO5059" s="2">
        <v>1085.73696363253</v>
      </c>
      <c r="AP5059" s="2">
        <v>1248.4231376412199</v>
      </c>
      <c r="AQ5059" s="2">
        <v>1361.4955015069399</v>
      </c>
      <c r="AR5059" s="2">
        <v>1555.22851649422</v>
      </c>
      <c r="AS5059" s="2">
        <v>986.55706496772302</v>
      </c>
      <c r="AT5059" s="2">
        <v>1422.2736613080299</v>
      </c>
      <c r="AU5059" s="2">
        <v>670.92546129003404</v>
      </c>
      <c r="AV5059" s="2">
        <v>1789.2273435567599</v>
      </c>
      <c r="AW5059" s="2">
        <v>1648.7818774131899</v>
      </c>
      <c r="AX5059" s="2">
        <v>1191.8102743525201</v>
      </c>
    </row>
    <row r="5060" spans="1:50" x14ac:dyDescent="0.25">
      <c r="A5060" s="2" t="s">
        <v>33140</v>
      </c>
      <c r="B5060" s="2">
        <v>473.14633649757502</v>
      </c>
      <c r="C5060" s="2">
        <v>0.59993333333333299</v>
      </c>
      <c r="D5060" s="2" t="s">
        <v>51</v>
      </c>
      <c r="E5060" s="2" t="s">
        <v>33141</v>
      </c>
      <c r="F5060" s="2">
        <v>31147</v>
      </c>
      <c r="G5060" s="3" t="str">
        <f>HYPERLINK("https://cloud.oebiotech.com/#/lm/network/31147", "https://cloud.oebiotech.com/#/lm/network/31147")</f>
        <v>https://cloud.oebiotech.com/#/lm/network/31147</v>
      </c>
      <c r="H5060" s="2"/>
      <c r="I5060" s="2"/>
      <c r="J5060" s="2" t="s">
        <v>33142</v>
      </c>
      <c r="K5060" s="2">
        <v>44258389</v>
      </c>
      <c r="L5060" s="2"/>
      <c r="M5060" s="2"/>
      <c r="N5060" s="2"/>
      <c r="O5060" s="2"/>
      <c r="P5060" s="2"/>
      <c r="Q5060" s="2"/>
      <c r="R5060" s="2"/>
      <c r="S5060" s="2" t="s">
        <v>33143</v>
      </c>
      <c r="T5060" s="2" t="s">
        <v>33144</v>
      </c>
      <c r="U5060" s="2" t="s">
        <v>540</v>
      </c>
      <c r="V5060" s="2" t="s">
        <v>541</v>
      </c>
      <c r="W5060" s="2" t="s">
        <v>542</v>
      </c>
      <c r="X5060" s="2" t="s">
        <v>147</v>
      </c>
      <c r="Y5060" s="2">
        <v>37.799999999999997</v>
      </c>
      <c r="Z5060" s="2">
        <v>0</v>
      </c>
      <c r="AA5060" s="2" t="s">
        <v>156</v>
      </c>
      <c r="AB5060" s="2" t="s">
        <v>33145</v>
      </c>
      <c r="AC5060" s="2">
        <v>4.3111482669048602</v>
      </c>
      <c r="AD5060" s="2"/>
      <c r="AE5060" s="2">
        <v>5.3199730522268299E-2</v>
      </c>
      <c r="AF5060" s="2">
        <v>2180.4906763873701</v>
      </c>
      <c r="AG5060" s="2">
        <v>1803.1302018572501</v>
      </c>
      <c r="AH5060" s="5">
        <v>1.20928076859976</v>
      </c>
      <c r="AI5060" s="5">
        <v>0.274149245777627</v>
      </c>
      <c r="AJ5060" s="5" t="s">
        <v>139</v>
      </c>
      <c r="AK5060" s="2">
        <v>0.61050843225255402</v>
      </c>
      <c r="AL5060" s="2">
        <v>0.80553815117069005</v>
      </c>
      <c r="AM5060" s="2">
        <v>794.64398336236195</v>
      </c>
      <c r="AN5060" s="2">
        <v>2836.9294289128802</v>
      </c>
      <c r="AO5060" s="2">
        <v>2002.0670220923</v>
      </c>
      <c r="AP5060" s="2">
        <v>565.75456235601098</v>
      </c>
      <c r="AQ5060" s="2">
        <v>2258.81414931482</v>
      </c>
      <c r="AR5060" s="2">
        <v>4624.7349122858604</v>
      </c>
      <c r="AS5060" s="2">
        <v>1098.3888648714001</v>
      </c>
      <c r="AT5060" s="2">
        <v>2678.1946653555001</v>
      </c>
      <c r="AU5060" s="2">
        <v>1055.9062503166101</v>
      </c>
      <c r="AV5060" s="2">
        <v>702.322159087871</v>
      </c>
      <c r="AW5060" s="2">
        <v>2495.2699860715502</v>
      </c>
      <c r="AX5060" s="2">
        <v>2788.6992854405498</v>
      </c>
    </row>
    <row r="5061" spans="1:50" x14ac:dyDescent="0.25">
      <c r="A5061" s="2" t="s">
        <v>33146</v>
      </c>
      <c r="B5061" s="2">
        <v>265.11895965356899</v>
      </c>
      <c r="C5061" s="2">
        <v>4.2174666666666702</v>
      </c>
      <c r="D5061" s="2" t="s">
        <v>51</v>
      </c>
      <c r="E5061" s="2" t="s">
        <v>33147</v>
      </c>
      <c r="F5061" s="2">
        <v>48709</v>
      </c>
      <c r="G5061" s="3" t="str">
        <f>HYPERLINK("https://cloud.oebiotech.com/#/lm/network/48709", "https://cloud.oebiotech.com/#/lm/network/48709")</f>
        <v>https://cloud.oebiotech.com/#/lm/network/48709</v>
      </c>
      <c r="H5061" s="2" t="s">
        <v>33148</v>
      </c>
      <c r="I5061" s="2">
        <v>58397</v>
      </c>
      <c r="J5061" s="2"/>
      <c r="K5061" s="2">
        <v>92258</v>
      </c>
      <c r="L5061" s="2" t="s">
        <v>33149</v>
      </c>
      <c r="M5061" s="2" t="s">
        <v>5698</v>
      </c>
      <c r="N5061" s="2" t="s">
        <v>5699</v>
      </c>
      <c r="O5061" s="2">
        <v>17884</v>
      </c>
      <c r="P5061" s="2"/>
      <c r="Q5061" s="2"/>
      <c r="R5061" s="2" t="s">
        <v>33150</v>
      </c>
      <c r="S5061" s="2" t="s">
        <v>33151</v>
      </c>
      <c r="T5061" s="2" t="s">
        <v>33152</v>
      </c>
      <c r="U5061" s="2" t="s">
        <v>103</v>
      </c>
      <c r="V5061" s="2" t="s">
        <v>104</v>
      </c>
      <c r="W5061" s="2" t="s">
        <v>105</v>
      </c>
      <c r="X5061" s="2" t="s">
        <v>69</v>
      </c>
      <c r="Y5061" s="2">
        <v>60.5</v>
      </c>
      <c r="Z5061" s="2">
        <v>93</v>
      </c>
      <c r="AA5061" s="2" t="s">
        <v>60</v>
      </c>
      <c r="AB5061" s="2" t="s">
        <v>33153</v>
      </c>
      <c r="AC5061" s="2">
        <v>2.56036511644144</v>
      </c>
      <c r="AD5061" s="2"/>
      <c r="AE5061" s="2">
        <v>5.3047725504118702E-2</v>
      </c>
      <c r="AF5061" s="2">
        <v>47746.634647996099</v>
      </c>
      <c r="AG5061" s="2">
        <v>45928.371773880899</v>
      </c>
      <c r="AH5061" s="5">
        <v>1.03958909937124</v>
      </c>
      <c r="AI5061" s="5">
        <v>5.60134115992513E-2</v>
      </c>
      <c r="AJ5061" s="5" t="s">
        <v>139</v>
      </c>
      <c r="AK5061" s="2">
        <v>0.92532092070862104</v>
      </c>
      <c r="AL5061" s="2">
        <v>0.96787003281308703</v>
      </c>
      <c r="AM5061" s="2">
        <v>18372.954363907898</v>
      </c>
      <c r="AN5061" s="2">
        <v>42168.316729694299</v>
      </c>
      <c r="AO5061" s="2">
        <v>49403.179674383602</v>
      </c>
      <c r="AP5061" s="2">
        <v>37096.769142828103</v>
      </c>
      <c r="AQ5061" s="2">
        <v>24005.674612331801</v>
      </c>
      <c r="AR5061" s="2">
        <v>115432.91336483099</v>
      </c>
      <c r="AS5061" s="2">
        <v>6054.6322289592799</v>
      </c>
      <c r="AT5061" s="2">
        <v>34510.937386817997</v>
      </c>
      <c r="AU5061" s="2">
        <v>55340.125565015202</v>
      </c>
      <c r="AV5061" s="2">
        <v>74162.048067086798</v>
      </c>
      <c r="AW5061" s="2">
        <v>83409.830977014397</v>
      </c>
      <c r="AX5061" s="2">
        <v>22092.656418391802</v>
      </c>
    </row>
    <row r="5062" spans="1:50" x14ac:dyDescent="0.25">
      <c r="A5062" s="2" t="s">
        <v>33154</v>
      </c>
      <c r="B5062" s="2">
        <v>459.31015193146101</v>
      </c>
      <c r="C5062" s="2">
        <v>12.051083333333301</v>
      </c>
      <c r="D5062" s="2" t="s">
        <v>51</v>
      </c>
      <c r="E5062" s="2" t="s">
        <v>33155</v>
      </c>
      <c r="F5062" s="2">
        <v>43590</v>
      </c>
      <c r="G5062" s="3" t="str">
        <f>HYPERLINK("https://cloud.oebiotech.com/#/lm/network/43590", "https://cloud.oebiotech.com/#/lm/network/43590")</f>
        <v>https://cloud.oebiotech.com/#/lm/network/43590</v>
      </c>
      <c r="H5062" s="2"/>
      <c r="I5062" s="2">
        <v>83864</v>
      </c>
      <c r="J5062" s="2" t="s">
        <v>33156</v>
      </c>
      <c r="K5062" s="2">
        <v>11811745</v>
      </c>
      <c r="L5062" s="2"/>
      <c r="M5062" s="2"/>
      <c r="N5062" s="2"/>
      <c r="O5062" s="2"/>
      <c r="P5062" s="2"/>
      <c r="Q5062" s="2"/>
      <c r="R5062" s="2"/>
      <c r="S5062" s="2" t="s">
        <v>33157</v>
      </c>
      <c r="T5062" s="2" t="s">
        <v>33158</v>
      </c>
      <c r="U5062" s="2" t="s">
        <v>56</v>
      </c>
      <c r="V5062" s="2" t="s">
        <v>283</v>
      </c>
      <c r="W5062" s="2" t="s">
        <v>1108</v>
      </c>
      <c r="X5062" s="2" t="s">
        <v>83</v>
      </c>
      <c r="Y5062" s="2">
        <v>40.6</v>
      </c>
      <c r="Z5062" s="2">
        <v>0</v>
      </c>
      <c r="AA5062" s="2" t="s">
        <v>218</v>
      </c>
      <c r="AB5062" s="2" t="s">
        <v>20668</v>
      </c>
      <c r="AC5062" s="2">
        <v>-3.4904595786934198</v>
      </c>
      <c r="AD5062" s="2"/>
      <c r="AE5062" s="2">
        <v>5.3000160238005002E-2</v>
      </c>
      <c r="AF5062" s="2">
        <v>4525.8302766399302</v>
      </c>
      <c r="AG5062" s="2">
        <v>4621.7580265976103</v>
      </c>
      <c r="AH5062" s="4">
        <v>0.97924431581973304</v>
      </c>
      <c r="AI5062" s="4">
        <v>-3.0259246041167202E-2</v>
      </c>
      <c r="AJ5062" s="4" t="s">
        <v>62</v>
      </c>
      <c r="AK5062" s="2">
        <v>0.94596602436722799</v>
      </c>
      <c r="AL5062" s="2">
        <v>0.97784134216780005</v>
      </c>
      <c r="AM5062" s="2">
        <v>2905.14685060479</v>
      </c>
      <c r="AN5062" s="2">
        <v>4105.48603938427</v>
      </c>
      <c r="AO5062" s="2">
        <v>5425.8824297548899</v>
      </c>
      <c r="AP5062" s="2">
        <v>8470.4948782027896</v>
      </c>
      <c r="AQ5062" s="2">
        <v>3956.6494991742902</v>
      </c>
      <c r="AR5062" s="2">
        <v>2291.3219627185799</v>
      </c>
      <c r="AS5062" s="2">
        <v>7912.9063108218297</v>
      </c>
      <c r="AT5062" s="2">
        <v>4539.40891954587</v>
      </c>
      <c r="AU5062" s="2">
        <v>2590.87013614539</v>
      </c>
      <c r="AV5062" s="2">
        <v>1004.58991157603</v>
      </c>
      <c r="AW5062" s="2">
        <v>4933.2219358624097</v>
      </c>
      <c r="AX5062" s="2">
        <v>6749.5509456341097</v>
      </c>
    </row>
    <row r="5063" spans="1:50" x14ac:dyDescent="0.25">
      <c r="A5063" s="2" t="s">
        <v>33159</v>
      </c>
      <c r="B5063" s="2">
        <v>339.25400207250999</v>
      </c>
      <c r="C5063" s="2">
        <v>13.4911166666667</v>
      </c>
      <c r="D5063" s="2" t="s">
        <v>51</v>
      </c>
      <c r="E5063" s="2" t="s">
        <v>33160</v>
      </c>
      <c r="F5063" s="2">
        <v>2540</v>
      </c>
      <c r="G5063" s="3" t="str">
        <f>HYPERLINK("https://cloud.oebiotech.com/#/lm/network/2540", "https://cloud.oebiotech.com/#/lm/network/2540")</f>
        <v>https://cloud.oebiotech.com/#/lm/network/2540</v>
      </c>
      <c r="H5063" s="2" t="s">
        <v>33161</v>
      </c>
      <c r="I5063" s="2">
        <v>34857</v>
      </c>
      <c r="J5063" s="2" t="s">
        <v>33162</v>
      </c>
      <c r="K5063" s="2">
        <v>12921</v>
      </c>
      <c r="L5063" s="2" t="s">
        <v>33163</v>
      </c>
      <c r="M5063" s="2"/>
      <c r="N5063" s="2"/>
      <c r="O5063" s="2">
        <v>9261</v>
      </c>
      <c r="P5063" s="2"/>
      <c r="Q5063" s="2"/>
      <c r="R5063" s="2"/>
      <c r="S5063" s="2" t="s">
        <v>33164</v>
      </c>
      <c r="T5063" s="2" t="s">
        <v>33165</v>
      </c>
      <c r="U5063" s="2" t="s">
        <v>56</v>
      </c>
      <c r="V5063" s="2" t="s">
        <v>145</v>
      </c>
      <c r="W5063" s="2" t="s">
        <v>231</v>
      </c>
      <c r="X5063" s="2" t="s">
        <v>83</v>
      </c>
      <c r="Y5063" s="2">
        <v>43.1</v>
      </c>
      <c r="Z5063" s="2">
        <v>0</v>
      </c>
      <c r="AA5063" s="2" t="s">
        <v>218</v>
      </c>
      <c r="AB5063" s="2" t="s">
        <v>33166</v>
      </c>
      <c r="AC5063" s="2">
        <v>-0.27570218935523999</v>
      </c>
      <c r="AD5063" s="2"/>
      <c r="AE5063" s="2">
        <v>5.2909875960743799E-2</v>
      </c>
      <c r="AF5063" s="2">
        <v>493.61646184991002</v>
      </c>
      <c r="AG5063" s="2">
        <v>1031.9347814145999</v>
      </c>
      <c r="AH5063" s="4">
        <v>0.47834075441594198</v>
      </c>
      <c r="AI5063" s="4">
        <v>-1.0638893813615999</v>
      </c>
      <c r="AJ5063" s="4" t="s">
        <v>62</v>
      </c>
      <c r="AK5063" s="2">
        <v>0.44556819651171398</v>
      </c>
      <c r="AL5063" s="2">
        <v>0.700312309697811</v>
      </c>
      <c r="AM5063" s="2">
        <v>1450.6746798736699</v>
      </c>
      <c r="AN5063" s="2">
        <v>159.74978561947</v>
      </c>
      <c r="AO5063" s="2">
        <v>445.98349685171303</v>
      </c>
      <c r="AP5063" s="2">
        <v>8.559877937157E-6</v>
      </c>
      <c r="AQ5063" s="2">
        <v>8.559877937157E-6</v>
      </c>
      <c r="AR5063" s="2">
        <v>905.29079163485301</v>
      </c>
      <c r="AS5063" s="2">
        <v>394.78517516261297</v>
      </c>
      <c r="AT5063" s="2">
        <v>8.559877937157E-6</v>
      </c>
      <c r="AU5063" s="2">
        <v>4106.6369735193603</v>
      </c>
      <c r="AV5063" s="2">
        <v>8.559877937157E-6</v>
      </c>
      <c r="AW5063" s="2">
        <v>986.93140168972695</v>
      </c>
      <c r="AX5063" s="2">
        <v>703.255120996144</v>
      </c>
    </row>
    <row r="5064" spans="1:50" x14ac:dyDescent="0.25">
      <c r="A5064" s="2" t="s">
        <v>33167</v>
      </c>
      <c r="B5064" s="2">
        <v>584.26453028175104</v>
      </c>
      <c r="C5064" s="2">
        <v>14.8127833333333</v>
      </c>
      <c r="D5064" s="2" t="s">
        <v>51</v>
      </c>
      <c r="E5064" s="2" t="s">
        <v>33168</v>
      </c>
      <c r="F5064" s="2">
        <v>47057</v>
      </c>
      <c r="G5064" s="3" t="str">
        <f>HYPERLINK("https://cloud.oebiotech.com/#/lm/network/47057", "https://cloud.oebiotech.com/#/lm/network/47057")</f>
        <v>https://cloud.oebiotech.com/#/lm/network/47057</v>
      </c>
      <c r="H5064" s="2" t="s">
        <v>33169</v>
      </c>
      <c r="I5064" s="2">
        <v>5475</v>
      </c>
      <c r="J5064" s="2"/>
      <c r="K5064" s="2">
        <v>21252250</v>
      </c>
      <c r="L5064" s="2"/>
      <c r="M5064" s="2"/>
      <c r="N5064" s="2"/>
      <c r="O5064" s="2">
        <v>72719</v>
      </c>
      <c r="P5064" s="2"/>
      <c r="Q5064" s="2"/>
      <c r="R5064" s="2" t="s">
        <v>33170</v>
      </c>
      <c r="S5064" s="2" t="s">
        <v>33171</v>
      </c>
      <c r="T5064" s="2" t="s">
        <v>33172</v>
      </c>
      <c r="U5064" s="2" t="s">
        <v>266</v>
      </c>
      <c r="V5064" s="2" t="s">
        <v>2271</v>
      </c>
      <c r="W5064" s="2" t="s">
        <v>2452</v>
      </c>
      <c r="X5064" s="2" t="s">
        <v>69</v>
      </c>
      <c r="Y5064" s="2">
        <v>57.3</v>
      </c>
      <c r="Z5064" s="2">
        <v>50.4</v>
      </c>
      <c r="AA5064" s="2" t="s">
        <v>122</v>
      </c>
      <c r="AB5064" s="2" t="s">
        <v>6876</v>
      </c>
      <c r="AC5064" s="2">
        <v>1.7890741045837799</v>
      </c>
      <c r="AD5064" s="2"/>
      <c r="AE5064" s="2">
        <v>5.2771856681296303E-2</v>
      </c>
      <c r="AF5064" s="2">
        <v>1765.35652339996</v>
      </c>
      <c r="AG5064" s="2">
        <v>961.26178238428395</v>
      </c>
      <c r="AH5064" s="5">
        <v>1.83649923023177</v>
      </c>
      <c r="AI5064" s="5">
        <v>0.87695829136440595</v>
      </c>
      <c r="AJ5064" s="5" t="s">
        <v>139</v>
      </c>
      <c r="AK5064" s="2">
        <v>0.57221647942484299</v>
      </c>
      <c r="AL5064" s="2">
        <v>0.78390424802215597</v>
      </c>
      <c r="AM5064" s="2">
        <v>8.559877937157E-6</v>
      </c>
      <c r="AN5064" s="2">
        <v>8.559877937157E-6</v>
      </c>
      <c r="AO5064" s="2">
        <v>8.559877937157E-6</v>
      </c>
      <c r="AP5064" s="2">
        <v>8.559877937157E-6</v>
      </c>
      <c r="AQ5064" s="2">
        <v>7733.8567161569899</v>
      </c>
      <c r="AR5064" s="2">
        <v>2858.2823900032599</v>
      </c>
      <c r="AS5064" s="2">
        <v>3286.2063542739802</v>
      </c>
      <c r="AT5064" s="2">
        <v>8.559877937157E-6</v>
      </c>
      <c r="AU5064" s="2">
        <v>1016.89496356724</v>
      </c>
      <c r="AV5064" s="2">
        <v>1083.23351867979</v>
      </c>
      <c r="AW5064" s="2">
        <v>381.23584066493697</v>
      </c>
      <c r="AX5064" s="2">
        <v>8.559877937157E-6</v>
      </c>
    </row>
    <row r="5065" spans="1:50" x14ac:dyDescent="0.25">
      <c r="A5065" s="2" t="s">
        <v>33173</v>
      </c>
      <c r="B5065" s="2">
        <v>631.24116837137694</v>
      </c>
      <c r="C5065" s="2">
        <v>8.4268833333333308</v>
      </c>
      <c r="D5065" s="2" t="s">
        <v>51</v>
      </c>
      <c r="E5065" s="2" t="s">
        <v>33174</v>
      </c>
      <c r="F5065" s="2">
        <v>62622</v>
      </c>
      <c r="G5065" s="3" t="str">
        <f>HYPERLINK("https://cloud.oebiotech.com/#/lm/network/62622", "https://cloud.oebiotech.com/#/lm/network/62622")</f>
        <v>https://cloud.oebiotech.com/#/lm/network/62622</v>
      </c>
      <c r="H5065" s="2" t="s">
        <v>33175</v>
      </c>
      <c r="I5065" s="2">
        <v>93922</v>
      </c>
      <c r="J5065" s="2"/>
      <c r="K5065" s="2">
        <v>131752610</v>
      </c>
      <c r="L5065" s="2"/>
      <c r="M5065" s="2"/>
      <c r="N5065" s="2"/>
      <c r="O5065" s="2"/>
      <c r="P5065" s="2"/>
      <c r="Q5065" s="2"/>
      <c r="R5065" s="2"/>
      <c r="S5065" s="2" t="s">
        <v>33176</v>
      </c>
      <c r="T5065" s="2" t="s">
        <v>33177</v>
      </c>
      <c r="U5065" s="2" t="s">
        <v>56</v>
      </c>
      <c r="V5065" s="2" t="s">
        <v>177</v>
      </c>
      <c r="W5065" s="2" t="s">
        <v>394</v>
      </c>
      <c r="X5065" s="2" t="s">
        <v>147</v>
      </c>
      <c r="Y5065" s="2">
        <v>47</v>
      </c>
      <c r="Z5065" s="2">
        <v>44</v>
      </c>
      <c r="AA5065" s="2" t="s">
        <v>379</v>
      </c>
      <c r="AB5065" s="2" t="s">
        <v>33178</v>
      </c>
      <c r="AC5065" s="2">
        <v>2.3890085121370199</v>
      </c>
      <c r="AD5065" s="2"/>
      <c r="AE5065" s="2">
        <v>5.2636381110895802E-2</v>
      </c>
      <c r="AF5065" s="2">
        <v>4863.1364075478496</v>
      </c>
      <c r="AG5065" s="2">
        <v>5217.3960924360099</v>
      </c>
      <c r="AH5065" s="4">
        <v>0.93210028937581402</v>
      </c>
      <c r="AI5065" s="4">
        <v>-0.101442904813536</v>
      </c>
      <c r="AJ5065" s="4" t="s">
        <v>62</v>
      </c>
      <c r="AK5065" s="2">
        <v>0.86657334466600999</v>
      </c>
      <c r="AL5065" s="2">
        <v>0.94236097769736804</v>
      </c>
      <c r="AM5065" s="2">
        <v>1047.4827333774001</v>
      </c>
      <c r="AN5065" s="2">
        <v>4073.4113677406899</v>
      </c>
      <c r="AO5065" s="2">
        <v>6618.3690787732103</v>
      </c>
      <c r="AP5065" s="2">
        <v>8458.2573602809807</v>
      </c>
      <c r="AQ5065" s="2">
        <v>2660.1665264862399</v>
      </c>
      <c r="AR5065" s="2">
        <v>6321.13137862855</v>
      </c>
      <c r="AS5065" s="2">
        <v>6295.9248235953601</v>
      </c>
      <c r="AT5065" s="2">
        <v>12834.977004010399</v>
      </c>
      <c r="AU5065" s="2">
        <v>442.17541927127701</v>
      </c>
      <c r="AV5065" s="2">
        <v>3340.5796205523902</v>
      </c>
      <c r="AW5065" s="2">
        <v>3515.8207863351199</v>
      </c>
      <c r="AX5065" s="2">
        <v>4874.8989008515</v>
      </c>
    </row>
    <row r="5066" spans="1:50" x14ac:dyDescent="0.25">
      <c r="A5066" s="2" t="s">
        <v>33179</v>
      </c>
      <c r="B5066" s="2">
        <v>270.27991749639801</v>
      </c>
      <c r="C5066" s="2">
        <v>13.038600000000001</v>
      </c>
      <c r="D5066" s="2" t="s">
        <v>51</v>
      </c>
      <c r="E5066" s="2" t="s">
        <v>33180</v>
      </c>
      <c r="F5066" s="2">
        <v>10057</v>
      </c>
      <c r="G5066" s="3" t="str">
        <f>HYPERLINK("https://cloud.oebiotech.com/#/lm/network/10057", "https://cloud.oebiotech.com/#/lm/network/10057")</f>
        <v>https://cloud.oebiotech.com/#/lm/network/10057</v>
      </c>
      <c r="H5066" s="2"/>
      <c r="I5066" s="2">
        <v>98262</v>
      </c>
      <c r="J5066" s="2" t="s">
        <v>33181</v>
      </c>
      <c r="K5066" s="2">
        <v>56936239</v>
      </c>
      <c r="L5066" s="2"/>
      <c r="M5066" s="2"/>
      <c r="N5066" s="2"/>
      <c r="O5066" s="2"/>
      <c r="P5066" s="2"/>
      <c r="Q5066" s="2"/>
      <c r="R5066" s="2"/>
      <c r="S5066" s="2" t="s">
        <v>33182</v>
      </c>
      <c r="T5066" s="2" t="s">
        <v>33183</v>
      </c>
      <c r="U5066" s="2" t="s">
        <v>266</v>
      </c>
      <c r="V5066" s="2" t="s">
        <v>1593</v>
      </c>
      <c r="W5066" s="2" t="s">
        <v>240</v>
      </c>
      <c r="X5066" s="2" t="s">
        <v>83</v>
      </c>
      <c r="Y5066" s="2">
        <v>56</v>
      </c>
      <c r="Z5066" s="2">
        <v>29.5</v>
      </c>
      <c r="AA5066" s="2" t="s">
        <v>512</v>
      </c>
      <c r="AB5066" s="2" t="s">
        <v>8123</v>
      </c>
      <c r="AC5066" s="2">
        <v>3.07764128529069</v>
      </c>
      <c r="AD5066" s="2"/>
      <c r="AE5066" s="2">
        <v>5.2634755233952502E-2</v>
      </c>
      <c r="AF5066" s="2">
        <v>35514.844962233503</v>
      </c>
      <c r="AG5066" s="2">
        <v>32988.563697190199</v>
      </c>
      <c r="AH5066" s="5">
        <v>1.07658051706139</v>
      </c>
      <c r="AI5066" s="5">
        <v>0.106456222172327</v>
      </c>
      <c r="AJ5066" s="5" t="s">
        <v>139</v>
      </c>
      <c r="AK5066" s="2">
        <v>0.92050736859287097</v>
      </c>
      <c r="AL5066" s="2">
        <v>0.96547519393645298</v>
      </c>
      <c r="AM5066" s="2">
        <v>6348.37133504347</v>
      </c>
      <c r="AN5066" s="2">
        <v>6667.3043856700897</v>
      </c>
      <c r="AO5066" s="2">
        <v>112256.890641134</v>
      </c>
      <c r="AP5066" s="2">
        <v>8786.9993428752896</v>
      </c>
      <c r="AQ5066" s="2">
        <v>71350.590432016703</v>
      </c>
      <c r="AR5066" s="2">
        <v>7678.9136366612101</v>
      </c>
      <c r="AS5066" s="2">
        <v>100742.463826429</v>
      </c>
      <c r="AT5066" s="2">
        <v>7061.05990657865</v>
      </c>
      <c r="AU5066" s="2">
        <v>63444.834769308101</v>
      </c>
      <c r="AV5066" s="2">
        <v>9690.9685203200806</v>
      </c>
      <c r="AW5066" s="2">
        <v>9199.3339276364295</v>
      </c>
      <c r="AX5066" s="2">
        <v>7792.7212328687701</v>
      </c>
    </row>
    <row r="5067" spans="1:50" x14ac:dyDescent="0.25">
      <c r="A5067" s="2" t="s">
        <v>33184</v>
      </c>
      <c r="B5067" s="2">
        <v>348.25296939094198</v>
      </c>
      <c r="C5067" s="2">
        <v>10.132949999999999</v>
      </c>
      <c r="D5067" s="2" t="s">
        <v>51</v>
      </c>
      <c r="E5067" s="2" t="s">
        <v>33185</v>
      </c>
      <c r="F5067" s="2">
        <v>277002</v>
      </c>
      <c r="G5067" s="3" t="str">
        <f>HYPERLINK("https://cloud.oebiotech.com/#/lm/network/277002", "https://cloud.oebiotech.com/#/lm/network/277002")</f>
        <v>https://cloud.oebiotech.com/#/lm/network/277002</v>
      </c>
      <c r="H5067" s="2"/>
      <c r="I5067" s="2">
        <v>68619</v>
      </c>
      <c r="J5067" s="2"/>
      <c r="K5067" s="2">
        <v>5281861</v>
      </c>
      <c r="L5067" s="2" t="s">
        <v>33186</v>
      </c>
      <c r="M5067" s="2"/>
      <c r="N5067" s="2"/>
      <c r="O5067" s="2"/>
      <c r="P5067" s="2"/>
      <c r="Q5067" s="2"/>
      <c r="R5067" s="2" t="s">
        <v>33187</v>
      </c>
      <c r="S5067" s="2" t="s">
        <v>33188</v>
      </c>
      <c r="T5067" s="2" t="s">
        <v>33189</v>
      </c>
      <c r="U5067" s="2" t="s">
        <v>56</v>
      </c>
      <c r="V5067" s="2" t="s">
        <v>177</v>
      </c>
      <c r="W5067" s="2" t="s">
        <v>1996</v>
      </c>
      <c r="X5067" s="2" t="s">
        <v>83</v>
      </c>
      <c r="Y5067" s="2">
        <v>44.7</v>
      </c>
      <c r="Z5067" s="2">
        <v>0</v>
      </c>
      <c r="AA5067" s="2" t="s">
        <v>512</v>
      </c>
      <c r="AB5067" s="2" t="s">
        <v>16076</v>
      </c>
      <c r="AC5067" s="2">
        <v>-1.0628077494092001</v>
      </c>
      <c r="AD5067" s="2"/>
      <c r="AE5067" s="2">
        <v>5.2577338037813101E-2</v>
      </c>
      <c r="AF5067" s="2">
        <v>1147.1748486352001</v>
      </c>
      <c r="AG5067" s="2">
        <v>923.94343505725101</v>
      </c>
      <c r="AH5067" s="5">
        <v>1.24160722952062</v>
      </c>
      <c r="AI5067" s="5">
        <v>0.31220886305905599</v>
      </c>
      <c r="AJ5067" s="5" t="s">
        <v>139</v>
      </c>
      <c r="AK5067" s="2">
        <v>0.84426404318359305</v>
      </c>
      <c r="AL5067" s="2">
        <v>0.93063445423553803</v>
      </c>
      <c r="AM5067" s="2">
        <v>221.49781476458901</v>
      </c>
      <c r="AN5067" s="2">
        <v>98.7045139751596</v>
      </c>
      <c r="AO5067" s="2">
        <v>3463.3011595299799</v>
      </c>
      <c r="AP5067" s="2">
        <v>87.823663709732699</v>
      </c>
      <c r="AQ5067" s="2">
        <v>2960.6426629102102</v>
      </c>
      <c r="AR5067" s="2">
        <v>51.079276921523501</v>
      </c>
      <c r="AS5067" s="2">
        <v>56.277677850881098</v>
      </c>
      <c r="AT5067" s="2">
        <v>8.559877937157E-6</v>
      </c>
      <c r="AU5067" s="2">
        <v>5381.4460294321998</v>
      </c>
      <c r="AV5067" s="2">
        <v>43.072661582914499</v>
      </c>
      <c r="AW5067" s="2">
        <v>8.559877937157E-6</v>
      </c>
      <c r="AX5067" s="2">
        <v>62.864224357754303</v>
      </c>
    </row>
    <row r="5068" spans="1:50" x14ac:dyDescent="0.25">
      <c r="A5068" s="2" t="s">
        <v>33190</v>
      </c>
      <c r="B5068" s="2">
        <v>285.01625501095498</v>
      </c>
      <c r="C5068" s="2">
        <v>4.3658666666666699</v>
      </c>
      <c r="D5068" s="2" t="s">
        <v>51</v>
      </c>
      <c r="E5068" s="2" t="s">
        <v>33191</v>
      </c>
      <c r="F5068" s="2">
        <v>299851</v>
      </c>
      <c r="G5068" s="3" t="str">
        <f>HYPERLINK("https://cloud.oebiotech.com/#/lm/network/299851", "https://cloud.oebiotech.com/#/lm/network/299851")</f>
        <v>https://cloud.oebiotech.com/#/lm/network/299851</v>
      </c>
      <c r="H5068" s="2"/>
      <c r="I5068" s="2">
        <v>324983</v>
      </c>
      <c r="J5068" s="2"/>
      <c r="K5068" s="2">
        <v>67656</v>
      </c>
      <c r="L5068" s="2"/>
      <c r="M5068" s="2"/>
      <c r="N5068" s="2"/>
      <c r="O5068" s="2"/>
      <c r="P5068" s="2"/>
      <c r="Q5068" s="2"/>
      <c r="R5068" s="2"/>
      <c r="S5068" s="2" t="s">
        <v>33192</v>
      </c>
      <c r="T5068" s="2" t="s">
        <v>33193</v>
      </c>
      <c r="U5068" s="2" t="s">
        <v>266</v>
      </c>
      <c r="V5068" s="2" t="s">
        <v>1585</v>
      </c>
      <c r="W5068" s="2" t="s">
        <v>12356</v>
      </c>
      <c r="X5068" s="2" t="s">
        <v>147</v>
      </c>
      <c r="Y5068" s="2">
        <v>37.4</v>
      </c>
      <c r="Z5068" s="2">
        <v>0</v>
      </c>
      <c r="AA5068" s="2" t="s">
        <v>218</v>
      </c>
      <c r="AB5068" s="2" t="s">
        <v>33194</v>
      </c>
      <c r="AC5068" s="2">
        <v>7.9192985950316305E-2</v>
      </c>
      <c r="AD5068" s="2"/>
      <c r="AE5068" s="2">
        <v>5.2476518577572198E-2</v>
      </c>
      <c r="AF5068" s="2">
        <v>333.49317664183599</v>
      </c>
      <c r="AG5068" s="2">
        <v>520.27072507787</v>
      </c>
      <c r="AH5068" s="4">
        <v>0.64099931164091795</v>
      </c>
      <c r="AI5068" s="4">
        <v>-0.64160528733003497</v>
      </c>
      <c r="AJ5068" s="4" t="s">
        <v>62</v>
      </c>
      <c r="AK5068" s="2">
        <v>0.614710667439477</v>
      </c>
      <c r="AL5068" s="2">
        <v>0.80849296246968905</v>
      </c>
      <c r="AM5068" s="2">
        <v>1006.83276847306</v>
      </c>
      <c r="AN5068" s="2">
        <v>8.559877937157E-6</v>
      </c>
      <c r="AO5068" s="2">
        <v>8.559877937157E-6</v>
      </c>
      <c r="AP5068" s="2">
        <v>994.126257138445</v>
      </c>
      <c r="AQ5068" s="2">
        <v>8.559877937157E-6</v>
      </c>
      <c r="AR5068" s="2">
        <v>8.559877937157E-6</v>
      </c>
      <c r="AS5068" s="2">
        <v>1797.6399133084999</v>
      </c>
      <c r="AT5068" s="2">
        <v>8.559877937157E-6</v>
      </c>
      <c r="AU5068" s="2">
        <v>8.559877937157E-6</v>
      </c>
      <c r="AV5068" s="2">
        <v>8.559877937157E-6</v>
      </c>
      <c r="AW5068" s="2">
        <v>489.88691266273503</v>
      </c>
      <c r="AX5068" s="2">
        <v>834.09749881635298</v>
      </c>
    </row>
    <row r="5069" spans="1:50" x14ac:dyDescent="0.25">
      <c r="A5069" s="2" t="s">
        <v>33195</v>
      </c>
      <c r="B5069" s="2">
        <v>243.08330000000001</v>
      </c>
      <c r="C5069" s="2">
        <v>13.83</v>
      </c>
      <c r="D5069" s="2" t="s">
        <v>125</v>
      </c>
      <c r="E5069" s="2" t="s">
        <v>33196</v>
      </c>
      <c r="F5069" s="2">
        <v>46858</v>
      </c>
      <c r="G5069" s="3" t="str">
        <f>HYPERLINK("https://cloud.oebiotech.com/#/lm/network/46858", "https://cloud.oebiotech.com/#/lm/network/46858")</f>
        <v>https://cloud.oebiotech.com/#/lm/network/46858</v>
      </c>
      <c r="H5069" s="2" t="s">
        <v>33197</v>
      </c>
      <c r="I5069" s="2">
        <v>285</v>
      </c>
      <c r="J5069" s="2"/>
      <c r="K5069" s="2">
        <v>649</v>
      </c>
      <c r="L5069" s="2" t="s">
        <v>33198</v>
      </c>
      <c r="M5069" s="2" t="s">
        <v>33199</v>
      </c>
      <c r="N5069" s="2" t="s">
        <v>33200</v>
      </c>
      <c r="O5069" s="2">
        <v>15901</v>
      </c>
      <c r="P5069" s="2" t="s">
        <v>33201</v>
      </c>
      <c r="Q5069" s="2" t="s">
        <v>33202</v>
      </c>
      <c r="R5069" s="2" t="s">
        <v>33203</v>
      </c>
      <c r="S5069" s="2" t="s">
        <v>33204</v>
      </c>
      <c r="T5069" s="2" t="s">
        <v>33205</v>
      </c>
      <c r="U5069" s="2" t="s">
        <v>266</v>
      </c>
      <c r="V5069" s="2" t="s">
        <v>3926</v>
      </c>
      <c r="W5069" s="2" t="s">
        <v>4115</v>
      </c>
      <c r="X5069" s="2" t="s">
        <v>59</v>
      </c>
      <c r="Y5069" s="2">
        <v>72.7</v>
      </c>
      <c r="Z5069" s="2">
        <v>57.9</v>
      </c>
      <c r="AA5069" s="2"/>
      <c r="AB5069" s="2" t="s">
        <v>22694</v>
      </c>
      <c r="AC5069" s="2"/>
      <c r="AD5069" s="2">
        <v>465980.94885472202</v>
      </c>
      <c r="AE5069" s="2">
        <v>5.2406460878925601E-2</v>
      </c>
      <c r="AF5069" s="2">
        <v>9235.9137201488902</v>
      </c>
      <c r="AG5069" s="2">
        <v>10390.7524332993</v>
      </c>
      <c r="AH5069" s="4">
        <v>0.88885899066851803</v>
      </c>
      <c r="AI5069" s="4">
        <v>-0.169973528024468</v>
      </c>
      <c r="AJ5069" s="4" t="s">
        <v>62</v>
      </c>
      <c r="AK5069" s="2">
        <v>0.49548105224480399</v>
      </c>
      <c r="AL5069" s="2">
        <v>0.73518516839452297</v>
      </c>
      <c r="AM5069" s="2">
        <v>9920.2739391266005</v>
      </c>
      <c r="AN5069" s="2">
        <v>6410.2813269929502</v>
      </c>
      <c r="AO5069" s="2">
        <v>9643.1374414964794</v>
      </c>
      <c r="AP5069" s="2">
        <v>11017.919793987699</v>
      </c>
      <c r="AQ5069" s="2">
        <v>8871.5844588787695</v>
      </c>
      <c r="AR5069" s="2">
        <v>9552.2853604108604</v>
      </c>
      <c r="AS5069" s="2">
        <v>6121.93868418071</v>
      </c>
      <c r="AT5069" s="2">
        <v>8629.5355575978192</v>
      </c>
      <c r="AU5069" s="2">
        <v>15342.484649488</v>
      </c>
      <c r="AV5069" s="2">
        <v>14491.916178801301</v>
      </c>
      <c r="AW5069" s="2">
        <v>8289.2313812234806</v>
      </c>
      <c r="AX5069" s="2">
        <v>9469.4081485047009</v>
      </c>
    </row>
    <row r="5070" spans="1:50" x14ac:dyDescent="0.25">
      <c r="A5070" s="2" t="s">
        <v>33206</v>
      </c>
      <c r="B5070" s="2">
        <v>313.23818547167599</v>
      </c>
      <c r="C5070" s="2">
        <v>9.1970500000000008</v>
      </c>
      <c r="D5070" s="2" t="s">
        <v>51</v>
      </c>
      <c r="E5070" s="2" t="s">
        <v>33207</v>
      </c>
      <c r="F5070" s="2">
        <v>3002</v>
      </c>
      <c r="G5070" s="3" t="str">
        <f>HYPERLINK("https://cloud.oebiotech.com/#/lm/network/3002", "https://cloud.oebiotech.com/#/lm/network/3002")</f>
        <v>https://cloud.oebiotech.com/#/lm/network/3002</v>
      </c>
      <c r="H5070" s="2" t="s">
        <v>33208</v>
      </c>
      <c r="I5070" s="2"/>
      <c r="J5070" s="2" t="s">
        <v>33209</v>
      </c>
      <c r="K5070" s="2">
        <v>16061068</v>
      </c>
      <c r="L5070" s="2"/>
      <c r="M5070" s="2"/>
      <c r="N5070" s="2"/>
      <c r="O5070" s="2">
        <v>88465</v>
      </c>
      <c r="P5070" s="2"/>
      <c r="Q5070" s="2"/>
      <c r="R5070" s="2"/>
      <c r="S5070" s="2" t="s">
        <v>33210</v>
      </c>
      <c r="T5070" s="2" t="s">
        <v>33211</v>
      </c>
      <c r="U5070" s="2" t="s">
        <v>56</v>
      </c>
      <c r="V5070" s="2" t="s">
        <v>145</v>
      </c>
      <c r="W5070" s="2" t="s">
        <v>203</v>
      </c>
      <c r="X5070" s="2" t="s">
        <v>83</v>
      </c>
      <c r="Y5070" s="2">
        <v>45.9</v>
      </c>
      <c r="Z5070" s="2">
        <v>0</v>
      </c>
      <c r="AA5070" s="2" t="s">
        <v>259</v>
      </c>
      <c r="AB5070" s="2" t="s">
        <v>714</v>
      </c>
      <c r="AC5070" s="2">
        <v>2.7208629346275601</v>
      </c>
      <c r="AD5070" s="2"/>
      <c r="AE5070" s="2">
        <v>5.2402146276352701E-2</v>
      </c>
      <c r="AF5070" s="2">
        <v>1158.97672439591</v>
      </c>
      <c r="AG5070" s="2">
        <v>1326.5690726289999</v>
      </c>
      <c r="AH5070" s="4">
        <v>0.87366481573330301</v>
      </c>
      <c r="AI5070" s="4">
        <v>-0.194848203523975</v>
      </c>
      <c r="AJ5070" s="4" t="s">
        <v>62</v>
      </c>
      <c r="AK5070" s="2">
        <v>0.519065124935297</v>
      </c>
      <c r="AL5070" s="2">
        <v>0.75053327977127604</v>
      </c>
      <c r="AM5070" s="2">
        <v>796.68810547030296</v>
      </c>
      <c r="AN5070" s="2">
        <v>1724.25013492329</v>
      </c>
      <c r="AO5070" s="2">
        <v>1215.65665463746</v>
      </c>
      <c r="AP5070" s="2">
        <v>919.05613119353495</v>
      </c>
      <c r="AQ5070" s="2">
        <v>1051.9684925367801</v>
      </c>
      <c r="AR5070" s="2">
        <v>1246.24082761411</v>
      </c>
      <c r="AS5070" s="2">
        <v>1103.17188723298</v>
      </c>
      <c r="AT5070" s="2">
        <v>739.97947575500098</v>
      </c>
      <c r="AU5070" s="2">
        <v>1296.1047575329501</v>
      </c>
      <c r="AV5070" s="2">
        <v>1166.5228865302199</v>
      </c>
      <c r="AW5070" s="2">
        <v>1360.4861838255299</v>
      </c>
      <c r="AX5070" s="2">
        <v>2293.1492448973099</v>
      </c>
    </row>
    <row r="5071" spans="1:50" x14ac:dyDescent="0.25">
      <c r="A5071" s="2" t="s">
        <v>33212</v>
      </c>
      <c r="B5071" s="2">
        <v>393.26483147418298</v>
      </c>
      <c r="C5071" s="2">
        <v>7.6020666666666701</v>
      </c>
      <c r="D5071" s="2" t="s">
        <v>51</v>
      </c>
      <c r="E5071" s="2" t="s">
        <v>33213</v>
      </c>
      <c r="F5071" s="2">
        <v>46605</v>
      </c>
      <c r="G5071" s="3" t="str">
        <f>HYPERLINK("https://cloud.oebiotech.com/#/lm/network/46605", "https://cloud.oebiotech.com/#/lm/network/46605")</f>
        <v>https://cloud.oebiotech.com/#/lm/network/46605</v>
      </c>
      <c r="H5071" s="2"/>
      <c r="I5071" s="2"/>
      <c r="J5071" s="2" t="s">
        <v>33214</v>
      </c>
      <c r="K5071" s="2">
        <v>118701774</v>
      </c>
      <c r="L5071" s="2"/>
      <c r="M5071" s="2"/>
      <c r="N5071" s="2"/>
      <c r="O5071" s="2"/>
      <c r="P5071" s="2"/>
      <c r="Q5071" s="2"/>
      <c r="R5071" s="2"/>
      <c r="S5071" s="2" t="s">
        <v>33215</v>
      </c>
      <c r="T5071" s="2" t="s">
        <v>33216</v>
      </c>
      <c r="U5071" s="2" t="s">
        <v>56</v>
      </c>
      <c r="V5071" s="2" t="s">
        <v>283</v>
      </c>
      <c r="W5071" s="2" t="s">
        <v>2042</v>
      </c>
      <c r="X5071" s="2" t="s">
        <v>83</v>
      </c>
      <c r="Y5071" s="2">
        <v>48.3</v>
      </c>
      <c r="Z5071" s="2">
        <v>0</v>
      </c>
      <c r="AA5071" s="2" t="s">
        <v>163</v>
      </c>
      <c r="AB5071" s="2" t="s">
        <v>33217</v>
      </c>
      <c r="AC5071" s="2">
        <v>0.465642394571889</v>
      </c>
      <c r="AD5071" s="2"/>
      <c r="AE5071" s="2">
        <v>5.2378069824077E-2</v>
      </c>
      <c r="AF5071" s="2">
        <v>430.60631977280701</v>
      </c>
      <c r="AG5071" s="2">
        <v>152.29144072419001</v>
      </c>
      <c r="AH5071" s="5">
        <v>2.8275149130190802</v>
      </c>
      <c r="AI5071" s="5">
        <v>1.49953463336874</v>
      </c>
      <c r="AJ5071" s="5" t="s">
        <v>139</v>
      </c>
      <c r="AK5071" s="2">
        <v>0.32069495450281299</v>
      </c>
      <c r="AL5071" s="2">
        <v>0.62866285719097004</v>
      </c>
      <c r="AM5071" s="2">
        <v>8.559877937157E-6</v>
      </c>
      <c r="AN5071" s="2">
        <v>260.93583249435898</v>
      </c>
      <c r="AO5071" s="2">
        <v>8.559877937157E-6</v>
      </c>
      <c r="AP5071" s="2">
        <v>642.74413356623495</v>
      </c>
      <c r="AQ5071" s="2">
        <v>1524.91872139012</v>
      </c>
      <c r="AR5071" s="2">
        <v>155.039214066374</v>
      </c>
      <c r="AS5071" s="2">
        <v>8.559877937157E-6</v>
      </c>
      <c r="AT5071" s="2">
        <v>199.78566139333</v>
      </c>
      <c r="AU5071" s="2">
        <v>8.559877937157E-6</v>
      </c>
      <c r="AV5071" s="2">
        <v>8.559877937157E-6</v>
      </c>
      <c r="AW5071" s="2">
        <v>8.559877937157E-6</v>
      </c>
      <c r="AX5071" s="2">
        <v>713.962948712296</v>
      </c>
    </row>
    <row r="5072" spans="1:50" x14ac:dyDescent="0.25">
      <c r="A5072" s="2" t="s">
        <v>33218</v>
      </c>
      <c r="B5072" s="2">
        <v>248.12909342576799</v>
      </c>
      <c r="C5072" s="2">
        <v>7.3238666666666701</v>
      </c>
      <c r="D5072" s="2" t="s">
        <v>51</v>
      </c>
      <c r="E5072" s="2" t="s">
        <v>33219</v>
      </c>
      <c r="F5072" s="2">
        <v>35102</v>
      </c>
      <c r="G5072" s="3" t="str">
        <f>HYPERLINK("https://cloud.oebiotech.com/#/lm/network/35102", "https://cloud.oebiotech.com/#/lm/network/35102")</f>
        <v>https://cloud.oebiotech.com/#/lm/network/35102</v>
      </c>
      <c r="H5072" s="2" t="s">
        <v>33220</v>
      </c>
      <c r="I5072" s="2">
        <v>53262</v>
      </c>
      <c r="J5072" s="2" t="s">
        <v>33221</v>
      </c>
      <c r="K5072" s="2">
        <v>185914</v>
      </c>
      <c r="L5072" s="2" t="s">
        <v>33222</v>
      </c>
      <c r="M5072" s="2"/>
      <c r="N5072" s="2"/>
      <c r="O5072" s="2">
        <v>4582</v>
      </c>
      <c r="P5072" s="2"/>
      <c r="Q5072" s="2"/>
      <c r="R5072" s="2"/>
      <c r="S5072" s="2" t="s">
        <v>33223</v>
      </c>
      <c r="T5072" s="2" t="s">
        <v>33224</v>
      </c>
      <c r="U5072" s="2" t="s">
        <v>540</v>
      </c>
      <c r="V5072" s="2" t="s">
        <v>7590</v>
      </c>
      <c r="W5072" s="2" t="s">
        <v>240</v>
      </c>
      <c r="X5072" s="2" t="s">
        <v>147</v>
      </c>
      <c r="Y5072" s="2">
        <v>40</v>
      </c>
      <c r="Z5072" s="2">
        <v>7.78</v>
      </c>
      <c r="AA5072" s="2" t="s">
        <v>512</v>
      </c>
      <c r="AB5072" s="2" t="s">
        <v>29581</v>
      </c>
      <c r="AC5072" s="2">
        <v>4.2312570623565797</v>
      </c>
      <c r="AD5072" s="2"/>
      <c r="AE5072" s="2">
        <v>5.2298703602557103E-2</v>
      </c>
      <c r="AF5072" s="2">
        <v>787.26155405724103</v>
      </c>
      <c r="AG5072" s="2">
        <v>1109.04202155391</v>
      </c>
      <c r="AH5072" s="4">
        <v>0.70985728111021895</v>
      </c>
      <c r="AI5072" s="4">
        <v>-0.49439909918768299</v>
      </c>
      <c r="AJ5072" s="4" t="s">
        <v>62</v>
      </c>
      <c r="AK5072" s="2">
        <v>0.58773859933199901</v>
      </c>
      <c r="AL5072" s="2">
        <v>0.79259485853877298</v>
      </c>
      <c r="AM5072" s="2">
        <v>1385.77749991008</v>
      </c>
      <c r="AN5072" s="2">
        <v>604.975731090203</v>
      </c>
      <c r="AO5072" s="2">
        <v>623.82681137664304</v>
      </c>
      <c r="AP5072" s="2">
        <v>8.559877937157E-6</v>
      </c>
      <c r="AQ5072" s="2">
        <v>463.28182123842998</v>
      </c>
      <c r="AR5072" s="2">
        <v>1645.70745216821</v>
      </c>
      <c r="AS5072" s="2">
        <v>1592.34796327818</v>
      </c>
      <c r="AT5072" s="2">
        <v>817.59789597834197</v>
      </c>
      <c r="AU5072" s="2">
        <v>319.47203501812999</v>
      </c>
      <c r="AV5072" s="2">
        <v>76.239570095137495</v>
      </c>
      <c r="AW5072" s="2">
        <v>393.94037107030101</v>
      </c>
      <c r="AX5072" s="2">
        <v>3454.65429388338</v>
      </c>
    </row>
    <row r="5073" spans="1:50" x14ac:dyDescent="0.25">
      <c r="A5073" s="2" t="s">
        <v>33225</v>
      </c>
      <c r="B5073" s="2">
        <v>250.06247870349301</v>
      </c>
      <c r="C5073" s="2">
        <v>1.02813333333333</v>
      </c>
      <c r="D5073" s="2" t="s">
        <v>51</v>
      </c>
      <c r="E5073" s="2" t="s">
        <v>33226</v>
      </c>
      <c r="F5073" s="2">
        <v>53851</v>
      </c>
      <c r="G5073" s="3" t="str">
        <f>HYPERLINK("https://cloud.oebiotech.com/#/lm/network/53851", "https://cloud.oebiotech.com/#/lm/network/53851")</f>
        <v>https://cloud.oebiotech.com/#/lm/network/53851</v>
      </c>
      <c r="H5073" s="2" t="s">
        <v>33227</v>
      </c>
      <c r="I5073" s="2"/>
      <c r="J5073" s="2"/>
      <c r="K5073" s="2">
        <v>10171468</v>
      </c>
      <c r="L5073" s="2"/>
      <c r="M5073" s="2"/>
      <c r="N5073" s="2"/>
      <c r="O5073" s="2">
        <v>156047</v>
      </c>
      <c r="P5073" s="2"/>
      <c r="Q5073" s="2"/>
      <c r="R5073" s="2" t="s">
        <v>33228</v>
      </c>
      <c r="S5073" s="2" t="s">
        <v>33229</v>
      </c>
      <c r="T5073" s="2" t="s">
        <v>33230</v>
      </c>
      <c r="U5073" s="2" t="s">
        <v>103</v>
      </c>
      <c r="V5073" s="2" t="s">
        <v>104</v>
      </c>
      <c r="W5073" s="2" t="s">
        <v>105</v>
      </c>
      <c r="X5073" s="2" t="s">
        <v>83</v>
      </c>
      <c r="Y5073" s="2">
        <v>37.6</v>
      </c>
      <c r="Z5073" s="2">
        <v>0</v>
      </c>
      <c r="AA5073" s="2" t="s">
        <v>122</v>
      </c>
      <c r="AB5073" s="2" t="s">
        <v>13155</v>
      </c>
      <c r="AC5073" s="2">
        <v>0.54405277957081599</v>
      </c>
      <c r="AD5073" s="2"/>
      <c r="AE5073" s="2">
        <v>5.22621801624049E-2</v>
      </c>
      <c r="AF5073" s="2">
        <v>1863.4975588044999</v>
      </c>
      <c r="AG5073" s="2">
        <v>2084.01138536707</v>
      </c>
      <c r="AH5073" s="4">
        <v>0.89418780141466103</v>
      </c>
      <c r="AI5073" s="4">
        <v>-0.16135023023988301</v>
      </c>
      <c r="AJ5073" s="4" t="s">
        <v>62</v>
      </c>
      <c r="AK5073" s="2">
        <v>0.591492269482217</v>
      </c>
      <c r="AL5073" s="2">
        <v>0.79384060507313303</v>
      </c>
      <c r="AM5073" s="2">
        <v>2031.267653015</v>
      </c>
      <c r="AN5073" s="2">
        <v>895.370031339609</v>
      </c>
      <c r="AO5073" s="2">
        <v>1802.0406758459901</v>
      </c>
      <c r="AP5073" s="2">
        <v>2724.3301652083501</v>
      </c>
      <c r="AQ5073" s="2">
        <v>1619.2632729033</v>
      </c>
      <c r="AR5073" s="2">
        <v>2108.7135545147498</v>
      </c>
      <c r="AS5073" s="2">
        <v>1102.9856315202701</v>
      </c>
      <c r="AT5073" s="2">
        <v>1739.1440899189699</v>
      </c>
      <c r="AU5073" s="2">
        <v>2809.4405352799699</v>
      </c>
      <c r="AV5073" s="2">
        <v>1568.06369272493</v>
      </c>
      <c r="AW5073" s="2">
        <v>2184.3152926397602</v>
      </c>
      <c r="AX5073" s="2">
        <v>3100.1190701185001</v>
      </c>
    </row>
    <row r="5074" spans="1:50" x14ac:dyDescent="0.25">
      <c r="A5074" s="2" t="s">
        <v>33231</v>
      </c>
      <c r="B5074" s="2">
        <v>387.253860494869</v>
      </c>
      <c r="C5074" s="2">
        <v>8.3758833333333307</v>
      </c>
      <c r="D5074" s="2" t="s">
        <v>51</v>
      </c>
      <c r="E5074" s="2" t="s">
        <v>33232</v>
      </c>
      <c r="F5074" s="2">
        <v>204378</v>
      </c>
      <c r="G5074" s="3" t="str">
        <f>HYPERLINK("https://cloud.oebiotech.com/#/lm/network/204378", "https://cloud.oebiotech.com/#/lm/network/204378")</f>
        <v>https://cloud.oebiotech.com/#/lm/network/204378</v>
      </c>
      <c r="H5074" s="2" t="s">
        <v>33233</v>
      </c>
      <c r="I5074" s="2"/>
      <c r="J5074" s="2"/>
      <c r="K5074" s="2">
        <v>2464</v>
      </c>
      <c r="L5074" s="2"/>
      <c r="M5074" s="2"/>
      <c r="N5074" s="2"/>
      <c r="O5074" s="2"/>
      <c r="P5074" s="2"/>
      <c r="Q5074" s="2"/>
      <c r="R5074" s="2"/>
      <c r="S5074" s="2" t="s">
        <v>33234</v>
      </c>
      <c r="T5074" s="2" t="s">
        <v>33235</v>
      </c>
      <c r="U5074" s="2" t="s">
        <v>56</v>
      </c>
      <c r="V5074" s="2" t="s">
        <v>283</v>
      </c>
      <c r="W5074" s="2" t="s">
        <v>1338</v>
      </c>
      <c r="X5074" s="2" t="s">
        <v>69</v>
      </c>
      <c r="Y5074" s="2">
        <v>69.099999999999994</v>
      </c>
      <c r="Z5074" s="2">
        <v>78.3</v>
      </c>
      <c r="AA5074" s="2" t="s">
        <v>259</v>
      </c>
      <c r="AB5074" s="2" t="s">
        <v>8939</v>
      </c>
      <c r="AC5074" s="2">
        <v>2.2640879298477099</v>
      </c>
      <c r="AD5074" s="2"/>
      <c r="AE5074" s="2">
        <v>5.2208940298665102E-2</v>
      </c>
      <c r="AF5074" s="2">
        <v>7321.5864037180299</v>
      </c>
      <c r="AG5074" s="2">
        <v>7095.1545852937697</v>
      </c>
      <c r="AH5074" s="5">
        <v>1.03191358492648</v>
      </c>
      <c r="AI5074" s="5">
        <v>4.53221608600037E-2</v>
      </c>
      <c r="AJ5074" s="5" t="s">
        <v>139</v>
      </c>
      <c r="AK5074" s="2">
        <v>0.90729350209188298</v>
      </c>
      <c r="AL5074" s="2">
        <v>0.96135785818545705</v>
      </c>
      <c r="AM5074" s="2">
        <v>11442.8387904912</v>
      </c>
      <c r="AN5074" s="2">
        <v>3600.2880857628002</v>
      </c>
      <c r="AO5074" s="2">
        <v>9236.8076045293092</v>
      </c>
      <c r="AP5074" s="2">
        <v>8987.0249340509108</v>
      </c>
      <c r="AQ5074" s="2">
        <v>3567.7103556357702</v>
      </c>
      <c r="AR5074" s="2">
        <v>7094.8486518381897</v>
      </c>
      <c r="AS5074" s="2">
        <v>4505.0110983364102</v>
      </c>
      <c r="AT5074" s="2">
        <v>3250.6179771982302</v>
      </c>
      <c r="AU5074" s="2">
        <v>12731.7852001065</v>
      </c>
      <c r="AV5074" s="2">
        <v>6073.5235100422396</v>
      </c>
      <c r="AW5074" s="2">
        <v>7533.5480103872997</v>
      </c>
      <c r="AX5074" s="2">
        <v>8476.4417156919608</v>
      </c>
    </row>
    <row r="5075" spans="1:50" x14ac:dyDescent="0.25">
      <c r="A5075" s="2" t="s">
        <v>33236</v>
      </c>
      <c r="B5075" s="2">
        <v>298.31141564926298</v>
      </c>
      <c r="C5075" s="2">
        <v>14.3106666666667</v>
      </c>
      <c r="D5075" s="2" t="s">
        <v>51</v>
      </c>
      <c r="E5075" s="2" t="s">
        <v>33237</v>
      </c>
      <c r="F5075" s="2">
        <v>56279</v>
      </c>
      <c r="G5075" s="3" t="str">
        <f>HYPERLINK("https://cloud.oebiotech.com/#/lm/network/56279", "https://cloud.oebiotech.com/#/lm/network/56279")</f>
        <v>https://cloud.oebiotech.com/#/lm/network/56279</v>
      </c>
      <c r="H5075" s="2" t="s">
        <v>33238</v>
      </c>
      <c r="I5075" s="2">
        <v>6168</v>
      </c>
      <c r="J5075" s="2"/>
      <c r="K5075" s="2">
        <v>32518</v>
      </c>
      <c r="L5075" s="2" t="s">
        <v>33239</v>
      </c>
      <c r="M5075" s="2"/>
      <c r="N5075" s="2"/>
      <c r="O5075" s="2">
        <v>83365</v>
      </c>
      <c r="P5075" s="2"/>
      <c r="Q5075" s="2"/>
      <c r="R5075" s="2" t="s">
        <v>33240</v>
      </c>
      <c r="S5075" s="2" t="s">
        <v>33241</v>
      </c>
      <c r="T5075" s="2" t="s">
        <v>33242</v>
      </c>
      <c r="U5075" s="2" t="s">
        <v>266</v>
      </c>
      <c r="V5075" s="2" t="s">
        <v>12382</v>
      </c>
      <c r="W5075" s="2" t="s">
        <v>12383</v>
      </c>
      <c r="X5075" s="2" t="s">
        <v>147</v>
      </c>
      <c r="Y5075" s="2">
        <v>38.200000000000003</v>
      </c>
      <c r="Z5075" s="2">
        <v>1.28</v>
      </c>
      <c r="AA5075" s="2" t="s">
        <v>259</v>
      </c>
      <c r="AB5075" s="2" t="s">
        <v>31603</v>
      </c>
      <c r="AC5075" s="2">
        <v>3.27726808296039</v>
      </c>
      <c r="AD5075" s="2"/>
      <c r="AE5075" s="2">
        <v>5.2152738175652198E-2</v>
      </c>
      <c r="AF5075" s="2">
        <v>1958.42033172007</v>
      </c>
      <c r="AG5075" s="2">
        <v>2421.5276158169099</v>
      </c>
      <c r="AH5075" s="4">
        <v>0.80875407694221002</v>
      </c>
      <c r="AI5075" s="4">
        <v>-0.30622701511515898</v>
      </c>
      <c r="AJ5075" s="4" t="s">
        <v>62</v>
      </c>
      <c r="AK5075" s="2">
        <v>0.79374169586338505</v>
      </c>
      <c r="AL5075" s="2">
        <v>0.909036351917616</v>
      </c>
      <c r="AM5075" s="2">
        <v>369.25689086047498</v>
      </c>
      <c r="AN5075" s="2">
        <v>191.40634958129399</v>
      </c>
      <c r="AO5075" s="2">
        <v>5465.2755292332304</v>
      </c>
      <c r="AP5075" s="2">
        <v>420.78448690971697</v>
      </c>
      <c r="AQ5075" s="2">
        <v>5094.0108904581502</v>
      </c>
      <c r="AR5075" s="2">
        <v>209.78784327757501</v>
      </c>
      <c r="AS5075" s="2">
        <v>8064.7500286373497</v>
      </c>
      <c r="AT5075" s="2">
        <v>376.59940252248202</v>
      </c>
      <c r="AU5075" s="2">
        <v>5049.1502899570996</v>
      </c>
      <c r="AV5075" s="2">
        <v>667.67571902841905</v>
      </c>
      <c r="AW5075" s="2">
        <v>265.65737304949801</v>
      </c>
      <c r="AX5075" s="2">
        <v>105.332881706598</v>
      </c>
    </row>
    <row r="5076" spans="1:50" x14ac:dyDescent="0.25">
      <c r="A5076" s="2" t="s">
        <v>33243</v>
      </c>
      <c r="B5076" s="2">
        <v>369.14030870925097</v>
      </c>
      <c r="C5076" s="2">
        <v>0.73424999999999996</v>
      </c>
      <c r="D5076" s="2" t="s">
        <v>51</v>
      </c>
      <c r="E5076" s="2" t="s">
        <v>33244</v>
      </c>
      <c r="F5076" s="2">
        <v>207776</v>
      </c>
      <c r="G5076" s="3" t="str">
        <f>HYPERLINK("https://cloud.oebiotech.com/#/lm/network/207776", "https://cloud.oebiotech.com/#/lm/network/207776")</f>
        <v>https://cloud.oebiotech.com/#/lm/network/207776</v>
      </c>
      <c r="H5076" s="2" t="s">
        <v>33245</v>
      </c>
      <c r="I5076" s="2"/>
      <c r="J5076" s="2"/>
      <c r="K5076" s="2">
        <v>11682175</v>
      </c>
      <c r="L5076" s="2"/>
      <c r="M5076" s="2"/>
      <c r="N5076" s="2"/>
      <c r="O5076" s="2"/>
      <c r="P5076" s="2"/>
      <c r="Q5076" s="2"/>
      <c r="R5076" s="2"/>
      <c r="S5076" s="2" t="s">
        <v>33246</v>
      </c>
      <c r="T5076" s="2" t="s">
        <v>33247</v>
      </c>
      <c r="U5076" s="2" t="s">
        <v>540</v>
      </c>
      <c r="V5076" s="2" t="s">
        <v>7590</v>
      </c>
      <c r="W5076" s="2" t="s">
        <v>240</v>
      </c>
      <c r="X5076" s="2" t="s">
        <v>147</v>
      </c>
      <c r="Y5076" s="2">
        <v>37.700000000000003</v>
      </c>
      <c r="Z5076" s="2">
        <v>0</v>
      </c>
      <c r="AA5076" s="2" t="s">
        <v>122</v>
      </c>
      <c r="AB5076" s="2" t="s">
        <v>33248</v>
      </c>
      <c r="AC5076" s="2">
        <v>1.20281823667389</v>
      </c>
      <c r="AD5076" s="2"/>
      <c r="AE5076" s="2">
        <v>5.2039840142577599E-2</v>
      </c>
      <c r="AF5076" s="2">
        <v>1319.97206416363</v>
      </c>
      <c r="AG5076" s="2">
        <v>1699.4016197026201</v>
      </c>
      <c r="AH5076" s="4">
        <v>0.77672755448745201</v>
      </c>
      <c r="AI5076" s="4">
        <v>-0.364519448269914</v>
      </c>
      <c r="AJ5076" s="4" t="s">
        <v>62</v>
      </c>
      <c r="AK5076" s="2">
        <v>0.78538390231754995</v>
      </c>
      <c r="AL5076" s="2">
        <v>0.90577508306915799</v>
      </c>
      <c r="AM5076" s="2">
        <v>467.40639100247</v>
      </c>
      <c r="AN5076" s="2">
        <v>8.559877937157E-6</v>
      </c>
      <c r="AO5076" s="2">
        <v>8.559877937157E-6</v>
      </c>
      <c r="AP5076" s="2">
        <v>8.559877937157E-6</v>
      </c>
      <c r="AQ5076" s="2">
        <v>439.40219021930602</v>
      </c>
      <c r="AR5076" s="2">
        <v>7013.02377808038</v>
      </c>
      <c r="AS5076" s="2">
        <v>903.81751393272702</v>
      </c>
      <c r="AT5076" s="2">
        <v>3483.6350075048899</v>
      </c>
      <c r="AU5076" s="2">
        <v>1570.67082348689</v>
      </c>
      <c r="AV5076" s="2">
        <v>4238.2863561714603</v>
      </c>
      <c r="AW5076" s="2">
        <v>8.559877937157E-6</v>
      </c>
      <c r="AX5076" s="2">
        <v>8.559877937157E-6</v>
      </c>
    </row>
    <row r="5077" spans="1:50" x14ac:dyDescent="0.25">
      <c r="A5077" s="2" t="s">
        <v>33249</v>
      </c>
      <c r="B5077" s="2">
        <v>156.10237672884</v>
      </c>
      <c r="C5077" s="2">
        <v>4.0250333333333304</v>
      </c>
      <c r="D5077" s="2" t="s">
        <v>51</v>
      </c>
      <c r="E5077" s="2" t="s">
        <v>33250</v>
      </c>
      <c r="F5077" s="2">
        <v>48273</v>
      </c>
      <c r="G5077" s="3" t="str">
        <f>HYPERLINK("https://cloud.oebiotech.com/#/lm/network/48273", "https://cloud.oebiotech.com/#/lm/network/48273")</f>
        <v>https://cloud.oebiotech.com/#/lm/network/48273</v>
      </c>
      <c r="H5077" s="2" t="s">
        <v>33251</v>
      </c>
      <c r="I5077" s="2">
        <v>7044</v>
      </c>
      <c r="J5077" s="2"/>
      <c r="K5077" s="2">
        <v>10393</v>
      </c>
      <c r="L5077" s="2" t="s">
        <v>33252</v>
      </c>
      <c r="M5077" s="2" t="s">
        <v>9850</v>
      </c>
      <c r="N5077" s="2" t="s">
        <v>9851</v>
      </c>
      <c r="O5077" s="2">
        <v>1879</v>
      </c>
      <c r="P5077" s="2"/>
      <c r="Q5077" s="2"/>
      <c r="R5077" s="2" t="s">
        <v>33253</v>
      </c>
      <c r="S5077" s="2" t="s">
        <v>33254</v>
      </c>
      <c r="T5077" s="2" t="s">
        <v>33255</v>
      </c>
      <c r="U5077" s="2" t="s">
        <v>610</v>
      </c>
      <c r="V5077" s="2" t="s">
        <v>895</v>
      </c>
      <c r="W5077" s="2" t="s">
        <v>12249</v>
      </c>
      <c r="X5077" s="2" t="s">
        <v>83</v>
      </c>
      <c r="Y5077" s="2">
        <v>44.6</v>
      </c>
      <c r="Z5077" s="2">
        <v>0</v>
      </c>
      <c r="AA5077" s="2" t="s">
        <v>512</v>
      </c>
      <c r="AB5077" s="2" t="s">
        <v>33256</v>
      </c>
      <c r="AC5077" s="2">
        <v>3.4159888501122699</v>
      </c>
      <c r="AD5077" s="2"/>
      <c r="AE5077" s="2">
        <v>5.1955210636550099E-2</v>
      </c>
      <c r="AF5077" s="2">
        <v>2395.5007058146698</v>
      </c>
      <c r="AG5077" s="2">
        <v>2055.93188702214</v>
      </c>
      <c r="AH5077" s="5">
        <v>1.16516540306419</v>
      </c>
      <c r="AI5077" s="5">
        <v>0.22053476967986299</v>
      </c>
      <c r="AJ5077" s="5" t="s">
        <v>139</v>
      </c>
      <c r="AK5077" s="2">
        <v>0.63109752132494201</v>
      </c>
      <c r="AL5077" s="2">
        <v>0.81933653708860299</v>
      </c>
      <c r="AM5077" s="2">
        <v>1110.7313244480099</v>
      </c>
      <c r="AN5077" s="2">
        <v>1909.80101395004</v>
      </c>
      <c r="AO5077" s="2">
        <v>2849.74547388478</v>
      </c>
      <c r="AP5077" s="2">
        <v>2253.5800072165198</v>
      </c>
      <c r="AQ5077" s="2">
        <v>4879.2851264451401</v>
      </c>
      <c r="AR5077" s="2">
        <v>1369.8612889435501</v>
      </c>
      <c r="AS5077" s="2">
        <v>1981.2912934922799</v>
      </c>
      <c r="AT5077" s="2">
        <v>3823.4727700184299</v>
      </c>
      <c r="AU5077" s="2">
        <v>1556.5103026567101</v>
      </c>
      <c r="AV5077" s="2">
        <v>892.94510944137596</v>
      </c>
      <c r="AW5077" s="2">
        <v>1908.55787401267</v>
      </c>
      <c r="AX5077" s="2">
        <v>2172.8139725113801</v>
      </c>
    </row>
    <row r="5078" spans="1:50" x14ac:dyDescent="0.25">
      <c r="A5078" s="2" t="s">
        <v>33257</v>
      </c>
      <c r="B5078" s="2">
        <v>399.24767850361502</v>
      </c>
      <c r="C5078" s="2">
        <v>4.8329666666666702</v>
      </c>
      <c r="D5078" s="2" t="s">
        <v>51</v>
      </c>
      <c r="E5078" s="2" t="s">
        <v>33258</v>
      </c>
      <c r="F5078" s="2">
        <v>212526</v>
      </c>
      <c r="G5078" s="3" t="str">
        <f>HYPERLINK("https://cloud.oebiotech.com/#/lm/network/212526", "https://cloud.oebiotech.com/#/lm/network/212526")</f>
        <v>https://cloud.oebiotech.com/#/lm/network/212526</v>
      </c>
      <c r="H5078" s="2" t="s">
        <v>33259</v>
      </c>
      <c r="I5078" s="2"/>
      <c r="J5078" s="2"/>
      <c r="K5078" s="2">
        <v>9823219</v>
      </c>
      <c r="L5078" s="2"/>
      <c r="M5078" s="2"/>
      <c r="N5078" s="2"/>
      <c r="O5078" s="2"/>
      <c r="P5078" s="2"/>
      <c r="Q5078" s="2"/>
      <c r="R5078" s="2"/>
      <c r="S5078" s="2" t="s">
        <v>33260</v>
      </c>
      <c r="T5078" s="2" t="s">
        <v>33261</v>
      </c>
      <c r="U5078" s="2" t="s">
        <v>610</v>
      </c>
      <c r="V5078" s="2" t="s">
        <v>611</v>
      </c>
      <c r="W5078" s="2" t="s">
        <v>3953</v>
      </c>
      <c r="X5078" s="2" t="s">
        <v>147</v>
      </c>
      <c r="Y5078" s="2">
        <v>41.8</v>
      </c>
      <c r="Z5078" s="2">
        <v>29.2</v>
      </c>
      <c r="AA5078" s="2" t="s">
        <v>156</v>
      </c>
      <c r="AB5078" s="2" t="s">
        <v>33262</v>
      </c>
      <c r="AC5078" s="2">
        <v>0.17892753258550001</v>
      </c>
      <c r="AD5078" s="2"/>
      <c r="AE5078" s="2">
        <v>5.1906481910528803E-2</v>
      </c>
      <c r="AF5078" s="2">
        <v>834.89977186291696</v>
      </c>
      <c r="AG5078" s="2">
        <v>550.46442679213806</v>
      </c>
      <c r="AH5078" s="5">
        <v>1.5167188490786601</v>
      </c>
      <c r="AI5078" s="5">
        <v>0.60095368108156599</v>
      </c>
      <c r="AJ5078" s="5" t="s">
        <v>139</v>
      </c>
      <c r="AK5078" s="2">
        <v>0.62519962979550003</v>
      </c>
      <c r="AL5078" s="2">
        <v>0.81560320854666801</v>
      </c>
      <c r="AM5078" s="2">
        <v>214.65190799605401</v>
      </c>
      <c r="AN5078" s="2">
        <v>8.559877937157E-6</v>
      </c>
      <c r="AO5078" s="2">
        <v>516.54682208853797</v>
      </c>
      <c r="AP5078" s="2">
        <v>1479.9097188265901</v>
      </c>
      <c r="AQ5078" s="2">
        <v>2200.9357131157899</v>
      </c>
      <c r="AR5078" s="2">
        <v>597.354460590651</v>
      </c>
      <c r="AS5078" s="2">
        <v>142.59020156021799</v>
      </c>
      <c r="AT5078" s="2">
        <v>2785.5100481375398</v>
      </c>
      <c r="AU5078" s="2">
        <v>225.56170537717901</v>
      </c>
      <c r="AV5078" s="2">
        <v>8.559877937157E-6</v>
      </c>
      <c r="AW5078" s="2">
        <v>8.559877937157E-6</v>
      </c>
      <c r="AX5078" s="2">
        <v>149.124588558136</v>
      </c>
    </row>
    <row r="5079" spans="1:50" x14ac:dyDescent="0.25">
      <c r="A5079" s="2" t="s">
        <v>33263</v>
      </c>
      <c r="B5079" s="2">
        <v>347.06421344766602</v>
      </c>
      <c r="C5079" s="2">
        <v>9.0696833333333302</v>
      </c>
      <c r="D5079" s="2" t="s">
        <v>51</v>
      </c>
      <c r="E5079" s="2" t="s">
        <v>33264</v>
      </c>
      <c r="F5079" s="2">
        <v>199682</v>
      </c>
      <c r="G5079" s="3" t="str">
        <f>HYPERLINK("https://cloud.oebiotech.com/#/lm/network/199682", "https://cloud.oebiotech.com/#/lm/network/199682")</f>
        <v>https://cloud.oebiotech.com/#/lm/network/199682</v>
      </c>
      <c r="H5079" s="2" t="s">
        <v>33265</v>
      </c>
      <c r="I5079" s="2"/>
      <c r="J5079" s="2"/>
      <c r="K5079" s="2">
        <v>9509</v>
      </c>
      <c r="L5079" s="2"/>
      <c r="M5079" s="2"/>
      <c r="N5079" s="2"/>
      <c r="O5079" s="2"/>
      <c r="P5079" s="2"/>
      <c r="Q5079" s="2"/>
      <c r="R5079" s="2"/>
      <c r="S5079" s="2" t="s">
        <v>33266</v>
      </c>
      <c r="T5079" s="2" t="s">
        <v>33267</v>
      </c>
      <c r="U5079" s="2" t="s">
        <v>610</v>
      </c>
      <c r="V5079" s="2" t="s">
        <v>611</v>
      </c>
      <c r="W5079" s="2" t="s">
        <v>33268</v>
      </c>
      <c r="X5079" s="2" t="s">
        <v>147</v>
      </c>
      <c r="Y5079" s="2">
        <v>38</v>
      </c>
      <c r="Z5079" s="2">
        <v>0</v>
      </c>
      <c r="AA5079" s="2" t="s">
        <v>218</v>
      </c>
      <c r="AB5079" s="2" t="s">
        <v>33269</v>
      </c>
      <c r="AC5079" s="2">
        <v>2.9501584554303699</v>
      </c>
      <c r="AD5079" s="2"/>
      <c r="AE5079" s="2">
        <v>5.1886385767127799E-2</v>
      </c>
      <c r="AF5079" s="2">
        <v>2288.8342573783798</v>
      </c>
      <c r="AG5079" s="2">
        <v>1783.2968023549499</v>
      </c>
      <c r="AH5079" s="5">
        <v>1.28348475383112</v>
      </c>
      <c r="AI5079" s="5">
        <v>0.36006615863022401</v>
      </c>
      <c r="AJ5079" s="5" t="s">
        <v>139</v>
      </c>
      <c r="AK5079" s="2">
        <v>0.50565872881879803</v>
      </c>
      <c r="AL5079" s="2">
        <v>0.74196312845079004</v>
      </c>
      <c r="AM5079" s="2">
        <v>1825.19330814418</v>
      </c>
      <c r="AN5079" s="2">
        <v>2635.0770192951099</v>
      </c>
      <c r="AO5079" s="2">
        <v>1092.8977928869899</v>
      </c>
      <c r="AP5079" s="2">
        <v>2093.8375660805</v>
      </c>
      <c r="AQ5079" s="2">
        <v>936.96462964672605</v>
      </c>
      <c r="AR5079" s="2">
        <v>5149.0352282167696</v>
      </c>
      <c r="AS5079" s="2">
        <v>1743.86411495316</v>
      </c>
      <c r="AT5079" s="2">
        <v>908.40906834642396</v>
      </c>
      <c r="AU5079" s="2">
        <v>1561.7978816150701</v>
      </c>
      <c r="AV5079" s="2">
        <v>1764.8805767249</v>
      </c>
      <c r="AW5079" s="2">
        <v>3541.9168170686298</v>
      </c>
      <c r="AX5079" s="2">
        <v>1178.91235542154</v>
      </c>
    </row>
    <row r="5080" spans="1:50" x14ac:dyDescent="0.25">
      <c r="A5080" s="2" t="s">
        <v>33270</v>
      </c>
      <c r="B5080" s="2">
        <v>275.20150483532501</v>
      </c>
      <c r="C5080" s="2">
        <v>8.5398833333333304</v>
      </c>
      <c r="D5080" s="2" t="s">
        <v>51</v>
      </c>
      <c r="E5080" s="2" t="s">
        <v>33271</v>
      </c>
      <c r="F5080" s="2">
        <v>3324</v>
      </c>
      <c r="G5080" s="3" t="str">
        <f>HYPERLINK("https://cloud.oebiotech.com/#/lm/network/3324", "https://cloud.oebiotech.com/#/lm/network/3324")</f>
        <v>https://cloud.oebiotech.com/#/lm/network/3324</v>
      </c>
      <c r="H5080" s="2"/>
      <c r="I5080" s="2"/>
      <c r="J5080" s="2" t="s">
        <v>33272</v>
      </c>
      <c r="K5080" s="2">
        <v>101936069</v>
      </c>
      <c r="L5080" s="2"/>
      <c r="M5080" s="2"/>
      <c r="N5080" s="2"/>
      <c r="O5080" s="2"/>
      <c r="P5080" s="2"/>
      <c r="Q5080" s="2"/>
      <c r="R5080" s="2"/>
      <c r="S5080" s="2" t="s">
        <v>33273</v>
      </c>
      <c r="T5080" s="2" t="s">
        <v>33274</v>
      </c>
      <c r="U5080" s="2" t="s">
        <v>56</v>
      </c>
      <c r="V5080" s="2" t="s">
        <v>145</v>
      </c>
      <c r="W5080" s="2" t="s">
        <v>203</v>
      </c>
      <c r="X5080" s="2" t="s">
        <v>147</v>
      </c>
      <c r="Y5080" s="2">
        <v>43.8</v>
      </c>
      <c r="Z5080" s="2">
        <v>31.8</v>
      </c>
      <c r="AA5080" s="2" t="s">
        <v>179</v>
      </c>
      <c r="AB5080" s="2" t="s">
        <v>10721</v>
      </c>
      <c r="AC5080" s="2">
        <v>3.2454353435586598</v>
      </c>
      <c r="AD5080" s="2"/>
      <c r="AE5080" s="2">
        <v>5.18834253717389E-2</v>
      </c>
      <c r="AF5080" s="2">
        <v>3352.37210170355</v>
      </c>
      <c r="AG5080" s="2">
        <v>3456.3302466722198</v>
      </c>
      <c r="AH5080" s="4">
        <v>0.96992239237880695</v>
      </c>
      <c r="AI5080" s="4">
        <v>-4.4058779143756499E-2</v>
      </c>
      <c r="AJ5080" s="4" t="s">
        <v>62</v>
      </c>
      <c r="AK5080" s="2">
        <v>0.96331103901958404</v>
      </c>
      <c r="AL5080" s="2">
        <v>0.985725204870609</v>
      </c>
      <c r="AM5080" s="2">
        <v>3660.3803520407901</v>
      </c>
      <c r="AN5080" s="2">
        <v>5609.9538738151496</v>
      </c>
      <c r="AO5080" s="2">
        <v>3528.6125645370298</v>
      </c>
      <c r="AP5080" s="2">
        <v>1780.32313511452</v>
      </c>
      <c r="AQ5080" s="2">
        <v>3624.5565796840401</v>
      </c>
      <c r="AR5080" s="2">
        <v>1910.4061050297901</v>
      </c>
      <c r="AS5080" s="2">
        <v>1457.7371193824099</v>
      </c>
      <c r="AT5080" s="2">
        <v>1139.52190830359</v>
      </c>
      <c r="AU5080" s="2">
        <v>14081.2536940604</v>
      </c>
      <c r="AV5080" s="2">
        <v>848.74139779026495</v>
      </c>
      <c r="AW5080" s="2">
        <v>1573.3494718225199</v>
      </c>
      <c r="AX5080" s="2">
        <v>1637.37788867415</v>
      </c>
    </row>
    <row r="5081" spans="1:50" x14ac:dyDescent="0.25">
      <c r="A5081" s="2" t="s">
        <v>33275</v>
      </c>
      <c r="B5081" s="2">
        <v>301.08066077543202</v>
      </c>
      <c r="C5081" s="2">
        <v>3.6886666666666699</v>
      </c>
      <c r="D5081" s="2" t="s">
        <v>51</v>
      </c>
      <c r="E5081" s="2" t="s">
        <v>33276</v>
      </c>
      <c r="F5081" s="2">
        <v>48887</v>
      </c>
      <c r="G5081" s="3" t="str">
        <f>HYPERLINK("https://cloud.oebiotech.com/#/lm/network/48887", "https://cloud.oebiotech.com/#/lm/network/48887")</f>
        <v>https://cloud.oebiotech.com/#/lm/network/48887</v>
      </c>
      <c r="H5081" s="2" t="s">
        <v>33277</v>
      </c>
      <c r="I5081" s="2"/>
      <c r="J5081" s="2"/>
      <c r="K5081" s="2">
        <v>161234</v>
      </c>
      <c r="L5081" s="2" t="s">
        <v>33278</v>
      </c>
      <c r="M5081" s="2" t="s">
        <v>7772</v>
      </c>
      <c r="N5081" s="2" t="s">
        <v>7773</v>
      </c>
      <c r="O5081" s="2">
        <v>27748</v>
      </c>
      <c r="P5081" s="2"/>
      <c r="Q5081" s="2"/>
      <c r="R5081" s="2" t="s">
        <v>33279</v>
      </c>
      <c r="S5081" s="2" t="s">
        <v>33280</v>
      </c>
      <c r="T5081" s="2" t="s">
        <v>33281</v>
      </c>
      <c r="U5081" s="2" t="s">
        <v>331</v>
      </c>
      <c r="V5081" s="2" t="s">
        <v>332</v>
      </c>
      <c r="W5081" s="2" t="s">
        <v>333</v>
      </c>
      <c r="X5081" s="2" t="s">
        <v>147</v>
      </c>
      <c r="Y5081" s="2">
        <v>45.7</v>
      </c>
      <c r="Z5081" s="2">
        <v>34.1</v>
      </c>
      <c r="AA5081" s="2" t="s">
        <v>218</v>
      </c>
      <c r="AB5081" s="2" t="s">
        <v>33282</v>
      </c>
      <c r="AC5081" s="2">
        <v>1.350091537183</v>
      </c>
      <c r="AD5081" s="2"/>
      <c r="AE5081" s="2">
        <v>5.1865008940605098E-2</v>
      </c>
      <c r="AF5081" s="2">
        <v>5556.3365745444098</v>
      </c>
      <c r="AG5081" s="2">
        <v>4687.4582716001896</v>
      </c>
      <c r="AH5081" s="5">
        <v>1.1853623547346499</v>
      </c>
      <c r="AI5081" s="5">
        <v>0.24532814559434299</v>
      </c>
      <c r="AJ5081" s="5" t="s">
        <v>139</v>
      </c>
      <c r="AK5081" s="2">
        <v>0.71277582337756895</v>
      </c>
      <c r="AL5081" s="2">
        <v>0.86432803582365803</v>
      </c>
      <c r="AM5081" s="2">
        <v>653.87121582105306</v>
      </c>
      <c r="AN5081" s="2">
        <v>8248.9581286849207</v>
      </c>
      <c r="AO5081" s="2">
        <v>4993.7182093476404</v>
      </c>
      <c r="AP5081" s="2">
        <v>2152.9261178411398</v>
      </c>
      <c r="AQ5081" s="2">
        <v>8686.1088085061201</v>
      </c>
      <c r="AR5081" s="2">
        <v>8602.4369670656106</v>
      </c>
      <c r="AS5081" s="2">
        <v>10855.3176753998</v>
      </c>
      <c r="AT5081" s="2">
        <v>6596.2923494233</v>
      </c>
      <c r="AU5081" s="2">
        <v>1664.89720684808</v>
      </c>
      <c r="AV5081" s="2">
        <v>299.55252664035697</v>
      </c>
      <c r="AW5081" s="2">
        <v>797.01458013210697</v>
      </c>
      <c r="AX5081" s="2">
        <v>7911.6752911575104</v>
      </c>
    </row>
    <row r="5082" spans="1:50" x14ac:dyDescent="0.25">
      <c r="A5082" s="2" t="s">
        <v>33283</v>
      </c>
      <c r="B5082" s="2">
        <v>156.06788155175201</v>
      </c>
      <c r="C5082" s="2">
        <v>5.0586333333333302</v>
      </c>
      <c r="D5082" s="2" t="s">
        <v>51</v>
      </c>
      <c r="E5082" s="2" t="s">
        <v>33284</v>
      </c>
      <c r="F5082" s="2">
        <v>212266</v>
      </c>
      <c r="G5082" s="3" t="str">
        <f>HYPERLINK("https://cloud.oebiotech.com/#/lm/network/212266", "https://cloud.oebiotech.com/#/lm/network/212266")</f>
        <v>https://cloud.oebiotech.com/#/lm/network/212266</v>
      </c>
      <c r="H5082" s="2" t="s">
        <v>33285</v>
      </c>
      <c r="I5082" s="2">
        <v>73220</v>
      </c>
      <c r="J5082" s="2"/>
      <c r="K5082" s="2">
        <v>11016</v>
      </c>
      <c r="L5082" s="2" t="s">
        <v>33286</v>
      </c>
      <c r="M5082" s="2"/>
      <c r="N5082" s="2"/>
      <c r="O5082" s="2"/>
      <c r="P5082" s="2"/>
      <c r="Q5082" s="2"/>
      <c r="R5082" s="2" t="s">
        <v>33287</v>
      </c>
      <c r="S5082" s="2" t="s">
        <v>33288</v>
      </c>
      <c r="T5082" s="2" t="s">
        <v>33289</v>
      </c>
      <c r="U5082" s="2" t="s">
        <v>103</v>
      </c>
      <c r="V5082" s="2" t="s">
        <v>1567</v>
      </c>
      <c r="W5082" s="2" t="s">
        <v>15579</v>
      </c>
      <c r="X5082" s="2" t="s">
        <v>147</v>
      </c>
      <c r="Y5082" s="2">
        <v>37.6</v>
      </c>
      <c r="Z5082" s="2">
        <v>0</v>
      </c>
      <c r="AA5082" s="2" t="s">
        <v>156</v>
      </c>
      <c r="AB5082" s="2" t="s">
        <v>33290</v>
      </c>
      <c r="AC5082" s="2">
        <v>-3.6334460769737902</v>
      </c>
      <c r="AD5082" s="2"/>
      <c r="AE5082" s="2">
        <v>5.1640322337833902E-2</v>
      </c>
      <c r="AF5082" s="2">
        <v>556.157426934564</v>
      </c>
      <c r="AG5082" s="2">
        <v>442.03832662164098</v>
      </c>
      <c r="AH5082" s="5">
        <v>1.2581656237482799</v>
      </c>
      <c r="AI5082" s="5">
        <v>0.33132184974692303</v>
      </c>
      <c r="AJ5082" s="5" t="s">
        <v>139</v>
      </c>
      <c r="AK5082" s="2">
        <v>0.205704466132689</v>
      </c>
      <c r="AL5082" s="2">
        <v>0.53096870391533402</v>
      </c>
      <c r="AM5082" s="2">
        <v>564.14280463205603</v>
      </c>
      <c r="AN5082" s="2">
        <v>696.66797275211695</v>
      </c>
      <c r="AO5082" s="2">
        <v>397.71954280250998</v>
      </c>
      <c r="AP5082" s="2">
        <v>440.47105117182599</v>
      </c>
      <c r="AQ5082" s="2">
        <v>592.36525007585999</v>
      </c>
      <c r="AR5082" s="2">
        <v>645.57794017301205</v>
      </c>
      <c r="AS5082" s="2">
        <v>708.48863371556797</v>
      </c>
      <c r="AT5082" s="2">
        <v>312.42320115407199</v>
      </c>
      <c r="AU5082" s="2">
        <v>575.028853346956</v>
      </c>
      <c r="AV5082" s="2">
        <v>268.70301855785902</v>
      </c>
      <c r="AW5082" s="2">
        <v>341.395345852714</v>
      </c>
      <c r="AX5082" s="2">
        <v>446.19090710267801</v>
      </c>
    </row>
    <row r="5083" spans="1:50" x14ac:dyDescent="0.25">
      <c r="A5083" s="2" t="s">
        <v>33291</v>
      </c>
      <c r="B5083" s="2">
        <v>431.08129598907999</v>
      </c>
      <c r="C5083" s="2">
        <v>5.0177166666666704</v>
      </c>
      <c r="D5083" s="2" t="s">
        <v>51</v>
      </c>
      <c r="E5083" s="2" t="s">
        <v>33292</v>
      </c>
      <c r="F5083" s="2">
        <v>64898</v>
      </c>
      <c r="G5083" s="3" t="str">
        <f>HYPERLINK("https://cloud.oebiotech.com/#/lm/network/64898", "https://cloud.oebiotech.com/#/lm/network/64898")</f>
        <v>https://cloud.oebiotech.com/#/lm/network/64898</v>
      </c>
      <c r="H5083" s="2" t="s">
        <v>33293</v>
      </c>
      <c r="I5083" s="2">
        <v>605</v>
      </c>
      <c r="J5083" s="2"/>
      <c r="K5083" s="2">
        <v>9576239</v>
      </c>
      <c r="L5083" s="2"/>
      <c r="M5083" s="2"/>
      <c r="N5083" s="2"/>
      <c r="O5083" s="2"/>
      <c r="P5083" s="2"/>
      <c r="Q5083" s="2"/>
      <c r="R5083" s="2" t="s">
        <v>33294</v>
      </c>
      <c r="S5083" s="2" t="s">
        <v>33295</v>
      </c>
      <c r="T5083" s="2" t="s">
        <v>33296</v>
      </c>
      <c r="U5083" s="2" t="s">
        <v>266</v>
      </c>
      <c r="V5083" s="2" t="s">
        <v>267</v>
      </c>
      <c r="W5083" s="2" t="s">
        <v>268</v>
      </c>
      <c r="X5083" s="2" t="s">
        <v>147</v>
      </c>
      <c r="Y5083" s="2">
        <v>36.5</v>
      </c>
      <c r="Z5083" s="2">
        <v>0</v>
      </c>
      <c r="AA5083" s="2" t="s">
        <v>512</v>
      </c>
      <c r="AB5083" s="2" t="s">
        <v>33297</v>
      </c>
      <c r="AC5083" s="2">
        <v>2.6516070254598598</v>
      </c>
      <c r="AD5083" s="2"/>
      <c r="AE5083" s="2">
        <v>5.1619562747198998E-2</v>
      </c>
      <c r="AF5083" s="2">
        <v>533.15135025427298</v>
      </c>
      <c r="AG5083" s="2">
        <v>730.67738190193495</v>
      </c>
      <c r="AH5083" s="4">
        <v>0.72966724228755198</v>
      </c>
      <c r="AI5083" s="4">
        <v>-0.454689408086625</v>
      </c>
      <c r="AJ5083" s="4" t="s">
        <v>62</v>
      </c>
      <c r="AK5083" s="2">
        <v>0.50502418875810395</v>
      </c>
      <c r="AL5083" s="2">
        <v>0.74142646109220101</v>
      </c>
      <c r="AM5083" s="2">
        <v>548.89474729159394</v>
      </c>
      <c r="AN5083" s="2">
        <v>1143.7427134187601</v>
      </c>
      <c r="AO5083" s="2">
        <v>138.478482460941</v>
      </c>
      <c r="AP5083" s="2">
        <v>572.03240334453506</v>
      </c>
      <c r="AQ5083" s="2">
        <v>496.091148798956</v>
      </c>
      <c r="AR5083" s="2">
        <v>299.66860621085198</v>
      </c>
      <c r="AS5083" s="2">
        <v>1728.79451788235</v>
      </c>
      <c r="AT5083" s="2">
        <v>656.25972400860303</v>
      </c>
      <c r="AU5083" s="2">
        <v>443.67890973644501</v>
      </c>
      <c r="AV5083" s="2">
        <v>227.10355536675999</v>
      </c>
      <c r="AW5083" s="2">
        <v>1171.7812960881199</v>
      </c>
      <c r="AX5083" s="2">
        <v>156.44628832933199</v>
      </c>
    </row>
    <row r="5084" spans="1:50" x14ac:dyDescent="0.25">
      <c r="A5084" s="2" t="s">
        <v>33298</v>
      </c>
      <c r="B5084" s="2">
        <v>216.0814</v>
      </c>
      <c r="C5084" s="2">
        <v>9.0289999999999999</v>
      </c>
      <c r="D5084" s="2" t="s">
        <v>125</v>
      </c>
      <c r="E5084" s="2" t="s">
        <v>33299</v>
      </c>
      <c r="F5084" s="2">
        <v>546282</v>
      </c>
      <c r="G5084" s="3" t="str">
        <f>HYPERLINK("https://cloud.oebiotech.com/#/lm/network/546282", "https://cloud.oebiotech.com/#/lm/network/546282")</f>
        <v>https://cloud.oebiotech.com/#/lm/network/546282</v>
      </c>
      <c r="H5084" s="2"/>
      <c r="I5084" s="2"/>
      <c r="J5084" s="2"/>
      <c r="K5084" s="2">
        <v>71367684</v>
      </c>
      <c r="L5084" s="2"/>
      <c r="M5084" s="2"/>
      <c r="N5084" s="2"/>
      <c r="O5084" s="2"/>
      <c r="P5084" s="2"/>
      <c r="Q5084" s="2"/>
      <c r="R5084" s="2"/>
      <c r="S5084" s="2" t="s">
        <v>33300</v>
      </c>
      <c r="T5084" s="2" t="s">
        <v>33301</v>
      </c>
      <c r="U5084" s="2" t="s">
        <v>240</v>
      </c>
      <c r="V5084" s="2" t="s">
        <v>240</v>
      </c>
      <c r="W5084" s="2" t="s">
        <v>240</v>
      </c>
      <c r="X5084" s="2" t="s">
        <v>83</v>
      </c>
      <c r="Y5084" s="2">
        <v>81</v>
      </c>
      <c r="Z5084" s="2">
        <v>68.400000000000006</v>
      </c>
      <c r="AA5084" s="2"/>
      <c r="AB5084" s="2" t="s">
        <v>33302</v>
      </c>
      <c r="AC5084" s="2"/>
      <c r="AD5084" s="2">
        <v>303694.27385892102</v>
      </c>
      <c r="AE5084" s="2">
        <v>5.15351438315362E-2</v>
      </c>
      <c r="AF5084" s="2">
        <v>15782.205754233501</v>
      </c>
      <c r="AG5084" s="2">
        <v>17611.035359522401</v>
      </c>
      <c r="AH5084" s="4">
        <v>0.89615433914281495</v>
      </c>
      <c r="AI5084" s="4">
        <v>-0.15818087472412401</v>
      </c>
      <c r="AJ5084" s="4" t="s">
        <v>62</v>
      </c>
      <c r="AK5084" s="2">
        <v>0.41174138347788303</v>
      </c>
      <c r="AL5084" s="2">
        <v>0.67548655599718399</v>
      </c>
      <c r="AM5084" s="2">
        <v>16830.730172393</v>
      </c>
      <c r="AN5084" s="2">
        <v>18503.453052979101</v>
      </c>
      <c r="AO5084" s="2">
        <v>15443.241895712201</v>
      </c>
      <c r="AP5084" s="2">
        <v>16353.9915523868</v>
      </c>
      <c r="AQ5084" s="2">
        <v>11697.945817112901</v>
      </c>
      <c r="AR5084" s="2">
        <v>15863.872034817199</v>
      </c>
      <c r="AS5084" s="2">
        <v>14431.601670206301</v>
      </c>
      <c r="AT5084" s="2">
        <v>17417.763391423501</v>
      </c>
      <c r="AU5084" s="2">
        <v>22150.200235272801</v>
      </c>
      <c r="AV5084" s="2">
        <v>24484.447467575599</v>
      </c>
      <c r="AW5084" s="2">
        <v>14226.8591989336</v>
      </c>
      <c r="AX5084" s="2">
        <v>12955.340193722501</v>
      </c>
    </row>
    <row r="5085" spans="1:50" x14ac:dyDescent="0.25">
      <c r="A5085" s="2" t="s">
        <v>33303</v>
      </c>
      <c r="B5085" s="2">
        <v>316.16672091094802</v>
      </c>
      <c r="C5085" s="2">
        <v>4.7222</v>
      </c>
      <c r="D5085" s="2" t="s">
        <v>51</v>
      </c>
      <c r="E5085" s="2" t="s">
        <v>33304</v>
      </c>
      <c r="F5085" s="2">
        <v>266214</v>
      </c>
      <c r="G5085" s="3" t="str">
        <f>HYPERLINK("https://cloud.oebiotech.com/#/lm/network/266214", "https://cloud.oebiotech.com/#/lm/network/266214")</f>
        <v>https://cloud.oebiotech.com/#/lm/network/266214</v>
      </c>
      <c r="H5085" s="2"/>
      <c r="I5085" s="2">
        <v>23956</v>
      </c>
      <c r="J5085" s="2"/>
      <c r="K5085" s="2">
        <v>11681245</v>
      </c>
      <c r="L5085" s="2"/>
      <c r="M5085" s="2"/>
      <c r="N5085" s="2"/>
      <c r="O5085" s="2"/>
      <c r="P5085" s="2"/>
      <c r="Q5085" s="2"/>
      <c r="R5085" s="2"/>
      <c r="S5085" s="2" t="s">
        <v>33305</v>
      </c>
      <c r="T5085" s="2" t="s">
        <v>33306</v>
      </c>
      <c r="U5085" s="2" t="s">
        <v>103</v>
      </c>
      <c r="V5085" s="2" t="s">
        <v>104</v>
      </c>
      <c r="W5085" s="2" t="s">
        <v>105</v>
      </c>
      <c r="X5085" s="2" t="s">
        <v>83</v>
      </c>
      <c r="Y5085" s="2">
        <v>45.6</v>
      </c>
      <c r="Z5085" s="2">
        <v>0</v>
      </c>
      <c r="AA5085" s="2" t="s">
        <v>163</v>
      </c>
      <c r="AB5085" s="2" t="s">
        <v>24072</v>
      </c>
      <c r="AC5085" s="2">
        <v>0.17571512187622401</v>
      </c>
      <c r="AD5085" s="2"/>
      <c r="AE5085" s="2">
        <v>5.1527462717749502E-2</v>
      </c>
      <c r="AF5085" s="2">
        <v>1747.48126355667</v>
      </c>
      <c r="AG5085" s="2">
        <v>1512.5081285945901</v>
      </c>
      <c r="AH5085" s="5">
        <v>1.1553533039061501</v>
      </c>
      <c r="AI5085" s="5">
        <v>0.20833409133955599</v>
      </c>
      <c r="AJ5085" s="5" t="s">
        <v>139</v>
      </c>
      <c r="AK5085" s="2">
        <v>0.50915631442711795</v>
      </c>
      <c r="AL5085" s="2">
        <v>0.74362381186305904</v>
      </c>
      <c r="AM5085" s="2">
        <v>1233.80934909747</v>
      </c>
      <c r="AN5085" s="2">
        <v>1890.26614043431</v>
      </c>
      <c r="AO5085" s="2">
        <v>1486.3918098141901</v>
      </c>
      <c r="AP5085" s="2">
        <v>1358.3085635078701</v>
      </c>
      <c r="AQ5085" s="2">
        <v>2247.6956159535798</v>
      </c>
      <c r="AR5085" s="2">
        <v>2268.4161025326098</v>
      </c>
      <c r="AS5085" s="2">
        <v>750.993760740933</v>
      </c>
      <c r="AT5085" s="2">
        <v>1420.0555387848999</v>
      </c>
      <c r="AU5085" s="2">
        <v>2249.4248034361099</v>
      </c>
      <c r="AV5085" s="2">
        <v>2447.1505185742199</v>
      </c>
      <c r="AW5085" s="2">
        <v>812.60797453352404</v>
      </c>
      <c r="AX5085" s="2">
        <v>1394.8161754978801</v>
      </c>
    </row>
    <row r="5086" spans="1:50" x14ac:dyDescent="0.25">
      <c r="A5086" s="2" t="s">
        <v>33307</v>
      </c>
      <c r="B5086" s="2">
        <v>347.161414971547</v>
      </c>
      <c r="C5086" s="2">
        <v>7.6376666666666697</v>
      </c>
      <c r="D5086" s="2" t="s">
        <v>51</v>
      </c>
      <c r="E5086" s="2" t="s">
        <v>33308</v>
      </c>
      <c r="F5086" s="2">
        <v>28125</v>
      </c>
      <c r="G5086" s="3" t="str">
        <f>HYPERLINK("https://cloud.oebiotech.com/#/lm/network/28125", "https://cloud.oebiotech.com/#/lm/network/28125")</f>
        <v>https://cloud.oebiotech.com/#/lm/network/28125</v>
      </c>
      <c r="H5086" s="2"/>
      <c r="I5086" s="2">
        <v>46755</v>
      </c>
      <c r="J5086" s="2" t="s">
        <v>33309</v>
      </c>
      <c r="K5086" s="2">
        <v>444732</v>
      </c>
      <c r="L5086" s="2"/>
      <c r="M5086" s="2"/>
      <c r="N5086" s="2"/>
      <c r="O5086" s="2">
        <v>46024</v>
      </c>
      <c r="P5086" s="2"/>
      <c r="Q5086" s="2"/>
      <c r="R5086" s="2" t="s">
        <v>33310</v>
      </c>
      <c r="S5086" s="2" t="s">
        <v>33311</v>
      </c>
      <c r="T5086" s="2" t="s">
        <v>33312</v>
      </c>
      <c r="U5086" s="2" t="s">
        <v>331</v>
      </c>
      <c r="V5086" s="2" t="s">
        <v>332</v>
      </c>
      <c r="W5086" s="2" t="s">
        <v>1207</v>
      </c>
      <c r="X5086" s="2" t="s">
        <v>147</v>
      </c>
      <c r="Y5086" s="2">
        <v>38.299999999999997</v>
      </c>
      <c r="Z5086" s="2">
        <v>0</v>
      </c>
      <c r="AA5086" s="2" t="s">
        <v>218</v>
      </c>
      <c r="AB5086" s="2" t="s">
        <v>33313</v>
      </c>
      <c r="AC5086" s="2">
        <v>0.56104719287111104</v>
      </c>
      <c r="AD5086" s="2"/>
      <c r="AE5086" s="2">
        <v>5.1519074620960198E-2</v>
      </c>
      <c r="AF5086" s="2">
        <v>1450.2496890889799</v>
      </c>
      <c r="AG5086" s="2">
        <v>1705.1292462419201</v>
      </c>
      <c r="AH5086" s="4">
        <v>0.85052185474227804</v>
      </c>
      <c r="AI5086" s="4">
        <v>-0.23357978748404901</v>
      </c>
      <c r="AJ5086" s="4" t="s">
        <v>62</v>
      </c>
      <c r="AK5086" s="2">
        <v>0.87290529937535499</v>
      </c>
      <c r="AL5086" s="2">
        <v>0.94518306809985098</v>
      </c>
      <c r="AM5086" s="2">
        <v>8.559877937157E-6</v>
      </c>
      <c r="AN5086" s="2">
        <v>4620.2257288015198</v>
      </c>
      <c r="AO5086" s="2">
        <v>643.96740375597005</v>
      </c>
      <c r="AP5086" s="2">
        <v>2047.89364177578</v>
      </c>
      <c r="AQ5086" s="2">
        <v>572.44640864006897</v>
      </c>
      <c r="AR5086" s="2">
        <v>816.96494300064603</v>
      </c>
      <c r="AS5086" s="2">
        <v>8610.4862014686405</v>
      </c>
      <c r="AT5086" s="2">
        <v>725.22100803967101</v>
      </c>
      <c r="AU5086" s="2">
        <v>8.559877937157E-6</v>
      </c>
      <c r="AV5086" s="2">
        <v>8.559877937157E-6</v>
      </c>
      <c r="AW5086" s="2">
        <v>8.559877937157E-6</v>
      </c>
      <c r="AX5086" s="2">
        <v>895.06824226355195</v>
      </c>
    </row>
    <row r="5087" spans="1:50" x14ac:dyDescent="0.25">
      <c r="A5087" s="2" t="s">
        <v>33314</v>
      </c>
      <c r="B5087" s="2">
        <v>170.154318314997</v>
      </c>
      <c r="C5087" s="2">
        <v>11.880366666666699</v>
      </c>
      <c r="D5087" s="2" t="s">
        <v>51</v>
      </c>
      <c r="E5087" s="2" t="s">
        <v>33315</v>
      </c>
      <c r="F5087" s="2">
        <v>58899</v>
      </c>
      <c r="G5087" s="3" t="str">
        <f>HYPERLINK("https://cloud.oebiotech.com/#/lm/network/58899", "https://cloud.oebiotech.com/#/lm/network/58899")</f>
        <v>https://cloud.oebiotech.com/#/lm/network/58899</v>
      </c>
      <c r="H5087" s="2" t="s">
        <v>33316</v>
      </c>
      <c r="I5087" s="2">
        <v>90341</v>
      </c>
      <c r="J5087" s="2"/>
      <c r="K5087" s="2">
        <v>521267</v>
      </c>
      <c r="L5087" s="2"/>
      <c r="M5087" s="2"/>
      <c r="N5087" s="2"/>
      <c r="O5087" s="2"/>
      <c r="P5087" s="2"/>
      <c r="Q5087" s="2"/>
      <c r="R5087" s="2" t="s">
        <v>33317</v>
      </c>
      <c r="S5087" s="2" t="s">
        <v>33318</v>
      </c>
      <c r="T5087" s="2" t="s">
        <v>33319</v>
      </c>
      <c r="U5087" s="2" t="s">
        <v>56</v>
      </c>
      <c r="V5087" s="2" t="s">
        <v>177</v>
      </c>
      <c r="W5087" s="2" t="s">
        <v>584</v>
      </c>
      <c r="X5087" s="2" t="s">
        <v>59</v>
      </c>
      <c r="Y5087" s="2">
        <v>50.1</v>
      </c>
      <c r="Z5087" s="2">
        <v>58.5</v>
      </c>
      <c r="AA5087" s="2" t="s">
        <v>512</v>
      </c>
      <c r="AB5087" s="2" t="s">
        <v>26659</v>
      </c>
      <c r="AC5087" s="2">
        <v>2.4825928916249</v>
      </c>
      <c r="AD5087" s="2"/>
      <c r="AE5087" s="2">
        <v>5.1499097432506503E-2</v>
      </c>
      <c r="AF5087" s="2">
        <v>7027.2013588067002</v>
      </c>
      <c r="AG5087" s="2">
        <v>6249.7244225591903</v>
      </c>
      <c r="AH5087" s="5">
        <v>1.1244017949721301</v>
      </c>
      <c r="AI5087" s="5">
        <v>0.169157661921716</v>
      </c>
      <c r="AJ5087" s="5" t="s">
        <v>139</v>
      </c>
      <c r="AK5087" s="2">
        <v>0.89619287931437597</v>
      </c>
      <c r="AL5087" s="2">
        <v>0.95661580807073898</v>
      </c>
      <c r="AM5087" s="2">
        <v>92.102216221647396</v>
      </c>
      <c r="AN5087" s="2">
        <v>103.091841480787</v>
      </c>
      <c r="AO5087" s="2">
        <v>22098.201389521499</v>
      </c>
      <c r="AP5087" s="2">
        <v>8.559877937157E-6</v>
      </c>
      <c r="AQ5087" s="2">
        <v>19530.067154364398</v>
      </c>
      <c r="AR5087" s="2">
        <v>339.74554269201298</v>
      </c>
      <c r="AS5087" s="2">
        <v>17047.931269958699</v>
      </c>
      <c r="AT5087" s="2">
        <v>8.559877937157E-6</v>
      </c>
      <c r="AU5087" s="2">
        <v>19553.9738943708</v>
      </c>
      <c r="AV5087" s="2">
        <v>293.16853276386303</v>
      </c>
      <c r="AW5087" s="2">
        <v>317.69626209164602</v>
      </c>
      <c r="AX5087" s="2">
        <v>285.57656761028102</v>
      </c>
    </row>
    <row r="5088" spans="1:50" x14ac:dyDescent="0.25">
      <c r="A5088" s="2" t="s">
        <v>33320</v>
      </c>
      <c r="B5088" s="2">
        <v>239.12869211142501</v>
      </c>
      <c r="C5088" s="2">
        <v>9.1936333333333309</v>
      </c>
      <c r="D5088" s="2" t="s">
        <v>51</v>
      </c>
      <c r="E5088" s="2" t="s">
        <v>33321</v>
      </c>
      <c r="F5088" s="2">
        <v>7778</v>
      </c>
      <c r="G5088" s="3" t="str">
        <f>HYPERLINK("https://cloud.oebiotech.com/#/lm/network/7778", "https://cloud.oebiotech.com/#/lm/network/7778")</f>
        <v>https://cloud.oebiotech.com/#/lm/network/7778</v>
      </c>
      <c r="H5088" s="2"/>
      <c r="I5088" s="2">
        <v>97394</v>
      </c>
      <c r="J5088" s="2" t="s">
        <v>33322</v>
      </c>
      <c r="K5088" s="2">
        <v>10976366</v>
      </c>
      <c r="L5088" s="2"/>
      <c r="M5088" s="2"/>
      <c r="N5088" s="2"/>
      <c r="O5088" s="2">
        <v>137708</v>
      </c>
      <c r="P5088" s="2"/>
      <c r="Q5088" s="2"/>
      <c r="R5088" s="2"/>
      <c r="S5088" s="2" t="s">
        <v>33323</v>
      </c>
      <c r="T5088" s="2" t="s">
        <v>33324</v>
      </c>
      <c r="U5088" s="2" t="s">
        <v>540</v>
      </c>
      <c r="V5088" s="2" t="s">
        <v>563</v>
      </c>
      <c r="W5088" s="2" t="s">
        <v>240</v>
      </c>
      <c r="X5088" s="2" t="s">
        <v>83</v>
      </c>
      <c r="Y5088" s="2">
        <v>47</v>
      </c>
      <c r="Z5088" s="2">
        <v>0</v>
      </c>
      <c r="AA5088" s="2" t="s">
        <v>218</v>
      </c>
      <c r="AB5088" s="2" t="s">
        <v>5717</v>
      </c>
      <c r="AC5088" s="2">
        <v>-0.981683857469836</v>
      </c>
      <c r="AD5088" s="2"/>
      <c r="AE5088" s="2">
        <v>5.1414538344097198E-2</v>
      </c>
      <c r="AF5088" s="2">
        <v>1124.5846985742401</v>
      </c>
      <c r="AG5088" s="2">
        <v>1218.5752394670301</v>
      </c>
      <c r="AH5088" s="4">
        <v>0.922868496052901</v>
      </c>
      <c r="AI5088" s="4">
        <v>-0.115803008889289</v>
      </c>
      <c r="AJ5088" s="4" t="s">
        <v>62</v>
      </c>
      <c r="AK5088" s="2">
        <v>0.28861650740926098</v>
      </c>
      <c r="AL5088" s="2">
        <v>0.602926180326806</v>
      </c>
      <c r="AM5088" s="2">
        <v>944.44245324710505</v>
      </c>
      <c r="AN5088" s="2">
        <v>1173.61649389525</v>
      </c>
      <c r="AO5088" s="2">
        <v>1135.5461366299301</v>
      </c>
      <c r="AP5088" s="2">
        <v>1087.02896715772</v>
      </c>
      <c r="AQ5088" s="2">
        <v>1246.2405470751501</v>
      </c>
      <c r="AR5088" s="2">
        <v>1160.63359344029</v>
      </c>
      <c r="AS5088" s="2">
        <v>1354.9878669401901</v>
      </c>
      <c r="AT5088" s="2">
        <v>1275.2946907430701</v>
      </c>
      <c r="AU5088" s="2">
        <v>984.15818069139596</v>
      </c>
      <c r="AV5088" s="2">
        <v>1000.28309836737</v>
      </c>
      <c r="AW5088" s="2">
        <v>1333.9090536726801</v>
      </c>
      <c r="AX5088" s="2">
        <v>1362.81854638747</v>
      </c>
    </row>
    <row r="5089" spans="1:50" x14ac:dyDescent="0.25">
      <c r="A5089" s="2" t="s">
        <v>33325</v>
      </c>
      <c r="B5089" s="2">
        <v>295.051690006775</v>
      </c>
      <c r="C5089" s="2">
        <v>3.9637500000000001</v>
      </c>
      <c r="D5089" s="2" t="s">
        <v>51</v>
      </c>
      <c r="E5089" s="2" t="s">
        <v>33326</v>
      </c>
      <c r="F5089" s="2">
        <v>64915</v>
      </c>
      <c r="G5089" s="3" t="str">
        <f>HYPERLINK("https://cloud.oebiotech.com/#/lm/network/64915", "https://cloud.oebiotech.com/#/lm/network/64915")</f>
        <v>https://cloud.oebiotech.com/#/lm/network/64915</v>
      </c>
      <c r="H5089" s="2" t="s">
        <v>33327</v>
      </c>
      <c r="I5089" s="2">
        <v>70064</v>
      </c>
      <c r="J5089" s="2"/>
      <c r="K5089" s="2">
        <v>31200</v>
      </c>
      <c r="L5089" s="2" t="s">
        <v>33328</v>
      </c>
      <c r="M5089" s="2"/>
      <c r="N5089" s="2"/>
      <c r="O5089" s="2">
        <v>34757</v>
      </c>
      <c r="P5089" s="2"/>
      <c r="Q5089" s="2"/>
      <c r="R5089" s="2" t="s">
        <v>33329</v>
      </c>
      <c r="S5089" s="2" t="s">
        <v>33330</v>
      </c>
      <c r="T5089" s="2" t="s">
        <v>33331</v>
      </c>
      <c r="U5089" s="2" t="s">
        <v>103</v>
      </c>
      <c r="V5089" s="2" t="s">
        <v>11073</v>
      </c>
      <c r="W5089" s="2" t="s">
        <v>11074</v>
      </c>
      <c r="X5089" s="2" t="s">
        <v>147</v>
      </c>
      <c r="Y5089" s="2">
        <v>36.5</v>
      </c>
      <c r="Z5089" s="2">
        <v>0</v>
      </c>
      <c r="AA5089" s="2" t="s">
        <v>512</v>
      </c>
      <c r="AB5089" s="2" t="s">
        <v>33332</v>
      </c>
      <c r="AC5089" s="2">
        <v>1.74847995029568</v>
      </c>
      <c r="AD5089" s="2"/>
      <c r="AE5089" s="2">
        <v>5.1327622785997701E-2</v>
      </c>
      <c r="AF5089" s="2">
        <v>797.017073313791</v>
      </c>
      <c r="AG5089" s="2">
        <v>1181.42278019642</v>
      </c>
      <c r="AH5089" s="4">
        <v>0.67462477165141399</v>
      </c>
      <c r="AI5089" s="4">
        <v>-0.56784280101619</v>
      </c>
      <c r="AJ5089" s="4" t="s">
        <v>62</v>
      </c>
      <c r="AK5089" s="2">
        <v>0.418929925530309</v>
      </c>
      <c r="AL5089" s="2">
        <v>0.68067514172781796</v>
      </c>
      <c r="AM5089" s="2">
        <v>1005.73203144436</v>
      </c>
      <c r="AN5089" s="2">
        <v>638.77861309649404</v>
      </c>
      <c r="AO5089" s="2">
        <v>1164.86174538353</v>
      </c>
      <c r="AP5089" s="2">
        <v>1085.18266793974</v>
      </c>
      <c r="AQ5089" s="2">
        <v>542.585728189919</v>
      </c>
      <c r="AR5089" s="2">
        <v>344.96165382870498</v>
      </c>
      <c r="AS5089" s="2">
        <v>592.94229622655996</v>
      </c>
      <c r="AT5089" s="2">
        <v>1162.4666481435299</v>
      </c>
      <c r="AU5089" s="2">
        <v>2890.2461275388901</v>
      </c>
      <c r="AV5089" s="2">
        <v>135.511235227448</v>
      </c>
      <c r="AW5089" s="2">
        <v>1965.9673353810699</v>
      </c>
      <c r="AX5089" s="2">
        <v>341.40303866104398</v>
      </c>
    </row>
    <row r="5090" spans="1:50" x14ac:dyDescent="0.25">
      <c r="A5090" s="2" t="s">
        <v>33333</v>
      </c>
      <c r="B5090" s="2">
        <v>262.129549275805</v>
      </c>
      <c r="C5090" s="2">
        <v>0.99048333333333305</v>
      </c>
      <c r="D5090" s="2" t="s">
        <v>51</v>
      </c>
      <c r="E5090" s="2" t="s">
        <v>33334</v>
      </c>
      <c r="F5090" s="2">
        <v>206978</v>
      </c>
      <c r="G5090" s="3" t="str">
        <f>HYPERLINK("https://cloud.oebiotech.com/#/lm/network/206978", "https://cloud.oebiotech.com/#/lm/network/206978")</f>
        <v>https://cloud.oebiotech.com/#/lm/network/206978</v>
      </c>
      <c r="H5090" s="2" t="s">
        <v>33335</v>
      </c>
      <c r="I5090" s="2"/>
      <c r="J5090" s="2"/>
      <c r="K5090" s="2">
        <v>101683884</v>
      </c>
      <c r="L5090" s="2"/>
      <c r="M5090" s="2"/>
      <c r="N5090" s="2"/>
      <c r="O5090" s="2"/>
      <c r="P5090" s="2"/>
      <c r="Q5090" s="2"/>
      <c r="R5090" s="2"/>
      <c r="S5090" s="2" t="s">
        <v>33336</v>
      </c>
      <c r="T5090" s="2" t="s">
        <v>33337</v>
      </c>
      <c r="U5090" s="2" t="s">
        <v>103</v>
      </c>
      <c r="V5090" s="2" t="s">
        <v>104</v>
      </c>
      <c r="W5090" s="2" t="s">
        <v>105</v>
      </c>
      <c r="X5090" s="2" t="s">
        <v>69</v>
      </c>
      <c r="Y5090" s="2">
        <v>53.1</v>
      </c>
      <c r="Z5090" s="2">
        <v>69.7</v>
      </c>
      <c r="AA5090" s="2" t="s">
        <v>156</v>
      </c>
      <c r="AB5090" s="2" t="s">
        <v>11209</v>
      </c>
      <c r="AC5090" s="2">
        <v>3.7097550616566601</v>
      </c>
      <c r="AD5090" s="2"/>
      <c r="AE5090" s="2">
        <v>5.1152680491578E-2</v>
      </c>
      <c r="AF5090" s="2">
        <v>3704.14913434551</v>
      </c>
      <c r="AG5090" s="2">
        <v>3760.6591049727699</v>
      </c>
      <c r="AH5090" s="4">
        <v>0.98497338656605704</v>
      </c>
      <c r="AI5090" s="4">
        <v>-2.18433506106053E-2</v>
      </c>
      <c r="AJ5090" s="4" t="s">
        <v>62</v>
      </c>
      <c r="AK5090" s="2">
        <v>0.973075906954601</v>
      </c>
      <c r="AL5090" s="2">
        <v>0.98931094348535698</v>
      </c>
      <c r="AM5090" s="2">
        <v>866.92630372244901</v>
      </c>
      <c r="AN5090" s="2">
        <v>3967.8840965797199</v>
      </c>
      <c r="AO5090" s="2">
        <v>1796.2419335231</v>
      </c>
      <c r="AP5090" s="2">
        <v>1115.5012238050799</v>
      </c>
      <c r="AQ5090" s="2">
        <v>3747.8287305178101</v>
      </c>
      <c r="AR5090" s="2">
        <v>10730.512517924901</v>
      </c>
      <c r="AS5090" s="2">
        <v>3744.7453829086398</v>
      </c>
      <c r="AT5090" s="2">
        <v>3457.35540007082</v>
      </c>
      <c r="AU5090" s="2">
        <v>1673.6676481663101</v>
      </c>
      <c r="AV5090" s="2">
        <v>6517.6181339105397</v>
      </c>
      <c r="AW5090" s="2">
        <v>3412.95311116947</v>
      </c>
      <c r="AX5090" s="2">
        <v>3757.6149536108701</v>
      </c>
    </row>
    <row r="5091" spans="1:50" x14ac:dyDescent="0.25">
      <c r="A5091" s="2" t="s">
        <v>33338</v>
      </c>
      <c r="B5091" s="2">
        <v>214.14433072944701</v>
      </c>
      <c r="C5091" s="2">
        <v>5.50495</v>
      </c>
      <c r="D5091" s="2" t="s">
        <v>51</v>
      </c>
      <c r="E5091" s="2" t="s">
        <v>33339</v>
      </c>
      <c r="F5091" s="2">
        <v>207522</v>
      </c>
      <c r="G5091" s="3" t="str">
        <f>HYPERLINK("https://cloud.oebiotech.com/#/lm/network/207522", "https://cloud.oebiotech.com/#/lm/network/207522")</f>
        <v>https://cloud.oebiotech.com/#/lm/network/207522</v>
      </c>
      <c r="H5091" s="2" t="s">
        <v>33340</v>
      </c>
      <c r="I5091" s="2">
        <v>426114</v>
      </c>
      <c r="J5091" s="2"/>
      <c r="K5091" s="2">
        <v>6433083</v>
      </c>
      <c r="L5091" s="2"/>
      <c r="M5091" s="2"/>
      <c r="N5091" s="2"/>
      <c r="O5091" s="2"/>
      <c r="P5091" s="2"/>
      <c r="Q5091" s="2"/>
      <c r="R5091" s="2"/>
      <c r="S5091" s="2" t="s">
        <v>33341</v>
      </c>
      <c r="T5091" s="2" t="s">
        <v>33342</v>
      </c>
      <c r="U5091" s="2" t="s">
        <v>103</v>
      </c>
      <c r="V5091" s="2" t="s">
        <v>104</v>
      </c>
      <c r="W5091" s="2" t="s">
        <v>105</v>
      </c>
      <c r="X5091" s="2" t="s">
        <v>147</v>
      </c>
      <c r="Y5091" s="2">
        <v>40.700000000000003</v>
      </c>
      <c r="Z5091" s="2">
        <v>11.1</v>
      </c>
      <c r="AA5091" s="2" t="s">
        <v>163</v>
      </c>
      <c r="AB5091" s="2" t="s">
        <v>18159</v>
      </c>
      <c r="AC5091" s="2">
        <v>-2.4930056208417102</v>
      </c>
      <c r="AD5091" s="2"/>
      <c r="AE5091" s="2">
        <v>5.1087227689951498E-2</v>
      </c>
      <c r="AF5091" s="2">
        <v>1803.0490941601299</v>
      </c>
      <c r="AG5091" s="2">
        <v>1411.3139735105799</v>
      </c>
      <c r="AH5091" s="5">
        <v>1.2775676624777701</v>
      </c>
      <c r="AI5091" s="5">
        <v>0.353399701132454</v>
      </c>
      <c r="AJ5091" s="5" t="s">
        <v>139</v>
      </c>
      <c r="AK5091" s="2">
        <v>0.67498438795956295</v>
      </c>
      <c r="AL5091" s="2">
        <v>0.84259510330444198</v>
      </c>
      <c r="AM5091" s="2">
        <v>745.18119935037703</v>
      </c>
      <c r="AN5091" s="2">
        <v>1091.45632300648</v>
      </c>
      <c r="AO5091" s="2">
        <v>5253.8495366777197</v>
      </c>
      <c r="AP5091" s="2">
        <v>1166.6273708998599</v>
      </c>
      <c r="AQ5091" s="2">
        <v>1793.8509377606399</v>
      </c>
      <c r="AR5091" s="2">
        <v>767.32919726568298</v>
      </c>
      <c r="AS5091" s="2">
        <v>4189.1812526916701</v>
      </c>
      <c r="AT5091" s="2">
        <v>1354.1990392461901</v>
      </c>
      <c r="AU5091" s="2">
        <v>996.73216286978504</v>
      </c>
      <c r="AV5091" s="2">
        <v>602.87421913962896</v>
      </c>
      <c r="AW5091" s="2">
        <v>698.17756643162397</v>
      </c>
      <c r="AX5091" s="2">
        <v>626.71960068460101</v>
      </c>
    </row>
    <row r="5092" spans="1:50" x14ac:dyDescent="0.25">
      <c r="A5092" s="2" t="s">
        <v>33343</v>
      </c>
      <c r="B5092" s="2">
        <v>465.35874742396499</v>
      </c>
      <c r="C5092" s="2">
        <v>13.3257833333333</v>
      </c>
      <c r="D5092" s="2" t="s">
        <v>51</v>
      </c>
      <c r="E5092" s="2" t="s">
        <v>33344</v>
      </c>
      <c r="F5092" s="2">
        <v>204996</v>
      </c>
      <c r="G5092" s="3" t="str">
        <f>HYPERLINK("https://cloud.oebiotech.com/#/lm/network/204996", "https://cloud.oebiotech.com/#/lm/network/204996")</f>
        <v>https://cloud.oebiotech.com/#/lm/network/204996</v>
      </c>
      <c r="H5092" s="2" t="s">
        <v>33345</v>
      </c>
      <c r="I5092" s="2"/>
      <c r="J5092" s="2"/>
      <c r="K5092" s="2">
        <v>71440169</v>
      </c>
      <c r="L5092" s="2"/>
      <c r="M5092" s="2"/>
      <c r="N5092" s="2"/>
      <c r="O5092" s="2"/>
      <c r="P5092" s="2"/>
      <c r="Q5092" s="2"/>
      <c r="R5092" s="2"/>
      <c r="S5092" s="2" t="s">
        <v>33346</v>
      </c>
      <c r="T5092" s="2" t="s">
        <v>33347</v>
      </c>
      <c r="U5092" s="2" t="s">
        <v>56</v>
      </c>
      <c r="V5092" s="2" t="s">
        <v>283</v>
      </c>
      <c r="W5092" s="2" t="s">
        <v>2042</v>
      </c>
      <c r="X5092" s="2" t="s">
        <v>83</v>
      </c>
      <c r="Y5092" s="2">
        <v>52.3</v>
      </c>
      <c r="Z5092" s="2">
        <v>0</v>
      </c>
      <c r="AA5092" s="2" t="s">
        <v>218</v>
      </c>
      <c r="AB5092" s="2" t="s">
        <v>7874</v>
      </c>
      <c r="AC5092" s="2">
        <v>0.47377429160754903</v>
      </c>
      <c r="AD5092" s="2"/>
      <c r="AE5092" s="2">
        <v>5.1012006235920601E-2</v>
      </c>
      <c r="AF5092" s="2">
        <v>24510.905420114799</v>
      </c>
      <c r="AG5092" s="2">
        <v>22795.535401316301</v>
      </c>
      <c r="AH5092" s="5">
        <v>1.0752502623254701</v>
      </c>
      <c r="AI5092" s="5">
        <v>0.104672483252432</v>
      </c>
      <c r="AJ5092" s="5" t="s">
        <v>139</v>
      </c>
      <c r="AK5092" s="2">
        <v>0.78239985108715304</v>
      </c>
      <c r="AL5092" s="2">
        <v>0.90442132319011403</v>
      </c>
      <c r="AM5092" s="2">
        <v>19168.567967885901</v>
      </c>
      <c r="AN5092" s="2">
        <v>19350.3917349689</v>
      </c>
      <c r="AO5092" s="2">
        <v>20523.036767354399</v>
      </c>
      <c r="AP5092" s="2">
        <v>40364.3808184179</v>
      </c>
      <c r="AQ5092" s="2">
        <v>30908.323940924802</v>
      </c>
      <c r="AR5092" s="2">
        <v>16750.731291136901</v>
      </c>
      <c r="AS5092" s="2">
        <v>11360.751211694</v>
      </c>
      <c r="AT5092" s="2">
        <v>34409.834215043702</v>
      </c>
      <c r="AU5092" s="2">
        <v>17282.300575332301</v>
      </c>
      <c r="AV5092" s="2">
        <v>9240.8225726867495</v>
      </c>
      <c r="AW5092" s="2">
        <v>34958.106604891102</v>
      </c>
      <c r="AX5092" s="2">
        <v>29521.39722825</v>
      </c>
    </row>
    <row r="5093" spans="1:50" x14ac:dyDescent="0.25">
      <c r="A5093" s="2" t="s">
        <v>33348</v>
      </c>
      <c r="B5093" s="2">
        <v>358.29623600903102</v>
      </c>
      <c r="C5093" s="2">
        <v>9.7668833333333307</v>
      </c>
      <c r="D5093" s="2" t="s">
        <v>51</v>
      </c>
      <c r="E5093" s="2" t="s">
        <v>33349</v>
      </c>
      <c r="F5093" s="2">
        <v>3691</v>
      </c>
      <c r="G5093" s="3" t="str">
        <f>HYPERLINK("https://cloud.oebiotech.com/#/lm/network/3691", "https://cloud.oebiotech.com/#/lm/network/3691")</f>
        <v>https://cloud.oebiotech.com/#/lm/network/3691</v>
      </c>
      <c r="H5093" s="2"/>
      <c r="I5093" s="2"/>
      <c r="J5093" s="2" t="s">
        <v>33350</v>
      </c>
      <c r="K5093" s="2">
        <v>5283069</v>
      </c>
      <c r="L5093" s="2"/>
      <c r="M5093" s="2"/>
      <c r="N5093" s="2"/>
      <c r="O5093" s="2"/>
      <c r="P5093" s="2"/>
      <c r="Q5093" s="2"/>
      <c r="R5093" s="2"/>
      <c r="S5093" s="2" t="s">
        <v>33351</v>
      </c>
      <c r="T5093" s="2" t="s">
        <v>33352</v>
      </c>
      <c r="U5093" s="2" t="s">
        <v>56</v>
      </c>
      <c r="V5093" s="2" t="s">
        <v>145</v>
      </c>
      <c r="W5093" s="2" t="s">
        <v>187</v>
      </c>
      <c r="X5093" s="2" t="s">
        <v>83</v>
      </c>
      <c r="Y5093" s="2">
        <v>39.799999999999997</v>
      </c>
      <c r="Z5093" s="2">
        <v>0</v>
      </c>
      <c r="AA5093" s="2" t="s">
        <v>512</v>
      </c>
      <c r="AB5093" s="2" t="s">
        <v>33353</v>
      </c>
      <c r="AC5093" s="2">
        <v>3.0883502980172799</v>
      </c>
      <c r="AD5093" s="2"/>
      <c r="AE5093" s="2">
        <v>5.0937090785369801E-2</v>
      </c>
      <c r="AF5093" s="2">
        <v>1910.9973443295401</v>
      </c>
      <c r="AG5093" s="2">
        <v>1712.9958210330101</v>
      </c>
      <c r="AH5093" s="5">
        <v>1.11558786125767</v>
      </c>
      <c r="AI5093" s="5">
        <v>0.157804141559681</v>
      </c>
      <c r="AJ5093" s="5" t="s">
        <v>139</v>
      </c>
      <c r="AK5093" s="2">
        <v>0.79933095604288695</v>
      </c>
      <c r="AL5093" s="2">
        <v>0.90954932814260703</v>
      </c>
      <c r="AM5093" s="2">
        <v>1510.7027786270201</v>
      </c>
      <c r="AN5093" s="2">
        <v>3748.0732685816101</v>
      </c>
      <c r="AO5093" s="2">
        <v>2939.8017857090599</v>
      </c>
      <c r="AP5093" s="2">
        <v>8.559877937157E-6</v>
      </c>
      <c r="AQ5093" s="2">
        <v>1614.4827068429399</v>
      </c>
      <c r="AR5093" s="2">
        <v>1652.9235176567099</v>
      </c>
      <c r="AS5093" s="2">
        <v>1590.9768264872801</v>
      </c>
      <c r="AT5093" s="2">
        <v>179.840740779664</v>
      </c>
      <c r="AU5093" s="2">
        <v>3334.0439914071198</v>
      </c>
      <c r="AV5093" s="2">
        <v>759.78567654957703</v>
      </c>
      <c r="AW5093" s="2">
        <v>3317.0669933276599</v>
      </c>
      <c r="AX5093" s="2">
        <v>1096.26069764673</v>
      </c>
    </row>
    <row r="5094" spans="1:50" x14ac:dyDescent="0.25">
      <c r="A5094" s="2" t="s">
        <v>33354</v>
      </c>
      <c r="B5094" s="2">
        <v>178.011508890774</v>
      </c>
      <c r="C5094" s="2">
        <v>5.8581000000000003</v>
      </c>
      <c r="D5094" s="2" t="s">
        <v>51</v>
      </c>
      <c r="E5094" s="2" t="s">
        <v>33355</v>
      </c>
      <c r="F5094" s="2">
        <v>48001</v>
      </c>
      <c r="G5094" s="3" t="str">
        <f>HYPERLINK("https://cloud.oebiotech.com/#/lm/network/48001", "https://cloud.oebiotech.com/#/lm/network/48001")</f>
        <v>https://cloud.oebiotech.com/#/lm/network/48001</v>
      </c>
      <c r="H5094" s="2" t="s">
        <v>33356</v>
      </c>
      <c r="I5094" s="2">
        <v>58136</v>
      </c>
      <c r="J5094" s="2"/>
      <c r="K5094" s="2">
        <v>3505109</v>
      </c>
      <c r="L5094" s="2" t="s">
        <v>33357</v>
      </c>
      <c r="M5094" s="2"/>
      <c r="N5094" s="2"/>
      <c r="O5094" s="2">
        <v>16318</v>
      </c>
      <c r="P5094" s="2"/>
      <c r="Q5094" s="2"/>
      <c r="R5094" s="2" t="s">
        <v>33358</v>
      </c>
      <c r="S5094" s="2" t="s">
        <v>33359</v>
      </c>
      <c r="T5094" s="2" t="s">
        <v>33360</v>
      </c>
      <c r="U5094" s="2" t="s">
        <v>610</v>
      </c>
      <c r="V5094" s="2" t="s">
        <v>895</v>
      </c>
      <c r="W5094" s="2" t="s">
        <v>5799</v>
      </c>
      <c r="X5094" s="2" t="s">
        <v>147</v>
      </c>
      <c r="Y5094" s="2">
        <v>37.799999999999997</v>
      </c>
      <c r="Z5094" s="2">
        <v>0</v>
      </c>
      <c r="AA5094" s="2" t="s">
        <v>95</v>
      </c>
      <c r="AB5094" s="2" t="s">
        <v>33361</v>
      </c>
      <c r="AC5094" s="2">
        <v>2.7774624181926102</v>
      </c>
      <c r="AD5094" s="2"/>
      <c r="AE5094" s="2">
        <v>5.0832077020366698E-2</v>
      </c>
      <c r="AF5094" s="2">
        <v>207.470678707898</v>
      </c>
      <c r="AG5094" s="2">
        <v>271.70491612611102</v>
      </c>
      <c r="AH5094" s="4">
        <v>0.76358824001403602</v>
      </c>
      <c r="AI5094" s="4">
        <v>-0.38913321085174202</v>
      </c>
      <c r="AJ5094" s="4" t="s">
        <v>62</v>
      </c>
      <c r="AK5094" s="2">
        <v>0.16225950169182701</v>
      </c>
      <c r="AL5094" s="2">
        <v>0.48399353100485398</v>
      </c>
      <c r="AM5094" s="2">
        <v>136.137941871793</v>
      </c>
      <c r="AN5094" s="2">
        <v>149.497630794092</v>
      </c>
      <c r="AO5094" s="2">
        <v>169.08054020514899</v>
      </c>
      <c r="AP5094" s="2">
        <v>383.48509380867802</v>
      </c>
      <c r="AQ5094" s="2">
        <v>184.19989325488999</v>
      </c>
      <c r="AR5094" s="2">
        <v>222.422972312788</v>
      </c>
      <c r="AS5094" s="2">
        <v>227.836331675504</v>
      </c>
      <c r="AT5094" s="2">
        <v>281.13950898935099</v>
      </c>
      <c r="AU5094" s="2">
        <v>226.058884223256</v>
      </c>
      <c r="AV5094" s="2">
        <v>256.51651409292202</v>
      </c>
      <c r="AW5094" s="2">
        <v>363.121802885325</v>
      </c>
      <c r="AX5094" s="2">
        <v>275.55645489030798</v>
      </c>
    </row>
    <row r="5095" spans="1:50" x14ac:dyDescent="0.25">
      <c r="A5095" s="2" t="s">
        <v>33362</v>
      </c>
      <c r="B5095" s="2">
        <v>138.05531448275801</v>
      </c>
      <c r="C5095" s="2">
        <v>1.9114500000000001</v>
      </c>
      <c r="D5095" s="2" t="s">
        <v>51</v>
      </c>
      <c r="E5095" s="2" t="s">
        <v>33363</v>
      </c>
      <c r="F5095" s="2">
        <v>47698</v>
      </c>
      <c r="G5095" s="3" t="str">
        <f>HYPERLINK("https://cloud.oebiotech.com/#/lm/network/47698", "https://cloud.oebiotech.com/#/lm/network/47698")</f>
        <v>https://cloud.oebiotech.com/#/lm/network/47698</v>
      </c>
      <c r="H5095" s="2" t="s">
        <v>33364</v>
      </c>
      <c r="I5095" s="2">
        <v>6501</v>
      </c>
      <c r="J5095" s="2"/>
      <c r="K5095" s="2">
        <v>7419</v>
      </c>
      <c r="L5095" s="2"/>
      <c r="M5095" s="2"/>
      <c r="N5095" s="2"/>
      <c r="O5095" s="2">
        <v>42682</v>
      </c>
      <c r="P5095" s="2"/>
      <c r="Q5095" s="2"/>
      <c r="R5095" s="2" t="s">
        <v>33365</v>
      </c>
      <c r="S5095" s="2" t="s">
        <v>33366</v>
      </c>
      <c r="T5095" s="2" t="s">
        <v>33367</v>
      </c>
      <c r="U5095" s="2" t="s">
        <v>610</v>
      </c>
      <c r="V5095" s="2" t="s">
        <v>611</v>
      </c>
      <c r="W5095" s="2" t="s">
        <v>1122</v>
      </c>
      <c r="X5095" s="2" t="s">
        <v>83</v>
      </c>
      <c r="Y5095" s="2">
        <v>41.8</v>
      </c>
      <c r="Z5095" s="2">
        <v>8.43</v>
      </c>
      <c r="AA5095" s="2" t="s">
        <v>259</v>
      </c>
      <c r="AB5095" s="2" t="s">
        <v>28582</v>
      </c>
      <c r="AC5095" s="2">
        <v>2.6237755514854499</v>
      </c>
      <c r="AD5095" s="2"/>
      <c r="AE5095" s="2">
        <v>5.0814599052135E-2</v>
      </c>
      <c r="AF5095" s="2">
        <v>3982.5641878544898</v>
      </c>
      <c r="AG5095" s="2">
        <v>4669.4989634766298</v>
      </c>
      <c r="AH5095" s="4">
        <v>0.85288897567059396</v>
      </c>
      <c r="AI5095" s="4">
        <v>-0.22957014311436499</v>
      </c>
      <c r="AJ5095" s="4" t="s">
        <v>62</v>
      </c>
      <c r="AK5095" s="2">
        <v>0.73629821045241595</v>
      </c>
      <c r="AL5095" s="2">
        <v>0.87881973169046002</v>
      </c>
      <c r="AM5095" s="2">
        <v>8189.0722605258597</v>
      </c>
      <c r="AN5095" s="2">
        <v>2730.5030566888699</v>
      </c>
      <c r="AO5095" s="2">
        <v>2606.32156006371</v>
      </c>
      <c r="AP5095" s="2">
        <v>2865.64783974903</v>
      </c>
      <c r="AQ5095" s="2">
        <v>5161.22143372751</v>
      </c>
      <c r="AR5095" s="2">
        <v>2342.6189763719399</v>
      </c>
      <c r="AS5095" s="2">
        <v>13357.3260630394</v>
      </c>
      <c r="AT5095" s="2">
        <v>3734.30040672309</v>
      </c>
      <c r="AU5095" s="2">
        <v>2957.0083060096599</v>
      </c>
      <c r="AV5095" s="2">
        <v>2447.1039516127598</v>
      </c>
      <c r="AW5095" s="2">
        <v>2594.7834353134699</v>
      </c>
      <c r="AX5095" s="2">
        <v>2926.4716181614199</v>
      </c>
    </row>
    <row r="5096" spans="1:50" x14ac:dyDescent="0.25">
      <c r="A5096" s="2" t="s">
        <v>33368</v>
      </c>
      <c r="B5096" s="2">
        <v>336.159781754042</v>
      </c>
      <c r="C5096" s="2">
        <v>8.0030333333333292</v>
      </c>
      <c r="D5096" s="2" t="s">
        <v>51</v>
      </c>
      <c r="E5096" s="2" t="s">
        <v>33369</v>
      </c>
      <c r="F5096" s="2">
        <v>516486</v>
      </c>
      <c r="G5096" s="3" t="str">
        <f>HYPERLINK("https://cloud.oebiotech.com/#/lm/network/516486", "https://cloud.oebiotech.com/#/lm/network/516486")</f>
        <v>https://cloud.oebiotech.com/#/lm/network/516486</v>
      </c>
      <c r="H5096" s="2"/>
      <c r="I5096" s="2">
        <v>96591</v>
      </c>
      <c r="J5096" s="2"/>
      <c r="K5096" s="2">
        <v>89973121</v>
      </c>
      <c r="L5096" s="2"/>
      <c r="M5096" s="2"/>
      <c r="N5096" s="2"/>
      <c r="O5096" s="2"/>
      <c r="P5096" s="2"/>
      <c r="Q5096" s="2"/>
      <c r="R5096" s="2"/>
      <c r="S5096" s="2" t="s">
        <v>33370</v>
      </c>
      <c r="T5096" s="2" t="s">
        <v>33371</v>
      </c>
      <c r="U5096" s="2" t="s">
        <v>266</v>
      </c>
      <c r="V5096" s="2" t="s">
        <v>445</v>
      </c>
      <c r="W5096" s="2" t="s">
        <v>6766</v>
      </c>
      <c r="X5096" s="2" t="s">
        <v>83</v>
      </c>
      <c r="Y5096" s="2">
        <v>42.9</v>
      </c>
      <c r="Z5096" s="2">
        <v>0</v>
      </c>
      <c r="AA5096" s="2" t="s">
        <v>163</v>
      </c>
      <c r="AB5096" s="2" t="s">
        <v>6441</v>
      </c>
      <c r="AC5096" s="2">
        <v>-2.1811544928888802</v>
      </c>
      <c r="AD5096" s="2"/>
      <c r="AE5096" s="2">
        <v>5.0788246247516697E-2</v>
      </c>
      <c r="AF5096" s="2">
        <v>711.73800958791401</v>
      </c>
      <c r="AG5096" s="2">
        <v>1118.0826140435199</v>
      </c>
      <c r="AH5096" s="4">
        <v>0.63657014307192195</v>
      </c>
      <c r="AI5096" s="4">
        <v>-0.65160860277720301</v>
      </c>
      <c r="AJ5096" s="4" t="s">
        <v>62</v>
      </c>
      <c r="AK5096" s="2">
        <v>0.54338011736580805</v>
      </c>
      <c r="AL5096" s="2">
        <v>0.76755835279581297</v>
      </c>
      <c r="AM5096" s="2">
        <v>1193.9018969978099</v>
      </c>
      <c r="AN5096" s="2">
        <v>8.559877937157E-6</v>
      </c>
      <c r="AO5096" s="2">
        <v>107.55041001590401</v>
      </c>
      <c r="AP5096" s="2">
        <v>1056.2816832828901</v>
      </c>
      <c r="AQ5096" s="2">
        <v>518.83667133255994</v>
      </c>
      <c r="AR5096" s="2">
        <v>1393.85738733844</v>
      </c>
      <c r="AS5096" s="2">
        <v>1105.85114885743</v>
      </c>
      <c r="AT5096" s="2">
        <v>3732.7977314589798</v>
      </c>
      <c r="AU5096" s="2">
        <v>102.382827811084</v>
      </c>
      <c r="AV5096" s="2">
        <v>8.559877937157E-6</v>
      </c>
      <c r="AW5096" s="2">
        <v>1767.46395901389</v>
      </c>
      <c r="AX5096" s="2">
        <v>8.559877937157E-6</v>
      </c>
    </row>
    <row r="5097" spans="1:50" x14ac:dyDescent="0.25">
      <c r="A5097" s="2" t="s">
        <v>33372</v>
      </c>
      <c r="B5097" s="2">
        <v>303.05444710606798</v>
      </c>
      <c r="C5097" s="2">
        <v>4.75423333333333</v>
      </c>
      <c r="D5097" s="2" t="s">
        <v>51</v>
      </c>
      <c r="E5097" s="2" t="s">
        <v>33373</v>
      </c>
      <c r="F5097" s="2">
        <v>199135</v>
      </c>
      <c r="G5097" s="3" t="str">
        <f>HYPERLINK("https://cloud.oebiotech.com/#/lm/network/199135", "https://cloud.oebiotech.com/#/lm/network/199135")</f>
        <v>https://cloud.oebiotech.com/#/lm/network/199135</v>
      </c>
      <c r="H5097" s="2" t="s">
        <v>33374</v>
      </c>
      <c r="I5097" s="2"/>
      <c r="J5097" s="2"/>
      <c r="K5097" s="2">
        <v>160729</v>
      </c>
      <c r="L5097" s="2"/>
      <c r="M5097" s="2"/>
      <c r="N5097" s="2"/>
      <c r="O5097" s="2"/>
      <c r="P5097" s="2"/>
      <c r="Q5097" s="2"/>
      <c r="R5097" s="2"/>
      <c r="S5097" s="2" t="s">
        <v>33375</v>
      </c>
      <c r="T5097" s="2" t="s">
        <v>33376</v>
      </c>
      <c r="U5097" s="2" t="s">
        <v>610</v>
      </c>
      <c r="V5097" s="2" t="s">
        <v>611</v>
      </c>
      <c r="W5097" s="2" t="s">
        <v>5656</v>
      </c>
      <c r="X5097" s="2" t="s">
        <v>147</v>
      </c>
      <c r="Y5097" s="2">
        <v>36.5</v>
      </c>
      <c r="Z5097" s="2">
        <v>0</v>
      </c>
      <c r="AA5097" s="2" t="s">
        <v>379</v>
      </c>
      <c r="AB5097" s="2" t="s">
        <v>33377</v>
      </c>
      <c r="AC5097" s="2">
        <v>-3.9982179495435002</v>
      </c>
      <c r="AD5097" s="2"/>
      <c r="AE5097" s="2">
        <v>5.0761617464948401E-2</v>
      </c>
      <c r="AF5097" s="2">
        <v>1515.8154121140501</v>
      </c>
      <c r="AG5097" s="2">
        <v>1194.6966606256501</v>
      </c>
      <c r="AH5097" s="5">
        <v>1.26878684947545</v>
      </c>
      <c r="AI5097" s="5">
        <v>0.34344972321089701</v>
      </c>
      <c r="AJ5097" s="5" t="s">
        <v>139</v>
      </c>
      <c r="AK5097" s="2">
        <v>0.68678657923947595</v>
      </c>
      <c r="AL5097" s="2">
        <v>0.84911535213343803</v>
      </c>
      <c r="AM5097" s="2">
        <v>2027.3912611278299</v>
      </c>
      <c r="AN5097" s="2">
        <v>235.95352142679599</v>
      </c>
      <c r="AO5097" s="2">
        <v>938.66151917370803</v>
      </c>
      <c r="AP5097" s="2">
        <v>8.559877937157E-6</v>
      </c>
      <c r="AQ5097" s="2">
        <v>920.95663741713804</v>
      </c>
      <c r="AR5097" s="2">
        <v>4971.9295249789402</v>
      </c>
      <c r="AS5097" s="2">
        <v>1682.39286831857</v>
      </c>
      <c r="AT5097" s="2">
        <v>923.77164723128794</v>
      </c>
      <c r="AU5097" s="2">
        <v>1831.6404145834899</v>
      </c>
      <c r="AV5097" s="2">
        <v>647.23387936680297</v>
      </c>
      <c r="AW5097" s="2">
        <v>1207.2431398016099</v>
      </c>
      <c r="AX5097" s="2">
        <v>875.89801445211504</v>
      </c>
    </row>
    <row r="5098" spans="1:50" x14ac:dyDescent="0.25">
      <c r="A5098" s="2" t="s">
        <v>33378</v>
      </c>
      <c r="B5098" s="2">
        <v>629.35448500089694</v>
      </c>
      <c r="C5098" s="2">
        <v>6.1623999999999999</v>
      </c>
      <c r="D5098" s="2" t="s">
        <v>51</v>
      </c>
      <c r="E5098" s="2" t="s">
        <v>33379</v>
      </c>
      <c r="F5098" s="2">
        <v>61770</v>
      </c>
      <c r="G5098" s="3" t="str">
        <f>HYPERLINK("https://cloud.oebiotech.com/#/lm/network/61770", "https://cloud.oebiotech.com/#/lm/network/61770")</f>
        <v>https://cloud.oebiotech.com/#/lm/network/61770</v>
      </c>
      <c r="H5098" s="2" t="s">
        <v>33380</v>
      </c>
      <c r="I5098" s="2">
        <v>93086</v>
      </c>
      <c r="J5098" s="2"/>
      <c r="K5098" s="2">
        <v>131752351</v>
      </c>
      <c r="L5098" s="2"/>
      <c r="M5098" s="2"/>
      <c r="N5098" s="2"/>
      <c r="O5098" s="2"/>
      <c r="P5098" s="2"/>
      <c r="Q5098" s="2"/>
      <c r="R5098" s="2"/>
      <c r="S5098" s="2" t="s">
        <v>33381</v>
      </c>
      <c r="T5098" s="2" t="s">
        <v>33382</v>
      </c>
      <c r="U5098" s="2" t="s">
        <v>56</v>
      </c>
      <c r="V5098" s="2" t="s">
        <v>177</v>
      </c>
      <c r="W5098" s="2" t="s">
        <v>394</v>
      </c>
      <c r="X5098" s="2" t="s">
        <v>147</v>
      </c>
      <c r="Y5098" s="2">
        <v>37.200000000000003</v>
      </c>
      <c r="Z5098" s="2">
        <v>0</v>
      </c>
      <c r="AA5098" s="2" t="s">
        <v>163</v>
      </c>
      <c r="AB5098" s="2" t="s">
        <v>33383</v>
      </c>
      <c r="AC5098" s="2">
        <v>0.37163815827122199</v>
      </c>
      <c r="AD5098" s="2"/>
      <c r="AE5098" s="2">
        <v>5.0748973511774202E-2</v>
      </c>
      <c r="AF5098" s="2">
        <v>703.88238315442698</v>
      </c>
      <c r="AG5098" s="2">
        <v>867.79274787621898</v>
      </c>
      <c r="AH5098" s="4">
        <v>0.81111807499781996</v>
      </c>
      <c r="AI5098" s="4">
        <v>-0.30201615108044799</v>
      </c>
      <c r="AJ5098" s="4" t="s">
        <v>62</v>
      </c>
      <c r="AK5098" s="2">
        <v>0.63562016007083599</v>
      </c>
      <c r="AL5098" s="2">
        <v>0.82125721226127402</v>
      </c>
      <c r="AM5098" s="2">
        <v>238.23602430660799</v>
      </c>
      <c r="AN5098" s="2">
        <v>270.81258027770502</v>
      </c>
      <c r="AO5098" s="2">
        <v>578.79952193741894</v>
      </c>
      <c r="AP5098" s="2">
        <v>1864.3594621828399</v>
      </c>
      <c r="AQ5098" s="2">
        <v>932.58344880727395</v>
      </c>
      <c r="AR5098" s="2">
        <v>338.503261414718</v>
      </c>
      <c r="AS5098" s="2">
        <v>8.559877937157E-6</v>
      </c>
      <c r="AT5098" s="2">
        <v>1581.8002312679901</v>
      </c>
      <c r="AU5098" s="2">
        <v>779.94503192168304</v>
      </c>
      <c r="AV5098" s="2">
        <v>1206.1455274110999</v>
      </c>
      <c r="AW5098" s="2">
        <v>690.86572618085404</v>
      </c>
      <c r="AX5098" s="2">
        <v>947.99996191580897</v>
      </c>
    </row>
    <row r="5099" spans="1:50" x14ac:dyDescent="0.25">
      <c r="A5099" s="2" t="s">
        <v>33384</v>
      </c>
      <c r="B5099" s="2">
        <v>497.28896822240398</v>
      </c>
      <c r="C5099" s="2">
        <v>10.72105</v>
      </c>
      <c r="D5099" s="2" t="s">
        <v>51</v>
      </c>
      <c r="E5099" s="2" t="s">
        <v>33385</v>
      </c>
      <c r="F5099" s="2">
        <v>205704</v>
      </c>
      <c r="G5099" s="3" t="str">
        <f>HYPERLINK("https://cloud.oebiotech.com/#/lm/network/205704", "https://cloud.oebiotech.com/#/lm/network/205704")</f>
        <v>https://cloud.oebiotech.com/#/lm/network/205704</v>
      </c>
      <c r="H5099" s="2" t="s">
        <v>33386</v>
      </c>
      <c r="I5099" s="2">
        <v>2103</v>
      </c>
      <c r="J5099" s="2"/>
      <c r="K5099" s="2">
        <v>155689</v>
      </c>
      <c r="L5099" s="2"/>
      <c r="M5099" s="2"/>
      <c r="N5099" s="2"/>
      <c r="O5099" s="2"/>
      <c r="P5099" s="2"/>
      <c r="Q5099" s="2"/>
      <c r="R5099" s="2" t="s">
        <v>33387</v>
      </c>
      <c r="S5099" s="2" t="s">
        <v>33388</v>
      </c>
      <c r="T5099" s="2" t="s">
        <v>33389</v>
      </c>
      <c r="U5099" s="2" t="s">
        <v>610</v>
      </c>
      <c r="V5099" s="2" t="s">
        <v>611</v>
      </c>
      <c r="W5099" s="2" t="s">
        <v>1122</v>
      </c>
      <c r="X5099" s="2" t="s">
        <v>147</v>
      </c>
      <c r="Y5099" s="2">
        <v>39.200000000000003</v>
      </c>
      <c r="Z5099" s="2">
        <v>0</v>
      </c>
      <c r="AA5099" s="2" t="s">
        <v>478</v>
      </c>
      <c r="AB5099" s="2" t="s">
        <v>33390</v>
      </c>
      <c r="AC5099" s="2">
        <v>1.58726855343944</v>
      </c>
      <c r="AD5099" s="2"/>
      <c r="AE5099" s="2">
        <v>5.07387886699322E-2</v>
      </c>
      <c r="AF5099" s="2">
        <v>2269.2849290905201</v>
      </c>
      <c r="AG5099" s="2">
        <v>1888.49611977726</v>
      </c>
      <c r="AH5099" s="5">
        <v>1.20163600302138</v>
      </c>
      <c r="AI5099" s="5">
        <v>0.26499994416510803</v>
      </c>
      <c r="AJ5099" s="5" t="s">
        <v>139</v>
      </c>
      <c r="AK5099" s="2">
        <v>0.66244922331448897</v>
      </c>
      <c r="AL5099" s="2">
        <v>0.83663677386975799</v>
      </c>
      <c r="AM5099" s="2">
        <v>699.06084889765498</v>
      </c>
      <c r="AN5099" s="2">
        <v>2393.2463801231502</v>
      </c>
      <c r="AO5099" s="2">
        <v>2362.8128321461299</v>
      </c>
      <c r="AP5099" s="2">
        <v>1161.08184825492</v>
      </c>
      <c r="AQ5099" s="2">
        <v>5116.5136905378904</v>
      </c>
      <c r="AR5099" s="2">
        <v>1882.9939745833899</v>
      </c>
      <c r="AS5099" s="2">
        <v>3516.9305703820501</v>
      </c>
      <c r="AT5099" s="2">
        <v>3666.0189527249699</v>
      </c>
      <c r="AU5099" s="2">
        <v>974.08068074917196</v>
      </c>
      <c r="AV5099" s="2">
        <v>323.06582668716999</v>
      </c>
      <c r="AW5099" s="2">
        <v>1417.6705762849101</v>
      </c>
      <c r="AX5099" s="2">
        <v>1433.21011183528</v>
      </c>
    </row>
    <row r="5100" spans="1:50" x14ac:dyDescent="0.25">
      <c r="A5100" s="2" t="s">
        <v>33391</v>
      </c>
      <c r="B5100" s="2">
        <v>369.03498500052802</v>
      </c>
      <c r="C5100" s="2">
        <v>8.7919833333333308</v>
      </c>
      <c r="D5100" s="2" t="s">
        <v>51</v>
      </c>
      <c r="E5100" s="2" t="s">
        <v>33392</v>
      </c>
      <c r="F5100" s="2">
        <v>203053</v>
      </c>
      <c r="G5100" s="3" t="str">
        <f>HYPERLINK("https://cloud.oebiotech.com/#/lm/network/203053", "https://cloud.oebiotech.com/#/lm/network/203053")</f>
        <v>https://cloud.oebiotech.com/#/lm/network/203053</v>
      </c>
      <c r="H5100" s="2" t="s">
        <v>33393</v>
      </c>
      <c r="I5100" s="2"/>
      <c r="J5100" s="2"/>
      <c r="K5100" s="2"/>
      <c r="L5100" s="2"/>
      <c r="M5100" s="2"/>
      <c r="N5100" s="2"/>
      <c r="O5100" s="2"/>
      <c r="P5100" s="2"/>
      <c r="Q5100" s="2"/>
      <c r="R5100" s="2"/>
      <c r="S5100" s="2" t="s">
        <v>33394</v>
      </c>
      <c r="T5100" s="2" t="s">
        <v>33395</v>
      </c>
      <c r="U5100" s="2" t="s">
        <v>295</v>
      </c>
      <c r="V5100" s="2" t="s">
        <v>296</v>
      </c>
      <c r="W5100" s="2" t="s">
        <v>3973</v>
      </c>
      <c r="X5100" s="2" t="s">
        <v>147</v>
      </c>
      <c r="Y5100" s="2">
        <v>38.799999999999997</v>
      </c>
      <c r="Z5100" s="2">
        <v>0</v>
      </c>
      <c r="AA5100" s="2" t="s">
        <v>218</v>
      </c>
      <c r="AB5100" s="2" t="s">
        <v>23409</v>
      </c>
      <c r="AC5100" s="2">
        <v>2.82529828533188</v>
      </c>
      <c r="AD5100" s="2"/>
      <c r="AE5100" s="2">
        <v>5.0729043740183902E-2</v>
      </c>
      <c r="AF5100" s="2">
        <v>3979.4950720724801</v>
      </c>
      <c r="AG5100" s="2">
        <v>4212.16589886564</v>
      </c>
      <c r="AH5100" s="4">
        <v>0.94476218829466696</v>
      </c>
      <c r="AI5100" s="4">
        <v>-8.1976869199058403E-2</v>
      </c>
      <c r="AJ5100" s="4" t="s">
        <v>62</v>
      </c>
      <c r="AK5100" s="2">
        <v>0.39136779697405999</v>
      </c>
      <c r="AL5100" s="2">
        <v>0.66528673878009803</v>
      </c>
      <c r="AM5100" s="2">
        <v>3903.6946916971501</v>
      </c>
      <c r="AN5100" s="2">
        <v>3619.5758292783598</v>
      </c>
      <c r="AO5100" s="2">
        <v>4208.2705399943097</v>
      </c>
      <c r="AP5100" s="2">
        <v>3922.3842220535898</v>
      </c>
      <c r="AQ5100" s="2">
        <v>4213.2971946842899</v>
      </c>
      <c r="AR5100" s="2">
        <v>4009.7479547271701</v>
      </c>
      <c r="AS5100" s="2">
        <v>4916.86019585943</v>
      </c>
      <c r="AT5100" s="2">
        <v>4624.3592269926703</v>
      </c>
      <c r="AU5100" s="2">
        <v>4592.93089987648</v>
      </c>
      <c r="AV5100" s="2">
        <v>4067.10045592706</v>
      </c>
      <c r="AW5100" s="2">
        <v>3413.93991845252</v>
      </c>
      <c r="AX5100" s="2">
        <v>3657.8046960857</v>
      </c>
    </row>
    <row r="5101" spans="1:50" x14ac:dyDescent="0.25">
      <c r="A5101" s="2" t="s">
        <v>33396</v>
      </c>
      <c r="B5101" s="2">
        <v>561.39181415312805</v>
      </c>
      <c r="C5101" s="2">
        <v>4.3619500000000002</v>
      </c>
      <c r="D5101" s="2" t="s">
        <v>51</v>
      </c>
      <c r="E5101" s="2" t="s">
        <v>33397</v>
      </c>
      <c r="F5101" s="2">
        <v>135369</v>
      </c>
      <c r="G5101" s="3" t="str">
        <f>HYPERLINK("https://cloud.oebiotech.com/#/lm/network/135369", "https://cloud.oebiotech.com/#/lm/network/135369")</f>
        <v>https://cloud.oebiotech.com/#/lm/network/135369</v>
      </c>
      <c r="H5101" s="2" t="s">
        <v>33398</v>
      </c>
      <c r="I5101" s="2"/>
      <c r="J5101" s="2"/>
      <c r="K5101" s="2">
        <v>131822348</v>
      </c>
      <c r="L5101" s="2"/>
      <c r="M5101" s="2"/>
      <c r="N5101" s="2"/>
      <c r="O5101" s="2"/>
      <c r="P5101" s="2"/>
      <c r="Q5101" s="2"/>
      <c r="R5101" s="2"/>
      <c r="S5101" s="2" t="s">
        <v>33399</v>
      </c>
      <c r="T5101" s="2" t="s">
        <v>33400</v>
      </c>
      <c r="U5101" s="2" t="s">
        <v>56</v>
      </c>
      <c r="V5101" s="2" t="s">
        <v>57</v>
      </c>
      <c r="W5101" s="2" t="s">
        <v>702</v>
      </c>
      <c r="X5101" s="2" t="s">
        <v>147</v>
      </c>
      <c r="Y5101" s="2">
        <v>37.700000000000003</v>
      </c>
      <c r="Z5101" s="2">
        <v>0</v>
      </c>
      <c r="AA5101" s="2" t="s">
        <v>156</v>
      </c>
      <c r="AB5101" s="2" t="s">
        <v>33401</v>
      </c>
      <c r="AC5101" s="2">
        <v>0.59980578073845003</v>
      </c>
      <c r="AD5101" s="2"/>
      <c r="AE5101" s="2">
        <v>5.0696468076704602E-2</v>
      </c>
      <c r="AF5101" s="2">
        <v>1518.6553772428399</v>
      </c>
      <c r="AG5101" s="2">
        <v>2348.6459733553702</v>
      </c>
      <c r="AH5101" s="4">
        <v>0.64660889485750195</v>
      </c>
      <c r="AI5101" s="4">
        <v>-0.62903474133838999</v>
      </c>
      <c r="AJ5101" s="4" t="s">
        <v>62</v>
      </c>
      <c r="AK5101" s="2">
        <v>0.59950868391119505</v>
      </c>
      <c r="AL5101" s="2">
        <v>0.79930003511807002</v>
      </c>
      <c r="AM5101" s="2">
        <v>821.91228570445901</v>
      </c>
      <c r="AN5101" s="2">
        <v>1127.9726525992501</v>
      </c>
      <c r="AO5101" s="2">
        <v>1561.7556964376299</v>
      </c>
      <c r="AP5101" s="2">
        <v>767.22839322289894</v>
      </c>
      <c r="AQ5101" s="2">
        <v>2106.0905029481</v>
      </c>
      <c r="AR5101" s="2">
        <v>2726.9727325447102</v>
      </c>
      <c r="AS5101" s="2">
        <v>596.20382908007798</v>
      </c>
      <c r="AT5101" s="2">
        <v>9797.2365566606295</v>
      </c>
      <c r="AU5101" s="2">
        <v>397.57275738708802</v>
      </c>
      <c r="AV5101" s="2">
        <v>1433.73322748995</v>
      </c>
      <c r="AW5101" s="2">
        <v>746.10286399837003</v>
      </c>
      <c r="AX5101" s="2">
        <v>1121.0266055161301</v>
      </c>
    </row>
    <row r="5102" spans="1:50" x14ac:dyDescent="0.25">
      <c r="A5102" s="2" t="s">
        <v>33402</v>
      </c>
      <c r="B5102" s="2">
        <v>153.05518227383899</v>
      </c>
      <c r="C5102" s="2">
        <v>1.3642000000000001</v>
      </c>
      <c r="D5102" s="2" t="s">
        <v>51</v>
      </c>
      <c r="E5102" s="2" t="s">
        <v>33403</v>
      </c>
      <c r="F5102" s="2">
        <v>256800</v>
      </c>
      <c r="G5102" s="3" t="str">
        <f>HYPERLINK("https://cloud.oebiotech.com/#/lm/network/256800", "https://cloud.oebiotech.com/#/lm/network/256800")</f>
        <v>https://cloud.oebiotech.com/#/lm/network/256800</v>
      </c>
      <c r="H5102" s="2" t="s">
        <v>33404</v>
      </c>
      <c r="I5102" s="2"/>
      <c r="J5102" s="2"/>
      <c r="K5102" s="2">
        <v>25200832</v>
      </c>
      <c r="L5102" s="2"/>
      <c r="M5102" s="2"/>
      <c r="N5102" s="2"/>
      <c r="O5102" s="2"/>
      <c r="P5102" s="2"/>
      <c r="Q5102" s="2"/>
      <c r="R5102" s="2"/>
      <c r="S5102" s="2" t="s">
        <v>33405</v>
      </c>
      <c r="T5102" s="2" t="s">
        <v>33406</v>
      </c>
      <c r="U5102" s="2" t="s">
        <v>266</v>
      </c>
      <c r="V5102" s="2" t="s">
        <v>10648</v>
      </c>
      <c r="W5102" s="2" t="s">
        <v>10649</v>
      </c>
      <c r="X5102" s="2" t="s">
        <v>147</v>
      </c>
      <c r="Y5102" s="2">
        <v>39.4</v>
      </c>
      <c r="Z5102" s="2">
        <v>0</v>
      </c>
      <c r="AA5102" s="2" t="s">
        <v>122</v>
      </c>
      <c r="AB5102" s="2" t="s">
        <v>33407</v>
      </c>
      <c r="AC5102" s="2">
        <v>8.5110022409553898E-2</v>
      </c>
      <c r="AD5102" s="2"/>
      <c r="AE5102" s="2">
        <v>5.0686882529549497E-2</v>
      </c>
      <c r="AF5102" s="2">
        <v>3680.64274012749</v>
      </c>
      <c r="AG5102" s="2">
        <v>3464.2626696540101</v>
      </c>
      <c r="AH5102" s="5">
        <v>1.06246064202028</v>
      </c>
      <c r="AI5102" s="5">
        <v>8.7409398790235598E-2</v>
      </c>
      <c r="AJ5102" s="5" t="s">
        <v>139</v>
      </c>
      <c r="AK5102" s="2">
        <v>0.44667582158005897</v>
      </c>
      <c r="AL5102" s="2">
        <v>0.70156464357693404</v>
      </c>
      <c r="AM5102" s="2">
        <v>3132.8729770130899</v>
      </c>
      <c r="AN5102" s="2">
        <v>3949.1293496267199</v>
      </c>
      <c r="AO5102" s="2">
        <v>3836.1544142631401</v>
      </c>
      <c r="AP5102" s="2">
        <v>3974.0377398151099</v>
      </c>
      <c r="AQ5102" s="2">
        <v>4049.40618072092</v>
      </c>
      <c r="AR5102" s="2">
        <v>3142.2557793259498</v>
      </c>
      <c r="AS5102" s="2">
        <v>3428.2806822299799</v>
      </c>
      <c r="AT5102" s="2">
        <v>4259.5178414222401</v>
      </c>
      <c r="AU5102" s="2">
        <v>2960.33247252814</v>
      </c>
      <c r="AV5102" s="2">
        <v>2912.9508964922202</v>
      </c>
      <c r="AW5102" s="2">
        <v>3830.1225922496801</v>
      </c>
      <c r="AX5102" s="2">
        <v>3394.3715330017799</v>
      </c>
    </row>
    <row r="5103" spans="1:50" x14ac:dyDescent="0.25">
      <c r="A5103" s="2" t="s">
        <v>33408</v>
      </c>
      <c r="B5103" s="2">
        <v>223.10845216702501</v>
      </c>
      <c r="C5103" s="2">
        <v>3.5446</v>
      </c>
      <c r="D5103" s="2" t="s">
        <v>51</v>
      </c>
      <c r="E5103" s="2" t="s">
        <v>33409</v>
      </c>
      <c r="F5103" s="2">
        <v>53876</v>
      </c>
      <c r="G5103" s="3" t="str">
        <f>HYPERLINK("https://cloud.oebiotech.com/#/lm/network/53876", "https://cloud.oebiotech.com/#/lm/network/53876")</f>
        <v>https://cloud.oebiotech.com/#/lm/network/53876</v>
      </c>
      <c r="H5103" s="2" t="s">
        <v>33410</v>
      </c>
      <c r="I5103" s="2"/>
      <c r="J5103" s="2"/>
      <c r="K5103" s="2">
        <v>97415</v>
      </c>
      <c r="L5103" s="2"/>
      <c r="M5103" s="2"/>
      <c r="N5103" s="2"/>
      <c r="O5103" s="2"/>
      <c r="P5103" s="2"/>
      <c r="Q5103" s="2"/>
      <c r="R5103" s="2"/>
      <c r="S5103" s="2" t="s">
        <v>33411</v>
      </c>
      <c r="T5103" s="2" t="s">
        <v>33412</v>
      </c>
      <c r="U5103" s="2" t="s">
        <v>103</v>
      </c>
      <c r="V5103" s="2" t="s">
        <v>104</v>
      </c>
      <c r="W5103" s="2" t="s">
        <v>105</v>
      </c>
      <c r="X5103" s="2" t="s">
        <v>69</v>
      </c>
      <c r="Y5103" s="2">
        <v>53.3</v>
      </c>
      <c r="Z5103" s="2">
        <v>68.2</v>
      </c>
      <c r="AA5103" s="2" t="s">
        <v>259</v>
      </c>
      <c r="AB5103" s="2" t="s">
        <v>18508</v>
      </c>
      <c r="AC5103" s="2">
        <v>3.3021895756188901</v>
      </c>
      <c r="AD5103" s="2"/>
      <c r="AE5103" s="2">
        <v>5.06123241721479E-2</v>
      </c>
      <c r="AF5103" s="2">
        <v>42248.508975550198</v>
      </c>
      <c r="AG5103" s="2">
        <v>41116.860362349398</v>
      </c>
      <c r="AH5103" s="5">
        <v>1.0275227389257799</v>
      </c>
      <c r="AI5103" s="5">
        <v>3.9170320887465297E-2</v>
      </c>
      <c r="AJ5103" s="5" t="s">
        <v>139</v>
      </c>
      <c r="AK5103" s="2">
        <v>0.92834230447742805</v>
      </c>
      <c r="AL5103" s="2">
        <v>0.96949309792128302</v>
      </c>
      <c r="AM5103" s="2">
        <v>32112.497354721199</v>
      </c>
      <c r="AN5103" s="2">
        <v>25661.792086536301</v>
      </c>
      <c r="AO5103" s="2">
        <v>59875.614865335199</v>
      </c>
      <c r="AP5103" s="2">
        <v>25236.4121245147</v>
      </c>
      <c r="AQ5103" s="2">
        <v>69904.550730591101</v>
      </c>
      <c r="AR5103" s="2">
        <v>40700.186691602801</v>
      </c>
      <c r="AS5103" s="2">
        <v>76954.399448063807</v>
      </c>
      <c r="AT5103" s="2">
        <v>32820.671016520297</v>
      </c>
      <c r="AU5103" s="2">
        <v>18612.982744070501</v>
      </c>
      <c r="AV5103" s="2">
        <v>52762.985214473199</v>
      </c>
      <c r="AW5103" s="2">
        <v>14920.7706176187</v>
      </c>
      <c r="AX5103" s="2">
        <v>50629.353133349898</v>
      </c>
    </row>
    <row r="5104" spans="1:50" x14ac:dyDescent="0.25">
      <c r="A5104" s="2" t="s">
        <v>33413</v>
      </c>
      <c r="B5104" s="2">
        <v>252.045687950896</v>
      </c>
      <c r="C5104" s="2">
        <v>2.0702500000000001</v>
      </c>
      <c r="D5104" s="2" t="s">
        <v>51</v>
      </c>
      <c r="E5104" s="2" t="s">
        <v>33414</v>
      </c>
      <c r="F5104" s="2">
        <v>207698</v>
      </c>
      <c r="G5104" s="3" t="str">
        <f>HYPERLINK("https://cloud.oebiotech.com/#/lm/network/207698", "https://cloud.oebiotech.com/#/lm/network/207698")</f>
        <v>https://cloud.oebiotech.com/#/lm/network/207698</v>
      </c>
      <c r="H5104" s="2" t="s">
        <v>33415</v>
      </c>
      <c r="I5104" s="2"/>
      <c r="J5104" s="2"/>
      <c r="K5104" s="2">
        <v>129941</v>
      </c>
      <c r="L5104" s="2"/>
      <c r="M5104" s="2"/>
      <c r="N5104" s="2"/>
      <c r="O5104" s="2"/>
      <c r="P5104" s="2"/>
      <c r="Q5104" s="2"/>
      <c r="R5104" s="2"/>
      <c r="S5104" s="2" t="s">
        <v>33416</v>
      </c>
      <c r="T5104" s="2" t="s">
        <v>33417</v>
      </c>
      <c r="U5104" s="2" t="s">
        <v>266</v>
      </c>
      <c r="V5104" s="2" t="s">
        <v>2143</v>
      </c>
      <c r="W5104" s="2" t="s">
        <v>240</v>
      </c>
      <c r="X5104" s="2" t="s">
        <v>147</v>
      </c>
      <c r="Y5104" s="2">
        <v>40.6</v>
      </c>
      <c r="Z5104" s="2">
        <v>17.399999999999999</v>
      </c>
      <c r="AA5104" s="2" t="s">
        <v>218</v>
      </c>
      <c r="AB5104" s="2" t="s">
        <v>33418</v>
      </c>
      <c r="AC5104" s="2">
        <v>4.1157795895166398</v>
      </c>
      <c r="AD5104" s="2"/>
      <c r="AE5104" s="2">
        <v>5.0587399578691301E-2</v>
      </c>
      <c r="AF5104" s="2">
        <v>9352.8384957076705</v>
      </c>
      <c r="AG5104" s="2">
        <v>9397.07931113417</v>
      </c>
      <c r="AH5104" s="4">
        <v>0.99529206746461296</v>
      </c>
      <c r="AI5104" s="4">
        <v>-6.8081496810356596E-3</v>
      </c>
      <c r="AJ5104" s="4" t="s">
        <v>62</v>
      </c>
      <c r="AK5104" s="2">
        <v>0.97914580726529499</v>
      </c>
      <c r="AL5104" s="2">
        <v>0.99133503713063797</v>
      </c>
      <c r="AM5104" s="2">
        <v>9550.1796351291196</v>
      </c>
      <c r="AN5104" s="2">
        <v>8227.4858620344403</v>
      </c>
      <c r="AO5104" s="2">
        <v>6273.1377193464896</v>
      </c>
      <c r="AP5104" s="2">
        <v>10712.6223890777</v>
      </c>
      <c r="AQ5104" s="2">
        <v>12897.034130325201</v>
      </c>
      <c r="AR5104" s="2">
        <v>8456.5712383330902</v>
      </c>
      <c r="AS5104" s="2">
        <v>5641.8553438966101</v>
      </c>
      <c r="AT5104" s="2">
        <v>5664.1687267238503</v>
      </c>
      <c r="AU5104" s="2">
        <v>8758.5850640292701</v>
      </c>
      <c r="AV5104" s="2">
        <v>11148.731675162901</v>
      </c>
      <c r="AW5104" s="2">
        <v>11186.320174058301</v>
      </c>
      <c r="AX5104" s="2">
        <v>13982.814882934101</v>
      </c>
    </row>
    <row r="5105" spans="1:50" x14ac:dyDescent="0.25">
      <c r="A5105" s="2" t="s">
        <v>33419</v>
      </c>
      <c r="B5105" s="2">
        <v>763.41687248533901</v>
      </c>
      <c r="C5105" s="2">
        <v>4.9338333333333297</v>
      </c>
      <c r="D5105" s="2" t="s">
        <v>51</v>
      </c>
      <c r="E5105" s="2" t="s">
        <v>33420</v>
      </c>
      <c r="F5105" s="2">
        <v>224206</v>
      </c>
      <c r="G5105" s="3" t="str">
        <f>HYPERLINK("https://cloud.oebiotech.com/#/lm/network/224206", "https://cloud.oebiotech.com/#/lm/network/224206")</f>
        <v>https://cloud.oebiotech.com/#/lm/network/224206</v>
      </c>
      <c r="H5105" s="2" t="s">
        <v>33421</v>
      </c>
      <c r="I5105" s="2"/>
      <c r="J5105" s="2"/>
      <c r="K5105" s="2"/>
      <c r="L5105" s="2"/>
      <c r="M5105" s="2"/>
      <c r="N5105" s="2"/>
      <c r="O5105" s="2"/>
      <c r="P5105" s="2"/>
      <c r="Q5105" s="2"/>
      <c r="R5105" s="2"/>
      <c r="S5105" s="2" t="s">
        <v>33422</v>
      </c>
      <c r="T5105" s="2" t="s">
        <v>33423</v>
      </c>
      <c r="U5105" s="2" t="s">
        <v>56</v>
      </c>
      <c r="V5105" s="2" t="s">
        <v>57</v>
      </c>
      <c r="W5105" s="2" t="s">
        <v>570</v>
      </c>
      <c r="X5105" s="2" t="s">
        <v>147</v>
      </c>
      <c r="Y5105" s="2">
        <v>36.6</v>
      </c>
      <c r="Z5105" s="2">
        <v>0</v>
      </c>
      <c r="AA5105" s="2" t="s">
        <v>395</v>
      </c>
      <c r="AB5105" s="2" t="s">
        <v>33424</v>
      </c>
      <c r="AC5105" s="2">
        <v>1.4495464522308099</v>
      </c>
      <c r="AD5105" s="2"/>
      <c r="AE5105" s="2">
        <v>5.0495575843210502E-2</v>
      </c>
      <c r="AF5105" s="2">
        <v>5618.1378263311599</v>
      </c>
      <c r="AG5105" s="2">
        <v>4344.8654952738898</v>
      </c>
      <c r="AH5105" s="5">
        <v>1.2930521859519599</v>
      </c>
      <c r="AI5105" s="5">
        <v>0.37078050167160698</v>
      </c>
      <c r="AJ5105" s="5" t="s">
        <v>139</v>
      </c>
      <c r="AK5105" s="2">
        <v>0.80839690075417903</v>
      </c>
      <c r="AL5105" s="2">
        <v>0.91452980178688303</v>
      </c>
      <c r="AM5105" s="2">
        <v>11056.713500740299</v>
      </c>
      <c r="AN5105" s="2">
        <v>8.559877937157E-6</v>
      </c>
      <c r="AO5105" s="2">
        <v>8.559877937157E-6</v>
      </c>
      <c r="AP5105" s="2">
        <v>8.559877937157E-6</v>
      </c>
      <c r="AQ5105" s="2">
        <v>16616.632351635501</v>
      </c>
      <c r="AR5105" s="2">
        <v>6035.4810799315501</v>
      </c>
      <c r="AS5105" s="2">
        <v>8.559877937157E-6</v>
      </c>
      <c r="AT5105" s="2">
        <v>8.559877937157E-6</v>
      </c>
      <c r="AU5105" s="2">
        <v>8.559877937157E-6</v>
      </c>
      <c r="AV5105" s="2">
        <v>25534.1447044095</v>
      </c>
      <c r="AW5105" s="2">
        <v>8.559877937157E-6</v>
      </c>
      <c r="AX5105" s="2">
        <v>535.04823299434304</v>
      </c>
    </row>
    <row r="5106" spans="1:50" x14ac:dyDescent="0.25">
      <c r="A5106" s="2" t="s">
        <v>33425</v>
      </c>
      <c r="B5106" s="2">
        <v>604.35528851716799</v>
      </c>
      <c r="C5106" s="2">
        <v>4.5660166666666697</v>
      </c>
      <c r="D5106" s="2" t="s">
        <v>51</v>
      </c>
      <c r="E5106" s="2" t="s">
        <v>33426</v>
      </c>
      <c r="F5106" s="2">
        <v>36184</v>
      </c>
      <c r="G5106" s="3" t="str">
        <f>HYPERLINK("https://cloud.oebiotech.com/#/lm/network/36184", "https://cloud.oebiotech.com/#/lm/network/36184")</f>
        <v>https://cloud.oebiotech.com/#/lm/network/36184</v>
      </c>
      <c r="H5106" s="2" t="s">
        <v>33427</v>
      </c>
      <c r="I5106" s="2"/>
      <c r="J5106" s="2" t="s">
        <v>33428</v>
      </c>
      <c r="K5106" s="2">
        <v>6449797</v>
      </c>
      <c r="L5106" s="2" t="s">
        <v>33429</v>
      </c>
      <c r="M5106" s="2" t="s">
        <v>4155</v>
      </c>
      <c r="N5106" s="2" t="s">
        <v>4156</v>
      </c>
      <c r="O5106" s="2">
        <v>15442</v>
      </c>
      <c r="P5106" s="2" t="s">
        <v>33430</v>
      </c>
      <c r="Q5106" s="2" t="s">
        <v>33431</v>
      </c>
      <c r="R5106" s="2"/>
      <c r="S5106" s="2" t="s">
        <v>33432</v>
      </c>
      <c r="T5106" s="2" t="s">
        <v>33433</v>
      </c>
      <c r="U5106" s="2" t="s">
        <v>56</v>
      </c>
      <c r="V5106" s="2" t="s">
        <v>177</v>
      </c>
      <c r="W5106" s="2" t="s">
        <v>3270</v>
      </c>
      <c r="X5106" s="2" t="s">
        <v>147</v>
      </c>
      <c r="Y5106" s="2">
        <v>36.5</v>
      </c>
      <c r="Z5106" s="2">
        <v>0</v>
      </c>
      <c r="AA5106" s="2" t="s">
        <v>512</v>
      </c>
      <c r="AB5106" s="2" t="s">
        <v>33434</v>
      </c>
      <c r="AC5106" s="2">
        <v>4.4953743339193997</v>
      </c>
      <c r="AD5106" s="2"/>
      <c r="AE5106" s="2">
        <v>5.0430589206923199E-2</v>
      </c>
      <c r="AF5106" s="2">
        <v>501.75315133922697</v>
      </c>
      <c r="AG5106" s="2">
        <v>237.70712684931499</v>
      </c>
      <c r="AH5106" s="5">
        <v>2.1108039880406801</v>
      </c>
      <c r="AI5106" s="5">
        <v>1.0777926143974501</v>
      </c>
      <c r="AJ5106" s="5" t="s">
        <v>139</v>
      </c>
      <c r="AK5106" s="2">
        <v>0.54238827449905802</v>
      </c>
      <c r="AL5106" s="2">
        <v>0.76688716020502601</v>
      </c>
      <c r="AM5106" s="2">
        <v>4.4817700987195996</v>
      </c>
      <c r="AN5106" s="2">
        <v>8.559877937157E-6</v>
      </c>
      <c r="AO5106" s="2">
        <v>8.559877937157E-6</v>
      </c>
      <c r="AP5106" s="2">
        <v>479.07699951196997</v>
      </c>
      <c r="AQ5106" s="2">
        <v>2234.8468838796998</v>
      </c>
      <c r="AR5106" s="2">
        <v>292.11323742521603</v>
      </c>
      <c r="AS5106" s="2">
        <v>8.559877937157E-6</v>
      </c>
      <c r="AT5106" s="2">
        <v>1338.29883854727</v>
      </c>
      <c r="AU5106" s="2">
        <v>86.445815301514997</v>
      </c>
      <c r="AV5106" s="2">
        <v>8.559877937157E-6</v>
      </c>
      <c r="AW5106" s="2">
        <v>1.4980815674721999</v>
      </c>
      <c r="AX5106" s="2">
        <v>8.559877937157E-6</v>
      </c>
    </row>
    <row r="5107" spans="1:50" x14ac:dyDescent="0.25">
      <c r="A5107" s="2" t="s">
        <v>33435</v>
      </c>
      <c r="B5107" s="2">
        <v>446.22589468143502</v>
      </c>
      <c r="C5107" s="2">
        <v>4.2766000000000002</v>
      </c>
      <c r="D5107" s="2" t="s">
        <v>51</v>
      </c>
      <c r="E5107" s="2" t="s">
        <v>33436</v>
      </c>
      <c r="F5107" s="2">
        <v>203466</v>
      </c>
      <c r="G5107" s="3" t="str">
        <f>HYPERLINK("https://cloud.oebiotech.com/#/lm/network/203466", "https://cloud.oebiotech.com/#/lm/network/203466")</f>
        <v>https://cloud.oebiotech.com/#/lm/network/203466</v>
      </c>
      <c r="H5107" s="2" t="s">
        <v>33437</v>
      </c>
      <c r="I5107" s="2">
        <v>320939</v>
      </c>
      <c r="J5107" s="2"/>
      <c r="K5107" s="2">
        <v>73333</v>
      </c>
      <c r="L5107" s="2"/>
      <c r="M5107" s="2"/>
      <c r="N5107" s="2"/>
      <c r="O5107" s="2">
        <v>180480</v>
      </c>
      <c r="P5107" s="2"/>
      <c r="Q5107" s="2"/>
      <c r="R5107" s="2"/>
      <c r="S5107" s="2" t="s">
        <v>33438</v>
      </c>
      <c r="T5107" s="2" t="s">
        <v>33439</v>
      </c>
      <c r="U5107" s="2" t="s">
        <v>610</v>
      </c>
      <c r="V5107" s="2" t="s">
        <v>611</v>
      </c>
      <c r="W5107" s="2" t="s">
        <v>2327</v>
      </c>
      <c r="X5107" s="2" t="s">
        <v>147</v>
      </c>
      <c r="Y5107" s="2">
        <v>37.6</v>
      </c>
      <c r="Z5107" s="2">
        <v>0</v>
      </c>
      <c r="AA5107" s="2" t="s">
        <v>218</v>
      </c>
      <c r="AB5107" s="2" t="s">
        <v>33440</v>
      </c>
      <c r="AC5107" s="2">
        <v>-0.44162574234313301</v>
      </c>
      <c r="AD5107" s="2"/>
      <c r="AE5107" s="2">
        <v>5.0423509491100901E-2</v>
      </c>
      <c r="AF5107" s="2">
        <v>4932.2794969811303</v>
      </c>
      <c r="AG5107" s="2">
        <v>3794.99327469529</v>
      </c>
      <c r="AH5107" s="5">
        <v>1.2996806950539701</v>
      </c>
      <c r="AI5107" s="5">
        <v>0.37815722614230302</v>
      </c>
      <c r="AJ5107" s="5" t="s">
        <v>139</v>
      </c>
      <c r="AK5107" s="2">
        <v>0.65460088571136499</v>
      </c>
      <c r="AL5107" s="2">
        <v>0.83240942988891198</v>
      </c>
      <c r="AM5107" s="2">
        <v>4105.0462834011096</v>
      </c>
      <c r="AN5107" s="2">
        <v>1983.2687566360401</v>
      </c>
      <c r="AO5107" s="2">
        <v>6632.4093771357102</v>
      </c>
      <c r="AP5107" s="2">
        <v>4342.8789464237998</v>
      </c>
      <c r="AQ5107" s="2">
        <v>4025.4347878622398</v>
      </c>
      <c r="AR5107" s="2">
        <v>8504.6388304278607</v>
      </c>
      <c r="AS5107" s="2">
        <v>8.559877937157E-6</v>
      </c>
      <c r="AT5107" s="2">
        <v>1114.5681037305001</v>
      </c>
      <c r="AU5107" s="2">
        <v>1005.27873851945</v>
      </c>
      <c r="AV5107" s="2">
        <v>14608.443178678701</v>
      </c>
      <c r="AW5107" s="2">
        <v>921.889856080404</v>
      </c>
      <c r="AX5107" s="2">
        <v>5119.7797626027796</v>
      </c>
    </row>
    <row r="5108" spans="1:50" x14ac:dyDescent="0.25">
      <c r="A5108" s="2" t="s">
        <v>33441</v>
      </c>
      <c r="B5108" s="2">
        <v>292.13027146589701</v>
      </c>
      <c r="C5108" s="2">
        <v>3.94221666666667</v>
      </c>
      <c r="D5108" s="2" t="s">
        <v>51</v>
      </c>
      <c r="E5108" s="2" t="s">
        <v>33442</v>
      </c>
      <c r="F5108" s="2">
        <v>54061</v>
      </c>
      <c r="G5108" s="3" t="str">
        <f>HYPERLINK("https://cloud.oebiotech.com/#/lm/network/54061", "https://cloud.oebiotech.com/#/lm/network/54061")</f>
        <v>https://cloud.oebiotech.com/#/lm/network/54061</v>
      </c>
      <c r="H5108" s="2" t="s">
        <v>33443</v>
      </c>
      <c r="I5108" s="2">
        <v>23978</v>
      </c>
      <c r="J5108" s="2"/>
      <c r="K5108" s="2">
        <v>14409364</v>
      </c>
      <c r="L5108" s="2"/>
      <c r="M5108" s="2"/>
      <c r="N5108" s="2"/>
      <c r="O5108" s="2">
        <v>141445</v>
      </c>
      <c r="P5108" s="2"/>
      <c r="Q5108" s="2"/>
      <c r="R5108" s="2" t="s">
        <v>33444</v>
      </c>
      <c r="S5108" s="2" t="s">
        <v>33445</v>
      </c>
      <c r="T5108" s="2" t="s">
        <v>33446</v>
      </c>
      <c r="U5108" s="2" t="s">
        <v>103</v>
      </c>
      <c r="V5108" s="2" t="s">
        <v>104</v>
      </c>
      <c r="W5108" s="2" t="s">
        <v>105</v>
      </c>
      <c r="X5108" s="2" t="s">
        <v>147</v>
      </c>
      <c r="Y5108" s="2">
        <v>44.7</v>
      </c>
      <c r="Z5108" s="2">
        <v>32.799999999999997</v>
      </c>
      <c r="AA5108" s="2" t="s">
        <v>259</v>
      </c>
      <c r="AB5108" s="2" t="s">
        <v>19379</v>
      </c>
      <c r="AC5108" s="2">
        <v>3.7406874716610998</v>
      </c>
      <c r="AD5108" s="2"/>
      <c r="AE5108" s="2">
        <v>5.04016314643638E-2</v>
      </c>
      <c r="AF5108" s="2">
        <v>1286.02704398429</v>
      </c>
      <c r="AG5108" s="2">
        <v>1143.92086499635</v>
      </c>
      <c r="AH5108" s="5">
        <v>1.1242272812187799</v>
      </c>
      <c r="AI5108" s="5">
        <v>0.16893372981153201</v>
      </c>
      <c r="AJ5108" s="5" t="s">
        <v>139</v>
      </c>
      <c r="AK5108" s="2">
        <v>0.82772040953145198</v>
      </c>
      <c r="AL5108" s="2">
        <v>0.92429976515301204</v>
      </c>
      <c r="AM5108" s="2">
        <v>1531.8080617073001</v>
      </c>
      <c r="AN5108" s="2">
        <v>1073.18213383443</v>
      </c>
      <c r="AO5108" s="2">
        <v>1231.23461769037</v>
      </c>
      <c r="AP5108" s="2">
        <v>820.08022203165501</v>
      </c>
      <c r="AQ5108" s="2">
        <v>1705.6539815240201</v>
      </c>
      <c r="AR5108" s="2">
        <v>1354.20324711795</v>
      </c>
      <c r="AS5108" s="2">
        <v>8.559877937157E-6</v>
      </c>
      <c r="AT5108" s="2">
        <v>572.25967847485504</v>
      </c>
      <c r="AU5108" s="2">
        <v>4096.7824974151999</v>
      </c>
      <c r="AV5108" s="2">
        <v>1442.94745793689</v>
      </c>
      <c r="AW5108" s="2">
        <v>438.68725894742602</v>
      </c>
      <c r="AX5108" s="2">
        <v>312.84828864387401</v>
      </c>
    </row>
    <row r="5109" spans="1:50" x14ac:dyDescent="0.25">
      <c r="A5109" s="2" t="s">
        <v>33447</v>
      </c>
      <c r="B5109" s="2">
        <v>415.19685298307797</v>
      </c>
      <c r="C5109" s="2">
        <v>4.1329500000000001</v>
      </c>
      <c r="D5109" s="2" t="s">
        <v>51</v>
      </c>
      <c r="E5109" s="2" t="s">
        <v>33448</v>
      </c>
      <c r="F5109" s="2">
        <v>262667</v>
      </c>
      <c r="G5109" s="3" t="str">
        <f>HYPERLINK("https://cloud.oebiotech.com/#/lm/network/262667", "https://cloud.oebiotech.com/#/lm/network/262667")</f>
        <v>https://cloud.oebiotech.com/#/lm/network/262667</v>
      </c>
      <c r="H5109" s="2"/>
      <c r="I5109" s="2">
        <v>20042</v>
      </c>
      <c r="J5109" s="2"/>
      <c r="K5109" s="2">
        <v>16222281</v>
      </c>
      <c r="L5109" s="2"/>
      <c r="M5109" s="2"/>
      <c r="N5109" s="2"/>
      <c r="O5109" s="2"/>
      <c r="P5109" s="2"/>
      <c r="Q5109" s="2"/>
      <c r="R5109" s="2"/>
      <c r="S5109" s="2" t="s">
        <v>33449</v>
      </c>
      <c r="T5109" s="2" t="s">
        <v>33450</v>
      </c>
      <c r="U5109" s="2" t="s">
        <v>103</v>
      </c>
      <c r="V5109" s="2" t="s">
        <v>104</v>
      </c>
      <c r="W5109" s="2" t="s">
        <v>105</v>
      </c>
      <c r="X5109" s="2" t="s">
        <v>83</v>
      </c>
      <c r="Y5109" s="2">
        <v>43.2</v>
      </c>
      <c r="Z5109" s="2">
        <v>1.17</v>
      </c>
      <c r="AA5109" s="2" t="s">
        <v>95</v>
      </c>
      <c r="AB5109" s="2" t="s">
        <v>33451</v>
      </c>
      <c r="AC5109" s="2">
        <v>4.2383039648616503</v>
      </c>
      <c r="AD5109" s="2"/>
      <c r="AE5109" s="2">
        <v>5.0302535280901603E-2</v>
      </c>
      <c r="AF5109" s="2">
        <v>8866.3162523119809</v>
      </c>
      <c r="AG5109" s="2">
        <v>7194.8546045898302</v>
      </c>
      <c r="AH5109" s="5">
        <v>1.2323134711653301</v>
      </c>
      <c r="AI5109" s="5">
        <v>0.30136928993772899</v>
      </c>
      <c r="AJ5109" s="5" t="s">
        <v>139</v>
      </c>
      <c r="AK5109" s="2">
        <v>0.76515645781992003</v>
      </c>
      <c r="AL5109" s="2">
        <v>0.89335966373193099</v>
      </c>
      <c r="AM5109" s="2">
        <v>5033.5293032973204</v>
      </c>
      <c r="AN5109" s="2">
        <v>9540.4007818887494</v>
      </c>
      <c r="AO5109" s="2">
        <v>10015.944955668099</v>
      </c>
      <c r="AP5109" s="2">
        <v>13118.8980556891</v>
      </c>
      <c r="AQ5109" s="2">
        <v>5988.8138674895099</v>
      </c>
      <c r="AR5109" s="2">
        <v>9500.3105498390705</v>
      </c>
      <c r="AS5109" s="2">
        <v>32493.366878715002</v>
      </c>
      <c r="AT5109" s="2">
        <v>10036.123361346201</v>
      </c>
      <c r="AU5109" s="2">
        <v>8.559877937157E-6</v>
      </c>
      <c r="AV5109" s="2">
        <v>404.52763078410902</v>
      </c>
      <c r="AW5109" s="2">
        <v>8.559877937157E-6</v>
      </c>
      <c r="AX5109" s="2">
        <v>235.10973957390499</v>
      </c>
    </row>
    <row r="5110" spans="1:50" x14ac:dyDescent="0.25">
      <c r="A5110" s="2" t="s">
        <v>33452</v>
      </c>
      <c r="B5110" s="2">
        <v>302.15130464272698</v>
      </c>
      <c r="C5110" s="2">
        <v>4.2211666666666696</v>
      </c>
      <c r="D5110" s="2" t="s">
        <v>51</v>
      </c>
      <c r="E5110" s="2" t="s">
        <v>33453</v>
      </c>
      <c r="F5110" s="2">
        <v>54149</v>
      </c>
      <c r="G5110" s="3" t="str">
        <f>HYPERLINK("https://cloud.oebiotech.com/#/lm/network/54149", "https://cloud.oebiotech.com/#/lm/network/54149")</f>
        <v>https://cloud.oebiotech.com/#/lm/network/54149</v>
      </c>
      <c r="H5110" s="2" t="s">
        <v>33454</v>
      </c>
      <c r="I5110" s="2">
        <v>23665</v>
      </c>
      <c r="J5110" s="2"/>
      <c r="K5110" s="2">
        <v>168182</v>
      </c>
      <c r="L5110" s="2"/>
      <c r="M5110" s="2"/>
      <c r="N5110" s="2"/>
      <c r="O5110" s="2"/>
      <c r="P5110" s="2"/>
      <c r="Q5110" s="2"/>
      <c r="R5110" s="2" t="s">
        <v>33455</v>
      </c>
      <c r="S5110" s="2" t="s">
        <v>33456</v>
      </c>
      <c r="T5110" s="2" t="s">
        <v>33457</v>
      </c>
      <c r="U5110" s="2" t="s">
        <v>103</v>
      </c>
      <c r="V5110" s="2" t="s">
        <v>104</v>
      </c>
      <c r="W5110" s="2" t="s">
        <v>105</v>
      </c>
      <c r="X5110" s="2" t="s">
        <v>83</v>
      </c>
      <c r="Y5110" s="2">
        <v>46.9</v>
      </c>
      <c r="Z5110" s="2">
        <v>0</v>
      </c>
      <c r="AA5110" s="2" t="s">
        <v>163</v>
      </c>
      <c r="AB5110" s="2" t="s">
        <v>32467</v>
      </c>
      <c r="AC5110" s="2">
        <v>0.95503961251978298</v>
      </c>
      <c r="AD5110" s="2"/>
      <c r="AE5110" s="2">
        <v>5.0034275070161102E-2</v>
      </c>
      <c r="AF5110" s="2">
        <v>808.318329419615</v>
      </c>
      <c r="AG5110" s="2">
        <v>632.337431888879</v>
      </c>
      <c r="AH5110" s="5">
        <v>1.27830219856676</v>
      </c>
      <c r="AI5110" s="5">
        <v>0.35422893865997901</v>
      </c>
      <c r="AJ5110" s="5" t="s">
        <v>139</v>
      </c>
      <c r="AK5110" s="2">
        <v>0.76040882829829703</v>
      </c>
      <c r="AL5110" s="2">
        <v>0.89152062866139503</v>
      </c>
      <c r="AM5110" s="2">
        <v>1072.47630914197</v>
      </c>
      <c r="AN5110" s="2">
        <v>364.36272812645399</v>
      </c>
      <c r="AO5110" s="2">
        <v>351.98047089204499</v>
      </c>
      <c r="AP5110" s="2">
        <v>1093.7083728556599</v>
      </c>
      <c r="AQ5110" s="2">
        <v>1535.2032860910599</v>
      </c>
      <c r="AR5110" s="2">
        <v>432.17880941050402</v>
      </c>
      <c r="AS5110" s="2">
        <v>93.628361658524</v>
      </c>
      <c r="AT5110" s="2">
        <v>188.95329264862301</v>
      </c>
      <c r="AU5110" s="2">
        <v>3250.1509167907898</v>
      </c>
      <c r="AV5110" s="2">
        <v>72.355418227782593</v>
      </c>
      <c r="AW5110" s="2">
        <v>106.150671027363</v>
      </c>
      <c r="AX5110" s="2">
        <v>82.785930980190599</v>
      </c>
    </row>
    <row r="5111" spans="1:50" x14ac:dyDescent="0.25">
      <c r="A5111" s="2" t="s">
        <v>33458</v>
      </c>
      <c r="B5111" s="2">
        <v>377.19477972705198</v>
      </c>
      <c r="C5111" s="2">
        <v>8.0030333333333292</v>
      </c>
      <c r="D5111" s="2" t="s">
        <v>51</v>
      </c>
      <c r="E5111" s="2" t="s">
        <v>33459</v>
      </c>
      <c r="F5111" s="2">
        <v>3744</v>
      </c>
      <c r="G5111" s="3" t="str">
        <f>HYPERLINK("https://cloud.oebiotech.com/#/lm/network/3744", "https://cloud.oebiotech.com/#/lm/network/3744")</f>
        <v>https://cloud.oebiotech.com/#/lm/network/3744</v>
      </c>
      <c r="H5111" s="2"/>
      <c r="I5111" s="2">
        <v>36189</v>
      </c>
      <c r="J5111" s="2" t="s">
        <v>33460</v>
      </c>
      <c r="K5111" s="2">
        <v>5283112</v>
      </c>
      <c r="L5111" s="2"/>
      <c r="M5111" s="2"/>
      <c r="N5111" s="2"/>
      <c r="O5111" s="2">
        <v>134510</v>
      </c>
      <c r="P5111" s="2"/>
      <c r="Q5111" s="2"/>
      <c r="R5111" s="2" t="s">
        <v>33461</v>
      </c>
      <c r="S5111" s="2" t="s">
        <v>33462</v>
      </c>
      <c r="T5111" s="2" t="s">
        <v>33463</v>
      </c>
      <c r="U5111" s="2" t="s">
        <v>56</v>
      </c>
      <c r="V5111" s="2" t="s">
        <v>145</v>
      </c>
      <c r="W5111" s="2" t="s">
        <v>187</v>
      </c>
      <c r="X5111" s="2" t="s">
        <v>83</v>
      </c>
      <c r="Y5111" s="2">
        <v>57.9</v>
      </c>
      <c r="Z5111" s="2">
        <v>35.9</v>
      </c>
      <c r="AA5111" s="2" t="s">
        <v>218</v>
      </c>
      <c r="AB5111" s="2" t="s">
        <v>1500</v>
      </c>
      <c r="AC5111" s="2">
        <v>-6.5699196244635401</v>
      </c>
      <c r="AD5111" s="2"/>
      <c r="AE5111" s="2">
        <v>4.9980734610322999E-2</v>
      </c>
      <c r="AF5111" s="2">
        <v>12135.2564135913</v>
      </c>
      <c r="AG5111" s="2">
        <v>12207.772921513901</v>
      </c>
      <c r="AH5111" s="4">
        <v>0.99405980858352705</v>
      </c>
      <c r="AI5111" s="4">
        <v>-8.5954393260809902E-3</v>
      </c>
      <c r="AJ5111" s="4" t="s">
        <v>62</v>
      </c>
      <c r="AK5111" s="2">
        <v>0.98308621104565797</v>
      </c>
      <c r="AL5111" s="2">
        <v>0.99261612839763103</v>
      </c>
      <c r="AM5111" s="2">
        <v>13536.2068098567</v>
      </c>
      <c r="AN5111" s="2">
        <v>23796.8828740506</v>
      </c>
      <c r="AO5111" s="2">
        <v>9226.0224862079795</v>
      </c>
      <c r="AP5111" s="2">
        <v>8683.8113549589998</v>
      </c>
      <c r="AQ5111" s="2">
        <v>8944.1993632186695</v>
      </c>
      <c r="AR5111" s="2">
        <v>8624.4155932549693</v>
      </c>
      <c r="AS5111" s="2">
        <v>14288.682761898001</v>
      </c>
      <c r="AT5111" s="2">
        <v>5052.0819017050899</v>
      </c>
      <c r="AU5111" s="2">
        <v>21127.053499864898</v>
      </c>
      <c r="AV5111" s="2">
        <v>9086.2878077918795</v>
      </c>
      <c r="AW5111" s="2">
        <v>9848.3162895273308</v>
      </c>
      <c r="AX5111" s="2">
        <v>13844.215268296501</v>
      </c>
    </row>
    <row r="5112" spans="1:50" x14ac:dyDescent="0.25">
      <c r="A5112" s="2" t="s">
        <v>33464</v>
      </c>
      <c r="B5112" s="2">
        <v>395.31650426175003</v>
      </c>
      <c r="C5112" s="2">
        <v>12.667533333333299</v>
      </c>
      <c r="D5112" s="2" t="s">
        <v>51</v>
      </c>
      <c r="E5112" s="2" t="s">
        <v>33465</v>
      </c>
      <c r="F5112" s="2">
        <v>113954</v>
      </c>
      <c r="G5112" s="3" t="str">
        <f>HYPERLINK("https://cloud.oebiotech.com/#/lm/network/113954", "https://cloud.oebiotech.com/#/lm/network/113954")</f>
        <v>https://cloud.oebiotech.com/#/lm/network/113954</v>
      </c>
      <c r="H5112" s="2" t="s">
        <v>33466</v>
      </c>
      <c r="I5112" s="2"/>
      <c r="J5112" s="2"/>
      <c r="K5112" s="2">
        <v>131802186</v>
      </c>
      <c r="L5112" s="2"/>
      <c r="M5112" s="2"/>
      <c r="N5112" s="2"/>
      <c r="O5112" s="2"/>
      <c r="P5112" s="2"/>
      <c r="Q5112" s="2"/>
      <c r="R5112" s="2"/>
      <c r="S5112" s="2" t="s">
        <v>33467</v>
      </c>
      <c r="T5112" s="2" t="s">
        <v>33468</v>
      </c>
      <c r="U5112" s="2" t="s">
        <v>56</v>
      </c>
      <c r="V5112" s="2" t="s">
        <v>3215</v>
      </c>
      <c r="W5112" s="2" t="s">
        <v>3216</v>
      </c>
      <c r="X5112" s="2" t="s">
        <v>69</v>
      </c>
      <c r="Y5112" s="2">
        <v>62.6</v>
      </c>
      <c r="Z5112" s="2">
        <v>59.1</v>
      </c>
      <c r="AA5112" s="2" t="s">
        <v>379</v>
      </c>
      <c r="AB5112" s="2" t="s">
        <v>33469</v>
      </c>
      <c r="AC5112" s="2">
        <v>-0.43247969876813303</v>
      </c>
      <c r="AD5112" s="2"/>
      <c r="AE5112" s="2">
        <v>4.9972988061717703E-2</v>
      </c>
      <c r="AF5112" s="2">
        <v>6028.9526042412599</v>
      </c>
      <c r="AG5112" s="2">
        <v>5607.9753825256103</v>
      </c>
      <c r="AH5112" s="5">
        <v>1.07506759445261</v>
      </c>
      <c r="AI5112" s="5">
        <v>0.104427371550362</v>
      </c>
      <c r="AJ5112" s="5" t="s">
        <v>139</v>
      </c>
      <c r="AK5112" s="2">
        <v>0.84794611851039303</v>
      </c>
      <c r="AL5112" s="2">
        <v>0.93254803350219395</v>
      </c>
      <c r="AM5112" s="2">
        <v>2353.82725935893</v>
      </c>
      <c r="AN5112" s="2">
        <v>3320.8068879251</v>
      </c>
      <c r="AO5112" s="2">
        <v>8851.1904765106101</v>
      </c>
      <c r="AP5112" s="2">
        <v>6221.5652413019097</v>
      </c>
      <c r="AQ5112" s="2">
        <v>12455.6074637005</v>
      </c>
      <c r="AR5112" s="2">
        <v>2970.7182966504902</v>
      </c>
      <c r="AS5112" s="2">
        <v>4518.3774363234197</v>
      </c>
      <c r="AT5112" s="2">
        <v>7904.8458378987198</v>
      </c>
      <c r="AU5112" s="2">
        <v>11119.5579820434</v>
      </c>
      <c r="AV5112" s="2">
        <v>2241.58820105822</v>
      </c>
      <c r="AW5112" s="2">
        <v>5349.5734625548303</v>
      </c>
      <c r="AX5112" s="2">
        <v>2513.90937527505</v>
      </c>
    </row>
    <row r="5113" spans="1:50" x14ac:dyDescent="0.25">
      <c r="A5113" s="2" t="s">
        <v>33470</v>
      </c>
      <c r="B5113" s="2">
        <v>719.24916533513795</v>
      </c>
      <c r="C5113" s="2">
        <v>4.9422166666666696</v>
      </c>
      <c r="D5113" s="2" t="s">
        <v>51</v>
      </c>
      <c r="E5113" s="2" t="s">
        <v>33471</v>
      </c>
      <c r="F5113" s="2">
        <v>256116</v>
      </c>
      <c r="G5113" s="3" t="str">
        <f>HYPERLINK("https://cloud.oebiotech.com/#/lm/network/256116", "https://cloud.oebiotech.com/#/lm/network/256116")</f>
        <v>https://cloud.oebiotech.com/#/lm/network/256116</v>
      </c>
      <c r="H5113" s="2" t="s">
        <v>33472</v>
      </c>
      <c r="I5113" s="2"/>
      <c r="J5113" s="2"/>
      <c r="K5113" s="2">
        <v>21924868</v>
      </c>
      <c r="L5113" s="2"/>
      <c r="M5113" s="2"/>
      <c r="N5113" s="2"/>
      <c r="O5113" s="2"/>
      <c r="P5113" s="2"/>
      <c r="Q5113" s="2"/>
      <c r="R5113" s="2"/>
      <c r="S5113" s="2" t="s">
        <v>33473</v>
      </c>
      <c r="T5113" s="2" t="s">
        <v>33474</v>
      </c>
      <c r="U5113" s="2" t="s">
        <v>331</v>
      </c>
      <c r="V5113" s="2" t="s">
        <v>332</v>
      </c>
      <c r="W5113" s="2" t="s">
        <v>333</v>
      </c>
      <c r="X5113" s="2" t="s">
        <v>147</v>
      </c>
      <c r="Y5113" s="2">
        <v>36.9</v>
      </c>
      <c r="Z5113" s="2">
        <v>0</v>
      </c>
      <c r="AA5113" s="2" t="s">
        <v>478</v>
      </c>
      <c r="AB5113" s="2" t="s">
        <v>33475</v>
      </c>
      <c r="AC5113" s="2">
        <v>4.0115849872059401</v>
      </c>
      <c r="AD5113" s="2"/>
      <c r="AE5113" s="2">
        <v>4.9972537743928402E-2</v>
      </c>
      <c r="AF5113" s="2">
        <v>9516.7644570511002</v>
      </c>
      <c r="AG5113" s="2">
        <v>6370.6944066285096</v>
      </c>
      <c r="AH5113" s="5">
        <v>1.4938347140225701</v>
      </c>
      <c r="AI5113" s="5">
        <v>0.57902052935099202</v>
      </c>
      <c r="AJ5113" s="5" t="s">
        <v>139</v>
      </c>
      <c r="AK5113" s="2">
        <v>0.73726251966117096</v>
      </c>
      <c r="AL5113" s="2">
        <v>0.87942661138187594</v>
      </c>
      <c r="AM5113" s="2">
        <v>8.559877937157E-6</v>
      </c>
      <c r="AN5113" s="2">
        <v>8.559877937157E-6</v>
      </c>
      <c r="AO5113" s="2">
        <v>10455.849547866301</v>
      </c>
      <c r="AP5113" s="2">
        <v>8.559877937157E-6</v>
      </c>
      <c r="AQ5113" s="2">
        <v>1365.36928548626</v>
      </c>
      <c r="AR5113" s="2">
        <v>45279.367883274397</v>
      </c>
      <c r="AS5113" s="2">
        <v>33276.708860893101</v>
      </c>
      <c r="AT5113" s="2">
        <v>1738.96596273828</v>
      </c>
      <c r="AU5113" s="2">
        <v>8.559877937157E-6</v>
      </c>
      <c r="AV5113" s="2">
        <v>8.559877937157E-6</v>
      </c>
      <c r="AW5113" s="2">
        <v>8.559877937157E-6</v>
      </c>
      <c r="AX5113" s="2">
        <v>3208.4915904600498</v>
      </c>
    </row>
    <row r="5114" spans="1:50" x14ac:dyDescent="0.25">
      <c r="A5114" s="2" t="s">
        <v>33476</v>
      </c>
      <c r="B5114" s="2">
        <v>217.05685436893401</v>
      </c>
      <c r="C5114" s="2">
        <v>0.73424999999999996</v>
      </c>
      <c r="D5114" s="2" t="s">
        <v>51</v>
      </c>
      <c r="E5114" s="2" t="s">
        <v>33477</v>
      </c>
      <c r="F5114" s="2">
        <v>55232</v>
      </c>
      <c r="G5114" s="3" t="str">
        <f>HYPERLINK("https://cloud.oebiotech.com/#/lm/network/55232", "https://cloud.oebiotech.com/#/lm/network/55232")</f>
        <v>https://cloud.oebiotech.com/#/lm/network/55232</v>
      </c>
      <c r="H5114" s="2" t="s">
        <v>33478</v>
      </c>
      <c r="I5114" s="2">
        <v>86958</v>
      </c>
      <c r="J5114" s="2"/>
      <c r="K5114" s="2">
        <v>85157543</v>
      </c>
      <c r="L5114" s="2"/>
      <c r="M5114" s="2"/>
      <c r="N5114" s="2"/>
      <c r="O5114" s="2">
        <v>168591</v>
      </c>
      <c r="P5114" s="2"/>
      <c r="Q5114" s="2"/>
      <c r="R5114" s="2" t="s">
        <v>33479</v>
      </c>
      <c r="S5114" s="2" t="s">
        <v>33480</v>
      </c>
      <c r="T5114" s="2" t="s">
        <v>33481</v>
      </c>
      <c r="U5114" s="2" t="s">
        <v>103</v>
      </c>
      <c r="V5114" s="2" t="s">
        <v>104</v>
      </c>
      <c r="W5114" s="2" t="s">
        <v>105</v>
      </c>
      <c r="X5114" s="2" t="s">
        <v>83</v>
      </c>
      <c r="Y5114" s="2">
        <v>44.4</v>
      </c>
      <c r="Z5114" s="2">
        <v>0</v>
      </c>
      <c r="AA5114" s="2" t="s">
        <v>122</v>
      </c>
      <c r="AB5114" s="2" t="s">
        <v>33482</v>
      </c>
      <c r="AC5114" s="2">
        <v>-8.2134764136170109</v>
      </c>
      <c r="AD5114" s="2"/>
      <c r="AE5114" s="2">
        <v>4.9852332533518E-2</v>
      </c>
      <c r="AF5114" s="2">
        <v>5609.9231862982397</v>
      </c>
      <c r="AG5114" s="2">
        <v>4698.4239917553004</v>
      </c>
      <c r="AH5114" s="5">
        <v>1.1940010514467001</v>
      </c>
      <c r="AI5114" s="5">
        <v>0.25580410705185902</v>
      </c>
      <c r="AJ5114" s="5" t="s">
        <v>139</v>
      </c>
      <c r="AK5114" s="2">
        <v>0.75251755409346499</v>
      </c>
      <c r="AL5114" s="2">
        <v>0.88799216304912298</v>
      </c>
      <c r="AM5114" s="2">
        <v>5781.3676652351396</v>
      </c>
      <c r="AN5114" s="2">
        <v>2130.5079582486501</v>
      </c>
      <c r="AO5114" s="2">
        <v>1057.8673446259399</v>
      </c>
      <c r="AP5114" s="2">
        <v>783.01240259262204</v>
      </c>
      <c r="AQ5114" s="2">
        <v>12220.579445105401</v>
      </c>
      <c r="AR5114" s="2">
        <v>11686.204301981699</v>
      </c>
      <c r="AS5114" s="2">
        <v>8.559877937157E-6</v>
      </c>
      <c r="AT5114" s="2">
        <v>1685.24315273364</v>
      </c>
      <c r="AU5114" s="2">
        <v>5893.8824065909403</v>
      </c>
      <c r="AV5114" s="2">
        <v>10556.402657340899</v>
      </c>
      <c r="AW5114" s="2">
        <v>943.98050696012899</v>
      </c>
      <c r="AX5114" s="2">
        <v>9111.0352183463292</v>
      </c>
    </row>
    <row r="5115" spans="1:50" x14ac:dyDescent="0.25">
      <c r="A5115" s="2" t="s">
        <v>33483</v>
      </c>
      <c r="B5115" s="2">
        <v>535.40073962771305</v>
      </c>
      <c r="C5115" s="2">
        <v>14.1947333333333</v>
      </c>
      <c r="D5115" s="2" t="s">
        <v>51</v>
      </c>
      <c r="E5115" s="2" t="s">
        <v>33484</v>
      </c>
      <c r="F5115" s="2">
        <v>266520</v>
      </c>
      <c r="G5115" s="3" t="str">
        <f>HYPERLINK("https://cloud.oebiotech.com/#/lm/network/266520", "https://cloud.oebiotech.com/#/lm/network/266520")</f>
        <v>https://cloud.oebiotech.com/#/lm/network/266520</v>
      </c>
      <c r="H5115" s="2"/>
      <c r="I5115" s="2">
        <v>43446</v>
      </c>
      <c r="J5115" s="2"/>
      <c r="K5115" s="2">
        <v>5353760</v>
      </c>
      <c r="L5115" s="2"/>
      <c r="M5115" s="2"/>
      <c r="N5115" s="2"/>
      <c r="O5115" s="2"/>
      <c r="P5115" s="2"/>
      <c r="Q5115" s="2"/>
      <c r="R5115" s="2" t="s">
        <v>33485</v>
      </c>
      <c r="S5115" s="2" t="s">
        <v>33486</v>
      </c>
      <c r="T5115" s="2" t="s">
        <v>33487</v>
      </c>
      <c r="U5115" s="2" t="s">
        <v>56</v>
      </c>
      <c r="V5115" s="2" t="s">
        <v>177</v>
      </c>
      <c r="W5115" s="2" t="s">
        <v>1996</v>
      </c>
      <c r="X5115" s="2" t="s">
        <v>147</v>
      </c>
      <c r="Y5115" s="2">
        <v>38.799999999999997</v>
      </c>
      <c r="Z5115" s="2">
        <v>0</v>
      </c>
      <c r="AA5115" s="2" t="s">
        <v>478</v>
      </c>
      <c r="AB5115" s="2" t="s">
        <v>16880</v>
      </c>
      <c r="AC5115" s="2">
        <v>0.60876538452892204</v>
      </c>
      <c r="AD5115" s="2"/>
      <c r="AE5115" s="2">
        <v>4.9821065905740598E-2</v>
      </c>
      <c r="AF5115" s="2">
        <v>955.582358653965</v>
      </c>
      <c r="AG5115" s="2">
        <v>668.79137546664094</v>
      </c>
      <c r="AH5115" s="5">
        <v>1.42881979898024</v>
      </c>
      <c r="AI5115" s="5">
        <v>0.51482397695804605</v>
      </c>
      <c r="AJ5115" s="5" t="s">
        <v>139</v>
      </c>
      <c r="AK5115" s="2">
        <v>0.46726685361494302</v>
      </c>
      <c r="AL5115" s="2">
        <v>0.71407035004167796</v>
      </c>
      <c r="AM5115" s="2">
        <v>507.22883635368498</v>
      </c>
      <c r="AN5115" s="2">
        <v>715.57109760555898</v>
      </c>
      <c r="AO5115" s="2">
        <v>854.75555493365005</v>
      </c>
      <c r="AP5115" s="2">
        <v>1907.6115903396901</v>
      </c>
      <c r="AQ5115" s="2">
        <v>8.559877937157E-6</v>
      </c>
      <c r="AR5115" s="2">
        <v>1748.32706413133</v>
      </c>
      <c r="AS5115" s="2">
        <v>8.559877937157E-6</v>
      </c>
      <c r="AT5115" s="2">
        <v>1247.9782792108199</v>
      </c>
      <c r="AU5115" s="2">
        <v>733.92802034535396</v>
      </c>
      <c r="AV5115" s="2">
        <v>279.59221936294102</v>
      </c>
      <c r="AW5115" s="2">
        <v>1414.2106034040801</v>
      </c>
      <c r="AX5115" s="2">
        <v>337.03912191677199</v>
      </c>
    </row>
    <row r="5116" spans="1:50" x14ac:dyDescent="0.25">
      <c r="A5116" s="2" t="s">
        <v>33488</v>
      </c>
      <c r="B5116" s="2">
        <v>385.15168539907802</v>
      </c>
      <c r="C5116" s="2">
        <v>4.6271666666666702</v>
      </c>
      <c r="D5116" s="2" t="s">
        <v>51</v>
      </c>
      <c r="E5116" s="2" t="s">
        <v>33489</v>
      </c>
      <c r="F5116" s="2">
        <v>59947</v>
      </c>
      <c r="G5116" s="3" t="str">
        <f>HYPERLINK("https://cloud.oebiotech.com/#/lm/network/59947", "https://cloud.oebiotech.com/#/lm/network/59947")</f>
        <v>https://cloud.oebiotech.com/#/lm/network/59947</v>
      </c>
      <c r="H5116" s="2" t="s">
        <v>33490</v>
      </c>
      <c r="I5116" s="2">
        <v>985297</v>
      </c>
      <c r="J5116" s="2"/>
      <c r="K5116" s="2">
        <v>10337297</v>
      </c>
      <c r="L5116" s="2" t="s">
        <v>33491</v>
      </c>
      <c r="M5116" s="2"/>
      <c r="N5116" s="2"/>
      <c r="O5116" s="2">
        <v>2082</v>
      </c>
      <c r="P5116" s="2"/>
      <c r="Q5116" s="2"/>
      <c r="R5116" s="2" t="s">
        <v>33492</v>
      </c>
      <c r="S5116" s="2" t="s">
        <v>33493</v>
      </c>
      <c r="T5116" s="2" t="s">
        <v>33494</v>
      </c>
      <c r="U5116" s="2" t="s">
        <v>56</v>
      </c>
      <c r="V5116" s="2" t="s">
        <v>177</v>
      </c>
      <c r="W5116" s="2" t="s">
        <v>1996</v>
      </c>
      <c r="X5116" s="2" t="s">
        <v>147</v>
      </c>
      <c r="Y5116" s="2">
        <v>38.1</v>
      </c>
      <c r="Z5116" s="2">
        <v>0</v>
      </c>
      <c r="AA5116" s="2" t="s">
        <v>218</v>
      </c>
      <c r="AB5116" s="2" t="s">
        <v>33495</v>
      </c>
      <c r="AC5116" s="2">
        <v>3.7613235068938802</v>
      </c>
      <c r="AD5116" s="2"/>
      <c r="AE5116" s="2">
        <v>4.9763343947843E-2</v>
      </c>
      <c r="AF5116" s="2">
        <v>1860.3676520455101</v>
      </c>
      <c r="AG5116" s="2">
        <v>3830.9537996505501</v>
      </c>
      <c r="AH5116" s="4">
        <v>0.485614744875078</v>
      </c>
      <c r="AI5116" s="4">
        <v>-1.04211586761996</v>
      </c>
      <c r="AJ5116" s="4" t="s">
        <v>62</v>
      </c>
      <c r="AK5116" s="2">
        <v>0.57046757828118999</v>
      </c>
      <c r="AL5116" s="2">
        <v>0.78325289930816699</v>
      </c>
      <c r="AM5116" s="2">
        <v>9112.5169395106404</v>
      </c>
      <c r="AN5116" s="2">
        <v>59.427547937686299</v>
      </c>
      <c r="AO5116" s="2">
        <v>8.559877937157E-6</v>
      </c>
      <c r="AP5116" s="2">
        <v>769.39806281637402</v>
      </c>
      <c r="AQ5116" s="2">
        <v>1178.8641237039501</v>
      </c>
      <c r="AR5116" s="2">
        <v>41.9992297445554</v>
      </c>
      <c r="AS5116" s="2">
        <v>1614.5748612299101</v>
      </c>
      <c r="AT5116" s="2">
        <v>610.53743893773901</v>
      </c>
      <c r="AU5116" s="2">
        <v>18918.906907155</v>
      </c>
      <c r="AV5116" s="2">
        <v>296.154255107854</v>
      </c>
      <c r="AW5116" s="2">
        <v>499.24188548903197</v>
      </c>
      <c r="AX5116" s="2">
        <v>1046.3074499837901</v>
      </c>
    </row>
    <row r="5117" spans="1:50" x14ac:dyDescent="0.25">
      <c r="A5117" s="2" t="s">
        <v>33496</v>
      </c>
      <c r="B5117" s="2">
        <v>192.03293990738601</v>
      </c>
      <c r="C5117" s="2">
        <v>0.75593333333333301</v>
      </c>
      <c r="D5117" s="2" t="s">
        <v>51</v>
      </c>
      <c r="E5117" s="2" t="s">
        <v>33497</v>
      </c>
      <c r="F5117" s="2">
        <v>200224</v>
      </c>
      <c r="G5117" s="3" t="str">
        <f>HYPERLINK("https://cloud.oebiotech.com/#/lm/network/200224", "https://cloud.oebiotech.com/#/lm/network/200224")</f>
        <v>https://cloud.oebiotech.com/#/lm/network/200224</v>
      </c>
      <c r="H5117" s="2" t="s">
        <v>33498</v>
      </c>
      <c r="I5117" s="2"/>
      <c r="J5117" s="2"/>
      <c r="K5117" s="2">
        <v>98342</v>
      </c>
      <c r="L5117" s="2"/>
      <c r="M5117" s="2"/>
      <c r="N5117" s="2"/>
      <c r="O5117" s="2"/>
      <c r="P5117" s="2"/>
      <c r="Q5117" s="2"/>
      <c r="R5117" s="2"/>
      <c r="S5117" s="2" t="s">
        <v>33499</v>
      </c>
      <c r="T5117" s="2" t="s">
        <v>33500</v>
      </c>
      <c r="U5117" s="2" t="s">
        <v>103</v>
      </c>
      <c r="V5117" s="2" t="s">
        <v>104</v>
      </c>
      <c r="W5117" s="2" t="s">
        <v>105</v>
      </c>
      <c r="X5117" s="2" t="s">
        <v>147</v>
      </c>
      <c r="Y5117" s="2">
        <v>43.7</v>
      </c>
      <c r="Z5117" s="2">
        <v>42.8</v>
      </c>
      <c r="AA5117" s="2" t="s">
        <v>259</v>
      </c>
      <c r="AB5117" s="2" t="s">
        <v>33501</v>
      </c>
      <c r="AC5117" s="2">
        <v>2.2756351006983699</v>
      </c>
      <c r="AD5117" s="2"/>
      <c r="AE5117" s="2">
        <v>4.97559486189132E-2</v>
      </c>
      <c r="AF5117" s="2">
        <v>7080.3146671185104</v>
      </c>
      <c r="AG5117" s="2">
        <v>8070.3335468782798</v>
      </c>
      <c r="AH5117" s="4">
        <v>0.87732615089462895</v>
      </c>
      <c r="AI5117" s="4">
        <v>-0.18881482256492799</v>
      </c>
      <c r="AJ5117" s="4" t="s">
        <v>62</v>
      </c>
      <c r="AK5117" s="2">
        <v>0.75505533831301996</v>
      </c>
      <c r="AL5117" s="2">
        <v>0.88955174233736001</v>
      </c>
      <c r="AM5117" s="2">
        <v>18922.250763726599</v>
      </c>
      <c r="AN5117" s="2">
        <v>4378.7217943889</v>
      </c>
      <c r="AO5117" s="2">
        <v>4299.8701777795304</v>
      </c>
      <c r="AP5117" s="2">
        <v>5290.76075432777</v>
      </c>
      <c r="AQ5117" s="2">
        <v>4552.8942226808003</v>
      </c>
      <c r="AR5117" s="2">
        <v>5037.3902898074803</v>
      </c>
      <c r="AS5117" s="2">
        <v>4797.1209696402002</v>
      </c>
      <c r="AT5117" s="2">
        <v>9799.9678987333009</v>
      </c>
      <c r="AU5117" s="2">
        <v>17188.934231038402</v>
      </c>
      <c r="AV5117" s="2">
        <v>5336.9443294317398</v>
      </c>
      <c r="AW5117" s="2">
        <v>6307.3594488580402</v>
      </c>
      <c r="AX5117" s="2">
        <v>4991.6744035679703</v>
      </c>
    </row>
    <row r="5118" spans="1:50" x14ac:dyDescent="0.25">
      <c r="A5118" s="2" t="s">
        <v>33502</v>
      </c>
      <c r="B5118" s="2">
        <v>369.26466784140001</v>
      </c>
      <c r="C5118" s="2">
        <v>10.76145</v>
      </c>
      <c r="D5118" s="2" t="s">
        <v>51</v>
      </c>
      <c r="E5118" s="2" t="s">
        <v>33503</v>
      </c>
      <c r="F5118" s="2">
        <v>213605</v>
      </c>
      <c r="G5118" s="3" t="str">
        <f>HYPERLINK("https://cloud.oebiotech.com/#/lm/network/213605", "https://cloud.oebiotech.com/#/lm/network/213605")</f>
        <v>https://cloud.oebiotech.com/#/lm/network/213605</v>
      </c>
      <c r="H5118" s="2" t="s">
        <v>33504</v>
      </c>
      <c r="I5118" s="2"/>
      <c r="J5118" s="2"/>
      <c r="K5118" s="2"/>
      <c r="L5118" s="2"/>
      <c r="M5118" s="2"/>
      <c r="N5118" s="2"/>
      <c r="O5118" s="2"/>
      <c r="P5118" s="2"/>
      <c r="Q5118" s="2"/>
      <c r="R5118" s="2"/>
      <c r="S5118" s="2" t="s">
        <v>33505</v>
      </c>
      <c r="T5118" s="2" t="s">
        <v>33506</v>
      </c>
      <c r="U5118" s="2" t="s">
        <v>56</v>
      </c>
      <c r="V5118" s="2" t="s">
        <v>3215</v>
      </c>
      <c r="W5118" s="2" t="s">
        <v>4174</v>
      </c>
      <c r="X5118" s="2" t="s">
        <v>83</v>
      </c>
      <c r="Y5118" s="2">
        <v>54.3</v>
      </c>
      <c r="Z5118" s="2">
        <v>0</v>
      </c>
      <c r="AA5118" s="2" t="s">
        <v>163</v>
      </c>
      <c r="AB5118" s="2" t="s">
        <v>4175</v>
      </c>
      <c r="AC5118" s="2">
        <v>5.38980627496944E-2</v>
      </c>
      <c r="AD5118" s="2"/>
      <c r="AE5118" s="2">
        <v>4.9754887908641403E-2</v>
      </c>
      <c r="AF5118" s="2">
        <v>670.47365290669802</v>
      </c>
      <c r="AG5118" s="2">
        <v>1163.9944349719201</v>
      </c>
      <c r="AH5118" s="4">
        <v>0.57601104675631198</v>
      </c>
      <c r="AI5118" s="4">
        <v>-0.79583161490774801</v>
      </c>
      <c r="AJ5118" s="4" t="s">
        <v>62</v>
      </c>
      <c r="AK5118" s="2">
        <v>0.50446599044082296</v>
      </c>
      <c r="AL5118" s="2">
        <v>0.74116672410604201</v>
      </c>
      <c r="AM5118" s="2">
        <v>1308.5979111599299</v>
      </c>
      <c r="AN5118" s="2">
        <v>546.71435175394402</v>
      </c>
      <c r="AO5118" s="2">
        <v>158.23201045152999</v>
      </c>
      <c r="AP5118" s="2">
        <v>700.17065318627203</v>
      </c>
      <c r="AQ5118" s="2">
        <v>186.116932905281</v>
      </c>
      <c r="AR5118" s="2">
        <v>1123.0100579832299</v>
      </c>
      <c r="AS5118" s="2">
        <v>484.14088810598702</v>
      </c>
      <c r="AT5118" s="2">
        <v>289.72120236039598</v>
      </c>
      <c r="AU5118" s="2">
        <v>4567.3755743024303</v>
      </c>
      <c r="AV5118" s="2">
        <v>686.38840958996695</v>
      </c>
      <c r="AW5118" s="2">
        <v>741.83059005462599</v>
      </c>
      <c r="AX5118" s="2">
        <v>214.50994541811099</v>
      </c>
    </row>
    <row r="5119" spans="1:50" x14ac:dyDescent="0.25">
      <c r="A5119" s="2" t="s">
        <v>33507</v>
      </c>
      <c r="B5119" s="2">
        <v>346.12306911546602</v>
      </c>
      <c r="C5119" s="2">
        <v>4.9970999999999997</v>
      </c>
      <c r="D5119" s="2" t="s">
        <v>51</v>
      </c>
      <c r="E5119" s="2" t="s">
        <v>33508</v>
      </c>
      <c r="F5119" s="2">
        <v>47708</v>
      </c>
      <c r="G5119" s="3" t="str">
        <f>HYPERLINK("https://cloud.oebiotech.com/#/lm/network/47708", "https://cloud.oebiotech.com/#/lm/network/47708")</f>
        <v>https://cloud.oebiotech.com/#/lm/network/47708</v>
      </c>
      <c r="H5119" s="2" t="s">
        <v>33509</v>
      </c>
      <c r="I5119" s="2">
        <v>1632</v>
      </c>
      <c r="J5119" s="2"/>
      <c r="K5119" s="2">
        <v>4594</v>
      </c>
      <c r="L5119" s="2" t="s">
        <v>33510</v>
      </c>
      <c r="M5119" s="2"/>
      <c r="N5119" s="2"/>
      <c r="O5119" s="2">
        <v>77260</v>
      </c>
      <c r="P5119" s="2"/>
      <c r="Q5119" s="2"/>
      <c r="R5119" s="2" t="s">
        <v>33511</v>
      </c>
      <c r="S5119" s="2" t="s">
        <v>33512</v>
      </c>
      <c r="T5119" s="2" t="s">
        <v>33513</v>
      </c>
      <c r="U5119" s="2" t="s">
        <v>266</v>
      </c>
      <c r="V5119" s="2" t="s">
        <v>2963</v>
      </c>
      <c r="W5119" s="2" t="s">
        <v>2964</v>
      </c>
      <c r="X5119" s="2" t="s">
        <v>59</v>
      </c>
      <c r="Y5119" s="2">
        <v>57.1</v>
      </c>
      <c r="Z5119" s="2">
        <v>94.3</v>
      </c>
      <c r="AA5119" s="2" t="s">
        <v>196</v>
      </c>
      <c r="AB5119" s="2" t="s">
        <v>33514</v>
      </c>
      <c r="AC5119" s="2">
        <v>3.1299768377155699</v>
      </c>
      <c r="AD5119" s="2"/>
      <c r="AE5119" s="2">
        <v>4.9583265133380003E-2</v>
      </c>
      <c r="AF5119" s="2">
        <v>14.6305646697756</v>
      </c>
      <c r="AG5119" s="2">
        <v>167.25935988540499</v>
      </c>
      <c r="AH5119" s="4">
        <v>8.7472322504399305E-2</v>
      </c>
      <c r="AI5119" s="4">
        <v>-3.51502958999802</v>
      </c>
      <c r="AJ5119" s="4" t="s">
        <v>62</v>
      </c>
      <c r="AK5119" s="2">
        <v>0.17771454351600999</v>
      </c>
      <c r="AL5119" s="2">
        <v>0.50016964033448896</v>
      </c>
      <c r="AM5119" s="2">
        <v>8.559877937157E-6</v>
      </c>
      <c r="AN5119" s="2">
        <v>1.6297588353230601</v>
      </c>
      <c r="AO5119" s="2">
        <v>12.608049488199899</v>
      </c>
      <c r="AP5119" s="2">
        <v>8.559877937157E-6</v>
      </c>
      <c r="AQ5119" s="2">
        <v>71.717135254582004</v>
      </c>
      <c r="AR5119" s="2">
        <v>1.8284273207924699</v>
      </c>
      <c r="AS5119" s="2">
        <v>129.48251741457199</v>
      </c>
      <c r="AT5119" s="2">
        <v>677.64798488894405</v>
      </c>
      <c r="AU5119" s="2">
        <v>15.1860110781624</v>
      </c>
      <c r="AV5119" s="2">
        <v>47.920769323265901</v>
      </c>
      <c r="AW5119" s="2">
        <v>133.31886804760899</v>
      </c>
      <c r="AX5119" s="2">
        <v>8.559877937157E-6</v>
      </c>
    </row>
    <row r="5120" spans="1:50" x14ac:dyDescent="0.25">
      <c r="A5120" s="2" t="s">
        <v>33515</v>
      </c>
      <c r="B5120" s="2">
        <v>223.097197565843</v>
      </c>
      <c r="C5120" s="2">
        <v>6.4135499999999999</v>
      </c>
      <c r="D5120" s="2" t="s">
        <v>51</v>
      </c>
      <c r="E5120" s="2" t="s">
        <v>33516</v>
      </c>
      <c r="F5120" s="2">
        <v>6337</v>
      </c>
      <c r="G5120" s="3" t="str">
        <f>HYPERLINK("https://cloud.oebiotech.com/#/lm/network/6337", "https://cloud.oebiotech.com/#/lm/network/6337")</f>
        <v>https://cloud.oebiotech.com/#/lm/network/6337</v>
      </c>
      <c r="H5120" s="2"/>
      <c r="I5120" s="2"/>
      <c r="J5120" s="2" t="s">
        <v>33517</v>
      </c>
      <c r="K5120" s="2">
        <v>15316212</v>
      </c>
      <c r="L5120" s="2"/>
      <c r="M5120" s="2"/>
      <c r="N5120" s="2"/>
      <c r="O5120" s="2">
        <v>66037</v>
      </c>
      <c r="P5120" s="2"/>
      <c r="Q5120" s="2"/>
      <c r="R5120" s="2"/>
      <c r="S5120" s="2" t="s">
        <v>33518</v>
      </c>
      <c r="T5120" s="2" t="s">
        <v>33519</v>
      </c>
      <c r="U5120" s="2" t="s">
        <v>56</v>
      </c>
      <c r="V5120" s="2" t="s">
        <v>145</v>
      </c>
      <c r="W5120" s="2" t="s">
        <v>146</v>
      </c>
      <c r="X5120" s="2" t="s">
        <v>83</v>
      </c>
      <c r="Y5120" s="2">
        <v>44.7</v>
      </c>
      <c r="Z5120" s="2">
        <v>0</v>
      </c>
      <c r="AA5120" s="2" t="s">
        <v>218</v>
      </c>
      <c r="AB5120" s="2" t="s">
        <v>18413</v>
      </c>
      <c r="AC5120" s="2">
        <v>-2.1616709569804202</v>
      </c>
      <c r="AD5120" s="2"/>
      <c r="AE5120" s="2">
        <v>4.95392961401801E-2</v>
      </c>
      <c r="AF5120" s="2">
        <v>904.84292747811401</v>
      </c>
      <c r="AG5120" s="2">
        <v>777.45653510216698</v>
      </c>
      <c r="AH5120" s="5">
        <v>1.16385017891606</v>
      </c>
      <c r="AI5120" s="5">
        <v>0.21890535373902401</v>
      </c>
      <c r="AJ5120" s="5" t="s">
        <v>139</v>
      </c>
      <c r="AK5120" s="2">
        <v>0.46163453657050302</v>
      </c>
      <c r="AL5120" s="2">
        <v>0.711506812985222</v>
      </c>
      <c r="AM5120" s="2">
        <v>897.56971987378495</v>
      </c>
      <c r="AN5120" s="2">
        <v>1454.49801165752</v>
      </c>
      <c r="AO5120" s="2">
        <v>790.37835544073903</v>
      </c>
      <c r="AP5120" s="2">
        <v>625.36459501906097</v>
      </c>
      <c r="AQ5120" s="2">
        <v>724.69012789796102</v>
      </c>
      <c r="AR5120" s="2">
        <v>936.55675497962102</v>
      </c>
      <c r="AS5120" s="2">
        <v>1076.64047467656</v>
      </c>
      <c r="AT5120" s="2">
        <v>435.74726795383702</v>
      </c>
      <c r="AU5120" s="2">
        <v>1124.3394820042499</v>
      </c>
      <c r="AV5120" s="2">
        <v>531.60805563482597</v>
      </c>
      <c r="AW5120" s="2">
        <v>661.40436046358298</v>
      </c>
      <c r="AX5120" s="2">
        <v>834.99956987994403</v>
      </c>
    </row>
    <row r="5121" spans="1:50" x14ac:dyDescent="0.25">
      <c r="A5121" s="2" t="s">
        <v>33520</v>
      </c>
      <c r="B5121" s="2">
        <v>397.33242706910499</v>
      </c>
      <c r="C5121" s="2">
        <v>15.4785166666667</v>
      </c>
      <c r="D5121" s="2" t="s">
        <v>51</v>
      </c>
      <c r="E5121" s="2" t="s">
        <v>33521</v>
      </c>
      <c r="F5121" s="2">
        <v>599</v>
      </c>
      <c r="G5121" s="3" t="str">
        <f>HYPERLINK("https://cloud.oebiotech.com/#/lm/network/599", "https://cloud.oebiotech.com/#/lm/network/599")</f>
        <v>https://cloud.oebiotech.com/#/lm/network/599</v>
      </c>
      <c r="H5121" s="2"/>
      <c r="I5121" s="2">
        <v>34770</v>
      </c>
      <c r="J5121" s="2" t="s">
        <v>33522</v>
      </c>
      <c r="K5121" s="2">
        <v>543855</v>
      </c>
      <c r="L5121" s="2"/>
      <c r="M5121" s="2"/>
      <c r="N5121" s="2"/>
      <c r="O5121" s="2">
        <v>73736</v>
      </c>
      <c r="P5121" s="2"/>
      <c r="Q5121" s="2"/>
      <c r="R5121" s="2"/>
      <c r="S5121" s="2" t="s">
        <v>33523</v>
      </c>
      <c r="T5121" s="2" t="s">
        <v>33524</v>
      </c>
      <c r="U5121" s="2" t="s">
        <v>56</v>
      </c>
      <c r="V5121" s="2" t="s">
        <v>145</v>
      </c>
      <c r="W5121" s="2" t="s">
        <v>231</v>
      </c>
      <c r="X5121" s="2" t="s">
        <v>83</v>
      </c>
      <c r="Y5121" s="2">
        <v>40.9</v>
      </c>
      <c r="Z5121" s="2">
        <v>0</v>
      </c>
      <c r="AA5121" s="2" t="s">
        <v>218</v>
      </c>
      <c r="AB5121" s="2" t="s">
        <v>33525</v>
      </c>
      <c r="AC5121" s="2">
        <v>0.26551190006805597</v>
      </c>
      <c r="AD5121" s="2"/>
      <c r="AE5121" s="2">
        <v>4.9447471616583201E-2</v>
      </c>
      <c r="AF5121" s="2">
        <v>419.53017488446301</v>
      </c>
      <c r="AG5121" s="2">
        <v>652.01383440172003</v>
      </c>
      <c r="AH5121" s="4">
        <v>0.64343753575323903</v>
      </c>
      <c r="AI5121" s="4">
        <v>-0.63612799497770001</v>
      </c>
      <c r="AJ5121" s="4" t="s">
        <v>62</v>
      </c>
      <c r="AK5121" s="2">
        <v>0.42325625265424299</v>
      </c>
      <c r="AL5121" s="2">
        <v>0.683406571622166</v>
      </c>
      <c r="AM5121" s="2">
        <v>248.943633286877</v>
      </c>
      <c r="AN5121" s="2">
        <v>276.92056540836001</v>
      </c>
      <c r="AO5121" s="2">
        <v>398.81482575369199</v>
      </c>
      <c r="AP5121" s="2">
        <v>501.29092014722499</v>
      </c>
      <c r="AQ5121" s="2">
        <v>419.29096720899599</v>
      </c>
      <c r="AR5121" s="2">
        <v>671.92013750163096</v>
      </c>
      <c r="AS5121" s="2">
        <v>1470.5405837108899</v>
      </c>
      <c r="AT5121" s="2">
        <v>1116.4382037399901</v>
      </c>
      <c r="AU5121" s="2">
        <v>1151.74515911769</v>
      </c>
      <c r="AV5121" s="2">
        <v>8.559877937157E-6</v>
      </c>
      <c r="AW5121" s="2">
        <v>31.896830386631301</v>
      </c>
      <c r="AX5121" s="2">
        <v>141.46222089524301</v>
      </c>
    </row>
    <row r="5122" spans="1:50" x14ac:dyDescent="0.25">
      <c r="A5122" s="2" t="s">
        <v>33526</v>
      </c>
      <c r="B5122" s="2">
        <v>334.038406470523</v>
      </c>
      <c r="C5122" s="2">
        <v>4.8935333333333304</v>
      </c>
      <c r="D5122" s="2" t="s">
        <v>51</v>
      </c>
      <c r="E5122" s="2" t="s">
        <v>33527</v>
      </c>
      <c r="F5122" s="2">
        <v>211136</v>
      </c>
      <c r="G5122" s="3" t="str">
        <f>HYPERLINK("https://cloud.oebiotech.com/#/lm/network/211136", "https://cloud.oebiotech.com/#/lm/network/211136")</f>
        <v>https://cloud.oebiotech.com/#/lm/network/211136</v>
      </c>
      <c r="H5122" s="2" t="s">
        <v>33528</v>
      </c>
      <c r="I5122" s="2"/>
      <c r="J5122" s="2"/>
      <c r="K5122" s="2">
        <v>18730125</v>
      </c>
      <c r="L5122" s="2"/>
      <c r="M5122" s="2"/>
      <c r="N5122" s="2"/>
      <c r="O5122" s="2"/>
      <c r="P5122" s="2"/>
      <c r="Q5122" s="2"/>
      <c r="R5122" s="2"/>
      <c r="S5122" s="2" t="s">
        <v>33529</v>
      </c>
      <c r="T5122" s="2" t="s">
        <v>33530</v>
      </c>
      <c r="U5122" s="2" t="s">
        <v>103</v>
      </c>
      <c r="V5122" s="2" t="s">
        <v>4820</v>
      </c>
      <c r="W5122" s="2" t="s">
        <v>10925</v>
      </c>
      <c r="X5122" s="2" t="s">
        <v>147</v>
      </c>
      <c r="Y5122" s="2">
        <v>36.9</v>
      </c>
      <c r="Z5122" s="2">
        <v>0</v>
      </c>
      <c r="AA5122" s="2" t="s">
        <v>122</v>
      </c>
      <c r="AB5122" s="2" t="s">
        <v>33531</v>
      </c>
      <c r="AC5122" s="2">
        <v>-2.4481639205110102</v>
      </c>
      <c r="AD5122" s="2"/>
      <c r="AE5122" s="2">
        <v>4.9261216850376502E-2</v>
      </c>
      <c r="AF5122" s="2">
        <v>1284.2472836531399</v>
      </c>
      <c r="AG5122" s="2">
        <v>1020.00764449692</v>
      </c>
      <c r="AH5122" s="5">
        <v>1.2590565282346999</v>
      </c>
      <c r="AI5122" s="5">
        <v>0.33234305761855498</v>
      </c>
      <c r="AJ5122" s="5" t="s">
        <v>139</v>
      </c>
      <c r="AK5122" s="2">
        <v>0.62169725589347702</v>
      </c>
      <c r="AL5122" s="2">
        <v>0.81282021762598</v>
      </c>
      <c r="AM5122" s="2">
        <v>2157.35771363819</v>
      </c>
      <c r="AN5122" s="2">
        <v>982.25569396134404</v>
      </c>
      <c r="AO5122" s="2">
        <v>1185.41770207391</v>
      </c>
      <c r="AP5122" s="2">
        <v>2888.4122002812101</v>
      </c>
      <c r="AQ5122" s="2">
        <v>152.85471280598</v>
      </c>
      <c r="AR5122" s="2">
        <v>339.18567915820603</v>
      </c>
      <c r="AS5122" s="2">
        <v>2289.2580044233</v>
      </c>
      <c r="AT5122" s="2">
        <v>1164.9244915859199</v>
      </c>
      <c r="AU5122" s="2">
        <v>762.91063299923997</v>
      </c>
      <c r="AV5122" s="2">
        <v>196.91006644199101</v>
      </c>
      <c r="AW5122" s="2">
        <v>993.21967656570905</v>
      </c>
      <c r="AX5122" s="2">
        <v>712.82299496534199</v>
      </c>
    </row>
    <row r="5123" spans="1:50" x14ac:dyDescent="0.25">
      <c r="A5123" s="2" t="s">
        <v>33532</v>
      </c>
      <c r="B5123" s="2">
        <v>363.23470544595</v>
      </c>
      <c r="C5123" s="2">
        <v>10.885066666666701</v>
      </c>
      <c r="D5123" s="2" t="s">
        <v>51</v>
      </c>
      <c r="E5123" s="2" t="s">
        <v>33533</v>
      </c>
      <c r="F5123" s="2">
        <v>44872</v>
      </c>
      <c r="G5123" s="3" t="str">
        <f>HYPERLINK("https://cloud.oebiotech.com/#/lm/network/44872", "https://cloud.oebiotech.com/#/lm/network/44872")</f>
        <v>https://cloud.oebiotech.com/#/lm/network/44872</v>
      </c>
      <c r="H5123" s="2" t="s">
        <v>33534</v>
      </c>
      <c r="I5123" s="2">
        <v>41830</v>
      </c>
      <c r="J5123" s="2" t="s">
        <v>33535</v>
      </c>
      <c r="K5123" s="2">
        <v>9046</v>
      </c>
      <c r="L5123" s="2" t="s">
        <v>33536</v>
      </c>
      <c r="M5123" s="2"/>
      <c r="N5123" s="2"/>
      <c r="O5123" s="2">
        <v>8716</v>
      </c>
      <c r="P5123" s="2"/>
      <c r="Q5123" s="2"/>
      <c r="R5123" s="2" t="s">
        <v>33537</v>
      </c>
      <c r="S5123" s="2" t="s">
        <v>33538</v>
      </c>
      <c r="T5123" s="2" t="s">
        <v>33539</v>
      </c>
      <c r="U5123" s="2" t="s">
        <v>56</v>
      </c>
      <c r="V5123" s="2" t="s">
        <v>283</v>
      </c>
      <c r="W5123" s="2" t="s">
        <v>1944</v>
      </c>
      <c r="X5123" s="2" t="s">
        <v>147</v>
      </c>
      <c r="Y5123" s="2">
        <v>36</v>
      </c>
      <c r="Z5123" s="2">
        <v>0</v>
      </c>
      <c r="AA5123" s="2" t="s">
        <v>163</v>
      </c>
      <c r="AB5123" s="2" t="s">
        <v>33540</v>
      </c>
      <c r="AC5123" s="2">
        <v>4.8089487227601699</v>
      </c>
      <c r="AD5123" s="2"/>
      <c r="AE5123" s="2">
        <v>4.9252909562694E-2</v>
      </c>
      <c r="AF5123" s="2">
        <v>1641.0261544964301</v>
      </c>
      <c r="AG5123" s="2">
        <v>1834.3935453721101</v>
      </c>
      <c r="AH5123" s="4">
        <v>0.89458783729177505</v>
      </c>
      <c r="AI5123" s="4">
        <v>-0.16070495111909999</v>
      </c>
      <c r="AJ5123" s="4" t="s">
        <v>62</v>
      </c>
      <c r="AK5123" s="2">
        <v>0.66888454151325305</v>
      </c>
      <c r="AL5123" s="2">
        <v>0.84063664753687195</v>
      </c>
      <c r="AM5123" s="2">
        <v>1201.7591736484801</v>
      </c>
      <c r="AN5123" s="2">
        <v>1569.8181014514</v>
      </c>
      <c r="AO5123" s="2">
        <v>2461.41195385318</v>
      </c>
      <c r="AP5123" s="2">
        <v>1105.36838592853</v>
      </c>
      <c r="AQ5123" s="2">
        <v>1342.48655474516</v>
      </c>
      <c r="AR5123" s="2">
        <v>2165.31275735183</v>
      </c>
      <c r="AS5123" s="2">
        <v>2730.9093383530899</v>
      </c>
      <c r="AT5123" s="2">
        <v>1432.29545844479</v>
      </c>
      <c r="AU5123" s="2">
        <v>1659.03822470009</v>
      </c>
      <c r="AV5123" s="2">
        <v>1570.31329203114</v>
      </c>
      <c r="AW5123" s="2">
        <v>3069.6860948966801</v>
      </c>
      <c r="AX5123" s="2">
        <v>544.11886380688497</v>
      </c>
    </row>
    <row r="5124" spans="1:50" x14ac:dyDescent="0.25">
      <c r="A5124" s="2" t="s">
        <v>33541</v>
      </c>
      <c r="B5124" s="2">
        <v>328.32197144887198</v>
      </c>
      <c r="C5124" s="2">
        <v>9.9498999999999995</v>
      </c>
      <c r="D5124" s="2" t="s">
        <v>51</v>
      </c>
      <c r="E5124" s="2" t="s">
        <v>33542</v>
      </c>
      <c r="F5124" s="2">
        <v>256947</v>
      </c>
      <c r="G5124" s="3" t="str">
        <f>HYPERLINK("https://cloud.oebiotech.com/#/lm/network/256947", "https://cloud.oebiotech.com/#/lm/network/256947")</f>
        <v>https://cloud.oebiotech.com/#/lm/network/256947</v>
      </c>
      <c r="H5124" s="2" t="s">
        <v>33543</v>
      </c>
      <c r="I5124" s="2"/>
      <c r="J5124" s="2"/>
      <c r="K5124" s="2"/>
      <c r="L5124" s="2"/>
      <c r="M5124" s="2"/>
      <c r="N5124" s="2"/>
      <c r="O5124" s="2"/>
      <c r="P5124" s="2"/>
      <c r="Q5124" s="2"/>
      <c r="R5124" s="2"/>
      <c r="S5124" s="2" t="s">
        <v>33544</v>
      </c>
      <c r="T5124" s="2" t="s">
        <v>33545</v>
      </c>
      <c r="U5124" s="2" t="s">
        <v>331</v>
      </c>
      <c r="V5124" s="2" t="s">
        <v>332</v>
      </c>
      <c r="W5124" s="2" t="s">
        <v>1207</v>
      </c>
      <c r="X5124" s="2" t="s">
        <v>147</v>
      </c>
      <c r="Y5124" s="2">
        <v>38.5</v>
      </c>
      <c r="Z5124" s="2">
        <v>0</v>
      </c>
      <c r="AA5124" s="2" t="s">
        <v>122</v>
      </c>
      <c r="AB5124" s="2" t="s">
        <v>33546</v>
      </c>
      <c r="AC5124" s="2">
        <v>1.2693592806688001</v>
      </c>
      <c r="AD5124" s="2"/>
      <c r="AE5124" s="2">
        <v>4.9173748787374703E-2</v>
      </c>
      <c r="AF5124" s="2">
        <v>8065.4380860864803</v>
      </c>
      <c r="AG5124" s="2">
        <v>8240.6048640468798</v>
      </c>
      <c r="AH5124" s="4">
        <v>0.97874345623284997</v>
      </c>
      <c r="AI5124" s="4">
        <v>-3.0997338145983301E-2</v>
      </c>
      <c r="AJ5124" s="4" t="s">
        <v>62</v>
      </c>
      <c r="AK5124" s="2">
        <v>0.75928254182856603</v>
      </c>
      <c r="AL5124" s="2">
        <v>0.89152062866139503</v>
      </c>
      <c r="AM5124" s="2">
        <v>6717.3390647658198</v>
      </c>
      <c r="AN5124" s="2">
        <v>8794.1342006888699</v>
      </c>
      <c r="AO5124" s="2">
        <v>8876.9772985583404</v>
      </c>
      <c r="AP5124" s="2">
        <v>8593.63813876526</v>
      </c>
      <c r="AQ5124" s="2">
        <v>8426.3913230313501</v>
      </c>
      <c r="AR5124" s="2">
        <v>6984.1484907092399</v>
      </c>
      <c r="AS5124" s="2">
        <v>8830.0290167759103</v>
      </c>
      <c r="AT5124" s="2">
        <v>8959.0463299193107</v>
      </c>
      <c r="AU5124" s="2">
        <v>6807.2574224673199</v>
      </c>
      <c r="AV5124" s="2">
        <v>7807.7409717569499</v>
      </c>
      <c r="AW5124" s="2">
        <v>7673.0584595518503</v>
      </c>
      <c r="AX5124" s="2">
        <v>9366.4969838099496</v>
      </c>
    </row>
    <row r="5125" spans="1:50" x14ac:dyDescent="0.25">
      <c r="A5125" s="2" t="s">
        <v>33547</v>
      </c>
      <c r="B5125" s="2">
        <v>803.39480960030903</v>
      </c>
      <c r="C5125" s="2">
        <v>4.9007166666666704</v>
      </c>
      <c r="D5125" s="2" t="s">
        <v>51</v>
      </c>
      <c r="E5125" s="2" t="s">
        <v>33548</v>
      </c>
      <c r="F5125" s="2">
        <v>28004</v>
      </c>
      <c r="G5125" s="3" t="str">
        <f>HYPERLINK("https://cloud.oebiotech.com/#/lm/network/28004", "https://cloud.oebiotech.com/#/lm/network/28004")</f>
        <v>https://cloud.oebiotech.com/#/lm/network/28004</v>
      </c>
      <c r="H5125" s="2"/>
      <c r="I5125" s="2"/>
      <c r="J5125" s="2" t="s">
        <v>33549</v>
      </c>
      <c r="K5125" s="2">
        <v>134812451</v>
      </c>
      <c r="L5125" s="2"/>
      <c r="M5125" s="2"/>
      <c r="N5125" s="2"/>
      <c r="O5125" s="2"/>
      <c r="P5125" s="2"/>
      <c r="Q5125" s="2"/>
      <c r="R5125" s="2"/>
      <c r="S5125" s="2" t="s">
        <v>33550</v>
      </c>
      <c r="T5125" s="2" t="s">
        <v>33551</v>
      </c>
      <c r="U5125" s="2" t="s">
        <v>56</v>
      </c>
      <c r="V5125" s="2" t="s">
        <v>57</v>
      </c>
      <c r="W5125" s="2" t="s">
        <v>1097</v>
      </c>
      <c r="X5125" s="2" t="s">
        <v>147</v>
      </c>
      <c r="Y5125" s="2">
        <v>36.299999999999997</v>
      </c>
      <c r="Z5125" s="2">
        <v>0</v>
      </c>
      <c r="AA5125" s="2" t="s">
        <v>379</v>
      </c>
      <c r="AB5125" s="2" t="s">
        <v>33552</v>
      </c>
      <c r="AC5125" s="2">
        <v>-4.8904302088841796</v>
      </c>
      <c r="AD5125" s="2"/>
      <c r="AE5125" s="2">
        <v>4.9159273981702403E-2</v>
      </c>
      <c r="AF5125" s="2">
        <v>4492.5300156251797</v>
      </c>
      <c r="AG5125" s="2">
        <v>3543.48672414678</v>
      </c>
      <c r="AH5125" s="5">
        <v>1.2678275284654601</v>
      </c>
      <c r="AI5125" s="5">
        <v>0.34235849882791902</v>
      </c>
      <c r="AJ5125" s="5" t="s">
        <v>139</v>
      </c>
      <c r="AK5125" s="2">
        <v>0.74395299863573106</v>
      </c>
      <c r="AL5125" s="2">
        <v>0.88266909785071501</v>
      </c>
      <c r="AM5125" s="2">
        <v>4491.8621535216598</v>
      </c>
      <c r="AN5125" s="2">
        <v>8.559877937157E-6</v>
      </c>
      <c r="AO5125" s="2">
        <v>7923.7408561298898</v>
      </c>
      <c r="AP5125" s="2">
        <v>2932.6623707928202</v>
      </c>
      <c r="AQ5125" s="2">
        <v>1667.08142385018</v>
      </c>
      <c r="AR5125" s="2">
        <v>9939.8332808966406</v>
      </c>
      <c r="AS5125" s="2">
        <v>15049.089168709001</v>
      </c>
      <c r="AT5125" s="2">
        <v>3428.0075209624201</v>
      </c>
      <c r="AU5125" s="2">
        <v>8.559877937157E-6</v>
      </c>
      <c r="AV5125" s="2">
        <v>759.08703811231396</v>
      </c>
      <c r="AW5125" s="2">
        <v>8.559877937157E-6</v>
      </c>
      <c r="AX5125" s="2">
        <v>2024.7365999771901</v>
      </c>
    </row>
    <row r="5126" spans="1:50" x14ac:dyDescent="0.25">
      <c r="A5126" s="2" t="s">
        <v>33553</v>
      </c>
      <c r="B5126" s="2">
        <v>512.33654124985298</v>
      </c>
      <c r="C5126" s="2">
        <v>7.8820833333333304</v>
      </c>
      <c r="D5126" s="2" t="s">
        <v>51</v>
      </c>
      <c r="E5126" s="2" t="s">
        <v>33554</v>
      </c>
      <c r="F5126" s="2">
        <v>18118</v>
      </c>
      <c r="G5126" s="3" t="str">
        <f>HYPERLINK("https://cloud.oebiotech.com/#/lm/network/18118", "https://cloud.oebiotech.com/#/lm/network/18118")</f>
        <v>https://cloud.oebiotech.com/#/lm/network/18118</v>
      </c>
      <c r="H5126" s="2"/>
      <c r="I5126" s="2"/>
      <c r="J5126" s="2" t="s">
        <v>33555</v>
      </c>
      <c r="K5126" s="2"/>
      <c r="L5126" s="2"/>
      <c r="M5126" s="2"/>
      <c r="N5126" s="2"/>
      <c r="O5126" s="2"/>
      <c r="P5126" s="2"/>
      <c r="Q5126" s="2"/>
      <c r="R5126" s="2"/>
      <c r="S5126" s="2" t="s">
        <v>33556</v>
      </c>
      <c r="T5126" s="2" t="s">
        <v>33557</v>
      </c>
      <c r="U5126" s="2" t="s">
        <v>103</v>
      </c>
      <c r="V5126" s="2" t="s">
        <v>104</v>
      </c>
      <c r="W5126" s="2" t="s">
        <v>105</v>
      </c>
      <c r="X5126" s="2" t="s">
        <v>59</v>
      </c>
      <c r="Y5126" s="2">
        <v>54.2</v>
      </c>
      <c r="Z5126" s="2">
        <v>80.7</v>
      </c>
      <c r="AA5126" s="2" t="s">
        <v>395</v>
      </c>
      <c r="AB5126" s="2" t="s">
        <v>33558</v>
      </c>
      <c r="AC5126" s="2">
        <v>3.68592450762192</v>
      </c>
      <c r="AD5126" s="2"/>
      <c r="AE5126" s="2">
        <v>4.9105674582426102E-2</v>
      </c>
      <c r="AF5126" s="2">
        <v>45941.190565743404</v>
      </c>
      <c r="AG5126" s="2">
        <v>44286.5952572358</v>
      </c>
      <c r="AH5126" s="5">
        <v>1.03736108632639</v>
      </c>
      <c r="AI5126" s="5">
        <v>5.2918157196000397E-2</v>
      </c>
      <c r="AJ5126" s="5" t="s">
        <v>139</v>
      </c>
      <c r="AK5126" s="2">
        <v>0.91385778180078303</v>
      </c>
      <c r="AL5126" s="2">
        <v>0.96366058811687005</v>
      </c>
      <c r="AM5126" s="2">
        <v>49737.490522014297</v>
      </c>
      <c r="AN5126" s="2">
        <v>29625.0402706284</v>
      </c>
      <c r="AO5126" s="2">
        <v>42338.8365025694</v>
      </c>
      <c r="AP5126" s="2">
        <v>80101.682608311297</v>
      </c>
      <c r="AQ5126" s="2">
        <v>29766.5829426739</v>
      </c>
      <c r="AR5126" s="2">
        <v>44077.510548262901</v>
      </c>
      <c r="AS5126" s="2">
        <v>28382.625457829599</v>
      </c>
      <c r="AT5126" s="2">
        <v>27327.985137562198</v>
      </c>
      <c r="AU5126" s="2">
        <v>43740.560465380302</v>
      </c>
      <c r="AV5126" s="2">
        <v>30227.162728965399</v>
      </c>
      <c r="AW5126" s="2">
        <v>107277.387236907</v>
      </c>
      <c r="AX5126" s="2">
        <v>28763.850516770199</v>
      </c>
    </row>
    <row r="5127" spans="1:50" x14ac:dyDescent="0.25">
      <c r="A5127" s="2" t="s">
        <v>33559</v>
      </c>
      <c r="B5127" s="2">
        <v>245.10042600559299</v>
      </c>
      <c r="C5127" s="2">
        <v>1.38448333333333</v>
      </c>
      <c r="D5127" s="2" t="s">
        <v>51</v>
      </c>
      <c r="E5127" s="2" t="s">
        <v>33560</v>
      </c>
      <c r="F5127" s="2">
        <v>201291</v>
      </c>
      <c r="G5127" s="3" t="str">
        <f>HYPERLINK("https://cloud.oebiotech.com/#/lm/network/201291", "https://cloud.oebiotech.com/#/lm/network/201291")</f>
        <v>https://cloud.oebiotech.com/#/lm/network/201291</v>
      </c>
      <c r="H5127" s="2" t="s">
        <v>33561</v>
      </c>
      <c r="I5127" s="2">
        <v>44441</v>
      </c>
      <c r="J5127" s="2"/>
      <c r="K5127" s="2">
        <v>3758</v>
      </c>
      <c r="L5127" s="2" t="s">
        <v>33562</v>
      </c>
      <c r="M5127" s="2"/>
      <c r="N5127" s="2"/>
      <c r="O5127" s="2">
        <v>34795</v>
      </c>
      <c r="P5127" s="2"/>
      <c r="Q5127" s="2"/>
      <c r="R5127" s="2" t="s">
        <v>33563</v>
      </c>
      <c r="S5127" s="2" t="s">
        <v>33564</v>
      </c>
      <c r="T5127" s="2" t="s">
        <v>33565</v>
      </c>
      <c r="U5127" s="2" t="s">
        <v>266</v>
      </c>
      <c r="V5127" s="2" t="s">
        <v>2772</v>
      </c>
      <c r="W5127" s="2" t="s">
        <v>2773</v>
      </c>
      <c r="X5127" s="2" t="s">
        <v>147</v>
      </c>
      <c r="Y5127" s="2">
        <v>38.4</v>
      </c>
      <c r="Z5127" s="2">
        <v>2.0299999999999998</v>
      </c>
      <c r="AA5127" s="2" t="s">
        <v>95</v>
      </c>
      <c r="AB5127" s="2" t="s">
        <v>33566</v>
      </c>
      <c r="AC5127" s="2">
        <v>-2.11777118652522</v>
      </c>
      <c r="AD5127" s="2"/>
      <c r="AE5127" s="2">
        <v>4.9063710738736999E-2</v>
      </c>
      <c r="AF5127" s="2">
        <v>1287.4511100439499</v>
      </c>
      <c r="AG5127" s="2">
        <v>1090.6496749657299</v>
      </c>
      <c r="AH5127" s="5">
        <v>1.18044422475476</v>
      </c>
      <c r="AI5127" s="5">
        <v>0.23932987674598299</v>
      </c>
      <c r="AJ5127" s="5" t="s">
        <v>139</v>
      </c>
      <c r="AK5127" s="2">
        <v>0.39830402924951802</v>
      </c>
      <c r="AL5127" s="2">
        <v>0.66800311346169094</v>
      </c>
      <c r="AM5127" s="2">
        <v>1121.0517918686601</v>
      </c>
      <c r="AN5127" s="2">
        <v>2041.9370186183301</v>
      </c>
      <c r="AO5127" s="2">
        <v>1096.70139973955</v>
      </c>
      <c r="AP5127" s="2">
        <v>1316.51645655487</v>
      </c>
      <c r="AQ5127" s="2">
        <v>1439.0096771169999</v>
      </c>
      <c r="AR5127" s="2">
        <v>709.49031636527798</v>
      </c>
      <c r="AS5127" s="2">
        <v>1294.6262215275899</v>
      </c>
      <c r="AT5127" s="2">
        <v>872.11162398722001</v>
      </c>
      <c r="AU5127" s="2">
        <v>812.09746038216304</v>
      </c>
      <c r="AV5127" s="2">
        <v>894.49974583790299</v>
      </c>
      <c r="AW5127" s="2">
        <v>1632.06264415548</v>
      </c>
      <c r="AX5127" s="2">
        <v>1038.5003539040199</v>
      </c>
    </row>
    <row r="5128" spans="1:50" x14ac:dyDescent="0.25">
      <c r="A5128" s="2" t="s">
        <v>33567</v>
      </c>
      <c r="B5128" s="2">
        <v>280.01888328844598</v>
      </c>
      <c r="C5128" s="2">
        <v>1.2111499999999999</v>
      </c>
      <c r="D5128" s="2" t="s">
        <v>51</v>
      </c>
      <c r="E5128" s="2" t="s">
        <v>33568</v>
      </c>
      <c r="F5128" s="2">
        <v>208942</v>
      </c>
      <c r="G5128" s="3" t="str">
        <f>HYPERLINK("https://cloud.oebiotech.com/#/lm/network/208942", "https://cloud.oebiotech.com/#/lm/network/208942")</f>
        <v>https://cloud.oebiotech.com/#/lm/network/208942</v>
      </c>
      <c r="H5128" s="2" t="s">
        <v>33569</v>
      </c>
      <c r="I5128" s="2"/>
      <c r="J5128" s="2"/>
      <c r="K5128" s="2">
        <v>86098104</v>
      </c>
      <c r="L5128" s="2"/>
      <c r="M5128" s="2"/>
      <c r="N5128" s="2"/>
      <c r="O5128" s="2"/>
      <c r="P5128" s="2"/>
      <c r="Q5128" s="2"/>
      <c r="R5128" s="2"/>
      <c r="S5128" s="2" t="s">
        <v>33570</v>
      </c>
      <c r="T5128" s="2" t="s">
        <v>33571</v>
      </c>
      <c r="U5128" s="2" t="s">
        <v>610</v>
      </c>
      <c r="V5128" s="2" t="s">
        <v>611</v>
      </c>
      <c r="W5128" s="2" t="s">
        <v>1267</v>
      </c>
      <c r="X5128" s="2" t="s">
        <v>147</v>
      </c>
      <c r="Y5128" s="2">
        <v>38.4</v>
      </c>
      <c r="Z5128" s="2">
        <v>0</v>
      </c>
      <c r="AA5128" s="2" t="s">
        <v>395</v>
      </c>
      <c r="AB5128" s="2" t="s">
        <v>7833</v>
      </c>
      <c r="AC5128" s="2">
        <v>-1.69988904809439</v>
      </c>
      <c r="AD5128" s="2"/>
      <c r="AE5128" s="2">
        <v>4.9055991725473098E-2</v>
      </c>
      <c r="AF5128" s="2">
        <v>3508.7292628115802</v>
      </c>
      <c r="AG5128" s="2">
        <v>3677.2431319205698</v>
      </c>
      <c r="AH5128" s="4">
        <v>0.95417385713601599</v>
      </c>
      <c r="AI5128" s="4">
        <v>-6.7675935600253798E-2</v>
      </c>
      <c r="AJ5128" s="4" t="s">
        <v>62</v>
      </c>
      <c r="AK5128" s="2">
        <v>0.92052415349759498</v>
      </c>
      <c r="AL5128" s="2">
        <v>0.96547519393645298</v>
      </c>
      <c r="AM5128" s="2">
        <v>1003.79876612384</v>
      </c>
      <c r="AN5128" s="2">
        <v>1548.4242527675301</v>
      </c>
      <c r="AO5128" s="2">
        <v>10133.4075857561</v>
      </c>
      <c r="AP5128" s="2">
        <v>2651.3139191035998</v>
      </c>
      <c r="AQ5128" s="2">
        <v>3699.5414195946601</v>
      </c>
      <c r="AR5128" s="2">
        <v>2015.88963352373</v>
      </c>
      <c r="AS5128" s="2">
        <v>1686.2596706551601</v>
      </c>
      <c r="AT5128" s="2">
        <v>1208.9659888902499</v>
      </c>
      <c r="AU5128" s="2">
        <v>2404.3505746892802</v>
      </c>
      <c r="AV5128" s="2">
        <v>6591.7608333869703</v>
      </c>
      <c r="AW5128" s="2">
        <v>5420.8952014000897</v>
      </c>
      <c r="AX5128" s="2">
        <v>4751.2265225016799</v>
      </c>
    </row>
    <row r="5129" spans="1:50" x14ac:dyDescent="0.25">
      <c r="A5129" s="2" t="s">
        <v>33572</v>
      </c>
      <c r="B5129" s="2">
        <v>180.06570722349599</v>
      </c>
      <c r="C5129" s="2">
        <v>0.75693333333333301</v>
      </c>
      <c r="D5129" s="2" t="s">
        <v>51</v>
      </c>
      <c r="E5129" s="2" t="s">
        <v>33573</v>
      </c>
      <c r="F5129" s="2">
        <v>59073</v>
      </c>
      <c r="G5129" s="3" t="str">
        <f>HYPERLINK("https://cloud.oebiotech.com/#/lm/network/59073", "https://cloud.oebiotech.com/#/lm/network/59073")</f>
        <v>https://cloud.oebiotech.com/#/lm/network/59073</v>
      </c>
      <c r="H5129" s="2" t="s">
        <v>33574</v>
      </c>
      <c r="I5129" s="2">
        <v>90504</v>
      </c>
      <c r="J5129" s="2"/>
      <c r="K5129" s="2">
        <v>15847403</v>
      </c>
      <c r="L5129" s="2"/>
      <c r="M5129" s="2"/>
      <c r="N5129" s="2"/>
      <c r="O5129" s="2">
        <v>169272</v>
      </c>
      <c r="P5129" s="2"/>
      <c r="Q5129" s="2"/>
      <c r="R5129" s="2"/>
      <c r="S5129" s="2" t="s">
        <v>33575</v>
      </c>
      <c r="T5129" s="2" t="s">
        <v>33576</v>
      </c>
      <c r="U5129" s="2" t="s">
        <v>266</v>
      </c>
      <c r="V5129" s="2" t="s">
        <v>11919</v>
      </c>
      <c r="W5129" s="2" t="s">
        <v>240</v>
      </c>
      <c r="X5129" s="2" t="s">
        <v>147</v>
      </c>
      <c r="Y5129" s="2">
        <v>36.799999999999997</v>
      </c>
      <c r="Z5129" s="2">
        <v>0</v>
      </c>
      <c r="AA5129" s="2" t="s">
        <v>379</v>
      </c>
      <c r="AB5129" s="2" t="s">
        <v>33577</v>
      </c>
      <c r="AC5129" s="2">
        <v>-4.5686964419007303</v>
      </c>
      <c r="AD5129" s="2"/>
      <c r="AE5129" s="2">
        <v>4.9016452416254602E-2</v>
      </c>
      <c r="AF5129" s="2">
        <v>1379.8260242832901</v>
      </c>
      <c r="AG5129" s="2">
        <v>1660.74745180744</v>
      </c>
      <c r="AH5129" s="4">
        <v>0.830846389546818</v>
      </c>
      <c r="AI5129" s="4">
        <v>-0.26734632490035498</v>
      </c>
      <c r="AJ5129" s="4" t="s">
        <v>62</v>
      </c>
      <c r="AK5129" s="2">
        <v>0.60333115821540295</v>
      </c>
      <c r="AL5129" s="2">
        <v>0.80241422184696498</v>
      </c>
      <c r="AM5129" s="2">
        <v>824.58766807354198</v>
      </c>
      <c r="AN5129" s="2">
        <v>2086.7165489171398</v>
      </c>
      <c r="AO5129" s="2">
        <v>879.58878075926498</v>
      </c>
      <c r="AP5129" s="2">
        <v>1253.73612503814</v>
      </c>
      <c r="AQ5129" s="2">
        <v>1527.69856360834</v>
      </c>
      <c r="AR5129" s="2">
        <v>1706.6284593032999</v>
      </c>
      <c r="AS5129" s="2">
        <v>2801.6865932692399</v>
      </c>
      <c r="AT5129" s="2">
        <v>2969.8802012439101</v>
      </c>
      <c r="AU5129" s="2">
        <v>738.82722293909103</v>
      </c>
      <c r="AV5129" s="2">
        <v>660.59065382762799</v>
      </c>
      <c r="AW5129" s="2">
        <v>392.56610205243402</v>
      </c>
      <c r="AX5129" s="2">
        <v>2400.93393751232</v>
      </c>
    </row>
    <row r="5130" spans="1:50" x14ac:dyDescent="0.25">
      <c r="A5130" s="2" t="s">
        <v>33578</v>
      </c>
      <c r="B5130" s="2">
        <v>411.21529900033198</v>
      </c>
      <c r="C5130" s="2">
        <v>10.76145</v>
      </c>
      <c r="D5130" s="2" t="s">
        <v>51</v>
      </c>
      <c r="E5130" s="2" t="s">
        <v>33579</v>
      </c>
      <c r="F5130" s="2">
        <v>7572</v>
      </c>
      <c r="G5130" s="3" t="str">
        <f>HYPERLINK("https://cloud.oebiotech.com/#/lm/network/7572", "https://cloud.oebiotech.com/#/lm/network/7572")</f>
        <v>https://cloud.oebiotech.com/#/lm/network/7572</v>
      </c>
      <c r="H5130" s="2"/>
      <c r="I5130" s="2"/>
      <c r="J5130" s="2" t="s">
        <v>33580</v>
      </c>
      <c r="K5130" s="2">
        <v>46174141</v>
      </c>
      <c r="L5130" s="2"/>
      <c r="M5130" s="2"/>
      <c r="N5130" s="2"/>
      <c r="O5130" s="2">
        <v>66913</v>
      </c>
      <c r="P5130" s="2"/>
      <c r="Q5130" s="2"/>
      <c r="R5130" s="2"/>
      <c r="S5130" s="2" t="s">
        <v>33581</v>
      </c>
      <c r="T5130" s="2" t="s">
        <v>33582</v>
      </c>
      <c r="U5130" s="2" t="s">
        <v>56</v>
      </c>
      <c r="V5130" s="2" t="s">
        <v>177</v>
      </c>
      <c r="W5130" s="2" t="s">
        <v>178</v>
      </c>
      <c r="X5130" s="2" t="s">
        <v>83</v>
      </c>
      <c r="Y5130" s="2">
        <v>42.4</v>
      </c>
      <c r="Z5130" s="2">
        <v>0</v>
      </c>
      <c r="AA5130" s="2" t="s">
        <v>379</v>
      </c>
      <c r="AB5130" s="2" t="s">
        <v>14581</v>
      </c>
      <c r="AC5130" s="2">
        <v>-5.5752888631836202</v>
      </c>
      <c r="AD5130" s="2"/>
      <c r="AE5130" s="2">
        <v>4.9003831003438997E-2</v>
      </c>
      <c r="AF5130" s="2">
        <v>131663.30632428499</v>
      </c>
      <c r="AG5130" s="2">
        <v>134050.97382389</v>
      </c>
      <c r="AH5130" s="4">
        <v>0.98218836140093102</v>
      </c>
      <c r="AI5130" s="4">
        <v>-2.5928367699937699E-2</v>
      </c>
      <c r="AJ5130" s="4" t="s">
        <v>62</v>
      </c>
      <c r="AK5130" s="2">
        <v>0.93452499031962999</v>
      </c>
      <c r="AL5130" s="2">
        <v>0.97206808620631502</v>
      </c>
      <c r="AM5130" s="2">
        <v>201433.01458253799</v>
      </c>
      <c r="AN5130" s="2">
        <v>92932.493298951493</v>
      </c>
      <c r="AO5130" s="2">
        <v>102944.839401697</v>
      </c>
      <c r="AP5130" s="2">
        <v>84809.293316538198</v>
      </c>
      <c r="AQ5130" s="2">
        <v>143535.74887433401</v>
      </c>
      <c r="AR5130" s="2">
        <v>164324.448471654</v>
      </c>
      <c r="AS5130" s="2">
        <v>94083.066206034899</v>
      </c>
      <c r="AT5130" s="2">
        <v>101331.236083827</v>
      </c>
      <c r="AU5130" s="2">
        <v>99501.401943309</v>
      </c>
      <c r="AV5130" s="2">
        <v>197869.31637313101</v>
      </c>
      <c r="AW5130" s="2">
        <v>203852.87601161099</v>
      </c>
      <c r="AX5130" s="2">
        <v>107667.946325426</v>
      </c>
    </row>
    <row r="5131" spans="1:50" x14ac:dyDescent="0.25">
      <c r="A5131" s="2" t="s">
        <v>33583</v>
      </c>
      <c r="B5131" s="2">
        <v>249.04920081229699</v>
      </c>
      <c r="C5131" s="2">
        <v>5.2022000000000004</v>
      </c>
      <c r="D5131" s="2" t="s">
        <v>51</v>
      </c>
      <c r="E5131" s="2" t="s">
        <v>33584</v>
      </c>
      <c r="F5131" s="2">
        <v>207023</v>
      </c>
      <c r="G5131" s="3" t="str">
        <f>HYPERLINK("https://cloud.oebiotech.com/#/lm/network/207023", "https://cloud.oebiotech.com/#/lm/network/207023")</f>
        <v>https://cloud.oebiotech.com/#/lm/network/207023</v>
      </c>
      <c r="H5131" s="2" t="s">
        <v>33585</v>
      </c>
      <c r="I5131" s="2"/>
      <c r="J5131" s="2"/>
      <c r="K5131" s="2">
        <v>19390</v>
      </c>
      <c r="L5131" s="2"/>
      <c r="M5131" s="2"/>
      <c r="N5131" s="2"/>
      <c r="O5131" s="2"/>
      <c r="P5131" s="2"/>
      <c r="Q5131" s="2"/>
      <c r="R5131" s="2"/>
      <c r="S5131" s="2" t="s">
        <v>33586</v>
      </c>
      <c r="T5131" s="2" t="s">
        <v>33587</v>
      </c>
      <c r="U5131" s="2" t="s">
        <v>266</v>
      </c>
      <c r="V5131" s="2" t="s">
        <v>9702</v>
      </c>
      <c r="W5131" s="2" t="s">
        <v>9703</v>
      </c>
      <c r="X5131" s="2" t="s">
        <v>83</v>
      </c>
      <c r="Y5131" s="2">
        <v>42.7</v>
      </c>
      <c r="Z5131" s="2">
        <v>0</v>
      </c>
      <c r="AA5131" s="2" t="s">
        <v>259</v>
      </c>
      <c r="AB5131" s="2" t="s">
        <v>33588</v>
      </c>
      <c r="AC5131" s="2">
        <v>-5.6320148243372596</v>
      </c>
      <c r="AD5131" s="2"/>
      <c r="AE5131" s="2">
        <v>4.89783556032862E-2</v>
      </c>
      <c r="AF5131" s="2">
        <v>68.971235402798996</v>
      </c>
      <c r="AG5131" s="2">
        <v>378.50036197234402</v>
      </c>
      <c r="AH5131" s="4">
        <v>0.18222237633642899</v>
      </c>
      <c r="AI5131" s="4">
        <v>-2.4562279664420199</v>
      </c>
      <c r="AJ5131" s="4" t="s">
        <v>62</v>
      </c>
      <c r="AK5131" s="2">
        <v>0.40736080785935203</v>
      </c>
      <c r="AL5131" s="2">
        <v>0.67348958960205296</v>
      </c>
      <c r="AM5131" s="2">
        <v>70.463080825850199</v>
      </c>
      <c r="AN5131" s="2">
        <v>78.293231385101194</v>
      </c>
      <c r="AO5131" s="2">
        <v>148.90091627906199</v>
      </c>
      <c r="AP5131" s="2">
        <v>64.306788293072401</v>
      </c>
      <c r="AQ5131" s="2">
        <v>8.559877937157E-6</v>
      </c>
      <c r="AR5131" s="2">
        <v>51.863387073830303</v>
      </c>
      <c r="AS5131" s="2">
        <v>107.985898625771</v>
      </c>
      <c r="AT5131" s="2">
        <v>8.559877937157E-6</v>
      </c>
      <c r="AU5131" s="2">
        <v>2163.0162389687798</v>
      </c>
      <c r="AV5131" s="2">
        <v>8.559877937157E-6</v>
      </c>
      <c r="AW5131" s="2">
        <v>8.559877937157E-6</v>
      </c>
      <c r="AX5131" s="2">
        <v>8.559877937157E-6</v>
      </c>
    </row>
    <row r="5132" spans="1:50" x14ac:dyDescent="0.25">
      <c r="A5132" s="2" t="s">
        <v>33589</v>
      </c>
      <c r="B5132" s="2">
        <v>466.330320636669</v>
      </c>
      <c r="C5132" s="2">
        <v>11.381349999999999</v>
      </c>
      <c r="D5132" s="2" t="s">
        <v>51</v>
      </c>
      <c r="E5132" s="2" t="s">
        <v>33590</v>
      </c>
      <c r="F5132" s="2">
        <v>19897</v>
      </c>
      <c r="G5132" s="3" t="str">
        <f>HYPERLINK("https://cloud.oebiotech.com/#/lm/network/19897", "https://cloud.oebiotech.com/#/lm/network/19897")</f>
        <v>https://cloud.oebiotech.com/#/lm/network/19897</v>
      </c>
      <c r="H5132" s="2"/>
      <c r="I5132" s="2">
        <v>40383</v>
      </c>
      <c r="J5132" s="2" t="s">
        <v>33591</v>
      </c>
      <c r="K5132" s="2">
        <v>15755667</v>
      </c>
      <c r="L5132" s="2"/>
      <c r="M5132" s="2"/>
      <c r="N5132" s="2"/>
      <c r="O5132" s="2"/>
      <c r="P5132" s="2"/>
      <c r="Q5132" s="2"/>
      <c r="R5132" s="2"/>
      <c r="S5132" s="2" t="s">
        <v>33592</v>
      </c>
      <c r="T5132" s="2" t="s">
        <v>33593</v>
      </c>
      <c r="U5132" s="2" t="s">
        <v>56</v>
      </c>
      <c r="V5132" s="2" t="s">
        <v>57</v>
      </c>
      <c r="W5132" s="2" t="s">
        <v>58</v>
      </c>
      <c r="X5132" s="2" t="s">
        <v>59</v>
      </c>
      <c r="Y5132" s="2">
        <v>49.4</v>
      </c>
      <c r="Z5132" s="2">
        <v>54.5</v>
      </c>
      <c r="AA5132" s="2" t="s">
        <v>163</v>
      </c>
      <c r="AB5132" s="2" t="s">
        <v>4794</v>
      </c>
      <c r="AC5132" s="2">
        <v>4.7316992859243998E-2</v>
      </c>
      <c r="AD5132" s="2"/>
      <c r="AE5132" s="2">
        <v>4.8923981887998902E-2</v>
      </c>
      <c r="AF5132" s="2">
        <v>35765.579963501797</v>
      </c>
      <c r="AG5132" s="2">
        <v>37074.570197875102</v>
      </c>
      <c r="AH5132" s="4">
        <v>0.96469304357712204</v>
      </c>
      <c r="AI5132" s="4">
        <v>-5.1858131735765402E-2</v>
      </c>
      <c r="AJ5132" s="4" t="s">
        <v>62</v>
      </c>
      <c r="AK5132" s="2">
        <v>0.86414027785589398</v>
      </c>
      <c r="AL5132" s="2">
        <v>0.94118525584854995</v>
      </c>
      <c r="AM5132" s="2">
        <v>58899.857126732997</v>
      </c>
      <c r="AN5132" s="2">
        <v>37621.475019669102</v>
      </c>
      <c r="AO5132" s="2">
        <v>26149.7515407438</v>
      </c>
      <c r="AP5132" s="2">
        <v>27052.517537562399</v>
      </c>
      <c r="AQ5132" s="2">
        <v>31528.961491443199</v>
      </c>
      <c r="AR5132" s="2">
        <v>33340.917064859103</v>
      </c>
      <c r="AS5132" s="2">
        <v>28320.499631010902</v>
      </c>
      <c r="AT5132" s="2">
        <v>18978.6651877445</v>
      </c>
      <c r="AU5132" s="2">
        <v>58943.106798082503</v>
      </c>
      <c r="AV5132" s="2">
        <v>35304.506725875901</v>
      </c>
      <c r="AW5132" s="2">
        <v>44232.555438456198</v>
      </c>
      <c r="AX5132" s="2">
        <v>36668.0874060805</v>
      </c>
    </row>
    <row r="5133" spans="1:50" x14ac:dyDescent="0.25">
      <c r="A5133" s="2" t="s">
        <v>33594</v>
      </c>
      <c r="B5133" s="2">
        <v>196.14522639362301</v>
      </c>
      <c r="C5133" s="2">
        <v>5.0999999999999996</v>
      </c>
      <c r="D5133" s="2" t="s">
        <v>51</v>
      </c>
      <c r="E5133" s="2" t="s">
        <v>33595</v>
      </c>
      <c r="F5133" s="2">
        <v>199629</v>
      </c>
      <c r="G5133" s="3" t="str">
        <f>HYPERLINK("https://cloud.oebiotech.com/#/lm/network/199629", "https://cloud.oebiotech.com/#/lm/network/199629")</f>
        <v>https://cloud.oebiotech.com/#/lm/network/199629</v>
      </c>
      <c r="H5133" s="2" t="s">
        <v>33596</v>
      </c>
      <c r="I5133" s="2"/>
      <c r="J5133" s="2"/>
      <c r="K5133" s="2">
        <v>119152</v>
      </c>
      <c r="L5133" s="2"/>
      <c r="M5133" s="2"/>
      <c r="N5133" s="2"/>
      <c r="O5133" s="2"/>
      <c r="P5133" s="2"/>
      <c r="Q5133" s="2"/>
      <c r="R5133" s="2"/>
      <c r="S5133" s="2" t="s">
        <v>33597</v>
      </c>
      <c r="T5133" s="2" t="s">
        <v>33598</v>
      </c>
      <c r="U5133" s="2" t="s">
        <v>21173</v>
      </c>
      <c r="V5133" s="2" t="s">
        <v>33599</v>
      </c>
      <c r="W5133" s="2" t="s">
        <v>33600</v>
      </c>
      <c r="X5133" s="2" t="s">
        <v>147</v>
      </c>
      <c r="Y5133" s="2">
        <v>37.1</v>
      </c>
      <c r="Z5133" s="2">
        <v>0</v>
      </c>
      <c r="AA5133" s="2" t="s">
        <v>512</v>
      </c>
      <c r="AB5133" s="2" t="s">
        <v>33601</v>
      </c>
      <c r="AC5133" s="2">
        <v>-4.8599394326120704</v>
      </c>
      <c r="AD5133" s="2"/>
      <c r="AE5133" s="2">
        <v>4.8876693688053002E-2</v>
      </c>
      <c r="AF5133" s="2">
        <v>714.18910599876006</v>
      </c>
      <c r="AG5133" s="2">
        <v>597.77029692326801</v>
      </c>
      <c r="AH5133" s="5">
        <v>1.1947550918382901</v>
      </c>
      <c r="AI5133" s="5">
        <v>0.25671491611268599</v>
      </c>
      <c r="AJ5133" s="5" t="s">
        <v>139</v>
      </c>
      <c r="AK5133" s="2">
        <v>0.39154035233277301</v>
      </c>
      <c r="AL5133" s="2">
        <v>0.66528673878009803</v>
      </c>
      <c r="AM5133" s="2">
        <v>832.83177115182002</v>
      </c>
      <c r="AN5133" s="2">
        <v>663.90384772683501</v>
      </c>
      <c r="AO5133" s="2">
        <v>524.506566680471</v>
      </c>
      <c r="AP5133" s="2">
        <v>503.99990895332201</v>
      </c>
      <c r="AQ5133" s="2">
        <v>707.58354438001197</v>
      </c>
      <c r="AR5133" s="2">
        <v>1052.3089971001</v>
      </c>
      <c r="AS5133" s="2">
        <v>910.86447398370296</v>
      </c>
      <c r="AT5133" s="2">
        <v>627.91799199695402</v>
      </c>
      <c r="AU5133" s="2">
        <v>752.84610751432797</v>
      </c>
      <c r="AV5133" s="2">
        <v>187.674065474293</v>
      </c>
      <c r="AW5133" s="2">
        <v>573.516547830886</v>
      </c>
      <c r="AX5133" s="2">
        <v>533.80259473944102</v>
      </c>
    </row>
    <row r="5134" spans="1:50" x14ac:dyDescent="0.25">
      <c r="A5134" s="2" t="s">
        <v>33602</v>
      </c>
      <c r="B5134" s="2">
        <v>267.13463892102601</v>
      </c>
      <c r="C5134" s="2">
        <v>1.8376666666666699</v>
      </c>
      <c r="D5134" s="2" t="s">
        <v>51</v>
      </c>
      <c r="E5134" s="2" t="s">
        <v>33603</v>
      </c>
      <c r="F5134" s="2">
        <v>54022</v>
      </c>
      <c r="G5134" s="3" t="str">
        <f>HYPERLINK("https://cloud.oebiotech.com/#/lm/network/54022", "https://cloud.oebiotech.com/#/lm/network/54022")</f>
        <v>https://cloud.oebiotech.com/#/lm/network/54022</v>
      </c>
      <c r="H5134" s="2" t="s">
        <v>33604</v>
      </c>
      <c r="I5134" s="2">
        <v>23662</v>
      </c>
      <c r="J5134" s="2"/>
      <c r="K5134" s="2">
        <v>18218233</v>
      </c>
      <c r="L5134" s="2"/>
      <c r="M5134" s="2"/>
      <c r="N5134" s="2"/>
      <c r="O5134" s="2">
        <v>73636</v>
      </c>
      <c r="P5134" s="2"/>
      <c r="Q5134" s="2"/>
      <c r="R5134" s="2" t="s">
        <v>33605</v>
      </c>
      <c r="S5134" s="2" t="s">
        <v>33606</v>
      </c>
      <c r="T5134" s="2" t="s">
        <v>33607</v>
      </c>
      <c r="U5134" s="2" t="s">
        <v>103</v>
      </c>
      <c r="V5134" s="2" t="s">
        <v>104</v>
      </c>
      <c r="W5134" s="2" t="s">
        <v>105</v>
      </c>
      <c r="X5134" s="2" t="s">
        <v>69</v>
      </c>
      <c r="Y5134" s="2">
        <v>49.3</v>
      </c>
      <c r="Z5134" s="2">
        <v>53.4</v>
      </c>
      <c r="AA5134" s="2" t="s">
        <v>259</v>
      </c>
      <c r="AB5134" s="2" t="s">
        <v>21947</v>
      </c>
      <c r="AC5134" s="2">
        <v>2.6507074988411001</v>
      </c>
      <c r="AD5134" s="2"/>
      <c r="AE5134" s="2">
        <v>4.8859166416377497E-2</v>
      </c>
      <c r="AF5134" s="2">
        <v>24849.275282867799</v>
      </c>
      <c r="AG5134" s="2">
        <v>24271.509617132298</v>
      </c>
      <c r="AH5134" s="5">
        <v>1.02380427401713</v>
      </c>
      <c r="AI5134" s="5">
        <v>3.3939934190946902E-2</v>
      </c>
      <c r="AJ5134" s="5" t="s">
        <v>139</v>
      </c>
      <c r="AK5134" s="2">
        <v>0.93795599257875695</v>
      </c>
      <c r="AL5134" s="2">
        <v>0.97307988847819105</v>
      </c>
      <c r="AM5134" s="2">
        <v>22476.104451987099</v>
      </c>
      <c r="AN5134" s="2">
        <v>18705.2399709571</v>
      </c>
      <c r="AO5134" s="2">
        <v>19910.531681779601</v>
      </c>
      <c r="AP5134" s="2">
        <v>28314.1886501314</v>
      </c>
      <c r="AQ5134" s="2">
        <v>34956.722354340804</v>
      </c>
      <c r="AR5134" s="2">
        <v>24732.8645880111</v>
      </c>
      <c r="AS5134" s="2">
        <v>13369.0118102213</v>
      </c>
      <c r="AT5134" s="2">
        <v>22841.983301297601</v>
      </c>
      <c r="AU5134" s="2">
        <v>12814.6491822526</v>
      </c>
      <c r="AV5134" s="2">
        <v>52725.0480397559</v>
      </c>
      <c r="AW5134" s="2">
        <v>9344.5113142595092</v>
      </c>
      <c r="AX5134" s="2">
        <v>34533.854055007003</v>
      </c>
    </row>
    <row r="5135" spans="1:50" x14ac:dyDescent="0.25">
      <c r="A5135" s="2" t="s">
        <v>33608</v>
      </c>
      <c r="B5135" s="2">
        <v>213.00026176411299</v>
      </c>
      <c r="C5135" s="2">
        <v>0.99048333333333305</v>
      </c>
      <c r="D5135" s="2" t="s">
        <v>51</v>
      </c>
      <c r="E5135" s="2" t="s">
        <v>33609</v>
      </c>
      <c r="F5135" s="2">
        <v>212831</v>
      </c>
      <c r="G5135" s="3" t="str">
        <f>HYPERLINK("https://cloud.oebiotech.com/#/lm/network/212831", "https://cloud.oebiotech.com/#/lm/network/212831")</f>
        <v>https://cloud.oebiotech.com/#/lm/network/212831</v>
      </c>
      <c r="H5135" s="2" t="s">
        <v>33610</v>
      </c>
      <c r="I5135" s="2"/>
      <c r="J5135" s="2"/>
      <c r="K5135" s="2">
        <v>9859390</v>
      </c>
      <c r="L5135" s="2"/>
      <c r="M5135" s="2"/>
      <c r="N5135" s="2"/>
      <c r="O5135" s="2"/>
      <c r="P5135" s="2"/>
      <c r="Q5135" s="2"/>
      <c r="R5135" s="2"/>
      <c r="S5135" s="2" t="s">
        <v>33611</v>
      </c>
      <c r="T5135" s="2" t="s">
        <v>33612</v>
      </c>
      <c r="U5135" s="2" t="s">
        <v>103</v>
      </c>
      <c r="V5135" s="2" t="s">
        <v>104</v>
      </c>
      <c r="W5135" s="2" t="s">
        <v>1139</v>
      </c>
      <c r="X5135" s="2" t="s">
        <v>147</v>
      </c>
      <c r="Y5135" s="2">
        <v>38</v>
      </c>
      <c r="Z5135" s="2">
        <v>0</v>
      </c>
      <c r="AA5135" s="2" t="s">
        <v>95</v>
      </c>
      <c r="AB5135" s="2" t="s">
        <v>33613</v>
      </c>
      <c r="AC5135" s="2">
        <v>-1.6390874720677999</v>
      </c>
      <c r="AD5135" s="2"/>
      <c r="AE5135" s="2">
        <v>4.8747427040950801E-2</v>
      </c>
      <c r="AF5135" s="2">
        <v>2542.6267678634299</v>
      </c>
      <c r="AG5135" s="2">
        <v>2549.6241370279399</v>
      </c>
      <c r="AH5135" s="4">
        <v>0.99725552913353699</v>
      </c>
      <c r="AI5135" s="4">
        <v>-3.9648777467247596E-3</v>
      </c>
      <c r="AJ5135" s="4" t="s">
        <v>62</v>
      </c>
      <c r="AK5135" s="2">
        <v>0.99499077331542696</v>
      </c>
      <c r="AL5135" s="2">
        <v>0.997342600231924</v>
      </c>
      <c r="AM5135" s="2">
        <v>177.89793144689199</v>
      </c>
      <c r="AN5135" s="2">
        <v>3327.0924016991298</v>
      </c>
      <c r="AO5135" s="2">
        <v>5086.67645383114</v>
      </c>
      <c r="AP5135" s="2">
        <v>2959.0417370986202</v>
      </c>
      <c r="AQ5135" s="2">
        <v>1158.8202721048499</v>
      </c>
      <c r="AR5135" s="2">
        <v>2546.2318109999601</v>
      </c>
      <c r="AS5135" s="2">
        <v>2587.7604978159002</v>
      </c>
      <c r="AT5135" s="2">
        <v>650.54469254937499</v>
      </c>
      <c r="AU5135" s="2">
        <v>496.768548272506</v>
      </c>
      <c r="AV5135" s="2">
        <v>2558.9923074180901</v>
      </c>
      <c r="AW5135" s="2">
        <v>6120.4601259764004</v>
      </c>
      <c r="AX5135" s="2">
        <v>2883.2186501353399</v>
      </c>
    </row>
    <row r="5136" spans="1:50" x14ac:dyDescent="0.25">
      <c r="A5136" s="2" t="s">
        <v>33614</v>
      </c>
      <c r="B5136" s="2">
        <v>691.34717039868599</v>
      </c>
      <c r="C5136" s="2">
        <v>5.2433500000000004</v>
      </c>
      <c r="D5136" s="2" t="s">
        <v>51</v>
      </c>
      <c r="E5136" s="2" t="s">
        <v>33615</v>
      </c>
      <c r="F5136" s="2">
        <v>46808</v>
      </c>
      <c r="G5136" s="3" t="str">
        <f>HYPERLINK("https://cloud.oebiotech.com/#/lm/network/46808", "https://cloud.oebiotech.com/#/lm/network/46808")</f>
        <v>https://cloud.oebiotech.com/#/lm/network/46808</v>
      </c>
      <c r="H5136" s="2"/>
      <c r="I5136" s="2"/>
      <c r="J5136" s="2" t="s">
        <v>33616</v>
      </c>
      <c r="K5136" s="2">
        <v>23250100</v>
      </c>
      <c r="L5136" s="2"/>
      <c r="M5136" s="2"/>
      <c r="N5136" s="2"/>
      <c r="O5136" s="2"/>
      <c r="P5136" s="2"/>
      <c r="Q5136" s="2"/>
      <c r="R5136" s="2"/>
      <c r="S5136" s="2" t="s">
        <v>33617</v>
      </c>
      <c r="T5136" s="2" t="s">
        <v>33618</v>
      </c>
      <c r="U5136" s="2" t="s">
        <v>56</v>
      </c>
      <c r="V5136" s="2" t="s">
        <v>283</v>
      </c>
      <c r="W5136" s="2" t="s">
        <v>2042</v>
      </c>
      <c r="X5136" s="2" t="s">
        <v>147</v>
      </c>
      <c r="Y5136" s="2">
        <v>38.700000000000003</v>
      </c>
      <c r="Z5136" s="2">
        <v>3.08</v>
      </c>
      <c r="AA5136" s="2" t="s">
        <v>512</v>
      </c>
      <c r="AB5136" s="2" t="s">
        <v>33619</v>
      </c>
      <c r="AC5136" s="2">
        <v>0.219502004981767</v>
      </c>
      <c r="AD5136" s="2"/>
      <c r="AE5136" s="2">
        <v>4.8495775814206402E-2</v>
      </c>
      <c r="AF5136" s="2">
        <v>2382.2136102153199</v>
      </c>
      <c r="AG5136" s="2">
        <v>4579.5269773584196</v>
      </c>
      <c r="AH5136" s="4">
        <v>0.52018770104274703</v>
      </c>
      <c r="AI5136" s="4">
        <v>-0.94289580528426298</v>
      </c>
      <c r="AJ5136" s="4" t="s">
        <v>62</v>
      </c>
      <c r="AK5136" s="2">
        <v>0.63952410402904702</v>
      </c>
      <c r="AL5136" s="2">
        <v>0.82397018351138296</v>
      </c>
      <c r="AM5136" s="2">
        <v>7325.7533565584699</v>
      </c>
      <c r="AN5136" s="2">
        <v>8.559877937157E-6</v>
      </c>
      <c r="AO5136" s="2">
        <v>1350.9704007779101</v>
      </c>
      <c r="AP5136" s="2">
        <v>784.17869576710905</v>
      </c>
      <c r="AQ5136" s="2">
        <v>3123.8216959633401</v>
      </c>
      <c r="AR5136" s="2">
        <v>1708.5575036651901</v>
      </c>
      <c r="AS5136" s="2">
        <v>8.559877937157E-6</v>
      </c>
      <c r="AT5136" s="2">
        <v>259.67123829347298</v>
      </c>
      <c r="AU5136" s="2">
        <v>26678.301295091402</v>
      </c>
      <c r="AV5136" s="2">
        <v>539.18930508598203</v>
      </c>
      <c r="AW5136" s="2">
        <v>8.559877937157E-6</v>
      </c>
      <c r="AX5136" s="2">
        <v>8.559877937157E-6</v>
      </c>
    </row>
    <row r="5137" spans="1:50" x14ac:dyDescent="0.25">
      <c r="A5137" s="2" t="s">
        <v>33620</v>
      </c>
      <c r="B5137" s="2">
        <v>351.20016771758299</v>
      </c>
      <c r="C5137" s="2">
        <v>11.068</v>
      </c>
      <c r="D5137" s="2" t="s">
        <v>51</v>
      </c>
      <c r="E5137" s="2" t="s">
        <v>33621</v>
      </c>
      <c r="F5137" s="2">
        <v>206430</v>
      </c>
      <c r="G5137" s="3" t="str">
        <f>HYPERLINK("https://cloud.oebiotech.com/#/lm/network/206430", "https://cloud.oebiotech.com/#/lm/network/206430")</f>
        <v>https://cloud.oebiotech.com/#/lm/network/206430</v>
      </c>
      <c r="H5137" s="2" t="s">
        <v>33622</v>
      </c>
      <c r="I5137" s="2"/>
      <c r="J5137" s="2"/>
      <c r="K5137" s="2">
        <v>3243</v>
      </c>
      <c r="L5137" s="2"/>
      <c r="M5137" s="2"/>
      <c r="N5137" s="2"/>
      <c r="O5137" s="2">
        <v>95344</v>
      </c>
      <c r="P5137" s="2"/>
      <c r="Q5137" s="2"/>
      <c r="R5137" s="2"/>
      <c r="S5137" s="2" t="s">
        <v>33623</v>
      </c>
      <c r="T5137" s="2" t="s">
        <v>33624</v>
      </c>
      <c r="U5137" s="2" t="s">
        <v>56</v>
      </c>
      <c r="V5137" s="2" t="s">
        <v>283</v>
      </c>
      <c r="W5137" s="2" t="s">
        <v>1944</v>
      </c>
      <c r="X5137" s="2" t="s">
        <v>147</v>
      </c>
      <c r="Y5137" s="2">
        <v>37.4</v>
      </c>
      <c r="Z5137" s="2">
        <v>0</v>
      </c>
      <c r="AA5137" s="2" t="s">
        <v>218</v>
      </c>
      <c r="AB5137" s="2" t="s">
        <v>33625</v>
      </c>
      <c r="AC5137" s="2">
        <v>0.74547559846273304</v>
      </c>
      <c r="AD5137" s="2"/>
      <c r="AE5137" s="2">
        <v>4.8357446156932798E-2</v>
      </c>
      <c r="AF5137" s="2">
        <v>497.55503828065702</v>
      </c>
      <c r="AG5137" s="2">
        <v>685.80717351228395</v>
      </c>
      <c r="AH5137" s="4">
        <v>0.72550281988519405</v>
      </c>
      <c r="AI5137" s="4">
        <v>-0.46294687311570099</v>
      </c>
      <c r="AJ5137" s="4" t="s">
        <v>62</v>
      </c>
      <c r="AK5137" s="2">
        <v>0.636298588070769</v>
      </c>
      <c r="AL5137" s="2">
        <v>0.82159737220012097</v>
      </c>
      <c r="AM5137" s="2">
        <v>8.559877937157E-6</v>
      </c>
      <c r="AN5137" s="2">
        <v>104.992500837479</v>
      </c>
      <c r="AO5137" s="2">
        <v>1598.3885238305199</v>
      </c>
      <c r="AP5137" s="2">
        <v>172.77968205359801</v>
      </c>
      <c r="AQ5137" s="2">
        <v>462.36879944728798</v>
      </c>
      <c r="AR5137" s="2">
        <v>646.80071495517802</v>
      </c>
      <c r="AS5137" s="2">
        <v>8.559877937157E-6</v>
      </c>
      <c r="AT5137" s="2">
        <v>601.73628118023498</v>
      </c>
      <c r="AU5137" s="2">
        <v>297.50138768546401</v>
      </c>
      <c r="AV5137" s="2">
        <v>182.135192067086</v>
      </c>
      <c r="AW5137" s="2">
        <v>1999.0217274461199</v>
      </c>
      <c r="AX5137" s="2">
        <v>1034.44844413492</v>
      </c>
    </row>
    <row r="5138" spans="1:50" x14ac:dyDescent="0.25">
      <c r="A5138" s="2" t="s">
        <v>33626</v>
      </c>
      <c r="B5138" s="2">
        <v>325.20218167595499</v>
      </c>
      <c r="C5138" s="2">
        <v>7.4274333333333296</v>
      </c>
      <c r="D5138" s="2" t="s">
        <v>51</v>
      </c>
      <c r="E5138" s="2" t="s">
        <v>33627</v>
      </c>
      <c r="F5138" s="2">
        <v>3441</v>
      </c>
      <c r="G5138" s="3" t="str">
        <f>HYPERLINK("https://cloud.oebiotech.com/#/lm/network/3441", "https://cloud.oebiotech.com/#/lm/network/3441")</f>
        <v>https://cloud.oebiotech.com/#/lm/network/3441</v>
      </c>
      <c r="H5138" s="2"/>
      <c r="I5138" s="2"/>
      <c r="J5138" s="2" t="s">
        <v>33628</v>
      </c>
      <c r="K5138" s="2">
        <v>131839853</v>
      </c>
      <c r="L5138" s="2"/>
      <c r="M5138" s="2"/>
      <c r="N5138" s="2"/>
      <c r="O5138" s="2"/>
      <c r="P5138" s="2"/>
      <c r="Q5138" s="2"/>
      <c r="R5138" s="2"/>
      <c r="S5138" s="2" t="s">
        <v>33629</v>
      </c>
      <c r="T5138" s="2" t="s">
        <v>33630</v>
      </c>
      <c r="U5138" s="2" t="s">
        <v>56</v>
      </c>
      <c r="V5138" s="2" t="s">
        <v>145</v>
      </c>
      <c r="W5138" s="2" t="s">
        <v>187</v>
      </c>
      <c r="X5138" s="2" t="s">
        <v>83</v>
      </c>
      <c r="Y5138" s="2">
        <v>47.2</v>
      </c>
      <c r="Z5138" s="2">
        <v>0</v>
      </c>
      <c r="AA5138" s="2" t="s">
        <v>163</v>
      </c>
      <c r="AB5138" s="2" t="s">
        <v>12004</v>
      </c>
      <c r="AC5138" s="2">
        <v>0.41092649763294198</v>
      </c>
      <c r="AD5138" s="2"/>
      <c r="AE5138" s="2">
        <v>4.8295398045297699E-2</v>
      </c>
      <c r="AF5138" s="2">
        <v>4026.3113840188198</v>
      </c>
      <c r="AG5138" s="2">
        <v>4596.9200328275601</v>
      </c>
      <c r="AH5138" s="4">
        <v>0.87587153034337994</v>
      </c>
      <c r="AI5138" s="4">
        <v>-0.191208818814944</v>
      </c>
      <c r="AJ5138" s="4" t="s">
        <v>62</v>
      </c>
      <c r="AK5138" s="2">
        <v>0.73690225386423402</v>
      </c>
      <c r="AL5138" s="2">
        <v>0.879217982554654</v>
      </c>
      <c r="AM5138" s="2">
        <v>2513.3661409412098</v>
      </c>
      <c r="AN5138" s="2">
        <v>7704.15338687041</v>
      </c>
      <c r="AO5138" s="2">
        <v>3593.67634971797</v>
      </c>
      <c r="AP5138" s="2">
        <v>2761.4181063405599</v>
      </c>
      <c r="AQ5138" s="2">
        <v>4279.0664294938297</v>
      </c>
      <c r="AR5138" s="2">
        <v>3306.1878907489199</v>
      </c>
      <c r="AS5138" s="2">
        <v>3508.60390665881</v>
      </c>
      <c r="AT5138" s="2">
        <v>403.78395144191597</v>
      </c>
      <c r="AU5138" s="2">
        <v>10494.442373641201</v>
      </c>
      <c r="AV5138" s="2">
        <v>4062.0851002623599</v>
      </c>
      <c r="AW5138" s="2">
        <v>6772.4779219951997</v>
      </c>
      <c r="AX5138" s="2">
        <v>2340.1269429658701</v>
      </c>
    </row>
    <row r="5139" spans="1:50" x14ac:dyDescent="0.25">
      <c r="A5139" s="2" t="s">
        <v>33631</v>
      </c>
      <c r="B5139" s="2">
        <v>453.28628869625999</v>
      </c>
      <c r="C5139" s="2">
        <v>8.1777666666666704</v>
      </c>
      <c r="D5139" s="2" t="s">
        <v>51</v>
      </c>
      <c r="E5139" s="2" t="s">
        <v>33632</v>
      </c>
      <c r="F5139" s="2">
        <v>45942</v>
      </c>
      <c r="G5139" s="3" t="str">
        <f>HYPERLINK("https://cloud.oebiotech.com/#/lm/network/45942", "https://cloud.oebiotech.com/#/lm/network/45942")</f>
        <v>https://cloud.oebiotech.com/#/lm/network/45942</v>
      </c>
      <c r="H5139" s="2"/>
      <c r="I5139" s="2">
        <v>84394</v>
      </c>
      <c r="J5139" s="2" t="s">
        <v>33633</v>
      </c>
      <c r="K5139" s="2">
        <v>5283865</v>
      </c>
      <c r="L5139" s="2"/>
      <c r="M5139" s="2"/>
      <c r="N5139" s="2"/>
      <c r="O5139" s="2"/>
      <c r="P5139" s="2"/>
      <c r="Q5139" s="2"/>
      <c r="R5139" s="2"/>
      <c r="S5139" s="2" t="s">
        <v>33634</v>
      </c>
      <c r="T5139" s="2" t="s">
        <v>33635</v>
      </c>
      <c r="U5139" s="2" t="s">
        <v>56</v>
      </c>
      <c r="V5139" s="2" t="s">
        <v>283</v>
      </c>
      <c r="W5139" s="2" t="s">
        <v>2042</v>
      </c>
      <c r="X5139" s="2" t="s">
        <v>83</v>
      </c>
      <c r="Y5139" s="2">
        <v>52.9</v>
      </c>
      <c r="Z5139" s="2">
        <v>0</v>
      </c>
      <c r="AA5139" s="2" t="s">
        <v>218</v>
      </c>
      <c r="AB5139" s="2" t="s">
        <v>2044</v>
      </c>
      <c r="AC5139" s="2">
        <v>1.2526603594855199</v>
      </c>
      <c r="AD5139" s="2"/>
      <c r="AE5139" s="2">
        <v>4.8289688699133401E-2</v>
      </c>
      <c r="AF5139" s="2">
        <v>1851.1964208239799</v>
      </c>
      <c r="AG5139" s="2">
        <v>1550.1246910260199</v>
      </c>
      <c r="AH5139" s="5">
        <v>1.1942242011503501</v>
      </c>
      <c r="AI5139" s="5">
        <v>0.25607371057557499</v>
      </c>
      <c r="AJ5139" s="5" t="s">
        <v>139</v>
      </c>
      <c r="AK5139" s="2">
        <v>0.86640875705710996</v>
      </c>
      <c r="AL5139" s="2">
        <v>0.94236097769736804</v>
      </c>
      <c r="AM5139" s="2">
        <v>8.559877937157E-6</v>
      </c>
      <c r="AN5139" s="2">
        <v>1585.85805088439</v>
      </c>
      <c r="AO5139" s="2">
        <v>8.559877937157E-6</v>
      </c>
      <c r="AP5139" s="2">
        <v>8.559877937157E-6</v>
      </c>
      <c r="AQ5139" s="2">
        <v>7896.0240220871901</v>
      </c>
      <c r="AR5139" s="2">
        <v>1625.29642629264</v>
      </c>
      <c r="AS5139" s="2">
        <v>8.559877937157E-6</v>
      </c>
      <c r="AT5139" s="2">
        <v>7549.1806105495898</v>
      </c>
      <c r="AU5139" s="2">
        <v>535.69087030905598</v>
      </c>
      <c r="AV5139" s="2">
        <v>1215.87663961782</v>
      </c>
      <c r="AW5139" s="2">
        <v>8.559877937157E-6</v>
      </c>
      <c r="AX5139" s="2">
        <v>8.559877937157E-6</v>
      </c>
    </row>
    <row r="5140" spans="1:50" x14ac:dyDescent="0.25">
      <c r="A5140" s="2" t="s">
        <v>33636</v>
      </c>
      <c r="B5140" s="2">
        <v>353.26983583304002</v>
      </c>
      <c r="C5140" s="2">
        <v>13.1795666666667</v>
      </c>
      <c r="D5140" s="2" t="s">
        <v>51</v>
      </c>
      <c r="E5140" s="2" t="s">
        <v>33637</v>
      </c>
      <c r="F5140" s="2">
        <v>7133</v>
      </c>
      <c r="G5140" s="3" t="str">
        <f>HYPERLINK("https://cloud.oebiotech.com/#/lm/network/7133", "https://cloud.oebiotech.com/#/lm/network/7133")</f>
        <v>https://cloud.oebiotech.com/#/lm/network/7133</v>
      </c>
      <c r="H5140" s="2"/>
      <c r="I5140" s="2">
        <v>46393</v>
      </c>
      <c r="J5140" s="2" t="s">
        <v>33638</v>
      </c>
      <c r="K5140" s="2">
        <v>21159087</v>
      </c>
      <c r="L5140" s="2"/>
      <c r="M5140" s="2"/>
      <c r="N5140" s="2"/>
      <c r="O5140" s="2"/>
      <c r="P5140" s="2"/>
      <c r="Q5140" s="2"/>
      <c r="R5140" s="2"/>
      <c r="S5140" s="2" t="s">
        <v>33639</v>
      </c>
      <c r="T5140" s="2" t="s">
        <v>33640</v>
      </c>
      <c r="U5140" s="2" t="s">
        <v>56</v>
      </c>
      <c r="V5140" s="2" t="s">
        <v>145</v>
      </c>
      <c r="W5140" s="2" t="s">
        <v>17251</v>
      </c>
      <c r="X5140" s="2" t="s">
        <v>83</v>
      </c>
      <c r="Y5140" s="2">
        <v>43.7</v>
      </c>
      <c r="Z5140" s="2">
        <v>0</v>
      </c>
      <c r="AA5140" s="2" t="s">
        <v>218</v>
      </c>
      <c r="AB5140" s="2" t="s">
        <v>11936</v>
      </c>
      <c r="AC5140" s="2">
        <v>0.33272420664962699</v>
      </c>
      <c r="AD5140" s="2"/>
      <c r="AE5140" s="2">
        <v>4.8287397679187299E-2</v>
      </c>
      <c r="AF5140" s="2">
        <v>698.56789578883695</v>
      </c>
      <c r="AG5140" s="2">
        <v>563.78688934809202</v>
      </c>
      <c r="AH5140" s="5">
        <v>1.23906374729039</v>
      </c>
      <c r="AI5140" s="5">
        <v>0.30925041309101597</v>
      </c>
      <c r="AJ5140" s="5" t="s">
        <v>139</v>
      </c>
      <c r="AK5140" s="2">
        <v>0.70551602817515302</v>
      </c>
      <c r="AL5140" s="2">
        <v>0.85938626575213095</v>
      </c>
      <c r="AM5140" s="2">
        <v>1404.64016060771</v>
      </c>
      <c r="AN5140" s="2">
        <v>1433.53883327006</v>
      </c>
      <c r="AO5140" s="2">
        <v>8.559877937157E-6</v>
      </c>
      <c r="AP5140" s="2">
        <v>783.286532636635</v>
      </c>
      <c r="AQ5140" s="2">
        <v>8.559877937157E-6</v>
      </c>
      <c r="AR5140" s="2">
        <v>569.94183109886103</v>
      </c>
      <c r="AS5140" s="2">
        <v>176.06078737190001</v>
      </c>
      <c r="AT5140" s="2">
        <v>8.559877937157E-6</v>
      </c>
      <c r="AU5140" s="2">
        <v>1407.6748055143801</v>
      </c>
      <c r="AV5140" s="2">
        <v>1083.0594463334201</v>
      </c>
      <c r="AW5140" s="2">
        <v>481.51921090444102</v>
      </c>
      <c r="AX5140" s="2">
        <v>234.407077404532</v>
      </c>
    </row>
    <row r="5141" spans="1:50" x14ac:dyDescent="0.25">
      <c r="A5141" s="2" t="s">
        <v>33641</v>
      </c>
      <c r="B5141" s="2">
        <v>337.13840004321298</v>
      </c>
      <c r="C5141" s="2">
        <v>5.1832166666666701</v>
      </c>
      <c r="D5141" s="2" t="s">
        <v>51</v>
      </c>
      <c r="E5141" s="2" t="s">
        <v>33642</v>
      </c>
      <c r="F5141" s="2">
        <v>207599</v>
      </c>
      <c r="G5141" s="3" t="str">
        <f>HYPERLINK("https://cloud.oebiotech.com/#/lm/network/207599", "https://cloud.oebiotech.com/#/lm/network/207599")</f>
        <v>https://cloud.oebiotech.com/#/lm/network/207599</v>
      </c>
      <c r="H5141" s="2" t="s">
        <v>33643</v>
      </c>
      <c r="I5141" s="2">
        <v>43996</v>
      </c>
      <c r="J5141" s="2"/>
      <c r="K5141" s="2">
        <v>3634</v>
      </c>
      <c r="L5141" s="2"/>
      <c r="M5141" s="2"/>
      <c r="N5141" s="2"/>
      <c r="O5141" s="2">
        <v>52768</v>
      </c>
      <c r="P5141" s="2"/>
      <c r="Q5141" s="2"/>
      <c r="R5141" s="2" t="s">
        <v>33644</v>
      </c>
      <c r="S5141" s="2" t="s">
        <v>33645</v>
      </c>
      <c r="T5141" s="2" t="s">
        <v>33646</v>
      </c>
      <c r="U5141" s="2" t="s">
        <v>266</v>
      </c>
      <c r="V5141" s="2" t="s">
        <v>33647</v>
      </c>
      <c r="W5141" s="2" t="s">
        <v>240</v>
      </c>
      <c r="X5141" s="2" t="s">
        <v>147</v>
      </c>
      <c r="Y5141" s="2">
        <v>36.4</v>
      </c>
      <c r="Z5141" s="2">
        <v>0</v>
      </c>
      <c r="AA5141" s="2" t="s">
        <v>379</v>
      </c>
      <c r="AB5141" s="2" t="s">
        <v>33648</v>
      </c>
      <c r="AC5141" s="2">
        <v>1.10104835890692</v>
      </c>
      <c r="AD5141" s="2"/>
      <c r="AE5141" s="2">
        <v>4.8162710847579303E-2</v>
      </c>
      <c r="AF5141" s="2">
        <v>1724.3960863073701</v>
      </c>
      <c r="AG5141" s="2">
        <v>2005.6195121947001</v>
      </c>
      <c r="AH5141" s="4">
        <v>0.85978226469307295</v>
      </c>
      <c r="AI5141" s="4">
        <v>-0.21795674369995399</v>
      </c>
      <c r="AJ5141" s="4" t="s">
        <v>62</v>
      </c>
      <c r="AK5141" s="2">
        <v>0.78170070812787595</v>
      </c>
      <c r="AL5141" s="2">
        <v>0.90378911473324197</v>
      </c>
      <c r="AM5141" s="2">
        <v>776.89602442579599</v>
      </c>
      <c r="AN5141" s="2">
        <v>1304.8921161276701</v>
      </c>
      <c r="AO5141" s="2">
        <v>4969.3288658686697</v>
      </c>
      <c r="AP5141" s="2">
        <v>1560.0411224464201</v>
      </c>
      <c r="AQ5141" s="2">
        <v>779.27837876345097</v>
      </c>
      <c r="AR5141" s="2">
        <v>955.940010212228</v>
      </c>
      <c r="AS5141" s="2">
        <v>8.559877937157E-6</v>
      </c>
      <c r="AT5141" s="2">
        <v>1381.03479860473</v>
      </c>
      <c r="AU5141" s="2">
        <v>1429.3650631461401</v>
      </c>
      <c r="AV5141" s="2">
        <v>4427.3504657908898</v>
      </c>
      <c r="AW5141" s="2">
        <v>4017.4401757803898</v>
      </c>
      <c r="AX5141" s="2">
        <v>778.52656128615604</v>
      </c>
    </row>
    <row r="5142" spans="1:50" x14ac:dyDescent="0.25">
      <c r="A5142" s="2" t="s">
        <v>33649</v>
      </c>
      <c r="B5142" s="2">
        <v>329.143569740994</v>
      </c>
      <c r="C5142" s="2">
        <v>1.2938333333333301</v>
      </c>
      <c r="D5142" s="2" t="s">
        <v>51</v>
      </c>
      <c r="E5142" s="2" t="s">
        <v>33650</v>
      </c>
      <c r="F5142" s="2">
        <v>264025</v>
      </c>
      <c r="G5142" s="3" t="str">
        <f>HYPERLINK("https://cloud.oebiotech.com/#/lm/network/264025", "https://cloud.oebiotech.com/#/lm/network/264025")</f>
        <v>https://cloud.oebiotech.com/#/lm/network/264025</v>
      </c>
      <c r="H5142" s="2"/>
      <c r="I5142" s="2">
        <v>21463</v>
      </c>
      <c r="J5142" s="2"/>
      <c r="K5142" s="2">
        <v>145454376</v>
      </c>
      <c r="L5142" s="2"/>
      <c r="M5142" s="2"/>
      <c r="N5142" s="2"/>
      <c r="O5142" s="2"/>
      <c r="P5142" s="2"/>
      <c r="Q5142" s="2"/>
      <c r="R5142" s="2"/>
      <c r="S5142" s="2" t="s">
        <v>33651</v>
      </c>
      <c r="T5142" s="2" t="s">
        <v>33652</v>
      </c>
      <c r="U5142" s="2" t="s">
        <v>103</v>
      </c>
      <c r="V5142" s="2" t="s">
        <v>104</v>
      </c>
      <c r="W5142" s="2" t="s">
        <v>105</v>
      </c>
      <c r="X5142" s="2" t="s">
        <v>83</v>
      </c>
      <c r="Y5142" s="2">
        <v>37.9</v>
      </c>
      <c r="Z5142" s="2">
        <v>0</v>
      </c>
      <c r="AA5142" s="2" t="s">
        <v>156</v>
      </c>
      <c r="AB5142" s="2" t="s">
        <v>25714</v>
      </c>
      <c r="AC5142" s="2">
        <v>-5.7520649617446997</v>
      </c>
      <c r="AD5142" s="2"/>
      <c r="AE5142" s="2">
        <v>4.8119837559953603E-2</v>
      </c>
      <c r="AF5142" s="2">
        <v>16130.9375685955</v>
      </c>
      <c r="AG5142" s="2">
        <v>16462.314343839502</v>
      </c>
      <c r="AH5142" s="4">
        <v>0.97987058390924697</v>
      </c>
      <c r="AI5142" s="4">
        <v>-2.93368765589999E-2</v>
      </c>
      <c r="AJ5142" s="4" t="s">
        <v>62</v>
      </c>
      <c r="AK5142" s="2">
        <v>0.91518228825496994</v>
      </c>
      <c r="AL5142" s="2">
        <v>0.96366058811687005</v>
      </c>
      <c r="AM5142" s="2">
        <v>17937.593321364999</v>
      </c>
      <c r="AN5142" s="2">
        <v>14860.5023916961</v>
      </c>
      <c r="AO5142" s="2">
        <v>13733.2986921673</v>
      </c>
      <c r="AP5142" s="2">
        <v>20950.863712820799</v>
      </c>
      <c r="AQ5142" s="2">
        <v>14221.016260553401</v>
      </c>
      <c r="AR5142" s="2">
        <v>15082.351032970701</v>
      </c>
      <c r="AS5142" s="2">
        <v>7910.8662086474096</v>
      </c>
      <c r="AT5142" s="2">
        <v>8781.9546934445607</v>
      </c>
      <c r="AU5142" s="2">
        <v>21931.8018797603</v>
      </c>
      <c r="AV5142" s="2">
        <v>15553.8245054976</v>
      </c>
      <c r="AW5142" s="2">
        <v>24107.873678158801</v>
      </c>
      <c r="AX5142" s="2">
        <v>20487.565097528099</v>
      </c>
    </row>
    <row r="5143" spans="1:50" x14ac:dyDescent="0.25">
      <c r="A5143" s="2" t="s">
        <v>33653</v>
      </c>
      <c r="B5143" s="2">
        <v>370.29640130526298</v>
      </c>
      <c r="C5143" s="2">
        <v>9.3622666666666703</v>
      </c>
      <c r="D5143" s="2" t="s">
        <v>51</v>
      </c>
      <c r="E5143" s="2" t="s">
        <v>33654</v>
      </c>
      <c r="F5143" s="2">
        <v>212321</v>
      </c>
      <c r="G5143" s="3" t="str">
        <f>HYPERLINK("https://cloud.oebiotech.com/#/lm/network/212321", "https://cloud.oebiotech.com/#/lm/network/212321")</f>
        <v>https://cloud.oebiotech.com/#/lm/network/212321</v>
      </c>
      <c r="H5143" s="2" t="s">
        <v>33655</v>
      </c>
      <c r="I5143" s="2"/>
      <c r="J5143" s="2"/>
      <c r="K5143" s="2">
        <v>129631631</v>
      </c>
      <c r="L5143" s="2"/>
      <c r="M5143" s="2"/>
      <c r="N5143" s="2"/>
      <c r="O5143" s="2"/>
      <c r="P5143" s="2"/>
      <c r="Q5143" s="2"/>
      <c r="R5143" s="2"/>
      <c r="S5143" s="2" t="s">
        <v>33656</v>
      </c>
      <c r="T5143" s="2" t="s">
        <v>33657</v>
      </c>
      <c r="U5143" s="2" t="s">
        <v>56</v>
      </c>
      <c r="V5143" s="2" t="s">
        <v>145</v>
      </c>
      <c r="W5143" s="2" t="s">
        <v>231</v>
      </c>
      <c r="X5143" s="2" t="s">
        <v>83</v>
      </c>
      <c r="Y5143" s="2">
        <v>47.3</v>
      </c>
      <c r="Z5143" s="2">
        <v>41.3</v>
      </c>
      <c r="AA5143" s="2" t="s">
        <v>259</v>
      </c>
      <c r="AB5143" s="2" t="s">
        <v>23761</v>
      </c>
      <c r="AC5143" s="2">
        <v>3.2932014956064202</v>
      </c>
      <c r="AD5143" s="2"/>
      <c r="AE5143" s="2">
        <v>4.8106118033037798E-2</v>
      </c>
      <c r="AF5143" s="2">
        <v>2994.9674887939</v>
      </c>
      <c r="AG5143" s="2">
        <v>3012.86590130687</v>
      </c>
      <c r="AH5143" s="4">
        <v>0.99405933981157002</v>
      </c>
      <c r="AI5143" s="4">
        <v>-8.5961196625471692E-3</v>
      </c>
      <c r="AJ5143" s="4" t="s">
        <v>62</v>
      </c>
      <c r="AK5143" s="2">
        <v>0.98743048056673899</v>
      </c>
      <c r="AL5143" s="2">
        <v>0.99514085267776797</v>
      </c>
      <c r="AM5143" s="2">
        <v>1882.59001931387</v>
      </c>
      <c r="AN5143" s="2">
        <v>1750.79998468238</v>
      </c>
      <c r="AO5143" s="2">
        <v>3732.81917859842</v>
      </c>
      <c r="AP5143" s="2">
        <v>5035.9718646270303</v>
      </c>
      <c r="AQ5143" s="2">
        <v>2548.5252881358801</v>
      </c>
      <c r="AR5143" s="2">
        <v>3019.0985974057999</v>
      </c>
      <c r="AS5143" s="2">
        <v>4606.5292994879801</v>
      </c>
      <c r="AT5143" s="2">
        <v>1983.5778605882899</v>
      </c>
      <c r="AU5143" s="2">
        <v>2080.6088156959499</v>
      </c>
      <c r="AV5143" s="2">
        <v>1576.6613523962801</v>
      </c>
      <c r="AW5143" s="2">
        <v>7153.9140701669303</v>
      </c>
      <c r="AX5143" s="2">
        <v>675.90400950578601</v>
      </c>
    </row>
    <row r="5144" spans="1:50" x14ac:dyDescent="0.25">
      <c r="A5144" s="2" t="s">
        <v>33658</v>
      </c>
      <c r="B5144" s="2">
        <v>234.1036</v>
      </c>
      <c r="C5144" s="2">
        <v>16.405999999999999</v>
      </c>
      <c r="D5144" s="2" t="s">
        <v>125</v>
      </c>
      <c r="E5144" s="2" t="s">
        <v>33659</v>
      </c>
      <c r="F5144" s="2">
        <v>47195</v>
      </c>
      <c r="G5144" s="3" t="str">
        <f>HYPERLINK("https://cloud.oebiotech.com/#/lm/network/47195", "https://cloud.oebiotech.com/#/lm/network/47195")</f>
        <v>https://cloud.oebiotech.com/#/lm/network/47195</v>
      </c>
      <c r="H5144" s="2" t="s">
        <v>33660</v>
      </c>
      <c r="I5144" s="2">
        <v>3256</v>
      </c>
      <c r="J5144" s="2"/>
      <c r="K5144" s="2">
        <v>91552</v>
      </c>
      <c r="L5144" s="2" t="s">
        <v>33661</v>
      </c>
      <c r="M5144" s="2" t="s">
        <v>33662</v>
      </c>
      <c r="N5144" s="2" t="s">
        <v>33663</v>
      </c>
      <c r="O5144" s="2">
        <v>17588</v>
      </c>
      <c r="P5144" s="2"/>
      <c r="Q5144" s="2"/>
      <c r="R5144" s="2" t="s">
        <v>33664</v>
      </c>
      <c r="S5144" s="2" t="s">
        <v>33665</v>
      </c>
      <c r="T5144" s="2" t="s">
        <v>33666</v>
      </c>
      <c r="U5144" s="2" t="s">
        <v>103</v>
      </c>
      <c r="V5144" s="2" t="s">
        <v>104</v>
      </c>
      <c r="W5144" s="2" t="s">
        <v>105</v>
      </c>
      <c r="X5144" s="2" t="s">
        <v>83</v>
      </c>
      <c r="Y5144" s="2">
        <v>81.3</v>
      </c>
      <c r="Z5144" s="2">
        <v>72.099999999999994</v>
      </c>
      <c r="AA5144" s="2"/>
      <c r="AB5144" s="2" t="s">
        <v>2876</v>
      </c>
      <c r="AC5144" s="2"/>
      <c r="AD5144" s="2">
        <v>551418.69466437201</v>
      </c>
      <c r="AE5144" s="2">
        <v>4.8106102892809803E-2</v>
      </c>
      <c r="AF5144" s="2">
        <v>5612.2536927572801</v>
      </c>
      <c r="AG5144" s="2">
        <v>7620.6411336248702</v>
      </c>
      <c r="AH5144" s="4">
        <v>0.736454268656491</v>
      </c>
      <c r="AI5144" s="4">
        <v>-0.44133215337492399</v>
      </c>
      <c r="AJ5144" s="4" t="s">
        <v>62</v>
      </c>
      <c r="AK5144" s="2">
        <v>0.55444689095520505</v>
      </c>
      <c r="AL5144" s="2">
        <v>0.77434749273136905</v>
      </c>
      <c r="AM5144" s="2">
        <v>14485.582731439599</v>
      </c>
      <c r="AN5144" s="2">
        <v>2299.8352172700202</v>
      </c>
      <c r="AO5144" s="2">
        <v>2299.8352172700202</v>
      </c>
      <c r="AP5144" s="2">
        <v>9988.5985560240006</v>
      </c>
      <c r="AQ5144" s="2">
        <v>2299.8352172700202</v>
      </c>
      <c r="AR5144" s="2">
        <v>2299.8352172700202</v>
      </c>
      <c r="AS5144" s="2">
        <v>2299.8352172700202</v>
      </c>
      <c r="AT5144" s="2">
        <v>2299.8352172700202</v>
      </c>
      <c r="AU5144" s="2">
        <v>18672.097542172502</v>
      </c>
      <c r="AV5144" s="2">
        <v>8862.1270879673193</v>
      </c>
      <c r="AW5144" s="2">
        <v>6621.9329796948496</v>
      </c>
      <c r="AX5144" s="2">
        <v>6968.0187573745397</v>
      </c>
    </row>
    <row r="5145" spans="1:50" x14ac:dyDescent="0.25">
      <c r="A5145" s="2" t="s">
        <v>33667</v>
      </c>
      <c r="B5145" s="2">
        <v>231.05114234381099</v>
      </c>
      <c r="C5145" s="2">
        <v>4.9422166666666696</v>
      </c>
      <c r="D5145" s="2" t="s">
        <v>51</v>
      </c>
      <c r="E5145" s="2" t="s">
        <v>33668</v>
      </c>
      <c r="F5145" s="2">
        <v>64137</v>
      </c>
      <c r="G5145" s="3" t="str">
        <f>HYPERLINK("https://cloud.oebiotech.com/#/lm/network/64137", "https://cloud.oebiotech.com/#/lm/network/64137")</f>
        <v>https://cloud.oebiotech.com/#/lm/network/64137</v>
      </c>
      <c r="H5145" s="2" t="s">
        <v>33669</v>
      </c>
      <c r="I5145" s="2"/>
      <c r="J5145" s="2"/>
      <c r="K5145" s="2">
        <v>85125837</v>
      </c>
      <c r="L5145" s="2"/>
      <c r="M5145" s="2"/>
      <c r="N5145" s="2"/>
      <c r="O5145" s="2">
        <v>168041</v>
      </c>
      <c r="P5145" s="2"/>
      <c r="Q5145" s="2"/>
      <c r="R5145" s="2" t="s">
        <v>33670</v>
      </c>
      <c r="S5145" s="2" t="s">
        <v>33671</v>
      </c>
      <c r="T5145" s="2" t="s">
        <v>33672</v>
      </c>
      <c r="U5145" s="2" t="s">
        <v>266</v>
      </c>
      <c r="V5145" s="2" t="s">
        <v>11698</v>
      </c>
      <c r="W5145" s="2" t="s">
        <v>11699</v>
      </c>
      <c r="X5145" s="2" t="s">
        <v>147</v>
      </c>
      <c r="Y5145" s="2">
        <v>38</v>
      </c>
      <c r="Z5145" s="2">
        <v>0</v>
      </c>
      <c r="AA5145" s="2" t="s">
        <v>218</v>
      </c>
      <c r="AB5145" s="2" t="s">
        <v>33673</v>
      </c>
      <c r="AC5145" s="2">
        <v>0.62377613231885498</v>
      </c>
      <c r="AD5145" s="2"/>
      <c r="AE5145" s="2">
        <v>4.8096855964016597E-2</v>
      </c>
      <c r="AF5145" s="2">
        <v>1438.4429190624501</v>
      </c>
      <c r="AG5145" s="2">
        <v>1710.5966591649899</v>
      </c>
      <c r="AH5145" s="4">
        <v>0.84090127930251302</v>
      </c>
      <c r="AI5145" s="4">
        <v>-0.24999165495457301</v>
      </c>
      <c r="AJ5145" s="4" t="s">
        <v>62</v>
      </c>
      <c r="AK5145" s="2">
        <v>0.74808173110437903</v>
      </c>
      <c r="AL5145" s="2">
        <v>0.88463645213384701</v>
      </c>
      <c r="AM5145" s="2">
        <v>11.792696276459401</v>
      </c>
      <c r="AN5145" s="2">
        <v>594.477550505713</v>
      </c>
      <c r="AO5145" s="2">
        <v>2365.6456534945501</v>
      </c>
      <c r="AP5145" s="2">
        <v>383.67295813578102</v>
      </c>
      <c r="AQ5145" s="2">
        <v>3675.9468605611901</v>
      </c>
      <c r="AR5145" s="2">
        <v>1599.1217954009801</v>
      </c>
      <c r="AS5145" s="2">
        <v>780.47612136430405</v>
      </c>
      <c r="AT5145" s="2">
        <v>3020.3441506357899</v>
      </c>
      <c r="AU5145" s="2">
        <v>1147.9730490654799</v>
      </c>
      <c r="AV5145" s="2">
        <v>4040.5564352397</v>
      </c>
      <c r="AW5145" s="2">
        <v>648.06107414859605</v>
      </c>
      <c r="AX5145" s="2">
        <v>626.16912453607301</v>
      </c>
    </row>
    <row r="5146" spans="1:50" x14ac:dyDescent="0.25">
      <c r="A5146" s="2" t="s">
        <v>33674</v>
      </c>
      <c r="B5146" s="2">
        <v>239.06496692001201</v>
      </c>
      <c r="C5146" s="2">
        <v>0.70636666666666703</v>
      </c>
      <c r="D5146" s="2" t="s">
        <v>51</v>
      </c>
      <c r="E5146" s="2" t="s">
        <v>33675</v>
      </c>
      <c r="F5146" s="2">
        <v>209699</v>
      </c>
      <c r="G5146" s="3" t="str">
        <f>HYPERLINK("https://cloud.oebiotech.com/#/lm/network/209699", "https://cloud.oebiotech.com/#/lm/network/209699")</f>
        <v>https://cloud.oebiotech.com/#/lm/network/209699</v>
      </c>
      <c r="H5146" s="2" t="s">
        <v>33676</v>
      </c>
      <c r="I5146" s="2">
        <v>434501</v>
      </c>
      <c r="J5146" s="2"/>
      <c r="K5146" s="2">
        <v>519136</v>
      </c>
      <c r="L5146" s="2"/>
      <c r="M5146" s="2"/>
      <c r="N5146" s="2"/>
      <c r="O5146" s="2"/>
      <c r="P5146" s="2"/>
      <c r="Q5146" s="2"/>
      <c r="R5146" s="2"/>
      <c r="S5146" s="2" t="s">
        <v>33677</v>
      </c>
      <c r="T5146" s="2" t="s">
        <v>33678</v>
      </c>
      <c r="U5146" s="2" t="s">
        <v>1231</v>
      </c>
      <c r="V5146" s="2" t="s">
        <v>33679</v>
      </c>
      <c r="W5146" s="2" t="s">
        <v>240</v>
      </c>
      <c r="X5146" s="2" t="s">
        <v>147</v>
      </c>
      <c r="Y5146" s="2">
        <v>37.4</v>
      </c>
      <c r="Z5146" s="2">
        <v>0</v>
      </c>
      <c r="AA5146" s="2" t="s">
        <v>478</v>
      </c>
      <c r="AB5146" s="2" t="s">
        <v>33680</v>
      </c>
      <c r="AC5146" s="2">
        <v>3.2306236933635701</v>
      </c>
      <c r="AD5146" s="2"/>
      <c r="AE5146" s="2">
        <v>4.7952713516029602E-2</v>
      </c>
      <c r="AF5146" s="2">
        <v>1296.8482327941099</v>
      </c>
      <c r="AG5146" s="2">
        <v>917.62586699617896</v>
      </c>
      <c r="AH5146" s="5">
        <v>1.4132646860090201</v>
      </c>
      <c r="AI5146" s="5">
        <v>0.499031688907212</v>
      </c>
      <c r="AJ5146" s="5" t="s">
        <v>139</v>
      </c>
      <c r="AK5146" s="2">
        <v>0.55544690671822206</v>
      </c>
      <c r="AL5146" s="2">
        <v>0.77521568750060499</v>
      </c>
      <c r="AM5146" s="2">
        <v>1030.3723270983301</v>
      </c>
      <c r="AN5146" s="2">
        <v>617.87397098725205</v>
      </c>
      <c r="AO5146" s="2">
        <v>448.55313551952798</v>
      </c>
      <c r="AP5146" s="2">
        <v>788.63476902825096</v>
      </c>
      <c r="AQ5146" s="2">
        <v>3209.2459279616501</v>
      </c>
      <c r="AR5146" s="2">
        <v>1686.40926616963</v>
      </c>
      <c r="AS5146" s="2">
        <v>8.559877937157E-6</v>
      </c>
      <c r="AT5146" s="2">
        <v>8.559877937157E-6</v>
      </c>
      <c r="AU5146" s="2">
        <v>1673.1095705210901</v>
      </c>
      <c r="AV5146" s="2">
        <v>2685.25790835933</v>
      </c>
      <c r="AW5146" s="2">
        <v>8.559877937157E-6</v>
      </c>
      <c r="AX5146" s="2">
        <v>1147.38769741702</v>
      </c>
    </row>
    <row r="5147" spans="1:50" x14ac:dyDescent="0.25">
      <c r="A5147" s="2" t="s">
        <v>33681</v>
      </c>
      <c r="B5147" s="2">
        <v>286.02669835457999</v>
      </c>
      <c r="C5147" s="2">
        <v>0.56125000000000003</v>
      </c>
      <c r="D5147" s="2" t="s">
        <v>51</v>
      </c>
      <c r="E5147" s="2" t="s">
        <v>33682</v>
      </c>
      <c r="F5147" s="2">
        <v>199500</v>
      </c>
      <c r="G5147" s="3" t="str">
        <f>HYPERLINK("https://cloud.oebiotech.com/#/lm/network/199500", "https://cloud.oebiotech.com/#/lm/network/199500")</f>
        <v>https://cloud.oebiotech.com/#/lm/network/199500</v>
      </c>
      <c r="H5147" s="2" t="s">
        <v>33683</v>
      </c>
      <c r="I5147" s="2">
        <v>70048</v>
      </c>
      <c r="J5147" s="2"/>
      <c r="K5147" s="2">
        <v>21694</v>
      </c>
      <c r="L5147" s="2" t="s">
        <v>33684</v>
      </c>
      <c r="M5147" s="2"/>
      <c r="N5147" s="2"/>
      <c r="O5147" s="2">
        <v>34107</v>
      </c>
      <c r="P5147" s="2"/>
      <c r="Q5147" s="2"/>
      <c r="R5147" s="2" t="s">
        <v>33685</v>
      </c>
      <c r="S5147" s="2" t="s">
        <v>33686</v>
      </c>
      <c r="T5147" s="2" t="s">
        <v>33687</v>
      </c>
      <c r="U5147" s="2" t="s">
        <v>610</v>
      </c>
      <c r="V5147" s="2" t="s">
        <v>15860</v>
      </c>
      <c r="W5147" s="2" t="s">
        <v>240</v>
      </c>
      <c r="X5147" s="2" t="s">
        <v>147</v>
      </c>
      <c r="Y5147" s="2">
        <v>39.1</v>
      </c>
      <c r="Z5147" s="2">
        <v>0</v>
      </c>
      <c r="AA5147" s="2" t="s">
        <v>395</v>
      </c>
      <c r="AB5147" s="2" t="s">
        <v>33688</v>
      </c>
      <c r="AC5147" s="2">
        <v>0.85703544646855701</v>
      </c>
      <c r="AD5147" s="2"/>
      <c r="AE5147" s="2">
        <v>4.79169491056297E-2</v>
      </c>
      <c r="AF5147" s="2">
        <v>1021.11984512226</v>
      </c>
      <c r="AG5147" s="2">
        <v>738.52814170468196</v>
      </c>
      <c r="AH5147" s="5">
        <v>1.3826417538609901</v>
      </c>
      <c r="AI5147" s="5">
        <v>0.46742739880244999</v>
      </c>
      <c r="AJ5147" s="5" t="s">
        <v>139</v>
      </c>
      <c r="AK5147" s="2">
        <v>0.64508200321400599</v>
      </c>
      <c r="AL5147" s="2">
        <v>0.82646781464858698</v>
      </c>
      <c r="AM5147" s="2">
        <v>233.805277559345</v>
      </c>
      <c r="AN5147" s="2">
        <v>303.064022302198</v>
      </c>
      <c r="AO5147" s="2">
        <v>1154.3350861364599</v>
      </c>
      <c r="AP5147" s="2">
        <v>306.24078967147398</v>
      </c>
      <c r="AQ5147" s="2">
        <v>3420.1464810359098</v>
      </c>
      <c r="AR5147" s="2">
        <v>709.12741402817903</v>
      </c>
      <c r="AS5147" s="2">
        <v>1173.16432082236</v>
      </c>
      <c r="AT5147" s="2">
        <v>2140.72903400525</v>
      </c>
      <c r="AU5147" s="2">
        <v>366.55141758181998</v>
      </c>
      <c r="AV5147" s="2">
        <v>327.49674456072302</v>
      </c>
      <c r="AW5147" s="2">
        <v>423.22732469806198</v>
      </c>
      <c r="AX5147" s="2">
        <v>8.559877937157E-6</v>
      </c>
    </row>
    <row r="5148" spans="1:50" x14ac:dyDescent="0.25">
      <c r="A5148" s="2" t="s">
        <v>33689</v>
      </c>
      <c r="B5148" s="2">
        <v>315.13471397477502</v>
      </c>
      <c r="C5148" s="2">
        <v>5.5262333333333302</v>
      </c>
      <c r="D5148" s="2" t="s">
        <v>51</v>
      </c>
      <c r="E5148" s="2" t="s">
        <v>33690</v>
      </c>
      <c r="F5148" s="2">
        <v>35673</v>
      </c>
      <c r="G5148" s="3" t="str">
        <f>HYPERLINK("https://cloud.oebiotech.com/#/lm/network/35673", "https://cloud.oebiotech.com/#/lm/network/35673")</f>
        <v>https://cloud.oebiotech.com/#/lm/network/35673</v>
      </c>
      <c r="H5148" s="2"/>
      <c r="I5148" s="2"/>
      <c r="J5148" s="2" t="s">
        <v>33691</v>
      </c>
      <c r="K5148" s="2">
        <v>52929817</v>
      </c>
      <c r="L5148" s="2"/>
      <c r="M5148" s="2"/>
      <c r="N5148" s="2"/>
      <c r="O5148" s="2"/>
      <c r="P5148" s="2"/>
      <c r="Q5148" s="2"/>
      <c r="R5148" s="2"/>
      <c r="S5148" s="2" t="s">
        <v>33692</v>
      </c>
      <c r="T5148" s="2" t="s">
        <v>33693</v>
      </c>
      <c r="U5148" s="2" t="s">
        <v>56</v>
      </c>
      <c r="V5148" s="2" t="s">
        <v>177</v>
      </c>
      <c r="W5148" s="2" t="s">
        <v>1996</v>
      </c>
      <c r="X5148" s="2" t="s">
        <v>147</v>
      </c>
      <c r="Y5148" s="2">
        <v>44.6</v>
      </c>
      <c r="Z5148" s="2">
        <v>31</v>
      </c>
      <c r="AA5148" s="2" t="s">
        <v>395</v>
      </c>
      <c r="AB5148" s="2" t="s">
        <v>24245</v>
      </c>
      <c r="AC5148" s="2">
        <v>-3.5801299032216298</v>
      </c>
      <c r="AD5148" s="2"/>
      <c r="AE5148" s="2">
        <v>4.78707750138666E-2</v>
      </c>
      <c r="AF5148" s="2">
        <v>5596.5722431244003</v>
      </c>
      <c r="AG5148" s="2">
        <v>6089.6586736442196</v>
      </c>
      <c r="AH5148" s="4">
        <v>0.91902888865448695</v>
      </c>
      <c r="AI5148" s="4">
        <v>-0.121817883140717</v>
      </c>
      <c r="AJ5148" s="4" t="s">
        <v>62</v>
      </c>
      <c r="AK5148" s="2">
        <v>0.62210534162514897</v>
      </c>
      <c r="AL5148" s="2">
        <v>0.81300123375368705</v>
      </c>
      <c r="AM5148" s="2">
        <v>5656.4705382690499</v>
      </c>
      <c r="AN5148" s="2">
        <v>6480.7356163971099</v>
      </c>
      <c r="AO5148" s="2">
        <v>4557.5394667119599</v>
      </c>
      <c r="AP5148" s="2">
        <v>6361.7321632140802</v>
      </c>
      <c r="AQ5148" s="2">
        <v>6410.3405565265102</v>
      </c>
      <c r="AR5148" s="2">
        <v>4112.6151176277099</v>
      </c>
      <c r="AS5148" s="2">
        <v>8796.7981234025301</v>
      </c>
      <c r="AT5148" s="2">
        <v>7613.4153275405997</v>
      </c>
      <c r="AU5148" s="2">
        <v>6985.5603196194697</v>
      </c>
      <c r="AV5148" s="2">
        <v>3783.1857175206101</v>
      </c>
      <c r="AW5148" s="2">
        <v>5932.4385707818401</v>
      </c>
      <c r="AX5148" s="2">
        <v>3426.5539830002599</v>
      </c>
    </row>
    <row r="5149" spans="1:50" x14ac:dyDescent="0.25">
      <c r="A5149" s="2" t="s">
        <v>33694</v>
      </c>
      <c r="B5149" s="2">
        <v>115.112313454377</v>
      </c>
      <c r="C5149" s="2">
        <v>3.5446</v>
      </c>
      <c r="D5149" s="2" t="s">
        <v>51</v>
      </c>
      <c r="E5149" s="2" t="s">
        <v>33695</v>
      </c>
      <c r="F5149" s="2">
        <v>61161</v>
      </c>
      <c r="G5149" s="3" t="str">
        <f>HYPERLINK("https://cloud.oebiotech.com/#/lm/network/61161", "https://cloud.oebiotech.com/#/lm/network/61161")</f>
        <v>https://cloud.oebiotech.com/#/lm/network/61161</v>
      </c>
      <c r="H5149" s="2" t="s">
        <v>33696</v>
      </c>
      <c r="I5149" s="2">
        <v>92478</v>
      </c>
      <c r="J5149" s="2"/>
      <c r="K5149" s="2">
        <v>12651581</v>
      </c>
      <c r="L5149" s="2"/>
      <c r="M5149" s="2"/>
      <c r="N5149" s="2"/>
      <c r="O5149" s="2"/>
      <c r="P5149" s="2"/>
      <c r="Q5149" s="2"/>
      <c r="R5149" s="2"/>
      <c r="S5149" s="2" t="s">
        <v>33697</v>
      </c>
      <c r="T5149" s="2" t="s">
        <v>33698</v>
      </c>
      <c r="U5149" s="2" t="s">
        <v>331</v>
      </c>
      <c r="V5149" s="2" t="s">
        <v>332</v>
      </c>
      <c r="W5149" s="2" t="s">
        <v>511</v>
      </c>
      <c r="X5149" s="2" t="s">
        <v>147</v>
      </c>
      <c r="Y5149" s="2">
        <v>37.4</v>
      </c>
      <c r="Z5149" s="2">
        <v>0</v>
      </c>
      <c r="AA5149" s="2" t="s">
        <v>156</v>
      </c>
      <c r="AB5149" s="2" t="s">
        <v>10822</v>
      </c>
      <c r="AC5149" s="2">
        <v>4.3291981087221698</v>
      </c>
      <c r="AD5149" s="2"/>
      <c r="AE5149" s="2">
        <v>4.7845253746915901E-2</v>
      </c>
      <c r="AF5149" s="2">
        <v>255.65520119776801</v>
      </c>
      <c r="AG5149" s="2">
        <v>376.82224082145001</v>
      </c>
      <c r="AH5149" s="4">
        <v>0.678450403140893</v>
      </c>
      <c r="AI5149" s="4">
        <v>-0.55968474093519105</v>
      </c>
      <c r="AJ5149" s="4" t="s">
        <v>62</v>
      </c>
      <c r="AK5149" s="2">
        <v>0.22778930889017801</v>
      </c>
      <c r="AL5149" s="2">
        <v>0.55318612061801498</v>
      </c>
      <c r="AM5149" s="2">
        <v>350.88108537295699</v>
      </c>
      <c r="AN5149" s="2">
        <v>214.498742578226</v>
      </c>
      <c r="AO5149" s="2">
        <v>274.14255577749702</v>
      </c>
      <c r="AP5149" s="2">
        <v>195.095161802256</v>
      </c>
      <c r="AQ5149" s="2">
        <v>299.00160075337999</v>
      </c>
      <c r="AR5149" s="2">
        <v>200.31206090229</v>
      </c>
      <c r="AS5149" s="2">
        <v>409.72525895833297</v>
      </c>
      <c r="AT5149" s="2">
        <v>546.51288014418105</v>
      </c>
      <c r="AU5149" s="2">
        <v>86.750412208470195</v>
      </c>
      <c r="AV5149" s="2">
        <v>142.84460164517799</v>
      </c>
      <c r="AW5149" s="2">
        <v>652.94734547679195</v>
      </c>
      <c r="AX5149" s="2">
        <v>422.15294649574798</v>
      </c>
    </row>
    <row r="5150" spans="1:50" x14ac:dyDescent="0.25">
      <c r="A5150" s="2" t="s">
        <v>33699</v>
      </c>
      <c r="B5150" s="2">
        <v>217.10329999999999</v>
      </c>
      <c r="C5150" s="2">
        <v>14.090999999999999</v>
      </c>
      <c r="D5150" s="2" t="s">
        <v>125</v>
      </c>
      <c r="E5150" s="2" t="s">
        <v>33700</v>
      </c>
      <c r="F5150" s="2">
        <v>48012</v>
      </c>
      <c r="G5150" s="3" t="str">
        <f>HYPERLINK("https://cloud.oebiotech.com/#/lm/network/48012", "https://cloud.oebiotech.com/#/lm/network/48012")</f>
        <v>https://cloud.oebiotech.com/#/lm/network/48012</v>
      </c>
      <c r="H5150" s="2" t="s">
        <v>33701</v>
      </c>
      <c r="I5150" s="2">
        <v>140</v>
      </c>
      <c r="J5150" s="2"/>
      <c r="K5150" s="2">
        <v>222285</v>
      </c>
      <c r="L5150" s="2" t="s">
        <v>33702</v>
      </c>
      <c r="M5150" s="2" t="s">
        <v>1638</v>
      </c>
      <c r="N5150" s="2" t="s">
        <v>1639</v>
      </c>
      <c r="O5150" s="2">
        <v>17113</v>
      </c>
      <c r="P5150" s="2"/>
      <c r="Q5150" s="2"/>
      <c r="R5150" s="2" t="s">
        <v>33703</v>
      </c>
      <c r="S5150" s="2" t="s">
        <v>33704</v>
      </c>
      <c r="T5150" s="2" t="s">
        <v>33705</v>
      </c>
      <c r="U5150" s="2" t="s">
        <v>331</v>
      </c>
      <c r="V5150" s="2" t="s">
        <v>332</v>
      </c>
      <c r="W5150" s="2" t="s">
        <v>333</v>
      </c>
      <c r="X5150" s="2" t="s">
        <v>69</v>
      </c>
      <c r="Y5150" s="2">
        <v>94.4</v>
      </c>
      <c r="Z5150" s="2">
        <v>94.8</v>
      </c>
      <c r="AA5150" s="2"/>
      <c r="AB5150" s="2" t="s">
        <v>33706</v>
      </c>
      <c r="AC5150" s="2"/>
      <c r="AD5150" s="2">
        <v>474585.84122999699</v>
      </c>
      <c r="AE5150" s="2">
        <v>4.7600412276830602E-2</v>
      </c>
      <c r="AF5150" s="2">
        <v>66969.242033491595</v>
      </c>
      <c r="AG5150" s="2">
        <v>62620.187884026498</v>
      </c>
      <c r="AH5150" s="5">
        <v>1.06945131109347</v>
      </c>
      <c r="AI5150" s="5">
        <v>9.6870802425393102E-2</v>
      </c>
      <c r="AJ5150" s="5" t="s">
        <v>139</v>
      </c>
      <c r="AK5150" s="2">
        <v>0.69183107629389895</v>
      </c>
      <c r="AL5150" s="2">
        <v>0.85204584530065597</v>
      </c>
      <c r="AM5150" s="2">
        <v>64921.4643661148</v>
      </c>
      <c r="AN5150" s="2">
        <v>63157.095486537997</v>
      </c>
      <c r="AO5150" s="2">
        <v>49491.792301321999</v>
      </c>
      <c r="AP5150" s="2">
        <v>79913.350186515498</v>
      </c>
      <c r="AQ5150" s="2">
        <v>63008.839283112298</v>
      </c>
      <c r="AR5150" s="2">
        <v>81322.910577346804</v>
      </c>
      <c r="AS5150" s="2">
        <v>46005.690154697397</v>
      </c>
      <c r="AT5150" s="2">
        <v>61387.314441640599</v>
      </c>
      <c r="AU5150" s="2">
        <v>55863.935132221603</v>
      </c>
      <c r="AV5150" s="2">
        <v>53259.181402557602</v>
      </c>
      <c r="AW5150" s="2">
        <v>108814.360816085</v>
      </c>
      <c r="AX5150" s="2">
        <v>50390.645356956797</v>
      </c>
    </row>
    <row r="5151" spans="1:50" x14ac:dyDescent="0.25">
      <c r="A5151" s="2" t="s">
        <v>33707</v>
      </c>
      <c r="B5151" s="2">
        <v>370.29643781178203</v>
      </c>
      <c r="C5151" s="2">
        <v>9.1553166666666694</v>
      </c>
      <c r="D5151" s="2" t="s">
        <v>51</v>
      </c>
      <c r="E5151" s="2" t="s">
        <v>33708</v>
      </c>
      <c r="F5151" s="2">
        <v>8315</v>
      </c>
      <c r="G5151" s="3" t="str">
        <f>HYPERLINK("https://cloud.oebiotech.com/#/lm/network/8315", "https://cloud.oebiotech.com/#/lm/network/8315")</f>
        <v>https://cloud.oebiotech.com/#/lm/network/8315</v>
      </c>
      <c r="H5151" s="2" t="s">
        <v>33709</v>
      </c>
      <c r="I5151" s="2"/>
      <c r="J5151" s="2" t="s">
        <v>33710</v>
      </c>
      <c r="K5151" s="2">
        <v>53481642</v>
      </c>
      <c r="L5151" s="2"/>
      <c r="M5151" s="2"/>
      <c r="N5151" s="2"/>
      <c r="O5151" s="2"/>
      <c r="P5151" s="2"/>
      <c r="Q5151" s="2"/>
      <c r="R5151" s="2"/>
      <c r="S5151" s="2" t="s">
        <v>33711</v>
      </c>
      <c r="T5151" s="2" t="s">
        <v>33712</v>
      </c>
      <c r="U5151" s="2" t="s">
        <v>56</v>
      </c>
      <c r="V5151" s="2" t="s">
        <v>145</v>
      </c>
      <c r="W5151" s="2" t="s">
        <v>1188</v>
      </c>
      <c r="X5151" s="2" t="s">
        <v>83</v>
      </c>
      <c r="Y5151" s="2">
        <v>48</v>
      </c>
      <c r="Z5151" s="2">
        <v>3.31</v>
      </c>
      <c r="AA5151" s="2" t="s">
        <v>156</v>
      </c>
      <c r="AB5151" s="2" t="s">
        <v>33713</v>
      </c>
      <c r="AC5151" s="2">
        <v>3.2343125472457701</v>
      </c>
      <c r="AD5151" s="2"/>
      <c r="AE5151" s="2">
        <v>4.75575605202549E-2</v>
      </c>
      <c r="AF5151" s="2">
        <v>98496.349359407803</v>
      </c>
      <c r="AG5151" s="2">
        <v>88827.442733495103</v>
      </c>
      <c r="AH5151" s="5">
        <v>1.10885044450646</v>
      </c>
      <c r="AI5151" s="5">
        <v>0.149064796050871</v>
      </c>
      <c r="AJ5151" s="5" t="s">
        <v>139</v>
      </c>
      <c r="AK5151" s="2">
        <v>0.75348967691421798</v>
      </c>
      <c r="AL5151" s="2">
        <v>0.88845414165782899</v>
      </c>
      <c r="AM5151" s="2">
        <v>43457.632230885298</v>
      </c>
      <c r="AN5151" s="2">
        <v>86136.703045575196</v>
      </c>
      <c r="AO5151" s="2">
        <v>117550.70258216</v>
      </c>
      <c r="AP5151" s="2">
        <v>119285.041138171</v>
      </c>
      <c r="AQ5151" s="2">
        <v>129682.05797173599</v>
      </c>
      <c r="AR5151" s="2">
        <v>94865.959187919594</v>
      </c>
      <c r="AS5151" s="2">
        <v>86300.012040722606</v>
      </c>
      <c r="AT5151" s="2">
        <v>46583.201753376001</v>
      </c>
      <c r="AU5151" s="2">
        <v>45965.290165904502</v>
      </c>
      <c r="AV5151" s="2">
        <v>61661.790328016701</v>
      </c>
      <c r="AW5151" s="2">
        <v>220376.317554593</v>
      </c>
      <c r="AX5151" s="2">
        <v>72078.044558358</v>
      </c>
    </row>
    <row r="5152" spans="1:50" x14ac:dyDescent="0.25">
      <c r="A5152" s="2" t="s">
        <v>33714</v>
      </c>
      <c r="B5152" s="2">
        <v>272.01536183429101</v>
      </c>
      <c r="C5152" s="2">
        <v>3.9604499999999998</v>
      </c>
      <c r="D5152" s="2" t="s">
        <v>51</v>
      </c>
      <c r="E5152" s="2" t="s">
        <v>33715</v>
      </c>
      <c r="F5152" s="2">
        <v>200855</v>
      </c>
      <c r="G5152" s="3" t="str">
        <f>HYPERLINK("https://cloud.oebiotech.com/#/lm/network/200855", "https://cloud.oebiotech.com/#/lm/network/200855")</f>
        <v>https://cloud.oebiotech.com/#/lm/network/200855</v>
      </c>
      <c r="H5152" s="2" t="s">
        <v>33716</v>
      </c>
      <c r="I5152" s="2">
        <v>321528</v>
      </c>
      <c r="J5152" s="2"/>
      <c r="K5152" s="2">
        <v>11763</v>
      </c>
      <c r="L5152" s="2"/>
      <c r="M5152" s="2"/>
      <c r="N5152" s="2"/>
      <c r="O5152" s="2"/>
      <c r="P5152" s="2"/>
      <c r="Q5152" s="2"/>
      <c r="R5152" s="2"/>
      <c r="S5152" s="2" t="s">
        <v>33717</v>
      </c>
      <c r="T5152" s="2" t="s">
        <v>33718</v>
      </c>
      <c r="U5152" s="2" t="s">
        <v>610</v>
      </c>
      <c r="V5152" s="2" t="s">
        <v>611</v>
      </c>
      <c r="W5152" s="2" t="s">
        <v>8369</v>
      </c>
      <c r="X5152" s="2" t="s">
        <v>147</v>
      </c>
      <c r="Y5152" s="2">
        <v>39</v>
      </c>
      <c r="Z5152" s="2">
        <v>8.32</v>
      </c>
      <c r="AA5152" s="2" t="s">
        <v>218</v>
      </c>
      <c r="AB5152" s="2" t="s">
        <v>33719</v>
      </c>
      <c r="AC5152" s="2">
        <v>-2.97742166296127</v>
      </c>
      <c r="AD5152" s="2"/>
      <c r="AE5152" s="2">
        <v>4.7557513861984799E-2</v>
      </c>
      <c r="AF5152" s="2">
        <v>2010.7669805650501</v>
      </c>
      <c r="AG5152" s="2">
        <v>2557.1135258815002</v>
      </c>
      <c r="AH5152" s="4">
        <v>0.78634247569117599</v>
      </c>
      <c r="AI5152" s="4">
        <v>-0.34677030864952801</v>
      </c>
      <c r="AJ5152" s="4" t="s">
        <v>62</v>
      </c>
      <c r="AK5152" s="2">
        <v>0.51808004278963904</v>
      </c>
      <c r="AL5152" s="2">
        <v>0.75020517415660704</v>
      </c>
      <c r="AM5152" s="2">
        <v>2446.3143156887299</v>
      </c>
      <c r="AN5152" s="2">
        <v>1807.98030065227</v>
      </c>
      <c r="AO5152" s="2">
        <v>2640.6450527243401</v>
      </c>
      <c r="AP5152" s="2">
        <v>2492.5163314554902</v>
      </c>
      <c r="AQ5152" s="2">
        <v>1683.5149235732499</v>
      </c>
      <c r="AR5152" s="2">
        <v>993.63095929622204</v>
      </c>
      <c r="AS5152" s="2">
        <v>1945.04195381454</v>
      </c>
      <c r="AT5152" s="2">
        <v>2800.6066868419998</v>
      </c>
      <c r="AU5152" s="2">
        <v>5285.7010721652696</v>
      </c>
      <c r="AV5152" s="2">
        <v>524.49464647645402</v>
      </c>
      <c r="AW5152" s="2">
        <v>4109.1928827564097</v>
      </c>
      <c r="AX5152" s="2">
        <v>677.64391323431596</v>
      </c>
    </row>
    <row r="5153" spans="1:50" x14ac:dyDescent="0.25">
      <c r="A5153" s="2" t="s">
        <v>33720</v>
      </c>
      <c r="B5153" s="2">
        <v>157.03574403775201</v>
      </c>
      <c r="C5153" s="2">
        <v>0.70636666666666703</v>
      </c>
      <c r="D5153" s="2" t="s">
        <v>51</v>
      </c>
      <c r="E5153" s="2" t="s">
        <v>33721</v>
      </c>
      <c r="F5153" s="2">
        <v>47044</v>
      </c>
      <c r="G5153" s="3" t="str">
        <f>HYPERLINK("https://cloud.oebiotech.com/#/lm/network/47044", "https://cloud.oebiotech.com/#/lm/network/47044")</f>
        <v>https://cloud.oebiotech.com/#/lm/network/47044</v>
      </c>
      <c r="H5153" s="2" t="s">
        <v>33722</v>
      </c>
      <c r="I5153" s="2">
        <v>89</v>
      </c>
      <c r="J5153" s="2"/>
      <c r="K5153" s="2">
        <v>204</v>
      </c>
      <c r="L5153" s="2" t="s">
        <v>33723</v>
      </c>
      <c r="M5153" s="2"/>
      <c r="N5153" s="2"/>
      <c r="O5153" s="2">
        <v>15676</v>
      </c>
      <c r="P5153" s="2"/>
      <c r="Q5153" s="2"/>
      <c r="R5153" s="2" t="s">
        <v>33724</v>
      </c>
      <c r="S5153" s="2" t="s">
        <v>33725</v>
      </c>
      <c r="T5153" s="2" t="s">
        <v>33726</v>
      </c>
      <c r="U5153" s="2" t="s">
        <v>266</v>
      </c>
      <c r="V5153" s="2" t="s">
        <v>1585</v>
      </c>
      <c r="W5153" s="2" t="s">
        <v>1586</v>
      </c>
      <c r="X5153" s="2" t="s">
        <v>69</v>
      </c>
      <c r="Y5153" s="2">
        <v>52.1</v>
      </c>
      <c r="Z5153" s="2">
        <v>66.3</v>
      </c>
      <c r="AA5153" s="2" t="s">
        <v>163</v>
      </c>
      <c r="AB5153" s="2" t="s">
        <v>23139</v>
      </c>
      <c r="AC5153" s="2">
        <v>-6.1350042322384102</v>
      </c>
      <c r="AD5153" s="2"/>
      <c r="AE5153" s="2">
        <v>4.7542005201031703E-2</v>
      </c>
      <c r="AF5153" s="2">
        <v>44606.808334982197</v>
      </c>
      <c r="AG5153" s="2">
        <v>47481.857538685399</v>
      </c>
      <c r="AH5153" s="4">
        <v>0.93944952129640602</v>
      </c>
      <c r="AI5153" s="4">
        <v>-9.0112450359481802E-2</v>
      </c>
      <c r="AJ5153" s="4" t="s">
        <v>62</v>
      </c>
      <c r="AK5153" s="2">
        <v>0.85162294850742104</v>
      </c>
      <c r="AL5153" s="2">
        <v>0.93439301556015897</v>
      </c>
      <c r="AM5153" s="2">
        <v>44611.594559794998</v>
      </c>
      <c r="AN5153" s="2">
        <v>37824.9745894226</v>
      </c>
      <c r="AO5153" s="2">
        <v>33114.457502479599</v>
      </c>
      <c r="AP5153" s="2">
        <v>86048.261924569204</v>
      </c>
      <c r="AQ5153" s="2">
        <v>36447.880454521801</v>
      </c>
      <c r="AR5153" s="2">
        <v>29593.6809791048</v>
      </c>
      <c r="AS5153" s="2">
        <v>11296.335307495099</v>
      </c>
      <c r="AT5153" s="2">
        <v>52587.085782641501</v>
      </c>
      <c r="AU5153" s="2">
        <v>100881.31829835</v>
      </c>
      <c r="AV5153" s="2">
        <v>51169.7733589571</v>
      </c>
      <c r="AW5153" s="2">
        <v>35916.293004981402</v>
      </c>
      <c r="AX5153" s="2">
        <v>33040.339479687398</v>
      </c>
    </row>
    <row r="5154" spans="1:50" x14ac:dyDescent="0.25">
      <c r="A5154" s="2" t="s">
        <v>33727</v>
      </c>
      <c r="B5154" s="2">
        <v>277.04398492134601</v>
      </c>
      <c r="C5154" s="2">
        <v>4.7222</v>
      </c>
      <c r="D5154" s="2" t="s">
        <v>51</v>
      </c>
      <c r="E5154" s="2" t="s">
        <v>33728</v>
      </c>
      <c r="F5154" s="2">
        <v>52790</v>
      </c>
      <c r="G5154" s="3" t="str">
        <f>HYPERLINK("https://cloud.oebiotech.com/#/lm/network/52790", "https://cloud.oebiotech.com/#/lm/network/52790")</f>
        <v>https://cloud.oebiotech.com/#/lm/network/52790</v>
      </c>
      <c r="H5154" s="2" t="s">
        <v>33729</v>
      </c>
      <c r="I5154" s="2">
        <v>43362</v>
      </c>
      <c r="J5154" s="2"/>
      <c r="K5154" s="2">
        <v>6256</v>
      </c>
      <c r="L5154" s="2"/>
      <c r="M5154" s="2"/>
      <c r="N5154" s="2"/>
      <c r="O5154" s="2">
        <v>75179</v>
      </c>
      <c r="P5154" s="2"/>
      <c r="Q5154" s="2"/>
      <c r="R5154" s="2" t="s">
        <v>33730</v>
      </c>
      <c r="S5154" s="2" t="s">
        <v>33731</v>
      </c>
      <c r="T5154" s="2" t="s">
        <v>33732</v>
      </c>
      <c r="U5154" s="2" t="s">
        <v>295</v>
      </c>
      <c r="V5154" s="2" t="s">
        <v>1818</v>
      </c>
      <c r="W5154" s="2" t="s">
        <v>1819</v>
      </c>
      <c r="X5154" s="2" t="s">
        <v>147</v>
      </c>
      <c r="Y5154" s="2">
        <v>39.5</v>
      </c>
      <c r="Z5154" s="2">
        <v>3.35</v>
      </c>
      <c r="AA5154" s="2" t="s">
        <v>379</v>
      </c>
      <c r="AB5154" s="2" t="s">
        <v>33733</v>
      </c>
      <c r="AC5154" s="2">
        <v>-0.60824698850167203</v>
      </c>
      <c r="AD5154" s="2"/>
      <c r="AE5154" s="2">
        <v>4.7459120376307097E-2</v>
      </c>
      <c r="AF5154" s="2">
        <v>683.39858665314398</v>
      </c>
      <c r="AG5154" s="2">
        <v>596.59532760325101</v>
      </c>
      <c r="AH5154" s="5">
        <v>1.14549771852658</v>
      </c>
      <c r="AI5154" s="5">
        <v>0.19597458524785999</v>
      </c>
      <c r="AJ5154" s="5" t="s">
        <v>139</v>
      </c>
      <c r="AK5154" s="2">
        <v>0.74167884070010104</v>
      </c>
      <c r="AL5154" s="2">
        <v>0.88190791048193196</v>
      </c>
      <c r="AM5154" s="2">
        <v>1493.8440635606601</v>
      </c>
      <c r="AN5154" s="2">
        <v>873.32929412393298</v>
      </c>
      <c r="AO5154" s="2">
        <v>354.18639102191298</v>
      </c>
      <c r="AP5154" s="2">
        <v>391.74471100821199</v>
      </c>
      <c r="AQ5154" s="2">
        <v>352.54060269343302</v>
      </c>
      <c r="AR5154" s="2">
        <v>634.74645751071398</v>
      </c>
      <c r="AS5154" s="2">
        <v>232.81482269977499</v>
      </c>
      <c r="AT5154" s="2">
        <v>110.69208920901001</v>
      </c>
      <c r="AU5154" s="2">
        <v>1341.4951923624101</v>
      </c>
      <c r="AV5154" s="2">
        <v>798.08540851251496</v>
      </c>
      <c r="AW5154" s="2">
        <v>524.63263989453799</v>
      </c>
      <c r="AX5154" s="2">
        <v>571.85181294125903</v>
      </c>
    </row>
    <row r="5155" spans="1:50" x14ac:dyDescent="0.25">
      <c r="A5155" s="2" t="s">
        <v>33734</v>
      </c>
      <c r="B5155" s="2">
        <v>699.52071063961205</v>
      </c>
      <c r="C5155" s="2">
        <v>14.479983333333299</v>
      </c>
      <c r="D5155" s="2" t="s">
        <v>51</v>
      </c>
      <c r="E5155" s="2" t="s">
        <v>33735</v>
      </c>
      <c r="F5155" s="2">
        <v>49984</v>
      </c>
      <c r="G5155" s="3" t="str">
        <f>HYPERLINK("https://cloud.oebiotech.com/#/lm/network/49984", "https://cloud.oebiotech.com/#/lm/network/49984")</f>
        <v>https://cloud.oebiotech.com/#/lm/network/49984</v>
      </c>
      <c r="H5155" s="2" t="s">
        <v>33736</v>
      </c>
      <c r="I5155" s="2">
        <v>60413</v>
      </c>
      <c r="J5155" s="2"/>
      <c r="K5155" s="2">
        <v>53479607</v>
      </c>
      <c r="L5155" s="2" t="s">
        <v>254</v>
      </c>
      <c r="M5155" s="2" t="s">
        <v>255</v>
      </c>
      <c r="N5155" s="2" t="s">
        <v>256</v>
      </c>
      <c r="O5155" s="2">
        <v>137294</v>
      </c>
      <c r="P5155" s="2"/>
      <c r="Q5155" s="2"/>
      <c r="R5155" s="2"/>
      <c r="S5155" s="2" t="s">
        <v>33737</v>
      </c>
      <c r="T5155" s="2" t="s">
        <v>33738</v>
      </c>
      <c r="U5155" s="2" t="s">
        <v>56</v>
      </c>
      <c r="V5155" s="2" t="s">
        <v>57</v>
      </c>
      <c r="W5155" s="2" t="s">
        <v>155</v>
      </c>
      <c r="X5155" s="2" t="s">
        <v>147</v>
      </c>
      <c r="Y5155" s="2">
        <v>36.9</v>
      </c>
      <c r="Z5155" s="2">
        <v>0</v>
      </c>
      <c r="AA5155" s="2" t="s">
        <v>122</v>
      </c>
      <c r="AB5155" s="2" t="s">
        <v>33739</v>
      </c>
      <c r="AC5155" s="2">
        <v>0.60068981240130404</v>
      </c>
      <c r="AD5155" s="2"/>
      <c r="AE5155" s="2">
        <v>4.74092803821261E-2</v>
      </c>
      <c r="AF5155" s="2">
        <v>13563.252337857501</v>
      </c>
      <c r="AG5155" s="2">
        <v>15519.836419114599</v>
      </c>
      <c r="AH5155" s="4">
        <v>0.87393010928598702</v>
      </c>
      <c r="AI5155" s="4">
        <v>-0.19441018703594601</v>
      </c>
      <c r="AJ5155" s="4" t="s">
        <v>62</v>
      </c>
      <c r="AK5155" s="2">
        <v>0.606305066438658</v>
      </c>
      <c r="AL5155" s="2">
        <v>0.80376251234912599</v>
      </c>
      <c r="AM5155" s="2">
        <v>19814.713020899599</v>
      </c>
      <c r="AN5155" s="2">
        <v>16717.678676008501</v>
      </c>
      <c r="AO5155" s="2">
        <v>12674.2601137702</v>
      </c>
      <c r="AP5155" s="2">
        <v>11096.9355924353</v>
      </c>
      <c r="AQ5155" s="2">
        <v>9398.1320202906209</v>
      </c>
      <c r="AR5155" s="2">
        <v>11677.7946037407</v>
      </c>
      <c r="AS5155" s="2">
        <v>9049.4482508718593</v>
      </c>
      <c r="AT5155" s="2">
        <v>8625.0229608110094</v>
      </c>
      <c r="AU5155" s="2">
        <v>30385.584216672902</v>
      </c>
      <c r="AV5155" s="2">
        <v>14167.1440894525</v>
      </c>
      <c r="AW5155" s="2">
        <v>12560.099573784501</v>
      </c>
      <c r="AX5155" s="2">
        <v>18331.719423095001</v>
      </c>
    </row>
    <row r="5156" spans="1:50" x14ac:dyDescent="0.25">
      <c r="A5156" s="2" t="s">
        <v>33740</v>
      </c>
      <c r="B5156" s="2">
        <v>328.09830327664599</v>
      </c>
      <c r="C5156" s="2">
        <v>11.1718666666667</v>
      </c>
      <c r="D5156" s="2" t="s">
        <v>51</v>
      </c>
      <c r="E5156" s="2" t="s">
        <v>33741</v>
      </c>
      <c r="F5156" s="2">
        <v>204584</v>
      </c>
      <c r="G5156" s="3" t="str">
        <f>HYPERLINK("https://cloud.oebiotech.com/#/lm/network/204584", "https://cloud.oebiotech.com/#/lm/network/204584")</f>
        <v>https://cloud.oebiotech.com/#/lm/network/204584</v>
      </c>
      <c r="H5156" s="2" t="s">
        <v>33742</v>
      </c>
      <c r="I5156" s="2">
        <v>317845</v>
      </c>
      <c r="J5156" s="2"/>
      <c r="K5156" s="2">
        <v>151172</v>
      </c>
      <c r="L5156" s="2"/>
      <c r="M5156" s="2"/>
      <c r="N5156" s="2"/>
      <c r="O5156" s="2"/>
      <c r="P5156" s="2"/>
      <c r="Q5156" s="2"/>
      <c r="R5156" s="2"/>
      <c r="S5156" s="2" t="s">
        <v>33743</v>
      </c>
      <c r="T5156" s="2" t="s">
        <v>33744</v>
      </c>
      <c r="U5156" s="2" t="s">
        <v>56</v>
      </c>
      <c r="V5156" s="2" t="s">
        <v>177</v>
      </c>
      <c r="W5156" s="2" t="s">
        <v>584</v>
      </c>
      <c r="X5156" s="2" t="s">
        <v>147</v>
      </c>
      <c r="Y5156" s="2">
        <v>37.700000000000003</v>
      </c>
      <c r="Z5156" s="2">
        <v>0</v>
      </c>
      <c r="AA5156" s="2" t="s">
        <v>218</v>
      </c>
      <c r="AB5156" s="2" t="s">
        <v>33745</v>
      </c>
      <c r="AC5156" s="2">
        <v>3.6665200063666199</v>
      </c>
      <c r="AD5156" s="2"/>
      <c r="AE5156" s="2">
        <v>4.7328778626460503E-2</v>
      </c>
      <c r="AF5156" s="2">
        <v>613.40095989349902</v>
      </c>
      <c r="AG5156" s="2">
        <v>540.81671948127098</v>
      </c>
      <c r="AH5156" s="5">
        <v>1.1342122715470899</v>
      </c>
      <c r="AI5156" s="5">
        <v>0.18169067065873501</v>
      </c>
      <c r="AJ5156" s="5" t="s">
        <v>139</v>
      </c>
      <c r="AK5156" s="2">
        <v>0.75571347686889601</v>
      </c>
      <c r="AL5156" s="2">
        <v>0.88968290941317296</v>
      </c>
      <c r="AM5156" s="2">
        <v>1319.86968269668</v>
      </c>
      <c r="AN5156" s="2">
        <v>374.23478171384698</v>
      </c>
      <c r="AO5156" s="2">
        <v>372.497748009698</v>
      </c>
      <c r="AP5156" s="2">
        <v>142.40171010067201</v>
      </c>
      <c r="AQ5156" s="2">
        <v>773.95434998634505</v>
      </c>
      <c r="AR5156" s="2">
        <v>697.44748685375498</v>
      </c>
      <c r="AS5156" s="2">
        <v>114.281448102336</v>
      </c>
      <c r="AT5156" s="2">
        <v>494.726379507037</v>
      </c>
      <c r="AU5156" s="2">
        <v>1180.5394836959399</v>
      </c>
      <c r="AV5156" s="2">
        <v>683.50399923179396</v>
      </c>
      <c r="AW5156" s="2">
        <v>472.32609865758798</v>
      </c>
      <c r="AX5156" s="2">
        <v>299.52290769293</v>
      </c>
    </row>
    <row r="5157" spans="1:50" x14ac:dyDescent="0.25">
      <c r="A5157" s="2" t="s">
        <v>33746</v>
      </c>
      <c r="B5157" s="2">
        <v>260.20164988174997</v>
      </c>
      <c r="C5157" s="2">
        <v>10.6709833333333</v>
      </c>
      <c r="D5157" s="2" t="s">
        <v>51</v>
      </c>
      <c r="E5157" s="2" t="s">
        <v>33747</v>
      </c>
      <c r="F5157" s="2">
        <v>201024</v>
      </c>
      <c r="G5157" s="3" t="str">
        <f>HYPERLINK("https://cloud.oebiotech.com/#/lm/network/201024", "https://cloud.oebiotech.com/#/lm/network/201024")</f>
        <v>https://cloud.oebiotech.com/#/lm/network/201024</v>
      </c>
      <c r="H5157" s="2" t="s">
        <v>33748</v>
      </c>
      <c r="I5157" s="2">
        <v>43295</v>
      </c>
      <c r="J5157" s="2"/>
      <c r="K5157" s="2">
        <v>30541</v>
      </c>
      <c r="L5157" s="2"/>
      <c r="M5157" s="2"/>
      <c r="N5157" s="2"/>
      <c r="O5157" s="2"/>
      <c r="P5157" s="2"/>
      <c r="Q5157" s="2"/>
      <c r="R5157" s="2"/>
      <c r="S5157" s="2" t="s">
        <v>33749</v>
      </c>
      <c r="T5157" s="2" t="s">
        <v>33750</v>
      </c>
      <c r="U5157" s="2" t="s">
        <v>610</v>
      </c>
      <c r="V5157" s="2" t="s">
        <v>611</v>
      </c>
      <c r="W5157" s="2" t="s">
        <v>1122</v>
      </c>
      <c r="X5157" s="2" t="s">
        <v>69</v>
      </c>
      <c r="Y5157" s="2">
        <v>75.7</v>
      </c>
      <c r="Z5157" s="2">
        <v>90.3</v>
      </c>
      <c r="AA5157" s="2" t="s">
        <v>156</v>
      </c>
      <c r="AB5157" s="2" t="s">
        <v>33751</v>
      </c>
      <c r="AC5157" s="2">
        <v>2.7381331063577501</v>
      </c>
      <c r="AD5157" s="2"/>
      <c r="AE5157" s="2">
        <v>4.7228293663437601E-2</v>
      </c>
      <c r="AF5157" s="2">
        <v>4380.0477170740096</v>
      </c>
      <c r="AG5157" s="2">
        <v>4500.2032675603396</v>
      </c>
      <c r="AH5157" s="4">
        <v>0.97329997261402101</v>
      </c>
      <c r="AI5157" s="4">
        <v>-3.9043580419776E-2</v>
      </c>
      <c r="AJ5157" s="4" t="s">
        <v>62</v>
      </c>
      <c r="AK5157" s="2">
        <v>0.92584347841555503</v>
      </c>
      <c r="AL5157" s="2">
        <v>0.96809529773207603</v>
      </c>
      <c r="AM5157" s="2">
        <v>6582.3121910200298</v>
      </c>
      <c r="AN5157" s="2">
        <v>2571.7181907065001</v>
      </c>
      <c r="AO5157" s="2">
        <v>5688.6165380729699</v>
      </c>
      <c r="AP5157" s="2">
        <v>4249.3291716134199</v>
      </c>
      <c r="AQ5157" s="2">
        <v>3060.6551137854599</v>
      </c>
      <c r="AR5157" s="2">
        <v>4127.6550972456598</v>
      </c>
      <c r="AS5157" s="2">
        <v>1596.6055722897199</v>
      </c>
      <c r="AT5157" s="2">
        <v>6612.1843911324504</v>
      </c>
      <c r="AU5157" s="2">
        <v>7966.7577138675497</v>
      </c>
      <c r="AV5157" s="2">
        <v>4220.2707127418098</v>
      </c>
      <c r="AW5157" s="2">
        <v>5306.6482676354899</v>
      </c>
      <c r="AX5157" s="2">
        <v>1298.7529476950299</v>
      </c>
    </row>
    <row r="5158" spans="1:50" x14ac:dyDescent="0.25">
      <c r="A5158" s="2" t="s">
        <v>33752</v>
      </c>
      <c r="B5158" s="2">
        <v>533.28504440871995</v>
      </c>
      <c r="C5158" s="2">
        <v>8.7692833333333304</v>
      </c>
      <c r="D5158" s="2" t="s">
        <v>51</v>
      </c>
      <c r="E5158" s="2" t="s">
        <v>33753</v>
      </c>
      <c r="F5158" s="2">
        <v>277136</v>
      </c>
      <c r="G5158" s="3" t="str">
        <f>HYPERLINK("https://cloud.oebiotech.com/#/lm/network/277136", "https://cloud.oebiotech.com/#/lm/network/277136")</f>
        <v>https://cloud.oebiotech.com/#/lm/network/277136</v>
      </c>
      <c r="H5158" s="2"/>
      <c r="I5158" s="2">
        <v>68820</v>
      </c>
      <c r="J5158" s="2"/>
      <c r="K5158" s="2">
        <v>91742</v>
      </c>
      <c r="L5158" s="2" t="s">
        <v>33754</v>
      </c>
      <c r="M5158" s="2"/>
      <c r="N5158" s="2"/>
      <c r="O5158" s="2"/>
      <c r="P5158" s="2"/>
      <c r="Q5158" s="2"/>
      <c r="R5158" s="2" t="s">
        <v>33755</v>
      </c>
      <c r="S5158" s="2" t="s">
        <v>33756</v>
      </c>
      <c r="T5158" s="2" t="s">
        <v>33757</v>
      </c>
      <c r="U5158" s="2" t="s">
        <v>610</v>
      </c>
      <c r="V5158" s="2" t="s">
        <v>611</v>
      </c>
      <c r="W5158" s="2" t="s">
        <v>33758</v>
      </c>
      <c r="X5158" s="2" t="s">
        <v>147</v>
      </c>
      <c r="Y5158" s="2">
        <v>38.4</v>
      </c>
      <c r="Z5158" s="2">
        <v>0</v>
      </c>
      <c r="AA5158" s="2" t="s">
        <v>478</v>
      </c>
      <c r="AB5158" s="2" t="s">
        <v>14125</v>
      </c>
      <c r="AC5158" s="2">
        <v>-3.3604568066779001</v>
      </c>
      <c r="AD5158" s="2"/>
      <c r="AE5158" s="2">
        <v>4.7216617218397802E-2</v>
      </c>
      <c r="AF5158" s="2">
        <v>2338.7925490410598</v>
      </c>
      <c r="AG5158" s="2">
        <v>2371.1425382890102</v>
      </c>
      <c r="AH5158" s="4">
        <v>0.98635679267459897</v>
      </c>
      <c r="AI5158" s="4">
        <v>-1.9818490969153901E-2</v>
      </c>
      <c r="AJ5158" s="4" t="s">
        <v>62</v>
      </c>
      <c r="AK5158" s="2">
        <v>0.98890341661351799</v>
      </c>
      <c r="AL5158" s="2">
        <v>0.99545530263140103</v>
      </c>
      <c r="AM5158" s="2">
        <v>8.559877937157E-6</v>
      </c>
      <c r="AN5158" s="2">
        <v>1056.6423647998599</v>
      </c>
      <c r="AO5158" s="2">
        <v>8.559877937157E-6</v>
      </c>
      <c r="AP5158" s="2">
        <v>12973.7142989726</v>
      </c>
      <c r="AQ5158" s="2">
        <v>2.39860479424941</v>
      </c>
      <c r="AR5158" s="2">
        <v>8.559877937157E-6</v>
      </c>
      <c r="AS5158" s="2">
        <v>8.559877937157E-6</v>
      </c>
      <c r="AT5158" s="2">
        <v>4360.0346590970803</v>
      </c>
      <c r="AU5158" s="2">
        <v>3480.1841196372002</v>
      </c>
      <c r="AV5158" s="2">
        <v>3129.5609739259899</v>
      </c>
      <c r="AW5158" s="2">
        <v>8.559877937157E-6</v>
      </c>
      <c r="AX5158" s="2">
        <v>3257.0754599540401</v>
      </c>
    </row>
    <row r="5159" spans="1:50" x14ac:dyDescent="0.25">
      <c r="A5159" s="2" t="s">
        <v>33759</v>
      </c>
      <c r="B5159" s="2">
        <v>495.33284853645898</v>
      </c>
      <c r="C5159" s="2">
        <v>10.1823833333333</v>
      </c>
      <c r="D5159" s="2" t="s">
        <v>51</v>
      </c>
      <c r="E5159" s="2" t="s">
        <v>33760</v>
      </c>
      <c r="F5159" s="2">
        <v>46493</v>
      </c>
      <c r="G5159" s="3" t="str">
        <f>HYPERLINK("https://cloud.oebiotech.com/#/lm/network/46493", "https://cloud.oebiotech.com/#/lm/network/46493")</f>
        <v>https://cloud.oebiotech.com/#/lm/network/46493</v>
      </c>
      <c r="H5159" s="2"/>
      <c r="I5159" s="2">
        <v>84878</v>
      </c>
      <c r="J5159" s="2" t="s">
        <v>33761</v>
      </c>
      <c r="K5159" s="2">
        <v>52931527</v>
      </c>
      <c r="L5159" s="2"/>
      <c r="M5159" s="2"/>
      <c r="N5159" s="2"/>
      <c r="O5159" s="2"/>
      <c r="P5159" s="2"/>
      <c r="Q5159" s="2"/>
      <c r="R5159" s="2"/>
      <c r="S5159" s="2" t="s">
        <v>33762</v>
      </c>
      <c r="T5159" s="2" t="s">
        <v>33763</v>
      </c>
      <c r="U5159" s="2" t="s">
        <v>56</v>
      </c>
      <c r="V5159" s="2" t="s">
        <v>283</v>
      </c>
      <c r="W5159" s="2" t="s">
        <v>2042</v>
      </c>
      <c r="X5159" s="2" t="s">
        <v>83</v>
      </c>
      <c r="Y5159" s="2">
        <v>48.7</v>
      </c>
      <c r="Z5159" s="2">
        <v>0</v>
      </c>
      <c r="AA5159" s="2" t="s">
        <v>218</v>
      </c>
      <c r="AB5159" s="2" t="s">
        <v>17240</v>
      </c>
      <c r="AC5159" s="2">
        <v>0.26889663562921501</v>
      </c>
      <c r="AD5159" s="2"/>
      <c r="AE5159" s="2">
        <v>4.71838667513352E-2</v>
      </c>
      <c r="AF5159" s="2">
        <v>265.75352896735097</v>
      </c>
      <c r="AG5159" s="2">
        <v>55.705250111856898</v>
      </c>
      <c r="AH5159" s="5">
        <v>4.7707088368459702</v>
      </c>
      <c r="AI5159" s="5">
        <v>2.2542036392761999</v>
      </c>
      <c r="AJ5159" s="5" t="s">
        <v>139</v>
      </c>
      <c r="AK5159" s="2">
        <v>0.17935187139115399</v>
      </c>
      <c r="AL5159" s="2">
        <v>0.50250687137767003</v>
      </c>
      <c r="AM5159" s="2">
        <v>8.559877937157E-6</v>
      </c>
      <c r="AN5159" s="2">
        <v>8.559877937157E-6</v>
      </c>
      <c r="AO5159" s="2">
        <v>8.559877937157E-6</v>
      </c>
      <c r="AP5159" s="2">
        <v>635.86827347859798</v>
      </c>
      <c r="AQ5159" s="2">
        <v>704.80165854096504</v>
      </c>
      <c r="AR5159" s="2">
        <v>253.85121610490799</v>
      </c>
      <c r="AS5159" s="2">
        <v>8.559877937157E-6</v>
      </c>
      <c r="AT5159" s="2">
        <v>8.559877937157E-6</v>
      </c>
      <c r="AU5159" s="2">
        <v>8.559877937157E-6</v>
      </c>
      <c r="AV5159" s="2">
        <v>8.559877937157E-6</v>
      </c>
      <c r="AW5159" s="2">
        <v>334.23145787175201</v>
      </c>
      <c r="AX5159" s="2">
        <v>8.559877937157E-6</v>
      </c>
    </row>
    <row r="5160" spans="1:50" x14ac:dyDescent="0.25">
      <c r="A5160" s="2" t="s">
        <v>33764</v>
      </c>
      <c r="B5160" s="2">
        <v>276.23296590075398</v>
      </c>
      <c r="C5160" s="2">
        <v>10.8476833333333</v>
      </c>
      <c r="D5160" s="2" t="s">
        <v>51</v>
      </c>
      <c r="E5160" s="2" t="s">
        <v>33765</v>
      </c>
      <c r="F5160" s="2">
        <v>199970</v>
      </c>
      <c r="G5160" s="3" t="str">
        <f>HYPERLINK("https://cloud.oebiotech.com/#/lm/network/199970", "https://cloud.oebiotech.com/#/lm/network/199970")</f>
        <v>https://cloud.oebiotech.com/#/lm/network/199970</v>
      </c>
      <c r="H5160" s="2" t="s">
        <v>33766</v>
      </c>
      <c r="I5160" s="2"/>
      <c r="J5160" s="2"/>
      <c r="K5160" s="2"/>
      <c r="L5160" s="2"/>
      <c r="M5160" s="2"/>
      <c r="N5160" s="2"/>
      <c r="O5160" s="2">
        <v>83784</v>
      </c>
      <c r="P5160" s="2"/>
      <c r="Q5160" s="2"/>
      <c r="R5160" s="2"/>
      <c r="S5160" s="2" t="s">
        <v>33767</v>
      </c>
      <c r="T5160" s="2" t="s">
        <v>33768</v>
      </c>
      <c r="U5160" s="2" t="s">
        <v>266</v>
      </c>
      <c r="V5160" s="2" t="s">
        <v>1785</v>
      </c>
      <c r="W5160" s="2" t="s">
        <v>33769</v>
      </c>
      <c r="X5160" s="2" t="s">
        <v>69</v>
      </c>
      <c r="Y5160" s="2">
        <v>68.3</v>
      </c>
      <c r="Z5160" s="2">
        <v>86.3</v>
      </c>
      <c r="AA5160" s="2" t="s">
        <v>512</v>
      </c>
      <c r="AB5160" s="2" t="s">
        <v>27489</v>
      </c>
      <c r="AC5160" s="2">
        <v>3.0012481799067401</v>
      </c>
      <c r="AD5160" s="2"/>
      <c r="AE5160" s="2">
        <v>4.7160363909604902E-2</v>
      </c>
      <c r="AF5160" s="2">
        <v>2367.78403072638</v>
      </c>
      <c r="AG5160" s="2">
        <v>2871.6859531321002</v>
      </c>
      <c r="AH5160" s="4">
        <v>0.82452749686778104</v>
      </c>
      <c r="AI5160" s="4">
        <v>-0.278360488509864</v>
      </c>
      <c r="AJ5160" s="4" t="s">
        <v>62</v>
      </c>
      <c r="AK5160" s="2">
        <v>0.86938319386740304</v>
      </c>
      <c r="AL5160" s="2">
        <v>0.94347394765202897</v>
      </c>
      <c r="AM5160" s="2">
        <v>8.559877937157E-6</v>
      </c>
      <c r="AN5160" s="2">
        <v>8.559877937157E-6</v>
      </c>
      <c r="AO5160" s="2">
        <v>11958.967312192</v>
      </c>
      <c r="AP5160" s="2">
        <v>8.559877937157E-6</v>
      </c>
      <c r="AQ5160" s="2">
        <v>2247.73683792677</v>
      </c>
      <c r="AR5160" s="2">
        <v>8.559877937157E-6</v>
      </c>
      <c r="AS5160" s="2">
        <v>13821.630310954401</v>
      </c>
      <c r="AT5160" s="2">
        <v>8.559877937157E-6</v>
      </c>
      <c r="AU5160" s="2">
        <v>3408.4853735987099</v>
      </c>
      <c r="AV5160" s="2">
        <v>8.559877937157E-6</v>
      </c>
      <c r="AW5160" s="2">
        <v>8.559877937157E-6</v>
      </c>
      <c r="AX5160" s="2">
        <v>8.559877937157E-6</v>
      </c>
    </row>
    <row r="5161" spans="1:50" x14ac:dyDescent="0.25">
      <c r="A5161" s="2" t="s">
        <v>33770</v>
      </c>
      <c r="B5161" s="2">
        <v>204.06179797482301</v>
      </c>
      <c r="C5161" s="2">
        <v>3.3387333333333298</v>
      </c>
      <c r="D5161" s="2" t="s">
        <v>51</v>
      </c>
      <c r="E5161" s="2" t="s">
        <v>33771</v>
      </c>
      <c r="F5161" s="2">
        <v>212971</v>
      </c>
      <c r="G5161" s="3" t="str">
        <f>HYPERLINK("https://cloud.oebiotech.com/#/lm/network/212971", "https://cloud.oebiotech.com/#/lm/network/212971")</f>
        <v>https://cloud.oebiotech.com/#/lm/network/212971</v>
      </c>
      <c r="H5161" s="2" t="s">
        <v>33772</v>
      </c>
      <c r="I5161" s="2"/>
      <c r="J5161" s="2"/>
      <c r="K5161" s="2"/>
      <c r="L5161" s="2"/>
      <c r="M5161" s="2"/>
      <c r="N5161" s="2"/>
      <c r="O5161" s="2"/>
      <c r="P5161" s="2"/>
      <c r="Q5161" s="2"/>
      <c r="R5161" s="2"/>
      <c r="S5161" s="2" t="s">
        <v>33773</v>
      </c>
      <c r="T5161" s="2" t="s">
        <v>33774</v>
      </c>
      <c r="U5161" s="2" t="s">
        <v>103</v>
      </c>
      <c r="V5161" s="2" t="s">
        <v>104</v>
      </c>
      <c r="W5161" s="2" t="s">
        <v>105</v>
      </c>
      <c r="X5161" s="2" t="s">
        <v>147</v>
      </c>
      <c r="Y5161" s="2">
        <v>40.700000000000003</v>
      </c>
      <c r="Z5161" s="2">
        <v>6.92</v>
      </c>
      <c r="AA5161" s="2" t="s">
        <v>259</v>
      </c>
      <c r="AB5161" s="2" t="s">
        <v>33775</v>
      </c>
      <c r="AC5161" s="2">
        <v>1.4830619759516499</v>
      </c>
      <c r="AD5161" s="2"/>
      <c r="AE5161" s="2">
        <v>4.7057942767088697E-2</v>
      </c>
      <c r="AF5161" s="2">
        <v>6182.8733909135999</v>
      </c>
      <c r="AG5161" s="2">
        <v>5735.7649668392796</v>
      </c>
      <c r="AH5161" s="5">
        <v>1.07795096672532</v>
      </c>
      <c r="AI5161" s="5">
        <v>0.108291555018903</v>
      </c>
      <c r="AJ5161" s="5" t="s">
        <v>139</v>
      </c>
      <c r="AK5161" s="2">
        <v>0.733382737450058</v>
      </c>
      <c r="AL5161" s="2">
        <v>0.87695736399617197</v>
      </c>
      <c r="AM5161" s="2">
        <v>5456.6182887151199</v>
      </c>
      <c r="AN5161" s="2">
        <v>4255.2464795590804</v>
      </c>
      <c r="AO5161" s="2">
        <v>5660.90416150083</v>
      </c>
      <c r="AP5161" s="2">
        <v>7088.2046462369599</v>
      </c>
      <c r="AQ5161" s="2">
        <v>10877.937691253999</v>
      </c>
      <c r="AR5161" s="2">
        <v>3758.32907821563</v>
      </c>
      <c r="AS5161" s="2">
        <v>8064.0554079150897</v>
      </c>
      <c r="AT5161" s="2">
        <v>6910.2387384086596</v>
      </c>
      <c r="AU5161" s="2">
        <v>6829.41801850702</v>
      </c>
      <c r="AV5161" s="2">
        <v>3848.0601864102</v>
      </c>
      <c r="AW5161" s="2">
        <v>3940.8892643232698</v>
      </c>
      <c r="AX5161" s="2">
        <v>4821.92818547142</v>
      </c>
    </row>
    <row r="5162" spans="1:50" x14ac:dyDescent="0.25">
      <c r="A5162" s="2" t="s">
        <v>33776</v>
      </c>
      <c r="B5162" s="2">
        <v>222.11315427829601</v>
      </c>
      <c r="C5162" s="2">
        <v>5.3054166666666696</v>
      </c>
      <c r="D5162" s="2" t="s">
        <v>51</v>
      </c>
      <c r="E5162" s="2" t="s">
        <v>33777</v>
      </c>
      <c r="F5162" s="2">
        <v>1468</v>
      </c>
      <c r="G5162" s="3" t="str">
        <f>HYPERLINK("https://cloud.oebiotech.com/#/lm/network/1468", "https://cloud.oebiotech.com/#/lm/network/1468")</f>
        <v>https://cloud.oebiotech.com/#/lm/network/1468</v>
      </c>
      <c r="H5162" s="2"/>
      <c r="I5162" s="2"/>
      <c r="J5162" s="2" t="s">
        <v>33778</v>
      </c>
      <c r="K5162" s="2">
        <v>10081620</v>
      </c>
      <c r="L5162" s="2"/>
      <c r="M5162" s="2"/>
      <c r="N5162" s="2"/>
      <c r="O5162" s="2"/>
      <c r="P5162" s="2"/>
      <c r="Q5162" s="2"/>
      <c r="R5162" s="2"/>
      <c r="S5162" s="2" t="s">
        <v>33779</v>
      </c>
      <c r="T5162" s="2" t="s">
        <v>33780</v>
      </c>
      <c r="U5162" s="2" t="s">
        <v>103</v>
      </c>
      <c r="V5162" s="2" t="s">
        <v>377</v>
      </c>
      <c r="W5162" s="2" t="s">
        <v>378</v>
      </c>
      <c r="X5162" s="2" t="s">
        <v>147</v>
      </c>
      <c r="Y5162" s="2">
        <v>39.200000000000003</v>
      </c>
      <c r="Z5162" s="2">
        <v>12.7</v>
      </c>
      <c r="AA5162" s="2" t="s">
        <v>512</v>
      </c>
      <c r="AB5162" s="2" t="s">
        <v>23156</v>
      </c>
      <c r="AC5162" s="2">
        <v>3.3541225198259998</v>
      </c>
      <c r="AD5162" s="2"/>
      <c r="AE5162" s="2">
        <v>4.6928717308100401E-2</v>
      </c>
      <c r="AF5162" s="2">
        <v>592.40503214568798</v>
      </c>
      <c r="AG5162" s="2">
        <v>327.65099078667203</v>
      </c>
      <c r="AH5162" s="5">
        <v>1.80803674886914</v>
      </c>
      <c r="AI5162" s="5">
        <v>0.85442400124450901</v>
      </c>
      <c r="AJ5162" s="5" t="s">
        <v>139</v>
      </c>
      <c r="AK5162" s="2">
        <v>0.45309933137677699</v>
      </c>
      <c r="AL5162" s="2">
        <v>0.70586479411805902</v>
      </c>
      <c r="AM5162" s="2">
        <v>502.59054539753498</v>
      </c>
      <c r="AN5162" s="2">
        <v>195.83161470250101</v>
      </c>
      <c r="AO5162" s="2">
        <v>155.52991213202401</v>
      </c>
      <c r="AP5162" s="2">
        <v>138.41884431162501</v>
      </c>
      <c r="AQ5162" s="2">
        <v>2166.4235730713099</v>
      </c>
      <c r="AR5162" s="2">
        <v>395.635703259134</v>
      </c>
      <c r="AS5162" s="2">
        <v>210.493739429426</v>
      </c>
      <c r="AT5162" s="2">
        <v>8.559877937157E-6</v>
      </c>
      <c r="AU5162" s="2">
        <v>222.16373639223599</v>
      </c>
      <c r="AV5162" s="2">
        <v>814.08774315537505</v>
      </c>
      <c r="AW5162" s="2">
        <v>385.053061617764</v>
      </c>
      <c r="AX5162" s="2">
        <v>334.10765556535603</v>
      </c>
    </row>
    <row r="5163" spans="1:50" x14ac:dyDescent="0.25">
      <c r="A5163" s="2" t="s">
        <v>33781</v>
      </c>
      <c r="B5163" s="2">
        <v>737.50446312122801</v>
      </c>
      <c r="C5163" s="2">
        <v>10.906883333333299</v>
      </c>
      <c r="D5163" s="2" t="s">
        <v>51</v>
      </c>
      <c r="E5163" s="2" t="s">
        <v>33782</v>
      </c>
      <c r="F5163" s="2">
        <v>64104</v>
      </c>
      <c r="G5163" s="3" t="str">
        <f>HYPERLINK("https://cloud.oebiotech.com/#/lm/network/64104", "https://cloud.oebiotech.com/#/lm/network/64104")</f>
        <v>https://cloud.oebiotech.com/#/lm/network/64104</v>
      </c>
      <c r="H5163" s="2" t="s">
        <v>33783</v>
      </c>
      <c r="I5163" s="2"/>
      <c r="J5163" s="2"/>
      <c r="K5163" s="2">
        <v>192406</v>
      </c>
      <c r="L5163" s="2" t="s">
        <v>33784</v>
      </c>
      <c r="M5163" s="2"/>
      <c r="N5163" s="2"/>
      <c r="O5163" s="2"/>
      <c r="P5163" s="2"/>
      <c r="Q5163" s="2"/>
      <c r="R5163" s="2" t="s">
        <v>33785</v>
      </c>
      <c r="S5163" s="2" t="s">
        <v>33786</v>
      </c>
      <c r="T5163" s="2" t="s">
        <v>33787</v>
      </c>
      <c r="U5163" s="2" t="s">
        <v>103</v>
      </c>
      <c r="V5163" s="2" t="s">
        <v>104</v>
      </c>
      <c r="W5163" s="2" t="s">
        <v>105</v>
      </c>
      <c r="X5163" s="2" t="s">
        <v>147</v>
      </c>
      <c r="Y5163" s="2">
        <v>37.6</v>
      </c>
      <c r="Z5163" s="2">
        <v>0</v>
      </c>
      <c r="AA5163" s="2" t="s">
        <v>122</v>
      </c>
      <c r="AB5163" s="2" t="s">
        <v>33788</v>
      </c>
      <c r="AC5163" s="2">
        <v>-0.88015327758423001</v>
      </c>
      <c r="AD5163" s="2"/>
      <c r="AE5163" s="2">
        <v>4.6864633463859003E-2</v>
      </c>
      <c r="AF5163" s="2">
        <v>79661.8416846935</v>
      </c>
      <c r="AG5163" s="2">
        <v>77513.083694776302</v>
      </c>
      <c r="AH5163" s="5">
        <v>1.02772122959755</v>
      </c>
      <c r="AI5163" s="5">
        <v>3.9448985136674997E-2</v>
      </c>
      <c r="AJ5163" s="5" t="s">
        <v>139</v>
      </c>
      <c r="AK5163" s="2">
        <v>0.69564365560525998</v>
      </c>
      <c r="AL5163" s="2">
        <v>0.85378616196188595</v>
      </c>
      <c r="AM5163" s="2">
        <v>65490.403633533497</v>
      </c>
      <c r="AN5163" s="2">
        <v>71521.948604065095</v>
      </c>
      <c r="AO5163" s="2">
        <v>88495.135427115805</v>
      </c>
      <c r="AP5163" s="2">
        <v>79032.605843213198</v>
      </c>
      <c r="AQ5163" s="2">
        <v>99223.315328377299</v>
      </c>
      <c r="AR5163" s="2">
        <v>74207.641271856104</v>
      </c>
      <c r="AS5163" s="2">
        <v>85178.2030096909</v>
      </c>
      <c r="AT5163" s="2">
        <v>77258.284313444601</v>
      </c>
      <c r="AU5163" s="2">
        <v>78795.074773883607</v>
      </c>
      <c r="AV5163" s="2">
        <v>73685.031089979297</v>
      </c>
      <c r="AW5163" s="2">
        <v>77236.705743175597</v>
      </c>
      <c r="AX5163" s="2">
        <v>72925.203238483504</v>
      </c>
    </row>
    <row r="5164" spans="1:50" x14ac:dyDescent="0.25">
      <c r="A5164" s="2" t="s">
        <v>33789</v>
      </c>
      <c r="B5164" s="2">
        <v>123.007598769843</v>
      </c>
      <c r="C5164" s="2">
        <v>0.95220000000000005</v>
      </c>
      <c r="D5164" s="2" t="s">
        <v>51</v>
      </c>
      <c r="E5164" s="2" t="s">
        <v>33790</v>
      </c>
      <c r="F5164" s="2">
        <v>2925</v>
      </c>
      <c r="G5164" s="3" t="str">
        <f>HYPERLINK("https://cloud.oebiotech.com/#/lm/network/2925", "https://cloud.oebiotech.com/#/lm/network/2925")</f>
        <v>https://cloud.oebiotech.com/#/lm/network/2925</v>
      </c>
      <c r="H5164" s="2" t="s">
        <v>33791</v>
      </c>
      <c r="I5164" s="2">
        <v>6639</v>
      </c>
      <c r="J5164" s="2" t="s">
        <v>33792</v>
      </c>
      <c r="K5164" s="2">
        <v>5356793</v>
      </c>
      <c r="L5164" s="2" t="s">
        <v>33793</v>
      </c>
      <c r="M5164" s="2"/>
      <c r="N5164" s="2"/>
      <c r="O5164" s="2">
        <v>27036</v>
      </c>
      <c r="P5164" s="2"/>
      <c r="Q5164" s="2"/>
      <c r="R5164" s="2" t="s">
        <v>33794</v>
      </c>
      <c r="S5164" s="2" t="s">
        <v>33795</v>
      </c>
      <c r="T5164" s="2" t="s">
        <v>33796</v>
      </c>
      <c r="U5164" s="2" t="s">
        <v>56</v>
      </c>
      <c r="V5164" s="2" t="s">
        <v>145</v>
      </c>
      <c r="W5164" s="2" t="s">
        <v>231</v>
      </c>
      <c r="X5164" s="2" t="s">
        <v>83</v>
      </c>
      <c r="Y5164" s="2">
        <v>38.4</v>
      </c>
      <c r="Z5164" s="2">
        <v>0</v>
      </c>
      <c r="AA5164" s="2" t="s">
        <v>379</v>
      </c>
      <c r="AB5164" s="2" t="s">
        <v>33797</v>
      </c>
      <c r="AC5164" s="2">
        <v>-8.2293087771585292</v>
      </c>
      <c r="AD5164" s="2"/>
      <c r="AE5164" s="2">
        <v>4.6825336609989499E-2</v>
      </c>
      <c r="AF5164" s="2">
        <v>552.14195141884898</v>
      </c>
      <c r="AG5164" s="2">
        <v>667.25748596329402</v>
      </c>
      <c r="AH5164" s="4">
        <v>0.82747959076359101</v>
      </c>
      <c r="AI5164" s="4">
        <v>-0.27320436564698097</v>
      </c>
      <c r="AJ5164" s="4" t="s">
        <v>62</v>
      </c>
      <c r="AK5164" s="2">
        <v>0.16263661822026501</v>
      </c>
      <c r="AL5164" s="2">
        <v>0.484049089936329</v>
      </c>
      <c r="AM5164" s="2">
        <v>579.03889293150303</v>
      </c>
      <c r="AN5164" s="2">
        <v>591.41475685645798</v>
      </c>
      <c r="AO5164" s="2">
        <v>514.352091063839</v>
      </c>
      <c r="AP5164" s="2">
        <v>322.738946151817</v>
      </c>
      <c r="AQ5164" s="2">
        <v>642.02450503593104</v>
      </c>
      <c r="AR5164" s="2">
        <v>663.282516473545</v>
      </c>
      <c r="AS5164" s="2">
        <v>891.40421356180798</v>
      </c>
      <c r="AT5164" s="2">
        <v>722.10453434139595</v>
      </c>
      <c r="AU5164" s="2">
        <v>667.38395417270794</v>
      </c>
      <c r="AV5164" s="2">
        <v>662.40003148411597</v>
      </c>
      <c r="AW5164" s="2">
        <v>590.65958387408205</v>
      </c>
      <c r="AX5164" s="2">
        <v>469.59259834565199</v>
      </c>
    </row>
    <row r="5165" spans="1:50" x14ac:dyDescent="0.25">
      <c r="A5165" s="2" t="s">
        <v>33798</v>
      </c>
      <c r="B5165" s="2">
        <v>130.049879007008</v>
      </c>
      <c r="C5165" s="2">
        <v>1.2499499999999999</v>
      </c>
      <c r="D5165" s="2" t="s">
        <v>51</v>
      </c>
      <c r="E5165" s="2" t="s">
        <v>33799</v>
      </c>
      <c r="F5165" s="2">
        <v>47210</v>
      </c>
      <c r="G5165" s="3" t="str">
        <f>HYPERLINK("https://cloud.oebiotech.com/#/lm/network/47210", "https://cloud.oebiotech.com/#/lm/network/47210")</f>
        <v>https://cloud.oebiotech.com/#/lm/network/47210</v>
      </c>
      <c r="H5165" s="2" t="s">
        <v>33800</v>
      </c>
      <c r="I5165" s="2">
        <v>5733</v>
      </c>
      <c r="J5165" s="2"/>
      <c r="K5165" s="2">
        <v>88064</v>
      </c>
      <c r="L5165" s="2"/>
      <c r="M5165" s="2"/>
      <c r="N5165" s="2"/>
      <c r="O5165" s="2">
        <v>40992</v>
      </c>
      <c r="P5165" s="2"/>
      <c r="Q5165" s="2"/>
      <c r="R5165" s="2" t="s">
        <v>33801</v>
      </c>
      <c r="S5165" s="2" t="s">
        <v>33802</v>
      </c>
      <c r="T5165" s="2" t="s">
        <v>33803</v>
      </c>
      <c r="U5165" s="2" t="s">
        <v>103</v>
      </c>
      <c r="V5165" s="2" t="s">
        <v>104</v>
      </c>
      <c r="W5165" s="2" t="s">
        <v>105</v>
      </c>
      <c r="X5165" s="2" t="s">
        <v>83</v>
      </c>
      <c r="Y5165" s="2">
        <v>38.299999999999997</v>
      </c>
      <c r="Z5165" s="2">
        <v>0</v>
      </c>
      <c r="AA5165" s="2" t="s">
        <v>163</v>
      </c>
      <c r="AB5165" s="2" t="s">
        <v>878</v>
      </c>
      <c r="AC5165" s="2">
        <v>-8.2994634759666805</v>
      </c>
      <c r="AD5165" s="2"/>
      <c r="AE5165" s="2">
        <v>4.6666002689471499E-2</v>
      </c>
      <c r="AF5165" s="2">
        <v>8677.4588903116</v>
      </c>
      <c r="AG5165" s="2">
        <v>8069.80232811117</v>
      </c>
      <c r="AH5165" s="5">
        <v>1.0753000553785099</v>
      </c>
      <c r="AI5165" s="5">
        <v>0.104739290515787</v>
      </c>
      <c r="AJ5165" s="5" t="s">
        <v>139</v>
      </c>
      <c r="AK5165" s="2">
        <v>0.47644193920339001</v>
      </c>
      <c r="AL5165" s="2">
        <v>0.72225087180455805</v>
      </c>
      <c r="AM5165" s="2">
        <v>6430.5333293803296</v>
      </c>
      <c r="AN5165" s="2">
        <v>8507.3494112478602</v>
      </c>
      <c r="AO5165" s="2">
        <v>10511.084859454701</v>
      </c>
      <c r="AP5165" s="2">
        <v>8914.1901350405806</v>
      </c>
      <c r="AQ5165" s="2">
        <v>9419.9758486928804</v>
      </c>
      <c r="AR5165" s="2">
        <v>8281.6197580532498</v>
      </c>
      <c r="AS5165" s="2">
        <v>6714.3013580482002</v>
      </c>
      <c r="AT5165" s="2">
        <v>7019.2688945669197</v>
      </c>
      <c r="AU5165" s="2">
        <v>7019.2124764089003</v>
      </c>
      <c r="AV5165" s="2">
        <v>7815.8542929786699</v>
      </c>
      <c r="AW5165" s="2">
        <v>10073.0543769832</v>
      </c>
      <c r="AX5165" s="2">
        <v>9777.1225696811307</v>
      </c>
    </row>
    <row r="5166" spans="1:50" x14ac:dyDescent="0.25">
      <c r="A5166" s="2" t="s">
        <v>33804</v>
      </c>
      <c r="B5166" s="2">
        <v>318.99962733382301</v>
      </c>
      <c r="C5166" s="2">
        <v>1.02813333333333</v>
      </c>
      <c r="D5166" s="2" t="s">
        <v>51</v>
      </c>
      <c r="E5166" s="2" t="s">
        <v>33805</v>
      </c>
      <c r="F5166" s="2">
        <v>204042</v>
      </c>
      <c r="G5166" s="3" t="str">
        <f>HYPERLINK("https://cloud.oebiotech.com/#/lm/network/204042", "https://cloud.oebiotech.com/#/lm/network/204042")</f>
        <v>https://cloud.oebiotech.com/#/lm/network/204042</v>
      </c>
      <c r="H5166" s="2" t="s">
        <v>33806</v>
      </c>
      <c r="I5166" s="2"/>
      <c r="J5166" s="2"/>
      <c r="K5166" s="2">
        <v>129654330</v>
      </c>
      <c r="L5166" s="2"/>
      <c r="M5166" s="2"/>
      <c r="N5166" s="2"/>
      <c r="O5166" s="2"/>
      <c r="P5166" s="2"/>
      <c r="Q5166" s="2"/>
      <c r="R5166" s="2"/>
      <c r="S5166" s="2" t="s">
        <v>33807</v>
      </c>
      <c r="T5166" s="2" t="s">
        <v>33808</v>
      </c>
      <c r="U5166" s="2" t="s">
        <v>610</v>
      </c>
      <c r="V5166" s="2" t="s">
        <v>611</v>
      </c>
      <c r="W5166" s="2" t="s">
        <v>1122</v>
      </c>
      <c r="X5166" s="2" t="s">
        <v>147</v>
      </c>
      <c r="Y5166" s="2">
        <v>37.200000000000003</v>
      </c>
      <c r="Z5166" s="2">
        <v>0</v>
      </c>
      <c r="AA5166" s="2" t="s">
        <v>395</v>
      </c>
      <c r="AB5166" s="2" t="s">
        <v>33809</v>
      </c>
      <c r="AC5166" s="2">
        <v>-2.5143109709345</v>
      </c>
      <c r="AD5166" s="2"/>
      <c r="AE5166" s="2">
        <v>4.6584016716647698E-2</v>
      </c>
      <c r="AF5166" s="2">
        <v>9018.11047464283</v>
      </c>
      <c r="AG5166" s="2">
        <v>9588.2769327842907</v>
      </c>
      <c r="AH5166" s="4">
        <v>0.94053504481165495</v>
      </c>
      <c r="AI5166" s="4">
        <v>-8.8446394590199498E-2</v>
      </c>
      <c r="AJ5166" s="4" t="s">
        <v>62</v>
      </c>
      <c r="AK5166" s="2">
        <v>0.748595845632549</v>
      </c>
      <c r="AL5166" s="2">
        <v>0.88463645213384701</v>
      </c>
      <c r="AM5166" s="2">
        <v>11198.4285486359</v>
      </c>
      <c r="AN5166" s="2">
        <v>3698.4505056081598</v>
      </c>
      <c r="AO5166" s="2">
        <v>8329.1465180130399</v>
      </c>
      <c r="AP5166" s="2">
        <v>10801.215961383299</v>
      </c>
      <c r="AQ5166" s="2">
        <v>12936.4107837376</v>
      </c>
      <c r="AR5166" s="2">
        <v>7145.0105304789804</v>
      </c>
      <c r="AS5166" s="2">
        <v>6834.5102406024898</v>
      </c>
      <c r="AT5166" s="2">
        <v>8766.27295801728</v>
      </c>
      <c r="AU5166" s="2">
        <v>13526.7375997287</v>
      </c>
      <c r="AV5166" s="2">
        <v>7220.89677548083</v>
      </c>
      <c r="AW5166" s="2">
        <v>9388.3429124426493</v>
      </c>
      <c r="AX5166" s="2">
        <v>11792.901110433801</v>
      </c>
    </row>
    <row r="5167" spans="1:50" x14ac:dyDescent="0.25">
      <c r="A5167" s="2" t="s">
        <v>33810</v>
      </c>
      <c r="B5167" s="2">
        <v>333.23968685408698</v>
      </c>
      <c r="C5167" s="2">
        <v>4.7497999999999996</v>
      </c>
      <c r="D5167" s="2" t="s">
        <v>51</v>
      </c>
      <c r="E5167" s="2" t="s">
        <v>33811</v>
      </c>
      <c r="F5167" s="2">
        <v>198277</v>
      </c>
      <c r="G5167" s="3" t="str">
        <f>HYPERLINK("https://cloud.oebiotech.com/#/lm/network/198277", "https://cloud.oebiotech.com/#/lm/network/198277")</f>
        <v>https://cloud.oebiotech.com/#/lm/network/198277</v>
      </c>
      <c r="H5167" s="2" t="s">
        <v>33812</v>
      </c>
      <c r="I5167" s="2"/>
      <c r="J5167" s="2"/>
      <c r="K5167" s="2"/>
      <c r="L5167" s="2"/>
      <c r="M5167" s="2"/>
      <c r="N5167" s="2"/>
      <c r="O5167" s="2"/>
      <c r="P5167" s="2"/>
      <c r="Q5167" s="2"/>
      <c r="R5167" s="2"/>
      <c r="S5167" s="2" t="s">
        <v>33813</v>
      </c>
      <c r="T5167" s="2" t="s">
        <v>33814</v>
      </c>
      <c r="U5167" s="2" t="s">
        <v>56</v>
      </c>
      <c r="V5167" s="2" t="s">
        <v>145</v>
      </c>
      <c r="W5167" s="2" t="s">
        <v>1188</v>
      </c>
      <c r="X5167" s="2" t="s">
        <v>83</v>
      </c>
      <c r="Y5167" s="2">
        <v>45.6</v>
      </c>
      <c r="Z5167" s="2">
        <v>0</v>
      </c>
      <c r="AA5167" s="2" t="s">
        <v>512</v>
      </c>
      <c r="AB5167" s="2" t="s">
        <v>33815</v>
      </c>
      <c r="AC5167" s="2">
        <v>4.0871597911567301</v>
      </c>
      <c r="AD5167" s="2"/>
      <c r="AE5167" s="2">
        <v>4.6576702848870201E-2</v>
      </c>
      <c r="AF5167" s="2">
        <v>1295.90929828648</v>
      </c>
      <c r="AG5167" s="2">
        <v>1131.4168008003801</v>
      </c>
      <c r="AH5167" s="5">
        <v>1.1453862956337</v>
      </c>
      <c r="AI5167" s="5">
        <v>0.19583424706038599</v>
      </c>
      <c r="AJ5167" s="5" t="s">
        <v>139</v>
      </c>
      <c r="AK5167" s="2">
        <v>0.70645229368488105</v>
      </c>
      <c r="AL5167" s="2">
        <v>0.85982108807034496</v>
      </c>
      <c r="AM5167" s="2">
        <v>1538.44759492659</v>
      </c>
      <c r="AN5167" s="2">
        <v>1822.8895062680201</v>
      </c>
      <c r="AO5167" s="2">
        <v>1387.3005759570301</v>
      </c>
      <c r="AP5167" s="2">
        <v>1499.73048845009</v>
      </c>
      <c r="AQ5167" s="2">
        <v>663.76921395035299</v>
      </c>
      <c r="AR5167" s="2">
        <v>863.31841016677697</v>
      </c>
      <c r="AS5167" s="2">
        <v>8.559877937157E-6</v>
      </c>
      <c r="AT5167" s="2">
        <v>329.3290110305</v>
      </c>
      <c r="AU5167" s="2">
        <v>2196.3846859062401</v>
      </c>
      <c r="AV5167" s="2">
        <v>1252.82893096256</v>
      </c>
      <c r="AW5167" s="2">
        <v>770.39237964528002</v>
      </c>
      <c r="AX5167" s="2">
        <v>2239.5657886978001</v>
      </c>
    </row>
    <row r="5168" spans="1:50" x14ac:dyDescent="0.25">
      <c r="A5168" s="2" t="s">
        <v>33816</v>
      </c>
      <c r="B5168" s="2">
        <v>457.35381716739698</v>
      </c>
      <c r="C5168" s="2">
        <v>12.403833333333299</v>
      </c>
      <c r="D5168" s="2" t="s">
        <v>51</v>
      </c>
      <c r="E5168" s="2" t="s">
        <v>33817</v>
      </c>
      <c r="F5168" s="2">
        <v>10284</v>
      </c>
      <c r="G5168" s="3" t="str">
        <f>HYPERLINK("https://cloud.oebiotech.com/#/lm/network/10284", "https://cloud.oebiotech.com/#/lm/network/10284")</f>
        <v>https://cloud.oebiotech.com/#/lm/network/10284</v>
      </c>
      <c r="H5168" s="2"/>
      <c r="I5168" s="2"/>
      <c r="J5168" s="2" t="s">
        <v>33818</v>
      </c>
      <c r="K5168" s="2">
        <v>86289706</v>
      </c>
      <c r="L5168" s="2"/>
      <c r="M5168" s="2"/>
      <c r="N5168" s="2"/>
      <c r="O5168" s="2">
        <v>78974</v>
      </c>
      <c r="P5168" s="2"/>
      <c r="Q5168" s="2"/>
      <c r="R5168" s="2"/>
      <c r="S5168" s="2" t="s">
        <v>33819</v>
      </c>
      <c r="T5168" s="2" t="s">
        <v>33820</v>
      </c>
      <c r="U5168" s="2" t="s">
        <v>56</v>
      </c>
      <c r="V5168" s="2" t="s">
        <v>145</v>
      </c>
      <c r="W5168" s="2" t="s">
        <v>231</v>
      </c>
      <c r="X5168" s="2" t="s">
        <v>83</v>
      </c>
      <c r="Y5168" s="2">
        <v>53.7</v>
      </c>
      <c r="Z5168" s="2">
        <v>0</v>
      </c>
      <c r="AA5168" s="2" t="s">
        <v>163</v>
      </c>
      <c r="AB5168" s="2" t="s">
        <v>23338</v>
      </c>
      <c r="AC5168" s="2">
        <v>0.77292513568772403</v>
      </c>
      <c r="AD5168" s="2"/>
      <c r="AE5168" s="2">
        <v>4.6568181071279503E-2</v>
      </c>
      <c r="AF5168" s="2">
        <v>1814.18327591907</v>
      </c>
      <c r="AG5168" s="2">
        <v>1399.62084317873</v>
      </c>
      <c r="AH5168" s="5">
        <v>1.2961962411182799</v>
      </c>
      <c r="AI5168" s="5">
        <v>0.37428415545673399</v>
      </c>
      <c r="AJ5168" s="5" t="s">
        <v>139</v>
      </c>
      <c r="AK5168" s="2">
        <v>0.64155533156830602</v>
      </c>
      <c r="AL5168" s="2">
        <v>0.82479731561737402</v>
      </c>
      <c r="AM5168" s="2">
        <v>804.17626442779499</v>
      </c>
      <c r="AN5168" s="2">
        <v>1528.1081661236001</v>
      </c>
      <c r="AO5168" s="2">
        <v>1693.42656260595</v>
      </c>
      <c r="AP5168" s="2">
        <v>5066.4928272197403</v>
      </c>
      <c r="AQ5168" s="2">
        <v>968.37519690804902</v>
      </c>
      <c r="AR5168" s="2">
        <v>824.52063822926095</v>
      </c>
      <c r="AS5168" s="2">
        <v>8.559877937157E-6</v>
      </c>
      <c r="AT5168" s="2">
        <v>2476.1044631504201</v>
      </c>
      <c r="AU5168" s="2">
        <v>2378.8661672172102</v>
      </c>
      <c r="AV5168" s="2">
        <v>8.559877937157E-6</v>
      </c>
      <c r="AW5168" s="2">
        <v>2928.3554484085298</v>
      </c>
      <c r="AX5168" s="2">
        <v>614.39896317645605</v>
      </c>
    </row>
    <row r="5169" spans="1:50" x14ac:dyDescent="0.25">
      <c r="A5169" s="2" t="s">
        <v>33821</v>
      </c>
      <c r="B5169" s="2">
        <v>387.18485432966901</v>
      </c>
      <c r="C5169" s="2">
        <v>5.4531000000000001</v>
      </c>
      <c r="D5169" s="2" t="s">
        <v>51</v>
      </c>
      <c r="E5169" s="2" t="s">
        <v>33822</v>
      </c>
      <c r="F5169" s="2">
        <v>211542</v>
      </c>
      <c r="G5169" s="3" t="str">
        <f>HYPERLINK("https://cloud.oebiotech.com/#/lm/network/211542", "https://cloud.oebiotech.com/#/lm/network/211542")</f>
        <v>https://cloud.oebiotech.com/#/lm/network/211542</v>
      </c>
      <c r="H5169" s="2" t="s">
        <v>33823</v>
      </c>
      <c r="I5169" s="2"/>
      <c r="J5169" s="2"/>
      <c r="K5169" s="2">
        <v>18175976</v>
      </c>
      <c r="L5169" s="2"/>
      <c r="M5169" s="2"/>
      <c r="N5169" s="2"/>
      <c r="O5169" s="2"/>
      <c r="P5169" s="2"/>
      <c r="Q5169" s="2"/>
      <c r="R5169" s="2"/>
      <c r="S5169" s="2" t="s">
        <v>33824</v>
      </c>
      <c r="T5169" s="2" t="s">
        <v>33825</v>
      </c>
      <c r="U5169" s="2" t="s">
        <v>266</v>
      </c>
      <c r="V5169" s="2" t="s">
        <v>1393</v>
      </c>
      <c r="W5169" s="2" t="s">
        <v>1394</v>
      </c>
      <c r="X5169" s="2" t="s">
        <v>147</v>
      </c>
      <c r="Y5169" s="2">
        <v>37</v>
      </c>
      <c r="Z5169" s="2">
        <v>0</v>
      </c>
      <c r="AA5169" s="2" t="s">
        <v>163</v>
      </c>
      <c r="AB5169" s="2" t="s">
        <v>33826</v>
      </c>
      <c r="AC5169" s="2">
        <v>-4.68327138090942</v>
      </c>
      <c r="AD5169" s="2"/>
      <c r="AE5169" s="2">
        <v>4.6481770152589898E-2</v>
      </c>
      <c r="AF5169" s="2">
        <v>12261.0348738681</v>
      </c>
      <c r="AG5169" s="2">
        <v>11585.584602057401</v>
      </c>
      <c r="AH5169" s="5">
        <v>1.05830092265614</v>
      </c>
      <c r="AI5169" s="5">
        <v>8.1749909016330197E-2</v>
      </c>
      <c r="AJ5169" s="5" t="s">
        <v>139</v>
      </c>
      <c r="AK5169" s="2">
        <v>0.90403937167347403</v>
      </c>
      <c r="AL5169" s="2">
        <v>0.95998600422561597</v>
      </c>
      <c r="AM5169" s="2">
        <v>1616.5979931376</v>
      </c>
      <c r="AN5169" s="2">
        <v>9247.3506517133301</v>
      </c>
      <c r="AO5169" s="2">
        <v>29881.620556935199</v>
      </c>
      <c r="AP5169" s="2">
        <v>19054.564250130501</v>
      </c>
      <c r="AQ5169" s="2">
        <v>9186.4624625135293</v>
      </c>
      <c r="AR5169" s="2">
        <v>4579.6133287785397</v>
      </c>
      <c r="AS5169" s="2">
        <v>6219.1318760681997</v>
      </c>
      <c r="AT5169" s="2">
        <v>27862.7363323926</v>
      </c>
      <c r="AU5169" s="2">
        <v>5962.4797006123699</v>
      </c>
      <c r="AV5169" s="2">
        <v>8387.1522941823205</v>
      </c>
      <c r="AW5169" s="2">
        <v>8317.7788137117805</v>
      </c>
      <c r="AX5169" s="2">
        <v>12764.228595376901</v>
      </c>
    </row>
    <row r="5170" spans="1:50" x14ac:dyDescent="0.25">
      <c r="A5170" s="2" t="s">
        <v>33827</v>
      </c>
      <c r="B5170" s="2">
        <v>281.24852066845602</v>
      </c>
      <c r="C5170" s="2">
        <v>10.2258</v>
      </c>
      <c r="D5170" s="2" t="s">
        <v>51</v>
      </c>
      <c r="E5170" s="2" t="s">
        <v>33828</v>
      </c>
      <c r="F5170" s="2">
        <v>584</v>
      </c>
      <c r="G5170" s="3" t="str">
        <f>HYPERLINK("https://cloud.oebiotech.com/#/lm/network/584", "https://cloud.oebiotech.com/#/lm/network/584")</f>
        <v>https://cloud.oebiotech.com/#/lm/network/584</v>
      </c>
      <c r="H5170" s="2" t="s">
        <v>33829</v>
      </c>
      <c r="I5170" s="2">
        <v>3552</v>
      </c>
      <c r="J5170" s="2" t="s">
        <v>33830</v>
      </c>
      <c r="K5170" s="2">
        <v>5282761</v>
      </c>
      <c r="L5170" s="2" t="s">
        <v>3228</v>
      </c>
      <c r="M5170" s="2"/>
      <c r="N5170" s="2"/>
      <c r="O5170" s="2">
        <v>50464</v>
      </c>
      <c r="P5170" s="2"/>
      <c r="Q5170" s="2"/>
      <c r="R5170" s="2" t="s">
        <v>33831</v>
      </c>
      <c r="S5170" s="2" t="s">
        <v>33832</v>
      </c>
      <c r="T5170" s="2" t="s">
        <v>33833</v>
      </c>
      <c r="U5170" s="2" t="s">
        <v>56</v>
      </c>
      <c r="V5170" s="2" t="s">
        <v>145</v>
      </c>
      <c r="W5170" s="2" t="s">
        <v>231</v>
      </c>
      <c r="X5170" s="2" t="s">
        <v>147</v>
      </c>
      <c r="Y5170" s="2">
        <v>37.799999999999997</v>
      </c>
      <c r="Z5170" s="2">
        <v>0</v>
      </c>
      <c r="AA5170" s="2" t="s">
        <v>241</v>
      </c>
      <c r="AB5170" s="2" t="s">
        <v>3183</v>
      </c>
      <c r="AC5170" s="2">
        <v>-0.29487089414254802</v>
      </c>
      <c r="AD5170" s="2"/>
      <c r="AE5170" s="2">
        <v>4.6457590620923903E-2</v>
      </c>
      <c r="AF5170" s="2">
        <v>3371.7970395365601</v>
      </c>
      <c r="AG5170" s="2">
        <v>3203.9411702047901</v>
      </c>
      <c r="AH5170" s="5">
        <v>1.0523904342853601</v>
      </c>
      <c r="AI5170" s="5">
        <v>7.3670040283301805E-2</v>
      </c>
      <c r="AJ5170" s="5" t="s">
        <v>139</v>
      </c>
      <c r="AK5170" s="2">
        <v>0.85596999608054603</v>
      </c>
      <c r="AL5170" s="2">
        <v>0.936349592975804</v>
      </c>
      <c r="AM5170" s="2">
        <v>5007.02817551929</v>
      </c>
      <c r="AN5170" s="2">
        <v>2001.3259189850801</v>
      </c>
      <c r="AO5170" s="2">
        <v>5240.7524628984902</v>
      </c>
      <c r="AP5170" s="2">
        <v>4014.17053763999</v>
      </c>
      <c r="AQ5170" s="2">
        <v>2103.5059179864302</v>
      </c>
      <c r="AR5170" s="2">
        <v>1863.99922419005</v>
      </c>
      <c r="AS5170" s="2">
        <v>2713.7987650598402</v>
      </c>
      <c r="AT5170" s="2">
        <v>1804.08892834122</v>
      </c>
      <c r="AU5170" s="2">
        <v>5472.91532653167</v>
      </c>
      <c r="AV5170" s="2">
        <v>3365.96888000638</v>
      </c>
      <c r="AW5170" s="2">
        <v>4434.3633435901002</v>
      </c>
      <c r="AX5170" s="2">
        <v>1432.5117776995</v>
      </c>
    </row>
    <row r="5171" spans="1:50" x14ac:dyDescent="0.25">
      <c r="A5171" s="2" t="s">
        <v>33834</v>
      </c>
      <c r="B5171" s="2">
        <v>580.36226476597403</v>
      </c>
      <c r="C5171" s="2">
        <v>11.505183333333299</v>
      </c>
      <c r="D5171" s="2" t="s">
        <v>51</v>
      </c>
      <c r="E5171" s="2" t="s">
        <v>33835</v>
      </c>
      <c r="F5171" s="2">
        <v>21184</v>
      </c>
      <c r="G5171" s="3" t="str">
        <f>HYPERLINK("https://cloud.oebiotech.com/#/lm/network/21184", "https://cloud.oebiotech.com/#/lm/network/21184")</f>
        <v>https://cloud.oebiotech.com/#/lm/network/21184</v>
      </c>
      <c r="H5171" s="2"/>
      <c r="I5171" s="2">
        <v>77689</v>
      </c>
      <c r="J5171" s="2" t="s">
        <v>33836</v>
      </c>
      <c r="K5171" s="2">
        <v>52925142</v>
      </c>
      <c r="L5171" s="2"/>
      <c r="M5171" s="2"/>
      <c r="N5171" s="2"/>
      <c r="O5171" s="2"/>
      <c r="P5171" s="2"/>
      <c r="Q5171" s="2"/>
      <c r="R5171" s="2"/>
      <c r="S5171" s="2" t="s">
        <v>33837</v>
      </c>
      <c r="T5171" s="2" t="s">
        <v>33838</v>
      </c>
      <c r="U5171" s="2" t="s">
        <v>56</v>
      </c>
      <c r="V5171" s="2" t="s">
        <v>57</v>
      </c>
      <c r="W5171" s="2" t="s">
        <v>155</v>
      </c>
      <c r="X5171" s="2" t="s">
        <v>83</v>
      </c>
      <c r="Y5171" s="2">
        <v>52</v>
      </c>
      <c r="Z5171" s="2">
        <v>0</v>
      </c>
      <c r="AA5171" s="2" t="s">
        <v>218</v>
      </c>
      <c r="AB5171" s="2" t="s">
        <v>4844</v>
      </c>
      <c r="AC5171" s="2">
        <v>0.50842525978225195</v>
      </c>
      <c r="AD5171" s="2"/>
      <c r="AE5171" s="2">
        <v>4.6418068569389299E-2</v>
      </c>
      <c r="AF5171" s="2">
        <v>2317.3587091793302</v>
      </c>
      <c r="AG5171" s="2">
        <v>2650.8751281462801</v>
      </c>
      <c r="AH5171" s="4">
        <v>0.87418629590441099</v>
      </c>
      <c r="AI5171" s="4">
        <v>-0.19398733285359299</v>
      </c>
      <c r="AJ5171" s="4" t="s">
        <v>62</v>
      </c>
      <c r="AK5171" s="2">
        <v>0.67322360587979502</v>
      </c>
      <c r="AL5171" s="2">
        <v>0.84197843653159099</v>
      </c>
      <c r="AM5171" s="2">
        <v>2324.0191143429602</v>
      </c>
      <c r="AN5171" s="2">
        <v>2791.1311906442802</v>
      </c>
      <c r="AO5171" s="2">
        <v>2655.5343825957498</v>
      </c>
      <c r="AP5171" s="2">
        <v>1550.4669042942401</v>
      </c>
      <c r="AQ5171" s="2">
        <v>2286.07654875347</v>
      </c>
      <c r="AR5171" s="2">
        <v>2296.9241144452799</v>
      </c>
      <c r="AS5171" s="2">
        <v>873.64692081957605</v>
      </c>
      <c r="AT5171" s="2">
        <v>259.08027454563103</v>
      </c>
      <c r="AU5171" s="2">
        <v>4816.0014732397303</v>
      </c>
      <c r="AV5171" s="2">
        <v>2797.7987133981301</v>
      </c>
      <c r="AW5171" s="2">
        <v>4428.74482272368</v>
      </c>
      <c r="AX5171" s="2">
        <v>2729.9785641509602</v>
      </c>
    </row>
    <row r="5172" spans="1:50" x14ac:dyDescent="0.25">
      <c r="A5172" s="2" t="s">
        <v>33839</v>
      </c>
      <c r="B5172" s="2">
        <v>497.14215354754498</v>
      </c>
      <c r="C5172" s="2">
        <v>3.6124666666666698</v>
      </c>
      <c r="D5172" s="2" t="s">
        <v>51</v>
      </c>
      <c r="E5172" s="2" t="s">
        <v>33840</v>
      </c>
      <c r="F5172" s="2">
        <v>202376</v>
      </c>
      <c r="G5172" s="3" t="str">
        <f>HYPERLINK("https://cloud.oebiotech.com/#/lm/network/202376", "https://cloud.oebiotech.com/#/lm/network/202376")</f>
        <v>https://cloud.oebiotech.com/#/lm/network/202376</v>
      </c>
      <c r="H5172" s="2" t="s">
        <v>33841</v>
      </c>
      <c r="I5172" s="2"/>
      <c r="J5172" s="2"/>
      <c r="K5172" s="2">
        <v>600156</v>
      </c>
      <c r="L5172" s="2"/>
      <c r="M5172" s="2"/>
      <c r="N5172" s="2"/>
      <c r="O5172" s="2"/>
      <c r="P5172" s="2"/>
      <c r="Q5172" s="2"/>
      <c r="R5172" s="2"/>
      <c r="S5172" s="2" t="s">
        <v>33842</v>
      </c>
      <c r="T5172" s="2" t="s">
        <v>33843</v>
      </c>
      <c r="U5172" s="2" t="s">
        <v>266</v>
      </c>
      <c r="V5172" s="2" t="s">
        <v>445</v>
      </c>
      <c r="W5172" s="2" t="s">
        <v>3768</v>
      </c>
      <c r="X5172" s="2" t="s">
        <v>147</v>
      </c>
      <c r="Y5172" s="2">
        <v>45</v>
      </c>
      <c r="Z5172" s="2">
        <v>33.5</v>
      </c>
      <c r="AA5172" s="2" t="s">
        <v>478</v>
      </c>
      <c r="AB5172" s="2" t="s">
        <v>33844</v>
      </c>
      <c r="AC5172" s="2">
        <v>-0.96700062395215303</v>
      </c>
      <c r="AD5172" s="2"/>
      <c r="AE5172" s="2">
        <v>4.6348927910235697E-2</v>
      </c>
      <c r="AF5172" s="2">
        <v>13656.7545035474</v>
      </c>
      <c r="AG5172" s="2">
        <v>12632.7392417837</v>
      </c>
      <c r="AH5172" s="5">
        <v>1.0810604289508901</v>
      </c>
      <c r="AI5172" s="5">
        <v>0.112447168873791</v>
      </c>
      <c r="AJ5172" s="5" t="s">
        <v>139</v>
      </c>
      <c r="AK5172" s="2">
        <v>0.80787768916369995</v>
      </c>
      <c r="AL5172" s="2">
        <v>0.91416392522178003</v>
      </c>
      <c r="AM5172" s="2">
        <v>9829.1647393088806</v>
      </c>
      <c r="AN5172" s="2">
        <v>15998.6145181352</v>
      </c>
      <c r="AO5172" s="2">
        <v>6877.5710168088799</v>
      </c>
      <c r="AP5172" s="2">
        <v>22550.6140866147</v>
      </c>
      <c r="AQ5172" s="2">
        <v>15152.7512997553</v>
      </c>
      <c r="AR5172" s="2">
        <v>11531.811360661601</v>
      </c>
      <c r="AS5172" s="2">
        <v>14425.153370346001</v>
      </c>
      <c r="AT5172" s="2">
        <v>21908.4324798087</v>
      </c>
      <c r="AU5172" s="2">
        <v>7520.2305230284201</v>
      </c>
      <c r="AV5172" s="2">
        <v>1811.5663161795801</v>
      </c>
      <c r="AW5172" s="2">
        <v>7707.1095476976998</v>
      </c>
      <c r="AX5172" s="2">
        <v>22423.9432136418</v>
      </c>
    </row>
    <row r="5173" spans="1:50" x14ac:dyDescent="0.25">
      <c r="A5173" s="2" t="s">
        <v>33845</v>
      </c>
      <c r="B5173" s="2">
        <v>707.33884817962803</v>
      </c>
      <c r="C5173" s="2">
        <v>3.5649500000000001</v>
      </c>
      <c r="D5173" s="2" t="s">
        <v>51</v>
      </c>
      <c r="E5173" s="2" t="s">
        <v>33846</v>
      </c>
      <c r="F5173" s="2">
        <v>27976</v>
      </c>
      <c r="G5173" s="3" t="str">
        <f>HYPERLINK("https://cloud.oebiotech.com/#/lm/network/27976", "https://cloud.oebiotech.com/#/lm/network/27976")</f>
        <v>https://cloud.oebiotech.com/#/lm/network/27976</v>
      </c>
      <c r="H5173" s="2"/>
      <c r="I5173" s="2"/>
      <c r="J5173" s="2" t="s">
        <v>33847</v>
      </c>
      <c r="K5173" s="2">
        <v>134812423</v>
      </c>
      <c r="L5173" s="2"/>
      <c r="M5173" s="2"/>
      <c r="N5173" s="2"/>
      <c r="O5173" s="2"/>
      <c r="P5173" s="2"/>
      <c r="Q5173" s="2"/>
      <c r="R5173" s="2"/>
      <c r="S5173" s="2" t="s">
        <v>33848</v>
      </c>
      <c r="T5173" s="2" t="s">
        <v>33849</v>
      </c>
      <c r="U5173" s="2" t="s">
        <v>56</v>
      </c>
      <c r="V5173" s="2" t="s">
        <v>57</v>
      </c>
      <c r="W5173" s="2" t="s">
        <v>1097</v>
      </c>
      <c r="X5173" s="2" t="s">
        <v>147</v>
      </c>
      <c r="Y5173" s="2">
        <v>41.3</v>
      </c>
      <c r="Z5173" s="2">
        <v>19.100000000000001</v>
      </c>
      <c r="AA5173" s="2" t="s">
        <v>156</v>
      </c>
      <c r="AB5173" s="2" t="s">
        <v>33850</v>
      </c>
      <c r="AC5173" s="2">
        <v>-1.8931925904017799</v>
      </c>
      <c r="AD5173" s="2"/>
      <c r="AE5173" s="2">
        <v>4.6342544309187501E-2</v>
      </c>
      <c r="AF5173" s="2">
        <v>3921.8411322117599</v>
      </c>
      <c r="AG5173" s="2">
        <v>4438.5396378708901</v>
      </c>
      <c r="AH5173" s="4">
        <v>0.88358817363023701</v>
      </c>
      <c r="AI5173" s="4">
        <v>-0.178553985790361</v>
      </c>
      <c r="AJ5173" s="4" t="s">
        <v>62</v>
      </c>
      <c r="AK5173" s="2">
        <v>0.91160716768656302</v>
      </c>
      <c r="AL5173" s="2">
        <v>0.962914197112401</v>
      </c>
      <c r="AM5173" s="2">
        <v>9833.3856189532198</v>
      </c>
      <c r="AN5173" s="2">
        <v>3.45571985951611</v>
      </c>
      <c r="AO5173" s="2">
        <v>1345.17775926022</v>
      </c>
      <c r="AP5173" s="2">
        <v>8.559877937157E-6</v>
      </c>
      <c r="AQ5173" s="2">
        <v>9466.6762689150801</v>
      </c>
      <c r="AR5173" s="2">
        <v>2882.3514177226202</v>
      </c>
      <c r="AS5173" s="2">
        <v>8.559877937157E-6</v>
      </c>
      <c r="AT5173" s="2">
        <v>8.559877937157E-6</v>
      </c>
      <c r="AU5173" s="2">
        <v>206.842948127369</v>
      </c>
      <c r="AV5173" s="2">
        <v>25118.8655322913</v>
      </c>
      <c r="AW5173" s="2">
        <v>450.88700071651903</v>
      </c>
      <c r="AX5173" s="2">
        <v>854.64232897040995</v>
      </c>
    </row>
    <row r="5174" spans="1:50" x14ac:dyDescent="0.25">
      <c r="A5174" s="2" t="s">
        <v>33851</v>
      </c>
      <c r="B5174" s="2">
        <v>394.18723897728103</v>
      </c>
      <c r="C5174" s="2">
        <v>3.9216000000000002</v>
      </c>
      <c r="D5174" s="2" t="s">
        <v>51</v>
      </c>
      <c r="E5174" s="2" t="s">
        <v>33852</v>
      </c>
      <c r="F5174" s="2">
        <v>264439</v>
      </c>
      <c r="G5174" s="3" t="str">
        <f>HYPERLINK("https://cloud.oebiotech.com/#/lm/network/264439", "https://cloud.oebiotech.com/#/lm/network/264439")</f>
        <v>https://cloud.oebiotech.com/#/lm/network/264439</v>
      </c>
      <c r="H5174" s="2"/>
      <c r="I5174" s="2">
        <v>21899</v>
      </c>
      <c r="J5174" s="2"/>
      <c r="K5174" s="2">
        <v>10135247</v>
      </c>
      <c r="L5174" s="2"/>
      <c r="M5174" s="2"/>
      <c r="N5174" s="2"/>
      <c r="O5174" s="2"/>
      <c r="P5174" s="2"/>
      <c r="Q5174" s="2"/>
      <c r="R5174" s="2"/>
      <c r="S5174" s="2" t="s">
        <v>33853</v>
      </c>
      <c r="T5174" s="2" t="s">
        <v>33854</v>
      </c>
      <c r="U5174" s="2" t="s">
        <v>103</v>
      </c>
      <c r="V5174" s="2" t="s">
        <v>104</v>
      </c>
      <c r="W5174" s="2" t="s">
        <v>105</v>
      </c>
      <c r="X5174" s="2" t="s">
        <v>83</v>
      </c>
      <c r="Y5174" s="2">
        <v>46.1</v>
      </c>
      <c r="Z5174" s="2">
        <v>0</v>
      </c>
      <c r="AA5174" s="2" t="s">
        <v>122</v>
      </c>
      <c r="AB5174" s="2" t="s">
        <v>33855</v>
      </c>
      <c r="AC5174" s="2">
        <v>5.0846828462373299</v>
      </c>
      <c r="AD5174" s="2"/>
      <c r="AE5174" s="2">
        <v>4.6332870106121499E-2</v>
      </c>
      <c r="AF5174" s="2">
        <v>472.92476400099099</v>
      </c>
      <c r="AG5174" s="2">
        <v>275.25329068307002</v>
      </c>
      <c r="AH5174" s="5">
        <v>1.7181439060269901</v>
      </c>
      <c r="AI5174" s="5">
        <v>0.78085087688194998</v>
      </c>
      <c r="AJ5174" s="5" t="s">
        <v>139</v>
      </c>
      <c r="AK5174" s="2">
        <v>0.400209791882424</v>
      </c>
      <c r="AL5174" s="2">
        <v>0.66855529949520398</v>
      </c>
      <c r="AM5174" s="2">
        <v>8.559877937157E-6</v>
      </c>
      <c r="AN5174" s="2">
        <v>300.038972720429</v>
      </c>
      <c r="AO5174" s="2">
        <v>980.02852053151003</v>
      </c>
      <c r="AP5174" s="2">
        <v>930.64404574692696</v>
      </c>
      <c r="AQ5174" s="2">
        <v>458.57219174728198</v>
      </c>
      <c r="AR5174" s="2">
        <v>168.26484469992201</v>
      </c>
      <c r="AS5174" s="2">
        <v>667.99033907132196</v>
      </c>
      <c r="AT5174" s="2">
        <v>830.76366761782901</v>
      </c>
      <c r="AU5174" s="2">
        <v>8.559877937157E-6</v>
      </c>
      <c r="AV5174" s="2">
        <v>8.559877937157E-6</v>
      </c>
      <c r="AW5174" s="2">
        <v>152.765711729636</v>
      </c>
      <c r="AX5174" s="2">
        <v>8.559877937157E-6</v>
      </c>
    </row>
    <row r="5175" spans="1:50" x14ac:dyDescent="0.25">
      <c r="A5175" s="2" t="s">
        <v>33856</v>
      </c>
      <c r="B5175" s="2">
        <v>363.21521870820499</v>
      </c>
      <c r="C5175" s="2">
        <v>8.5599833333333297</v>
      </c>
      <c r="D5175" s="2" t="s">
        <v>51</v>
      </c>
      <c r="E5175" s="2" t="s">
        <v>33857</v>
      </c>
      <c r="F5175" s="2">
        <v>212274</v>
      </c>
      <c r="G5175" s="3" t="str">
        <f>HYPERLINK("https://cloud.oebiotech.com/#/lm/network/212274", "https://cloud.oebiotech.com/#/lm/network/212274")</f>
        <v>https://cloud.oebiotech.com/#/lm/network/212274</v>
      </c>
      <c r="H5175" s="2" t="s">
        <v>33858</v>
      </c>
      <c r="I5175" s="2"/>
      <c r="J5175" s="2"/>
      <c r="K5175" s="2">
        <v>5406</v>
      </c>
      <c r="L5175" s="2"/>
      <c r="M5175" s="2"/>
      <c r="N5175" s="2"/>
      <c r="O5175" s="2"/>
      <c r="P5175" s="2"/>
      <c r="Q5175" s="2"/>
      <c r="R5175" s="2"/>
      <c r="S5175" s="2" t="s">
        <v>33859</v>
      </c>
      <c r="T5175" s="2" t="s">
        <v>33860</v>
      </c>
      <c r="U5175" s="2" t="s">
        <v>266</v>
      </c>
      <c r="V5175" s="2" t="s">
        <v>1393</v>
      </c>
      <c r="W5175" s="2" t="s">
        <v>26213</v>
      </c>
      <c r="X5175" s="2" t="s">
        <v>147</v>
      </c>
      <c r="Y5175" s="2">
        <v>37.299999999999997</v>
      </c>
      <c r="Z5175" s="2">
        <v>0</v>
      </c>
      <c r="AA5175" s="2" t="s">
        <v>95</v>
      </c>
      <c r="AB5175" s="2" t="s">
        <v>33861</v>
      </c>
      <c r="AC5175" s="2">
        <v>-0.92147051554493897</v>
      </c>
      <c r="AD5175" s="2"/>
      <c r="AE5175" s="2">
        <v>4.62964995999149E-2</v>
      </c>
      <c r="AF5175" s="2">
        <v>1671.4875139559799</v>
      </c>
      <c r="AG5175" s="2">
        <v>2168.0431846346501</v>
      </c>
      <c r="AH5175" s="4">
        <v>0.77096596866803602</v>
      </c>
      <c r="AI5175" s="4">
        <v>-0.37526091557382202</v>
      </c>
      <c r="AJ5175" s="4" t="s">
        <v>62</v>
      </c>
      <c r="AK5175" s="2">
        <v>0.68297263941788899</v>
      </c>
      <c r="AL5175" s="2">
        <v>0.846868955769424</v>
      </c>
      <c r="AM5175" s="2">
        <v>1153.9033734222301</v>
      </c>
      <c r="AN5175" s="2">
        <v>6162.90141869131</v>
      </c>
      <c r="AO5175" s="2">
        <v>913.93512681456696</v>
      </c>
      <c r="AP5175" s="2">
        <v>713.69296625296295</v>
      </c>
      <c r="AQ5175" s="2">
        <v>169.89712315753599</v>
      </c>
      <c r="AR5175" s="2">
        <v>914.59507539728997</v>
      </c>
      <c r="AS5175" s="2">
        <v>1657.93459286542</v>
      </c>
      <c r="AT5175" s="2">
        <v>259.96993923764501</v>
      </c>
      <c r="AU5175" s="2">
        <v>2948.3150203352302</v>
      </c>
      <c r="AV5175" s="2">
        <v>881.99875122365995</v>
      </c>
      <c r="AW5175" s="2">
        <v>1810.12361110657</v>
      </c>
      <c r="AX5175" s="2">
        <v>5449.9171930393504</v>
      </c>
    </row>
    <row r="5176" spans="1:50" x14ac:dyDescent="0.25">
      <c r="A5176" s="2" t="s">
        <v>33862</v>
      </c>
      <c r="B5176" s="2">
        <v>435.31172041039099</v>
      </c>
      <c r="C5176" s="2">
        <v>11.0481833333333</v>
      </c>
      <c r="D5176" s="2" t="s">
        <v>51</v>
      </c>
      <c r="E5176" s="2" t="s">
        <v>33863</v>
      </c>
      <c r="F5176" s="2">
        <v>45204</v>
      </c>
      <c r="G5176" s="3" t="str">
        <f>HYPERLINK("https://cloud.oebiotech.com/#/lm/network/45204", "https://cloud.oebiotech.com/#/lm/network/45204")</f>
        <v>https://cloud.oebiotech.com/#/lm/network/45204</v>
      </c>
      <c r="H5176" s="2"/>
      <c r="I5176" s="2">
        <v>41973</v>
      </c>
      <c r="J5176" s="2" t="s">
        <v>33864</v>
      </c>
      <c r="K5176" s="2">
        <v>9547292</v>
      </c>
      <c r="L5176" s="2"/>
      <c r="M5176" s="2"/>
      <c r="N5176" s="2"/>
      <c r="O5176" s="2"/>
      <c r="P5176" s="2"/>
      <c r="Q5176" s="2"/>
      <c r="R5176" s="2"/>
      <c r="S5176" s="2" t="s">
        <v>33865</v>
      </c>
      <c r="T5176" s="2" t="s">
        <v>33866</v>
      </c>
      <c r="U5176" s="2" t="s">
        <v>56</v>
      </c>
      <c r="V5176" s="2" t="s">
        <v>177</v>
      </c>
      <c r="W5176" s="2" t="s">
        <v>1996</v>
      </c>
      <c r="X5176" s="2" t="s">
        <v>83</v>
      </c>
      <c r="Y5176" s="2">
        <v>50</v>
      </c>
      <c r="Z5176" s="2">
        <v>0</v>
      </c>
      <c r="AA5176" s="2" t="s">
        <v>218</v>
      </c>
      <c r="AB5176" s="2" t="s">
        <v>33867</v>
      </c>
      <c r="AC5176" s="2">
        <v>0.31342703577057801</v>
      </c>
      <c r="AD5176" s="2"/>
      <c r="AE5176" s="2">
        <v>4.6247249958652301E-2</v>
      </c>
      <c r="AF5176" s="2">
        <v>3822.0920875667998</v>
      </c>
      <c r="AG5176" s="2">
        <v>3209.3368702459602</v>
      </c>
      <c r="AH5176" s="5">
        <v>1.1909289183699401</v>
      </c>
      <c r="AI5176" s="5">
        <v>0.25208730726123102</v>
      </c>
      <c r="AJ5176" s="5" t="s">
        <v>139</v>
      </c>
      <c r="AK5176" s="2">
        <v>0.556731360753555</v>
      </c>
      <c r="AL5176" s="2">
        <v>0.77644211623064496</v>
      </c>
      <c r="AM5176" s="2">
        <v>1973.5954754050299</v>
      </c>
      <c r="AN5176" s="2">
        <v>4031.8426854795598</v>
      </c>
      <c r="AO5176" s="2">
        <v>3514.9808137957698</v>
      </c>
      <c r="AP5176" s="2">
        <v>6783.6286684724901</v>
      </c>
      <c r="AQ5176" s="2">
        <v>3388.6572631867598</v>
      </c>
      <c r="AR5176" s="2">
        <v>3239.84761906117</v>
      </c>
      <c r="AS5176" s="2">
        <v>3006.3924969898299</v>
      </c>
      <c r="AT5176" s="2">
        <v>3992.12718296203</v>
      </c>
      <c r="AU5176" s="2">
        <v>2005.55744541748</v>
      </c>
      <c r="AV5176" s="2">
        <v>763.099563938919</v>
      </c>
      <c r="AW5176" s="2">
        <v>3192.5925295797101</v>
      </c>
      <c r="AX5176" s="2">
        <v>6296.2520025877902</v>
      </c>
    </row>
    <row r="5177" spans="1:50" x14ac:dyDescent="0.25">
      <c r="A5177" s="2" t="s">
        <v>33868</v>
      </c>
      <c r="B5177" s="2">
        <v>321.06245277030803</v>
      </c>
      <c r="C5177" s="2">
        <v>4.2211666666666696</v>
      </c>
      <c r="D5177" s="2" t="s">
        <v>51</v>
      </c>
      <c r="E5177" s="2" t="s">
        <v>33869</v>
      </c>
      <c r="F5177" s="2">
        <v>57859</v>
      </c>
      <c r="G5177" s="3" t="str">
        <f>HYPERLINK("https://cloud.oebiotech.com/#/lm/network/57859", "https://cloud.oebiotech.com/#/lm/network/57859")</f>
        <v>https://cloud.oebiotech.com/#/lm/network/57859</v>
      </c>
      <c r="H5177" s="2" t="s">
        <v>33870</v>
      </c>
      <c r="I5177" s="2">
        <v>89448</v>
      </c>
      <c r="J5177" s="2"/>
      <c r="K5177" s="2">
        <v>100923872</v>
      </c>
      <c r="L5177" s="2"/>
      <c r="M5177" s="2"/>
      <c r="N5177" s="2"/>
      <c r="O5177" s="2">
        <v>133763</v>
      </c>
      <c r="P5177" s="2"/>
      <c r="Q5177" s="2"/>
      <c r="R5177" s="2"/>
      <c r="S5177" s="2" t="s">
        <v>33871</v>
      </c>
      <c r="T5177" s="2" t="s">
        <v>33872</v>
      </c>
      <c r="U5177" s="2" t="s">
        <v>266</v>
      </c>
      <c r="V5177" s="2" t="s">
        <v>1988</v>
      </c>
      <c r="W5177" s="2" t="s">
        <v>33873</v>
      </c>
      <c r="X5177" s="2" t="s">
        <v>147</v>
      </c>
      <c r="Y5177" s="2">
        <v>37.700000000000003</v>
      </c>
      <c r="Z5177" s="2">
        <v>0.48299999999999998</v>
      </c>
      <c r="AA5177" s="2" t="s">
        <v>218</v>
      </c>
      <c r="AB5177" s="2" t="s">
        <v>33874</v>
      </c>
      <c r="AC5177" s="2">
        <v>3.1217399531717702</v>
      </c>
      <c r="AD5177" s="2"/>
      <c r="AE5177" s="2">
        <v>4.6246691965907999E-2</v>
      </c>
      <c r="AF5177" s="2">
        <v>894.50546613795598</v>
      </c>
      <c r="AG5177" s="2">
        <v>631.78677860847802</v>
      </c>
      <c r="AH5177" s="5">
        <v>1.41583441823224</v>
      </c>
      <c r="AI5177" s="5">
        <v>0.50165255216992199</v>
      </c>
      <c r="AJ5177" s="5" t="s">
        <v>139</v>
      </c>
      <c r="AK5177" s="2">
        <v>0.54289543966838605</v>
      </c>
      <c r="AL5177" s="2">
        <v>0.76705621735154905</v>
      </c>
      <c r="AM5177" s="2">
        <v>8.559877937157E-6</v>
      </c>
      <c r="AN5177" s="2">
        <v>1165.6917893689799</v>
      </c>
      <c r="AO5177" s="2">
        <v>742.30772605771904</v>
      </c>
      <c r="AP5177" s="2">
        <v>878.49496811134395</v>
      </c>
      <c r="AQ5177" s="2">
        <v>110.49785178627199</v>
      </c>
      <c r="AR5177" s="2">
        <v>2470.04045294354</v>
      </c>
      <c r="AS5177" s="2">
        <v>8.559877937157E-6</v>
      </c>
      <c r="AT5177" s="2">
        <v>1253.50330180226</v>
      </c>
      <c r="AU5177" s="2">
        <v>771.341115601772</v>
      </c>
      <c r="AV5177" s="2">
        <v>299.78329066009297</v>
      </c>
      <c r="AW5177" s="2">
        <v>1113.18068569505</v>
      </c>
      <c r="AX5177" s="2">
        <v>352.91226933181298</v>
      </c>
    </row>
    <row r="5178" spans="1:50" x14ac:dyDescent="0.25">
      <c r="A5178" s="2" t="s">
        <v>33875</v>
      </c>
      <c r="B5178" s="2">
        <v>253.11917491161</v>
      </c>
      <c r="C5178" s="2">
        <v>1.6663666666666701</v>
      </c>
      <c r="D5178" s="2" t="s">
        <v>51</v>
      </c>
      <c r="E5178" s="2" t="s">
        <v>33876</v>
      </c>
      <c r="F5178" s="2">
        <v>54021</v>
      </c>
      <c r="G5178" s="3" t="str">
        <f>HYPERLINK("https://cloud.oebiotech.com/#/lm/network/54021", "https://cloud.oebiotech.com/#/lm/network/54021")</f>
        <v>https://cloud.oebiotech.com/#/lm/network/54021</v>
      </c>
      <c r="H5178" s="2" t="s">
        <v>33877</v>
      </c>
      <c r="I5178" s="2">
        <v>85902</v>
      </c>
      <c r="J5178" s="2"/>
      <c r="K5178" s="2">
        <v>193508</v>
      </c>
      <c r="L5178" s="2"/>
      <c r="M5178" s="2"/>
      <c r="N5178" s="2"/>
      <c r="O5178" s="2">
        <v>71032</v>
      </c>
      <c r="P5178" s="2"/>
      <c r="Q5178" s="2"/>
      <c r="R5178" s="2" t="s">
        <v>33878</v>
      </c>
      <c r="S5178" s="2" t="s">
        <v>33879</v>
      </c>
      <c r="T5178" s="2" t="s">
        <v>33880</v>
      </c>
      <c r="U5178" s="2" t="s">
        <v>103</v>
      </c>
      <c r="V5178" s="2" t="s">
        <v>104</v>
      </c>
      <c r="W5178" s="2" t="s">
        <v>105</v>
      </c>
      <c r="X5178" s="2" t="s">
        <v>147</v>
      </c>
      <c r="Y5178" s="2">
        <v>41.1</v>
      </c>
      <c r="Z5178" s="2">
        <v>17</v>
      </c>
      <c r="AA5178" s="2" t="s">
        <v>259</v>
      </c>
      <c r="AB5178" s="2" t="s">
        <v>23803</v>
      </c>
      <c r="AC5178" s="2">
        <v>3.5360560451132499</v>
      </c>
      <c r="AD5178" s="2"/>
      <c r="AE5178" s="2">
        <v>4.62180171728745E-2</v>
      </c>
      <c r="AF5178" s="2">
        <v>5905.9068708466802</v>
      </c>
      <c r="AG5178" s="2">
        <v>5824.7137653914197</v>
      </c>
      <c r="AH5178" s="5">
        <v>1.01393941551904</v>
      </c>
      <c r="AI5178" s="5">
        <v>1.99714516100147E-2</v>
      </c>
      <c r="AJ5178" s="5" t="s">
        <v>139</v>
      </c>
      <c r="AK5178" s="2">
        <v>0.96734043347527898</v>
      </c>
      <c r="AL5178" s="2">
        <v>0.98744444584046698</v>
      </c>
      <c r="AM5178" s="2">
        <v>6885.1709343201501</v>
      </c>
      <c r="AN5178" s="2">
        <v>5629.8063116898102</v>
      </c>
      <c r="AO5178" s="2">
        <v>4802.1502321853104</v>
      </c>
      <c r="AP5178" s="2">
        <v>4354.9494582956504</v>
      </c>
      <c r="AQ5178" s="2">
        <v>6385.7301719654297</v>
      </c>
      <c r="AR5178" s="2">
        <v>7377.6341166237198</v>
      </c>
      <c r="AS5178" s="2">
        <v>4791.9306636757701</v>
      </c>
      <c r="AT5178" s="2">
        <v>2603.4925459635201</v>
      </c>
      <c r="AU5178" s="2">
        <v>14384.1232224305</v>
      </c>
      <c r="AV5178" s="2">
        <v>3677.7473245186002</v>
      </c>
      <c r="AW5178" s="2">
        <v>2145.8090740736502</v>
      </c>
      <c r="AX5178" s="2">
        <v>7345.1797616864696</v>
      </c>
    </row>
    <row r="5179" spans="1:50" x14ac:dyDescent="0.25">
      <c r="A5179" s="2" t="s">
        <v>33881</v>
      </c>
      <c r="B5179" s="2">
        <v>417.33755881470898</v>
      </c>
      <c r="C5179" s="2">
        <v>11.56945</v>
      </c>
      <c r="D5179" s="2" t="s">
        <v>51</v>
      </c>
      <c r="E5179" s="2" t="s">
        <v>33882</v>
      </c>
      <c r="F5179" s="2">
        <v>48866</v>
      </c>
      <c r="G5179" s="3" t="str">
        <f>HYPERLINK("https://cloud.oebiotech.com/#/lm/network/48866", "https://cloud.oebiotech.com/#/lm/network/48866")</f>
        <v>https://cloud.oebiotech.com/#/lm/network/48866</v>
      </c>
      <c r="H5179" s="2" t="s">
        <v>33883</v>
      </c>
      <c r="I5179" s="2"/>
      <c r="J5179" s="2"/>
      <c r="K5179" s="2">
        <v>53477897</v>
      </c>
      <c r="L5179" s="2" t="s">
        <v>19691</v>
      </c>
      <c r="M5179" s="2" t="s">
        <v>2681</v>
      </c>
      <c r="N5179" s="2" t="s">
        <v>2682</v>
      </c>
      <c r="O5179" s="2">
        <v>1294</v>
      </c>
      <c r="P5179" s="2" t="s">
        <v>19692</v>
      </c>
      <c r="Q5179" s="2" t="s">
        <v>19693</v>
      </c>
      <c r="R5179" s="2" t="s">
        <v>33884</v>
      </c>
      <c r="S5179" s="2" t="s">
        <v>33885</v>
      </c>
      <c r="T5179" s="2" t="s">
        <v>33886</v>
      </c>
      <c r="U5179" s="2" t="s">
        <v>56</v>
      </c>
      <c r="V5179" s="2" t="s">
        <v>283</v>
      </c>
      <c r="W5179" s="2" t="s">
        <v>2042</v>
      </c>
      <c r="X5179" s="2" t="s">
        <v>83</v>
      </c>
      <c r="Y5179" s="2">
        <v>53.5</v>
      </c>
      <c r="Z5179" s="2">
        <v>0</v>
      </c>
      <c r="AA5179" s="2" t="s">
        <v>163</v>
      </c>
      <c r="AB5179" s="2" t="s">
        <v>9651</v>
      </c>
      <c r="AC5179" s="2">
        <v>0.33444384674970401</v>
      </c>
      <c r="AD5179" s="2"/>
      <c r="AE5179" s="2">
        <v>4.6202809822831398E-2</v>
      </c>
      <c r="AF5179" s="2">
        <v>868.56224393612399</v>
      </c>
      <c r="AG5179" s="2">
        <v>568.57695874045601</v>
      </c>
      <c r="AH5179" s="5">
        <v>1.5276071789124399</v>
      </c>
      <c r="AI5179" s="5">
        <v>0.61127360496115302</v>
      </c>
      <c r="AJ5179" s="5" t="s">
        <v>139</v>
      </c>
      <c r="AK5179" s="2">
        <v>0.49445417395204999</v>
      </c>
      <c r="AL5179" s="2">
        <v>0.73513085382097298</v>
      </c>
      <c r="AM5179" s="2">
        <v>1040.72956566173</v>
      </c>
      <c r="AN5179" s="2">
        <v>404.34344139012399</v>
      </c>
      <c r="AO5179" s="2">
        <v>453.42175469679597</v>
      </c>
      <c r="AP5179" s="2">
        <v>2712.9896043981098</v>
      </c>
      <c r="AQ5179" s="2">
        <v>434.64671844440301</v>
      </c>
      <c r="AR5179" s="2">
        <v>165.24237902558099</v>
      </c>
      <c r="AS5179" s="2">
        <v>685.307851692246</v>
      </c>
      <c r="AT5179" s="2">
        <v>1055.6428328889101</v>
      </c>
      <c r="AU5179" s="2">
        <v>133.823354350643</v>
      </c>
      <c r="AV5179" s="2">
        <v>8.559877937157E-6</v>
      </c>
      <c r="AW5179" s="2">
        <v>877.09017884752404</v>
      </c>
      <c r="AX5179" s="2">
        <v>659.59752610353496</v>
      </c>
    </row>
    <row r="5180" spans="1:50" x14ac:dyDescent="0.25">
      <c r="A5180" s="2" t="s">
        <v>33887</v>
      </c>
      <c r="B5180" s="2">
        <v>409.29608508606901</v>
      </c>
      <c r="C5180" s="2">
        <v>11.801633333333299</v>
      </c>
      <c r="D5180" s="2" t="s">
        <v>51</v>
      </c>
      <c r="E5180" s="2" t="s">
        <v>33888</v>
      </c>
      <c r="F5180" s="2">
        <v>10462</v>
      </c>
      <c r="G5180" s="3" t="str">
        <f>HYPERLINK("https://cloud.oebiotech.com/#/lm/network/10462", "https://cloud.oebiotech.com/#/lm/network/10462")</f>
        <v>https://cloud.oebiotech.com/#/lm/network/10462</v>
      </c>
      <c r="H5180" s="2" t="s">
        <v>33889</v>
      </c>
      <c r="I5180" s="2">
        <v>64848</v>
      </c>
      <c r="J5180" s="2" t="s">
        <v>33890</v>
      </c>
      <c r="K5180" s="2">
        <v>6483057</v>
      </c>
      <c r="L5180" s="2"/>
      <c r="M5180" s="2"/>
      <c r="N5180" s="2"/>
      <c r="O5180" s="2">
        <v>75913</v>
      </c>
      <c r="P5180" s="2"/>
      <c r="Q5180" s="2"/>
      <c r="R5180" s="2" t="s">
        <v>33891</v>
      </c>
      <c r="S5180" s="2" t="s">
        <v>33892</v>
      </c>
      <c r="T5180" s="2" t="s">
        <v>33893</v>
      </c>
      <c r="U5180" s="2" t="s">
        <v>56</v>
      </c>
      <c r="V5180" s="2" t="s">
        <v>33894</v>
      </c>
      <c r="W5180" s="2" t="s">
        <v>240</v>
      </c>
      <c r="X5180" s="2" t="s">
        <v>147</v>
      </c>
      <c r="Y5180" s="2">
        <v>38.299999999999997</v>
      </c>
      <c r="Z5180" s="2">
        <v>0</v>
      </c>
      <c r="AA5180" s="2" t="s">
        <v>218</v>
      </c>
      <c r="AB5180" s="2" t="s">
        <v>33895</v>
      </c>
      <c r="AC5180" s="2">
        <v>0.37627075731208298</v>
      </c>
      <c r="AD5180" s="2"/>
      <c r="AE5180" s="2">
        <v>4.6188622359111101E-2</v>
      </c>
      <c r="AF5180" s="2">
        <v>3974.5094242162299</v>
      </c>
      <c r="AG5180" s="2">
        <v>3398.25039683354</v>
      </c>
      <c r="AH5180" s="5">
        <v>1.1695752107966</v>
      </c>
      <c r="AI5180" s="5">
        <v>0.22598463873557501</v>
      </c>
      <c r="AJ5180" s="5" t="s">
        <v>139</v>
      </c>
      <c r="AK5180" s="2">
        <v>0.69789952291952795</v>
      </c>
      <c r="AL5180" s="2">
        <v>0.85481101092610401</v>
      </c>
      <c r="AM5180" s="2">
        <v>2620.96922052936</v>
      </c>
      <c r="AN5180" s="2">
        <v>3379.60371451132</v>
      </c>
      <c r="AO5180" s="2">
        <v>2908.1833122064299</v>
      </c>
      <c r="AP5180" s="2">
        <v>8402.7266476737404</v>
      </c>
      <c r="AQ5180" s="2">
        <v>5133.7537840109098</v>
      </c>
      <c r="AR5180" s="2">
        <v>1401.8198663656201</v>
      </c>
      <c r="AS5180" s="2">
        <v>1529.3211143163701</v>
      </c>
      <c r="AT5180" s="2">
        <v>6783.9224187255904</v>
      </c>
      <c r="AU5180" s="2">
        <v>2004.60611577079</v>
      </c>
      <c r="AV5180" s="2">
        <v>389.61405424680601</v>
      </c>
      <c r="AW5180" s="2">
        <v>5678.1232906707301</v>
      </c>
      <c r="AX5180" s="2">
        <v>4003.9153872709499</v>
      </c>
    </row>
    <row r="5181" spans="1:50" x14ac:dyDescent="0.25">
      <c r="A5181" s="2" t="s">
        <v>33896</v>
      </c>
      <c r="B5181" s="2">
        <v>647.23618526777898</v>
      </c>
      <c r="C5181" s="2">
        <v>8.74888333333333</v>
      </c>
      <c r="D5181" s="2" t="s">
        <v>51</v>
      </c>
      <c r="E5181" s="2" t="s">
        <v>33897</v>
      </c>
      <c r="F5181" s="2">
        <v>34283</v>
      </c>
      <c r="G5181" s="3" t="str">
        <f>HYPERLINK("https://cloud.oebiotech.com/#/lm/network/34283", "https://cloud.oebiotech.com/#/lm/network/34283")</f>
        <v>https://cloud.oebiotech.com/#/lm/network/34283</v>
      </c>
      <c r="H5181" s="2"/>
      <c r="I5181" s="2"/>
      <c r="J5181" s="2" t="s">
        <v>33898</v>
      </c>
      <c r="K5181" s="2">
        <v>42607839</v>
      </c>
      <c r="L5181" s="2"/>
      <c r="M5181" s="2"/>
      <c r="N5181" s="2"/>
      <c r="O5181" s="2"/>
      <c r="P5181" s="2"/>
      <c r="Q5181" s="2"/>
      <c r="R5181" s="2"/>
      <c r="S5181" s="2" t="s">
        <v>33899</v>
      </c>
      <c r="T5181" s="2" t="s">
        <v>33900</v>
      </c>
      <c r="U5181" s="2" t="s">
        <v>540</v>
      </c>
      <c r="V5181" s="2" t="s">
        <v>541</v>
      </c>
      <c r="W5181" s="2" t="s">
        <v>542</v>
      </c>
      <c r="X5181" s="2" t="s">
        <v>147</v>
      </c>
      <c r="Y5181" s="2">
        <v>40.200000000000003</v>
      </c>
      <c r="Z5181" s="2">
        <v>11.7</v>
      </c>
      <c r="AA5181" s="2" t="s">
        <v>218</v>
      </c>
      <c r="AB5181" s="2" t="s">
        <v>33901</v>
      </c>
      <c r="AC5181" s="2">
        <v>2.7493266767736202</v>
      </c>
      <c r="AD5181" s="2"/>
      <c r="AE5181" s="2">
        <v>4.6177793238787603E-2</v>
      </c>
      <c r="AF5181" s="2">
        <v>1838.0362666921301</v>
      </c>
      <c r="AG5181" s="2">
        <v>2005.2183785813199</v>
      </c>
      <c r="AH5181" s="4">
        <v>0.91662648134739899</v>
      </c>
      <c r="AI5181" s="4">
        <v>-0.125594129100188</v>
      </c>
      <c r="AJ5181" s="4" t="s">
        <v>62</v>
      </c>
      <c r="AK5181" s="2">
        <v>0.92222637926109496</v>
      </c>
      <c r="AL5181" s="2">
        <v>0.96642820875674595</v>
      </c>
      <c r="AM5181" s="2">
        <v>275.49323663093099</v>
      </c>
      <c r="AN5181" s="2">
        <v>3220.19174890564</v>
      </c>
      <c r="AO5181" s="2">
        <v>754.18915240449496</v>
      </c>
      <c r="AP5181" s="2">
        <v>5700.0079880691001</v>
      </c>
      <c r="AQ5181" s="2">
        <v>733.36604164068899</v>
      </c>
      <c r="AR5181" s="2">
        <v>344.96943250190498</v>
      </c>
      <c r="AS5181" s="2">
        <v>8413.9602966765797</v>
      </c>
      <c r="AT5181" s="2">
        <v>3617.3499405717998</v>
      </c>
      <c r="AU5181" s="2">
        <v>8.559877937157E-6</v>
      </c>
      <c r="AV5181" s="2">
        <v>8.559877937157E-6</v>
      </c>
      <c r="AW5181" s="2">
        <v>8.559877937157E-6</v>
      </c>
      <c r="AX5181" s="2">
        <v>8.559877937157E-6</v>
      </c>
    </row>
    <row r="5182" spans="1:50" x14ac:dyDescent="0.25">
      <c r="A5182" s="2" t="s">
        <v>33902</v>
      </c>
      <c r="B5182" s="2">
        <v>290.96503131213001</v>
      </c>
      <c r="C5182" s="2">
        <v>6.7341333333333298</v>
      </c>
      <c r="D5182" s="2" t="s">
        <v>51</v>
      </c>
      <c r="E5182" s="2" t="s">
        <v>33903</v>
      </c>
      <c r="F5182" s="2">
        <v>63075</v>
      </c>
      <c r="G5182" s="3" t="str">
        <f>HYPERLINK("https://cloud.oebiotech.com/#/lm/network/63075", "https://cloud.oebiotech.com/#/lm/network/63075")</f>
        <v>https://cloud.oebiotech.com/#/lm/network/63075</v>
      </c>
      <c r="H5182" s="2" t="s">
        <v>33904</v>
      </c>
      <c r="I5182" s="2">
        <v>94376</v>
      </c>
      <c r="J5182" s="2"/>
      <c r="K5182" s="2">
        <v>22572175</v>
      </c>
      <c r="L5182" s="2"/>
      <c r="M5182" s="2"/>
      <c r="N5182" s="2"/>
      <c r="O5182" s="2"/>
      <c r="P5182" s="2"/>
      <c r="Q5182" s="2"/>
      <c r="R5182" s="2" t="s">
        <v>33905</v>
      </c>
      <c r="S5182" s="2" t="s">
        <v>33906</v>
      </c>
      <c r="T5182" s="2" t="s">
        <v>33907</v>
      </c>
      <c r="U5182" s="2" t="s">
        <v>103</v>
      </c>
      <c r="V5182" s="2" t="s">
        <v>7514</v>
      </c>
      <c r="W5182" s="2" t="s">
        <v>240</v>
      </c>
      <c r="X5182" s="2" t="s">
        <v>147</v>
      </c>
      <c r="Y5182" s="2">
        <v>38</v>
      </c>
      <c r="Z5182" s="2">
        <v>0</v>
      </c>
      <c r="AA5182" s="2" t="s">
        <v>478</v>
      </c>
      <c r="AB5182" s="2" t="s">
        <v>33908</v>
      </c>
      <c r="AC5182" s="2">
        <v>1.0073574058472601</v>
      </c>
      <c r="AD5182" s="2"/>
      <c r="AE5182" s="2">
        <v>4.6074403965942097E-2</v>
      </c>
      <c r="AF5182" s="2">
        <v>4031.95862657212</v>
      </c>
      <c r="AG5182" s="2">
        <v>4142.3914070519704</v>
      </c>
      <c r="AH5182" s="4">
        <v>0.97334081460968302</v>
      </c>
      <c r="AI5182" s="4">
        <v>-3.8983042754073403E-2</v>
      </c>
      <c r="AJ5182" s="4" t="s">
        <v>62</v>
      </c>
      <c r="AK5182" s="2">
        <v>0.73125777160522898</v>
      </c>
      <c r="AL5182" s="2">
        <v>0.87619950005733704</v>
      </c>
      <c r="AM5182" s="2">
        <v>3185.3429518919802</v>
      </c>
      <c r="AN5182" s="2">
        <v>3913.8821380967001</v>
      </c>
      <c r="AO5182" s="2">
        <v>4242.7745723222997</v>
      </c>
      <c r="AP5182" s="2">
        <v>4236.4740715757498</v>
      </c>
      <c r="AQ5182" s="2">
        <v>5183.8702596086696</v>
      </c>
      <c r="AR5182" s="2">
        <v>3429.4077659372902</v>
      </c>
      <c r="AS5182" s="2">
        <v>3709.0102310533198</v>
      </c>
      <c r="AT5182" s="2">
        <v>4299.6463307006097</v>
      </c>
      <c r="AU5182" s="2">
        <v>3881.15695072484</v>
      </c>
      <c r="AV5182" s="2">
        <v>4266.5912937494804</v>
      </c>
      <c r="AW5182" s="2">
        <v>4497.2188850109596</v>
      </c>
      <c r="AX5182" s="2">
        <v>4200.7247510726202</v>
      </c>
    </row>
    <row r="5183" spans="1:50" x14ac:dyDescent="0.25">
      <c r="A5183" s="2" t="s">
        <v>33909</v>
      </c>
      <c r="B5183" s="2">
        <v>185.117502176503</v>
      </c>
      <c r="C5183" s="2">
        <v>11.3173666666667</v>
      </c>
      <c r="D5183" s="2" t="s">
        <v>51</v>
      </c>
      <c r="E5183" s="2" t="s">
        <v>33910</v>
      </c>
      <c r="F5183" s="2">
        <v>1802</v>
      </c>
      <c r="G5183" s="3" t="str">
        <f>HYPERLINK("https://cloud.oebiotech.com/#/lm/network/1802", "https://cloud.oebiotech.com/#/lm/network/1802")</f>
        <v>https://cloud.oebiotech.com/#/lm/network/1802</v>
      </c>
      <c r="H5183" s="2"/>
      <c r="I5183" s="2">
        <v>35604</v>
      </c>
      <c r="J5183" s="2" t="s">
        <v>33911</v>
      </c>
      <c r="K5183" s="2">
        <v>5312802</v>
      </c>
      <c r="L5183" s="2"/>
      <c r="M5183" s="2"/>
      <c r="N5183" s="2"/>
      <c r="O5183" s="2">
        <v>78853</v>
      </c>
      <c r="P5183" s="2"/>
      <c r="Q5183" s="2"/>
      <c r="R5183" s="2"/>
      <c r="S5183" s="2" t="s">
        <v>33912</v>
      </c>
      <c r="T5183" s="2" t="s">
        <v>33913</v>
      </c>
      <c r="U5183" s="2" t="s">
        <v>103</v>
      </c>
      <c r="V5183" s="2" t="s">
        <v>377</v>
      </c>
      <c r="W5183" s="2" t="s">
        <v>378</v>
      </c>
      <c r="X5183" s="2" t="s">
        <v>147</v>
      </c>
      <c r="Y5183" s="2">
        <v>41.2</v>
      </c>
      <c r="Z5183" s="2">
        <v>16.100000000000001</v>
      </c>
      <c r="AA5183" s="2" t="s">
        <v>163</v>
      </c>
      <c r="AB5183" s="2" t="s">
        <v>5454</v>
      </c>
      <c r="AC5183" s="2">
        <v>-4.3832093053321497</v>
      </c>
      <c r="AD5183" s="2"/>
      <c r="AE5183" s="2">
        <v>4.6051047822730201E-2</v>
      </c>
      <c r="AF5183" s="2">
        <v>2430.3057868948399</v>
      </c>
      <c r="AG5183" s="2">
        <v>2641.7417968376599</v>
      </c>
      <c r="AH5183" s="4">
        <v>0.91996340815899602</v>
      </c>
      <c r="AI5183" s="4">
        <v>-0.120351616236653</v>
      </c>
      <c r="AJ5183" s="4" t="s">
        <v>62</v>
      </c>
      <c r="AK5183" s="2">
        <v>0.79914589885428799</v>
      </c>
      <c r="AL5183" s="2">
        <v>0.90954932814260703</v>
      </c>
      <c r="AM5183" s="2">
        <v>2060.2595436115998</v>
      </c>
      <c r="AN5183" s="2">
        <v>2381.1283480481502</v>
      </c>
      <c r="AO5183" s="2">
        <v>2290.0126153905599</v>
      </c>
      <c r="AP5183" s="2">
        <v>3357.1837388952499</v>
      </c>
      <c r="AQ5183" s="2">
        <v>3119.4534734061099</v>
      </c>
      <c r="AR5183" s="2">
        <v>1373.7970020174</v>
      </c>
      <c r="AS5183" s="2">
        <v>1722.16043202525</v>
      </c>
      <c r="AT5183" s="2">
        <v>3095.1671590119399</v>
      </c>
      <c r="AU5183" s="2">
        <v>944.19936783660103</v>
      </c>
      <c r="AV5183" s="2">
        <v>1138.54005964268</v>
      </c>
      <c r="AW5183" s="2">
        <v>3040.93068585738</v>
      </c>
      <c r="AX5183" s="2">
        <v>5909.4530766521102</v>
      </c>
    </row>
    <row r="5184" spans="1:50" x14ac:dyDescent="0.25">
      <c r="A5184" s="2" t="s">
        <v>33914</v>
      </c>
      <c r="B5184" s="2">
        <v>268.08672821494798</v>
      </c>
      <c r="C5184" s="2">
        <v>5.2228500000000002</v>
      </c>
      <c r="D5184" s="2" t="s">
        <v>51</v>
      </c>
      <c r="E5184" s="2" t="s">
        <v>33915</v>
      </c>
      <c r="F5184" s="2">
        <v>206103</v>
      </c>
      <c r="G5184" s="3" t="str">
        <f>HYPERLINK("https://cloud.oebiotech.com/#/lm/network/206103", "https://cloud.oebiotech.com/#/lm/network/206103")</f>
        <v>https://cloud.oebiotech.com/#/lm/network/206103</v>
      </c>
      <c r="H5184" s="2" t="s">
        <v>33916</v>
      </c>
      <c r="I5184" s="2">
        <v>346847</v>
      </c>
      <c r="J5184" s="2"/>
      <c r="K5184" s="2">
        <v>17885</v>
      </c>
      <c r="L5184" s="2"/>
      <c r="M5184" s="2"/>
      <c r="N5184" s="2"/>
      <c r="O5184" s="2"/>
      <c r="P5184" s="2"/>
      <c r="Q5184" s="2"/>
      <c r="R5184" s="2"/>
      <c r="S5184" s="2" t="s">
        <v>33917</v>
      </c>
      <c r="T5184" s="2" t="s">
        <v>33918</v>
      </c>
      <c r="U5184" s="2" t="s">
        <v>610</v>
      </c>
      <c r="V5184" s="2" t="s">
        <v>9240</v>
      </c>
      <c r="W5184" s="2" t="s">
        <v>9633</v>
      </c>
      <c r="X5184" s="2" t="s">
        <v>83</v>
      </c>
      <c r="Y5184" s="2">
        <v>39.200000000000003</v>
      </c>
      <c r="Z5184" s="2">
        <v>0</v>
      </c>
      <c r="AA5184" s="2" t="s">
        <v>122</v>
      </c>
      <c r="AB5184" s="2" t="s">
        <v>33919</v>
      </c>
      <c r="AC5184" s="2">
        <v>7.2210803578451097</v>
      </c>
      <c r="AD5184" s="2"/>
      <c r="AE5184" s="2">
        <v>4.6002750340665699E-2</v>
      </c>
      <c r="AF5184" s="2">
        <v>691.89135472061196</v>
      </c>
      <c r="AG5184" s="2">
        <v>601.19057798960603</v>
      </c>
      <c r="AH5184" s="5">
        <v>1.15086859317442</v>
      </c>
      <c r="AI5184" s="5">
        <v>0.20272311513967201</v>
      </c>
      <c r="AJ5184" s="5" t="s">
        <v>139</v>
      </c>
      <c r="AK5184" s="2">
        <v>0.71681265879321099</v>
      </c>
      <c r="AL5184" s="2">
        <v>0.867274659721886</v>
      </c>
      <c r="AM5184" s="2">
        <v>755.32083994133598</v>
      </c>
      <c r="AN5184" s="2">
        <v>941.84938418649597</v>
      </c>
      <c r="AO5184" s="2">
        <v>875.11748865069399</v>
      </c>
      <c r="AP5184" s="2">
        <v>367.119565296524</v>
      </c>
      <c r="AQ5184" s="2">
        <v>673.20639945701498</v>
      </c>
      <c r="AR5184" s="2">
        <v>538.73445079160604</v>
      </c>
      <c r="AS5184" s="2">
        <v>452.72567881083302</v>
      </c>
      <c r="AT5184" s="2">
        <v>264.258034547948</v>
      </c>
      <c r="AU5184" s="2">
        <v>1711.0734752357801</v>
      </c>
      <c r="AV5184" s="2">
        <v>233.26381868254001</v>
      </c>
      <c r="AW5184" s="2">
        <v>412.68885175679799</v>
      </c>
      <c r="AX5184" s="2">
        <v>533.13360890373895</v>
      </c>
    </row>
    <row r="5185" spans="1:50" x14ac:dyDescent="0.25">
      <c r="A5185" s="2" t="s">
        <v>33920</v>
      </c>
      <c r="B5185" s="2">
        <v>298.311335691301</v>
      </c>
      <c r="C5185" s="2">
        <v>14.7495166666667</v>
      </c>
      <c r="D5185" s="2" t="s">
        <v>51</v>
      </c>
      <c r="E5185" s="2" t="s">
        <v>33921</v>
      </c>
      <c r="F5185" s="2">
        <v>6705</v>
      </c>
      <c r="G5185" s="3" t="str">
        <f>HYPERLINK("https://cloud.oebiotech.com/#/lm/network/6705", "https://cloud.oebiotech.com/#/lm/network/6705")</f>
        <v>https://cloud.oebiotech.com/#/lm/network/6705</v>
      </c>
      <c r="H5185" s="2"/>
      <c r="I5185" s="2">
        <v>46531</v>
      </c>
      <c r="J5185" s="2" t="s">
        <v>33922</v>
      </c>
      <c r="K5185" s="2">
        <v>44256591</v>
      </c>
      <c r="L5185" s="2"/>
      <c r="M5185" s="2"/>
      <c r="N5185" s="2"/>
      <c r="O5185" s="2"/>
      <c r="P5185" s="2"/>
      <c r="Q5185" s="2"/>
      <c r="R5185" s="2"/>
      <c r="S5185" s="2" t="s">
        <v>33923</v>
      </c>
      <c r="T5185" s="2" t="s">
        <v>33924</v>
      </c>
      <c r="U5185" s="2" t="s">
        <v>56</v>
      </c>
      <c r="V5185" s="2" t="s">
        <v>145</v>
      </c>
      <c r="W5185" s="2" t="s">
        <v>1543</v>
      </c>
      <c r="X5185" s="2" t="s">
        <v>147</v>
      </c>
      <c r="Y5185" s="2">
        <v>39.4</v>
      </c>
      <c r="Z5185" s="2">
        <v>6.37</v>
      </c>
      <c r="AA5185" s="2" t="s">
        <v>512</v>
      </c>
      <c r="AB5185" s="2" t="s">
        <v>33925</v>
      </c>
      <c r="AC5185" s="2">
        <v>3.1910875562701499</v>
      </c>
      <c r="AD5185" s="2"/>
      <c r="AE5185" s="2">
        <v>4.5973556971870499E-2</v>
      </c>
      <c r="AF5185" s="2">
        <v>2770.4424095076502</v>
      </c>
      <c r="AG5185" s="2">
        <v>2960.2862838753299</v>
      </c>
      <c r="AH5185" s="4">
        <v>0.93586975847513199</v>
      </c>
      <c r="AI5185" s="4">
        <v>-9.5620325629994604E-2</v>
      </c>
      <c r="AJ5185" s="4" t="s">
        <v>62</v>
      </c>
      <c r="AK5185" s="2">
        <v>0.36085005362436101</v>
      </c>
      <c r="AL5185" s="2">
        <v>0.64548561867063303</v>
      </c>
      <c r="AM5185" s="2">
        <v>2919.1982117866901</v>
      </c>
      <c r="AN5185" s="2">
        <v>2947.81940794409</v>
      </c>
      <c r="AO5185" s="2">
        <v>2671.3499039304802</v>
      </c>
      <c r="AP5185" s="2">
        <v>2461.8641569936799</v>
      </c>
      <c r="AQ5185" s="2">
        <v>3370.23727921403</v>
      </c>
      <c r="AR5185" s="2">
        <v>2252.1854971769199</v>
      </c>
      <c r="AS5185" s="2">
        <v>3387.2762330144701</v>
      </c>
      <c r="AT5185" s="2">
        <v>2910.67117411547</v>
      </c>
      <c r="AU5185" s="2">
        <v>3070.3534056930698</v>
      </c>
      <c r="AV5185" s="2">
        <v>2932.6528300712898</v>
      </c>
      <c r="AW5185" s="2">
        <v>2941.0680778103801</v>
      </c>
      <c r="AX5185" s="2">
        <v>2519.69598254728</v>
      </c>
    </row>
    <row r="5186" spans="1:50" x14ac:dyDescent="0.25">
      <c r="A5186" s="2" t="s">
        <v>33926</v>
      </c>
      <c r="B5186" s="2">
        <v>295.108</v>
      </c>
      <c r="C5186" s="2">
        <v>25.169</v>
      </c>
      <c r="D5186" s="2" t="s">
        <v>125</v>
      </c>
      <c r="E5186" s="2" t="s">
        <v>33927</v>
      </c>
      <c r="F5186" s="2">
        <v>266468</v>
      </c>
      <c r="G5186" s="3" t="str">
        <f>HYPERLINK("https://cloud.oebiotech.com/#/lm/network/266468", "https://cloud.oebiotech.com/#/lm/network/266468")</f>
        <v>https://cloud.oebiotech.com/#/lm/network/266468</v>
      </c>
      <c r="H5186" s="2"/>
      <c r="I5186" s="2">
        <v>43268</v>
      </c>
      <c r="J5186" s="2"/>
      <c r="K5186" s="2">
        <v>5284595</v>
      </c>
      <c r="L5186" s="2" t="s">
        <v>33928</v>
      </c>
      <c r="M5186" s="2"/>
      <c r="N5186" s="2"/>
      <c r="O5186" s="2"/>
      <c r="P5186" s="2"/>
      <c r="Q5186" s="2"/>
      <c r="R5186" s="2"/>
      <c r="S5186" s="2" t="s">
        <v>33929</v>
      </c>
      <c r="T5186" s="2" t="s">
        <v>33930</v>
      </c>
      <c r="U5186" s="2" t="s">
        <v>238</v>
      </c>
      <c r="V5186" s="2" t="s">
        <v>15139</v>
      </c>
      <c r="W5186" s="2" t="s">
        <v>240</v>
      </c>
      <c r="X5186" s="2" t="s">
        <v>59</v>
      </c>
      <c r="Y5186" s="2">
        <v>72</v>
      </c>
      <c r="Z5186" s="2">
        <v>53.6</v>
      </c>
      <c r="AA5186" s="2"/>
      <c r="AB5186" s="2" t="s">
        <v>12794</v>
      </c>
      <c r="AC5186" s="2"/>
      <c r="AD5186" s="2">
        <v>929593.38792221097</v>
      </c>
      <c r="AE5186" s="2">
        <v>4.5965609669374997E-2</v>
      </c>
      <c r="AF5186" s="2">
        <v>7477.7954001770204</v>
      </c>
      <c r="AG5186" s="2">
        <v>9121.2621569792791</v>
      </c>
      <c r="AH5186" s="4">
        <v>0.81982024762387395</v>
      </c>
      <c r="AI5186" s="4">
        <v>-0.28662047331449098</v>
      </c>
      <c r="AJ5186" s="4" t="s">
        <v>62</v>
      </c>
      <c r="AK5186" s="2">
        <v>0.66533106960729005</v>
      </c>
      <c r="AL5186" s="2">
        <v>0.83794453972390304</v>
      </c>
      <c r="AM5186" s="2">
        <v>9339.3843871114404</v>
      </c>
      <c r="AN5186" s="2">
        <v>6499.3393528771903</v>
      </c>
      <c r="AO5186" s="2">
        <v>6372.1796922694703</v>
      </c>
      <c r="AP5186" s="2">
        <v>7023.1926317028901</v>
      </c>
      <c r="AQ5186" s="2">
        <v>10199.3647497331</v>
      </c>
      <c r="AR5186" s="2">
        <v>5433.3115873680599</v>
      </c>
      <c r="AS5186" s="2">
        <v>4796.58057174231</v>
      </c>
      <c r="AT5186" s="2">
        <v>2299.8352172700202</v>
      </c>
      <c r="AU5186" s="2">
        <v>26657.082459984598</v>
      </c>
      <c r="AV5186" s="2">
        <v>8638.3154062376507</v>
      </c>
      <c r="AW5186" s="2">
        <v>5936.4774430098696</v>
      </c>
      <c r="AX5186" s="2">
        <v>6399.28184363123</v>
      </c>
    </row>
    <row r="5187" spans="1:50" x14ac:dyDescent="0.25">
      <c r="A5187" s="2" t="s">
        <v>33931</v>
      </c>
      <c r="B5187" s="2">
        <v>263.08159999999998</v>
      </c>
      <c r="C5187" s="2">
        <v>12.22</v>
      </c>
      <c r="D5187" s="2" t="s">
        <v>125</v>
      </c>
      <c r="E5187" s="2" t="s">
        <v>33932</v>
      </c>
      <c r="F5187" s="2">
        <v>47003</v>
      </c>
      <c r="G5187" s="3" t="str">
        <f>HYPERLINK("https://cloud.oebiotech.com/#/lm/network/47003", "https://cloud.oebiotech.com/#/lm/network/47003")</f>
        <v>https://cloud.oebiotech.com/#/lm/network/47003</v>
      </c>
      <c r="H5187" s="2" t="s">
        <v>33933</v>
      </c>
      <c r="I5187" s="2">
        <v>5338</v>
      </c>
      <c r="J5187" s="2"/>
      <c r="K5187" s="2">
        <v>5325915</v>
      </c>
      <c r="L5187" s="2"/>
      <c r="M5187" s="2"/>
      <c r="N5187" s="2"/>
      <c r="O5187" s="2">
        <v>87625</v>
      </c>
      <c r="P5187" s="2"/>
      <c r="Q5187" s="2"/>
      <c r="R5187" s="2" t="s">
        <v>33934</v>
      </c>
      <c r="S5187" s="2" t="s">
        <v>33935</v>
      </c>
      <c r="T5187" s="2" t="s">
        <v>33936</v>
      </c>
      <c r="U5187" s="2" t="s">
        <v>266</v>
      </c>
      <c r="V5187" s="2" t="s">
        <v>3994</v>
      </c>
      <c r="W5187" s="2" t="s">
        <v>3995</v>
      </c>
      <c r="X5187" s="2" t="s">
        <v>59</v>
      </c>
      <c r="Y5187" s="2">
        <v>75.900000000000006</v>
      </c>
      <c r="Z5187" s="2">
        <v>59.9</v>
      </c>
      <c r="AA5187" s="2"/>
      <c r="AB5187" s="2" t="s">
        <v>3416</v>
      </c>
      <c r="AC5187" s="2"/>
      <c r="AD5187" s="2">
        <v>412900.96140571102</v>
      </c>
      <c r="AE5187" s="2">
        <v>4.5900534279834898E-2</v>
      </c>
      <c r="AF5187" s="2">
        <v>11903.0638357793</v>
      </c>
      <c r="AG5187" s="2">
        <v>10440.366858560599</v>
      </c>
      <c r="AH5187" s="5">
        <v>1.14010015136771</v>
      </c>
      <c r="AI5187" s="5">
        <v>0.18916056257871899</v>
      </c>
      <c r="AJ5187" s="5" t="s">
        <v>139</v>
      </c>
      <c r="AK5187" s="2">
        <v>0.40952585412488002</v>
      </c>
      <c r="AL5187" s="2">
        <v>0.67518883530669505</v>
      </c>
      <c r="AM5187" s="2">
        <v>16796.8507840848</v>
      </c>
      <c r="AN5187" s="2">
        <v>10605.837295490899</v>
      </c>
      <c r="AO5187" s="2">
        <v>11361.002598224401</v>
      </c>
      <c r="AP5187" s="2">
        <v>10829.8073284901</v>
      </c>
      <c r="AQ5187" s="2">
        <v>7534.82475150959</v>
      </c>
      <c r="AR5187" s="2">
        <v>14290.060256876301</v>
      </c>
      <c r="AS5187" s="2">
        <v>8542.9743909158205</v>
      </c>
      <c r="AT5187" s="2">
        <v>7946.4682758116396</v>
      </c>
      <c r="AU5187" s="2">
        <v>14794.580806477899</v>
      </c>
      <c r="AV5187" s="2">
        <v>12395.669282306701</v>
      </c>
      <c r="AW5187" s="2">
        <v>9886.1098294470394</v>
      </c>
      <c r="AX5187" s="2">
        <v>9076.3985664046195</v>
      </c>
    </row>
    <row r="5188" spans="1:50" x14ac:dyDescent="0.25">
      <c r="A5188" s="2" t="s">
        <v>33937</v>
      </c>
      <c r="B5188" s="2">
        <v>1012.47349879949</v>
      </c>
      <c r="C5188" s="2">
        <v>4.8042499999999997</v>
      </c>
      <c r="D5188" s="2" t="s">
        <v>51</v>
      </c>
      <c r="E5188" s="2" t="s">
        <v>33938</v>
      </c>
      <c r="F5188" s="2">
        <v>244003</v>
      </c>
      <c r="G5188" s="3" t="str">
        <f>HYPERLINK("https://cloud.oebiotech.com/#/lm/network/244003", "https://cloud.oebiotech.com/#/lm/network/244003")</f>
        <v>https://cloud.oebiotech.com/#/lm/network/244003</v>
      </c>
      <c r="H5188" s="2" t="s">
        <v>33939</v>
      </c>
      <c r="I5188" s="2"/>
      <c r="J5188" s="2"/>
      <c r="K5188" s="2"/>
      <c r="L5188" s="2"/>
      <c r="M5188" s="2"/>
      <c r="N5188" s="2"/>
      <c r="O5188" s="2"/>
      <c r="P5188" s="2"/>
      <c r="Q5188" s="2"/>
      <c r="R5188" s="2"/>
      <c r="S5188" s="2" t="s">
        <v>33940</v>
      </c>
      <c r="T5188" s="2" t="s">
        <v>33941</v>
      </c>
      <c r="U5188" s="2" t="s">
        <v>56</v>
      </c>
      <c r="V5188" s="2" t="s">
        <v>57</v>
      </c>
      <c r="W5188" s="2" t="s">
        <v>3605</v>
      </c>
      <c r="X5188" s="2" t="s">
        <v>147</v>
      </c>
      <c r="Y5188" s="2">
        <v>38.799999999999997</v>
      </c>
      <c r="Z5188" s="2">
        <v>26.4</v>
      </c>
      <c r="AA5188" s="2" t="s">
        <v>379</v>
      </c>
      <c r="AB5188" s="2" t="s">
        <v>33942</v>
      </c>
      <c r="AC5188" s="2">
        <v>2.7810093046438702</v>
      </c>
      <c r="AD5188" s="2"/>
      <c r="AE5188" s="2">
        <v>4.5796898069806802E-2</v>
      </c>
      <c r="AF5188" s="2">
        <v>4138.31553999471</v>
      </c>
      <c r="AG5188" s="2">
        <v>3383.1353408355999</v>
      </c>
      <c r="AH5188" s="5">
        <v>1.2232190329614701</v>
      </c>
      <c r="AI5188" s="5">
        <v>0.29068275993554299</v>
      </c>
      <c r="AJ5188" s="5" t="s">
        <v>139</v>
      </c>
      <c r="AK5188" s="2">
        <v>0.70670058253567802</v>
      </c>
      <c r="AL5188" s="2">
        <v>0.859946988832613</v>
      </c>
      <c r="AM5188" s="2">
        <v>8.559877937157E-6</v>
      </c>
      <c r="AN5188" s="2">
        <v>3821.4291133638799</v>
      </c>
      <c r="AO5188" s="2">
        <v>6305.3701105332102</v>
      </c>
      <c r="AP5188" s="2">
        <v>1854.7093680220801</v>
      </c>
      <c r="AQ5188" s="2">
        <v>9424.2312483944097</v>
      </c>
      <c r="AR5188" s="2">
        <v>3424.1533910947901</v>
      </c>
      <c r="AS5188" s="2">
        <v>8.559877937157E-6</v>
      </c>
      <c r="AT5188" s="2">
        <v>5147.1458543474901</v>
      </c>
      <c r="AU5188" s="2">
        <v>8.559877937157E-6</v>
      </c>
      <c r="AV5188" s="2">
        <v>4966.7333507445401</v>
      </c>
      <c r="AW5188" s="2">
        <v>1616.9574109697601</v>
      </c>
      <c r="AX5188" s="2">
        <v>8567.9754118320307</v>
      </c>
    </row>
    <row r="5189" spans="1:50" x14ac:dyDescent="0.25">
      <c r="A5189" s="2" t="s">
        <v>33943</v>
      </c>
      <c r="B5189" s="2">
        <v>427.10982339466699</v>
      </c>
      <c r="C5189" s="2">
        <v>0.74455000000000005</v>
      </c>
      <c r="D5189" s="2" t="s">
        <v>51</v>
      </c>
      <c r="E5189" s="2" t="s">
        <v>33944</v>
      </c>
      <c r="F5189" s="2">
        <v>53358</v>
      </c>
      <c r="G5189" s="3" t="str">
        <f>HYPERLINK("https://cloud.oebiotech.com/#/lm/network/53358", "https://cloud.oebiotech.com/#/lm/network/53358")</f>
        <v>https://cloud.oebiotech.com/#/lm/network/53358</v>
      </c>
      <c r="H5189" s="2" t="s">
        <v>33945</v>
      </c>
      <c r="I5189" s="2">
        <v>521</v>
      </c>
      <c r="J5189" s="2"/>
      <c r="K5189" s="2">
        <v>5342</v>
      </c>
      <c r="L5189" s="2" t="s">
        <v>33946</v>
      </c>
      <c r="M5189" s="2"/>
      <c r="N5189" s="2"/>
      <c r="O5189" s="2">
        <v>9342</v>
      </c>
      <c r="P5189" s="2"/>
      <c r="Q5189" s="2"/>
      <c r="R5189" s="2" t="s">
        <v>33947</v>
      </c>
      <c r="S5189" s="2" t="s">
        <v>33948</v>
      </c>
      <c r="T5189" s="2" t="s">
        <v>33949</v>
      </c>
      <c r="U5189" s="2" t="s">
        <v>610</v>
      </c>
      <c r="V5189" s="2" t="s">
        <v>611</v>
      </c>
      <c r="W5189" s="2" t="s">
        <v>33950</v>
      </c>
      <c r="X5189" s="2" t="s">
        <v>147</v>
      </c>
      <c r="Y5189" s="2">
        <v>36</v>
      </c>
      <c r="Z5189" s="2">
        <v>0</v>
      </c>
      <c r="AA5189" s="2" t="s">
        <v>95</v>
      </c>
      <c r="AB5189" s="2" t="s">
        <v>33951</v>
      </c>
      <c r="AC5189" s="2">
        <v>2.8189807464131</v>
      </c>
      <c r="AD5189" s="2"/>
      <c r="AE5189" s="2">
        <v>4.5730962056274103E-2</v>
      </c>
      <c r="AF5189" s="2">
        <v>48433.089756275702</v>
      </c>
      <c r="AG5189" s="2">
        <v>66827.110600747896</v>
      </c>
      <c r="AH5189" s="4">
        <v>0.72475211513534599</v>
      </c>
      <c r="AI5189" s="4">
        <v>-0.46444045619597002</v>
      </c>
      <c r="AJ5189" s="4" t="s">
        <v>62</v>
      </c>
      <c r="AK5189" s="2">
        <v>0.74184501685377602</v>
      </c>
      <c r="AL5189" s="2">
        <v>0.88190791048193196</v>
      </c>
      <c r="AM5189" s="2">
        <v>8.559877937157E-6</v>
      </c>
      <c r="AN5189" s="2">
        <v>138962.03101991201</v>
      </c>
      <c r="AO5189" s="2">
        <v>69448.581837556601</v>
      </c>
      <c r="AP5189" s="2">
        <v>26902.913263951301</v>
      </c>
      <c r="AQ5189" s="2">
        <v>53235.955117839498</v>
      </c>
      <c r="AR5189" s="2">
        <v>2049.0572898350301</v>
      </c>
      <c r="AS5189" s="2">
        <v>8.559877937157E-6</v>
      </c>
      <c r="AT5189" s="2">
        <v>308737.67927711899</v>
      </c>
      <c r="AU5189" s="2">
        <v>8750.5573682376307</v>
      </c>
      <c r="AV5189" s="2">
        <v>4467.5513147818701</v>
      </c>
      <c r="AW5189" s="2">
        <v>8.559877937157E-6</v>
      </c>
      <c r="AX5189" s="2">
        <v>79006.875627229194</v>
      </c>
    </row>
    <row r="5190" spans="1:50" x14ac:dyDescent="0.25">
      <c r="A5190" s="2" t="s">
        <v>33952</v>
      </c>
      <c r="B5190" s="2">
        <v>407.15730762600401</v>
      </c>
      <c r="C5190" s="2">
        <v>3.8612500000000001</v>
      </c>
      <c r="D5190" s="2" t="s">
        <v>51</v>
      </c>
      <c r="E5190" s="2" t="s">
        <v>33953</v>
      </c>
      <c r="F5190" s="2">
        <v>262385</v>
      </c>
      <c r="G5190" s="3" t="str">
        <f>HYPERLINK("https://cloud.oebiotech.com/#/lm/network/262385", "https://cloud.oebiotech.com/#/lm/network/262385")</f>
        <v>https://cloud.oebiotech.com/#/lm/network/262385</v>
      </c>
      <c r="H5190" s="2"/>
      <c r="I5190" s="2">
        <v>19744</v>
      </c>
      <c r="J5190" s="2"/>
      <c r="K5190" s="2">
        <v>102403413</v>
      </c>
      <c r="L5190" s="2"/>
      <c r="M5190" s="2"/>
      <c r="N5190" s="2"/>
      <c r="O5190" s="2"/>
      <c r="P5190" s="2"/>
      <c r="Q5190" s="2"/>
      <c r="R5190" s="2"/>
      <c r="S5190" s="2" t="s">
        <v>33954</v>
      </c>
      <c r="T5190" s="2" t="s">
        <v>33955</v>
      </c>
      <c r="U5190" s="2" t="s">
        <v>103</v>
      </c>
      <c r="V5190" s="2" t="s">
        <v>104</v>
      </c>
      <c r="W5190" s="2" t="s">
        <v>105</v>
      </c>
      <c r="X5190" s="2" t="s">
        <v>83</v>
      </c>
      <c r="Y5190" s="2">
        <v>41.5</v>
      </c>
      <c r="Z5190" s="2">
        <v>0</v>
      </c>
      <c r="AA5190" s="2" t="s">
        <v>218</v>
      </c>
      <c r="AB5190" s="2" t="s">
        <v>33956</v>
      </c>
      <c r="AC5190" s="2">
        <v>0.234519809182652</v>
      </c>
      <c r="AD5190" s="2"/>
      <c r="AE5190" s="2">
        <v>4.5647067678154303E-2</v>
      </c>
      <c r="AF5190" s="2">
        <v>15972.231661649301</v>
      </c>
      <c r="AG5190" s="2">
        <v>13104.045352839699</v>
      </c>
      <c r="AH5190" s="5">
        <v>1.2188779290349501</v>
      </c>
      <c r="AI5190" s="5">
        <v>0.28555364688149298</v>
      </c>
      <c r="AJ5190" s="5" t="s">
        <v>139</v>
      </c>
      <c r="AK5190" s="2">
        <v>0.83557811105831603</v>
      </c>
      <c r="AL5190" s="2">
        <v>0.92777767820333401</v>
      </c>
      <c r="AM5190" s="2">
        <v>27077.609156880801</v>
      </c>
      <c r="AN5190" s="2">
        <v>507.55005449571797</v>
      </c>
      <c r="AO5190" s="2">
        <v>4.5105069368842701</v>
      </c>
      <c r="AP5190" s="2">
        <v>22.967518045218799</v>
      </c>
      <c r="AQ5190" s="2">
        <v>41664.279645954703</v>
      </c>
      <c r="AR5190" s="2">
        <v>26556.473087582701</v>
      </c>
      <c r="AS5190" s="2">
        <v>8.559877937157E-6</v>
      </c>
      <c r="AT5190" s="2">
        <v>77.127464140358597</v>
      </c>
      <c r="AU5190" s="2">
        <v>530.777327197099</v>
      </c>
      <c r="AV5190" s="2">
        <v>68846.133972599302</v>
      </c>
      <c r="AW5190" s="2">
        <v>8.559877937157E-6</v>
      </c>
      <c r="AX5190" s="2">
        <v>9170.2333359819204</v>
      </c>
    </row>
    <row r="5191" spans="1:50" x14ac:dyDescent="0.25">
      <c r="A5191" s="2" t="s">
        <v>33957</v>
      </c>
      <c r="B5191" s="2">
        <v>134.06047687808299</v>
      </c>
      <c r="C5191" s="2">
        <v>4.7703666666666704</v>
      </c>
      <c r="D5191" s="2" t="s">
        <v>51</v>
      </c>
      <c r="E5191" s="2" t="s">
        <v>33958</v>
      </c>
      <c r="F5191" s="2">
        <v>83419</v>
      </c>
      <c r="G5191" s="3" t="str">
        <f>HYPERLINK("https://cloud.oebiotech.com/#/lm/network/83419", "https://cloud.oebiotech.com/#/lm/network/83419")</f>
        <v>https://cloud.oebiotech.com/#/lm/network/83419</v>
      </c>
      <c r="H5191" s="2" t="s">
        <v>33959</v>
      </c>
      <c r="I5191" s="2">
        <v>34541</v>
      </c>
      <c r="J5191" s="2"/>
      <c r="K5191" s="2">
        <v>321710</v>
      </c>
      <c r="L5191" s="2" t="s">
        <v>33960</v>
      </c>
      <c r="M5191" s="2"/>
      <c r="N5191" s="2"/>
      <c r="O5191" s="2">
        <v>31697</v>
      </c>
      <c r="P5191" s="2" t="s">
        <v>9222</v>
      </c>
      <c r="Q5191" s="2" t="s">
        <v>9223</v>
      </c>
      <c r="R5191" s="2" t="s">
        <v>33961</v>
      </c>
      <c r="S5191" s="2" t="s">
        <v>33962</v>
      </c>
      <c r="T5191" s="2" t="s">
        <v>33963</v>
      </c>
      <c r="U5191" s="2" t="s">
        <v>266</v>
      </c>
      <c r="V5191" s="2" t="s">
        <v>445</v>
      </c>
      <c r="W5191" s="2" t="s">
        <v>8002</v>
      </c>
      <c r="X5191" s="2" t="s">
        <v>83</v>
      </c>
      <c r="Y5191" s="2">
        <v>42.3</v>
      </c>
      <c r="Z5191" s="2">
        <v>0</v>
      </c>
      <c r="AA5191" s="2" t="s">
        <v>259</v>
      </c>
      <c r="AB5191" s="2" t="s">
        <v>23299</v>
      </c>
      <c r="AC5191" s="2">
        <v>3.28138417016409</v>
      </c>
      <c r="AD5191" s="2"/>
      <c r="AE5191" s="2">
        <v>4.5640535411799299E-2</v>
      </c>
      <c r="AF5191" s="2">
        <v>791.46332048337604</v>
      </c>
      <c r="AG5191" s="2">
        <v>539.13664373512802</v>
      </c>
      <c r="AH5191" s="5">
        <v>1.4680198975163901</v>
      </c>
      <c r="AI5191" s="5">
        <v>0.55387152257737005</v>
      </c>
      <c r="AJ5191" s="5" t="s">
        <v>139</v>
      </c>
      <c r="AK5191" s="2">
        <v>0.44255283814674401</v>
      </c>
      <c r="AL5191" s="2">
        <v>0.69908803275019105</v>
      </c>
      <c r="AM5191" s="2">
        <v>379.39740186199498</v>
      </c>
      <c r="AN5191" s="2">
        <v>465.65070687921099</v>
      </c>
      <c r="AO5191" s="2">
        <v>338.03623893846498</v>
      </c>
      <c r="AP5191" s="2">
        <v>531.62681787950498</v>
      </c>
      <c r="AQ5191" s="2">
        <v>2328.66268891341</v>
      </c>
      <c r="AR5191" s="2">
        <v>705.40606842767102</v>
      </c>
      <c r="AS5191" s="2">
        <v>554.20435628948701</v>
      </c>
      <c r="AT5191" s="2">
        <v>715.33191515468604</v>
      </c>
      <c r="AU5191" s="2">
        <v>401.49456516489698</v>
      </c>
      <c r="AV5191" s="2">
        <v>473.34893577693703</v>
      </c>
      <c r="AW5191" s="2">
        <v>628.31309980729895</v>
      </c>
      <c r="AX5191" s="2">
        <v>462.12699021746403</v>
      </c>
    </row>
    <row r="5192" spans="1:50" x14ac:dyDescent="0.25">
      <c r="A5192" s="2" t="s">
        <v>33964</v>
      </c>
      <c r="B5192" s="2">
        <v>365.13075258411601</v>
      </c>
      <c r="C5192" s="2">
        <v>3.7574999999999998</v>
      </c>
      <c r="D5192" s="2" t="s">
        <v>51</v>
      </c>
      <c r="E5192" s="2" t="s">
        <v>33965</v>
      </c>
      <c r="F5192" s="2">
        <v>201766</v>
      </c>
      <c r="G5192" s="3" t="str">
        <f>HYPERLINK("https://cloud.oebiotech.com/#/lm/network/201766", "https://cloud.oebiotech.com/#/lm/network/201766")</f>
        <v>https://cloud.oebiotech.com/#/lm/network/201766</v>
      </c>
      <c r="H5192" s="2" t="s">
        <v>33966</v>
      </c>
      <c r="I5192" s="2">
        <v>44126</v>
      </c>
      <c r="J5192" s="2"/>
      <c r="K5192" s="2">
        <v>4654</v>
      </c>
      <c r="L5192" s="2" t="s">
        <v>33967</v>
      </c>
      <c r="M5192" s="2"/>
      <c r="N5192" s="2"/>
      <c r="O5192" s="2">
        <v>84060</v>
      </c>
      <c r="P5192" s="2"/>
      <c r="Q5192" s="2"/>
      <c r="R5192" s="2" t="s">
        <v>33968</v>
      </c>
      <c r="S5192" s="2" t="s">
        <v>33969</v>
      </c>
      <c r="T5192" s="2" t="s">
        <v>33970</v>
      </c>
      <c r="U5192" s="2" t="s">
        <v>103</v>
      </c>
      <c r="V5192" s="2" t="s">
        <v>104</v>
      </c>
      <c r="W5192" s="2" t="s">
        <v>105</v>
      </c>
      <c r="X5192" s="2" t="s">
        <v>147</v>
      </c>
      <c r="Y5192" s="2">
        <v>40.4</v>
      </c>
      <c r="Z5192" s="2">
        <v>7.84</v>
      </c>
      <c r="AA5192" s="2" t="s">
        <v>478</v>
      </c>
      <c r="AB5192" s="2" t="s">
        <v>33971</v>
      </c>
      <c r="AC5192" s="2">
        <v>-2.9621340201979498</v>
      </c>
      <c r="AD5192" s="2"/>
      <c r="AE5192" s="2">
        <v>4.5635135589949499E-2</v>
      </c>
      <c r="AF5192" s="2">
        <v>3205.2688671599699</v>
      </c>
      <c r="AG5192" s="2">
        <v>2926.29046324714</v>
      </c>
      <c r="AH5192" s="5">
        <v>1.095335171753</v>
      </c>
      <c r="AI5192" s="5">
        <v>0.13137240100022499</v>
      </c>
      <c r="AJ5192" s="5" t="s">
        <v>139</v>
      </c>
      <c r="AK5192" s="2">
        <v>0.79898245947604596</v>
      </c>
      <c r="AL5192" s="2">
        <v>0.90954932814260703</v>
      </c>
      <c r="AM5192" s="2">
        <v>4252.2966066062299</v>
      </c>
      <c r="AN5192" s="2">
        <v>3577.6140435414</v>
      </c>
      <c r="AO5192" s="2">
        <v>2134.2227603920801</v>
      </c>
      <c r="AP5192" s="2">
        <v>1785.12266924299</v>
      </c>
      <c r="AQ5192" s="2">
        <v>2876.9194088332702</v>
      </c>
      <c r="AR5192" s="2">
        <v>4605.4377143438596</v>
      </c>
      <c r="AS5192" s="2">
        <v>672.257089515237</v>
      </c>
      <c r="AT5192" s="2">
        <v>991.01178914023399</v>
      </c>
      <c r="AU5192" s="2">
        <v>4609.8413384335799</v>
      </c>
      <c r="AV5192" s="2">
        <v>6686.9102375695502</v>
      </c>
      <c r="AW5192" s="2">
        <v>1565.2647194219801</v>
      </c>
      <c r="AX5192" s="2">
        <v>3032.45760540226</v>
      </c>
    </row>
    <row r="5193" spans="1:50" x14ac:dyDescent="0.25">
      <c r="A5193" s="2" t="s">
        <v>33972</v>
      </c>
      <c r="B5193" s="2">
        <v>230.11432763549399</v>
      </c>
      <c r="C5193" s="2">
        <v>1.11228333333333</v>
      </c>
      <c r="D5193" s="2" t="s">
        <v>51</v>
      </c>
      <c r="E5193" s="2" t="s">
        <v>33973</v>
      </c>
      <c r="F5193" s="2">
        <v>53783</v>
      </c>
      <c r="G5193" s="3" t="str">
        <f>HYPERLINK("https://cloud.oebiotech.com/#/lm/network/53783", "https://cloud.oebiotech.com/#/lm/network/53783")</f>
        <v>https://cloud.oebiotech.com/#/lm/network/53783</v>
      </c>
      <c r="H5193" s="2" t="s">
        <v>33974</v>
      </c>
      <c r="I5193" s="2">
        <v>23904</v>
      </c>
      <c r="J5193" s="2"/>
      <c r="K5193" s="2">
        <v>18218188</v>
      </c>
      <c r="L5193" s="2"/>
      <c r="M5193" s="2"/>
      <c r="N5193" s="2"/>
      <c r="O5193" s="2"/>
      <c r="P5193" s="2"/>
      <c r="Q5193" s="2"/>
      <c r="R5193" s="2"/>
      <c r="S5193" s="2" t="s">
        <v>33975</v>
      </c>
      <c r="T5193" s="2" t="s">
        <v>33976</v>
      </c>
      <c r="U5193" s="2" t="s">
        <v>103</v>
      </c>
      <c r="V5193" s="2" t="s">
        <v>104</v>
      </c>
      <c r="W5193" s="2" t="s">
        <v>105</v>
      </c>
      <c r="X5193" s="2" t="s">
        <v>69</v>
      </c>
      <c r="Y5193" s="2">
        <v>49.9</v>
      </c>
      <c r="Z5193" s="2">
        <v>53.8</v>
      </c>
      <c r="AA5193" s="2" t="s">
        <v>163</v>
      </c>
      <c r="AB5193" s="2" t="s">
        <v>33977</v>
      </c>
      <c r="AC5193" s="2">
        <v>-1.3065413871990901</v>
      </c>
      <c r="AD5193" s="2"/>
      <c r="AE5193" s="2">
        <v>4.5587833097290198E-2</v>
      </c>
      <c r="AF5193" s="2">
        <v>1327.8718242713801</v>
      </c>
      <c r="AG5193" s="2">
        <v>1159.41316063</v>
      </c>
      <c r="AH5193" s="5">
        <v>1.1452964908125101</v>
      </c>
      <c r="AI5193" s="5">
        <v>0.19572112710242401</v>
      </c>
      <c r="AJ5193" s="5" t="s">
        <v>139</v>
      </c>
      <c r="AK5193" s="2">
        <v>0.72821939108278999</v>
      </c>
      <c r="AL5193" s="2">
        <v>0.87465881546804103</v>
      </c>
      <c r="AM5193" s="2">
        <v>2556.2818934342199</v>
      </c>
      <c r="AN5193" s="2">
        <v>808.17855431326802</v>
      </c>
      <c r="AO5193" s="2">
        <v>1239.79501249345</v>
      </c>
      <c r="AP5193" s="2">
        <v>718.65861110624803</v>
      </c>
      <c r="AQ5193" s="2">
        <v>1134.54575872342</v>
      </c>
      <c r="AR5193" s="2">
        <v>1509.7711155576501</v>
      </c>
      <c r="AS5193" s="2">
        <v>8.559877937157E-6</v>
      </c>
      <c r="AT5193" s="2">
        <v>117.048787097299</v>
      </c>
      <c r="AU5193" s="2">
        <v>1672.0133378877099</v>
      </c>
      <c r="AV5193" s="2">
        <v>2404.8906499213999</v>
      </c>
      <c r="AW5193" s="2">
        <v>1165.22909435112</v>
      </c>
      <c r="AX5193" s="2">
        <v>1597.2970859626</v>
      </c>
    </row>
    <row r="5194" spans="1:50" x14ac:dyDescent="0.25">
      <c r="A5194" s="2" t="s">
        <v>33978</v>
      </c>
      <c r="B5194" s="2">
        <v>350.20862539085198</v>
      </c>
      <c r="C5194" s="2">
        <v>4.2797999999999998</v>
      </c>
      <c r="D5194" s="2" t="s">
        <v>51</v>
      </c>
      <c r="E5194" s="2" t="s">
        <v>33979</v>
      </c>
      <c r="F5194" s="2">
        <v>261969</v>
      </c>
      <c r="G5194" s="3" t="str">
        <f>HYPERLINK("https://cloud.oebiotech.com/#/lm/network/261969", "https://cloud.oebiotech.com/#/lm/network/261969")</f>
        <v>https://cloud.oebiotech.com/#/lm/network/261969</v>
      </c>
      <c r="H5194" s="2"/>
      <c r="I5194" s="2">
        <v>19307</v>
      </c>
      <c r="J5194" s="2"/>
      <c r="K5194" s="2">
        <v>145457250</v>
      </c>
      <c r="L5194" s="2"/>
      <c r="M5194" s="2"/>
      <c r="N5194" s="2"/>
      <c r="O5194" s="2"/>
      <c r="P5194" s="2"/>
      <c r="Q5194" s="2"/>
      <c r="R5194" s="2"/>
      <c r="S5194" s="2" t="s">
        <v>33980</v>
      </c>
      <c r="T5194" s="2" t="s">
        <v>33981</v>
      </c>
      <c r="U5194" s="2" t="s">
        <v>103</v>
      </c>
      <c r="V5194" s="2" t="s">
        <v>104</v>
      </c>
      <c r="W5194" s="2" t="s">
        <v>105</v>
      </c>
      <c r="X5194" s="2" t="s">
        <v>69</v>
      </c>
      <c r="Y5194" s="2">
        <v>62.1</v>
      </c>
      <c r="Z5194" s="2">
        <v>76.7</v>
      </c>
      <c r="AA5194" s="2" t="s">
        <v>259</v>
      </c>
      <c r="AB5194" s="2" t="s">
        <v>33982</v>
      </c>
      <c r="AC5194" s="2">
        <v>3.4152342154678701</v>
      </c>
      <c r="AD5194" s="2"/>
      <c r="AE5194" s="2">
        <v>4.5564554156175698E-2</v>
      </c>
      <c r="AF5194" s="2">
        <v>1146.7454622272801</v>
      </c>
      <c r="AG5194" s="2">
        <v>1254.79728232094</v>
      </c>
      <c r="AH5194" s="4">
        <v>0.91388902285969298</v>
      </c>
      <c r="AI5194" s="4">
        <v>-0.12990911110373399</v>
      </c>
      <c r="AJ5194" s="4" t="s">
        <v>62</v>
      </c>
      <c r="AK5194" s="2">
        <v>0.93963303309535695</v>
      </c>
      <c r="AL5194" s="2">
        <v>0.97408788501608801</v>
      </c>
      <c r="AM5194" s="2">
        <v>8.559877937157E-6</v>
      </c>
      <c r="AN5194" s="2">
        <v>8.559877937157E-6</v>
      </c>
      <c r="AO5194" s="2">
        <v>285.07048341672402</v>
      </c>
      <c r="AP5194" s="2">
        <v>8.559877937157E-6</v>
      </c>
      <c r="AQ5194" s="2">
        <v>917.76160220897304</v>
      </c>
      <c r="AR5194" s="2">
        <v>5677.6406620583602</v>
      </c>
      <c r="AS5194" s="2">
        <v>6430.2244278538501</v>
      </c>
      <c r="AT5194" s="2">
        <v>941.13404229050195</v>
      </c>
      <c r="AU5194" s="2">
        <v>8.559877937157E-6</v>
      </c>
      <c r="AV5194" s="2">
        <v>8.559877937157E-6</v>
      </c>
      <c r="AW5194" s="2">
        <v>8.559877937157E-6</v>
      </c>
      <c r="AX5194" s="2">
        <v>157.42519810165601</v>
      </c>
    </row>
    <row r="5195" spans="1:50" x14ac:dyDescent="0.25">
      <c r="A5195" s="2" t="s">
        <v>33983</v>
      </c>
      <c r="B5195" s="2">
        <v>344.10765661381998</v>
      </c>
      <c r="C5195" s="2">
        <v>3.7296666666666698</v>
      </c>
      <c r="D5195" s="2" t="s">
        <v>51</v>
      </c>
      <c r="E5195" s="2" t="s">
        <v>33984</v>
      </c>
      <c r="F5195" s="2">
        <v>204210</v>
      </c>
      <c r="G5195" s="3" t="str">
        <f>HYPERLINK("https://cloud.oebiotech.com/#/lm/network/204210", "https://cloud.oebiotech.com/#/lm/network/204210")</f>
        <v>https://cloud.oebiotech.com/#/lm/network/204210</v>
      </c>
      <c r="H5195" s="2" t="s">
        <v>33985</v>
      </c>
      <c r="I5195" s="2"/>
      <c r="J5195" s="2"/>
      <c r="K5195" s="2"/>
      <c r="L5195" s="2"/>
      <c r="M5195" s="2"/>
      <c r="N5195" s="2"/>
      <c r="O5195" s="2"/>
      <c r="P5195" s="2"/>
      <c r="Q5195" s="2"/>
      <c r="R5195" s="2"/>
      <c r="S5195" s="2" t="s">
        <v>33986</v>
      </c>
      <c r="T5195" s="2" t="s">
        <v>33987</v>
      </c>
      <c r="U5195" s="2" t="s">
        <v>266</v>
      </c>
      <c r="V5195" s="2" t="s">
        <v>6107</v>
      </c>
      <c r="W5195" s="2" t="s">
        <v>240</v>
      </c>
      <c r="X5195" s="2" t="s">
        <v>147</v>
      </c>
      <c r="Y5195" s="2">
        <v>37.799999999999997</v>
      </c>
      <c r="Z5195" s="2">
        <v>7.07</v>
      </c>
      <c r="AA5195" s="2" t="s">
        <v>379</v>
      </c>
      <c r="AB5195" s="2" t="s">
        <v>33988</v>
      </c>
      <c r="AC5195" s="2">
        <v>0.60741491695271099</v>
      </c>
      <c r="AD5195" s="2"/>
      <c r="AE5195" s="2">
        <v>4.5563116491943598E-2</v>
      </c>
      <c r="AF5195" s="2">
        <v>4256.8895970898002</v>
      </c>
      <c r="AG5195" s="2">
        <v>3289.56672143894</v>
      </c>
      <c r="AH5195" s="5">
        <v>1.29405783726671</v>
      </c>
      <c r="AI5195" s="5">
        <v>0.37190209930348</v>
      </c>
      <c r="AJ5195" s="5" t="s">
        <v>139</v>
      </c>
      <c r="AK5195" s="2">
        <v>0.51856937653411295</v>
      </c>
      <c r="AL5195" s="2">
        <v>0.75026446765847998</v>
      </c>
      <c r="AM5195" s="2">
        <v>1661.89392954916</v>
      </c>
      <c r="AN5195" s="2">
        <v>428.67328710147399</v>
      </c>
      <c r="AO5195" s="2">
        <v>6189.9002776532097</v>
      </c>
      <c r="AP5195" s="2">
        <v>7808.2607981970696</v>
      </c>
      <c r="AQ5195" s="2">
        <v>4200.9487497693199</v>
      </c>
      <c r="AR5195" s="2">
        <v>5251.66054026859</v>
      </c>
      <c r="AS5195" s="2">
        <v>3828.8275835729301</v>
      </c>
      <c r="AT5195" s="2">
        <v>3382.54307936758</v>
      </c>
      <c r="AU5195" s="2">
        <v>1507.8540678065699</v>
      </c>
      <c r="AV5195" s="2">
        <v>1912.8907428187399</v>
      </c>
      <c r="AW5195" s="2">
        <v>1777.0089068698901</v>
      </c>
      <c r="AX5195" s="2">
        <v>7328.2759481979301</v>
      </c>
    </row>
    <row r="5196" spans="1:50" x14ac:dyDescent="0.25">
      <c r="A5196" s="2" t="s">
        <v>33989</v>
      </c>
      <c r="B5196" s="2">
        <v>584.35728407976296</v>
      </c>
      <c r="C5196" s="2">
        <v>9.2139500000000005</v>
      </c>
      <c r="D5196" s="2" t="s">
        <v>51</v>
      </c>
      <c r="E5196" s="2" t="s">
        <v>33990</v>
      </c>
      <c r="F5196" s="2">
        <v>22464</v>
      </c>
      <c r="G5196" s="3" t="str">
        <f>HYPERLINK("https://cloud.oebiotech.com/#/lm/network/22464", "https://cloud.oebiotech.com/#/lm/network/22464")</f>
        <v>https://cloud.oebiotech.com/#/lm/network/22464</v>
      </c>
      <c r="H5196" s="2"/>
      <c r="I5196" s="2">
        <v>78861</v>
      </c>
      <c r="J5196" s="2" t="s">
        <v>33991</v>
      </c>
      <c r="K5196" s="2">
        <v>52926301</v>
      </c>
      <c r="L5196" s="2"/>
      <c r="M5196" s="2"/>
      <c r="N5196" s="2"/>
      <c r="O5196" s="2"/>
      <c r="P5196" s="2"/>
      <c r="Q5196" s="2"/>
      <c r="R5196" s="2"/>
      <c r="S5196" s="2" t="s">
        <v>33992</v>
      </c>
      <c r="T5196" s="2" t="s">
        <v>33993</v>
      </c>
      <c r="U5196" s="2" t="s">
        <v>56</v>
      </c>
      <c r="V5196" s="2" t="s">
        <v>57</v>
      </c>
      <c r="W5196" s="2" t="s">
        <v>82</v>
      </c>
      <c r="X5196" s="2" t="s">
        <v>147</v>
      </c>
      <c r="Y5196" s="2">
        <v>38.799999999999997</v>
      </c>
      <c r="Z5196" s="2">
        <v>0</v>
      </c>
      <c r="AA5196" s="2" t="s">
        <v>218</v>
      </c>
      <c r="AB5196" s="2" t="s">
        <v>33994</v>
      </c>
      <c r="AC5196" s="2">
        <v>0.69876818428356102</v>
      </c>
      <c r="AD5196" s="2"/>
      <c r="AE5196" s="2">
        <v>4.5539455654137903E-2</v>
      </c>
      <c r="AF5196" s="2">
        <v>3968.5294877009001</v>
      </c>
      <c r="AG5196" s="2">
        <v>4055.9429755139799</v>
      </c>
      <c r="AH5196" s="4">
        <v>0.97844804812572495</v>
      </c>
      <c r="AI5196" s="4">
        <v>-3.14328436276652E-2</v>
      </c>
      <c r="AJ5196" s="4" t="s">
        <v>62</v>
      </c>
      <c r="AK5196" s="2">
        <v>0.95929900477847196</v>
      </c>
      <c r="AL5196" s="2">
        <v>0.98297517973244497</v>
      </c>
      <c r="AM5196" s="2">
        <v>3306.16418539493</v>
      </c>
      <c r="AN5196" s="2">
        <v>3988.7455723072699</v>
      </c>
      <c r="AO5196" s="2">
        <v>3128.4827255618702</v>
      </c>
      <c r="AP5196" s="2">
        <v>6220.6852314634098</v>
      </c>
      <c r="AQ5196" s="2">
        <v>2776.2267005826402</v>
      </c>
      <c r="AR5196" s="2">
        <v>4390.8725108952603</v>
      </c>
      <c r="AS5196" s="2">
        <v>1798.7900328875201</v>
      </c>
      <c r="AT5196" s="2">
        <v>882.264140195918</v>
      </c>
      <c r="AU5196" s="2">
        <v>5098.7828866731097</v>
      </c>
      <c r="AV5196" s="2">
        <v>3238.8188763818498</v>
      </c>
      <c r="AW5196" s="2">
        <v>11424.7899114631</v>
      </c>
      <c r="AX5196" s="2">
        <v>1892.2120054823799</v>
      </c>
    </row>
    <row r="5197" spans="1:50" x14ac:dyDescent="0.25">
      <c r="A5197" s="2" t="s">
        <v>33995</v>
      </c>
      <c r="B5197" s="2">
        <v>315.09639611620599</v>
      </c>
      <c r="C5197" s="2">
        <v>3.9471833333333302</v>
      </c>
      <c r="D5197" s="2" t="s">
        <v>51</v>
      </c>
      <c r="E5197" s="2" t="s">
        <v>33996</v>
      </c>
      <c r="F5197" s="2">
        <v>58865</v>
      </c>
      <c r="G5197" s="3" t="str">
        <f>HYPERLINK("https://cloud.oebiotech.com/#/lm/network/58865", "https://cloud.oebiotech.com/#/lm/network/58865")</f>
        <v>https://cloud.oebiotech.com/#/lm/network/58865</v>
      </c>
      <c r="H5197" s="2" t="s">
        <v>33997</v>
      </c>
      <c r="I5197" s="2"/>
      <c r="J5197" s="2"/>
      <c r="K5197" s="2">
        <v>72761836</v>
      </c>
      <c r="L5197" s="2"/>
      <c r="M5197" s="2"/>
      <c r="N5197" s="2"/>
      <c r="O5197" s="2"/>
      <c r="P5197" s="2"/>
      <c r="Q5197" s="2"/>
      <c r="R5197" s="2" t="s">
        <v>33998</v>
      </c>
      <c r="S5197" s="2" t="s">
        <v>33999</v>
      </c>
      <c r="T5197" s="2" t="s">
        <v>34000</v>
      </c>
      <c r="U5197" s="2" t="s">
        <v>331</v>
      </c>
      <c r="V5197" s="2" t="s">
        <v>332</v>
      </c>
      <c r="W5197" s="2" t="s">
        <v>333</v>
      </c>
      <c r="X5197" s="2" t="s">
        <v>83</v>
      </c>
      <c r="Y5197" s="2">
        <v>42.8</v>
      </c>
      <c r="Z5197" s="2">
        <v>0</v>
      </c>
      <c r="AA5197" s="2" t="s">
        <v>379</v>
      </c>
      <c r="AB5197" s="2" t="s">
        <v>34001</v>
      </c>
      <c r="AC5197" s="2">
        <v>-6.7313889194843304</v>
      </c>
      <c r="AD5197" s="2"/>
      <c r="AE5197" s="2">
        <v>4.5285541990378299E-2</v>
      </c>
      <c r="AF5197" s="2">
        <v>11030.1987244507</v>
      </c>
      <c r="AG5197" s="2">
        <v>8990.6552223805302</v>
      </c>
      <c r="AH5197" s="5">
        <v>1.22685148652938</v>
      </c>
      <c r="AI5197" s="5">
        <v>0.29496061769243698</v>
      </c>
      <c r="AJ5197" s="5" t="s">
        <v>139</v>
      </c>
      <c r="AK5197" s="2">
        <v>0.58431890508968198</v>
      </c>
      <c r="AL5197" s="2">
        <v>0.79098708899863002</v>
      </c>
      <c r="AM5197" s="2">
        <v>3533.0779839652801</v>
      </c>
      <c r="AN5197" s="2">
        <v>6410.14502803695</v>
      </c>
      <c r="AO5197" s="2">
        <v>10811.166844499399</v>
      </c>
      <c r="AP5197" s="2">
        <v>22239.882816475099</v>
      </c>
      <c r="AQ5197" s="2">
        <v>12363.3639707189</v>
      </c>
      <c r="AR5197" s="2">
        <v>10823.5557030084</v>
      </c>
      <c r="AS5197" s="2">
        <v>10201.7391648336</v>
      </c>
      <c r="AT5197" s="2">
        <v>12145.379571645801</v>
      </c>
      <c r="AU5197" s="2">
        <v>2650.9052076357102</v>
      </c>
      <c r="AV5197" s="2">
        <v>2056.2330385641799</v>
      </c>
      <c r="AW5197" s="2">
        <v>8647.3096620836895</v>
      </c>
      <c r="AX5197" s="2">
        <v>18242.3646895202</v>
      </c>
    </row>
    <row r="5198" spans="1:50" x14ac:dyDescent="0.25">
      <c r="A5198" s="2" t="s">
        <v>34002</v>
      </c>
      <c r="B5198" s="2">
        <v>445.12027191949801</v>
      </c>
      <c r="C5198" s="2">
        <v>4.6271666666666702</v>
      </c>
      <c r="D5198" s="2" t="s">
        <v>51</v>
      </c>
      <c r="E5198" s="2" t="s">
        <v>34003</v>
      </c>
      <c r="F5198" s="2">
        <v>206693</v>
      </c>
      <c r="G5198" s="3" t="str">
        <f>HYPERLINK("https://cloud.oebiotech.com/#/lm/network/206693", "https://cloud.oebiotech.com/#/lm/network/206693")</f>
        <v>https://cloud.oebiotech.com/#/lm/network/206693</v>
      </c>
      <c r="H5198" s="2" t="s">
        <v>34004</v>
      </c>
      <c r="I5198" s="2">
        <v>316371</v>
      </c>
      <c r="J5198" s="2"/>
      <c r="K5198" s="2">
        <v>42690</v>
      </c>
      <c r="L5198" s="2"/>
      <c r="M5198" s="2"/>
      <c r="N5198" s="2"/>
      <c r="O5198" s="2"/>
      <c r="P5198" s="2"/>
      <c r="Q5198" s="2"/>
      <c r="R5198" s="2"/>
      <c r="S5198" s="2" t="s">
        <v>34005</v>
      </c>
      <c r="T5198" s="2" t="s">
        <v>34006</v>
      </c>
      <c r="U5198" s="2" t="s">
        <v>1231</v>
      </c>
      <c r="V5198" s="2" t="s">
        <v>15569</v>
      </c>
      <c r="W5198" s="2" t="s">
        <v>18047</v>
      </c>
      <c r="X5198" s="2" t="s">
        <v>147</v>
      </c>
      <c r="Y5198" s="2">
        <v>36.799999999999997</v>
      </c>
      <c r="Z5198" s="2">
        <v>0</v>
      </c>
      <c r="AA5198" s="2" t="s">
        <v>298</v>
      </c>
      <c r="AB5198" s="2" t="s">
        <v>34007</v>
      </c>
      <c r="AC5198" s="2">
        <v>3.4584610154787501</v>
      </c>
      <c r="AD5198" s="2"/>
      <c r="AE5198" s="2">
        <v>4.5178623914663797E-2</v>
      </c>
      <c r="AF5198" s="2">
        <v>3532.9940864237901</v>
      </c>
      <c r="AG5198" s="2">
        <v>3530.5158488699899</v>
      </c>
      <c r="AH5198" s="5">
        <v>1.00070194772093</v>
      </c>
      <c r="AI5198" s="5">
        <v>1.01234123218532E-3</v>
      </c>
      <c r="AJ5198" s="5" t="s">
        <v>139</v>
      </c>
      <c r="AK5198" s="2">
        <v>0.99903320908551096</v>
      </c>
      <c r="AL5198" s="2">
        <v>0.99936598430801105</v>
      </c>
      <c r="AM5198" s="2">
        <v>565.65096415821597</v>
      </c>
      <c r="AN5198" s="2">
        <v>2881.7477848072099</v>
      </c>
      <c r="AO5198" s="2">
        <v>3760.61962571193</v>
      </c>
      <c r="AP5198" s="2">
        <v>1601.2730358645199</v>
      </c>
      <c r="AQ5198" s="2">
        <v>3657.4204202556298</v>
      </c>
      <c r="AR5198" s="2">
        <v>8731.2526877452601</v>
      </c>
      <c r="AS5198" s="2">
        <v>4204.7955192367499</v>
      </c>
      <c r="AT5198" s="2">
        <v>2064.0810798932398</v>
      </c>
      <c r="AU5198" s="2">
        <v>472.24953493536299</v>
      </c>
      <c r="AV5198" s="2">
        <v>1418.8725197394101</v>
      </c>
      <c r="AW5198" s="2">
        <v>1760.6053437068699</v>
      </c>
      <c r="AX5198" s="2">
        <v>11262.491095708299</v>
      </c>
    </row>
    <row r="5199" spans="1:50" x14ac:dyDescent="0.25">
      <c r="A5199" s="2" t="s">
        <v>34008</v>
      </c>
      <c r="B5199" s="2">
        <v>515.351119900865</v>
      </c>
      <c r="C5199" s="2">
        <v>11.187900000000001</v>
      </c>
      <c r="D5199" s="2" t="s">
        <v>51</v>
      </c>
      <c r="E5199" s="2" t="s">
        <v>34009</v>
      </c>
      <c r="F5199" s="2">
        <v>199191</v>
      </c>
      <c r="G5199" s="3" t="str">
        <f>HYPERLINK("https://cloud.oebiotech.com/#/lm/network/199191", "https://cloud.oebiotech.com/#/lm/network/199191")</f>
        <v>https://cloud.oebiotech.com/#/lm/network/199191</v>
      </c>
      <c r="H5199" s="2" t="s">
        <v>34010</v>
      </c>
      <c r="I5199" s="2"/>
      <c r="J5199" s="2"/>
      <c r="K5199" s="2">
        <v>22392424</v>
      </c>
      <c r="L5199" s="2"/>
      <c r="M5199" s="2"/>
      <c r="N5199" s="2"/>
      <c r="O5199" s="2"/>
      <c r="P5199" s="2"/>
      <c r="Q5199" s="2"/>
      <c r="R5199" s="2"/>
      <c r="S5199" s="2" t="s">
        <v>34011</v>
      </c>
      <c r="T5199" s="2" t="s">
        <v>34012</v>
      </c>
      <c r="U5199" s="2" t="s">
        <v>56</v>
      </c>
      <c r="V5199" s="2" t="s">
        <v>177</v>
      </c>
      <c r="W5199" s="2" t="s">
        <v>3270</v>
      </c>
      <c r="X5199" s="2" t="s">
        <v>83</v>
      </c>
      <c r="Y5199" s="2">
        <v>38.200000000000003</v>
      </c>
      <c r="Z5199" s="2">
        <v>0</v>
      </c>
      <c r="AA5199" s="2" t="s">
        <v>395</v>
      </c>
      <c r="AB5199" s="2" t="s">
        <v>34013</v>
      </c>
      <c r="AC5199" s="2">
        <v>2.94230589677412</v>
      </c>
      <c r="AD5199" s="2"/>
      <c r="AE5199" s="2">
        <v>4.50984414198735E-2</v>
      </c>
      <c r="AF5199" s="2">
        <v>8481.2527575540207</v>
      </c>
      <c r="AG5199" s="2">
        <v>8452.0655980915708</v>
      </c>
      <c r="AH5199" s="5">
        <v>1.0034532575645201</v>
      </c>
      <c r="AI5199" s="5">
        <v>4.9734152551343903E-3</v>
      </c>
      <c r="AJ5199" s="5" t="s">
        <v>139</v>
      </c>
      <c r="AK5199" s="2">
        <v>0.97908909832470903</v>
      </c>
      <c r="AL5199" s="2">
        <v>0.99133503713063797</v>
      </c>
      <c r="AM5199" s="2">
        <v>5366.3516371197302</v>
      </c>
      <c r="AN5199" s="2">
        <v>7425.4639880418399</v>
      </c>
      <c r="AO5199" s="2">
        <v>7234.3217637533999</v>
      </c>
      <c r="AP5199" s="2">
        <v>8265.4835708315695</v>
      </c>
      <c r="AQ5199" s="2">
        <v>12318.092326298</v>
      </c>
      <c r="AR5199" s="2">
        <v>10277.803259279601</v>
      </c>
      <c r="AS5199" s="2">
        <v>8551.0669749127992</v>
      </c>
      <c r="AT5199" s="2">
        <v>9094.6239822004609</v>
      </c>
      <c r="AU5199" s="2">
        <v>7852.0833070547897</v>
      </c>
      <c r="AV5199" s="2">
        <v>7365.9460810986002</v>
      </c>
      <c r="AW5199" s="2">
        <v>10066.9494253789</v>
      </c>
      <c r="AX5199" s="2">
        <v>7781.7238179039005</v>
      </c>
    </row>
    <row r="5200" spans="1:50" x14ac:dyDescent="0.25">
      <c r="A5200" s="2" t="s">
        <v>34014</v>
      </c>
      <c r="B5200" s="2">
        <v>314.10340306563899</v>
      </c>
      <c r="C5200" s="2">
        <v>6.1623999999999999</v>
      </c>
      <c r="D5200" s="2" t="s">
        <v>51</v>
      </c>
      <c r="E5200" s="2" t="s">
        <v>34015</v>
      </c>
      <c r="F5200" s="2">
        <v>255222</v>
      </c>
      <c r="G5200" s="3" t="str">
        <f>HYPERLINK("https://cloud.oebiotech.com/#/lm/network/255222", "https://cloud.oebiotech.com/#/lm/network/255222")</f>
        <v>https://cloud.oebiotech.com/#/lm/network/255222</v>
      </c>
      <c r="H5200" s="2" t="s">
        <v>34016</v>
      </c>
      <c r="I5200" s="2"/>
      <c r="J5200" s="2"/>
      <c r="K5200" s="2">
        <v>622629</v>
      </c>
      <c r="L5200" s="2"/>
      <c r="M5200" s="2"/>
      <c r="N5200" s="2"/>
      <c r="O5200" s="2"/>
      <c r="P5200" s="2"/>
      <c r="Q5200" s="2"/>
      <c r="R5200" s="2"/>
      <c r="S5200" s="2" t="s">
        <v>34017</v>
      </c>
      <c r="T5200" s="2" t="s">
        <v>34018</v>
      </c>
      <c r="U5200" s="2" t="s">
        <v>266</v>
      </c>
      <c r="V5200" s="2" t="s">
        <v>1074</v>
      </c>
      <c r="W5200" s="2" t="s">
        <v>1075</v>
      </c>
      <c r="X5200" s="2" t="s">
        <v>147</v>
      </c>
      <c r="Y5200" s="2">
        <v>38.799999999999997</v>
      </c>
      <c r="Z5200" s="2">
        <v>0</v>
      </c>
      <c r="AA5200" s="2" t="s">
        <v>218</v>
      </c>
      <c r="AB5200" s="2" t="s">
        <v>34019</v>
      </c>
      <c r="AC5200" s="2">
        <v>2.5458852794945801E-2</v>
      </c>
      <c r="AD5200" s="2"/>
      <c r="AE5200" s="2">
        <v>4.5074317813557398E-2</v>
      </c>
      <c r="AF5200" s="2">
        <v>410.41448185463997</v>
      </c>
      <c r="AG5200" s="2">
        <v>196.38579715451399</v>
      </c>
      <c r="AH5200" s="5">
        <v>2.0898378996915499</v>
      </c>
      <c r="AI5200" s="5">
        <v>1.06339104260246</v>
      </c>
      <c r="AJ5200" s="5" t="s">
        <v>139</v>
      </c>
      <c r="AK5200" s="2">
        <v>0.37718289135684002</v>
      </c>
      <c r="AL5200" s="2">
        <v>0.65843423286843805</v>
      </c>
      <c r="AM5200" s="2">
        <v>272.41363580333598</v>
      </c>
      <c r="AN5200" s="2">
        <v>100.594110697861</v>
      </c>
      <c r="AO5200" s="2">
        <v>481.63110627098501</v>
      </c>
      <c r="AP5200" s="2">
        <v>1324.6303935907499</v>
      </c>
      <c r="AQ5200" s="2">
        <v>8.559877937157E-6</v>
      </c>
      <c r="AR5200" s="2">
        <v>283.21763620503202</v>
      </c>
      <c r="AS5200" s="2">
        <v>645.84550523215898</v>
      </c>
      <c r="AT5200" s="2">
        <v>531.93895245571696</v>
      </c>
      <c r="AU5200" s="2">
        <v>8.559877937157E-6</v>
      </c>
      <c r="AV5200" s="2">
        <v>8.559877937157E-6</v>
      </c>
      <c r="AW5200" s="2">
        <v>0.53029955957164099</v>
      </c>
      <c r="AX5200" s="2">
        <v>8.559877937157E-6</v>
      </c>
    </row>
    <row r="5201" spans="1:50" x14ac:dyDescent="0.25">
      <c r="A5201" s="2" t="s">
        <v>34020</v>
      </c>
      <c r="B5201" s="2">
        <v>352.10158122131497</v>
      </c>
      <c r="C5201" s="2">
        <v>9.0696833333333302</v>
      </c>
      <c r="D5201" s="2" t="s">
        <v>51</v>
      </c>
      <c r="E5201" s="2" t="s">
        <v>34021</v>
      </c>
      <c r="F5201" s="2">
        <v>48444</v>
      </c>
      <c r="G5201" s="3" t="str">
        <f>HYPERLINK("https://cloud.oebiotech.com/#/lm/network/48444", "https://cloud.oebiotech.com/#/lm/network/48444")</f>
        <v>https://cloud.oebiotech.com/#/lm/network/48444</v>
      </c>
      <c r="H5201" s="2" t="s">
        <v>34022</v>
      </c>
      <c r="I5201" s="2">
        <v>43356</v>
      </c>
      <c r="J5201" s="2"/>
      <c r="K5201" s="2">
        <v>5510</v>
      </c>
      <c r="L5201" s="2"/>
      <c r="M5201" s="2"/>
      <c r="N5201" s="2"/>
      <c r="O5201" s="2">
        <v>9620</v>
      </c>
      <c r="P5201" s="2"/>
      <c r="Q5201" s="2"/>
      <c r="R5201" s="2" t="s">
        <v>34023</v>
      </c>
      <c r="S5201" s="2" t="s">
        <v>34024</v>
      </c>
      <c r="T5201" s="2" t="s">
        <v>34025</v>
      </c>
      <c r="U5201" s="2" t="s">
        <v>610</v>
      </c>
      <c r="V5201" s="2" t="s">
        <v>813</v>
      </c>
      <c r="W5201" s="2" t="s">
        <v>240</v>
      </c>
      <c r="X5201" s="2" t="s">
        <v>147</v>
      </c>
      <c r="Y5201" s="2">
        <v>36.700000000000003</v>
      </c>
      <c r="Z5201" s="2">
        <v>0</v>
      </c>
      <c r="AA5201" s="2" t="s">
        <v>218</v>
      </c>
      <c r="AB5201" s="2" t="s">
        <v>34026</v>
      </c>
      <c r="AC5201" s="2">
        <v>0.954668900368429</v>
      </c>
      <c r="AD5201" s="2"/>
      <c r="AE5201" s="2">
        <v>4.5053100452118099E-2</v>
      </c>
      <c r="AF5201" s="2">
        <v>5307.7678166577998</v>
      </c>
      <c r="AG5201" s="2">
        <v>4730.7478481797098</v>
      </c>
      <c r="AH5201" s="5">
        <v>1.1219722519559201</v>
      </c>
      <c r="AI5201" s="5">
        <v>0.16603699639179001</v>
      </c>
      <c r="AJ5201" s="5" t="s">
        <v>139</v>
      </c>
      <c r="AK5201" s="2">
        <v>0.69919909458749097</v>
      </c>
      <c r="AL5201" s="2">
        <v>0.85547950942087603</v>
      </c>
      <c r="AM5201" s="2">
        <v>4323.6569467090903</v>
      </c>
      <c r="AN5201" s="2">
        <v>6455.8408321163097</v>
      </c>
      <c r="AO5201" s="2">
        <v>3129.32375637735</v>
      </c>
      <c r="AP5201" s="2">
        <v>4091.38037941332</v>
      </c>
      <c r="AQ5201" s="2">
        <v>2814.3408994947999</v>
      </c>
      <c r="AR5201" s="2">
        <v>11032.0640858359</v>
      </c>
      <c r="AS5201" s="2">
        <v>4161.2841673905796</v>
      </c>
      <c r="AT5201" s="2">
        <v>4229.5901611874997</v>
      </c>
      <c r="AU5201" s="2">
        <v>4681.1326420400101</v>
      </c>
      <c r="AV5201" s="2">
        <v>4001.8955421025198</v>
      </c>
      <c r="AW5201" s="2">
        <v>8188.4019798007503</v>
      </c>
      <c r="AX5201" s="2">
        <v>3122.1825965569101</v>
      </c>
    </row>
    <row r="5202" spans="1:50" x14ac:dyDescent="0.25">
      <c r="A5202" s="2" t="s">
        <v>34027</v>
      </c>
      <c r="B5202" s="2">
        <v>284.13250494885102</v>
      </c>
      <c r="C5202" s="2">
        <v>7.11778333333333</v>
      </c>
      <c r="D5202" s="2" t="s">
        <v>51</v>
      </c>
      <c r="E5202" s="2" t="s">
        <v>34028</v>
      </c>
      <c r="F5202" s="2">
        <v>54044</v>
      </c>
      <c r="G5202" s="3" t="str">
        <f>HYPERLINK("https://cloud.oebiotech.com/#/lm/network/54044", "https://cloud.oebiotech.com/#/lm/network/54044")</f>
        <v>https://cloud.oebiotech.com/#/lm/network/54044</v>
      </c>
      <c r="H5202" s="2" t="s">
        <v>34029</v>
      </c>
      <c r="I5202" s="2">
        <v>23855</v>
      </c>
      <c r="J5202" s="2"/>
      <c r="K5202" s="2">
        <v>25216635</v>
      </c>
      <c r="L5202" s="2"/>
      <c r="M5202" s="2"/>
      <c r="N5202" s="2"/>
      <c r="O5202" s="2"/>
      <c r="P5202" s="2"/>
      <c r="Q5202" s="2"/>
      <c r="R5202" s="2" t="s">
        <v>34030</v>
      </c>
      <c r="S5202" s="2" t="s">
        <v>34031</v>
      </c>
      <c r="T5202" s="2" t="s">
        <v>34032</v>
      </c>
      <c r="U5202" s="2" t="s">
        <v>103</v>
      </c>
      <c r="V5202" s="2" t="s">
        <v>104</v>
      </c>
      <c r="W5202" s="2" t="s">
        <v>105</v>
      </c>
      <c r="X5202" s="2" t="s">
        <v>147</v>
      </c>
      <c r="Y5202" s="2">
        <v>45.5</v>
      </c>
      <c r="Z5202" s="2">
        <v>34.700000000000003</v>
      </c>
      <c r="AA5202" s="2" t="s">
        <v>95</v>
      </c>
      <c r="AB5202" s="2" t="s">
        <v>34033</v>
      </c>
      <c r="AC5202" s="2">
        <v>-1.60770760352719</v>
      </c>
      <c r="AD5202" s="2"/>
      <c r="AE5202" s="2">
        <v>4.4965031444842103E-2</v>
      </c>
      <c r="AF5202" s="2">
        <v>914.31534505014804</v>
      </c>
      <c r="AG5202" s="2">
        <v>791.77270739156495</v>
      </c>
      <c r="AH5202" s="5">
        <v>1.1547699693543201</v>
      </c>
      <c r="AI5202" s="5">
        <v>0.20760549482462001</v>
      </c>
      <c r="AJ5202" s="5" t="s">
        <v>139</v>
      </c>
      <c r="AK5202" s="2">
        <v>0.32900161351874202</v>
      </c>
      <c r="AL5202" s="2">
        <v>0.63135842857913305</v>
      </c>
      <c r="AM5202" s="2">
        <v>586.21105319499998</v>
      </c>
      <c r="AN5202" s="2">
        <v>1317.4153243616699</v>
      </c>
      <c r="AO5202" s="2">
        <v>973.802633970442</v>
      </c>
      <c r="AP5202" s="2">
        <v>997.23467743221897</v>
      </c>
      <c r="AQ5202" s="2">
        <v>985.60540805479695</v>
      </c>
      <c r="AR5202" s="2">
        <v>625.62297328676198</v>
      </c>
      <c r="AS5202" s="2">
        <v>655.73650904825297</v>
      </c>
      <c r="AT5202" s="2">
        <v>924.02528927052504</v>
      </c>
      <c r="AU5202" s="2">
        <v>760.11533072429097</v>
      </c>
      <c r="AV5202" s="2">
        <v>724.05266573658503</v>
      </c>
      <c r="AW5202" s="2">
        <v>766.076651817688</v>
      </c>
      <c r="AX5202" s="2">
        <v>920.62979775204997</v>
      </c>
    </row>
    <row r="5203" spans="1:50" x14ac:dyDescent="0.25">
      <c r="A5203" s="2" t="s">
        <v>34034</v>
      </c>
      <c r="B5203" s="2">
        <v>297.145301039451</v>
      </c>
      <c r="C5203" s="2">
        <v>3.94221666666667</v>
      </c>
      <c r="D5203" s="2" t="s">
        <v>51</v>
      </c>
      <c r="E5203" s="2" t="s">
        <v>34035</v>
      </c>
      <c r="F5203" s="2">
        <v>57077</v>
      </c>
      <c r="G5203" s="3" t="str">
        <f>HYPERLINK("https://cloud.oebiotech.com/#/lm/network/57077", "https://cloud.oebiotech.com/#/lm/network/57077")</f>
        <v>https://cloud.oebiotech.com/#/lm/network/57077</v>
      </c>
      <c r="H5203" s="2" t="s">
        <v>34036</v>
      </c>
      <c r="I5203" s="2">
        <v>411218</v>
      </c>
      <c r="J5203" s="2"/>
      <c r="K5203" s="2">
        <v>129556</v>
      </c>
      <c r="L5203" s="2"/>
      <c r="M5203" s="2"/>
      <c r="N5203" s="2"/>
      <c r="O5203" s="2"/>
      <c r="P5203" s="2"/>
      <c r="Q5203" s="2"/>
      <c r="R5203" s="2" t="s">
        <v>34037</v>
      </c>
      <c r="S5203" s="2" t="s">
        <v>34038</v>
      </c>
      <c r="T5203" s="2" t="s">
        <v>34039</v>
      </c>
      <c r="U5203" s="2" t="s">
        <v>331</v>
      </c>
      <c r="V5203" s="2" t="s">
        <v>332</v>
      </c>
      <c r="W5203" s="2" t="s">
        <v>333</v>
      </c>
      <c r="X5203" s="2" t="s">
        <v>147</v>
      </c>
      <c r="Y5203" s="2">
        <v>37.9</v>
      </c>
      <c r="Z5203" s="2">
        <v>0</v>
      </c>
      <c r="AA5203" s="2" t="s">
        <v>512</v>
      </c>
      <c r="AB5203" s="2" t="s">
        <v>34040</v>
      </c>
      <c r="AC5203" s="2">
        <v>2.8764993224464299</v>
      </c>
      <c r="AD5203" s="2"/>
      <c r="AE5203" s="2">
        <v>4.49248001208402E-2</v>
      </c>
      <c r="AF5203" s="2">
        <v>1487.43997519912</v>
      </c>
      <c r="AG5203" s="2">
        <v>1020.25292308344</v>
      </c>
      <c r="AH5203" s="5">
        <v>1.4579129758371401</v>
      </c>
      <c r="AI5203" s="5">
        <v>0.54390460644454997</v>
      </c>
      <c r="AJ5203" s="5" t="s">
        <v>139</v>
      </c>
      <c r="AK5203" s="2">
        <v>0.57692270451720495</v>
      </c>
      <c r="AL5203" s="2">
        <v>0.78657023126793102</v>
      </c>
      <c r="AM5203" s="2">
        <v>283.58845381147898</v>
      </c>
      <c r="AN5203" s="2">
        <v>343.75214740508</v>
      </c>
      <c r="AO5203" s="2">
        <v>513.02698467684104</v>
      </c>
      <c r="AP5203" s="2">
        <v>943.15025128738398</v>
      </c>
      <c r="AQ5203" s="2">
        <v>5263.7773678514604</v>
      </c>
      <c r="AR5203" s="2">
        <v>1577.3446461624701</v>
      </c>
      <c r="AS5203" s="2">
        <v>717.16257720283204</v>
      </c>
      <c r="AT5203" s="2">
        <v>557.67439084182695</v>
      </c>
      <c r="AU5203" s="2">
        <v>1967.49292372986</v>
      </c>
      <c r="AV5203" s="2">
        <v>1295.70088562561</v>
      </c>
      <c r="AW5203" s="2">
        <v>925.94353635536004</v>
      </c>
      <c r="AX5203" s="2">
        <v>657.54322474515004</v>
      </c>
    </row>
    <row r="5204" spans="1:50" x14ac:dyDescent="0.25">
      <c r="A5204" s="2" t="s">
        <v>34041</v>
      </c>
      <c r="B5204" s="2">
        <v>267.13755184018999</v>
      </c>
      <c r="C5204" s="2">
        <v>10.5512333333333</v>
      </c>
      <c r="D5204" s="2" t="s">
        <v>51</v>
      </c>
      <c r="E5204" s="2" t="s">
        <v>34042</v>
      </c>
      <c r="F5204" s="2">
        <v>208418</v>
      </c>
      <c r="G5204" s="3" t="str">
        <f>HYPERLINK("https://cloud.oebiotech.com/#/lm/network/208418", "https://cloud.oebiotech.com/#/lm/network/208418")</f>
        <v>https://cloud.oebiotech.com/#/lm/network/208418</v>
      </c>
      <c r="H5204" s="2" t="s">
        <v>34043</v>
      </c>
      <c r="I5204" s="2"/>
      <c r="J5204" s="2"/>
      <c r="K5204" s="2">
        <v>10173</v>
      </c>
      <c r="L5204" s="2"/>
      <c r="M5204" s="2"/>
      <c r="N5204" s="2"/>
      <c r="O5204" s="2"/>
      <c r="P5204" s="2"/>
      <c r="Q5204" s="2"/>
      <c r="R5204" s="2"/>
      <c r="S5204" s="2" t="s">
        <v>34044</v>
      </c>
      <c r="T5204" s="2" t="s">
        <v>34045</v>
      </c>
      <c r="U5204" s="2" t="s">
        <v>238</v>
      </c>
      <c r="V5204" s="2" t="s">
        <v>860</v>
      </c>
      <c r="W5204" s="2" t="s">
        <v>861</v>
      </c>
      <c r="X5204" s="2" t="s">
        <v>147</v>
      </c>
      <c r="Y5204" s="2">
        <v>36.200000000000003</v>
      </c>
      <c r="Z5204" s="2">
        <v>0</v>
      </c>
      <c r="AA5204" s="2" t="s">
        <v>122</v>
      </c>
      <c r="AB5204" s="2" t="s">
        <v>34046</v>
      </c>
      <c r="AC5204" s="2">
        <v>1.4582809697693599</v>
      </c>
      <c r="AD5204" s="2"/>
      <c r="AE5204" s="2">
        <v>4.4861558696689799E-2</v>
      </c>
      <c r="AF5204" s="2">
        <v>2049.5649156443501</v>
      </c>
      <c r="AG5204" s="2">
        <v>2593.1361793658002</v>
      </c>
      <c r="AH5204" s="4">
        <v>0.79038074897617305</v>
      </c>
      <c r="AI5204" s="4">
        <v>-0.339380286748725</v>
      </c>
      <c r="AJ5204" s="4" t="s">
        <v>62</v>
      </c>
      <c r="AK5204" s="2">
        <v>0.39385092463085902</v>
      </c>
      <c r="AL5204" s="2">
        <v>0.666522226182239</v>
      </c>
      <c r="AM5204" s="2">
        <v>4629.0451498144903</v>
      </c>
      <c r="AN5204" s="2">
        <v>2031.3301246958499</v>
      </c>
      <c r="AO5204" s="2">
        <v>1547.9915291800601</v>
      </c>
      <c r="AP5204" s="2">
        <v>1369.93112071168</v>
      </c>
      <c r="AQ5204" s="2">
        <v>1504.1821169887201</v>
      </c>
      <c r="AR5204" s="2">
        <v>1214.90945247532</v>
      </c>
      <c r="AS5204" s="2">
        <v>1428.1437713497401</v>
      </c>
      <c r="AT5204" s="2">
        <v>2677.2161042604598</v>
      </c>
      <c r="AU5204" s="2">
        <v>2557.94616452424</v>
      </c>
      <c r="AV5204" s="2">
        <v>2624.60166766568</v>
      </c>
      <c r="AW5204" s="2">
        <v>2484.05300757023</v>
      </c>
      <c r="AX5204" s="2">
        <v>3786.8563608244499</v>
      </c>
    </row>
    <row r="5205" spans="1:50" x14ac:dyDescent="0.25">
      <c r="A5205" s="2" t="s">
        <v>34047</v>
      </c>
      <c r="B5205" s="2">
        <v>353.03402515526102</v>
      </c>
      <c r="C5205" s="2">
        <v>5.9966833333333298</v>
      </c>
      <c r="D5205" s="2" t="s">
        <v>51</v>
      </c>
      <c r="E5205" s="2" t="s">
        <v>34048</v>
      </c>
      <c r="F5205" s="2">
        <v>197319</v>
      </c>
      <c r="G5205" s="3" t="str">
        <f>HYPERLINK("https://cloud.oebiotech.com/#/lm/network/197319", "https://cloud.oebiotech.com/#/lm/network/197319")</f>
        <v>https://cloud.oebiotech.com/#/lm/network/197319</v>
      </c>
      <c r="H5205" s="2" t="s">
        <v>34049</v>
      </c>
      <c r="I5205" s="2"/>
      <c r="J5205" s="2"/>
      <c r="K5205" s="2">
        <v>54570501</v>
      </c>
      <c r="L5205" s="2"/>
      <c r="M5205" s="2"/>
      <c r="N5205" s="2"/>
      <c r="O5205" s="2"/>
      <c r="P5205" s="2"/>
      <c r="Q5205" s="2"/>
      <c r="R5205" s="2"/>
      <c r="S5205" s="2" t="s">
        <v>34050</v>
      </c>
      <c r="T5205" s="2" t="s">
        <v>34051</v>
      </c>
      <c r="U5205" s="2" t="s">
        <v>610</v>
      </c>
      <c r="V5205" s="2" t="s">
        <v>611</v>
      </c>
      <c r="W5205" s="2" t="s">
        <v>22297</v>
      </c>
      <c r="X5205" s="2" t="s">
        <v>69</v>
      </c>
      <c r="Y5205" s="2">
        <v>56</v>
      </c>
      <c r="Z5205" s="2">
        <v>85.4</v>
      </c>
      <c r="AA5205" s="2" t="s">
        <v>218</v>
      </c>
      <c r="AB5205" s="2" t="s">
        <v>34052</v>
      </c>
      <c r="AC5205" s="2">
        <v>1.1790300455662199</v>
      </c>
      <c r="AD5205" s="2"/>
      <c r="AE5205" s="2">
        <v>4.48574589438583E-2</v>
      </c>
      <c r="AF5205" s="2">
        <v>4036.8582390585402</v>
      </c>
      <c r="AG5205" s="2">
        <v>4222.9180898304803</v>
      </c>
      <c r="AH5205" s="4">
        <v>0.95594045472489797</v>
      </c>
      <c r="AI5205" s="4">
        <v>-6.5007338970631198E-2</v>
      </c>
      <c r="AJ5205" s="4" t="s">
        <v>62</v>
      </c>
      <c r="AK5205" s="2">
        <v>0.62972334548728703</v>
      </c>
      <c r="AL5205" s="2">
        <v>0.81880584804161605</v>
      </c>
      <c r="AM5205" s="2">
        <v>3911.8843572063802</v>
      </c>
      <c r="AN5205" s="2">
        <v>3785.58650407406</v>
      </c>
      <c r="AO5205" s="2">
        <v>3804.70410399195</v>
      </c>
      <c r="AP5205" s="2">
        <v>3759.4362636109699</v>
      </c>
      <c r="AQ5205" s="2">
        <v>5243.6411061093104</v>
      </c>
      <c r="AR5205" s="2">
        <v>3715.8970993585799</v>
      </c>
      <c r="AS5205" s="2">
        <v>3347.47298374091</v>
      </c>
      <c r="AT5205" s="2">
        <v>4122.2445814339899</v>
      </c>
      <c r="AU5205" s="2">
        <v>4095.0124304748701</v>
      </c>
      <c r="AV5205" s="2">
        <v>3686.89695990986</v>
      </c>
      <c r="AW5205" s="2">
        <v>4991.8117423927797</v>
      </c>
      <c r="AX5205" s="2">
        <v>5094.0698410304503</v>
      </c>
    </row>
    <row r="5206" spans="1:50" x14ac:dyDescent="0.25">
      <c r="A5206" s="2" t="s">
        <v>34053</v>
      </c>
      <c r="B5206" s="2">
        <v>383.192769429767</v>
      </c>
      <c r="C5206" s="2">
        <v>4.2766000000000002</v>
      </c>
      <c r="D5206" s="2" t="s">
        <v>51</v>
      </c>
      <c r="E5206" s="2" t="s">
        <v>34054</v>
      </c>
      <c r="F5206" s="2">
        <v>202629</v>
      </c>
      <c r="G5206" s="3" t="str">
        <f>HYPERLINK("https://cloud.oebiotech.com/#/lm/network/202629", "https://cloud.oebiotech.com/#/lm/network/202629")</f>
        <v>https://cloud.oebiotech.com/#/lm/network/202629</v>
      </c>
      <c r="H5206" s="2" t="s">
        <v>34055</v>
      </c>
      <c r="I5206" s="2"/>
      <c r="J5206" s="2"/>
      <c r="K5206" s="2">
        <v>12898083</v>
      </c>
      <c r="L5206" s="2"/>
      <c r="M5206" s="2"/>
      <c r="N5206" s="2"/>
      <c r="O5206" s="2"/>
      <c r="P5206" s="2"/>
      <c r="Q5206" s="2"/>
      <c r="R5206" s="2"/>
      <c r="S5206" s="2" t="s">
        <v>34056</v>
      </c>
      <c r="T5206" s="2" t="s">
        <v>34057</v>
      </c>
      <c r="U5206" s="2" t="s">
        <v>56</v>
      </c>
      <c r="V5206" s="2" t="s">
        <v>145</v>
      </c>
      <c r="W5206" s="2" t="s">
        <v>146</v>
      </c>
      <c r="X5206" s="2" t="s">
        <v>147</v>
      </c>
      <c r="Y5206" s="2">
        <v>38.1</v>
      </c>
      <c r="Z5206" s="2">
        <v>0</v>
      </c>
      <c r="AA5206" s="2" t="s">
        <v>478</v>
      </c>
      <c r="AB5206" s="2" t="s">
        <v>34058</v>
      </c>
      <c r="AC5206" s="2">
        <v>1.29786703418674</v>
      </c>
      <c r="AD5206" s="2"/>
      <c r="AE5206" s="2">
        <v>4.4823335151842801E-2</v>
      </c>
      <c r="AF5206" s="2">
        <v>1924.02241396659</v>
      </c>
      <c r="AG5206" s="2">
        <v>1631.00028308644</v>
      </c>
      <c r="AH5206" s="5">
        <v>1.17965792766488</v>
      </c>
      <c r="AI5206" s="5">
        <v>0.23836857347948101</v>
      </c>
      <c r="AJ5206" s="5" t="s">
        <v>139</v>
      </c>
      <c r="AK5206" s="2">
        <v>0.62038311428384596</v>
      </c>
      <c r="AL5206" s="2">
        <v>0.81248878430468197</v>
      </c>
      <c r="AM5206" s="2">
        <v>488.64943860594298</v>
      </c>
      <c r="AN5206" s="2">
        <v>1957.5481363429401</v>
      </c>
      <c r="AO5206" s="2">
        <v>3765.6522420780998</v>
      </c>
      <c r="AP5206" s="2">
        <v>2372.5601647481299</v>
      </c>
      <c r="AQ5206" s="2">
        <v>1524.00729895274</v>
      </c>
      <c r="AR5206" s="2">
        <v>1435.7172030716599</v>
      </c>
      <c r="AS5206" s="2">
        <v>2788.52144444438</v>
      </c>
      <c r="AT5206" s="2">
        <v>2665.5467533423598</v>
      </c>
      <c r="AU5206" s="2">
        <v>1228.25907106163</v>
      </c>
      <c r="AV5206" s="2">
        <v>827.73341244014796</v>
      </c>
      <c r="AW5206" s="2">
        <v>909.02839059698795</v>
      </c>
      <c r="AX5206" s="2">
        <v>1366.91262663313</v>
      </c>
    </row>
    <row r="5207" spans="1:50" x14ac:dyDescent="0.25">
      <c r="A5207" s="2" t="s">
        <v>34059</v>
      </c>
      <c r="B5207" s="2">
        <v>601.14926410314695</v>
      </c>
      <c r="C5207" s="2">
        <v>6.9221166666666702</v>
      </c>
      <c r="D5207" s="2" t="s">
        <v>51</v>
      </c>
      <c r="E5207" s="2" t="s">
        <v>34060</v>
      </c>
      <c r="F5207" s="2">
        <v>201082</v>
      </c>
      <c r="G5207" s="3" t="str">
        <f>HYPERLINK("https://cloud.oebiotech.com/#/lm/network/201082", "https://cloud.oebiotech.com/#/lm/network/201082")</f>
        <v>https://cloud.oebiotech.com/#/lm/network/201082</v>
      </c>
      <c r="H5207" s="2" t="s">
        <v>34061</v>
      </c>
      <c r="I5207" s="2"/>
      <c r="J5207" s="2"/>
      <c r="K5207" s="2">
        <v>259380</v>
      </c>
      <c r="L5207" s="2"/>
      <c r="M5207" s="2"/>
      <c r="N5207" s="2"/>
      <c r="O5207" s="2"/>
      <c r="P5207" s="2"/>
      <c r="Q5207" s="2"/>
      <c r="R5207" s="2"/>
      <c r="S5207" s="2" t="s">
        <v>34062</v>
      </c>
      <c r="T5207" s="2" t="s">
        <v>34063</v>
      </c>
      <c r="U5207" s="2" t="s">
        <v>331</v>
      </c>
      <c r="V5207" s="2" t="s">
        <v>332</v>
      </c>
      <c r="W5207" s="2" t="s">
        <v>333</v>
      </c>
      <c r="X5207" s="2" t="s">
        <v>147</v>
      </c>
      <c r="Y5207" s="2">
        <v>36.700000000000003</v>
      </c>
      <c r="Z5207" s="2">
        <v>0</v>
      </c>
      <c r="AA5207" s="2" t="s">
        <v>478</v>
      </c>
      <c r="AB5207" s="2" t="s">
        <v>34064</v>
      </c>
      <c r="AC5207" s="2">
        <v>-4.9693633486176401</v>
      </c>
      <c r="AD5207" s="2"/>
      <c r="AE5207" s="2">
        <v>4.4817373367998903E-2</v>
      </c>
      <c r="AF5207" s="2">
        <v>3649.9716143440401</v>
      </c>
      <c r="AG5207" s="2">
        <v>4418.2001830631998</v>
      </c>
      <c r="AH5207" s="4">
        <v>0.82612182859796801</v>
      </c>
      <c r="AI5207" s="4">
        <v>-0.27557354259655098</v>
      </c>
      <c r="AJ5207" s="4" t="s">
        <v>62</v>
      </c>
      <c r="AK5207" s="2">
        <v>0.51178939674892698</v>
      </c>
      <c r="AL5207" s="2">
        <v>0.74564261312843605</v>
      </c>
      <c r="AM5207" s="2">
        <v>5053.6349866420596</v>
      </c>
      <c r="AN5207" s="2">
        <v>3008.8033392286702</v>
      </c>
      <c r="AO5207" s="2">
        <v>6283.3267832891897</v>
      </c>
      <c r="AP5207" s="2">
        <v>287.78427787907498</v>
      </c>
      <c r="AQ5207" s="2">
        <v>4825.9442694789004</v>
      </c>
      <c r="AR5207" s="2">
        <v>2440.3360295463699</v>
      </c>
      <c r="AS5207" s="2">
        <v>6602.0841800512098</v>
      </c>
      <c r="AT5207" s="2">
        <v>6473.4481254412503</v>
      </c>
      <c r="AU5207" s="2">
        <v>3596.36416118957</v>
      </c>
      <c r="AV5207" s="2">
        <v>3338.3888048364402</v>
      </c>
      <c r="AW5207" s="2">
        <v>4033.4000668440999</v>
      </c>
      <c r="AX5207" s="2">
        <v>2465.5157600165999</v>
      </c>
    </row>
    <row r="5208" spans="1:50" x14ac:dyDescent="0.25">
      <c r="A5208" s="2" t="s">
        <v>34065</v>
      </c>
      <c r="B5208" s="2">
        <v>261.185737480471</v>
      </c>
      <c r="C5208" s="2">
        <v>9.8909166666666692</v>
      </c>
      <c r="D5208" s="2" t="s">
        <v>51</v>
      </c>
      <c r="E5208" s="2" t="s">
        <v>34066</v>
      </c>
      <c r="F5208" s="2">
        <v>2128</v>
      </c>
      <c r="G5208" s="3" t="str">
        <f>HYPERLINK("https://cloud.oebiotech.com/#/lm/network/2128", "https://cloud.oebiotech.com/#/lm/network/2128")</f>
        <v>https://cloud.oebiotech.com/#/lm/network/2128</v>
      </c>
      <c r="H5208" s="2"/>
      <c r="I5208" s="2">
        <v>74749</v>
      </c>
      <c r="J5208" s="2" t="s">
        <v>34067</v>
      </c>
      <c r="K5208" s="2">
        <v>5312904</v>
      </c>
      <c r="L5208" s="2"/>
      <c r="M5208" s="2"/>
      <c r="N5208" s="2"/>
      <c r="O5208" s="2"/>
      <c r="P5208" s="2"/>
      <c r="Q5208" s="2"/>
      <c r="R5208" s="2"/>
      <c r="S5208" s="2" t="s">
        <v>34068</v>
      </c>
      <c r="T5208" s="2" t="s">
        <v>34069</v>
      </c>
      <c r="U5208" s="2" t="s">
        <v>56</v>
      </c>
      <c r="V5208" s="2" t="s">
        <v>145</v>
      </c>
      <c r="W5208" s="2" t="s">
        <v>231</v>
      </c>
      <c r="X5208" s="2" t="s">
        <v>83</v>
      </c>
      <c r="Y5208" s="2">
        <v>40.5</v>
      </c>
      <c r="Z5208" s="2">
        <v>0</v>
      </c>
      <c r="AA5208" s="2" t="s">
        <v>156</v>
      </c>
      <c r="AB5208" s="2" t="s">
        <v>24375</v>
      </c>
      <c r="AC5208" s="2">
        <v>2.9873229235570999</v>
      </c>
      <c r="AD5208" s="2"/>
      <c r="AE5208" s="2">
        <v>4.4773598111317897E-2</v>
      </c>
      <c r="AF5208" s="2">
        <v>1194.6656248469501</v>
      </c>
      <c r="AG5208" s="2">
        <v>1110.1425752095799</v>
      </c>
      <c r="AH5208" s="5">
        <v>1.0761371120474501</v>
      </c>
      <c r="AI5208" s="5">
        <v>0.105861905281796</v>
      </c>
      <c r="AJ5208" s="5" t="s">
        <v>139</v>
      </c>
      <c r="AK5208" s="2">
        <v>0.85600812407186</v>
      </c>
      <c r="AL5208" s="2">
        <v>0.936349592975804</v>
      </c>
      <c r="AM5208" s="2">
        <v>3087.6134182025899</v>
      </c>
      <c r="AN5208" s="2">
        <v>893.22159165837502</v>
      </c>
      <c r="AO5208" s="2">
        <v>509.08840705982698</v>
      </c>
      <c r="AP5208" s="2">
        <v>1123.2431280370699</v>
      </c>
      <c r="AQ5208" s="2">
        <v>739.02521478557696</v>
      </c>
      <c r="AR5208" s="2">
        <v>815.80198933826898</v>
      </c>
      <c r="AS5208" s="2">
        <v>629.63910667919095</v>
      </c>
      <c r="AT5208" s="2">
        <v>435.82598010717197</v>
      </c>
      <c r="AU5208" s="2">
        <v>1906.10620464306</v>
      </c>
      <c r="AV5208" s="2">
        <v>1376.229871237</v>
      </c>
      <c r="AW5208" s="2">
        <v>1535.2665920402201</v>
      </c>
      <c r="AX5208" s="2">
        <v>777.78769655082897</v>
      </c>
    </row>
    <row r="5209" spans="1:50" x14ac:dyDescent="0.25">
      <c r="A5209" s="2" t="s">
        <v>34070</v>
      </c>
      <c r="B5209" s="2">
        <v>337.11159395458498</v>
      </c>
      <c r="C5209" s="2">
        <v>4.5012333333333299</v>
      </c>
      <c r="D5209" s="2" t="s">
        <v>51</v>
      </c>
      <c r="E5209" s="2" t="s">
        <v>34071</v>
      </c>
      <c r="F5209" s="2">
        <v>256872</v>
      </c>
      <c r="G5209" s="3" t="str">
        <f>HYPERLINK("https://cloud.oebiotech.com/#/lm/network/256872", "https://cloud.oebiotech.com/#/lm/network/256872")</f>
        <v>https://cloud.oebiotech.com/#/lm/network/256872</v>
      </c>
      <c r="H5209" s="2" t="s">
        <v>34072</v>
      </c>
      <c r="I5209" s="2"/>
      <c r="J5209" s="2"/>
      <c r="K5209" s="2"/>
      <c r="L5209" s="2"/>
      <c r="M5209" s="2"/>
      <c r="N5209" s="2"/>
      <c r="O5209" s="2"/>
      <c r="P5209" s="2"/>
      <c r="Q5209" s="2"/>
      <c r="R5209" s="2"/>
      <c r="S5209" s="2" t="s">
        <v>34073</v>
      </c>
      <c r="T5209" s="2" t="s">
        <v>34074</v>
      </c>
      <c r="U5209" s="2" t="s">
        <v>119</v>
      </c>
      <c r="V5209" s="2" t="s">
        <v>120</v>
      </c>
      <c r="W5209" s="2" t="s">
        <v>34075</v>
      </c>
      <c r="X5209" s="2" t="s">
        <v>147</v>
      </c>
      <c r="Y5209" s="2">
        <v>38.700000000000003</v>
      </c>
      <c r="Z5209" s="2">
        <v>7.63</v>
      </c>
      <c r="AA5209" s="2" t="s">
        <v>478</v>
      </c>
      <c r="AB5209" s="2" t="s">
        <v>34076</v>
      </c>
      <c r="AC5209" s="2">
        <v>-3.1899585874205298</v>
      </c>
      <c r="AD5209" s="2"/>
      <c r="AE5209" s="2">
        <v>4.4767809532316002E-2</v>
      </c>
      <c r="AF5209" s="2">
        <v>811.30241544987803</v>
      </c>
      <c r="AG5209" s="2">
        <v>597.98334957299096</v>
      </c>
      <c r="AH5209" s="5">
        <v>1.35673077858976</v>
      </c>
      <c r="AI5209" s="5">
        <v>0.44013446952080199</v>
      </c>
      <c r="AJ5209" s="5" t="s">
        <v>139</v>
      </c>
      <c r="AK5209" s="2">
        <v>0.48134282227962599</v>
      </c>
      <c r="AL5209" s="2">
        <v>0.72613802625696799</v>
      </c>
      <c r="AM5209" s="2">
        <v>313.28621464480801</v>
      </c>
      <c r="AN5209" s="2">
        <v>852.895494155194</v>
      </c>
      <c r="AO5209" s="2">
        <v>894.01564647262899</v>
      </c>
      <c r="AP5209" s="2">
        <v>510.23102602299701</v>
      </c>
      <c r="AQ5209" s="2">
        <v>337.59288497121202</v>
      </c>
      <c r="AR5209" s="2">
        <v>1959.7932264324299</v>
      </c>
      <c r="AS5209" s="2">
        <v>156.16455066982101</v>
      </c>
      <c r="AT5209" s="2">
        <v>324.827423719862</v>
      </c>
      <c r="AU5209" s="2">
        <v>1047.9933905647599</v>
      </c>
      <c r="AV5209" s="2">
        <v>359.14000680904098</v>
      </c>
      <c r="AW5209" s="2">
        <v>901.04980646372996</v>
      </c>
      <c r="AX5209" s="2">
        <v>798.72491921073095</v>
      </c>
    </row>
    <row r="5210" spans="1:50" x14ac:dyDescent="0.25">
      <c r="A5210" s="2" t="s">
        <v>34077</v>
      </c>
      <c r="B5210" s="2">
        <v>208.13398417156699</v>
      </c>
      <c r="C5210" s="2">
        <v>4.6486833333333299</v>
      </c>
      <c r="D5210" s="2" t="s">
        <v>51</v>
      </c>
      <c r="E5210" s="2" t="s">
        <v>34078</v>
      </c>
      <c r="F5210" s="2">
        <v>63243</v>
      </c>
      <c r="G5210" s="3" t="str">
        <f>HYPERLINK("https://cloud.oebiotech.com/#/lm/network/63243", "https://cloud.oebiotech.com/#/lm/network/63243")</f>
        <v>https://cloud.oebiotech.com/#/lm/network/63243</v>
      </c>
      <c r="H5210" s="2" t="s">
        <v>34079</v>
      </c>
      <c r="I5210" s="2">
        <v>94551</v>
      </c>
      <c r="J5210" s="2"/>
      <c r="K5210" s="2">
        <v>86127015</v>
      </c>
      <c r="L5210" s="2"/>
      <c r="M5210" s="2"/>
      <c r="N5210" s="2"/>
      <c r="O5210" s="2"/>
      <c r="P5210" s="2"/>
      <c r="Q5210" s="2"/>
      <c r="R5210" s="2" t="s">
        <v>34080</v>
      </c>
      <c r="S5210" s="2" t="s">
        <v>34081</v>
      </c>
      <c r="T5210" s="2" t="s">
        <v>34082</v>
      </c>
      <c r="U5210" s="2" t="s">
        <v>266</v>
      </c>
      <c r="V5210" s="2" t="s">
        <v>30625</v>
      </c>
      <c r="W5210" s="2" t="s">
        <v>240</v>
      </c>
      <c r="X5210" s="2" t="s">
        <v>83</v>
      </c>
      <c r="Y5210" s="2">
        <v>38.200000000000003</v>
      </c>
      <c r="Z5210" s="2">
        <v>0</v>
      </c>
      <c r="AA5210" s="2" t="s">
        <v>259</v>
      </c>
      <c r="AB5210" s="2" t="s">
        <v>11143</v>
      </c>
      <c r="AC5210" s="2">
        <v>3.7607578246118401</v>
      </c>
      <c r="AD5210" s="2"/>
      <c r="AE5210" s="2">
        <v>4.4762075832017002E-2</v>
      </c>
      <c r="AF5210" s="2">
        <v>598.06452754841803</v>
      </c>
      <c r="AG5210" s="2">
        <v>485.12172943067497</v>
      </c>
      <c r="AH5210" s="5">
        <v>1.2328133152276901</v>
      </c>
      <c r="AI5210" s="5">
        <v>0.30195434914347602</v>
      </c>
      <c r="AJ5210" s="5" t="s">
        <v>139</v>
      </c>
      <c r="AK5210" s="2">
        <v>0.32934429060292703</v>
      </c>
      <c r="AL5210" s="2">
        <v>0.63135842857913305</v>
      </c>
      <c r="AM5210" s="2">
        <v>542.08466602975</v>
      </c>
      <c r="AN5210" s="2">
        <v>430.41787489781802</v>
      </c>
      <c r="AO5210" s="2">
        <v>642.48064760878299</v>
      </c>
      <c r="AP5210" s="2">
        <v>818.70861042223703</v>
      </c>
      <c r="AQ5210" s="2">
        <v>619.53570966690802</v>
      </c>
      <c r="AR5210" s="2">
        <v>535.15965666501404</v>
      </c>
      <c r="AS5210" s="2">
        <v>190.77247089151501</v>
      </c>
      <c r="AT5210" s="2">
        <v>594.79570654209101</v>
      </c>
      <c r="AU5210" s="2">
        <v>741.05461477457698</v>
      </c>
      <c r="AV5210" s="2">
        <v>638.57983143702802</v>
      </c>
      <c r="AW5210" s="2">
        <v>552.601709896888</v>
      </c>
      <c r="AX5210" s="2">
        <v>192.92604304194899</v>
      </c>
    </row>
    <row r="5211" spans="1:50" x14ac:dyDescent="0.25">
      <c r="A5211" s="2" t="s">
        <v>34083</v>
      </c>
      <c r="B5211" s="2">
        <v>768.54013226476104</v>
      </c>
      <c r="C5211" s="2">
        <v>9.4429666666666705</v>
      </c>
      <c r="D5211" s="2" t="s">
        <v>51</v>
      </c>
      <c r="E5211" s="2" t="s">
        <v>34084</v>
      </c>
      <c r="F5211" s="2">
        <v>55500</v>
      </c>
      <c r="G5211" s="3" t="str">
        <f>HYPERLINK("https://cloud.oebiotech.com/#/lm/network/55500", "https://cloud.oebiotech.com/#/lm/network/55500")</f>
        <v>https://cloud.oebiotech.com/#/lm/network/55500</v>
      </c>
      <c r="H5211" s="2" t="s">
        <v>34085</v>
      </c>
      <c r="I5211" s="2">
        <v>87174</v>
      </c>
      <c r="J5211" s="2"/>
      <c r="K5211" s="2">
        <v>129681811</v>
      </c>
      <c r="L5211" s="2"/>
      <c r="M5211" s="2"/>
      <c r="N5211" s="2"/>
      <c r="O5211" s="2">
        <v>168609</v>
      </c>
      <c r="P5211" s="2"/>
      <c r="Q5211" s="2"/>
      <c r="R5211" s="2"/>
      <c r="S5211" s="2" t="s">
        <v>34086</v>
      </c>
      <c r="T5211" s="2" t="s">
        <v>34087</v>
      </c>
      <c r="U5211" s="2" t="s">
        <v>540</v>
      </c>
      <c r="V5211" s="2" t="s">
        <v>3291</v>
      </c>
      <c r="W5211" s="2" t="s">
        <v>3292</v>
      </c>
      <c r="X5211" s="2" t="s">
        <v>147</v>
      </c>
      <c r="Y5211" s="2">
        <v>37</v>
      </c>
      <c r="Z5211" s="2">
        <v>0</v>
      </c>
      <c r="AA5211" s="2" t="s">
        <v>526</v>
      </c>
      <c r="AB5211" s="2" t="s">
        <v>34088</v>
      </c>
      <c r="AC5211" s="2">
        <v>-1.01593529145021</v>
      </c>
      <c r="AD5211" s="2"/>
      <c r="AE5211" s="2">
        <v>4.4557419529366302E-2</v>
      </c>
      <c r="AF5211" s="2">
        <v>13929.503898736601</v>
      </c>
      <c r="AG5211" s="2">
        <v>13100.1266543618</v>
      </c>
      <c r="AH5211" s="5">
        <v>1.0633106279242499</v>
      </c>
      <c r="AI5211" s="5">
        <v>8.8563117001754094E-2</v>
      </c>
      <c r="AJ5211" s="5" t="s">
        <v>139</v>
      </c>
      <c r="AK5211" s="2">
        <v>0.79663364501355405</v>
      </c>
      <c r="AL5211" s="2">
        <v>0.90954932814260703</v>
      </c>
      <c r="AM5211" s="2">
        <v>15305.9410868987</v>
      </c>
      <c r="AN5211" s="2">
        <v>17827.536917531001</v>
      </c>
      <c r="AO5211" s="2">
        <v>11925.5348311623</v>
      </c>
      <c r="AP5211" s="2">
        <v>6173.2143382172999</v>
      </c>
      <c r="AQ5211" s="2">
        <v>14104.336189760899</v>
      </c>
      <c r="AR5211" s="2">
        <v>18240.4600288496</v>
      </c>
      <c r="AS5211" s="2">
        <v>12900.549819870699</v>
      </c>
      <c r="AT5211" s="2">
        <v>5299.82381998236</v>
      </c>
      <c r="AU5211" s="2">
        <v>9179.2350955394704</v>
      </c>
      <c r="AV5211" s="2">
        <v>10288.566255822199</v>
      </c>
      <c r="AW5211" s="2">
        <v>19463.928119752702</v>
      </c>
      <c r="AX5211" s="2">
        <v>21468.6568152035</v>
      </c>
    </row>
    <row r="5212" spans="1:50" x14ac:dyDescent="0.25">
      <c r="A5212" s="2" t="s">
        <v>34089</v>
      </c>
      <c r="B5212" s="2">
        <v>205.06884349817699</v>
      </c>
      <c r="C5212" s="2">
        <v>0.68110000000000004</v>
      </c>
      <c r="D5212" s="2" t="s">
        <v>51</v>
      </c>
      <c r="E5212" s="2" t="s">
        <v>34090</v>
      </c>
      <c r="F5212" s="2">
        <v>47209</v>
      </c>
      <c r="G5212" s="3" t="str">
        <f>HYPERLINK("https://cloud.oebiotech.com/#/lm/network/47209", "https://cloud.oebiotech.com/#/lm/network/47209")</f>
        <v>https://cloud.oebiotech.com/#/lm/network/47209</v>
      </c>
      <c r="H5212" s="2" t="s">
        <v>34091</v>
      </c>
      <c r="I5212" s="2">
        <v>142</v>
      </c>
      <c r="J5212" s="2"/>
      <c r="K5212" s="2">
        <v>6251</v>
      </c>
      <c r="L5212" s="2" t="s">
        <v>34092</v>
      </c>
      <c r="M5212" s="2" t="s">
        <v>9910</v>
      </c>
      <c r="N5212" s="2" t="s">
        <v>9911</v>
      </c>
      <c r="O5212" s="2">
        <v>16899</v>
      </c>
      <c r="P5212" s="2"/>
      <c r="Q5212" s="2"/>
      <c r="R5212" s="2" t="s">
        <v>34093</v>
      </c>
      <c r="S5212" s="2" t="s">
        <v>34094</v>
      </c>
      <c r="T5212" s="2" t="s">
        <v>34095</v>
      </c>
      <c r="U5212" s="2" t="s">
        <v>331</v>
      </c>
      <c r="V5212" s="2" t="s">
        <v>332</v>
      </c>
      <c r="W5212" s="2" t="s">
        <v>333</v>
      </c>
      <c r="X5212" s="2" t="s">
        <v>83</v>
      </c>
      <c r="Y5212" s="2">
        <v>45.2</v>
      </c>
      <c r="Z5212" s="2">
        <v>26.9</v>
      </c>
      <c r="AA5212" s="2" t="s">
        <v>1123</v>
      </c>
      <c r="AB5212" s="2" t="s">
        <v>7128</v>
      </c>
      <c r="AC5212" s="2">
        <v>3.21097827918382</v>
      </c>
      <c r="AD5212" s="2"/>
      <c r="AE5212" s="2">
        <v>4.4508266654101299E-2</v>
      </c>
      <c r="AF5212" s="2">
        <v>34282.094444533002</v>
      </c>
      <c r="AG5212" s="2">
        <v>47642.004020519104</v>
      </c>
      <c r="AH5212" s="4">
        <v>0.71957708642499396</v>
      </c>
      <c r="AI5212" s="4">
        <v>-0.47477884746882298</v>
      </c>
      <c r="AJ5212" s="4" t="s">
        <v>62</v>
      </c>
      <c r="AK5212" s="2">
        <v>0.72298504867034297</v>
      </c>
      <c r="AL5212" s="2">
        <v>0.87172263077900602</v>
      </c>
      <c r="AM5212" s="2">
        <v>151033.36481477501</v>
      </c>
      <c r="AN5212" s="2">
        <v>3284.2805302264801</v>
      </c>
      <c r="AO5212" s="2">
        <v>19946.0982928552</v>
      </c>
      <c r="AP5212" s="2">
        <v>13666.428252441599</v>
      </c>
      <c r="AQ5212" s="2">
        <v>10280.896985519799</v>
      </c>
      <c r="AR5212" s="2">
        <v>7481.4977913799803</v>
      </c>
      <c r="AS5212" s="2">
        <v>104932.60196699201</v>
      </c>
      <c r="AT5212" s="2">
        <v>162096.40266571901</v>
      </c>
      <c r="AU5212" s="2">
        <v>5727.0837886395202</v>
      </c>
      <c r="AV5212" s="2">
        <v>5069.6831223361096</v>
      </c>
      <c r="AW5212" s="2">
        <v>4507.72529675849</v>
      </c>
      <c r="AX5212" s="2">
        <v>3518.52728266958</v>
      </c>
    </row>
    <row r="5213" spans="1:50" x14ac:dyDescent="0.25">
      <c r="A5213" s="2" t="s">
        <v>34096</v>
      </c>
      <c r="B5213" s="2">
        <v>177.10279067952899</v>
      </c>
      <c r="C5213" s="2">
        <v>1.04843333333333</v>
      </c>
      <c r="D5213" s="2" t="s">
        <v>51</v>
      </c>
      <c r="E5213" s="2" t="s">
        <v>34097</v>
      </c>
      <c r="F5213" s="2">
        <v>257921</v>
      </c>
      <c r="G5213" s="3" t="str">
        <f>HYPERLINK("https://cloud.oebiotech.com/#/lm/network/257921", "https://cloud.oebiotech.com/#/lm/network/257921")</f>
        <v>https://cloud.oebiotech.com/#/lm/network/257921</v>
      </c>
      <c r="H5213" s="2"/>
      <c r="I5213" s="2">
        <v>1531</v>
      </c>
      <c r="J5213" s="2"/>
      <c r="K5213" s="2">
        <v>854019</v>
      </c>
      <c r="L5213" s="2"/>
      <c r="M5213" s="2"/>
      <c r="N5213" s="2"/>
      <c r="O5213" s="2"/>
      <c r="P5213" s="2"/>
      <c r="Q5213" s="2"/>
      <c r="R5213" s="2" t="s">
        <v>34098</v>
      </c>
      <c r="S5213" s="2" t="s">
        <v>34099</v>
      </c>
      <c r="T5213" s="2" t="s">
        <v>34100</v>
      </c>
      <c r="U5213" s="2" t="s">
        <v>266</v>
      </c>
      <c r="V5213" s="2" t="s">
        <v>2143</v>
      </c>
      <c r="W5213" s="2" t="s">
        <v>20237</v>
      </c>
      <c r="X5213" s="2" t="s">
        <v>147</v>
      </c>
      <c r="Y5213" s="2">
        <v>38.4</v>
      </c>
      <c r="Z5213" s="2">
        <v>5.77</v>
      </c>
      <c r="AA5213" s="2" t="s">
        <v>259</v>
      </c>
      <c r="AB5213" s="2" t="s">
        <v>22661</v>
      </c>
      <c r="AC5213" s="2">
        <v>3.1303196849150199</v>
      </c>
      <c r="AD5213" s="2"/>
      <c r="AE5213" s="2">
        <v>4.4461597501278802E-2</v>
      </c>
      <c r="AF5213" s="2">
        <v>6875.4683010972703</v>
      </c>
      <c r="AG5213" s="2">
        <v>6955.7988149080102</v>
      </c>
      <c r="AH5213" s="4">
        <v>0.98845128849348396</v>
      </c>
      <c r="AI5213" s="4">
        <v>-1.67582241078678E-2</v>
      </c>
      <c r="AJ5213" s="4" t="s">
        <v>62</v>
      </c>
      <c r="AK5213" s="2">
        <v>0.97411799323439696</v>
      </c>
      <c r="AL5213" s="2">
        <v>0.98961987095013904</v>
      </c>
      <c r="AM5213" s="2">
        <v>4649.8882093450502</v>
      </c>
      <c r="AN5213" s="2">
        <v>6440.3522182115303</v>
      </c>
      <c r="AO5213" s="2">
        <v>13672.137971293099</v>
      </c>
      <c r="AP5213" s="2">
        <v>5326.7058874245904</v>
      </c>
      <c r="AQ5213" s="2">
        <v>7307.2882175199502</v>
      </c>
      <c r="AR5213" s="2">
        <v>3856.4373027893798</v>
      </c>
      <c r="AS5213" s="2">
        <v>6240.8344835103298</v>
      </c>
      <c r="AT5213" s="2">
        <v>16458.668610560999</v>
      </c>
      <c r="AU5213" s="2">
        <v>4177.8357251203397</v>
      </c>
      <c r="AV5213" s="2">
        <v>4414.2153131675996</v>
      </c>
      <c r="AW5213" s="2">
        <v>4548.9890283241402</v>
      </c>
      <c r="AX5213" s="2">
        <v>5894.2497287646402</v>
      </c>
    </row>
    <row r="5214" spans="1:50" x14ac:dyDescent="0.25">
      <c r="A5214" s="2" t="s">
        <v>34101</v>
      </c>
      <c r="B5214" s="2">
        <v>321.20706080818002</v>
      </c>
      <c r="C5214" s="2">
        <v>10.1415333333333</v>
      </c>
      <c r="D5214" s="2" t="s">
        <v>51</v>
      </c>
      <c r="E5214" s="2" t="s">
        <v>34102</v>
      </c>
      <c r="F5214" s="2">
        <v>57830</v>
      </c>
      <c r="G5214" s="3" t="str">
        <f>HYPERLINK("https://cloud.oebiotech.com/#/lm/network/57830", "https://cloud.oebiotech.com/#/lm/network/57830")</f>
        <v>https://cloud.oebiotech.com/#/lm/network/57830</v>
      </c>
      <c r="H5214" s="2" t="s">
        <v>34103</v>
      </c>
      <c r="I5214" s="2">
        <v>84966</v>
      </c>
      <c r="J5214" s="2"/>
      <c r="K5214" s="2">
        <v>5275725</v>
      </c>
      <c r="L5214" s="2" t="s">
        <v>34104</v>
      </c>
      <c r="M5214" s="2"/>
      <c r="N5214" s="2"/>
      <c r="O5214" s="2"/>
      <c r="P5214" s="2"/>
      <c r="Q5214" s="2"/>
      <c r="R5214" s="2" t="s">
        <v>34105</v>
      </c>
      <c r="S5214" s="2" t="s">
        <v>34106</v>
      </c>
      <c r="T5214" s="2" t="s">
        <v>34107</v>
      </c>
      <c r="U5214" s="2" t="s">
        <v>610</v>
      </c>
      <c r="V5214" s="2" t="s">
        <v>895</v>
      </c>
      <c r="W5214" s="2" t="s">
        <v>896</v>
      </c>
      <c r="X5214" s="2" t="s">
        <v>83</v>
      </c>
      <c r="Y5214" s="2">
        <v>40.5</v>
      </c>
      <c r="Z5214" s="2">
        <v>0</v>
      </c>
      <c r="AA5214" s="2" t="s">
        <v>163</v>
      </c>
      <c r="AB5214" s="2" t="s">
        <v>520</v>
      </c>
      <c r="AC5214" s="2">
        <v>-0.22407489491131199</v>
      </c>
      <c r="AD5214" s="2"/>
      <c r="AE5214" s="2">
        <v>4.4420103641447002E-2</v>
      </c>
      <c r="AF5214" s="2">
        <v>1442.58972941296</v>
      </c>
      <c r="AG5214" s="2">
        <v>1150.3048273112299</v>
      </c>
      <c r="AH5214" s="5">
        <v>1.25409343259467</v>
      </c>
      <c r="AI5214" s="5">
        <v>0.326644835954637</v>
      </c>
      <c r="AJ5214" s="5" t="s">
        <v>139</v>
      </c>
      <c r="AK5214" s="2">
        <v>0.55890191041016302</v>
      </c>
      <c r="AL5214" s="2">
        <v>0.778439037851683</v>
      </c>
      <c r="AM5214" s="2">
        <v>713.59046844001602</v>
      </c>
      <c r="AN5214" s="2">
        <v>1812.89044252433</v>
      </c>
      <c r="AO5214" s="2">
        <v>2648.8032225407901</v>
      </c>
      <c r="AP5214" s="2">
        <v>1724.4223014382801</v>
      </c>
      <c r="AQ5214" s="2">
        <v>365.07904673460501</v>
      </c>
      <c r="AR5214" s="2">
        <v>1390.75289479975</v>
      </c>
      <c r="AS5214" s="2">
        <v>2494.0185707329301</v>
      </c>
      <c r="AT5214" s="2">
        <v>154.66890983977001</v>
      </c>
      <c r="AU5214" s="2">
        <v>1748.8310449744199</v>
      </c>
      <c r="AV5214" s="2">
        <v>762.59327594439503</v>
      </c>
      <c r="AW5214" s="2">
        <v>568.65767545917504</v>
      </c>
      <c r="AX5214" s="2">
        <v>1173.0594869167101</v>
      </c>
    </row>
    <row r="5215" spans="1:50" x14ac:dyDescent="0.25">
      <c r="A5215" s="2" t="s">
        <v>34108</v>
      </c>
      <c r="B5215" s="2">
        <v>272.25935461881301</v>
      </c>
      <c r="C5215" s="2">
        <v>8.1293166666666696</v>
      </c>
      <c r="D5215" s="2" t="s">
        <v>51</v>
      </c>
      <c r="E5215" s="2" t="s">
        <v>34109</v>
      </c>
      <c r="F5215" s="2">
        <v>38932</v>
      </c>
      <c r="G5215" s="3" t="str">
        <f>HYPERLINK("https://cloud.oebiotech.com/#/lm/network/38932", "https://cloud.oebiotech.com/#/lm/network/38932")</f>
        <v>https://cloud.oebiotech.com/#/lm/network/38932</v>
      </c>
      <c r="H5215" s="2" t="s">
        <v>34110</v>
      </c>
      <c r="I5215" s="2">
        <v>53900</v>
      </c>
      <c r="J5215" s="2" t="s">
        <v>34111</v>
      </c>
      <c r="K5215" s="2">
        <v>14767871</v>
      </c>
      <c r="L5215" s="2"/>
      <c r="M5215" s="2"/>
      <c r="N5215" s="2"/>
      <c r="O5215" s="2">
        <v>71052</v>
      </c>
      <c r="P5215" s="2"/>
      <c r="Q5215" s="2"/>
      <c r="R5215" s="2"/>
      <c r="S5215" s="2" t="s">
        <v>34112</v>
      </c>
      <c r="T5215" s="2" t="s">
        <v>34113</v>
      </c>
      <c r="U5215" s="2" t="s">
        <v>119</v>
      </c>
      <c r="V5215" s="2" t="s">
        <v>120</v>
      </c>
      <c r="W5215" s="2" t="s">
        <v>1887</v>
      </c>
      <c r="X5215" s="2" t="s">
        <v>69</v>
      </c>
      <c r="Y5215" s="2">
        <v>55.9</v>
      </c>
      <c r="Z5215" s="2">
        <v>68.8</v>
      </c>
      <c r="AA5215" s="2" t="s">
        <v>60</v>
      </c>
      <c r="AB5215" s="2" t="s">
        <v>34114</v>
      </c>
      <c r="AC5215" s="2">
        <v>3.4981774485119899</v>
      </c>
      <c r="AD5215" s="2"/>
      <c r="AE5215" s="2">
        <v>4.44130841344978E-2</v>
      </c>
      <c r="AF5215" s="2">
        <v>4207.9759577643899</v>
      </c>
      <c r="AG5215" s="2">
        <v>3535.7026020357198</v>
      </c>
      <c r="AH5215" s="5">
        <v>1.1901385470999799</v>
      </c>
      <c r="AI5215" s="5">
        <v>0.25112953116285602</v>
      </c>
      <c r="AJ5215" s="5" t="s">
        <v>139</v>
      </c>
      <c r="AK5215" s="2">
        <v>0.81963567242841795</v>
      </c>
      <c r="AL5215" s="2">
        <v>0.92139104959810403</v>
      </c>
      <c r="AM5215" s="2">
        <v>610.968469131088</v>
      </c>
      <c r="AN5215" s="2">
        <v>195.13344795349801</v>
      </c>
      <c r="AO5215" s="2">
        <v>7612.2731358394904</v>
      </c>
      <c r="AP5215" s="2">
        <v>1079.07163867862</v>
      </c>
      <c r="AQ5215" s="2">
        <v>15534.6134107826</v>
      </c>
      <c r="AR5215" s="2">
        <v>215.795644201047</v>
      </c>
      <c r="AS5215" s="2">
        <v>3265.8692325012298</v>
      </c>
      <c r="AT5215" s="2">
        <v>4521.1369787889198</v>
      </c>
      <c r="AU5215" s="2">
        <v>3921.7993211667399</v>
      </c>
      <c r="AV5215" s="2">
        <v>296.213803829119</v>
      </c>
      <c r="AW5215" s="2">
        <v>200.206820058056</v>
      </c>
      <c r="AX5215" s="2">
        <v>9008.9894558702399</v>
      </c>
    </row>
    <row r="5216" spans="1:50" x14ac:dyDescent="0.25">
      <c r="A5216" s="2" t="s">
        <v>34115</v>
      </c>
      <c r="B5216" s="2">
        <v>332.332109215993</v>
      </c>
      <c r="C5216" s="2">
        <v>10.132949999999999</v>
      </c>
      <c r="D5216" s="2" t="s">
        <v>51</v>
      </c>
      <c r="E5216" s="2" t="s">
        <v>34116</v>
      </c>
      <c r="F5216" s="2">
        <v>296305</v>
      </c>
      <c r="G5216" s="3" t="str">
        <f>HYPERLINK("https://cloud.oebiotech.com/#/lm/network/296305", "https://cloud.oebiotech.com/#/lm/network/296305")</f>
        <v>https://cloud.oebiotech.com/#/lm/network/296305</v>
      </c>
      <c r="H5216" s="2"/>
      <c r="I5216" s="2">
        <v>320737</v>
      </c>
      <c r="J5216" s="2"/>
      <c r="K5216" s="2">
        <v>8756</v>
      </c>
      <c r="L5216" s="2"/>
      <c r="M5216" s="2"/>
      <c r="N5216" s="2"/>
      <c r="O5216" s="2"/>
      <c r="P5216" s="2"/>
      <c r="Q5216" s="2"/>
      <c r="R5216" s="2"/>
      <c r="S5216" s="2" t="s">
        <v>34117</v>
      </c>
      <c r="T5216" s="2" t="s">
        <v>34118</v>
      </c>
      <c r="U5216" s="2" t="s">
        <v>610</v>
      </c>
      <c r="V5216" s="2" t="s">
        <v>611</v>
      </c>
      <c r="W5216" s="2" t="s">
        <v>21385</v>
      </c>
      <c r="X5216" s="2" t="s">
        <v>147</v>
      </c>
      <c r="Y5216" s="2">
        <v>38.4</v>
      </c>
      <c r="Z5216" s="2">
        <v>0</v>
      </c>
      <c r="AA5216" s="2" t="s">
        <v>122</v>
      </c>
      <c r="AB5216" s="2" t="s">
        <v>34119</v>
      </c>
      <c r="AC5216" s="2">
        <v>1.15476261753897</v>
      </c>
      <c r="AD5216" s="2"/>
      <c r="AE5216" s="2">
        <v>4.4376069340268297E-2</v>
      </c>
      <c r="AF5216" s="2">
        <v>10869.3591864102</v>
      </c>
      <c r="AG5216" s="2">
        <v>10696.3862793226</v>
      </c>
      <c r="AH5216" s="5">
        <v>1.0161711537495599</v>
      </c>
      <c r="AI5216" s="5">
        <v>2.3143415761602299E-2</v>
      </c>
      <c r="AJ5216" s="5" t="s">
        <v>139</v>
      </c>
      <c r="AK5216" s="2">
        <v>0.81021679338846397</v>
      </c>
      <c r="AL5216" s="2">
        <v>0.91536766933345504</v>
      </c>
      <c r="AM5216" s="2">
        <v>10277.265765010099</v>
      </c>
      <c r="AN5216" s="2">
        <v>13508.666754824701</v>
      </c>
      <c r="AO5216" s="2">
        <v>11157.7749096431</v>
      </c>
      <c r="AP5216" s="2">
        <v>10145.7974878681</v>
      </c>
      <c r="AQ5216" s="2">
        <v>11187.376114791999</v>
      </c>
      <c r="AR5216" s="2">
        <v>8939.2740863229701</v>
      </c>
      <c r="AS5216" s="2">
        <v>11651.802438246799</v>
      </c>
      <c r="AT5216" s="2">
        <v>11402.9388072686</v>
      </c>
      <c r="AU5216" s="2">
        <v>9786.2452655356992</v>
      </c>
      <c r="AV5216" s="2">
        <v>10738.455654928999</v>
      </c>
      <c r="AW5216" s="2">
        <v>9822.4959675936298</v>
      </c>
      <c r="AX5216" s="2">
        <v>10776.379542361899</v>
      </c>
    </row>
    <row r="5217" spans="1:50" x14ac:dyDescent="0.25">
      <c r="A5217" s="2" t="s">
        <v>34120</v>
      </c>
      <c r="B5217" s="2">
        <v>164.95619344692</v>
      </c>
      <c r="C5217" s="2">
        <v>1.85361666666667</v>
      </c>
      <c r="D5217" s="2" t="s">
        <v>51</v>
      </c>
      <c r="E5217" s="2" t="s">
        <v>34121</v>
      </c>
      <c r="F5217" s="2">
        <v>199441</v>
      </c>
      <c r="G5217" s="3" t="str">
        <f>HYPERLINK("https://cloud.oebiotech.com/#/lm/network/199441", "https://cloud.oebiotech.com/#/lm/network/199441")</f>
        <v>https://cloud.oebiotech.com/#/lm/network/199441</v>
      </c>
      <c r="H5217" s="2" t="s">
        <v>34122</v>
      </c>
      <c r="I5217" s="2"/>
      <c r="J5217" s="2"/>
      <c r="K5217" s="2">
        <v>10962</v>
      </c>
      <c r="L5217" s="2"/>
      <c r="M5217" s="2"/>
      <c r="N5217" s="2"/>
      <c r="O5217" s="2"/>
      <c r="P5217" s="2"/>
      <c r="Q5217" s="2"/>
      <c r="R5217" s="2"/>
      <c r="S5217" s="2" t="s">
        <v>34123</v>
      </c>
      <c r="T5217" s="2" t="s">
        <v>34124</v>
      </c>
      <c r="U5217" s="2" t="s">
        <v>1357</v>
      </c>
      <c r="V5217" s="2" t="s">
        <v>3792</v>
      </c>
      <c r="W5217" s="2" t="s">
        <v>240</v>
      </c>
      <c r="X5217" s="2" t="s">
        <v>147</v>
      </c>
      <c r="Y5217" s="2">
        <v>38.1</v>
      </c>
      <c r="Z5217" s="2">
        <v>0</v>
      </c>
      <c r="AA5217" s="2" t="s">
        <v>379</v>
      </c>
      <c r="AB5217" s="2" t="s">
        <v>34125</v>
      </c>
      <c r="AC5217" s="2">
        <v>-4.6947802036785298</v>
      </c>
      <c r="AD5217" s="2"/>
      <c r="AE5217" s="2">
        <v>4.4370359358771802E-2</v>
      </c>
      <c r="AF5217" s="2">
        <v>4103.22879064681</v>
      </c>
      <c r="AG5217" s="2">
        <v>4852.6608510575397</v>
      </c>
      <c r="AH5217" s="4">
        <v>0.84556265450790502</v>
      </c>
      <c r="AI5217" s="4">
        <v>-0.24201643546339599</v>
      </c>
      <c r="AJ5217" s="4" t="s">
        <v>62</v>
      </c>
      <c r="AK5217" s="2">
        <v>0.497310626888538</v>
      </c>
      <c r="AL5217" s="2">
        <v>0.73610899821422404</v>
      </c>
      <c r="AM5217" s="2">
        <v>7602.33684028061</v>
      </c>
      <c r="AN5217" s="2">
        <v>3299.8683852614899</v>
      </c>
      <c r="AO5217" s="2">
        <v>2914.3115752415201</v>
      </c>
      <c r="AP5217" s="2">
        <v>4837.3639114821599</v>
      </c>
      <c r="AQ5217" s="2">
        <v>2646.2448296688299</v>
      </c>
      <c r="AR5217" s="2">
        <v>3319.2472019462398</v>
      </c>
      <c r="AS5217" s="2">
        <v>4427.9284824701099</v>
      </c>
      <c r="AT5217" s="2">
        <v>4343.0056887057999</v>
      </c>
      <c r="AU5217" s="2">
        <v>8339.0204939346804</v>
      </c>
      <c r="AV5217" s="2">
        <v>5007.1557712780696</v>
      </c>
      <c r="AW5217" s="2">
        <v>3268.8239774039298</v>
      </c>
      <c r="AX5217" s="2">
        <v>3730.0306925526702</v>
      </c>
    </row>
    <row r="5218" spans="1:50" x14ac:dyDescent="0.25">
      <c r="A5218" s="2" t="s">
        <v>34126</v>
      </c>
      <c r="B5218" s="2">
        <v>426.21715528529103</v>
      </c>
      <c r="C5218" s="2">
        <v>4.2174666666666702</v>
      </c>
      <c r="D5218" s="2" t="s">
        <v>51</v>
      </c>
      <c r="E5218" s="2" t="s">
        <v>34127</v>
      </c>
      <c r="F5218" s="2">
        <v>210546</v>
      </c>
      <c r="G5218" s="3" t="str">
        <f>HYPERLINK("https://cloud.oebiotech.com/#/lm/network/210546", "https://cloud.oebiotech.com/#/lm/network/210546")</f>
        <v>https://cloud.oebiotech.com/#/lm/network/210546</v>
      </c>
      <c r="H5218" s="2" t="s">
        <v>34128</v>
      </c>
      <c r="I5218" s="2"/>
      <c r="J5218" s="2"/>
      <c r="K5218" s="2"/>
      <c r="L5218" s="2"/>
      <c r="M5218" s="2"/>
      <c r="N5218" s="2"/>
      <c r="O5218" s="2">
        <v>32041</v>
      </c>
      <c r="P5218" s="2"/>
      <c r="Q5218" s="2"/>
      <c r="R5218" s="2"/>
      <c r="S5218" s="2" t="s">
        <v>34129</v>
      </c>
      <c r="T5218" s="2" t="s">
        <v>34130</v>
      </c>
      <c r="U5218" s="2" t="s">
        <v>610</v>
      </c>
      <c r="V5218" s="2" t="s">
        <v>611</v>
      </c>
      <c r="W5218" s="2" t="s">
        <v>8482</v>
      </c>
      <c r="X5218" s="2" t="s">
        <v>147</v>
      </c>
      <c r="Y5218" s="2">
        <v>37.1</v>
      </c>
      <c r="Z5218" s="2">
        <v>0</v>
      </c>
      <c r="AA5218" s="2" t="s">
        <v>122</v>
      </c>
      <c r="AB5218" s="2" t="s">
        <v>34131</v>
      </c>
      <c r="AC5218" s="2">
        <v>0.81109684904103296</v>
      </c>
      <c r="AD5218" s="2"/>
      <c r="AE5218" s="2">
        <v>4.4315854422925398E-2</v>
      </c>
      <c r="AF5218" s="2">
        <v>1987.6722215632401</v>
      </c>
      <c r="AG5218" s="2">
        <v>2198.5084822793301</v>
      </c>
      <c r="AH5218" s="4">
        <v>0.90410031964147497</v>
      </c>
      <c r="AI5218" s="4">
        <v>-0.145445230853921</v>
      </c>
      <c r="AJ5218" s="4" t="s">
        <v>62</v>
      </c>
      <c r="AK5218" s="2">
        <v>0.889349046690045</v>
      </c>
      <c r="AL5218" s="2">
        <v>0.95222097208274104</v>
      </c>
      <c r="AM5218" s="2">
        <v>3089.2481830635002</v>
      </c>
      <c r="AN5218" s="2">
        <v>8.559877937157E-6</v>
      </c>
      <c r="AO5218" s="2">
        <v>730.70185611483396</v>
      </c>
      <c r="AP5218" s="2">
        <v>406.47055226919002</v>
      </c>
      <c r="AQ5218" s="2">
        <v>4006.8120844212199</v>
      </c>
      <c r="AR5218" s="2">
        <v>3692.8006449508098</v>
      </c>
      <c r="AS5218" s="2">
        <v>8.559877937157E-6</v>
      </c>
      <c r="AT5218" s="2">
        <v>200.09861950077999</v>
      </c>
      <c r="AU5218" s="2">
        <v>950.36167171565</v>
      </c>
      <c r="AV5218" s="2">
        <v>7571.7803775576804</v>
      </c>
      <c r="AW5218" s="2">
        <v>8.559877937157E-6</v>
      </c>
      <c r="AX5218" s="2">
        <v>4468.8102077821304</v>
      </c>
    </row>
    <row r="5219" spans="1:50" x14ac:dyDescent="0.25">
      <c r="A5219" s="2" t="s">
        <v>34132</v>
      </c>
      <c r="B5219" s="2">
        <v>384.276029492237</v>
      </c>
      <c r="C5219" s="2">
        <v>7.3238666666666701</v>
      </c>
      <c r="D5219" s="2" t="s">
        <v>51</v>
      </c>
      <c r="E5219" s="2" t="s">
        <v>34133</v>
      </c>
      <c r="F5219" s="2">
        <v>45010</v>
      </c>
      <c r="G5219" s="3" t="str">
        <f>HYPERLINK("https://cloud.oebiotech.com/#/lm/network/45010", "https://cloud.oebiotech.com/#/lm/network/45010")</f>
        <v>https://cloud.oebiotech.com/#/lm/network/45010</v>
      </c>
      <c r="H5219" s="2" t="s">
        <v>34134</v>
      </c>
      <c r="I5219" s="2">
        <v>57839</v>
      </c>
      <c r="J5219" s="2" t="s">
        <v>34135</v>
      </c>
      <c r="K5219" s="2">
        <v>12444612</v>
      </c>
      <c r="L5219" s="2"/>
      <c r="M5219" s="2"/>
      <c r="N5219" s="2"/>
      <c r="O5219" s="2"/>
      <c r="P5219" s="2"/>
      <c r="Q5219" s="2"/>
      <c r="R5219" s="2" t="s">
        <v>34136</v>
      </c>
      <c r="S5219" s="2" t="s">
        <v>34137</v>
      </c>
      <c r="T5219" s="2" t="s">
        <v>34138</v>
      </c>
      <c r="U5219" s="2" t="s">
        <v>56</v>
      </c>
      <c r="V5219" s="2" t="s">
        <v>283</v>
      </c>
      <c r="W5219" s="2" t="s">
        <v>492</v>
      </c>
      <c r="X5219" s="2" t="s">
        <v>69</v>
      </c>
      <c r="Y5219" s="2">
        <v>52</v>
      </c>
      <c r="Z5219" s="2">
        <v>61.2</v>
      </c>
      <c r="AA5219" s="2" t="s">
        <v>512</v>
      </c>
      <c r="AB5219" s="2" t="s">
        <v>9482</v>
      </c>
      <c r="AC5219" s="2">
        <v>4.3134866886831</v>
      </c>
      <c r="AD5219" s="2"/>
      <c r="AE5219" s="2">
        <v>4.4244239515702097E-2</v>
      </c>
      <c r="AF5219" s="2">
        <v>2129.3547857666299</v>
      </c>
      <c r="AG5219" s="2">
        <v>2217.4005091826298</v>
      </c>
      <c r="AH5219" s="4">
        <v>0.96029326995669695</v>
      </c>
      <c r="AI5219" s="4">
        <v>-5.8453028116952299E-2</v>
      </c>
      <c r="AJ5219" s="4" t="s">
        <v>62</v>
      </c>
      <c r="AK5219" s="2">
        <v>0.94535862916242297</v>
      </c>
      <c r="AL5219" s="2">
        <v>0.97761542155245595</v>
      </c>
      <c r="AM5219" s="2">
        <v>1168.3269765575301</v>
      </c>
      <c r="AN5219" s="2">
        <v>1926.67470470438</v>
      </c>
      <c r="AO5219" s="2">
        <v>2679.49903697744</v>
      </c>
      <c r="AP5219" s="2">
        <v>2697.3941681103902</v>
      </c>
      <c r="AQ5219" s="2">
        <v>1522.58777632995</v>
      </c>
      <c r="AR5219" s="2">
        <v>2781.64605192009</v>
      </c>
      <c r="AS5219" s="2">
        <v>986.56983321452697</v>
      </c>
      <c r="AT5219" s="2">
        <v>1135.1415022920901</v>
      </c>
      <c r="AU5219" s="2">
        <v>726.37619235832904</v>
      </c>
      <c r="AV5219" s="2">
        <v>1319.26515654679</v>
      </c>
      <c r="AW5219" s="2">
        <v>8305.6836698534098</v>
      </c>
      <c r="AX5219" s="2">
        <v>831.36670083061199</v>
      </c>
    </row>
    <row r="5220" spans="1:50" x14ac:dyDescent="0.25">
      <c r="A5220" s="2" t="s">
        <v>34139</v>
      </c>
      <c r="B5220" s="2">
        <v>119.086031920689</v>
      </c>
      <c r="C5220" s="2">
        <v>9.6451499999999992</v>
      </c>
      <c r="D5220" s="2" t="s">
        <v>51</v>
      </c>
      <c r="E5220" s="2" t="s">
        <v>34140</v>
      </c>
      <c r="F5220" s="2">
        <v>81872</v>
      </c>
      <c r="G5220" s="3" t="str">
        <f>HYPERLINK("https://cloud.oebiotech.com/#/lm/network/81872", "https://cloud.oebiotech.com/#/lm/network/81872")</f>
        <v>https://cloud.oebiotech.com/#/lm/network/81872</v>
      </c>
      <c r="H5220" s="2" t="s">
        <v>34141</v>
      </c>
      <c r="I5220" s="2">
        <v>327009</v>
      </c>
      <c r="J5220" s="2"/>
      <c r="K5220" s="2">
        <v>10326</v>
      </c>
      <c r="L5220" s="2"/>
      <c r="M5220" s="2"/>
      <c r="N5220" s="2"/>
      <c r="O5220" s="2">
        <v>37911</v>
      </c>
      <c r="P5220" s="2"/>
      <c r="Q5220" s="2"/>
      <c r="R5220" s="2"/>
      <c r="S5220" s="2" t="s">
        <v>34142</v>
      </c>
      <c r="T5220" s="2" t="s">
        <v>34143</v>
      </c>
      <c r="U5220" s="2" t="s">
        <v>610</v>
      </c>
      <c r="V5220" s="2" t="s">
        <v>14762</v>
      </c>
      <c r="W5220" s="2" t="s">
        <v>240</v>
      </c>
      <c r="X5220" s="2" t="s">
        <v>147</v>
      </c>
      <c r="Y5220" s="2">
        <v>46.9</v>
      </c>
      <c r="Z5220" s="2">
        <v>43.3</v>
      </c>
      <c r="AA5220" s="2" t="s">
        <v>259</v>
      </c>
      <c r="AB5220" s="2" t="s">
        <v>34144</v>
      </c>
      <c r="AC5220" s="2">
        <v>4.2782475830651396</v>
      </c>
      <c r="AD5220" s="2"/>
      <c r="AE5220" s="2">
        <v>4.4179169501573502E-2</v>
      </c>
      <c r="AF5220" s="2">
        <v>10522.289233429199</v>
      </c>
      <c r="AG5220" s="2">
        <v>11115.9381568197</v>
      </c>
      <c r="AH5220" s="4">
        <v>0.94659479793648205</v>
      </c>
      <c r="AI5220" s="4">
        <v>-7.9181101198854201E-2</v>
      </c>
      <c r="AJ5220" s="4" t="s">
        <v>62</v>
      </c>
      <c r="AK5220" s="2">
        <v>0.77107355007429401</v>
      </c>
      <c r="AL5220" s="2">
        <v>0.89762032682178095</v>
      </c>
      <c r="AM5220" s="2">
        <v>9488.1631849409096</v>
      </c>
      <c r="AN5220" s="2">
        <v>8701.3063507537099</v>
      </c>
      <c r="AO5220" s="2">
        <v>12378.8062817101</v>
      </c>
      <c r="AP5220" s="2">
        <v>11622.457899821</v>
      </c>
      <c r="AQ5220" s="2">
        <v>13129.5728455381</v>
      </c>
      <c r="AR5220" s="2">
        <v>7813.4288378111896</v>
      </c>
      <c r="AS5220" s="2">
        <v>15587.4708099749</v>
      </c>
      <c r="AT5220" s="2">
        <v>11093.990639903101</v>
      </c>
      <c r="AU5220" s="2">
        <v>14828.3287706131</v>
      </c>
      <c r="AV5220" s="2">
        <v>5448.5115350136002</v>
      </c>
      <c r="AW5220" s="2">
        <v>6257.1111827636496</v>
      </c>
      <c r="AX5220" s="2">
        <v>13480.2160026498</v>
      </c>
    </row>
    <row r="5221" spans="1:50" x14ac:dyDescent="0.25">
      <c r="A5221" s="2" t="s">
        <v>34145</v>
      </c>
      <c r="B5221" s="2">
        <v>304.15554856156501</v>
      </c>
      <c r="C5221" s="2">
        <v>11.231</v>
      </c>
      <c r="D5221" s="2" t="s">
        <v>51</v>
      </c>
      <c r="E5221" s="2" t="s">
        <v>34146</v>
      </c>
      <c r="F5221" s="2">
        <v>207112</v>
      </c>
      <c r="G5221" s="3" t="str">
        <f>HYPERLINK("https://cloud.oebiotech.com/#/lm/network/207112", "https://cloud.oebiotech.com/#/lm/network/207112")</f>
        <v>https://cloud.oebiotech.com/#/lm/network/207112</v>
      </c>
      <c r="H5221" s="2" t="s">
        <v>34147</v>
      </c>
      <c r="I5221" s="2"/>
      <c r="J5221" s="2"/>
      <c r="K5221" s="2">
        <v>58266779</v>
      </c>
      <c r="L5221" s="2"/>
      <c r="M5221" s="2"/>
      <c r="N5221" s="2"/>
      <c r="O5221" s="2"/>
      <c r="P5221" s="2"/>
      <c r="Q5221" s="2"/>
      <c r="R5221" s="2"/>
      <c r="S5221" s="2" t="s">
        <v>34148</v>
      </c>
      <c r="T5221" s="2" t="s">
        <v>34149</v>
      </c>
      <c r="U5221" s="2" t="s">
        <v>266</v>
      </c>
      <c r="V5221" s="2" t="s">
        <v>6065</v>
      </c>
      <c r="W5221" s="2" t="s">
        <v>240</v>
      </c>
      <c r="X5221" s="2" t="s">
        <v>147</v>
      </c>
      <c r="Y5221" s="2">
        <v>37.799999999999997</v>
      </c>
      <c r="Z5221" s="2">
        <v>0</v>
      </c>
      <c r="AA5221" s="2" t="s">
        <v>156</v>
      </c>
      <c r="AB5221" s="2" t="s">
        <v>34150</v>
      </c>
      <c r="AC5221" s="2">
        <v>-0.38436207732842098</v>
      </c>
      <c r="AD5221" s="2"/>
      <c r="AE5221" s="2">
        <v>4.4077702014272399E-2</v>
      </c>
      <c r="AF5221" s="2">
        <v>2980.0833970537501</v>
      </c>
      <c r="AG5221" s="2">
        <v>2849.1790267506199</v>
      </c>
      <c r="AH5221" s="5">
        <v>1.0459445928367701</v>
      </c>
      <c r="AI5221" s="5">
        <v>6.4806429255210601E-2</v>
      </c>
      <c r="AJ5221" s="5" t="s">
        <v>139</v>
      </c>
      <c r="AK5221" s="2">
        <v>0.89747890960806098</v>
      </c>
      <c r="AL5221" s="2">
        <v>0.95695622958747495</v>
      </c>
      <c r="AM5221" s="2">
        <v>4909.4045342765303</v>
      </c>
      <c r="AN5221" s="2">
        <v>2833.5019677171899</v>
      </c>
      <c r="AO5221" s="2">
        <v>3903.3241579831401</v>
      </c>
      <c r="AP5221" s="2">
        <v>1882.51006104097</v>
      </c>
      <c r="AQ5221" s="2">
        <v>3680.0097162383499</v>
      </c>
      <c r="AR5221" s="2">
        <v>671.74994506631299</v>
      </c>
      <c r="AS5221" s="2">
        <v>282.65665004658098</v>
      </c>
      <c r="AT5221" s="2">
        <v>732.78561095756902</v>
      </c>
      <c r="AU5221" s="2">
        <v>4257.2171420160403</v>
      </c>
      <c r="AV5221" s="2">
        <v>4034.4650928760002</v>
      </c>
      <c r="AW5221" s="2">
        <v>4660.9874105389199</v>
      </c>
      <c r="AX5221" s="2">
        <v>3126.96225406859</v>
      </c>
    </row>
    <row r="5222" spans="1:50" x14ac:dyDescent="0.25">
      <c r="A5222" s="2" t="s">
        <v>34151</v>
      </c>
      <c r="B5222" s="2">
        <v>428.18318767125697</v>
      </c>
      <c r="C5222" s="2">
        <v>4.3411833333333298</v>
      </c>
      <c r="D5222" s="2" t="s">
        <v>51</v>
      </c>
      <c r="E5222" s="2" t="s">
        <v>34152</v>
      </c>
      <c r="F5222" s="2">
        <v>18553</v>
      </c>
      <c r="G5222" s="3" t="str">
        <f>HYPERLINK("https://cloud.oebiotech.com/#/lm/network/18553", "https://cloud.oebiotech.com/#/lm/network/18553")</f>
        <v>https://cloud.oebiotech.com/#/lm/network/18553</v>
      </c>
      <c r="H5222" s="2"/>
      <c r="I5222" s="2">
        <v>39969</v>
      </c>
      <c r="J5222" s="2" t="s">
        <v>34153</v>
      </c>
      <c r="K5222" s="2">
        <v>24779231</v>
      </c>
      <c r="L5222" s="2"/>
      <c r="M5222" s="2"/>
      <c r="N5222" s="2"/>
      <c r="O5222" s="2"/>
      <c r="P5222" s="2"/>
      <c r="Q5222" s="2"/>
      <c r="R5222" s="2"/>
      <c r="S5222" s="2" t="s">
        <v>34154</v>
      </c>
      <c r="T5222" s="2" t="s">
        <v>34155</v>
      </c>
      <c r="U5222" s="2" t="s">
        <v>56</v>
      </c>
      <c r="V5222" s="2" t="s">
        <v>57</v>
      </c>
      <c r="W5222" s="2" t="s">
        <v>58</v>
      </c>
      <c r="X5222" s="2" t="s">
        <v>147</v>
      </c>
      <c r="Y5222" s="2">
        <v>38.299999999999997</v>
      </c>
      <c r="Z5222" s="2">
        <v>0</v>
      </c>
      <c r="AA5222" s="2" t="s">
        <v>156</v>
      </c>
      <c r="AB5222" s="2" t="s">
        <v>34156</v>
      </c>
      <c r="AC5222" s="2">
        <v>-0.17452517875463699</v>
      </c>
      <c r="AD5222" s="2"/>
      <c r="AE5222" s="2">
        <v>4.40515664405789E-2</v>
      </c>
      <c r="AF5222" s="2">
        <v>194.57197854214499</v>
      </c>
      <c r="AG5222" s="2">
        <v>48.216219760613598</v>
      </c>
      <c r="AH5222" s="5">
        <v>4.03540508791784</v>
      </c>
      <c r="AI5222" s="5">
        <v>2.0127135034897301</v>
      </c>
      <c r="AJ5222" s="5" t="s">
        <v>139</v>
      </c>
      <c r="AK5222" s="2">
        <v>0.31856442022489301</v>
      </c>
      <c r="AL5222" s="2">
        <v>0.62709448371193299</v>
      </c>
      <c r="AM5222" s="2">
        <v>161.35215049833201</v>
      </c>
      <c r="AN5222" s="2">
        <v>3.4748249275481098E-2</v>
      </c>
      <c r="AO5222" s="2">
        <v>8.559877937157E-6</v>
      </c>
      <c r="AP5222" s="2">
        <v>8.559877937157E-6</v>
      </c>
      <c r="AQ5222" s="2">
        <v>825.90312259765994</v>
      </c>
      <c r="AR5222" s="2">
        <v>180.141832787846</v>
      </c>
      <c r="AS5222" s="2">
        <v>289.29727576429201</v>
      </c>
      <c r="AT5222" s="2">
        <v>8.559877937157E-6</v>
      </c>
      <c r="AU5222" s="2">
        <v>8.559877937157E-6</v>
      </c>
      <c r="AV5222" s="2">
        <v>8.559877937157E-6</v>
      </c>
      <c r="AW5222" s="2">
        <v>8.559877937157E-6</v>
      </c>
      <c r="AX5222" s="2">
        <v>8.559877937157E-6</v>
      </c>
    </row>
    <row r="5223" spans="1:50" x14ac:dyDescent="0.25">
      <c r="A5223" s="2" t="s">
        <v>34157</v>
      </c>
      <c r="B5223" s="2">
        <v>166.05013855092699</v>
      </c>
      <c r="C5223" s="2">
        <v>7.9897</v>
      </c>
      <c r="D5223" s="2" t="s">
        <v>51</v>
      </c>
      <c r="E5223" s="2" t="s">
        <v>34158</v>
      </c>
      <c r="F5223" s="2">
        <v>8990</v>
      </c>
      <c r="G5223" s="3" t="str">
        <f>HYPERLINK("https://cloud.oebiotech.com/#/lm/network/8990", "https://cloud.oebiotech.com/#/lm/network/8990")</f>
        <v>https://cloud.oebiotech.com/#/lm/network/8990</v>
      </c>
      <c r="H5223" s="2"/>
      <c r="I5223" s="2"/>
      <c r="J5223" s="2" t="s">
        <v>34159</v>
      </c>
      <c r="K5223" s="2">
        <v>10419888</v>
      </c>
      <c r="L5223" s="2"/>
      <c r="M5223" s="2"/>
      <c r="N5223" s="2"/>
      <c r="O5223" s="2"/>
      <c r="P5223" s="2"/>
      <c r="Q5223" s="2"/>
      <c r="R5223" s="2"/>
      <c r="S5223" s="2" t="s">
        <v>34160</v>
      </c>
      <c r="T5223" s="2" t="s">
        <v>34161</v>
      </c>
      <c r="U5223" s="2" t="s">
        <v>103</v>
      </c>
      <c r="V5223" s="2" t="s">
        <v>104</v>
      </c>
      <c r="W5223" s="2" t="s">
        <v>105</v>
      </c>
      <c r="X5223" s="2" t="s">
        <v>147</v>
      </c>
      <c r="Y5223" s="2">
        <v>37.1</v>
      </c>
      <c r="Z5223" s="2">
        <v>0</v>
      </c>
      <c r="AA5223" s="2" t="s">
        <v>379</v>
      </c>
      <c r="AB5223" s="2" t="s">
        <v>13005</v>
      </c>
      <c r="AC5223" s="2">
        <v>-4.4749025660191899</v>
      </c>
      <c r="AD5223" s="2"/>
      <c r="AE5223" s="2">
        <v>4.39467875557615E-2</v>
      </c>
      <c r="AF5223" s="2">
        <v>221.522899106279</v>
      </c>
      <c r="AG5223" s="2">
        <v>296.71121531645099</v>
      </c>
      <c r="AH5223" s="4">
        <v>0.746594289905821</v>
      </c>
      <c r="AI5223" s="4">
        <v>-0.42160362020841702</v>
      </c>
      <c r="AJ5223" s="4" t="s">
        <v>62</v>
      </c>
      <c r="AK5223" s="2">
        <v>0.15703571310219999</v>
      </c>
      <c r="AL5223" s="2">
        <v>0.47857568991933802</v>
      </c>
      <c r="AM5223" s="2">
        <v>259.89701104143597</v>
      </c>
      <c r="AN5223" s="2">
        <v>119.717888604008</v>
      </c>
      <c r="AO5223" s="2">
        <v>184.71734712905501</v>
      </c>
      <c r="AP5223" s="2">
        <v>241.52800679836301</v>
      </c>
      <c r="AQ5223" s="2">
        <v>212.934872958298</v>
      </c>
      <c r="AR5223" s="2">
        <v>310.34226810651199</v>
      </c>
      <c r="AS5223" s="2">
        <v>301.55882495349198</v>
      </c>
      <c r="AT5223" s="2">
        <v>439.40679000364702</v>
      </c>
      <c r="AU5223" s="2">
        <v>137.479435791421</v>
      </c>
      <c r="AV5223" s="2">
        <v>258.67971190358799</v>
      </c>
      <c r="AW5223" s="2">
        <v>286.34632064783898</v>
      </c>
      <c r="AX5223" s="2">
        <v>356.79620859871699</v>
      </c>
    </row>
    <row r="5224" spans="1:50" x14ac:dyDescent="0.25">
      <c r="A5224" s="2" t="s">
        <v>34162</v>
      </c>
      <c r="B5224" s="2">
        <v>240.16035914336399</v>
      </c>
      <c r="C5224" s="2">
        <v>8.4689333333333305</v>
      </c>
      <c r="D5224" s="2" t="s">
        <v>51</v>
      </c>
      <c r="E5224" s="2" t="s">
        <v>34163</v>
      </c>
      <c r="F5224" s="2">
        <v>61382</v>
      </c>
      <c r="G5224" s="3" t="str">
        <f>HYPERLINK("https://cloud.oebiotech.com/#/lm/network/61382", "https://cloud.oebiotech.com/#/lm/network/61382")</f>
        <v>https://cloud.oebiotech.com/#/lm/network/61382</v>
      </c>
      <c r="H5224" s="2" t="s">
        <v>34164</v>
      </c>
      <c r="I5224" s="2">
        <v>92704</v>
      </c>
      <c r="J5224" s="2"/>
      <c r="K5224" s="2">
        <v>71409403</v>
      </c>
      <c r="L5224" s="2"/>
      <c r="M5224" s="2"/>
      <c r="N5224" s="2"/>
      <c r="O5224" s="2"/>
      <c r="P5224" s="2"/>
      <c r="Q5224" s="2"/>
      <c r="R5224" s="2" t="s">
        <v>34165</v>
      </c>
      <c r="S5224" s="2" t="s">
        <v>34166</v>
      </c>
      <c r="T5224" s="2" t="s">
        <v>34167</v>
      </c>
      <c r="U5224" s="2" t="s">
        <v>266</v>
      </c>
      <c r="V5224" s="2" t="s">
        <v>1585</v>
      </c>
      <c r="W5224" s="2" t="s">
        <v>14227</v>
      </c>
      <c r="X5224" s="2" t="s">
        <v>147</v>
      </c>
      <c r="Y5224" s="2">
        <v>38.4</v>
      </c>
      <c r="Z5224" s="2">
        <v>0</v>
      </c>
      <c r="AA5224" s="2" t="s">
        <v>218</v>
      </c>
      <c r="AB5224" s="2" t="s">
        <v>34168</v>
      </c>
      <c r="AC5224" s="2">
        <v>-0.80970789277465705</v>
      </c>
      <c r="AD5224" s="2"/>
      <c r="AE5224" s="2">
        <v>4.3911100816268901E-2</v>
      </c>
      <c r="AF5224" s="2">
        <v>1075.34493017406</v>
      </c>
      <c r="AG5224" s="2">
        <v>948.71988763469403</v>
      </c>
      <c r="AH5224" s="5">
        <v>1.1334693666589599</v>
      </c>
      <c r="AI5224" s="5">
        <v>0.18074540107746501</v>
      </c>
      <c r="AJ5224" s="5" t="s">
        <v>139</v>
      </c>
      <c r="AK5224" s="2">
        <v>0.68002298941918704</v>
      </c>
      <c r="AL5224" s="2">
        <v>0.84568422458770698</v>
      </c>
      <c r="AM5224" s="2">
        <v>1282.93368397773</v>
      </c>
      <c r="AN5224" s="2">
        <v>985.463386147086</v>
      </c>
      <c r="AO5224" s="2">
        <v>1263.3999433050999</v>
      </c>
      <c r="AP5224" s="2">
        <v>1205.7098890648799</v>
      </c>
      <c r="AQ5224" s="2">
        <v>707.22376957541098</v>
      </c>
      <c r="AR5224" s="2">
        <v>1007.3389089741499</v>
      </c>
      <c r="AS5224" s="2">
        <v>193.12704293204001</v>
      </c>
      <c r="AT5224" s="2">
        <v>511.083522984951</v>
      </c>
      <c r="AU5224" s="2">
        <v>2055.7871304607102</v>
      </c>
      <c r="AV5224" s="2">
        <v>613.54418388810097</v>
      </c>
      <c r="AW5224" s="2">
        <v>1501.12437426205</v>
      </c>
      <c r="AX5224" s="2">
        <v>817.653071280311</v>
      </c>
    </row>
    <row r="5225" spans="1:50" x14ac:dyDescent="0.25">
      <c r="A5225" s="2" t="s">
        <v>34169</v>
      </c>
      <c r="B5225" s="2">
        <v>367.15837274664301</v>
      </c>
      <c r="C5225" s="2">
        <v>12.9738333333333</v>
      </c>
      <c r="D5225" s="2" t="s">
        <v>51</v>
      </c>
      <c r="E5225" s="2" t="s">
        <v>34170</v>
      </c>
      <c r="F5225" s="2">
        <v>202939</v>
      </c>
      <c r="G5225" s="3" t="str">
        <f>HYPERLINK("https://cloud.oebiotech.com/#/lm/network/202939", "https://cloud.oebiotech.com/#/lm/network/202939")</f>
        <v>https://cloud.oebiotech.com/#/lm/network/202939</v>
      </c>
      <c r="H5225" s="2" t="s">
        <v>34171</v>
      </c>
      <c r="I5225" s="2"/>
      <c r="J5225" s="2"/>
      <c r="K5225" s="2">
        <v>86567357</v>
      </c>
      <c r="L5225" s="2"/>
      <c r="M5225" s="2"/>
      <c r="N5225" s="2"/>
      <c r="O5225" s="2"/>
      <c r="P5225" s="2"/>
      <c r="Q5225" s="2"/>
      <c r="R5225" s="2"/>
      <c r="S5225" s="2" t="s">
        <v>34172</v>
      </c>
      <c r="T5225" s="2" t="s">
        <v>34173</v>
      </c>
      <c r="U5225" s="2" t="s">
        <v>103</v>
      </c>
      <c r="V5225" s="2" t="s">
        <v>104</v>
      </c>
      <c r="W5225" s="2" t="s">
        <v>105</v>
      </c>
      <c r="X5225" s="2" t="s">
        <v>147</v>
      </c>
      <c r="Y5225" s="2">
        <v>38.9</v>
      </c>
      <c r="Z5225" s="2">
        <v>0</v>
      </c>
      <c r="AA5225" s="2" t="s">
        <v>163</v>
      </c>
      <c r="AB5225" s="2" t="s">
        <v>34174</v>
      </c>
      <c r="AC5225" s="2">
        <v>2.1594316895686099</v>
      </c>
      <c r="AD5225" s="2"/>
      <c r="AE5225" s="2">
        <v>4.3908314334828898E-2</v>
      </c>
      <c r="AF5225" s="2">
        <v>793.24108648011998</v>
      </c>
      <c r="AG5225" s="2">
        <v>1273.26590667151</v>
      </c>
      <c r="AH5225" s="4">
        <v>0.62299719353497895</v>
      </c>
      <c r="AI5225" s="4">
        <v>-0.68270243064657299</v>
      </c>
      <c r="AJ5225" s="4" t="s">
        <v>62</v>
      </c>
      <c r="AK5225" s="2">
        <v>0.53823941986461599</v>
      </c>
      <c r="AL5225" s="2">
        <v>0.76438476096000296</v>
      </c>
      <c r="AM5225" s="2">
        <v>1114.341275734</v>
      </c>
      <c r="AN5225" s="2">
        <v>497.89507676483902</v>
      </c>
      <c r="AO5225" s="2">
        <v>799.27280572906398</v>
      </c>
      <c r="AP5225" s="2">
        <v>230.254096671978</v>
      </c>
      <c r="AQ5225" s="2">
        <v>1635.2060313465699</v>
      </c>
      <c r="AR5225" s="2">
        <v>482.47723263426599</v>
      </c>
      <c r="AS5225" s="2">
        <v>320.24497560909799</v>
      </c>
      <c r="AT5225" s="2">
        <v>415.56078595338499</v>
      </c>
      <c r="AU5225" s="2">
        <v>4825.5358860635297</v>
      </c>
      <c r="AV5225" s="2">
        <v>781.15686183005005</v>
      </c>
      <c r="AW5225" s="2">
        <v>1107.59380286191</v>
      </c>
      <c r="AX5225" s="2">
        <v>189.503127711069</v>
      </c>
    </row>
    <row r="5226" spans="1:50" x14ac:dyDescent="0.25">
      <c r="A5226" s="2" t="s">
        <v>34175</v>
      </c>
      <c r="B5226" s="2">
        <v>525.39328767053098</v>
      </c>
      <c r="C5226" s="2">
        <v>14.716366666666699</v>
      </c>
      <c r="D5226" s="2" t="s">
        <v>51</v>
      </c>
      <c r="E5226" s="2" t="s">
        <v>34176</v>
      </c>
      <c r="F5226" s="2">
        <v>53460</v>
      </c>
      <c r="G5226" s="3" t="str">
        <f>HYPERLINK("https://cloud.oebiotech.com/#/lm/network/53460", "https://cloud.oebiotech.com/#/lm/network/53460")</f>
        <v>https://cloud.oebiotech.com/#/lm/network/53460</v>
      </c>
      <c r="H5226" s="2" t="s">
        <v>34177</v>
      </c>
      <c r="I5226" s="2">
        <v>85481</v>
      </c>
      <c r="J5226" s="2"/>
      <c r="K5226" s="2">
        <v>11597698</v>
      </c>
      <c r="L5226" s="2"/>
      <c r="M5226" s="2"/>
      <c r="N5226" s="2"/>
      <c r="O5226" s="2">
        <v>775173</v>
      </c>
      <c r="P5226" s="2"/>
      <c r="Q5226" s="2"/>
      <c r="R5226" s="2" t="s">
        <v>34178</v>
      </c>
      <c r="S5226" s="2" t="s">
        <v>34179</v>
      </c>
      <c r="T5226" s="2" t="s">
        <v>34180</v>
      </c>
      <c r="U5226" s="2" t="s">
        <v>103</v>
      </c>
      <c r="V5226" s="2" t="s">
        <v>104</v>
      </c>
      <c r="W5226" s="2" t="s">
        <v>105</v>
      </c>
      <c r="X5226" s="2" t="s">
        <v>147</v>
      </c>
      <c r="Y5226" s="2">
        <v>36.299999999999997</v>
      </c>
      <c r="Z5226" s="2">
        <v>0</v>
      </c>
      <c r="AA5226" s="2" t="s">
        <v>478</v>
      </c>
      <c r="AB5226" s="2" t="s">
        <v>34181</v>
      </c>
      <c r="AC5226" s="2">
        <v>1.9742250177809899</v>
      </c>
      <c r="AD5226" s="2"/>
      <c r="AE5226" s="2">
        <v>4.3898785547288703E-2</v>
      </c>
      <c r="AF5226" s="2">
        <v>1968.4121708354501</v>
      </c>
      <c r="AG5226" s="2">
        <v>2362.3006298384798</v>
      </c>
      <c r="AH5226" s="4">
        <v>0.83326065530026905</v>
      </c>
      <c r="AI5226" s="4">
        <v>-0.26316023400630001</v>
      </c>
      <c r="AJ5226" s="4" t="s">
        <v>62</v>
      </c>
      <c r="AK5226" s="2">
        <v>0.66864520392263704</v>
      </c>
      <c r="AL5226" s="2">
        <v>0.840513778464683</v>
      </c>
      <c r="AM5226" s="2">
        <v>164.36653666812401</v>
      </c>
      <c r="AN5226" s="2">
        <v>2936.9890583859501</v>
      </c>
      <c r="AO5226" s="2">
        <v>756.92883345056498</v>
      </c>
      <c r="AP5226" s="2">
        <v>2895.15728543572</v>
      </c>
      <c r="AQ5226" s="2">
        <v>2897.78600772456</v>
      </c>
      <c r="AR5226" s="2">
        <v>2159.2453033478</v>
      </c>
      <c r="AS5226" s="2">
        <v>1559.82097802868</v>
      </c>
      <c r="AT5226" s="2">
        <v>4506.6379672222502</v>
      </c>
      <c r="AU5226" s="2">
        <v>4530.1247974058897</v>
      </c>
      <c r="AV5226" s="2">
        <v>322.71994410911799</v>
      </c>
      <c r="AW5226" s="2">
        <v>2445.4727123498301</v>
      </c>
      <c r="AX5226" s="2">
        <v>809.02737991513095</v>
      </c>
    </row>
    <row r="5227" spans="1:50" x14ac:dyDescent="0.25">
      <c r="A5227" s="2" t="s">
        <v>34182</v>
      </c>
      <c r="B5227" s="2">
        <v>381.13341693196497</v>
      </c>
      <c r="C5227" s="2">
        <v>4.6271666666666702</v>
      </c>
      <c r="D5227" s="2" t="s">
        <v>51</v>
      </c>
      <c r="E5227" s="2" t="s">
        <v>34183</v>
      </c>
      <c r="F5227" s="2">
        <v>56240</v>
      </c>
      <c r="G5227" s="3" t="str">
        <f>HYPERLINK("https://cloud.oebiotech.com/#/lm/network/56240", "https://cloud.oebiotech.com/#/lm/network/56240")</f>
        <v>https://cloud.oebiotech.com/#/lm/network/56240</v>
      </c>
      <c r="H5227" s="2" t="s">
        <v>34184</v>
      </c>
      <c r="I5227" s="2">
        <v>68667</v>
      </c>
      <c r="J5227" s="2"/>
      <c r="K5227" s="2">
        <v>25429</v>
      </c>
      <c r="L5227" s="2" t="s">
        <v>34185</v>
      </c>
      <c r="M5227" s="2"/>
      <c r="N5227" s="2"/>
      <c r="O5227" s="2">
        <v>3392</v>
      </c>
      <c r="P5227" s="2"/>
      <c r="Q5227" s="2"/>
      <c r="R5227" s="2" t="s">
        <v>34186</v>
      </c>
      <c r="S5227" s="2" t="s">
        <v>34187</v>
      </c>
      <c r="T5227" s="2" t="s">
        <v>34188</v>
      </c>
      <c r="U5227" s="2" t="s">
        <v>266</v>
      </c>
      <c r="V5227" s="2" t="s">
        <v>2963</v>
      </c>
      <c r="W5227" s="2" t="s">
        <v>34189</v>
      </c>
      <c r="X5227" s="2" t="s">
        <v>147</v>
      </c>
      <c r="Y5227" s="2">
        <v>36.799999999999997</v>
      </c>
      <c r="Z5227" s="2">
        <v>0</v>
      </c>
      <c r="AA5227" s="2" t="s">
        <v>478</v>
      </c>
      <c r="AB5227" s="2" t="s">
        <v>34190</v>
      </c>
      <c r="AC5227" s="2">
        <v>4.5540493879312596</v>
      </c>
      <c r="AD5227" s="2"/>
      <c r="AE5227" s="2">
        <v>4.3887661319810901E-2</v>
      </c>
      <c r="AF5227" s="2">
        <v>1047.1392940114699</v>
      </c>
      <c r="AG5227" s="2">
        <v>803.44200692219397</v>
      </c>
      <c r="AH5227" s="5">
        <v>1.30331658662313</v>
      </c>
      <c r="AI5227" s="5">
        <v>0.38218756930431802</v>
      </c>
      <c r="AJ5227" s="5" t="s">
        <v>139</v>
      </c>
      <c r="AK5227" s="2">
        <v>0.57432354626211901</v>
      </c>
      <c r="AL5227" s="2">
        <v>0.78564459545109699</v>
      </c>
      <c r="AM5227" s="2">
        <v>436.76685328661699</v>
      </c>
      <c r="AN5227" s="2">
        <v>1303.8257434192401</v>
      </c>
      <c r="AO5227" s="2">
        <v>1275.6663932255799</v>
      </c>
      <c r="AP5227" s="2">
        <v>720.76231927041204</v>
      </c>
      <c r="AQ5227" s="2">
        <v>1077.2824785813</v>
      </c>
      <c r="AR5227" s="2">
        <v>1468.53197628565</v>
      </c>
      <c r="AS5227" s="2">
        <v>1066.8638844141101</v>
      </c>
      <c r="AT5227" s="2">
        <v>1085.24963337898</v>
      </c>
      <c r="AU5227" s="2">
        <v>215.075375972155</v>
      </c>
      <c r="AV5227" s="2">
        <v>8.559877937157E-6</v>
      </c>
      <c r="AW5227" s="2">
        <v>8.559877937157E-6</v>
      </c>
      <c r="AX5227" s="2">
        <v>2453.4631306481601</v>
      </c>
    </row>
    <row r="5228" spans="1:50" x14ac:dyDescent="0.25">
      <c r="A5228" s="2" t="s">
        <v>34191</v>
      </c>
      <c r="B5228" s="2">
        <v>173.13297550528799</v>
      </c>
      <c r="C5228" s="2">
        <v>9.9106500000000004</v>
      </c>
      <c r="D5228" s="2" t="s">
        <v>51</v>
      </c>
      <c r="E5228" s="2" t="s">
        <v>34192</v>
      </c>
      <c r="F5228" s="2">
        <v>60363</v>
      </c>
      <c r="G5228" s="3" t="str">
        <f>HYPERLINK("https://cloud.oebiotech.com/#/lm/network/60363", "https://cloud.oebiotech.com/#/lm/network/60363")</f>
        <v>https://cloud.oebiotech.com/#/lm/network/60363</v>
      </c>
      <c r="H5228" s="2" t="s">
        <v>34193</v>
      </c>
      <c r="I5228" s="2">
        <v>91722</v>
      </c>
      <c r="J5228" s="2"/>
      <c r="K5228" s="2">
        <v>85517881</v>
      </c>
      <c r="L5228" s="2"/>
      <c r="M5228" s="2"/>
      <c r="N5228" s="2"/>
      <c r="O5228" s="2">
        <v>168238</v>
      </c>
      <c r="P5228" s="2"/>
      <c r="Q5228" s="2"/>
      <c r="R5228" s="2" t="s">
        <v>34194</v>
      </c>
      <c r="S5228" s="2" t="s">
        <v>34195</v>
      </c>
      <c r="T5228" s="2" t="s">
        <v>34196</v>
      </c>
      <c r="U5228" s="2" t="s">
        <v>331</v>
      </c>
      <c r="V5228" s="2" t="s">
        <v>332</v>
      </c>
      <c r="W5228" s="2" t="s">
        <v>1207</v>
      </c>
      <c r="X5228" s="2" t="s">
        <v>83</v>
      </c>
      <c r="Y5228" s="2">
        <v>52.4</v>
      </c>
      <c r="Z5228" s="2">
        <v>0</v>
      </c>
      <c r="AA5228" s="2" t="s">
        <v>156</v>
      </c>
      <c r="AB5228" s="2" t="s">
        <v>34197</v>
      </c>
      <c r="AC5228" s="2">
        <v>2.6221182900359699</v>
      </c>
      <c r="AD5228" s="2"/>
      <c r="AE5228" s="2">
        <v>4.3849896816787103E-2</v>
      </c>
      <c r="AF5228" s="2">
        <v>1017.20445096819</v>
      </c>
      <c r="AG5228" s="2">
        <v>912.81324295243701</v>
      </c>
      <c r="AH5228" s="5">
        <v>1.1143620656489499</v>
      </c>
      <c r="AI5228" s="5">
        <v>0.15621805265012101</v>
      </c>
      <c r="AJ5228" s="5" t="s">
        <v>139</v>
      </c>
      <c r="AK5228" s="2">
        <v>0.77763486842533502</v>
      </c>
      <c r="AL5228" s="2">
        <v>0.90137020965271697</v>
      </c>
      <c r="AM5228" s="2">
        <v>1362.18408003537</v>
      </c>
      <c r="AN5228" s="2">
        <v>614.23655911567596</v>
      </c>
      <c r="AO5228" s="2">
        <v>1129.1583787801201</v>
      </c>
      <c r="AP5228" s="2">
        <v>923.05636780778605</v>
      </c>
      <c r="AQ5228" s="2">
        <v>1423.8914377911501</v>
      </c>
      <c r="AR5228" s="2">
        <v>650.69988227904503</v>
      </c>
      <c r="AS5228" s="2">
        <v>911.142192347226</v>
      </c>
      <c r="AT5228" s="2">
        <v>553.16113871881396</v>
      </c>
      <c r="AU5228" s="2">
        <v>2531.9918671833502</v>
      </c>
      <c r="AV5228" s="2">
        <v>499.97833210352701</v>
      </c>
      <c r="AW5228" s="2">
        <v>525.43779053249602</v>
      </c>
      <c r="AX5228" s="2">
        <v>455.16813682920701</v>
      </c>
    </row>
    <row r="5229" spans="1:50" x14ac:dyDescent="0.25">
      <c r="A5229" s="2" t="s">
        <v>34198</v>
      </c>
      <c r="B5229" s="2">
        <v>249.11307329599401</v>
      </c>
      <c r="C5229" s="2">
        <v>8.3676499999999994</v>
      </c>
      <c r="D5229" s="2" t="s">
        <v>51</v>
      </c>
      <c r="E5229" s="2" t="s">
        <v>34199</v>
      </c>
      <c r="F5229" s="2">
        <v>62156</v>
      </c>
      <c r="G5229" s="3" t="str">
        <f>HYPERLINK("https://cloud.oebiotech.com/#/lm/network/62156", "https://cloud.oebiotech.com/#/lm/network/62156")</f>
        <v>https://cloud.oebiotech.com/#/lm/network/62156</v>
      </c>
      <c r="H5229" s="2" t="s">
        <v>34200</v>
      </c>
      <c r="I5229" s="2">
        <v>45333</v>
      </c>
      <c r="J5229" s="2"/>
      <c r="K5229" s="2">
        <v>40634</v>
      </c>
      <c r="L5229" s="2"/>
      <c r="M5229" s="2"/>
      <c r="N5229" s="2"/>
      <c r="O5229" s="2">
        <v>82625</v>
      </c>
      <c r="P5229" s="2"/>
      <c r="Q5229" s="2"/>
      <c r="R5229" s="2" t="s">
        <v>34201</v>
      </c>
      <c r="S5229" s="2" t="s">
        <v>34202</v>
      </c>
      <c r="T5229" s="2" t="s">
        <v>34203</v>
      </c>
      <c r="U5229" s="2" t="s">
        <v>266</v>
      </c>
      <c r="V5229" s="2" t="s">
        <v>1785</v>
      </c>
      <c r="W5229" s="2" t="s">
        <v>1786</v>
      </c>
      <c r="X5229" s="2" t="s">
        <v>147</v>
      </c>
      <c r="Y5229" s="2">
        <v>38.6</v>
      </c>
      <c r="Z5229" s="2">
        <v>0</v>
      </c>
      <c r="AA5229" s="2" t="s">
        <v>241</v>
      </c>
      <c r="AB5229" s="2" t="s">
        <v>27626</v>
      </c>
      <c r="AC5229" s="2">
        <v>-0.63700296389607702</v>
      </c>
      <c r="AD5229" s="2"/>
      <c r="AE5229" s="2">
        <v>4.3770081331953002E-2</v>
      </c>
      <c r="AF5229" s="2">
        <v>5748.6407964663404</v>
      </c>
      <c r="AG5229" s="2">
        <v>5513.2442874695398</v>
      </c>
      <c r="AH5229" s="5">
        <v>1.0426965497487199</v>
      </c>
      <c r="AI5229" s="5">
        <v>6.0319359324842697E-2</v>
      </c>
      <c r="AJ5229" s="5" t="s">
        <v>139</v>
      </c>
      <c r="AK5229" s="2">
        <v>0.66001737936364202</v>
      </c>
      <c r="AL5229" s="2">
        <v>0.834971911630501</v>
      </c>
      <c r="AM5229" s="2">
        <v>5560.5431092292201</v>
      </c>
      <c r="AN5229" s="2">
        <v>6119.4354611144799</v>
      </c>
      <c r="AO5229" s="2">
        <v>4937.97547005858</v>
      </c>
      <c r="AP5229" s="2">
        <v>5177.8218583491898</v>
      </c>
      <c r="AQ5229" s="2">
        <v>6813.0105374888899</v>
      </c>
      <c r="AR5229" s="2">
        <v>5883.0583425577097</v>
      </c>
      <c r="AS5229" s="2">
        <v>5335.4285885322097</v>
      </c>
      <c r="AT5229" s="2">
        <v>6836.5357516767599</v>
      </c>
      <c r="AU5229" s="2">
        <v>3960.1598090769699</v>
      </c>
      <c r="AV5229" s="2">
        <v>5028.7017552873504</v>
      </c>
      <c r="AW5229" s="2">
        <v>5267.9322596914599</v>
      </c>
      <c r="AX5229" s="2">
        <v>6650.7075605524797</v>
      </c>
    </row>
    <row r="5230" spans="1:50" x14ac:dyDescent="0.25">
      <c r="A5230" s="2" t="s">
        <v>34204</v>
      </c>
      <c r="B5230" s="2">
        <v>498.195138850435</v>
      </c>
      <c r="C5230" s="2">
        <v>4.5660166666666697</v>
      </c>
      <c r="D5230" s="2" t="s">
        <v>51</v>
      </c>
      <c r="E5230" s="2" t="s">
        <v>34205</v>
      </c>
      <c r="F5230" s="2">
        <v>276542</v>
      </c>
      <c r="G5230" s="3" t="str">
        <f>HYPERLINK("https://cloud.oebiotech.com/#/lm/network/276542", "https://cloud.oebiotech.com/#/lm/network/276542")</f>
        <v>https://cloud.oebiotech.com/#/lm/network/276542</v>
      </c>
      <c r="H5230" s="2"/>
      <c r="I5230" s="2">
        <v>68046</v>
      </c>
      <c r="J5230" s="2"/>
      <c r="K5230" s="2">
        <v>442534</v>
      </c>
      <c r="L5230" s="2" t="s">
        <v>34206</v>
      </c>
      <c r="M5230" s="2"/>
      <c r="N5230" s="2"/>
      <c r="O5230" s="2"/>
      <c r="P5230" s="2"/>
      <c r="Q5230" s="2"/>
      <c r="R5230" s="2" t="s">
        <v>34207</v>
      </c>
      <c r="S5230" s="2" t="s">
        <v>34208</v>
      </c>
      <c r="T5230" s="2" t="s">
        <v>34209</v>
      </c>
      <c r="U5230" s="2" t="s">
        <v>56</v>
      </c>
      <c r="V5230" s="2" t="s">
        <v>177</v>
      </c>
      <c r="W5230" s="2" t="s">
        <v>394</v>
      </c>
      <c r="X5230" s="2" t="s">
        <v>83</v>
      </c>
      <c r="Y5230" s="2">
        <v>39.6</v>
      </c>
      <c r="Z5230" s="2">
        <v>0</v>
      </c>
      <c r="AA5230" s="2" t="s">
        <v>512</v>
      </c>
      <c r="AB5230" s="2" t="s">
        <v>34210</v>
      </c>
      <c r="AC5230" s="2">
        <v>-3.84950956806466</v>
      </c>
      <c r="AD5230" s="2"/>
      <c r="AE5230" s="2">
        <v>4.3597383402238503E-2</v>
      </c>
      <c r="AF5230" s="2">
        <v>3448.7146964042499</v>
      </c>
      <c r="AG5230" s="2">
        <v>2575.12259556041</v>
      </c>
      <c r="AH5230" s="5">
        <v>1.33924291695857</v>
      </c>
      <c r="AI5230" s="5">
        <v>0.42141766589457802</v>
      </c>
      <c r="AJ5230" s="5" t="s">
        <v>139</v>
      </c>
      <c r="AK5230" s="2">
        <v>0.69574017464625304</v>
      </c>
      <c r="AL5230" s="2">
        <v>0.85378616196188595</v>
      </c>
      <c r="AM5230" s="2">
        <v>1392.3321204604099</v>
      </c>
      <c r="AN5230" s="2">
        <v>172.39529975513</v>
      </c>
      <c r="AO5230" s="2">
        <v>5703.8238748144304</v>
      </c>
      <c r="AP5230" s="2">
        <v>2390.39794207054</v>
      </c>
      <c r="AQ5230" s="2">
        <v>2870.09489879993</v>
      </c>
      <c r="AR5230" s="2">
        <v>8163.2440425250797</v>
      </c>
      <c r="AS5230" s="2">
        <v>11170.1953964558</v>
      </c>
      <c r="AT5230" s="2">
        <v>3486.32856366333</v>
      </c>
      <c r="AU5230" s="2">
        <v>8.559877937157E-6</v>
      </c>
      <c r="AV5230" s="2">
        <v>610.04792108954496</v>
      </c>
      <c r="AW5230" s="2">
        <v>8.559877937157E-6</v>
      </c>
      <c r="AX5230" s="2">
        <v>184.163675034025</v>
      </c>
    </row>
    <row r="5231" spans="1:50" x14ac:dyDescent="0.25">
      <c r="A5231" s="2" t="s">
        <v>34211</v>
      </c>
      <c r="B5231" s="2">
        <v>597.50983165159903</v>
      </c>
      <c r="C5231" s="2">
        <v>14.898616666666699</v>
      </c>
      <c r="D5231" s="2" t="s">
        <v>51</v>
      </c>
      <c r="E5231" s="2" t="s">
        <v>34212</v>
      </c>
      <c r="F5231" s="2">
        <v>115575</v>
      </c>
      <c r="G5231" s="3" t="str">
        <f>HYPERLINK("https://cloud.oebiotech.com/#/lm/network/115575", "https://cloud.oebiotech.com/#/lm/network/115575")</f>
        <v>https://cloud.oebiotech.com/#/lm/network/115575</v>
      </c>
      <c r="H5231" s="2" t="s">
        <v>34213</v>
      </c>
      <c r="I5231" s="2"/>
      <c r="J5231" s="2"/>
      <c r="K5231" s="2">
        <v>131803006</v>
      </c>
      <c r="L5231" s="2"/>
      <c r="M5231" s="2"/>
      <c r="N5231" s="2"/>
      <c r="O5231" s="2"/>
      <c r="P5231" s="2"/>
      <c r="Q5231" s="2"/>
      <c r="R5231" s="2"/>
      <c r="S5231" s="2" t="s">
        <v>34214</v>
      </c>
      <c r="T5231" s="2" t="s">
        <v>34215</v>
      </c>
      <c r="U5231" s="2" t="s">
        <v>56</v>
      </c>
      <c r="V5231" s="2" t="s">
        <v>3215</v>
      </c>
      <c r="W5231" s="2" t="s">
        <v>12389</v>
      </c>
      <c r="X5231" s="2" t="s">
        <v>147</v>
      </c>
      <c r="Y5231" s="2">
        <v>36.299999999999997</v>
      </c>
      <c r="Z5231" s="2">
        <v>0</v>
      </c>
      <c r="AA5231" s="2" t="s">
        <v>259</v>
      </c>
      <c r="AB5231" s="2" t="s">
        <v>34216</v>
      </c>
      <c r="AC5231" s="2">
        <v>1.6183049557472999</v>
      </c>
      <c r="AD5231" s="2"/>
      <c r="AE5231" s="2">
        <v>4.3481369307779801E-2</v>
      </c>
      <c r="AF5231" s="2">
        <v>6074.7733968698003</v>
      </c>
      <c r="AG5231" s="2">
        <v>6344.5960883676298</v>
      </c>
      <c r="AH5231" s="4">
        <v>0.957472045857651</v>
      </c>
      <c r="AI5231" s="4">
        <v>-6.2697727840636194E-2</v>
      </c>
      <c r="AJ5231" s="4" t="s">
        <v>62</v>
      </c>
      <c r="AK5231" s="2">
        <v>0.91551820297006803</v>
      </c>
      <c r="AL5231" s="2">
        <v>0.96368552416939501</v>
      </c>
      <c r="AM5231" s="2">
        <v>926.757504339619</v>
      </c>
      <c r="AN5231" s="2">
        <v>6175.8158107786003</v>
      </c>
      <c r="AO5231" s="2">
        <v>5252.8938160508897</v>
      </c>
      <c r="AP5231" s="2">
        <v>10983.906280995299</v>
      </c>
      <c r="AQ5231" s="2">
        <v>9640.6100985989706</v>
      </c>
      <c r="AR5231" s="2">
        <v>3468.6568704554102</v>
      </c>
      <c r="AS5231" s="2">
        <v>3410.6351049755099</v>
      </c>
      <c r="AT5231" s="2">
        <v>15191.4661951162</v>
      </c>
      <c r="AU5231" s="2">
        <v>2798.8799910079501</v>
      </c>
      <c r="AV5231" s="2">
        <v>3659.2966847314201</v>
      </c>
      <c r="AW5231" s="2">
        <v>8378.2664825265092</v>
      </c>
      <c r="AX5231" s="2">
        <v>4629.0320718481698</v>
      </c>
    </row>
    <row r="5232" spans="1:50" x14ac:dyDescent="0.25">
      <c r="A5232" s="2" t="s">
        <v>34217</v>
      </c>
      <c r="B5232" s="2">
        <v>392.17250000000001</v>
      </c>
      <c r="C5232" s="2">
        <v>15.456</v>
      </c>
      <c r="D5232" s="2" t="s">
        <v>125</v>
      </c>
      <c r="E5232" s="2" t="s">
        <v>34218</v>
      </c>
      <c r="F5232" s="2">
        <v>46908</v>
      </c>
      <c r="G5232" s="3" t="str">
        <f>HYPERLINK("https://cloud.oebiotech.com/#/lm/network/46908", "https://cloud.oebiotech.com/#/lm/network/46908")</f>
        <v>https://cloud.oebiotech.com/#/lm/network/46908</v>
      </c>
      <c r="H5232" s="2" t="s">
        <v>34219</v>
      </c>
      <c r="I5232" s="2">
        <v>14</v>
      </c>
      <c r="J5232" s="2"/>
      <c r="K5232" s="2">
        <v>6267</v>
      </c>
      <c r="L5232" s="2" t="s">
        <v>34220</v>
      </c>
      <c r="M5232" s="2" t="s">
        <v>34221</v>
      </c>
      <c r="N5232" s="2" t="s">
        <v>34222</v>
      </c>
      <c r="O5232" s="2">
        <v>17196</v>
      </c>
      <c r="P5232" s="2"/>
      <c r="Q5232" s="2"/>
      <c r="R5232" s="2" t="s">
        <v>34223</v>
      </c>
      <c r="S5232" s="2" t="s">
        <v>34224</v>
      </c>
      <c r="T5232" s="2" t="s">
        <v>34225</v>
      </c>
      <c r="U5232" s="2" t="s">
        <v>103</v>
      </c>
      <c r="V5232" s="2" t="s">
        <v>104</v>
      </c>
      <c r="W5232" s="2" t="s">
        <v>105</v>
      </c>
      <c r="X5232" s="2" t="s">
        <v>59</v>
      </c>
      <c r="Y5232" s="2">
        <v>72.3</v>
      </c>
      <c r="Z5232" s="2">
        <v>55.4</v>
      </c>
      <c r="AA5232" s="2"/>
      <c r="AB5232" s="2" t="s">
        <v>14260</v>
      </c>
      <c r="AC5232" s="2"/>
      <c r="AD5232" s="2">
        <v>519851.87882960401</v>
      </c>
      <c r="AE5232" s="2">
        <v>4.3475606874889799E-2</v>
      </c>
      <c r="AF5232" s="2">
        <v>6259.9626869060403</v>
      </c>
      <c r="AG5232" s="2">
        <v>5121.0960067118904</v>
      </c>
      <c r="AH5232" s="5">
        <v>1.22238729340389</v>
      </c>
      <c r="AI5232" s="5">
        <v>0.28970145189069502</v>
      </c>
      <c r="AJ5232" s="5" t="s">
        <v>139</v>
      </c>
      <c r="AK5232" s="2">
        <v>0.56376076583556001</v>
      </c>
      <c r="AL5232" s="2">
        <v>0.78088127829314202</v>
      </c>
      <c r="AM5232" s="2">
        <v>7364.9980362373299</v>
      </c>
      <c r="AN5232" s="2">
        <v>6798.1659798097298</v>
      </c>
      <c r="AO5232" s="2">
        <v>7439.4943050873499</v>
      </c>
      <c r="AP5232" s="2">
        <v>11357.4473657618</v>
      </c>
      <c r="AQ5232" s="2">
        <v>2299.8352172700202</v>
      </c>
      <c r="AR5232" s="2">
        <v>2299.8352172700202</v>
      </c>
      <c r="AS5232" s="2">
        <v>2299.8352172700202</v>
      </c>
      <c r="AT5232" s="2">
        <v>7454.9399634526198</v>
      </c>
      <c r="AU5232" s="2">
        <v>8817.8659148631396</v>
      </c>
      <c r="AV5232" s="2">
        <v>7554.26451014554</v>
      </c>
      <c r="AW5232" s="2">
        <v>2299.8352172700202</v>
      </c>
      <c r="AX5232" s="2">
        <v>2299.8352172700202</v>
      </c>
    </row>
    <row r="5233" spans="1:50" x14ac:dyDescent="0.25">
      <c r="A5233" s="2" t="s">
        <v>34226</v>
      </c>
      <c r="B5233" s="2">
        <v>414.16471380399503</v>
      </c>
      <c r="C5233" s="2">
        <v>4.7055833333333297</v>
      </c>
      <c r="D5233" s="2" t="s">
        <v>51</v>
      </c>
      <c r="E5233" s="2" t="s">
        <v>34227</v>
      </c>
      <c r="F5233" s="2">
        <v>260626</v>
      </c>
      <c r="G5233" s="3" t="str">
        <f>HYPERLINK("https://cloud.oebiotech.com/#/lm/network/260626", "https://cloud.oebiotech.com/#/lm/network/260626")</f>
        <v>https://cloud.oebiotech.com/#/lm/network/260626</v>
      </c>
      <c r="H5233" s="2"/>
      <c r="I5233" s="2">
        <v>17893</v>
      </c>
      <c r="J5233" s="2"/>
      <c r="K5233" s="2">
        <v>145457919</v>
      </c>
      <c r="L5233" s="2"/>
      <c r="M5233" s="2"/>
      <c r="N5233" s="2"/>
      <c r="O5233" s="2"/>
      <c r="P5233" s="2"/>
      <c r="Q5233" s="2"/>
      <c r="R5233" s="2"/>
      <c r="S5233" s="2" t="s">
        <v>34228</v>
      </c>
      <c r="T5233" s="2" t="s">
        <v>34229</v>
      </c>
      <c r="U5233" s="2" t="s">
        <v>103</v>
      </c>
      <c r="V5233" s="2" t="s">
        <v>104</v>
      </c>
      <c r="W5233" s="2" t="s">
        <v>105</v>
      </c>
      <c r="X5233" s="2" t="s">
        <v>83</v>
      </c>
      <c r="Y5233" s="2">
        <v>38.299999999999997</v>
      </c>
      <c r="Z5233" s="2">
        <v>0</v>
      </c>
      <c r="AA5233" s="2" t="s">
        <v>163</v>
      </c>
      <c r="AB5233" s="2" t="s">
        <v>34230</v>
      </c>
      <c r="AC5233" s="2">
        <v>-5.6489462726342001</v>
      </c>
      <c r="AD5233" s="2"/>
      <c r="AE5233" s="2">
        <v>4.3475380694142099E-2</v>
      </c>
      <c r="AF5233" s="2">
        <v>360.22540475999398</v>
      </c>
      <c r="AG5233" s="2">
        <v>180.846737374935</v>
      </c>
      <c r="AH5233" s="5">
        <v>1.99188224232748</v>
      </c>
      <c r="AI5233" s="5">
        <v>0.99413235953858603</v>
      </c>
      <c r="AJ5233" s="5" t="s">
        <v>139</v>
      </c>
      <c r="AK5233" s="2">
        <v>0.377153289160093</v>
      </c>
      <c r="AL5233" s="2">
        <v>0.65843423286843805</v>
      </c>
      <c r="AM5233" s="2">
        <v>8.559877937157E-6</v>
      </c>
      <c r="AN5233" s="2">
        <v>974.50398335712805</v>
      </c>
      <c r="AO5233" s="2">
        <v>163.78132718126099</v>
      </c>
      <c r="AP5233" s="2">
        <v>187.155725253502</v>
      </c>
      <c r="AQ5233" s="2">
        <v>213.782466299455</v>
      </c>
      <c r="AR5233" s="2">
        <v>622.128917908738</v>
      </c>
      <c r="AS5233" s="2">
        <v>732.31767820091</v>
      </c>
      <c r="AT5233" s="2">
        <v>8.559877937157E-6</v>
      </c>
      <c r="AU5233" s="2">
        <v>8.559877937157E-6</v>
      </c>
      <c r="AV5233" s="2">
        <v>8.559877937157E-6</v>
      </c>
      <c r="AW5233" s="2">
        <v>8.559877937157E-6</v>
      </c>
      <c r="AX5233" s="2">
        <v>352.76271180918798</v>
      </c>
    </row>
    <row r="5234" spans="1:50" x14ac:dyDescent="0.25">
      <c r="A5234" s="2" t="s">
        <v>34231</v>
      </c>
      <c r="B5234" s="2">
        <v>345.23423293450497</v>
      </c>
      <c r="C5234" s="2">
        <v>10.660450000000001</v>
      </c>
      <c r="D5234" s="2" t="s">
        <v>51</v>
      </c>
      <c r="E5234" s="2" t="s">
        <v>34232</v>
      </c>
      <c r="F5234" s="2">
        <v>204168</v>
      </c>
      <c r="G5234" s="3" t="str">
        <f>HYPERLINK("https://cloud.oebiotech.com/#/lm/network/204168", "https://cloud.oebiotech.com/#/lm/network/204168")</f>
        <v>https://cloud.oebiotech.com/#/lm/network/204168</v>
      </c>
      <c r="H5234" s="2" t="s">
        <v>34233</v>
      </c>
      <c r="I5234" s="2"/>
      <c r="J5234" s="2"/>
      <c r="K5234" s="2">
        <v>47953</v>
      </c>
      <c r="L5234" s="2"/>
      <c r="M5234" s="2"/>
      <c r="N5234" s="2"/>
      <c r="O5234" s="2"/>
      <c r="P5234" s="2"/>
      <c r="Q5234" s="2"/>
      <c r="R5234" s="2"/>
      <c r="S5234" s="2" t="s">
        <v>34234</v>
      </c>
      <c r="T5234" s="2" t="s">
        <v>34235</v>
      </c>
      <c r="U5234" s="2" t="s">
        <v>266</v>
      </c>
      <c r="V5234" s="2" t="s">
        <v>1742</v>
      </c>
      <c r="W5234" s="2" t="s">
        <v>6487</v>
      </c>
      <c r="X5234" s="2" t="s">
        <v>147</v>
      </c>
      <c r="Y5234" s="2">
        <v>37.6</v>
      </c>
      <c r="Z5234" s="2">
        <v>0</v>
      </c>
      <c r="AA5234" s="2" t="s">
        <v>478</v>
      </c>
      <c r="AB5234" s="2" t="s">
        <v>34236</v>
      </c>
      <c r="AC5234" s="2">
        <v>1.7629194192600901</v>
      </c>
      <c r="AD5234" s="2"/>
      <c r="AE5234" s="2">
        <v>4.3449190285197101E-2</v>
      </c>
      <c r="AF5234" s="2">
        <v>4920.9259300855501</v>
      </c>
      <c r="AG5234" s="2">
        <v>4294.2668273896797</v>
      </c>
      <c r="AH5234" s="5">
        <v>1.14592924191364</v>
      </c>
      <c r="AI5234" s="5">
        <v>0.196517964258968</v>
      </c>
      <c r="AJ5234" s="5" t="s">
        <v>139</v>
      </c>
      <c r="AK5234" s="2">
        <v>0.62365564648966099</v>
      </c>
      <c r="AL5234" s="2">
        <v>0.81430472250035602</v>
      </c>
      <c r="AM5234" s="2">
        <v>5981.6443933748997</v>
      </c>
      <c r="AN5234" s="2">
        <v>2737.4099495047299</v>
      </c>
      <c r="AO5234" s="2">
        <v>3311.4211719861</v>
      </c>
      <c r="AP5234" s="2">
        <v>3428.29242800563</v>
      </c>
      <c r="AQ5234" s="2">
        <v>6661.8305694693199</v>
      </c>
      <c r="AR5234" s="2">
        <v>7404.95706817262</v>
      </c>
      <c r="AS5234" s="2">
        <v>2942.6749804961</v>
      </c>
      <c r="AT5234" s="2">
        <v>3095.89090737574</v>
      </c>
      <c r="AU5234" s="2">
        <v>1970.03233886168</v>
      </c>
      <c r="AV5234" s="2">
        <v>6237.9653760936299</v>
      </c>
      <c r="AW5234" s="2">
        <v>7918.0787326810596</v>
      </c>
      <c r="AX5234" s="2">
        <v>3600.9586288298501</v>
      </c>
    </row>
    <row r="5235" spans="1:50" x14ac:dyDescent="0.25">
      <c r="A5235" s="2" t="s">
        <v>34237</v>
      </c>
      <c r="B5235" s="2">
        <v>269.11418915519801</v>
      </c>
      <c r="C5235" s="2">
        <v>1.57118333333333</v>
      </c>
      <c r="D5235" s="2" t="s">
        <v>51</v>
      </c>
      <c r="E5235" s="2" t="s">
        <v>34238</v>
      </c>
      <c r="F5235" s="2">
        <v>54062</v>
      </c>
      <c r="G5235" s="3" t="str">
        <f>HYPERLINK("https://cloud.oebiotech.com/#/lm/network/54062", "https://cloud.oebiotech.com/#/lm/network/54062")</f>
        <v>https://cloud.oebiotech.com/#/lm/network/54062</v>
      </c>
      <c r="H5235" s="2" t="s">
        <v>34239</v>
      </c>
      <c r="I5235" s="2">
        <v>23778</v>
      </c>
      <c r="J5235" s="2"/>
      <c r="K5235" s="2">
        <v>7021865</v>
      </c>
      <c r="L5235" s="2"/>
      <c r="M5235" s="2"/>
      <c r="N5235" s="2"/>
      <c r="O5235" s="2">
        <v>73652</v>
      </c>
      <c r="P5235" s="2"/>
      <c r="Q5235" s="2"/>
      <c r="R5235" s="2" t="s">
        <v>34240</v>
      </c>
      <c r="S5235" s="2" t="s">
        <v>34241</v>
      </c>
      <c r="T5235" s="2" t="s">
        <v>34242</v>
      </c>
      <c r="U5235" s="2" t="s">
        <v>103</v>
      </c>
      <c r="V5235" s="2" t="s">
        <v>104</v>
      </c>
      <c r="W5235" s="2" t="s">
        <v>105</v>
      </c>
      <c r="X5235" s="2" t="s">
        <v>69</v>
      </c>
      <c r="Y5235" s="2">
        <v>52.6</v>
      </c>
      <c r="Z5235" s="2">
        <v>68.599999999999994</v>
      </c>
      <c r="AA5235" s="2" t="s">
        <v>259</v>
      </c>
      <c r="AB5235" s="2" t="s">
        <v>31073</v>
      </c>
      <c r="AC5235" s="2">
        <v>3.6966832794419999</v>
      </c>
      <c r="AD5235" s="2"/>
      <c r="AE5235" s="2">
        <v>4.3427865191926499E-2</v>
      </c>
      <c r="AF5235" s="2">
        <v>1977.2195247560701</v>
      </c>
      <c r="AG5235" s="2">
        <v>2656.5992358772601</v>
      </c>
      <c r="AH5235" s="4">
        <v>0.744267143517096</v>
      </c>
      <c r="AI5235" s="4">
        <v>-0.42610754687249502</v>
      </c>
      <c r="AJ5235" s="4" t="s">
        <v>62</v>
      </c>
      <c r="AK5235" s="2">
        <v>0.63403990629782203</v>
      </c>
      <c r="AL5235" s="2">
        <v>0.820119264563689</v>
      </c>
      <c r="AM5235" s="2">
        <v>1382.5765419102599</v>
      </c>
      <c r="AN5235" s="2">
        <v>543.82989002361796</v>
      </c>
      <c r="AO5235" s="2">
        <v>2925.6910192148198</v>
      </c>
      <c r="AP5235" s="2">
        <v>2120.7111858634998</v>
      </c>
      <c r="AQ5235" s="2">
        <v>1957.5360072389899</v>
      </c>
      <c r="AR5235" s="2">
        <v>2932.9725042852301</v>
      </c>
      <c r="AS5235" s="2">
        <v>1653.44967202925</v>
      </c>
      <c r="AT5235" s="2">
        <v>9095.0231640561597</v>
      </c>
      <c r="AU5235" s="2">
        <v>1281.9197924555299</v>
      </c>
      <c r="AV5235" s="2">
        <v>986.85329226102499</v>
      </c>
      <c r="AW5235" s="2">
        <v>195.468993570245</v>
      </c>
      <c r="AX5235" s="2">
        <v>2726.88050089137</v>
      </c>
    </row>
    <row r="5236" spans="1:50" x14ac:dyDescent="0.25">
      <c r="A5236" s="2" t="s">
        <v>34243</v>
      </c>
      <c r="B5236" s="2">
        <v>842.41708426737398</v>
      </c>
      <c r="C5236" s="2">
        <v>4.6687166666666702</v>
      </c>
      <c r="D5236" s="2" t="s">
        <v>51</v>
      </c>
      <c r="E5236" s="2" t="s">
        <v>34244</v>
      </c>
      <c r="F5236" s="2">
        <v>60100</v>
      </c>
      <c r="G5236" s="3" t="str">
        <f>HYPERLINK("https://cloud.oebiotech.com/#/lm/network/60100", "https://cloud.oebiotech.com/#/lm/network/60100")</f>
        <v>https://cloud.oebiotech.com/#/lm/network/60100</v>
      </c>
      <c r="H5236" s="2" t="s">
        <v>34245</v>
      </c>
      <c r="I5236" s="2">
        <v>91481</v>
      </c>
      <c r="J5236" s="2"/>
      <c r="K5236" s="2">
        <v>131751963</v>
      </c>
      <c r="L5236" s="2"/>
      <c r="M5236" s="2"/>
      <c r="N5236" s="2"/>
      <c r="O5236" s="2"/>
      <c r="P5236" s="2"/>
      <c r="Q5236" s="2"/>
      <c r="R5236" s="2" t="s">
        <v>34246</v>
      </c>
      <c r="S5236" s="2" t="s">
        <v>34247</v>
      </c>
      <c r="T5236" s="2" t="s">
        <v>34248</v>
      </c>
      <c r="U5236" s="2" t="s">
        <v>56</v>
      </c>
      <c r="V5236" s="2" t="s">
        <v>283</v>
      </c>
      <c r="W5236" s="2" t="s">
        <v>3462</v>
      </c>
      <c r="X5236" s="2" t="s">
        <v>147</v>
      </c>
      <c r="Y5236" s="2">
        <v>37.700000000000003</v>
      </c>
      <c r="Z5236" s="2">
        <v>0</v>
      </c>
      <c r="AA5236" s="2" t="s">
        <v>512</v>
      </c>
      <c r="AB5236" s="2" t="s">
        <v>34249</v>
      </c>
      <c r="AC5236" s="2">
        <v>0.25265033594692599</v>
      </c>
      <c r="AD5236" s="2"/>
      <c r="AE5236" s="2">
        <v>4.3311908968357501E-2</v>
      </c>
      <c r="AF5236" s="2">
        <v>3846.7709436580999</v>
      </c>
      <c r="AG5236" s="2">
        <v>4072.9404290451498</v>
      </c>
      <c r="AH5236" s="4">
        <v>0.94447022014508997</v>
      </c>
      <c r="AI5236" s="4">
        <v>-8.2422786814026497E-2</v>
      </c>
      <c r="AJ5236" s="4" t="s">
        <v>62</v>
      </c>
      <c r="AK5236" s="2">
        <v>0.923669714112902</v>
      </c>
      <c r="AL5236" s="2">
        <v>0.96702918223777301</v>
      </c>
      <c r="AM5236" s="2">
        <v>9186.0883798864397</v>
      </c>
      <c r="AN5236" s="2">
        <v>2677.0144242395299</v>
      </c>
      <c r="AO5236" s="2">
        <v>3964.9959541026401</v>
      </c>
      <c r="AP5236" s="2">
        <v>1211.3832892169601</v>
      </c>
      <c r="AQ5236" s="2">
        <v>2085.2199886623398</v>
      </c>
      <c r="AR5236" s="2">
        <v>3955.92362584072</v>
      </c>
      <c r="AS5236" s="2">
        <v>8.559877937157E-6</v>
      </c>
      <c r="AT5236" s="2">
        <v>8.559877937157E-6</v>
      </c>
      <c r="AU5236" s="2">
        <v>12206.768223675401</v>
      </c>
      <c r="AV5236" s="2">
        <v>7048.3489809719204</v>
      </c>
      <c r="AW5236" s="2">
        <v>4382.7148997679697</v>
      </c>
      <c r="AX5236" s="2">
        <v>799.81045273582697</v>
      </c>
    </row>
    <row r="5237" spans="1:50" x14ac:dyDescent="0.25">
      <c r="A5237" s="2" t="s">
        <v>34250</v>
      </c>
      <c r="B5237" s="2">
        <v>127.03895105861</v>
      </c>
      <c r="C5237" s="2">
        <v>3.7444166666666701</v>
      </c>
      <c r="D5237" s="2" t="s">
        <v>51</v>
      </c>
      <c r="E5237" s="2" t="s">
        <v>34251</v>
      </c>
      <c r="F5237" s="2">
        <v>2896</v>
      </c>
      <c r="G5237" s="3" t="str">
        <f>HYPERLINK("https://cloud.oebiotech.com/#/lm/network/2896", "https://cloud.oebiotech.com/#/lm/network/2896")</f>
        <v>https://cloud.oebiotech.com/#/lm/network/2896</v>
      </c>
      <c r="H5237" s="2" t="s">
        <v>34252</v>
      </c>
      <c r="I5237" s="2">
        <v>5411</v>
      </c>
      <c r="J5237" s="2" t="s">
        <v>34253</v>
      </c>
      <c r="K5237" s="2">
        <v>12046</v>
      </c>
      <c r="L5237" s="2"/>
      <c r="M5237" s="2"/>
      <c r="N5237" s="2"/>
      <c r="O5237" s="2">
        <v>68567</v>
      </c>
      <c r="P5237" s="2"/>
      <c r="Q5237" s="2"/>
      <c r="R5237" s="2" t="s">
        <v>34254</v>
      </c>
      <c r="S5237" s="2" t="s">
        <v>34255</v>
      </c>
      <c r="T5237" s="2" t="s">
        <v>34256</v>
      </c>
      <c r="U5237" s="2" t="s">
        <v>56</v>
      </c>
      <c r="V5237" s="2" t="s">
        <v>145</v>
      </c>
      <c r="W5237" s="2" t="s">
        <v>231</v>
      </c>
      <c r="X5237" s="2" t="s">
        <v>83</v>
      </c>
      <c r="Y5237" s="2">
        <v>42.3</v>
      </c>
      <c r="Z5237" s="2">
        <v>0</v>
      </c>
      <c r="AA5237" s="2" t="s">
        <v>379</v>
      </c>
      <c r="AB5237" s="2" t="s">
        <v>5422</v>
      </c>
      <c r="AC5237" s="2">
        <v>-7.6450521541465202</v>
      </c>
      <c r="AD5237" s="2"/>
      <c r="AE5237" s="2">
        <v>4.3082954319567997E-2</v>
      </c>
      <c r="AF5237" s="2">
        <v>864.16886369961503</v>
      </c>
      <c r="AG5237" s="2">
        <v>1047.1838417029601</v>
      </c>
      <c r="AH5237" s="4">
        <v>0.825231281542957</v>
      </c>
      <c r="AI5237" s="4">
        <v>-0.27712958525829601</v>
      </c>
      <c r="AJ5237" s="4" t="s">
        <v>62</v>
      </c>
      <c r="AK5237" s="2">
        <v>0.325307639646224</v>
      </c>
      <c r="AL5237" s="2">
        <v>0.62992073899545697</v>
      </c>
      <c r="AM5237" s="2">
        <v>703.82733810626701</v>
      </c>
      <c r="AN5237" s="2">
        <v>1004.53511358081</v>
      </c>
      <c r="AO5237" s="2">
        <v>769.47355868711804</v>
      </c>
      <c r="AP5237" s="2">
        <v>837.58765939017303</v>
      </c>
      <c r="AQ5237" s="2">
        <v>841.31399256920997</v>
      </c>
      <c r="AR5237" s="2">
        <v>1028.27551986411</v>
      </c>
      <c r="AS5237" s="2">
        <v>878.796832495785</v>
      </c>
      <c r="AT5237" s="2">
        <v>1808.5116206212199</v>
      </c>
      <c r="AU5237" s="2">
        <v>1051.3539087285999</v>
      </c>
      <c r="AV5237" s="2">
        <v>620.63348110447305</v>
      </c>
      <c r="AW5237" s="2">
        <v>1123.2353511051899</v>
      </c>
      <c r="AX5237" s="2">
        <v>800.571856162519</v>
      </c>
    </row>
    <row r="5238" spans="1:50" x14ac:dyDescent="0.25">
      <c r="A5238" s="2" t="s">
        <v>34257</v>
      </c>
      <c r="B5238" s="2">
        <v>672.41064811441504</v>
      </c>
      <c r="C5238" s="2">
        <v>5.0999999999999996</v>
      </c>
      <c r="D5238" s="2" t="s">
        <v>51</v>
      </c>
      <c r="E5238" s="2" t="s">
        <v>34258</v>
      </c>
      <c r="F5238" s="2">
        <v>24889</v>
      </c>
      <c r="G5238" s="3" t="str">
        <f>HYPERLINK("https://cloud.oebiotech.com/#/lm/network/24889", "https://cloud.oebiotech.com/#/lm/network/24889")</f>
        <v>https://cloud.oebiotech.com/#/lm/network/24889</v>
      </c>
      <c r="H5238" s="2"/>
      <c r="I5238" s="2"/>
      <c r="J5238" s="2" t="s">
        <v>34259</v>
      </c>
      <c r="K5238" s="2">
        <v>52928617</v>
      </c>
      <c r="L5238" s="2"/>
      <c r="M5238" s="2"/>
      <c r="N5238" s="2"/>
      <c r="O5238" s="2"/>
      <c r="P5238" s="2"/>
      <c r="Q5238" s="2"/>
      <c r="R5238" s="2"/>
      <c r="S5238" s="2" t="s">
        <v>34260</v>
      </c>
      <c r="T5238" s="2" t="s">
        <v>34261</v>
      </c>
      <c r="U5238" s="2" t="s">
        <v>56</v>
      </c>
      <c r="V5238" s="2" t="s">
        <v>57</v>
      </c>
      <c r="W5238" s="2" t="s">
        <v>1097</v>
      </c>
      <c r="X5238" s="2" t="s">
        <v>147</v>
      </c>
      <c r="Y5238" s="2">
        <v>38</v>
      </c>
      <c r="Z5238" s="2">
        <v>10.199999999999999</v>
      </c>
      <c r="AA5238" s="2" t="s">
        <v>526</v>
      </c>
      <c r="AB5238" s="2" t="s">
        <v>34262</v>
      </c>
      <c r="AC5238" s="2">
        <v>3.6808095087266501</v>
      </c>
      <c r="AD5238" s="2"/>
      <c r="AE5238" s="2">
        <v>4.30407750770119E-2</v>
      </c>
      <c r="AF5238" s="2">
        <v>2801.9584720143998</v>
      </c>
      <c r="AG5238" s="2">
        <v>4042.2115336214501</v>
      </c>
      <c r="AH5238" s="4">
        <v>0.69317462698546695</v>
      </c>
      <c r="AI5238" s="4">
        <v>-0.52870924793715401</v>
      </c>
      <c r="AJ5238" s="4" t="s">
        <v>62</v>
      </c>
      <c r="AK5238" s="2">
        <v>0.77654957538755298</v>
      </c>
      <c r="AL5238" s="2">
        <v>0.90070203511967495</v>
      </c>
      <c r="AM5238" s="2">
        <v>265.25197170341897</v>
      </c>
      <c r="AN5238" s="2">
        <v>8.559877937157E-6</v>
      </c>
      <c r="AO5238" s="2">
        <v>8.559877937157E-6</v>
      </c>
      <c r="AP5238" s="2">
        <v>6957.7708870507704</v>
      </c>
      <c r="AQ5238" s="2">
        <v>8316.8622833095196</v>
      </c>
      <c r="AR5238" s="2">
        <v>1271.8656729029501</v>
      </c>
      <c r="AS5238" s="2">
        <v>8.559877937157E-6</v>
      </c>
      <c r="AT5238" s="2">
        <v>23842.3831709355</v>
      </c>
      <c r="AU5238" s="2">
        <v>8.559877937157E-6</v>
      </c>
      <c r="AV5238" s="2">
        <v>323.69376253107703</v>
      </c>
      <c r="AW5238" s="2">
        <v>87.192242582506907</v>
      </c>
      <c r="AX5238" s="2">
        <v>8.559877937157E-6</v>
      </c>
    </row>
    <row r="5239" spans="1:50" x14ac:dyDescent="0.25">
      <c r="A5239" s="2" t="s">
        <v>34263</v>
      </c>
      <c r="B5239" s="2">
        <v>399.14830633772903</v>
      </c>
      <c r="C5239" s="2">
        <v>5.5300333333333302</v>
      </c>
      <c r="D5239" s="2" t="s">
        <v>51</v>
      </c>
      <c r="E5239" s="2" t="s">
        <v>34264</v>
      </c>
      <c r="F5239" s="2">
        <v>203818</v>
      </c>
      <c r="G5239" s="3" t="str">
        <f>HYPERLINK("https://cloud.oebiotech.com/#/lm/network/203818", "https://cloud.oebiotech.com/#/lm/network/203818")</f>
        <v>https://cloud.oebiotech.com/#/lm/network/203818</v>
      </c>
      <c r="H5239" s="2" t="s">
        <v>34265</v>
      </c>
      <c r="I5239" s="2"/>
      <c r="J5239" s="2"/>
      <c r="K5239" s="2">
        <v>23581869</v>
      </c>
      <c r="L5239" s="2"/>
      <c r="M5239" s="2"/>
      <c r="N5239" s="2"/>
      <c r="O5239" s="2"/>
      <c r="P5239" s="2"/>
      <c r="Q5239" s="2"/>
      <c r="R5239" s="2"/>
      <c r="S5239" s="2" t="s">
        <v>34266</v>
      </c>
      <c r="T5239" s="2" t="s">
        <v>34267</v>
      </c>
      <c r="U5239" s="2" t="s">
        <v>266</v>
      </c>
      <c r="V5239" s="2" t="s">
        <v>6667</v>
      </c>
      <c r="W5239" s="2" t="s">
        <v>6668</v>
      </c>
      <c r="X5239" s="2" t="s">
        <v>147</v>
      </c>
      <c r="Y5239" s="2">
        <v>40.4</v>
      </c>
      <c r="Z5239" s="2">
        <v>9.1</v>
      </c>
      <c r="AA5239" s="2" t="s">
        <v>218</v>
      </c>
      <c r="AB5239" s="2" t="s">
        <v>34268</v>
      </c>
      <c r="AC5239" s="2">
        <v>2.5395513207312699</v>
      </c>
      <c r="AD5239" s="2"/>
      <c r="AE5239" s="2">
        <v>4.2970724228326797E-2</v>
      </c>
      <c r="AF5239" s="2">
        <v>56854.039308815998</v>
      </c>
      <c r="AG5239" s="2">
        <v>61434.957862417403</v>
      </c>
      <c r="AH5239" s="4">
        <v>0.92543465946765502</v>
      </c>
      <c r="AI5239" s="4">
        <v>-0.111796963019236</v>
      </c>
      <c r="AJ5239" s="4" t="s">
        <v>62</v>
      </c>
      <c r="AK5239" s="2">
        <v>0.88536161167187799</v>
      </c>
      <c r="AL5239" s="2">
        <v>0.95000757066617403</v>
      </c>
      <c r="AM5239" s="2">
        <v>1597.84187149432</v>
      </c>
      <c r="AN5239" s="2">
        <v>45775.881456524403</v>
      </c>
      <c r="AO5239" s="2">
        <v>87750.917513422901</v>
      </c>
      <c r="AP5239" s="2">
        <v>23781.845245349199</v>
      </c>
      <c r="AQ5239" s="2">
        <v>19683.6021465411</v>
      </c>
      <c r="AR5239" s="2">
        <v>162534.147619564</v>
      </c>
      <c r="AS5239" s="2">
        <v>7182.0147648276998</v>
      </c>
      <c r="AT5239" s="2">
        <v>142276.503516759</v>
      </c>
      <c r="AU5239" s="2">
        <v>80558.340341113595</v>
      </c>
      <c r="AV5239" s="2">
        <v>62932.470140846301</v>
      </c>
      <c r="AW5239" s="2">
        <v>33100.497615922897</v>
      </c>
      <c r="AX5239" s="2">
        <v>42559.920795035003</v>
      </c>
    </row>
    <row r="5240" spans="1:50" x14ac:dyDescent="0.25">
      <c r="A5240" s="2" t="s">
        <v>34269</v>
      </c>
      <c r="B5240" s="2">
        <v>240.16024985593401</v>
      </c>
      <c r="C5240" s="2">
        <v>6.4352666666666698</v>
      </c>
      <c r="D5240" s="2" t="s">
        <v>51</v>
      </c>
      <c r="E5240" s="2" t="s">
        <v>34270</v>
      </c>
      <c r="F5240" s="2">
        <v>82769</v>
      </c>
      <c r="G5240" s="3" t="str">
        <f>HYPERLINK("https://cloud.oebiotech.com/#/lm/network/82769", "https://cloud.oebiotech.com/#/lm/network/82769")</f>
        <v>https://cloud.oebiotech.com/#/lm/network/82769</v>
      </c>
      <c r="H5240" s="2" t="s">
        <v>34271</v>
      </c>
      <c r="I5240" s="2">
        <v>691</v>
      </c>
      <c r="J5240" s="2"/>
      <c r="K5240" s="2">
        <v>10443535</v>
      </c>
      <c r="L5240" s="2"/>
      <c r="M5240" s="2"/>
      <c r="N5240" s="2"/>
      <c r="O5240" s="2">
        <v>133197</v>
      </c>
      <c r="P5240" s="2"/>
      <c r="Q5240" s="2"/>
      <c r="R5240" s="2" t="s">
        <v>34272</v>
      </c>
      <c r="S5240" s="2" t="s">
        <v>34273</v>
      </c>
      <c r="T5240" s="2" t="s">
        <v>34274</v>
      </c>
      <c r="U5240" s="2" t="s">
        <v>540</v>
      </c>
      <c r="V5240" s="2" t="s">
        <v>1916</v>
      </c>
      <c r="W5240" s="2" t="s">
        <v>240</v>
      </c>
      <c r="X5240" s="2" t="s">
        <v>83</v>
      </c>
      <c r="Y5240" s="2">
        <v>53.6</v>
      </c>
      <c r="Z5240" s="2">
        <v>0</v>
      </c>
      <c r="AA5240" s="2" t="s">
        <v>512</v>
      </c>
      <c r="AB5240" s="2" t="s">
        <v>10412</v>
      </c>
      <c r="AC5240" s="2">
        <v>3.7361295349396899</v>
      </c>
      <c r="AD5240" s="2"/>
      <c r="AE5240" s="2">
        <v>4.2965365440092898E-2</v>
      </c>
      <c r="AF5240" s="2">
        <v>4475.8463931427596</v>
      </c>
      <c r="AG5240" s="2">
        <v>4620.5580776716097</v>
      </c>
      <c r="AH5240" s="4">
        <v>0.96868090778294702</v>
      </c>
      <c r="AI5240" s="4">
        <v>-4.5906587733050903E-2</v>
      </c>
      <c r="AJ5240" s="4" t="s">
        <v>62</v>
      </c>
      <c r="AK5240" s="2">
        <v>0.93153194688622398</v>
      </c>
      <c r="AL5240" s="2">
        <v>0.97061347617365101</v>
      </c>
      <c r="AM5240" s="2">
        <v>7194.1075230276601</v>
      </c>
      <c r="AN5240" s="2">
        <v>5080.7441567833703</v>
      </c>
      <c r="AO5240" s="2">
        <v>2553.30955531584</v>
      </c>
      <c r="AP5240" s="2">
        <v>5397.23665332767</v>
      </c>
      <c r="AQ5240" s="2">
        <v>3932.6225019241801</v>
      </c>
      <c r="AR5240" s="2">
        <v>2697.0579684778399</v>
      </c>
      <c r="AS5240" s="2">
        <v>1377.63922085744</v>
      </c>
      <c r="AT5240" s="2">
        <v>3971.1408551583199</v>
      </c>
      <c r="AU5240" s="2">
        <v>11537.932908779199</v>
      </c>
      <c r="AV5240" s="2">
        <v>5013.16990423264</v>
      </c>
      <c r="AW5240" s="2">
        <v>3353.2575722380798</v>
      </c>
      <c r="AX5240" s="2">
        <v>2470.2080047639602</v>
      </c>
    </row>
    <row r="5241" spans="1:50" x14ac:dyDescent="0.25">
      <c r="A5241" s="2" t="s">
        <v>34275</v>
      </c>
      <c r="B5241" s="2">
        <v>249.18554737858699</v>
      </c>
      <c r="C5241" s="2">
        <v>9.8706166666666704</v>
      </c>
      <c r="D5241" s="2" t="s">
        <v>51</v>
      </c>
      <c r="E5241" s="2" t="s">
        <v>34276</v>
      </c>
      <c r="F5241" s="2">
        <v>1377</v>
      </c>
      <c r="G5241" s="3" t="str">
        <f>HYPERLINK("https://cloud.oebiotech.com/#/lm/network/1377", "https://cloud.oebiotech.com/#/lm/network/1377")</f>
        <v>https://cloud.oebiotech.com/#/lm/network/1377</v>
      </c>
      <c r="H5241" s="2"/>
      <c r="I5241" s="2"/>
      <c r="J5241" s="2" t="s">
        <v>34277</v>
      </c>
      <c r="K5241" s="2">
        <v>131839740</v>
      </c>
      <c r="L5241" s="2"/>
      <c r="M5241" s="2"/>
      <c r="N5241" s="2"/>
      <c r="O5241" s="2"/>
      <c r="P5241" s="2"/>
      <c r="Q5241" s="2"/>
      <c r="R5241" s="2"/>
      <c r="S5241" s="2" t="s">
        <v>34278</v>
      </c>
      <c r="T5241" s="2" t="s">
        <v>34279</v>
      </c>
      <c r="U5241" s="2" t="s">
        <v>56</v>
      </c>
      <c r="V5241" s="2" t="s">
        <v>145</v>
      </c>
      <c r="W5241" s="2" t="s">
        <v>231</v>
      </c>
      <c r="X5241" s="2" t="s">
        <v>83</v>
      </c>
      <c r="Y5241" s="2">
        <v>52.5</v>
      </c>
      <c r="Z5241" s="2">
        <v>0</v>
      </c>
      <c r="AA5241" s="2" t="s">
        <v>156</v>
      </c>
      <c r="AB5241" s="2" t="s">
        <v>10329</v>
      </c>
      <c r="AC5241" s="2">
        <v>2.4078306251071999</v>
      </c>
      <c r="AD5241" s="2"/>
      <c r="AE5241" s="2">
        <v>4.2934293602849102E-2</v>
      </c>
      <c r="AF5241" s="2">
        <v>5256.5759740210497</v>
      </c>
      <c r="AG5241" s="2">
        <v>5397.1110247052002</v>
      </c>
      <c r="AH5241" s="4">
        <v>0.97396105990022297</v>
      </c>
      <c r="AI5241" s="4">
        <v>-3.8064002058051001E-2</v>
      </c>
      <c r="AJ5241" s="4" t="s">
        <v>62</v>
      </c>
      <c r="AK5241" s="2">
        <v>0.671647176285044</v>
      </c>
      <c r="AL5241" s="2">
        <v>0.84137846271826899</v>
      </c>
      <c r="AM5241" s="2">
        <v>4795.4815637608299</v>
      </c>
      <c r="AN5241" s="2">
        <v>6265.2539114312603</v>
      </c>
      <c r="AO5241" s="2">
        <v>5379.9286533834602</v>
      </c>
      <c r="AP5241" s="2">
        <v>5757.8856693278503</v>
      </c>
      <c r="AQ5241" s="2">
        <v>5195.7821928537696</v>
      </c>
      <c r="AR5241" s="2">
        <v>4145.1238533691303</v>
      </c>
      <c r="AS5241" s="2">
        <v>5373.8404083667301</v>
      </c>
      <c r="AT5241" s="2">
        <v>5091.5714781921097</v>
      </c>
      <c r="AU5241" s="2">
        <v>5105.1291872747597</v>
      </c>
      <c r="AV5241" s="2">
        <v>5809.5748045640403</v>
      </c>
      <c r="AW5241" s="2">
        <v>5524.92218528795</v>
      </c>
      <c r="AX5241" s="2">
        <v>5477.6280845455904</v>
      </c>
    </row>
    <row r="5242" spans="1:50" x14ac:dyDescent="0.25">
      <c r="A5242" s="2" t="s">
        <v>34280</v>
      </c>
      <c r="B5242" s="2">
        <v>267.05126812675502</v>
      </c>
      <c r="C5242" s="2">
        <v>4.9422166666666696</v>
      </c>
      <c r="D5242" s="2" t="s">
        <v>51</v>
      </c>
      <c r="E5242" s="2" t="s">
        <v>34281</v>
      </c>
      <c r="F5242" s="2">
        <v>256913</v>
      </c>
      <c r="G5242" s="3" t="str">
        <f>HYPERLINK("https://cloud.oebiotech.com/#/lm/network/256913", "https://cloud.oebiotech.com/#/lm/network/256913")</f>
        <v>https://cloud.oebiotech.com/#/lm/network/256913</v>
      </c>
      <c r="H5242" s="2" t="s">
        <v>34282</v>
      </c>
      <c r="I5242" s="2">
        <v>63982</v>
      </c>
      <c r="J5242" s="2"/>
      <c r="K5242" s="2">
        <v>955</v>
      </c>
      <c r="L5242" s="2" t="s">
        <v>34283</v>
      </c>
      <c r="M5242" s="2" t="s">
        <v>34284</v>
      </c>
      <c r="N5242" s="2" t="s">
        <v>34285</v>
      </c>
      <c r="O5242" s="2">
        <v>44788</v>
      </c>
      <c r="P5242" s="2"/>
      <c r="Q5242" s="2"/>
      <c r="R5242" s="2"/>
      <c r="S5242" s="2" t="s">
        <v>34286</v>
      </c>
      <c r="T5242" s="2" t="s">
        <v>34287</v>
      </c>
      <c r="U5242" s="2" t="s">
        <v>331</v>
      </c>
      <c r="V5242" s="2" t="s">
        <v>332</v>
      </c>
      <c r="W5242" s="2" t="s">
        <v>1207</v>
      </c>
      <c r="X5242" s="2" t="s">
        <v>83</v>
      </c>
      <c r="Y5242" s="2">
        <v>46.1</v>
      </c>
      <c r="Z5242" s="2">
        <v>0</v>
      </c>
      <c r="AA5242" s="2" t="s">
        <v>218</v>
      </c>
      <c r="AB5242" s="2" t="s">
        <v>34288</v>
      </c>
      <c r="AC5242" s="2">
        <v>1.0891023643395199</v>
      </c>
      <c r="AD5242" s="2"/>
      <c r="AE5242" s="2">
        <v>4.2880433779705802E-2</v>
      </c>
      <c r="AF5242" s="2">
        <v>1722.56006479285</v>
      </c>
      <c r="AG5242" s="2">
        <v>1797.95485865108</v>
      </c>
      <c r="AH5242" s="4">
        <v>0.95806635884351898</v>
      </c>
      <c r="AI5242" s="4">
        <v>-6.1802509636861298E-2</v>
      </c>
      <c r="AJ5242" s="4" t="s">
        <v>62</v>
      </c>
      <c r="AK5242" s="2">
        <v>0.69217064374011505</v>
      </c>
      <c r="AL5242" s="2">
        <v>0.85204584530065597</v>
      </c>
      <c r="AM5242" s="2">
        <v>1298.8234064396399</v>
      </c>
      <c r="AN5242" s="2">
        <v>1590.33071018284</v>
      </c>
      <c r="AO5242" s="2">
        <v>2023.9102153405599</v>
      </c>
      <c r="AP5242" s="2">
        <v>1858.22312685663</v>
      </c>
      <c r="AQ5242" s="2">
        <v>2066.2196695817001</v>
      </c>
      <c r="AR5242" s="2">
        <v>1497.8532603557401</v>
      </c>
      <c r="AS5242" s="2">
        <v>1981.1102469431601</v>
      </c>
      <c r="AT5242" s="2">
        <v>1924.59350056826</v>
      </c>
      <c r="AU5242" s="2">
        <v>1243.35160786805</v>
      </c>
      <c r="AV5242" s="2">
        <v>2173.62765253208</v>
      </c>
      <c r="AW5242" s="2">
        <v>1582.79594806932</v>
      </c>
      <c r="AX5242" s="2">
        <v>1882.2501959256001</v>
      </c>
    </row>
    <row r="5243" spans="1:50" x14ac:dyDescent="0.25">
      <c r="A5243" s="2" t="s">
        <v>34289</v>
      </c>
      <c r="B5243" s="2">
        <v>267.19659847300801</v>
      </c>
      <c r="C5243" s="2">
        <v>9.8903166666666706</v>
      </c>
      <c r="D5243" s="2" t="s">
        <v>51</v>
      </c>
      <c r="E5243" s="2" t="s">
        <v>34290</v>
      </c>
      <c r="F5243" s="2">
        <v>2871</v>
      </c>
      <c r="G5243" s="3" t="str">
        <f>HYPERLINK("https://cloud.oebiotech.com/#/lm/network/2871", "https://cloud.oebiotech.com/#/lm/network/2871")</f>
        <v>https://cloud.oebiotech.com/#/lm/network/2871</v>
      </c>
      <c r="H5243" s="2"/>
      <c r="I5243" s="2">
        <v>74929</v>
      </c>
      <c r="J5243" s="2" t="s">
        <v>34291</v>
      </c>
      <c r="K5243" s="2">
        <v>16061043</v>
      </c>
      <c r="L5243" s="2"/>
      <c r="M5243" s="2"/>
      <c r="N5243" s="2"/>
      <c r="O5243" s="2">
        <v>138500</v>
      </c>
      <c r="P5243" s="2"/>
      <c r="Q5243" s="2"/>
      <c r="R5243" s="2"/>
      <c r="S5243" s="2" t="s">
        <v>34292</v>
      </c>
      <c r="T5243" s="2" t="s">
        <v>34293</v>
      </c>
      <c r="U5243" s="2" t="s">
        <v>56</v>
      </c>
      <c r="V5243" s="2" t="s">
        <v>145</v>
      </c>
      <c r="W5243" s="2" t="s">
        <v>231</v>
      </c>
      <c r="X5243" s="2" t="s">
        <v>83</v>
      </c>
      <c r="Y5243" s="2">
        <v>52.1</v>
      </c>
      <c r="Z5243" s="2">
        <v>0</v>
      </c>
      <c r="AA5243" s="2" t="s">
        <v>379</v>
      </c>
      <c r="AB5243" s="2" t="s">
        <v>34294</v>
      </c>
      <c r="AC5243" s="2">
        <v>0.10534993016220801</v>
      </c>
      <c r="AD5243" s="2"/>
      <c r="AE5243" s="2">
        <v>4.2809538961683699E-2</v>
      </c>
      <c r="AF5243" s="2">
        <v>3126.5991479150498</v>
      </c>
      <c r="AG5243" s="2">
        <v>3214.2615687695102</v>
      </c>
      <c r="AH5243" s="4">
        <v>0.97272704197249904</v>
      </c>
      <c r="AI5243" s="4">
        <v>-3.9893069366211398E-2</v>
      </c>
      <c r="AJ5243" s="4" t="s">
        <v>62</v>
      </c>
      <c r="AK5243" s="2">
        <v>0.95169207016536606</v>
      </c>
      <c r="AL5243" s="2">
        <v>0.98042613579242999</v>
      </c>
      <c r="AM5243" s="2">
        <v>3625.9532101445802</v>
      </c>
      <c r="AN5243" s="2">
        <v>7163.0633662289201</v>
      </c>
      <c r="AO5243" s="2">
        <v>1981.9544788398</v>
      </c>
      <c r="AP5243" s="2">
        <v>1688.4660772867501</v>
      </c>
      <c r="AQ5243" s="2">
        <v>1297.85890139346</v>
      </c>
      <c r="AR5243" s="2">
        <v>3002.2988535967602</v>
      </c>
      <c r="AS5243" s="2">
        <v>1257.56266476</v>
      </c>
      <c r="AT5243" s="2">
        <v>1904.8451490482601</v>
      </c>
      <c r="AU5243" s="2">
        <v>8586.2334117531209</v>
      </c>
      <c r="AV5243" s="2">
        <v>2934.5143395096302</v>
      </c>
      <c r="AW5243" s="2">
        <v>2699.35755511974</v>
      </c>
      <c r="AX5243" s="2">
        <v>1903.0562924262799</v>
      </c>
    </row>
    <row r="5244" spans="1:50" x14ac:dyDescent="0.25">
      <c r="A5244" s="2" t="s">
        <v>34295</v>
      </c>
      <c r="B5244" s="2">
        <v>371.36463116291702</v>
      </c>
      <c r="C5244" s="2">
        <v>9.7054500000000008</v>
      </c>
      <c r="D5244" s="2" t="s">
        <v>51</v>
      </c>
      <c r="E5244" s="2" t="s">
        <v>34296</v>
      </c>
      <c r="F5244" s="2">
        <v>36157</v>
      </c>
      <c r="G5244" s="3" t="str">
        <f>HYPERLINK("https://cloud.oebiotech.com/#/lm/network/36157", "https://cloud.oebiotech.com/#/lm/network/36157")</f>
        <v>https://cloud.oebiotech.com/#/lm/network/36157</v>
      </c>
      <c r="H5244" s="2"/>
      <c r="I5244" s="2">
        <v>53739</v>
      </c>
      <c r="J5244" s="2" t="s">
        <v>34297</v>
      </c>
      <c r="K5244" s="2">
        <v>42608274</v>
      </c>
      <c r="L5244" s="2"/>
      <c r="M5244" s="2"/>
      <c r="N5244" s="2"/>
      <c r="O5244" s="2"/>
      <c r="P5244" s="2"/>
      <c r="Q5244" s="2"/>
      <c r="R5244" s="2"/>
      <c r="S5244" s="2" t="s">
        <v>34298</v>
      </c>
      <c r="T5244" s="2" t="s">
        <v>34299</v>
      </c>
      <c r="U5244" s="2" t="s">
        <v>56</v>
      </c>
      <c r="V5244" s="2" t="s">
        <v>177</v>
      </c>
      <c r="W5244" s="2" t="s">
        <v>1996</v>
      </c>
      <c r="X5244" s="2" t="s">
        <v>147</v>
      </c>
      <c r="Y5244" s="2">
        <v>37.700000000000003</v>
      </c>
      <c r="Z5244" s="2">
        <v>0</v>
      </c>
      <c r="AA5244" s="2" t="s">
        <v>95</v>
      </c>
      <c r="AB5244" s="2" t="s">
        <v>34300</v>
      </c>
      <c r="AC5244" s="2">
        <v>-0.54842084733895302</v>
      </c>
      <c r="AD5244" s="2"/>
      <c r="AE5244" s="2">
        <v>4.2713223715650103E-2</v>
      </c>
      <c r="AF5244" s="2">
        <v>653.56429137719704</v>
      </c>
      <c r="AG5244" s="2">
        <v>1443.50725794187</v>
      </c>
      <c r="AH5244" s="4">
        <v>0.452761347600732</v>
      </c>
      <c r="AI5244" s="4">
        <v>-1.1431772948557199</v>
      </c>
      <c r="AJ5244" s="4" t="s">
        <v>62</v>
      </c>
      <c r="AK5244" s="2">
        <v>0.50082586688645803</v>
      </c>
      <c r="AL5244" s="2">
        <v>0.73818350836765101</v>
      </c>
      <c r="AM5244" s="2">
        <v>2436.3716431138</v>
      </c>
      <c r="AN5244" s="2">
        <v>664.49990558466595</v>
      </c>
      <c r="AO5244" s="2">
        <v>145.81253038925499</v>
      </c>
      <c r="AP5244" s="2">
        <v>8.559877937157E-6</v>
      </c>
      <c r="AQ5244" s="2">
        <v>674.70165205570402</v>
      </c>
      <c r="AR5244" s="2">
        <v>8.559877937157E-6</v>
      </c>
      <c r="AS5244" s="2">
        <v>8.559877937157E-6</v>
      </c>
      <c r="AT5244" s="2">
        <v>6461.3377866277197</v>
      </c>
      <c r="AU5244" s="2">
        <v>8.559877937157E-6</v>
      </c>
      <c r="AV5244" s="2">
        <v>2199.70572678397</v>
      </c>
      <c r="AW5244" s="2">
        <v>8.559877937157E-6</v>
      </c>
      <c r="AX5244" s="2">
        <v>8.559877937157E-6</v>
      </c>
    </row>
    <row r="5245" spans="1:50" x14ac:dyDescent="0.25">
      <c r="A5245" s="2" t="s">
        <v>34301</v>
      </c>
      <c r="B5245" s="2">
        <v>380.189218781232</v>
      </c>
      <c r="C5245" s="2">
        <v>12.6872166666667</v>
      </c>
      <c r="D5245" s="2" t="s">
        <v>51</v>
      </c>
      <c r="E5245" s="2" t="s">
        <v>34302</v>
      </c>
      <c r="F5245" s="2">
        <v>206199</v>
      </c>
      <c r="G5245" s="3" t="str">
        <f>HYPERLINK("https://cloud.oebiotech.com/#/lm/network/206199", "https://cloud.oebiotech.com/#/lm/network/206199")</f>
        <v>https://cloud.oebiotech.com/#/lm/network/206199</v>
      </c>
      <c r="H5245" s="2" t="s">
        <v>34303</v>
      </c>
      <c r="I5245" s="2"/>
      <c r="J5245" s="2"/>
      <c r="K5245" s="2">
        <v>11524144</v>
      </c>
      <c r="L5245" s="2"/>
      <c r="M5245" s="2"/>
      <c r="N5245" s="2"/>
      <c r="O5245" s="2">
        <v>78510</v>
      </c>
      <c r="P5245" s="2"/>
      <c r="Q5245" s="2"/>
      <c r="R5245" s="2"/>
      <c r="S5245" s="2" t="s">
        <v>34304</v>
      </c>
      <c r="T5245" s="2" t="s">
        <v>34305</v>
      </c>
      <c r="U5245" s="2" t="s">
        <v>266</v>
      </c>
      <c r="V5245" s="2" t="s">
        <v>5323</v>
      </c>
      <c r="W5245" s="2" t="s">
        <v>34306</v>
      </c>
      <c r="X5245" s="2" t="s">
        <v>147</v>
      </c>
      <c r="Y5245" s="2">
        <v>37.799999999999997</v>
      </c>
      <c r="Z5245" s="2">
        <v>0</v>
      </c>
      <c r="AA5245" s="2" t="s">
        <v>379</v>
      </c>
      <c r="AB5245" s="2" t="s">
        <v>34307</v>
      </c>
      <c r="AC5245" s="2">
        <v>2.8793559700165998</v>
      </c>
      <c r="AD5245" s="2"/>
      <c r="AE5245" s="2">
        <v>4.2615377774945902E-2</v>
      </c>
      <c r="AF5245" s="2">
        <v>2446.4015294010501</v>
      </c>
      <c r="AG5245" s="2">
        <v>2014.4856706463099</v>
      </c>
      <c r="AH5245" s="5">
        <v>1.2144050290594299</v>
      </c>
      <c r="AI5245" s="5">
        <v>0.28024967032590098</v>
      </c>
      <c r="AJ5245" s="5" t="s">
        <v>139</v>
      </c>
      <c r="AK5245" s="2">
        <v>0.83063471842624503</v>
      </c>
      <c r="AL5245" s="2">
        <v>0.92534010975742298</v>
      </c>
      <c r="AM5245" s="2">
        <v>8.559877937157E-6</v>
      </c>
      <c r="AN5245" s="2">
        <v>8.559877937157E-6</v>
      </c>
      <c r="AO5245" s="2">
        <v>7309.2417422197204</v>
      </c>
      <c r="AP5245" s="2">
        <v>8.559877937157E-6</v>
      </c>
      <c r="AQ5245" s="2">
        <v>7369.1673999470504</v>
      </c>
      <c r="AR5245" s="2">
        <v>8.559877937157E-6</v>
      </c>
      <c r="AS5245" s="2">
        <v>5535.4004254352803</v>
      </c>
      <c r="AT5245" s="2">
        <v>8.559877937157E-6</v>
      </c>
      <c r="AU5245" s="2">
        <v>6152.2142336045699</v>
      </c>
      <c r="AV5245" s="2">
        <v>371.23401246900602</v>
      </c>
      <c r="AW5245" s="2">
        <v>8.559877937157E-6</v>
      </c>
      <c r="AX5245" s="2">
        <v>28.065335249254701</v>
      </c>
    </row>
    <row r="5246" spans="1:50" x14ac:dyDescent="0.25">
      <c r="A5246" s="2" t="s">
        <v>34308</v>
      </c>
      <c r="B5246" s="2">
        <v>143.11829738651301</v>
      </c>
      <c r="C5246" s="2">
        <v>0.73424999999999996</v>
      </c>
      <c r="D5246" s="2" t="s">
        <v>51</v>
      </c>
      <c r="E5246" s="2" t="s">
        <v>34309</v>
      </c>
      <c r="F5246" s="2">
        <v>47774</v>
      </c>
      <c r="G5246" s="3" t="str">
        <f>HYPERLINK("https://cloud.oebiotech.com/#/lm/network/47774", "https://cloud.oebiotech.com/#/lm/network/47774")</f>
        <v>https://cloud.oebiotech.com/#/lm/network/47774</v>
      </c>
      <c r="H5246" s="2" t="s">
        <v>34310</v>
      </c>
      <c r="I5246" s="2">
        <v>58082</v>
      </c>
      <c r="J5246" s="2"/>
      <c r="K5246" s="2">
        <v>164795</v>
      </c>
      <c r="L5246" s="2" t="s">
        <v>34311</v>
      </c>
      <c r="M5246" s="2"/>
      <c r="N5246" s="2"/>
      <c r="O5246" s="2">
        <v>17604</v>
      </c>
      <c r="P5246" s="2"/>
      <c r="Q5246" s="2"/>
      <c r="R5246" s="2" t="s">
        <v>34312</v>
      </c>
      <c r="S5246" s="2" t="s">
        <v>34313</v>
      </c>
      <c r="T5246" s="2" t="s">
        <v>34314</v>
      </c>
      <c r="U5246" s="2" t="s">
        <v>103</v>
      </c>
      <c r="V5246" s="2" t="s">
        <v>104</v>
      </c>
      <c r="W5246" s="2" t="s">
        <v>105</v>
      </c>
      <c r="X5246" s="2" t="s">
        <v>83</v>
      </c>
      <c r="Y5246" s="2">
        <v>39.1</v>
      </c>
      <c r="Z5246" s="2">
        <v>0</v>
      </c>
      <c r="AA5246" s="2" t="s">
        <v>156</v>
      </c>
      <c r="AB5246" s="2" t="s">
        <v>26445</v>
      </c>
      <c r="AC5246" s="2">
        <v>2.5472874872788802</v>
      </c>
      <c r="AD5246" s="2"/>
      <c r="AE5246" s="2">
        <v>4.26111349056904E-2</v>
      </c>
      <c r="AF5246" s="2">
        <v>3406.0834063734501</v>
      </c>
      <c r="AG5246" s="2">
        <v>3641.62070561886</v>
      </c>
      <c r="AH5246" s="4">
        <v>0.935320749115365</v>
      </c>
      <c r="AI5246" s="4">
        <v>-9.6466902288280199E-2</v>
      </c>
      <c r="AJ5246" s="4" t="s">
        <v>62</v>
      </c>
      <c r="AK5246" s="2">
        <v>0.76027832867825296</v>
      </c>
      <c r="AL5246" s="2">
        <v>0.89152062866139503</v>
      </c>
      <c r="AM5246" s="2">
        <v>3004.9109097401401</v>
      </c>
      <c r="AN5246" s="2">
        <v>5328.58869313795</v>
      </c>
      <c r="AO5246" s="2">
        <v>1446.52721465744</v>
      </c>
      <c r="AP5246" s="2">
        <v>4504.7322168705296</v>
      </c>
      <c r="AQ5246" s="2">
        <v>2974.7170333909298</v>
      </c>
      <c r="AR5246" s="2">
        <v>3177.0243704437298</v>
      </c>
      <c r="AS5246" s="2">
        <v>2507.6023188682102</v>
      </c>
      <c r="AT5246" s="2">
        <v>4455.8083792685502</v>
      </c>
      <c r="AU5246" s="2">
        <v>2931.2851731339401</v>
      </c>
      <c r="AV5246" s="2">
        <v>3157.9098098428299</v>
      </c>
      <c r="AW5246" s="2">
        <v>5803.7484425361299</v>
      </c>
      <c r="AX5246" s="2">
        <v>2993.3701100634898</v>
      </c>
    </row>
    <row r="5247" spans="1:50" x14ac:dyDescent="0.25">
      <c r="A5247" s="2" t="s">
        <v>34315</v>
      </c>
      <c r="B5247" s="2">
        <v>359.15231384729401</v>
      </c>
      <c r="C5247" s="2">
        <v>11.940049999999999</v>
      </c>
      <c r="D5247" s="2" t="s">
        <v>51</v>
      </c>
      <c r="E5247" s="2" t="s">
        <v>34316</v>
      </c>
      <c r="F5247" s="2">
        <v>64623</v>
      </c>
      <c r="G5247" s="3" t="str">
        <f>HYPERLINK("https://cloud.oebiotech.com/#/lm/network/64623", "https://cloud.oebiotech.com/#/lm/network/64623")</f>
        <v>https://cloud.oebiotech.com/#/lm/network/64623</v>
      </c>
      <c r="H5247" s="2" t="s">
        <v>34317</v>
      </c>
      <c r="I5247" s="2">
        <v>95924</v>
      </c>
      <c r="J5247" s="2"/>
      <c r="K5247" s="2">
        <v>75046985</v>
      </c>
      <c r="L5247" s="2"/>
      <c r="M5247" s="2"/>
      <c r="N5247" s="2"/>
      <c r="O5247" s="2">
        <v>172002</v>
      </c>
      <c r="P5247" s="2"/>
      <c r="Q5247" s="2"/>
      <c r="R5247" s="2" t="s">
        <v>34318</v>
      </c>
      <c r="S5247" s="2" t="s">
        <v>34319</v>
      </c>
      <c r="T5247" s="2" t="s">
        <v>34320</v>
      </c>
      <c r="U5247" s="2" t="s">
        <v>103</v>
      </c>
      <c r="V5247" s="2" t="s">
        <v>104</v>
      </c>
      <c r="W5247" s="2" t="s">
        <v>105</v>
      </c>
      <c r="X5247" s="2" t="s">
        <v>147</v>
      </c>
      <c r="Y5247" s="2">
        <v>37.9</v>
      </c>
      <c r="Z5247" s="2">
        <v>0</v>
      </c>
      <c r="AA5247" s="2" t="s">
        <v>95</v>
      </c>
      <c r="AB5247" s="2" t="s">
        <v>34321</v>
      </c>
      <c r="AC5247" s="2">
        <v>-4.1823527157880802</v>
      </c>
      <c r="AD5247" s="2"/>
      <c r="AE5247" s="2">
        <v>4.2588725885406901E-2</v>
      </c>
      <c r="AF5247" s="2">
        <v>2905.6307543316302</v>
      </c>
      <c r="AG5247" s="2">
        <v>3634.81865156393</v>
      </c>
      <c r="AH5247" s="4">
        <v>0.79938809411617895</v>
      </c>
      <c r="AI5247" s="4">
        <v>-0.32303200910355401</v>
      </c>
      <c r="AJ5247" s="4" t="s">
        <v>62</v>
      </c>
      <c r="AK5247" s="2">
        <v>0.59626844978813098</v>
      </c>
      <c r="AL5247" s="2">
        <v>0.79712807619728299</v>
      </c>
      <c r="AM5247" s="2">
        <v>6920.2659903526701</v>
      </c>
      <c r="AN5247" s="2">
        <v>4137.0596793793902</v>
      </c>
      <c r="AO5247" s="2">
        <v>1715.3695741158899</v>
      </c>
      <c r="AP5247" s="2">
        <v>1898.8021077864601</v>
      </c>
      <c r="AQ5247" s="2">
        <v>1828.02963500276</v>
      </c>
      <c r="AR5247" s="2">
        <v>934.25753935261298</v>
      </c>
      <c r="AS5247" s="2">
        <v>2157.9039762468101</v>
      </c>
      <c r="AT5247" s="2">
        <v>8.559877937157E-6</v>
      </c>
      <c r="AU5247" s="2">
        <v>6009.40026903747</v>
      </c>
      <c r="AV5247" s="2">
        <v>3688.3074842265901</v>
      </c>
      <c r="AW5247" s="2">
        <v>3647.3989221372999</v>
      </c>
      <c r="AX5247" s="2">
        <v>6305.9012491755302</v>
      </c>
    </row>
    <row r="5248" spans="1:50" x14ac:dyDescent="0.25">
      <c r="A5248" s="2" t="s">
        <v>34322</v>
      </c>
      <c r="B5248" s="2">
        <v>421.33268931547599</v>
      </c>
      <c r="C5248" s="2">
        <v>12.708216666666701</v>
      </c>
      <c r="D5248" s="2" t="s">
        <v>51</v>
      </c>
      <c r="E5248" s="2" t="s">
        <v>34323</v>
      </c>
      <c r="F5248" s="2">
        <v>35157</v>
      </c>
      <c r="G5248" s="3" t="str">
        <f>HYPERLINK("https://cloud.oebiotech.com/#/lm/network/35157", "https://cloud.oebiotech.com/#/lm/network/35157")</f>
        <v>https://cloud.oebiotech.com/#/lm/network/35157</v>
      </c>
      <c r="H5248" s="2" t="s">
        <v>34324</v>
      </c>
      <c r="I5248" s="2">
        <v>87315</v>
      </c>
      <c r="J5248" s="2" t="s">
        <v>34325</v>
      </c>
      <c r="K5248" s="2">
        <v>161858</v>
      </c>
      <c r="L5248" s="2"/>
      <c r="M5248" s="2"/>
      <c r="N5248" s="2"/>
      <c r="O5248" s="2"/>
      <c r="P5248" s="2"/>
      <c r="Q5248" s="2"/>
      <c r="R5248" s="2" t="s">
        <v>34326</v>
      </c>
      <c r="S5248" s="2" t="s">
        <v>34327</v>
      </c>
      <c r="T5248" s="2" t="s">
        <v>34328</v>
      </c>
      <c r="U5248" s="2" t="s">
        <v>610</v>
      </c>
      <c r="V5248" s="2" t="s">
        <v>895</v>
      </c>
      <c r="W5248" s="2" t="s">
        <v>5219</v>
      </c>
      <c r="X5248" s="2" t="s">
        <v>59</v>
      </c>
      <c r="Y5248" s="2">
        <v>48.5</v>
      </c>
      <c r="Z5248" s="2">
        <v>49.4</v>
      </c>
      <c r="AA5248" s="2" t="s">
        <v>218</v>
      </c>
      <c r="AB5248" s="2" t="s">
        <v>34329</v>
      </c>
      <c r="AC5248" s="2">
        <v>0.94542388490818496</v>
      </c>
      <c r="AD5248" s="2"/>
      <c r="AE5248" s="2">
        <v>4.25640018654928E-2</v>
      </c>
      <c r="AF5248" s="2">
        <v>67674.784453387096</v>
      </c>
      <c r="AG5248" s="2">
        <v>68542.329648775398</v>
      </c>
      <c r="AH5248" s="4">
        <v>0.98734292808788704</v>
      </c>
      <c r="AI5248" s="4">
        <v>-1.83768402724287E-2</v>
      </c>
      <c r="AJ5248" s="4" t="s">
        <v>62</v>
      </c>
      <c r="AK5248" s="2">
        <v>0.95060877843978098</v>
      </c>
      <c r="AL5248" s="2">
        <v>0.97999033123753698</v>
      </c>
      <c r="AM5248" s="2">
        <v>37010.880204305999</v>
      </c>
      <c r="AN5248" s="2">
        <v>74956.638854344201</v>
      </c>
      <c r="AO5248" s="2">
        <v>81523.894125420498</v>
      </c>
      <c r="AP5248" s="2">
        <v>99544.686946005604</v>
      </c>
      <c r="AQ5248" s="2">
        <v>69551.125659852507</v>
      </c>
      <c r="AR5248" s="2">
        <v>43461.480930393802</v>
      </c>
      <c r="AS5248" s="2">
        <v>47499.480034781998</v>
      </c>
      <c r="AT5248" s="2">
        <v>78790.623114196496</v>
      </c>
      <c r="AU5248" s="2">
        <v>99364.073902841599</v>
      </c>
      <c r="AV5248" s="2">
        <v>36134.513565633002</v>
      </c>
      <c r="AW5248" s="2">
        <v>84267.202103091899</v>
      </c>
      <c r="AX5248" s="2">
        <v>65198.085172107298</v>
      </c>
    </row>
    <row r="5249" spans="1:50" x14ac:dyDescent="0.25">
      <c r="A5249" s="2" t="s">
        <v>34330</v>
      </c>
      <c r="B5249" s="2">
        <v>141.065896599891</v>
      </c>
      <c r="C5249" s="2">
        <v>0.74113333333333298</v>
      </c>
      <c r="D5249" s="2" t="s">
        <v>51</v>
      </c>
      <c r="E5249" s="2" t="s">
        <v>34331</v>
      </c>
      <c r="F5249" s="2">
        <v>258246</v>
      </c>
      <c r="G5249" s="3" t="str">
        <f>HYPERLINK("https://cloud.oebiotech.com/#/lm/network/258246", "https://cloud.oebiotech.com/#/lm/network/258246")</f>
        <v>https://cloud.oebiotech.com/#/lm/network/258246</v>
      </c>
      <c r="H5249" s="2"/>
      <c r="I5249" s="2">
        <v>3281</v>
      </c>
      <c r="J5249" s="2"/>
      <c r="K5249" s="2">
        <v>4153392</v>
      </c>
      <c r="L5249" s="2"/>
      <c r="M5249" s="2"/>
      <c r="N5249" s="2"/>
      <c r="O5249" s="2"/>
      <c r="P5249" s="2"/>
      <c r="Q5249" s="2"/>
      <c r="R5249" s="2" t="s">
        <v>34332</v>
      </c>
      <c r="S5249" s="2" t="s">
        <v>34333</v>
      </c>
      <c r="T5249" s="2" t="s">
        <v>34334</v>
      </c>
      <c r="U5249" s="2" t="s">
        <v>103</v>
      </c>
      <c r="V5249" s="2" t="s">
        <v>104</v>
      </c>
      <c r="W5249" s="2" t="s">
        <v>105</v>
      </c>
      <c r="X5249" s="2" t="s">
        <v>83</v>
      </c>
      <c r="Y5249" s="2">
        <v>39.9</v>
      </c>
      <c r="Z5249" s="2">
        <v>0</v>
      </c>
      <c r="AA5249" s="2" t="s">
        <v>379</v>
      </c>
      <c r="AB5249" s="2" t="s">
        <v>34335</v>
      </c>
      <c r="AC5249" s="2">
        <v>-6.5873417097694604</v>
      </c>
      <c r="AD5249" s="2"/>
      <c r="AE5249" s="2">
        <v>4.2541748044085601E-2</v>
      </c>
      <c r="AF5249" s="2">
        <v>3136.41186997248</v>
      </c>
      <c r="AG5249" s="2">
        <v>3067.67688420277</v>
      </c>
      <c r="AH5249" s="5">
        <v>1.0224062012931201</v>
      </c>
      <c r="AI5249" s="5">
        <v>3.1968491933248598E-2</v>
      </c>
      <c r="AJ5249" s="5" t="s">
        <v>139</v>
      </c>
      <c r="AK5249" s="2">
        <v>0.954122780009802</v>
      </c>
      <c r="AL5249" s="2">
        <v>0.98091773995157805</v>
      </c>
      <c r="AM5249" s="2">
        <v>4168.1869246674696</v>
      </c>
      <c r="AN5249" s="2">
        <v>7000.1651926170298</v>
      </c>
      <c r="AO5249" s="2">
        <v>1437.8788302354801</v>
      </c>
      <c r="AP5249" s="2">
        <v>3428.5710657157201</v>
      </c>
      <c r="AQ5249" s="2">
        <v>2410.5677954436601</v>
      </c>
      <c r="AR5249" s="2">
        <v>373.101411155498</v>
      </c>
      <c r="AS5249" s="2">
        <v>743.83824452791202</v>
      </c>
      <c r="AT5249" s="2">
        <v>2812.0498413785599</v>
      </c>
      <c r="AU5249" s="2">
        <v>3734.95926967283</v>
      </c>
      <c r="AV5249" s="2">
        <v>2125.8372485312698</v>
      </c>
      <c r="AW5249" s="2">
        <v>3325.3754004238899</v>
      </c>
      <c r="AX5249" s="2">
        <v>5664.00130068215</v>
      </c>
    </row>
    <row r="5250" spans="1:50" x14ac:dyDescent="0.25">
      <c r="A5250" s="2" t="s">
        <v>34336</v>
      </c>
      <c r="B5250" s="2">
        <v>324.14035540289098</v>
      </c>
      <c r="C5250" s="2">
        <v>6.2920666666666696</v>
      </c>
      <c r="D5250" s="2" t="s">
        <v>51</v>
      </c>
      <c r="E5250" s="2" t="s">
        <v>34337</v>
      </c>
      <c r="F5250" s="2">
        <v>202005</v>
      </c>
      <c r="G5250" s="3" t="str">
        <f>HYPERLINK("https://cloud.oebiotech.com/#/lm/network/202005", "https://cloud.oebiotech.com/#/lm/network/202005")</f>
        <v>https://cloud.oebiotech.com/#/lm/network/202005</v>
      </c>
      <c r="H5250" s="2" t="s">
        <v>34338</v>
      </c>
      <c r="I5250" s="2"/>
      <c r="J5250" s="2"/>
      <c r="K5250" s="2">
        <v>20442</v>
      </c>
      <c r="L5250" s="2"/>
      <c r="M5250" s="2"/>
      <c r="N5250" s="2"/>
      <c r="O5250" s="2"/>
      <c r="P5250" s="2"/>
      <c r="Q5250" s="2"/>
      <c r="R5250" s="2"/>
      <c r="S5250" s="2" t="s">
        <v>34339</v>
      </c>
      <c r="T5250" s="2" t="s">
        <v>34340</v>
      </c>
      <c r="U5250" s="2" t="s">
        <v>103</v>
      </c>
      <c r="V5250" s="2" t="s">
        <v>104</v>
      </c>
      <c r="W5250" s="2" t="s">
        <v>4850</v>
      </c>
      <c r="X5250" s="2" t="s">
        <v>147</v>
      </c>
      <c r="Y5250" s="2">
        <v>39.299999999999997</v>
      </c>
      <c r="Z5250" s="2">
        <v>6.45</v>
      </c>
      <c r="AA5250" s="2" t="s">
        <v>512</v>
      </c>
      <c r="AB5250" s="2" t="s">
        <v>34341</v>
      </c>
      <c r="AC5250" s="2">
        <v>0.70018010010032095</v>
      </c>
      <c r="AD5250" s="2"/>
      <c r="AE5250" s="2">
        <v>4.2537490179799402E-2</v>
      </c>
      <c r="AF5250" s="2">
        <v>602.82504901579898</v>
      </c>
      <c r="AG5250" s="2">
        <v>785.92123334879705</v>
      </c>
      <c r="AH5250" s="4">
        <v>0.76702985418420599</v>
      </c>
      <c r="AI5250" s="4">
        <v>-0.382645363775447</v>
      </c>
      <c r="AJ5250" s="4" t="s">
        <v>62</v>
      </c>
      <c r="AK5250" s="2">
        <v>0.67990837665372195</v>
      </c>
      <c r="AL5250" s="2">
        <v>0.84568422458770698</v>
      </c>
      <c r="AM5250" s="2">
        <v>96.827338030403396</v>
      </c>
      <c r="AN5250" s="2">
        <v>453.52284174962898</v>
      </c>
      <c r="AO5250" s="2">
        <v>504.38510487002299</v>
      </c>
      <c r="AP5250" s="2">
        <v>1597.62333836835</v>
      </c>
      <c r="AQ5250" s="2">
        <v>444.27281066386098</v>
      </c>
      <c r="AR5250" s="2">
        <v>520.31886041252903</v>
      </c>
      <c r="AS5250" s="2">
        <v>1369.17858133817</v>
      </c>
      <c r="AT5250" s="2">
        <v>2340.9478892173602</v>
      </c>
      <c r="AU5250" s="2">
        <v>8.559877937157E-6</v>
      </c>
      <c r="AV5250" s="2">
        <v>271.34639454686499</v>
      </c>
      <c r="AW5250" s="2">
        <v>8.559877937157E-6</v>
      </c>
      <c r="AX5250" s="2">
        <v>734.05451787062998</v>
      </c>
    </row>
    <row r="5251" spans="1:50" x14ac:dyDescent="0.25">
      <c r="A5251" s="2" t="s">
        <v>34342</v>
      </c>
      <c r="B5251" s="2">
        <v>545.29443799955402</v>
      </c>
      <c r="C5251" s="2">
        <v>3.9679500000000001</v>
      </c>
      <c r="D5251" s="2" t="s">
        <v>51</v>
      </c>
      <c r="E5251" s="2" t="s">
        <v>34343</v>
      </c>
      <c r="F5251" s="2">
        <v>205722</v>
      </c>
      <c r="G5251" s="3" t="str">
        <f>HYPERLINK("https://cloud.oebiotech.com/#/lm/network/205722", "https://cloud.oebiotech.com/#/lm/network/205722")</f>
        <v>https://cloud.oebiotech.com/#/lm/network/205722</v>
      </c>
      <c r="H5251" s="2" t="s">
        <v>34344</v>
      </c>
      <c r="I5251" s="2">
        <v>425984</v>
      </c>
      <c r="J5251" s="2"/>
      <c r="K5251" s="2">
        <v>159718</v>
      </c>
      <c r="L5251" s="2"/>
      <c r="M5251" s="2"/>
      <c r="N5251" s="2"/>
      <c r="O5251" s="2"/>
      <c r="P5251" s="2"/>
      <c r="Q5251" s="2"/>
      <c r="R5251" s="2"/>
      <c r="S5251" s="2" t="s">
        <v>34345</v>
      </c>
      <c r="T5251" s="2" t="s">
        <v>34346</v>
      </c>
      <c r="U5251" s="2" t="s">
        <v>610</v>
      </c>
      <c r="V5251" s="2" t="s">
        <v>20162</v>
      </c>
      <c r="W5251" s="2" t="s">
        <v>240</v>
      </c>
      <c r="X5251" s="2" t="s">
        <v>147</v>
      </c>
      <c r="Y5251" s="2">
        <v>37.4</v>
      </c>
      <c r="Z5251" s="2">
        <v>0</v>
      </c>
      <c r="AA5251" s="2" t="s">
        <v>478</v>
      </c>
      <c r="AB5251" s="2" t="s">
        <v>34347</v>
      </c>
      <c r="AC5251" s="2">
        <v>-3.26704242057653</v>
      </c>
      <c r="AD5251" s="2"/>
      <c r="AE5251" s="2">
        <v>4.2434457932875203E-2</v>
      </c>
      <c r="AF5251" s="2">
        <v>1102.24468125219</v>
      </c>
      <c r="AG5251" s="2">
        <v>1014.5366546241401</v>
      </c>
      <c r="AH5251" s="5">
        <v>1.08645131373843</v>
      </c>
      <c r="AI5251" s="5">
        <v>0.119623525644922</v>
      </c>
      <c r="AJ5251" s="5" t="s">
        <v>139</v>
      </c>
      <c r="AK5251" s="2">
        <v>0.92001012414573302</v>
      </c>
      <c r="AL5251" s="2">
        <v>0.96547519393645298</v>
      </c>
      <c r="AM5251" s="2">
        <v>3409.7411664807901</v>
      </c>
      <c r="AN5251" s="2">
        <v>8.559877937157E-6</v>
      </c>
      <c r="AO5251" s="2">
        <v>1160.23897432738</v>
      </c>
      <c r="AP5251" s="2">
        <v>8.559877937157E-6</v>
      </c>
      <c r="AQ5251" s="2">
        <v>292.86992556456198</v>
      </c>
      <c r="AR5251" s="2">
        <v>1750.61800402065</v>
      </c>
      <c r="AS5251" s="2">
        <v>8.559877937157E-6</v>
      </c>
      <c r="AT5251" s="2">
        <v>8.559877937157E-6</v>
      </c>
      <c r="AU5251" s="2">
        <v>2507.6192924990401</v>
      </c>
      <c r="AV5251" s="2">
        <v>3579.6006010063102</v>
      </c>
      <c r="AW5251" s="2">
        <v>8.559877937157E-6</v>
      </c>
      <c r="AX5251" s="2">
        <v>8.559877937157E-6</v>
      </c>
    </row>
    <row r="5252" spans="1:50" x14ac:dyDescent="0.25">
      <c r="A5252" s="2" t="s">
        <v>34348</v>
      </c>
      <c r="B5252" s="2">
        <v>467.17906061102798</v>
      </c>
      <c r="C5252" s="2">
        <v>3.81591666666667</v>
      </c>
      <c r="D5252" s="2" t="s">
        <v>51</v>
      </c>
      <c r="E5252" s="2" t="s">
        <v>34349</v>
      </c>
      <c r="F5252" s="2">
        <v>212913</v>
      </c>
      <c r="G5252" s="3" t="str">
        <f>HYPERLINK("https://cloud.oebiotech.com/#/lm/network/212913", "https://cloud.oebiotech.com/#/lm/network/212913")</f>
        <v>https://cloud.oebiotech.com/#/lm/network/212913</v>
      </c>
      <c r="H5252" s="2" t="s">
        <v>34350</v>
      </c>
      <c r="I5252" s="2"/>
      <c r="J5252" s="2"/>
      <c r="K5252" s="2">
        <v>22639411</v>
      </c>
      <c r="L5252" s="2"/>
      <c r="M5252" s="2"/>
      <c r="N5252" s="2"/>
      <c r="O5252" s="2"/>
      <c r="P5252" s="2"/>
      <c r="Q5252" s="2"/>
      <c r="R5252" s="2"/>
      <c r="S5252" s="2" t="s">
        <v>34351</v>
      </c>
      <c r="T5252" s="2" t="s">
        <v>34352</v>
      </c>
      <c r="U5252" s="2" t="s">
        <v>103</v>
      </c>
      <c r="V5252" s="2" t="s">
        <v>104</v>
      </c>
      <c r="W5252" s="2" t="s">
        <v>105</v>
      </c>
      <c r="X5252" s="2" t="s">
        <v>59</v>
      </c>
      <c r="Y5252" s="2">
        <v>47.9</v>
      </c>
      <c r="Z5252" s="2">
        <v>49.1</v>
      </c>
      <c r="AA5252" s="2" t="s">
        <v>95</v>
      </c>
      <c r="AB5252" s="2" t="s">
        <v>34353</v>
      </c>
      <c r="AC5252" s="2">
        <v>0.42478825703361001</v>
      </c>
      <c r="AD5252" s="2"/>
      <c r="AE5252" s="2">
        <v>4.2421465990695503E-2</v>
      </c>
      <c r="AF5252" s="2">
        <v>6202.1646661120803</v>
      </c>
      <c r="AG5252" s="2">
        <v>5062.0515567388202</v>
      </c>
      <c r="AH5252" s="5">
        <v>1.22522747873942</v>
      </c>
      <c r="AI5252" s="5">
        <v>0.29304962839666898</v>
      </c>
      <c r="AJ5252" s="5" t="s">
        <v>139</v>
      </c>
      <c r="AK5252" s="2">
        <v>0.78661236292110503</v>
      </c>
      <c r="AL5252" s="2">
        <v>0.90579760595838199</v>
      </c>
      <c r="AM5252" s="2">
        <v>251.23848200255199</v>
      </c>
      <c r="AN5252" s="2">
        <v>15172.6525111357</v>
      </c>
      <c r="AO5252" s="2">
        <v>3668.2956981649199</v>
      </c>
      <c r="AP5252" s="2">
        <v>1448.7474644614599</v>
      </c>
      <c r="AQ5252" s="2">
        <v>10011.5784922079</v>
      </c>
      <c r="AR5252" s="2">
        <v>6660.4753486999198</v>
      </c>
      <c r="AS5252" s="2">
        <v>21658.101411474399</v>
      </c>
      <c r="AT5252" s="2">
        <v>4057.98349913118</v>
      </c>
      <c r="AU5252" s="2">
        <v>76.818755581290603</v>
      </c>
      <c r="AV5252" s="2">
        <v>1201.56585844032</v>
      </c>
      <c r="AW5252" s="2">
        <v>0.61665256957641801</v>
      </c>
      <c r="AX5252" s="2">
        <v>3377.22316323615</v>
      </c>
    </row>
    <row r="5253" spans="1:50" x14ac:dyDescent="0.25">
      <c r="A5253" s="2" t="s">
        <v>34354</v>
      </c>
      <c r="B5253" s="2">
        <v>517.17890261067203</v>
      </c>
      <c r="C5253" s="2">
        <v>4.1558999999999999</v>
      </c>
      <c r="D5253" s="2" t="s">
        <v>51</v>
      </c>
      <c r="E5253" s="2" t="s">
        <v>34355</v>
      </c>
      <c r="F5253" s="2">
        <v>202962</v>
      </c>
      <c r="G5253" s="3" t="str">
        <f>HYPERLINK("https://cloud.oebiotech.com/#/lm/network/202962", "https://cloud.oebiotech.com/#/lm/network/202962")</f>
        <v>https://cloud.oebiotech.com/#/lm/network/202962</v>
      </c>
      <c r="H5253" s="2" t="s">
        <v>34356</v>
      </c>
      <c r="I5253" s="2"/>
      <c r="J5253" s="2"/>
      <c r="K5253" s="2">
        <v>22328378</v>
      </c>
      <c r="L5253" s="2"/>
      <c r="M5253" s="2"/>
      <c r="N5253" s="2"/>
      <c r="O5253" s="2"/>
      <c r="P5253" s="2"/>
      <c r="Q5253" s="2"/>
      <c r="R5253" s="2"/>
      <c r="S5253" s="2" t="s">
        <v>34357</v>
      </c>
      <c r="T5253" s="2" t="s">
        <v>34358</v>
      </c>
      <c r="U5253" s="2" t="s">
        <v>103</v>
      </c>
      <c r="V5253" s="2" t="s">
        <v>104</v>
      </c>
      <c r="W5253" s="2" t="s">
        <v>105</v>
      </c>
      <c r="X5253" s="2" t="s">
        <v>59</v>
      </c>
      <c r="Y5253" s="2">
        <v>50.6</v>
      </c>
      <c r="Z5253" s="2">
        <v>63.7</v>
      </c>
      <c r="AA5253" s="2" t="s">
        <v>163</v>
      </c>
      <c r="AB5253" s="2" t="s">
        <v>34359</v>
      </c>
      <c r="AC5253" s="2">
        <v>0.30225950813116098</v>
      </c>
      <c r="AD5253" s="2"/>
      <c r="AE5253" s="2">
        <v>4.2407158980449201E-2</v>
      </c>
      <c r="AF5253" s="2">
        <v>1904.5298039417901</v>
      </c>
      <c r="AG5253" s="2">
        <v>1669.8594215881201</v>
      </c>
      <c r="AH5253" s="5">
        <v>1.1405330169233601</v>
      </c>
      <c r="AI5253" s="5">
        <v>0.18970821136914201</v>
      </c>
      <c r="AJ5253" s="5" t="s">
        <v>139</v>
      </c>
      <c r="AK5253" s="2">
        <v>0.88119924157118501</v>
      </c>
      <c r="AL5253" s="2">
        <v>0.94812959935476104</v>
      </c>
      <c r="AM5253" s="2">
        <v>4526.29866545816</v>
      </c>
      <c r="AN5253" s="2">
        <v>483.420551704172</v>
      </c>
      <c r="AO5253" s="2">
        <v>395.651736033107</v>
      </c>
      <c r="AP5253" s="2">
        <v>6021.8078533355401</v>
      </c>
      <c r="AQ5253" s="2">
        <v>8.559877937157E-6</v>
      </c>
      <c r="AR5253" s="2">
        <v>8.559877937157E-6</v>
      </c>
      <c r="AS5253" s="2">
        <v>8.559877937157E-6</v>
      </c>
      <c r="AT5253" s="2">
        <v>212.878231537646</v>
      </c>
      <c r="AU5253" s="2">
        <v>6228.4637309380896</v>
      </c>
      <c r="AV5253" s="2">
        <v>8.559877937157E-6</v>
      </c>
      <c r="AW5253" s="2">
        <v>3577.81454137335</v>
      </c>
      <c r="AX5253" s="2">
        <v>8.559877937157E-6</v>
      </c>
    </row>
    <row r="5254" spans="1:50" x14ac:dyDescent="0.25">
      <c r="A5254" s="2" t="s">
        <v>34360</v>
      </c>
      <c r="B5254" s="2">
        <v>273.11101251577799</v>
      </c>
      <c r="C5254" s="2">
        <v>7.6115166666666703</v>
      </c>
      <c r="D5254" s="2" t="s">
        <v>51</v>
      </c>
      <c r="E5254" s="2" t="s">
        <v>34361</v>
      </c>
      <c r="F5254" s="2">
        <v>61270</v>
      </c>
      <c r="G5254" s="3" t="str">
        <f>HYPERLINK("https://cloud.oebiotech.com/#/lm/network/61270", "https://cloud.oebiotech.com/#/lm/network/61270")</f>
        <v>https://cloud.oebiotech.com/#/lm/network/61270</v>
      </c>
      <c r="H5254" s="2" t="s">
        <v>34362</v>
      </c>
      <c r="I5254" s="2">
        <v>92590</v>
      </c>
      <c r="J5254" s="2"/>
      <c r="K5254" s="2">
        <v>131752232</v>
      </c>
      <c r="L5254" s="2"/>
      <c r="M5254" s="2"/>
      <c r="N5254" s="2"/>
      <c r="O5254" s="2"/>
      <c r="P5254" s="2"/>
      <c r="Q5254" s="2"/>
      <c r="R5254" s="2" t="s">
        <v>34363</v>
      </c>
      <c r="S5254" s="2" t="s">
        <v>34364</v>
      </c>
      <c r="T5254" s="2" t="s">
        <v>34365</v>
      </c>
      <c r="U5254" s="2" t="s">
        <v>266</v>
      </c>
      <c r="V5254" s="2" t="s">
        <v>1785</v>
      </c>
      <c r="W5254" s="2" t="s">
        <v>1786</v>
      </c>
      <c r="X5254" s="2" t="s">
        <v>83</v>
      </c>
      <c r="Y5254" s="2">
        <v>44.8</v>
      </c>
      <c r="Z5254" s="2">
        <v>0</v>
      </c>
      <c r="AA5254" s="2" t="s">
        <v>379</v>
      </c>
      <c r="AB5254" s="2" t="s">
        <v>10859</v>
      </c>
      <c r="AC5254" s="2">
        <v>-7.5996825440753204</v>
      </c>
      <c r="AD5254" s="2"/>
      <c r="AE5254" s="2">
        <v>4.2271791276223103E-2</v>
      </c>
      <c r="AF5254" s="2">
        <v>1311.6600022692701</v>
      </c>
      <c r="AG5254" s="2">
        <v>1372.5574861651501</v>
      </c>
      <c r="AH5254" s="4">
        <v>0.95563210684455402</v>
      </c>
      <c r="AI5254" s="4">
        <v>-6.5472769339995698E-2</v>
      </c>
      <c r="AJ5254" s="4" t="s">
        <v>62</v>
      </c>
      <c r="AK5254" s="2">
        <v>0.93792700829862397</v>
      </c>
      <c r="AL5254" s="2">
        <v>0.97307988847819105</v>
      </c>
      <c r="AM5254" s="2">
        <v>470.49085341297501</v>
      </c>
      <c r="AN5254" s="2">
        <v>1080.13830992822</v>
      </c>
      <c r="AO5254" s="2">
        <v>677.51445819894502</v>
      </c>
      <c r="AP5254" s="2">
        <v>848.85236301744999</v>
      </c>
      <c r="AQ5254" s="2">
        <v>912.47989838396904</v>
      </c>
      <c r="AR5254" s="2">
        <v>3880.48413067405</v>
      </c>
      <c r="AS5254" s="2">
        <v>1260.2131484469</v>
      </c>
      <c r="AT5254" s="2">
        <v>504.35824069620497</v>
      </c>
      <c r="AU5254" s="2">
        <v>274.62698337347598</v>
      </c>
      <c r="AV5254" s="2">
        <v>342.80628669340001</v>
      </c>
      <c r="AW5254" s="2">
        <v>2075.8645511138002</v>
      </c>
      <c r="AX5254" s="2">
        <v>3777.47570666713</v>
      </c>
    </row>
    <row r="5255" spans="1:50" x14ac:dyDescent="0.25">
      <c r="A5255" s="2" t="s">
        <v>34366</v>
      </c>
      <c r="B5255" s="2">
        <v>270.24374445325498</v>
      </c>
      <c r="C5255" s="2">
        <v>9.7259833333333301</v>
      </c>
      <c r="D5255" s="2" t="s">
        <v>51</v>
      </c>
      <c r="E5255" s="2" t="s">
        <v>34367</v>
      </c>
      <c r="F5255" s="2">
        <v>763</v>
      </c>
      <c r="G5255" s="3" t="str">
        <f>HYPERLINK("https://cloud.oebiotech.com/#/lm/network/763", "https://cloud.oebiotech.com/#/lm/network/763")</f>
        <v>https://cloud.oebiotech.com/#/lm/network/763</v>
      </c>
      <c r="H5255" s="2"/>
      <c r="I5255" s="2">
        <v>34932</v>
      </c>
      <c r="J5255" s="2" t="s">
        <v>34368</v>
      </c>
      <c r="K5255" s="2">
        <v>5312420</v>
      </c>
      <c r="L5255" s="2"/>
      <c r="M5255" s="2"/>
      <c r="N5255" s="2"/>
      <c r="O5255" s="2"/>
      <c r="P5255" s="2"/>
      <c r="Q5255" s="2"/>
      <c r="R5255" s="2"/>
      <c r="S5255" s="2" t="s">
        <v>34369</v>
      </c>
      <c r="T5255" s="2" t="s">
        <v>34370</v>
      </c>
      <c r="U5255" s="2" t="s">
        <v>56</v>
      </c>
      <c r="V5255" s="2" t="s">
        <v>145</v>
      </c>
      <c r="W5255" s="2" t="s">
        <v>231</v>
      </c>
      <c r="X5255" s="2" t="s">
        <v>59</v>
      </c>
      <c r="Y5255" s="2">
        <v>47.2</v>
      </c>
      <c r="Z5255" s="2">
        <v>46.4</v>
      </c>
      <c r="AA5255" s="2" t="s">
        <v>512</v>
      </c>
      <c r="AB5255" s="2" t="s">
        <v>10316</v>
      </c>
      <c r="AC5255" s="2">
        <v>3.9205042182169199</v>
      </c>
      <c r="AD5255" s="2"/>
      <c r="AE5255" s="2">
        <v>4.2271743198876603E-2</v>
      </c>
      <c r="AF5255" s="2">
        <v>1839.53358689796</v>
      </c>
      <c r="AG5255" s="2">
        <v>1342.2334197338801</v>
      </c>
      <c r="AH5255" s="5">
        <v>1.37050200051097</v>
      </c>
      <c r="AI5255" s="5">
        <v>0.45470443405580901</v>
      </c>
      <c r="AJ5255" s="5" t="s">
        <v>139</v>
      </c>
      <c r="AK5255" s="2">
        <v>0.69520574647247602</v>
      </c>
      <c r="AL5255" s="2">
        <v>0.85378616196188595</v>
      </c>
      <c r="AM5255" s="2">
        <v>171.97872648186799</v>
      </c>
      <c r="AN5255" s="2">
        <v>163.284219891535</v>
      </c>
      <c r="AO5255" s="2">
        <v>4393.6939959219499</v>
      </c>
      <c r="AP5255" s="2">
        <v>219.05522495066299</v>
      </c>
      <c r="AQ5255" s="2">
        <v>5542.3670717006198</v>
      </c>
      <c r="AR5255" s="2">
        <v>546.82228244114003</v>
      </c>
      <c r="AS5255" s="2">
        <v>4817.7663884853901</v>
      </c>
      <c r="AT5255" s="2">
        <v>469.70032879751398</v>
      </c>
      <c r="AU5255" s="2">
        <v>1537.3051435222101</v>
      </c>
      <c r="AV5255" s="2">
        <v>391.86995834966501</v>
      </c>
      <c r="AW5255" s="2">
        <v>414.08911771376597</v>
      </c>
      <c r="AX5255" s="2">
        <v>422.66958153472098</v>
      </c>
    </row>
    <row r="5256" spans="1:50" x14ac:dyDescent="0.25">
      <c r="A5256" s="2" t="s">
        <v>34371</v>
      </c>
      <c r="B5256" s="2">
        <v>200.15146178408199</v>
      </c>
      <c r="C5256" s="2">
        <v>3.6634166666666701</v>
      </c>
      <c r="D5256" s="2" t="s">
        <v>51</v>
      </c>
      <c r="E5256" s="2" t="s">
        <v>34372</v>
      </c>
      <c r="F5256" s="2">
        <v>204576</v>
      </c>
      <c r="G5256" s="3" t="str">
        <f>HYPERLINK("https://cloud.oebiotech.com/#/lm/network/204576", "https://cloud.oebiotech.com/#/lm/network/204576")</f>
        <v>https://cloud.oebiotech.com/#/lm/network/204576</v>
      </c>
      <c r="H5256" s="2" t="s">
        <v>34373</v>
      </c>
      <c r="I5256" s="2"/>
      <c r="J5256" s="2"/>
      <c r="K5256" s="2">
        <v>2574</v>
      </c>
      <c r="L5256" s="2"/>
      <c r="M5256" s="2"/>
      <c r="N5256" s="2"/>
      <c r="O5256" s="2">
        <v>131429</v>
      </c>
      <c r="P5256" s="2"/>
      <c r="Q5256" s="2"/>
      <c r="R5256" s="2"/>
      <c r="S5256" s="2" t="s">
        <v>34374</v>
      </c>
      <c r="T5256" s="2" t="s">
        <v>34375</v>
      </c>
      <c r="U5256" s="2" t="s">
        <v>266</v>
      </c>
      <c r="V5256" s="2" t="s">
        <v>1585</v>
      </c>
      <c r="W5256" s="2" t="s">
        <v>1586</v>
      </c>
      <c r="X5256" s="2" t="s">
        <v>147</v>
      </c>
      <c r="Y5256" s="2">
        <v>36.9</v>
      </c>
      <c r="Z5256" s="2">
        <v>0</v>
      </c>
      <c r="AA5256" s="2" t="s">
        <v>512</v>
      </c>
      <c r="AB5256" s="2" t="s">
        <v>34376</v>
      </c>
      <c r="AC5256" s="2">
        <v>4.8055233178824803</v>
      </c>
      <c r="AD5256" s="2"/>
      <c r="AE5256" s="2">
        <v>4.2235228922024901E-2</v>
      </c>
      <c r="AF5256" s="2">
        <v>2390.95970356201</v>
      </c>
      <c r="AG5256" s="2">
        <v>2390.1304727700899</v>
      </c>
      <c r="AH5256" s="5">
        <v>1.00034693955053</v>
      </c>
      <c r="AI5256" s="5">
        <v>5.0044116263622698E-4</v>
      </c>
      <c r="AJ5256" s="5" t="s">
        <v>139</v>
      </c>
      <c r="AK5256" s="2">
        <v>0.99887476913621598</v>
      </c>
      <c r="AL5256" s="2">
        <v>0.99936598430801105</v>
      </c>
      <c r="AM5256" s="2">
        <v>1304.337077933</v>
      </c>
      <c r="AN5256" s="2">
        <v>1988.1456088681</v>
      </c>
      <c r="AO5256" s="2">
        <v>2264.3210021217901</v>
      </c>
      <c r="AP5256" s="2">
        <v>2800.8698071204699</v>
      </c>
      <c r="AQ5256" s="2">
        <v>4441.34827602516</v>
      </c>
      <c r="AR5256" s="2">
        <v>1546.73644930354</v>
      </c>
      <c r="AS5256" s="2">
        <v>3151.98281816074</v>
      </c>
      <c r="AT5256" s="2">
        <v>2003.1426548893201</v>
      </c>
      <c r="AU5256" s="2">
        <v>1009.11156625019</v>
      </c>
      <c r="AV5256" s="2">
        <v>2178.7815540960801</v>
      </c>
      <c r="AW5256" s="2">
        <v>2996.8983478544101</v>
      </c>
      <c r="AX5256" s="2">
        <v>3000.86589536978</v>
      </c>
    </row>
    <row r="5257" spans="1:50" x14ac:dyDescent="0.25">
      <c r="A5257" s="2" t="s">
        <v>34377</v>
      </c>
      <c r="B5257" s="2">
        <v>84</v>
      </c>
      <c r="C5257" s="2">
        <v>14.285</v>
      </c>
      <c r="D5257" s="2" t="s">
        <v>125</v>
      </c>
      <c r="E5257" s="2" t="s">
        <v>34378</v>
      </c>
      <c r="F5257" s="2">
        <v>209172</v>
      </c>
      <c r="G5257" s="3" t="str">
        <f>HYPERLINK("https://cloud.oebiotech.com/#/lm/network/209172", "https://cloud.oebiotech.com/#/lm/network/209172")</f>
        <v>https://cloud.oebiotech.com/#/lm/network/209172</v>
      </c>
      <c r="H5257" s="2" t="s">
        <v>34379</v>
      </c>
      <c r="I5257" s="2"/>
      <c r="J5257" s="2"/>
      <c r="K5257" s="2">
        <v>10313</v>
      </c>
      <c r="L5257" s="2"/>
      <c r="M5257" s="2"/>
      <c r="N5257" s="2"/>
      <c r="O5257" s="2"/>
      <c r="P5257" s="2"/>
      <c r="Q5257" s="2"/>
      <c r="R5257" s="2"/>
      <c r="S5257" s="2" t="s">
        <v>34380</v>
      </c>
      <c r="T5257" s="2" t="s">
        <v>34381</v>
      </c>
      <c r="U5257" s="2" t="s">
        <v>610</v>
      </c>
      <c r="V5257" s="2" t="s">
        <v>611</v>
      </c>
      <c r="W5257" s="2" t="s">
        <v>1122</v>
      </c>
      <c r="X5257" s="2" t="s">
        <v>59</v>
      </c>
      <c r="Y5257" s="2">
        <v>76</v>
      </c>
      <c r="Z5257" s="2">
        <v>61.8</v>
      </c>
      <c r="AA5257" s="2"/>
      <c r="AB5257" s="2" t="s">
        <v>28582</v>
      </c>
      <c r="AC5257" s="2"/>
      <c r="AD5257" s="2">
        <v>480981.81487292098</v>
      </c>
      <c r="AE5257" s="2">
        <v>4.2218634617966502E-2</v>
      </c>
      <c r="AF5257" s="2">
        <v>121676.330542347</v>
      </c>
      <c r="AG5257" s="2">
        <v>120789.876659892</v>
      </c>
      <c r="AH5257" s="5">
        <v>1.00733880940164</v>
      </c>
      <c r="AI5257" s="5">
        <v>1.05490025431191E-2</v>
      </c>
      <c r="AJ5257" s="5" t="s">
        <v>139</v>
      </c>
      <c r="AK5257" s="2">
        <v>0.98302962772462699</v>
      </c>
      <c r="AL5257" s="2">
        <v>0.99261612839763103</v>
      </c>
      <c r="AM5257" s="2">
        <v>98452.573126432093</v>
      </c>
      <c r="AN5257" s="2">
        <v>102950.477821726</v>
      </c>
      <c r="AO5257" s="2">
        <v>114239.797306598</v>
      </c>
      <c r="AP5257" s="2">
        <v>254495.78621528199</v>
      </c>
      <c r="AQ5257" s="2">
        <v>70137.232538054493</v>
      </c>
      <c r="AR5257" s="2">
        <v>89782.116245986894</v>
      </c>
      <c r="AS5257" s="2">
        <v>68325.865202957095</v>
      </c>
      <c r="AT5257" s="2">
        <v>95859.486497976395</v>
      </c>
      <c r="AU5257" s="2">
        <v>90517.9329672655</v>
      </c>
      <c r="AV5257" s="2">
        <v>268936.34680346597</v>
      </c>
      <c r="AW5257" s="2">
        <v>111690.171301607</v>
      </c>
      <c r="AX5257" s="2">
        <v>89409.457186079206</v>
      </c>
    </row>
    <row r="5258" spans="1:50" x14ac:dyDescent="0.25">
      <c r="A5258" s="2" t="s">
        <v>34382</v>
      </c>
      <c r="B5258" s="2">
        <v>253.21687789546499</v>
      </c>
      <c r="C5258" s="2">
        <v>1.7034499999999999</v>
      </c>
      <c r="D5258" s="2" t="s">
        <v>51</v>
      </c>
      <c r="E5258" s="2" t="s">
        <v>34383</v>
      </c>
      <c r="F5258" s="2">
        <v>766</v>
      </c>
      <c r="G5258" s="3" t="str">
        <f>HYPERLINK("https://cloud.oebiotech.com/#/lm/network/766", "https://cloud.oebiotech.com/#/lm/network/766")</f>
        <v>https://cloud.oebiotech.com/#/lm/network/766</v>
      </c>
      <c r="H5258" s="2"/>
      <c r="I5258" s="2">
        <v>34935</v>
      </c>
      <c r="J5258" s="2" t="s">
        <v>34384</v>
      </c>
      <c r="K5258" s="2">
        <v>5312423</v>
      </c>
      <c r="L5258" s="2"/>
      <c r="M5258" s="2"/>
      <c r="N5258" s="2"/>
      <c r="O5258" s="2"/>
      <c r="P5258" s="2"/>
      <c r="Q5258" s="2"/>
      <c r="R5258" s="2"/>
      <c r="S5258" s="2" t="s">
        <v>34385</v>
      </c>
      <c r="T5258" s="2" t="s">
        <v>34386</v>
      </c>
      <c r="U5258" s="2" t="s">
        <v>56</v>
      </c>
      <c r="V5258" s="2" t="s">
        <v>145</v>
      </c>
      <c r="W5258" s="2" t="s">
        <v>231</v>
      </c>
      <c r="X5258" s="2" t="s">
        <v>147</v>
      </c>
      <c r="Y5258" s="2">
        <v>37.1</v>
      </c>
      <c r="Z5258" s="2">
        <v>0</v>
      </c>
      <c r="AA5258" s="2" t="s">
        <v>259</v>
      </c>
      <c r="AB5258" s="2" t="s">
        <v>10316</v>
      </c>
      <c r="AC5258" s="2">
        <v>2.6617867350120998</v>
      </c>
      <c r="AD5258" s="2"/>
      <c r="AE5258" s="2">
        <v>4.2157896207040697E-2</v>
      </c>
      <c r="AF5258" s="2">
        <v>4924.0062476570502</v>
      </c>
      <c r="AG5258" s="2">
        <v>5190.6184915040103</v>
      </c>
      <c r="AH5258" s="4">
        <v>0.94863574653322102</v>
      </c>
      <c r="AI5258" s="4">
        <v>-7.6073861748714805E-2</v>
      </c>
      <c r="AJ5258" s="4" t="s">
        <v>62</v>
      </c>
      <c r="AK5258" s="2">
        <v>0.69284314852613405</v>
      </c>
      <c r="AL5258" s="2">
        <v>0.85266577243505903</v>
      </c>
      <c r="AM5258" s="2">
        <v>4546.4880815037404</v>
      </c>
      <c r="AN5258" s="2">
        <v>6222.2171069528404</v>
      </c>
      <c r="AO5258" s="2">
        <v>4686.2926361796199</v>
      </c>
      <c r="AP5258" s="2">
        <v>4958.7766330750801</v>
      </c>
      <c r="AQ5258" s="2">
        <v>4821.2263693547602</v>
      </c>
      <c r="AR5258" s="2">
        <v>4309.0366588762299</v>
      </c>
      <c r="AS5258" s="2">
        <v>5950.53352951123</v>
      </c>
      <c r="AT5258" s="2">
        <v>6238.4323669760697</v>
      </c>
      <c r="AU5258" s="2">
        <v>3449.97291678684</v>
      </c>
      <c r="AV5258" s="2">
        <v>3526.8402841512402</v>
      </c>
      <c r="AW5258" s="2">
        <v>5020.9477212868196</v>
      </c>
      <c r="AX5258" s="2">
        <v>6956.9841303118501</v>
      </c>
    </row>
    <row r="5259" spans="1:50" x14ac:dyDescent="0.25">
      <c r="A5259" s="2" t="s">
        <v>34387</v>
      </c>
      <c r="B5259" s="2">
        <v>152.02170000000001</v>
      </c>
      <c r="C5259" s="2">
        <v>8.5489999999999995</v>
      </c>
      <c r="D5259" s="2" t="s">
        <v>125</v>
      </c>
      <c r="E5259" s="2" t="s">
        <v>34388</v>
      </c>
      <c r="F5259" s="2">
        <v>258239</v>
      </c>
      <c r="G5259" s="3" t="str">
        <f>HYPERLINK("https://cloud.oebiotech.com/#/lm/network/258239", "https://cloud.oebiotech.com/#/lm/network/258239")</f>
        <v>https://cloud.oebiotech.com/#/lm/network/258239</v>
      </c>
      <c r="H5259" s="2"/>
      <c r="I5259" s="2">
        <v>3232</v>
      </c>
      <c r="J5259" s="2"/>
      <c r="K5259" s="2">
        <v>12290</v>
      </c>
      <c r="L5259" s="2"/>
      <c r="M5259" s="2"/>
      <c r="N5259" s="2"/>
      <c r="O5259" s="2"/>
      <c r="P5259" s="2"/>
      <c r="Q5259" s="2"/>
      <c r="R5259" s="2" t="s">
        <v>34389</v>
      </c>
      <c r="S5259" s="2" t="s">
        <v>34390</v>
      </c>
      <c r="T5259" s="2" t="s">
        <v>34391</v>
      </c>
      <c r="U5259" s="2" t="s">
        <v>266</v>
      </c>
      <c r="V5259" s="2" t="s">
        <v>2143</v>
      </c>
      <c r="W5259" s="2" t="s">
        <v>6504</v>
      </c>
      <c r="X5259" s="2" t="s">
        <v>59</v>
      </c>
      <c r="Y5259" s="2">
        <v>79.8</v>
      </c>
      <c r="Z5259" s="2">
        <v>67.599999999999994</v>
      </c>
      <c r="AA5259" s="2"/>
      <c r="AB5259" s="2" t="s">
        <v>34392</v>
      </c>
      <c r="AC5259" s="2"/>
      <c r="AD5259" s="2">
        <v>286394.92590397201</v>
      </c>
      <c r="AE5259" s="2">
        <v>4.21310157554564E-2</v>
      </c>
      <c r="AF5259" s="2">
        <v>49413.165745607497</v>
      </c>
      <c r="AG5259" s="2">
        <v>51439.068785828902</v>
      </c>
      <c r="AH5259" s="4">
        <v>0.96061547986693996</v>
      </c>
      <c r="AI5259" s="4">
        <v>-5.7969037772241598E-2</v>
      </c>
      <c r="AJ5259" s="4" t="s">
        <v>62</v>
      </c>
      <c r="AK5259" s="2">
        <v>0.48794819668574901</v>
      </c>
      <c r="AL5259" s="2">
        <v>0.73118335278225499</v>
      </c>
      <c r="AM5259" s="2">
        <v>57161.561359578802</v>
      </c>
      <c r="AN5259" s="2">
        <v>48884.168127644902</v>
      </c>
      <c r="AO5259" s="2">
        <v>45778.727073261303</v>
      </c>
      <c r="AP5259" s="2">
        <v>48705.059505649799</v>
      </c>
      <c r="AQ5259" s="2">
        <v>46581.511984153003</v>
      </c>
      <c r="AR5259" s="2">
        <v>49367.9664233574</v>
      </c>
      <c r="AS5259" s="2">
        <v>41589.886043484599</v>
      </c>
      <c r="AT5259" s="2">
        <v>52003.836437884398</v>
      </c>
      <c r="AU5259" s="2">
        <v>56831.135634314</v>
      </c>
      <c r="AV5259" s="2">
        <v>56335.994759284004</v>
      </c>
      <c r="AW5259" s="2">
        <v>52438.8453670612</v>
      </c>
      <c r="AX5259" s="2">
        <v>49434.714472944899</v>
      </c>
    </row>
    <row r="5260" spans="1:50" x14ac:dyDescent="0.25">
      <c r="A5260" s="2" t="s">
        <v>34393</v>
      </c>
      <c r="B5260" s="2">
        <v>415.32171095554497</v>
      </c>
      <c r="C5260" s="2">
        <v>12.2162666666667</v>
      </c>
      <c r="D5260" s="2" t="s">
        <v>51</v>
      </c>
      <c r="E5260" s="2" t="s">
        <v>34394</v>
      </c>
      <c r="F5260" s="2">
        <v>43809</v>
      </c>
      <c r="G5260" s="3" t="str">
        <f>HYPERLINK("https://cloud.oebiotech.com/#/lm/network/43809", "https://cloud.oebiotech.com/#/lm/network/43809")</f>
        <v>https://cloud.oebiotech.com/#/lm/network/43809</v>
      </c>
      <c r="H5260" s="2"/>
      <c r="I5260" s="2"/>
      <c r="J5260" s="2" t="s">
        <v>34395</v>
      </c>
      <c r="K5260" s="2"/>
      <c r="L5260" s="2"/>
      <c r="M5260" s="2"/>
      <c r="N5260" s="2"/>
      <c r="O5260" s="2"/>
      <c r="P5260" s="2"/>
      <c r="Q5260" s="2"/>
      <c r="R5260" s="2"/>
      <c r="S5260" s="2" t="s">
        <v>34396</v>
      </c>
      <c r="T5260" s="2" t="s">
        <v>34397</v>
      </c>
      <c r="U5260" s="2" t="s">
        <v>56</v>
      </c>
      <c r="V5260" s="2" t="s">
        <v>283</v>
      </c>
      <c r="W5260" s="2" t="s">
        <v>2042</v>
      </c>
      <c r="X5260" s="2" t="s">
        <v>83</v>
      </c>
      <c r="Y5260" s="2">
        <v>56</v>
      </c>
      <c r="Z5260" s="2">
        <v>0</v>
      </c>
      <c r="AA5260" s="2" t="s">
        <v>163</v>
      </c>
      <c r="AB5260" s="2" t="s">
        <v>12916</v>
      </c>
      <c r="AC5260" s="2">
        <v>-0.139029972019686</v>
      </c>
      <c r="AD5260" s="2"/>
      <c r="AE5260" s="2">
        <v>4.2102441623984403E-2</v>
      </c>
      <c r="AF5260" s="2">
        <v>926.47099348620395</v>
      </c>
      <c r="AG5260" s="2">
        <v>737.94228519862702</v>
      </c>
      <c r="AH5260" s="5">
        <v>1.25547893388008</v>
      </c>
      <c r="AI5260" s="5">
        <v>0.32823782132807899</v>
      </c>
      <c r="AJ5260" s="5" t="s">
        <v>139</v>
      </c>
      <c r="AK5260" s="2">
        <v>0.56979841657428598</v>
      </c>
      <c r="AL5260" s="2">
        <v>0.78311574344879098</v>
      </c>
      <c r="AM5260" s="2">
        <v>405.199599026969</v>
      </c>
      <c r="AN5260" s="2">
        <v>426.07181207492698</v>
      </c>
      <c r="AO5260" s="2">
        <v>1694.0981382974401</v>
      </c>
      <c r="AP5260" s="2">
        <v>507.99979605421299</v>
      </c>
      <c r="AQ5260" s="2">
        <v>1837.80782629595</v>
      </c>
      <c r="AR5260" s="2">
        <v>687.64878916772295</v>
      </c>
      <c r="AS5260" s="2">
        <v>372.58658282448403</v>
      </c>
      <c r="AT5260" s="2">
        <v>1212.07136911257</v>
      </c>
      <c r="AU5260" s="2">
        <v>612.89907807627503</v>
      </c>
      <c r="AV5260" s="2">
        <v>859.33292617334098</v>
      </c>
      <c r="AW5260" s="2">
        <v>1195.0314831506</v>
      </c>
      <c r="AX5260" s="2">
        <v>175.732271854495</v>
      </c>
    </row>
    <row r="5261" spans="1:50" x14ac:dyDescent="0.25">
      <c r="A5261" s="2" t="s">
        <v>34398</v>
      </c>
      <c r="B5261" s="2">
        <v>345.21759363582999</v>
      </c>
      <c r="C5261" s="2">
        <v>14.459250000000001</v>
      </c>
      <c r="D5261" s="2" t="s">
        <v>51</v>
      </c>
      <c r="E5261" s="2" t="s">
        <v>34399</v>
      </c>
      <c r="F5261" s="2">
        <v>204490</v>
      </c>
      <c r="G5261" s="3" t="str">
        <f>HYPERLINK("https://cloud.oebiotech.com/#/lm/network/204490", "https://cloud.oebiotech.com/#/lm/network/204490")</f>
        <v>https://cloud.oebiotech.com/#/lm/network/204490</v>
      </c>
      <c r="H5261" s="2" t="s">
        <v>34400</v>
      </c>
      <c r="I5261" s="2"/>
      <c r="J5261" s="2"/>
      <c r="K5261" s="2">
        <v>2532</v>
      </c>
      <c r="L5261" s="2"/>
      <c r="M5261" s="2"/>
      <c r="N5261" s="2"/>
      <c r="O5261" s="2">
        <v>93910</v>
      </c>
      <c r="P5261" s="2"/>
      <c r="Q5261" s="2"/>
      <c r="R5261" s="2"/>
      <c r="S5261" s="2" t="s">
        <v>34401</v>
      </c>
      <c r="T5261" s="2" t="s">
        <v>34402</v>
      </c>
      <c r="U5261" s="2" t="s">
        <v>103</v>
      </c>
      <c r="V5261" s="2" t="s">
        <v>104</v>
      </c>
      <c r="W5261" s="2" t="s">
        <v>105</v>
      </c>
      <c r="X5261" s="2" t="s">
        <v>147</v>
      </c>
      <c r="Y5261" s="2">
        <v>39</v>
      </c>
      <c r="Z5261" s="2">
        <v>0</v>
      </c>
      <c r="AA5261" s="2" t="s">
        <v>156</v>
      </c>
      <c r="AB5261" s="2" t="s">
        <v>34403</v>
      </c>
      <c r="AC5261" s="2">
        <v>0.89568602204866599</v>
      </c>
      <c r="AD5261" s="2"/>
      <c r="AE5261" s="2">
        <v>4.2073965657668098E-2</v>
      </c>
      <c r="AF5261" s="2">
        <v>1553.5244010587001</v>
      </c>
      <c r="AG5261" s="2">
        <v>1734.41506722432</v>
      </c>
      <c r="AH5261" s="4">
        <v>0.89570508837016205</v>
      </c>
      <c r="AI5261" s="4">
        <v>-0.15890429294036401</v>
      </c>
      <c r="AJ5261" s="4" t="s">
        <v>62</v>
      </c>
      <c r="AK5261" s="2">
        <v>0.52311554634635604</v>
      </c>
      <c r="AL5261" s="2">
        <v>0.753042437774049</v>
      </c>
      <c r="AM5261" s="2">
        <v>1862.9213123663201</v>
      </c>
      <c r="AN5261" s="2">
        <v>1917.3769161333</v>
      </c>
      <c r="AO5261" s="2">
        <v>1184.81923018062</v>
      </c>
      <c r="AP5261" s="2">
        <v>1601.8458300326199</v>
      </c>
      <c r="AQ5261" s="2">
        <v>1851.0927051379001</v>
      </c>
      <c r="AR5261" s="2">
        <v>903.09041250143298</v>
      </c>
      <c r="AS5261" s="2">
        <v>1451.3943263910501</v>
      </c>
      <c r="AT5261" s="2">
        <v>1292.70203924218</v>
      </c>
      <c r="AU5261" s="2">
        <v>1988.9249686989001</v>
      </c>
      <c r="AV5261" s="2">
        <v>2636.7605676833</v>
      </c>
      <c r="AW5261" s="2">
        <v>1759.5710356157799</v>
      </c>
      <c r="AX5261" s="2">
        <v>1277.1374657147001</v>
      </c>
    </row>
    <row r="5262" spans="1:50" x14ac:dyDescent="0.25">
      <c r="A5262" s="2" t="s">
        <v>34404</v>
      </c>
      <c r="B5262" s="2">
        <v>845.19305567229503</v>
      </c>
      <c r="C5262" s="2">
        <v>4.2577833333333297</v>
      </c>
      <c r="D5262" s="2" t="s">
        <v>51</v>
      </c>
      <c r="E5262" s="2" t="s">
        <v>34405</v>
      </c>
      <c r="F5262" s="2">
        <v>34969</v>
      </c>
      <c r="G5262" s="3" t="str">
        <f>HYPERLINK("https://cloud.oebiotech.com/#/lm/network/34969", "https://cloud.oebiotech.com/#/lm/network/34969")</f>
        <v>https://cloud.oebiotech.com/#/lm/network/34969</v>
      </c>
      <c r="H5262" s="2" t="s">
        <v>34406</v>
      </c>
      <c r="I5262" s="2">
        <v>2405</v>
      </c>
      <c r="J5262" s="2" t="s">
        <v>34407</v>
      </c>
      <c r="K5262" s="2">
        <v>73111</v>
      </c>
      <c r="L5262" s="2" t="s">
        <v>34408</v>
      </c>
      <c r="M5262" s="2"/>
      <c r="N5262" s="2"/>
      <c r="O5262" s="2">
        <v>9112</v>
      </c>
      <c r="P5262" s="2"/>
      <c r="Q5262" s="2"/>
      <c r="R5262" s="2" t="s">
        <v>34409</v>
      </c>
      <c r="S5262" s="2" t="s">
        <v>34410</v>
      </c>
      <c r="T5262" s="2" t="s">
        <v>34411</v>
      </c>
      <c r="U5262" s="2" t="s">
        <v>610</v>
      </c>
      <c r="V5262" s="2" t="s">
        <v>9240</v>
      </c>
      <c r="W5262" s="2" t="s">
        <v>13051</v>
      </c>
      <c r="X5262" s="2" t="s">
        <v>147</v>
      </c>
      <c r="Y5262" s="2">
        <v>37.200000000000003</v>
      </c>
      <c r="Z5262" s="2">
        <v>0</v>
      </c>
      <c r="AA5262" s="2" t="s">
        <v>156</v>
      </c>
      <c r="AB5262" s="2" t="s">
        <v>34412</v>
      </c>
      <c r="AC5262" s="2">
        <v>0.81224306919322697</v>
      </c>
      <c r="AD5262" s="2"/>
      <c r="AE5262" s="2">
        <v>4.2009218600677897E-2</v>
      </c>
      <c r="AF5262" s="2">
        <v>11518.864462007699</v>
      </c>
      <c r="AG5262" s="2">
        <v>11312.9838632844</v>
      </c>
      <c r="AH5262" s="5">
        <v>1.01819861154328</v>
      </c>
      <c r="AI5262" s="5">
        <v>2.6019003398532001E-2</v>
      </c>
      <c r="AJ5262" s="5" t="s">
        <v>139</v>
      </c>
      <c r="AK5262" s="2">
        <v>0.96996860199809598</v>
      </c>
      <c r="AL5262" s="2">
        <v>0.98861864207084904</v>
      </c>
      <c r="AM5262" s="2">
        <v>23728.642108902401</v>
      </c>
      <c r="AN5262" s="2">
        <v>10036.7003398781</v>
      </c>
      <c r="AO5262" s="2">
        <v>11084.997597777099</v>
      </c>
      <c r="AP5262" s="2">
        <v>4487.6670817226704</v>
      </c>
      <c r="AQ5262" s="2">
        <v>1397.4289943137701</v>
      </c>
      <c r="AR5262" s="2">
        <v>18377.750649452399</v>
      </c>
      <c r="AS5262" s="2">
        <v>8.559877937157E-6</v>
      </c>
      <c r="AT5262" s="2">
        <v>824.07705348644004</v>
      </c>
      <c r="AU5262" s="2">
        <v>11107.4994411027</v>
      </c>
      <c r="AV5262" s="2">
        <v>15767.537917842499</v>
      </c>
      <c r="AW5262" s="2">
        <v>26838.3988196951</v>
      </c>
      <c r="AX5262" s="2">
        <v>13340.3899390198</v>
      </c>
    </row>
    <row r="5263" spans="1:50" x14ac:dyDescent="0.25">
      <c r="A5263" s="2" t="s">
        <v>34413</v>
      </c>
      <c r="B5263" s="2">
        <v>315.25401867209399</v>
      </c>
      <c r="C5263" s="2">
        <v>10.2258</v>
      </c>
      <c r="D5263" s="2" t="s">
        <v>51</v>
      </c>
      <c r="E5263" s="2" t="s">
        <v>34414</v>
      </c>
      <c r="F5263" s="2">
        <v>3192</v>
      </c>
      <c r="G5263" s="3" t="str">
        <f>HYPERLINK("https://cloud.oebiotech.com/#/lm/network/3192", "https://cloud.oebiotech.com/#/lm/network/3192")</f>
        <v>https://cloud.oebiotech.com/#/lm/network/3192</v>
      </c>
      <c r="H5263" s="2" t="s">
        <v>34415</v>
      </c>
      <c r="I5263" s="2">
        <v>45832</v>
      </c>
      <c r="J5263" s="2" t="s">
        <v>34416</v>
      </c>
      <c r="K5263" s="2">
        <v>12235230</v>
      </c>
      <c r="L5263" s="2" t="s">
        <v>34417</v>
      </c>
      <c r="M5263" s="2"/>
      <c r="N5263" s="2"/>
      <c r="O5263" s="2">
        <v>49254</v>
      </c>
      <c r="P5263" s="2"/>
      <c r="Q5263" s="2"/>
      <c r="R5263" s="2"/>
      <c r="S5263" s="2" t="s">
        <v>34418</v>
      </c>
      <c r="T5263" s="2" t="s">
        <v>34419</v>
      </c>
      <c r="U5263" s="2" t="s">
        <v>56</v>
      </c>
      <c r="V5263" s="2" t="s">
        <v>145</v>
      </c>
      <c r="W5263" s="2" t="s">
        <v>231</v>
      </c>
      <c r="X5263" s="2" t="s">
        <v>83</v>
      </c>
      <c r="Y5263" s="2">
        <v>51.6</v>
      </c>
      <c r="Z5263" s="2">
        <v>0</v>
      </c>
      <c r="AA5263" s="2" t="s">
        <v>163</v>
      </c>
      <c r="AB5263" s="2" t="s">
        <v>4702</v>
      </c>
      <c r="AC5263" s="2">
        <v>-0.20403588309897999</v>
      </c>
      <c r="AD5263" s="2"/>
      <c r="AE5263" s="2">
        <v>4.2004514832323502E-2</v>
      </c>
      <c r="AF5263" s="2">
        <v>5831.8956444851401</v>
      </c>
      <c r="AG5263" s="2">
        <v>5592.62157600514</v>
      </c>
      <c r="AH5263" s="5">
        <v>1.0427838832340399</v>
      </c>
      <c r="AI5263" s="5">
        <v>6.0440190558026199E-2</v>
      </c>
      <c r="AJ5263" s="5" t="s">
        <v>139</v>
      </c>
      <c r="AK5263" s="2">
        <v>0.88017247019339595</v>
      </c>
      <c r="AL5263" s="2">
        <v>0.947767478779867</v>
      </c>
      <c r="AM5263" s="2">
        <v>5399.5310798924102</v>
      </c>
      <c r="AN5263" s="2">
        <v>3950.2857439757199</v>
      </c>
      <c r="AO5263" s="2">
        <v>5084.59474456924</v>
      </c>
      <c r="AP5263" s="2">
        <v>4910.6280461769402</v>
      </c>
      <c r="AQ5263" s="2">
        <v>10418.839114009301</v>
      </c>
      <c r="AR5263" s="2">
        <v>5227.4951382872296</v>
      </c>
      <c r="AS5263" s="2">
        <v>2506.39323126818</v>
      </c>
      <c r="AT5263" s="2">
        <v>5415.0936407403497</v>
      </c>
      <c r="AU5263" s="2">
        <v>10567.867965741199</v>
      </c>
      <c r="AV5263" s="2">
        <v>5648.0889450219001</v>
      </c>
      <c r="AW5263" s="2">
        <v>6877.0009544541399</v>
      </c>
      <c r="AX5263" s="2">
        <v>2541.2847188051001</v>
      </c>
    </row>
    <row r="5264" spans="1:50" x14ac:dyDescent="0.25">
      <c r="A5264" s="2" t="s">
        <v>34420</v>
      </c>
      <c r="B5264" s="2">
        <v>607.17275890430597</v>
      </c>
      <c r="C5264" s="2">
        <v>9.6639666666666706</v>
      </c>
      <c r="D5264" s="2" t="s">
        <v>51</v>
      </c>
      <c r="E5264" s="2" t="s">
        <v>34421</v>
      </c>
      <c r="F5264" s="2">
        <v>47377</v>
      </c>
      <c r="G5264" s="3" t="str">
        <f>HYPERLINK("https://cloud.oebiotech.com/#/lm/network/47377", "https://cloud.oebiotech.com/#/lm/network/47377")</f>
        <v>https://cloud.oebiotech.com/#/lm/network/47377</v>
      </c>
      <c r="H5264" s="2" t="s">
        <v>34422</v>
      </c>
      <c r="I5264" s="2"/>
      <c r="J5264" s="2"/>
      <c r="K5264" s="2">
        <v>188803</v>
      </c>
      <c r="L5264" s="2" t="s">
        <v>24517</v>
      </c>
      <c r="M5264" s="2" t="s">
        <v>24518</v>
      </c>
      <c r="N5264" s="2" t="s">
        <v>24519</v>
      </c>
      <c r="O5264" s="2">
        <v>73688</v>
      </c>
      <c r="P5264" s="2"/>
      <c r="Q5264" s="2"/>
      <c r="R5264" s="2" t="s">
        <v>24520</v>
      </c>
      <c r="S5264" s="2" t="s">
        <v>34423</v>
      </c>
      <c r="T5264" s="2" t="s">
        <v>34424</v>
      </c>
      <c r="U5264" s="2" t="s">
        <v>103</v>
      </c>
      <c r="V5264" s="2" t="s">
        <v>104</v>
      </c>
      <c r="W5264" s="2" t="s">
        <v>105</v>
      </c>
      <c r="X5264" s="2" t="s">
        <v>147</v>
      </c>
      <c r="Y5264" s="2">
        <v>40.4</v>
      </c>
      <c r="Z5264" s="2">
        <v>9.7100000000000009</v>
      </c>
      <c r="AA5264" s="2" t="s">
        <v>478</v>
      </c>
      <c r="AB5264" s="2" t="s">
        <v>24523</v>
      </c>
      <c r="AC5264" s="2">
        <v>-2.1303220410399399</v>
      </c>
      <c r="AD5264" s="2"/>
      <c r="AE5264" s="2">
        <v>4.1834937739370699E-2</v>
      </c>
      <c r="AF5264" s="2">
        <v>11156.670032713</v>
      </c>
      <c r="AG5264" s="2">
        <v>11826.319189076599</v>
      </c>
      <c r="AH5264" s="4">
        <v>0.94337636709635897</v>
      </c>
      <c r="AI5264" s="4">
        <v>-8.4094635105231394E-2</v>
      </c>
      <c r="AJ5264" s="4" t="s">
        <v>62</v>
      </c>
      <c r="AK5264" s="2">
        <v>0.606159259561599</v>
      </c>
      <c r="AL5264" s="2">
        <v>0.80376251234912599</v>
      </c>
      <c r="AM5264" s="2">
        <v>11462.041672289801</v>
      </c>
      <c r="AN5264" s="2">
        <v>10418.2439827617</v>
      </c>
      <c r="AO5264" s="2">
        <v>10352.360265052501</v>
      </c>
      <c r="AP5264" s="2">
        <v>11903.056874177601</v>
      </c>
      <c r="AQ5264" s="2">
        <v>10391.8512014071</v>
      </c>
      <c r="AR5264" s="2">
        <v>12412.466200589401</v>
      </c>
      <c r="AS5264" s="2">
        <v>13235.8176591887</v>
      </c>
      <c r="AT5264" s="2">
        <v>15272.6487848997</v>
      </c>
      <c r="AU5264" s="2">
        <v>13842.5248410899</v>
      </c>
      <c r="AV5264" s="2">
        <v>9217.9166462099292</v>
      </c>
      <c r="AW5264" s="2">
        <v>7497.0948402255499</v>
      </c>
      <c r="AX5264" s="2">
        <v>11891.9123628457</v>
      </c>
    </row>
    <row r="5265" spans="1:50" x14ac:dyDescent="0.25">
      <c r="A5265" s="2" t="s">
        <v>34425</v>
      </c>
      <c r="B5265" s="2">
        <v>395.36457062725498</v>
      </c>
      <c r="C5265" s="2">
        <v>10.112916666666701</v>
      </c>
      <c r="D5265" s="2" t="s">
        <v>51</v>
      </c>
      <c r="E5265" s="2" t="s">
        <v>34426</v>
      </c>
      <c r="F5265" s="2">
        <v>43442</v>
      </c>
      <c r="G5265" s="3" t="str">
        <f>HYPERLINK("https://cloud.oebiotech.com/#/lm/network/43442", "https://cloud.oebiotech.com/#/lm/network/43442")</f>
        <v>https://cloud.oebiotech.com/#/lm/network/43442</v>
      </c>
      <c r="H5265" s="2" t="s">
        <v>34427</v>
      </c>
      <c r="I5265" s="2">
        <v>83847</v>
      </c>
      <c r="J5265" s="2" t="s">
        <v>34428</v>
      </c>
      <c r="K5265" s="2">
        <v>5283630</v>
      </c>
      <c r="L5265" s="2"/>
      <c r="M5265" s="2"/>
      <c r="N5265" s="2"/>
      <c r="O5265" s="2">
        <v>35517</v>
      </c>
      <c r="P5265" s="2"/>
      <c r="Q5265" s="2"/>
      <c r="R5265" s="2"/>
      <c r="S5265" s="2" t="s">
        <v>34429</v>
      </c>
      <c r="T5265" s="2" t="s">
        <v>34430</v>
      </c>
      <c r="U5265" s="2" t="s">
        <v>56</v>
      </c>
      <c r="V5265" s="2" t="s">
        <v>283</v>
      </c>
      <c r="W5265" s="2" t="s">
        <v>1108</v>
      </c>
      <c r="X5265" s="2" t="s">
        <v>147</v>
      </c>
      <c r="Y5265" s="2">
        <v>38</v>
      </c>
      <c r="Z5265" s="2">
        <v>0</v>
      </c>
      <c r="AA5265" s="2" t="s">
        <v>95</v>
      </c>
      <c r="AB5265" s="2" t="s">
        <v>34431</v>
      </c>
      <c r="AC5265" s="2">
        <v>-0.67564068227089402</v>
      </c>
      <c r="AD5265" s="2"/>
      <c r="AE5265" s="2">
        <v>4.1826664787820503E-2</v>
      </c>
      <c r="AF5265" s="2">
        <v>2719.1801130292001</v>
      </c>
      <c r="AG5265" s="2">
        <v>2360.6146958102299</v>
      </c>
      <c r="AH5265" s="5">
        <v>1.1518949356095101</v>
      </c>
      <c r="AI5265" s="5">
        <v>0.204009134499372</v>
      </c>
      <c r="AJ5265" s="5" t="s">
        <v>139</v>
      </c>
      <c r="AK5265" s="2">
        <v>0.88495212660757805</v>
      </c>
      <c r="AL5265" s="2">
        <v>0.95000757066617403</v>
      </c>
      <c r="AM5265" s="2">
        <v>10079.311454267099</v>
      </c>
      <c r="AN5265" s="2">
        <v>8.559877937157E-6</v>
      </c>
      <c r="AO5265" s="2">
        <v>8.559877937157E-6</v>
      </c>
      <c r="AP5265" s="2">
        <v>6235.7691896685601</v>
      </c>
      <c r="AQ5265" s="2">
        <v>8.559877937157E-6</v>
      </c>
      <c r="AR5265" s="2">
        <v>8.559877937157E-6</v>
      </c>
      <c r="AS5265" s="2">
        <v>3028.0947196742</v>
      </c>
      <c r="AT5265" s="2">
        <v>8.559877937157E-6</v>
      </c>
      <c r="AU5265" s="2">
        <v>8.559877937157E-6</v>
      </c>
      <c r="AV5265" s="2">
        <v>8.559877937157E-6</v>
      </c>
      <c r="AW5265" s="2">
        <v>1028.1301243036701</v>
      </c>
      <c r="AX5265" s="2">
        <v>10107.463305203901</v>
      </c>
    </row>
    <row r="5266" spans="1:50" x14ac:dyDescent="0.25">
      <c r="A5266" s="2" t="s">
        <v>34432</v>
      </c>
      <c r="B5266" s="2">
        <v>353.26979286570702</v>
      </c>
      <c r="C5266" s="2">
        <v>9.7874166666666707</v>
      </c>
      <c r="D5266" s="2" t="s">
        <v>51</v>
      </c>
      <c r="E5266" s="2" t="s">
        <v>34433</v>
      </c>
      <c r="F5266" s="2">
        <v>10507</v>
      </c>
      <c r="G5266" s="3" t="str">
        <f>HYPERLINK("https://cloud.oebiotech.com/#/lm/network/10507", "https://cloud.oebiotech.com/#/lm/network/10507")</f>
        <v>https://cloud.oebiotech.com/#/lm/network/10507</v>
      </c>
      <c r="H5266" s="2"/>
      <c r="I5266" s="2"/>
      <c r="J5266" s="2" t="s">
        <v>34434</v>
      </c>
      <c r="K5266" s="2">
        <v>21591332</v>
      </c>
      <c r="L5266" s="2"/>
      <c r="M5266" s="2"/>
      <c r="N5266" s="2"/>
      <c r="O5266" s="2"/>
      <c r="P5266" s="2"/>
      <c r="Q5266" s="2"/>
      <c r="R5266" s="2"/>
      <c r="S5266" s="2" t="s">
        <v>34435</v>
      </c>
      <c r="T5266" s="2" t="s">
        <v>34436</v>
      </c>
      <c r="U5266" s="2" t="s">
        <v>56</v>
      </c>
      <c r="V5266" s="2" t="s">
        <v>145</v>
      </c>
      <c r="W5266" s="2" t="s">
        <v>146</v>
      </c>
      <c r="X5266" s="2" t="s">
        <v>69</v>
      </c>
      <c r="Y5266" s="2">
        <v>58.1</v>
      </c>
      <c r="Z5266" s="2">
        <v>87.1</v>
      </c>
      <c r="AA5266" s="2" t="s">
        <v>259</v>
      </c>
      <c r="AB5266" s="2" t="s">
        <v>18478</v>
      </c>
      <c r="AC5266" s="2">
        <v>3.2839280140678002</v>
      </c>
      <c r="AD5266" s="2"/>
      <c r="AE5266" s="2">
        <v>4.1667768971191697E-2</v>
      </c>
      <c r="AF5266" s="2">
        <v>4117.2926287313503</v>
      </c>
      <c r="AG5266" s="2">
        <v>4678.9071948670098</v>
      </c>
      <c r="AH5266" s="4">
        <v>0.87996885966197802</v>
      </c>
      <c r="AI5266" s="4">
        <v>-0.18447562432623099</v>
      </c>
      <c r="AJ5266" s="4" t="s">
        <v>62</v>
      </c>
      <c r="AK5266" s="2">
        <v>0.72017006284349505</v>
      </c>
      <c r="AL5266" s="2">
        <v>0.87041914937656994</v>
      </c>
      <c r="AM5266" s="2">
        <v>4618.0727436598199</v>
      </c>
      <c r="AN5266" s="2">
        <v>8353.8774754586593</v>
      </c>
      <c r="AO5266" s="2">
        <v>2468.2945803735101</v>
      </c>
      <c r="AP5266" s="2">
        <v>3082.54105605725</v>
      </c>
      <c r="AQ5266" s="2">
        <v>2333.5442724477798</v>
      </c>
      <c r="AR5266" s="2">
        <v>3847.4256443910699</v>
      </c>
      <c r="AS5266" s="2">
        <v>4045.97558854206</v>
      </c>
      <c r="AT5266" s="2">
        <v>4219.50562348934</v>
      </c>
      <c r="AU5266" s="2">
        <v>3337.0220627293202</v>
      </c>
      <c r="AV5266" s="2">
        <v>1876.38759796301</v>
      </c>
      <c r="AW5266" s="2">
        <v>4099.2955806232403</v>
      </c>
      <c r="AX5266" s="2">
        <v>10495.256715855099</v>
      </c>
    </row>
    <row r="5267" spans="1:50" x14ac:dyDescent="0.25">
      <c r="A5267" s="2" t="s">
        <v>34437</v>
      </c>
      <c r="B5267" s="2">
        <v>505.073998848337</v>
      </c>
      <c r="C5267" s="2">
        <v>4.6213499999999996</v>
      </c>
      <c r="D5267" s="2" t="s">
        <v>51</v>
      </c>
      <c r="E5267" s="2" t="s">
        <v>34438</v>
      </c>
      <c r="F5267" s="2">
        <v>205617</v>
      </c>
      <c r="G5267" s="3" t="str">
        <f>HYPERLINK("https://cloud.oebiotech.com/#/lm/network/205617", "https://cloud.oebiotech.com/#/lm/network/205617")</f>
        <v>https://cloud.oebiotech.com/#/lm/network/205617</v>
      </c>
      <c r="H5267" s="2" t="s">
        <v>34439</v>
      </c>
      <c r="I5267" s="2"/>
      <c r="J5267" s="2"/>
      <c r="K5267" s="2">
        <v>135850839</v>
      </c>
      <c r="L5267" s="2"/>
      <c r="M5267" s="2"/>
      <c r="N5267" s="2"/>
      <c r="O5267" s="2"/>
      <c r="P5267" s="2"/>
      <c r="Q5267" s="2"/>
      <c r="R5267" s="2"/>
      <c r="S5267" s="2" t="s">
        <v>34440</v>
      </c>
      <c r="T5267" s="2" t="s">
        <v>34441</v>
      </c>
      <c r="U5267" s="2" t="s">
        <v>103</v>
      </c>
      <c r="V5267" s="2" t="s">
        <v>104</v>
      </c>
      <c r="W5267" s="2" t="s">
        <v>105</v>
      </c>
      <c r="X5267" s="2" t="s">
        <v>147</v>
      </c>
      <c r="Y5267" s="2">
        <v>38.5</v>
      </c>
      <c r="Z5267" s="2">
        <v>0</v>
      </c>
      <c r="AA5267" s="2" t="s">
        <v>478</v>
      </c>
      <c r="AB5267" s="2" t="s">
        <v>34442</v>
      </c>
      <c r="AC5267" s="2">
        <v>-0.95318844410568004</v>
      </c>
      <c r="AD5267" s="2"/>
      <c r="AE5267" s="2">
        <v>4.15107218868195E-2</v>
      </c>
      <c r="AF5267" s="2">
        <v>1983.29940912605</v>
      </c>
      <c r="AG5267" s="2">
        <v>1609.3172665802099</v>
      </c>
      <c r="AH5267" s="5">
        <v>1.2323855900338101</v>
      </c>
      <c r="AI5267" s="5">
        <v>0.30145371852827701</v>
      </c>
      <c r="AJ5267" s="5" t="s">
        <v>139</v>
      </c>
      <c r="AK5267" s="2">
        <v>0.69198037043956795</v>
      </c>
      <c r="AL5267" s="2">
        <v>0.85204584530065597</v>
      </c>
      <c r="AM5267" s="2">
        <v>694.54093937319203</v>
      </c>
      <c r="AN5267" s="2">
        <v>2556.8087627990699</v>
      </c>
      <c r="AO5267" s="2">
        <v>2646.74340334009</v>
      </c>
      <c r="AP5267" s="2">
        <v>926.85758441522705</v>
      </c>
      <c r="AQ5267" s="2">
        <v>1952.60780410491</v>
      </c>
      <c r="AR5267" s="2">
        <v>3122.2379607238099</v>
      </c>
      <c r="AS5267" s="2">
        <v>2388.6093261700398</v>
      </c>
      <c r="AT5267" s="2">
        <v>1803.31141887585</v>
      </c>
      <c r="AU5267" s="2">
        <v>278.92474615946202</v>
      </c>
      <c r="AV5267" s="2">
        <v>8.559877937157E-6</v>
      </c>
      <c r="AW5267" s="2">
        <v>8.559877937157E-6</v>
      </c>
      <c r="AX5267" s="2">
        <v>5185.0580911561701</v>
      </c>
    </row>
    <row r="5268" spans="1:50" x14ac:dyDescent="0.25">
      <c r="A5268" s="2" t="s">
        <v>34443</v>
      </c>
      <c r="B5268" s="2">
        <v>469.39022424529099</v>
      </c>
      <c r="C5268" s="2">
        <v>12.383366666666699</v>
      </c>
      <c r="D5268" s="2" t="s">
        <v>51</v>
      </c>
      <c r="E5268" s="2" t="s">
        <v>34444</v>
      </c>
      <c r="F5268" s="2">
        <v>113752</v>
      </c>
      <c r="G5268" s="3" t="str">
        <f>HYPERLINK("https://cloud.oebiotech.com/#/lm/network/113752", "https://cloud.oebiotech.com/#/lm/network/113752")</f>
        <v>https://cloud.oebiotech.com/#/lm/network/113752</v>
      </c>
      <c r="H5268" s="2" t="s">
        <v>34445</v>
      </c>
      <c r="I5268" s="2"/>
      <c r="J5268" s="2"/>
      <c r="K5268" s="2">
        <v>131802095</v>
      </c>
      <c r="L5268" s="2"/>
      <c r="M5268" s="2"/>
      <c r="N5268" s="2"/>
      <c r="O5268" s="2"/>
      <c r="P5268" s="2"/>
      <c r="Q5268" s="2"/>
      <c r="R5268" s="2"/>
      <c r="S5268" s="2" t="s">
        <v>34446</v>
      </c>
      <c r="T5268" s="2" t="s">
        <v>34447</v>
      </c>
      <c r="U5268" s="2" t="s">
        <v>56</v>
      </c>
      <c r="V5268" s="2" t="s">
        <v>3215</v>
      </c>
      <c r="W5268" s="2" t="s">
        <v>3216</v>
      </c>
      <c r="X5268" s="2" t="s">
        <v>147</v>
      </c>
      <c r="Y5268" s="2">
        <v>38.299999999999997</v>
      </c>
      <c r="Z5268" s="2">
        <v>0</v>
      </c>
      <c r="AA5268" s="2" t="s">
        <v>163</v>
      </c>
      <c r="AB5268" s="2" t="s">
        <v>34448</v>
      </c>
      <c r="AC5268" s="2">
        <v>0.79900086714857099</v>
      </c>
      <c r="AD5268" s="2"/>
      <c r="AE5268" s="2">
        <v>4.1464114048523099E-2</v>
      </c>
      <c r="AF5268" s="2">
        <v>919.63841555273996</v>
      </c>
      <c r="AG5268" s="2">
        <v>724.73937827775399</v>
      </c>
      <c r="AH5268" s="5">
        <v>1.2689229302513401</v>
      </c>
      <c r="AI5268" s="5">
        <v>0.34360444780729998</v>
      </c>
      <c r="AJ5268" s="5" t="s">
        <v>139</v>
      </c>
      <c r="AK5268" s="2">
        <v>0.63225352540490498</v>
      </c>
      <c r="AL5268" s="2">
        <v>0.81944950313377996</v>
      </c>
      <c r="AM5268" s="2">
        <v>1563.49307350451</v>
      </c>
      <c r="AN5268" s="2">
        <v>519.88808796900901</v>
      </c>
      <c r="AO5268" s="2">
        <v>434.33937558840898</v>
      </c>
      <c r="AP5268" s="2">
        <v>2482.9390631466499</v>
      </c>
      <c r="AQ5268" s="2">
        <v>274.56738244442801</v>
      </c>
      <c r="AR5268" s="2">
        <v>242.603510663431</v>
      </c>
      <c r="AS5268" s="2">
        <v>449.99394530788197</v>
      </c>
      <c r="AT5268" s="2">
        <v>1170.04701619817</v>
      </c>
      <c r="AU5268" s="2">
        <v>648.473110336893</v>
      </c>
      <c r="AV5268" s="2">
        <v>324.21128127405899</v>
      </c>
      <c r="AW5268" s="2">
        <v>1054.1941272054801</v>
      </c>
      <c r="AX5268" s="2">
        <v>701.51678934404003</v>
      </c>
    </row>
    <row r="5269" spans="1:50" x14ac:dyDescent="0.25">
      <c r="A5269" s="2" t="s">
        <v>34449</v>
      </c>
      <c r="B5269" s="2">
        <v>207.15971401265799</v>
      </c>
      <c r="C5269" s="2">
        <v>14.416449999999999</v>
      </c>
      <c r="D5269" s="2" t="s">
        <v>51</v>
      </c>
      <c r="E5269" s="2" t="s">
        <v>34450</v>
      </c>
      <c r="F5269" s="2">
        <v>281370</v>
      </c>
      <c r="G5269" s="3" t="str">
        <f>HYPERLINK("https://cloud.oebiotech.com/#/lm/network/281370", "https://cloud.oebiotech.com/#/lm/network/281370")</f>
        <v>https://cloud.oebiotech.com/#/lm/network/281370</v>
      </c>
      <c r="H5269" s="2"/>
      <c r="I5269" s="2">
        <v>268699</v>
      </c>
      <c r="J5269" s="2"/>
      <c r="K5269" s="2">
        <v>8923</v>
      </c>
      <c r="L5269" s="2"/>
      <c r="M5269" s="2"/>
      <c r="N5269" s="2"/>
      <c r="O5269" s="2"/>
      <c r="P5269" s="2"/>
      <c r="Q5269" s="2"/>
      <c r="R5269" s="2"/>
      <c r="S5269" s="2" t="s">
        <v>34451</v>
      </c>
      <c r="T5269" s="2" t="s">
        <v>34452</v>
      </c>
      <c r="U5269" s="2" t="s">
        <v>331</v>
      </c>
      <c r="V5269" s="2" t="s">
        <v>332</v>
      </c>
      <c r="W5269" s="2" t="s">
        <v>511</v>
      </c>
      <c r="X5269" s="2" t="s">
        <v>147</v>
      </c>
      <c r="Y5269" s="2">
        <v>37.700000000000003</v>
      </c>
      <c r="Z5269" s="2">
        <v>0</v>
      </c>
      <c r="AA5269" s="2" t="s">
        <v>259</v>
      </c>
      <c r="AB5269" s="2" t="s">
        <v>34453</v>
      </c>
      <c r="AC5269" s="2">
        <v>3.0482239322273998</v>
      </c>
      <c r="AD5269" s="2"/>
      <c r="AE5269" s="2">
        <v>4.1401496630197099E-2</v>
      </c>
      <c r="AF5269" s="2">
        <v>1879.97245255192</v>
      </c>
      <c r="AG5269" s="2">
        <v>2062.7439715251598</v>
      </c>
      <c r="AH5269" s="4">
        <v>0.91139398708890695</v>
      </c>
      <c r="AI5269" s="4">
        <v>-0.13385324245834901</v>
      </c>
      <c r="AJ5269" s="4" t="s">
        <v>62</v>
      </c>
      <c r="AK5269" s="2">
        <v>0.51284034674099199</v>
      </c>
      <c r="AL5269" s="2">
        <v>0.74625812220619403</v>
      </c>
      <c r="AM5269" s="2">
        <v>1579.4523104048001</v>
      </c>
      <c r="AN5269" s="2">
        <v>2370.1338864903701</v>
      </c>
      <c r="AO5269" s="2">
        <v>1914.1094626343699</v>
      </c>
      <c r="AP5269" s="2">
        <v>1621.3538760219601</v>
      </c>
      <c r="AQ5269" s="2">
        <v>2361.4913135107599</v>
      </c>
      <c r="AR5269" s="2">
        <v>1433.29386624927</v>
      </c>
      <c r="AS5269" s="2">
        <v>1819.3373032776699</v>
      </c>
      <c r="AT5269" s="2">
        <v>2668.2195643325899</v>
      </c>
      <c r="AU5269" s="2">
        <v>1412.20571765932</v>
      </c>
      <c r="AV5269" s="2">
        <v>1649.84961457494</v>
      </c>
      <c r="AW5269" s="2">
        <v>2211.7871435841598</v>
      </c>
      <c r="AX5269" s="2">
        <v>2615.0644857222801</v>
      </c>
    </row>
    <row r="5270" spans="1:50" x14ac:dyDescent="0.25">
      <c r="A5270" s="2" t="s">
        <v>34454</v>
      </c>
      <c r="B5270" s="2">
        <v>184.097199337517</v>
      </c>
      <c r="C5270" s="2">
        <v>4.7279666666666698</v>
      </c>
      <c r="D5270" s="2" t="s">
        <v>51</v>
      </c>
      <c r="E5270" s="2" t="s">
        <v>34455</v>
      </c>
      <c r="F5270" s="2">
        <v>115479</v>
      </c>
      <c r="G5270" s="3" t="str">
        <f>HYPERLINK("https://cloud.oebiotech.com/#/lm/network/115479", "https://cloud.oebiotech.com/#/lm/network/115479")</f>
        <v>https://cloud.oebiotech.com/#/lm/network/115479</v>
      </c>
      <c r="H5270" s="2" t="s">
        <v>34456</v>
      </c>
      <c r="I5270" s="2"/>
      <c r="J5270" s="2"/>
      <c r="K5270" s="2"/>
      <c r="L5270" s="2"/>
      <c r="M5270" s="2"/>
      <c r="N5270" s="2"/>
      <c r="O5270" s="2"/>
      <c r="P5270" s="2"/>
      <c r="Q5270" s="2"/>
      <c r="R5270" s="2"/>
      <c r="S5270" s="2" t="s">
        <v>34457</v>
      </c>
      <c r="T5270" s="2" t="s">
        <v>34458</v>
      </c>
      <c r="U5270" s="2" t="s">
        <v>103</v>
      </c>
      <c r="V5270" s="2" t="s">
        <v>104</v>
      </c>
      <c r="W5270" s="2" t="s">
        <v>105</v>
      </c>
      <c r="X5270" s="2" t="s">
        <v>83</v>
      </c>
      <c r="Y5270" s="2">
        <v>56.2</v>
      </c>
      <c r="Z5270" s="2">
        <v>0</v>
      </c>
      <c r="AA5270" s="2" t="s">
        <v>163</v>
      </c>
      <c r="AB5270" s="2" t="s">
        <v>10065</v>
      </c>
      <c r="AC5270" s="2">
        <v>-3.8765795820763098</v>
      </c>
      <c r="AD5270" s="2"/>
      <c r="AE5270" s="2">
        <v>4.1380678611247099E-2</v>
      </c>
      <c r="AF5270" s="2">
        <v>902.94440040100005</v>
      </c>
      <c r="AG5270" s="2">
        <v>736.11313488333894</v>
      </c>
      <c r="AH5270" s="5">
        <v>1.22663807723537</v>
      </c>
      <c r="AI5270" s="5">
        <v>0.29470964085074303</v>
      </c>
      <c r="AJ5270" s="5" t="s">
        <v>139</v>
      </c>
      <c r="AK5270" s="2">
        <v>0.41554805613264201</v>
      </c>
      <c r="AL5270" s="2">
        <v>0.67833621370896202</v>
      </c>
      <c r="AM5270" s="2">
        <v>826.33605927386895</v>
      </c>
      <c r="AN5270" s="2">
        <v>678.65281275567304</v>
      </c>
      <c r="AO5270" s="2">
        <v>724.53320785927099</v>
      </c>
      <c r="AP5270" s="2">
        <v>1083.0764156514899</v>
      </c>
      <c r="AQ5270" s="2">
        <v>1368.6001657445099</v>
      </c>
      <c r="AR5270" s="2">
        <v>736.46774112118806</v>
      </c>
      <c r="AS5270" s="2">
        <v>410.30833076072798</v>
      </c>
      <c r="AT5270" s="2">
        <v>316.51082987348599</v>
      </c>
      <c r="AU5270" s="2">
        <v>1306.90803339282</v>
      </c>
      <c r="AV5270" s="2">
        <v>757.28166704191995</v>
      </c>
      <c r="AW5270" s="2">
        <v>1106.22902986586</v>
      </c>
      <c r="AX5270" s="2">
        <v>519.44091836522205</v>
      </c>
    </row>
    <row r="5271" spans="1:50" x14ac:dyDescent="0.25">
      <c r="A5271" s="2" t="s">
        <v>34459</v>
      </c>
      <c r="B5271" s="2">
        <v>203.15498565279401</v>
      </c>
      <c r="C5271" s="2">
        <v>4.1536</v>
      </c>
      <c r="D5271" s="2" t="s">
        <v>51</v>
      </c>
      <c r="E5271" s="2" t="s">
        <v>34460</v>
      </c>
      <c r="F5271" s="2">
        <v>53041</v>
      </c>
      <c r="G5271" s="3" t="str">
        <f>HYPERLINK("https://cloud.oebiotech.com/#/lm/network/53041", "https://cloud.oebiotech.com/#/lm/network/53041")</f>
        <v>https://cloud.oebiotech.com/#/lm/network/53041</v>
      </c>
      <c r="H5271" s="2" t="s">
        <v>34461</v>
      </c>
      <c r="I5271" s="2">
        <v>2073</v>
      </c>
      <c r="J5271" s="2"/>
      <c r="K5271" s="2">
        <v>4906</v>
      </c>
      <c r="L5271" s="2" t="s">
        <v>34462</v>
      </c>
      <c r="M5271" s="2"/>
      <c r="N5271" s="2"/>
      <c r="O5271" s="2">
        <v>8404</v>
      </c>
      <c r="P5271" s="2"/>
      <c r="Q5271" s="2"/>
      <c r="R5271" s="2" t="s">
        <v>34463</v>
      </c>
      <c r="S5271" s="2" t="s">
        <v>34464</v>
      </c>
      <c r="T5271" s="2" t="s">
        <v>34465</v>
      </c>
      <c r="U5271" s="2" t="s">
        <v>103</v>
      </c>
      <c r="V5271" s="2" t="s">
        <v>104</v>
      </c>
      <c r="W5271" s="2" t="s">
        <v>105</v>
      </c>
      <c r="X5271" s="2" t="s">
        <v>147</v>
      </c>
      <c r="Y5271" s="2">
        <v>40.4</v>
      </c>
      <c r="Z5271" s="2">
        <v>19.399999999999999</v>
      </c>
      <c r="AA5271" s="2" t="s">
        <v>156</v>
      </c>
      <c r="AB5271" s="2" t="s">
        <v>22580</v>
      </c>
      <c r="AC5271" s="2">
        <v>3.2278347546181001</v>
      </c>
      <c r="AD5271" s="2"/>
      <c r="AE5271" s="2">
        <v>4.13542364903485E-2</v>
      </c>
      <c r="AF5271" s="2">
        <v>1130.9703157992899</v>
      </c>
      <c r="AG5271" s="2">
        <v>1509.6296388744199</v>
      </c>
      <c r="AH5271" s="4">
        <v>0.74917071490630105</v>
      </c>
      <c r="AI5271" s="4">
        <v>-0.41663358917347099</v>
      </c>
      <c r="AJ5271" s="4" t="s">
        <v>62</v>
      </c>
      <c r="AK5271" s="2">
        <v>0.69188923107267797</v>
      </c>
      <c r="AL5271" s="2">
        <v>0.85204584530065597</v>
      </c>
      <c r="AM5271" s="2">
        <v>283.95462362095702</v>
      </c>
      <c r="AN5271" s="2">
        <v>722.39677457076402</v>
      </c>
      <c r="AO5271" s="2">
        <v>758.81242472134204</v>
      </c>
      <c r="AP5271" s="2">
        <v>467.830533582915</v>
      </c>
      <c r="AQ5271" s="2">
        <v>4093.9744979795</v>
      </c>
      <c r="AR5271" s="2">
        <v>458.85304032027102</v>
      </c>
      <c r="AS5271" s="2">
        <v>2490.3570287061102</v>
      </c>
      <c r="AT5271" s="2">
        <v>4649.6714586521903</v>
      </c>
      <c r="AU5271" s="2">
        <v>497.88342362625002</v>
      </c>
      <c r="AV5271" s="2">
        <v>240.658079256398</v>
      </c>
      <c r="AW5271" s="2">
        <v>613.422065273116</v>
      </c>
      <c r="AX5271" s="2">
        <v>565.78577773246604</v>
      </c>
    </row>
    <row r="5272" spans="1:50" x14ac:dyDescent="0.25">
      <c r="A5272" s="2" t="s">
        <v>34466</v>
      </c>
      <c r="B5272" s="2">
        <v>134.11793257622699</v>
      </c>
      <c r="C5272" s="2">
        <v>0.71519999999999995</v>
      </c>
      <c r="D5272" s="2" t="s">
        <v>51</v>
      </c>
      <c r="E5272" s="2" t="s">
        <v>34467</v>
      </c>
      <c r="F5272" s="2">
        <v>211426</v>
      </c>
      <c r="G5272" s="3" t="str">
        <f>HYPERLINK("https://cloud.oebiotech.com/#/lm/network/211426", "https://cloud.oebiotech.com/#/lm/network/211426")</f>
        <v>https://cloud.oebiotech.com/#/lm/network/211426</v>
      </c>
      <c r="H5272" s="2" t="s">
        <v>34468</v>
      </c>
      <c r="I5272" s="2"/>
      <c r="J5272" s="2"/>
      <c r="K5272" s="2">
        <v>9833967</v>
      </c>
      <c r="L5272" s="2"/>
      <c r="M5272" s="2"/>
      <c r="N5272" s="2"/>
      <c r="O5272" s="2"/>
      <c r="P5272" s="2"/>
      <c r="Q5272" s="2"/>
      <c r="R5272" s="2"/>
      <c r="S5272" s="2" t="s">
        <v>34469</v>
      </c>
      <c r="T5272" s="2" t="s">
        <v>34470</v>
      </c>
      <c r="U5272" s="2" t="s">
        <v>119</v>
      </c>
      <c r="V5272" s="2" t="s">
        <v>120</v>
      </c>
      <c r="W5272" s="2" t="s">
        <v>1887</v>
      </c>
      <c r="X5272" s="2" t="s">
        <v>83</v>
      </c>
      <c r="Y5272" s="2">
        <v>55</v>
      </c>
      <c r="Z5272" s="2">
        <v>0</v>
      </c>
      <c r="AA5272" s="2" t="s">
        <v>179</v>
      </c>
      <c r="AB5272" s="2" t="s">
        <v>34471</v>
      </c>
      <c r="AC5272" s="2">
        <v>2.8353877767915101</v>
      </c>
      <c r="AD5272" s="2"/>
      <c r="AE5272" s="2">
        <v>4.1352915159633803E-2</v>
      </c>
      <c r="AF5272" s="2">
        <v>13002.8716336669</v>
      </c>
      <c r="AG5272" s="2">
        <v>12641.4931553758</v>
      </c>
      <c r="AH5272" s="5">
        <v>1.0285866925567599</v>
      </c>
      <c r="AI5272" s="5">
        <v>4.0663393912321502E-2</v>
      </c>
      <c r="AJ5272" s="5" t="s">
        <v>139</v>
      </c>
      <c r="AK5272" s="2">
        <v>0.91432468864053396</v>
      </c>
      <c r="AL5272" s="2">
        <v>0.96366058811687005</v>
      </c>
      <c r="AM5272" s="2">
        <v>11072.224400732901</v>
      </c>
      <c r="AN5272" s="2">
        <v>13186.7368128648</v>
      </c>
      <c r="AO5272" s="2">
        <v>8390.56854150861</v>
      </c>
      <c r="AP5272" s="2">
        <v>13305.034819849299</v>
      </c>
      <c r="AQ5272" s="2">
        <v>12189.853196833399</v>
      </c>
      <c r="AR5272" s="2">
        <v>19872.812030212601</v>
      </c>
      <c r="AS5272" s="2">
        <v>14788.8302307422</v>
      </c>
      <c r="AT5272" s="2">
        <v>10109.8083695022</v>
      </c>
      <c r="AU5272" s="2">
        <v>25755.9810337501</v>
      </c>
      <c r="AV5272" s="2">
        <v>6021.6540156895198</v>
      </c>
      <c r="AW5272" s="2">
        <v>10876.0177074442</v>
      </c>
      <c r="AX5272" s="2">
        <v>8296.6675751266794</v>
      </c>
    </row>
    <row r="5273" spans="1:50" x14ac:dyDescent="0.25">
      <c r="A5273" s="2" t="s">
        <v>34472</v>
      </c>
      <c r="B5273" s="2">
        <v>357.12270508829602</v>
      </c>
      <c r="C5273" s="2">
        <v>1.4048499999999999</v>
      </c>
      <c r="D5273" s="2" t="s">
        <v>51</v>
      </c>
      <c r="E5273" s="2" t="s">
        <v>34473</v>
      </c>
      <c r="F5273" s="2">
        <v>265883</v>
      </c>
      <c r="G5273" s="3" t="str">
        <f>HYPERLINK("https://cloud.oebiotech.com/#/lm/network/265883", "https://cloud.oebiotech.com/#/lm/network/265883")</f>
        <v>https://cloud.oebiotech.com/#/lm/network/265883</v>
      </c>
      <c r="H5273" s="2"/>
      <c r="I5273" s="2">
        <v>23395</v>
      </c>
      <c r="J5273" s="2"/>
      <c r="K5273" s="2">
        <v>145453527</v>
      </c>
      <c r="L5273" s="2"/>
      <c r="M5273" s="2"/>
      <c r="N5273" s="2"/>
      <c r="O5273" s="2"/>
      <c r="P5273" s="2"/>
      <c r="Q5273" s="2"/>
      <c r="R5273" s="2"/>
      <c r="S5273" s="2" t="s">
        <v>34474</v>
      </c>
      <c r="T5273" s="2" t="s">
        <v>34475</v>
      </c>
      <c r="U5273" s="2" t="s">
        <v>103</v>
      </c>
      <c r="V5273" s="2" t="s">
        <v>104</v>
      </c>
      <c r="W5273" s="2" t="s">
        <v>105</v>
      </c>
      <c r="X5273" s="2" t="s">
        <v>83</v>
      </c>
      <c r="Y5273" s="2">
        <v>43.8</v>
      </c>
      <c r="Z5273" s="2">
        <v>37.5</v>
      </c>
      <c r="AA5273" s="2" t="s">
        <v>95</v>
      </c>
      <c r="AB5273" s="2" t="s">
        <v>34476</v>
      </c>
      <c r="AC5273" s="2">
        <v>7.1636127919613797</v>
      </c>
      <c r="AD5273" s="2"/>
      <c r="AE5273" s="2">
        <v>4.12922286491176E-2</v>
      </c>
      <c r="AF5273" s="2">
        <v>1967.4284066197299</v>
      </c>
      <c r="AG5273" s="2">
        <v>2322.18427678837</v>
      </c>
      <c r="AH5273" s="4">
        <v>0.84723181802811898</v>
      </c>
      <c r="AI5273" s="4">
        <v>-0.239171323723538</v>
      </c>
      <c r="AJ5273" s="4" t="s">
        <v>62</v>
      </c>
      <c r="AK5273" s="2">
        <v>0.75377185641409605</v>
      </c>
      <c r="AL5273" s="2">
        <v>0.88845414165782899</v>
      </c>
      <c r="AM5273" s="2">
        <v>1102.66732589208</v>
      </c>
      <c r="AN5273" s="2">
        <v>2279.8644267423801</v>
      </c>
      <c r="AO5273" s="2">
        <v>1743.56647948196</v>
      </c>
      <c r="AP5273" s="2">
        <v>1745.6545954134299</v>
      </c>
      <c r="AQ5273" s="2">
        <v>2976.5661577944402</v>
      </c>
      <c r="AR5273" s="2">
        <v>1956.2514543940699</v>
      </c>
      <c r="AS5273" s="2">
        <v>5238.1931546785299</v>
      </c>
      <c r="AT5273" s="2">
        <v>5466.9856592748702</v>
      </c>
      <c r="AU5273" s="2">
        <v>8.559877937157E-6</v>
      </c>
      <c r="AV5273" s="2">
        <v>169.28622925051201</v>
      </c>
      <c r="AW5273" s="2">
        <v>8.559877937157E-6</v>
      </c>
      <c r="AX5273" s="2">
        <v>3058.6406004065698</v>
      </c>
    </row>
    <row r="5274" spans="1:50" x14ac:dyDescent="0.25">
      <c r="A5274" s="2" t="s">
        <v>34477</v>
      </c>
      <c r="B5274" s="2">
        <v>240.08920000000001</v>
      </c>
      <c r="C5274" s="2">
        <v>11.010999999999999</v>
      </c>
      <c r="D5274" s="2" t="s">
        <v>125</v>
      </c>
      <c r="E5274" s="2" t="s">
        <v>34478</v>
      </c>
      <c r="F5274" s="2">
        <v>200827</v>
      </c>
      <c r="G5274" s="3" t="str">
        <f>HYPERLINK("https://cloud.oebiotech.com/#/lm/network/200827", "https://cloud.oebiotech.com/#/lm/network/200827")</f>
        <v>https://cloud.oebiotech.com/#/lm/network/200827</v>
      </c>
      <c r="H5274" s="2" t="s">
        <v>34479</v>
      </c>
      <c r="I5274" s="2">
        <v>44697</v>
      </c>
      <c r="J5274" s="2"/>
      <c r="K5274" s="2">
        <v>28115</v>
      </c>
      <c r="L5274" s="2"/>
      <c r="M5274" s="2"/>
      <c r="N5274" s="2"/>
      <c r="O5274" s="2">
        <v>131454</v>
      </c>
      <c r="P5274" s="2"/>
      <c r="Q5274" s="2"/>
      <c r="R5274" s="2" t="s">
        <v>34480</v>
      </c>
      <c r="S5274" s="2" t="s">
        <v>34481</v>
      </c>
      <c r="T5274" s="2" t="s">
        <v>34482</v>
      </c>
      <c r="U5274" s="2" t="s">
        <v>266</v>
      </c>
      <c r="V5274" s="2" t="s">
        <v>2143</v>
      </c>
      <c r="W5274" s="2" t="s">
        <v>6504</v>
      </c>
      <c r="X5274" s="2" t="s">
        <v>69</v>
      </c>
      <c r="Y5274" s="2">
        <v>87.3</v>
      </c>
      <c r="Z5274" s="2">
        <v>83.2</v>
      </c>
      <c r="AA5274" s="2"/>
      <c r="AB5274" s="2" t="s">
        <v>34483</v>
      </c>
      <c r="AC5274" s="2"/>
      <c r="AD5274" s="2">
        <v>372704.39169139502</v>
      </c>
      <c r="AE5274" s="2">
        <v>4.1247072424456001E-2</v>
      </c>
      <c r="AF5274" s="2">
        <v>46772.1333807298</v>
      </c>
      <c r="AG5274" s="2">
        <v>45482.925991097902</v>
      </c>
      <c r="AH5274" s="5">
        <v>1.0283448648375</v>
      </c>
      <c r="AI5274" s="5">
        <v>4.0324166628192097E-2</v>
      </c>
      <c r="AJ5274" s="5" t="s">
        <v>139</v>
      </c>
      <c r="AK5274" s="2">
        <v>0.56425478926689898</v>
      </c>
      <c r="AL5274" s="2">
        <v>0.78088127829314202</v>
      </c>
      <c r="AM5274" s="2">
        <v>50102.276104073797</v>
      </c>
      <c r="AN5274" s="2">
        <v>47618.363769938602</v>
      </c>
      <c r="AO5274" s="2">
        <v>43555.832684696201</v>
      </c>
      <c r="AP5274" s="2">
        <v>48843.727683840698</v>
      </c>
      <c r="AQ5274" s="2">
        <v>44690.498397638003</v>
      </c>
      <c r="AR5274" s="2">
        <v>45822.101644191498</v>
      </c>
      <c r="AS5274" s="2">
        <v>39659.693670005101</v>
      </c>
      <c r="AT5274" s="2">
        <v>43573.577969628401</v>
      </c>
      <c r="AU5274" s="2">
        <v>51812.759702395801</v>
      </c>
      <c r="AV5274" s="2">
        <v>48724.6399457804</v>
      </c>
      <c r="AW5274" s="2">
        <v>47625.163711721398</v>
      </c>
      <c r="AX5274" s="2">
        <v>41501.720947056398</v>
      </c>
    </row>
    <row r="5275" spans="1:50" x14ac:dyDescent="0.25">
      <c r="A5275" s="2" t="s">
        <v>34484</v>
      </c>
      <c r="B5275" s="2">
        <v>461.14349546385699</v>
      </c>
      <c r="C5275" s="2">
        <v>5.2225333333333301</v>
      </c>
      <c r="D5275" s="2" t="s">
        <v>51</v>
      </c>
      <c r="E5275" s="2" t="s">
        <v>34485</v>
      </c>
      <c r="F5275" s="2">
        <v>29767</v>
      </c>
      <c r="G5275" s="3" t="str">
        <f>HYPERLINK("https://cloud.oebiotech.com/#/lm/network/29767", "https://cloud.oebiotech.com/#/lm/network/29767")</f>
        <v>https://cloud.oebiotech.com/#/lm/network/29767</v>
      </c>
      <c r="H5275" s="2"/>
      <c r="I5275" s="2"/>
      <c r="J5275" s="2" t="s">
        <v>34486</v>
      </c>
      <c r="K5275" s="2">
        <v>86566448</v>
      </c>
      <c r="L5275" s="2"/>
      <c r="M5275" s="2"/>
      <c r="N5275" s="2"/>
      <c r="O5275" s="2">
        <v>91009</v>
      </c>
      <c r="P5275" s="2"/>
      <c r="Q5275" s="2"/>
      <c r="R5275" s="2"/>
      <c r="S5275" s="2" t="s">
        <v>34487</v>
      </c>
      <c r="T5275" s="2" t="s">
        <v>34488</v>
      </c>
      <c r="U5275" s="2" t="s">
        <v>540</v>
      </c>
      <c r="V5275" s="2" t="s">
        <v>784</v>
      </c>
      <c r="W5275" s="2" t="s">
        <v>15029</v>
      </c>
      <c r="X5275" s="2" t="s">
        <v>83</v>
      </c>
      <c r="Y5275" s="2">
        <v>39.6</v>
      </c>
      <c r="Z5275" s="2">
        <v>0.11</v>
      </c>
      <c r="AA5275" s="2" t="s">
        <v>163</v>
      </c>
      <c r="AB5275" s="2" t="s">
        <v>34489</v>
      </c>
      <c r="AC5275" s="2">
        <v>-3.94920114062085</v>
      </c>
      <c r="AD5275" s="2"/>
      <c r="AE5275" s="2">
        <v>4.1082715257444703E-2</v>
      </c>
      <c r="AF5275" s="2">
        <v>399.08129512763497</v>
      </c>
      <c r="AG5275" s="2">
        <v>526.23954822257599</v>
      </c>
      <c r="AH5275" s="4">
        <v>0.75836431616660105</v>
      </c>
      <c r="AI5275" s="4">
        <v>-0.39903701316786699</v>
      </c>
      <c r="AJ5275" s="4" t="s">
        <v>62</v>
      </c>
      <c r="AK5275" s="2">
        <v>0.728003508357562</v>
      </c>
      <c r="AL5275" s="2">
        <v>0.87464887005721204</v>
      </c>
      <c r="AM5275" s="2">
        <v>141.65383817793901</v>
      </c>
      <c r="AN5275" s="2">
        <v>581.95604862281004</v>
      </c>
      <c r="AO5275" s="2">
        <v>8.559877937157E-6</v>
      </c>
      <c r="AP5275" s="2">
        <v>8.559877937157E-6</v>
      </c>
      <c r="AQ5275" s="2">
        <v>8.559877937157E-6</v>
      </c>
      <c r="AR5275" s="2">
        <v>1670.87785828543</v>
      </c>
      <c r="AS5275" s="2">
        <v>239.923861671634</v>
      </c>
      <c r="AT5275" s="2">
        <v>408.92361001394602</v>
      </c>
      <c r="AU5275" s="2">
        <v>199.556998380051</v>
      </c>
      <c r="AV5275" s="2">
        <v>749.93803130627998</v>
      </c>
      <c r="AW5275" s="2">
        <v>1559.0947794036699</v>
      </c>
      <c r="AX5275" s="2">
        <v>8.559877937157E-6</v>
      </c>
    </row>
    <row r="5276" spans="1:50" x14ac:dyDescent="0.25">
      <c r="A5276" s="2" t="s">
        <v>34490</v>
      </c>
      <c r="B5276" s="2">
        <v>281.06673210884099</v>
      </c>
      <c r="C5276" s="2">
        <v>5.7914500000000002</v>
      </c>
      <c r="D5276" s="2" t="s">
        <v>51</v>
      </c>
      <c r="E5276" s="2" t="s">
        <v>34491</v>
      </c>
      <c r="F5276" s="2">
        <v>55583</v>
      </c>
      <c r="G5276" s="3" t="str">
        <f>HYPERLINK("https://cloud.oebiotech.com/#/lm/network/55583", "https://cloud.oebiotech.com/#/lm/network/55583")</f>
        <v>https://cloud.oebiotech.com/#/lm/network/55583</v>
      </c>
      <c r="H5276" s="2" t="s">
        <v>34492</v>
      </c>
      <c r="I5276" s="2">
        <v>87235</v>
      </c>
      <c r="J5276" s="2"/>
      <c r="K5276" s="2">
        <v>3520232</v>
      </c>
      <c r="L5276" s="2"/>
      <c r="M5276" s="2"/>
      <c r="N5276" s="2"/>
      <c r="O5276" s="2"/>
      <c r="P5276" s="2"/>
      <c r="Q5276" s="2"/>
      <c r="R5276" s="2" t="s">
        <v>34493</v>
      </c>
      <c r="S5276" s="2" t="s">
        <v>34494</v>
      </c>
      <c r="T5276" s="2" t="s">
        <v>34495</v>
      </c>
      <c r="U5276" s="2" t="s">
        <v>266</v>
      </c>
      <c r="V5276" s="2" t="s">
        <v>34496</v>
      </c>
      <c r="W5276" s="2" t="s">
        <v>240</v>
      </c>
      <c r="X5276" s="2" t="s">
        <v>83</v>
      </c>
      <c r="Y5276" s="2">
        <v>41.8</v>
      </c>
      <c r="Z5276" s="2">
        <v>0.26200000000000001</v>
      </c>
      <c r="AA5276" s="2" t="s">
        <v>218</v>
      </c>
      <c r="AB5276" s="2" t="s">
        <v>34497</v>
      </c>
      <c r="AC5276" s="2">
        <v>0.236186562786556</v>
      </c>
      <c r="AD5276" s="2"/>
      <c r="AE5276" s="2">
        <v>4.1071372395528001E-2</v>
      </c>
      <c r="AF5276" s="2">
        <v>4918.5086800092204</v>
      </c>
      <c r="AG5276" s="2">
        <v>4934.4717906042797</v>
      </c>
      <c r="AH5276" s="4">
        <v>0.99676498087891496</v>
      </c>
      <c r="AI5276" s="4">
        <v>-4.6747115172236899E-3</v>
      </c>
      <c r="AJ5276" s="4" t="s">
        <v>62</v>
      </c>
      <c r="AK5276" s="2">
        <v>0.97507077405878795</v>
      </c>
      <c r="AL5276" s="2">
        <v>0.98980639530347603</v>
      </c>
      <c r="AM5276" s="2">
        <v>3486.2029383704398</v>
      </c>
      <c r="AN5276" s="2">
        <v>5255.6503627216998</v>
      </c>
      <c r="AO5276" s="2">
        <v>4463.8654992888796</v>
      </c>
      <c r="AP5276" s="2">
        <v>4473.4801794185096</v>
      </c>
      <c r="AQ5276" s="2">
        <v>6396.2313650094102</v>
      </c>
      <c r="AR5276" s="2">
        <v>5435.62173524639</v>
      </c>
      <c r="AS5276" s="2">
        <v>5233.1739404496602</v>
      </c>
      <c r="AT5276" s="2">
        <v>4846.5483305069602</v>
      </c>
      <c r="AU5276" s="2">
        <v>3640.4048038577398</v>
      </c>
      <c r="AV5276" s="2">
        <v>4935.8748876842601</v>
      </c>
      <c r="AW5276" s="2">
        <v>5289.5009345305098</v>
      </c>
      <c r="AX5276" s="2">
        <v>5661.3278465965504</v>
      </c>
    </row>
    <row r="5277" spans="1:50" x14ac:dyDescent="0.25">
      <c r="A5277" s="2" t="s">
        <v>34498</v>
      </c>
      <c r="B5277" s="2">
        <v>366.24121063696202</v>
      </c>
      <c r="C5277" s="2">
        <v>9.1347333333333296</v>
      </c>
      <c r="D5277" s="2" t="s">
        <v>51</v>
      </c>
      <c r="E5277" s="2" t="s">
        <v>34499</v>
      </c>
      <c r="F5277" s="2">
        <v>267392</v>
      </c>
      <c r="G5277" s="3" t="str">
        <f>HYPERLINK("https://cloud.oebiotech.com/#/lm/network/267392", "https://cloud.oebiotech.com/#/lm/network/267392")</f>
        <v>https://cloud.oebiotech.com/#/lm/network/267392</v>
      </c>
      <c r="H5277" s="2"/>
      <c r="I5277" s="2">
        <v>45371</v>
      </c>
      <c r="J5277" s="2"/>
      <c r="K5277" s="2">
        <v>101826833</v>
      </c>
      <c r="L5277" s="2"/>
      <c r="M5277" s="2"/>
      <c r="N5277" s="2"/>
      <c r="O5277" s="2"/>
      <c r="P5277" s="2"/>
      <c r="Q5277" s="2"/>
      <c r="R5277" s="2" t="s">
        <v>34500</v>
      </c>
      <c r="S5277" s="2" t="s">
        <v>34501</v>
      </c>
      <c r="T5277" s="2" t="s">
        <v>34502</v>
      </c>
      <c r="U5277" s="2" t="s">
        <v>56</v>
      </c>
      <c r="V5277" s="2" t="s">
        <v>145</v>
      </c>
      <c r="W5277" s="2" t="s">
        <v>187</v>
      </c>
      <c r="X5277" s="2" t="s">
        <v>83</v>
      </c>
      <c r="Y5277" s="2">
        <v>50.5</v>
      </c>
      <c r="Z5277" s="2">
        <v>0</v>
      </c>
      <c r="AA5277" s="2" t="s">
        <v>122</v>
      </c>
      <c r="AB5277" s="2" t="s">
        <v>9482</v>
      </c>
      <c r="AC5277" s="2">
        <v>1.60099328980847</v>
      </c>
      <c r="AD5277" s="2"/>
      <c r="AE5277" s="2">
        <v>4.0858695269710199E-2</v>
      </c>
      <c r="AF5277" s="2">
        <v>1949.5535935000701</v>
      </c>
      <c r="AG5277" s="2">
        <v>1787.39688371442</v>
      </c>
      <c r="AH5277" s="5">
        <v>1.0907222739745801</v>
      </c>
      <c r="AI5277" s="5">
        <v>0.12528380105085901</v>
      </c>
      <c r="AJ5277" s="5" t="s">
        <v>139</v>
      </c>
      <c r="AK5277" s="2">
        <v>0.49593555934061601</v>
      </c>
      <c r="AL5277" s="2">
        <v>0.73518516839452297</v>
      </c>
      <c r="AM5277" s="2">
        <v>1769.5122245882701</v>
      </c>
      <c r="AN5277" s="2">
        <v>1300.59623717106</v>
      </c>
      <c r="AO5277" s="2">
        <v>2101.4002129419</v>
      </c>
      <c r="AP5277" s="2">
        <v>1902.92974431316</v>
      </c>
      <c r="AQ5277" s="2">
        <v>2302.3855424171302</v>
      </c>
      <c r="AR5277" s="2">
        <v>2320.4975995688901</v>
      </c>
      <c r="AS5277" s="2">
        <v>2222.6473634019699</v>
      </c>
      <c r="AT5277" s="2">
        <v>1876.1764534507899</v>
      </c>
      <c r="AU5277" s="2">
        <v>2247.6948798875601</v>
      </c>
      <c r="AV5277" s="2">
        <v>1443.0086116185701</v>
      </c>
      <c r="AW5277" s="2">
        <v>1698.08317461352</v>
      </c>
      <c r="AX5277" s="2">
        <v>1236.77081931409</v>
      </c>
    </row>
    <row r="5278" spans="1:50" x14ac:dyDescent="0.25">
      <c r="A5278" s="2" t="s">
        <v>34503</v>
      </c>
      <c r="B5278" s="2">
        <v>488.15990831812502</v>
      </c>
      <c r="C5278" s="2">
        <v>4.5548999999999999</v>
      </c>
      <c r="D5278" s="2" t="s">
        <v>51</v>
      </c>
      <c r="E5278" s="2" t="s">
        <v>34504</v>
      </c>
      <c r="F5278" s="2">
        <v>210222</v>
      </c>
      <c r="G5278" s="3" t="str">
        <f>HYPERLINK("https://cloud.oebiotech.com/#/lm/network/210222", "https://cloud.oebiotech.com/#/lm/network/210222")</f>
        <v>https://cloud.oebiotech.com/#/lm/network/210222</v>
      </c>
      <c r="H5278" s="2" t="s">
        <v>34505</v>
      </c>
      <c r="I5278" s="2"/>
      <c r="J5278" s="2"/>
      <c r="K5278" s="2">
        <v>49831043</v>
      </c>
      <c r="L5278" s="2"/>
      <c r="M5278" s="2"/>
      <c r="N5278" s="2"/>
      <c r="O5278" s="2">
        <v>93776</v>
      </c>
      <c r="P5278" s="2"/>
      <c r="Q5278" s="2"/>
      <c r="R5278" s="2"/>
      <c r="S5278" s="2" t="s">
        <v>34506</v>
      </c>
      <c r="T5278" s="2" t="s">
        <v>34507</v>
      </c>
      <c r="U5278" s="2" t="s">
        <v>610</v>
      </c>
      <c r="V5278" s="2" t="s">
        <v>14762</v>
      </c>
      <c r="W5278" s="2" t="s">
        <v>240</v>
      </c>
      <c r="X5278" s="2" t="s">
        <v>147</v>
      </c>
      <c r="Y5278" s="2">
        <v>37</v>
      </c>
      <c r="Z5278" s="2">
        <v>2.37</v>
      </c>
      <c r="AA5278" s="2" t="s">
        <v>218</v>
      </c>
      <c r="AB5278" s="2" t="s">
        <v>34508</v>
      </c>
      <c r="AC5278" s="2">
        <v>-2.3013123766829202</v>
      </c>
      <c r="AD5278" s="2"/>
      <c r="AE5278" s="2">
        <v>4.0847992327543999E-2</v>
      </c>
      <c r="AF5278" s="2">
        <v>4597.4186237540498</v>
      </c>
      <c r="AG5278" s="2">
        <v>4846.9049785468696</v>
      </c>
      <c r="AH5278" s="4">
        <v>0.94852666683232301</v>
      </c>
      <c r="AI5278" s="4">
        <v>-7.6239760822627706E-2</v>
      </c>
      <c r="AJ5278" s="4" t="s">
        <v>62</v>
      </c>
      <c r="AK5278" s="2">
        <v>0.92279576607292502</v>
      </c>
      <c r="AL5278" s="2">
        <v>0.96676168399064</v>
      </c>
      <c r="AM5278" s="2">
        <v>2492.2508994254899</v>
      </c>
      <c r="AN5278" s="2">
        <v>1143.2229995985299</v>
      </c>
      <c r="AO5278" s="2">
        <v>8709.96856599073</v>
      </c>
      <c r="AP5278" s="2">
        <v>8.559877937157E-6</v>
      </c>
      <c r="AQ5278" s="2">
        <v>1273.8029683555801</v>
      </c>
      <c r="AR5278" s="2">
        <v>13965.266300594099</v>
      </c>
      <c r="AS5278" s="2">
        <v>10112.757593840301</v>
      </c>
      <c r="AT5278" s="2">
        <v>4721.7640748330596</v>
      </c>
      <c r="AU5278" s="2">
        <v>3160.4210410701298</v>
      </c>
      <c r="AV5278" s="2">
        <v>2804.1679970658301</v>
      </c>
      <c r="AW5278" s="2">
        <v>4328.6102417146003</v>
      </c>
      <c r="AX5278" s="2">
        <v>3953.7089227572701</v>
      </c>
    </row>
    <row r="5279" spans="1:50" x14ac:dyDescent="0.25">
      <c r="A5279" s="2" t="s">
        <v>34509</v>
      </c>
      <c r="B5279" s="2">
        <v>649.25224043327</v>
      </c>
      <c r="C5279" s="2">
        <v>7.7999666666666698</v>
      </c>
      <c r="D5279" s="2" t="s">
        <v>51</v>
      </c>
      <c r="E5279" s="2" t="s">
        <v>34510</v>
      </c>
      <c r="F5279" s="2">
        <v>48605</v>
      </c>
      <c r="G5279" s="3" t="str">
        <f>HYPERLINK("https://cloud.oebiotech.com/#/lm/network/48605", "https://cloud.oebiotech.com/#/lm/network/48605")</f>
        <v>https://cloud.oebiotech.com/#/lm/network/48605</v>
      </c>
      <c r="H5279" s="2" t="s">
        <v>34511</v>
      </c>
      <c r="I5279" s="2">
        <v>58308</v>
      </c>
      <c r="J5279" s="2"/>
      <c r="K5279" s="2">
        <v>5311080</v>
      </c>
      <c r="L5279" s="2"/>
      <c r="M5279" s="2"/>
      <c r="N5279" s="2"/>
      <c r="O5279" s="2">
        <v>239449</v>
      </c>
      <c r="P5279" s="2"/>
      <c r="Q5279" s="2"/>
      <c r="R5279" s="2" t="s">
        <v>34512</v>
      </c>
      <c r="S5279" s="2" t="s">
        <v>34513</v>
      </c>
      <c r="T5279" s="2" t="s">
        <v>34514</v>
      </c>
      <c r="U5279" s="2" t="s">
        <v>103</v>
      </c>
      <c r="V5279" s="2" t="s">
        <v>104</v>
      </c>
      <c r="W5279" s="2" t="s">
        <v>105</v>
      </c>
      <c r="X5279" s="2" t="s">
        <v>147</v>
      </c>
      <c r="Y5279" s="2">
        <v>45.8</v>
      </c>
      <c r="Z5279" s="2">
        <v>41</v>
      </c>
      <c r="AA5279" s="2" t="s">
        <v>395</v>
      </c>
      <c r="AB5279" s="2" t="s">
        <v>34515</v>
      </c>
      <c r="AC5279" s="2">
        <v>-2.1071805436108701</v>
      </c>
      <c r="AD5279" s="2"/>
      <c r="AE5279" s="2">
        <v>4.0721519009429497E-2</v>
      </c>
      <c r="AF5279" s="2">
        <v>11570.885703579799</v>
      </c>
      <c r="AG5279" s="2">
        <v>11392.0041624</v>
      </c>
      <c r="AH5279" s="5">
        <v>1.0157023767398301</v>
      </c>
      <c r="AI5279" s="5">
        <v>2.2477722479951098E-2</v>
      </c>
      <c r="AJ5279" s="5" t="s">
        <v>139</v>
      </c>
      <c r="AK5279" s="2">
        <v>0.97838517598965802</v>
      </c>
      <c r="AL5279" s="2">
        <v>0.99107196550940102</v>
      </c>
      <c r="AM5279" s="2">
        <v>10699.750322101099</v>
      </c>
      <c r="AN5279" s="2">
        <v>11393.2766778</v>
      </c>
      <c r="AO5279" s="2">
        <v>10389.967741887</v>
      </c>
      <c r="AP5279" s="2">
        <v>21091.152675304798</v>
      </c>
      <c r="AQ5279" s="2">
        <v>7455.9947653183399</v>
      </c>
      <c r="AR5279" s="2">
        <v>8395.17203906758</v>
      </c>
      <c r="AS5279" s="2">
        <v>41064.516725392401</v>
      </c>
      <c r="AT5279" s="2">
        <v>12053.436019385401</v>
      </c>
      <c r="AU5279" s="2">
        <v>4127.1867257068998</v>
      </c>
      <c r="AV5279" s="2">
        <v>1384.4158330381899</v>
      </c>
      <c r="AW5279" s="2">
        <v>6451.0138001572705</v>
      </c>
      <c r="AX5279" s="2">
        <v>3271.4558707200299</v>
      </c>
    </row>
    <row r="5280" spans="1:50" x14ac:dyDescent="0.25">
      <c r="A5280" s="2" t="s">
        <v>34516</v>
      </c>
      <c r="B5280" s="2">
        <v>157.08598834976499</v>
      </c>
      <c r="C5280" s="2">
        <v>6.3512500000000003</v>
      </c>
      <c r="D5280" s="2" t="s">
        <v>51</v>
      </c>
      <c r="E5280" s="2" t="s">
        <v>34517</v>
      </c>
      <c r="F5280" s="2">
        <v>56683</v>
      </c>
      <c r="G5280" s="3" t="str">
        <f>HYPERLINK("https://cloud.oebiotech.com/#/lm/network/56683", "https://cloud.oebiotech.com/#/lm/network/56683")</f>
        <v>https://cloud.oebiotech.com/#/lm/network/56683</v>
      </c>
      <c r="H5280" s="2" t="s">
        <v>34518</v>
      </c>
      <c r="I5280" s="2">
        <v>88345</v>
      </c>
      <c r="J5280" s="2"/>
      <c r="K5280" s="2">
        <v>5367391</v>
      </c>
      <c r="L5280" s="2"/>
      <c r="M5280" s="2"/>
      <c r="N5280" s="2"/>
      <c r="O5280" s="2"/>
      <c r="P5280" s="2"/>
      <c r="Q5280" s="2"/>
      <c r="R5280" s="2" t="s">
        <v>34519</v>
      </c>
      <c r="S5280" s="2" t="s">
        <v>34520</v>
      </c>
      <c r="T5280" s="2" t="s">
        <v>34521</v>
      </c>
      <c r="U5280" s="2" t="s">
        <v>56</v>
      </c>
      <c r="V5280" s="2" t="s">
        <v>145</v>
      </c>
      <c r="W5280" s="2" t="s">
        <v>146</v>
      </c>
      <c r="X5280" s="2" t="s">
        <v>83</v>
      </c>
      <c r="Y5280" s="2">
        <v>40.799999999999997</v>
      </c>
      <c r="Z5280" s="2">
        <v>0</v>
      </c>
      <c r="AA5280" s="2" t="s">
        <v>218</v>
      </c>
      <c r="AB5280" s="2" t="s">
        <v>34522</v>
      </c>
      <c r="AC5280" s="2">
        <v>-9.1849006960964008</v>
      </c>
      <c r="AD5280" s="2"/>
      <c r="AE5280" s="2">
        <v>4.0677908915014702E-2</v>
      </c>
      <c r="AF5280" s="2">
        <v>2613.6759887067801</v>
      </c>
      <c r="AG5280" s="2">
        <v>2397.2903372692699</v>
      </c>
      <c r="AH5280" s="5">
        <v>1.09026259693016</v>
      </c>
      <c r="AI5280" s="5">
        <v>0.12467565946211399</v>
      </c>
      <c r="AJ5280" s="5" t="s">
        <v>139</v>
      </c>
      <c r="AK5280" s="2">
        <v>0.252890065850021</v>
      </c>
      <c r="AL5280" s="2">
        <v>0.57619502323734795</v>
      </c>
      <c r="AM5280" s="2">
        <v>2127.6293728985602</v>
      </c>
      <c r="AN5280" s="2">
        <v>2549.0558286893101</v>
      </c>
      <c r="AO5280" s="2">
        <v>2263.4431864255298</v>
      </c>
      <c r="AP5280" s="2">
        <v>2944.33467250483</v>
      </c>
      <c r="AQ5280" s="2">
        <v>2782.4626997137302</v>
      </c>
      <c r="AR5280" s="2">
        <v>3015.1301720087299</v>
      </c>
      <c r="AS5280" s="2">
        <v>2640.2219288097099</v>
      </c>
      <c r="AT5280" s="2">
        <v>2151.5004122667001</v>
      </c>
      <c r="AU5280" s="2">
        <v>2541.83193359298</v>
      </c>
      <c r="AV5280" s="2">
        <v>2106.4893712368598</v>
      </c>
      <c r="AW5280" s="2">
        <v>2304.3552855105499</v>
      </c>
      <c r="AX5280" s="2">
        <v>2639.3430921988102</v>
      </c>
    </row>
    <row r="5281" spans="1:50" x14ac:dyDescent="0.25">
      <c r="A5281" s="2" t="s">
        <v>34523</v>
      </c>
      <c r="B5281" s="2">
        <v>202.02971311714501</v>
      </c>
      <c r="C5281" s="2">
        <v>1.00901666666667</v>
      </c>
      <c r="D5281" s="2" t="s">
        <v>51</v>
      </c>
      <c r="E5281" s="2" t="s">
        <v>34524</v>
      </c>
      <c r="F5281" s="2">
        <v>199279</v>
      </c>
      <c r="G5281" s="3" t="str">
        <f>HYPERLINK("https://cloud.oebiotech.com/#/lm/network/199279", "https://cloud.oebiotech.com/#/lm/network/199279")</f>
        <v>https://cloud.oebiotech.com/#/lm/network/199279</v>
      </c>
      <c r="H5281" s="2" t="s">
        <v>34525</v>
      </c>
      <c r="I5281" s="2"/>
      <c r="J5281" s="2"/>
      <c r="K5281" s="2">
        <v>359910</v>
      </c>
      <c r="L5281" s="2"/>
      <c r="M5281" s="2"/>
      <c r="N5281" s="2"/>
      <c r="O5281" s="2"/>
      <c r="P5281" s="2"/>
      <c r="Q5281" s="2"/>
      <c r="R5281" s="2"/>
      <c r="S5281" s="2" t="s">
        <v>34526</v>
      </c>
      <c r="T5281" s="2" t="s">
        <v>34527</v>
      </c>
      <c r="U5281" s="2" t="s">
        <v>103</v>
      </c>
      <c r="V5281" s="2" t="s">
        <v>104</v>
      </c>
      <c r="W5281" s="2" t="s">
        <v>105</v>
      </c>
      <c r="X5281" s="2" t="s">
        <v>147</v>
      </c>
      <c r="Y5281" s="2">
        <v>40.200000000000003</v>
      </c>
      <c r="Z5281" s="2">
        <v>9.3000000000000007</v>
      </c>
      <c r="AA5281" s="2" t="s">
        <v>395</v>
      </c>
      <c r="AB5281" s="2" t="s">
        <v>34528</v>
      </c>
      <c r="AC5281" s="2">
        <v>-0.88689895354431503</v>
      </c>
      <c r="AD5281" s="2"/>
      <c r="AE5281" s="2">
        <v>4.0626285176226198E-2</v>
      </c>
      <c r="AF5281" s="2">
        <v>137863.70914169101</v>
      </c>
      <c r="AG5281" s="2">
        <v>142779.09865133499</v>
      </c>
      <c r="AH5281" s="4">
        <v>0.96557346589189996</v>
      </c>
      <c r="AI5281" s="4">
        <v>-5.0542063732439302E-2</v>
      </c>
      <c r="AJ5281" s="4" t="s">
        <v>62</v>
      </c>
      <c r="AK5281" s="2">
        <v>0.74473997265630398</v>
      </c>
      <c r="AL5281" s="2">
        <v>0.88306794840433001</v>
      </c>
      <c r="AM5281" s="2">
        <v>159405.398678572</v>
      </c>
      <c r="AN5281" s="2">
        <v>144625.75345075599</v>
      </c>
      <c r="AO5281" s="2">
        <v>137054.821839076</v>
      </c>
      <c r="AP5281" s="2">
        <v>164909.06552969501</v>
      </c>
      <c r="AQ5281" s="2">
        <v>138004.776486933</v>
      </c>
      <c r="AR5281" s="2">
        <v>83182.4388651154</v>
      </c>
      <c r="AS5281" s="2">
        <v>134246.47287231099</v>
      </c>
      <c r="AT5281" s="2">
        <v>170374.76298524</v>
      </c>
      <c r="AU5281" s="2">
        <v>142545.42084484399</v>
      </c>
      <c r="AV5281" s="2">
        <v>112520.690182156</v>
      </c>
      <c r="AW5281" s="2">
        <v>163015.30040357399</v>
      </c>
      <c r="AX5281" s="2">
        <v>133971.944619886</v>
      </c>
    </row>
    <row r="5282" spans="1:50" x14ac:dyDescent="0.25">
      <c r="A5282" s="2" t="s">
        <v>34529</v>
      </c>
      <c r="B5282" s="2">
        <v>257.22723571243699</v>
      </c>
      <c r="C5282" s="2">
        <v>10.192183333333301</v>
      </c>
      <c r="D5282" s="2" t="s">
        <v>51</v>
      </c>
      <c r="E5282" s="2" t="s">
        <v>34530</v>
      </c>
      <c r="F5282" s="2">
        <v>2330</v>
      </c>
      <c r="G5282" s="3" t="str">
        <f>HYPERLINK("https://cloud.oebiotech.com/#/lm/network/2330", "https://cloud.oebiotech.com/#/lm/network/2330")</f>
        <v>https://cloud.oebiotech.com/#/lm/network/2330</v>
      </c>
      <c r="H5282" s="2"/>
      <c r="I5282" s="2">
        <v>35917</v>
      </c>
      <c r="J5282" s="2" t="s">
        <v>34531</v>
      </c>
      <c r="K5282" s="2">
        <v>1560</v>
      </c>
      <c r="L5282" s="2"/>
      <c r="M5282" s="2"/>
      <c r="N5282" s="2"/>
      <c r="O5282" s="2">
        <v>94978</v>
      </c>
      <c r="P5282" s="2"/>
      <c r="Q5282" s="2"/>
      <c r="R5282" s="2" t="s">
        <v>34532</v>
      </c>
      <c r="S5282" s="2" t="s">
        <v>34533</v>
      </c>
      <c r="T5282" s="2" t="s">
        <v>34534</v>
      </c>
      <c r="U5282" s="2" t="s">
        <v>56</v>
      </c>
      <c r="V5282" s="2" t="s">
        <v>145</v>
      </c>
      <c r="W5282" s="2" t="s">
        <v>231</v>
      </c>
      <c r="X5282" s="2" t="s">
        <v>147</v>
      </c>
      <c r="Y5282" s="2">
        <v>38.700000000000003</v>
      </c>
      <c r="Z5282" s="2">
        <v>0</v>
      </c>
      <c r="AA5282" s="2" t="s">
        <v>156</v>
      </c>
      <c r="AB5282" s="2" t="s">
        <v>34535</v>
      </c>
      <c r="AC5282" s="2">
        <v>-1.03741390288669</v>
      </c>
      <c r="AD5282" s="2"/>
      <c r="AE5282" s="2">
        <v>4.0568694938159698E-2</v>
      </c>
      <c r="AF5282" s="2">
        <v>521.64363239550005</v>
      </c>
      <c r="AG5282" s="2">
        <v>693.315285106018</v>
      </c>
      <c r="AH5282" s="4">
        <v>0.75239020918994004</v>
      </c>
      <c r="AI5282" s="4">
        <v>-0.41044701961081598</v>
      </c>
      <c r="AJ5282" s="4" t="s">
        <v>62</v>
      </c>
      <c r="AK5282" s="2">
        <v>0.60106320595542495</v>
      </c>
      <c r="AL5282" s="2">
        <v>0.8004738119689</v>
      </c>
      <c r="AM5282" s="2">
        <v>243.71420603358101</v>
      </c>
      <c r="AN5282" s="2">
        <v>234.566370327947</v>
      </c>
      <c r="AO5282" s="2">
        <v>1540.3174460287601</v>
      </c>
      <c r="AP5282" s="2">
        <v>764.69805872713096</v>
      </c>
      <c r="AQ5282" s="2">
        <v>213.220869720699</v>
      </c>
      <c r="AR5282" s="2">
        <v>133.34484353488099</v>
      </c>
      <c r="AS5282" s="2">
        <v>876.59606629817097</v>
      </c>
      <c r="AT5282" s="2">
        <v>1366.4255454607601</v>
      </c>
      <c r="AU5282" s="2">
        <v>162.01182199534</v>
      </c>
      <c r="AV5282" s="2">
        <v>1203.8222882112</v>
      </c>
      <c r="AW5282" s="2">
        <v>551.03598011075997</v>
      </c>
      <c r="AX5282" s="2">
        <v>8.559877937157E-6</v>
      </c>
    </row>
    <row r="5283" spans="1:50" x14ac:dyDescent="0.25">
      <c r="A5283" s="2" t="s">
        <v>34536</v>
      </c>
      <c r="B5283" s="2">
        <v>319.141285042204</v>
      </c>
      <c r="C5283" s="2">
        <v>2.4916666666666698</v>
      </c>
      <c r="D5283" s="2" t="s">
        <v>51</v>
      </c>
      <c r="E5283" s="2" t="s">
        <v>34537</v>
      </c>
      <c r="F5283" s="2">
        <v>54089</v>
      </c>
      <c r="G5283" s="3" t="str">
        <f>HYPERLINK("https://cloud.oebiotech.com/#/lm/network/54089", "https://cloud.oebiotech.com/#/lm/network/54089")</f>
        <v>https://cloud.oebiotech.com/#/lm/network/54089</v>
      </c>
      <c r="H5283" s="2" t="s">
        <v>34538</v>
      </c>
      <c r="I5283" s="2">
        <v>85971</v>
      </c>
      <c r="J5283" s="2"/>
      <c r="K5283" s="2">
        <v>18218248</v>
      </c>
      <c r="L5283" s="2"/>
      <c r="M5283" s="2"/>
      <c r="N5283" s="2"/>
      <c r="O5283" s="2">
        <v>175077</v>
      </c>
      <c r="P5283" s="2"/>
      <c r="Q5283" s="2"/>
      <c r="R5283" s="2"/>
      <c r="S5283" s="2" t="s">
        <v>34539</v>
      </c>
      <c r="T5283" s="2" t="s">
        <v>34540</v>
      </c>
      <c r="U5283" s="2" t="s">
        <v>103</v>
      </c>
      <c r="V5283" s="2" t="s">
        <v>104</v>
      </c>
      <c r="W5283" s="2" t="s">
        <v>105</v>
      </c>
      <c r="X5283" s="2" t="s">
        <v>69</v>
      </c>
      <c r="Y5283" s="2">
        <v>56.6</v>
      </c>
      <c r="Z5283" s="2">
        <v>89.3</v>
      </c>
      <c r="AA5283" s="2" t="s">
        <v>259</v>
      </c>
      <c r="AB5283" s="2" t="s">
        <v>34541</v>
      </c>
      <c r="AC5283" s="2">
        <v>3.7831229124791399</v>
      </c>
      <c r="AD5283" s="2"/>
      <c r="AE5283" s="2">
        <v>4.0503650678033701E-2</v>
      </c>
      <c r="AF5283" s="2">
        <v>7778.9397419633397</v>
      </c>
      <c r="AG5283" s="2">
        <v>8530.1377027353792</v>
      </c>
      <c r="AH5283" s="4">
        <v>0.91193601006802605</v>
      </c>
      <c r="AI5283" s="4">
        <v>-0.13299549987935599</v>
      </c>
      <c r="AJ5283" s="4" t="s">
        <v>62</v>
      </c>
      <c r="AK5283" s="2">
        <v>0.79162411496720297</v>
      </c>
      <c r="AL5283" s="2">
        <v>0.90801243635244999</v>
      </c>
      <c r="AM5283" s="2">
        <v>7710.7960935535903</v>
      </c>
      <c r="AN5283" s="2">
        <v>8183.9777561154497</v>
      </c>
      <c r="AO5283" s="2">
        <v>8688.8820308306003</v>
      </c>
      <c r="AP5283" s="2">
        <v>2979.3601191832599</v>
      </c>
      <c r="AQ5283" s="2">
        <v>8688.0579055890594</v>
      </c>
      <c r="AR5283" s="2">
        <v>10422.5645465081</v>
      </c>
      <c r="AS5283" s="2">
        <v>2320.6130162731301</v>
      </c>
      <c r="AT5283" s="2">
        <v>7093.2233908048302</v>
      </c>
      <c r="AU5283" s="2">
        <v>8672.9988930858399</v>
      </c>
      <c r="AV5283" s="2">
        <v>3916.7385781289299</v>
      </c>
      <c r="AW5283" s="2">
        <v>8989.8319803612594</v>
      </c>
      <c r="AX5283" s="2">
        <v>20187.420357758299</v>
      </c>
    </row>
    <row r="5284" spans="1:50" x14ac:dyDescent="0.25">
      <c r="A5284" s="2" t="s">
        <v>34542</v>
      </c>
      <c r="B5284" s="2">
        <v>260.16146397151903</v>
      </c>
      <c r="C5284" s="2">
        <v>2.5066999999999999</v>
      </c>
      <c r="D5284" s="2" t="s">
        <v>51</v>
      </c>
      <c r="E5284" s="2" t="s">
        <v>34543</v>
      </c>
      <c r="F5284" s="2">
        <v>263719</v>
      </c>
      <c r="G5284" s="3" t="str">
        <f>HYPERLINK("https://cloud.oebiotech.com/#/lm/network/263719", "https://cloud.oebiotech.com/#/lm/network/263719")</f>
        <v>https://cloud.oebiotech.com/#/lm/network/263719</v>
      </c>
      <c r="H5284" s="2"/>
      <c r="I5284" s="2">
        <v>21147</v>
      </c>
      <c r="J5284" s="2"/>
      <c r="K5284" s="2">
        <v>11680466</v>
      </c>
      <c r="L5284" s="2"/>
      <c r="M5284" s="2"/>
      <c r="N5284" s="2"/>
      <c r="O5284" s="2"/>
      <c r="P5284" s="2"/>
      <c r="Q5284" s="2"/>
      <c r="R5284" s="2"/>
      <c r="S5284" s="2" t="s">
        <v>34544</v>
      </c>
      <c r="T5284" s="2" t="s">
        <v>34545</v>
      </c>
      <c r="U5284" s="2" t="s">
        <v>103</v>
      </c>
      <c r="V5284" s="2" t="s">
        <v>104</v>
      </c>
      <c r="W5284" s="2" t="s">
        <v>105</v>
      </c>
      <c r="X5284" s="2" t="s">
        <v>69</v>
      </c>
      <c r="Y5284" s="2">
        <v>62.9</v>
      </c>
      <c r="Z5284" s="2">
        <v>45.3</v>
      </c>
      <c r="AA5284" s="2" t="s">
        <v>259</v>
      </c>
      <c r="AB5284" s="2" t="s">
        <v>10828</v>
      </c>
      <c r="AC5284" s="2">
        <v>3.7868464902905101</v>
      </c>
      <c r="AD5284" s="2"/>
      <c r="AE5284" s="2">
        <v>4.0465754406635801E-2</v>
      </c>
      <c r="AF5284" s="2">
        <v>17577.519142769699</v>
      </c>
      <c r="AG5284" s="2">
        <v>18786.195864503501</v>
      </c>
      <c r="AH5284" s="4">
        <v>0.93566144362320902</v>
      </c>
      <c r="AI5284" s="4">
        <v>-9.5941490251474401E-2</v>
      </c>
      <c r="AJ5284" s="4" t="s">
        <v>62</v>
      </c>
      <c r="AK5284" s="2">
        <v>0.88593388811127605</v>
      </c>
      <c r="AL5284" s="2">
        <v>0.950449854303694</v>
      </c>
      <c r="AM5284" s="2">
        <v>29805.3404348367</v>
      </c>
      <c r="AN5284" s="2">
        <v>12431.2509316582</v>
      </c>
      <c r="AO5284" s="2">
        <v>10574.6828968916</v>
      </c>
      <c r="AP5284" s="2">
        <v>9266.3707819616993</v>
      </c>
      <c r="AQ5284" s="2">
        <v>15118.148451823699</v>
      </c>
      <c r="AR5284" s="2">
        <v>28269.3213594464</v>
      </c>
      <c r="AS5284" s="2">
        <v>4910.4276569936701</v>
      </c>
      <c r="AT5284" s="2">
        <v>9018.7480212743794</v>
      </c>
      <c r="AU5284" s="2">
        <v>22739.775611307501</v>
      </c>
      <c r="AV5284" s="2">
        <v>52987.898163194099</v>
      </c>
      <c r="AW5284" s="2">
        <v>7606.51530025388</v>
      </c>
      <c r="AX5284" s="2">
        <v>15453.8104339976</v>
      </c>
    </row>
    <row r="5285" spans="1:50" x14ac:dyDescent="0.25">
      <c r="A5285" s="2" t="s">
        <v>34546</v>
      </c>
      <c r="B5285" s="2">
        <v>369.30079999999998</v>
      </c>
      <c r="C5285" s="2">
        <v>23.998000000000001</v>
      </c>
      <c r="D5285" s="2" t="s">
        <v>125</v>
      </c>
      <c r="E5285" s="2" t="s">
        <v>34547</v>
      </c>
      <c r="F5285" s="2">
        <v>66</v>
      </c>
      <c r="G5285" s="3" t="str">
        <f>HYPERLINK("https://cloud.oebiotech.com/#/lm/network/66", "https://cloud.oebiotech.com/#/lm/network/66")</f>
        <v>https://cloud.oebiotech.com/#/lm/network/66</v>
      </c>
      <c r="H5285" s="2" t="s">
        <v>34548</v>
      </c>
      <c r="I5285" s="2">
        <v>401</v>
      </c>
      <c r="J5285" s="2" t="s">
        <v>34549</v>
      </c>
      <c r="K5285" s="2">
        <v>10467</v>
      </c>
      <c r="L5285" s="2" t="s">
        <v>34550</v>
      </c>
      <c r="M5285" s="2" t="s">
        <v>3305</v>
      </c>
      <c r="N5285" s="2" t="s">
        <v>3306</v>
      </c>
      <c r="O5285" s="2">
        <v>28822</v>
      </c>
      <c r="P5285" s="2" t="s">
        <v>34551</v>
      </c>
      <c r="Q5285" s="2" t="s">
        <v>34552</v>
      </c>
      <c r="R5285" s="2" t="s">
        <v>34553</v>
      </c>
      <c r="S5285" s="2" t="s">
        <v>34554</v>
      </c>
      <c r="T5285" s="2" t="s">
        <v>34555</v>
      </c>
      <c r="U5285" s="2" t="s">
        <v>56</v>
      </c>
      <c r="V5285" s="2" t="s">
        <v>145</v>
      </c>
      <c r="W5285" s="2" t="s">
        <v>231</v>
      </c>
      <c r="X5285" s="2" t="s">
        <v>69</v>
      </c>
      <c r="Y5285" s="2">
        <v>90.6</v>
      </c>
      <c r="Z5285" s="2">
        <v>85</v>
      </c>
      <c r="AA5285" s="2"/>
      <c r="AB5285" s="2" t="s">
        <v>513</v>
      </c>
      <c r="AC5285" s="2"/>
      <c r="AD5285" s="2">
        <v>858167.94520547998</v>
      </c>
      <c r="AE5285" s="2">
        <v>4.0448640297417397E-2</v>
      </c>
      <c r="AF5285" s="2">
        <v>6012.8179658590798</v>
      </c>
      <c r="AG5285" s="2">
        <v>6520.4466899974796</v>
      </c>
      <c r="AH5285" s="4">
        <v>0.92214816740743899</v>
      </c>
      <c r="AI5285" s="4">
        <v>-0.116929518625489</v>
      </c>
      <c r="AJ5285" s="4" t="s">
        <v>62</v>
      </c>
      <c r="AK5285" s="2">
        <v>0.77152809943814904</v>
      </c>
      <c r="AL5285" s="2">
        <v>0.897797398346588</v>
      </c>
      <c r="AM5285" s="2">
        <v>2299.8352172700202</v>
      </c>
      <c r="AN5285" s="2">
        <v>5769.4347728241301</v>
      </c>
      <c r="AO5285" s="2">
        <v>8652.1044980715506</v>
      </c>
      <c r="AP5285" s="2">
        <v>6394.5781853492499</v>
      </c>
      <c r="AQ5285" s="2">
        <v>7175.5370669607701</v>
      </c>
      <c r="AR5285" s="2">
        <v>5785.4180546787602</v>
      </c>
      <c r="AS5285" s="2">
        <v>6063.1582160220796</v>
      </c>
      <c r="AT5285" s="2">
        <v>2299.8352172700202</v>
      </c>
      <c r="AU5285" s="2">
        <v>10397.364577513799</v>
      </c>
      <c r="AV5285" s="2">
        <v>9738.6469263499694</v>
      </c>
      <c r="AW5285" s="2">
        <v>8323.8399855589996</v>
      </c>
      <c r="AX5285" s="2">
        <v>2299.8352172700202</v>
      </c>
    </row>
    <row r="5286" spans="1:50" x14ac:dyDescent="0.25">
      <c r="A5286" s="2" t="s">
        <v>34556</v>
      </c>
      <c r="B5286" s="2">
        <v>330.12808526685501</v>
      </c>
      <c r="C5286" s="2">
        <v>5.2433500000000004</v>
      </c>
      <c r="D5286" s="2" t="s">
        <v>51</v>
      </c>
      <c r="E5286" s="2" t="s">
        <v>34557</v>
      </c>
      <c r="F5286" s="2">
        <v>205724</v>
      </c>
      <c r="G5286" s="3" t="str">
        <f>HYPERLINK("https://cloud.oebiotech.com/#/lm/network/205724", "https://cloud.oebiotech.com/#/lm/network/205724")</f>
        <v>https://cloud.oebiotech.com/#/lm/network/205724</v>
      </c>
      <c r="H5286" s="2" t="s">
        <v>34558</v>
      </c>
      <c r="I5286" s="2"/>
      <c r="J5286" s="2"/>
      <c r="K5286" s="2">
        <v>133905</v>
      </c>
      <c r="L5286" s="2"/>
      <c r="M5286" s="2"/>
      <c r="N5286" s="2"/>
      <c r="O5286" s="2"/>
      <c r="P5286" s="2"/>
      <c r="Q5286" s="2"/>
      <c r="R5286" s="2"/>
      <c r="S5286" s="2" t="s">
        <v>34559</v>
      </c>
      <c r="T5286" s="2" t="s">
        <v>34560</v>
      </c>
      <c r="U5286" s="2" t="s">
        <v>266</v>
      </c>
      <c r="V5286" s="2" t="s">
        <v>1393</v>
      </c>
      <c r="W5286" s="2" t="s">
        <v>1643</v>
      </c>
      <c r="X5286" s="2" t="s">
        <v>83</v>
      </c>
      <c r="Y5286" s="2">
        <v>49.4</v>
      </c>
      <c r="Z5286" s="2">
        <v>9.4E-2</v>
      </c>
      <c r="AA5286" s="2" t="s">
        <v>156</v>
      </c>
      <c r="AB5286" s="2" t="s">
        <v>34561</v>
      </c>
      <c r="AC5286" s="2">
        <v>9.3315022184193008</v>
      </c>
      <c r="AD5286" s="2"/>
      <c r="AE5286" s="2">
        <v>4.04441199981741E-2</v>
      </c>
      <c r="AF5286" s="2">
        <v>282.44809132773298</v>
      </c>
      <c r="AG5286" s="2">
        <v>385.14942643690699</v>
      </c>
      <c r="AH5286" s="4">
        <v>0.73334677904291701</v>
      </c>
      <c r="AI5286" s="4">
        <v>-0.44743252531571098</v>
      </c>
      <c r="AJ5286" s="4" t="s">
        <v>62</v>
      </c>
      <c r="AK5286" s="2">
        <v>0.48878856086899097</v>
      </c>
      <c r="AL5286" s="2">
        <v>0.73154848154225005</v>
      </c>
      <c r="AM5286" s="2">
        <v>235.25297660463301</v>
      </c>
      <c r="AN5286" s="2">
        <v>294.00574265776902</v>
      </c>
      <c r="AO5286" s="2">
        <v>151.063590624375</v>
      </c>
      <c r="AP5286" s="2">
        <v>624.51320909104004</v>
      </c>
      <c r="AQ5286" s="2">
        <v>21.907672298849899</v>
      </c>
      <c r="AR5286" s="2">
        <v>367.94535668972901</v>
      </c>
      <c r="AS5286" s="2">
        <v>444.50293304723999</v>
      </c>
      <c r="AT5286" s="2">
        <v>241.54294828804299</v>
      </c>
      <c r="AU5286" s="2">
        <v>682.04491865467605</v>
      </c>
      <c r="AV5286" s="2">
        <v>8.559877937157E-6</v>
      </c>
      <c r="AW5286" s="2">
        <v>721.69879543143202</v>
      </c>
      <c r="AX5286" s="2">
        <v>221.106954640173</v>
      </c>
    </row>
    <row r="5287" spans="1:50" x14ac:dyDescent="0.25">
      <c r="A5287" s="2" t="s">
        <v>34562</v>
      </c>
      <c r="B5287" s="2">
        <v>217.10300000000001</v>
      </c>
      <c r="C5287" s="2">
        <v>17.158000000000001</v>
      </c>
      <c r="D5287" s="2" t="s">
        <v>125</v>
      </c>
      <c r="E5287" s="2" t="s">
        <v>34563</v>
      </c>
      <c r="F5287" s="2">
        <v>47674</v>
      </c>
      <c r="G5287" s="3" t="str">
        <f>HYPERLINK("https://cloud.oebiotech.com/#/lm/network/47674", "https://cloud.oebiotech.com/#/lm/network/47674")</f>
        <v>https://cloud.oebiotech.com/#/lm/network/47674</v>
      </c>
      <c r="H5287" s="2" t="s">
        <v>34564</v>
      </c>
      <c r="I5287" s="2">
        <v>141</v>
      </c>
      <c r="J5287" s="2"/>
      <c r="K5287" s="2">
        <v>439255</v>
      </c>
      <c r="L5287" s="2" t="s">
        <v>34565</v>
      </c>
      <c r="M5287" s="2" t="s">
        <v>15379</v>
      </c>
      <c r="N5287" s="2" t="s">
        <v>15380</v>
      </c>
      <c r="O5287" s="2">
        <v>18403</v>
      </c>
      <c r="P5287" s="2"/>
      <c r="Q5287" s="2"/>
      <c r="R5287" s="2" t="s">
        <v>34566</v>
      </c>
      <c r="S5287" s="2" t="s">
        <v>34567</v>
      </c>
      <c r="T5287" s="2" t="s">
        <v>34568</v>
      </c>
      <c r="U5287" s="2" t="s">
        <v>331</v>
      </c>
      <c r="V5287" s="2" t="s">
        <v>332</v>
      </c>
      <c r="W5287" s="2" t="s">
        <v>333</v>
      </c>
      <c r="X5287" s="2" t="s">
        <v>69</v>
      </c>
      <c r="Y5287" s="2">
        <v>93.6</v>
      </c>
      <c r="Z5287" s="2">
        <v>92.9</v>
      </c>
      <c r="AA5287" s="2"/>
      <c r="AB5287" s="2" t="s">
        <v>19231</v>
      </c>
      <c r="AC5287" s="2"/>
      <c r="AD5287" s="2">
        <v>576406.32151462999</v>
      </c>
      <c r="AE5287" s="2">
        <v>4.0366622525046199E-2</v>
      </c>
      <c r="AF5287" s="2">
        <v>50507.647063348901</v>
      </c>
      <c r="AG5287" s="2">
        <v>48152.855725218396</v>
      </c>
      <c r="AH5287" s="5">
        <v>1.0489024233903801</v>
      </c>
      <c r="AI5287" s="5">
        <v>6.8880474065338496E-2</v>
      </c>
      <c r="AJ5287" s="5" t="s">
        <v>139</v>
      </c>
      <c r="AK5287" s="2">
        <v>0.74325734524337395</v>
      </c>
      <c r="AL5287" s="2">
        <v>0.88262853116149298</v>
      </c>
      <c r="AM5287" s="2">
        <v>49440.247190909802</v>
      </c>
      <c r="AN5287" s="2">
        <v>47723.156603766904</v>
      </c>
      <c r="AO5287" s="2">
        <v>39167.403845293004</v>
      </c>
      <c r="AP5287" s="2">
        <v>63962.591514708198</v>
      </c>
      <c r="AQ5287" s="2">
        <v>40383.449292116296</v>
      </c>
      <c r="AR5287" s="2">
        <v>62369.033933299303</v>
      </c>
      <c r="AS5287" s="2">
        <v>40043.239181215802</v>
      </c>
      <c r="AT5287" s="2">
        <v>55242.877135336697</v>
      </c>
      <c r="AU5287" s="2">
        <v>45349.605278145304</v>
      </c>
      <c r="AV5287" s="2">
        <v>41359.6937572811</v>
      </c>
      <c r="AW5287" s="2">
        <v>71882.6428751067</v>
      </c>
      <c r="AX5287" s="2">
        <v>35039.076124224601</v>
      </c>
    </row>
    <row r="5288" spans="1:50" x14ac:dyDescent="0.25">
      <c r="A5288" s="2" t="s">
        <v>34569</v>
      </c>
      <c r="B5288" s="2">
        <v>259.04350267487098</v>
      </c>
      <c r="C5288" s="2">
        <v>0.86750000000000005</v>
      </c>
      <c r="D5288" s="2" t="s">
        <v>51</v>
      </c>
      <c r="E5288" s="2" t="s">
        <v>34570</v>
      </c>
      <c r="F5288" s="2">
        <v>57838</v>
      </c>
      <c r="G5288" s="3" t="str">
        <f>HYPERLINK("https://cloud.oebiotech.com/#/lm/network/57838", "https://cloud.oebiotech.com/#/lm/network/57838")</f>
        <v>https://cloud.oebiotech.com/#/lm/network/57838</v>
      </c>
      <c r="H5288" s="2" t="s">
        <v>34571</v>
      </c>
      <c r="I5288" s="2">
        <v>89426</v>
      </c>
      <c r="J5288" s="2"/>
      <c r="K5288" s="2">
        <v>131751465</v>
      </c>
      <c r="L5288" s="2"/>
      <c r="M5288" s="2"/>
      <c r="N5288" s="2"/>
      <c r="O5288" s="2"/>
      <c r="P5288" s="2"/>
      <c r="Q5288" s="2"/>
      <c r="R5288" s="2" t="s">
        <v>34572</v>
      </c>
      <c r="S5288" s="2" t="s">
        <v>34573</v>
      </c>
      <c r="T5288" s="2" t="s">
        <v>34574</v>
      </c>
      <c r="U5288" s="2" t="s">
        <v>331</v>
      </c>
      <c r="V5288" s="2" t="s">
        <v>332</v>
      </c>
      <c r="W5288" s="2" t="s">
        <v>333</v>
      </c>
      <c r="X5288" s="2" t="s">
        <v>83</v>
      </c>
      <c r="Y5288" s="2">
        <v>40.6</v>
      </c>
      <c r="Z5288" s="2">
        <v>11.9</v>
      </c>
      <c r="AA5288" s="2" t="s">
        <v>379</v>
      </c>
      <c r="AB5288" s="2" t="s">
        <v>34575</v>
      </c>
      <c r="AC5288" s="2">
        <v>-8.7686002498092996</v>
      </c>
      <c r="AD5288" s="2"/>
      <c r="AE5288" s="2">
        <v>4.0243876059126001E-2</v>
      </c>
      <c r="AF5288" s="2">
        <v>5986.7621280890999</v>
      </c>
      <c r="AG5288" s="2">
        <v>9806.7600111284391</v>
      </c>
      <c r="AH5288" s="4">
        <v>0.61047299223142804</v>
      </c>
      <c r="AI5288" s="4">
        <v>-0.71200062413933296</v>
      </c>
      <c r="AJ5288" s="4" t="s">
        <v>62</v>
      </c>
      <c r="AK5288" s="2">
        <v>0.70305066939444405</v>
      </c>
      <c r="AL5288" s="2">
        <v>0.85761492175771803</v>
      </c>
      <c r="AM5288" s="2">
        <v>21885.219173400099</v>
      </c>
      <c r="AN5288" s="2">
        <v>8.559877937157E-6</v>
      </c>
      <c r="AO5288" s="2">
        <v>8.559877937157E-6</v>
      </c>
      <c r="AP5288" s="2">
        <v>11174.8761387217</v>
      </c>
      <c r="AQ5288" s="2">
        <v>8.559877937157E-6</v>
      </c>
      <c r="AR5288" s="2">
        <v>2860.47743073316</v>
      </c>
      <c r="AS5288" s="2">
        <v>3820.3544358978302</v>
      </c>
      <c r="AT5288" s="2">
        <v>8.559877937157E-6</v>
      </c>
      <c r="AU5288" s="2">
        <v>54860.040676367396</v>
      </c>
      <c r="AV5288" s="2">
        <v>160.164928825804</v>
      </c>
      <c r="AW5288" s="2">
        <v>8.559877937157E-6</v>
      </c>
      <c r="AX5288" s="2">
        <v>8.559877937157E-6</v>
      </c>
    </row>
    <row r="5289" spans="1:50" x14ac:dyDescent="0.25">
      <c r="A5289" s="2" t="s">
        <v>34576</v>
      </c>
      <c r="B5289" s="2">
        <v>464.18333028491202</v>
      </c>
      <c r="C5289" s="2">
        <v>8.2118333333333293</v>
      </c>
      <c r="D5289" s="2" t="s">
        <v>51</v>
      </c>
      <c r="E5289" s="2" t="s">
        <v>34577</v>
      </c>
      <c r="F5289" s="2">
        <v>29444</v>
      </c>
      <c r="G5289" s="3" t="str">
        <f>HYPERLINK("https://cloud.oebiotech.com/#/lm/network/29444", "https://cloud.oebiotech.com/#/lm/network/29444")</f>
        <v>https://cloud.oebiotech.com/#/lm/network/29444</v>
      </c>
      <c r="H5289" s="2"/>
      <c r="I5289" s="2">
        <v>47813</v>
      </c>
      <c r="J5289" s="2" t="s">
        <v>34578</v>
      </c>
      <c r="K5289" s="2">
        <v>14284691</v>
      </c>
      <c r="L5289" s="2"/>
      <c r="M5289" s="2"/>
      <c r="N5289" s="2"/>
      <c r="O5289" s="2"/>
      <c r="P5289" s="2"/>
      <c r="Q5289" s="2"/>
      <c r="R5289" s="2"/>
      <c r="S5289" s="2" t="s">
        <v>34579</v>
      </c>
      <c r="T5289" s="2" t="s">
        <v>34580</v>
      </c>
      <c r="U5289" s="2" t="s">
        <v>540</v>
      </c>
      <c r="V5289" s="2" t="s">
        <v>784</v>
      </c>
      <c r="W5289" s="2" t="s">
        <v>3138</v>
      </c>
      <c r="X5289" s="2" t="s">
        <v>147</v>
      </c>
      <c r="Y5289" s="2">
        <v>38.5</v>
      </c>
      <c r="Z5289" s="2">
        <v>0</v>
      </c>
      <c r="AA5289" s="2" t="s">
        <v>122</v>
      </c>
      <c r="AB5289" s="2" t="s">
        <v>34581</v>
      </c>
      <c r="AC5289" s="2">
        <v>-0.37280507987026801</v>
      </c>
      <c r="AD5289" s="2"/>
      <c r="AE5289" s="2">
        <v>4.0060685657284302E-2</v>
      </c>
      <c r="AF5289" s="2">
        <v>1642.3880473347201</v>
      </c>
      <c r="AG5289" s="2">
        <v>1309.6823416273901</v>
      </c>
      <c r="AH5289" s="5">
        <v>1.2540354215159599</v>
      </c>
      <c r="AI5289" s="5">
        <v>0.326578099115783</v>
      </c>
      <c r="AJ5289" s="5" t="s">
        <v>139</v>
      </c>
      <c r="AK5289" s="2">
        <v>0.69374899803148504</v>
      </c>
      <c r="AL5289" s="2">
        <v>0.85292768716358003</v>
      </c>
      <c r="AM5289" s="2">
        <v>1124.6912404222801</v>
      </c>
      <c r="AN5289" s="2">
        <v>3134.60566678137</v>
      </c>
      <c r="AO5289" s="2">
        <v>1823.3633153881799</v>
      </c>
      <c r="AP5289" s="2">
        <v>1646.3018376518901</v>
      </c>
      <c r="AQ5289" s="2">
        <v>202.85983798652899</v>
      </c>
      <c r="AR5289" s="2">
        <v>1922.5063857780899</v>
      </c>
      <c r="AS5289" s="2">
        <v>4829.8194215025796</v>
      </c>
      <c r="AT5289" s="2">
        <v>1012.72394432879</v>
      </c>
      <c r="AU5289" s="2">
        <v>524.23012302337895</v>
      </c>
      <c r="AV5289" s="2">
        <v>8.559877937157E-6</v>
      </c>
      <c r="AW5289" s="2">
        <v>949.94465099369302</v>
      </c>
      <c r="AX5289" s="2">
        <v>541.37590135604898</v>
      </c>
    </row>
    <row r="5290" spans="1:50" x14ac:dyDescent="0.25">
      <c r="A5290" s="2" t="s">
        <v>34582</v>
      </c>
      <c r="B5290" s="2">
        <v>313.12569999999999</v>
      </c>
      <c r="C5290" s="2">
        <v>15.337</v>
      </c>
      <c r="D5290" s="2" t="s">
        <v>125</v>
      </c>
      <c r="E5290" s="2" t="s">
        <v>34583</v>
      </c>
      <c r="F5290" s="2">
        <v>46886</v>
      </c>
      <c r="G5290" s="3" t="str">
        <f>HYPERLINK("https://cloud.oebiotech.com/#/lm/network/46886", "https://cloud.oebiotech.com/#/lm/network/46886")</f>
        <v>https://cloud.oebiotech.com/#/lm/network/46886</v>
      </c>
      <c r="H5290" s="2" t="s">
        <v>34584</v>
      </c>
      <c r="I5290" s="2">
        <v>9</v>
      </c>
      <c r="J5290" s="2"/>
      <c r="K5290" s="2">
        <v>763</v>
      </c>
      <c r="L5290" s="2" t="s">
        <v>34585</v>
      </c>
      <c r="M5290" s="2" t="s">
        <v>3249</v>
      </c>
      <c r="N5290" s="2" t="s">
        <v>3250</v>
      </c>
      <c r="O5290" s="2">
        <v>16344</v>
      </c>
      <c r="P5290" s="2" t="s">
        <v>34586</v>
      </c>
      <c r="Q5290" s="2" t="s">
        <v>34587</v>
      </c>
      <c r="R5290" s="2" t="s">
        <v>34588</v>
      </c>
      <c r="S5290" s="2" t="s">
        <v>34589</v>
      </c>
      <c r="T5290" s="2" t="s">
        <v>34590</v>
      </c>
      <c r="U5290" s="2" t="s">
        <v>103</v>
      </c>
      <c r="V5290" s="2" t="s">
        <v>104</v>
      </c>
      <c r="W5290" s="2" t="s">
        <v>105</v>
      </c>
      <c r="X5290" s="2" t="s">
        <v>59</v>
      </c>
      <c r="Y5290" s="2">
        <v>70.099999999999994</v>
      </c>
      <c r="Z5290" s="2">
        <v>50.2</v>
      </c>
      <c r="AA5290" s="2"/>
      <c r="AB5290" s="2" t="s">
        <v>34591</v>
      </c>
      <c r="AC5290" s="2"/>
      <c r="AD5290" s="2">
        <v>515897.71979345998</v>
      </c>
      <c r="AE5290" s="2">
        <v>3.99854117266547E-2</v>
      </c>
      <c r="AF5290" s="2">
        <v>3526.8416695188898</v>
      </c>
      <c r="AG5290" s="2">
        <v>4685.0559390930903</v>
      </c>
      <c r="AH5290" s="4">
        <v>0.75278539154467305</v>
      </c>
      <c r="AI5290" s="4">
        <v>-0.40968946330145001</v>
      </c>
      <c r="AJ5290" s="4" t="s">
        <v>62</v>
      </c>
      <c r="AK5290" s="2">
        <v>0.49617310282213101</v>
      </c>
      <c r="AL5290" s="2">
        <v>0.73518516839452297</v>
      </c>
      <c r="AM5290" s="2">
        <v>2299.8352172700202</v>
      </c>
      <c r="AN5290" s="2">
        <v>2299.8352172700202</v>
      </c>
      <c r="AO5290" s="2">
        <v>2299.8352172700202</v>
      </c>
      <c r="AP5290" s="2">
        <v>9661.8739307632404</v>
      </c>
      <c r="AQ5290" s="2">
        <v>2299.8352172700202</v>
      </c>
      <c r="AR5290" s="2">
        <v>2299.8352172700202</v>
      </c>
      <c r="AS5290" s="2">
        <v>2299.8352172700202</v>
      </c>
      <c r="AT5290" s="2">
        <v>6364.2575967634903</v>
      </c>
      <c r="AU5290" s="2">
        <v>6857.9092214048596</v>
      </c>
      <c r="AV5290" s="2">
        <v>7988.6631645801399</v>
      </c>
      <c r="AW5290" s="2">
        <v>2299.8352172700202</v>
      </c>
      <c r="AX5290" s="2">
        <v>2299.8352172700202</v>
      </c>
    </row>
    <row r="5291" spans="1:50" x14ac:dyDescent="0.25">
      <c r="A5291" s="2" t="s">
        <v>34592</v>
      </c>
      <c r="B5291" s="2">
        <v>213.1052</v>
      </c>
      <c r="C5291" s="2">
        <v>12.082000000000001</v>
      </c>
      <c r="D5291" s="2" t="s">
        <v>125</v>
      </c>
      <c r="E5291" s="2" t="s">
        <v>34593</v>
      </c>
      <c r="F5291" s="2">
        <v>81894</v>
      </c>
      <c r="G5291" s="3" t="str">
        <f>HYPERLINK("https://cloud.oebiotech.com/#/lm/network/81894", "https://cloud.oebiotech.com/#/lm/network/81894")</f>
        <v>https://cloud.oebiotech.com/#/lm/network/81894</v>
      </c>
      <c r="H5291" s="2" t="s">
        <v>34594</v>
      </c>
      <c r="I5291" s="2">
        <v>318813</v>
      </c>
      <c r="J5291" s="2"/>
      <c r="K5291" s="2">
        <v>25612</v>
      </c>
      <c r="L5291" s="2"/>
      <c r="M5291" s="2"/>
      <c r="N5291" s="2"/>
      <c r="O5291" s="2"/>
      <c r="P5291" s="2"/>
      <c r="Q5291" s="2"/>
      <c r="R5291" s="2"/>
      <c r="S5291" s="2" t="s">
        <v>34595</v>
      </c>
      <c r="T5291" s="2" t="s">
        <v>34596</v>
      </c>
      <c r="U5291" s="2" t="s">
        <v>56</v>
      </c>
      <c r="V5291" s="2" t="s">
        <v>145</v>
      </c>
      <c r="W5291" s="2" t="s">
        <v>146</v>
      </c>
      <c r="X5291" s="2" t="s">
        <v>59</v>
      </c>
      <c r="Y5291" s="2">
        <v>75.599999999999994</v>
      </c>
      <c r="Z5291" s="2">
        <v>59.6</v>
      </c>
      <c r="AA5291" s="2"/>
      <c r="AB5291" s="2" t="s">
        <v>34597</v>
      </c>
      <c r="AC5291" s="2"/>
      <c r="AD5291" s="2">
        <v>408351.24819579499</v>
      </c>
      <c r="AE5291" s="2">
        <v>3.9809136067083702E-2</v>
      </c>
      <c r="AF5291" s="2">
        <v>8387.3211714315694</v>
      </c>
      <c r="AG5291" s="2">
        <v>8924.1736250005397</v>
      </c>
      <c r="AH5291" s="4">
        <v>0.93984289457737502</v>
      </c>
      <c r="AI5291" s="4">
        <v>-8.95084808173639E-2</v>
      </c>
      <c r="AJ5291" s="4" t="s">
        <v>62</v>
      </c>
      <c r="AK5291" s="2">
        <v>0.17147724119184701</v>
      </c>
      <c r="AL5291" s="2">
        <v>0.49209194241498699</v>
      </c>
      <c r="AM5291" s="2">
        <v>8365.9150291349506</v>
      </c>
      <c r="AN5291" s="2">
        <v>8845.3736151376306</v>
      </c>
      <c r="AO5291" s="2">
        <v>8756.2868034140902</v>
      </c>
      <c r="AP5291" s="2">
        <v>7680.6679892982902</v>
      </c>
      <c r="AQ5291" s="2">
        <v>8271.5937353629106</v>
      </c>
      <c r="AR5291" s="2">
        <v>8404.0898562415496</v>
      </c>
      <c r="AS5291" s="2">
        <v>8355.3579131685492</v>
      </c>
      <c r="AT5291" s="2">
        <v>8589.1795167199507</v>
      </c>
      <c r="AU5291" s="2">
        <v>8942.31097190541</v>
      </c>
      <c r="AV5291" s="2">
        <v>10299.215153179201</v>
      </c>
      <c r="AW5291" s="2">
        <v>9261.7997548067306</v>
      </c>
      <c r="AX5291" s="2">
        <v>8097.1784402233798</v>
      </c>
    </row>
    <row r="5292" spans="1:50" x14ac:dyDescent="0.25">
      <c r="A5292" s="2" t="s">
        <v>34598</v>
      </c>
      <c r="B5292" s="2">
        <v>339.215340024971</v>
      </c>
      <c r="C5292" s="2">
        <v>10.452766666666699</v>
      </c>
      <c r="D5292" s="2" t="s">
        <v>51</v>
      </c>
      <c r="E5292" s="2" t="s">
        <v>34599</v>
      </c>
      <c r="F5292" s="2">
        <v>1519</v>
      </c>
      <c r="G5292" s="3" t="str">
        <f>HYPERLINK("https://cloud.oebiotech.com/#/lm/network/1519", "https://cloud.oebiotech.com/#/lm/network/1519")</f>
        <v>https://cloud.oebiotech.com/#/lm/network/1519</v>
      </c>
      <c r="H5292" s="2"/>
      <c r="I5292" s="2"/>
      <c r="J5292" s="2" t="s">
        <v>34600</v>
      </c>
      <c r="K5292" s="2">
        <v>90478988</v>
      </c>
      <c r="L5292" s="2"/>
      <c r="M5292" s="2"/>
      <c r="N5292" s="2"/>
      <c r="O5292" s="2"/>
      <c r="P5292" s="2"/>
      <c r="Q5292" s="2"/>
      <c r="R5292" s="2"/>
      <c r="S5292" s="2" t="s">
        <v>34601</v>
      </c>
      <c r="T5292" s="2" t="s">
        <v>34602</v>
      </c>
      <c r="U5292" s="2" t="s">
        <v>56</v>
      </c>
      <c r="V5292" s="2" t="s">
        <v>145</v>
      </c>
      <c r="W5292" s="2" t="s">
        <v>203</v>
      </c>
      <c r="X5292" s="2" t="s">
        <v>83</v>
      </c>
      <c r="Y5292" s="2">
        <v>55.6</v>
      </c>
      <c r="Z5292" s="2">
        <v>9.51</v>
      </c>
      <c r="AA5292" s="2" t="s">
        <v>218</v>
      </c>
      <c r="AB5292" s="2" t="s">
        <v>1722</v>
      </c>
      <c r="AC5292" s="2">
        <v>-8.0132888887062599</v>
      </c>
      <c r="AD5292" s="2"/>
      <c r="AE5292" s="2">
        <v>3.9795366101904601E-2</v>
      </c>
      <c r="AF5292" s="2">
        <v>1637.88553743019</v>
      </c>
      <c r="AG5292" s="2">
        <v>1750.5999258967699</v>
      </c>
      <c r="AH5292" s="4">
        <v>0.93561385054393098</v>
      </c>
      <c r="AI5292" s="4">
        <v>-9.6014875818722395E-2</v>
      </c>
      <c r="AJ5292" s="4" t="s">
        <v>62</v>
      </c>
      <c r="AK5292" s="2">
        <v>0.92778819600810603</v>
      </c>
      <c r="AL5292" s="2">
        <v>0.96908489086912797</v>
      </c>
      <c r="AM5292" s="2">
        <v>6421.1391156031896</v>
      </c>
      <c r="AN5292" s="2">
        <v>254.01710698391699</v>
      </c>
      <c r="AO5292" s="2">
        <v>1347.8798806649399</v>
      </c>
      <c r="AP5292" s="2">
        <v>234.755681335953</v>
      </c>
      <c r="AQ5292" s="2">
        <v>849.66952388565005</v>
      </c>
      <c r="AR5292" s="2">
        <v>719.85191610751394</v>
      </c>
      <c r="AS5292" s="2">
        <v>758.74639110086696</v>
      </c>
      <c r="AT5292" s="2">
        <v>8.559877937157E-6</v>
      </c>
      <c r="AU5292" s="2">
        <v>4025.55193015655</v>
      </c>
      <c r="AV5292" s="2">
        <v>951.96680818665095</v>
      </c>
      <c r="AW5292" s="2">
        <v>3988.4870321206499</v>
      </c>
      <c r="AX5292" s="2">
        <v>778.84738525600699</v>
      </c>
    </row>
    <row r="5293" spans="1:50" x14ac:dyDescent="0.25">
      <c r="A5293" s="2" t="s">
        <v>34603</v>
      </c>
      <c r="B5293" s="2">
        <v>389.26990032172898</v>
      </c>
      <c r="C5293" s="2">
        <v>11.4432333333333</v>
      </c>
      <c r="D5293" s="2" t="s">
        <v>51</v>
      </c>
      <c r="E5293" s="2" t="s">
        <v>34604</v>
      </c>
      <c r="F5293" s="2">
        <v>43629</v>
      </c>
      <c r="G5293" s="3" t="str">
        <f>HYPERLINK("https://cloud.oebiotech.com/#/lm/network/43629", "https://cloud.oebiotech.com/#/lm/network/43629")</f>
        <v>https://cloud.oebiotech.com/#/lm/network/43629</v>
      </c>
      <c r="H5293" s="2"/>
      <c r="I5293" s="2">
        <v>83904</v>
      </c>
      <c r="J5293" s="2" t="s">
        <v>34605</v>
      </c>
      <c r="K5293" s="2">
        <v>52931323</v>
      </c>
      <c r="L5293" s="2"/>
      <c r="M5293" s="2"/>
      <c r="N5293" s="2"/>
      <c r="O5293" s="2"/>
      <c r="P5293" s="2"/>
      <c r="Q5293" s="2"/>
      <c r="R5293" s="2"/>
      <c r="S5293" s="2" t="s">
        <v>34606</v>
      </c>
      <c r="T5293" s="2" t="s">
        <v>34607</v>
      </c>
      <c r="U5293" s="2" t="s">
        <v>56</v>
      </c>
      <c r="V5293" s="2" t="s">
        <v>283</v>
      </c>
      <c r="W5293" s="2" t="s">
        <v>2042</v>
      </c>
      <c r="X5293" s="2" t="s">
        <v>83</v>
      </c>
      <c r="Y5293" s="2">
        <v>55.6</v>
      </c>
      <c r="Z5293" s="2">
        <v>29.6</v>
      </c>
      <c r="AA5293" s="2" t="s">
        <v>218</v>
      </c>
      <c r="AB5293" s="2" t="s">
        <v>34608</v>
      </c>
      <c r="AC5293" s="2">
        <v>0.48525095645247701</v>
      </c>
      <c r="AD5293" s="2"/>
      <c r="AE5293" s="2">
        <v>3.9686035272945397E-2</v>
      </c>
      <c r="AF5293" s="2">
        <v>39553.923901725197</v>
      </c>
      <c r="AG5293" s="2">
        <v>37900.401191331002</v>
      </c>
      <c r="AH5293" s="5">
        <v>1.0436281057302501</v>
      </c>
      <c r="AI5293" s="5">
        <v>6.1607702709597999E-2</v>
      </c>
      <c r="AJ5293" s="5" t="s">
        <v>139</v>
      </c>
      <c r="AK5293" s="2">
        <v>0.89721157135046004</v>
      </c>
      <c r="AL5293" s="2">
        <v>0.95685410028948603</v>
      </c>
      <c r="AM5293" s="2">
        <v>26563.940223707399</v>
      </c>
      <c r="AN5293" s="2">
        <v>34676.588046086297</v>
      </c>
      <c r="AO5293" s="2">
        <v>54732.434296129199</v>
      </c>
      <c r="AP5293" s="2">
        <v>62909.503386696102</v>
      </c>
      <c r="AQ5293" s="2">
        <v>37098.035935324799</v>
      </c>
      <c r="AR5293" s="2">
        <v>21343.0415224071</v>
      </c>
      <c r="AS5293" s="2">
        <v>50161.119278831298</v>
      </c>
      <c r="AT5293" s="2">
        <v>35544.179716512102</v>
      </c>
      <c r="AU5293" s="2">
        <v>15451.029597799799</v>
      </c>
      <c r="AV5293" s="2">
        <v>10284.042805352899</v>
      </c>
      <c r="AW5293" s="2">
        <v>34142.679245055202</v>
      </c>
      <c r="AX5293" s="2">
        <v>81819.356504434501</v>
      </c>
    </row>
    <row r="5294" spans="1:50" x14ac:dyDescent="0.25">
      <c r="A5294" s="2" t="s">
        <v>34609</v>
      </c>
      <c r="B5294" s="2">
        <v>374.273673948262</v>
      </c>
      <c r="C5294" s="2">
        <v>9.0934000000000008</v>
      </c>
      <c r="D5294" s="2" t="s">
        <v>51</v>
      </c>
      <c r="E5294" s="2" t="s">
        <v>34610</v>
      </c>
      <c r="F5294" s="2">
        <v>8655</v>
      </c>
      <c r="G5294" s="3" t="str">
        <f>HYPERLINK("https://cloud.oebiotech.com/#/lm/network/8655", "https://cloud.oebiotech.com/#/lm/network/8655")</f>
        <v>https://cloud.oebiotech.com/#/lm/network/8655</v>
      </c>
      <c r="H5294" s="2" t="s">
        <v>34611</v>
      </c>
      <c r="I5294" s="2">
        <v>44909</v>
      </c>
      <c r="J5294" s="2" t="s">
        <v>34612</v>
      </c>
      <c r="K5294" s="2">
        <v>168274</v>
      </c>
      <c r="L5294" s="2"/>
      <c r="M5294" s="2"/>
      <c r="N5294" s="2"/>
      <c r="O5294" s="2">
        <v>132479</v>
      </c>
      <c r="P5294" s="2"/>
      <c r="Q5294" s="2"/>
      <c r="R5294" s="2" t="s">
        <v>34613</v>
      </c>
      <c r="S5294" s="2" t="s">
        <v>34614</v>
      </c>
      <c r="T5294" s="2" t="s">
        <v>34615</v>
      </c>
      <c r="U5294" s="2" t="s">
        <v>56</v>
      </c>
      <c r="V5294" s="2" t="s">
        <v>145</v>
      </c>
      <c r="W5294" s="2" t="s">
        <v>1617</v>
      </c>
      <c r="X5294" s="2" t="s">
        <v>147</v>
      </c>
      <c r="Y5294" s="2">
        <v>36.299999999999997</v>
      </c>
      <c r="Z5294" s="2">
        <v>0</v>
      </c>
      <c r="AA5294" s="2" t="s">
        <v>156</v>
      </c>
      <c r="AB5294" s="2" t="s">
        <v>34616</v>
      </c>
      <c r="AC5294" s="2">
        <v>3.4052730368108799</v>
      </c>
      <c r="AD5294" s="2"/>
      <c r="AE5294" s="2">
        <v>3.96133172307679E-2</v>
      </c>
      <c r="AF5294" s="2">
        <v>6060.1187508442399</v>
      </c>
      <c r="AG5294" s="2">
        <v>5550.6019116526404</v>
      </c>
      <c r="AH5294" s="5">
        <v>1.0917948805015101</v>
      </c>
      <c r="AI5294" s="5">
        <v>0.12670183732024701</v>
      </c>
      <c r="AJ5294" s="5" t="s">
        <v>139</v>
      </c>
      <c r="AK5294" s="2">
        <v>0.63469922455887096</v>
      </c>
      <c r="AL5294" s="2">
        <v>0.82042874297625601</v>
      </c>
      <c r="AM5294" s="2">
        <v>7725.0852814260397</v>
      </c>
      <c r="AN5294" s="2">
        <v>3111.3254321678301</v>
      </c>
      <c r="AO5294" s="2">
        <v>6630.85175330333</v>
      </c>
      <c r="AP5294" s="2">
        <v>6836.2280482686801</v>
      </c>
      <c r="AQ5294" s="2">
        <v>5479.4801090470801</v>
      </c>
      <c r="AR5294" s="2">
        <v>6577.7418808524599</v>
      </c>
      <c r="AS5294" s="2">
        <v>6171.7977039607704</v>
      </c>
      <c r="AT5294" s="2">
        <v>4320.74205901396</v>
      </c>
      <c r="AU5294" s="2">
        <v>3627.3087376685698</v>
      </c>
      <c r="AV5294" s="2">
        <v>5018.5893159146899</v>
      </c>
      <c r="AW5294" s="2">
        <v>9187.4648769302803</v>
      </c>
      <c r="AX5294" s="2">
        <v>4977.7087764276002</v>
      </c>
    </row>
    <row r="5295" spans="1:50" x14ac:dyDescent="0.25">
      <c r="A5295" s="2" t="s">
        <v>34617</v>
      </c>
      <c r="B5295" s="2">
        <v>163.13324202271201</v>
      </c>
      <c r="C5295" s="2">
        <v>8.3346333333333291</v>
      </c>
      <c r="D5295" s="2" t="s">
        <v>51</v>
      </c>
      <c r="E5295" s="2" t="s">
        <v>34618</v>
      </c>
      <c r="F5295" s="2">
        <v>200370</v>
      </c>
      <c r="G5295" s="3" t="str">
        <f>HYPERLINK("https://cloud.oebiotech.com/#/lm/network/200370", "https://cloud.oebiotech.com/#/lm/network/200370")</f>
        <v>https://cloud.oebiotech.com/#/lm/network/200370</v>
      </c>
      <c r="H5295" s="2" t="s">
        <v>34619</v>
      </c>
      <c r="I5295" s="2">
        <v>268694</v>
      </c>
      <c r="J5295" s="2"/>
      <c r="K5295" s="2">
        <v>8177</v>
      </c>
      <c r="L5295" s="2"/>
      <c r="M5295" s="2"/>
      <c r="N5295" s="2"/>
      <c r="O5295" s="2"/>
      <c r="P5295" s="2"/>
      <c r="Q5295" s="2"/>
      <c r="R5295" s="2"/>
      <c r="S5295" s="2" t="s">
        <v>34620</v>
      </c>
      <c r="T5295" s="2" t="s">
        <v>34621</v>
      </c>
      <c r="U5295" s="2" t="s">
        <v>331</v>
      </c>
      <c r="V5295" s="2" t="s">
        <v>332</v>
      </c>
      <c r="W5295" s="2" t="s">
        <v>511</v>
      </c>
      <c r="X5295" s="2" t="s">
        <v>147</v>
      </c>
      <c r="Y5295" s="2">
        <v>37.6</v>
      </c>
      <c r="Z5295" s="2">
        <v>0</v>
      </c>
      <c r="AA5295" s="2" t="s">
        <v>259</v>
      </c>
      <c r="AB5295" s="2" t="s">
        <v>34622</v>
      </c>
      <c r="AC5295" s="2">
        <v>2.28930399892623</v>
      </c>
      <c r="AD5295" s="2"/>
      <c r="AE5295" s="2">
        <v>3.9442527565478398E-2</v>
      </c>
      <c r="AF5295" s="2">
        <v>728.66629038809594</v>
      </c>
      <c r="AG5295" s="2">
        <v>811.92751417146303</v>
      </c>
      <c r="AH5295" s="4">
        <v>0.89745239281817901</v>
      </c>
      <c r="AI5295" s="4">
        <v>-0.156092684605486</v>
      </c>
      <c r="AJ5295" s="4" t="s">
        <v>62</v>
      </c>
      <c r="AK5295" s="2">
        <v>0.240524850487915</v>
      </c>
      <c r="AL5295" s="2">
        <v>0.56464849242655302</v>
      </c>
      <c r="AM5295" s="2">
        <v>661.97887437671704</v>
      </c>
      <c r="AN5295" s="2">
        <v>863.22216146350604</v>
      </c>
      <c r="AO5295" s="2">
        <v>811.47013189077495</v>
      </c>
      <c r="AP5295" s="2">
        <v>724.31609422293695</v>
      </c>
      <c r="AQ5295" s="2">
        <v>747.61729204984795</v>
      </c>
      <c r="AR5295" s="2">
        <v>563.39318832479103</v>
      </c>
      <c r="AS5295" s="2">
        <v>950.13343769552205</v>
      </c>
      <c r="AT5295" s="2">
        <v>932.34147559155394</v>
      </c>
      <c r="AU5295" s="2">
        <v>650.99141901592498</v>
      </c>
      <c r="AV5295" s="2">
        <v>730.28213123409705</v>
      </c>
      <c r="AW5295" s="2">
        <v>732.59770117862001</v>
      </c>
      <c r="AX5295" s="2">
        <v>875.21892031306095</v>
      </c>
    </row>
    <row r="5296" spans="1:50" x14ac:dyDescent="0.25">
      <c r="A5296" s="2" t="s">
        <v>34623</v>
      </c>
      <c r="B5296" s="2">
        <v>269.00556671732397</v>
      </c>
      <c r="C5296" s="2">
        <v>6.1474833333333301</v>
      </c>
      <c r="D5296" s="2" t="s">
        <v>51</v>
      </c>
      <c r="E5296" s="2" t="s">
        <v>34624</v>
      </c>
      <c r="F5296" s="2">
        <v>256948</v>
      </c>
      <c r="G5296" s="3" t="str">
        <f>HYPERLINK("https://cloud.oebiotech.com/#/lm/network/256948", "https://cloud.oebiotech.com/#/lm/network/256948")</f>
        <v>https://cloud.oebiotech.com/#/lm/network/256948</v>
      </c>
      <c r="H5296" s="2" t="s">
        <v>34625</v>
      </c>
      <c r="I5296" s="2"/>
      <c r="J5296" s="2"/>
      <c r="K5296" s="2">
        <v>160647</v>
      </c>
      <c r="L5296" s="2" t="s">
        <v>34626</v>
      </c>
      <c r="M5296" s="2" t="s">
        <v>13357</v>
      </c>
      <c r="N5296" s="2" t="s">
        <v>13358</v>
      </c>
      <c r="O5296" s="2">
        <v>18150</v>
      </c>
      <c r="P5296" s="2"/>
      <c r="Q5296" s="2"/>
      <c r="R5296" s="2"/>
      <c r="S5296" s="2" t="s">
        <v>34627</v>
      </c>
      <c r="T5296" s="2" t="s">
        <v>34628</v>
      </c>
      <c r="U5296" s="2" t="s">
        <v>331</v>
      </c>
      <c r="V5296" s="2" t="s">
        <v>332</v>
      </c>
      <c r="W5296" s="2" t="s">
        <v>333</v>
      </c>
      <c r="X5296" s="2" t="s">
        <v>147</v>
      </c>
      <c r="Y5296" s="2">
        <v>38.5</v>
      </c>
      <c r="Z5296" s="2">
        <v>0</v>
      </c>
      <c r="AA5296" s="2" t="s">
        <v>379</v>
      </c>
      <c r="AB5296" s="2" t="s">
        <v>34629</v>
      </c>
      <c r="AC5296" s="2">
        <v>-4.2545152214737803</v>
      </c>
      <c r="AD5296" s="2"/>
      <c r="AE5296" s="2">
        <v>3.9341547722868103E-2</v>
      </c>
      <c r="AF5296" s="2">
        <v>2029.5842452248901</v>
      </c>
      <c r="AG5296" s="2">
        <v>2141.1584195421101</v>
      </c>
      <c r="AH5296" s="4">
        <v>0.94789074302074405</v>
      </c>
      <c r="AI5296" s="4">
        <v>-7.7207315917797101E-2</v>
      </c>
      <c r="AJ5296" s="4" t="s">
        <v>62</v>
      </c>
      <c r="AK5296" s="2">
        <v>0.60603750809574497</v>
      </c>
      <c r="AL5296" s="2">
        <v>0.80376251234912599</v>
      </c>
      <c r="AM5296" s="2">
        <v>1943.94972515528</v>
      </c>
      <c r="AN5296" s="2">
        <v>1945.91660899867</v>
      </c>
      <c r="AO5296" s="2">
        <v>2411.0321383201799</v>
      </c>
      <c r="AP5296" s="2">
        <v>2191.5817368234202</v>
      </c>
      <c r="AQ5296" s="2">
        <v>1487.88994638142</v>
      </c>
      <c r="AR5296" s="2">
        <v>2197.1353156703799</v>
      </c>
      <c r="AS5296" s="2">
        <v>1862.6501688450101</v>
      </c>
      <c r="AT5296" s="2">
        <v>2038.5664797424099</v>
      </c>
      <c r="AU5296" s="2">
        <v>1940.8875959243601</v>
      </c>
      <c r="AV5296" s="2">
        <v>2875.2336453930302</v>
      </c>
      <c r="AW5296" s="2">
        <v>1808.9025077219201</v>
      </c>
      <c r="AX5296" s="2">
        <v>2320.71011962592</v>
      </c>
    </row>
    <row r="5297" spans="1:50" x14ac:dyDescent="0.25">
      <c r="A5297" s="2" t="s">
        <v>34630</v>
      </c>
      <c r="B5297" s="2">
        <v>233.00589071783</v>
      </c>
      <c r="C5297" s="2">
        <v>4.2766000000000002</v>
      </c>
      <c r="D5297" s="2" t="s">
        <v>51</v>
      </c>
      <c r="E5297" s="2" t="s">
        <v>34631</v>
      </c>
      <c r="F5297" s="2">
        <v>256586</v>
      </c>
      <c r="G5297" s="3" t="str">
        <f>HYPERLINK("https://cloud.oebiotech.com/#/lm/network/256586", "https://cloud.oebiotech.com/#/lm/network/256586")</f>
        <v>https://cloud.oebiotech.com/#/lm/network/256586</v>
      </c>
      <c r="H5297" s="2" t="s">
        <v>34632</v>
      </c>
      <c r="I5297" s="2"/>
      <c r="J5297" s="2"/>
      <c r="K5297" s="2">
        <v>10198563</v>
      </c>
      <c r="L5297" s="2"/>
      <c r="M5297" s="2"/>
      <c r="N5297" s="2"/>
      <c r="O5297" s="2"/>
      <c r="P5297" s="2"/>
      <c r="Q5297" s="2"/>
      <c r="R5297" s="2"/>
      <c r="S5297" s="2" t="s">
        <v>34633</v>
      </c>
      <c r="T5297" s="2" t="s">
        <v>34634</v>
      </c>
      <c r="U5297" s="2" t="s">
        <v>103</v>
      </c>
      <c r="V5297" s="2" t="s">
        <v>377</v>
      </c>
      <c r="W5297" s="2" t="s">
        <v>378</v>
      </c>
      <c r="X5297" s="2" t="s">
        <v>147</v>
      </c>
      <c r="Y5297" s="2">
        <v>36.200000000000003</v>
      </c>
      <c r="Z5297" s="2">
        <v>0</v>
      </c>
      <c r="AA5297" s="2" t="s">
        <v>163</v>
      </c>
      <c r="AB5297" s="2" t="s">
        <v>34635</v>
      </c>
      <c r="AC5297" s="2">
        <v>-4.3468299259062402</v>
      </c>
      <c r="AD5297" s="2"/>
      <c r="AE5297" s="2">
        <v>3.9274280482653502E-2</v>
      </c>
      <c r="AF5297" s="2">
        <v>3224.8007082131398</v>
      </c>
      <c r="AG5297" s="2">
        <v>3413.01161223603</v>
      </c>
      <c r="AH5297" s="4">
        <v>0.94485488905219905</v>
      </c>
      <c r="AI5297" s="4">
        <v>-8.1835317849964104E-2</v>
      </c>
      <c r="AJ5297" s="4" t="s">
        <v>62</v>
      </c>
      <c r="AK5297" s="2">
        <v>0.796766473847761</v>
      </c>
      <c r="AL5297" s="2">
        <v>0.90954932814260703</v>
      </c>
      <c r="AM5297" s="2">
        <v>2450.6171901806902</v>
      </c>
      <c r="AN5297" s="2">
        <v>3359.5920039992502</v>
      </c>
      <c r="AO5297" s="2">
        <v>3649.6649856956001</v>
      </c>
      <c r="AP5297" s="2">
        <v>4041.1639741440499</v>
      </c>
      <c r="AQ5297" s="2">
        <v>3658.74829495116</v>
      </c>
      <c r="AR5297" s="2">
        <v>2189.01780030808</v>
      </c>
      <c r="AS5297" s="2">
        <v>5762.9403561639401</v>
      </c>
      <c r="AT5297" s="2">
        <v>4527.3328600089799</v>
      </c>
      <c r="AU5297" s="2">
        <v>2238.1406628015102</v>
      </c>
      <c r="AV5297" s="2">
        <v>2388.7099782534101</v>
      </c>
      <c r="AW5297" s="2">
        <v>1668.9747576836</v>
      </c>
      <c r="AX5297" s="2">
        <v>3891.9710585047301</v>
      </c>
    </row>
    <row r="5298" spans="1:50" x14ac:dyDescent="0.25">
      <c r="A5298" s="2" t="s">
        <v>34636</v>
      </c>
      <c r="B5298" s="2">
        <v>276.15660241534499</v>
      </c>
      <c r="C5298" s="2">
        <v>1.6121333333333301</v>
      </c>
      <c r="D5298" s="2" t="s">
        <v>51</v>
      </c>
      <c r="E5298" s="2" t="s">
        <v>34637</v>
      </c>
      <c r="F5298" s="2">
        <v>264385</v>
      </c>
      <c r="G5298" s="3" t="str">
        <f>HYPERLINK("https://cloud.oebiotech.com/#/lm/network/264385", "https://cloud.oebiotech.com/#/lm/network/264385")</f>
        <v>https://cloud.oebiotech.com/#/lm/network/264385</v>
      </c>
      <c r="H5298" s="2"/>
      <c r="I5298" s="2">
        <v>21842</v>
      </c>
      <c r="J5298" s="2"/>
      <c r="K5298" s="2">
        <v>145453721</v>
      </c>
      <c r="L5298" s="2"/>
      <c r="M5298" s="2"/>
      <c r="N5298" s="2"/>
      <c r="O5298" s="2"/>
      <c r="P5298" s="2"/>
      <c r="Q5298" s="2"/>
      <c r="R5298" s="2"/>
      <c r="S5298" s="2" t="s">
        <v>34638</v>
      </c>
      <c r="T5298" s="2" t="s">
        <v>34639</v>
      </c>
      <c r="U5298" s="2" t="s">
        <v>103</v>
      </c>
      <c r="V5298" s="2" t="s">
        <v>104</v>
      </c>
      <c r="W5298" s="2" t="s">
        <v>105</v>
      </c>
      <c r="X5298" s="2" t="s">
        <v>83</v>
      </c>
      <c r="Y5298" s="2">
        <v>39.5</v>
      </c>
      <c r="Z5298" s="2">
        <v>0</v>
      </c>
      <c r="AA5298" s="2" t="s">
        <v>259</v>
      </c>
      <c r="AB5298" s="2" t="s">
        <v>34640</v>
      </c>
      <c r="AC5298" s="2">
        <v>4.3801777439279004</v>
      </c>
      <c r="AD5298" s="2"/>
      <c r="AE5298" s="2">
        <v>3.9260293969678901E-2</v>
      </c>
      <c r="AF5298" s="2">
        <v>1020.08722379169</v>
      </c>
      <c r="AG5298" s="2">
        <v>1086.31795315863</v>
      </c>
      <c r="AH5298" s="4">
        <v>0.93903191126100705</v>
      </c>
      <c r="AI5298" s="4">
        <v>-9.0753908855242704E-2</v>
      </c>
      <c r="AJ5298" s="4" t="s">
        <v>62</v>
      </c>
      <c r="AK5298" s="2">
        <v>0.94645809015742199</v>
      </c>
      <c r="AL5298" s="2">
        <v>0.97787449727725695</v>
      </c>
      <c r="AM5298" s="2">
        <v>3782.4910980182199</v>
      </c>
      <c r="AN5298" s="2">
        <v>227.495499355612</v>
      </c>
      <c r="AO5298" s="2">
        <v>8.559877937157E-6</v>
      </c>
      <c r="AP5298" s="2">
        <v>8.559877937157E-6</v>
      </c>
      <c r="AQ5298" s="2">
        <v>982.19148915276003</v>
      </c>
      <c r="AR5298" s="2">
        <v>1128.3452391037899</v>
      </c>
      <c r="AS5298" s="2">
        <v>8.559877937157E-6</v>
      </c>
      <c r="AT5298" s="2">
        <v>8.559877937157E-6</v>
      </c>
      <c r="AU5298" s="2">
        <v>4658.7560454317199</v>
      </c>
      <c r="AV5298" s="2">
        <v>1653.1802075436001</v>
      </c>
      <c r="AW5298" s="2">
        <v>205.971440296803</v>
      </c>
      <c r="AX5298" s="2">
        <v>8.559877937157E-6</v>
      </c>
    </row>
    <row r="5299" spans="1:50" x14ac:dyDescent="0.25">
      <c r="A5299" s="2" t="s">
        <v>34641</v>
      </c>
      <c r="B5299" s="2">
        <v>204.106007252034</v>
      </c>
      <c r="C5299" s="2">
        <v>4.8526333333333298</v>
      </c>
      <c r="D5299" s="2" t="s">
        <v>51</v>
      </c>
      <c r="E5299" s="2" t="s">
        <v>34642</v>
      </c>
      <c r="F5299" s="2">
        <v>199905</v>
      </c>
      <c r="G5299" s="3" t="str">
        <f>HYPERLINK("https://cloud.oebiotech.com/#/lm/network/199905", "https://cloud.oebiotech.com/#/lm/network/199905")</f>
        <v>https://cloud.oebiotech.com/#/lm/network/199905</v>
      </c>
      <c r="H5299" s="2" t="s">
        <v>34643</v>
      </c>
      <c r="I5299" s="2">
        <v>342879</v>
      </c>
      <c r="J5299" s="2"/>
      <c r="K5299" s="2">
        <v>70815</v>
      </c>
      <c r="L5299" s="2"/>
      <c r="M5299" s="2"/>
      <c r="N5299" s="2"/>
      <c r="O5299" s="2"/>
      <c r="P5299" s="2"/>
      <c r="Q5299" s="2"/>
      <c r="R5299" s="2"/>
      <c r="S5299" s="2" t="s">
        <v>34644</v>
      </c>
      <c r="T5299" s="2" t="s">
        <v>34645</v>
      </c>
      <c r="U5299" s="2" t="s">
        <v>119</v>
      </c>
      <c r="V5299" s="2" t="s">
        <v>120</v>
      </c>
      <c r="W5299" s="2" t="s">
        <v>6175</v>
      </c>
      <c r="X5299" s="2" t="s">
        <v>147</v>
      </c>
      <c r="Y5299" s="2">
        <v>37.6</v>
      </c>
      <c r="Z5299" s="2">
        <v>1.71</v>
      </c>
      <c r="AA5299" s="2" t="s">
        <v>156</v>
      </c>
      <c r="AB5299" s="2" t="s">
        <v>34646</v>
      </c>
      <c r="AC5299" s="2">
        <v>3.3062003982386998</v>
      </c>
      <c r="AD5299" s="2"/>
      <c r="AE5299" s="2">
        <v>3.9250837931879001E-2</v>
      </c>
      <c r="AF5299" s="2">
        <v>3965.7011318662999</v>
      </c>
      <c r="AG5299" s="2">
        <v>4184.3481847089897</v>
      </c>
      <c r="AH5299" s="4">
        <v>0.94774644862449797</v>
      </c>
      <c r="AI5299" s="4">
        <v>-7.7426949517742205E-2</v>
      </c>
      <c r="AJ5299" s="4" t="s">
        <v>62</v>
      </c>
      <c r="AK5299" s="2">
        <v>0.81720602681356502</v>
      </c>
      <c r="AL5299" s="2">
        <v>0.91958911698107104</v>
      </c>
      <c r="AM5299" s="2">
        <v>3017.31836631738</v>
      </c>
      <c r="AN5299" s="2">
        <v>2811.7222389664798</v>
      </c>
      <c r="AO5299" s="2">
        <v>3537.48692684362</v>
      </c>
      <c r="AP5299" s="2">
        <v>3105.8472334676699</v>
      </c>
      <c r="AQ5299" s="2">
        <v>5385.5067565785002</v>
      </c>
      <c r="AR5299" s="2">
        <v>5936.3252690241698</v>
      </c>
      <c r="AS5299" s="2">
        <v>1552.39756950842</v>
      </c>
      <c r="AT5299" s="2">
        <v>3338.4579133584998</v>
      </c>
      <c r="AU5299" s="2">
        <v>6358.61708739602</v>
      </c>
      <c r="AV5299" s="2">
        <v>4008.3341716616601</v>
      </c>
      <c r="AW5299" s="2">
        <v>6131.9917731717096</v>
      </c>
      <c r="AX5299" s="2">
        <v>3716.2905931576001</v>
      </c>
    </row>
    <row r="5300" spans="1:50" x14ac:dyDescent="0.25">
      <c r="A5300" s="2" t="s">
        <v>34647</v>
      </c>
      <c r="B5300" s="2">
        <v>302.14374299330802</v>
      </c>
      <c r="C5300" s="2">
        <v>10.753966666666701</v>
      </c>
      <c r="D5300" s="2" t="s">
        <v>51</v>
      </c>
      <c r="E5300" s="2" t="s">
        <v>34648</v>
      </c>
      <c r="F5300" s="2">
        <v>210849</v>
      </c>
      <c r="G5300" s="3" t="str">
        <f>HYPERLINK("https://cloud.oebiotech.com/#/lm/network/210849", "https://cloud.oebiotech.com/#/lm/network/210849")</f>
        <v>https://cloud.oebiotech.com/#/lm/network/210849</v>
      </c>
      <c r="H5300" s="2" t="s">
        <v>34649</v>
      </c>
      <c r="I5300" s="2"/>
      <c r="J5300" s="2"/>
      <c r="K5300" s="2">
        <v>9839381</v>
      </c>
      <c r="L5300" s="2"/>
      <c r="M5300" s="2"/>
      <c r="N5300" s="2"/>
      <c r="O5300" s="2"/>
      <c r="P5300" s="2"/>
      <c r="Q5300" s="2"/>
      <c r="R5300" s="2"/>
      <c r="S5300" s="2" t="s">
        <v>34650</v>
      </c>
      <c r="T5300" s="2" t="s">
        <v>34651</v>
      </c>
      <c r="U5300" s="2" t="s">
        <v>103</v>
      </c>
      <c r="V5300" s="2" t="s">
        <v>104</v>
      </c>
      <c r="W5300" s="2" t="s">
        <v>105</v>
      </c>
      <c r="X5300" s="2" t="s">
        <v>147</v>
      </c>
      <c r="Y5300" s="2">
        <v>36.799999999999997</v>
      </c>
      <c r="Z5300" s="2">
        <v>0</v>
      </c>
      <c r="AA5300" s="2" t="s">
        <v>122</v>
      </c>
      <c r="AB5300" s="2" t="s">
        <v>34652</v>
      </c>
      <c r="AC5300" s="2">
        <v>2.2731459293554899</v>
      </c>
      <c r="AD5300" s="2"/>
      <c r="AE5300" s="2">
        <v>3.9169256686483599E-2</v>
      </c>
      <c r="AF5300" s="2">
        <v>3974.0889922885299</v>
      </c>
      <c r="AG5300" s="2">
        <v>3761.97867292816</v>
      </c>
      <c r="AH5300" s="5">
        <v>1.0563826480162599</v>
      </c>
      <c r="AI5300" s="5">
        <v>7.9132509318803501E-2</v>
      </c>
      <c r="AJ5300" s="5" t="s">
        <v>139</v>
      </c>
      <c r="AK5300" s="2">
        <v>0.85387293879914805</v>
      </c>
      <c r="AL5300" s="2">
        <v>0.93549430478880702</v>
      </c>
      <c r="AM5300" s="2">
        <v>7356.0616366146096</v>
      </c>
      <c r="AN5300" s="2">
        <v>3882.7282398509301</v>
      </c>
      <c r="AO5300" s="2">
        <v>2407.8549588514002</v>
      </c>
      <c r="AP5300" s="2">
        <v>4753.2221268655103</v>
      </c>
      <c r="AQ5300" s="2">
        <v>3683.5115859155098</v>
      </c>
      <c r="AR5300" s="2">
        <v>1761.15540563321</v>
      </c>
      <c r="AS5300" s="2">
        <v>1652.93914565661</v>
      </c>
      <c r="AT5300" s="2">
        <v>1212.7376571080799</v>
      </c>
      <c r="AU5300" s="2">
        <v>4229.4830846798304</v>
      </c>
      <c r="AV5300" s="2">
        <v>6012.7981643530902</v>
      </c>
      <c r="AW5300" s="2">
        <v>4428.6897876718504</v>
      </c>
      <c r="AX5300" s="2">
        <v>5035.2241980994804</v>
      </c>
    </row>
    <row r="5301" spans="1:50" x14ac:dyDescent="0.25">
      <c r="A5301" s="2" t="s">
        <v>34653</v>
      </c>
      <c r="B5301" s="2">
        <v>324.18168292599103</v>
      </c>
      <c r="C5301" s="2">
        <v>6.0845833333333301</v>
      </c>
      <c r="D5301" s="2" t="s">
        <v>51</v>
      </c>
      <c r="E5301" s="2" t="s">
        <v>34654</v>
      </c>
      <c r="F5301" s="2">
        <v>202959</v>
      </c>
      <c r="G5301" s="3" t="str">
        <f>HYPERLINK("https://cloud.oebiotech.com/#/lm/network/202959", "https://cloud.oebiotech.com/#/lm/network/202959")</f>
        <v>https://cloud.oebiotech.com/#/lm/network/202959</v>
      </c>
      <c r="H5301" s="2" t="s">
        <v>34655</v>
      </c>
      <c r="I5301" s="2"/>
      <c r="J5301" s="2"/>
      <c r="K5301" s="2">
        <v>133436</v>
      </c>
      <c r="L5301" s="2"/>
      <c r="M5301" s="2"/>
      <c r="N5301" s="2"/>
      <c r="O5301" s="2"/>
      <c r="P5301" s="2"/>
      <c r="Q5301" s="2"/>
      <c r="R5301" s="2"/>
      <c r="S5301" s="2" t="s">
        <v>34656</v>
      </c>
      <c r="T5301" s="2" t="s">
        <v>34657</v>
      </c>
      <c r="U5301" s="2" t="s">
        <v>266</v>
      </c>
      <c r="V5301" s="2" t="s">
        <v>2772</v>
      </c>
      <c r="W5301" s="2" t="s">
        <v>2773</v>
      </c>
      <c r="X5301" s="2" t="s">
        <v>147</v>
      </c>
      <c r="Y5301" s="2">
        <v>41.5</v>
      </c>
      <c r="Z5301" s="2">
        <v>13.2</v>
      </c>
      <c r="AA5301" s="2" t="s">
        <v>156</v>
      </c>
      <c r="AB5301" s="2" t="s">
        <v>34658</v>
      </c>
      <c r="AC5301" s="2">
        <v>-0.59740209681146605</v>
      </c>
      <c r="AD5301" s="2"/>
      <c r="AE5301" s="2">
        <v>3.8969689389896499E-2</v>
      </c>
      <c r="AF5301" s="2">
        <v>298.47920596929498</v>
      </c>
      <c r="AG5301" s="2">
        <v>430.61422743220197</v>
      </c>
      <c r="AH5301" s="4">
        <v>0.69314757143338701</v>
      </c>
      <c r="AI5301" s="4">
        <v>-0.52876555939326997</v>
      </c>
      <c r="AJ5301" s="4" t="s">
        <v>62</v>
      </c>
      <c r="AK5301" s="2">
        <v>0.37329168889688902</v>
      </c>
      <c r="AL5301" s="2">
        <v>0.65472164164869395</v>
      </c>
      <c r="AM5301" s="2">
        <v>472.054964165542</v>
      </c>
      <c r="AN5301" s="2">
        <v>249.82069356849701</v>
      </c>
      <c r="AO5301" s="2">
        <v>8.559877937157E-6</v>
      </c>
      <c r="AP5301" s="2">
        <v>109.053378951607</v>
      </c>
      <c r="AQ5301" s="2">
        <v>148.43266950066999</v>
      </c>
      <c r="AR5301" s="2">
        <v>811.51352106957404</v>
      </c>
      <c r="AS5301" s="2">
        <v>241.83840459080699</v>
      </c>
      <c r="AT5301" s="2">
        <v>467.38802311538501</v>
      </c>
      <c r="AU5301" s="2">
        <v>619.796509922479</v>
      </c>
      <c r="AV5301" s="2">
        <v>549.70663259749301</v>
      </c>
      <c r="AW5301" s="2">
        <v>526.62451902434202</v>
      </c>
      <c r="AX5301" s="2">
        <v>178.33127534270301</v>
      </c>
    </row>
    <row r="5302" spans="1:50" x14ac:dyDescent="0.25">
      <c r="A5302" s="2" t="s">
        <v>34659</v>
      </c>
      <c r="B5302" s="2">
        <v>279.098791613353</v>
      </c>
      <c r="C5302" s="2">
        <v>4.1970666666666698</v>
      </c>
      <c r="D5302" s="2" t="s">
        <v>51</v>
      </c>
      <c r="E5302" s="2" t="s">
        <v>34660</v>
      </c>
      <c r="F5302" s="2">
        <v>205762</v>
      </c>
      <c r="G5302" s="3" t="str">
        <f>HYPERLINK("https://cloud.oebiotech.com/#/lm/network/205762", "https://cloud.oebiotech.com/#/lm/network/205762")</f>
        <v>https://cloud.oebiotech.com/#/lm/network/205762</v>
      </c>
      <c r="H5302" s="2" t="s">
        <v>34661</v>
      </c>
      <c r="I5302" s="2"/>
      <c r="J5302" s="2"/>
      <c r="K5302" s="2">
        <v>9881651</v>
      </c>
      <c r="L5302" s="2"/>
      <c r="M5302" s="2"/>
      <c r="N5302" s="2"/>
      <c r="O5302" s="2"/>
      <c r="P5302" s="2"/>
      <c r="Q5302" s="2"/>
      <c r="R5302" s="2"/>
      <c r="S5302" s="2" t="s">
        <v>34662</v>
      </c>
      <c r="T5302" s="2" t="s">
        <v>34663</v>
      </c>
      <c r="U5302" s="2" t="s">
        <v>610</v>
      </c>
      <c r="V5302" s="2" t="s">
        <v>611</v>
      </c>
      <c r="W5302" s="2" t="s">
        <v>1122</v>
      </c>
      <c r="X5302" s="2" t="s">
        <v>83</v>
      </c>
      <c r="Y5302" s="2">
        <v>51.6</v>
      </c>
      <c r="Z5302" s="2">
        <v>0</v>
      </c>
      <c r="AA5302" s="2" t="s">
        <v>512</v>
      </c>
      <c r="AB5302" s="2" t="s">
        <v>34664</v>
      </c>
      <c r="AC5302" s="2">
        <v>4.7636951304552397</v>
      </c>
      <c r="AD5302" s="2"/>
      <c r="AE5302" s="2">
        <v>3.8853217702601299E-2</v>
      </c>
      <c r="AF5302" s="2">
        <v>537.14192250572501</v>
      </c>
      <c r="AG5302" s="2">
        <v>762.76622572414897</v>
      </c>
      <c r="AH5302" s="4">
        <v>0.70420255170026502</v>
      </c>
      <c r="AI5302" s="4">
        <v>-0.50593764002564301</v>
      </c>
      <c r="AJ5302" s="4" t="s">
        <v>62</v>
      </c>
      <c r="AK5302" s="2">
        <v>0.70613278727787598</v>
      </c>
      <c r="AL5302" s="2">
        <v>0.85966136788168601</v>
      </c>
      <c r="AM5302" s="2">
        <v>1232.21047868804</v>
      </c>
      <c r="AN5302" s="2">
        <v>985.78290792123096</v>
      </c>
      <c r="AO5302" s="2">
        <v>99.804763913355899</v>
      </c>
      <c r="AP5302" s="2">
        <v>215.02794068867701</v>
      </c>
      <c r="AQ5302" s="2">
        <v>118.12372270126301</v>
      </c>
      <c r="AR5302" s="2">
        <v>571.90172112178595</v>
      </c>
      <c r="AS5302" s="2">
        <v>3485.0937432955702</v>
      </c>
      <c r="AT5302" s="2">
        <v>339.59675568467298</v>
      </c>
      <c r="AU5302" s="2">
        <v>96.810155587727806</v>
      </c>
      <c r="AV5302" s="2">
        <v>108.84528340319601</v>
      </c>
      <c r="AW5302" s="2">
        <v>425.54303085740099</v>
      </c>
      <c r="AX5302" s="2">
        <v>120.708385516324</v>
      </c>
    </row>
    <row r="5303" spans="1:50" x14ac:dyDescent="0.25">
      <c r="A5303" s="2" t="s">
        <v>34665</v>
      </c>
      <c r="B5303" s="2">
        <v>244.15520996922601</v>
      </c>
      <c r="C5303" s="2">
        <v>5.0177166666666704</v>
      </c>
      <c r="D5303" s="2" t="s">
        <v>51</v>
      </c>
      <c r="E5303" s="2" t="s">
        <v>34666</v>
      </c>
      <c r="F5303" s="2">
        <v>514194</v>
      </c>
      <c r="G5303" s="3" t="str">
        <f>HYPERLINK("https://cloud.oebiotech.com/#/lm/network/514194", "https://cloud.oebiotech.com/#/lm/network/514194")</f>
        <v>https://cloud.oebiotech.com/#/lm/network/514194</v>
      </c>
      <c r="H5303" s="2"/>
      <c r="I5303" s="2">
        <v>96366</v>
      </c>
      <c r="J5303" s="2"/>
      <c r="K5303" s="2">
        <v>81528</v>
      </c>
      <c r="L5303" s="2"/>
      <c r="M5303" s="2"/>
      <c r="N5303" s="2"/>
      <c r="O5303" s="2"/>
      <c r="P5303" s="2"/>
      <c r="Q5303" s="2"/>
      <c r="R5303" s="2"/>
      <c r="S5303" s="2" t="s">
        <v>34667</v>
      </c>
      <c r="T5303" s="2" t="s">
        <v>34668</v>
      </c>
      <c r="U5303" s="2" t="s">
        <v>119</v>
      </c>
      <c r="V5303" s="2" t="s">
        <v>120</v>
      </c>
      <c r="W5303" s="2" t="s">
        <v>1887</v>
      </c>
      <c r="X5303" s="2" t="s">
        <v>147</v>
      </c>
      <c r="Y5303" s="2">
        <v>38.200000000000003</v>
      </c>
      <c r="Z5303" s="2">
        <v>0</v>
      </c>
      <c r="AA5303" s="2" t="s">
        <v>512</v>
      </c>
      <c r="AB5303" s="2" t="s">
        <v>34669</v>
      </c>
      <c r="AC5303" s="2">
        <v>-2.0432742847284402</v>
      </c>
      <c r="AD5303" s="2"/>
      <c r="AE5303" s="2">
        <v>3.88343267743178E-2</v>
      </c>
      <c r="AF5303" s="2">
        <v>1254.83461106498</v>
      </c>
      <c r="AG5303" s="2">
        <v>1504.34292802254</v>
      </c>
      <c r="AH5303" s="4">
        <v>0.83414133020484704</v>
      </c>
      <c r="AI5303" s="4">
        <v>-0.26163625185123401</v>
      </c>
      <c r="AJ5303" s="4" t="s">
        <v>62</v>
      </c>
      <c r="AK5303" s="2">
        <v>0.53222996033889403</v>
      </c>
      <c r="AL5303" s="2">
        <v>0.75921414573090096</v>
      </c>
      <c r="AM5303" s="2">
        <v>1159.1618528100901</v>
      </c>
      <c r="AN5303" s="2">
        <v>1302.5758017589801</v>
      </c>
      <c r="AO5303" s="2">
        <v>1153.99546672512</v>
      </c>
      <c r="AP5303" s="2">
        <v>2233.3792210543202</v>
      </c>
      <c r="AQ5303" s="2">
        <v>1097.72404763085</v>
      </c>
      <c r="AR5303" s="2">
        <v>582.17127641049899</v>
      </c>
      <c r="AS5303" s="2">
        <v>613.52038339852595</v>
      </c>
      <c r="AT5303" s="2">
        <v>2644.7777268202799</v>
      </c>
      <c r="AU5303" s="2">
        <v>1982.5478944669401</v>
      </c>
      <c r="AV5303" s="2">
        <v>1450.0480492587999</v>
      </c>
      <c r="AW5303" s="2">
        <v>1643.6276971191801</v>
      </c>
      <c r="AX5303" s="2">
        <v>691.53581707151898</v>
      </c>
    </row>
    <row r="5304" spans="1:50" x14ac:dyDescent="0.25">
      <c r="A5304" s="2" t="s">
        <v>34670</v>
      </c>
      <c r="B5304" s="2">
        <v>217.121948128154</v>
      </c>
      <c r="C5304" s="2">
        <v>4.9764666666666697</v>
      </c>
      <c r="D5304" s="2" t="s">
        <v>51</v>
      </c>
      <c r="E5304" s="2" t="s">
        <v>34671</v>
      </c>
      <c r="F5304" s="2">
        <v>61646</v>
      </c>
      <c r="G5304" s="3" t="str">
        <f>HYPERLINK("https://cloud.oebiotech.com/#/lm/network/61646", "https://cloud.oebiotech.com/#/lm/network/61646")</f>
        <v>https://cloud.oebiotech.com/#/lm/network/61646</v>
      </c>
      <c r="H5304" s="2" t="s">
        <v>34672</v>
      </c>
      <c r="I5304" s="2">
        <v>92947</v>
      </c>
      <c r="J5304" s="2"/>
      <c r="K5304" s="2">
        <v>148710</v>
      </c>
      <c r="L5304" s="2"/>
      <c r="M5304" s="2"/>
      <c r="N5304" s="2"/>
      <c r="O5304" s="2"/>
      <c r="P5304" s="2"/>
      <c r="Q5304" s="2"/>
      <c r="R5304" s="2" t="s">
        <v>34673</v>
      </c>
      <c r="S5304" s="2" t="s">
        <v>34674</v>
      </c>
      <c r="T5304" s="2" t="s">
        <v>34675</v>
      </c>
      <c r="U5304" s="2" t="s">
        <v>610</v>
      </c>
      <c r="V5304" s="2" t="s">
        <v>14762</v>
      </c>
      <c r="W5304" s="2" t="s">
        <v>23206</v>
      </c>
      <c r="X5304" s="2" t="s">
        <v>147</v>
      </c>
      <c r="Y5304" s="2">
        <v>41.4</v>
      </c>
      <c r="Z5304" s="2">
        <v>11.1</v>
      </c>
      <c r="AA5304" s="2" t="s">
        <v>156</v>
      </c>
      <c r="AB5304" s="2" t="s">
        <v>13143</v>
      </c>
      <c r="AC5304" s="2">
        <v>-1.52934063766508</v>
      </c>
      <c r="AD5304" s="2"/>
      <c r="AE5304" s="2">
        <v>3.8791967345674701E-2</v>
      </c>
      <c r="AF5304" s="2">
        <v>372.42469251932999</v>
      </c>
      <c r="AG5304" s="2">
        <v>542.54356492475097</v>
      </c>
      <c r="AH5304" s="4">
        <v>0.68644200502310704</v>
      </c>
      <c r="AI5304" s="4">
        <v>-0.54279025739904596</v>
      </c>
      <c r="AJ5304" s="4" t="s">
        <v>62</v>
      </c>
      <c r="AK5304" s="2">
        <v>0.74161157522161203</v>
      </c>
      <c r="AL5304" s="2">
        <v>0.88190791048193196</v>
      </c>
      <c r="AM5304" s="2">
        <v>215.452102939231</v>
      </c>
      <c r="AN5304" s="2">
        <v>1103.35893771471</v>
      </c>
      <c r="AO5304" s="2">
        <v>283.18682731461598</v>
      </c>
      <c r="AP5304" s="2">
        <v>234.68884993045799</v>
      </c>
      <c r="AQ5304" s="2">
        <v>157.85580571752001</v>
      </c>
      <c r="AR5304" s="2">
        <v>240.00563149944699</v>
      </c>
      <c r="AS5304" s="2">
        <v>8.559877937157E-6</v>
      </c>
      <c r="AT5304" s="2">
        <v>132.76885826224401</v>
      </c>
      <c r="AU5304" s="2">
        <v>115.14933987264401</v>
      </c>
      <c r="AV5304" s="2">
        <v>68.737627692279503</v>
      </c>
      <c r="AW5304" s="2">
        <v>2938.60554660158</v>
      </c>
      <c r="AX5304" s="2">
        <v>8.559877937157E-6</v>
      </c>
    </row>
    <row r="5305" spans="1:50" x14ac:dyDescent="0.25">
      <c r="A5305" s="2" t="s">
        <v>34676</v>
      </c>
      <c r="B5305" s="2">
        <v>332.24422061353499</v>
      </c>
      <c r="C5305" s="2">
        <v>5.7529000000000003</v>
      </c>
      <c r="D5305" s="2" t="s">
        <v>51</v>
      </c>
      <c r="E5305" s="2" t="s">
        <v>34677</v>
      </c>
      <c r="F5305" s="2">
        <v>197612</v>
      </c>
      <c r="G5305" s="3" t="str">
        <f>HYPERLINK("https://cloud.oebiotech.com/#/lm/network/197612", "https://cloud.oebiotech.com/#/lm/network/197612")</f>
        <v>https://cloud.oebiotech.com/#/lm/network/197612</v>
      </c>
      <c r="H5305" s="2" t="s">
        <v>34678</v>
      </c>
      <c r="I5305" s="2"/>
      <c r="J5305" s="2"/>
      <c r="K5305" s="2"/>
      <c r="L5305" s="2"/>
      <c r="M5305" s="2"/>
      <c r="N5305" s="2"/>
      <c r="O5305" s="2"/>
      <c r="P5305" s="2"/>
      <c r="Q5305" s="2"/>
      <c r="R5305" s="2"/>
      <c r="S5305" s="2" t="s">
        <v>34679</v>
      </c>
      <c r="T5305" s="2" t="s">
        <v>34680</v>
      </c>
      <c r="U5305" s="2" t="s">
        <v>56</v>
      </c>
      <c r="V5305" s="2" t="s">
        <v>145</v>
      </c>
      <c r="W5305" s="2" t="s">
        <v>1188</v>
      </c>
      <c r="X5305" s="2" t="s">
        <v>147</v>
      </c>
      <c r="Y5305" s="2">
        <v>43.4</v>
      </c>
      <c r="Z5305" s="2">
        <v>26.2</v>
      </c>
      <c r="AA5305" s="2" t="s">
        <v>259</v>
      </c>
      <c r="AB5305" s="2" t="s">
        <v>32075</v>
      </c>
      <c r="AC5305" s="2">
        <v>3.2334077069311902</v>
      </c>
      <c r="AD5305" s="2"/>
      <c r="AE5305" s="2">
        <v>3.8757578477593098E-2</v>
      </c>
      <c r="AF5305" s="2">
        <v>12256.5991878962</v>
      </c>
      <c r="AG5305" s="2">
        <v>11689.311186790699</v>
      </c>
      <c r="AH5305" s="5">
        <v>1.0485304901238901</v>
      </c>
      <c r="AI5305" s="5">
        <v>6.8368814043908405E-2</v>
      </c>
      <c r="AJ5305" s="5" t="s">
        <v>139</v>
      </c>
      <c r="AK5305" s="2">
        <v>0.91113725487647701</v>
      </c>
      <c r="AL5305" s="2">
        <v>0.96287324353891901</v>
      </c>
      <c r="AM5305" s="2">
        <v>10704.512591749</v>
      </c>
      <c r="AN5305" s="2">
        <v>8204.8286363960306</v>
      </c>
      <c r="AO5305" s="2">
        <v>10898.9284515535</v>
      </c>
      <c r="AP5305" s="2">
        <v>17159.445472898002</v>
      </c>
      <c r="AQ5305" s="2">
        <v>10061.1637675245</v>
      </c>
      <c r="AR5305" s="2">
        <v>16510.716207256399</v>
      </c>
      <c r="AS5305" s="2">
        <v>14680.6019885724</v>
      </c>
      <c r="AT5305" s="2">
        <v>9626.43777517751</v>
      </c>
      <c r="AU5305" s="2">
        <v>4888.7726431504898</v>
      </c>
      <c r="AV5305" s="2">
        <v>3750.6998360627399</v>
      </c>
      <c r="AW5305" s="2">
        <v>33618.526472113299</v>
      </c>
      <c r="AX5305" s="2">
        <v>3570.8284056675702</v>
      </c>
    </row>
    <row r="5306" spans="1:50" x14ac:dyDescent="0.25">
      <c r="A5306" s="2" t="s">
        <v>34681</v>
      </c>
      <c r="B5306" s="2">
        <v>321.09273023246698</v>
      </c>
      <c r="C5306" s="2">
        <v>7.8818000000000001</v>
      </c>
      <c r="D5306" s="2" t="s">
        <v>51</v>
      </c>
      <c r="E5306" s="2" t="s">
        <v>34682</v>
      </c>
      <c r="F5306" s="2">
        <v>53853</v>
      </c>
      <c r="G5306" s="3" t="str">
        <f>HYPERLINK("https://cloud.oebiotech.com/#/lm/network/53853", "https://cloud.oebiotech.com/#/lm/network/53853")</f>
        <v>https://cloud.oebiotech.com/#/lm/network/53853</v>
      </c>
      <c r="H5306" s="2" t="s">
        <v>34683</v>
      </c>
      <c r="I5306" s="2">
        <v>23946</v>
      </c>
      <c r="J5306" s="2"/>
      <c r="K5306" s="2">
        <v>439500</v>
      </c>
      <c r="L5306" s="2" t="s">
        <v>34684</v>
      </c>
      <c r="M5306" s="2"/>
      <c r="N5306" s="2"/>
      <c r="O5306" s="2">
        <v>5390</v>
      </c>
      <c r="P5306" s="2"/>
      <c r="Q5306" s="2"/>
      <c r="R5306" s="2" t="s">
        <v>34685</v>
      </c>
      <c r="S5306" s="2" t="s">
        <v>34686</v>
      </c>
      <c r="T5306" s="2" t="s">
        <v>34687</v>
      </c>
      <c r="U5306" s="2" t="s">
        <v>103</v>
      </c>
      <c r="V5306" s="2" t="s">
        <v>104</v>
      </c>
      <c r="W5306" s="2" t="s">
        <v>105</v>
      </c>
      <c r="X5306" s="2" t="s">
        <v>147</v>
      </c>
      <c r="Y5306" s="2">
        <v>36.5</v>
      </c>
      <c r="Z5306" s="2">
        <v>0</v>
      </c>
      <c r="AA5306" s="2" t="s">
        <v>218</v>
      </c>
      <c r="AB5306" s="2" t="s">
        <v>11203</v>
      </c>
      <c r="AC5306" s="2">
        <v>-4.4314234061665498</v>
      </c>
      <c r="AD5306" s="2"/>
      <c r="AE5306" s="2">
        <v>3.8727685813999199E-2</v>
      </c>
      <c r="AF5306" s="2">
        <v>1112.4920045730801</v>
      </c>
      <c r="AG5306" s="2">
        <v>1490.66401715351</v>
      </c>
      <c r="AH5306" s="4">
        <v>0.74630633849834804</v>
      </c>
      <c r="AI5306" s="4">
        <v>-0.42216015567343801</v>
      </c>
      <c r="AJ5306" s="4" t="s">
        <v>62</v>
      </c>
      <c r="AK5306" s="2">
        <v>0.40761229458472698</v>
      </c>
      <c r="AL5306" s="2">
        <v>0.67353025130796695</v>
      </c>
      <c r="AM5306" s="2">
        <v>2475.6479192983602</v>
      </c>
      <c r="AN5306" s="2">
        <v>500.341338484022</v>
      </c>
      <c r="AO5306" s="2">
        <v>1730.45683074469</v>
      </c>
      <c r="AP5306" s="2">
        <v>8.559877937157E-6</v>
      </c>
      <c r="AQ5306" s="2">
        <v>597.00752642046996</v>
      </c>
      <c r="AR5306" s="2">
        <v>1371.49840393104</v>
      </c>
      <c r="AS5306" s="2">
        <v>1895.76182475071</v>
      </c>
      <c r="AT5306" s="2">
        <v>1289.3671033578801</v>
      </c>
      <c r="AU5306" s="2">
        <v>2196.2392846671601</v>
      </c>
      <c r="AV5306" s="2">
        <v>1259.97817601211</v>
      </c>
      <c r="AW5306" s="2">
        <v>1685.42788606915</v>
      </c>
      <c r="AX5306" s="2">
        <v>617.20982806405902</v>
      </c>
    </row>
    <row r="5307" spans="1:50" x14ac:dyDescent="0.25">
      <c r="A5307" s="2" t="s">
        <v>34688</v>
      </c>
      <c r="B5307" s="2">
        <v>309.168589462368</v>
      </c>
      <c r="C5307" s="2">
        <v>10.3496666666667</v>
      </c>
      <c r="D5307" s="2" t="s">
        <v>51</v>
      </c>
      <c r="E5307" s="2" t="s">
        <v>34689</v>
      </c>
      <c r="F5307" s="2">
        <v>207258</v>
      </c>
      <c r="G5307" s="3" t="str">
        <f>HYPERLINK("https://cloud.oebiotech.com/#/lm/network/207258", "https://cloud.oebiotech.com/#/lm/network/207258")</f>
        <v>https://cloud.oebiotech.com/#/lm/network/207258</v>
      </c>
      <c r="H5307" s="2" t="s">
        <v>34690</v>
      </c>
      <c r="I5307" s="2"/>
      <c r="J5307" s="2"/>
      <c r="K5307" s="2">
        <v>21525054</v>
      </c>
      <c r="L5307" s="2"/>
      <c r="M5307" s="2"/>
      <c r="N5307" s="2"/>
      <c r="O5307" s="2"/>
      <c r="P5307" s="2"/>
      <c r="Q5307" s="2"/>
      <c r="R5307" s="2"/>
      <c r="S5307" s="2" t="s">
        <v>34691</v>
      </c>
      <c r="T5307" s="2" t="s">
        <v>34692</v>
      </c>
      <c r="U5307" s="2" t="s">
        <v>103</v>
      </c>
      <c r="V5307" s="2" t="s">
        <v>104</v>
      </c>
      <c r="W5307" s="2" t="s">
        <v>105</v>
      </c>
      <c r="X5307" s="2" t="s">
        <v>147</v>
      </c>
      <c r="Y5307" s="2">
        <v>38.299999999999997</v>
      </c>
      <c r="Z5307" s="2">
        <v>0</v>
      </c>
      <c r="AA5307" s="2" t="s">
        <v>379</v>
      </c>
      <c r="AB5307" s="2" t="s">
        <v>34693</v>
      </c>
      <c r="AC5307" s="2">
        <v>1.60672851244412</v>
      </c>
      <c r="AD5307" s="2"/>
      <c r="AE5307" s="2">
        <v>3.8592530406256799E-2</v>
      </c>
      <c r="AF5307" s="2">
        <v>2809.63373644997</v>
      </c>
      <c r="AG5307" s="2">
        <v>2908.2418891248799</v>
      </c>
      <c r="AH5307" s="4">
        <v>0.96609355190032598</v>
      </c>
      <c r="AI5307" s="4">
        <v>-4.97651953421719E-2</v>
      </c>
      <c r="AJ5307" s="4" t="s">
        <v>62</v>
      </c>
      <c r="AK5307" s="2">
        <v>0.87722568878599605</v>
      </c>
      <c r="AL5307" s="2">
        <v>0.94752328784861595</v>
      </c>
      <c r="AM5307" s="2">
        <v>2527.5031110140999</v>
      </c>
      <c r="AN5307" s="2">
        <v>1658.5236619238401</v>
      </c>
      <c r="AO5307" s="2">
        <v>2473.4089934229501</v>
      </c>
      <c r="AP5307" s="2">
        <v>2594.59564090709</v>
      </c>
      <c r="AQ5307" s="2">
        <v>3848.3648753637399</v>
      </c>
      <c r="AR5307" s="2">
        <v>3755.4061360680798</v>
      </c>
      <c r="AS5307" s="2">
        <v>3147.56628454265</v>
      </c>
      <c r="AT5307" s="2">
        <v>3584.2300410770699</v>
      </c>
      <c r="AU5307" s="2">
        <v>1529.3270718639101</v>
      </c>
      <c r="AV5307" s="2">
        <v>2093.6978741333901</v>
      </c>
      <c r="AW5307" s="2">
        <v>4992.93455081092</v>
      </c>
      <c r="AX5307" s="2">
        <v>2101.6955123213202</v>
      </c>
    </row>
    <row r="5308" spans="1:50" x14ac:dyDescent="0.25">
      <c r="A5308" s="2" t="s">
        <v>34694</v>
      </c>
      <c r="B5308" s="2">
        <v>393.25199932665902</v>
      </c>
      <c r="C5308" s="2">
        <v>4.9131833333333299</v>
      </c>
      <c r="D5308" s="2" t="s">
        <v>51</v>
      </c>
      <c r="E5308" s="2" t="s">
        <v>34695</v>
      </c>
      <c r="F5308" s="2">
        <v>263154</v>
      </c>
      <c r="G5308" s="3" t="str">
        <f>HYPERLINK("https://cloud.oebiotech.com/#/lm/network/263154", "https://cloud.oebiotech.com/#/lm/network/263154")</f>
        <v>https://cloud.oebiotech.com/#/lm/network/263154</v>
      </c>
      <c r="H5308" s="2"/>
      <c r="I5308" s="2">
        <v>20555</v>
      </c>
      <c r="J5308" s="2"/>
      <c r="K5308" s="2">
        <v>25183214</v>
      </c>
      <c r="L5308" s="2"/>
      <c r="M5308" s="2"/>
      <c r="N5308" s="2"/>
      <c r="O5308" s="2"/>
      <c r="P5308" s="2"/>
      <c r="Q5308" s="2"/>
      <c r="R5308" s="2"/>
      <c r="S5308" s="2" t="s">
        <v>34696</v>
      </c>
      <c r="T5308" s="2" t="s">
        <v>34697</v>
      </c>
      <c r="U5308" s="2" t="s">
        <v>103</v>
      </c>
      <c r="V5308" s="2" t="s">
        <v>104</v>
      </c>
      <c r="W5308" s="2" t="s">
        <v>105</v>
      </c>
      <c r="X5308" s="2" t="s">
        <v>83</v>
      </c>
      <c r="Y5308" s="2">
        <v>53.4</v>
      </c>
      <c r="Z5308" s="2">
        <v>0</v>
      </c>
      <c r="AA5308" s="2" t="s">
        <v>512</v>
      </c>
      <c r="AB5308" s="2" t="s">
        <v>34698</v>
      </c>
      <c r="AC5308" s="2">
        <v>6.3093663649682004</v>
      </c>
      <c r="AD5308" s="2"/>
      <c r="AE5308" s="2">
        <v>3.8525382882953402E-2</v>
      </c>
      <c r="AF5308" s="2">
        <v>1894.54553509879</v>
      </c>
      <c r="AG5308" s="2">
        <v>1587.16280188527</v>
      </c>
      <c r="AH5308" s="5">
        <v>1.19366805525457</v>
      </c>
      <c r="AI5308" s="5">
        <v>0.25540169621797199</v>
      </c>
      <c r="AJ5308" s="5" t="s">
        <v>139</v>
      </c>
      <c r="AK5308" s="2">
        <v>0.79796585284908494</v>
      </c>
      <c r="AL5308" s="2">
        <v>0.90954932814260703</v>
      </c>
      <c r="AM5308" s="2">
        <v>156.89916967152899</v>
      </c>
      <c r="AN5308" s="2">
        <v>316.71167029526401</v>
      </c>
      <c r="AO5308" s="2">
        <v>7203.5383719191004</v>
      </c>
      <c r="AP5308" s="2">
        <v>1531.9999602343601</v>
      </c>
      <c r="AQ5308" s="2">
        <v>1468.36747948568</v>
      </c>
      <c r="AR5308" s="2">
        <v>689.75655898679702</v>
      </c>
      <c r="AS5308" s="2">
        <v>60.740110473533001</v>
      </c>
      <c r="AT5308" s="2">
        <v>2707.0352903733601</v>
      </c>
      <c r="AU5308" s="2">
        <v>680.43374799407798</v>
      </c>
      <c r="AV5308" s="2">
        <v>1481.7879599067101</v>
      </c>
      <c r="AW5308" s="2">
        <v>2042.7868936857401</v>
      </c>
      <c r="AX5308" s="2">
        <v>2550.1928088782101</v>
      </c>
    </row>
    <row r="5309" spans="1:50" x14ac:dyDescent="0.25">
      <c r="A5309" s="2" t="s">
        <v>34699</v>
      </c>
      <c r="B5309" s="2">
        <v>348.290949716542</v>
      </c>
      <c r="C5309" s="2">
        <v>11.472666666666701</v>
      </c>
      <c r="D5309" s="2" t="s">
        <v>51</v>
      </c>
      <c r="E5309" s="2" t="s">
        <v>34700</v>
      </c>
      <c r="F5309" s="2">
        <v>9072</v>
      </c>
      <c r="G5309" s="3" t="str">
        <f>HYPERLINK("https://cloud.oebiotech.com/#/lm/network/9072", "https://cloud.oebiotech.com/#/lm/network/9072")</f>
        <v>https://cloud.oebiotech.com/#/lm/network/9072</v>
      </c>
      <c r="H5309" s="2"/>
      <c r="I5309" s="2"/>
      <c r="J5309" s="2" t="s">
        <v>34701</v>
      </c>
      <c r="K5309" s="2"/>
      <c r="L5309" s="2"/>
      <c r="M5309" s="2"/>
      <c r="N5309" s="2"/>
      <c r="O5309" s="2"/>
      <c r="P5309" s="2"/>
      <c r="Q5309" s="2"/>
      <c r="R5309" s="2"/>
      <c r="S5309" s="2" t="s">
        <v>34702</v>
      </c>
      <c r="T5309" s="2" t="s">
        <v>34703</v>
      </c>
      <c r="U5309" s="2" t="s">
        <v>119</v>
      </c>
      <c r="V5309" s="2" t="s">
        <v>120</v>
      </c>
      <c r="W5309" s="2" t="s">
        <v>1887</v>
      </c>
      <c r="X5309" s="2" t="s">
        <v>83</v>
      </c>
      <c r="Y5309" s="2">
        <v>42.6</v>
      </c>
      <c r="Z5309" s="2">
        <v>0</v>
      </c>
      <c r="AA5309" s="2" t="s">
        <v>259</v>
      </c>
      <c r="AB5309" s="2" t="s">
        <v>34704</v>
      </c>
      <c r="AC5309" s="2">
        <v>3.5816785608596602</v>
      </c>
      <c r="AD5309" s="2"/>
      <c r="AE5309" s="2">
        <v>3.8455079571991499E-2</v>
      </c>
      <c r="AF5309" s="2">
        <v>1939.9374884576</v>
      </c>
      <c r="AG5309" s="2">
        <v>2095.6861726082602</v>
      </c>
      <c r="AH5309" s="4">
        <v>0.92568129418117195</v>
      </c>
      <c r="AI5309" s="4">
        <v>-0.111412526075126</v>
      </c>
      <c r="AJ5309" s="4" t="s">
        <v>62</v>
      </c>
      <c r="AK5309" s="2">
        <v>0.77358182142667498</v>
      </c>
      <c r="AL5309" s="2">
        <v>0.89877794008026801</v>
      </c>
      <c r="AM5309" s="2">
        <v>1637.80826121218</v>
      </c>
      <c r="AN5309" s="2">
        <v>1982.69652565768</v>
      </c>
      <c r="AO5309" s="2">
        <v>2234.2075678620899</v>
      </c>
      <c r="AP5309" s="2">
        <v>1513.20544714789</v>
      </c>
      <c r="AQ5309" s="2">
        <v>2923.6282793821001</v>
      </c>
      <c r="AR5309" s="2">
        <v>1348.07884948366</v>
      </c>
      <c r="AS5309" s="2">
        <v>1213.2915022357299</v>
      </c>
      <c r="AT5309" s="2">
        <v>558.28214354164902</v>
      </c>
      <c r="AU5309" s="2">
        <v>2952.7011414183698</v>
      </c>
      <c r="AV5309" s="2">
        <v>2129.9991183308798</v>
      </c>
      <c r="AW5309" s="2">
        <v>3755.0751130993099</v>
      </c>
      <c r="AX5309" s="2">
        <v>1964.7680170236199</v>
      </c>
    </row>
    <row r="5310" spans="1:50" x14ac:dyDescent="0.25">
      <c r="A5310" s="2" t="s">
        <v>34705</v>
      </c>
      <c r="B5310" s="2">
        <v>349.23787253394403</v>
      </c>
      <c r="C5310" s="2">
        <v>10.691333333333301</v>
      </c>
      <c r="D5310" s="2" t="s">
        <v>51</v>
      </c>
      <c r="E5310" s="2" t="s">
        <v>34706</v>
      </c>
      <c r="F5310" s="2">
        <v>6364</v>
      </c>
      <c r="G5310" s="3" t="str">
        <f>HYPERLINK("https://cloud.oebiotech.com/#/lm/network/6364", "https://cloud.oebiotech.com/#/lm/network/6364")</f>
        <v>https://cloud.oebiotech.com/#/lm/network/6364</v>
      </c>
      <c r="H5310" s="2" t="s">
        <v>34707</v>
      </c>
      <c r="I5310" s="2">
        <v>43513</v>
      </c>
      <c r="J5310" s="2" t="s">
        <v>34708</v>
      </c>
      <c r="K5310" s="2">
        <v>3952079</v>
      </c>
      <c r="L5310" s="2"/>
      <c r="M5310" s="2"/>
      <c r="N5310" s="2"/>
      <c r="O5310" s="2">
        <v>920054</v>
      </c>
      <c r="P5310" s="2"/>
      <c r="Q5310" s="2"/>
      <c r="R5310" s="2" t="s">
        <v>34709</v>
      </c>
      <c r="S5310" s="2" t="s">
        <v>34710</v>
      </c>
      <c r="T5310" s="2" t="s">
        <v>34711</v>
      </c>
      <c r="U5310" s="2" t="s">
        <v>56</v>
      </c>
      <c r="V5310" s="2" t="s">
        <v>145</v>
      </c>
      <c r="W5310" s="2" t="s">
        <v>146</v>
      </c>
      <c r="X5310" s="2" t="s">
        <v>83</v>
      </c>
      <c r="Y5310" s="2">
        <v>48</v>
      </c>
      <c r="Z5310" s="2">
        <v>0</v>
      </c>
      <c r="AA5310" s="2" t="s">
        <v>95</v>
      </c>
      <c r="AB5310" s="2" t="s">
        <v>28680</v>
      </c>
      <c r="AC5310" s="2">
        <v>9.0186176800803395</v>
      </c>
      <c r="AD5310" s="2"/>
      <c r="AE5310" s="2">
        <v>3.8442475802335799E-2</v>
      </c>
      <c r="AF5310" s="2">
        <v>3645.09852067781</v>
      </c>
      <c r="AG5310" s="2">
        <v>3323.9736053312099</v>
      </c>
      <c r="AH5310" s="5">
        <v>1.0966087440741299</v>
      </c>
      <c r="AI5310" s="5">
        <v>0.13304888246984101</v>
      </c>
      <c r="AJ5310" s="5" t="s">
        <v>139</v>
      </c>
      <c r="AK5310" s="2">
        <v>0.73805441380051395</v>
      </c>
      <c r="AL5310" s="2">
        <v>0.87988535235615495</v>
      </c>
      <c r="AM5310" s="2">
        <v>2975.46060979296</v>
      </c>
      <c r="AN5310" s="2">
        <v>5643.8887644596398</v>
      </c>
      <c r="AO5310" s="2">
        <v>3944.3985337409899</v>
      </c>
      <c r="AP5310" s="2">
        <v>4070.3472394250398</v>
      </c>
      <c r="AQ5310" s="2">
        <v>2010.0936299283501</v>
      </c>
      <c r="AR5310" s="2">
        <v>3226.4023467198699</v>
      </c>
      <c r="AS5310" s="2">
        <v>4269.8089696173702</v>
      </c>
      <c r="AT5310" s="2">
        <v>3275.0921461630201</v>
      </c>
      <c r="AU5310" s="2">
        <v>1747.3518774930999</v>
      </c>
      <c r="AV5310" s="2">
        <v>1126.8948790819099</v>
      </c>
      <c r="AW5310" s="2">
        <v>2994.5604086151802</v>
      </c>
      <c r="AX5310" s="2">
        <v>6530.1333510167096</v>
      </c>
    </row>
    <row r="5311" spans="1:50" x14ac:dyDescent="0.25">
      <c r="A5311" s="2" t="s">
        <v>34712</v>
      </c>
      <c r="B5311" s="2">
        <v>299.25887486639698</v>
      </c>
      <c r="C5311" s="2">
        <v>11.859116666666701</v>
      </c>
      <c r="D5311" s="2" t="s">
        <v>51</v>
      </c>
      <c r="E5311" s="2" t="s">
        <v>34713</v>
      </c>
      <c r="F5311" s="2">
        <v>3213</v>
      </c>
      <c r="G5311" s="3" t="str">
        <f>HYPERLINK("https://cloud.oebiotech.com/#/lm/network/3213", "https://cloud.oebiotech.com/#/lm/network/3213")</f>
        <v>https://cloud.oebiotech.com/#/lm/network/3213</v>
      </c>
      <c r="H5311" s="2"/>
      <c r="I5311" s="2">
        <v>74754</v>
      </c>
      <c r="J5311" s="2" t="s">
        <v>34714</v>
      </c>
      <c r="K5311" s="2">
        <v>5312907</v>
      </c>
      <c r="L5311" s="2"/>
      <c r="M5311" s="2"/>
      <c r="N5311" s="2"/>
      <c r="O5311" s="2"/>
      <c r="P5311" s="2"/>
      <c r="Q5311" s="2"/>
      <c r="R5311" s="2"/>
      <c r="S5311" s="2" t="s">
        <v>34715</v>
      </c>
      <c r="T5311" s="2" t="s">
        <v>34716</v>
      </c>
      <c r="U5311" s="2" t="s">
        <v>56</v>
      </c>
      <c r="V5311" s="2" t="s">
        <v>145</v>
      </c>
      <c r="W5311" s="2" t="s">
        <v>231</v>
      </c>
      <c r="X5311" s="2" t="s">
        <v>83</v>
      </c>
      <c r="Y5311" s="2">
        <v>57.1</v>
      </c>
      <c r="Z5311" s="2">
        <v>0</v>
      </c>
      <c r="AA5311" s="2" t="s">
        <v>259</v>
      </c>
      <c r="AB5311" s="2" t="s">
        <v>8747</v>
      </c>
      <c r="AC5311" s="2">
        <v>2.6939922721194001</v>
      </c>
      <c r="AD5311" s="2"/>
      <c r="AE5311" s="2">
        <v>3.8424981542830097E-2</v>
      </c>
      <c r="AF5311" s="2">
        <v>7644.3035859496304</v>
      </c>
      <c r="AG5311" s="2">
        <v>7053.9188072086699</v>
      </c>
      <c r="AH5311" s="5">
        <v>1.08369599861819</v>
      </c>
      <c r="AI5311" s="5">
        <v>0.11596010466574801</v>
      </c>
      <c r="AJ5311" s="5" t="s">
        <v>139</v>
      </c>
      <c r="AK5311" s="2">
        <v>0.658360076218242</v>
      </c>
      <c r="AL5311" s="2">
        <v>0.83394149189411104</v>
      </c>
      <c r="AM5311" s="2">
        <v>6486.6705115963596</v>
      </c>
      <c r="AN5311" s="2">
        <v>8252.6747310619903</v>
      </c>
      <c r="AO5311" s="2">
        <v>5136.38866198708</v>
      </c>
      <c r="AP5311" s="2">
        <v>9452.6473443837403</v>
      </c>
      <c r="AQ5311" s="2">
        <v>9764.9818737825499</v>
      </c>
      <c r="AR5311" s="2">
        <v>6772.4583928860802</v>
      </c>
      <c r="AS5311" s="2">
        <v>6081.858810148</v>
      </c>
      <c r="AT5311" s="2">
        <v>9307.1900944941099</v>
      </c>
      <c r="AU5311" s="2">
        <v>3412.8614660745802</v>
      </c>
      <c r="AV5311" s="2">
        <v>4932.1689272705898</v>
      </c>
      <c r="AW5311" s="2">
        <v>9227.3592066679103</v>
      </c>
      <c r="AX5311" s="2">
        <v>9362.0743385968508</v>
      </c>
    </row>
    <row r="5312" spans="1:50" x14ac:dyDescent="0.25">
      <c r="A5312" s="2" t="s">
        <v>34717</v>
      </c>
      <c r="B5312" s="2">
        <v>367.10084389182998</v>
      </c>
      <c r="C5312" s="2">
        <v>4.9007166666666704</v>
      </c>
      <c r="D5312" s="2" t="s">
        <v>51</v>
      </c>
      <c r="E5312" s="2" t="s">
        <v>34718</v>
      </c>
      <c r="F5312" s="2">
        <v>197129</v>
      </c>
      <c r="G5312" s="3" t="str">
        <f>HYPERLINK("https://cloud.oebiotech.com/#/lm/network/197129", "https://cloud.oebiotech.com/#/lm/network/197129")</f>
        <v>https://cloud.oebiotech.com/#/lm/network/197129</v>
      </c>
      <c r="H5312" s="2" t="s">
        <v>34719</v>
      </c>
      <c r="I5312" s="2"/>
      <c r="J5312" s="2"/>
      <c r="K5312" s="2">
        <v>132472300</v>
      </c>
      <c r="L5312" s="2"/>
      <c r="M5312" s="2"/>
      <c r="N5312" s="2"/>
      <c r="O5312" s="2">
        <v>88746</v>
      </c>
      <c r="P5312" s="2"/>
      <c r="Q5312" s="2"/>
      <c r="R5312" s="2"/>
      <c r="S5312" s="2" t="s">
        <v>34720</v>
      </c>
      <c r="T5312" s="2" t="s">
        <v>34721</v>
      </c>
      <c r="U5312" s="2" t="s">
        <v>331</v>
      </c>
      <c r="V5312" s="2" t="s">
        <v>332</v>
      </c>
      <c r="W5312" s="2" t="s">
        <v>333</v>
      </c>
      <c r="X5312" s="2" t="s">
        <v>83</v>
      </c>
      <c r="Y5312" s="2">
        <v>39.9</v>
      </c>
      <c r="Z5312" s="2">
        <v>0</v>
      </c>
      <c r="AA5312" s="2" t="s">
        <v>163</v>
      </c>
      <c r="AB5312" s="2" t="s">
        <v>34722</v>
      </c>
      <c r="AC5312" s="2">
        <v>-7.0954019574222302</v>
      </c>
      <c r="AD5312" s="2"/>
      <c r="AE5312" s="2">
        <v>3.8411510057305101E-2</v>
      </c>
      <c r="AF5312" s="2">
        <v>588.59834653743201</v>
      </c>
      <c r="AG5312" s="2">
        <v>514.36838926685004</v>
      </c>
      <c r="AH5312" s="5">
        <v>1.1443128287420301</v>
      </c>
      <c r="AI5312" s="5">
        <v>0.19448150559479399</v>
      </c>
      <c r="AJ5312" s="5" t="s">
        <v>139</v>
      </c>
      <c r="AK5312" s="2">
        <v>0.77333165994359399</v>
      </c>
      <c r="AL5312" s="2">
        <v>0.89866315621161097</v>
      </c>
      <c r="AM5312" s="2">
        <v>1081.33814796502</v>
      </c>
      <c r="AN5312" s="2">
        <v>422.36770114966902</v>
      </c>
      <c r="AO5312" s="2">
        <v>1036.6466349386101</v>
      </c>
      <c r="AP5312" s="2">
        <v>991.23757805153605</v>
      </c>
      <c r="AQ5312" s="2">
        <v>8.559877937157E-6</v>
      </c>
      <c r="AR5312" s="2">
        <v>8.559877937157E-6</v>
      </c>
      <c r="AS5312" s="2">
        <v>886.17084863190303</v>
      </c>
      <c r="AT5312" s="2">
        <v>849.349142174024</v>
      </c>
      <c r="AU5312" s="2">
        <v>551.56953018521006</v>
      </c>
      <c r="AV5312" s="2">
        <v>8.559877937157E-6</v>
      </c>
      <c r="AW5312" s="2">
        <v>303.371632521685</v>
      </c>
      <c r="AX5312" s="2">
        <v>495.74917352840299</v>
      </c>
    </row>
    <row r="5313" spans="1:50" x14ac:dyDescent="0.25">
      <c r="A5313" s="2" t="s">
        <v>34723</v>
      </c>
      <c r="B5313" s="2">
        <v>312.05892601211201</v>
      </c>
      <c r="C5313" s="2">
        <v>0.75693333333333301</v>
      </c>
      <c r="D5313" s="2" t="s">
        <v>51</v>
      </c>
      <c r="E5313" s="2" t="s">
        <v>34724</v>
      </c>
      <c r="F5313" s="2">
        <v>47567</v>
      </c>
      <c r="G5313" s="3" t="str">
        <f>HYPERLINK("https://cloud.oebiotech.com/#/lm/network/47567", "https://cloud.oebiotech.com/#/lm/network/47567")</f>
        <v>https://cloud.oebiotech.com/#/lm/network/47567</v>
      </c>
      <c r="H5313" s="2" t="s">
        <v>34725</v>
      </c>
      <c r="I5313" s="2"/>
      <c r="J5313" s="2"/>
      <c r="K5313" s="2">
        <v>135532281</v>
      </c>
      <c r="L5313" s="2" t="s">
        <v>34726</v>
      </c>
      <c r="M5313" s="2"/>
      <c r="N5313" s="2"/>
      <c r="O5313" s="2"/>
      <c r="P5313" s="2"/>
      <c r="Q5313" s="2"/>
      <c r="R5313" s="2"/>
      <c r="S5313" s="2" t="s">
        <v>34727</v>
      </c>
      <c r="T5313" s="2" t="s">
        <v>34728</v>
      </c>
      <c r="U5313" s="2" t="s">
        <v>266</v>
      </c>
      <c r="V5313" s="2" t="s">
        <v>13201</v>
      </c>
      <c r="W5313" s="2" t="s">
        <v>13202</v>
      </c>
      <c r="X5313" s="2" t="s">
        <v>147</v>
      </c>
      <c r="Y5313" s="2">
        <v>37.299999999999997</v>
      </c>
      <c r="Z5313" s="2">
        <v>0</v>
      </c>
      <c r="AA5313" s="2" t="s">
        <v>218</v>
      </c>
      <c r="AB5313" s="2" t="s">
        <v>34729</v>
      </c>
      <c r="AC5313" s="2">
        <v>1.32828275480943</v>
      </c>
      <c r="AD5313" s="2"/>
      <c r="AE5313" s="2">
        <v>3.82628149385979E-2</v>
      </c>
      <c r="AF5313" s="2">
        <v>2019.48255009594</v>
      </c>
      <c r="AG5313" s="2">
        <v>1942.6146009327299</v>
      </c>
      <c r="AH5313" s="5">
        <v>1.03956932534446</v>
      </c>
      <c r="AI5313" s="5">
        <v>5.59859698324046E-2</v>
      </c>
      <c r="AJ5313" s="5" t="s">
        <v>139</v>
      </c>
      <c r="AK5313" s="2">
        <v>0.91979670779322797</v>
      </c>
      <c r="AL5313" s="2">
        <v>0.96547519393645298</v>
      </c>
      <c r="AM5313" s="2">
        <v>1144.8577364584901</v>
      </c>
      <c r="AN5313" s="2">
        <v>8.559877937157E-6</v>
      </c>
      <c r="AO5313" s="2">
        <v>961.96238435755504</v>
      </c>
      <c r="AP5313" s="2">
        <v>3993.9466667637998</v>
      </c>
      <c r="AQ5313" s="2">
        <v>4264.7544869183503</v>
      </c>
      <c r="AR5313" s="2">
        <v>1751.3740175175899</v>
      </c>
      <c r="AS5313" s="2">
        <v>2922.6390039123798</v>
      </c>
      <c r="AT5313" s="2">
        <v>1865.5401946658999</v>
      </c>
      <c r="AU5313" s="2">
        <v>1295.7820149869999</v>
      </c>
      <c r="AV5313" s="2">
        <v>1464.4356481654299</v>
      </c>
      <c r="AW5313" s="2">
        <v>2132.7924220271302</v>
      </c>
      <c r="AX5313" s="2">
        <v>1974.4983218385601</v>
      </c>
    </row>
    <row r="5314" spans="1:50" x14ac:dyDescent="0.25">
      <c r="A5314" s="2" t="s">
        <v>34730</v>
      </c>
      <c r="B5314" s="2">
        <v>172.03954104528199</v>
      </c>
      <c r="C5314" s="2">
        <v>4.2211666666666696</v>
      </c>
      <c r="D5314" s="2" t="s">
        <v>51</v>
      </c>
      <c r="E5314" s="2" t="s">
        <v>34731</v>
      </c>
      <c r="F5314" s="2">
        <v>47253</v>
      </c>
      <c r="G5314" s="3" t="str">
        <f>HYPERLINK("https://cloud.oebiotech.com/#/lm/network/47253", "https://cloud.oebiotech.com/#/lm/network/47253")</f>
        <v>https://cloud.oebiotech.com/#/lm/network/47253</v>
      </c>
      <c r="H5314" s="2" t="s">
        <v>34732</v>
      </c>
      <c r="I5314" s="2">
        <v>5805</v>
      </c>
      <c r="J5314" s="2"/>
      <c r="K5314" s="2">
        <v>7124</v>
      </c>
      <c r="L5314" s="2" t="s">
        <v>34733</v>
      </c>
      <c r="M5314" s="2"/>
      <c r="N5314" s="2"/>
      <c r="O5314" s="2">
        <v>18386</v>
      </c>
      <c r="P5314" s="2"/>
      <c r="Q5314" s="2"/>
      <c r="R5314" s="2" t="s">
        <v>34734</v>
      </c>
      <c r="S5314" s="2" t="s">
        <v>34735</v>
      </c>
      <c r="T5314" s="2" t="s">
        <v>34736</v>
      </c>
      <c r="U5314" s="2" t="s">
        <v>266</v>
      </c>
      <c r="V5314" s="2" t="s">
        <v>1393</v>
      </c>
      <c r="W5314" s="2" t="s">
        <v>1643</v>
      </c>
      <c r="X5314" s="2" t="s">
        <v>83</v>
      </c>
      <c r="Y5314" s="2">
        <v>45.7</v>
      </c>
      <c r="Z5314" s="2">
        <v>32</v>
      </c>
      <c r="AA5314" s="2" t="s">
        <v>163</v>
      </c>
      <c r="AB5314" s="2" t="s">
        <v>34737</v>
      </c>
      <c r="AC5314" s="2">
        <v>-4.9754561018794901</v>
      </c>
      <c r="AD5314" s="2"/>
      <c r="AE5314" s="2">
        <v>3.8107993923897202E-2</v>
      </c>
      <c r="AF5314" s="2">
        <v>1404.87712394819</v>
      </c>
      <c r="AG5314" s="2">
        <v>2335.6213413661599</v>
      </c>
      <c r="AH5314" s="4">
        <v>0.60150037982032101</v>
      </c>
      <c r="AI5314" s="4">
        <v>-0.73336244648896898</v>
      </c>
      <c r="AJ5314" s="4" t="s">
        <v>62</v>
      </c>
      <c r="AK5314" s="2">
        <v>0.55291717483041902</v>
      </c>
      <c r="AL5314" s="2">
        <v>0.77329905854890102</v>
      </c>
      <c r="AM5314" s="2">
        <v>2209.9765576242899</v>
      </c>
      <c r="AN5314" s="2">
        <v>991.07809557084295</v>
      </c>
      <c r="AO5314" s="2">
        <v>639.01373188551895</v>
      </c>
      <c r="AP5314" s="2">
        <v>1941.6518211155401</v>
      </c>
      <c r="AQ5314" s="2">
        <v>2153.1602785821301</v>
      </c>
      <c r="AR5314" s="2">
        <v>494.38225891083198</v>
      </c>
      <c r="AS5314" s="2">
        <v>408.76327762034703</v>
      </c>
      <c r="AT5314" s="2">
        <v>9383.2552684277107</v>
      </c>
      <c r="AU5314" s="2">
        <v>3155.1378885210702</v>
      </c>
      <c r="AV5314" s="2">
        <v>375.25580875954802</v>
      </c>
      <c r="AW5314" s="2">
        <v>216.879039896873</v>
      </c>
      <c r="AX5314" s="2">
        <v>474.43676497140399</v>
      </c>
    </row>
    <row r="5315" spans="1:50" x14ac:dyDescent="0.25">
      <c r="A5315" s="2" t="s">
        <v>34738</v>
      </c>
      <c r="B5315" s="2">
        <v>255.19631356753999</v>
      </c>
      <c r="C5315" s="2">
        <v>9.4228166666666695</v>
      </c>
      <c r="D5315" s="2" t="s">
        <v>51</v>
      </c>
      <c r="E5315" s="2" t="s">
        <v>34739</v>
      </c>
      <c r="F5315" s="2">
        <v>10503</v>
      </c>
      <c r="G5315" s="3" t="str">
        <f>HYPERLINK("https://cloud.oebiotech.com/#/lm/network/10503", "https://cloud.oebiotech.com/#/lm/network/10503")</f>
        <v>https://cloud.oebiotech.com/#/lm/network/10503</v>
      </c>
      <c r="H5315" s="2"/>
      <c r="I5315" s="2"/>
      <c r="J5315" s="2" t="s">
        <v>34740</v>
      </c>
      <c r="K5315" s="2">
        <v>10777352</v>
      </c>
      <c r="L5315" s="2"/>
      <c r="M5315" s="2"/>
      <c r="N5315" s="2"/>
      <c r="O5315" s="2"/>
      <c r="P5315" s="2"/>
      <c r="Q5315" s="2"/>
      <c r="R5315" s="2"/>
      <c r="S5315" s="2" t="s">
        <v>34741</v>
      </c>
      <c r="T5315" s="2" t="s">
        <v>34742</v>
      </c>
      <c r="U5315" s="2" t="s">
        <v>56</v>
      </c>
      <c r="V5315" s="2" t="s">
        <v>3215</v>
      </c>
      <c r="W5315" s="2" t="s">
        <v>27374</v>
      </c>
      <c r="X5315" s="2" t="s">
        <v>83</v>
      </c>
      <c r="Y5315" s="2">
        <v>41.7</v>
      </c>
      <c r="Z5315" s="2">
        <v>0</v>
      </c>
      <c r="AA5315" s="2" t="s">
        <v>259</v>
      </c>
      <c r="AB5315" s="2" t="s">
        <v>34743</v>
      </c>
      <c r="AC5315" s="2">
        <v>3.3142492762228999</v>
      </c>
      <c r="AD5315" s="2"/>
      <c r="AE5315" s="2">
        <v>3.8063406192213801E-2</v>
      </c>
      <c r="AF5315" s="2">
        <v>3288.8139866932102</v>
      </c>
      <c r="AG5315" s="2">
        <v>3211.01132099201</v>
      </c>
      <c r="AH5315" s="5">
        <v>1.0242299568340201</v>
      </c>
      <c r="AI5315" s="5">
        <v>3.4539660981175398E-2</v>
      </c>
      <c r="AJ5315" s="5" t="s">
        <v>139</v>
      </c>
      <c r="AK5315" s="2">
        <v>0.69670044910709406</v>
      </c>
      <c r="AL5315" s="2">
        <v>0.85378616196188595</v>
      </c>
      <c r="AM5315" s="2">
        <v>3196.9906211244102</v>
      </c>
      <c r="AN5315" s="2">
        <v>3586.4534326890598</v>
      </c>
      <c r="AO5315" s="2">
        <v>3847.6475163325099</v>
      </c>
      <c r="AP5315" s="2">
        <v>3061.8409856696899</v>
      </c>
      <c r="AQ5315" s="2">
        <v>3098.4262682026501</v>
      </c>
      <c r="AR5315" s="2">
        <v>2941.5250961409401</v>
      </c>
      <c r="AS5315" s="2">
        <v>3263.09851020217</v>
      </c>
      <c r="AT5315" s="2">
        <v>3676.5831739595401</v>
      </c>
      <c r="AU5315" s="2">
        <v>2874.6727060770099</v>
      </c>
      <c r="AV5315" s="2">
        <v>3264.92601424451</v>
      </c>
      <c r="AW5315" s="2">
        <v>2822.04708910511</v>
      </c>
      <c r="AX5315" s="2">
        <v>3364.7404323637402</v>
      </c>
    </row>
    <row r="5316" spans="1:50" x14ac:dyDescent="0.25">
      <c r="A5316" s="2" t="s">
        <v>34744</v>
      </c>
      <c r="B5316" s="2">
        <v>439.37937437204499</v>
      </c>
      <c r="C5316" s="2">
        <v>13.036049999999999</v>
      </c>
      <c r="D5316" s="2" t="s">
        <v>51</v>
      </c>
      <c r="E5316" s="2" t="s">
        <v>34745</v>
      </c>
      <c r="F5316" s="2">
        <v>211274</v>
      </c>
      <c r="G5316" s="3" t="str">
        <f>HYPERLINK("https://cloud.oebiotech.com/#/lm/network/211274", "https://cloud.oebiotech.com/#/lm/network/211274")</f>
        <v>https://cloud.oebiotech.com/#/lm/network/211274</v>
      </c>
      <c r="H5316" s="2" t="s">
        <v>34746</v>
      </c>
      <c r="I5316" s="2"/>
      <c r="J5316" s="2"/>
      <c r="K5316" s="2">
        <v>22340974</v>
      </c>
      <c r="L5316" s="2"/>
      <c r="M5316" s="2"/>
      <c r="N5316" s="2"/>
      <c r="O5316" s="2"/>
      <c r="P5316" s="2"/>
      <c r="Q5316" s="2"/>
      <c r="R5316" s="2"/>
      <c r="S5316" s="2" t="s">
        <v>34747</v>
      </c>
      <c r="T5316" s="2" t="s">
        <v>34748</v>
      </c>
      <c r="U5316" s="2" t="s">
        <v>119</v>
      </c>
      <c r="V5316" s="2" t="s">
        <v>120</v>
      </c>
      <c r="W5316" s="2" t="s">
        <v>1887</v>
      </c>
      <c r="X5316" s="2" t="s">
        <v>147</v>
      </c>
      <c r="Y5316" s="2">
        <v>38.700000000000003</v>
      </c>
      <c r="Z5316" s="2">
        <v>0</v>
      </c>
      <c r="AA5316" s="2" t="s">
        <v>478</v>
      </c>
      <c r="AB5316" s="2" t="s">
        <v>34749</v>
      </c>
      <c r="AC5316" s="2">
        <v>-2.8310371873620102</v>
      </c>
      <c r="AD5316" s="2"/>
      <c r="AE5316" s="2">
        <v>3.8060584255580399E-2</v>
      </c>
      <c r="AF5316" s="2">
        <v>1604.94402416714</v>
      </c>
      <c r="AG5316" s="2">
        <v>1291.7482908309601</v>
      </c>
      <c r="AH5316" s="5">
        <v>1.2424587944565499</v>
      </c>
      <c r="AI5316" s="5">
        <v>0.31319800629947497</v>
      </c>
      <c r="AJ5316" s="5" t="s">
        <v>139</v>
      </c>
      <c r="AK5316" s="2">
        <v>0.51257595469960104</v>
      </c>
      <c r="AL5316" s="2">
        <v>0.74605624982876495</v>
      </c>
      <c r="AM5316" s="2">
        <v>338.48964537393903</v>
      </c>
      <c r="AN5316" s="2">
        <v>1806.9760965248499</v>
      </c>
      <c r="AO5316" s="2">
        <v>1746.26750041729</v>
      </c>
      <c r="AP5316" s="2">
        <v>3128.7613404858098</v>
      </c>
      <c r="AQ5316" s="2">
        <v>1348.60139507141</v>
      </c>
      <c r="AR5316" s="2">
        <v>1260.5681671295599</v>
      </c>
      <c r="AS5316" s="2">
        <v>170.86939586883</v>
      </c>
      <c r="AT5316" s="2">
        <v>1782.1829116876299</v>
      </c>
      <c r="AU5316" s="2">
        <v>1290.87137913172</v>
      </c>
      <c r="AV5316" s="2">
        <v>894.60621327447097</v>
      </c>
      <c r="AW5316" s="2">
        <v>1926.92318404248</v>
      </c>
      <c r="AX5316" s="2">
        <v>1685.0366609806299</v>
      </c>
    </row>
    <row r="5317" spans="1:50" x14ac:dyDescent="0.25">
      <c r="A5317" s="2" t="s">
        <v>34750</v>
      </c>
      <c r="B5317" s="2">
        <v>859.30948644034095</v>
      </c>
      <c r="C5317" s="2">
        <v>4.6271666666666702</v>
      </c>
      <c r="D5317" s="2" t="s">
        <v>51</v>
      </c>
      <c r="E5317" s="2" t="s">
        <v>34751</v>
      </c>
      <c r="F5317" s="2">
        <v>267558</v>
      </c>
      <c r="G5317" s="3" t="str">
        <f>HYPERLINK("https://cloud.oebiotech.com/#/lm/network/267558", "https://cloud.oebiotech.com/#/lm/network/267558")</f>
        <v>https://cloud.oebiotech.com/#/lm/network/267558</v>
      </c>
      <c r="H5317" s="2"/>
      <c r="I5317" s="2">
        <v>45699</v>
      </c>
      <c r="J5317" s="2"/>
      <c r="K5317" s="2">
        <v>71684407</v>
      </c>
      <c r="L5317" s="2"/>
      <c r="M5317" s="2"/>
      <c r="N5317" s="2"/>
      <c r="O5317" s="2"/>
      <c r="P5317" s="2"/>
      <c r="Q5317" s="2"/>
      <c r="R5317" s="2"/>
      <c r="S5317" s="2" t="s">
        <v>34752</v>
      </c>
      <c r="T5317" s="2" t="s">
        <v>34753</v>
      </c>
      <c r="U5317" s="2" t="s">
        <v>56</v>
      </c>
      <c r="V5317" s="2" t="s">
        <v>145</v>
      </c>
      <c r="W5317" s="2" t="s">
        <v>187</v>
      </c>
      <c r="X5317" s="2" t="s">
        <v>147</v>
      </c>
      <c r="Y5317" s="2">
        <v>36.9</v>
      </c>
      <c r="Z5317" s="2">
        <v>0</v>
      </c>
      <c r="AA5317" s="2" t="s">
        <v>667</v>
      </c>
      <c r="AB5317" s="2" t="s">
        <v>34754</v>
      </c>
      <c r="AC5317" s="2">
        <v>-4.5139982348901899</v>
      </c>
      <c r="AD5317" s="2"/>
      <c r="AE5317" s="2">
        <v>3.8034364045188999E-2</v>
      </c>
      <c r="AF5317" s="2">
        <v>7411.0859446393897</v>
      </c>
      <c r="AG5317" s="2">
        <v>6458.6109500952598</v>
      </c>
      <c r="AH5317" s="5">
        <v>1.14747365987885</v>
      </c>
      <c r="AI5317" s="5">
        <v>0.19846103712639099</v>
      </c>
      <c r="AJ5317" s="5" t="s">
        <v>139</v>
      </c>
      <c r="AK5317" s="2">
        <v>0.86070185489036799</v>
      </c>
      <c r="AL5317" s="2">
        <v>0.93968130056714105</v>
      </c>
      <c r="AM5317" s="2">
        <v>994.02365846511998</v>
      </c>
      <c r="AN5317" s="2">
        <v>839.74281875299403</v>
      </c>
      <c r="AO5317" s="2">
        <v>2319.7782263326399</v>
      </c>
      <c r="AP5317" s="2">
        <v>28785.985675378299</v>
      </c>
      <c r="AQ5317" s="2">
        <v>3272.8867394988902</v>
      </c>
      <c r="AR5317" s="2">
        <v>8254.0985494084198</v>
      </c>
      <c r="AS5317" s="2">
        <v>15640.8239906747</v>
      </c>
      <c r="AT5317" s="2">
        <v>14073.5411943564</v>
      </c>
      <c r="AU5317" s="2">
        <v>1263.7868717358399</v>
      </c>
      <c r="AV5317" s="2">
        <v>8.559877937157E-6</v>
      </c>
      <c r="AW5317" s="2">
        <v>8.559877937157E-6</v>
      </c>
      <c r="AX5317" s="2">
        <v>7773.5136266848604</v>
      </c>
    </row>
    <row r="5318" spans="1:50" x14ac:dyDescent="0.25">
      <c r="A5318" s="2" t="s">
        <v>34755</v>
      </c>
      <c r="B5318" s="2">
        <v>356.24398359966398</v>
      </c>
      <c r="C5318" s="2">
        <v>9.21756666666667</v>
      </c>
      <c r="D5318" s="2" t="s">
        <v>51</v>
      </c>
      <c r="E5318" s="2" t="s">
        <v>34756</v>
      </c>
      <c r="F5318" s="2">
        <v>52916</v>
      </c>
      <c r="G5318" s="3" t="str">
        <f>HYPERLINK("https://cloud.oebiotech.com/#/lm/network/52916", "https://cloud.oebiotech.com/#/lm/network/52916")</f>
        <v>https://cloud.oebiotech.com/#/lm/network/52916</v>
      </c>
      <c r="H5318" s="2" t="s">
        <v>34757</v>
      </c>
      <c r="I5318" s="2">
        <v>1010</v>
      </c>
      <c r="J5318" s="2"/>
      <c r="K5318" s="2">
        <v>28864</v>
      </c>
      <c r="L5318" s="2"/>
      <c r="M5318" s="2"/>
      <c r="N5318" s="2"/>
      <c r="O5318" s="2">
        <v>51164</v>
      </c>
      <c r="P5318" s="2"/>
      <c r="Q5318" s="2"/>
      <c r="R5318" s="2" t="s">
        <v>34758</v>
      </c>
      <c r="S5318" s="2" t="s">
        <v>34759</v>
      </c>
      <c r="T5318" s="2" t="s">
        <v>34760</v>
      </c>
      <c r="U5318" s="2" t="s">
        <v>266</v>
      </c>
      <c r="V5318" s="2" t="s">
        <v>1393</v>
      </c>
      <c r="W5318" s="2" t="s">
        <v>26213</v>
      </c>
      <c r="X5318" s="2" t="s">
        <v>147</v>
      </c>
      <c r="Y5318" s="2">
        <v>36.5</v>
      </c>
      <c r="Z5318" s="2">
        <v>0</v>
      </c>
      <c r="AA5318" s="2" t="s">
        <v>512</v>
      </c>
      <c r="AB5318" s="2" t="s">
        <v>34761</v>
      </c>
      <c r="AC5318" s="2">
        <v>-1.48843006343037</v>
      </c>
      <c r="AD5318" s="2"/>
      <c r="AE5318" s="2">
        <v>3.7991177428360001E-2</v>
      </c>
      <c r="AF5318" s="2">
        <v>2023.1148749696099</v>
      </c>
      <c r="AG5318" s="2">
        <v>2189.4833858499601</v>
      </c>
      <c r="AH5318" s="4">
        <v>0.92401471874344898</v>
      </c>
      <c r="AI5318" s="4">
        <v>-0.114012262197267</v>
      </c>
      <c r="AJ5318" s="4" t="s">
        <v>62</v>
      </c>
      <c r="AK5318" s="2">
        <v>0.52309803447160097</v>
      </c>
      <c r="AL5318" s="2">
        <v>0.753042437774049</v>
      </c>
      <c r="AM5318" s="2">
        <v>1441.51589711816</v>
      </c>
      <c r="AN5318" s="2">
        <v>2045.4204876669601</v>
      </c>
      <c r="AO5318" s="2">
        <v>2068.2614634192</v>
      </c>
      <c r="AP5318" s="2">
        <v>1704.8845697423601</v>
      </c>
      <c r="AQ5318" s="2">
        <v>2684.2268700056202</v>
      </c>
      <c r="AR5318" s="2">
        <v>2194.3799618653402</v>
      </c>
      <c r="AS5318" s="2">
        <v>2231.30935045553</v>
      </c>
      <c r="AT5318" s="2">
        <v>2778.0179154944499</v>
      </c>
      <c r="AU5318" s="2">
        <v>2598.5382176643402</v>
      </c>
      <c r="AV5318" s="2">
        <v>2101.6741510700399</v>
      </c>
      <c r="AW5318" s="2">
        <v>1790.70652875055</v>
      </c>
      <c r="AX5318" s="2">
        <v>1636.6541516648599</v>
      </c>
    </row>
    <row r="5319" spans="1:50" x14ac:dyDescent="0.25">
      <c r="A5319" s="2" t="s">
        <v>34762</v>
      </c>
      <c r="B5319" s="2">
        <v>805.41156629245097</v>
      </c>
      <c r="C5319" s="2">
        <v>4.8935333333333304</v>
      </c>
      <c r="D5319" s="2" t="s">
        <v>51</v>
      </c>
      <c r="E5319" s="2" t="s">
        <v>34763</v>
      </c>
      <c r="F5319" s="2">
        <v>61392</v>
      </c>
      <c r="G5319" s="3" t="str">
        <f>HYPERLINK("https://cloud.oebiotech.com/#/lm/network/61392", "https://cloud.oebiotech.com/#/lm/network/61392")</f>
        <v>https://cloud.oebiotech.com/#/lm/network/61392</v>
      </c>
      <c r="H5319" s="2" t="s">
        <v>34764</v>
      </c>
      <c r="I5319" s="2">
        <v>92713</v>
      </c>
      <c r="J5319" s="2"/>
      <c r="K5319" s="2">
        <v>131752252</v>
      </c>
      <c r="L5319" s="2"/>
      <c r="M5319" s="2"/>
      <c r="N5319" s="2"/>
      <c r="O5319" s="2"/>
      <c r="P5319" s="2"/>
      <c r="Q5319" s="2"/>
      <c r="R5319" s="2" t="s">
        <v>34765</v>
      </c>
      <c r="S5319" s="2" t="s">
        <v>34766</v>
      </c>
      <c r="T5319" s="2" t="s">
        <v>34767</v>
      </c>
      <c r="U5319" s="2" t="s">
        <v>56</v>
      </c>
      <c r="V5319" s="2" t="s">
        <v>177</v>
      </c>
      <c r="W5319" s="2" t="s">
        <v>3270</v>
      </c>
      <c r="X5319" s="2" t="s">
        <v>147</v>
      </c>
      <c r="Y5319" s="2">
        <v>39.5</v>
      </c>
      <c r="Z5319" s="2">
        <v>5.49</v>
      </c>
      <c r="AA5319" s="2" t="s">
        <v>395</v>
      </c>
      <c r="AB5319" s="2" t="s">
        <v>34768</v>
      </c>
      <c r="AC5319" s="2">
        <v>-2.5232664695101299</v>
      </c>
      <c r="AD5319" s="2"/>
      <c r="AE5319" s="2">
        <v>3.7833024601766602E-2</v>
      </c>
      <c r="AF5319" s="2">
        <v>6956.5300412943598</v>
      </c>
      <c r="AG5319" s="2">
        <v>7049.1618645287599</v>
      </c>
      <c r="AH5319" s="4">
        <v>0.98685917205270501</v>
      </c>
      <c r="AI5319" s="4">
        <v>-1.9083872695173702E-2</v>
      </c>
      <c r="AJ5319" s="4" t="s">
        <v>62</v>
      </c>
      <c r="AK5319" s="2">
        <v>0.98072616189953898</v>
      </c>
      <c r="AL5319" s="2">
        <v>0.99177817604044205</v>
      </c>
      <c r="AM5319" s="2">
        <v>11596.210028294299</v>
      </c>
      <c r="AN5319" s="2">
        <v>2863.3439518282698</v>
      </c>
      <c r="AO5319" s="2">
        <v>8086.9945049528997</v>
      </c>
      <c r="AP5319" s="2">
        <v>8809.3030460189893</v>
      </c>
      <c r="AQ5319" s="2">
        <v>2325.4642425553998</v>
      </c>
      <c r="AR5319" s="2">
        <v>8057.8644741163098</v>
      </c>
      <c r="AS5319" s="2">
        <v>20949.9239588567</v>
      </c>
      <c r="AT5319" s="2">
        <v>4239.2556290849197</v>
      </c>
      <c r="AU5319" s="2">
        <v>972.54530289334605</v>
      </c>
      <c r="AV5319" s="2">
        <v>13815.484810632301</v>
      </c>
      <c r="AW5319" s="2">
        <v>568.55841071515999</v>
      </c>
      <c r="AX5319" s="2">
        <v>1749.2030749901601</v>
      </c>
    </row>
    <row r="5320" spans="1:50" x14ac:dyDescent="0.25">
      <c r="A5320" s="2" t="s">
        <v>34769</v>
      </c>
      <c r="B5320" s="2">
        <v>562.99498149171995</v>
      </c>
      <c r="C5320" s="2">
        <v>10.2658666666667</v>
      </c>
      <c r="D5320" s="2" t="s">
        <v>51</v>
      </c>
      <c r="E5320" s="2" t="s">
        <v>34770</v>
      </c>
      <c r="F5320" s="2">
        <v>10149</v>
      </c>
      <c r="G5320" s="3" t="str">
        <f>HYPERLINK("https://cloud.oebiotech.com/#/lm/network/10149", "https://cloud.oebiotech.com/#/lm/network/10149")</f>
        <v>https://cloud.oebiotech.com/#/lm/network/10149</v>
      </c>
      <c r="H5320" s="2"/>
      <c r="I5320" s="2"/>
      <c r="J5320" s="2" t="s">
        <v>34771</v>
      </c>
      <c r="K5320" s="2">
        <v>134812264</v>
      </c>
      <c r="L5320" s="2"/>
      <c r="M5320" s="2"/>
      <c r="N5320" s="2"/>
      <c r="O5320" s="2"/>
      <c r="P5320" s="2"/>
      <c r="Q5320" s="2"/>
      <c r="R5320" s="2"/>
      <c r="S5320" s="2" t="s">
        <v>34772</v>
      </c>
      <c r="T5320" s="2" t="s">
        <v>34773</v>
      </c>
      <c r="U5320" s="2" t="s">
        <v>266</v>
      </c>
      <c r="V5320" s="2" t="s">
        <v>28604</v>
      </c>
      <c r="W5320" s="2" t="s">
        <v>240</v>
      </c>
      <c r="X5320" s="2" t="s">
        <v>147</v>
      </c>
      <c r="Y5320" s="2">
        <v>37</v>
      </c>
      <c r="Z5320" s="2">
        <v>0</v>
      </c>
      <c r="AA5320" s="2" t="s">
        <v>478</v>
      </c>
      <c r="AB5320" s="2" t="s">
        <v>34774</v>
      </c>
      <c r="AC5320" s="2">
        <v>-3.2689020432479801</v>
      </c>
      <c r="AD5320" s="2"/>
      <c r="AE5320" s="2">
        <v>3.7802635687649203E-2</v>
      </c>
      <c r="AF5320" s="2">
        <v>3601.30391554995</v>
      </c>
      <c r="AG5320" s="2">
        <v>3654.5385170520799</v>
      </c>
      <c r="AH5320" s="4">
        <v>0.98543329034466698</v>
      </c>
      <c r="AI5320" s="4">
        <v>-2.1169884649988702E-2</v>
      </c>
      <c r="AJ5320" s="4" t="s">
        <v>62</v>
      </c>
      <c r="AK5320" s="2">
        <v>0.94657987802802701</v>
      </c>
      <c r="AL5320" s="2">
        <v>0.97787449727725695</v>
      </c>
      <c r="AM5320" s="2">
        <v>2919.6605661833601</v>
      </c>
      <c r="AN5320" s="2">
        <v>4920.3099731865505</v>
      </c>
      <c r="AO5320" s="2">
        <v>3478.8593843976801</v>
      </c>
      <c r="AP5320" s="2">
        <v>3262.8926738743899</v>
      </c>
      <c r="AQ5320" s="2">
        <v>3445.0164856305701</v>
      </c>
      <c r="AR5320" s="2">
        <v>3581.0844100271702</v>
      </c>
      <c r="AS5320" s="2">
        <v>5517.9668006696602</v>
      </c>
      <c r="AT5320" s="2">
        <v>3000.6672812766401</v>
      </c>
      <c r="AU5320" s="2">
        <v>973.47759605482997</v>
      </c>
      <c r="AV5320" s="2">
        <v>4405.2527950039503</v>
      </c>
      <c r="AW5320" s="2">
        <v>2647.2025073268501</v>
      </c>
      <c r="AX5320" s="2">
        <v>5382.6641219805697</v>
      </c>
    </row>
    <row r="5321" spans="1:50" x14ac:dyDescent="0.25">
      <c r="A5321" s="2" t="s">
        <v>34775</v>
      </c>
      <c r="B5321" s="2">
        <v>314.17215447054201</v>
      </c>
      <c r="C5321" s="2">
        <v>4.3206499999999997</v>
      </c>
      <c r="D5321" s="2" t="s">
        <v>51</v>
      </c>
      <c r="E5321" s="2" t="s">
        <v>34776</v>
      </c>
      <c r="F5321" s="2">
        <v>53229</v>
      </c>
      <c r="G5321" s="3" t="str">
        <f>HYPERLINK("https://cloud.oebiotech.com/#/lm/network/53229", "https://cloud.oebiotech.com/#/lm/network/53229")</f>
        <v>https://cloud.oebiotech.com/#/lm/network/53229</v>
      </c>
      <c r="H5321" s="2" t="s">
        <v>34777</v>
      </c>
      <c r="I5321" s="2">
        <v>3972</v>
      </c>
      <c r="J5321" s="2"/>
      <c r="K5321" s="2">
        <v>2905</v>
      </c>
      <c r="L5321" s="2" t="s">
        <v>34778</v>
      </c>
      <c r="M5321" s="2"/>
      <c r="N5321" s="2"/>
      <c r="O5321" s="2">
        <v>4024</v>
      </c>
      <c r="P5321" s="2"/>
      <c r="Q5321" s="2"/>
      <c r="R5321" s="2" t="s">
        <v>34779</v>
      </c>
      <c r="S5321" s="2" t="s">
        <v>34780</v>
      </c>
      <c r="T5321" s="2" t="s">
        <v>34781</v>
      </c>
      <c r="U5321" s="2" t="s">
        <v>610</v>
      </c>
      <c r="V5321" s="2" t="s">
        <v>611</v>
      </c>
      <c r="W5321" s="2" t="s">
        <v>240</v>
      </c>
      <c r="X5321" s="2" t="s">
        <v>147</v>
      </c>
      <c r="Y5321" s="2">
        <v>42.6</v>
      </c>
      <c r="Z5321" s="2">
        <v>32.9</v>
      </c>
      <c r="AA5321" s="2" t="s">
        <v>95</v>
      </c>
      <c r="AB5321" s="2" t="s">
        <v>34782</v>
      </c>
      <c r="AC5321" s="2">
        <v>-1.7510428520994801</v>
      </c>
      <c r="AD5321" s="2"/>
      <c r="AE5321" s="2">
        <v>3.7746055911044497E-2</v>
      </c>
      <c r="AF5321" s="2">
        <v>459.867749099207</v>
      </c>
      <c r="AG5321" s="2">
        <v>1034.11855980164</v>
      </c>
      <c r="AH5321" s="4">
        <v>0.44469538307814299</v>
      </c>
      <c r="AI5321" s="4">
        <v>-1.1691106684863199</v>
      </c>
      <c r="AJ5321" s="4" t="s">
        <v>62</v>
      </c>
      <c r="AK5321" s="2">
        <v>0.60148240786359697</v>
      </c>
      <c r="AL5321" s="2">
        <v>0.80067288239600298</v>
      </c>
      <c r="AM5321" s="2">
        <v>365.91889236591601</v>
      </c>
      <c r="AN5321" s="2">
        <v>128.49255034145301</v>
      </c>
      <c r="AO5321" s="2">
        <v>2013.0379382820299</v>
      </c>
      <c r="AP5321" s="2">
        <v>155.01064919112301</v>
      </c>
      <c r="AQ5321" s="2">
        <v>8.559877937157E-6</v>
      </c>
      <c r="AR5321" s="2">
        <v>96.746455854844896</v>
      </c>
      <c r="AS5321" s="2">
        <v>8.559877937157E-6</v>
      </c>
      <c r="AT5321" s="2">
        <v>8.559877937157E-6</v>
      </c>
      <c r="AU5321" s="2">
        <v>6120.2075587504296</v>
      </c>
      <c r="AV5321" s="2">
        <v>8.559877937157E-6</v>
      </c>
      <c r="AW5321" s="2">
        <v>8.559877937157E-6</v>
      </c>
      <c r="AX5321" s="2">
        <v>84.503765819892493</v>
      </c>
    </row>
    <row r="5322" spans="1:50" x14ac:dyDescent="0.25">
      <c r="A5322" s="2" t="s">
        <v>34783</v>
      </c>
      <c r="B5322" s="2">
        <v>309.20671513295099</v>
      </c>
      <c r="C5322" s="2">
        <v>8.8669333333333302</v>
      </c>
      <c r="D5322" s="2" t="s">
        <v>51</v>
      </c>
      <c r="E5322" s="2" t="s">
        <v>34784</v>
      </c>
      <c r="F5322" s="2">
        <v>3393</v>
      </c>
      <c r="G5322" s="3" t="str">
        <f>HYPERLINK("https://cloud.oebiotech.com/#/lm/network/3393", "https://cloud.oebiotech.com/#/lm/network/3393")</f>
        <v>https://cloud.oebiotech.com/#/lm/network/3393</v>
      </c>
      <c r="H5322" s="2"/>
      <c r="I5322" s="2"/>
      <c r="J5322" s="2" t="s">
        <v>34785</v>
      </c>
      <c r="K5322" s="2">
        <v>126457307</v>
      </c>
      <c r="L5322" s="2"/>
      <c r="M5322" s="2"/>
      <c r="N5322" s="2"/>
      <c r="O5322" s="2"/>
      <c r="P5322" s="2"/>
      <c r="Q5322" s="2"/>
      <c r="R5322" s="2"/>
      <c r="S5322" s="2" t="s">
        <v>34786</v>
      </c>
      <c r="T5322" s="2" t="s">
        <v>34787</v>
      </c>
      <c r="U5322" s="2" t="s">
        <v>56</v>
      </c>
      <c r="V5322" s="2" t="s">
        <v>145</v>
      </c>
      <c r="W5322" s="2" t="s">
        <v>231</v>
      </c>
      <c r="X5322" s="2" t="s">
        <v>69</v>
      </c>
      <c r="Y5322" s="2">
        <v>54.1</v>
      </c>
      <c r="Z5322" s="2">
        <v>66</v>
      </c>
      <c r="AA5322" s="2" t="s">
        <v>259</v>
      </c>
      <c r="AB5322" s="2" t="s">
        <v>12571</v>
      </c>
      <c r="AC5322" s="2">
        <v>2.20417743562327</v>
      </c>
      <c r="AD5322" s="2"/>
      <c r="AE5322" s="2">
        <v>3.7729206667018698E-2</v>
      </c>
      <c r="AF5322" s="2">
        <v>2033.9878881638101</v>
      </c>
      <c r="AG5322" s="2">
        <v>2004.60133309361</v>
      </c>
      <c r="AH5322" s="5">
        <v>1.01465955079699</v>
      </c>
      <c r="AI5322" s="5">
        <v>2.0995740446955E-2</v>
      </c>
      <c r="AJ5322" s="5" t="s">
        <v>139</v>
      </c>
      <c r="AK5322" s="2">
        <v>0.96857674497023905</v>
      </c>
      <c r="AL5322" s="2">
        <v>0.98795010697490204</v>
      </c>
      <c r="AM5322" s="2">
        <v>1587.84755152307</v>
      </c>
      <c r="AN5322" s="2">
        <v>3758.2997030053298</v>
      </c>
      <c r="AO5322" s="2">
        <v>2037.9262798637101</v>
      </c>
      <c r="AP5322" s="2">
        <v>1433.5454093926901</v>
      </c>
      <c r="AQ5322" s="2">
        <v>2040.1669486104299</v>
      </c>
      <c r="AR5322" s="2">
        <v>1346.1414365876501</v>
      </c>
      <c r="AS5322" s="2">
        <v>1128.08705668831</v>
      </c>
      <c r="AT5322" s="2">
        <v>1439.6441029656701</v>
      </c>
      <c r="AU5322" s="2">
        <v>5137.3610191172202</v>
      </c>
      <c r="AV5322" s="2">
        <v>1330.0433263704499</v>
      </c>
      <c r="AW5322" s="2">
        <v>1515.1742464234401</v>
      </c>
      <c r="AX5322" s="2">
        <v>1477.29824699657</v>
      </c>
    </row>
    <row r="5323" spans="1:50" x14ac:dyDescent="0.25">
      <c r="A5323" s="2" t="s">
        <v>34788</v>
      </c>
      <c r="B5323" s="2">
        <v>182.10423765548501</v>
      </c>
      <c r="C5323" s="2">
        <v>1.00901666666667</v>
      </c>
      <c r="D5323" s="2" t="s">
        <v>51</v>
      </c>
      <c r="E5323" s="2" t="s">
        <v>34789</v>
      </c>
      <c r="F5323" s="2">
        <v>209373</v>
      </c>
      <c r="G5323" s="3" t="str">
        <f>HYPERLINK("https://cloud.oebiotech.com/#/lm/network/209373", "https://cloud.oebiotech.com/#/lm/network/209373")</f>
        <v>https://cloud.oebiotech.com/#/lm/network/209373</v>
      </c>
      <c r="H5323" s="2" t="s">
        <v>34790</v>
      </c>
      <c r="I5323" s="2"/>
      <c r="J5323" s="2"/>
      <c r="K5323" s="2">
        <v>73188125</v>
      </c>
      <c r="L5323" s="2"/>
      <c r="M5323" s="2"/>
      <c r="N5323" s="2"/>
      <c r="O5323" s="2"/>
      <c r="P5323" s="2"/>
      <c r="Q5323" s="2"/>
      <c r="R5323" s="2"/>
      <c r="S5323" s="2" t="s">
        <v>34791</v>
      </c>
      <c r="T5323" s="2" t="s">
        <v>34792</v>
      </c>
      <c r="U5323" s="2" t="s">
        <v>266</v>
      </c>
      <c r="V5323" s="2" t="s">
        <v>13201</v>
      </c>
      <c r="W5323" s="2" t="s">
        <v>13202</v>
      </c>
      <c r="X5323" s="2" t="s">
        <v>147</v>
      </c>
      <c r="Y5323" s="2">
        <v>42.2</v>
      </c>
      <c r="Z5323" s="2">
        <v>20.8</v>
      </c>
      <c r="AA5323" s="2" t="s">
        <v>259</v>
      </c>
      <c r="AB5323" s="2" t="s">
        <v>34793</v>
      </c>
      <c r="AC5323" s="2">
        <v>3.3199295369717099</v>
      </c>
      <c r="AD5323" s="2"/>
      <c r="AE5323" s="2">
        <v>3.7712956807527898E-2</v>
      </c>
      <c r="AF5323" s="2">
        <v>16173.2836537519</v>
      </c>
      <c r="AG5323" s="2">
        <v>15606.5128088981</v>
      </c>
      <c r="AH5323" s="5">
        <v>1.03631630280216</v>
      </c>
      <c r="AI5323" s="5">
        <v>5.1464407307371E-2</v>
      </c>
      <c r="AJ5323" s="5" t="s">
        <v>139</v>
      </c>
      <c r="AK5323" s="2">
        <v>0.91182476270269797</v>
      </c>
      <c r="AL5323" s="2">
        <v>0.962914197112401</v>
      </c>
      <c r="AM5323" s="2">
        <v>16097.7402576971</v>
      </c>
      <c r="AN5323" s="2">
        <v>12856.3195764509</v>
      </c>
      <c r="AO5323" s="2">
        <v>21622.320302423399</v>
      </c>
      <c r="AP5323" s="2">
        <v>30780.810394736</v>
      </c>
      <c r="AQ5323" s="2">
        <v>10757.116052020499</v>
      </c>
      <c r="AR5323" s="2">
        <v>4925.3953391835903</v>
      </c>
      <c r="AS5323" s="2">
        <v>5507.17420994644</v>
      </c>
      <c r="AT5323" s="2">
        <v>28015.734224077602</v>
      </c>
      <c r="AU5323" s="2">
        <v>9195.4031058583005</v>
      </c>
      <c r="AV5323" s="2">
        <v>21539.425505376101</v>
      </c>
      <c r="AW5323" s="2">
        <v>15961.4887322054</v>
      </c>
      <c r="AX5323" s="2">
        <v>13419.851075925</v>
      </c>
    </row>
    <row r="5324" spans="1:50" x14ac:dyDescent="0.25">
      <c r="A5324" s="2" t="s">
        <v>34794</v>
      </c>
      <c r="B5324" s="2">
        <v>175.09704659568001</v>
      </c>
      <c r="C5324" s="2">
        <v>0.94951666666666701</v>
      </c>
      <c r="D5324" s="2" t="s">
        <v>51</v>
      </c>
      <c r="E5324" s="2" t="s">
        <v>34795</v>
      </c>
      <c r="F5324" s="2">
        <v>48032</v>
      </c>
      <c r="G5324" s="3" t="str">
        <f>HYPERLINK("https://cloud.oebiotech.com/#/lm/network/48032", "https://cloud.oebiotech.com/#/lm/network/48032")</f>
        <v>https://cloud.oebiotech.com/#/lm/network/48032</v>
      </c>
      <c r="H5324" s="2" t="s">
        <v>34796</v>
      </c>
      <c r="I5324" s="2">
        <v>58144</v>
      </c>
      <c r="J5324" s="2"/>
      <c r="K5324" s="2">
        <v>160437</v>
      </c>
      <c r="L5324" s="2"/>
      <c r="M5324" s="2"/>
      <c r="N5324" s="2"/>
      <c r="O5324" s="2"/>
      <c r="P5324" s="2"/>
      <c r="Q5324" s="2"/>
      <c r="R5324" s="2" t="s">
        <v>34797</v>
      </c>
      <c r="S5324" s="2" t="s">
        <v>34798</v>
      </c>
      <c r="T5324" s="2" t="s">
        <v>34799</v>
      </c>
      <c r="U5324" s="2" t="s">
        <v>103</v>
      </c>
      <c r="V5324" s="2" t="s">
        <v>104</v>
      </c>
      <c r="W5324" s="2" t="s">
        <v>105</v>
      </c>
      <c r="X5324" s="2" t="s">
        <v>83</v>
      </c>
      <c r="Y5324" s="2">
        <v>39.1</v>
      </c>
      <c r="Z5324" s="2">
        <v>0</v>
      </c>
      <c r="AA5324" s="2" t="s">
        <v>122</v>
      </c>
      <c r="AB5324" s="2" t="s">
        <v>19949</v>
      </c>
      <c r="AC5324" s="2">
        <v>7.7398003323220896</v>
      </c>
      <c r="AD5324" s="2"/>
      <c r="AE5324" s="2">
        <v>3.76460988103718E-2</v>
      </c>
      <c r="AF5324" s="2">
        <v>1959.76345245778</v>
      </c>
      <c r="AG5324" s="2">
        <v>2136.26715542994</v>
      </c>
      <c r="AH5324" s="4">
        <v>0.91737751407939805</v>
      </c>
      <c r="AI5324" s="4">
        <v>-0.124412549058629</v>
      </c>
      <c r="AJ5324" s="4" t="s">
        <v>62</v>
      </c>
      <c r="AK5324" s="2">
        <v>0.37768872615251298</v>
      </c>
      <c r="AL5324" s="2">
        <v>0.65844593389412398</v>
      </c>
      <c r="AM5324" s="2">
        <v>2411.15957929961</v>
      </c>
      <c r="AN5324" s="2">
        <v>1960.78993347131</v>
      </c>
      <c r="AO5324" s="2">
        <v>1976.39874437714</v>
      </c>
      <c r="AP5324" s="2">
        <v>1728.9834573656899</v>
      </c>
      <c r="AQ5324" s="2">
        <v>1928.62298934874</v>
      </c>
      <c r="AR5324" s="2">
        <v>1752.62601088421</v>
      </c>
      <c r="AS5324" s="2">
        <v>2362.8790227202298</v>
      </c>
      <c r="AT5324" s="2">
        <v>2259.1609192106698</v>
      </c>
      <c r="AU5324" s="2">
        <v>1847.87293491114</v>
      </c>
      <c r="AV5324" s="2">
        <v>1468.4213014355</v>
      </c>
      <c r="AW5324" s="2">
        <v>2350.4052446905798</v>
      </c>
      <c r="AX5324" s="2">
        <v>2528.8635096114999</v>
      </c>
    </row>
    <row r="5325" spans="1:50" x14ac:dyDescent="0.25">
      <c r="A5325" s="2" t="s">
        <v>34800</v>
      </c>
      <c r="B5325" s="2">
        <v>271.15521978106898</v>
      </c>
      <c r="C5325" s="2">
        <v>6.5311166666666702</v>
      </c>
      <c r="D5325" s="2" t="s">
        <v>51</v>
      </c>
      <c r="E5325" s="2" t="s">
        <v>34801</v>
      </c>
      <c r="F5325" s="2">
        <v>10357</v>
      </c>
      <c r="G5325" s="3" t="str">
        <f>HYPERLINK("https://cloud.oebiotech.com/#/lm/network/10357", "https://cloud.oebiotech.com/#/lm/network/10357")</f>
        <v>https://cloud.oebiotech.com/#/lm/network/10357</v>
      </c>
      <c r="H5325" s="2"/>
      <c r="I5325" s="2"/>
      <c r="J5325" s="2" t="s">
        <v>34802</v>
      </c>
      <c r="K5325" s="2">
        <v>86289774</v>
      </c>
      <c r="L5325" s="2"/>
      <c r="M5325" s="2"/>
      <c r="N5325" s="2"/>
      <c r="O5325" s="2">
        <v>79136</v>
      </c>
      <c r="P5325" s="2"/>
      <c r="Q5325" s="2"/>
      <c r="R5325" s="2"/>
      <c r="S5325" s="2" t="s">
        <v>34803</v>
      </c>
      <c r="T5325" s="2" t="s">
        <v>34804</v>
      </c>
      <c r="U5325" s="2" t="s">
        <v>56</v>
      </c>
      <c r="V5325" s="2" t="s">
        <v>145</v>
      </c>
      <c r="W5325" s="2" t="s">
        <v>231</v>
      </c>
      <c r="X5325" s="2" t="s">
        <v>83</v>
      </c>
      <c r="Y5325" s="2">
        <v>44.7</v>
      </c>
      <c r="Z5325" s="2">
        <v>0</v>
      </c>
      <c r="AA5325" s="2" t="s">
        <v>379</v>
      </c>
      <c r="AB5325" s="2" t="s">
        <v>34805</v>
      </c>
      <c r="AC5325" s="2">
        <v>0.42164472487211302</v>
      </c>
      <c r="AD5325" s="2"/>
      <c r="AE5325" s="2">
        <v>3.7609204529604499E-2</v>
      </c>
      <c r="AF5325" s="2">
        <v>681.79543527233795</v>
      </c>
      <c r="AG5325" s="2">
        <v>801.21112643783897</v>
      </c>
      <c r="AH5325" s="4">
        <v>0.85095602491640498</v>
      </c>
      <c r="AI5325" s="4">
        <v>-0.23284351558983499</v>
      </c>
      <c r="AJ5325" s="4" t="s">
        <v>62</v>
      </c>
      <c r="AK5325" s="2">
        <v>0.69296148761986898</v>
      </c>
      <c r="AL5325" s="2">
        <v>0.85266577243505903</v>
      </c>
      <c r="AM5325" s="2">
        <v>553.23331740925403</v>
      </c>
      <c r="AN5325" s="2">
        <v>465.21337383125598</v>
      </c>
      <c r="AO5325" s="2">
        <v>1553.9614654024899</v>
      </c>
      <c r="AP5325" s="2">
        <v>431.78020297109998</v>
      </c>
      <c r="AQ5325" s="2">
        <v>672.493438363942</v>
      </c>
      <c r="AR5325" s="2">
        <v>414.09081365598797</v>
      </c>
      <c r="AS5325" s="2">
        <v>405.49056714237702</v>
      </c>
      <c r="AT5325" s="2">
        <v>295.00263922614698</v>
      </c>
      <c r="AU5325" s="2">
        <v>597.40463880745097</v>
      </c>
      <c r="AV5325" s="2">
        <v>1629.5242322419499</v>
      </c>
      <c r="AW5325" s="2">
        <v>1415.3305903059299</v>
      </c>
      <c r="AX5325" s="2">
        <v>464.51409090317702</v>
      </c>
    </row>
    <row r="5326" spans="1:50" x14ac:dyDescent="0.25">
      <c r="A5326" s="2" t="s">
        <v>34806</v>
      </c>
      <c r="B5326" s="2">
        <v>123.04456095851501</v>
      </c>
      <c r="C5326" s="2">
        <v>1.08738333333333</v>
      </c>
      <c r="D5326" s="2" t="s">
        <v>51</v>
      </c>
      <c r="E5326" s="2" t="s">
        <v>34807</v>
      </c>
      <c r="F5326" s="2">
        <v>51491</v>
      </c>
      <c r="G5326" s="3" t="str">
        <f>HYPERLINK("https://cloud.oebiotech.com/#/lm/network/51491", "https://cloud.oebiotech.com/#/lm/network/51491")</f>
        <v>https://cloud.oebiotech.com/#/lm/network/51491</v>
      </c>
      <c r="H5326" s="2" t="s">
        <v>34808</v>
      </c>
      <c r="I5326" s="2">
        <v>62451</v>
      </c>
      <c r="J5326" s="2"/>
      <c r="K5326" s="2">
        <v>126</v>
      </c>
      <c r="L5326" s="2" t="s">
        <v>34809</v>
      </c>
      <c r="M5326" s="2"/>
      <c r="N5326" s="2"/>
      <c r="O5326" s="2">
        <v>17597</v>
      </c>
      <c r="P5326" s="2"/>
      <c r="Q5326" s="2"/>
      <c r="R5326" s="2" t="s">
        <v>34810</v>
      </c>
      <c r="S5326" s="2" t="s">
        <v>34811</v>
      </c>
      <c r="T5326" s="2" t="s">
        <v>34812</v>
      </c>
      <c r="U5326" s="2" t="s">
        <v>331</v>
      </c>
      <c r="V5326" s="2" t="s">
        <v>332</v>
      </c>
      <c r="W5326" s="2" t="s">
        <v>1207</v>
      </c>
      <c r="X5326" s="2" t="s">
        <v>59</v>
      </c>
      <c r="Y5326" s="2">
        <v>54.1</v>
      </c>
      <c r="Z5326" s="2">
        <v>77.5</v>
      </c>
      <c r="AA5326" s="2" t="s">
        <v>259</v>
      </c>
      <c r="AB5326" s="2" t="s">
        <v>16396</v>
      </c>
      <c r="AC5326" s="2">
        <v>4.1388749921686996</v>
      </c>
      <c r="AD5326" s="2"/>
      <c r="AE5326" s="2">
        <v>3.7605729712442797E-2</v>
      </c>
      <c r="AF5326" s="2">
        <v>29462.285587852999</v>
      </c>
      <c r="AG5326" s="2">
        <v>28751.441607913999</v>
      </c>
      <c r="AH5326" s="5">
        <v>1.02472376827683</v>
      </c>
      <c r="AI5326" s="5">
        <v>3.5235059149261498E-2</v>
      </c>
      <c r="AJ5326" s="5" t="s">
        <v>139</v>
      </c>
      <c r="AK5326" s="2">
        <v>0.82298746490805397</v>
      </c>
      <c r="AL5326" s="2">
        <v>0.92242336778537204</v>
      </c>
      <c r="AM5326" s="2">
        <v>28326.431519079</v>
      </c>
      <c r="AN5326" s="2">
        <v>31089.992807092302</v>
      </c>
      <c r="AO5326" s="2">
        <v>25480.5271762142</v>
      </c>
      <c r="AP5326" s="2">
        <v>35268.242749913697</v>
      </c>
      <c r="AQ5326" s="2">
        <v>33504.233232546001</v>
      </c>
      <c r="AR5326" s="2">
        <v>23104.286042272601</v>
      </c>
      <c r="AS5326" s="2">
        <v>26891.9745097247</v>
      </c>
      <c r="AT5326" s="2">
        <v>30744.815084233</v>
      </c>
      <c r="AU5326" s="2">
        <v>26400.319838510899</v>
      </c>
      <c r="AV5326" s="2">
        <v>21182.313921422901</v>
      </c>
      <c r="AW5326" s="2">
        <v>28212.5932329059</v>
      </c>
      <c r="AX5326" s="2">
        <v>39076.6330606868</v>
      </c>
    </row>
    <row r="5327" spans="1:50" x14ac:dyDescent="0.25">
      <c r="A5327" s="2" t="s">
        <v>34813</v>
      </c>
      <c r="B5327" s="2">
        <v>375.29040511418799</v>
      </c>
      <c r="C5327" s="2">
        <v>12.051083333333301</v>
      </c>
      <c r="D5327" s="2" t="s">
        <v>51</v>
      </c>
      <c r="E5327" s="2" t="s">
        <v>34814</v>
      </c>
      <c r="F5327" s="2">
        <v>45874</v>
      </c>
      <c r="G5327" s="3" t="str">
        <f>HYPERLINK("https://cloud.oebiotech.com/#/lm/network/45874", "https://cloud.oebiotech.com/#/lm/network/45874")</f>
        <v>https://cloud.oebiotech.com/#/lm/network/45874</v>
      </c>
      <c r="H5327" s="2" t="s">
        <v>34815</v>
      </c>
      <c r="I5327" s="2">
        <v>6700</v>
      </c>
      <c r="J5327" s="2" t="s">
        <v>34816</v>
      </c>
      <c r="K5327" s="2">
        <v>447718</v>
      </c>
      <c r="L5327" s="2"/>
      <c r="M5327" s="2"/>
      <c r="N5327" s="2"/>
      <c r="O5327" s="2">
        <v>73676</v>
      </c>
      <c r="P5327" s="2"/>
      <c r="Q5327" s="2"/>
      <c r="R5327" s="2" t="s">
        <v>34817</v>
      </c>
      <c r="S5327" s="2" t="s">
        <v>34818</v>
      </c>
      <c r="T5327" s="2" t="s">
        <v>34819</v>
      </c>
      <c r="U5327" s="2" t="s">
        <v>56</v>
      </c>
      <c r="V5327" s="2" t="s">
        <v>283</v>
      </c>
      <c r="W5327" s="2" t="s">
        <v>2042</v>
      </c>
      <c r="X5327" s="2" t="s">
        <v>83</v>
      </c>
      <c r="Y5327" s="2">
        <v>53.7</v>
      </c>
      <c r="Z5327" s="2">
        <v>0</v>
      </c>
      <c r="AA5327" s="2" t="s">
        <v>163</v>
      </c>
      <c r="AB5327" s="2" t="s">
        <v>6167</v>
      </c>
      <c r="AC5327" s="2">
        <v>-0.16900258720446501</v>
      </c>
      <c r="AD5327" s="2"/>
      <c r="AE5327" s="2">
        <v>3.7589597539234E-2</v>
      </c>
      <c r="AF5327" s="2">
        <v>1082.37041979637</v>
      </c>
      <c r="AG5327" s="2">
        <v>1624.6658261131099</v>
      </c>
      <c r="AH5327" s="4">
        <v>0.66621110778568704</v>
      </c>
      <c r="AI5327" s="4">
        <v>-0.58594868651645005</v>
      </c>
      <c r="AJ5327" s="4" t="s">
        <v>62</v>
      </c>
      <c r="AK5327" s="2">
        <v>0.58741933012636904</v>
      </c>
      <c r="AL5327" s="2">
        <v>0.79259485853877298</v>
      </c>
      <c r="AM5327" s="2">
        <v>2119.95154434392</v>
      </c>
      <c r="AN5327" s="2">
        <v>791.88029483547302</v>
      </c>
      <c r="AO5327" s="2">
        <v>1276.8987015681</v>
      </c>
      <c r="AP5327" s="2">
        <v>129.74667663711799</v>
      </c>
      <c r="AQ5327" s="2">
        <v>983.920315747112</v>
      </c>
      <c r="AR5327" s="2">
        <v>1191.8249856464699</v>
      </c>
      <c r="AS5327" s="2">
        <v>8.559877937157E-6</v>
      </c>
      <c r="AT5327" s="2">
        <v>8.559877937157E-6</v>
      </c>
      <c r="AU5327" s="2">
        <v>5847.0222134079104</v>
      </c>
      <c r="AV5327" s="2">
        <v>925.60534939974605</v>
      </c>
      <c r="AW5327" s="2">
        <v>2563.0425853024499</v>
      </c>
      <c r="AX5327" s="2">
        <v>412.32479144881302</v>
      </c>
    </row>
    <row r="5328" spans="1:50" x14ac:dyDescent="0.25">
      <c r="A5328" s="2" t="s">
        <v>34820</v>
      </c>
      <c r="B5328" s="2">
        <v>159.101683055563</v>
      </c>
      <c r="C5328" s="2">
        <v>5.3845499999999999</v>
      </c>
      <c r="D5328" s="2" t="s">
        <v>51</v>
      </c>
      <c r="E5328" s="2" t="s">
        <v>34821</v>
      </c>
      <c r="F5328" s="2">
        <v>1959</v>
      </c>
      <c r="G5328" s="3" t="str">
        <f>HYPERLINK("https://cloud.oebiotech.com/#/lm/network/1959", "https://cloud.oebiotech.com/#/lm/network/1959")</f>
        <v>https://cloud.oebiotech.com/#/lm/network/1959</v>
      </c>
      <c r="H5328" s="2" t="s">
        <v>34822</v>
      </c>
      <c r="I5328" s="2">
        <v>2988</v>
      </c>
      <c r="J5328" s="2" t="s">
        <v>34823</v>
      </c>
      <c r="K5328" s="2">
        <v>134459</v>
      </c>
      <c r="L5328" s="2" t="s">
        <v>34824</v>
      </c>
      <c r="M5328" s="2" t="s">
        <v>7436</v>
      </c>
      <c r="N5328" s="2" t="s">
        <v>7437</v>
      </c>
      <c r="O5328" s="2">
        <v>80637</v>
      </c>
      <c r="P5328" s="2"/>
      <c r="Q5328" s="2"/>
      <c r="R5328" s="2" t="s">
        <v>34825</v>
      </c>
      <c r="S5328" s="2" t="s">
        <v>34826</v>
      </c>
      <c r="T5328" s="2" t="s">
        <v>34827</v>
      </c>
      <c r="U5328" s="2" t="s">
        <v>56</v>
      </c>
      <c r="V5328" s="2" t="s">
        <v>145</v>
      </c>
      <c r="W5328" s="2" t="s">
        <v>231</v>
      </c>
      <c r="X5328" s="2" t="s">
        <v>83</v>
      </c>
      <c r="Y5328" s="2">
        <v>43.7</v>
      </c>
      <c r="Z5328" s="2">
        <v>0</v>
      </c>
      <c r="AA5328" s="2" t="s">
        <v>163</v>
      </c>
      <c r="AB5328" s="2" t="s">
        <v>23748</v>
      </c>
      <c r="AC5328" s="2">
        <v>-6.1512996023164304</v>
      </c>
      <c r="AD5328" s="2"/>
      <c r="AE5328" s="2">
        <v>3.7565296159776801E-2</v>
      </c>
      <c r="AF5328" s="2">
        <v>1222.68486194759</v>
      </c>
      <c r="AG5328" s="2">
        <v>1075.9588589964801</v>
      </c>
      <c r="AH5328" s="5">
        <v>1.13636767031033</v>
      </c>
      <c r="AI5328" s="5">
        <v>0.18442969251264499</v>
      </c>
      <c r="AJ5328" s="5" t="s">
        <v>139</v>
      </c>
      <c r="AK5328" s="2">
        <v>0.58788645654661797</v>
      </c>
      <c r="AL5328" s="2">
        <v>0.79259485853877298</v>
      </c>
      <c r="AM5328" s="2">
        <v>1041.9569031010401</v>
      </c>
      <c r="AN5328" s="2">
        <v>1326.21985908489</v>
      </c>
      <c r="AO5328" s="2">
        <v>1315.9406375261101</v>
      </c>
      <c r="AP5328" s="2">
        <v>1301.02606605034</v>
      </c>
      <c r="AQ5328" s="2">
        <v>1730.63545420989</v>
      </c>
      <c r="AR5328" s="2">
        <v>620.33025171328802</v>
      </c>
      <c r="AS5328" s="2">
        <v>1429.3248527729399</v>
      </c>
      <c r="AT5328" s="2">
        <v>1636.62444036893</v>
      </c>
      <c r="AU5328" s="2">
        <v>514.00039698990702</v>
      </c>
      <c r="AV5328" s="2">
        <v>1232.89672546008</v>
      </c>
      <c r="AW5328" s="2">
        <v>335.56803534259302</v>
      </c>
      <c r="AX5328" s="2">
        <v>1307.3387030444201</v>
      </c>
    </row>
    <row r="5329" spans="1:50" x14ac:dyDescent="0.25">
      <c r="A5329" s="2" t="s">
        <v>34828</v>
      </c>
      <c r="B5329" s="2">
        <v>229.155385184788</v>
      </c>
      <c r="C5329" s="2">
        <v>4.0557999999999996</v>
      </c>
      <c r="D5329" s="2" t="s">
        <v>51</v>
      </c>
      <c r="E5329" s="2" t="s">
        <v>34829</v>
      </c>
      <c r="F5329" s="2">
        <v>54141</v>
      </c>
      <c r="G5329" s="3" t="str">
        <f>HYPERLINK("https://cloud.oebiotech.com/#/lm/network/54141", "https://cloud.oebiotech.com/#/lm/network/54141")</f>
        <v>https://cloud.oebiotech.com/#/lm/network/54141</v>
      </c>
      <c r="H5329" s="2" t="s">
        <v>34830</v>
      </c>
      <c r="I5329" s="2">
        <v>23923</v>
      </c>
      <c r="J5329" s="2"/>
      <c r="K5329" s="2">
        <v>7010531</v>
      </c>
      <c r="L5329" s="2"/>
      <c r="M5329" s="2"/>
      <c r="N5329" s="2"/>
      <c r="O5329" s="2">
        <v>75012</v>
      </c>
      <c r="P5329" s="2"/>
      <c r="Q5329" s="2"/>
      <c r="R5329" s="2" t="s">
        <v>34831</v>
      </c>
      <c r="S5329" s="2" t="s">
        <v>34832</v>
      </c>
      <c r="T5329" s="2" t="s">
        <v>34833</v>
      </c>
      <c r="U5329" s="2" t="s">
        <v>103</v>
      </c>
      <c r="V5329" s="2" t="s">
        <v>104</v>
      </c>
      <c r="W5329" s="2" t="s">
        <v>105</v>
      </c>
      <c r="X5329" s="2" t="s">
        <v>83</v>
      </c>
      <c r="Y5329" s="2">
        <v>40</v>
      </c>
      <c r="Z5329" s="2">
        <v>0</v>
      </c>
      <c r="AA5329" s="2" t="s">
        <v>163</v>
      </c>
      <c r="AB5329" s="2" t="s">
        <v>5561</v>
      </c>
      <c r="AC5329" s="2">
        <v>-1.65516161029889</v>
      </c>
      <c r="AD5329" s="2"/>
      <c r="AE5329" s="2">
        <v>3.75642662780288E-2</v>
      </c>
      <c r="AF5329" s="2">
        <v>182.40956068403199</v>
      </c>
      <c r="AG5329" s="2">
        <v>113.706615487869</v>
      </c>
      <c r="AH5329" s="5">
        <v>1.6042123837859901</v>
      </c>
      <c r="AI5329" s="5">
        <v>0.68186515473001597</v>
      </c>
      <c r="AJ5329" s="5" t="s">
        <v>139</v>
      </c>
      <c r="AK5329" s="2">
        <v>0.39904998167552103</v>
      </c>
      <c r="AL5329" s="2">
        <v>0.66812175442965804</v>
      </c>
      <c r="AM5329" s="2">
        <v>272.64840137005302</v>
      </c>
      <c r="AN5329" s="2">
        <v>316.951435069468</v>
      </c>
      <c r="AO5329" s="2">
        <v>175.974268369215</v>
      </c>
      <c r="AP5329" s="2">
        <v>173.861618378066</v>
      </c>
      <c r="AQ5329" s="2">
        <v>8.559877937157E-6</v>
      </c>
      <c r="AR5329" s="2">
        <v>155.02163235751499</v>
      </c>
      <c r="AS5329" s="2">
        <v>8.559877937157E-6</v>
      </c>
      <c r="AT5329" s="2">
        <v>8.559877937157E-6</v>
      </c>
      <c r="AU5329" s="2">
        <v>228.063702010496</v>
      </c>
      <c r="AV5329" s="2">
        <v>376.29294131242199</v>
      </c>
      <c r="AW5329" s="2">
        <v>77.883023924664897</v>
      </c>
      <c r="AX5329" s="2">
        <v>8.559877937157E-6</v>
      </c>
    </row>
    <row r="5330" spans="1:50" x14ac:dyDescent="0.25">
      <c r="A5330" s="2" t="s">
        <v>34834</v>
      </c>
      <c r="B5330" s="2">
        <v>327.29469999999998</v>
      </c>
      <c r="C5330" s="2">
        <v>22.073</v>
      </c>
      <c r="D5330" s="2" t="s">
        <v>125</v>
      </c>
      <c r="E5330" s="2" t="s">
        <v>34835</v>
      </c>
      <c r="F5330" s="2">
        <v>6064</v>
      </c>
      <c r="G5330" s="3" t="str">
        <f>HYPERLINK("https://cloud.oebiotech.com/#/lm/network/6064", "https://cloud.oebiotech.com/#/lm/network/6064")</f>
        <v>https://cloud.oebiotech.com/#/lm/network/6064</v>
      </c>
      <c r="H5330" s="2" t="s">
        <v>34836</v>
      </c>
      <c r="I5330" s="2">
        <v>6640</v>
      </c>
      <c r="J5330" s="2" t="s">
        <v>34837</v>
      </c>
      <c r="K5330" s="2">
        <v>8221</v>
      </c>
      <c r="L5330" s="2" t="s">
        <v>34838</v>
      </c>
      <c r="M5330" s="2"/>
      <c r="N5330" s="2"/>
      <c r="O5330" s="2">
        <v>32154</v>
      </c>
      <c r="P5330" s="2"/>
      <c r="Q5330" s="2"/>
      <c r="R5330" s="2" t="s">
        <v>34839</v>
      </c>
      <c r="S5330" s="2" t="s">
        <v>34840</v>
      </c>
      <c r="T5330" s="2" t="s">
        <v>34841</v>
      </c>
      <c r="U5330" s="2" t="s">
        <v>56</v>
      </c>
      <c r="V5330" s="2" t="s">
        <v>145</v>
      </c>
      <c r="W5330" s="2" t="s">
        <v>146</v>
      </c>
      <c r="X5330" s="2" t="s">
        <v>69</v>
      </c>
      <c r="Y5330" s="2">
        <v>88.2</v>
      </c>
      <c r="Z5330" s="2">
        <v>83</v>
      </c>
      <c r="AA5330" s="2"/>
      <c r="AB5330" s="2" t="s">
        <v>34842</v>
      </c>
      <c r="AC5330" s="2"/>
      <c r="AD5330" s="2">
        <v>758161.71195652196</v>
      </c>
      <c r="AE5330" s="2">
        <v>3.7435906656546801E-2</v>
      </c>
      <c r="AF5330" s="2">
        <v>8049.1684854142204</v>
      </c>
      <c r="AG5330" s="2">
        <v>7428.1976711002198</v>
      </c>
      <c r="AH5330" s="5">
        <v>1.0835964310333199</v>
      </c>
      <c r="AI5330" s="5">
        <v>0.115827546955434</v>
      </c>
      <c r="AJ5330" s="5" t="s">
        <v>139</v>
      </c>
      <c r="AK5330" s="2">
        <v>0.163351946407022</v>
      </c>
      <c r="AL5330" s="2">
        <v>0.48434324587146799</v>
      </c>
      <c r="AM5330" s="2">
        <v>6820.0488238587895</v>
      </c>
      <c r="AN5330" s="2">
        <v>8431.3638783487004</v>
      </c>
      <c r="AO5330" s="2">
        <v>7894.8749429866903</v>
      </c>
      <c r="AP5330" s="2">
        <v>9449.8513454355707</v>
      </c>
      <c r="AQ5330" s="2">
        <v>8154.5065644368196</v>
      </c>
      <c r="AR5330" s="2">
        <v>7544.3653574187301</v>
      </c>
      <c r="AS5330" s="2">
        <v>7769.8040130547897</v>
      </c>
      <c r="AT5330" s="2">
        <v>7303.8477954015698</v>
      </c>
      <c r="AU5330" s="2">
        <v>7475.0394636937199</v>
      </c>
      <c r="AV5330" s="2">
        <v>8174.49307256254</v>
      </c>
      <c r="AW5330" s="2">
        <v>6932.0197201904703</v>
      </c>
      <c r="AX5330" s="2">
        <v>6913.9819616982504</v>
      </c>
    </row>
    <row r="5331" spans="1:50" x14ac:dyDescent="0.25">
      <c r="A5331" s="2" t="s">
        <v>34843</v>
      </c>
      <c r="B5331" s="2">
        <v>333.28006908799699</v>
      </c>
      <c r="C5331" s="2">
        <v>13.9851333333333</v>
      </c>
      <c r="D5331" s="2" t="s">
        <v>51</v>
      </c>
      <c r="E5331" s="2" t="s">
        <v>34844</v>
      </c>
      <c r="F5331" s="2">
        <v>899</v>
      </c>
      <c r="G5331" s="3" t="str">
        <f>HYPERLINK("https://cloud.oebiotech.com/#/lm/network/899", "https://cloud.oebiotech.com/#/lm/network/899")</f>
        <v>https://cloud.oebiotech.com/#/lm/network/899</v>
      </c>
      <c r="H5331" s="2" t="s">
        <v>34845</v>
      </c>
      <c r="I5331" s="2">
        <v>195</v>
      </c>
      <c r="J5331" s="2" t="s">
        <v>34846</v>
      </c>
      <c r="K5331" s="2">
        <v>5312557</v>
      </c>
      <c r="L5331" s="2"/>
      <c r="M5331" s="2"/>
      <c r="N5331" s="2"/>
      <c r="O5331" s="2">
        <v>77807</v>
      </c>
      <c r="P5331" s="2"/>
      <c r="Q5331" s="2"/>
      <c r="R5331" s="2" t="s">
        <v>34847</v>
      </c>
      <c r="S5331" s="2" t="s">
        <v>34848</v>
      </c>
      <c r="T5331" s="2" t="s">
        <v>34849</v>
      </c>
      <c r="U5331" s="2" t="s">
        <v>56</v>
      </c>
      <c r="V5331" s="2" t="s">
        <v>145</v>
      </c>
      <c r="W5331" s="2" t="s">
        <v>231</v>
      </c>
      <c r="X5331" s="2" t="s">
        <v>83</v>
      </c>
      <c r="Y5331" s="2">
        <v>46.7</v>
      </c>
      <c r="Z5331" s="2">
        <v>0</v>
      </c>
      <c r="AA5331" s="2" t="s">
        <v>163</v>
      </c>
      <c r="AB5331" s="2" t="s">
        <v>34850</v>
      </c>
      <c r="AC5331" s="2">
        <v>0.49377369605377802</v>
      </c>
      <c r="AD5331" s="2"/>
      <c r="AE5331" s="2">
        <v>3.7399267579964597E-2</v>
      </c>
      <c r="AF5331" s="2">
        <v>1423.5340786848401</v>
      </c>
      <c r="AG5331" s="2">
        <v>1339.71596076947</v>
      </c>
      <c r="AH5331" s="5">
        <v>1.06256409595003</v>
      </c>
      <c r="AI5331" s="5">
        <v>8.7549870069337399E-2</v>
      </c>
      <c r="AJ5331" s="5" t="s">
        <v>139</v>
      </c>
      <c r="AK5331" s="2">
        <v>0.84403075926489601</v>
      </c>
      <c r="AL5331" s="2">
        <v>0.93063445423553803</v>
      </c>
      <c r="AM5331" s="2">
        <v>2352.5905228253</v>
      </c>
      <c r="AN5331" s="2">
        <v>640.36313365152103</v>
      </c>
      <c r="AO5331" s="2">
        <v>1390.7506259352101</v>
      </c>
      <c r="AP5331" s="2">
        <v>1468.03169590825</v>
      </c>
      <c r="AQ5331" s="2">
        <v>1623.9311040550899</v>
      </c>
      <c r="AR5331" s="2">
        <v>1065.5373897336699</v>
      </c>
      <c r="AS5331" s="2">
        <v>181.65879908838099</v>
      </c>
      <c r="AT5331" s="2">
        <v>853.604794097134</v>
      </c>
      <c r="AU5331" s="2">
        <v>2670.4026247858701</v>
      </c>
      <c r="AV5331" s="2">
        <v>1724.68124035399</v>
      </c>
      <c r="AW5331" s="2">
        <v>1410.7952223596701</v>
      </c>
      <c r="AX5331" s="2">
        <v>1197.15308393176</v>
      </c>
    </row>
    <row r="5332" spans="1:50" x14ac:dyDescent="0.25">
      <c r="A5332" s="2" t="s">
        <v>34851</v>
      </c>
      <c r="B5332" s="2">
        <v>217.11</v>
      </c>
      <c r="C5332" s="2">
        <v>17.157</v>
      </c>
      <c r="D5332" s="2" t="s">
        <v>125</v>
      </c>
      <c r="E5332" s="2" t="s">
        <v>34852</v>
      </c>
      <c r="F5332" s="2">
        <v>47097</v>
      </c>
      <c r="G5332" s="3" t="str">
        <f>HYPERLINK("https://cloud.oebiotech.com/#/lm/network/47097", "https://cloud.oebiotech.com/#/lm/network/47097")</f>
        <v>https://cloud.oebiotech.com/#/lm/network/47097</v>
      </c>
      <c r="H5332" s="2" t="s">
        <v>34853</v>
      </c>
      <c r="I5332" s="2">
        <v>63139</v>
      </c>
      <c r="J5332" s="2"/>
      <c r="K5332" s="2">
        <v>94154</v>
      </c>
      <c r="L5332" s="2" t="s">
        <v>34854</v>
      </c>
      <c r="M5332" s="2" t="s">
        <v>15379</v>
      </c>
      <c r="N5332" s="2" t="s">
        <v>15380</v>
      </c>
      <c r="O5332" s="2">
        <v>18333</v>
      </c>
      <c r="P5332" s="2"/>
      <c r="Q5332" s="2"/>
      <c r="R5332" s="2" t="s">
        <v>34855</v>
      </c>
      <c r="S5332" s="2" t="s">
        <v>34856</v>
      </c>
      <c r="T5332" s="2" t="s">
        <v>34857</v>
      </c>
      <c r="U5332" s="2" t="s">
        <v>331</v>
      </c>
      <c r="V5332" s="2" t="s">
        <v>332</v>
      </c>
      <c r="W5332" s="2" t="s">
        <v>333</v>
      </c>
      <c r="X5332" s="2" t="s">
        <v>69</v>
      </c>
      <c r="Y5332" s="2">
        <v>90.5</v>
      </c>
      <c r="Z5332" s="2">
        <v>84.2</v>
      </c>
      <c r="AA5332" s="2"/>
      <c r="AB5332" s="2" t="s">
        <v>19231</v>
      </c>
      <c r="AC5332" s="2"/>
      <c r="AD5332" s="2">
        <v>576373.09328743501</v>
      </c>
      <c r="AE5332" s="2">
        <v>3.7214905575293201E-2</v>
      </c>
      <c r="AF5332" s="2">
        <v>50606.688440820901</v>
      </c>
      <c r="AG5332" s="2">
        <v>48522.9450866603</v>
      </c>
      <c r="AH5332" s="5">
        <v>1.0429434641784201</v>
      </c>
      <c r="AI5332" s="5">
        <v>6.0660954444364298E-2</v>
      </c>
      <c r="AJ5332" s="5" t="s">
        <v>139</v>
      </c>
      <c r="AK5332" s="2">
        <v>0.77204929308133596</v>
      </c>
      <c r="AL5332" s="2">
        <v>0.89822783715929699</v>
      </c>
      <c r="AM5332" s="2">
        <v>50034.495455741897</v>
      </c>
      <c r="AN5332" s="2">
        <v>47723.156603766904</v>
      </c>
      <c r="AO5332" s="2">
        <v>39167.403845293004</v>
      </c>
      <c r="AP5332" s="2">
        <v>63962.591514708198</v>
      </c>
      <c r="AQ5332" s="2">
        <v>40383.449292116296</v>
      </c>
      <c r="AR5332" s="2">
        <v>62369.033933299303</v>
      </c>
      <c r="AS5332" s="2">
        <v>40043.239181215802</v>
      </c>
      <c r="AT5332" s="2">
        <v>56208.7730266652</v>
      </c>
      <c r="AU5332" s="2">
        <v>46178.119713069798</v>
      </c>
      <c r="AV5332" s="2">
        <v>41785.819599679598</v>
      </c>
      <c r="AW5332" s="2">
        <v>71882.6428751067</v>
      </c>
      <c r="AX5332" s="2">
        <v>35039.076124224601</v>
      </c>
    </row>
    <row r="5333" spans="1:50" x14ac:dyDescent="0.25">
      <c r="A5333" s="2" t="s">
        <v>34858</v>
      </c>
      <c r="B5333" s="2">
        <v>223.06079006419199</v>
      </c>
      <c r="C5333" s="2">
        <v>3.9061666666666701</v>
      </c>
      <c r="D5333" s="2" t="s">
        <v>51</v>
      </c>
      <c r="E5333" s="2" t="s">
        <v>34859</v>
      </c>
      <c r="F5333" s="2">
        <v>293359</v>
      </c>
      <c r="G5333" s="3" t="str">
        <f>HYPERLINK("https://cloud.oebiotech.com/#/lm/network/293359", "https://cloud.oebiotech.com/#/lm/network/293359")</f>
        <v>https://cloud.oebiotech.com/#/lm/network/293359</v>
      </c>
      <c r="H5333" s="2"/>
      <c r="I5333" s="2">
        <v>317262</v>
      </c>
      <c r="J5333" s="2"/>
      <c r="K5333" s="2">
        <v>120101</v>
      </c>
      <c r="L5333" s="2"/>
      <c r="M5333" s="2"/>
      <c r="N5333" s="2"/>
      <c r="O5333" s="2"/>
      <c r="P5333" s="2"/>
      <c r="Q5333" s="2"/>
      <c r="R5333" s="2"/>
      <c r="S5333" s="2" t="s">
        <v>34860</v>
      </c>
      <c r="T5333" s="2" t="s">
        <v>34861</v>
      </c>
      <c r="U5333" s="2" t="s">
        <v>331</v>
      </c>
      <c r="V5333" s="2" t="s">
        <v>332</v>
      </c>
      <c r="W5333" s="2" t="s">
        <v>511</v>
      </c>
      <c r="X5333" s="2" t="s">
        <v>147</v>
      </c>
      <c r="Y5333" s="2">
        <v>38.700000000000003</v>
      </c>
      <c r="Z5333" s="2">
        <v>0</v>
      </c>
      <c r="AA5333" s="2" t="s">
        <v>218</v>
      </c>
      <c r="AB5333" s="2" t="s">
        <v>34862</v>
      </c>
      <c r="AC5333" s="2">
        <v>-2.2856247571170698</v>
      </c>
      <c r="AD5333" s="2"/>
      <c r="AE5333" s="2">
        <v>3.7139022714104998E-2</v>
      </c>
      <c r="AF5333" s="2">
        <v>138.785211023404</v>
      </c>
      <c r="AG5333" s="2">
        <v>345.83294426693499</v>
      </c>
      <c r="AH5333" s="4">
        <v>0.401307085759537</v>
      </c>
      <c r="AI5333" s="4">
        <v>-1.31722146530846</v>
      </c>
      <c r="AJ5333" s="4" t="s">
        <v>62</v>
      </c>
      <c r="AK5333" s="2">
        <v>0.473507189371004</v>
      </c>
      <c r="AL5333" s="2">
        <v>0.72008508793433701</v>
      </c>
      <c r="AM5333" s="2">
        <v>8.559877937157E-6</v>
      </c>
      <c r="AN5333" s="2">
        <v>441.90003664861098</v>
      </c>
      <c r="AO5333" s="2">
        <v>121.32166896407701</v>
      </c>
      <c r="AP5333" s="2">
        <v>66.9832230573451</v>
      </c>
      <c r="AQ5333" s="2">
        <v>63.014309357481501</v>
      </c>
      <c r="AR5333" s="2">
        <v>139.49201955303201</v>
      </c>
      <c r="AS5333" s="2">
        <v>118.25811533032299</v>
      </c>
      <c r="AT5333" s="2">
        <v>8.559877937157E-6</v>
      </c>
      <c r="AU5333" s="2">
        <v>1680.1366144823801</v>
      </c>
      <c r="AV5333" s="2">
        <v>276.60291010927199</v>
      </c>
      <c r="AW5333" s="2">
        <v>8.559877937157E-6</v>
      </c>
      <c r="AX5333" s="2">
        <v>8.559877937157E-6</v>
      </c>
    </row>
    <row r="5334" spans="1:50" x14ac:dyDescent="0.25">
      <c r="A5334" s="2" t="s">
        <v>34863</v>
      </c>
      <c r="B5334" s="2">
        <v>512.46909097762796</v>
      </c>
      <c r="C5334" s="2">
        <v>12.797800000000001</v>
      </c>
      <c r="D5334" s="2" t="s">
        <v>51</v>
      </c>
      <c r="E5334" s="2" t="s">
        <v>34864</v>
      </c>
      <c r="F5334" s="2">
        <v>197536</v>
      </c>
      <c r="G5334" s="3" t="str">
        <f>HYPERLINK("https://cloud.oebiotech.com/#/lm/network/197536", "https://cloud.oebiotech.com/#/lm/network/197536")</f>
        <v>https://cloud.oebiotech.com/#/lm/network/197536</v>
      </c>
      <c r="H5334" s="2" t="s">
        <v>34865</v>
      </c>
      <c r="I5334" s="2"/>
      <c r="J5334" s="2"/>
      <c r="K5334" s="2"/>
      <c r="L5334" s="2"/>
      <c r="M5334" s="2"/>
      <c r="N5334" s="2"/>
      <c r="O5334" s="2"/>
      <c r="P5334" s="2"/>
      <c r="Q5334" s="2"/>
      <c r="R5334" s="2"/>
      <c r="S5334" s="2" t="s">
        <v>34866</v>
      </c>
      <c r="T5334" s="2" t="s">
        <v>34867</v>
      </c>
      <c r="U5334" s="2" t="s">
        <v>56</v>
      </c>
      <c r="V5334" s="2" t="s">
        <v>145</v>
      </c>
      <c r="W5334" s="2" t="s">
        <v>1188</v>
      </c>
      <c r="X5334" s="2" t="s">
        <v>147</v>
      </c>
      <c r="Y5334" s="2">
        <v>41.9</v>
      </c>
      <c r="Z5334" s="2">
        <v>23.8</v>
      </c>
      <c r="AA5334" s="2" t="s">
        <v>259</v>
      </c>
      <c r="AB5334" s="2" t="s">
        <v>34868</v>
      </c>
      <c r="AC5334" s="2">
        <v>3.4315608531935</v>
      </c>
      <c r="AD5334" s="2"/>
      <c r="AE5334" s="2">
        <v>3.7110295120131101E-2</v>
      </c>
      <c r="AF5334" s="2">
        <v>36096.8169581607</v>
      </c>
      <c r="AG5334" s="2">
        <v>40316.521078609097</v>
      </c>
      <c r="AH5334" s="4">
        <v>0.89533560913599597</v>
      </c>
      <c r="AI5334" s="4">
        <v>-0.15949952884666899</v>
      </c>
      <c r="AJ5334" s="4" t="s">
        <v>62</v>
      </c>
      <c r="AK5334" s="2">
        <v>0.66216839080026502</v>
      </c>
      <c r="AL5334" s="2">
        <v>0.83662348077913895</v>
      </c>
      <c r="AM5334" s="2">
        <v>34381.9137933077</v>
      </c>
      <c r="AN5334" s="2">
        <v>37168.928742966098</v>
      </c>
      <c r="AO5334" s="2">
        <v>65265.037805725697</v>
      </c>
      <c r="AP5334" s="2">
        <v>26824.991809353101</v>
      </c>
      <c r="AQ5334" s="2">
        <v>17970.113116257999</v>
      </c>
      <c r="AR5334" s="2">
        <v>34969.916481353503</v>
      </c>
      <c r="AS5334" s="2">
        <v>10906.0674750914</v>
      </c>
      <c r="AT5334" s="2">
        <v>53852.369486645199</v>
      </c>
      <c r="AU5334" s="2">
        <v>56726.1820661932</v>
      </c>
      <c r="AV5334" s="2">
        <v>35818.936931950397</v>
      </c>
      <c r="AW5334" s="2">
        <v>39189.485300173197</v>
      </c>
      <c r="AX5334" s="2">
        <v>45406.085211600999</v>
      </c>
    </row>
    <row r="5335" spans="1:50" x14ac:dyDescent="0.25">
      <c r="A5335" s="2" t="s">
        <v>34869</v>
      </c>
      <c r="B5335" s="2">
        <v>264.16346612612602</v>
      </c>
      <c r="C5335" s="2">
        <v>5.0999999999999996</v>
      </c>
      <c r="D5335" s="2" t="s">
        <v>51</v>
      </c>
      <c r="E5335" s="2" t="s">
        <v>34870</v>
      </c>
      <c r="F5335" s="2">
        <v>53653</v>
      </c>
      <c r="G5335" s="3" t="str">
        <f>HYPERLINK("https://cloud.oebiotech.com/#/lm/network/53653", "https://cloud.oebiotech.com/#/lm/network/53653")</f>
        <v>https://cloud.oebiotech.com/#/lm/network/53653</v>
      </c>
      <c r="H5335" s="2" t="s">
        <v>34871</v>
      </c>
      <c r="I5335" s="2">
        <v>1270</v>
      </c>
      <c r="J5335" s="2"/>
      <c r="K5335" s="2">
        <v>4184</v>
      </c>
      <c r="L5335" s="2"/>
      <c r="M5335" s="2"/>
      <c r="N5335" s="2"/>
      <c r="O5335" s="2">
        <v>51137</v>
      </c>
      <c r="P5335" s="2"/>
      <c r="Q5335" s="2"/>
      <c r="R5335" s="2" t="s">
        <v>34872</v>
      </c>
      <c r="S5335" s="2" t="s">
        <v>34873</v>
      </c>
      <c r="T5335" s="2" t="s">
        <v>34874</v>
      </c>
      <c r="U5335" s="2" t="s">
        <v>266</v>
      </c>
      <c r="V5335" s="2" t="s">
        <v>5066</v>
      </c>
      <c r="W5335" s="2" t="s">
        <v>5067</v>
      </c>
      <c r="X5335" s="2" t="s">
        <v>147</v>
      </c>
      <c r="Y5335" s="2">
        <v>38.700000000000003</v>
      </c>
      <c r="Z5335" s="2">
        <v>0</v>
      </c>
      <c r="AA5335" s="2" t="s">
        <v>122</v>
      </c>
      <c r="AB5335" s="2" t="s">
        <v>34875</v>
      </c>
      <c r="AC5335" s="2">
        <v>3.0942115774712202</v>
      </c>
      <c r="AD5335" s="2"/>
      <c r="AE5335" s="2">
        <v>3.7099926319486297E-2</v>
      </c>
      <c r="AF5335" s="2">
        <v>1233.26978412791</v>
      </c>
      <c r="AG5335" s="2">
        <v>1268.4369242329799</v>
      </c>
      <c r="AH5335" s="4">
        <v>0.97227521571374698</v>
      </c>
      <c r="AI5335" s="4">
        <v>-4.0563348808813002E-2</v>
      </c>
      <c r="AJ5335" s="4" t="s">
        <v>62</v>
      </c>
      <c r="AK5335" s="2">
        <v>0.90549673310321599</v>
      </c>
      <c r="AL5335" s="2">
        <v>0.96050278799960598</v>
      </c>
      <c r="AM5335" s="2">
        <v>831.82404604883004</v>
      </c>
      <c r="AN5335" s="2">
        <v>1024.9507689074701</v>
      </c>
      <c r="AO5335" s="2">
        <v>1026.6331278078901</v>
      </c>
      <c r="AP5335" s="2">
        <v>1327.7239687762899</v>
      </c>
      <c r="AQ5335" s="2">
        <v>1353.03566130166</v>
      </c>
      <c r="AR5335" s="2">
        <v>1835.4511319252899</v>
      </c>
      <c r="AS5335" s="2">
        <v>1315.87929953702</v>
      </c>
      <c r="AT5335" s="2">
        <v>1212.3573680044101</v>
      </c>
      <c r="AU5335" s="2">
        <v>469.63491688067597</v>
      </c>
      <c r="AV5335" s="2">
        <v>1031.93150036975</v>
      </c>
      <c r="AW5335" s="2">
        <v>2349.3670023351201</v>
      </c>
      <c r="AX5335" s="2">
        <v>1231.4514582709201</v>
      </c>
    </row>
    <row r="5336" spans="1:50" x14ac:dyDescent="0.25">
      <c r="A5336" s="2" t="s">
        <v>34876</v>
      </c>
      <c r="B5336" s="2">
        <v>198.037727024117</v>
      </c>
      <c r="C5336" s="2">
        <v>1.2665666666666699</v>
      </c>
      <c r="D5336" s="2" t="s">
        <v>51</v>
      </c>
      <c r="E5336" s="2" t="s">
        <v>34877</v>
      </c>
      <c r="F5336" s="2">
        <v>514020</v>
      </c>
      <c r="G5336" s="3" t="str">
        <f>HYPERLINK("https://cloud.oebiotech.com/#/lm/network/514020", "https://cloud.oebiotech.com/#/lm/network/514020")</f>
        <v>https://cloud.oebiotech.com/#/lm/network/514020</v>
      </c>
      <c r="H5336" s="2"/>
      <c r="I5336" s="2">
        <v>96349</v>
      </c>
      <c r="J5336" s="2"/>
      <c r="K5336" s="2">
        <v>66733</v>
      </c>
      <c r="L5336" s="2"/>
      <c r="M5336" s="2"/>
      <c r="N5336" s="2"/>
      <c r="O5336" s="2"/>
      <c r="P5336" s="2"/>
      <c r="Q5336" s="2"/>
      <c r="R5336" s="2"/>
      <c r="S5336" s="2" t="s">
        <v>34878</v>
      </c>
      <c r="T5336" s="2" t="s">
        <v>34879</v>
      </c>
      <c r="U5336" s="2" t="s">
        <v>610</v>
      </c>
      <c r="V5336" s="2" t="s">
        <v>813</v>
      </c>
      <c r="W5336" s="2" t="s">
        <v>240</v>
      </c>
      <c r="X5336" s="2" t="s">
        <v>147</v>
      </c>
      <c r="Y5336" s="2">
        <v>36.1</v>
      </c>
      <c r="Z5336" s="2">
        <v>0</v>
      </c>
      <c r="AA5336" s="2" t="s">
        <v>379</v>
      </c>
      <c r="AB5336" s="2" t="s">
        <v>34880</v>
      </c>
      <c r="AC5336" s="2">
        <v>-2.6114581534250898</v>
      </c>
      <c r="AD5336" s="2"/>
      <c r="AE5336" s="2">
        <v>3.7070125250251898E-2</v>
      </c>
      <c r="AF5336" s="2">
        <v>1944.3743389645499</v>
      </c>
      <c r="AG5336" s="2">
        <v>1714.8407555164399</v>
      </c>
      <c r="AH5336" s="5">
        <v>1.1338512527823501</v>
      </c>
      <c r="AI5336" s="5">
        <v>0.181231389002485</v>
      </c>
      <c r="AJ5336" s="5" t="s">
        <v>139</v>
      </c>
      <c r="AK5336" s="2">
        <v>0.51221993835004098</v>
      </c>
      <c r="AL5336" s="2">
        <v>0.74605624982876495</v>
      </c>
      <c r="AM5336" s="2">
        <v>1096.80894502464</v>
      </c>
      <c r="AN5336" s="2">
        <v>2124.8050605630401</v>
      </c>
      <c r="AO5336" s="2">
        <v>2679.02463484395</v>
      </c>
      <c r="AP5336" s="2">
        <v>2354.1443443814701</v>
      </c>
      <c r="AQ5336" s="2">
        <v>1770.9148461566001</v>
      </c>
      <c r="AR5336" s="2">
        <v>1640.54820281757</v>
      </c>
      <c r="AS5336" s="2">
        <v>1081.44268031603</v>
      </c>
      <c r="AT5336" s="2">
        <v>1610.2617084114299</v>
      </c>
      <c r="AU5336" s="2">
        <v>1535.9492210693199</v>
      </c>
      <c r="AV5336" s="2">
        <v>1302.44509750356</v>
      </c>
      <c r="AW5336" s="2">
        <v>1964.6041887676099</v>
      </c>
      <c r="AX5336" s="2">
        <v>2794.34163703071</v>
      </c>
    </row>
    <row r="5337" spans="1:50" x14ac:dyDescent="0.25">
      <c r="A5337" s="2" t="s">
        <v>34881</v>
      </c>
      <c r="B5337" s="2">
        <v>566.38484373545805</v>
      </c>
      <c r="C5337" s="2">
        <v>11.411483333333299</v>
      </c>
      <c r="D5337" s="2" t="s">
        <v>51</v>
      </c>
      <c r="E5337" s="2" t="s">
        <v>34882</v>
      </c>
      <c r="F5337" s="2">
        <v>199596</v>
      </c>
      <c r="G5337" s="3" t="str">
        <f>HYPERLINK("https://cloud.oebiotech.com/#/lm/network/199596", "https://cloud.oebiotech.com/#/lm/network/199596")</f>
        <v>https://cloud.oebiotech.com/#/lm/network/199596</v>
      </c>
      <c r="H5337" s="2" t="s">
        <v>34883</v>
      </c>
      <c r="I5337" s="2"/>
      <c r="J5337" s="2"/>
      <c r="K5337" s="2">
        <v>166886</v>
      </c>
      <c r="L5337" s="2"/>
      <c r="M5337" s="2"/>
      <c r="N5337" s="2"/>
      <c r="O5337" s="2"/>
      <c r="P5337" s="2"/>
      <c r="Q5337" s="2"/>
      <c r="R5337" s="2"/>
      <c r="S5337" s="2" t="s">
        <v>34884</v>
      </c>
      <c r="T5337" s="2" t="s">
        <v>34885</v>
      </c>
      <c r="U5337" s="2" t="s">
        <v>56</v>
      </c>
      <c r="V5337" s="2" t="s">
        <v>57</v>
      </c>
      <c r="W5337" s="2" t="s">
        <v>58</v>
      </c>
      <c r="X5337" s="2" t="s">
        <v>83</v>
      </c>
      <c r="Y5337" s="2">
        <v>47</v>
      </c>
      <c r="Z5337" s="2">
        <v>0</v>
      </c>
      <c r="AA5337" s="2" t="s">
        <v>259</v>
      </c>
      <c r="AB5337" s="2" t="s">
        <v>34886</v>
      </c>
      <c r="AC5337" s="2">
        <v>5.6828121628351003</v>
      </c>
      <c r="AD5337" s="2"/>
      <c r="AE5337" s="2">
        <v>3.7009484176498297E-2</v>
      </c>
      <c r="AF5337" s="2">
        <v>5512.36588191583</v>
      </c>
      <c r="AG5337" s="2">
        <v>5735.2115716575199</v>
      </c>
      <c r="AH5337" s="4">
        <v>0.961144294860375</v>
      </c>
      <c r="AI5337" s="4">
        <v>-5.7175058422829897E-2</v>
      </c>
      <c r="AJ5337" s="4" t="s">
        <v>62</v>
      </c>
      <c r="AK5337" s="2">
        <v>0.82233575863038899</v>
      </c>
      <c r="AL5337" s="2">
        <v>0.92204105741050402</v>
      </c>
      <c r="AM5337" s="2">
        <v>6295.9712836079698</v>
      </c>
      <c r="AN5337" s="2">
        <v>3851.7471171194802</v>
      </c>
      <c r="AO5337" s="2">
        <v>5532.3954434794496</v>
      </c>
      <c r="AP5337" s="2">
        <v>5868.8096262931704</v>
      </c>
      <c r="AQ5337" s="2">
        <v>6685.7977783083597</v>
      </c>
      <c r="AR5337" s="2">
        <v>4839.4740426865701</v>
      </c>
      <c r="AS5337" s="2">
        <v>8221.9927208371191</v>
      </c>
      <c r="AT5337" s="2">
        <v>7716.6795065141596</v>
      </c>
      <c r="AU5337" s="2">
        <v>2856.6246216263598</v>
      </c>
      <c r="AV5337" s="2">
        <v>4204.8471086633799</v>
      </c>
      <c r="AW5337" s="2">
        <v>6697.2120365460996</v>
      </c>
      <c r="AX5337" s="2">
        <v>4713.9134357580297</v>
      </c>
    </row>
    <row r="5338" spans="1:50" x14ac:dyDescent="0.25">
      <c r="A5338" s="2" t="s">
        <v>34887</v>
      </c>
      <c r="B5338" s="2">
        <v>283.19157121207797</v>
      </c>
      <c r="C5338" s="2">
        <v>9.7059333333333306</v>
      </c>
      <c r="D5338" s="2" t="s">
        <v>51</v>
      </c>
      <c r="E5338" s="2" t="s">
        <v>34888</v>
      </c>
      <c r="F5338" s="2">
        <v>61625</v>
      </c>
      <c r="G5338" s="3" t="str">
        <f>HYPERLINK("https://cloud.oebiotech.com/#/lm/network/61625", "https://cloud.oebiotech.com/#/lm/network/61625")</f>
        <v>https://cloud.oebiotech.com/#/lm/network/61625</v>
      </c>
      <c r="H5338" s="2" t="s">
        <v>34889</v>
      </c>
      <c r="I5338" s="2">
        <v>71333</v>
      </c>
      <c r="J5338" s="2"/>
      <c r="K5338" s="2">
        <v>117301</v>
      </c>
      <c r="L5338" s="2" t="s">
        <v>34890</v>
      </c>
      <c r="M5338" s="2"/>
      <c r="N5338" s="2"/>
      <c r="O5338" s="2">
        <v>80720</v>
      </c>
      <c r="P5338" s="2"/>
      <c r="Q5338" s="2"/>
      <c r="R5338" s="2" t="s">
        <v>34891</v>
      </c>
      <c r="S5338" s="2" t="s">
        <v>34892</v>
      </c>
      <c r="T5338" s="2" t="s">
        <v>34893</v>
      </c>
      <c r="U5338" s="2" t="s">
        <v>266</v>
      </c>
      <c r="V5338" s="2" t="s">
        <v>26276</v>
      </c>
      <c r="W5338" s="2" t="s">
        <v>240</v>
      </c>
      <c r="X5338" s="2" t="s">
        <v>83</v>
      </c>
      <c r="Y5338" s="2">
        <v>54</v>
      </c>
      <c r="Z5338" s="2">
        <v>44.3</v>
      </c>
      <c r="AA5338" s="2" t="s">
        <v>218</v>
      </c>
      <c r="AB5338" s="2" t="s">
        <v>34894</v>
      </c>
      <c r="AC5338" s="2">
        <v>0.37057778345207198</v>
      </c>
      <c r="AD5338" s="2"/>
      <c r="AE5338" s="2">
        <v>3.69956480219737E-2</v>
      </c>
      <c r="AF5338" s="2">
        <v>4492.7890546998196</v>
      </c>
      <c r="AG5338" s="2">
        <v>4529.4075511196897</v>
      </c>
      <c r="AH5338" s="4">
        <v>0.99191538937342405</v>
      </c>
      <c r="AI5338" s="4">
        <v>-1.17110312685653E-2</v>
      </c>
      <c r="AJ5338" s="4" t="s">
        <v>62</v>
      </c>
      <c r="AK5338" s="2">
        <v>0.97537745692824696</v>
      </c>
      <c r="AL5338" s="2">
        <v>0.98980639530347603</v>
      </c>
      <c r="AM5338" s="2">
        <v>2582.4520557969499</v>
      </c>
      <c r="AN5338" s="2">
        <v>4084.9820586154501</v>
      </c>
      <c r="AO5338" s="2">
        <v>8191.85698736005</v>
      </c>
      <c r="AP5338" s="2">
        <v>3818.1241285040901</v>
      </c>
      <c r="AQ5338" s="2">
        <v>3545.6527452161799</v>
      </c>
      <c r="AR5338" s="2">
        <v>4733.6663527061801</v>
      </c>
      <c r="AS5338" s="2">
        <v>6397.3405118519004</v>
      </c>
      <c r="AT5338" s="2">
        <v>2794.1299889032198</v>
      </c>
      <c r="AU5338" s="2">
        <v>3630.1512417189201</v>
      </c>
      <c r="AV5338" s="2">
        <v>7513.4799030619197</v>
      </c>
      <c r="AW5338" s="2">
        <v>4558.2791792907101</v>
      </c>
      <c r="AX5338" s="2">
        <v>2283.0644818914898</v>
      </c>
    </row>
    <row r="5339" spans="1:50" x14ac:dyDescent="0.25">
      <c r="A5339" s="2" t="s">
        <v>34895</v>
      </c>
      <c r="B5339" s="2">
        <v>255.16012029307399</v>
      </c>
      <c r="C5339" s="2">
        <v>8.5097333333333296</v>
      </c>
      <c r="D5339" s="2" t="s">
        <v>51</v>
      </c>
      <c r="E5339" s="2" t="s">
        <v>34896</v>
      </c>
      <c r="F5339" s="2">
        <v>83546</v>
      </c>
      <c r="G5339" s="3" t="str">
        <f>HYPERLINK("https://cloud.oebiotech.com/#/lm/network/83546", "https://cloud.oebiotech.com/#/lm/network/83546")</f>
        <v>https://cloud.oebiotech.com/#/lm/network/83546</v>
      </c>
      <c r="H5339" s="2" t="s">
        <v>34897</v>
      </c>
      <c r="I5339" s="2"/>
      <c r="J5339" s="2"/>
      <c r="K5339" s="2">
        <v>134819281</v>
      </c>
      <c r="L5339" s="2"/>
      <c r="M5339" s="2"/>
      <c r="N5339" s="2"/>
      <c r="O5339" s="2"/>
      <c r="P5339" s="2"/>
      <c r="Q5339" s="2"/>
      <c r="R5339" s="2"/>
      <c r="S5339" s="2" t="s">
        <v>34898</v>
      </c>
      <c r="T5339" s="2" t="s">
        <v>34899</v>
      </c>
      <c r="U5339" s="2" t="s">
        <v>56</v>
      </c>
      <c r="V5339" s="2" t="s">
        <v>145</v>
      </c>
      <c r="W5339" s="2" t="s">
        <v>231</v>
      </c>
      <c r="X5339" s="2" t="s">
        <v>69</v>
      </c>
      <c r="Y5339" s="2">
        <v>53.5</v>
      </c>
      <c r="Z5339" s="2">
        <v>47.5</v>
      </c>
      <c r="AA5339" s="2" t="s">
        <v>163</v>
      </c>
      <c r="AB5339" s="2" t="s">
        <v>23913</v>
      </c>
      <c r="AC5339" s="2">
        <v>-0.244070211473259</v>
      </c>
      <c r="AD5339" s="2"/>
      <c r="AE5339" s="2">
        <v>3.6992152622416598E-2</v>
      </c>
      <c r="AF5339" s="2">
        <v>3330.9323016635999</v>
      </c>
      <c r="AG5339" s="2">
        <v>3431.8580517455298</v>
      </c>
      <c r="AH5339" s="4">
        <v>0.97059151382132602</v>
      </c>
      <c r="AI5339" s="4">
        <v>-4.3063848654415898E-2</v>
      </c>
      <c r="AJ5339" s="4" t="s">
        <v>62</v>
      </c>
      <c r="AK5339" s="2">
        <v>0.94301830752704996</v>
      </c>
      <c r="AL5339" s="2">
        <v>0.97589327031342099</v>
      </c>
      <c r="AM5339" s="2">
        <v>1713.5314820532101</v>
      </c>
      <c r="AN5339" s="2">
        <v>1780.68275914725</v>
      </c>
      <c r="AO5339" s="2">
        <v>8801.4579703544205</v>
      </c>
      <c r="AP5339" s="2">
        <v>1537.2617907276899</v>
      </c>
      <c r="AQ5339" s="2">
        <v>2945.6811498330599</v>
      </c>
      <c r="AR5339" s="2">
        <v>3206.97865786597</v>
      </c>
      <c r="AS5339" s="2">
        <v>3735.9187511230598</v>
      </c>
      <c r="AT5339" s="2">
        <v>1339.7874654322</v>
      </c>
      <c r="AU5339" s="2">
        <v>2035.8433579354401</v>
      </c>
      <c r="AV5339" s="2">
        <v>5777.4171720908998</v>
      </c>
      <c r="AW5339" s="2">
        <v>5624.1131176040999</v>
      </c>
      <c r="AX5339" s="2">
        <v>2078.0684462874801</v>
      </c>
    </row>
    <row r="5340" spans="1:50" x14ac:dyDescent="0.25">
      <c r="A5340" s="2" t="s">
        <v>34900</v>
      </c>
      <c r="B5340" s="2">
        <v>299.25220000000002</v>
      </c>
      <c r="C5340" s="2">
        <v>22.393000000000001</v>
      </c>
      <c r="D5340" s="2" t="s">
        <v>125</v>
      </c>
      <c r="E5340" s="2" t="s">
        <v>34901</v>
      </c>
      <c r="F5340" s="2">
        <v>545652</v>
      </c>
      <c r="G5340" s="3" t="str">
        <f>HYPERLINK("https://cloud.oebiotech.com/#/lm/network/545652", "https://cloud.oebiotech.com/#/lm/network/545652")</f>
        <v>https://cloud.oebiotech.com/#/lm/network/545652</v>
      </c>
      <c r="H5340" s="2"/>
      <c r="I5340" s="2"/>
      <c r="J5340" s="2"/>
      <c r="K5340" s="2">
        <v>98037</v>
      </c>
      <c r="L5340" s="2"/>
      <c r="M5340" s="2"/>
      <c r="N5340" s="2"/>
      <c r="O5340" s="2"/>
      <c r="P5340" s="2"/>
      <c r="Q5340" s="2"/>
      <c r="R5340" s="2"/>
      <c r="S5340" s="2" t="s">
        <v>34902</v>
      </c>
      <c r="T5340" s="2" t="s">
        <v>34903</v>
      </c>
      <c r="U5340" s="2" t="s">
        <v>56</v>
      </c>
      <c r="V5340" s="2" t="s">
        <v>145</v>
      </c>
      <c r="W5340" s="2" t="s">
        <v>146</v>
      </c>
      <c r="X5340" s="2" t="s">
        <v>59</v>
      </c>
      <c r="Y5340" s="2">
        <v>76.8</v>
      </c>
      <c r="Z5340" s="2">
        <v>81.3</v>
      </c>
      <c r="AA5340" s="2"/>
      <c r="AB5340" s="2" t="s">
        <v>34904</v>
      </c>
      <c r="AC5340" s="2"/>
      <c r="AD5340" s="2">
        <v>773857.36413043505</v>
      </c>
      <c r="AE5340" s="2">
        <v>3.6958537734744397E-2</v>
      </c>
      <c r="AF5340" s="2">
        <v>19027.269374396899</v>
      </c>
      <c r="AG5340" s="2">
        <v>18506.538828789598</v>
      </c>
      <c r="AH5340" s="5">
        <v>1.0281376518010601</v>
      </c>
      <c r="AI5340" s="5">
        <v>4.0033432115566703E-2</v>
      </c>
      <c r="AJ5340" s="5" t="s">
        <v>139</v>
      </c>
      <c r="AK5340" s="2">
        <v>0.81225379428015199</v>
      </c>
      <c r="AL5340" s="2">
        <v>0.91644826618039998</v>
      </c>
      <c r="AM5340" s="2">
        <v>23669.706535128498</v>
      </c>
      <c r="AN5340" s="2">
        <v>23769.582548429498</v>
      </c>
      <c r="AO5340" s="2">
        <v>13786.2651619975</v>
      </c>
      <c r="AP5340" s="2">
        <v>16321.5210925212</v>
      </c>
      <c r="AQ5340" s="2">
        <v>15605.863293754801</v>
      </c>
      <c r="AR5340" s="2">
        <v>21010.677614549899</v>
      </c>
      <c r="AS5340" s="2">
        <v>14519.632050923699</v>
      </c>
      <c r="AT5340" s="2">
        <v>20509.857403738199</v>
      </c>
      <c r="AU5340" s="2">
        <v>17367.833738273799</v>
      </c>
      <c r="AV5340" s="2">
        <v>17211.4118031994</v>
      </c>
      <c r="AW5340" s="2">
        <v>18517.500311719301</v>
      </c>
      <c r="AX5340" s="2">
        <v>22912.997664883402</v>
      </c>
    </row>
    <row r="5341" spans="1:50" x14ac:dyDescent="0.25">
      <c r="A5341" s="2" t="s">
        <v>34905</v>
      </c>
      <c r="B5341" s="2">
        <v>464.27815093630102</v>
      </c>
      <c r="C5341" s="2">
        <v>10.2658666666667</v>
      </c>
      <c r="D5341" s="2" t="s">
        <v>51</v>
      </c>
      <c r="E5341" s="2" t="s">
        <v>34906</v>
      </c>
      <c r="F5341" s="2">
        <v>21169</v>
      </c>
      <c r="G5341" s="3" t="str">
        <f>HYPERLINK("https://cloud.oebiotech.com/#/lm/network/21169", "https://cloud.oebiotech.com/#/lm/network/21169")</f>
        <v>https://cloud.oebiotech.com/#/lm/network/21169</v>
      </c>
      <c r="H5341" s="2"/>
      <c r="I5341" s="2">
        <v>46714</v>
      </c>
      <c r="J5341" s="2" t="s">
        <v>34907</v>
      </c>
      <c r="K5341" s="2">
        <v>42607464</v>
      </c>
      <c r="L5341" s="2"/>
      <c r="M5341" s="2"/>
      <c r="N5341" s="2"/>
      <c r="O5341" s="2"/>
      <c r="P5341" s="2"/>
      <c r="Q5341" s="2"/>
      <c r="R5341" s="2"/>
      <c r="S5341" s="2" t="s">
        <v>34908</v>
      </c>
      <c r="T5341" s="2" t="s">
        <v>34909</v>
      </c>
      <c r="U5341" s="2" t="s">
        <v>56</v>
      </c>
      <c r="V5341" s="2" t="s">
        <v>57</v>
      </c>
      <c r="W5341" s="2" t="s">
        <v>155</v>
      </c>
      <c r="X5341" s="2" t="s">
        <v>83</v>
      </c>
      <c r="Y5341" s="2">
        <v>43</v>
      </c>
      <c r="Z5341" s="2">
        <v>0</v>
      </c>
      <c r="AA5341" s="2" t="s">
        <v>163</v>
      </c>
      <c r="AB5341" s="2" t="s">
        <v>34910</v>
      </c>
      <c r="AC5341" s="2">
        <v>-0.24074356478376799</v>
      </c>
      <c r="AD5341" s="2"/>
      <c r="AE5341" s="2">
        <v>3.6884133430609298E-2</v>
      </c>
      <c r="AF5341" s="2">
        <v>2611.5192848183101</v>
      </c>
      <c r="AG5341" s="2">
        <v>2608.6926036414302</v>
      </c>
      <c r="AH5341" s="5">
        <v>1.0010835623840599</v>
      </c>
      <c r="AI5341" s="5">
        <v>1.5624037497933201E-3</v>
      </c>
      <c r="AJ5341" s="5" t="s">
        <v>139</v>
      </c>
      <c r="AK5341" s="2">
        <v>0.99619482962411099</v>
      </c>
      <c r="AL5341" s="2">
        <v>0.99787560375879003</v>
      </c>
      <c r="AM5341" s="2">
        <v>2380.6986192443401</v>
      </c>
      <c r="AN5341" s="2">
        <v>4456.5677903814003</v>
      </c>
      <c r="AO5341" s="2">
        <v>2630.3076245091802</v>
      </c>
      <c r="AP5341" s="2">
        <v>1344.4104372961399</v>
      </c>
      <c r="AQ5341" s="2">
        <v>3022.2860061390402</v>
      </c>
      <c r="AR5341" s="2">
        <v>1834.8452313397299</v>
      </c>
      <c r="AS5341" s="2">
        <v>1787.04887246666</v>
      </c>
      <c r="AT5341" s="2">
        <v>3351.6887317672399</v>
      </c>
      <c r="AU5341" s="2">
        <v>3402.8128539600598</v>
      </c>
      <c r="AV5341" s="2">
        <v>3565.0107067972499</v>
      </c>
      <c r="AW5341" s="2">
        <v>1670.79510911632</v>
      </c>
      <c r="AX5341" s="2">
        <v>1874.79934774106</v>
      </c>
    </row>
    <row r="5342" spans="1:50" x14ac:dyDescent="0.25">
      <c r="A5342" s="2" t="s">
        <v>34911</v>
      </c>
      <c r="B5342" s="2">
        <v>279.13851481782098</v>
      </c>
      <c r="C5342" s="2">
        <v>4.6687166666666702</v>
      </c>
      <c r="D5342" s="2" t="s">
        <v>51</v>
      </c>
      <c r="E5342" s="2" t="s">
        <v>34912</v>
      </c>
      <c r="F5342" s="2">
        <v>58097</v>
      </c>
      <c r="G5342" s="3" t="str">
        <f>HYPERLINK("https://cloud.oebiotech.com/#/lm/network/58097", "https://cloud.oebiotech.com/#/lm/network/58097")</f>
        <v>https://cloud.oebiotech.com/#/lm/network/58097</v>
      </c>
      <c r="H5342" s="2" t="s">
        <v>34913</v>
      </c>
      <c r="I5342" s="2">
        <v>89637</v>
      </c>
      <c r="J5342" s="2"/>
      <c r="K5342" s="2">
        <v>14213226</v>
      </c>
      <c r="L5342" s="2"/>
      <c r="M5342" s="2"/>
      <c r="N5342" s="2"/>
      <c r="O5342" s="2">
        <v>174823</v>
      </c>
      <c r="P5342" s="2"/>
      <c r="Q5342" s="2"/>
      <c r="R5342" s="2" t="s">
        <v>34914</v>
      </c>
      <c r="S5342" s="2" t="s">
        <v>34915</v>
      </c>
      <c r="T5342" s="2" t="s">
        <v>34916</v>
      </c>
      <c r="U5342" s="2" t="s">
        <v>540</v>
      </c>
      <c r="V5342" s="2" t="s">
        <v>5605</v>
      </c>
      <c r="W5342" s="2" t="s">
        <v>240</v>
      </c>
      <c r="X5342" s="2" t="s">
        <v>147</v>
      </c>
      <c r="Y5342" s="2">
        <v>37.1</v>
      </c>
      <c r="Z5342" s="2">
        <v>0</v>
      </c>
      <c r="AA5342" s="2" t="s">
        <v>156</v>
      </c>
      <c r="AB5342" s="2" t="s">
        <v>34917</v>
      </c>
      <c r="AC5342" s="2">
        <v>1.8861531494483701</v>
      </c>
      <c r="AD5342" s="2"/>
      <c r="AE5342" s="2">
        <v>3.6798737410664903E-2</v>
      </c>
      <c r="AF5342" s="2">
        <v>1884.27188581121</v>
      </c>
      <c r="AG5342" s="2">
        <v>1141.43214363671</v>
      </c>
      <c r="AH5342" s="5">
        <v>1.6507962355149299</v>
      </c>
      <c r="AI5342" s="5">
        <v>0.72316205353140595</v>
      </c>
      <c r="AJ5342" s="5" t="s">
        <v>139</v>
      </c>
      <c r="AK5342" s="2">
        <v>0.66371700073052797</v>
      </c>
      <c r="AL5342" s="2">
        <v>0.83663677386975799</v>
      </c>
      <c r="AM5342" s="2">
        <v>8.559877937157E-6</v>
      </c>
      <c r="AN5342" s="2">
        <v>1335.5818259579901</v>
      </c>
      <c r="AO5342" s="2">
        <v>861.34083929256701</v>
      </c>
      <c r="AP5342" s="2">
        <v>8.559877937157E-6</v>
      </c>
      <c r="AQ5342" s="2">
        <v>316.83400742594</v>
      </c>
      <c r="AR5342" s="2">
        <v>8791.8746250710101</v>
      </c>
      <c r="AS5342" s="2">
        <v>8.559877937157E-6</v>
      </c>
      <c r="AT5342" s="2">
        <v>8.559877937157E-6</v>
      </c>
      <c r="AU5342" s="2">
        <v>8.559877937157E-6</v>
      </c>
      <c r="AV5342" s="2">
        <v>1395.2359158576201</v>
      </c>
      <c r="AW5342" s="2">
        <v>5453.35691172311</v>
      </c>
      <c r="AX5342" s="2">
        <v>8.559877937157E-6</v>
      </c>
    </row>
    <row r="5343" spans="1:50" x14ac:dyDescent="0.25">
      <c r="A5343" s="2" t="s">
        <v>34918</v>
      </c>
      <c r="B5343" s="2">
        <v>429.26918030075001</v>
      </c>
      <c r="C5343" s="2">
        <v>10.511383333333301</v>
      </c>
      <c r="D5343" s="2" t="s">
        <v>51</v>
      </c>
      <c r="E5343" s="2" t="s">
        <v>34919</v>
      </c>
      <c r="F5343" s="2">
        <v>4</v>
      </c>
      <c r="G5343" s="3" t="str">
        <f>HYPERLINK("https://cloud.oebiotech.com/#/lm/network/4", "https://cloud.oebiotech.com/#/lm/network/4")</f>
        <v>https://cloud.oebiotech.com/#/lm/network/4</v>
      </c>
      <c r="H5343" s="2"/>
      <c r="I5343" s="2"/>
      <c r="J5343" s="2" t="s">
        <v>34920</v>
      </c>
      <c r="K5343" s="2">
        <v>5470079</v>
      </c>
      <c r="L5343" s="2"/>
      <c r="M5343" s="2"/>
      <c r="N5343" s="2"/>
      <c r="O5343" s="2"/>
      <c r="P5343" s="2"/>
      <c r="Q5343" s="2"/>
      <c r="R5343" s="2"/>
      <c r="S5343" s="2" t="s">
        <v>34921</v>
      </c>
      <c r="T5343" s="2" t="s">
        <v>34922</v>
      </c>
      <c r="U5343" s="2" t="s">
        <v>103</v>
      </c>
      <c r="V5343" s="2" t="s">
        <v>104</v>
      </c>
      <c r="W5343" s="2" t="s">
        <v>105</v>
      </c>
      <c r="X5343" s="2" t="s">
        <v>83</v>
      </c>
      <c r="Y5343" s="2">
        <v>37.700000000000003</v>
      </c>
      <c r="Z5343" s="2">
        <v>0</v>
      </c>
      <c r="AA5343" s="2" t="s">
        <v>95</v>
      </c>
      <c r="AB5343" s="2" t="s">
        <v>34923</v>
      </c>
      <c r="AC5343" s="2">
        <v>-7.8715686067633897</v>
      </c>
      <c r="AD5343" s="2"/>
      <c r="AE5343" s="2">
        <v>3.6722489613650697E-2</v>
      </c>
      <c r="AF5343" s="2">
        <v>1624.53024900683</v>
      </c>
      <c r="AG5343" s="2">
        <v>1758.07336158523</v>
      </c>
      <c r="AH5343" s="4">
        <v>0.92404007961420398</v>
      </c>
      <c r="AI5343" s="4">
        <v>-0.11397266596613199</v>
      </c>
      <c r="AJ5343" s="4" t="s">
        <v>62</v>
      </c>
      <c r="AK5343" s="2">
        <v>0.84219902524462797</v>
      </c>
      <c r="AL5343" s="2">
        <v>0.93008474941915098</v>
      </c>
      <c r="AM5343" s="2">
        <v>448.45599230669097</v>
      </c>
      <c r="AN5343" s="2">
        <v>1598.26651361361</v>
      </c>
      <c r="AO5343" s="2">
        <v>2821.02451833857</v>
      </c>
      <c r="AP5343" s="2">
        <v>3775.3160918646599</v>
      </c>
      <c r="AQ5343" s="2">
        <v>867.83553857941797</v>
      </c>
      <c r="AR5343" s="2">
        <v>236.282839338039</v>
      </c>
      <c r="AS5343" s="2">
        <v>1235.53416617785</v>
      </c>
      <c r="AT5343" s="2">
        <v>3053.6519915784302</v>
      </c>
      <c r="AU5343" s="2">
        <v>929.310512398279</v>
      </c>
      <c r="AV5343" s="2">
        <v>1731.30926170309</v>
      </c>
      <c r="AW5343" s="2">
        <v>1459.05177715269</v>
      </c>
      <c r="AX5343" s="2">
        <v>2139.5824605010698</v>
      </c>
    </row>
    <row r="5344" spans="1:50" x14ac:dyDescent="0.25">
      <c r="A5344" s="2" t="s">
        <v>34924</v>
      </c>
      <c r="B5344" s="2">
        <v>268.17644459035301</v>
      </c>
      <c r="C5344" s="2">
        <v>3.2648999999999999</v>
      </c>
      <c r="D5344" s="2" t="s">
        <v>51</v>
      </c>
      <c r="E5344" s="2" t="s">
        <v>34925</v>
      </c>
      <c r="F5344" s="2">
        <v>256623</v>
      </c>
      <c r="G5344" s="3" t="str">
        <f>HYPERLINK("https://cloud.oebiotech.com/#/lm/network/256623", "https://cloud.oebiotech.com/#/lm/network/256623")</f>
        <v>https://cloud.oebiotech.com/#/lm/network/256623</v>
      </c>
      <c r="H5344" s="2" t="s">
        <v>34926</v>
      </c>
      <c r="I5344" s="2"/>
      <c r="J5344" s="2"/>
      <c r="K5344" s="2">
        <v>13944077</v>
      </c>
      <c r="L5344" s="2"/>
      <c r="M5344" s="2"/>
      <c r="N5344" s="2"/>
      <c r="O5344" s="2"/>
      <c r="P5344" s="2"/>
      <c r="Q5344" s="2"/>
      <c r="R5344" s="2"/>
      <c r="S5344" s="2" t="s">
        <v>34927</v>
      </c>
      <c r="T5344" s="2" t="s">
        <v>34928</v>
      </c>
      <c r="U5344" s="2" t="s">
        <v>56</v>
      </c>
      <c r="V5344" s="2" t="s">
        <v>145</v>
      </c>
      <c r="W5344" s="2" t="s">
        <v>3263</v>
      </c>
      <c r="X5344" s="2" t="s">
        <v>147</v>
      </c>
      <c r="Y5344" s="2">
        <v>36.700000000000003</v>
      </c>
      <c r="Z5344" s="2">
        <v>0.85799999999999998</v>
      </c>
      <c r="AA5344" s="2" t="s">
        <v>512</v>
      </c>
      <c r="AB5344" s="2" t="s">
        <v>34929</v>
      </c>
      <c r="AC5344" s="2">
        <v>3.9203287364648101</v>
      </c>
      <c r="AD5344" s="2"/>
      <c r="AE5344" s="2">
        <v>3.6677030387649398E-2</v>
      </c>
      <c r="AF5344" s="2">
        <v>15463.011777809999</v>
      </c>
      <c r="AG5344" s="2">
        <v>15763.1941419541</v>
      </c>
      <c r="AH5344" s="4">
        <v>0.98095675524637505</v>
      </c>
      <c r="AI5344" s="4">
        <v>-2.7738557185727802E-2</v>
      </c>
      <c r="AJ5344" s="4" t="s">
        <v>62</v>
      </c>
      <c r="AK5344" s="2">
        <v>0.87796312631878204</v>
      </c>
      <c r="AL5344" s="2">
        <v>0.94752328784861595</v>
      </c>
      <c r="AM5344" s="2">
        <v>12604.753415944801</v>
      </c>
      <c r="AN5344" s="2">
        <v>17693.840832133301</v>
      </c>
      <c r="AO5344" s="2">
        <v>15646.046320216699</v>
      </c>
      <c r="AP5344" s="2">
        <v>19208.018424937702</v>
      </c>
      <c r="AQ5344" s="2">
        <v>15507.3738979918</v>
      </c>
      <c r="AR5344" s="2">
        <v>12118.037775635399</v>
      </c>
      <c r="AS5344" s="2">
        <v>19590.0142098408</v>
      </c>
      <c r="AT5344" s="2">
        <v>20257.865995141401</v>
      </c>
      <c r="AU5344" s="2">
        <v>13287.7022607287</v>
      </c>
      <c r="AV5344" s="2">
        <v>10731.831363835199</v>
      </c>
      <c r="AW5344" s="2">
        <v>13956.114303525001</v>
      </c>
      <c r="AX5344" s="2">
        <v>16755.636718653401</v>
      </c>
    </row>
    <row r="5345" spans="1:50" x14ac:dyDescent="0.25">
      <c r="A5345" s="2" t="s">
        <v>34930</v>
      </c>
      <c r="B5345" s="2">
        <v>129.05497890843401</v>
      </c>
      <c r="C5345" s="2">
        <v>4.3206499999999997</v>
      </c>
      <c r="D5345" s="2" t="s">
        <v>51</v>
      </c>
      <c r="E5345" s="2" t="s">
        <v>34931</v>
      </c>
      <c r="F5345" s="2">
        <v>1825</v>
      </c>
      <c r="G5345" s="3" t="str">
        <f>HYPERLINK("https://cloud.oebiotech.com/#/lm/network/1825", "https://cloud.oebiotech.com/#/lm/network/1825")</f>
        <v>https://cloud.oebiotech.com/#/lm/network/1825</v>
      </c>
      <c r="H5345" s="2"/>
      <c r="I5345" s="2">
        <v>35628</v>
      </c>
      <c r="J5345" s="2" t="s">
        <v>34932</v>
      </c>
      <c r="K5345" s="2">
        <v>5312826</v>
      </c>
      <c r="L5345" s="2"/>
      <c r="M5345" s="2"/>
      <c r="N5345" s="2"/>
      <c r="O5345" s="2"/>
      <c r="P5345" s="2"/>
      <c r="Q5345" s="2"/>
      <c r="R5345" s="2"/>
      <c r="S5345" s="2" t="s">
        <v>34933</v>
      </c>
      <c r="T5345" s="2" t="s">
        <v>34934</v>
      </c>
      <c r="U5345" s="2" t="s">
        <v>56</v>
      </c>
      <c r="V5345" s="2" t="s">
        <v>145</v>
      </c>
      <c r="W5345" s="2" t="s">
        <v>231</v>
      </c>
      <c r="X5345" s="2" t="s">
        <v>83</v>
      </c>
      <c r="Y5345" s="2">
        <v>40.6</v>
      </c>
      <c r="Z5345" s="2">
        <v>0</v>
      </c>
      <c r="AA5345" s="2" t="s">
        <v>259</v>
      </c>
      <c r="AB5345" s="2" t="s">
        <v>21660</v>
      </c>
      <c r="AC5345" s="2">
        <v>2.7986616719751898</v>
      </c>
      <c r="AD5345" s="2"/>
      <c r="AE5345" s="2">
        <v>3.6631321417021301E-2</v>
      </c>
      <c r="AF5345" s="2">
        <v>891.48631225830195</v>
      </c>
      <c r="AG5345" s="2">
        <v>987.59233183704703</v>
      </c>
      <c r="AH5345" s="4">
        <v>0.90268654739352305</v>
      </c>
      <c r="AI5345" s="4">
        <v>-0.14770298760935599</v>
      </c>
      <c r="AJ5345" s="4" t="s">
        <v>62</v>
      </c>
      <c r="AK5345" s="2">
        <v>0.52730224496267097</v>
      </c>
      <c r="AL5345" s="2">
        <v>0.75541578468508697</v>
      </c>
      <c r="AM5345" s="2">
        <v>769.64959261420699</v>
      </c>
      <c r="AN5345" s="2">
        <v>1100.5201777838499</v>
      </c>
      <c r="AO5345" s="2">
        <v>717.30207012655603</v>
      </c>
      <c r="AP5345" s="2">
        <v>1089.2199098506901</v>
      </c>
      <c r="AQ5345" s="2">
        <v>946.19005232586005</v>
      </c>
      <c r="AR5345" s="2">
        <v>726.03607084864905</v>
      </c>
      <c r="AS5345" s="2">
        <v>1547.4377166260999</v>
      </c>
      <c r="AT5345" s="2">
        <v>972.95243354034403</v>
      </c>
      <c r="AU5345" s="2">
        <v>1065.4870141531501</v>
      </c>
      <c r="AV5345" s="2">
        <v>637.23173260393605</v>
      </c>
      <c r="AW5345" s="2">
        <v>787.814968469674</v>
      </c>
      <c r="AX5345" s="2">
        <v>914.63012562907704</v>
      </c>
    </row>
    <row r="5346" spans="1:50" x14ac:dyDescent="0.25">
      <c r="A5346" s="2" t="s">
        <v>34935</v>
      </c>
      <c r="B5346" s="2">
        <v>533.42165505240598</v>
      </c>
      <c r="C5346" s="2">
        <v>13.932933333333301</v>
      </c>
      <c r="D5346" s="2" t="s">
        <v>51</v>
      </c>
      <c r="E5346" s="2" t="s">
        <v>34936</v>
      </c>
      <c r="F5346" s="2">
        <v>247702</v>
      </c>
      <c r="G5346" s="3" t="str">
        <f>HYPERLINK("https://cloud.oebiotech.com/#/lm/network/247702", "https://cloud.oebiotech.com/#/lm/network/247702")</f>
        <v>https://cloud.oebiotech.com/#/lm/network/247702</v>
      </c>
      <c r="H5346" s="2" t="s">
        <v>34937</v>
      </c>
      <c r="I5346" s="2"/>
      <c r="J5346" s="2"/>
      <c r="K5346" s="2"/>
      <c r="L5346" s="2"/>
      <c r="M5346" s="2"/>
      <c r="N5346" s="2"/>
      <c r="O5346" s="2"/>
      <c r="P5346" s="2"/>
      <c r="Q5346" s="2"/>
      <c r="R5346" s="2"/>
      <c r="S5346" s="2" t="s">
        <v>34938</v>
      </c>
      <c r="T5346" s="2" t="s">
        <v>34939</v>
      </c>
      <c r="U5346" s="2" t="s">
        <v>56</v>
      </c>
      <c r="V5346" s="2" t="s">
        <v>145</v>
      </c>
      <c r="W5346" s="2" t="s">
        <v>187</v>
      </c>
      <c r="X5346" s="2" t="s">
        <v>147</v>
      </c>
      <c r="Y5346" s="2">
        <v>36.799999999999997</v>
      </c>
      <c r="Z5346" s="2">
        <v>0</v>
      </c>
      <c r="AA5346" s="2" t="s">
        <v>156</v>
      </c>
      <c r="AB5346" s="2" t="s">
        <v>22819</v>
      </c>
      <c r="AC5346" s="2">
        <v>2.9136209722061901</v>
      </c>
      <c r="AD5346" s="2"/>
      <c r="AE5346" s="2">
        <v>3.6596659862232699E-2</v>
      </c>
      <c r="AF5346" s="2">
        <v>17864.790117356199</v>
      </c>
      <c r="AG5346" s="2">
        <v>18120.619036274999</v>
      </c>
      <c r="AH5346" s="4">
        <v>0.98588188855984504</v>
      </c>
      <c r="AI5346" s="4">
        <v>-2.0513276880225601E-2</v>
      </c>
      <c r="AJ5346" s="4" t="s">
        <v>62</v>
      </c>
      <c r="AK5346" s="2">
        <v>0.96826196562544897</v>
      </c>
      <c r="AL5346" s="2">
        <v>0.98789676747178101</v>
      </c>
      <c r="AM5346" s="2">
        <v>9879.6428191968807</v>
      </c>
      <c r="AN5346" s="2">
        <v>32312.332464216001</v>
      </c>
      <c r="AO5346" s="2">
        <v>19387.8345099246</v>
      </c>
      <c r="AP5346" s="2">
        <v>24911.839421242599</v>
      </c>
      <c r="AQ5346" s="2">
        <v>15872.788073665801</v>
      </c>
      <c r="AR5346" s="2">
        <v>4824.3034158916098</v>
      </c>
      <c r="AS5346" s="2">
        <v>8.559877937157E-6</v>
      </c>
      <c r="AT5346" s="2">
        <v>16821.1339521681</v>
      </c>
      <c r="AU5346" s="2">
        <v>16739.521601790901</v>
      </c>
      <c r="AV5346" s="2">
        <v>34829.134191829296</v>
      </c>
      <c r="AW5346" s="2">
        <v>25724.3317666203</v>
      </c>
      <c r="AX5346" s="2">
        <v>14609.5926966814</v>
      </c>
    </row>
    <row r="5347" spans="1:50" x14ac:dyDescent="0.25">
      <c r="A5347" s="2" t="s">
        <v>34940</v>
      </c>
      <c r="B5347" s="2">
        <v>267.12148548392798</v>
      </c>
      <c r="C5347" s="2">
        <v>4.7497999999999996</v>
      </c>
      <c r="D5347" s="2" t="s">
        <v>51</v>
      </c>
      <c r="E5347" s="2" t="s">
        <v>34941</v>
      </c>
      <c r="F5347" s="2">
        <v>54706</v>
      </c>
      <c r="G5347" s="3" t="str">
        <f>HYPERLINK("https://cloud.oebiotech.com/#/lm/network/54706", "https://cloud.oebiotech.com/#/lm/network/54706")</f>
        <v>https://cloud.oebiotech.com/#/lm/network/54706</v>
      </c>
      <c r="H5347" s="2" t="s">
        <v>34942</v>
      </c>
      <c r="I5347" s="2">
        <v>86524</v>
      </c>
      <c r="J5347" s="2"/>
      <c r="K5347" s="2">
        <v>468284</v>
      </c>
      <c r="L5347" s="2"/>
      <c r="M5347" s="2"/>
      <c r="N5347" s="2"/>
      <c r="O5347" s="2">
        <v>174715</v>
      </c>
      <c r="P5347" s="2"/>
      <c r="Q5347" s="2"/>
      <c r="R5347" s="2" t="s">
        <v>34943</v>
      </c>
      <c r="S5347" s="2" t="s">
        <v>34944</v>
      </c>
      <c r="T5347" s="2" t="s">
        <v>34945</v>
      </c>
      <c r="U5347" s="2" t="s">
        <v>331</v>
      </c>
      <c r="V5347" s="2" t="s">
        <v>332</v>
      </c>
      <c r="W5347" s="2" t="s">
        <v>333</v>
      </c>
      <c r="X5347" s="2" t="s">
        <v>83</v>
      </c>
      <c r="Y5347" s="2">
        <v>50.1</v>
      </c>
      <c r="Z5347" s="2">
        <v>0</v>
      </c>
      <c r="AA5347" s="2" t="s">
        <v>156</v>
      </c>
      <c r="AB5347" s="2" t="s">
        <v>34946</v>
      </c>
      <c r="AC5347" s="2">
        <v>-4.2749515416586004</v>
      </c>
      <c r="AD5347" s="2"/>
      <c r="AE5347" s="2">
        <v>3.6520099968963902E-2</v>
      </c>
      <c r="AF5347" s="2">
        <v>1358.5489780360599</v>
      </c>
      <c r="AG5347" s="2">
        <v>1184.93991200655</v>
      </c>
      <c r="AH5347" s="5">
        <v>1.14651297021089</v>
      </c>
      <c r="AI5347" s="5">
        <v>0.19725267585468101</v>
      </c>
      <c r="AJ5347" s="5" t="s">
        <v>139</v>
      </c>
      <c r="AK5347" s="2">
        <v>0.37377466767717599</v>
      </c>
      <c r="AL5347" s="2">
        <v>0.65522759550350496</v>
      </c>
      <c r="AM5347" s="2">
        <v>1059.1080818667299</v>
      </c>
      <c r="AN5347" s="2">
        <v>1238.5095689895099</v>
      </c>
      <c r="AO5347" s="2">
        <v>1149.35787141327</v>
      </c>
      <c r="AP5347" s="2">
        <v>1590.71423650823</v>
      </c>
      <c r="AQ5347" s="2">
        <v>1322.6805919670301</v>
      </c>
      <c r="AR5347" s="2">
        <v>1790.9235174716</v>
      </c>
      <c r="AS5347" s="2">
        <v>1388.2280135543599</v>
      </c>
      <c r="AT5347" s="2">
        <v>1665.82155344696</v>
      </c>
      <c r="AU5347" s="2">
        <v>646.78247466143796</v>
      </c>
      <c r="AV5347" s="2">
        <v>1340.53192278132</v>
      </c>
      <c r="AW5347" s="2">
        <v>930.91686724091903</v>
      </c>
      <c r="AX5347" s="2">
        <v>1137.3586403542799</v>
      </c>
    </row>
    <row r="5348" spans="1:50" x14ac:dyDescent="0.25">
      <c r="A5348" s="2" t="s">
        <v>34947</v>
      </c>
      <c r="B5348" s="2">
        <v>307.08803706488698</v>
      </c>
      <c r="C5348" s="2">
        <v>4.2174666666666702</v>
      </c>
      <c r="D5348" s="2" t="s">
        <v>51</v>
      </c>
      <c r="E5348" s="2" t="s">
        <v>34948</v>
      </c>
      <c r="F5348" s="2">
        <v>256252</v>
      </c>
      <c r="G5348" s="3" t="str">
        <f>HYPERLINK("https://cloud.oebiotech.com/#/lm/network/256252", "https://cloud.oebiotech.com/#/lm/network/256252")</f>
        <v>https://cloud.oebiotech.com/#/lm/network/256252</v>
      </c>
      <c r="H5348" s="2" t="s">
        <v>34949</v>
      </c>
      <c r="I5348" s="2"/>
      <c r="J5348" s="2"/>
      <c r="K5348" s="2"/>
      <c r="L5348" s="2"/>
      <c r="M5348" s="2"/>
      <c r="N5348" s="2"/>
      <c r="O5348" s="2"/>
      <c r="P5348" s="2"/>
      <c r="Q5348" s="2"/>
      <c r="R5348" s="2"/>
      <c r="S5348" s="2" t="s">
        <v>34950</v>
      </c>
      <c r="T5348" s="2" t="s">
        <v>34951</v>
      </c>
      <c r="U5348" s="2" t="s">
        <v>266</v>
      </c>
      <c r="V5348" s="2" t="s">
        <v>3926</v>
      </c>
      <c r="W5348" s="2" t="s">
        <v>4115</v>
      </c>
      <c r="X5348" s="2" t="s">
        <v>147</v>
      </c>
      <c r="Y5348" s="2">
        <v>39.1</v>
      </c>
      <c r="Z5348" s="2">
        <v>0</v>
      </c>
      <c r="AA5348" s="2" t="s">
        <v>95</v>
      </c>
      <c r="AB5348" s="2" t="s">
        <v>34952</v>
      </c>
      <c r="AC5348" s="2">
        <v>2.3424418793644102</v>
      </c>
      <c r="AD5348" s="2"/>
      <c r="AE5348" s="2">
        <v>3.64507824890241E-2</v>
      </c>
      <c r="AF5348" s="2">
        <v>1634.3718339059801</v>
      </c>
      <c r="AG5348" s="2">
        <v>1303.2228813593599</v>
      </c>
      <c r="AH5348" s="5">
        <v>1.25410001411364</v>
      </c>
      <c r="AI5348" s="5">
        <v>0.326652407240488</v>
      </c>
      <c r="AJ5348" s="5" t="s">
        <v>139</v>
      </c>
      <c r="AK5348" s="2">
        <v>0.65365913342002901</v>
      </c>
      <c r="AL5348" s="2">
        <v>0.83240942988891198</v>
      </c>
      <c r="AM5348" s="2">
        <v>363.79693553698701</v>
      </c>
      <c r="AN5348" s="2">
        <v>1407.7784929092199</v>
      </c>
      <c r="AO5348" s="2">
        <v>1211.8134878005201</v>
      </c>
      <c r="AP5348" s="2">
        <v>1692.85433849987</v>
      </c>
      <c r="AQ5348" s="2">
        <v>584.44817355035502</v>
      </c>
      <c r="AR5348" s="2">
        <v>4545.5395751389397</v>
      </c>
      <c r="AS5348" s="2">
        <v>207.25429313872701</v>
      </c>
      <c r="AT5348" s="2">
        <v>1446.8118723223999</v>
      </c>
      <c r="AU5348" s="2">
        <v>2307.4600100483699</v>
      </c>
      <c r="AV5348" s="2">
        <v>717.18835713261603</v>
      </c>
      <c r="AW5348" s="2">
        <v>2358.2858359625702</v>
      </c>
      <c r="AX5348" s="2">
        <v>782.336919551449</v>
      </c>
    </row>
    <row r="5349" spans="1:50" x14ac:dyDescent="0.25">
      <c r="A5349" s="2" t="s">
        <v>34953</v>
      </c>
      <c r="B5349" s="2">
        <v>365.19959935713803</v>
      </c>
      <c r="C5349" s="2">
        <v>13.729950000000001</v>
      </c>
      <c r="D5349" s="2" t="s">
        <v>51</v>
      </c>
      <c r="E5349" s="2" t="s">
        <v>34954</v>
      </c>
      <c r="F5349" s="2">
        <v>52531</v>
      </c>
      <c r="G5349" s="3" t="str">
        <f>HYPERLINK("https://cloud.oebiotech.com/#/lm/network/52531", "https://cloud.oebiotech.com/#/lm/network/52531")</f>
        <v>https://cloud.oebiotech.com/#/lm/network/52531</v>
      </c>
      <c r="H5349" s="2" t="s">
        <v>34955</v>
      </c>
      <c r="I5349" s="2">
        <v>85321</v>
      </c>
      <c r="J5349" s="2"/>
      <c r="K5349" s="2">
        <v>14553555</v>
      </c>
      <c r="L5349" s="2"/>
      <c r="M5349" s="2"/>
      <c r="N5349" s="2"/>
      <c r="O5349" s="2"/>
      <c r="P5349" s="2"/>
      <c r="Q5349" s="2"/>
      <c r="R5349" s="2"/>
      <c r="S5349" s="2" t="s">
        <v>34956</v>
      </c>
      <c r="T5349" s="2" t="s">
        <v>34957</v>
      </c>
      <c r="U5349" s="2" t="s">
        <v>266</v>
      </c>
      <c r="V5349" s="2" t="s">
        <v>1742</v>
      </c>
      <c r="W5349" s="2" t="s">
        <v>21672</v>
      </c>
      <c r="X5349" s="2" t="s">
        <v>147</v>
      </c>
      <c r="Y5349" s="2">
        <v>36.200000000000003</v>
      </c>
      <c r="Z5349" s="2">
        <v>0</v>
      </c>
      <c r="AA5349" s="2" t="s">
        <v>122</v>
      </c>
      <c r="AB5349" s="2" t="s">
        <v>34958</v>
      </c>
      <c r="AC5349" s="2">
        <v>1.38425252676898</v>
      </c>
      <c r="AD5349" s="2"/>
      <c r="AE5349" s="2">
        <v>3.6376432562544303E-2</v>
      </c>
      <c r="AF5349" s="2">
        <v>7185.4180576969902</v>
      </c>
      <c r="AG5349" s="2">
        <v>7765.5138511430896</v>
      </c>
      <c r="AH5349" s="4">
        <v>0.92529846645489999</v>
      </c>
      <c r="AI5349" s="4">
        <v>-0.112009295074796</v>
      </c>
      <c r="AJ5349" s="4" t="s">
        <v>62</v>
      </c>
      <c r="AK5349" s="2">
        <v>0.69003952135233604</v>
      </c>
      <c r="AL5349" s="2">
        <v>0.85101051895904001</v>
      </c>
      <c r="AM5349" s="2">
        <v>8723.6051403340498</v>
      </c>
      <c r="AN5349" s="2">
        <v>6744.0244680758196</v>
      </c>
      <c r="AO5349" s="2">
        <v>8176.4388391674302</v>
      </c>
      <c r="AP5349" s="2">
        <v>6086.1178434112398</v>
      </c>
      <c r="AQ5349" s="2">
        <v>7109.25224054316</v>
      </c>
      <c r="AR5349" s="2">
        <v>6273.06981465024</v>
      </c>
      <c r="AS5349" s="2">
        <v>2155.4172759592898</v>
      </c>
      <c r="AT5349" s="2">
        <v>5577.8778039791096</v>
      </c>
      <c r="AU5349" s="2">
        <v>10863.456344653599</v>
      </c>
      <c r="AV5349" s="2">
        <v>10178.5138584792</v>
      </c>
      <c r="AW5349" s="2">
        <v>8946.7673338122695</v>
      </c>
      <c r="AX5349" s="2">
        <v>8871.0504899750904</v>
      </c>
    </row>
    <row r="5350" spans="1:50" x14ac:dyDescent="0.25">
      <c r="A5350" s="2" t="s">
        <v>34959</v>
      </c>
      <c r="B5350" s="2">
        <v>369.337376426047</v>
      </c>
      <c r="C5350" s="2">
        <v>13.554083333333301</v>
      </c>
      <c r="D5350" s="2" t="s">
        <v>51</v>
      </c>
      <c r="E5350" s="2" t="s">
        <v>34960</v>
      </c>
      <c r="F5350" s="2">
        <v>206175</v>
      </c>
      <c r="G5350" s="3" t="str">
        <f>HYPERLINK("https://cloud.oebiotech.com/#/lm/network/206175", "https://cloud.oebiotech.com/#/lm/network/206175")</f>
        <v>https://cloud.oebiotech.com/#/lm/network/206175</v>
      </c>
      <c r="H5350" s="2" t="s">
        <v>34961</v>
      </c>
      <c r="I5350" s="2"/>
      <c r="J5350" s="2"/>
      <c r="K5350" s="2"/>
      <c r="L5350" s="2"/>
      <c r="M5350" s="2"/>
      <c r="N5350" s="2"/>
      <c r="O5350" s="2"/>
      <c r="P5350" s="2"/>
      <c r="Q5350" s="2"/>
      <c r="R5350" s="2"/>
      <c r="S5350" s="2" t="s">
        <v>34962</v>
      </c>
      <c r="T5350" s="2" t="s">
        <v>34963</v>
      </c>
      <c r="U5350" s="2" t="s">
        <v>56</v>
      </c>
      <c r="V5350" s="2" t="s">
        <v>145</v>
      </c>
      <c r="W5350" s="2" t="s">
        <v>1543</v>
      </c>
      <c r="X5350" s="2" t="s">
        <v>147</v>
      </c>
      <c r="Y5350" s="2">
        <v>36.1</v>
      </c>
      <c r="Z5350" s="2">
        <v>0</v>
      </c>
      <c r="AA5350" s="2" t="s">
        <v>218</v>
      </c>
      <c r="AB5350" s="2" t="s">
        <v>34964</v>
      </c>
      <c r="AC5350" s="2">
        <v>-0.13095731410338299</v>
      </c>
      <c r="AD5350" s="2"/>
      <c r="AE5350" s="2">
        <v>3.6366782658578997E-2</v>
      </c>
      <c r="AF5350" s="2">
        <v>1965.16052131072</v>
      </c>
      <c r="AG5350" s="2">
        <v>1754.21962680714</v>
      </c>
      <c r="AH5350" s="5">
        <v>1.1202477108795701</v>
      </c>
      <c r="AI5350" s="5">
        <v>0.16381777848233101</v>
      </c>
      <c r="AJ5350" s="5" t="s">
        <v>139</v>
      </c>
      <c r="AK5350" s="2">
        <v>0.74716905405618395</v>
      </c>
      <c r="AL5350" s="2">
        <v>0.88438089966151401</v>
      </c>
      <c r="AM5350" s="2">
        <v>226.17183656927401</v>
      </c>
      <c r="AN5350" s="2">
        <v>2558.96860685504</v>
      </c>
      <c r="AO5350" s="2">
        <v>3909.36192147161</v>
      </c>
      <c r="AP5350" s="2">
        <v>2629.75155561356</v>
      </c>
      <c r="AQ5350" s="2">
        <v>1294.2084654335099</v>
      </c>
      <c r="AR5350" s="2">
        <v>1172.50074192132</v>
      </c>
      <c r="AS5350" s="2">
        <v>964.14602494989504</v>
      </c>
      <c r="AT5350" s="2">
        <v>2053.1662922453102</v>
      </c>
      <c r="AU5350" s="2">
        <v>3101.7689963423099</v>
      </c>
      <c r="AV5350" s="2">
        <v>1694.33923448112</v>
      </c>
      <c r="AW5350" s="2">
        <v>1915.4487891917199</v>
      </c>
      <c r="AX5350" s="2">
        <v>796.44842363247596</v>
      </c>
    </row>
    <row r="5351" spans="1:50" x14ac:dyDescent="0.25">
      <c r="A5351" s="2" t="s">
        <v>34965</v>
      </c>
      <c r="B5351" s="2">
        <v>337.10568397260403</v>
      </c>
      <c r="C5351" s="2">
        <v>10.0524166666667</v>
      </c>
      <c r="D5351" s="2" t="s">
        <v>51</v>
      </c>
      <c r="E5351" s="2" t="s">
        <v>34966</v>
      </c>
      <c r="F5351" s="2">
        <v>34678</v>
      </c>
      <c r="G5351" s="3" t="str">
        <f>HYPERLINK("https://cloud.oebiotech.com/#/lm/network/34678", "https://cloud.oebiotech.com/#/lm/network/34678")</f>
        <v>https://cloud.oebiotech.com/#/lm/network/34678</v>
      </c>
      <c r="H5351" s="2"/>
      <c r="I5351" s="2">
        <v>52987</v>
      </c>
      <c r="J5351" s="2" t="s">
        <v>34967</v>
      </c>
      <c r="K5351" s="2">
        <v>42608038</v>
      </c>
      <c r="L5351" s="2"/>
      <c r="M5351" s="2"/>
      <c r="N5351" s="2"/>
      <c r="O5351" s="2"/>
      <c r="P5351" s="2"/>
      <c r="Q5351" s="2"/>
      <c r="R5351" s="2"/>
      <c r="S5351" s="2" t="s">
        <v>34968</v>
      </c>
      <c r="T5351" s="2" t="s">
        <v>34969</v>
      </c>
      <c r="U5351" s="2" t="s">
        <v>540</v>
      </c>
      <c r="V5351" s="2" t="s">
        <v>541</v>
      </c>
      <c r="W5351" s="2" t="s">
        <v>24937</v>
      </c>
      <c r="X5351" s="2" t="s">
        <v>83</v>
      </c>
      <c r="Y5351" s="2">
        <v>40.200000000000003</v>
      </c>
      <c r="Z5351" s="2">
        <v>0</v>
      </c>
      <c r="AA5351" s="2" t="s">
        <v>156</v>
      </c>
      <c r="AB5351" s="2" t="s">
        <v>34970</v>
      </c>
      <c r="AC5351" s="2">
        <v>-3.8577580711341199</v>
      </c>
      <c r="AD5351" s="2"/>
      <c r="AE5351" s="2">
        <v>3.6273448069174603E-2</v>
      </c>
      <c r="AF5351" s="2">
        <v>2816.9377390200402</v>
      </c>
      <c r="AG5351" s="2">
        <v>2979.8087865716502</v>
      </c>
      <c r="AH5351" s="4">
        <v>0.94534177888005</v>
      </c>
      <c r="AI5351" s="4">
        <v>-8.1092079257332195E-2</v>
      </c>
      <c r="AJ5351" s="4" t="s">
        <v>62</v>
      </c>
      <c r="AK5351" s="2">
        <v>0.76948940653975495</v>
      </c>
      <c r="AL5351" s="2">
        <v>0.89647931841179795</v>
      </c>
      <c r="AM5351" s="2">
        <v>1696.7715273822901</v>
      </c>
      <c r="AN5351" s="2">
        <v>5034.6510532357297</v>
      </c>
      <c r="AO5351" s="2">
        <v>2335.6680076975599</v>
      </c>
      <c r="AP5351" s="2">
        <v>2672.8946926061799</v>
      </c>
      <c r="AQ5351" s="2">
        <v>3214.9082158646002</v>
      </c>
      <c r="AR5351" s="2">
        <v>1946.7329373339101</v>
      </c>
      <c r="AS5351" s="2">
        <v>2983.1299003689701</v>
      </c>
      <c r="AT5351" s="2">
        <v>3222.1661821652201</v>
      </c>
      <c r="AU5351" s="2">
        <v>2106.6471287485401</v>
      </c>
      <c r="AV5351" s="2">
        <v>2673.5215284102401</v>
      </c>
      <c r="AW5351" s="2">
        <v>3241.0546292878698</v>
      </c>
      <c r="AX5351" s="2">
        <v>3652.3333504490502</v>
      </c>
    </row>
    <row r="5352" spans="1:50" x14ac:dyDescent="0.25">
      <c r="A5352" s="2" t="s">
        <v>34971</v>
      </c>
      <c r="B5352" s="2">
        <v>309.13278764265698</v>
      </c>
      <c r="C5352" s="2">
        <v>9.1970500000000008</v>
      </c>
      <c r="D5352" s="2" t="s">
        <v>51</v>
      </c>
      <c r="E5352" s="2" t="s">
        <v>34972</v>
      </c>
      <c r="F5352" s="2">
        <v>207426</v>
      </c>
      <c r="G5352" s="3" t="str">
        <f>HYPERLINK("https://cloud.oebiotech.com/#/lm/network/207426", "https://cloud.oebiotech.com/#/lm/network/207426")</f>
        <v>https://cloud.oebiotech.com/#/lm/network/207426</v>
      </c>
      <c r="H5352" s="2" t="s">
        <v>34973</v>
      </c>
      <c r="I5352" s="2"/>
      <c r="J5352" s="2"/>
      <c r="K5352" s="2">
        <v>19901570</v>
      </c>
      <c r="L5352" s="2"/>
      <c r="M5352" s="2"/>
      <c r="N5352" s="2"/>
      <c r="O5352" s="2"/>
      <c r="P5352" s="2"/>
      <c r="Q5352" s="2"/>
      <c r="R5352" s="2"/>
      <c r="S5352" s="2" t="s">
        <v>34974</v>
      </c>
      <c r="T5352" s="2" t="s">
        <v>34975</v>
      </c>
      <c r="U5352" s="2" t="s">
        <v>103</v>
      </c>
      <c r="V5352" s="2" t="s">
        <v>104</v>
      </c>
      <c r="W5352" s="2" t="s">
        <v>105</v>
      </c>
      <c r="X5352" s="2" t="s">
        <v>147</v>
      </c>
      <c r="Y5352" s="2">
        <v>38.700000000000003</v>
      </c>
      <c r="Z5352" s="2">
        <v>0</v>
      </c>
      <c r="AA5352" s="2" t="s">
        <v>122</v>
      </c>
      <c r="AB5352" s="2" t="s">
        <v>34976</v>
      </c>
      <c r="AC5352" s="2">
        <v>1.02487172155061</v>
      </c>
      <c r="AD5352" s="2"/>
      <c r="AE5352" s="2">
        <v>3.6245562017604302E-2</v>
      </c>
      <c r="AF5352" s="2">
        <v>1043.4196481993699</v>
      </c>
      <c r="AG5352" s="2">
        <v>1612.4804015213299</v>
      </c>
      <c r="AH5352" s="4">
        <v>0.64708981716300895</v>
      </c>
      <c r="AI5352" s="4">
        <v>-0.62796212025479303</v>
      </c>
      <c r="AJ5352" s="4" t="s">
        <v>62</v>
      </c>
      <c r="AK5352" s="2">
        <v>0.486713168387993</v>
      </c>
      <c r="AL5352" s="2">
        <v>0.73006975258199003</v>
      </c>
      <c r="AM5352" s="2">
        <v>1562.2305434339401</v>
      </c>
      <c r="AN5352" s="2">
        <v>1478.24316442945</v>
      </c>
      <c r="AO5352" s="2">
        <v>642.11128765015405</v>
      </c>
      <c r="AP5352" s="2">
        <v>815.28353301297</v>
      </c>
      <c r="AQ5352" s="2">
        <v>1132.7950680441299</v>
      </c>
      <c r="AR5352" s="2">
        <v>629.85429262559205</v>
      </c>
      <c r="AS5352" s="2">
        <v>609.34029902785903</v>
      </c>
      <c r="AT5352" s="2">
        <v>5412.1961857501801</v>
      </c>
      <c r="AU5352" s="2">
        <v>1316.0684535380999</v>
      </c>
      <c r="AV5352" s="2">
        <v>856.05238189774502</v>
      </c>
      <c r="AW5352" s="2">
        <v>465.80194313846698</v>
      </c>
      <c r="AX5352" s="2">
        <v>1015.42314577563</v>
      </c>
    </row>
    <row r="5353" spans="1:50" x14ac:dyDescent="0.25">
      <c r="A5353" s="2" t="s">
        <v>34977</v>
      </c>
      <c r="B5353" s="2">
        <v>207.102247543598</v>
      </c>
      <c r="C5353" s="2">
        <v>7.3238666666666701</v>
      </c>
      <c r="D5353" s="2" t="s">
        <v>51</v>
      </c>
      <c r="E5353" s="2" t="s">
        <v>34978</v>
      </c>
      <c r="F5353" s="2">
        <v>57809</v>
      </c>
      <c r="G5353" s="3" t="str">
        <f>HYPERLINK("https://cloud.oebiotech.com/#/lm/network/57809", "https://cloud.oebiotech.com/#/lm/network/57809")</f>
        <v>https://cloud.oebiotech.com/#/lm/network/57809</v>
      </c>
      <c r="H5353" s="2" t="s">
        <v>34979</v>
      </c>
      <c r="I5353" s="2">
        <v>89397</v>
      </c>
      <c r="J5353" s="2"/>
      <c r="K5353" s="2">
        <v>19137</v>
      </c>
      <c r="L5353" s="2"/>
      <c r="M5353" s="2"/>
      <c r="N5353" s="2"/>
      <c r="O5353" s="2"/>
      <c r="P5353" s="2"/>
      <c r="Q5353" s="2"/>
      <c r="R5353" s="2" t="s">
        <v>34980</v>
      </c>
      <c r="S5353" s="2" t="s">
        <v>34981</v>
      </c>
      <c r="T5353" s="2" t="s">
        <v>34982</v>
      </c>
      <c r="U5353" s="2" t="s">
        <v>610</v>
      </c>
      <c r="V5353" s="2" t="s">
        <v>34983</v>
      </c>
      <c r="W5353" s="2" t="s">
        <v>240</v>
      </c>
      <c r="X5353" s="2" t="s">
        <v>83</v>
      </c>
      <c r="Y5353" s="2">
        <v>46.9</v>
      </c>
      <c r="Z5353" s="2">
        <v>26.4</v>
      </c>
      <c r="AA5353" s="2" t="s">
        <v>179</v>
      </c>
      <c r="AB5353" s="2" t="s">
        <v>34984</v>
      </c>
      <c r="AC5353" s="2">
        <v>3.2839528136324101</v>
      </c>
      <c r="AD5353" s="2"/>
      <c r="AE5353" s="2">
        <v>3.6122911895566802E-2</v>
      </c>
      <c r="AF5353" s="2">
        <v>4010.2812159078899</v>
      </c>
      <c r="AG5353" s="2">
        <v>4558.0619064164202</v>
      </c>
      <c r="AH5353" s="4">
        <v>0.87982157729419697</v>
      </c>
      <c r="AI5353" s="4">
        <v>-0.184717111650678</v>
      </c>
      <c r="AJ5353" s="4" t="s">
        <v>62</v>
      </c>
      <c r="AK5353" s="2">
        <v>0.759284292390628</v>
      </c>
      <c r="AL5353" s="2">
        <v>0.89152062866139503</v>
      </c>
      <c r="AM5353" s="2">
        <v>6169.1645781576199</v>
      </c>
      <c r="AN5353" s="2">
        <v>3774.6721792968001</v>
      </c>
      <c r="AO5353" s="2">
        <v>3527.9719884821102</v>
      </c>
      <c r="AP5353" s="2">
        <v>1172.32452657207</v>
      </c>
      <c r="AQ5353" s="2">
        <v>2625.4359917350698</v>
      </c>
      <c r="AR5353" s="2">
        <v>6792.1180312036604</v>
      </c>
      <c r="AS5353" s="2">
        <v>5962.3547920300298</v>
      </c>
      <c r="AT5353" s="2">
        <v>4752.7495576779102</v>
      </c>
      <c r="AU5353" s="2">
        <v>1993.93201489023</v>
      </c>
      <c r="AV5353" s="2">
        <v>871.53763419350798</v>
      </c>
      <c r="AW5353" s="2">
        <v>2694.2573156010299</v>
      </c>
      <c r="AX5353" s="2">
        <v>11073.540124105801</v>
      </c>
    </row>
    <row r="5354" spans="1:50" x14ac:dyDescent="0.25">
      <c r="A5354" s="2" t="s">
        <v>34985</v>
      </c>
      <c r="B5354" s="2">
        <v>237.12418122621401</v>
      </c>
      <c r="C5354" s="2">
        <v>5.6494666666666697</v>
      </c>
      <c r="D5354" s="2" t="s">
        <v>51</v>
      </c>
      <c r="E5354" s="2" t="s">
        <v>34986</v>
      </c>
      <c r="F5354" s="2">
        <v>61736</v>
      </c>
      <c r="G5354" s="3" t="str">
        <f>HYPERLINK("https://cloud.oebiotech.com/#/lm/network/61736", "https://cloud.oebiotech.com/#/lm/network/61736")</f>
        <v>https://cloud.oebiotech.com/#/lm/network/61736</v>
      </c>
      <c r="H5354" s="2" t="s">
        <v>34987</v>
      </c>
      <c r="I5354" s="2">
        <v>93058</v>
      </c>
      <c r="J5354" s="2"/>
      <c r="K5354" s="2">
        <v>84128291</v>
      </c>
      <c r="L5354" s="2"/>
      <c r="M5354" s="2"/>
      <c r="N5354" s="2"/>
      <c r="O5354" s="2">
        <v>166550</v>
      </c>
      <c r="P5354" s="2"/>
      <c r="Q5354" s="2"/>
      <c r="R5354" s="2"/>
      <c r="S5354" s="2" t="s">
        <v>34988</v>
      </c>
      <c r="T5354" s="2" t="s">
        <v>34989</v>
      </c>
      <c r="U5354" s="2" t="s">
        <v>266</v>
      </c>
      <c r="V5354" s="2" t="s">
        <v>445</v>
      </c>
      <c r="W5354" s="2" t="s">
        <v>3768</v>
      </c>
      <c r="X5354" s="2" t="s">
        <v>83</v>
      </c>
      <c r="Y5354" s="2">
        <v>44.5</v>
      </c>
      <c r="Z5354" s="2">
        <v>0</v>
      </c>
      <c r="AA5354" s="2" t="s">
        <v>512</v>
      </c>
      <c r="AB5354" s="2" t="s">
        <v>34990</v>
      </c>
      <c r="AC5354" s="2">
        <v>3.7081451361625399</v>
      </c>
      <c r="AD5354" s="2"/>
      <c r="AE5354" s="2">
        <v>3.6062287487629303E-2</v>
      </c>
      <c r="AF5354" s="2">
        <v>852.952806176894</v>
      </c>
      <c r="AG5354" s="2">
        <v>809.61544922376095</v>
      </c>
      <c r="AH5354" s="5">
        <v>1.0535283226063501</v>
      </c>
      <c r="AI5354" s="5">
        <v>7.5229099475082897E-2</v>
      </c>
      <c r="AJ5354" s="5" t="s">
        <v>139</v>
      </c>
      <c r="AK5354" s="2">
        <v>0.89672072986779805</v>
      </c>
      <c r="AL5354" s="2">
        <v>0.95666324765949895</v>
      </c>
      <c r="AM5354" s="2">
        <v>1112.52169442339</v>
      </c>
      <c r="AN5354" s="2">
        <v>862.32411318216805</v>
      </c>
      <c r="AO5354" s="2">
        <v>1009.55336364089</v>
      </c>
      <c r="AP5354" s="2">
        <v>935.07034864596596</v>
      </c>
      <c r="AQ5354" s="2">
        <v>679.93287613762095</v>
      </c>
      <c r="AR5354" s="2">
        <v>518.31444103133003</v>
      </c>
      <c r="AS5354" s="2">
        <v>1185.7948690926601</v>
      </c>
      <c r="AT5354" s="2">
        <v>2206.2830582903298</v>
      </c>
      <c r="AU5354" s="2">
        <v>571.11144706812195</v>
      </c>
      <c r="AV5354" s="2">
        <v>301.07350051993001</v>
      </c>
      <c r="AW5354" s="2">
        <v>340.798815829467</v>
      </c>
      <c r="AX5354" s="2">
        <v>252.631004542055</v>
      </c>
    </row>
    <row r="5355" spans="1:50" x14ac:dyDescent="0.25">
      <c r="A5355" s="2" t="s">
        <v>34991</v>
      </c>
      <c r="B5355" s="2">
        <v>358.91373039130701</v>
      </c>
      <c r="C5355" s="2">
        <v>5.9063833333333298</v>
      </c>
      <c r="D5355" s="2" t="s">
        <v>51</v>
      </c>
      <c r="E5355" s="2" t="s">
        <v>34992</v>
      </c>
      <c r="F5355" s="2">
        <v>277163</v>
      </c>
      <c r="G5355" s="3" t="str">
        <f>HYPERLINK("https://cloud.oebiotech.com/#/lm/network/277163", "https://cloud.oebiotech.com/#/lm/network/277163")</f>
        <v>https://cloud.oebiotech.com/#/lm/network/277163</v>
      </c>
      <c r="H5355" s="2"/>
      <c r="I5355" s="2">
        <v>68882</v>
      </c>
      <c r="J5355" s="2"/>
      <c r="K5355" s="2">
        <v>9001</v>
      </c>
      <c r="L5355" s="2" t="s">
        <v>34993</v>
      </c>
      <c r="M5355" s="2"/>
      <c r="N5355" s="2"/>
      <c r="O5355" s="2"/>
      <c r="P5355" s="2"/>
      <c r="Q5355" s="2"/>
      <c r="R5355" s="2" t="s">
        <v>34994</v>
      </c>
      <c r="S5355" s="2" t="s">
        <v>34995</v>
      </c>
      <c r="T5355" s="2" t="s">
        <v>34996</v>
      </c>
      <c r="U5355" s="2" t="s">
        <v>610</v>
      </c>
      <c r="V5355" s="2" t="s">
        <v>611</v>
      </c>
      <c r="W5355" s="2" t="s">
        <v>2935</v>
      </c>
      <c r="X5355" s="2" t="s">
        <v>147</v>
      </c>
      <c r="Y5355" s="2">
        <v>36.299999999999997</v>
      </c>
      <c r="Z5355" s="2">
        <v>0</v>
      </c>
      <c r="AA5355" s="2" t="s">
        <v>218</v>
      </c>
      <c r="AB5355" s="2" t="s">
        <v>34997</v>
      </c>
      <c r="AC5355" s="2">
        <v>3.9178678894796999</v>
      </c>
      <c r="AD5355" s="2"/>
      <c r="AE5355" s="2">
        <v>3.5952674868094898E-2</v>
      </c>
      <c r="AF5355" s="2">
        <v>1635.2686082144201</v>
      </c>
      <c r="AG5355" s="2">
        <v>1238.5312077828601</v>
      </c>
      <c r="AH5355" s="5">
        <v>1.32032894927353</v>
      </c>
      <c r="AI5355" s="5">
        <v>0.400897410161492</v>
      </c>
      <c r="AJ5355" s="5" t="s">
        <v>139</v>
      </c>
      <c r="AK5355" s="2">
        <v>0.80791950743450902</v>
      </c>
      <c r="AL5355" s="2">
        <v>0.91416392522178003</v>
      </c>
      <c r="AM5355" s="2">
        <v>3545.57966906193</v>
      </c>
      <c r="AN5355" s="2">
        <v>51.783969464450898</v>
      </c>
      <c r="AO5355" s="2">
        <v>8.559877937157E-6</v>
      </c>
      <c r="AP5355" s="2">
        <v>8.559877937157E-6</v>
      </c>
      <c r="AQ5355" s="2">
        <v>6214.2479850805103</v>
      </c>
      <c r="AR5355" s="2">
        <v>8.559877937157E-6</v>
      </c>
      <c r="AS5355" s="2">
        <v>7055.1840264217699</v>
      </c>
      <c r="AT5355" s="2">
        <v>43.3175290889208</v>
      </c>
      <c r="AU5355" s="2">
        <v>63.466805470338599</v>
      </c>
      <c r="AV5355" s="2">
        <v>8.559877937157E-6</v>
      </c>
      <c r="AW5355" s="2">
        <v>61.435801043563799</v>
      </c>
      <c r="AX5355" s="2">
        <v>207.78307611267701</v>
      </c>
    </row>
    <row r="5356" spans="1:50" x14ac:dyDescent="0.25">
      <c r="A5356" s="2" t="s">
        <v>34998</v>
      </c>
      <c r="B5356" s="2">
        <v>151.09922267664001</v>
      </c>
      <c r="C5356" s="2">
        <v>3.1939000000000002</v>
      </c>
      <c r="D5356" s="2" t="s">
        <v>51</v>
      </c>
      <c r="E5356" s="2" t="s">
        <v>34999</v>
      </c>
      <c r="F5356" s="2">
        <v>47731</v>
      </c>
      <c r="G5356" s="3" t="str">
        <f>HYPERLINK("https://cloud.oebiotech.com/#/lm/network/47731", "https://cloud.oebiotech.com/#/lm/network/47731")</f>
        <v>https://cloud.oebiotech.com/#/lm/network/47731</v>
      </c>
      <c r="H5356" s="2" t="s">
        <v>35000</v>
      </c>
      <c r="I5356" s="2">
        <v>1846</v>
      </c>
      <c r="J5356" s="2"/>
      <c r="K5356" s="2">
        <v>26934</v>
      </c>
      <c r="L5356" s="2" t="s">
        <v>35001</v>
      </c>
      <c r="M5356" s="2"/>
      <c r="N5356" s="2"/>
      <c r="O5356" s="2">
        <v>36</v>
      </c>
      <c r="P5356" s="2"/>
      <c r="Q5356" s="2"/>
      <c r="R5356" s="2" t="s">
        <v>35002</v>
      </c>
      <c r="S5356" s="2" t="s">
        <v>35003</v>
      </c>
      <c r="T5356" s="2" t="s">
        <v>35004</v>
      </c>
      <c r="U5356" s="2" t="s">
        <v>610</v>
      </c>
      <c r="V5356" s="2" t="s">
        <v>611</v>
      </c>
      <c r="W5356" s="2" t="s">
        <v>2744</v>
      </c>
      <c r="X5356" s="2" t="s">
        <v>83</v>
      </c>
      <c r="Y5356" s="2">
        <v>40.299999999999997</v>
      </c>
      <c r="Z5356" s="2">
        <v>0</v>
      </c>
      <c r="AA5356" s="2" t="s">
        <v>122</v>
      </c>
      <c r="AB5356" s="2" t="s">
        <v>35005</v>
      </c>
      <c r="AC5356" s="2">
        <v>-3.2525847804132701</v>
      </c>
      <c r="AD5356" s="2"/>
      <c r="AE5356" s="2">
        <v>3.5925406519588601E-2</v>
      </c>
      <c r="AF5356" s="2">
        <v>2525.1881127976399</v>
      </c>
      <c r="AG5356" s="2">
        <v>2702.77626574549</v>
      </c>
      <c r="AH5356" s="4">
        <v>0.93429417181193497</v>
      </c>
      <c r="AI5356" s="4">
        <v>-9.8051226543517001E-2</v>
      </c>
      <c r="AJ5356" s="4" t="s">
        <v>62</v>
      </c>
      <c r="AK5356" s="2">
        <v>0.61702985701278201</v>
      </c>
      <c r="AL5356" s="2">
        <v>0.80992842385250696</v>
      </c>
      <c r="AM5356" s="2">
        <v>2238.8134215383402</v>
      </c>
      <c r="AN5356" s="2">
        <v>2998.1479900755398</v>
      </c>
      <c r="AO5356" s="2">
        <v>2576.9227026016001</v>
      </c>
      <c r="AP5356" s="2">
        <v>2507.4704388437999</v>
      </c>
      <c r="AQ5356" s="2">
        <v>2859.6927586133502</v>
      </c>
      <c r="AR5356" s="2">
        <v>1970.08136511319</v>
      </c>
      <c r="AS5356" s="2">
        <v>3377.6466301369001</v>
      </c>
      <c r="AT5356" s="2">
        <v>3320.6733559004902</v>
      </c>
      <c r="AU5356" s="2">
        <v>2117.8869042757001</v>
      </c>
      <c r="AV5356" s="2">
        <v>1561.9987593477099</v>
      </c>
      <c r="AW5356" s="2">
        <v>2566.045186287</v>
      </c>
      <c r="AX5356" s="2">
        <v>3272.40675852514</v>
      </c>
    </row>
    <row r="5357" spans="1:50" x14ac:dyDescent="0.25">
      <c r="A5357" s="2" t="s">
        <v>35006</v>
      </c>
      <c r="B5357" s="2">
        <v>417.08705222538799</v>
      </c>
      <c r="C5357" s="2">
        <v>3.7296666666666698</v>
      </c>
      <c r="D5357" s="2" t="s">
        <v>51</v>
      </c>
      <c r="E5357" s="2" t="s">
        <v>35007</v>
      </c>
      <c r="F5357" s="2">
        <v>203798</v>
      </c>
      <c r="G5357" s="3" t="str">
        <f>HYPERLINK("https://cloud.oebiotech.com/#/lm/network/203798", "https://cloud.oebiotech.com/#/lm/network/203798")</f>
        <v>https://cloud.oebiotech.com/#/lm/network/203798</v>
      </c>
      <c r="H5357" s="2" t="s">
        <v>35008</v>
      </c>
      <c r="I5357" s="2"/>
      <c r="J5357" s="2"/>
      <c r="K5357" s="2">
        <v>67435898</v>
      </c>
      <c r="L5357" s="2"/>
      <c r="M5357" s="2"/>
      <c r="N5357" s="2"/>
      <c r="O5357" s="2"/>
      <c r="P5357" s="2"/>
      <c r="Q5357" s="2"/>
      <c r="R5357" s="2"/>
      <c r="S5357" s="2" t="s">
        <v>35009</v>
      </c>
      <c r="T5357" s="2" t="s">
        <v>35010</v>
      </c>
      <c r="U5357" s="2" t="s">
        <v>266</v>
      </c>
      <c r="V5357" s="2" t="s">
        <v>1074</v>
      </c>
      <c r="W5357" s="2" t="s">
        <v>35011</v>
      </c>
      <c r="X5357" s="2" t="s">
        <v>147</v>
      </c>
      <c r="Y5357" s="2">
        <v>38.5</v>
      </c>
      <c r="Z5357" s="2">
        <v>0</v>
      </c>
      <c r="AA5357" s="2" t="s">
        <v>478</v>
      </c>
      <c r="AB5357" s="2" t="s">
        <v>35012</v>
      </c>
      <c r="AC5357" s="2">
        <v>-2.4594375769049499</v>
      </c>
      <c r="AD5357" s="2"/>
      <c r="AE5357" s="2">
        <v>3.5914492153584603E-2</v>
      </c>
      <c r="AF5357" s="2">
        <v>6561.4279458565998</v>
      </c>
      <c r="AG5357" s="2">
        <v>5355.0329594427703</v>
      </c>
      <c r="AH5357" s="5">
        <v>1.22528245774595</v>
      </c>
      <c r="AI5357" s="5">
        <v>0.29311436426156001</v>
      </c>
      <c r="AJ5357" s="5" t="s">
        <v>139</v>
      </c>
      <c r="AK5357" s="2">
        <v>0.63056947850758704</v>
      </c>
      <c r="AL5357" s="2">
        <v>0.81902331034159503</v>
      </c>
      <c r="AM5357" s="2">
        <v>2510.4456120468499</v>
      </c>
      <c r="AN5357" s="2">
        <v>537.83268284915596</v>
      </c>
      <c r="AO5357" s="2">
        <v>9736.0925569630199</v>
      </c>
      <c r="AP5357" s="2">
        <v>12067.841689160399</v>
      </c>
      <c r="AQ5357" s="2">
        <v>5880.1120486176897</v>
      </c>
      <c r="AR5357" s="2">
        <v>8636.2430855024904</v>
      </c>
      <c r="AS5357" s="2">
        <v>5989.7241257359201</v>
      </c>
      <c r="AT5357" s="2">
        <v>6033.1306674529396</v>
      </c>
      <c r="AU5357" s="2">
        <v>2935.8558267849799</v>
      </c>
      <c r="AV5357" s="2">
        <v>1814.07565887191</v>
      </c>
      <c r="AW5357" s="2">
        <v>2703.0960592530701</v>
      </c>
      <c r="AX5357" s="2">
        <v>12654.315418557801</v>
      </c>
    </row>
    <row r="5358" spans="1:50" x14ac:dyDescent="0.25">
      <c r="A5358" s="2" t="s">
        <v>35013</v>
      </c>
      <c r="B5358" s="2">
        <v>265.10808451397003</v>
      </c>
      <c r="C5358" s="2">
        <v>8.2502666666666702</v>
      </c>
      <c r="D5358" s="2" t="s">
        <v>51</v>
      </c>
      <c r="E5358" s="2" t="s">
        <v>35014</v>
      </c>
      <c r="F5358" s="2">
        <v>56880</v>
      </c>
      <c r="G5358" s="3" t="str">
        <f>HYPERLINK("https://cloud.oebiotech.com/#/lm/network/56880", "https://cloud.oebiotech.com/#/lm/network/56880")</f>
        <v>https://cloud.oebiotech.com/#/lm/network/56880</v>
      </c>
      <c r="H5358" s="2" t="s">
        <v>35015</v>
      </c>
      <c r="I5358" s="2">
        <v>690783</v>
      </c>
      <c r="J5358" s="2"/>
      <c r="K5358" s="2">
        <v>13308867</v>
      </c>
      <c r="L5358" s="2"/>
      <c r="M5358" s="2"/>
      <c r="N5358" s="2"/>
      <c r="O5358" s="2"/>
      <c r="P5358" s="2"/>
      <c r="Q5358" s="2"/>
      <c r="R5358" s="2" t="s">
        <v>35016</v>
      </c>
      <c r="S5358" s="2" t="s">
        <v>35017</v>
      </c>
      <c r="T5358" s="2" t="s">
        <v>35018</v>
      </c>
      <c r="U5358" s="2" t="s">
        <v>331</v>
      </c>
      <c r="V5358" s="2" t="s">
        <v>332</v>
      </c>
      <c r="W5358" s="2" t="s">
        <v>1207</v>
      </c>
      <c r="X5358" s="2" t="s">
        <v>83</v>
      </c>
      <c r="Y5358" s="2">
        <v>43.4</v>
      </c>
      <c r="Z5358" s="2">
        <v>0</v>
      </c>
      <c r="AA5358" s="2" t="s">
        <v>218</v>
      </c>
      <c r="AB5358" s="2" t="s">
        <v>22337</v>
      </c>
      <c r="AC5358" s="2">
        <v>-0.28498407859358299</v>
      </c>
      <c r="AD5358" s="2"/>
      <c r="AE5358" s="2">
        <v>3.5895873183152197E-2</v>
      </c>
      <c r="AF5358" s="2">
        <v>1361.30601946869</v>
      </c>
      <c r="AG5358" s="2">
        <v>1437.7247040115501</v>
      </c>
      <c r="AH5358" s="4">
        <v>0.94684748454996803</v>
      </c>
      <c r="AI5358" s="4">
        <v>-7.8796035617809901E-2</v>
      </c>
      <c r="AJ5358" s="4" t="s">
        <v>62</v>
      </c>
      <c r="AK5358" s="2">
        <v>0.88188058826268401</v>
      </c>
      <c r="AL5358" s="2">
        <v>0.94825142973339605</v>
      </c>
      <c r="AM5358" s="2">
        <v>264.18948284950199</v>
      </c>
      <c r="AN5358" s="2">
        <v>2403.96242172641</v>
      </c>
      <c r="AO5358" s="2">
        <v>361.32298131487102</v>
      </c>
      <c r="AP5358" s="2">
        <v>1117.4576393555101</v>
      </c>
      <c r="AQ5358" s="2">
        <v>1184.34997380351</v>
      </c>
      <c r="AR5358" s="2">
        <v>2836.5536177623198</v>
      </c>
      <c r="AS5358" s="2">
        <v>1648.33935562543</v>
      </c>
      <c r="AT5358" s="2">
        <v>1433.9009138825099</v>
      </c>
      <c r="AU5358" s="2">
        <v>1121.2820604711101</v>
      </c>
      <c r="AV5358" s="2">
        <v>864.42348221182601</v>
      </c>
      <c r="AW5358" s="2">
        <v>2577.9498080036401</v>
      </c>
      <c r="AX5358" s="2">
        <v>980.452603874803</v>
      </c>
    </row>
    <row r="5359" spans="1:50" x14ac:dyDescent="0.25">
      <c r="A5359" s="2" t="s">
        <v>35019</v>
      </c>
      <c r="B5359" s="2">
        <v>253.14449662262001</v>
      </c>
      <c r="C5359" s="2">
        <v>8.0803833333333301</v>
      </c>
      <c r="D5359" s="2" t="s">
        <v>51</v>
      </c>
      <c r="E5359" s="2" t="s">
        <v>35020</v>
      </c>
      <c r="F5359" s="2">
        <v>63442</v>
      </c>
      <c r="G5359" s="3" t="str">
        <f>HYPERLINK("https://cloud.oebiotech.com/#/lm/network/63442", "https://cloud.oebiotech.com/#/lm/network/63442")</f>
        <v>https://cloud.oebiotech.com/#/lm/network/63442</v>
      </c>
      <c r="H5359" s="2" t="s">
        <v>35021</v>
      </c>
      <c r="I5359" s="2">
        <v>94764</v>
      </c>
      <c r="J5359" s="2"/>
      <c r="K5359" s="2">
        <v>540316</v>
      </c>
      <c r="L5359" s="2"/>
      <c r="M5359" s="2"/>
      <c r="N5359" s="2"/>
      <c r="O5359" s="2"/>
      <c r="P5359" s="2"/>
      <c r="Q5359" s="2"/>
      <c r="R5359" s="2" t="s">
        <v>35022</v>
      </c>
      <c r="S5359" s="2" t="s">
        <v>35023</v>
      </c>
      <c r="T5359" s="2" t="s">
        <v>35024</v>
      </c>
      <c r="U5359" s="2" t="s">
        <v>266</v>
      </c>
      <c r="V5359" s="2" t="s">
        <v>1785</v>
      </c>
      <c r="W5359" s="2" t="s">
        <v>240</v>
      </c>
      <c r="X5359" s="2" t="s">
        <v>83</v>
      </c>
      <c r="Y5359" s="2">
        <v>53.2</v>
      </c>
      <c r="Z5359" s="2">
        <v>39.799999999999997</v>
      </c>
      <c r="AA5359" s="2" t="s">
        <v>218</v>
      </c>
      <c r="AB5359" s="2" t="s">
        <v>7088</v>
      </c>
      <c r="AC5359" s="2">
        <v>-0.173569717911114</v>
      </c>
      <c r="AD5359" s="2"/>
      <c r="AE5359" s="2">
        <v>3.5868098873065399E-2</v>
      </c>
      <c r="AF5359" s="2">
        <v>1089.4495755135499</v>
      </c>
      <c r="AG5359" s="2">
        <v>1023.48988689729</v>
      </c>
      <c r="AH5359" s="5">
        <v>1.06444586259295</v>
      </c>
      <c r="AI5359" s="5">
        <v>9.0102576605790102E-2</v>
      </c>
      <c r="AJ5359" s="5" t="s">
        <v>139</v>
      </c>
      <c r="AK5359" s="2">
        <v>0.82424720642492799</v>
      </c>
      <c r="AL5359" s="2">
        <v>0.92318982698311502</v>
      </c>
      <c r="AM5359" s="2">
        <v>1113.21694512216</v>
      </c>
      <c r="AN5359" s="2">
        <v>909.62816386443296</v>
      </c>
      <c r="AO5359" s="2">
        <v>1245.7330980434001</v>
      </c>
      <c r="AP5359" s="2">
        <v>860.20630734283498</v>
      </c>
      <c r="AQ5359" s="2">
        <v>987.97116348338398</v>
      </c>
      <c r="AR5359" s="2">
        <v>1419.9417752250799</v>
      </c>
      <c r="AS5359" s="2">
        <v>757.83049168787102</v>
      </c>
      <c r="AT5359" s="2">
        <v>2353.26935252362</v>
      </c>
      <c r="AU5359" s="2">
        <v>714.94450079627597</v>
      </c>
      <c r="AV5359" s="2">
        <v>693.02513411679104</v>
      </c>
      <c r="AW5359" s="2">
        <v>1082.8884228684799</v>
      </c>
      <c r="AX5359" s="2">
        <v>538.981419390714</v>
      </c>
    </row>
    <row r="5360" spans="1:50" x14ac:dyDescent="0.25">
      <c r="A5360" s="2" t="s">
        <v>35025</v>
      </c>
      <c r="B5360" s="2">
        <v>235.10859905180001</v>
      </c>
      <c r="C5360" s="2">
        <v>2.7164666666666699</v>
      </c>
      <c r="D5360" s="2" t="s">
        <v>51</v>
      </c>
      <c r="E5360" s="2" t="s">
        <v>35026</v>
      </c>
      <c r="F5360" s="2">
        <v>48286</v>
      </c>
      <c r="G5360" s="3" t="str">
        <f>HYPERLINK("https://cloud.oebiotech.com/#/lm/network/48286", "https://cloud.oebiotech.com/#/lm/network/48286")</f>
        <v>https://cloud.oebiotech.com/#/lm/network/48286</v>
      </c>
      <c r="H5360" s="2" t="s">
        <v>35027</v>
      </c>
      <c r="I5360" s="2">
        <v>24110</v>
      </c>
      <c r="J5360" s="2"/>
      <c r="K5360" s="2">
        <v>150885</v>
      </c>
      <c r="L5360" s="2" t="s">
        <v>35028</v>
      </c>
      <c r="M5360" s="2" t="s">
        <v>15319</v>
      </c>
      <c r="N5360" s="2" t="s">
        <v>15320</v>
      </c>
      <c r="O5360" s="2">
        <v>48294</v>
      </c>
      <c r="P5360" s="2"/>
      <c r="Q5360" s="2"/>
      <c r="R5360" s="2" t="s">
        <v>35029</v>
      </c>
      <c r="S5360" s="2" t="s">
        <v>35030</v>
      </c>
      <c r="T5360" s="2" t="s">
        <v>35031</v>
      </c>
      <c r="U5360" s="2" t="s">
        <v>266</v>
      </c>
      <c r="V5360" s="2" t="s">
        <v>445</v>
      </c>
      <c r="W5360" s="2" t="s">
        <v>3500</v>
      </c>
      <c r="X5360" s="2" t="s">
        <v>83</v>
      </c>
      <c r="Y5360" s="2">
        <v>45.1</v>
      </c>
      <c r="Z5360" s="2">
        <v>0</v>
      </c>
      <c r="AA5360" s="2" t="s">
        <v>218</v>
      </c>
      <c r="AB5360" s="2" t="s">
        <v>35032</v>
      </c>
      <c r="AC5360" s="2">
        <v>-1.1408954852711199</v>
      </c>
      <c r="AD5360" s="2"/>
      <c r="AE5360" s="2">
        <v>3.5747697843216103E-2</v>
      </c>
      <c r="AF5360" s="2">
        <v>1933.2392788382399</v>
      </c>
      <c r="AG5360" s="2">
        <v>2214.47797727032</v>
      </c>
      <c r="AH5360" s="4">
        <v>0.87300000211393103</v>
      </c>
      <c r="AI5360" s="4">
        <v>-0.195946437539225</v>
      </c>
      <c r="AJ5360" s="4" t="s">
        <v>62</v>
      </c>
      <c r="AK5360" s="2">
        <v>0.90103714497783804</v>
      </c>
      <c r="AL5360" s="2">
        <v>0.95902788270588402</v>
      </c>
      <c r="AM5360" s="2">
        <v>4602.6847546962099</v>
      </c>
      <c r="AN5360" s="2">
        <v>115.052768872473</v>
      </c>
      <c r="AO5360" s="2">
        <v>8.559877937157E-6</v>
      </c>
      <c r="AP5360" s="2">
        <v>8.559877937157E-6</v>
      </c>
      <c r="AQ5360" s="2">
        <v>4808.4629814873397</v>
      </c>
      <c r="AR5360" s="2">
        <v>2073.2351508536499</v>
      </c>
      <c r="AS5360" s="2">
        <v>8.559877937157E-6</v>
      </c>
      <c r="AT5360" s="2">
        <v>8.559877937157E-6</v>
      </c>
      <c r="AU5360" s="2">
        <v>796.87618997216998</v>
      </c>
      <c r="AV5360" s="2">
        <v>12180.371975836</v>
      </c>
      <c r="AW5360" s="2">
        <v>8.559877937157E-6</v>
      </c>
      <c r="AX5360" s="2">
        <v>309.61967213408502</v>
      </c>
    </row>
    <row r="5361" spans="1:50" x14ac:dyDescent="0.25">
      <c r="A5361" s="2" t="s">
        <v>35033</v>
      </c>
      <c r="B5361" s="2">
        <v>297.24347480216102</v>
      </c>
      <c r="C5361" s="2">
        <v>12.363666666666701</v>
      </c>
      <c r="D5361" s="2" t="s">
        <v>51</v>
      </c>
      <c r="E5361" s="2" t="s">
        <v>35034</v>
      </c>
      <c r="F5361" s="2">
        <v>3229</v>
      </c>
      <c r="G5361" s="3" t="str">
        <f>HYPERLINK("https://cloud.oebiotech.com/#/lm/network/3229", "https://cloud.oebiotech.com/#/lm/network/3229")</f>
        <v>https://cloud.oebiotech.com/#/lm/network/3229</v>
      </c>
      <c r="H5361" s="2"/>
      <c r="I5361" s="2">
        <v>74803</v>
      </c>
      <c r="J5361" s="2" t="s">
        <v>35035</v>
      </c>
      <c r="K5361" s="2">
        <v>656738</v>
      </c>
      <c r="L5361" s="2" t="s">
        <v>35036</v>
      </c>
      <c r="M5361" s="2"/>
      <c r="N5361" s="2"/>
      <c r="O5361" s="2">
        <v>34004</v>
      </c>
      <c r="P5361" s="2"/>
      <c r="Q5361" s="2"/>
      <c r="R5361" s="2"/>
      <c r="S5361" s="2" t="s">
        <v>35037</v>
      </c>
      <c r="T5361" s="2" t="s">
        <v>35038</v>
      </c>
      <c r="U5361" s="2" t="s">
        <v>56</v>
      </c>
      <c r="V5361" s="2" t="s">
        <v>145</v>
      </c>
      <c r="W5361" s="2" t="s">
        <v>231</v>
      </c>
      <c r="X5361" s="2" t="s">
        <v>69</v>
      </c>
      <c r="Y5361" s="2">
        <v>55.8</v>
      </c>
      <c r="Z5361" s="2">
        <v>47.8</v>
      </c>
      <c r="AA5361" s="2" t="s">
        <v>163</v>
      </c>
      <c r="AB5361" s="2" t="s">
        <v>8747</v>
      </c>
      <c r="AC5361" s="2">
        <v>-0.146570939875138</v>
      </c>
      <c r="AD5361" s="2"/>
      <c r="AE5361" s="2">
        <v>3.5556322290171999E-2</v>
      </c>
      <c r="AF5361" s="2">
        <v>20869.857076248201</v>
      </c>
      <c r="AG5361" s="2">
        <v>21691.656442985</v>
      </c>
      <c r="AH5361" s="4">
        <v>0.962114494626226</v>
      </c>
      <c r="AI5361" s="4">
        <v>-5.5719505465269999E-2</v>
      </c>
      <c r="AJ5361" s="4" t="s">
        <v>62</v>
      </c>
      <c r="AK5361" s="2">
        <v>0.77285481622041097</v>
      </c>
      <c r="AL5361" s="2">
        <v>0.89844045281534801</v>
      </c>
      <c r="AM5361" s="2">
        <v>21678.813398578699</v>
      </c>
      <c r="AN5361" s="2">
        <v>23005.467643224802</v>
      </c>
      <c r="AO5361" s="2">
        <v>20120.255693536401</v>
      </c>
      <c r="AP5361" s="2">
        <v>17256.589648979101</v>
      </c>
      <c r="AQ5361" s="2">
        <v>21070.226234316498</v>
      </c>
      <c r="AR5361" s="2">
        <v>22087.789838854002</v>
      </c>
      <c r="AS5361" s="2">
        <v>15762.002265678901</v>
      </c>
      <c r="AT5361" s="2">
        <v>15771.9021717291</v>
      </c>
      <c r="AU5361" s="2">
        <v>30449.3266588318</v>
      </c>
      <c r="AV5361" s="2">
        <v>19688.869700148101</v>
      </c>
      <c r="AW5361" s="2">
        <v>29039.579057876301</v>
      </c>
      <c r="AX5361" s="2">
        <v>19438.258803645898</v>
      </c>
    </row>
    <row r="5362" spans="1:50" x14ac:dyDescent="0.25">
      <c r="A5362" s="2" t="s">
        <v>35039</v>
      </c>
      <c r="B5362" s="2">
        <v>383.241995154373</v>
      </c>
      <c r="C5362" s="2">
        <v>10.2258</v>
      </c>
      <c r="D5362" s="2" t="s">
        <v>51</v>
      </c>
      <c r="E5362" s="2" t="s">
        <v>35040</v>
      </c>
      <c r="F5362" s="2">
        <v>3940</v>
      </c>
      <c r="G5362" s="3" t="str">
        <f>HYPERLINK("https://cloud.oebiotech.com/#/lm/network/3940", "https://cloud.oebiotech.com/#/lm/network/3940")</f>
        <v>https://cloud.oebiotech.com/#/lm/network/3940</v>
      </c>
      <c r="H5362" s="2" t="s">
        <v>35041</v>
      </c>
      <c r="I5362" s="2"/>
      <c r="J5362" s="2" t="s">
        <v>35042</v>
      </c>
      <c r="K5362" s="2">
        <v>5283146</v>
      </c>
      <c r="L5362" s="2" t="s">
        <v>35043</v>
      </c>
      <c r="M5362" s="2" t="s">
        <v>305</v>
      </c>
      <c r="N5362" s="2" t="s">
        <v>306</v>
      </c>
      <c r="O5362" s="2">
        <v>63969</v>
      </c>
      <c r="P5362" s="2" t="s">
        <v>15175</v>
      </c>
      <c r="Q5362" s="2" t="s">
        <v>15176</v>
      </c>
      <c r="R5362" s="2" t="s">
        <v>35044</v>
      </c>
      <c r="S5362" s="2" t="s">
        <v>35045</v>
      </c>
      <c r="T5362" s="2" t="s">
        <v>35046</v>
      </c>
      <c r="U5362" s="2" t="s">
        <v>56</v>
      </c>
      <c r="V5362" s="2" t="s">
        <v>145</v>
      </c>
      <c r="W5362" s="2" t="s">
        <v>187</v>
      </c>
      <c r="X5362" s="2" t="s">
        <v>83</v>
      </c>
      <c r="Y5362" s="2">
        <v>39.799999999999997</v>
      </c>
      <c r="Z5362" s="2">
        <v>0</v>
      </c>
      <c r="AA5362" s="2" t="s">
        <v>218</v>
      </c>
      <c r="AB5362" s="2" t="s">
        <v>2182</v>
      </c>
      <c r="AC5362" s="2">
        <v>-5.6683180079055902</v>
      </c>
      <c r="AD5362" s="2"/>
      <c r="AE5362" s="2">
        <v>3.55421190226516E-2</v>
      </c>
      <c r="AF5362" s="2">
        <v>794.82758961701097</v>
      </c>
      <c r="AG5362" s="2">
        <v>710.18702352167998</v>
      </c>
      <c r="AH5362" s="5">
        <v>1.11918067113591</v>
      </c>
      <c r="AI5362" s="5">
        <v>0.16244295169575201</v>
      </c>
      <c r="AJ5362" s="5" t="s">
        <v>139</v>
      </c>
      <c r="AK5362" s="2">
        <v>0.68422435472682697</v>
      </c>
      <c r="AL5362" s="2">
        <v>0.84771285350859205</v>
      </c>
      <c r="AM5362" s="2">
        <v>1044.48129759983</v>
      </c>
      <c r="AN5362" s="2">
        <v>567.76797143520105</v>
      </c>
      <c r="AO5362" s="2">
        <v>917.54271892440897</v>
      </c>
      <c r="AP5362" s="2">
        <v>614.49056012200901</v>
      </c>
      <c r="AQ5362" s="2">
        <v>1047.7612341729</v>
      </c>
      <c r="AR5362" s="2">
        <v>576.92175544771897</v>
      </c>
      <c r="AS5362" s="2">
        <v>339.70452706800302</v>
      </c>
      <c r="AT5362" s="2">
        <v>363.78145462567699</v>
      </c>
      <c r="AU5362" s="2">
        <v>1307.3911926795299</v>
      </c>
      <c r="AV5362" s="2">
        <v>512.47974804366504</v>
      </c>
      <c r="AW5362" s="2">
        <v>1221.8366054672399</v>
      </c>
      <c r="AX5362" s="2">
        <v>515.92861324596799</v>
      </c>
    </row>
    <row r="5363" spans="1:50" x14ac:dyDescent="0.25">
      <c r="A5363" s="2" t="s">
        <v>35047</v>
      </c>
      <c r="B5363" s="2">
        <v>269.16162971842402</v>
      </c>
      <c r="C5363" s="2">
        <v>0.74455000000000005</v>
      </c>
      <c r="D5363" s="2" t="s">
        <v>51</v>
      </c>
      <c r="E5363" s="2" t="s">
        <v>35048</v>
      </c>
      <c r="F5363" s="2">
        <v>52186</v>
      </c>
      <c r="G5363" s="3" t="str">
        <f>HYPERLINK("https://cloud.oebiotech.com/#/lm/network/52186", "https://cloud.oebiotech.com/#/lm/network/52186")</f>
        <v>https://cloud.oebiotech.com/#/lm/network/52186</v>
      </c>
      <c r="H5363" s="2" t="s">
        <v>35049</v>
      </c>
      <c r="I5363" s="2"/>
      <c r="J5363" s="2"/>
      <c r="K5363" s="2">
        <v>16226475</v>
      </c>
      <c r="L5363" s="2"/>
      <c r="M5363" s="2"/>
      <c r="N5363" s="2"/>
      <c r="O5363" s="2">
        <v>85095</v>
      </c>
      <c r="P5363" s="2"/>
      <c r="Q5363" s="2"/>
      <c r="R5363" s="2" t="s">
        <v>35050</v>
      </c>
      <c r="S5363" s="2" t="s">
        <v>35051</v>
      </c>
      <c r="T5363" s="2" t="s">
        <v>35052</v>
      </c>
      <c r="U5363" s="2" t="s">
        <v>56</v>
      </c>
      <c r="V5363" s="2" t="s">
        <v>145</v>
      </c>
      <c r="W5363" s="2" t="s">
        <v>1188</v>
      </c>
      <c r="X5363" s="2" t="s">
        <v>83</v>
      </c>
      <c r="Y5363" s="2">
        <v>37.4</v>
      </c>
      <c r="Z5363" s="2">
        <v>7.3499999999999998E-3</v>
      </c>
      <c r="AA5363" s="2" t="s">
        <v>95</v>
      </c>
      <c r="AB5363" s="2" t="s">
        <v>35053</v>
      </c>
      <c r="AC5363" s="2">
        <v>7.6198628626642204</v>
      </c>
      <c r="AD5363" s="2"/>
      <c r="AE5363" s="2">
        <v>3.5541078228162902E-2</v>
      </c>
      <c r="AF5363" s="2">
        <v>16438.034971460002</v>
      </c>
      <c r="AG5363" s="2">
        <v>21001.519222309002</v>
      </c>
      <c r="AH5363" s="4">
        <v>0.78270694598125001</v>
      </c>
      <c r="AI5363" s="4">
        <v>-0.35345584703621702</v>
      </c>
      <c r="AJ5363" s="4" t="s">
        <v>62</v>
      </c>
      <c r="AK5363" s="2">
        <v>0.67772796219216302</v>
      </c>
      <c r="AL5363" s="2">
        <v>0.84371375792301695</v>
      </c>
      <c r="AM5363" s="2">
        <v>30419.446029186602</v>
      </c>
      <c r="AN5363" s="2">
        <v>20130.033039438898</v>
      </c>
      <c r="AO5363" s="2">
        <v>12351.577150904801</v>
      </c>
      <c r="AP5363" s="2">
        <v>10292.9278839076</v>
      </c>
      <c r="AQ5363" s="2">
        <v>8884.6604597840906</v>
      </c>
      <c r="AR5363" s="2">
        <v>16549.565265537702</v>
      </c>
      <c r="AS5363" s="2">
        <v>1022.94612196229</v>
      </c>
      <c r="AT5363" s="2">
        <v>8168.8907177256297</v>
      </c>
      <c r="AU5363" s="2">
        <v>70347.612523866206</v>
      </c>
      <c r="AV5363" s="2">
        <v>15335.9819349916</v>
      </c>
      <c r="AW5363" s="2">
        <v>15439.199322565801</v>
      </c>
      <c r="AX5363" s="2">
        <v>15694.4847127422</v>
      </c>
    </row>
    <row r="5364" spans="1:50" x14ac:dyDescent="0.25">
      <c r="A5364" s="2" t="s">
        <v>35054</v>
      </c>
      <c r="B5364" s="2">
        <v>286.17732656144398</v>
      </c>
      <c r="C5364" s="2">
        <v>3.8572500000000001</v>
      </c>
      <c r="D5364" s="2" t="s">
        <v>51</v>
      </c>
      <c r="E5364" s="2" t="s">
        <v>35055</v>
      </c>
      <c r="F5364" s="2">
        <v>262799</v>
      </c>
      <c r="G5364" s="3" t="str">
        <f>HYPERLINK("https://cloud.oebiotech.com/#/lm/network/262799", "https://cloud.oebiotech.com/#/lm/network/262799")</f>
        <v>https://cloud.oebiotech.com/#/lm/network/262799</v>
      </c>
      <c r="H5364" s="2"/>
      <c r="I5364" s="2">
        <v>20181</v>
      </c>
      <c r="J5364" s="2"/>
      <c r="K5364" s="2">
        <v>101619736</v>
      </c>
      <c r="L5364" s="2"/>
      <c r="M5364" s="2"/>
      <c r="N5364" s="2"/>
      <c r="O5364" s="2"/>
      <c r="P5364" s="2"/>
      <c r="Q5364" s="2"/>
      <c r="R5364" s="2"/>
      <c r="S5364" s="2" t="s">
        <v>35056</v>
      </c>
      <c r="T5364" s="2" t="s">
        <v>35057</v>
      </c>
      <c r="U5364" s="2" t="s">
        <v>103</v>
      </c>
      <c r="V5364" s="2" t="s">
        <v>104</v>
      </c>
      <c r="W5364" s="2" t="s">
        <v>105</v>
      </c>
      <c r="X5364" s="2" t="s">
        <v>83</v>
      </c>
      <c r="Y5364" s="2">
        <v>49.2</v>
      </c>
      <c r="Z5364" s="2">
        <v>13.5</v>
      </c>
      <c r="AA5364" s="2" t="s">
        <v>259</v>
      </c>
      <c r="AB5364" s="2" t="s">
        <v>35058</v>
      </c>
      <c r="AC5364" s="2">
        <v>4.1866394879257802</v>
      </c>
      <c r="AD5364" s="2"/>
      <c r="AE5364" s="2">
        <v>3.5445438249426198E-2</v>
      </c>
      <c r="AF5364" s="2">
        <v>889.66674055671206</v>
      </c>
      <c r="AG5364" s="2">
        <v>648.72134771875903</v>
      </c>
      <c r="AH5364" s="5">
        <v>1.37141585317832</v>
      </c>
      <c r="AI5364" s="5">
        <v>0.45566610455832302</v>
      </c>
      <c r="AJ5364" s="5" t="s">
        <v>139</v>
      </c>
      <c r="AK5364" s="2">
        <v>0.64361915539633896</v>
      </c>
      <c r="AL5364" s="2">
        <v>0.82609223444636803</v>
      </c>
      <c r="AM5364" s="2">
        <v>459.807419704572</v>
      </c>
      <c r="AN5364" s="2">
        <v>856.37024258899703</v>
      </c>
      <c r="AO5364" s="2">
        <v>150.87819226710499</v>
      </c>
      <c r="AP5364" s="2">
        <v>8.559877937157E-6</v>
      </c>
      <c r="AQ5364" s="2">
        <v>2172.70653747299</v>
      </c>
      <c r="AR5364" s="2">
        <v>1698.2380427467299</v>
      </c>
      <c r="AS5364" s="2">
        <v>8.559877937157E-6</v>
      </c>
      <c r="AT5364" s="2">
        <v>8.559877937157E-6</v>
      </c>
      <c r="AU5364" s="2">
        <v>1354.2009659166299</v>
      </c>
      <c r="AV5364" s="2">
        <v>2075.8259868043001</v>
      </c>
      <c r="AW5364" s="2">
        <v>8.559877937157E-6</v>
      </c>
      <c r="AX5364" s="2">
        <v>462.30110791199201</v>
      </c>
    </row>
    <row r="5365" spans="1:50" x14ac:dyDescent="0.25">
      <c r="A5365" s="2" t="s">
        <v>35059</v>
      </c>
      <c r="B5365" s="2">
        <v>511.30280055615401</v>
      </c>
      <c r="C5365" s="2">
        <v>8.7919833333333308</v>
      </c>
      <c r="D5365" s="2" t="s">
        <v>51</v>
      </c>
      <c r="E5365" s="2" t="s">
        <v>35060</v>
      </c>
      <c r="F5365" s="2">
        <v>134870</v>
      </c>
      <c r="G5365" s="3" t="str">
        <f>HYPERLINK("https://cloud.oebiotech.com/#/lm/network/134870", "https://cloud.oebiotech.com/#/lm/network/134870")</f>
        <v>https://cloud.oebiotech.com/#/lm/network/134870</v>
      </c>
      <c r="H5365" s="2" t="s">
        <v>35061</v>
      </c>
      <c r="I5365" s="2"/>
      <c r="J5365" s="2"/>
      <c r="K5365" s="2">
        <v>17786813</v>
      </c>
      <c r="L5365" s="2"/>
      <c r="M5365" s="2"/>
      <c r="N5365" s="2"/>
      <c r="O5365" s="2"/>
      <c r="P5365" s="2"/>
      <c r="Q5365" s="2"/>
      <c r="R5365" s="2"/>
      <c r="S5365" s="2" t="s">
        <v>35062</v>
      </c>
      <c r="T5365" s="2" t="s">
        <v>35063</v>
      </c>
      <c r="U5365" s="2" t="s">
        <v>56</v>
      </c>
      <c r="V5365" s="2" t="s">
        <v>57</v>
      </c>
      <c r="W5365" s="2" t="s">
        <v>702</v>
      </c>
      <c r="X5365" s="2" t="s">
        <v>147</v>
      </c>
      <c r="Y5365" s="2">
        <v>38.4</v>
      </c>
      <c r="Z5365" s="2">
        <v>0</v>
      </c>
      <c r="AA5365" s="2" t="s">
        <v>218</v>
      </c>
      <c r="AB5365" s="2" t="s">
        <v>35064</v>
      </c>
      <c r="AC5365" s="2">
        <v>-2.8796288868942601</v>
      </c>
      <c r="AD5365" s="2"/>
      <c r="AE5365" s="2">
        <v>3.5439185183793201E-2</v>
      </c>
      <c r="AF5365" s="2">
        <v>1924.52958833861</v>
      </c>
      <c r="AG5365" s="2">
        <v>1852.2510440843801</v>
      </c>
      <c r="AH5365" s="5">
        <v>1.0390220021659999</v>
      </c>
      <c r="AI5365" s="5">
        <v>5.5226204848172998E-2</v>
      </c>
      <c r="AJ5365" s="5" t="s">
        <v>139</v>
      </c>
      <c r="AK5365" s="2">
        <v>0.96864705620699099</v>
      </c>
      <c r="AL5365" s="2">
        <v>0.98795010697490204</v>
      </c>
      <c r="AM5365" s="2">
        <v>8.559877937157E-6</v>
      </c>
      <c r="AN5365" s="2">
        <v>1127.0382507936499</v>
      </c>
      <c r="AO5365" s="2">
        <v>8.559877937157E-6</v>
      </c>
      <c r="AP5365" s="2">
        <v>10420.1392449985</v>
      </c>
      <c r="AQ5365" s="2">
        <v>8.559877937157E-6</v>
      </c>
      <c r="AR5365" s="2">
        <v>8.559877937157E-6</v>
      </c>
      <c r="AS5365" s="2">
        <v>8.559877937157E-6</v>
      </c>
      <c r="AT5365" s="2">
        <v>2931.2475622117199</v>
      </c>
      <c r="AU5365" s="2">
        <v>2821.2579346538901</v>
      </c>
      <c r="AV5365" s="2">
        <v>2393.5854911183401</v>
      </c>
      <c r="AW5365" s="2">
        <v>305.92582121564902</v>
      </c>
      <c r="AX5365" s="2">
        <v>2661.4894467467998</v>
      </c>
    </row>
    <row r="5366" spans="1:50" x14ac:dyDescent="0.25">
      <c r="A5366" s="2" t="s">
        <v>35065</v>
      </c>
      <c r="B5366" s="2">
        <v>219.175173666641</v>
      </c>
      <c r="C5366" s="2">
        <v>9.0521333333333303</v>
      </c>
      <c r="D5366" s="2" t="s">
        <v>51</v>
      </c>
      <c r="E5366" s="2" t="s">
        <v>35066</v>
      </c>
      <c r="F5366" s="2">
        <v>55639</v>
      </c>
      <c r="G5366" s="3" t="str">
        <f>HYPERLINK("https://cloud.oebiotech.com/#/lm/network/55639", "https://cloud.oebiotech.com/#/lm/network/55639")</f>
        <v>https://cloud.oebiotech.com/#/lm/network/55639</v>
      </c>
      <c r="H5366" s="2" t="s">
        <v>35067</v>
      </c>
      <c r="I5366" s="2"/>
      <c r="J5366" s="2"/>
      <c r="K5366" s="2">
        <v>131751098</v>
      </c>
      <c r="L5366" s="2"/>
      <c r="M5366" s="2"/>
      <c r="N5366" s="2"/>
      <c r="O5366" s="2"/>
      <c r="P5366" s="2"/>
      <c r="Q5366" s="2"/>
      <c r="R5366" s="2" t="s">
        <v>35068</v>
      </c>
      <c r="S5366" s="2" t="s">
        <v>35069</v>
      </c>
      <c r="T5366" s="2" t="s">
        <v>35070</v>
      </c>
      <c r="U5366" s="2" t="s">
        <v>56</v>
      </c>
      <c r="V5366" s="2" t="s">
        <v>177</v>
      </c>
      <c r="W5366" s="2" t="s">
        <v>1996</v>
      </c>
      <c r="X5366" s="2" t="s">
        <v>83</v>
      </c>
      <c r="Y5366" s="2">
        <v>46.2</v>
      </c>
      <c r="Z5366" s="2">
        <v>0</v>
      </c>
      <c r="AA5366" s="2" t="s">
        <v>156</v>
      </c>
      <c r="AB5366" s="2" t="s">
        <v>4139</v>
      </c>
      <c r="AC5366" s="2">
        <v>3.5223820344249299</v>
      </c>
      <c r="AD5366" s="2"/>
      <c r="AE5366" s="2">
        <v>3.5332461681439102E-2</v>
      </c>
      <c r="AF5366" s="2">
        <v>3155.4723290429201</v>
      </c>
      <c r="AG5366" s="2">
        <v>3293.9975837679899</v>
      </c>
      <c r="AH5366" s="4">
        <v>0.95794615776050096</v>
      </c>
      <c r="AI5366" s="4">
        <v>-6.19835246407867E-2</v>
      </c>
      <c r="AJ5366" s="4" t="s">
        <v>62</v>
      </c>
      <c r="AK5366" s="2">
        <v>0.602911024310541</v>
      </c>
      <c r="AL5366" s="2">
        <v>0.80203512241355102</v>
      </c>
      <c r="AM5366" s="2">
        <v>2586.2764639521602</v>
      </c>
      <c r="AN5366" s="2">
        <v>3313.7576508535199</v>
      </c>
      <c r="AO5366" s="2">
        <v>4026.7702285846399</v>
      </c>
      <c r="AP5366" s="2">
        <v>3177.1922010889798</v>
      </c>
      <c r="AQ5366" s="2">
        <v>3170.84893404578</v>
      </c>
      <c r="AR5366" s="2">
        <v>2657.9884957324498</v>
      </c>
      <c r="AS5366" s="2">
        <v>3768.1258450949199</v>
      </c>
      <c r="AT5366" s="2">
        <v>3736.6852534538102</v>
      </c>
      <c r="AU5366" s="2">
        <v>3064.1096400592501</v>
      </c>
      <c r="AV5366" s="2">
        <v>3009.5923743738199</v>
      </c>
      <c r="AW5366" s="2">
        <v>3133.3889222289599</v>
      </c>
      <c r="AX5366" s="2">
        <v>3052.0834673971999</v>
      </c>
    </row>
    <row r="5367" spans="1:50" x14ac:dyDescent="0.25">
      <c r="A5367" s="2" t="s">
        <v>35071</v>
      </c>
      <c r="B5367" s="2">
        <v>325.26546166106698</v>
      </c>
      <c r="C5367" s="2">
        <v>11.297000000000001</v>
      </c>
      <c r="D5367" s="2" t="s">
        <v>51</v>
      </c>
      <c r="E5367" s="2" t="s">
        <v>35072</v>
      </c>
      <c r="F5367" s="2">
        <v>302819</v>
      </c>
      <c r="G5367" s="3" t="str">
        <f>HYPERLINK("https://cloud.oebiotech.com/#/lm/network/302819", "https://cloud.oebiotech.com/#/lm/network/302819")</f>
        <v>https://cloud.oebiotech.com/#/lm/network/302819</v>
      </c>
      <c r="H5367" s="2"/>
      <c r="I5367" s="2">
        <v>328616</v>
      </c>
      <c r="J5367" s="2"/>
      <c r="K5367" s="2">
        <v>66679</v>
      </c>
      <c r="L5367" s="2"/>
      <c r="M5367" s="2"/>
      <c r="N5367" s="2"/>
      <c r="O5367" s="2"/>
      <c r="P5367" s="2"/>
      <c r="Q5367" s="2"/>
      <c r="R5367" s="2"/>
      <c r="S5367" s="2" t="s">
        <v>35073</v>
      </c>
      <c r="T5367" s="2" t="s">
        <v>35074</v>
      </c>
      <c r="U5367" s="2" t="s">
        <v>610</v>
      </c>
      <c r="V5367" s="2" t="s">
        <v>611</v>
      </c>
      <c r="W5367" s="2" t="s">
        <v>6372</v>
      </c>
      <c r="X5367" s="2" t="s">
        <v>147</v>
      </c>
      <c r="Y5367" s="2">
        <v>37.299999999999997</v>
      </c>
      <c r="Z5367" s="2">
        <v>0</v>
      </c>
      <c r="AA5367" s="2" t="s">
        <v>478</v>
      </c>
      <c r="AB5367" s="2" t="s">
        <v>35075</v>
      </c>
      <c r="AC5367" s="2">
        <v>1.6519736849620199</v>
      </c>
      <c r="AD5367" s="2"/>
      <c r="AE5367" s="2">
        <v>3.5320793901423397E-2</v>
      </c>
      <c r="AF5367" s="2">
        <v>714.70781131711203</v>
      </c>
      <c r="AG5367" s="2">
        <v>665.04146194724797</v>
      </c>
      <c r="AH5367" s="5">
        <v>1.07468158334736</v>
      </c>
      <c r="AI5367" s="5">
        <v>0.103909268025534</v>
      </c>
      <c r="AJ5367" s="5" t="s">
        <v>139</v>
      </c>
      <c r="AK5367" s="2">
        <v>0.87797314748702004</v>
      </c>
      <c r="AL5367" s="2">
        <v>0.94752328784861595</v>
      </c>
      <c r="AM5367" s="2">
        <v>1126.29561563331</v>
      </c>
      <c r="AN5367" s="2">
        <v>808.37799511099502</v>
      </c>
      <c r="AO5367" s="2">
        <v>654.55018997590298</v>
      </c>
      <c r="AP5367" s="2">
        <v>409.56442428352199</v>
      </c>
      <c r="AQ5367" s="2">
        <v>542.65856575319401</v>
      </c>
      <c r="AR5367" s="2">
        <v>746.80007714574697</v>
      </c>
      <c r="AS5367" s="2">
        <v>251.20253547378101</v>
      </c>
      <c r="AT5367" s="2">
        <v>102.148397234174</v>
      </c>
      <c r="AU5367" s="2">
        <v>2117.8296692630702</v>
      </c>
      <c r="AV5367" s="2">
        <v>474.695431495717</v>
      </c>
      <c r="AW5367" s="2">
        <v>547.76694571629503</v>
      </c>
      <c r="AX5367" s="2">
        <v>496.60579250045299</v>
      </c>
    </row>
    <row r="5368" spans="1:50" x14ac:dyDescent="0.25">
      <c r="A5368" s="2" t="s">
        <v>35076</v>
      </c>
      <c r="B5368" s="2">
        <v>169.07654992681501</v>
      </c>
      <c r="C5368" s="2">
        <v>4.2797999999999998</v>
      </c>
      <c r="D5368" s="2" t="s">
        <v>51</v>
      </c>
      <c r="E5368" s="2" t="s">
        <v>35077</v>
      </c>
      <c r="F5368" s="2">
        <v>52097</v>
      </c>
      <c r="G5368" s="3" t="str">
        <f>HYPERLINK("https://cloud.oebiotech.com/#/lm/network/52097", "https://cloud.oebiotech.com/#/lm/network/52097")</f>
        <v>https://cloud.oebiotech.com/#/lm/network/52097</v>
      </c>
      <c r="H5368" s="2" t="s">
        <v>35078</v>
      </c>
      <c r="I5368" s="2">
        <v>4172</v>
      </c>
      <c r="J5368" s="2"/>
      <c r="K5368" s="2">
        <v>64961</v>
      </c>
      <c r="L5368" s="2" t="s">
        <v>35079</v>
      </c>
      <c r="M5368" s="2"/>
      <c r="N5368" s="2"/>
      <c r="O5368" s="2">
        <v>109895</v>
      </c>
      <c r="P5368" s="2"/>
      <c r="Q5368" s="2"/>
      <c r="R5368" s="2" t="s">
        <v>35080</v>
      </c>
      <c r="S5368" s="2" t="s">
        <v>35081</v>
      </c>
      <c r="T5368" s="2" t="s">
        <v>35082</v>
      </c>
      <c r="U5368" s="2" t="s">
        <v>266</v>
      </c>
      <c r="V5368" s="2" t="s">
        <v>445</v>
      </c>
      <c r="W5368" s="2" t="s">
        <v>12779</v>
      </c>
      <c r="X5368" s="2" t="s">
        <v>83</v>
      </c>
      <c r="Y5368" s="2">
        <v>39.700000000000003</v>
      </c>
      <c r="Z5368" s="2">
        <v>0</v>
      </c>
      <c r="AA5368" s="2" t="s">
        <v>259</v>
      </c>
      <c r="AB5368" s="2" t="s">
        <v>35083</v>
      </c>
      <c r="AC5368" s="2">
        <v>3.1250822058552701</v>
      </c>
      <c r="AD5368" s="2"/>
      <c r="AE5368" s="2">
        <v>3.5153292443796599E-2</v>
      </c>
      <c r="AF5368" s="2">
        <v>506.32363388042501</v>
      </c>
      <c r="AG5368" s="2">
        <v>972.17254543444699</v>
      </c>
      <c r="AH5368" s="4">
        <v>0.52081663513153198</v>
      </c>
      <c r="AI5368" s="4">
        <v>-0.94115256528073299</v>
      </c>
      <c r="AJ5368" s="4" t="s">
        <v>62</v>
      </c>
      <c r="AK5368" s="2">
        <v>0.52384457941836304</v>
      </c>
      <c r="AL5368" s="2">
        <v>0.753042437774049</v>
      </c>
      <c r="AM5368" s="2">
        <v>1315.6363686572499</v>
      </c>
      <c r="AN5368" s="2">
        <v>409.531315599773</v>
      </c>
      <c r="AO5368" s="2">
        <v>213.49905969644999</v>
      </c>
      <c r="AP5368" s="2">
        <v>394.033015319002</v>
      </c>
      <c r="AQ5368" s="2">
        <v>503.51171170501402</v>
      </c>
      <c r="AR5368" s="2">
        <v>201.73033230505899</v>
      </c>
      <c r="AS5368" s="2">
        <v>119.947220051381</v>
      </c>
      <c r="AT5368" s="2">
        <v>479.34028082117698</v>
      </c>
      <c r="AU5368" s="2">
        <v>4383.5901736695996</v>
      </c>
      <c r="AV5368" s="2">
        <v>137.30902363555799</v>
      </c>
      <c r="AW5368" s="2">
        <v>405.32971986891198</v>
      </c>
      <c r="AX5368" s="2">
        <v>307.518854560053</v>
      </c>
    </row>
    <row r="5369" spans="1:50" x14ac:dyDescent="0.25">
      <c r="A5369" s="2" t="s">
        <v>35084</v>
      </c>
      <c r="B5369" s="2">
        <v>174.08750000000001</v>
      </c>
      <c r="C5369" s="2">
        <v>22.344000000000001</v>
      </c>
      <c r="D5369" s="2" t="s">
        <v>125</v>
      </c>
      <c r="E5369" s="2" t="s">
        <v>35085</v>
      </c>
      <c r="F5369" s="2">
        <v>46937</v>
      </c>
      <c r="G5369" s="3" t="str">
        <f>HYPERLINK("https://cloud.oebiotech.com/#/lm/network/46937", "https://cloud.oebiotech.com/#/lm/network/46937")</f>
        <v>https://cloud.oebiotech.com/#/lm/network/46937</v>
      </c>
      <c r="H5369" s="2" t="s">
        <v>35086</v>
      </c>
      <c r="I5369" s="2">
        <v>5226</v>
      </c>
      <c r="J5369" s="2"/>
      <c r="K5369" s="2">
        <v>439260</v>
      </c>
      <c r="L5369" s="2" t="s">
        <v>35087</v>
      </c>
      <c r="M5369" s="2" t="s">
        <v>35088</v>
      </c>
      <c r="N5369" s="2" t="s">
        <v>35089</v>
      </c>
      <c r="O5369" s="2">
        <v>18357</v>
      </c>
      <c r="P5369" s="2"/>
      <c r="Q5369" s="2"/>
      <c r="R5369" s="2" t="s">
        <v>35090</v>
      </c>
      <c r="S5369" s="2" t="s">
        <v>35091</v>
      </c>
      <c r="T5369" s="2" t="s">
        <v>35092</v>
      </c>
      <c r="U5369" s="2" t="s">
        <v>610</v>
      </c>
      <c r="V5369" s="2" t="s">
        <v>895</v>
      </c>
      <c r="W5369" s="2" t="s">
        <v>5219</v>
      </c>
      <c r="X5369" s="2" t="s">
        <v>69</v>
      </c>
      <c r="Y5369" s="2">
        <v>87.1</v>
      </c>
      <c r="Z5369" s="2">
        <v>82.1</v>
      </c>
      <c r="AA5369" s="2"/>
      <c r="AB5369" s="2" t="s">
        <v>35093</v>
      </c>
      <c r="AC5369" s="2"/>
      <c r="AD5369" s="2">
        <v>771453.96739130397</v>
      </c>
      <c r="AE5369" s="2">
        <v>3.4962458581947999E-2</v>
      </c>
      <c r="AF5369" s="2">
        <v>23226.760931014</v>
      </c>
      <c r="AG5369" s="2">
        <v>26371.464024363799</v>
      </c>
      <c r="AH5369" s="4">
        <v>0.88075356413870298</v>
      </c>
      <c r="AI5369" s="4">
        <v>-0.18318968701233701</v>
      </c>
      <c r="AJ5369" s="4" t="s">
        <v>62</v>
      </c>
      <c r="AK5369" s="2">
        <v>0.86104906467168996</v>
      </c>
      <c r="AL5369" s="2">
        <v>0.93988753391355495</v>
      </c>
      <c r="AM5369" s="2">
        <v>8027.5458764257701</v>
      </c>
      <c r="AN5369" s="2">
        <v>6051.1497797184302</v>
      </c>
      <c r="AO5369" s="2">
        <v>5632.1975994858303</v>
      </c>
      <c r="AP5369" s="2">
        <v>9519.4240879163208</v>
      </c>
      <c r="AQ5369" s="2">
        <v>101275.317361568</v>
      </c>
      <c r="AR5369" s="2">
        <v>8854.9308809694503</v>
      </c>
      <c r="AS5369" s="2">
        <v>21631.6450378513</v>
      </c>
      <c r="AT5369" s="2">
        <v>16121.316206138999</v>
      </c>
      <c r="AU5369" s="2">
        <v>51319.463801106402</v>
      </c>
      <c r="AV5369" s="2">
        <v>49511.136555785102</v>
      </c>
      <c r="AW5369" s="2">
        <v>5232.6392563093104</v>
      </c>
      <c r="AX5369" s="2">
        <v>14412.5832889914</v>
      </c>
    </row>
    <row r="5370" spans="1:50" x14ac:dyDescent="0.25">
      <c r="A5370" s="2" t="s">
        <v>35094</v>
      </c>
      <c r="B5370" s="2">
        <v>511.40056991133298</v>
      </c>
      <c r="C5370" s="2">
        <v>12.6872166666667</v>
      </c>
      <c r="D5370" s="2" t="s">
        <v>51</v>
      </c>
      <c r="E5370" s="2" t="s">
        <v>35095</v>
      </c>
      <c r="F5370" s="2">
        <v>2295</v>
      </c>
      <c r="G5370" s="3" t="str">
        <f>HYPERLINK("https://cloud.oebiotech.com/#/lm/network/2295", "https://cloud.oebiotech.com/#/lm/network/2295")</f>
        <v>https://cloud.oebiotech.com/#/lm/network/2295</v>
      </c>
      <c r="H5370" s="2"/>
      <c r="I5370" s="2">
        <v>65452</v>
      </c>
      <c r="J5370" s="2" t="s">
        <v>35096</v>
      </c>
      <c r="K5370" s="2">
        <v>11065049</v>
      </c>
      <c r="L5370" s="2"/>
      <c r="M5370" s="2"/>
      <c r="N5370" s="2"/>
      <c r="O5370" s="2">
        <v>67609</v>
      </c>
      <c r="P5370" s="2"/>
      <c r="Q5370" s="2"/>
      <c r="R5370" s="2"/>
      <c r="S5370" s="2" t="s">
        <v>35097</v>
      </c>
      <c r="T5370" s="2" t="s">
        <v>35098</v>
      </c>
      <c r="U5370" s="2" t="s">
        <v>56</v>
      </c>
      <c r="V5370" s="2" t="s">
        <v>145</v>
      </c>
      <c r="W5370" s="2" t="s">
        <v>231</v>
      </c>
      <c r="X5370" s="2" t="s">
        <v>147</v>
      </c>
      <c r="Y5370" s="2">
        <v>38.1</v>
      </c>
      <c r="Z5370" s="2">
        <v>0</v>
      </c>
      <c r="AA5370" s="2" t="s">
        <v>478</v>
      </c>
      <c r="AB5370" s="2" t="s">
        <v>35099</v>
      </c>
      <c r="AC5370" s="2">
        <v>0.30606498714048702</v>
      </c>
      <c r="AD5370" s="2"/>
      <c r="AE5370" s="2">
        <v>3.4869715468039797E-2</v>
      </c>
      <c r="AF5370" s="2">
        <v>20730.553708429201</v>
      </c>
      <c r="AG5370" s="2">
        <v>20726.0293239856</v>
      </c>
      <c r="AH5370" s="5">
        <v>1.00021829480084</v>
      </c>
      <c r="AI5370" s="5">
        <v>3.1489845752924001E-4</v>
      </c>
      <c r="AJ5370" s="5" t="s">
        <v>139</v>
      </c>
      <c r="AK5370" s="2">
        <v>0.99939832164345699</v>
      </c>
      <c r="AL5370" s="2">
        <v>0.99939832164345699</v>
      </c>
      <c r="AM5370" s="2">
        <v>24105.179207014298</v>
      </c>
      <c r="AN5370" s="2">
        <v>8838.2097707000503</v>
      </c>
      <c r="AO5370" s="2">
        <v>20192.268980478199</v>
      </c>
      <c r="AP5370" s="2">
        <v>27581.177371824</v>
      </c>
      <c r="AQ5370" s="2">
        <v>30287.773185691</v>
      </c>
      <c r="AR5370" s="2">
        <v>13378.713734867501</v>
      </c>
      <c r="AS5370" s="2">
        <v>13494.8224384896</v>
      </c>
      <c r="AT5370" s="2">
        <v>26629.875803873201</v>
      </c>
      <c r="AU5370" s="2">
        <v>32009.577917990198</v>
      </c>
      <c r="AV5370" s="2">
        <v>8095.8655901810998</v>
      </c>
      <c r="AW5370" s="2">
        <v>34398.920713661602</v>
      </c>
      <c r="AX5370" s="2">
        <v>9727.1134797181894</v>
      </c>
    </row>
    <row r="5371" spans="1:50" x14ac:dyDescent="0.25">
      <c r="A5371" s="2" t="s">
        <v>35100</v>
      </c>
      <c r="B5371" s="2">
        <v>172.133585272945</v>
      </c>
      <c r="C5371" s="2">
        <v>11.5544166666667</v>
      </c>
      <c r="D5371" s="2" t="s">
        <v>51</v>
      </c>
      <c r="E5371" s="2" t="s">
        <v>35101</v>
      </c>
      <c r="F5371" s="2">
        <v>991</v>
      </c>
      <c r="G5371" s="3" t="str">
        <f>HYPERLINK("https://cloud.oebiotech.com/#/lm/network/991", "https://cloud.oebiotech.com/#/lm/network/991")</f>
        <v>https://cloud.oebiotech.com/#/lm/network/991</v>
      </c>
      <c r="H5371" s="2"/>
      <c r="I5371" s="2">
        <v>74163</v>
      </c>
      <c r="J5371" s="2" t="s">
        <v>35102</v>
      </c>
      <c r="K5371" s="2">
        <v>556171</v>
      </c>
      <c r="L5371" s="2"/>
      <c r="M5371" s="2"/>
      <c r="N5371" s="2"/>
      <c r="O5371" s="2"/>
      <c r="P5371" s="2"/>
      <c r="Q5371" s="2"/>
      <c r="R5371" s="2"/>
      <c r="S5371" s="2" t="s">
        <v>35103</v>
      </c>
      <c r="T5371" s="2" t="s">
        <v>35104</v>
      </c>
      <c r="U5371" s="2" t="s">
        <v>56</v>
      </c>
      <c r="V5371" s="2" t="s">
        <v>145</v>
      </c>
      <c r="W5371" s="2" t="s">
        <v>231</v>
      </c>
      <c r="X5371" s="2" t="s">
        <v>147</v>
      </c>
      <c r="Y5371" s="2">
        <v>45.3</v>
      </c>
      <c r="Z5371" s="2">
        <v>33.1</v>
      </c>
      <c r="AA5371" s="2" t="s">
        <v>512</v>
      </c>
      <c r="AB5371" s="2" t="s">
        <v>12100</v>
      </c>
      <c r="AC5371" s="2">
        <v>2.4662970436651102</v>
      </c>
      <c r="AD5371" s="2"/>
      <c r="AE5371" s="2">
        <v>3.4844856483911099E-2</v>
      </c>
      <c r="AF5371" s="2">
        <v>4909.8590357125804</v>
      </c>
      <c r="AG5371" s="2">
        <v>4364.3104195666301</v>
      </c>
      <c r="AH5371" s="5">
        <v>1.1250022486255999</v>
      </c>
      <c r="AI5371" s="5">
        <v>0.169927885066983</v>
      </c>
      <c r="AJ5371" s="5" t="s">
        <v>139</v>
      </c>
      <c r="AK5371" s="2">
        <v>0.72076026729114795</v>
      </c>
      <c r="AL5371" s="2">
        <v>0.87080865016433495</v>
      </c>
      <c r="AM5371" s="2">
        <v>2303.76158747506</v>
      </c>
      <c r="AN5371" s="2">
        <v>1771.07974419679</v>
      </c>
      <c r="AO5371" s="2">
        <v>6569.99915536763</v>
      </c>
      <c r="AP5371" s="2">
        <v>2402.4189894740998</v>
      </c>
      <c r="AQ5371" s="2">
        <v>10484.0429301559</v>
      </c>
      <c r="AR5371" s="2">
        <v>5927.851807606</v>
      </c>
      <c r="AS5371" s="2">
        <v>6553.9066045251902</v>
      </c>
      <c r="AT5371" s="2">
        <v>4468.8586102985601</v>
      </c>
      <c r="AU5371" s="2">
        <v>4767.9176996714896</v>
      </c>
      <c r="AV5371" s="2">
        <v>3938.9220451319302</v>
      </c>
      <c r="AW5371" s="2">
        <v>2721.4575821695898</v>
      </c>
      <c r="AX5371" s="2">
        <v>3734.7999756030199</v>
      </c>
    </row>
    <row r="5372" spans="1:50" x14ac:dyDescent="0.25">
      <c r="A5372" s="2" t="s">
        <v>35105</v>
      </c>
      <c r="B5372" s="2">
        <v>396.13899974108</v>
      </c>
      <c r="C5372" s="2">
        <v>3.6478999999999999</v>
      </c>
      <c r="D5372" s="2" t="s">
        <v>51</v>
      </c>
      <c r="E5372" s="2" t="s">
        <v>35106</v>
      </c>
      <c r="F5372" s="2">
        <v>262565</v>
      </c>
      <c r="G5372" s="3" t="str">
        <f>HYPERLINK("https://cloud.oebiotech.com/#/lm/network/262565", "https://cloud.oebiotech.com/#/lm/network/262565")</f>
        <v>https://cloud.oebiotech.com/#/lm/network/262565</v>
      </c>
      <c r="H5372" s="2"/>
      <c r="I5372" s="2">
        <v>19934</v>
      </c>
      <c r="J5372" s="2"/>
      <c r="K5372" s="2">
        <v>73897297</v>
      </c>
      <c r="L5372" s="2"/>
      <c r="M5372" s="2"/>
      <c r="N5372" s="2"/>
      <c r="O5372" s="2"/>
      <c r="P5372" s="2"/>
      <c r="Q5372" s="2"/>
      <c r="R5372" s="2"/>
      <c r="S5372" s="2" t="s">
        <v>35107</v>
      </c>
      <c r="T5372" s="2" t="s">
        <v>35108</v>
      </c>
      <c r="U5372" s="2" t="s">
        <v>103</v>
      </c>
      <c r="V5372" s="2" t="s">
        <v>104</v>
      </c>
      <c r="W5372" s="2" t="s">
        <v>105</v>
      </c>
      <c r="X5372" s="2" t="s">
        <v>83</v>
      </c>
      <c r="Y5372" s="2">
        <v>40.200000000000003</v>
      </c>
      <c r="Z5372" s="2">
        <v>0</v>
      </c>
      <c r="AA5372" s="2" t="s">
        <v>218</v>
      </c>
      <c r="AB5372" s="2" t="s">
        <v>24407</v>
      </c>
      <c r="AC5372" s="2">
        <v>-6.3749923092004401</v>
      </c>
      <c r="AD5372" s="2"/>
      <c r="AE5372" s="2">
        <v>3.48026397174949E-2</v>
      </c>
      <c r="AF5372" s="2">
        <v>2026.31443378888</v>
      </c>
      <c r="AG5372" s="2">
        <v>2331.0596272166699</v>
      </c>
      <c r="AH5372" s="4">
        <v>0.86926752543363095</v>
      </c>
      <c r="AI5372" s="4">
        <v>-0.20212784624902799</v>
      </c>
      <c r="AJ5372" s="4" t="s">
        <v>62</v>
      </c>
      <c r="AK5372" s="2">
        <v>0.88735886475773296</v>
      </c>
      <c r="AL5372" s="2">
        <v>0.951247561505008</v>
      </c>
      <c r="AM5372" s="2">
        <v>4543.9384128240999</v>
      </c>
      <c r="AN5372" s="2">
        <v>1954.75998210941</v>
      </c>
      <c r="AO5372" s="2">
        <v>1562.4041497660301</v>
      </c>
      <c r="AP5372" s="2">
        <v>1227.5545125009601</v>
      </c>
      <c r="AQ5372" s="2">
        <v>616.70529865141498</v>
      </c>
      <c r="AR5372" s="2">
        <v>2252.5242468813499</v>
      </c>
      <c r="AS5372" s="2">
        <v>8.559877937157E-6</v>
      </c>
      <c r="AT5372" s="2">
        <v>8.559877937157E-6</v>
      </c>
      <c r="AU5372" s="2">
        <v>12396.1195843431</v>
      </c>
      <c r="AV5372" s="2">
        <v>1243.12552780688</v>
      </c>
      <c r="AW5372" s="2">
        <v>8.559877937157E-6</v>
      </c>
      <c r="AX5372" s="2">
        <v>347.11262547040798</v>
      </c>
    </row>
    <row r="5373" spans="1:50" x14ac:dyDescent="0.25">
      <c r="A5373" s="2" t="s">
        <v>35109</v>
      </c>
      <c r="B5373" s="2">
        <v>283.06849380213902</v>
      </c>
      <c r="C5373" s="2">
        <v>1.6037333333333299</v>
      </c>
      <c r="D5373" s="2" t="s">
        <v>51</v>
      </c>
      <c r="E5373" s="2" t="s">
        <v>35110</v>
      </c>
      <c r="F5373" s="2">
        <v>46983</v>
      </c>
      <c r="G5373" s="3" t="str">
        <f>HYPERLINK("https://cloud.oebiotech.com/#/lm/network/46983", "https://cloud.oebiotech.com/#/lm/network/46983")</f>
        <v>https://cloud.oebiotech.com/#/lm/network/46983</v>
      </c>
      <c r="H5373" s="2" t="s">
        <v>35111</v>
      </c>
      <c r="I5373" s="2">
        <v>3408</v>
      </c>
      <c r="J5373" s="2"/>
      <c r="K5373" s="2">
        <v>64959</v>
      </c>
      <c r="L5373" s="2" t="s">
        <v>35112</v>
      </c>
      <c r="M5373" s="2" t="s">
        <v>28786</v>
      </c>
      <c r="N5373" s="2" t="s">
        <v>28787</v>
      </c>
      <c r="O5373" s="2">
        <v>18107</v>
      </c>
      <c r="P5373" s="2"/>
      <c r="Q5373" s="2"/>
      <c r="R5373" s="2" t="s">
        <v>35113</v>
      </c>
      <c r="S5373" s="2" t="s">
        <v>35114</v>
      </c>
      <c r="T5373" s="2" t="s">
        <v>35115</v>
      </c>
      <c r="U5373" s="2" t="s">
        <v>295</v>
      </c>
      <c r="V5373" s="2" t="s">
        <v>5395</v>
      </c>
      <c r="W5373" s="2" t="s">
        <v>240</v>
      </c>
      <c r="X5373" s="2" t="s">
        <v>83</v>
      </c>
      <c r="Y5373" s="2">
        <v>42.6</v>
      </c>
      <c r="Z5373" s="2">
        <v>0</v>
      </c>
      <c r="AA5373" s="2" t="s">
        <v>163</v>
      </c>
      <c r="AB5373" s="2" t="s">
        <v>35116</v>
      </c>
      <c r="AC5373" s="2">
        <v>0.30313308749977302</v>
      </c>
      <c r="AD5373" s="2"/>
      <c r="AE5373" s="2">
        <v>3.46834861776266E-2</v>
      </c>
      <c r="AF5373" s="2">
        <v>1164.0416996891299</v>
      </c>
      <c r="AG5373" s="2">
        <v>1075.40467434731</v>
      </c>
      <c r="AH5373" s="5">
        <v>1.08242201978118</v>
      </c>
      <c r="AI5373" s="5">
        <v>0.114263093564173</v>
      </c>
      <c r="AJ5373" s="5" t="s">
        <v>139</v>
      </c>
      <c r="AK5373" s="2">
        <v>0.848587342319849</v>
      </c>
      <c r="AL5373" s="2">
        <v>0.93297463913943401</v>
      </c>
      <c r="AM5373" s="2">
        <v>1316.5584598723201</v>
      </c>
      <c r="AN5373" s="2">
        <v>336.06868385658601</v>
      </c>
      <c r="AO5373" s="2">
        <v>854.97435741677396</v>
      </c>
      <c r="AP5373" s="2">
        <v>1743.7800956758699</v>
      </c>
      <c r="AQ5373" s="2">
        <v>1858.0316944338699</v>
      </c>
      <c r="AR5373" s="2">
        <v>874.83690687938304</v>
      </c>
      <c r="AS5373" s="2">
        <v>107.876495127233</v>
      </c>
      <c r="AT5373" s="2">
        <v>2473.5610210284699</v>
      </c>
      <c r="AU5373" s="2">
        <v>1826.3188231392101</v>
      </c>
      <c r="AV5373" s="2">
        <v>1074.6463692754901</v>
      </c>
      <c r="AW5373" s="2">
        <v>860.484740649831</v>
      </c>
      <c r="AX5373" s="2">
        <v>109.5405968636</v>
      </c>
    </row>
    <row r="5374" spans="1:50" x14ac:dyDescent="0.25">
      <c r="A5374" s="2" t="s">
        <v>35117</v>
      </c>
      <c r="B5374" s="2">
        <v>385.10218009283801</v>
      </c>
      <c r="C5374" s="2">
        <v>4.1950000000000003</v>
      </c>
      <c r="D5374" s="2" t="s">
        <v>51</v>
      </c>
      <c r="E5374" s="2" t="s">
        <v>35118</v>
      </c>
      <c r="F5374" s="2">
        <v>211321</v>
      </c>
      <c r="G5374" s="3" t="str">
        <f>HYPERLINK("https://cloud.oebiotech.com/#/lm/network/211321", "https://cloud.oebiotech.com/#/lm/network/211321")</f>
        <v>https://cloud.oebiotech.com/#/lm/network/211321</v>
      </c>
      <c r="H5374" s="2" t="s">
        <v>35119</v>
      </c>
      <c r="I5374" s="2"/>
      <c r="J5374" s="2"/>
      <c r="K5374" s="2">
        <v>54246162</v>
      </c>
      <c r="L5374" s="2"/>
      <c r="M5374" s="2"/>
      <c r="N5374" s="2"/>
      <c r="O5374" s="2"/>
      <c r="P5374" s="2"/>
      <c r="Q5374" s="2"/>
      <c r="R5374" s="2"/>
      <c r="S5374" s="2" t="s">
        <v>35120</v>
      </c>
      <c r="T5374" s="2" t="s">
        <v>35121</v>
      </c>
      <c r="U5374" s="2" t="s">
        <v>266</v>
      </c>
      <c r="V5374" s="2" t="s">
        <v>1393</v>
      </c>
      <c r="W5374" s="2" t="s">
        <v>19215</v>
      </c>
      <c r="X5374" s="2" t="s">
        <v>147</v>
      </c>
      <c r="Y5374" s="2">
        <v>38.200000000000003</v>
      </c>
      <c r="Z5374" s="2">
        <v>0</v>
      </c>
      <c r="AA5374" s="2" t="s">
        <v>478</v>
      </c>
      <c r="AB5374" s="2" t="s">
        <v>35122</v>
      </c>
      <c r="AC5374" s="2">
        <v>4.2555053802851601</v>
      </c>
      <c r="AD5374" s="2"/>
      <c r="AE5374" s="2">
        <v>3.4654045791009801E-2</v>
      </c>
      <c r="AF5374" s="2">
        <v>2291.8900586507202</v>
      </c>
      <c r="AG5374" s="2">
        <v>2695.73664081267</v>
      </c>
      <c r="AH5374" s="4">
        <v>0.85019063952768004</v>
      </c>
      <c r="AI5374" s="4">
        <v>-0.23414171968037101</v>
      </c>
      <c r="AJ5374" s="4" t="s">
        <v>62</v>
      </c>
      <c r="AK5374" s="2">
        <v>0.64459355065648805</v>
      </c>
      <c r="AL5374" s="2">
        <v>0.82628065125421502</v>
      </c>
      <c r="AM5374" s="2">
        <v>2467.4054463511102</v>
      </c>
      <c r="AN5374" s="2">
        <v>1800.96491048707</v>
      </c>
      <c r="AO5374" s="2">
        <v>3450.2142464696399</v>
      </c>
      <c r="AP5374" s="2">
        <v>1833.0079806231299</v>
      </c>
      <c r="AQ5374" s="2">
        <v>3228.9091662435499</v>
      </c>
      <c r="AR5374" s="2">
        <v>970.83860172983395</v>
      </c>
      <c r="AS5374" s="2">
        <v>3521.57297942386</v>
      </c>
      <c r="AT5374" s="2">
        <v>1788.8935669206201</v>
      </c>
      <c r="AU5374" s="2">
        <v>5559.4174454054501</v>
      </c>
      <c r="AV5374" s="2">
        <v>564.24324020753295</v>
      </c>
      <c r="AW5374" s="2">
        <v>3537.4381534619802</v>
      </c>
      <c r="AX5374" s="2">
        <v>1202.8544594565601</v>
      </c>
    </row>
    <row r="5375" spans="1:50" x14ac:dyDescent="0.25">
      <c r="A5375" s="2" t="s">
        <v>35123</v>
      </c>
      <c r="B5375" s="2">
        <v>357.09339795609299</v>
      </c>
      <c r="C5375" s="2">
        <v>9.0696833333333302</v>
      </c>
      <c r="D5375" s="2" t="s">
        <v>51</v>
      </c>
      <c r="E5375" s="2" t="s">
        <v>35124</v>
      </c>
      <c r="F5375" s="2">
        <v>212517</v>
      </c>
      <c r="G5375" s="3" t="str">
        <f>HYPERLINK("https://cloud.oebiotech.com/#/lm/network/212517", "https://cloud.oebiotech.com/#/lm/network/212517")</f>
        <v>https://cloud.oebiotech.com/#/lm/network/212517</v>
      </c>
      <c r="H5375" s="2" t="s">
        <v>35125</v>
      </c>
      <c r="I5375" s="2">
        <v>314749</v>
      </c>
      <c r="J5375" s="2"/>
      <c r="K5375" s="2">
        <v>50287</v>
      </c>
      <c r="L5375" s="2"/>
      <c r="M5375" s="2"/>
      <c r="N5375" s="2"/>
      <c r="O5375" s="2"/>
      <c r="P5375" s="2"/>
      <c r="Q5375" s="2"/>
      <c r="R5375" s="2"/>
      <c r="S5375" s="2" t="s">
        <v>35126</v>
      </c>
      <c r="T5375" s="2" t="s">
        <v>35127</v>
      </c>
      <c r="U5375" s="2" t="s">
        <v>266</v>
      </c>
      <c r="V5375" s="2" t="s">
        <v>1585</v>
      </c>
      <c r="W5375" s="2" t="s">
        <v>12356</v>
      </c>
      <c r="X5375" s="2" t="s">
        <v>147</v>
      </c>
      <c r="Y5375" s="2">
        <v>37.799999999999997</v>
      </c>
      <c r="Z5375" s="2">
        <v>3.37</v>
      </c>
      <c r="AA5375" s="2" t="s">
        <v>218</v>
      </c>
      <c r="AB5375" s="2" t="s">
        <v>35128</v>
      </c>
      <c r="AC5375" s="2">
        <v>4.03895889550913</v>
      </c>
      <c r="AD5375" s="2"/>
      <c r="AE5375" s="2">
        <v>3.45736243995899E-2</v>
      </c>
      <c r="AF5375" s="2">
        <v>20742.854731650401</v>
      </c>
      <c r="AG5375" s="2">
        <v>19336.2727456795</v>
      </c>
      <c r="AH5375" s="5">
        <v>1.0727431808844901</v>
      </c>
      <c r="AI5375" s="5">
        <v>0.10130473032387401</v>
      </c>
      <c r="AJ5375" s="5" t="s">
        <v>139</v>
      </c>
      <c r="AK5375" s="2">
        <v>0.79890953419930799</v>
      </c>
      <c r="AL5375" s="2">
        <v>0.90954932814260703</v>
      </c>
      <c r="AM5375" s="2">
        <v>16853.686669499501</v>
      </c>
      <c r="AN5375" s="2">
        <v>24740.149736091498</v>
      </c>
      <c r="AO5375" s="2">
        <v>12725.443312945599</v>
      </c>
      <c r="AP5375" s="2">
        <v>16840.5192841272</v>
      </c>
      <c r="AQ5375" s="2">
        <v>11411.5987482562</v>
      </c>
      <c r="AR5375" s="2">
        <v>41885.730638982102</v>
      </c>
      <c r="AS5375" s="2">
        <v>18071.891129078602</v>
      </c>
      <c r="AT5375" s="2">
        <v>17420.840525697098</v>
      </c>
      <c r="AU5375" s="2">
        <v>17434.741770377699</v>
      </c>
      <c r="AV5375" s="2">
        <v>19158.6292921481</v>
      </c>
      <c r="AW5375" s="2">
        <v>31955.867031956601</v>
      </c>
      <c r="AX5375" s="2">
        <v>11975.6667248187</v>
      </c>
    </row>
    <row r="5376" spans="1:50" x14ac:dyDescent="0.25">
      <c r="A5376" s="2" t="s">
        <v>35129</v>
      </c>
      <c r="B5376" s="2">
        <v>455.33803512895599</v>
      </c>
      <c r="C5376" s="2">
        <v>11.904616666666699</v>
      </c>
      <c r="D5376" s="2" t="s">
        <v>51</v>
      </c>
      <c r="E5376" s="2" t="s">
        <v>35130</v>
      </c>
      <c r="F5376" s="2">
        <v>63237</v>
      </c>
      <c r="G5376" s="3" t="str">
        <f>HYPERLINK("https://cloud.oebiotech.com/#/lm/network/63237", "https://cloud.oebiotech.com/#/lm/network/63237")</f>
        <v>https://cloud.oebiotech.com/#/lm/network/63237</v>
      </c>
      <c r="H5376" s="2" t="s">
        <v>35131</v>
      </c>
      <c r="I5376" s="2">
        <v>94545</v>
      </c>
      <c r="J5376" s="2"/>
      <c r="K5376" s="2">
        <v>106791</v>
      </c>
      <c r="L5376" s="2"/>
      <c r="M5376" s="2"/>
      <c r="N5376" s="2"/>
      <c r="O5376" s="2"/>
      <c r="P5376" s="2"/>
      <c r="Q5376" s="2"/>
      <c r="R5376" s="2" t="s">
        <v>35132</v>
      </c>
      <c r="S5376" s="2" t="s">
        <v>35133</v>
      </c>
      <c r="T5376" s="2" t="s">
        <v>35134</v>
      </c>
      <c r="U5376" s="2" t="s">
        <v>56</v>
      </c>
      <c r="V5376" s="2" t="s">
        <v>177</v>
      </c>
      <c r="W5376" s="2" t="s">
        <v>584</v>
      </c>
      <c r="X5376" s="2" t="s">
        <v>147</v>
      </c>
      <c r="Y5376" s="2">
        <v>37.9</v>
      </c>
      <c r="Z5376" s="2">
        <v>0</v>
      </c>
      <c r="AA5376" s="2" t="s">
        <v>478</v>
      </c>
      <c r="AB5376" s="2" t="s">
        <v>35135</v>
      </c>
      <c r="AC5376" s="2">
        <v>0.48714063350285602</v>
      </c>
      <c r="AD5376" s="2"/>
      <c r="AE5376" s="2">
        <v>3.45549926355267E-2</v>
      </c>
      <c r="AF5376" s="2">
        <v>2401.3329539449201</v>
      </c>
      <c r="AG5376" s="2">
        <v>1917.64779783324</v>
      </c>
      <c r="AH5376" s="5">
        <v>1.2522283584390199</v>
      </c>
      <c r="AI5376" s="5">
        <v>0.32449767852134498</v>
      </c>
      <c r="AJ5376" s="5" t="s">
        <v>139</v>
      </c>
      <c r="AK5376" s="2">
        <v>0.62134946528031698</v>
      </c>
      <c r="AL5376" s="2">
        <v>0.81263051108791895</v>
      </c>
      <c r="AM5376" s="2">
        <v>925.98280622479297</v>
      </c>
      <c r="AN5376" s="2">
        <v>2979.9205517589899</v>
      </c>
      <c r="AO5376" s="2">
        <v>1776.1731657098401</v>
      </c>
      <c r="AP5376" s="2">
        <v>5880.3148937166197</v>
      </c>
      <c r="AQ5376" s="2">
        <v>1492.1573617066999</v>
      </c>
      <c r="AR5376" s="2">
        <v>1353.4489445525601</v>
      </c>
      <c r="AS5376" s="2">
        <v>490.00936608861502</v>
      </c>
      <c r="AT5376" s="2">
        <v>2340.39255146806</v>
      </c>
      <c r="AU5376" s="2">
        <v>1695.53301508297</v>
      </c>
      <c r="AV5376" s="2">
        <v>517.02204708043405</v>
      </c>
      <c r="AW5376" s="2">
        <v>4329.1623165335204</v>
      </c>
      <c r="AX5376" s="2">
        <v>2133.76749074586</v>
      </c>
    </row>
    <row r="5377" spans="1:50" x14ac:dyDescent="0.25">
      <c r="A5377" s="2" t="s">
        <v>35136</v>
      </c>
      <c r="B5377" s="2">
        <v>179.10724169877199</v>
      </c>
      <c r="C5377" s="2">
        <v>2.2607833333333298</v>
      </c>
      <c r="D5377" s="2" t="s">
        <v>51</v>
      </c>
      <c r="E5377" s="2" t="s">
        <v>35137</v>
      </c>
      <c r="F5377" s="2">
        <v>204739</v>
      </c>
      <c r="G5377" s="3" t="str">
        <f>HYPERLINK("https://cloud.oebiotech.com/#/lm/network/204739", "https://cloud.oebiotech.com/#/lm/network/204739")</f>
        <v>https://cloud.oebiotech.com/#/lm/network/204739</v>
      </c>
      <c r="H5377" s="2" t="s">
        <v>35138</v>
      </c>
      <c r="I5377" s="2">
        <v>412338</v>
      </c>
      <c r="J5377" s="2"/>
      <c r="K5377" s="2">
        <v>130021</v>
      </c>
      <c r="L5377" s="2"/>
      <c r="M5377" s="2"/>
      <c r="N5377" s="2"/>
      <c r="O5377" s="2"/>
      <c r="P5377" s="2"/>
      <c r="Q5377" s="2"/>
      <c r="R5377" s="2"/>
      <c r="S5377" s="2" t="s">
        <v>35139</v>
      </c>
      <c r="T5377" s="2" t="s">
        <v>35140</v>
      </c>
      <c r="U5377" s="2" t="s">
        <v>21173</v>
      </c>
      <c r="V5377" s="2" t="s">
        <v>240</v>
      </c>
      <c r="W5377" s="2" t="s">
        <v>240</v>
      </c>
      <c r="X5377" s="2" t="s">
        <v>147</v>
      </c>
      <c r="Y5377" s="2">
        <v>38.5</v>
      </c>
      <c r="Z5377" s="2">
        <v>0</v>
      </c>
      <c r="AA5377" s="2" t="s">
        <v>122</v>
      </c>
      <c r="AB5377" s="2" t="s">
        <v>35141</v>
      </c>
      <c r="AC5377" s="2">
        <v>-1.52898334712122</v>
      </c>
      <c r="AD5377" s="2"/>
      <c r="AE5377" s="2">
        <v>3.4515037070887503E-2</v>
      </c>
      <c r="AF5377" s="2">
        <v>2156.0526614068899</v>
      </c>
      <c r="AG5377" s="2">
        <v>2248.5638809258999</v>
      </c>
      <c r="AH5377" s="4">
        <v>0.958857642291705</v>
      </c>
      <c r="AI5377" s="4">
        <v>-6.06114548315589E-2</v>
      </c>
      <c r="AJ5377" s="4" t="s">
        <v>62</v>
      </c>
      <c r="AK5377" s="2">
        <v>0.62931534325419702</v>
      </c>
      <c r="AL5377" s="2">
        <v>0.81859536805385202</v>
      </c>
      <c r="AM5377" s="2">
        <v>1814.4641957434601</v>
      </c>
      <c r="AN5377" s="2">
        <v>2084.4101291593702</v>
      </c>
      <c r="AO5377" s="2">
        <v>2580.8275015846898</v>
      </c>
      <c r="AP5377" s="2">
        <v>1965.13529051059</v>
      </c>
      <c r="AQ5377" s="2">
        <v>2212.98457456101</v>
      </c>
      <c r="AR5377" s="2">
        <v>2278.4942768822302</v>
      </c>
      <c r="AS5377" s="2">
        <v>2815.1420083011499</v>
      </c>
      <c r="AT5377" s="2">
        <v>2311.8324052502198</v>
      </c>
      <c r="AU5377" s="2">
        <v>2042.0754280758799</v>
      </c>
      <c r="AV5377" s="2">
        <v>1737.92005234458</v>
      </c>
      <c r="AW5377" s="2">
        <v>2139.7339969486202</v>
      </c>
      <c r="AX5377" s="2">
        <v>2444.6793946349298</v>
      </c>
    </row>
    <row r="5378" spans="1:50" x14ac:dyDescent="0.25">
      <c r="A5378" s="2" t="s">
        <v>35142</v>
      </c>
      <c r="B5378" s="2">
        <v>201.08759387024401</v>
      </c>
      <c r="C5378" s="2">
        <v>1.27196666666667</v>
      </c>
      <c r="D5378" s="2" t="s">
        <v>51</v>
      </c>
      <c r="E5378" s="2" t="s">
        <v>35143</v>
      </c>
      <c r="F5378" s="2">
        <v>208032</v>
      </c>
      <c r="G5378" s="3" t="str">
        <f>HYPERLINK("https://cloud.oebiotech.com/#/lm/network/208032", "https://cloud.oebiotech.com/#/lm/network/208032")</f>
        <v>https://cloud.oebiotech.com/#/lm/network/208032</v>
      </c>
      <c r="H5378" s="2" t="s">
        <v>35144</v>
      </c>
      <c r="I5378" s="2"/>
      <c r="J5378" s="2"/>
      <c r="K5378" s="2">
        <v>9859043</v>
      </c>
      <c r="L5378" s="2"/>
      <c r="M5378" s="2"/>
      <c r="N5378" s="2"/>
      <c r="O5378" s="2"/>
      <c r="P5378" s="2"/>
      <c r="Q5378" s="2"/>
      <c r="R5378" s="2"/>
      <c r="S5378" s="2" t="s">
        <v>35145</v>
      </c>
      <c r="T5378" s="2" t="s">
        <v>35146</v>
      </c>
      <c r="U5378" s="2" t="s">
        <v>103</v>
      </c>
      <c r="V5378" s="2" t="s">
        <v>104</v>
      </c>
      <c r="W5378" s="2" t="s">
        <v>105</v>
      </c>
      <c r="X5378" s="2" t="s">
        <v>83</v>
      </c>
      <c r="Y5378" s="2">
        <v>39</v>
      </c>
      <c r="Z5378" s="2">
        <v>0</v>
      </c>
      <c r="AA5378" s="2" t="s">
        <v>259</v>
      </c>
      <c r="AB5378" s="2" t="s">
        <v>35147</v>
      </c>
      <c r="AC5378" s="2">
        <v>3.0516116469849202</v>
      </c>
      <c r="AD5378" s="2"/>
      <c r="AE5378" s="2">
        <v>3.43231023524697E-2</v>
      </c>
      <c r="AF5378" s="2">
        <v>4862.8845389066801</v>
      </c>
      <c r="AG5378" s="2">
        <v>5592.3450459838496</v>
      </c>
      <c r="AH5378" s="4">
        <v>0.869560890631912</v>
      </c>
      <c r="AI5378" s="4">
        <v>-0.201641039710975</v>
      </c>
      <c r="AJ5378" s="4" t="s">
        <v>62</v>
      </c>
      <c r="AK5378" s="2">
        <v>0.84424606577178696</v>
      </c>
      <c r="AL5378" s="2">
        <v>0.93063445423553803</v>
      </c>
      <c r="AM5378" s="2">
        <v>10255.9241508666</v>
      </c>
      <c r="AN5378" s="2">
        <v>3337.6574835548499</v>
      </c>
      <c r="AO5378" s="2">
        <v>3948.3682606252901</v>
      </c>
      <c r="AP5378" s="2">
        <v>3801.1707636476799</v>
      </c>
      <c r="AQ5378" s="2">
        <v>3369.9730987570802</v>
      </c>
      <c r="AR5378" s="2">
        <v>4464.2134759885803</v>
      </c>
      <c r="AS5378" s="2">
        <v>427.862417174754</v>
      </c>
      <c r="AT5378" s="2">
        <v>2019.1334913856599</v>
      </c>
      <c r="AU5378" s="2">
        <v>22689.234421576399</v>
      </c>
      <c r="AV5378" s="2">
        <v>3410.3184238082099</v>
      </c>
      <c r="AW5378" s="2">
        <v>3309.9820213857802</v>
      </c>
      <c r="AX5378" s="2">
        <v>1697.5395005723001</v>
      </c>
    </row>
    <row r="5379" spans="1:50" x14ac:dyDescent="0.25">
      <c r="A5379" s="2" t="s">
        <v>35148</v>
      </c>
      <c r="B5379" s="2">
        <v>277.06</v>
      </c>
      <c r="C5379" s="2">
        <v>9.7050000000000001</v>
      </c>
      <c r="D5379" s="2" t="s">
        <v>125</v>
      </c>
      <c r="E5379" s="2" t="s">
        <v>35149</v>
      </c>
      <c r="F5379" s="2">
        <v>53248</v>
      </c>
      <c r="G5379" s="3" t="str">
        <f>HYPERLINK("https://cloud.oebiotech.com/#/lm/network/53248", "https://cloud.oebiotech.com/#/lm/network/53248")</f>
        <v>https://cloud.oebiotech.com/#/lm/network/53248</v>
      </c>
      <c r="H5379" s="2" t="s">
        <v>35150</v>
      </c>
      <c r="I5379" s="2">
        <v>4068</v>
      </c>
      <c r="J5379" s="2"/>
      <c r="K5379" s="2">
        <v>3657</v>
      </c>
      <c r="L5379" s="2" t="s">
        <v>35151</v>
      </c>
      <c r="M5379" s="2"/>
      <c r="N5379" s="2"/>
      <c r="O5379" s="2">
        <v>44423</v>
      </c>
      <c r="P5379" s="2"/>
      <c r="Q5379" s="2"/>
      <c r="R5379" s="2" t="s">
        <v>35152</v>
      </c>
      <c r="S5379" s="2" t="s">
        <v>35153</v>
      </c>
      <c r="T5379" s="2" t="s">
        <v>35154</v>
      </c>
      <c r="U5379" s="2" t="s">
        <v>103</v>
      </c>
      <c r="V5379" s="2" t="s">
        <v>7841</v>
      </c>
      <c r="W5379" s="2" t="s">
        <v>240</v>
      </c>
      <c r="X5379" s="2" t="s">
        <v>83</v>
      </c>
      <c r="Y5379" s="2">
        <v>82.9</v>
      </c>
      <c r="Z5379" s="2">
        <v>71.599999999999994</v>
      </c>
      <c r="AA5379" s="2"/>
      <c r="AB5379" s="2" t="s">
        <v>35155</v>
      </c>
      <c r="AC5379" s="2"/>
      <c r="AD5379" s="2">
        <v>327827.59643916902</v>
      </c>
      <c r="AE5379" s="2">
        <v>3.4248180680937101E-2</v>
      </c>
      <c r="AF5379" s="2">
        <v>12636.229050850199</v>
      </c>
      <c r="AG5379" s="2">
        <v>12194.398526537399</v>
      </c>
      <c r="AH5379" s="5">
        <v>1.0362322523207099</v>
      </c>
      <c r="AI5379" s="5">
        <v>5.1347392714357502E-2</v>
      </c>
      <c r="AJ5379" s="5" t="s">
        <v>139</v>
      </c>
      <c r="AK5379" s="2">
        <v>0.68351525596982199</v>
      </c>
      <c r="AL5379" s="2">
        <v>0.84718790703399505</v>
      </c>
      <c r="AM5379" s="2">
        <v>13956.638785860099</v>
      </c>
      <c r="AN5379" s="2">
        <v>12695.596292784099</v>
      </c>
      <c r="AO5379" s="2">
        <v>9523.1391923961401</v>
      </c>
      <c r="AP5379" s="2">
        <v>11810.972767834501</v>
      </c>
      <c r="AQ5379" s="2">
        <v>14347.4054482797</v>
      </c>
      <c r="AR5379" s="2">
        <v>13483.6218179465</v>
      </c>
      <c r="AS5379" s="2">
        <v>10838.786201672699</v>
      </c>
      <c r="AT5379" s="2">
        <v>13815.088085461801</v>
      </c>
      <c r="AU5379" s="2">
        <v>13506.4472415289</v>
      </c>
      <c r="AV5379" s="2">
        <v>12586.463311167399</v>
      </c>
      <c r="AW5379" s="2">
        <v>13353.2778428724</v>
      </c>
      <c r="AX5379" s="2">
        <v>9066.3284765208991</v>
      </c>
    </row>
    <row r="5380" spans="1:50" x14ac:dyDescent="0.25">
      <c r="A5380" s="2" t="s">
        <v>35156</v>
      </c>
      <c r="B5380" s="2">
        <v>447.31176376993</v>
      </c>
      <c r="C5380" s="2">
        <v>11.672833333333299</v>
      </c>
      <c r="D5380" s="2" t="s">
        <v>51</v>
      </c>
      <c r="E5380" s="2" t="s">
        <v>35157</v>
      </c>
      <c r="F5380" s="2">
        <v>45217</v>
      </c>
      <c r="G5380" s="3" t="str">
        <f>HYPERLINK("https://cloud.oebiotech.com/#/lm/network/45217", "https://cloud.oebiotech.com/#/lm/network/45217")</f>
        <v>https://cloud.oebiotech.com/#/lm/network/45217</v>
      </c>
      <c r="H5380" s="2"/>
      <c r="I5380" s="2">
        <v>41986</v>
      </c>
      <c r="J5380" s="2" t="s">
        <v>35158</v>
      </c>
      <c r="K5380" s="2">
        <v>9547304</v>
      </c>
      <c r="L5380" s="2"/>
      <c r="M5380" s="2"/>
      <c r="N5380" s="2"/>
      <c r="O5380" s="2"/>
      <c r="P5380" s="2"/>
      <c r="Q5380" s="2"/>
      <c r="R5380" s="2"/>
      <c r="S5380" s="2" t="s">
        <v>35159</v>
      </c>
      <c r="T5380" s="2" t="s">
        <v>35160</v>
      </c>
      <c r="U5380" s="2" t="s">
        <v>56</v>
      </c>
      <c r="V5380" s="2" t="s">
        <v>283</v>
      </c>
      <c r="W5380" s="2" t="s">
        <v>420</v>
      </c>
      <c r="X5380" s="2" t="s">
        <v>83</v>
      </c>
      <c r="Y5380" s="2">
        <v>47.3</v>
      </c>
      <c r="Z5380" s="2">
        <v>0</v>
      </c>
      <c r="AA5380" s="2" t="s">
        <v>218</v>
      </c>
      <c r="AB5380" s="2" t="s">
        <v>5331</v>
      </c>
      <c r="AC5380" s="2">
        <v>0.41185382405259002</v>
      </c>
      <c r="AD5380" s="2"/>
      <c r="AE5380" s="2">
        <v>3.4231228447171101E-2</v>
      </c>
      <c r="AF5380" s="2">
        <v>1179.0294361578301</v>
      </c>
      <c r="AG5380" s="2">
        <v>1084.2423878950301</v>
      </c>
      <c r="AH5380" s="5">
        <v>1.0874223783547301</v>
      </c>
      <c r="AI5380" s="5">
        <v>0.120912423159625</v>
      </c>
      <c r="AJ5380" s="5" t="s">
        <v>139</v>
      </c>
      <c r="AK5380" s="2">
        <v>0.78451823439219903</v>
      </c>
      <c r="AL5380" s="2">
        <v>0.90560695252028101</v>
      </c>
      <c r="AM5380" s="2">
        <v>1313.18182094598</v>
      </c>
      <c r="AN5380" s="2">
        <v>2507.5360807543302</v>
      </c>
      <c r="AO5380" s="2">
        <v>646.52348626099001</v>
      </c>
      <c r="AP5380" s="2">
        <v>725.84635162437996</v>
      </c>
      <c r="AQ5380" s="2">
        <v>375.18492306530197</v>
      </c>
      <c r="AR5380" s="2">
        <v>1505.9039542960099</v>
      </c>
      <c r="AS5380" s="2">
        <v>975.44370351380201</v>
      </c>
      <c r="AT5380" s="2">
        <v>1319.0599706336</v>
      </c>
      <c r="AU5380" s="2">
        <v>567.70148628717004</v>
      </c>
      <c r="AV5380" s="2">
        <v>1168.96601479266</v>
      </c>
      <c r="AW5380" s="2">
        <v>1195.0364827205799</v>
      </c>
      <c r="AX5380" s="2">
        <v>1279.2466694223899</v>
      </c>
    </row>
    <row r="5381" spans="1:50" x14ac:dyDescent="0.25">
      <c r="A5381" s="2" t="s">
        <v>35161</v>
      </c>
      <c r="B5381" s="2">
        <v>86.097196902831897</v>
      </c>
      <c r="C5381" s="2">
        <v>1.2938333333333301</v>
      </c>
      <c r="D5381" s="2" t="s">
        <v>51</v>
      </c>
      <c r="E5381" s="2" t="s">
        <v>35162</v>
      </c>
      <c r="F5381" s="2">
        <v>58346</v>
      </c>
      <c r="G5381" s="3" t="str">
        <f>HYPERLINK("https://cloud.oebiotech.com/#/lm/network/58346", "https://cloud.oebiotech.com/#/lm/network/58346")</f>
        <v>https://cloud.oebiotech.com/#/lm/network/58346</v>
      </c>
      <c r="H5381" s="2" t="s">
        <v>35163</v>
      </c>
      <c r="I5381" s="2">
        <v>64457</v>
      </c>
      <c r="J5381" s="2"/>
      <c r="K5381" s="2">
        <v>8082</v>
      </c>
      <c r="L5381" s="2" t="s">
        <v>35164</v>
      </c>
      <c r="M5381" s="2"/>
      <c r="N5381" s="2"/>
      <c r="O5381" s="2">
        <v>18049</v>
      </c>
      <c r="P5381" s="2"/>
      <c r="Q5381" s="2"/>
      <c r="R5381" s="2" t="s">
        <v>35165</v>
      </c>
      <c r="S5381" s="2" t="s">
        <v>35166</v>
      </c>
      <c r="T5381" s="2" t="s">
        <v>35167</v>
      </c>
      <c r="U5381" s="2" t="s">
        <v>266</v>
      </c>
      <c r="V5381" s="2" t="s">
        <v>1742</v>
      </c>
      <c r="W5381" s="2" t="s">
        <v>240</v>
      </c>
      <c r="X5381" s="2" t="s">
        <v>69</v>
      </c>
      <c r="Y5381" s="2">
        <v>51.1</v>
      </c>
      <c r="Z5381" s="2">
        <v>64.8</v>
      </c>
      <c r="AA5381" s="2" t="s">
        <v>259</v>
      </c>
      <c r="AB5381" s="2" t="s">
        <v>35168</v>
      </c>
      <c r="AC5381" s="2">
        <v>9.0624159210682897</v>
      </c>
      <c r="AD5381" s="2"/>
      <c r="AE5381" s="2">
        <v>3.4167748152502397E-2</v>
      </c>
      <c r="AF5381" s="2">
        <v>474033.61212313699</v>
      </c>
      <c r="AG5381" s="2">
        <v>465142.264465107</v>
      </c>
      <c r="AH5381" s="5">
        <v>1.0191153295180699</v>
      </c>
      <c r="AI5381" s="5">
        <v>2.7317325212087702E-2</v>
      </c>
      <c r="AJ5381" s="5" t="s">
        <v>139</v>
      </c>
      <c r="AK5381" s="2">
        <v>0.886951283888188</v>
      </c>
      <c r="AL5381" s="2">
        <v>0.95119757450219899</v>
      </c>
      <c r="AM5381" s="2">
        <v>466362.27530659799</v>
      </c>
      <c r="AN5381" s="2">
        <v>441674.935501453</v>
      </c>
      <c r="AO5381" s="2">
        <v>481077.91932882299</v>
      </c>
      <c r="AP5381" s="2">
        <v>569999.245592108</v>
      </c>
      <c r="AQ5381" s="2">
        <v>480382.48113079299</v>
      </c>
      <c r="AR5381" s="2">
        <v>404704.81587904599</v>
      </c>
      <c r="AS5381" s="2">
        <v>272301.15338179801</v>
      </c>
      <c r="AT5381" s="2">
        <v>312489.36470433499</v>
      </c>
      <c r="AU5381" s="2">
        <v>529832.56411267398</v>
      </c>
      <c r="AV5381" s="2">
        <v>506478.069934264</v>
      </c>
      <c r="AW5381" s="2">
        <v>609879.09326096496</v>
      </c>
      <c r="AX5381" s="2">
        <v>559873.34139660699</v>
      </c>
    </row>
    <row r="5382" spans="1:50" x14ac:dyDescent="0.25">
      <c r="A5382" s="2" t="s">
        <v>35169</v>
      </c>
      <c r="B5382" s="2">
        <v>239.14379401897901</v>
      </c>
      <c r="C5382" s="2">
        <v>4.0892666666666697</v>
      </c>
      <c r="D5382" s="2" t="s">
        <v>51</v>
      </c>
      <c r="E5382" s="2" t="s">
        <v>35170</v>
      </c>
      <c r="F5382" s="2">
        <v>277889</v>
      </c>
      <c r="G5382" s="3" t="str">
        <f>HYPERLINK("https://cloud.oebiotech.com/#/lm/network/277889", "https://cloud.oebiotech.com/#/lm/network/277889")</f>
        <v>https://cloud.oebiotech.com/#/lm/network/277889</v>
      </c>
      <c r="H5382" s="2"/>
      <c r="I5382" s="2">
        <v>69977</v>
      </c>
      <c r="J5382" s="2"/>
      <c r="K5382" s="2">
        <v>6620</v>
      </c>
      <c r="L5382" s="2" t="s">
        <v>35171</v>
      </c>
      <c r="M5382" s="2"/>
      <c r="N5382" s="2"/>
      <c r="O5382" s="2"/>
      <c r="P5382" s="2"/>
      <c r="Q5382" s="2"/>
      <c r="R5382" s="2" t="s">
        <v>35172</v>
      </c>
      <c r="S5382" s="2" t="s">
        <v>35173</v>
      </c>
      <c r="T5382" s="2" t="s">
        <v>35174</v>
      </c>
      <c r="U5382" s="2" t="s">
        <v>610</v>
      </c>
      <c r="V5382" s="2" t="s">
        <v>611</v>
      </c>
      <c r="W5382" s="2" t="s">
        <v>2327</v>
      </c>
      <c r="X5382" s="2" t="s">
        <v>147</v>
      </c>
      <c r="Y5382" s="2">
        <v>37.6</v>
      </c>
      <c r="Z5382" s="2">
        <v>0</v>
      </c>
      <c r="AA5382" s="2" t="s">
        <v>156</v>
      </c>
      <c r="AB5382" s="2" t="s">
        <v>35175</v>
      </c>
      <c r="AC5382" s="2">
        <v>2.93733843068213</v>
      </c>
      <c r="AD5382" s="2"/>
      <c r="AE5382" s="2">
        <v>3.4153926096881199E-2</v>
      </c>
      <c r="AF5382" s="2">
        <v>501.00105248238498</v>
      </c>
      <c r="AG5382" s="2">
        <v>431.80961871547697</v>
      </c>
      <c r="AH5382" s="5">
        <v>1.1602359715208199</v>
      </c>
      <c r="AI5382" s="5">
        <v>0.214418253905689</v>
      </c>
      <c r="AJ5382" s="5" t="s">
        <v>139</v>
      </c>
      <c r="AK5382" s="2">
        <v>0.43090680756126598</v>
      </c>
      <c r="AL5382" s="2">
        <v>0.68863895464097802</v>
      </c>
      <c r="AM5382" s="2">
        <v>431.43381144521999</v>
      </c>
      <c r="AN5382" s="2">
        <v>768.56297507071804</v>
      </c>
      <c r="AO5382" s="2">
        <v>463.391861506081</v>
      </c>
      <c r="AP5382" s="2">
        <v>654.51422163217603</v>
      </c>
      <c r="AQ5382" s="2">
        <v>392.89648785899902</v>
      </c>
      <c r="AR5382" s="2">
        <v>295.20695738111402</v>
      </c>
      <c r="AS5382" s="2">
        <v>586.90273957698003</v>
      </c>
      <c r="AT5382" s="2">
        <v>475.46468863728899</v>
      </c>
      <c r="AU5382" s="2">
        <v>493.80021226326897</v>
      </c>
      <c r="AV5382" s="2">
        <v>293.02610135101202</v>
      </c>
      <c r="AW5382" s="2">
        <v>345.841069272244</v>
      </c>
      <c r="AX5382" s="2">
        <v>395.822901192068</v>
      </c>
    </row>
    <row r="5383" spans="1:50" x14ac:dyDescent="0.25">
      <c r="A5383" s="2" t="s">
        <v>35176</v>
      </c>
      <c r="B5383" s="2">
        <v>323.02785006168102</v>
      </c>
      <c r="C5383" s="2">
        <v>1.1926000000000001</v>
      </c>
      <c r="D5383" s="2" t="s">
        <v>51</v>
      </c>
      <c r="E5383" s="2" t="s">
        <v>35177</v>
      </c>
      <c r="F5383" s="2">
        <v>47487</v>
      </c>
      <c r="G5383" s="3" t="str">
        <f>HYPERLINK("https://cloud.oebiotech.com/#/lm/network/47487", "https://cloud.oebiotech.com/#/lm/network/47487")</f>
        <v>https://cloud.oebiotech.com/#/lm/network/47487</v>
      </c>
      <c r="H5383" s="2" t="s">
        <v>35178</v>
      </c>
      <c r="I5383" s="2">
        <v>58032</v>
      </c>
      <c r="J5383" s="2"/>
      <c r="K5383" s="2">
        <v>439424</v>
      </c>
      <c r="L5383" s="2" t="s">
        <v>35179</v>
      </c>
      <c r="M5383" s="2" t="s">
        <v>3456</v>
      </c>
      <c r="N5383" s="2" t="s">
        <v>3457</v>
      </c>
      <c r="O5383" s="2">
        <v>18116</v>
      </c>
      <c r="P5383" s="2" t="s">
        <v>21487</v>
      </c>
      <c r="Q5383" s="2" t="s">
        <v>21488</v>
      </c>
      <c r="R5383" s="2" t="s">
        <v>35180</v>
      </c>
      <c r="S5383" s="2" t="s">
        <v>35181</v>
      </c>
      <c r="T5383" s="2" t="s">
        <v>35182</v>
      </c>
      <c r="U5383" s="2" t="s">
        <v>331</v>
      </c>
      <c r="V5383" s="2" t="s">
        <v>332</v>
      </c>
      <c r="W5383" s="2" t="s">
        <v>333</v>
      </c>
      <c r="X5383" s="2" t="s">
        <v>83</v>
      </c>
      <c r="Y5383" s="2">
        <v>37.799999999999997</v>
      </c>
      <c r="Z5383" s="2">
        <v>3.5099999999999999E-2</v>
      </c>
      <c r="AA5383" s="2" t="s">
        <v>163</v>
      </c>
      <c r="AB5383" s="2" t="s">
        <v>23409</v>
      </c>
      <c r="AC5383" s="2">
        <v>-2.2841263747255001</v>
      </c>
      <c r="AD5383" s="2"/>
      <c r="AE5383" s="2">
        <v>3.4098358206788901E-2</v>
      </c>
      <c r="AF5383" s="2">
        <v>9732.11581196917</v>
      </c>
      <c r="AG5383" s="2">
        <v>9410.3977038426492</v>
      </c>
      <c r="AH5383" s="5">
        <v>1.0341875145186601</v>
      </c>
      <c r="AI5383" s="5">
        <v>4.8497792750862502E-2</v>
      </c>
      <c r="AJ5383" s="5" t="s">
        <v>139</v>
      </c>
      <c r="AK5383" s="2">
        <v>0.70484505434810596</v>
      </c>
      <c r="AL5383" s="2">
        <v>0.85874514419550696</v>
      </c>
      <c r="AM5383" s="2">
        <v>9229.2528672753306</v>
      </c>
      <c r="AN5383" s="2">
        <v>11271.064990258899</v>
      </c>
      <c r="AO5383" s="2">
        <v>10224.1583827091</v>
      </c>
      <c r="AP5383" s="2">
        <v>10343.022302080301</v>
      </c>
      <c r="AQ5383" s="2">
        <v>8627.7818529518499</v>
      </c>
      <c r="AR5383" s="2">
        <v>8697.4144765395595</v>
      </c>
      <c r="AS5383" s="2">
        <v>9825.0637709412294</v>
      </c>
      <c r="AT5383" s="2">
        <v>10500.526999293101</v>
      </c>
      <c r="AU5383" s="2">
        <v>6607.8803793720399</v>
      </c>
      <c r="AV5383" s="2">
        <v>10568.2011454413</v>
      </c>
      <c r="AW5383" s="2">
        <v>10953.8537492755</v>
      </c>
      <c r="AX5383" s="2">
        <v>8006.8601787327598</v>
      </c>
    </row>
    <row r="5384" spans="1:50" x14ac:dyDescent="0.25">
      <c r="A5384" s="2" t="s">
        <v>35183</v>
      </c>
      <c r="B5384" s="2">
        <v>299.01567122768603</v>
      </c>
      <c r="C5384" s="2">
        <v>6.1681833333333298</v>
      </c>
      <c r="D5384" s="2" t="s">
        <v>51</v>
      </c>
      <c r="E5384" s="2" t="s">
        <v>35184</v>
      </c>
      <c r="F5384" s="2">
        <v>207755</v>
      </c>
      <c r="G5384" s="3" t="str">
        <f>HYPERLINK("https://cloud.oebiotech.com/#/lm/network/207755", "https://cloud.oebiotech.com/#/lm/network/207755")</f>
        <v>https://cloud.oebiotech.com/#/lm/network/207755</v>
      </c>
      <c r="H5384" s="2" t="s">
        <v>35185</v>
      </c>
      <c r="I5384" s="2"/>
      <c r="J5384" s="2"/>
      <c r="K5384" s="2">
        <v>129668652</v>
      </c>
      <c r="L5384" s="2"/>
      <c r="M5384" s="2"/>
      <c r="N5384" s="2"/>
      <c r="O5384" s="2"/>
      <c r="P5384" s="2"/>
      <c r="Q5384" s="2"/>
      <c r="R5384" s="2"/>
      <c r="S5384" s="2" t="s">
        <v>35186</v>
      </c>
      <c r="T5384" s="2" t="s">
        <v>35187</v>
      </c>
      <c r="U5384" s="2" t="s">
        <v>103</v>
      </c>
      <c r="V5384" s="2" t="s">
        <v>104</v>
      </c>
      <c r="W5384" s="2" t="s">
        <v>1139</v>
      </c>
      <c r="X5384" s="2" t="s">
        <v>147</v>
      </c>
      <c r="Y5384" s="2">
        <v>39.4</v>
      </c>
      <c r="Z5384" s="2">
        <v>0</v>
      </c>
      <c r="AA5384" s="2" t="s">
        <v>218</v>
      </c>
      <c r="AB5384" s="2" t="s">
        <v>35188</v>
      </c>
      <c r="AC5384" s="2">
        <v>-0.12668912109375299</v>
      </c>
      <c r="AD5384" s="2"/>
      <c r="AE5384" s="2">
        <v>3.4095148196272997E-2</v>
      </c>
      <c r="AF5384" s="2">
        <v>2137.0603965478199</v>
      </c>
      <c r="AG5384" s="2">
        <v>2242.3678889539901</v>
      </c>
      <c r="AH5384" s="4">
        <v>0.95303737048460302</v>
      </c>
      <c r="AI5384" s="4">
        <v>-6.93953087104279E-2</v>
      </c>
      <c r="AJ5384" s="4" t="s">
        <v>62</v>
      </c>
      <c r="AK5384" s="2">
        <v>0.74072191017849498</v>
      </c>
      <c r="AL5384" s="2">
        <v>0.88190791048193196</v>
      </c>
      <c r="AM5384" s="2">
        <v>2228.74351789709</v>
      </c>
      <c r="AN5384" s="2">
        <v>1577.1307218969901</v>
      </c>
      <c r="AO5384" s="2">
        <v>2476.0010420536601</v>
      </c>
      <c r="AP5384" s="2">
        <v>2451.6373326223502</v>
      </c>
      <c r="AQ5384" s="2">
        <v>2214.56327877271</v>
      </c>
      <c r="AR5384" s="2">
        <v>1874.28648604413</v>
      </c>
      <c r="AS5384" s="2">
        <v>1223.4109903789999</v>
      </c>
      <c r="AT5384" s="2">
        <v>2237.9020849766698</v>
      </c>
      <c r="AU5384" s="2">
        <v>1881.9452343576199</v>
      </c>
      <c r="AV5384" s="2">
        <v>3114.4438756242298</v>
      </c>
      <c r="AW5384" s="2">
        <v>2817.2800394729502</v>
      </c>
      <c r="AX5384" s="2">
        <v>2179.2251089134802</v>
      </c>
    </row>
    <row r="5385" spans="1:50" x14ac:dyDescent="0.25">
      <c r="A5385" s="2" t="s">
        <v>35189</v>
      </c>
      <c r="B5385" s="2">
        <v>531.40632143452001</v>
      </c>
      <c r="C5385" s="2">
        <v>13.831099999999999</v>
      </c>
      <c r="D5385" s="2" t="s">
        <v>51</v>
      </c>
      <c r="E5385" s="2" t="s">
        <v>35190</v>
      </c>
      <c r="F5385" s="2">
        <v>46786</v>
      </c>
      <c r="G5385" s="3" t="str">
        <f>HYPERLINK("https://cloud.oebiotech.com/#/lm/network/46786", "https://cloud.oebiotech.com/#/lm/network/46786")</f>
        <v>https://cloud.oebiotech.com/#/lm/network/46786</v>
      </c>
      <c r="H5385" s="2"/>
      <c r="I5385" s="2"/>
      <c r="J5385" s="2" t="s">
        <v>35191</v>
      </c>
      <c r="K5385" s="2">
        <v>101155817</v>
      </c>
      <c r="L5385" s="2"/>
      <c r="M5385" s="2"/>
      <c r="N5385" s="2"/>
      <c r="O5385" s="2"/>
      <c r="P5385" s="2"/>
      <c r="Q5385" s="2"/>
      <c r="R5385" s="2"/>
      <c r="S5385" s="2" t="s">
        <v>35192</v>
      </c>
      <c r="T5385" s="2" t="s">
        <v>35193</v>
      </c>
      <c r="U5385" s="2" t="s">
        <v>56</v>
      </c>
      <c r="V5385" s="2" t="s">
        <v>283</v>
      </c>
      <c r="W5385" s="2" t="s">
        <v>3462</v>
      </c>
      <c r="X5385" s="2" t="s">
        <v>147</v>
      </c>
      <c r="Y5385" s="2">
        <v>43.3</v>
      </c>
      <c r="Z5385" s="2">
        <v>32.6</v>
      </c>
      <c r="AA5385" s="2" t="s">
        <v>156</v>
      </c>
      <c r="AB5385" s="2" t="s">
        <v>35194</v>
      </c>
      <c r="AC5385" s="2">
        <v>3.5013572505429398</v>
      </c>
      <c r="AD5385" s="2"/>
      <c r="AE5385" s="2">
        <v>3.4083010420656701E-2</v>
      </c>
      <c r="AF5385" s="2">
        <v>13130.298477816599</v>
      </c>
      <c r="AG5385" s="2">
        <v>14244.6182698338</v>
      </c>
      <c r="AH5385" s="4">
        <v>0.92177257607688601</v>
      </c>
      <c r="AI5385" s="4">
        <v>-0.11751724861269</v>
      </c>
      <c r="AJ5385" s="4" t="s">
        <v>62</v>
      </c>
      <c r="AK5385" s="2">
        <v>0.827628661674497</v>
      </c>
      <c r="AL5385" s="2">
        <v>0.92429976515301204</v>
      </c>
      <c r="AM5385" s="2">
        <v>19077.2866951701</v>
      </c>
      <c r="AN5385" s="2">
        <v>23993.363182389901</v>
      </c>
      <c r="AO5385" s="2">
        <v>9108.8217534799805</v>
      </c>
      <c r="AP5385" s="2">
        <v>12958.7610526393</v>
      </c>
      <c r="AQ5385" s="2">
        <v>4817.0046210886303</v>
      </c>
      <c r="AR5385" s="2">
        <v>8826.5535621315903</v>
      </c>
      <c r="AS5385" s="2">
        <v>882.47788843561898</v>
      </c>
      <c r="AT5385" s="2">
        <v>12882.439416807199</v>
      </c>
      <c r="AU5385" s="2">
        <v>25196.741673040699</v>
      </c>
      <c r="AV5385" s="2">
        <v>7852.5186172227604</v>
      </c>
      <c r="AW5385" s="2">
        <v>12416.2664930391</v>
      </c>
      <c r="AX5385" s="2">
        <v>26237.265530457498</v>
      </c>
    </row>
    <row r="5386" spans="1:50" x14ac:dyDescent="0.25">
      <c r="A5386" s="2" t="s">
        <v>35195</v>
      </c>
      <c r="B5386" s="2">
        <v>521.072528032533</v>
      </c>
      <c r="C5386" s="2">
        <v>6.9037166666666696</v>
      </c>
      <c r="D5386" s="2" t="s">
        <v>51</v>
      </c>
      <c r="E5386" s="2" t="s">
        <v>35196</v>
      </c>
      <c r="F5386" s="2">
        <v>201671</v>
      </c>
      <c r="G5386" s="3" t="str">
        <f>HYPERLINK("https://cloud.oebiotech.com/#/lm/network/201671", "https://cloud.oebiotech.com/#/lm/network/201671")</f>
        <v>https://cloud.oebiotech.com/#/lm/network/201671</v>
      </c>
      <c r="H5386" s="2" t="s">
        <v>35197</v>
      </c>
      <c r="I5386" s="2"/>
      <c r="J5386" s="2"/>
      <c r="K5386" s="2">
        <v>10084023</v>
      </c>
      <c r="L5386" s="2"/>
      <c r="M5386" s="2"/>
      <c r="N5386" s="2"/>
      <c r="O5386" s="2"/>
      <c r="P5386" s="2"/>
      <c r="Q5386" s="2"/>
      <c r="R5386" s="2"/>
      <c r="S5386" s="2" t="s">
        <v>35198</v>
      </c>
      <c r="T5386" s="2" t="s">
        <v>35199</v>
      </c>
      <c r="U5386" s="2" t="s">
        <v>266</v>
      </c>
      <c r="V5386" s="2" t="s">
        <v>9065</v>
      </c>
      <c r="W5386" s="2" t="s">
        <v>240</v>
      </c>
      <c r="X5386" s="2" t="s">
        <v>147</v>
      </c>
      <c r="Y5386" s="2">
        <v>38.9</v>
      </c>
      <c r="Z5386" s="2">
        <v>0</v>
      </c>
      <c r="AA5386" s="2" t="s">
        <v>478</v>
      </c>
      <c r="AB5386" s="2" t="s">
        <v>35200</v>
      </c>
      <c r="AC5386" s="2">
        <v>1.7731615481549099</v>
      </c>
      <c r="AD5386" s="2"/>
      <c r="AE5386" s="2">
        <v>3.3963553536096501E-2</v>
      </c>
      <c r="AF5386" s="2">
        <v>6636.11337691277</v>
      </c>
      <c r="AG5386" s="2">
        <v>7521.8156153591799</v>
      </c>
      <c r="AH5386" s="4">
        <v>0.88224887663586804</v>
      </c>
      <c r="AI5386" s="4">
        <v>-0.18074240685928999</v>
      </c>
      <c r="AJ5386" s="4" t="s">
        <v>62</v>
      </c>
      <c r="AK5386" s="2">
        <v>0.629381119229384</v>
      </c>
      <c r="AL5386" s="2">
        <v>0.81859536805385202</v>
      </c>
      <c r="AM5386" s="2">
        <v>9159.6532989549305</v>
      </c>
      <c r="AN5386" s="2">
        <v>6542.0041946784504</v>
      </c>
      <c r="AO5386" s="2">
        <v>8769.3914813888805</v>
      </c>
      <c r="AP5386" s="2">
        <v>232.31662051975599</v>
      </c>
      <c r="AQ5386" s="2">
        <v>6120.6006220606296</v>
      </c>
      <c r="AR5386" s="2">
        <v>8992.7140438739498</v>
      </c>
      <c r="AS5386" s="2">
        <v>10352.554109721699</v>
      </c>
      <c r="AT5386" s="2">
        <v>10173.1720319412</v>
      </c>
      <c r="AU5386" s="2">
        <v>5384.2762756971797</v>
      </c>
      <c r="AV5386" s="2">
        <v>7080.8542914298596</v>
      </c>
      <c r="AW5386" s="2">
        <v>8637.8940262983906</v>
      </c>
      <c r="AX5386" s="2">
        <v>3502.1429570667401</v>
      </c>
    </row>
    <row r="5387" spans="1:50" x14ac:dyDescent="0.25">
      <c r="A5387" s="2" t="s">
        <v>35201</v>
      </c>
      <c r="B5387" s="2">
        <v>321.045413734992</v>
      </c>
      <c r="C5387" s="2">
        <v>1.2111499999999999</v>
      </c>
      <c r="D5387" s="2" t="s">
        <v>51</v>
      </c>
      <c r="E5387" s="2" t="s">
        <v>35202</v>
      </c>
      <c r="F5387" s="2">
        <v>257289</v>
      </c>
      <c r="G5387" s="3" t="str">
        <f>HYPERLINK("https://cloud.oebiotech.com/#/lm/network/257289", "https://cloud.oebiotech.com/#/lm/network/257289")</f>
        <v>https://cloud.oebiotech.com/#/lm/network/257289</v>
      </c>
      <c r="H5387" s="2" t="s">
        <v>35203</v>
      </c>
      <c r="I5387" s="2"/>
      <c r="J5387" s="2"/>
      <c r="K5387" s="2"/>
      <c r="L5387" s="2"/>
      <c r="M5387" s="2"/>
      <c r="N5387" s="2"/>
      <c r="O5387" s="2"/>
      <c r="P5387" s="2"/>
      <c r="Q5387" s="2"/>
      <c r="R5387" s="2"/>
      <c r="S5387" s="2" t="s">
        <v>35204</v>
      </c>
      <c r="T5387" s="2" t="s">
        <v>35205</v>
      </c>
      <c r="U5387" s="2" t="s">
        <v>103</v>
      </c>
      <c r="V5387" s="2" t="s">
        <v>104</v>
      </c>
      <c r="W5387" s="2" t="s">
        <v>105</v>
      </c>
      <c r="X5387" s="2" t="s">
        <v>147</v>
      </c>
      <c r="Y5387" s="2">
        <v>39.5</v>
      </c>
      <c r="Z5387" s="2">
        <v>12.3</v>
      </c>
      <c r="AA5387" s="2" t="s">
        <v>156</v>
      </c>
      <c r="AB5387" s="2" t="s">
        <v>35206</v>
      </c>
      <c r="AC5387" s="2">
        <v>1.9220347759330201</v>
      </c>
      <c r="AD5387" s="2"/>
      <c r="AE5387" s="2">
        <v>3.3916868168839501E-2</v>
      </c>
      <c r="AF5387" s="2">
        <v>3609.8229278363501</v>
      </c>
      <c r="AG5387" s="2">
        <v>3802.00357645855</v>
      </c>
      <c r="AH5387" s="4">
        <v>0.94945279646443304</v>
      </c>
      <c r="AI5387" s="4">
        <v>-7.4831818577364997E-2</v>
      </c>
      <c r="AJ5387" s="4" t="s">
        <v>62</v>
      </c>
      <c r="AK5387" s="2">
        <v>0.94299943319908397</v>
      </c>
      <c r="AL5387" s="2">
        <v>0.97589327031342099</v>
      </c>
      <c r="AM5387" s="2">
        <v>680.53490575268904</v>
      </c>
      <c r="AN5387" s="2">
        <v>1144.5993614645099</v>
      </c>
      <c r="AO5387" s="2">
        <v>14717.386859852</v>
      </c>
      <c r="AP5387" s="2">
        <v>1466.7443976360601</v>
      </c>
      <c r="AQ5387" s="2">
        <v>2674.5343438912701</v>
      </c>
      <c r="AR5387" s="2">
        <v>975.13769842154397</v>
      </c>
      <c r="AS5387" s="2">
        <v>171.80004958754</v>
      </c>
      <c r="AT5387" s="2">
        <v>8.559877937157E-6</v>
      </c>
      <c r="AU5387" s="2">
        <v>2991.6097047120702</v>
      </c>
      <c r="AV5387" s="2">
        <v>8327.4189219553991</v>
      </c>
      <c r="AW5387" s="2">
        <v>5655.2338699067004</v>
      </c>
      <c r="AX5387" s="2">
        <v>5665.9589040297196</v>
      </c>
    </row>
    <row r="5388" spans="1:50" x14ac:dyDescent="0.25">
      <c r="A5388" s="2" t="s">
        <v>35207</v>
      </c>
      <c r="B5388" s="2">
        <v>439.37959254641902</v>
      </c>
      <c r="C5388" s="2">
        <v>14.299383333333299</v>
      </c>
      <c r="D5388" s="2" t="s">
        <v>51</v>
      </c>
      <c r="E5388" s="2" t="s">
        <v>35208</v>
      </c>
      <c r="F5388" s="2">
        <v>35851</v>
      </c>
      <c r="G5388" s="3" t="str">
        <f>HYPERLINK("https://cloud.oebiotech.com/#/lm/network/35851", "https://cloud.oebiotech.com/#/lm/network/35851")</f>
        <v>https://cloud.oebiotech.com/#/lm/network/35851</v>
      </c>
      <c r="H5388" s="2"/>
      <c r="I5388" s="2">
        <v>102902</v>
      </c>
      <c r="J5388" s="2" t="s">
        <v>35209</v>
      </c>
      <c r="K5388" s="2">
        <v>52929820</v>
      </c>
      <c r="L5388" s="2"/>
      <c r="M5388" s="2"/>
      <c r="N5388" s="2"/>
      <c r="O5388" s="2"/>
      <c r="P5388" s="2"/>
      <c r="Q5388" s="2"/>
      <c r="R5388" s="2"/>
      <c r="S5388" s="2" t="s">
        <v>35210</v>
      </c>
      <c r="T5388" s="2" t="s">
        <v>35211</v>
      </c>
      <c r="U5388" s="2" t="s">
        <v>56</v>
      </c>
      <c r="V5388" s="2" t="s">
        <v>145</v>
      </c>
      <c r="W5388" s="2" t="s">
        <v>231</v>
      </c>
      <c r="X5388" s="2" t="s">
        <v>83</v>
      </c>
      <c r="Y5388" s="2">
        <v>44.1</v>
      </c>
      <c r="Z5388" s="2">
        <v>0</v>
      </c>
      <c r="AA5388" s="2" t="s">
        <v>218</v>
      </c>
      <c r="AB5388" s="2" t="s">
        <v>35212</v>
      </c>
      <c r="AC5388" s="2">
        <v>0.78308472289989295</v>
      </c>
      <c r="AD5388" s="2"/>
      <c r="AE5388" s="2">
        <v>3.3912575762891597E-2</v>
      </c>
      <c r="AF5388" s="2">
        <v>1211.64402052221</v>
      </c>
      <c r="AG5388" s="2">
        <v>1015.77307129301</v>
      </c>
      <c r="AH5388" s="5">
        <v>1.1928294367755501</v>
      </c>
      <c r="AI5388" s="5">
        <v>0.254387766159619</v>
      </c>
      <c r="AJ5388" s="5" t="s">
        <v>139</v>
      </c>
      <c r="AK5388" s="2">
        <v>0.669520333608706</v>
      </c>
      <c r="AL5388" s="2">
        <v>0.84072381993123702</v>
      </c>
      <c r="AM5388" s="2">
        <v>787.754200659361</v>
      </c>
      <c r="AN5388" s="2">
        <v>1124.0796283212101</v>
      </c>
      <c r="AO5388" s="2">
        <v>1185.0040740475099</v>
      </c>
      <c r="AP5388" s="2">
        <v>2732.9513134373901</v>
      </c>
      <c r="AQ5388" s="2">
        <v>1285.28076024185</v>
      </c>
      <c r="AR5388" s="2">
        <v>154.79414642593201</v>
      </c>
      <c r="AS5388" s="2">
        <v>1053.2670633159601</v>
      </c>
      <c r="AT5388" s="2">
        <v>1867.55715651482</v>
      </c>
      <c r="AU5388" s="2">
        <v>1221.79361763167</v>
      </c>
      <c r="AV5388" s="2">
        <v>262.35667974080599</v>
      </c>
      <c r="AW5388" s="2">
        <v>1528.03022990933</v>
      </c>
      <c r="AX5388" s="2">
        <v>161.63368064544699</v>
      </c>
    </row>
    <row r="5389" spans="1:50" x14ac:dyDescent="0.25">
      <c r="A5389" s="2" t="s">
        <v>35213</v>
      </c>
      <c r="B5389" s="2">
        <v>657.50828357963906</v>
      </c>
      <c r="C5389" s="2">
        <v>14.225250000000001</v>
      </c>
      <c r="D5389" s="2" t="s">
        <v>51</v>
      </c>
      <c r="E5389" s="2" t="s">
        <v>35214</v>
      </c>
      <c r="F5389" s="2">
        <v>252414</v>
      </c>
      <c r="G5389" s="3" t="str">
        <f>HYPERLINK("https://cloud.oebiotech.com/#/lm/network/252414", "https://cloud.oebiotech.com/#/lm/network/252414")</f>
        <v>https://cloud.oebiotech.com/#/lm/network/252414</v>
      </c>
      <c r="H5389" s="2" t="s">
        <v>35215</v>
      </c>
      <c r="I5389" s="2"/>
      <c r="J5389" s="2"/>
      <c r="K5389" s="2"/>
      <c r="L5389" s="2"/>
      <c r="M5389" s="2"/>
      <c r="N5389" s="2"/>
      <c r="O5389" s="2"/>
      <c r="P5389" s="2"/>
      <c r="Q5389" s="2"/>
      <c r="R5389" s="2"/>
      <c r="S5389" s="2" t="s">
        <v>35216</v>
      </c>
      <c r="T5389" s="2" t="s">
        <v>35217</v>
      </c>
      <c r="U5389" s="2" t="s">
        <v>56</v>
      </c>
      <c r="V5389" s="2" t="s">
        <v>3215</v>
      </c>
      <c r="W5389" s="2" t="s">
        <v>3216</v>
      </c>
      <c r="X5389" s="2" t="s">
        <v>59</v>
      </c>
      <c r="Y5389" s="2">
        <v>53.8</v>
      </c>
      <c r="Z5389" s="2">
        <v>79.2</v>
      </c>
      <c r="AA5389" s="2" t="s">
        <v>259</v>
      </c>
      <c r="AB5389" s="2" t="s">
        <v>35218</v>
      </c>
      <c r="AC5389" s="2">
        <v>-0.88766042595693795</v>
      </c>
      <c r="AD5389" s="2"/>
      <c r="AE5389" s="2">
        <v>3.3887150040981903E-2</v>
      </c>
      <c r="AF5389" s="2">
        <v>140569.51613084099</v>
      </c>
      <c r="AG5389" s="2">
        <v>145757.68111000099</v>
      </c>
      <c r="AH5389" s="4">
        <v>0.96440554666038603</v>
      </c>
      <c r="AI5389" s="4">
        <v>-5.22881464392283E-2</v>
      </c>
      <c r="AJ5389" s="4" t="s">
        <v>62</v>
      </c>
      <c r="AK5389" s="2">
        <v>0.89470385359725002</v>
      </c>
      <c r="AL5389" s="2">
        <v>0.95554178427898395</v>
      </c>
      <c r="AM5389" s="2">
        <v>99445.218958221201</v>
      </c>
      <c r="AN5389" s="2">
        <v>287352.43302661501</v>
      </c>
      <c r="AO5389" s="2">
        <v>157340.835654058</v>
      </c>
      <c r="AP5389" s="2">
        <v>91437.372601714</v>
      </c>
      <c r="AQ5389" s="2">
        <v>131197.959121997</v>
      </c>
      <c r="AR5389" s="2">
        <v>76643.277422441402</v>
      </c>
      <c r="AS5389" s="2">
        <v>79162.071281198107</v>
      </c>
      <c r="AT5389" s="2">
        <v>176390.25429100401</v>
      </c>
      <c r="AU5389" s="2">
        <v>128847.894981397</v>
      </c>
      <c r="AV5389" s="2">
        <v>226872.862445873</v>
      </c>
      <c r="AW5389" s="2">
        <v>108523.430446969</v>
      </c>
      <c r="AX5389" s="2">
        <v>154749.573213567</v>
      </c>
    </row>
    <row r="5390" spans="1:50" x14ac:dyDescent="0.25">
      <c r="A5390" s="2" t="s">
        <v>35219</v>
      </c>
      <c r="B5390" s="2">
        <v>257.03083261851299</v>
      </c>
      <c r="C5390" s="2">
        <v>0.782216666666667</v>
      </c>
      <c r="D5390" s="2" t="s">
        <v>51</v>
      </c>
      <c r="E5390" s="2" t="s">
        <v>35220</v>
      </c>
      <c r="F5390" s="2">
        <v>203077</v>
      </c>
      <c r="G5390" s="3" t="str">
        <f>HYPERLINK("https://cloud.oebiotech.com/#/lm/network/203077", "https://cloud.oebiotech.com/#/lm/network/203077")</f>
        <v>https://cloud.oebiotech.com/#/lm/network/203077</v>
      </c>
      <c r="H5390" s="2" t="s">
        <v>35221</v>
      </c>
      <c r="I5390" s="2"/>
      <c r="J5390" s="2"/>
      <c r="K5390" s="2">
        <v>1980</v>
      </c>
      <c r="L5390" s="2"/>
      <c r="M5390" s="2"/>
      <c r="N5390" s="2"/>
      <c r="O5390" s="2"/>
      <c r="P5390" s="2"/>
      <c r="Q5390" s="2"/>
      <c r="R5390" s="2"/>
      <c r="S5390" s="2" t="s">
        <v>35222</v>
      </c>
      <c r="T5390" s="2" t="s">
        <v>35223</v>
      </c>
      <c r="U5390" s="2" t="s">
        <v>103</v>
      </c>
      <c r="V5390" s="2" t="s">
        <v>104</v>
      </c>
      <c r="W5390" s="2" t="s">
        <v>4850</v>
      </c>
      <c r="X5390" s="2" t="s">
        <v>147</v>
      </c>
      <c r="Y5390" s="2">
        <v>37.1</v>
      </c>
      <c r="Z5390" s="2">
        <v>0</v>
      </c>
      <c r="AA5390" s="2" t="s">
        <v>163</v>
      </c>
      <c r="AB5390" s="2" t="s">
        <v>35224</v>
      </c>
      <c r="AC5390" s="2">
        <v>2.0995909198104199</v>
      </c>
      <c r="AD5390" s="2"/>
      <c r="AE5390" s="2">
        <v>3.3871339157459997E-2</v>
      </c>
      <c r="AF5390" s="2">
        <v>1012.71021044577</v>
      </c>
      <c r="AG5390" s="2">
        <v>1158.82862655329</v>
      </c>
      <c r="AH5390" s="4">
        <v>0.87390852041503797</v>
      </c>
      <c r="AI5390" s="4">
        <v>-0.19444582666140001</v>
      </c>
      <c r="AJ5390" s="4" t="s">
        <v>62</v>
      </c>
      <c r="AK5390" s="2">
        <v>0.90623583877787195</v>
      </c>
      <c r="AL5390" s="2">
        <v>0.96060028116840301</v>
      </c>
      <c r="AM5390" s="2">
        <v>2248.5525940080902</v>
      </c>
      <c r="AN5390" s="2">
        <v>1763.46949029146</v>
      </c>
      <c r="AO5390" s="2">
        <v>652.36191016326995</v>
      </c>
      <c r="AP5390" s="2">
        <v>417.74988862463903</v>
      </c>
      <c r="AQ5390" s="2">
        <v>8.559877937157E-6</v>
      </c>
      <c r="AR5390" s="2">
        <v>994.12737102730102</v>
      </c>
      <c r="AS5390" s="2">
        <v>8.559877937157E-6</v>
      </c>
      <c r="AT5390" s="2">
        <v>8.559877937157E-6</v>
      </c>
      <c r="AU5390" s="2">
        <v>6952.9717165203301</v>
      </c>
      <c r="AV5390" s="2">
        <v>8.559877937157E-6</v>
      </c>
      <c r="AW5390" s="2">
        <v>8.559877937157E-6</v>
      </c>
      <c r="AX5390" s="2">
        <v>8.559877937157E-6</v>
      </c>
    </row>
    <row r="5391" spans="1:50" x14ac:dyDescent="0.25">
      <c r="A5391" s="2" t="s">
        <v>35225</v>
      </c>
      <c r="B5391" s="2">
        <v>254.02483587173299</v>
      </c>
      <c r="C5391" s="2">
        <v>3.9637500000000001</v>
      </c>
      <c r="D5391" s="2" t="s">
        <v>51</v>
      </c>
      <c r="E5391" s="2" t="s">
        <v>35226</v>
      </c>
      <c r="F5391" s="2">
        <v>210163</v>
      </c>
      <c r="G5391" s="3" t="str">
        <f>HYPERLINK("https://cloud.oebiotech.com/#/lm/network/210163", "https://cloud.oebiotech.com/#/lm/network/210163")</f>
        <v>https://cloud.oebiotech.com/#/lm/network/210163</v>
      </c>
      <c r="H5391" s="2" t="s">
        <v>35227</v>
      </c>
      <c r="I5391" s="2"/>
      <c r="J5391" s="2"/>
      <c r="K5391" s="2"/>
      <c r="L5391" s="2"/>
      <c r="M5391" s="2"/>
      <c r="N5391" s="2"/>
      <c r="O5391" s="2"/>
      <c r="P5391" s="2"/>
      <c r="Q5391" s="2"/>
      <c r="R5391" s="2"/>
      <c r="S5391" s="2" t="s">
        <v>35228</v>
      </c>
      <c r="T5391" s="2" t="s">
        <v>35229</v>
      </c>
      <c r="U5391" s="2" t="s">
        <v>331</v>
      </c>
      <c r="V5391" s="2" t="s">
        <v>1284</v>
      </c>
      <c r="W5391" s="2" t="s">
        <v>1285</v>
      </c>
      <c r="X5391" s="2" t="s">
        <v>147</v>
      </c>
      <c r="Y5391" s="2">
        <v>38.9</v>
      </c>
      <c r="Z5391" s="2">
        <v>0</v>
      </c>
      <c r="AA5391" s="2" t="s">
        <v>156</v>
      </c>
      <c r="AB5391" s="2" t="s">
        <v>35230</v>
      </c>
      <c r="AC5391" s="2">
        <v>-2.46976303976269</v>
      </c>
      <c r="AD5391" s="2"/>
      <c r="AE5391" s="2">
        <v>3.3623324783732297E-2</v>
      </c>
      <c r="AF5391" s="2">
        <v>595.32046717493301</v>
      </c>
      <c r="AG5391" s="2">
        <v>846.02298841335198</v>
      </c>
      <c r="AH5391" s="4">
        <v>0.70366937462468804</v>
      </c>
      <c r="AI5391" s="4">
        <v>-0.50703037004637896</v>
      </c>
      <c r="AJ5391" s="4" t="s">
        <v>62</v>
      </c>
      <c r="AK5391" s="2">
        <v>0.47488750527941997</v>
      </c>
      <c r="AL5391" s="2">
        <v>0.720891618216292</v>
      </c>
      <c r="AM5391" s="2">
        <v>875.32755542761902</v>
      </c>
      <c r="AN5391" s="2">
        <v>498.70243767718802</v>
      </c>
      <c r="AO5391" s="2">
        <v>800.19869511823197</v>
      </c>
      <c r="AP5391" s="2">
        <v>668.81879247668303</v>
      </c>
      <c r="AQ5391" s="2">
        <v>518.234368969353</v>
      </c>
      <c r="AR5391" s="2">
        <v>210.640953380524</v>
      </c>
      <c r="AS5391" s="2">
        <v>624.134200099689</v>
      </c>
      <c r="AT5391" s="2">
        <v>846.79950053381594</v>
      </c>
      <c r="AU5391" s="2">
        <v>2078.5397078997598</v>
      </c>
      <c r="AV5391" s="2">
        <v>8.559877937157E-6</v>
      </c>
      <c r="AW5391" s="2">
        <v>1408.9810425921701</v>
      </c>
      <c r="AX5391" s="2">
        <v>117.683470794797</v>
      </c>
    </row>
    <row r="5392" spans="1:50" x14ac:dyDescent="0.25">
      <c r="A5392" s="2" t="s">
        <v>35231</v>
      </c>
      <c r="B5392" s="2">
        <v>829.464382021088</v>
      </c>
      <c r="C5392" s="2">
        <v>4.7703666666666704</v>
      </c>
      <c r="D5392" s="2" t="s">
        <v>51</v>
      </c>
      <c r="E5392" s="2" t="s">
        <v>35232</v>
      </c>
      <c r="F5392" s="2">
        <v>216717</v>
      </c>
      <c r="G5392" s="3" t="str">
        <f>HYPERLINK("https://cloud.oebiotech.com/#/lm/network/216717", "https://cloud.oebiotech.com/#/lm/network/216717")</f>
        <v>https://cloud.oebiotech.com/#/lm/network/216717</v>
      </c>
      <c r="H5392" s="2" t="s">
        <v>35233</v>
      </c>
      <c r="I5392" s="2"/>
      <c r="J5392" s="2"/>
      <c r="K5392" s="2"/>
      <c r="L5392" s="2"/>
      <c r="M5392" s="2"/>
      <c r="N5392" s="2"/>
      <c r="O5392" s="2"/>
      <c r="P5392" s="2"/>
      <c r="Q5392" s="2"/>
      <c r="R5392" s="2"/>
      <c r="S5392" s="2" t="s">
        <v>35234</v>
      </c>
      <c r="T5392" s="2" t="s">
        <v>35235</v>
      </c>
      <c r="U5392" s="2" t="s">
        <v>56</v>
      </c>
      <c r="V5392" s="2" t="s">
        <v>145</v>
      </c>
      <c r="W5392" s="2" t="s">
        <v>187</v>
      </c>
      <c r="X5392" s="2" t="s">
        <v>147</v>
      </c>
      <c r="Y5392" s="2">
        <v>39.9</v>
      </c>
      <c r="Z5392" s="2">
        <v>15.1</v>
      </c>
      <c r="AA5392" s="2" t="s">
        <v>395</v>
      </c>
      <c r="AB5392" s="2" t="s">
        <v>35236</v>
      </c>
      <c r="AC5392" s="2">
        <v>2.03601758789606</v>
      </c>
      <c r="AD5392" s="2"/>
      <c r="AE5392" s="2">
        <v>3.3620946964906299E-2</v>
      </c>
      <c r="AF5392" s="2">
        <v>4974.4887151380599</v>
      </c>
      <c r="AG5392" s="2">
        <v>4556.8898773836099</v>
      </c>
      <c r="AH5392" s="5">
        <v>1.0916411958575201</v>
      </c>
      <c r="AI5392" s="5">
        <v>0.12649874451939899</v>
      </c>
      <c r="AJ5392" s="5" t="s">
        <v>139</v>
      </c>
      <c r="AK5392" s="2">
        <v>0.936647739189021</v>
      </c>
      <c r="AL5392" s="2">
        <v>0.97286172630602097</v>
      </c>
      <c r="AM5392" s="2">
        <v>1831.8879622540001</v>
      </c>
      <c r="AN5392" s="2">
        <v>1250.3328510015999</v>
      </c>
      <c r="AO5392" s="2">
        <v>8.559877937157E-6</v>
      </c>
      <c r="AP5392" s="2">
        <v>8.559877937157E-6</v>
      </c>
      <c r="AQ5392" s="2">
        <v>8.559877937157E-6</v>
      </c>
      <c r="AR5392" s="2">
        <v>26764.711451893101</v>
      </c>
      <c r="AS5392" s="2">
        <v>8.559877937157E-6</v>
      </c>
      <c r="AT5392" s="2">
        <v>8.559877937157E-6</v>
      </c>
      <c r="AU5392" s="2">
        <v>2031.0336686130099</v>
      </c>
      <c r="AV5392" s="2">
        <v>8709.1396918632799</v>
      </c>
      <c r="AW5392" s="2">
        <v>505.11661755989002</v>
      </c>
      <c r="AX5392" s="2">
        <v>16096.0492691457</v>
      </c>
    </row>
    <row r="5393" spans="1:50" x14ac:dyDescent="0.25">
      <c r="A5393" s="2" t="s">
        <v>35237</v>
      </c>
      <c r="B5393" s="2">
        <v>218.1165</v>
      </c>
      <c r="C5393" s="2">
        <v>20.015999999999998</v>
      </c>
      <c r="D5393" s="2" t="s">
        <v>125</v>
      </c>
      <c r="E5393" s="2" t="s">
        <v>35238</v>
      </c>
      <c r="F5393" s="2">
        <v>46901</v>
      </c>
      <c r="G5393" s="3" t="str">
        <f>HYPERLINK("https://cloud.oebiotech.com/#/lm/network/46901", "https://cloud.oebiotech.com/#/lm/network/46901")</f>
        <v>https://cloud.oebiotech.com/#/lm/network/46901</v>
      </c>
      <c r="H5393" s="2" t="s">
        <v>35239</v>
      </c>
      <c r="I5393" s="2">
        <v>34</v>
      </c>
      <c r="J5393" s="2"/>
      <c r="K5393" s="2">
        <v>6057</v>
      </c>
      <c r="L5393" s="2" t="s">
        <v>35240</v>
      </c>
      <c r="M5393" s="2" t="s">
        <v>35241</v>
      </c>
      <c r="N5393" s="2" t="s">
        <v>35242</v>
      </c>
      <c r="O5393" s="2">
        <v>17895</v>
      </c>
      <c r="P5393" s="2"/>
      <c r="Q5393" s="2"/>
      <c r="R5393" s="2" t="s">
        <v>35243</v>
      </c>
      <c r="S5393" s="2" t="s">
        <v>35244</v>
      </c>
      <c r="T5393" s="2" t="s">
        <v>35245</v>
      </c>
      <c r="U5393" s="2" t="s">
        <v>103</v>
      </c>
      <c r="V5393" s="2" t="s">
        <v>104</v>
      </c>
      <c r="W5393" s="2" t="s">
        <v>105</v>
      </c>
      <c r="X5393" s="2" t="s">
        <v>69</v>
      </c>
      <c r="Y5393" s="2">
        <v>95.3</v>
      </c>
      <c r="Z5393" s="2">
        <v>92.2</v>
      </c>
      <c r="AA5393" s="2"/>
      <c r="AB5393" s="2" t="s">
        <v>35246</v>
      </c>
      <c r="AC5393" s="2"/>
      <c r="AD5393" s="2">
        <v>671923.86221294396</v>
      </c>
      <c r="AE5393" s="2">
        <v>3.3554066609848901E-2</v>
      </c>
      <c r="AF5393" s="2">
        <v>420630.51219787198</v>
      </c>
      <c r="AG5393" s="2">
        <v>437701.68404785899</v>
      </c>
      <c r="AH5393" s="4">
        <v>0.96099815816993805</v>
      </c>
      <c r="AI5393" s="4">
        <v>-5.7394428926466803E-2</v>
      </c>
      <c r="AJ5393" s="4" t="s">
        <v>62</v>
      </c>
      <c r="AK5393" s="2">
        <v>0.90743632091482296</v>
      </c>
      <c r="AL5393" s="2">
        <v>0.96135785818545705</v>
      </c>
      <c r="AM5393" s="2">
        <v>861265.35660087201</v>
      </c>
      <c r="AN5393" s="2">
        <v>517466.921717452</v>
      </c>
      <c r="AO5393" s="2">
        <v>265259.56861323101</v>
      </c>
      <c r="AP5393" s="2">
        <v>475108.248945189</v>
      </c>
      <c r="AQ5393" s="2">
        <v>60225.6883390847</v>
      </c>
      <c r="AR5393" s="2">
        <v>344457.288971406</v>
      </c>
      <c r="AS5393" s="2">
        <v>201099.27630936701</v>
      </c>
      <c r="AT5393" s="2">
        <v>208980.20137002401</v>
      </c>
      <c r="AU5393" s="2">
        <v>545032.59411287995</v>
      </c>
      <c r="AV5393" s="2">
        <v>360048.50949771702</v>
      </c>
      <c r="AW5393" s="2">
        <v>537870.35069366696</v>
      </c>
      <c r="AX5393" s="2">
        <v>773179.17230349802</v>
      </c>
    </row>
    <row r="5394" spans="1:50" x14ac:dyDescent="0.25">
      <c r="A5394" s="2" t="s">
        <v>35247</v>
      </c>
      <c r="B5394" s="2">
        <v>147.11353242418801</v>
      </c>
      <c r="C5394" s="2">
        <v>1.4871000000000001</v>
      </c>
      <c r="D5394" s="2" t="s">
        <v>51</v>
      </c>
      <c r="E5394" s="2" t="s">
        <v>35248</v>
      </c>
      <c r="F5394" s="2">
        <v>52772</v>
      </c>
      <c r="G5394" s="3" t="str">
        <f>HYPERLINK("https://cloud.oebiotech.com/#/lm/network/52772", "https://cloud.oebiotech.com/#/lm/network/52772")</f>
        <v>https://cloud.oebiotech.com/#/lm/network/52772</v>
      </c>
      <c r="H5394" s="2" t="s">
        <v>35249</v>
      </c>
      <c r="I5394" s="2">
        <v>320875</v>
      </c>
      <c r="J5394" s="2"/>
      <c r="K5394" s="2">
        <v>2551</v>
      </c>
      <c r="L5394" s="2"/>
      <c r="M5394" s="2"/>
      <c r="N5394" s="2"/>
      <c r="O5394" s="2"/>
      <c r="P5394" s="2"/>
      <c r="Q5394" s="2"/>
      <c r="R5394" s="2" t="s">
        <v>35250</v>
      </c>
      <c r="S5394" s="2" t="s">
        <v>35251</v>
      </c>
      <c r="T5394" s="2" t="s">
        <v>35252</v>
      </c>
      <c r="U5394" s="2" t="s">
        <v>103</v>
      </c>
      <c r="V5394" s="2" t="s">
        <v>104</v>
      </c>
      <c r="W5394" s="2" t="s">
        <v>105</v>
      </c>
      <c r="X5394" s="2" t="s">
        <v>147</v>
      </c>
      <c r="Y5394" s="2">
        <v>39.1</v>
      </c>
      <c r="Z5394" s="2">
        <v>0</v>
      </c>
      <c r="AA5394" s="2" t="s">
        <v>122</v>
      </c>
      <c r="AB5394" s="2" t="s">
        <v>35253</v>
      </c>
      <c r="AC5394" s="2">
        <v>1.22078937429745</v>
      </c>
      <c r="AD5394" s="2"/>
      <c r="AE5394" s="2">
        <v>3.3496804176517299E-2</v>
      </c>
      <c r="AF5394" s="2">
        <v>534.02574165752196</v>
      </c>
      <c r="AG5394" s="2">
        <v>440.26643177066302</v>
      </c>
      <c r="AH5394" s="5">
        <v>1.2129603874403501</v>
      </c>
      <c r="AI5394" s="5">
        <v>0.27853243605072697</v>
      </c>
      <c r="AJ5394" s="5" t="s">
        <v>139</v>
      </c>
      <c r="AK5394" s="2">
        <v>0.62321433047414898</v>
      </c>
      <c r="AL5394" s="2">
        <v>0.81390749670590001</v>
      </c>
      <c r="AM5394" s="2">
        <v>767.38588294393401</v>
      </c>
      <c r="AN5394" s="2">
        <v>865.35542896880395</v>
      </c>
      <c r="AO5394" s="2">
        <v>315.95877371621702</v>
      </c>
      <c r="AP5394" s="2">
        <v>838.13584080863302</v>
      </c>
      <c r="AQ5394" s="2">
        <v>311.877138883398</v>
      </c>
      <c r="AR5394" s="2">
        <v>105.441384624148</v>
      </c>
      <c r="AS5394" s="2">
        <v>40.049600324589903</v>
      </c>
      <c r="AT5394" s="2">
        <v>60.275963795687197</v>
      </c>
      <c r="AU5394" s="2">
        <v>754.36081188649405</v>
      </c>
      <c r="AV5394" s="2">
        <v>610.56193813675804</v>
      </c>
      <c r="AW5394" s="2">
        <v>507.27587069206902</v>
      </c>
      <c r="AX5394" s="2">
        <v>669.074405788381</v>
      </c>
    </row>
    <row r="5395" spans="1:50" x14ac:dyDescent="0.25">
      <c r="A5395" s="2" t="s">
        <v>35254</v>
      </c>
      <c r="B5395" s="2">
        <v>203.065987141205</v>
      </c>
      <c r="C5395" s="2">
        <v>6.8702833333333304</v>
      </c>
      <c r="D5395" s="2" t="s">
        <v>51</v>
      </c>
      <c r="E5395" s="2" t="s">
        <v>35255</v>
      </c>
      <c r="F5395" s="2">
        <v>47522</v>
      </c>
      <c r="G5395" s="3" t="str">
        <f>HYPERLINK("https://cloud.oebiotech.com/#/lm/network/47522", "https://cloud.oebiotech.com/#/lm/network/47522")</f>
        <v>https://cloud.oebiotech.com/#/lm/network/47522</v>
      </c>
      <c r="H5395" s="2" t="s">
        <v>35256</v>
      </c>
      <c r="I5395" s="2">
        <v>3319</v>
      </c>
      <c r="J5395" s="2"/>
      <c r="K5395" s="2">
        <v>5280673</v>
      </c>
      <c r="L5395" s="2" t="s">
        <v>35257</v>
      </c>
      <c r="M5395" s="2" t="s">
        <v>15319</v>
      </c>
      <c r="N5395" s="2" t="s">
        <v>15320</v>
      </c>
      <c r="O5395" s="2">
        <v>995</v>
      </c>
      <c r="P5395" s="2"/>
      <c r="Q5395" s="2"/>
      <c r="R5395" s="2" t="s">
        <v>35258</v>
      </c>
      <c r="S5395" s="2" t="s">
        <v>35259</v>
      </c>
      <c r="T5395" s="2" t="s">
        <v>35260</v>
      </c>
      <c r="U5395" s="2" t="s">
        <v>103</v>
      </c>
      <c r="V5395" s="2" t="s">
        <v>104</v>
      </c>
      <c r="W5395" s="2" t="s">
        <v>105</v>
      </c>
      <c r="X5395" s="2" t="s">
        <v>147</v>
      </c>
      <c r="Y5395" s="2">
        <v>40</v>
      </c>
      <c r="Z5395" s="2">
        <v>6.87</v>
      </c>
      <c r="AA5395" s="2" t="s">
        <v>512</v>
      </c>
      <c r="AB5395" s="2" t="s">
        <v>35261</v>
      </c>
      <c r="AC5395" s="2">
        <v>-1.4090281140869501</v>
      </c>
      <c r="AD5395" s="2"/>
      <c r="AE5395" s="2">
        <v>3.3493648949193502E-2</v>
      </c>
      <c r="AF5395" s="2">
        <v>1046.4986947504401</v>
      </c>
      <c r="AG5395" s="2">
        <v>1006.22267565683</v>
      </c>
      <c r="AH5395" s="5">
        <v>1.0400269444010699</v>
      </c>
      <c r="AI5395" s="5">
        <v>5.6620905337767799E-2</v>
      </c>
      <c r="AJ5395" s="5" t="s">
        <v>139</v>
      </c>
      <c r="AK5395" s="2">
        <v>0.89577337481846597</v>
      </c>
      <c r="AL5395" s="2">
        <v>0.95633996157116297</v>
      </c>
      <c r="AM5395" s="2">
        <v>1664.8713230224801</v>
      </c>
      <c r="AN5395" s="2">
        <v>1860.32237954583</v>
      </c>
      <c r="AO5395" s="2">
        <v>223.506057563007</v>
      </c>
      <c r="AP5395" s="2">
        <v>778.00369439696397</v>
      </c>
      <c r="AQ5395" s="2">
        <v>688.67575192331003</v>
      </c>
      <c r="AR5395" s="2">
        <v>1063.6129620510501</v>
      </c>
      <c r="AS5395" s="2">
        <v>810.41481997240601</v>
      </c>
      <c r="AT5395" s="2">
        <v>815.33745638245898</v>
      </c>
      <c r="AU5395" s="2">
        <v>1504.5473760182999</v>
      </c>
      <c r="AV5395" s="2">
        <v>430.14395920021201</v>
      </c>
      <c r="AW5395" s="2">
        <v>1168.0019903565001</v>
      </c>
      <c r="AX5395" s="2">
        <v>1308.89045201109</v>
      </c>
    </row>
    <row r="5396" spans="1:50" x14ac:dyDescent="0.25">
      <c r="A5396" s="2" t="s">
        <v>35262</v>
      </c>
      <c r="B5396" s="2">
        <v>421.26080298886302</v>
      </c>
      <c r="C5396" s="2">
        <v>4.8730833333333301</v>
      </c>
      <c r="D5396" s="2" t="s">
        <v>51</v>
      </c>
      <c r="E5396" s="2" t="s">
        <v>35263</v>
      </c>
      <c r="F5396" s="2">
        <v>208618</v>
      </c>
      <c r="G5396" s="3" t="str">
        <f>HYPERLINK("https://cloud.oebiotech.com/#/lm/network/208618", "https://cloud.oebiotech.com/#/lm/network/208618")</f>
        <v>https://cloud.oebiotech.com/#/lm/network/208618</v>
      </c>
      <c r="H5396" s="2" t="s">
        <v>35264</v>
      </c>
      <c r="I5396" s="2"/>
      <c r="J5396" s="2"/>
      <c r="K5396" s="2">
        <v>4090</v>
      </c>
      <c r="L5396" s="2"/>
      <c r="M5396" s="2"/>
      <c r="N5396" s="2"/>
      <c r="O5396" s="2">
        <v>91619</v>
      </c>
      <c r="P5396" s="2"/>
      <c r="Q5396" s="2"/>
      <c r="R5396" s="2"/>
      <c r="S5396" s="2" t="s">
        <v>35265</v>
      </c>
      <c r="T5396" s="2" t="s">
        <v>35266</v>
      </c>
      <c r="U5396" s="2" t="s">
        <v>266</v>
      </c>
      <c r="V5396" s="2" t="s">
        <v>1393</v>
      </c>
      <c r="W5396" s="2" t="s">
        <v>26213</v>
      </c>
      <c r="X5396" s="2" t="s">
        <v>147</v>
      </c>
      <c r="Y5396" s="2">
        <v>39.200000000000003</v>
      </c>
      <c r="Z5396" s="2">
        <v>19</v>
      </c>
      <c r="AA5396" s="2" t="s">
        <v>526</v>
      </c>
      <c r="AB5396" s="2" t="s">
        <v>35267</v>
      </c>
      <c r="AC5396" s="2">
        <v>2.48068172687797</v>
      </c>
      <c r="AD5396" s="2"/>
      <c r="AE5396" s="2">
        <v>3.3488155110670201E-2</v>
      </c>
      <c r="AF5396" s="2">
        <v>1384.45793455689</v>
      </c>
      <c r="AG5396" s="2">
        <v>1072.0004770349799</v>
      </c>
      <c r="AH5396" s="5">
        <v>1.29147137917898</v>
      </c>
      <c r="AI5396" s="5">
        <v>0.369015671660266</v>
      </c>
      <c r="AJ5396" s="5" t="s">
        <v>139</v>
      </c>
      <c r="AK5396" s="2">
        <v>0.70143247017292099</v>
      </c>
      <c r="AL5396" s="2">
        <v>0.85669709430500596</v>
      </c>
      <c r="AM5396" s="2">
        <v>341.17748912155002</v>
      </c>
      <c r="AN5396" s="2">
        <v>617.22145667981397</v>
      </c>
      <c r="AO5396" s="2">
        <v>8.559877937157E-6</v>
      </c>
      <c r="AP5396" s="2">
        <v>3657.6987081328398</v>
      </c>
      <c r="AQ5396" s="2">
        <v>2851.7479207650099</v>
      </c>
      <c r="AR5396" s="2">
        <v>838.90202408225798</v>
      </c>
      <c r="AS5396" s="2">
        <v>179.07666098120501</v>
      </c>
      <c r="AT5396" s="2">
        <v>3526.5928420079799</v>
      </c>
      <c r="AU5396" s="2">
        <v>1011.72204993079</v>
      </c>
      <c r="AV5396" s="2">
        <v>477.965819708445</v>
      </c>
      <c r="AW5396" s="2">
        <v>684.56313896887195</v>
      </c>
      <c r="AX5396" s="2">
        <v>552.08235061257801</v>
      </c>
    </row>
    <row r="5397" spans="1:50" x14ac:dyDescent="0.25">
      <c r="A5397" s="2" t="s">
        <v>35268</v>
      </c>
      <c r="B5397" s="2">
        <v>282.00705891519499</v>
      </c>
      <c r="C5397" s="2">
        <v>1.08738333333333</v>
      </c>
      <c r="D5397" s="2" t="s">
        <v>51</v>
      </c>
      <c r="E5397" s="2" t="s">
        <v>35269</v>
      </c>
      <c r="F5397" s="2">
        <v>82733</v>
      </c>
      <c r="G5397" s="3" t="str">
        <f>HYPERLINK("https://cloud.oebiotech.com/#/lm/network/82733", "https://cloud.oebiotech.com/#/lm/network/82733")</f>
        <v>https://cloud.oebiotech.com/#/lm/network/82733</v>
      </c>
      <c r="H5397" s="2" t="s">
        <v>35270</v>
      </c>
      <c r="I5397" s="2"/>
      <c r="J5397" s="2"/>
      <c r="K5397" s="2">
        <v>57322338</v>
      </c>
      <c r="L5397" s="2"/>
      <c r="M5397" s="2"/>
      <c r="N5397" s="2"/>
      <c r="O5397" s="2"/>
      <c r="P5397" s="2"/>
      <c r="Q5397" s="2"/>
      <c r="R5397" s="2"/>
      <c r="S5397" s="2" t="s">
        <v>35271</v>
      </c>
      <c r="T5397" s="2" t="s">
        <v>35272</v>
      </c>
      <c r="U5397" s="2" t="s">
        <v>266</v>
      </c>
      <c r="V5397" s="2" t="s">
        <v>2772</v>
      </c>
      <c r="W5397" s="2" t="s">
        <v>2773</v>
      </c>
      <c r="X5397" s="2" t="s">
        <v>69</v>
      </c>
      <c r="Y5397" s="2">
        <v>49.7</v>
      </c>
      <c r="Z5397" s="2">
        <v>55.6</v>
      </c>
      <c r="AA5397" s="2" t="s">
        <v>512</v>
      </c>
      <c r="AB5397" s="2" t="s">
        <v>35273</v>
      </c>
      <c r="AC5397" s="2">
        <v>5.3281361916148997</v>
      </c>
      <c r="AD5397" s="2"/>
      <c r="AE5397" s="2">
        <v>3.346364426917E-2</v>
      </c>
      <c r="AF5397" s="2">
        <v>3001.68949021033</v>
      </c>
      <c r="AG5397" s="2">
        <v>2794.0147252815</v>
      </c>
      <c r="AH5397" s="5">
        <v>1.0743284432432301</v>
      </c>
      <c r="AI5397" s="5">
        <v>0.103435120883124</v>
      </c>
      <c r="AJ5397" s="5" t="s">
        <v>139</v>
      </c>
      <c r="AK5397" s="2">
        <v>0.584739971905613</v>
      </c>
      <c r="AL5397" s="2">
        <v>0.79113001819417295</v>
      </c>
      <c r="AM5397" s="2">
        <v>2287.1931823646401</v>
      </c>
      <c r="AN5397" s="2">
        <v>3502.6545565575302</v>
      </c>
      <c r="AO5397" s="2">
        <v>2589.9647096796298</v>
      </c>
      <c r="AP5397" s="2">
        <v>3281.9513086617899</v>
      </c>
      <c r="AQ5397" s="2">
        <v>3648.21692016212</v>
      </c>
      <c r="AR5397" s="2">
        <v>2700.1562638362502</v>
      </c>
      <c r="AS5397" s="2">
        <v>2989.0209488554601</v>
      </c>
      <c r="AT5397" s="2">
        <v>3050.0197781260499</v>
      </c>
      <c r="AU5397" s="2">
        <v>2554.9693967353001</v>
      </c>
      <c r="AV5397" s="2">
        <v>1475.5198788365999</v>
      </c>
      <c r="AW5397" s="2">
        <v>3228.83893331235</v>
      </c>
      <c r="AX5397" s="2">
        <v>3465.7194158232701</v>
      </c>
    </row>
    <row r="5398" spans="1:50" x14ac:dyDescent="0.25">
      <c r="A5398" s="2" t="s">
        <v>35274</v>
      </c>
      <c r="B5398" s="2">
        <v>221.0806</v>
      </c>
      <c r="C5398" s="2">
        <v>6.8479999999999999</v>
      </c>
      <c r="D5398" s="2" t="s">
        <v>125</v>
      </c>
      <c r="E5398" s="2" t="s">
        <v>35275</v>
      </c>
      <c r="F5398" s="2">
        <v>208578</v>
      </c>
      <c r="G5398" s="3" t="str">
        <f>HYPERLINK("https://cloud.oebiotech.com/#/lm/network/208578", "https://cloud.oebiotech.com/#/lm/network/208578")</f>
        <v>https://cloud.oebiotech.com/#/lm/network/208578</v>
      </c>
      <c r="H5398" s="2" t="s">
        <v>35276</v>
      </c>
      <c r="I5398" s="2"/>
      <c r="J5398" s="2"/>
      <c r="K5398" s="2">
        <v>1133</v>
      </c>
      <c r="L5398" s="2" t="s">
        <v>35277</v>
      </c>
      <c r="M5398" s="2"/>
      <c r="N5398" s="2"/>
      <c r="O5398" s="2">
        <v>30065</v>
      </c>
      <c r="P5398" s="2" t="s">
        <v>20294</v>
      </c>
      <c r="Q5398" s="2" t="s">
        <v>20295</v>
      </c>
      <c r="R5398" s="2"/>
      <c r="S5398" s="2" t="s">
        <v>35278</v>
      </c>
      <c r="T5398" s="2" t="s">
        <v>35279</v>
      </c>
      <c r="U5398" s="2" t="s">
        <v>103</v>
      </c>
      <c r="V5398" s="2" t="s">
        <v>104</v>
      </c>
      <c r="W5398" s="2" t="s">
        <v>7932</v>
      </c>
      <c r="X5398" s="2" t="s">
        <v>83</v>
      </c>
      <c r="Y5398" s="2">
        <v>83.9</v>
      </c>
      <c r="Z5398" s="2">
        <v>75.099999999999994</v>
      </c>
      <c r="AA5398" s="2"/>
      <c r="AB5398" s="2" t="s">
        <v>35280</v>
      </c>
      <c r="AC5398" s="2"/>
      <c r="AD5398" s="2">
        <v>225090.36158861901</v>
      </c>
      <c r="AE5398" s="2">
        <v>3.3429394743180803E-2</v>
      </c>
      <c r="AF5398" s="2">
        <v>33240.867829993498</v>
      </c>
      <c r="AG5398" s="2">
        <v>34230.146395401302</v>
      </c>
      <c r="AH5398" s="4">
        <v>0.971099201447156</v>
      </c>
      <c r="AI5398" s="4">
        <v>-4.2309414973462002E-2</v>
      </c>
      <c r="AJ5398" s="4" t="s">
        <v>62</v>
      </c>
      <c r="AK5398" s="2">
        <v>0.56382619047732796</v>
      </c>
      <c r="AL5398" s="2">
        <v>0.78088127829314202</v>
      </c>
      <c r="AM5398" s="2">
        <v>37527.976457910401</v>
      </c>
      <c r="AN5398" s="2">
        <v>30960.799033969601</v>
      </c>
      <c r="AO5398" s="2">
        <v>32211.540077983002</v>
      </c>
      <c r="AP5398" s="2">
        <v>30724.704495651</v>
      </c>
      <c r="AQ5398" s="2">
        <v>32299.520165388301</v>
      </c>
      <c r="AR5398" s="2">
        <v>35720.666749058502</v>
      </c>
      <c r="AS5398" s="2">
        <v>32774.015766237302</v>
      </c>
      <c r="AT5398" s="2">
        <v>32571.125714917802</v>
      </c>
      <c r="AU5398" s="2">
        <v>40216.290314048703</v>
      </c>
      <c r="AV5398" s="2">
        <v>33855.621017137702</v>
      </c>
      <c r="AW5398" s="2">
        <v>32517.771144648599</v>
      </c>
      <c r="AX5398" s="2">
        <v>33446.054415417799</v>
      </c>
    </row>
    <row r="5399" spans="1:50" x14ac:dyDescent="0.25">
      <c r="A5399" s="2" t="s">
        <v>35281</v>
      </c>
      <c r="B5399" s="2">
        <v>365.23099739552299</v>
      </c>
      <c r="C5399" s="2">
        <v>11.9894</v>
      </c>
      <c r="D5399" s="2" t="s">
        <v>51</v>
      </c>
      <c r="E5399" s="2" t="s">
        <v>35282</v>
      </c>
      <c r="F5399" s="2">
        <v>2256</v>
      </c>
      <c r="G5399" s="3" t="str">
        <f>HYPERLINK("https://cloud.oebiotech.com/#/lm/network/2256", "https://cloud.oebiotech.com/#/lm/network/2256")</f>
        <v>https://cloud.oebiotech.com/#/lm/network/2256</v>
      </c>
      <c r="H5399" s="2"/>
      <c r="I5399" s="2"/>
      <c r="J5399" s="2" t="s">
        <v>35283</v>
      </c>
      <c r="K5399" s="2">
        <v>137323810</v>
      </c>
      <c r="L5399" s="2"/>
      <c r="M5399" s="2"/>
      <c r="N5399" s="2"/>
      <c r="O5399" s="2"/>
      <c r="P5399" s="2"/>
      <c r="Q5399" s="2"/>
      <c r="R5399" s="2"/>
      <c r="S5399" s="2" t="s">
        <v>35284</v>
      </c>
      <c r="T5399" s="2" t="s">
        <v>35285</v>
      </c>
      <c r="U5399" s="2" t="s">
        <v>56</v>
      </c>
      <c r="V5399" s="2" t="s">
        <v>145</v>
      </c>
      <c r="W5399" s="2" t="s">
        <v>231</v>
      </c>
      <c r="X5399" s="2" t="s">
        <v>83</v>
      </c>
      <c r="Y5399" s="2">
        <v>46</v>
      </c>
      <c r="Z5399" s="2">
        <v>1.6500000000000001E-2</v>
      </c>
      <c r="AA5399" s="2" t="s">
        <v>218</v>
      </c>
      <c r="AB5399" s="2" t="s">
        <v>205</v>
      </c>
      <c r="AC5399" s="2">
        <v>-7.33947986252437</v>
      </c>
      <c r="AD5399" s="2"/>
      <c r="AE5399" s="2">
        <v>3.3419029606620201E-2</v>
      </c>
      <c r="AF5399" s="2">
        <v>5250.7498653778403</v>
      </c>
      <c r="AG5399" s="2">
        <v>5048.7740596309604</v>
      </c>
      <c r="AH5399" s="5">
        <v>1.0400049206721</v>
      </c>
      <c r="AI5399" s="5">
        <v>5.6590354339866103E-2</v>
      </c>
      <c r="AJ5399" s="5" t="s">
        <v>139</v>
      </c>
      <c r="AK5399" s="2">
        <v>0.75691785513891496</v>
      </c>
      <c r="AL5399" s="2">
        <v>0.89039455239939302</v>
      </c>
      <c r="AM5399" s="2">
        <v>5411.8592213256597</v>
      </c>
      <c r="AN5399" s="2">
        <v>4188.75555943566</v>
      </c>
      <c r="AO5399" s="2">
        <v>4226.4506111093096</v>
      </c>
      <c r="AP5399" s="2">
        <v>5397.0420415057697</v>
      </c>
      <c r="AQ5399" s="2">
        <v>5315.7384707175797</v>
      </c>
      <c r="AR5399" s="2">
        <v>6964.65328817307</v>
      </c>
      <c r="AS5399" s="2">
        <v>5394.9237564983596</v>
      </c>
      <c r="AT5399" s="2">
        <v>4899.9672989815599</v>
      </c>
      <c r="AU5399" s="2">
        <v>6554.3447957591197</v>
      </c>
      <c r="AV5399" s="2">
        <v>2993.5212780971001</v>
      </c>
      <c r="AW5399" s="2">
        <v>5564.1613950479395</v>
      </c>
      <c r="AX5399" s="2">
        <v>4885.7258334016897</v>
      </c>
    </row>
    <row r="5400" spans="1:50" x14ac:dyDescent="0.25">
      <c r="A5400" s="2" t="s">
        <v>35286</v>
      </c>
      <c r="B5400" s="2">
        <v>334.14987461945998</v>
      </c>
      <c r="C5400" s="2">
        <v>6.0237166666666697</v>
      </c>
      <c r="D5400" s="2" t="s">
        <v>51</v>
      </c>
      <c r="E5400" s="2" t="s">
        <v>35287</v>
      </c>
      <c r="F5400" s="2">
        <v>256640</v>
      </c>
      <c r="G5400" s="3" t="str">
        <f>HYPERLINK("https://cloud.oebiotech.com/#/lm/network/256640", "https://cloud.oebiotech.com/#/lm/network/256640")</f>
        <v>https://cloud.oebiotech.com/#/lm/network/256640</v>
      </c>
      <c r="H5400" s="2" t="s">
        <v>35288</v>
      </c>
      <c r="I5400" s="2"/>
      <c r="J5400" s="2"/>
      <c r="K5400" s="2">
        <v>14158111</v>
      </c>
      <c r="L5400" s="2"/>
      <c r="M5400" s="2"/>
      <c r="N5400" s="2"/>
      <c r="O5400" s="2"/>
      <c r="P5400" s="2"/>
      <c r="Q5400" s="2"/>
      <c r="R5400" s="2"/>
      <c r="S5400" s="2" t="s">
        <v>35289</v>
      </c>
      <c r="T5400" s="2" t="s">
        <v>35290</v>
      </c>
      <c r="U5400" s="2" t="s">
        <v>331</v>
      </c>
      <c r="V5400" s="2" t="s">
        <v>332</v>
      </c>
      <c r="W5400" s="2" t="s">
        <v>333</v>
      </c>
      <c r="X5400" s="2" t="s">
        <v>147</v>
      </c>
      <c r="Y5400" s="2">
        <v>36.700000000000003</v>
      </c>
      <c r="Z5400" s="2">
        <v>0</v>
      </c>
      <c r="AA5400" s="2" t="s">
        <v>512</v>
      </c>
      <c r="AB5400" s="2" t="s">
        <v>35291</v>
      </c>
      <c r="AC5400" s="2">
        <v>0.73229989451675004</v>
      </c>
      <c r="AD5400" s="2"/>
      <c r="AE5400" s="2">
        <v>3.3401005536458001E-2</v>
      </c>
      <c r="AF5400" s="2">
        <v>349.11687114921699</v>
      </c>
      <c r="AG5400" s="2">
        <v>481.62184911451101</v>
      </c>
      <c r="AH5400" s="4">
        <v>0.72487756066525799</v>
      </c>
      <c r="AI5400" s="4">
        <v>-0.464190765330255</v>
      </c>
      <c r="AJ5400" s="4" t="s">
        <v>62</v>
      </c>
      <c r="AK5400" s="2">
        <v>0.62141528050179495</v>
      </c>
      <c r="AL5400" s="2">
        <v>0.81263051108791895</v>
      </c>
      <c r="AM5400" s="2">
        <v>135.83366977442199</v>
      </c>
      <c r="AN5400" s="2">
        <v>598.55452715547403</v>
      </c>
      <c r="AO5400" s="2">
        <v>232.66256793617501</v>
      </c>
      <c r="AP5400" s="2">
        <v>513.56477448801797</v>
      </c>
      <c r="AQ5400" s="2">
        <v>276.05863206696199</v>
      </c>
      <c r="AR5400" s="2">
        <v>338.02705547425302</v>
      </c>
      <c r="AS5400" s="2">
        <v>1288.39418470276</v>
      </c>
      <c r="AT5400" s="2">
        <v>1238.10738233238</v>
      </c>
      <c r="AU5400" s="2">
        <v>8.559877937157E-6</v>
      </c>
      <c r="AV5400" s="2">
        <v>8.559877937157E-6</v>
      </c>
      <c r="AW5400" s="2">
        <v>243.81822469935801</v>
      </c>
      <c r="AX5400" s="2">
        <v>119.41128583280999</v>
      </c>
    </row>
    <row r="5401" spans="1:50" x14ac:dyDescent="0.25">
      <c r="A5401" s="2" t="s">
        <v>35292</v>
      </c>
      <c r="B5401" s="2">
        <v>352.28559574462901</v>
      </c>
      <c r="C5401" s="2">
        <v>12.4654166666667</v>
      </c>
      <c r="D5401" s="2" t="s">
        <v>51</v>
      </c>
      <c r="E5401" s="2" t="s">
        <v>35293</v>
      </c>
      <c r="F5401" s="2">
        <v>198449</v>
      </c>
      <c r="G5401" s="3" t="str">
        <f>HYPERLINK("https://cloud.oebiotech.com/#/lm/network/198449", "https://cloud.oebiotech.com/#/lm/network/198449")</f>
        <v>https://cloud.oebiotech.com/#/lm/network/198449</v>
      </c>
      <c r="H5401" s="2" t="s">
        <v>35294</v>
      </c>
      <c r="I5401" s="2"/>
      <c r="J5401" s="2"/>
      <c r="K5401" s="2">
        <v>101057</v>
      </c>
      <c r="L5401" s="2"/>
      <c r="M5401" s="2"/>
      <c r="N5401" s="2"/>
      <c r="O5401" s="2"/>
      <c r="P5401" s="2"/>
      <c r="Q5401" s="2"/>
      <c r="R5401" s="2"/>
      <c r="S5401" s="2" t="s">
        <v>35295</v>
      </c>
      <c r="T5401" s="2" t="s">
        <v>35296</v>
      </c>
      <c r="U5401" s="2" t="s">
        <v>103</v>
      </c>
      <c r="V5401" s="2" t="s">
        <v>104</v>
      </c>
      <c r="W5401" s="2" t="s">
        <v>105</v>
      </c>
      <c r="X5401" s="2" t="s">
        <v>83</v>
      </c>
      <c r="Y5401" s="2">
        <v>47.8</v>
      </c>
      <c r="Z5401" s="2">
        <v>0</v>
      </c>
      <c r="AA5401" s="2" t="s">
        <v>163</v>
      </c>
      <c r="AB5401" s="2" t="s">
        <v>35297</v>
      </c>
      <c r="AC5401" s="2">
        <v>-0.34514576518027601</v>
      </c>
      <c r="AD5401" s="2"/>
      <c r="AE5401" s="2">
        <v>3.3326551593751599E-2</v>
      </c>
      <c r="AF5401" s="2">
        <v>1160.7651321815999</v>
      </c>
      <c r="AG5401" s="2">
        <v>1071.8861424556101</v>
      </c>
      <c r="AH5401" s="5">
        <v>1.08291831212817</v>
      </c>
      <c r="AI5401" s="5">
        <v>0.11492442010930901</v>
      </c>
      <c r="AJ5401" s="5" t="s">
        <v>139</v>
      </c>
      <c r="AK5401" s="2">
        <v>0.70259713087952003</v>
      </c>
      <c r="AL5401" s="2">
        <v>0.85738289491811004</v>
      </c>
      <c r="AM5401" s="2">
        <v>1766.5112836230201</v>
      </c>
      <c r="AN5401" s="2">
        <v>886.95393568587804</v>
      </c>
      <c r="AO5401" s="2">
        <v>944.23656672024197</v>
      </c>
      <c r="AP5401" s="2">
        <v>814.90787423947199</v>
      </c>
      <c r="AQ5401" s="2">
        <v>1030.6968250510399</v>
      </c>
      <c r="AR5401" s="2">
        <v>1521.2843077699499</v>
      </c>
      <c r="AS5401" s="2">
        <v>1166.5405522514</v>
      </c>
      <c r="AT5401" s="2">
        <v>730.12506877064095</v>
      </c>
      <c r="AU5401" s="2">
        <v>1311.05381683479</v>
      </c>
      <c r="AV5401" s="2">
        <v>1113.62502973357</v>
      </c>
      <c r="AW5401" s="2">
        <v>1600.0294660679899</v>
      </c>
      <c r="AX5401" s="2">
        <v>509.94292107523898</v>
      </c>
    </row>
    <row r="5402" spans="1:50" x14ac:dyDescent="0.25">
      <c r="A5402" s="2" t="s">
        <v>35298</v>
      </c>
      <c r="B5402" s="2">
        <v>233.06681009862601</v>
      </c>
      <c r="C5402" s="2">
        <v>5.0792999999999999</v>
      </c>
      <c r="D5402" s="2" t="s">
        <v>51</v>
      </c>
      <c r="E5402" s="2" t="s">
        <v>35299</v>
      </c>
      <c r="F5402" s="2">
        <v>289892</v>
      </c>
      <c r="G5402" s="3" t="str">
        <f>HYPERLINK("https://cloud.oebiotech.com/#/lm/network/289892", "https://cloud.oebiotech.com/#/lm/network/289892")</f>
        <v>https://cloud.oebiotech.com/#/lm/network/289892</v>
      </c>
      <c r="H5402" s="2"/>
      <c r="I5402" s="2">
        <v>985157</v>
      </c>
      <c r="J5402" s="2"/>
      <c r="K5402" s="2">
        <v>10773951</v>
      </c>
      <c r="L5402" s="2"/>
      <c r="M5402" s="2"/>
      <c r="N5402" s="2"/>
      <c r="O5402" s="2"/>
      <c r="P5402" s="2"/>
      <c r="Q5402" s="2"/>
      <c r="R5402" s="2"/>
      <c r="S5402" s="2" t="s">
        <v>35300</v>
      </c>
      <c r="T5402" s="2" t="s">
        <v>35301</v>
      </c>
      <c r="U5402" s="2" t="s">
        <v>331</v>
      </c>
      <c r="V5402" s="2" t="s">
        <v>332</v>
      </c>
      <c r="W5402" s="2" t="s">
        <v>519</v>
      </c>
      <c r="X5402" s="2" t="s">
        <v>147</v>
      </c>
      <c r="Y5402" s="2">
        <v>37.9</v>
      </c>
      <c r="Z5402" s="2">
        <v>0</v>
      </c>
      <c r="AA5402" s="2" t="s">
        <v>218</v>
      </c>
      <c r="AB5402" s="2" t="s">
        <v>17681</v>
      </c>
      <c r="AC5402" s="2">
        <v>0.71115580290756397</v>
      </c>
      <c r="AD5402" s="2"/>
      <c r="AE5402" s="2">
        <v>3.3152156664299701E-2</v>
      </c>
      <c r="AF5402" s="2">
        <v>2870.7282605557398</v>
      </c>
      <c r="AG5402" s="2">
        <v>3027.1319190623499</v>
      </c>
      <c r="AH5402" s="4">
        <v>0.94833272460915496</v>
      </c>
      <c r="AI5402" s="4">
        <v>-7.6534774238826001E-2</v>
      </c>
      <c r="AJ5402" s="4" t="s">
        <v>62</v>
      </c>
      <c r="AK5402" s="2">
        <v>0.92928523385046702</v>
      </c>
      <c r="AL5402" s="2">
        <v>0.96996596929856205</v>
      </c>
      <c r="AM5402" s="2">
        <v>71.692123206093498</v>
      </c>
      <c r="AN5402" s="2">
        <v>505.927438436052</v>
      </c>
      <c r="AO5402" s="2">
        <v>9258.0187033693492</v>
      </c>
      <c r="AP5402" s="2">
        <v>3403.55680630299</v>
      </c>
      <c r="AQ5402" s="2">
        <v>3778.1853317915102</v>
      </c>
      <c r="AR5402" s="2">
        <v>206.98916022842999</v>
      </c>
      <c r="AS5402" s="2">
        <v>5998.82393243562</v>
      </c>
      <c r="AT5402" s="2">
        <v>5482.2940956894299</v>
      </c>
      <c r="AU5402" s="2">
        <v>87.906275691279404</v>
      </c>
      <c r="AV5402" s="2">
        <v>2698.3353965746301</v>
      </c>
      <c r="AW5402" s="2">
        <v>2298.1676388943602</v>
      </c>
      <c r="AX5402" s="2">
        <v>1597.2641750887699</v>
      </c>
    </row>
    <row r="5403" spans="1:50" x14ac:dyDescent="0.25">
      <c r="A5403" s="2" t="s">
        <v>35302</v>
      </c>
      <c r="B5403" s="2">
        <v>311.12253142339898</v>
      </c>
      <c r="C5403" s="2">
        <v>4.5102333333333302</v>
      </c>
      <c r="D5403" s="2" t="s">
        <v>51</v>
      </c>
      <c r="E5403" s="2" t="s">
        <v>35303</v>
      </c>
      <c r="F5403" s="2">
        <v>196997</v>
      </c>
      <c r="G5403" s="3" t="str">
        <f>HYPERLINK("https://cloud.oebiotech.com/#/lm/network/196997", "https://cloud.oebiotech.com/#/lm/network/196997")</f>
        <v>https://cloud.oebiotech.com/#/lm/network/196997</v>
      </c>
      <c r="H5403" s="2" t="s">
        <v>35304</v>
      </c>
      <c r="I5403" s="2"/>
      <c r="J5403" s="2"/>
      <c r="K5403" s="2"/>
      <c r="L5403" s="2"/>
      <c r="M5403" s="2"/>
      <c r="N5403" s="2"/>
      <c r="O5403" s="2"/>
      <c r="P5403" s="2"/>
      <c r="Q5403" s="2"/>
      <c r="R5403" s="2" t="s">
        <v>35305</v>
      </c>
      <c r="S5403" s="2" t="s">
        <v>35306</v>
      </c>
      <c r="T5403" s="2" t="s">
        <v>35307</v>
      </c>
      <c r="U5403" s="2" t="s">
        <v>266</v>
      </c>
      <c r="V5403" s="2" t="s">
        <v>5547</v>
      </c>
      <c r="W5403" s="2" t="s">
        <v>5548</v>
      </c>
      <c r="X5403" s="2" t="s">
        <v>147</v>
      </c>
      <c r="Y5403" s="2">
        <v>36.700000000000003</v>
      </c>
      <c r="Z5403" s="2">
        <v>2.8</v>
      </c>
      <c r="AA5403" s="2" t="s">
        <v>379</v>
      </c>
      <c r="AB5403" s="2" t="s">
        <v>35308</v>
      </c>
      <c r="AC5403" s="2">
        <v>0.52580430799797395</v>
      </c>
      <c r="AD5403" s="2"/>
      <c r="AE5403" s="2">
        <v>3.31428401732747E-2</v>
      </c>
      <c r="AF5403" s="2">
        <v>966.75142087288202</v>
      </c>
      <c r="AG5403" s="2">
        <v>782.65335348299402</v>
      </c>
      <c r="AH5403" s="5">
        <v>1.2352229969636099</v>
      </c>
      <c r="AI5403" s="5">
        <v>0.30477151757655402</v>
      </c>
      <c r="AJ5403" s="5" t="s">
        <v>139</v>
      </c>
      <c r="AK5403" s="2">
        <v>0.58804598814752396</v>
      </c>
      <c r="AL5403" s="2">
        <v>0.79259485853877298</v>
      </c>
      <c r="AM5403" s="2">
        <v>163.076662321638</v>
      </c>
      <c r="AN5403" s="2">
        <v>683.90407897650005</v>
      </c>
      <c r="AO5403" s="2">
        <v>1809.88700263433</v>
      </c>
      <c r="AP5403" s="2">
        <v>1017.2107005301</v>
      </c>
      <c r="AQ5403" s="2">
        <v>966.40419586236499</v>
      </c>
      <c r="AR5403" s="2">
        <v>1160.02588491236</v>
      </c>
      <c r="AS5403" s="2">
        <v>260.11568773560202</v>
      </c>
      <c r="AT5403" s="2">
        <v>739.35439420345301</v>
      </c>
      <c r="AU5403" s="2">
        <v>1016.17939308497</v>
      </c>
      <c r="AV5403" s="2">
        <v>528.74555841348501</v>
      </c>
      <c r="AW5403" s="2">
        <v>299.849736822414</v>
      </c>
      <c r="AX5403" s="2">
        <v>1851.6753506380401</v>
      </c>
    </row>
    <row r="5404" spans="1:50" x14ac:dyDescent="0.25">
      <c r="A5404" s="2" t="s">
        <v>35309</v>
      </c>
      <c r="B5404" s="2">
        <v>293.13968930949801</v>
      </c>
      <c r="C5404" s="2">
        <v>6.8021833333333301</v>
      </c>
      <c r="D5404" s="2" t="s">
        <v>51</v>
      </c>
      <c r="E5404" s="2" t="s">
        <v>35310</v>
      </c>
      <c r="F5404" s="2">
        <v>35822</v>
      </c>
      <c r="G5404" s="3" t="str">
        <f>HYPERLINK("https://cloud.oebiotech.com/#/lm/network/35822", "https://cloud.oebiotech.com/#/lm/network/35822")</f>
        <v>https://cloud.oebiotech.com/#/lm/network/35822</v>
      </c>
      <c r="H5404" s="2"/>
      <c r="I5404" s="2"/>
      <c r="J5404" s="2" t="s">
        <v>35311</v>
      </c>
      <c r="K5404" s="2">
        <v>38356049</v>
      </c>
      <c r="L5404" s="2"/>
      <c r="M5404" s="2"/>
      <c r="N5404" s="2"/>
      <c r="O5404" s="2">
        <v>70797</v>
      </c>
      <c r="P5404" s="2"/>
      <c r="Q5404" s="2"/>
      <c r="R5404" s="2"/>
      <c r="S5404" s="2" t="s">
        <v>35312</v>
      </c>
      <c r="T5404" s="2" t="s">
        <v>35313</v>
      </c>
      <c r="U5404" s="2" t="s">
        <v>56</v>
      </c>
      <c r="V5404" s="2" t="s">
        <v>177</v>
      </c>
      <c r="W5404" s="2" t="s">
        <v>1996</v>
      </c>
      <c r="X5404" s="2" t="s">
        <v>83</v>
      </c>
      <c r="Y5404" s="2">
        <v>45.4</v>
      </c>
      <c r="Z5404" s="2">
        <v>0</v>
      </c>
      <c r="AA5404" s="2" t="s">
        <v>218</v>
      </c>
      <c r="AB5404" s="2" t="s">
        <v>18001</v>
      </c>
      <c r="AC5404" s="2">
        <v>0.97500687057078295</v>
      </c>
      <c r="AD5404" s="2"/>
      <c r="AE5404" s="2">
        <v>3.3107069720669902E-2</v>
      </c>
      <c r="AF5404" s="2">
        <v>72.046877293328805</v>
      </c>
      <c r="AG5404" s="2">
        <v>148.34237640890399</v>
      </c>
      <c r="AH5404" s="4">
        <v>0.485679675878541</v>
      </c>
      <c r="AI5404" s="4">
        <v>-1.04192297937756</v>
      </c>
      <c r="AJ5404" s="4" t="s">
        <v>62</v>
      </c>
      <c r="AK5404" s="2">
        <v>0.39066769865345902</v>
      </c>
      <c r="AL5404" s="2">
        <v>0.66528673878009803</v>
      </c>
      <c r="AM5404" s="2">
        <v>8.559877937157E-6</v>
      </c>
      <c r="AN5404" s="2">
        <v>69.736224622177204</v>
      </c>
      <c r="AO5404" s="2">
        <v>77.335580767300996</v>
      </c>
      <c r="AP5404" s="2">
        <v>8.559877937157E-6</v>
      </c>
      <c r="AQ5404" s="2">
        <v>105.857870937437</v>
      </c>
      <c r="AR5404" s="2">
        <v>179.35157031330201</v>
      </c>
      <c r="AS5404" s="2">
        <v>8.559877937157E-6</v>
      </c>
      <c r="AT5404" s="2">
        <v>381.82146921867502</v>
      </c>
      <c r="AU5404" s="2">
        <v>8.559877937157E-6</v>
      </c>
      <c r="AV5404" s="2">
        <v>94.536472808796404</v>
      </c>
      <c r="AW5404" s="2">
        <v>413.69629074631598</v>
      </c>
      <c r="AX5404" s="2">
        <v>8.559877937157E-6</v>
      </c>
    </row>
    <row r="5405" spans="1:50" x14ac:dyDescent="0.25">
      <c r="A5405" s="2" t="s">
        <v>35314</v>
      </c>
      <c r="B5405" s="2">
        <v>418.13879848735502</v>
      </c>
      <c r="C5405" s="2">
        <v>4.7484500000000001</v>
      </c>
      <c r="D5405" s="2" t="s">
        <v>51</v>
      </c>
      <c r="E5405" s="2" t="s">
        <v>35315</v>
      </c>
      <c r="F5405" s="2">
        <v>199974</v>
      </c>
      <c r="G5405" s="3" t="str">
        <f>HYPERLINK("https://cloud.oebiotech.com/#/lm/network/199974", "https://cloud.oebiotech.com/#/lm/network/199974")</f>
        <v>https://cloud.oebiotech.com/#/lm/network/199974</v>
      </c>
      <c r="H5405" s="2" t="s">
        <v>35316</v>
      </c>
      <c r="I5405" s="2"/>
      <c r="J5405" s="2"/>
      <c r="K5405" s="2">
        <v>52936726</v>
      </c>
      <c r="L5405" s="2"/>
      <c r="M5405" s="2"/>
      <c r="N5405" s="2"/>
      <c r="O5405" s="2"/>
      <c r="P5405" s="2"/>
      <c r="Q5405" s="2"/>
      <c r="R5405" s="2"/>
      <c r="S5405" s="2" t="s">
        <v>35317</v>
      </c>
      <c r="T5405" s="2" t="s">
        <v>35318</v>
      </c>
      <c r="U5405" s="2" t="s">
        <v>610</v>
      </c>
      <c r="V5405" s="2" t="s">
        <v>611</v>
      </c>
      <c r="W5405" s="2" t="s">
        <v>1267</v>
      </c>
      <c r="X5405" s="2" t="s">
        <v>147</v>
      </c>
      <c r="Y5405" s="2">
        <v>40.6</v>
      </c>
      <c r="Z5405" s="2">
        <v>13.2</v>
      </c>
      <c r="AA5405" s="2" t="s">
        <v>163</v>
      </c>
      <c r="AB5405" s="2" t="s">
        <v>35319</v>
      </c>
      <c r="AC5405" s="2">
        <v>0.95132766016482695</v>
      </c>
      <c r="AD5405" s="2"/>
      <c r="AE5405" s="2">
        <v>3.3103889239217803E-2</v>
      </c>
      <c r="AF5405" s="2">
        <v>1779.9976573771401</v>
      </c>
      <c r="AG5405" s="2">
        <v>1901.0614464125199</v>
      </c>
      <c r="AH5405" s="4">
        <v>0.93631779274476201</v>
      </c>
      <c r="AI5405" s="4">
        <v>-9.4929821272286302E-2</v>
      </c>
      <c r="AJ5405" s="4" t="s">
        <v>62</v>
      </c>
      <c r="AK5405" s="2">
        <v>0.91915909762972203</v>
      </c>
      <c r="AL5405" s="2">
        <v>0.96541520383033996</v>
      </c>
      <c r="AM5405" s="2">
        <v>8.559877937157E-6</v>
      </c>
      <c r="AN5405" s="2">
        <v>884.44241286192596</v>
      </c>
      <c r="AO5405" s="2">
        <v>3196.6603619760599</v>
      </c>
      <c r="AP5405" s="2">
        <v>1117.55246832891</v>
      </c>
      <c r="AQ5405" s="2">
        <v>3104.15522662997</v>
      </c>
      <c r="AR5405" s="2">
        <v>2377.1754659060798</v>
      </c>
      <c r="AS5405" s="2">
        <v>1412.5193976651401</v>
      </c>
      <c r="AT5405" s="2">
        <v>976.08888252739803</v>
      </c>
      <c r="AU5405" s="2">
        <v>1965.63765214262</v>
      </c>
      <c r="AV5405" s="2">
        <v>8.559877937157E-6</v>
      </c>
      <c r="AW5405" s="2">
        <v>204.53393269684</v>
      </c>
      <c r="AX5405" s="2">
        <v>6847.5888048832603</v>
      </c>
    </row>
    <row r="5406" spans="1:50" x14ac:dyDescent="0.25">
      <c r="A5406" s="2" t="s">
        <v>35320</v>
      </c>
      <c r="B5406" s="2">
        <v>377.27230915438702</v>
      </c>
      <c r="C5406" s="2">
        <v>11.6520833333333</v>
      </c>
      <c r="D5406" s="2" t="s">
        <v>51</v>
      </c>
      <c r="E5406" s="2" t="s">
        <v>35321</v>
      </c>
      <c r="F5406" s="2">
        <v>207084</v>
      </c>
      <c r="G5406" s="3" t="str">
        <f>HYPERLINK("https://cloud.oebiotech.com/#/lm/network/207084", "https://cloud.oebiotech.com/#/lm/network/207084")</f>
        <v>https://cloud.oebiotech.com/#/lm/network/207084</v>
      </c>
      <c r="H5406" s="2" t="s">
        <v>35322</v>
      </c>
      <c r="I5406" s="2"/>
      <c r="J5406" s="2"/>
      <c r="K5406" s="2">
        <v>22023730</v>
      </c>
      <c r="L5406" s="2"/>
      <c r="M5406" s="2"/>
      <c r="N5406" s="2"/>
      <c r="O5406" s="2"/>
      <c r="P5406" s="2"/>
      <c r="Q5406" s="2"/>
      <c r="R5406" s="2"/>
      <c r="S5406" s="2" t="s">
        <v>35323</v>
      </c>
      <c r="T5406" s="2" t="s">
        <v>35324</v>
      </c>
      <c r="U5406" s="2" t="s">
        <v>56</v>
      </c>
      <c r="V5406" s="2" t="s">
        <v>283</v>
      </c>
      <c r="W5406" s="2" t="s">
        <v>3686</v>
      </c>
      <c r="X5406" s="2" t="s">
        <v>69</v>
      </c>
      <c r="Y5406" s="2">
        <v>53.3</v>
      </c>
      <c r="Z5406" s="2">
        <v>47.6</v>
      </c>
      <c r="AA5406" s="2" t="s">
        <v>218</v>
      </c>
      <c r="AB5406" s="2" t="s">
        <v>3312</v>
      </c>
      <c r="AC5406" s="2">
        <v>7.7523666973402996</v>
      </c>
      <c r="AD5406" s="2"/>
      <c r="AE5406" s="2">
        <v>3.3059675247028499E-2</v>
      </c>
      <c r="AF5406" s="2">
        <v>73872.617130622602</v>
      </c>
      <c r="AG5406" s="2">
        <v>73580.153944630496</v>
      </c>
      <c r="AH5406" s="5">
        <v>1.00397475637537</v>
      </c>
      <c r="AI5406" s="5">
        <v>5.72299507562158E-3</v>
      </c>
      <c r="AJ5406" s="5" t="s">
        <v>139</v>
      </c>
      <c r="AK5406" s="2">
        <v>0.959483296393984</v>
      </c>
      <c r="AL5406" s="2">
        <v>0.982994362500618</v>
      </c>
      <c r="AM5406" s="2">
        <v>63074.319493235598</v>
      </c>
      <c r="AN5406" s="2">
        <v>85305.181284844206</v>
      </c>
      <c r="AO5406" s="2">
        <v>86089.253435158404</v>
      </c>
      <c r="AP5406" s="2">
        <v>81966.345098118007</v>
      </c>
      <c r="AQ5406" s="2">
        <v>69972.0587242943</v>
      </c>
      <c r="AR5406" s="2">
        <v>56828.544748085304</v>
      </c>
      <c r="AS5406" s="2">
        <v>79500.145745441798</v>
      </c>
      <c r="AT5406" s="2">
        <v>72698.952316480107</v>
      </c>
      <c r="AU5406" s="2">
        <v>63610.312151163103</v>
      </c>
      <c r="AV5406" s="2">
        <v>74687.343669423804</v>
      </c>
      <c r="AW5406" s="2">
        <v>71357.411984966195</v>
      </c>
      <c r="AX5406" s="2">
        <v>79626.757800307896</v>
      </c>
    </row>
    <row r="5407" spans="1:50" x14ac:dyDescent="0.25">
      <c r="A5407" s="2" t="s">
        <v>35325</v>
      </c>
      <c r="B5407" s="2">
        <v>445.18224346347802</v>
      </c>
      <c r="C5407" s="2">
        <v>8.0030333333333292</v>
      </c>
      <c r="D5407" s="2" t="s">
        <v>51</v>
      </c>
      <c r="E5407" s="2" t="s">
        <v>35326</v>
      </c>
      <c r="F5407" s="2">
        <v>200039</v>
      </c>
      <c r="G5407" s="3" t="str">
        <f>HYPERLINK("https://cloud.oebiotech.com/#/lm/network/200039", "https://cloud.oebiotech.com/#/lm/network/200039")</f>
        <v>https://cloud.oebiotech.com/#/lm/network/200039</v>
      </c>
      <c r="H5407" s="2" t="s">
        <v>35327</v>
      </c>
      <c r="I5407" s="2"/>
      <c r="J5407" s="2"/>
      <c r="K5407" s="2"/>
      <c r="L5407" s="2"/>
      <c r="M5407" s="2"/>
      <c r="N5407" s="2"/>
      <c r="O5407" s="2"/>
      <c r="P5407" s="2"/>
      <c r="Q5407" s="2"/>
      <c r="R5407" s="2"/>
      <c r="S5407" s="2" t="s">
        <v>35328</v>
      </c>
      <c r="T5407" s="2" t="s">
        <v>35329</v>
      </c>
      <c r="U5407" s="2" t="s">
        <v>103</v>
      </c>
      <c r="V5407" s="2" t="s">
        <v>104</v>
      </c>
      <c r="W5407" s="2" t="s">
        <v>105</v>
      </c>
      <c r="X5407" s="2" t="s">
        <v>147</v>
      </c>
      <c r="Y5407" s="2">
        <v>38.200000000000003</v>
      </c>
      <c r="Z5407" s="2">
        <v>0</v>
      </c>
      <c r="AA5407" s="2" t="s">
        <v>478</v>
      </c>
      <c r="AB5407" s="2" t="s">
        <v>35330</v>
      </c>
      <c r="AC5407" s="2">
        <v>-4.1746312780224404</v>
      </c>
      <c r="AD5407" s="2"/>
      <c r="AE5407" s="2">
        <v>3.3048722006199398E-2</v>
      </c>
      <c r="AF5407" s="2">
        <v>4933.2566302616196</v>
      </c>
      <c r="AG5407" s="2">
        <v>4984.7198887388304</v>
      </c>
      <c r="AH5407" s="4">
        <v>0.98967579731140598</v>
      </c>
      <c r="AI5407" s="4">
        <v>-1.4972097182590001E-2</v>
      </c>
      <c r="AJ5407" s="4" t="s">
        <v>62</v>
      </c>
      <c r="AK5407" s="2">
        <v>0.97245538567232304</v>
      </c>
      <c r="AL5407" s="2">
        <v>0.98915546194842796</v>
      </c>
      <c r="AM5407" s="2">
        <v>5756.9929159353296</v>
      </c>
      <c r="AN5407" s="2">
        <v>9647.3455991283699</v>
      </c>
      <c r="AO5407" s="2">
        <v>3969.8669142029698</v>
      </c>
      <c r="AP5407" s="2">
        <v>3623.00236128813</v>
      </c>
      <c r="AQ5407" s="2">
        <v>3201.7758068663302</v>
      </c>
      <c r="AR5407" s="2">
        <v>3400.5561841486101</v>
      </c>
      <c r="AS5407" s="2">
        <v>5316.2850530613196</v>
      </c>
      <c r="AT5407" s="2">
        <v>1746.0280996137301</v>
      </c>
      <c r="AU5407" s="2">
        <v>9127.7486973546602</v>
      </c>
      <c r="AV5407" s="2">
        <v>3663.3889801422101</v>
      </c>
      <c r="AW5407" s="2">
        <v>3805.3811595965999</v>
      </c>
      <c r="AX5407" s="2">
        <v>6249.4873426644599</v>
      </c>
    </row>
    <row r="5408" spans="1:50" x14ac:dyDescent="0.25">
      <c r="A5408" s="2" t="s">
        <v>35331</v>
      </c>
      <c r="B5408" s="2">
        <v>213.01241717112299</v>
      </c>
      <c r="C5408" s="2">
        <v>1.0339</v>
      </c>
      <c r="D5408" s="2" t="s">
        <v>51</v>
      </c>
      <c r="E5408" s="2" t="s">
        <v>35332</v>
      </c>
      <c r="F5408" s="2">
        <v>255028</v>
      </c>
      <c r="G5408" s="3" t="str">
        <f>HYPERLINK("https://cloud.oebiotech.com/#/lm/network/255028", "https://cloud.oebiotech.com/#/lm/network/255028")</f>
        <v>https://cloud.oebiotech.com/#/lm/network/255028</v>
      </c>
      <c r="H5408" s="2" t="s">
        <v>35333</v>
      </c>
      <c r="I5408" s="2"/>
      <c r="J5408" s="2"/>
      <c r="K5408" s="2">
        <v>11195626</v>
      </c>
      <c r="L5408" s="2"/>
      <c r="M5408" s="2"/>
      <c r="N5408" s="2"/>
      <c r="O5408" s="2"/>
      <c r="P5408" s="2"/>
      <c r="Q5408" s="2"/>
      <c r="R5408" s="2"/>
      <c r="S5408" s="2" t="s">
        <v>35334</v>
      </c>
      <c r="T5408" s="2" t="s">
        <v>35335</v>
      </c>
      <c r="U5408" s="2" t="s">
        <v>266</v>
      </c>
      <c r="V5408" s="2" t="s">
        <v>445</v>
      </c>
      <c r="W5408" s="2" t="s">
        <v>446</v>
      </c>
      <c r="X5408" s="2" t="s">
        <v>147</v>
      </c>
      <c r="Y5408" s="2">
        <v>37.6</v>
      </c>
      <c r="Z5408" s="2">
        <v>2.85</v>
      </c>
      <c r="AA5408" s="2" t="s">
        <v>379</v>
      </c>
      <c r="AB5408" s="2" t="s">
        <v>35336</v>
      </c>
      <c r="AC5408" s="2">
        <v>-1.68173540654017</v>
      </c>
      <c r="AD5408" s="2"/>
      <c r="AE5408" s="2">
        <v>3.2976979852837401E-2</v>
      </c>
      <c r="AF5408" s="2">
        <v>63043.6577308942</v>
      </c>
      <c r="AG5408" s="2">
        <v>68515.294712193005</v>
      </c>
      <c r="AH5408" s="4">
        <v>0.92013991906065495</v>
      </c>
      <c r="AI5408" s="4">
        <v>-0.120074836775956</v>
      </c>
      <c r="AJ5408" s="4" t="s">
        <v>62</v>
      </c>
      <c r="AK5408" s="2">
        <v>0.676841431477616</v>
      </c>
      <c r="AL5408" s="2">
        <v>0.84349445396360301</v>
      </c>
      <c r="AM5408" s="2">
        <v>112960.87571471601</v>
      </c>
      <c r="AN5408" s="2">
        <v>25463.1029654253</v>
      </c>
      <c r="AO5408" s="2">
        <v>71783.063008605604</v>
      </c>
      <c r="AP5408" s="2">
        <v>68110.998329666807</v>
      </c>
      <c r="AQ5408" s="2">
        <v>55626.673254195601</v>
      </c>
      <c r="AR5408" s="2">
        <v>44317.233112756097</v>
      </c>
      <c r="AS5408" s="2">
        <v>63925.413868985903</v>
      </c>
      <c r="AT5408" s="2">
        <v>76536.260361652196</v>
      </c>
      <c r="AU5408" s="2">
        <v>82035.818318253805</v>
      </c>
      <c r="AV5408" s="2">
        <v>70892.621503536895</v>
      </c>
      <c r="AW5408" s="2">
        <v>59874.739471769302</v>
      </c>
      <c r="AX5408" s="2">
        <v>57826.91474896</v>
      </c>
    </row>
    <row r="5409" spans="1:50" x14ac:dyDescent="0.25">
      <c r="A5409" s="2" t="s">
        <v>35337</v>
      </c>
      <c r="B5409" s="2">
        <v>271.191578952062</v>
      </c>
      <c r="C5409" s="2">
        <v>9.7059333333333306</v>
      </c>
      <c r="D5409" s="2" t="s">
        <v>51</v>
      </c>
      <c r="E5409" s="2" t="s">
        <v>35338</v>
      </c>
      <c r="F5409" s="2">
        <v>2836</v>
      </c>
      <c r="G5409" s="3" t="str">
        <f>HYPERLINK("https://cloud.oebiotech.com/#/lm/network/2836", "https://cloud.oebiotech.com/#/lm/network/2836")</f>
        <v>https://cloud.oebiotech.com/#/lm/network/2836</v>
      </c>
      <c r="H5409" s="2"/>
      <c r="I5409" s="2">
        <v>35977</v>
      </c>
      <c r="J5409" s="2" t="s">
        <v>35339</v>
      </c>
      <c r="K5409" s="2">
        <v>160576</v>
      </c>
      <c r="L5409" s="2"/>
      <c r="M5409" s="2"/>
      <c r="N5409" s="2"/>
      <c r="O5409" s="2"/>
      <c r="P5409" s="2"/>
      <c r="Q5409" s="2"/>
      <c r="R5409" s="2"/>
      <c r="S5409" s="2" t="s">
        <v>35340</v>
      </c>
      <c r="T5409" s="2" t="s">
        <v>35341</v>
      </c>
      <c r="U5409" s="2" t="s">
        <v>56</v>
      </c>
      <c r="V5409" s="2" t="s">
        <v>145</v>
      </c>
      <c r="W5409" s="2" t="s">
        <v>231</v>
      </c>
      <c r="X5409" s="2" t="s">
        <v>83</v>
      </c>
      <c r="Y5409" s="2">
        <v>58.6</v>
      </c>
      <c r="Z5409" s="2">
        <v>0</v>
      </c>
      <c r="AA5409" s="2" t="s">
        <v>163</v>
      </c>
      <c r="AB5409" s="2" t="s">
        <v>35342</v>
      </c>
      <c r="AC5409" s="2">
        <v>0.35271234190998801</v>
      </c>
      <c r="AD5409" s="2"/>
      <c r="AE5409" s="2">
        <v>3.2949853210963297E-2</v>
      </c>
      <c r="AF5409" s="2">
        <v>1015.04655618278</v>
      </c>
      <c r="AG5409" s="2">
        <v>935.62882928302395</v>
      </c>
      <c r="AH5409" s="5">
        <v>1.08488165863873</v>
      </c>
      <c r="AI5409" s="5">
        <v>0.117537678792769</v>
      </c>
      <c r="AJ5409" s="5" t="s">
        <v>139</v>
      </c>
      <c r="AK5409" s="2">
        <v>0.45797109139846498</v>
      </c>
      <c r="AL5409" s="2">
        <v>0.70873397123624904</v>
      </c>
      <c r="AM5409" s="2">
        <v>1068.4082719788501</v>
      </c>
      <c r="AN5409" s="2">
        <v>1177.52117218998</v>
      </c>
      <c r="AO5409" s="2">
        <v>926.60923166131704</v>
      </c>
      <c r="AP5409" s="2">
        <v>790.69117757447896</v>
      </c>
      <c r="AQ5409" s="2">
        <v>1148.5509552410001</v>
      </c>
      <c r="AR5409" s="2">
        <v>978.49852845106898</v>
      </c>
      <c r="AS5409" s="2">
        <v>1004.6599884393599</v>
      </c>
      <c r="AT5409" s="2">
        <v>637.89064981698698</v>
      </c>
      <c r="AU5409" s="2">
        <v>1070.25065160442</v>
      </c>
      <c r="AV5409" s="2">
        <v>1159.77928661229</v>
      </c>
      <c r="AW5409" s="2">
        <v>1013.22421679129</v>
      </c>
      <c r="AX5409" s="2">
        <v>727.96818243379698</v>
      </c>
    </row>
    <row r="5410" spans="1:50" x14ac:dyDescent="0.25">
      <c r="A5410" s="2" t="s">
        <v>35343</v>
      </c>
      <c r="B5410" s="2">
        <v>413.20077285281798</v>
      </c>
      <c r="C5410" s="2">
        <v>5.8082500000000001</v>
      </c>
      <c r="D5410" s="2" t="s">
        <v>51</v>
      </c>
      <c r="E5410" s="2" t="s">
        <v>35344</v>
      </c>
      <c r="F5410" s="2">
        <v>199460</v>
      </c>
      <c r="G5410" s="3" t="str">
        <f>HYPERLINK("https://cloud.oebiotech.com/#/lm/network/199460", "https://cloud.oebiotech.com/#/lm/network/199460")</f>
        <v>https://cloud.oebiotech.com/#/lm/network/199460</v>
      </c>
      <c r="H5410" s="2" t="s">
        <v>35345</v>
      </c>
      <c r="I5410" s="2">
        <v>348269</v>
      </c>
      <c r="J5410" s="2"/>
      <c r="K5410" s="2">
        <v>77095</v>
      </c>
      <c r="L5410" s="2"/>
      <c r="M5410" s="2"/>
      <c r="N5410" s="2"/>
      <c r="O5410" s="2"/>
      <c r="P5410" s="2"/>
      <c r="Q5410" s="2"/>
      <c r="R5410" s="2"/>
      <c r="S5410" s="2" t="s">
        <v>35346</v>
      </c>
      <c r="T5410" s="2" t="s">
        <v>35347</v>
      </c>
      <c r="U5410" s="2" t="s">
        <v>266</v>
      </c>
      <c r="V5410" s="2" t="s">
        <v>445</v>
      </c>
      <c r="W5410" s="2" t="s">
        <v>446</v>
      </c>
      <c r="X5410" s="2" t="s">
        <v>147</v>
      </c>
      <c r="Y5410" s="2">
        <v>40.9</v>
      </c>
      <c r="Z5410" s="2">
        <v>11.3</v>
      </c>
      <c r="AA5410" s="2" t="s">
        <v>478</v>
      </c>
      <c r="AB5410" s="2" t="s">
        <v>35348</v>
      </c>
      <c r="AC5410" s="2">
        <v>-3.7410011906419101</v>
      </c>
      <c r="AD5410" s="2"/>
      <c r="AE5410" s="2">
        <v>3.2785123307006898E-2</v>
      </c>
      <c r="AF5410" s="2">
        <v>1202.6295983505299</v>
      </c>
      <c r="AG5410" s="2">
        <v>910.82956951654796</v>
      </c>
      <c r="AH5410" s="5">
        <v>1.32036732073693</v>
      </c>
      <c r="AI5410" s="5">
        <v>0.40093933722488301</v>
      </c>
      <c r="AJ5410" s="5" t="s">
        <v>139</v>
      </c>
      <c r="AK5410" s="2">
        <v>0.77675499744193</v>
      </c>
      <c r="AL5410" s="2">
        <v>0.90070203511967495</v>
      </c>
      <c r="AM5410" s="2">
        <v>3.7473599982182601E-5</v>
      </c>
      <c r="AN5410" s="2">
        <v>1262.6870924856501</v>
      </c>
      <c r="AO5410" s="2">
        <v>22.778549279333301</v>
      </c>
      <c r="AP5410" s="2">
        <v>146.62158949479601</v>
      </c>
      <c r="AQ5410" s="2">
        <v>8.559877937157E-6</v>
      </c>
      <c r="AR5410" s="2">
        <v>5783.6903128099402</v>
      </c>
      <c r="AS5410" s="2">
        <v>8.559877937157E-6</v>
      </c>
      <c r="AT5410" s="2">
        <v>2340.8626060372699</v>
      </c>
      <c r="AU5410" s="2">
        <v>972.75702210001896</v>
      </c>
      <c r="AV5410" s="2">
        <v>673.90912446513198</v>
      </c>
      <c r="AW5410" s="2">
        <v>1336.3220543115499</v>
      </c>
      <c r="AX5410" s="2">
        <v>141.12660162543801</v>
      </c>
    </row>
    <row r="5411" spans="1:50" x14ac:dyDescent="0.25">
      <c r="A5411" s="2" t="s">
        <v>35349</v>
      </c>
      <c r="B5411" s="2">
        <v>256.95503398974802</v>
      </c>
      <c r="C5411" s="2">
        <v>4.0333666666666703</v>
      </c>
      <c r="D5411" s="2" t="s">
        <v>51</v>
      </c>
      <c r="E5411" s="2" t="s">
        <v>35350</v>
      </c>
      <c r="F5411" s="2">
        <v>81937</v>
      </c>
      <c r="G5411" s="3" t="str">
        <f>HYPERLINK("https://cloud.oebiotech.com/#/lm/network/81937", "https://cloud.oebiotech.com/#/lm/network/81937")</f>
        <v>https://cloud.oebiotech.com/#/lm/network/81937</v>
      </c>
      <c r="H5411" s="2" t="s">
        <v>35351</v>
      </c>
      <c r="I5411" s="2"/>
      <c r="J5411" s="2"/>
      <c r="K5411" s="2">
        <v>3000605</v>
      </c>
      <c r="L5411" s="2"/>
      <c r="M5411" s="2"/>
      <c r="N5411" s="2"/>
      <c r="O5411" s="2">
        <v>83986</v>
      </c>
      <c r="P5411" s="2"/>
      <c r="Q5411" s="2"/>
      <c r="R5411" s="2"/>
      <c r="S5411" s="2" t="s">
        <v>35352</v>
      </c>
      <c r="T5411" s="2" t="s">
        <v>35353</v>
      </c>
      <c r="U5411" s="2" t="s">
        <v>103</v>
      </c>
      <c r="V5411" s="2" t="s">
        <v>35354</v>
      </c>
      <c r="W5411" s="2" t="s">
        <v>35355</v>
      </c>
      <c r="X5411" s="2" t="s">
        <v>147</v>
      </c>
      <c r="Y5411" s="2">
        <v>38.6</v>
      </c>
      <c r="Z5411" s="2">
        <v>16.5</v>
      </c>
      <c r="AA5411" s="2" t="s">
        <v>218</v>
      </c>
      <c r="AB5411" s="2" t="s">
        <v>35356</v>
      </c>
      <c r="AC5411" s="2">
        <v>-0.94899617026957905</v>
      </c>
      <c r="AD5411" s="2"/>
      <c r="AE5411" s="2">
        <v>3.2488710112932299E-2</v>
      </c>
      <c r="AF5411" s="2">
        <v>6928.8468858025499</v>
      </c>
      <c r="AG5411" s="2">
        <v>6711.1699663353702</v>
      </c>
      <c r="AH5411" s="5">
        <v>1.0324350181204001</v>
      </c>
      <c r="AI5411" s="5">
        <v>4.60509806900644E-2</v>
      </c>
      <c r="AJ5411" s="5" t="s">
        <v>139</v>
      </c>
      <c r="AK5411" s="2">
        <v>0.82642228870015499</v>
      </c>
      <c r="AL5411" s="2">
        <v>0.92418005779032597</v>
      </c>
      <c r="AM5411" s="2">
        <v>5752.4157620928599</v>
      </c>
      <c r="AN5411" s="2">
        <v>6893.3973053031896</v>
      </c>
      <c r="AO5411" s="2">
        <v>6174.1763891502396</v>
      </c>
      <c r="AP5411" s="2">
        <v>6217.4106264985703</v>
      </c>
      <c r="AQ5411" s="2">
        <v>9555.1116935299106</v>
      </c>
      <c r="AR5411" s="2">
        <v>6980.5695382405502</v>
      </c>
      <c r="AS5411" s="2">
        <v>5769.0744098021996</v>
      </c>
      <c r="AT5411" s="2">
        <v>8882.1870792009595</v>
      </c>
      <c r="AU5411" s="2">
        <v>5834.1079198921698</v>
      </c>
      <c r="AV5411" s="2">
        <v>4356.8068646688098</v>
      </c>
      <c r="AW5411" s="2">
        <v>6167.9294752092201</v>
      </c>
      <c r="AX5411" s="2">
        <v>9256.9140492388397</v>
      </c>
    </row>
    <row r="5412" spans="1:50" x14ac:dyDescent="0.25">
      <c r="A5412" s="2" t="s">
        <v>35357</v>
      </c>
      <c r="B5412" s="2">
        <v>262.05109665069898</v>
      </c>
      <c r="C5412" s="2">
        <v>1.02813333333333</v>
      </c>
      <c r="D5412" s="2" t="s">
        <v>51</v>
      </c>
      <c r="E5412" s="2" t="s">
        <v>35358</v>
      </c>
      <c r="F5412" s="2">
        <v>64997</v>
      </c>
      <c r="G5412" s="3" t="str">
        <f>HYPERLINK("https://cloud.oebiotech.com/#/lm/network/64997", "https://cloud.oebiotech.com/#/lm/network/64997")</f>
        <v>https://cloud.oebiotech.com/#/lm/network/64997</v>
      </c>
      <c r="H5412" s="2" t="s">
        <v>35359</v>
      </c>
      <c r="I5412" s="2">
        <v>96205</v>
      </c>
      <c r="J5412" s="2"/>
      <c r="K5412" s="2">
        <v>95526</v>
      </c>
      <c r="L5412" s="2"/>
      <c r="M5412" s="2"/>
      <c r="N5412" s="2"/>
      <c r="O5412" s="2">
        <v>157784</v>
      </c>
      <c r="P5412" s="2"/>
      <c r="Q5412" s="2"/>
      <c r="R5412" s="2" t="s">
        <v>35360</v>
      </c>
      <c r="S5412" s="2" t="s">
        <v>35361</v>
      </c>
      <c r="T5412" s="2" t="s">
        <v>35362</v>
      </c>
      <c r="U5412" s="2" t="s">
        <v>103</v>
      </c>
      <c r="V5412" s="2" t="s">
        <v>104</v>
      </c>
      <c r="W5412" s="2" t="s">
        <v>105</v>
      </c>
      <c r="X5412" s="2" t="s">
        <v>147</v>
      </c>
      <c r="Y5412" s="2">
        <v>44.2</v>
      </c>
      <c r="Z5412" s="2">
        <v>33</v>
      </c>
      <c r="AA5412" s="2" t="s">
        <v>95</v>
      </c>
      <c r="AB5412" s="2" t="s">
        <v>35363</v>
      </c>
      <c r="AC5412" s="2">
        <v>1.0946563292176801</v>
      </c>
      <c r="AD5412" s="2"/>
      <c r="AE5412" s="2">
        <v>3.2485834592793E-2</v>
      </c>
      <c r="AF5412" s="2">
        <v>10705.557156889499</v>
      </c>
      <c r="AG5412" s="2">
        <v>11142.0893743007</v>
      </c>
      <c r="AH5412" s="4">
        <v>0.96082133227022004</v>
      </c>
      <c r="AI5412" s="4">
        <v>-5.7659912600259301E-2</v>
      </c>
      <c r="AJ5412" s="4" t="s">
        <v>62</v>
      </c>
      <c r="AK5412" s="2">
        <v>0.80938489756829801</v>
      </c>
      <c r="AL5412" s="2">
        <v>0.91490556570935899</v>
      </c>
      <c r="AM5412" s="2">
        <v>13926.735465481101</v>
      </c>
      <c r="AN5412" s="2">
        <v>5510.2998440978499</v>
      </c>
      <c r="AO5412" s="2">
        <v>9678.3280178992609</v>
      </c>
      <c r="AP5412" s="2">
        <v>13690.4265505886</v>
      </c>
      <c r="AQ5412" s="2">
        <v>13341.2184053197</v>
      </c>
      <c r="AR5412" s="2">
        <v>8086.3346579504296</v>
      </c>
      <c r="AS5412" s="2">
        <v>8530.7770257834709</v>
      </c>
      <c r="AT5412" s="2">
        <v>10052.125416335</v>
      </c>
      <c r="AU5412" s="2">
        <v>14520.6331944413</v>
      </c>
      <c r="AV5412" s="2">
        <v>8833.2326771463395</v>
      </c>
      <c r="AW5412" s="2">
        <v>11074.2800299726</v>
      </c>
      <c r="AX5412" s="2">
        <v>13841.4879021257</v>
      </c>
    </row>
    <row r="5413" spans="1:50" x14ac:dyDescent="0.25">
      <c r="A5413" s="2" t="s">
        <v>35364</v>
      </c>
      <c r="B5413" s="2">
        <v>395.31662674007401</v>
      </c>
      <c r="C5413" s="2">
        <v>13.841049999999999</v>
      </c>
      <c r="D5413" s="2" t="s">
        <v>51</v>
      </c>
      <c r="E5413" s="2" t="s">
        <v>35365</v>
      </c>
      <c r="F5413" s="2">
        <v>35482</v>
      </c>
      <c r="G5413" s="3" t="str">
        <f>HYPERLINK("https://cloud.oebiotech.com/#/lm/network/35482", "https://cloud.oebiotech.com/#/lm/network/35482")</f>
        <v>https://cloud.oebiotech.com/#/lm/network/35482</v>
      </c>
      <c r="H5413" s="2"/>
      <c r="I5413" s="2">
        <v>102887</v>
      </c>
      <c r="J5413" s="2" t="s">
        <v>35366</v>
      </c>
      <c r="K5413" s="2">
        <v>52929812</v>
      </c>
      <c r="L5413" s="2"/>
      <c r="M5413" s="2"/>
      <c r="N5413" s="2"/>
      <c r="O5413" s="2"/>
      <c r="P5413" s="2"/>
      <c r="Q5413" s="2"/>
      <c r="R5413" s="2"/>
      <c r="S5413" s="2" t="s">
        <v>35367</v>
      </c>
      <c r="T5413" s="2" t="s">
        <v>35368</v>
      </c>
      <c r="U5413" s="2" t="s">
        <v>56</v>
      </c>
      <c r="V5413" s="2" t="s">
        <v>177</v>
      </c>
      <c r="W5413" s="2" t="s">
        <v>1996</v>
      </c>
      <c r="X5413" s="2" t="s">
        <v>147</v>
      </c>
      <c r="Y5413" s="2">
        <v>38.700000000000003</v>
      </c>
      <c r="Z5413" s="2">
        <v>0</v>
      </c>
      <c r="AA5413" s="2" t="s">
        <v>218</v>
      </c>
      <c r="AB5413" s="2" t="s">
        <v>35369</v>
      </c>
      <c r="AC5413" s="2">
        <v>-0.16189835618336601</v>
      </c>
      <c r="AD5413" s="2"/>
      <c r="AE5413" s="2">
        <v>3.2484912528751797E-2</v>
      </c>
      <c r="AF5413" s="2">
        <v>181.11668522703499</v>
      </c>
      <c r="AG5413" s="2">
        <v>290.56960263683197</v>
      </c>
      <c r="AH5413" s="4">
        <v>0.62331600960133304</v>
      </c>
      <c r="AI5413" s="4">
        <v>-0.68196432666635298</v>
      </c>
      <c r="AJ5413" s="4" t="s">
        <v>62</v>
      </c>
      <c r="AK5413" s="2">
        <v>0.44107801578741201</v>
      </c>
      <c r="AL5413" s="2">
        <v>0.69764292881434498</v>
      </c>
      <c r="AM5413" s="2">
        <v>467.51759561855999</v>
      </c>
      <c r="AN5413" s="2">
        <v>8.559877937157E-6</v>
      </c>
      <c r="AO5413" s="2">
        <v>471.23731505562802</v>
      </c>
      <c r="AP5413" s="2">
        <v>8.559877937157E-6</v>
      </c>
      <c r="AQ5413" s="2">
        <v>8.559877937157E-6</v>
      </c>
      <c r="AR5413" s="2">
        <v>147.94517500839001</v>
      </c>
      <c r="AS5413" s="2">
        <v>601.02017105288803</v>
      </c>
      <c r="AT5413" s="2">
        <v>336.61107315563498</v>
      </c>
      <c r="AU5413" s="2">
        <v>8.559877937157E-6</v>
      </c>
      <c r="AV5413" s="2">
        <v>393.71885999404998</v>
      </c>
      <c r="AW5413" s="2">
        <v>412.06749449866402</v>
      </c>
      <c r="AX5413" s="2">
        <v>8.559877937157E-6</v>
      </c>
    </row>
    <row r="5414" spans="1:50" x14ac:dyDescent="0.25">
      <c r="A5414" s="2" t="s">
        <v>35370</v>
      </c>
      <c r="B5414" s="2">
        <v>201.01233322313601</v>
      </c>
      <c r="C5414" s="2">
        <v>5.4175500000000003</v>
      </c>
      <c r="D5414" s="2" t="s">
        <v>51</v>
      </c>
      <c r="E5414" s="2" t="s">
        <v>35371</v>
      </c>
      <c r="F5414" s="2">
        <v>267126</v>
      </c>
      <c r="G5414" s="3" t="str">
        <f>HYPERLINK("https://cloud.oebiotech.com/#/lm/network/267126", "https://cloud.oebiotech.com/#/lm/network/267126")</f>
        <v>https://cloud.oebiotech.com/#/lm/network/267126</v>
      </c>
      <c r="H5414" s="2"/>
      <c r="I5414" s="2">
        <v>44842</v>
      </c>
      <c r="J5414" s="2"/>
      <c r="K5414" s="2">
        <v>137319711</v>
      </c>
      <c r="L5414" s="2"/>
      <c r="M5414" s="2"/>
      <c r="N5414" s="2"/>
      <c r="O5414" s="2"/>
      <c r="P5414" s="2"/>
      <c r="Q5414" s="2"/>
      <c r="R5414" s="2" t="s">
        <v>35372</v>
      </c>
      <c r="S5414" s="2" t="s">
        <v>35373</v>
      </c>
      <c r="T5414" s="2" t="s">
        <v>35374</v>
      </c>
      <c r="U5414" s="2" t="s">
        <v>610</v>
      </c>
      <c r="V5414" s="2" t="s">
        <v>895</v>
      </c>
      <c r="W5414" s="2" t="s">
        <v>919</v>
      </c>
      <c r="X5414" s="2" t="s">
        <v>147</v>
      </c>
      <c r="Y5414" s="2">
        <v>37.799999999999997</v>
      </c>
      <c r="Z5414" s="2">
        <v>0</v>
      </c>
      <c r="AA5414" s="2" t="s">
        <v>379</v>
      </c>
      <c r="AB5414" s="2" t="s">
        <v>35375</v>
      </c>
      <c r="AC5414" s="2">
        <v>-2.1549822581335301</v>
      </c>
      <c r="AD5414" s="2"/>
      <c r="AE5414" s="2">
        <v>3.2437140272867399E-2</v>
      </c>
      <c r="AF5414" s="2">
        <v>1244.2934859818699</v>
      </c>
      <c r="AG5414" s="2">
        <v>1361.47696351782</v>
      </c>
      <c r="AH5414" s="4">
        <v>0.91392915144655396</v>
      </c>
      <c r="AI5414" s="4">
        <v>-0.12984576419747701</v>
      </c>
      <c r="AJ5414" s="4" t="s">
        <v>62</v>
      </c>
      <c r="AK5414" s="2">
        <v>0.55803569632282402</v>
      </c>
      <c r="AL5414" s="2">
        <v>0.77807842392405102</v>
      </c>
      <c r="AM5414" s="2">
        <v>1224.68443051747</v>
      </c>
      <c r="AN5414" s="2">
        <v>912.79606350943698</v>
      </c>
      <c r="AO5414" s="2">
        <v>1238.48643918074</v>
      </c>
      <c r="AP5414" s="2">
        <v>1598.35496393941</v>
      </c>
      <c r="AQ5414" s="2">
        <v>1345.08616289318</v>
      </c>
      <c r="AR5414" s="2">
        <v>1146.3528558509699</v>
      </c>
      <c r="AS5414" s="2">
        <v>1066.82585917659</v>
      </c>
      <c r="AT5414" s="2">
        <v>2028.29246028991</v>
      </c>
      <c r="AU5414" s="2">
        <v>1223.3007630889001</v>
      </c>
      <c r="AV5414" s="2">
        <v>1714.2823431132001</v>
      </c>
      <c r="AW5414" s="2">
        <v>969.916753943034</v>
      </c>
      <c r="AX5414" s="2">
        <v>1166.24360149526</v>
      </c>
    </row>
    <row r="5415" spans="1:50" x14ac:dyDescent="0.25">
      <c r="A5415" s="2" t="s">
        <v>35376</v>
      </c>
      <c r="B5415" s="2">
        <v>645.29835444237801</v>
      </c>
      <c r="C5415" s="2">
        <v>3.84053333333333</v>
      </c>
      <c r="D5415" s="2" t="s">
        <v>51</v>
      </c>
      <c r="E5415" s="2" t="s">
        <v>35377</v>
      </c>
      <c r="F5415" s="2">
        <v>82704</v>
      </c>
      <c r="G5415" s="3" t="str">
        <f>HYPERLINK("https://cloud.oebiotech.com/#/lm/network/82704", "https://cloud.oebiotech.com/#/lm/network/82704")</f>
        <v>https://cloud.oebiotech.com/#/lm/network/82704</v>
      </c>
      <c r="H5415" s="2" t="s">
        <v>35378</v>
      </c>
      <c r="I5415" s="2">
        <v>710902</v>
      </c>
      <c r="J5415" s="2"/>
      <c r="K5415" s="2">
        <v>14127209</v>
      </c>
      <c r="L5415" s="2"/>
      <c r="M5415" s="2"/>
      <c r="N5415" s="2"/>
      <c r="O5415" s="2"/>
      <c r="P5415" s="2"/>
      <c r="Q5415" s="2"/>
      <c r="R5415" s="2"/>
      <c r="S5415" s="2" t="s">
        <v>35379</v>
      </c>
      <c r="T5415" s="2" t="s">
        <v>35380</v>
      </c>
      <c r="U5415" s="2" t="s">
        <v>266</v>
      </c>
      <c r="V5415" s="2" t="s">
        <v>31851</v>
      </c>
      <c r="W5415" s="2" t="s">
        <v>31852</v>
      </c>
      <c r="X5415" s="2" t="s">
        <v>147</v>
      </c>
      <c r="Y5415" s="2">
        <v>39.200000000000003</v>
      </c>
      <c r="Z5415" s="2">
        <v>1.56</v>
      </c>
      <c r="AA5415" s="2" t="s">
        <v>478</v>
      </c>
      <c r="AB5415" s="2" t="s">
        <v>35381</v>
      </c>
      <c r="AC5415" s="2">
        <v>2.0792071237560701</v>
      </c>
      <c r="AD5415" s="2"/>
      <c r="AE5415" s="2">
        <v>3.2398474436277698E-2</v>
      </c>
      <c r="AF5415" s="2">
        <v>1362.50772559642</v>
      </c>
      <c r="AG5415" s="2">
        <v>850.95404250687795</v>
      </c>
      <c r="AH5415" s="5">
        <v>1.60115312641623</v>
      </c>
      <c r="AI5415" s="5">
        <v>0.67911128671575305</v>
      </c>
      <c r="AJ5415" s="5" t="s">
        <v>139</v>
      </c>
      <c r="AK5415" s="2">
        <v>0.66508809380590606</v>
      </c>
      <c r="AL5415" s="2">
        <v>0.83781625566001805</v>
      </c>
      <c r="AM5415" s="2">
        <v>589.15508863032596</v>
      </c>
      <c r="AN5415" s="2">
        <v>8.559877937157E-6</v>
      </c>
      <c r="AO5415" s="2">
        <v>1301.2649175251399</v>
      </c>
      <c r="AP5415" s="2">
        <v>8.559877937157E-6</v>
      </c>
      <c r="AQ5415" s="2">
        <v>8.559877937157E-6</v>
      </c>
      <c r="AR5415" s="2">
        <v>6284.6263217434298</v>
      </c>
      <c r="AS5415" s="2">
        <v>8.559877937157E-6</v>
      </c>
      <c r="AT5415" s="2">
        <v>8.559877937157E-6</v>
      </c>
      <c r="AU5415" s="2">
        <v>1.63199176149077</v>
      </c>
      <c r="AV5415" s="2">
        <v>3359.0747669299099</v>
      </c>
      <c r="AW5415" s="2">
        <v>1422.39424228085</v>
      </c>
      <c r="AX5415" s="2">
        <v>322.62323694926403</v>
      </c>
    </row>
    <row r="5416" spans="1:50" x14ac:dyDescent="0.25">
      <c r="A5416" s="2" t="s">
        <v>35382</v>
      </c>
      <c r="B5416" s="2">
        <v>254.10308037445299</v>
      </c>
      <c r="C5416" s="2">
        <v>3.9837333333333298</v>
      </c>
      <c r="D5416" s="2" t="s">
        <v>51</v>
      </c>
      <c r="E5416" s="2" t="s">
        <v>35383</v>
      </c>
      <c r="F5416" s="2">
        <v>51489</v>
      </c>
      <c r="G5416" s="3" t="str">
        <f>HYPERLINK("https://cloud.oebiotech.com/#/lm/network/51489", "https://cloud.oebiotech.com/#/lm/network/51489")</f>
        <v>https://cloud.oebiotech.com/#/lm/network/51489</v>
      </c>
      <c r="H5416" s="2" t="s">
        <v>35384</v>
      </c>
      <c r="I5416" s="2">
        <v>62449</v>
      </c>
      <c r="J5416" s="2"/>
      <c r="K5416" s="2">
        <v>12681285</v>
      </c>
      <c r="L5416" s="2"/>
      <c r="M5416" s="2"/>
      <c r="N5416" s="2"/>
      <c r="O5416" s="2">
        <v>88403</v>
      </c>
      <c r="P5416" s="2"/>
      <c r="Q5416" s="2"/>
      <c r="R5416" s="2"/>
      <c r="S5416" s="2" t="s">
        <v>35385</v>
      </c>
      <c r="T5416" s="2" t="s">
        <v>35386</v>
      </c>
      <c r="U5416" s="2" t="s">
        <v>103</v>
      </c>
      <c r="V5416" s="2" t="s">
        <v>104</v>
      </c>
      <c r="W5416" s="2" t="s">
        <v>105</v>
      </c>
      <c r="X5416" s="2" t="s">
        <v>69</v>
      </c>
      <c r="Y5416" s="2">
        <v>53.7</v>
      </c>
      <c r="Z5416" s="2">
        <v>66.400000000000006</v>
      </c>
      <c r="AA5416" s="2" t="s">
        <v>259</v>
      </c>
      <c r="AB5416" s="2" t="s">
        <v>35387</v>
      </c>
      <c r="AC5416" s="2">
        <v>3.0872152084239501</v>
      </c>
      <c r="AD5416" s="2"/>
      <c r="AE5416" s="2">
        <v>3.2259043082415E-2</v>
      </c>
      <c r="AF5416" s="2">
        <v>1531.1780673701301</v>
      </c>
      <c r="AG5416" s="2">
        <v>1509.83385925481</v>
      </c>
      <c r="AH5416" s="5">
        <v>1.01413679259111</v>
      </c>
      <c r="AI5416" s="5">
        <v>2.0252264454047601E-2</v>
      </c>
      <c r="AJ5416" s="5" t="s">
        <v>139</v>
      </c>
      <c r="AK5416" s="2">
        <v>0.97546304996605604</v>
      </c>
      <c r="AL5416" s="2">
        <v>0.98980639530347603</v>
      </c>
      <c r="AM5416" s="2">
        <v>3334.7422988746598</v>
      </c>
      <c r="AN5416" s="2">
        <v>333.44848051524599</v>
      </c>
      <c r="AO5416" s="2">
        <v>312.80362012765301</v>
      </c>
      <c r="AP5416" s="2">
        <v>2776.6439109030298</v>
      </c>
      <c r="AQ5416" s="2">
        <v>2023.0000349945101</v>
      </c>
      <c r="AR5416" s="2">
        <v>406.43005880565897</v>
      </c>
      <c r="AS5416" s="2">
        <v>1310.02320660553</v>
      </c>
      <c r="AT5416" s="2">
        <v>2924.2812123922599</v>
      </c>
      <c r="AU5416" s="2">
        <v>2237.9001267185499</v>
      </c>
      <c r="AV5416" s="2">
        <v>456.53609282909503</v>
      </c>
      <c r="AW5416" s="2">
        <v>1532.8142778333499</v>
      </c>
      <c r="AX5416" s="2">
        <v>597.44823915006998</v>
      </c>
    </row>
    <row r="5417" spans="1:50" x14ac:dyDescent="0.25">
      <c r="A5417" s="2" t="s">
        <v>35388</v>
      </c>
      <c r="B5417" s="2">
        <v>285.20717542812002</v>
      </c>
      <c r="C5417" s="2">
        <v>10.1415333333333</v>
      </c>
      <c r="D5417" s="2" t="s">
        <v>51</v>
      </c>
      <c r="E5417" s="2" t="s">
        <v>35389</v>
      </c>
      <c r="F5417" s="2">
        <v>2837</v>
      </c>
      <c r="G5417" s="3" t="str">
        <f>HYPERLINK("https://cloud.oebiotech.com/#/lm/network/2837", "https://cloud.oebiotech.com/#/lm/network/2837")</f>
        <v>https://cloud.oebiotech.com/#/lm/network/2837</v>
      </c>
      <c r="H5417" s="2" t="s">
        <v>35390</v>
      </c>
      <c r="I5417" s="2">
        <v>5642</v>
      </c>
      <c r="J5417" s="2" t="s">
        <v>35391</v>
      </c>
      <c r="K5417" s="2">
        <v>10459</v>
      </c>
      <c r="L5417" s="2" t="s">
        <v>35392</v>
      </c>
      <c r="M5417" s="2"/>
      <c r="N5417" s="2"/>
      <c r="O5417" s="2">
        <v>73722</v>
      </c>
      <c r="P5417" s="2"/>
      <c r="Q5417" s="2"/>
      <c r="R5417" s="2" t="s">
        <v>35393</v>
      </c>
      <c r="S5417" s="2" t="s">
        <v>35394</v>
      </c>
      <c r="T5417" s="2" t="s">
        <v>35395</v>
      </c>
      <c r="U5417" s="2" t="s">
        <v>56</v>
      </c>
      <c r="V5417" s="2" t="s">
        <v>145</v>
      </c>
      <c r="W5417" s="2" t="s">
        <v>231</v>
      </c>
      <c r="X5417" s="2" t="s">
        <v>69</v>
      </c>
      <c r="Y5417" s="2">
        <v>60.2</v>
      </c>
      <c r="Z5417" s="2">
        <v>81.400000000000006</v>
      </c>
      <c r="AA5417" s="2" t="s">
        <v>163</v>
      </c>
      <c r="AB5417" s="2" t="s">
        <v>34294</v>
      </c>
      <c r="AC5417" s="2">
        <v>0.14820979912356</v>
      </c>
      <c r="AD5417" s="2"/>
      <c r="AE5417" s="2">
        <v>3.2207488241353499E-2</v>
      </c>
      <c r="AF5417" s="2">
        <v>8638.1708973128098</v>
      </c>
      <c r="AG5417" s="2">
        <v>8327.0222581238395</v>
      </c>
      <c r="AH5417" s="5">
        <v>1.0373661351613901</v>
      </c>
      <c r="AI5417" s="5">
        <v>5.2925178773719897E-2</v>
      </c>
      <c r="AJ5417" s="5" t="s">
        <v>139</v>
      </c>
      <c r="AK5417" s="2">
        <v>0.87911695112747701</v>
      </c>
      <c r="AL5417" s="2">
        <v>0.94763287790961603</v>
      </c>
      <c r="AM5417" s="2">
        <v>11892.5818203278</v>
      </c>
      <c r="AN5417" s="2">
        <v>5114.8252658916099</v>
      </c>
      <c r="AO5417" s="2">
        <v>12152.864225451</v>
      </c>
      <c r="AP5417" s="2">
        <v>5051.1325710644596</v>
      </c>
      <c r="AQ5417" s="2">
        <v>9270.5361321450891</v>
      </c>
      <c r="AR5417" s="2">
        <v>8347.0853689969208</v>
      </c>
      <c r="AS5417" s="2">
        <v>8247.4664277110405</v>
      </c>
      <c r="AT5417" s="2">
        <v>5805.8141962833997</v>
      </c>
      <c r="AU5417" s="2">
        <v>6228.5428856714598</v>
      </c>
      <c r="AV5417" s="2">
        <v>14722.5543443716</v>
      </c>
      <c r="AW5417" s="2">
        <v>10435.8926379312</v>
      </c>
      <c r="AX5417" s="2">
        <v>4521.8630567743403</v>
      </c>
    </row>
    <row r="5418" spans="1:50" x14ac:dyDescent="0.25">
      <c r="A5418" s="2" t="s">
        <v>35396</v>
      </c>
      <c r="B5418" s="2">
        <v>465.16281131672002</v>
      </c>
      <c r="C5418" s="2">
        <v>3.8180333333333301</v>
      </c>
      <c r="D5418" s="2" t="s">
        <v>51</v>
      </c>
      <c r="E5418" s="2" t="s">
        <v>35397</v>
      </c>
      <c r="F5418" s="2">
        <v>35311</v>
      </c>
      <c r="G5418" s="3" t="str">
        <f>HYPERLINK("https://cloud.oebiotech.com/#/lm/network/35311", "https://cloud.oebiotech.com/#/lm/network/35311")</f>
        <v>https://cloud.oebiotech.com/#/lm/network/35311</v>
      </c>
      <c r="H5418" s="2"/>
      <c r="I5418" s="2">
        <v>41163</v>
      </c>
      <c r="J5418" s="2" t="s">
        <v>35398</v>
      </c>
      <c r="K5418" s="2">
        <v>443328</v>
      </c>
      <c r="L5418" s="2" t="s">
        <v>35399</v>
      </c>
      <c r="M5418" s="2"/>
      <c r="N5418" s="2"/>
      <c r="O5418" s="2">
        <v>6365</v>
      </c>
      <c r="P5418" s="2"/>
      <c r="Q5418" s="2"/>
      <c r="R5418" s="2"/>
      <c r="S5418" s="2" t="s">
        <v>35400</v>
      </c>
      <c r="T5418" s="2" t="s">
        <v>35401</v>
      </c>
      <c r="U5418" s="2" t="s">
        <v>56</v>
      </c>
      <c r="V5418" s="2" t="s">
        <v>177</v>
      </c>
      <c r="W5418" s="2" t="s">
        <v>394</v>
      </c>
      <c r="X5418" s="2" t="s">
        <v>59</v>
      </c>
      <c r="Y5418" s="2">
        <v>51.1</v>
      </c>
      <c r="Z5418" s="2">
        <v>67.400000000000006</v>
      </c>
      <c r="AA5418" s="2" t="s">
        <v>218</v>
      </c>
      <c r="AB5418" s="2" t="s">
        <v>35402</v>
      </c>
      <c r="AC5418" s="2">
        <v>3.4432661673501501</v>
      </c>
      <c r="AD5418" s="2"/>
      <c r="AE5418" s="2">
        <v>3.2205205380005202E-2</v>
      </c>
      <c r="AF5418" s="2">
        <v>2887.7869787077002</v>
      </c>
      <c r="AG5418" s="2">
        <v>2312.32435312096</v>
      </c>
      <c r="AH5418" s="5">
        <v>1.24886760579675</v>
      </c>
      <c r="AI5418" s="5">
        <v>0.32062054293111197</v>
      </c>
      <c r="AJ5418" s="5" t="s">
        <v>139</v>
      </c>
      <c r="AK5418" s="2">
        <v>0.75880844290982996</v>
      </c>
      <c r="AL5418" s="2">
        <v>0.89152062866139503</v>
      </c>
      <c r="AM5418" s="2">
        <v>8.559877937157E-6</v>
      </c>
      <c r="AN5418" s="2">
        <v>6192.8564542414497</v>
      </c>
      <c r="AO5418" s="2">
        <v>1993.4554925171401</v>
      </c>
      <c r="AP5418" s="2">
        <v>539.31194086935204</v>
      </c>
      <c r="AQ5418" s="2">
        <v>4391.5487761173099</v>
      </c>
      <c r="AR5418" s="2">
        <v>4209.5491999410497</v>
      </c>
      <c r="AS5418" s="2">
        <v>9707.3368147557194</v>
      </c>
      <c r="AT5418" s="2">
        <v>2117.1541133580399</v>
      </c>
      <c r="AU5418" s="2">
        <v>8.559877937157E-6</v>
      </c>
      <c r="AV5418" s="2">
        <v>8.559877937157E-6</v>
      </c>
      <c r="AW5418" s="2">
        <v>177.68209159358599</v>
      </c>
      <c r="AX5418" s="2">
        <v>1871.7730818986399</v>
      </c>
    </row>
    <row r="5419" spans="1:50" x14ac:dyDescent="0.25">
      <c r="A5419" s="2" t="s">
        <v>35403</v>
      </c>
      <c r="B5419" s="2">
        <v>320.06240390265998</v>
      </c>
      <c r="C5419" s="2">
        <v>1.08968333333333</v>
      </c>
      <c r="D5419" s="2" t="s">
        <v>51</v>
      </c>
      <c r="E5419" s="2" t="s">
        <v>35404</v>
      </c>
      <c r="F5419" s="2">
        <v>52214</v>
      </c>
      <c r="G5419" s="3" t="str">
        <f>HYPERLINK("https://cloud.oebiotech.com/#/lm/network/52214", "https://cloud.oebiotech.com/#/lm/network/52214")</f>
        <v>https://cloud.oebiotech.com/#/lm/network/52214</v>
      </c>
      <c r="H5419" s="2" t="s">
        <v>35405</v>
      </c>
      <c r="I5419" s="2"/>
      <c r="J5419" s="2"/>
      <c r="K5419" s="2">
        <v>21125622</v>
      </c>
      <c r="L5419" s="2"/>
      <c r="M5419" s="2"/>
      <c r="N5419" s="2"/>
      <c r="O5419" s="2"/>
      <c r="P5419" s="2"/>
      <c r="Q5419" s="2"/>
      <c r="R5419" s="2" t="s">
        <v>35406</v>
      </c>
      <c r="S5419" s="2" t="s">
        <v>35407</v>
      </c>
      <c r="T5419" s="2" t="s">
        <v>35408</v>
      </c>
      <c r="U5419" s="2" t="s">
        <v>103</v>
      </c>
      <c r="V5419" s="2" t="s">
        <v>104</v>
      </c>
      <c r="W5419" s="2" t="s">
        <v>105</v>
      </c>
      <c r="X5419" s="2" t="s">
        <v>69</v>
      </c>
      <c r="Y5419" s="2">
        <v>73.599999999999994</v>
      </c>
      <c r="Z5419" s="2">
        <v>93.4</v>
      </c>
      <c r="AA5419" s="2" t="s">
        <v>163</v>
      </c>
      <c r="AB5419" s="2" t="s">
        <v>35409</v>
      </c>
      <c r="AC5419" s="2">
        <v>0.26365999973551502</v>
      </c>
      <c r="AD5419" s="2"/>
      <c r="AE5419" s="2">
        <v>3.2164949139464299E-2</v>
      </c>
      <c r="AF5419" s="2">
        <v>6976.9228124336296</v>
      </c>
      <c r="AG5419" s="2">
        <v>6008.7271923870703</v>
      </c>
      <c r="AH5419" s="5">
        <v>1.1611315656455901</v>
      </c>
      <c r="AI5419" s="5">
        <v>0.21553145054162001</v>
      </c>
      <c r="AJ5419" s="5" t="s">
        <v>139</v>
      </c>
      <c r="AK5419" s="2">
        <v>0.826422760116025</v>
      </c>
      <c r="AL5419" s="2">
        <v>0.92418005779032597</v>
      </c>
      <c r="AM5419" s="2">
        <v>3162.4553375647001</v>
      </c>
      <c r="AN5419" s="2">
        <v>1344.3158001691399</v>
      </c>
      <c r="AO5419" s="2">
        <v>903.67676717652103</v>
      </c>
      <c r="AP5419" s="2">
        <v>2558.5030484841</v>
      </c>
      <c r="AQ5419" s="2">
        <v>14208.52690886</v>
      </c>
      <c r="AR5419" s="2">
        <v>19684.059012347301</v>
      </c>
      <c r="AS5419" s="2">
        <v>1041.21039378609</v>
      </c>
      <c r="AT5419" s="2">
        <v>1852.10323478032</v>
      </c>
      <c r="AU5419" s="2">
        <v>16625.338809086199</v>
      </c>
      <c r="AV5419" s="2">
        <v>12889.503976285099</v>
      </c>
      <c r="AW5419" s="2">
        <v>2661.3650181427702</v>
      </c>
      <c r="AX5419" s="2">
        <v>982.841722241919</v>
      </c>
    </row>
    <row r="5420" spans="1:50" x14ac:dyDescent="0.25">
      <c r="A5420" s="2" t="s">
        <v>35410</v>
      </c>
      <c r="B5420" s="2">
        <v>699.10346484237402</v>
      </c>
      <c r="C5420" s="2">
        <v>0.59993333333333299</v>
      </c>
      <c r="D5420" s="2" t="s">
        <v>51</v>
      </c>
      <c r="E5420" s="2" t="s">
        <v>35411</v>
      </c>
      <c r="F5420" s="2">
        <v>47509</v>
      </c>
      <c r="G5420" s="3" t="str">
        <f>HYPERLINK("https://cloud.oebiotech.com/#/lm/network/47509", "https://cloud.oebiotech.com/#/lm/network/47509")</f>
        <v>https://cloud.oebiotech.com/#/lm/network/47509</v>
      </c>
      <c r="H5420" s="2" t="s">
        <v>35412</v>
      </c>
      <c r="I5420" s="2">
        <v>58036</v>
      </c>
      <c r="J5420" s="2"/>
      <c r="K5420" s="2">
        <v>188326</v>
      </c>
      <c r="L5420" s="2"/>
      <c r="M5420" s="2"/>
      <c r="N5420" s="2"/>
      <c r="O5420" s="2">
        <v>168561</v>
      </c>
      <c r="P5420" s="2"/>
      <c r="Q5420" s="2"/>
      <c r="R5420" s="2" t="s">
        <v>35413</v>
      </c>
      <c r="S5420" s="2" t="s">
        <v>35414</v>
      </c>
      <c r="T5420" s="2" t="s">
        <v>35415</v>
      </c>
      <c r="U5420" s="2" t="s">
        <v>295</v>
      </c>
      <c r="V5420" s="2" t="s">
        <v>35416</v>
      </c>
      <c r="W5420" s="2" t="s">
        <v>35417</v>
      </c>
      <c r="X5420" s="2" t="s">
        <v>147</v>
      </c>
      <c r="Y5420" s="2">
        <v>36.9</v>
      </c>
      <c r="Z5420" s="2">
        <v>0</v>
      </c>
      <c r="AA5420" s="2" t="s">
        <v>95</v>
      </c>
      <c r="AB5420" s="2" t="s">
        <v>35418</v>
      </c>
      <c r="AC5420" s="2">
        <v>-2.0115402127588702</v>
      </c>
      <c r="AD5420" s="2"/>
      <c r="AE5420" s="2">
        <v>3.20539185524229E-2</v>
      </c>
      <c r="AF5420" s="2">
        <v>5897.6703684700497</v>
      </c>
      <c r="AG5420" s="2">
        <v>5792.1179988773702</v>
      </c>
      <c r="AH5420" s="5">
        <v>1.0182234494554701</v>
      </c>
      <c r="AI5420" s="5">
        <v>2.60541960370647E-2</v>
      </c>
      <c r="AJ5420" s="5" t="s">
        <v>139</v>
      </c>
      <c r="AK5420" s="2">
        <v>0.96469066039544304</v>
      </c>
      <c r="AL5420" s="2">
        <v>0.98639647014555798</v>
      </c>
      <c r="AM5420" s="2">
        <v>12173.198012037799</v>
      </c>
      <c r="AN5420" s="2">
        <v>4980.5616189210596</v>
      </c>
      <c r="AO5420" s="2">
        <v>2676.70110446425</v>
      </c>
      <c r="AP5420" s="2">
        <v>7656.3298719149898</v>
      </c>
      <c r="AQ5420" s="2">
        <v>3289.5209459776302</v>
      </c>
      <c r="AR5420" s="2">
        <v>4609.71065750458</v>
      </c>
      <c r="AS5420" s="2">
        <v>8.559877937157E-6</v>
      </c>
      <c r="AT5420" s="2">
        <v>1355.7507903682999</v>
      </c>
      <c r="AU5420" s="2">
        <v>8807.2753202974109</v>
      </c>
      <c r="AV5420" s="2">
        <v>11493.4881962621</v>
      </c>
      <c r="AW5420" s="2">
        <v>5113.6016168513197</v>
      </c>
      <c r="AX5420" s="2">
        <v>7982.5920609251998</v>
      </c>
    </row>
    <row r="5421" spans="1:50" x14ac:dyDescent="0.25">
      <c r="A5421" s="2" t="s">
        <v>35419</v>
      </c>
      <c r="B5421" s="2">
        <v>174.09</v>
      </c>
      <c r="C5421" s="2">
        <v>7.508</v>
      </c>
      <c r="D5421" s="2" t="s">
        <v>125</v>
      </c>
      <c r="E5421" s="2" t="s">
        <v>35420</v>
      </c>
      <c r="F5421" s="2">
        <v>2484</v>
      </c>
      <c r="G5421" s="3" t="str">
        <f>HYPERLINK("https://cloud.oebiotech.com/#/lm/network/2484", "https://cloud.oebiotech.com/#/lm/network/2484")</f>
        <v>https://cloud.oebiotech.com/#/lm/network/2484</v>
      </c>
      <c r="H5421" s="2"/>
      <c r="I5421" s="2">
        <v>35949</v>
      </c>
      <c r="J5421" s="2" t="s">
        <v>35421</v>
      </c>
      <c r="K5421" s="2">
        <v>65098</v>
      </c>
      <c r="L5421" s="2" t="s">
        <v>35422</v>
      </c>
      <c r="M5421" s="2"/>
      <c r="N5421" s="2"/>
      <c r="O5421" s="2">
        <v>18314</v>
      </c>
      <c r="P5421" s="2"/>
      <c r="Q5421" s="2"/>
      <c r="R5421" s="2"/>
      <c r="S5421" s="2" t="s">
        <v>35423</v>
      </c>
      <c r="T5421" s="2" t="s">
        <v>35424</v>
      </c>
      <c r="U5421" s="2" t="s">
        <v>103</v>
      </c>
      <c r="V5421" s="2" t="s">
        <v>104</v>
      </c>
      <c r="W5421" s="2" t="s">
        <v>105</v>
      </c>
      <c r="X5421" s="2" t="s">
        <v>59</v>
      </c>
      <c r="Y5421" s="2">
        <v>75.099999999999994</v>
      </c>
      <c r="Z5421" s="2">
        <v>58.7</v>
      </c>
      <c r="AA5421" s="2"/>
      <c r="AB5421" s="2" t="s">
        <v>2899</v>
      </c>
      <c r="AC5421" s="2"/>
      <c r="AD5421" s="2">
        <v>248876.965026675</v>
      </c>
      <c r="AE5421" s="2">
        <v>3.2027963794184898E-2</v>
      </c>
      <c r="AF5421" s="2">
        <v>128806.423039581</v>
      </c>
      <c r="AG5421" s="2">
        <v>128570.111780844</v>
      </c>
      <c r="AH5421" s="5">
        <v>1.0018379952810501</v>
      </c>
      <c r="AI5421" s="5">
        <v>2.6492327835941701E-3</v>
      </c>
      <c r="AJ5421" s="5" t="s">
        <v>139</v>
      </c>
      <c r="AK5421" s="2">
        <v>0.93431385658931598</v>
      </c>
      <c r="AL5421" s="2">
        <v>0.97206808620631502</v>
      </c>
      <c r="AM5421" s="2">
        <v>131654.59326501199</v>
      </c>
      <c r="AN5421" s="2">
        <v>126836.76282953699</v>
      </c>
      <c r="AO5421" s="2">
        <v>125413.33519575201</v>
      </c>
      <c r="AP5421" s="2">
        <v>130456.615210559</v>
      </c>
      <c r="AQ5421" s="2">
        <v>129744.966265824</v>
      </c>
      <c r="AR5421" s="2">
        <v>128732.26547080401</v>
      </c>
      <c r="AS5421" s="2">
        <v>128228.01359865601</v>
      </c>
      <c r="AT5421" s="2">
        <v>135930.89554178499</v>
      </c>
      <c r="AU5421" s="2">
        <v>137059.12323385201</v>
      </c>
      <c r="AV5421" s="2">
        <v>122906.68984498399</v>
      </c>
      <c r="AW5421" s="2">
        <v>123133.28611071099</v>
      </c>
      <c r="AX5421" s="2">
        <v>124162.662355077</v>
      </c>
    </row>
    <row r="5422" spans="1:50" x14ac:dyDescent="0.25">
      <c r="A5422" s="2" t="s">
        <v>35425</v>
      </c>
      <c r="B5422" s="2">
        <v>399.11540820661099</v>
      </c>
      <c r="C5422" s="2">
        <v>4.0747666666666698</v>
      </c>
      <c r="D5422" s="2" t="s">
        <v>51</v>
      </c>
      <c r="E5422" s="2" t="s">
        <v>35426</v>
      </c>
      <c r="F5422" s="2">
        <v>202035</v>
      </c>
      <c r="G5422" s="3" t="str">
        <f>HYPERLINK("https://cloud.oebiotech.com/#/lm/network/202035", "https://cloud.oebiotech.com/#/lm/network/202035")</f>
        <v>https://cloud.oebiotech.com/#/lm/network/202035</v>
      </c>
      <c r="H5422" s="2" t="s">
        <v>35427</v>
      </c>
      <c r="I5422" s="2"/>
      <c r="J5422" s="2"/>
      <c r="K5422" s="2">
        <v>11816486</v>
      </c>
      <c r="L5422" s="2"/>
      <c r="M5422" s="2"/>
      <c r="N5422" s="2"/>
      <c r="O5422" s="2"/>
      <c r="P5422" s="2"/>
      <c r="Q5422" s="2"/>
      <c r="R5422" s="2"/>
      <c r="S5422" s="2" t="s">
        <v>35428</v>
      </c>
      <c r="T5422" s="2" t="s">
        <v>35429</v>
      </c>
      <c r="U5422" s="2" t="s">
        <v>266</v>
      </c>
      <c r="V5422" s="2" t="s">
        <v>3926</v>
      </c>
      <c r="W5422" s="2" t="s">
        <v>4115</v>
      </c>
      <c r="X5422" s="2" t="s">
        <v>147</v>
      </c>
      <c r="Y5422" s="2">
        <v>37.9</v>
      </c>
      <c r="Z5422" s="2">
        <v>0</v>
      </c>
      <c r="AA5422" s="2" t="s">
        <v>478</v>
      </c>
      <c r="AB5422" s="2" t="s">
        <v>35430</v>
      </c>
      <c r="AC5422" s="2">
        <v>-3.0306325549012101</v>
      </c>
      <c r="AD5422" s="2"/>
      <c r="AE5422" s="2">
        <v>3.1875413617510402E-2</v>
      </c>
      <c r="AF5422" s="2">
        <v>944.45975317115403</v>
      </c>
      <c r="AG5422" s="2">
        <v>824.61559123898803</v>
      </c>
      <c r="AH5422" s="5">
        <v>1.14533336891205</v>
      </c>
      <c r="AI5422" s="5">
        <v>0.195767580571205</v>
      </c>
      <c r="AJ5422" s="5" t="s">
        <v>139</v>
      </c>
      <c r="AK5422" s="2">
        <v>0.79557677634892399</v>
      </c>
      <c r="AL5422" s="2">
        <v>0.90954932814260703</v>
      </c>
      <c r="AM5422" s="2">
        <v>460.42181957506</v>
      </c>
      <c r="AN5422" s="2">
        <v>800.08941219853102</v>
      </c>
      <c r="AO5422" s="2">
        <v>398.09910698174298</v>
      </c>
      <c r="AP5422" s="2">
        <v>597.84301085773302</v>
      </c>
      <c r="AQ5422" s="2">
        <v>791.771208328027</v>
      </c>
      <c r="AR5422" s="2">
        <v>2618.53396108583</v>
      </c>
      <c r="AS5422" s="2">
        <v>163.343682144101</v>
      </c>
      <c r="AT5422" s="2">
        <v>1390.62417399735</v>
      </c>
      <c r="AU5422" s="2">
        <v>1952.0881739238</v>
      </c>
      <c r="AV5422" s="2">
        <v>113.813546326173</v>
      </c>
      <c r="AW5422" s="2">
        <v>653.095619308756</v>
      </c>
      <c r="AX5422" s="2">
        <v>674.72835173374597</v>
      </c>
    </row>
    <row r="5423" spans="1:50" x14ac:dyDescent="0.25">
      <c r="A5423" s="2" t="s">
        <v>35431</v>
      </c>
      <c r="B5423" s="2">
        <v>425.32750982541</v>
      </c>
      <c r="C5423" s="2">
        <v>11.769866666666699</v>
      </c>
      <c r="D5423" s="2" t="s">
        <v>51</v>
      </c>
      <c r="E5423" s="2" t="s">
        <v>35432</v>
      </c>
      <c r="F5423" s="2">
        <v>10328</v>
      </c>
      <c r="G5423" s="3" t="str">
        <f>HYPERLINK("https://cloud.oebiotech.com/#/lm/network/10328", "https://cloud.oebiotech.com/#/lm/network/10328")</f>
        <v>https://cloud.oebiotech.com/#/lm/network/10328</v>
      </c>
      <c r="H5423" s="2"/>
      <c r="I5423" s="2"/>
      <c r="J5423" s="2" t="s">
        <v>35433</v>
      </c>
      <c r="K5423" s="2">
        <v>86289794</v>
      </c>
      <c r="L5423" s="2"/>
      <c r="M5423" s="2"/>
      <c r="N5423" s="2"/>
      <c r="O5423" s="2">
        <v>79156</v>
      </c>
      <c r="P5423" s="2"/>
      <c r="Q5423" s="2"/>
      <c r="R5423" s="2"/>
      <c r="S5423" s="2" t="s">
        <v>35434</v>
      </c>
      <c r="T5423" s="2" t="s">
        <v>35435</v>
      </c>
      <c r="U5423" s="2" t="s">
        <v>56</v>
      </c>
      <c r="V5423" s="2" t="s">
        <v>145</v>
      </c>
      <c r="W5423" s="2" t="s">
        <v>231</v>
      </c>
      <c r="X5423" s="2" t="s">
        <v>83</v>
      </c>
      <c r="Y5423" s="2">
        <v>49.6</v>
      </c>
      <c r="Z5423" s="2">
        <v>0</v>
      </c>
      <c r="AA5423" s="2" t="s">
        <v>379</v>
      </c>
      <c r="AB5423" s="2" t="s">
        <v>35436</v>
      </c>
      <c r="AC5423" s="2">
        <v>0.58893120845400604</v>
      </c>
      <c r="AD5423" s="2"/>
      <c r="AE5423" s="2">
        <v>3.1665619180693702E-2</v>
      </c>
      <c r="AF5423" s="2">
        <v>4208.7718107372302</v>
      </c>
      <c r="AG5423" s="2">
        <v>3705.99886140545</v>
      </c>
      <c r="AH5423" s="5">
        <v>1.13566462595758</v>
      </c>
      <c r="AI5423" s="5">
        <v>0.18353685429438399</v>
      </c>
      <c r="AJ5423" s="5" t="s">
        <v>139</v>
      </c>
      <c r="AK5423" s="2">
        <v>0.71860443475899305</v>
      </c>
      <c r="AL5423" s="2">
        <v>0.86908831313182799</v>
      </c>
      <c r="AM5423" s="2">
        <v>4254.9152846139204</v>
      </c>
      <c r="AN5423" s="2">
        <v>2417.37432347922</v>
      </c>
      <c r="AO5423" s="2">
        <v>3547.3147345338998</v>
      </c>
      <c r="AP5423" s="2">
        <v>4272.52826232598</v>
      </c>
      <c r="AQ5423" s="2">
        <v>7372.3908516509</v>
      </c>
      <c r="AR5423" s="2">
        <v>3388.1074078194802</v>
      </c>
      <c r="AS5423" s="2">
        <v>8468.5628353153206</v>
      </c>
      <c r="AT5423" s="2">
        <v>4006.3532083427399</v>
      </c>
      <c r="AU5423" s="2">
        <v>1409.3088278652299</v>
      </c>
      <c r="AV5423" s="2">
        <v>445.03444060306799</v>
      </c>
      <c r="AW5423" s="2">
        <v>4966.1689788905996</v>
      </c>
      <c r="AX5423" s="2">
        <v>2940.5648774157398</v>
      </c>
    </row>
    <row r="5424" spans="1:50" x14ac:dyDescent="0.25">
      <c r="A5424" s="2" t="s">
        <v>35437</v>
      </c>
      <c r="B5424" s="2">
        <v>225.19690699863</v>
      </c>
      <c r="C5424" s="2">
        <v>8.3758833333333307</v>
      </c>
      <c r="D5424" s="2" t="s">
        <v>51</v>
      </c>
      <c r="E5424" s="2" t="s">
        <v>35438</v>
      </c>
      <c r="F5424" s="2">
        <v>199690</v>
      </c>
      <c r="G5424" s="3" t="str">
        <f>HYPERLINK("https://cloud.oebiotech.com/#/lm/network/199690", "https://cloud.oebiotech.com/#/lm/network/199690")</f>
        <v>https://cloud.oebiotech.com/#/lm/network/199690</v>
      </c>
      <c r="H5424" s="2" t="s">
        <v>35439</v>
      </c>
      <c r="I5424" s="2">
        <v>34503</v>
      </c>
      <c r="J5424" s="2"/>
      <c r="K5424" s="2">
        <v>4277</v>
      </c>
      <c r="L5424" s="2"/>
      <c r="M5424" s="2"/>
      <c r="N5424" s="2"/>
      <c r="O5424" s="2"/>
      <c r="P5424" s="2"/>
      <c r="Q5424" s="2"/>
      <c r="R5424" s="2" t="s">
        <v>35440</v>
      </c>
      <c r="S5424" s="2" t="s">
        <v>35441</v>
      </c>
      <c r="T5424" s="2" t="s">
        <v>35442</v>
      </c>
      <c r="U5424" s="2" t="s">
        <v>103</v>
      </c>
      <c r="V5424" s="2" t="s">
        <v>136</v>
      </c>
      <c r="W5424" s="2" t="s">
        <v>137</v>
      </c>
      <c r="X5424" s="2" t="s">
        <v>147</v>
      </c>
      <c r="Y5424" s="2">
        <v>40.5</v>
      </c>
      <c r="Z5424" s="2">
        <v>10.6</v>
      </c>
      <c r="AA5424" s="2" t="s">
        <v>259</v>
      </c>
      <c r="AB5424" s="2" t="s">
        <v>35443</v>
      </c>
      <c r="AC5424" s="2">
        <v>3.42197100477452</v>
      </c>
      <c r="AD5424" s="2"/>
      <c r="AE5424" s="2">
        <v>3.1596967468915299E-2</v>
      </c>
      <c r="AF5424" s="2">
        <v>662.91828319301806</v>
      </c>
      <c r="AG5424" s="2">
        <v>745.64445381679002</v>
      </c>
      <c r="AH5424" s="4">
        <v>0.88905413270317402</v>
      </c>
      <c r="AI5424" s="4">
        <v>-0.16965683038261301</v>
      </c>
      <c r="AJ5424" s="4" t="s">
        <v>62</v>
      </c>
      <c r="AK5424" s="2">
        <v>0.40118289740292901</v>
      </c>
      <c r="AL5424" s="2">
        <v>0.66938545851599895</v>
      </c>
      <c r="AM5424" s="2">
        <v>616.47278488269501</v>
      </c>
      <c r="AN5424" s="2">
        <v>504.455013850027</v>
      </c>
      <c r="AO5424" s="2">
        <v>827.17915153521301</v>
      </c>
      <c r="AP5424" s="2">
        <v>523.42341019719402</v>
      </c>
      <c r="AQ5424" s="2">
        <v>722.15669644220202</v>
      </c>
      <c r="AR5424" s="2">
        <v>783.82264225077802</v>
      </c>
      <c r="AS5424" s="2">
        <v>845.30724928875702</v>
      </c>
      <c r="AT5424" s="2">
        <v>806.84038921945</v>
      </c>
      <c r="AU5424" s="2">
        <v>804.43419882379305</v>
      </c>
      <c r="AV5424" s="2">
        <v>706.63364928548697</v>
      </c>
      <c r="AW5424" s="2">
        <v>390.49564403790498</v>
      </c>
      <c r="AX5424" s="2">
        <v>920.155592245349</v>
      </c>
    </row>
    <row r="5425" spans="1:50" x14ac:dyDescent="0.25">
      <c r="A5425" s="2" t="s">
        <v>35444</v>
      </c>
      <c r="B5425" s="2">
        <v>615.46091794562403</v>
      </c>
      <c r="C5425" s="2">
        <v>14.465633333333299</v>
      </c>
      <c r="D5425" s="2" t="s">
        <v>51</v>
      </c>
      <c r="E5425" s="2" t="s">
        <v>35445</v>
      </c>
      <c r="F5425" s="2">
        <v>209656</v>
      </c>
      <c r="G5425" s="3" t="str">
        <f>HYPERLINK("https://cloud.oebiotech.com/#/lm/network/209656", "https://cloud.oebiotech.com/#/lm/network/209656")</f>
        <v>https://cloud.oebiotech.com/#/lm/network/209656</v>
      </c>
      <c r="H5425" s="2" t="s">
        <v>35446</v>
      </c>
      <c r="I5425" s="2">
        <v>332346</v>
      </c>
      <c r="J5425" s="2"/>
      <c r="K5425" s="2">
        <v>24773</v>
      </c>
      <c r="L5425" s="2"/>
      <c r="M5425" s="2"/>
      <c r="N5425" s="2"/>
      <c r="O5425" s="2"/>
      <c r="P5425" s="2"/>
      <c r="Q5425" s="2"/>
      <c r="R5425" s="2"/>
      <c r="S5425" s="2" t="s">
        <v>35447</v>
      </c>
      <c r="T5425" s="2" t="s">
        <v>35448</v>
      </c>
      <c r="U5425" s="2" t="s">
        <v>610</v>
      </c>
      <c r="V5425" s="2" t="s">
        <v>4556</v>
      </c>
      <c r="W5425" s="2" t="s">
        <v>240</v>
      </c>
      <c r="X5425" s="2" t="s">
        <v>147</v>
      </c>
      <c r="Y5425" s="2">
        <v>37</v>
      </c>
      <c r="Z5425" s="2">
        <v>0</v>
      </c>
      <c r="AA5425" s="2" t="s">
        <v>478</v>
      </c>
      <c r="AB5425" s="2" t="s">
        <v>33133</v>
      </c>
      <c r="AC5425" s="2">
        <v>-3.3990157359364899</v>
      </c>
      <c r="AD5425" s="2"/>
      <c r="AE5425" s="2">
        <v>3.1559135831547999E-2</v>
      </c>
      <c r="AF5425" s="2">
        <v>55088.928428680403</v>
      </c>
      <c r="AG5425" s="2">
        <v>53276.353758957302</v>
      </c>
      <c r="AH5425" s="5">
        <v>1.03402212317164</v>
      </c>
      <c r="AI5425" s="5">
        <v>4.8267052817812101E-2</v>
      </c>
      <c r="AJ5425" s="5" t="s">
        <v>139</v>
      </c>
      <c r="AK5425" s="2">
        <v>0.89326462443000598</v>
      </c>
      <c r="AL5425" s="2">
        <v>0.95462268632708103</v>
      </c>
      <c r="AM5425" s="2">
        <v>16417.485878089101</v>
      </c>
      <c r="AN5425" s="2">
        <v>54032.938091185599</v>
      </c>
      <c r="AO5425" s="2">
        <v>75272.869482734095</v>
      </c>
      <c r="AP5425" s="2">
        <v>59146.832769173103</v>
      </c>
      <c r="AQ5425" s="2">
        <v>73411.196689811302</v>
      </c>
      <c r="AR5425" s="2">
        <v>52252.247661088899</v>
      </c>
      <c r="AS5425" s="2">
        <v>20993.848999305599</v>
      </c>
      <c r="AT5425" s="2">
        <v>75772.724933340694</v>
      </c>
      <c r="AU5425" s="2">
        <v>29769.953003400999</v>
      </c>
      <c r="AV5425" s="2">
        <v>46723.143383794202</v>
      </c>
      <c r="AW5425" s="2">
        <v>74095.812534086595</v>
      </c>
      <c r="AX5425" s="2">
        <v>72302.639699815802</v>
      </c>
    </row>
    <row r="5426" spans="1:50" x14ac:dyDescent="0.25">
      <c r="A5426" s="2" t="s">
        <v>35449</v>
      </c>
      <c r="B5426" s="2">
        <v>536.29986348377201</v>
      </c>
      <c r="C5426" s="2">
        <v>9.6033833333333298</v>
      </c>
      <c r="D5426" s="2" t="s">
        <v>51</v>
      </c>
      <c r="E5426" s="2" t="s">
        <v>35450</v>
      </c>
      <c r="F5426" s="2">
        <v>22449</v>
      </c>
      <c r="G5426" s="3" t="str">
        <f>HYPERLINK("https://cloud.oebiotech.com/#/lm/network/22449", "https://cloud.oebiotech.com/#/lm/network/22449")</f>
        <v>https://cloud.oebiotech.com/#/lm/network/22449</v>
      </c>
      <c r="H5426" s="2"/>
      <c r="I5426" s="2">
        <v>78846</v>
      </c>
      <c r="J5426" s="2" t="s">
        <v>35451</v>
      </c>
      <c r="K5426" s="2">
        <v>52926287</v>
      </c>
      <c r="L5426" s="2"/>
      <c r="M5426" s="2"/>
      <c r="N5426" s="2"/>
      <c r="O5426" s="2"/>
      <c r="P5426" s="2"/>
      <c r="Q5426" s="2"/>
      <c r="R5426" s="2"/>
      <c r="S5426" s="2" t="s">
        <v>35452</v>
      </c>
      <c r="T5426" s="2" t="s">
        <v>35453</v>
      </c>
      <c r="U5426" s="2" t="s">
        <v>56</v>
      </c>
      <c r="V5426" s="2" t="s">
        <v>57</v>
      </c>
      <c r="W5426" s="2" t="s">
        <v>82</v>
      </c>
      <c r="X5426" s="2" t="s">
        <v>147</v>
      </c>
      <c r="Y5426" s="2">
        <v>38</v>
      </c>
      <c r="Z5426" s="2">
        <v>0</v>
      </c>
      <c r="AA5426" s="2" t="s">
        <v>163</v>
      </c>
      <c r="AB5426" s="2" t="s">
        <v>20519</v>
      </c>
      <c r="AC5426" s="2">
        <v>0.87690252068444097</v>
      </c>
      <c r="AD5426" s="2"/>
      <c r="AE5426" s="2">
        <v>3.1467747610589999E-2</v>
      </c>
      <c r="AF5426" s="2">
        <v>1920.7679035821</v>
      </c>
      <c r="AG5426" s="2">
        <v>1947.7589528749199</v>
      </c>
      <c r="AH5426" s="4">
        <v>0.98614251047185297</v>
      </c>
      <c r="AI5426" s="4">
        <v>-2.0131944942978101E-2</v>
      </c>
      <c r="AJ5426" s="4" t="s">
        <v>62</v>
      </c>
      <c r="AK5426" s="2">
        <v>0.98002724387990903</v>
      </c>
      <c r="AL5426" s="2">
        <v>0.99157642038675697</v>
      </c>
      <c r="AM5426" s="2">
        <v>557.97634664286204</v>
      </c>
      <c r="AN5426" s="2">
        <v>3313.3802799229302</v>
      </c>
      <c r="AO5426" s="2">
        <v>2632.5440205733098</v>
      </c>
      <c r="AP5426" s="2">
        <v>1514.2343329386499</v>
      </c>
      <c r="AQ5426" s="2">
        <v>878.26621781200402</v>
      </c>
      <c r="AR5426" s="2">
        <v>2628.2062236028601</v>
      </c>
      <c r="AS5426" s="2">
        <v>493.86915572243203</v>
      </c>
      <c r="AT5426" s="2">
        <v>455.45929586991701</v>
      </c>
      <c r="AU5426" s="2">
        <v>915.28662526371704</v>
      </c>
      <c r="AV5426" s="2">
        <v>6583.1031238737596</v>
      </c>
      <c r="AW5426" s="2">
        <v>1555.4261899086</v>
      </c>
      <c r="AX5426" s="2">
        <v>1683.4093266110999</v>
      </c>
    </row>
    <row r="5427" spans="1:50" x14ac:dyDescent="0.25">
      <c r="A5427" s="2" t="s">
        <v>35454</v>
      </c>
      <c r="B5427" s="2">
        <v>370.29630144547099</v>
      </c>
      <c r="C5427" s="2">
        <v>12.586399999999999</v>
      </c>
      <c r="D5427" s="2" t="s">
        <v>51</v>
      </c>
      <c r="E5427" s="2" t="s">
        <v>35455</v>
      </c>
      <c r="F5427" s="2">
        <v>202820</v>
      </c>
      <c r="G5427" s="3" t="str">
        <f>HYPERLINK("https://cloud.oebiotech.com/#/lm/network/202820", "https://cloud.oebiotech.com/#/lm/network/202820")</f>
        <v>https://cloud.oebiotech.com/#/lm/network/202820</v>
      </c>
      <c r="H5427" s="2" t="s">
        <v>35456</v>
      </c>
      <c r="I5427" s="2"/>
      <c r="J5427" s="2"/>
      <c r="K5427" s="2">
        <v>4383</v>
      </c>
      <c r="L5427" s="2"/>
      <c r="M5427" s="2"/>
      <c r="N5427" s="2"/>
      <c r="O5427" s="2"/>
      <c r="P5427" s="2"/>
      <c r="Q5427" s="2"/>
      <c r="R5427" s="2"/>
      <c r="S5427" s="2" t="s">
        <v>35457</v>
      </c>
      <c r="T5427" s="2" t="s">
        <v>35458</v>
      </c>
      <c r="U5427" s="2" t="s">
        <v>119</v>
      </c>
      <c r="V5427" s="2" t="s">
        <v>120</v>
      </c>
      <c r="W5427" s="2" t="s">
        <v>1887</v>
      </c>
      <c r="X5427" s="2" t="s">
        <v>147</v>
      </c>
      <c r="Y5427" s="2">
        <v>45.1</v>
      </c>
      <c r="Z5427" s="2">
        <v>33.6</v>
      </c>
      <c r="AA5427" s="2" t="s">
        <v>218</v>
      </c>
      <c r="AB5427" s="2" t="s">
        <v>7500</v>
      </c>
      <c r="AC5427" s="2">
        <v>5.8656419830131798E-2</v>
      </c>
      <c r="AD5427" s="2"/>
      <c r="AE5427" s="2">
        <v>3.1373041781605701E-2</v>
      </c>
      <c r="AF5427" s="2">
        <v>5982.7323563396403</v>
      </c>
      <c r="AG5427" s="2">
        <v>6460.1181348194896</v>
      </c>
      <c r="AH5427" s="4">
        <v>0.92610262405159705</v>
      </c>
      <c r="AI5427" s="4">
        <v>-0.11075602342474</v>
      </c>
      <c r="AJ5427" s="4" t="s">
        <v>62</v>
      </c>
      <c r="AK5427" s="2">
        <v>0.80561859750093101</v>
      </c>
      <c r="AL5427" s="2">
        <v>0.91260400941862796</v>
      </c>
      <c r="AM5427" s="2">
        <v>9097.7471997064695</v>
      </c>
      <c r="AN5427" s="2">
        <v>8793.7326994261894</v>
      </c>
      <c r="AO5427" s="2">
        <v>3986.5102419457698</v>
      </c>
      <c r="AP5427" s="2">
        <v>4764.7374388525805</v>
      </c>
      <c r="AQ5427" s="2">
        <v>4986.0500659392801</v>
      </c>
      <c r="AR5427" s="2">
        <v>4267.6164921675299</v>
      </c>
      <c r="AS5427" s="2">
        <v>2478.9285410103098</v>
      </c>
      <c r="AT5427" s="2">
        <v>1600.31295182945</v>
      </c>
      <c r="AU5427" s="2">
        <v>6997.2609372711504</v>
      </c>
      <c r="AV5427" s="2">
        <v>6199.8002563733498</v>
      </c>
      <c r="AW5427" s="2">
        <v>9407.8923549280498</v>
      </c>
      <c r="AX5427" s="2">
        <v>12076.513767504601</v>
      </c>
    </row>
    <row r="5428" spans="1:50" x14ac:dyDescent="0.25">
      <c r="A5428" s="2" t="s">
        <v>35459</v>
      </c>
      <c r="B5428" s="2">
        <v>354.203634738517</v>
      </c>
      <c r="C5428" s="2">
        <v>5.1680666666666699</v>
      </c>
      <c r="D5428" s="2" t="s">
        <v>51</v>
      </c>
      <c r="E5428" s="2" t="s">
        <v>35460</v>
      </c>
      <c r="F5428" s="2">
        <v>8867</v>
      </c>
      <c r="G5428" s="3" t="str">
        <f>HYPERLINK("https://cloud.oebiotech.com/#/lm/network/8867", "https://cloud.oebiotech.com/#/lm/network/8867")</f>
        <v>https://cloud.oebiotech.com/#/lm/network/8867</v>
      </c>
      <c r="H5428" s="2"/>
      <c r="I5428" s="2"/>
      <c r="J5428" s="2" t="s">
        <v>35461</v>
      </c>
      <c r="K5428" s="2">
        <v>22804201</v>
      </c>
      <c r="L5428" s="2"/>
      <c r="M5428" s="2"/>
      <c r="N5428" s="2"/>
      <c r="O5428" s="2"/>
      <c r="P5428" s="2"/>
      <c r="Q5428" s="2"/>
      <c r="R5428" s="2"/>
      <c r="S5428" s="2" t="s">
        <v>35462</v>
      </c>
      <c r="T5428" s="2" t="s">
        <v>35463</v>
      </c>
      <c r="U5428" s="2" t="s">
        <v>103</v>
      </c>
      <c r="V5428" s="2" t="s">
        <v>104</v>
      </c>
      <c r="W5428" s="2" t="s">
        <v>105</v>
      </c>
      <c r="X5428" s="2" t="s">
        <v>147</v>
      </c>
      <c r="Y5428" s="2">
        <v>38.299999999999997</v>
      </c>
      <c r="Z5428" s="2">
        <v>0</v>
      </c>
      <c r="AA5428" s="2" t="s">
        <v>218</v>
      </c>
      <c r="AB5428" s="2" t="s">
        <v>35464</v>
      </c>
      <c r="AC5428" s="2">
        <v>0.61489755448513805</v>
      </c>
      <c r="AD5428" s="2"/>
      <c r="AE5428" s="2">
        <v>3.1346209524993597E-2</v>
      </c>
      <c r="AF5428" s="2">
        <v>488.04774854909198</v>
      </c>
      <c r="AG5428" s="2">
        <v>437.60976028315503</v>
      </c>
      <c r="AH5428" s="5">
        <v>1.1152579143420001</v>
      </c>
      <c r="AI5428" s="5">
        <v>0.15737738612219199</v>
      </c>
      <c r="AJ5428" s="5" t="s">
        <v>139</v>
      </c>
      <c r="AK5428" s="2">
        <v>0.86832934252940497</v>
      </c>
      <c r="AL5428" s="2">
        <v>0.94280748108944301</v>
      </c>
      <c r="AM5428" s="2">
        <v>397.19419086726799</v>
      </c>
      <c r="AN5428" s="2">
        <v>8.559877937157E-6</v>
      </c>
      <c r="AO5428" s="2">
        <v>1311.32086104055</v>
      </c>
      <c r="AP5428" s="2">
        <v>735.61692276505596</v>
      </c>
      <c r="AQ5428" s="2">
        <v>249.621596661637</v>
      </c>
      <c r="AR5428" s="2">
        <v>234.53291140016501</v>
      </c>
      <c r="AS5428" s="2">
        <v>8.559877937157E-6</v>
      </c>
      <c r="AT5428" s="2">
        <v>870.11896506737298</v>
      </c>
      <c r="AU5428" s="2">
        <v>1368.1091330095101</v>
      </c>
      <c r="AV5428" s="2">
        <v>109.27987686259701</v>
      </c>
      <c r="AW5428" s="2">
        <v>118.129239911439</v>
      </c>
      <c r="AX5428" s="2">
        <v>160.02133828813001</v>
      </c>
    </row>
    <row r="5429" spans="1:50" x14ac:dyDescent="0.25">
      <c r="A5429" s="2" t="s">
        <v>35465</v>
      </c>
      <c r="B5429" s="2">
        <v>306.13052390652399</v>
      </c>
      <c r="C5429" s="2">
        <v>0.71519999999999995</v>
      </c>
      <c r="D5429" s="2" t="s">
        <v>51</v>
      </c>
      <c r="E5429" s="2" t="s">
        <v>35466</v>
      </c>
      <c r="F5429" s="2">
        <v>262382</v>
      </c>
      <c r="G5429" s="3" t="str">
        <f>HYPERLINK("https://cloud.oebiotech.com/#/lm/network/262382", "https://cloud.oebiotech.com/#/lm/network/262382")</f>
        <v>https://cloud.oebiotech.com/#/lm/network/262382</v>
      </c>
      <c r="H5429" s="2"/>
      <c r="I5429" s="2">
        <v>19741</v>
      </c>
      <c r="J5429" s="2"/>
      <c r="K5429" s="2">
        <v>145453543</v>
      </c>
      <c r="L5429" s="2"/>
      <c r="M5429" s="2"/>
      <c r="N5429" s="2"/>
      <c r="O5429" s="2"/>
      <c r="P5429" s="2"/>
      <c r="Q5429" s="2"/>
      <c r="R5429" s="2"/>
      <c r="S5429" s="2" t="s">
        <v>35467</v>
      </c>
      <c r="T5429" s="2" t="s">
        <v>35468</v>
      </c>
      <c r="U5429" s="2" t="s">
        <v>103</v>
      </c>
      <c r="V5429" s="2" t="s">
        <v>1372</v>
      </c>
      <c r="W5429" s="2" t="s">
        <v>1373</v>
      </c>
      <c r="X5429" s="2" t="s">
        <v>83</v>
      </c>
      <c r="Y5429" s="2">
        <v>38.200000000000003</v>
      </c>
      <c r="Z5429" s="2">
        <v>0</v>
      </c>
      <c r="AA5429" s="2" t="s">
        <v>259</v>
      </c>
      <c r="AB5429" s="2" t="s">
        <v>35469</v>
      </c>
      <c r="AC5429" s="2">
        <v>3.1053576667665301</v>
      </c>
      <c r="AD5429" s="2"/>
      <c r="AE5429" s="2">
        <v>3.12932676632229E-2</v>
      </c>
      <c r="AF5429" s="2">
        <v>1280.0923343470299</v>
      </c>
      <c r="AG5429" s="2">
        <v>1592.35343892379</v>
      </c>
      <c r="AH5429" s="4">
        <v>0.803899626211247</v>
      </c>
      <c r="AI5429" s="4">
        <v>-0.314912715133909</v>
      </c>
      <c r="AJ5429" s="4" t="s">
        <v>62</v>
      </c>
      <c r="AK5429" s="2">
        <v>0.80550431363122499</v>
      </c>
      <c r="AL5429" s="2">
        <v>0.91260400941862796</v>
      </c>
      <c r="AM5429" s="2">
        <v>3215.63912265515</v>
      </c>
      <c r="AN5429" s="2">
        <v>597.57966080044002</v>
      </c>
      <c r="AO5429" s="2">
        <v>403.47716676716101</v>
      </c>
      <c r="AP5429" s="2">
        <v>313.88795444949898</v>
      </c>
      <c r="AQ5429" s="2">
        <v>2022.1778270662701</v>
      </c>
      <c r="AR5429" s="2">
        <v>1127.79227434366</v>
      </c>
      <c r="AS5429" s="2">
        <v>8.559877937157E-6</v>
      </c>
      <c r="AT5429" s="2">
        <v>8.559877937157E-6</v>
      </c>
      <c r="AU5429" s="2">
        <v>2109.5860153325998</v>
      </c>
      <c r="AV5429" s="2">
        <v>7062.7807553811799</v>
      </c>
      <c r="AW5429" s="2">
        <v>8.559877937157E-6</v>
      </c>
      <c r="AX5429" s="2">
        <v>381.75383714933901</v>
      </c>
    </row>
    <row r="5430" spans="1:50" x14ac:dyDescent="0.25">
      <c r="A5430" s="2" t="s">
        <v>35470</v>
      </c>
      <c r="B5430" s="2">
        <v>143.03391316415599</v>
      </c>
      <c r="C5430" s="2">
        <v>0.76093333333333302</v>
      </c>
      <c r="D5430" s="2" t="s">
        <v>51</v>
      </c>
      <c r="E5430" s="2" t="s">
        <v>35471</v>
      </c>
      <c r="F5430" s="2">
        <v>200919</v>
      </c>
      <c r="G5430" s="3" t="str">
        <f>HYPERLINK("https://cloud.oebiotech.com/#/lm/network/200919", "https://cloud.oebiotech.com/#/lm/network/200919")</f>
        <v>https://cloud.oebiotech.com/#/lm/network/200919</v>
      </c>
      <c r="H5430" s="2" t="s">
        <v>35472</v>
      </c>
      <c r="I5430" s="2"/>
      <c r="J5430" s="2"/>
      <c r="K5430" s="2">
        <v>4243512</v>
      </c>
      <c r="L5430" s="2"/>
      <c r="M5430" s="2"/>
      <c r="N5430" s="2"/>
      <c r="O5430" s="2"/>
      <c r="P5430" s="2"/>
      <c r="Q5430" s="2"/>
      <c r="R5430" s="2"/>
      <c r="S5430" s="2" t="s">
        <v>35473</v>
      </c>
      <c r="T5430" s="2" t="s">
        <v>35474</v>
      </c>
      <c r="U5430" s="2" t="s">
        <v>331</v>
      </c>
      <c r="V5430" s="2" t="s">
        <v>332</v>
      </c>
      <c r="W5430" s="2" t="s">
        <v>333</v>
      </c>
      <c r="X5430" s="2" t="s">
        <v>83</v>
      </c>
      <c r="Y5430" s="2">
        <v>41.3</v>
      </c>
      <c r="Z5430" s="2">
        <v>0</v>
      </c>
      <c r="AA5430" s="2" t="s">
        <v>379</v>
      </c>
      <c r="AB5430" s="2" t="s">
        <v>6564</v>
      </c>
      <c r="AC5430" s="2">
        <v>-6.5974434859909401</v>
      </c>
      <c r="AD5430" s="2"/>
      <c r="AE5430" s="2">
        <v>3.1284453626994203E-2</v>
      </c>
      <c r="AF5430" s="2">
        <v>198.51717711349701</v>
      </c>
      <c r="AG5430" s="2">
        <v>272.926428295601</v>
      </c>
      <c r="AH5430" s="4">
        <v>0.72736516706431797</v>
      </c>
      <c r="AI5430" s="4">
        <v>-0.45924825695036797</v>
      </c>
      <c r="AJ5430" s="4" t="s">
        <v>62</v>
      </c>
      <c r="AK5430" s="2">
        <v>0.53836214762673995</v>
      </c>
      <c r="AL5430" s="2">
        <v>0.76438476096000296</v>
      </c>
      <c r="AM5430" s="2">
        <v>178.61730300392799</v>
      </c>
      <c r="AN5430" s="2">
        <v>376.253322676251</v>
      </c>
      <c r="AO5430" s="2">
        <v>162.90745343242</v>
      </c>
      <c r="AP5430" s="2">
        <v>147.63512921244899</v>
      </c>
      <c r="AQ5430" s="2">
        <v>8.559877937157E-6</v>
      </c>
      <c r="AR5430" s="2">
        <v>325.68984579605899</v>
      </c>
      <c r="AS5430" s="2">
        <v>736.60548385596599</v>
      </c>
      <c r="AT5430" s="2">
        <v>149.421564721735</v>
      </c>
      <c r="AU5430" s="2">
        <v>207.414814120421</v>
      </c>
      <c r="AV5430" s="2">
        <v>205.93038401525601</v>
      </c>
      <c r="AW5430" s="2">
        <v>8.559877937157E-6</v>
      </c>
      <c r="AX5430" s="2">
        <v>338.18631450035002</v>
      </c>
    </row>
    <row r="5431" spans="1:50" x14ac:dyDescent="0.25">
      <c r="A5431" s="2" t="s">
        <v>35475</v>
      </c>
      <c r="B5431" s="2">
        <v>158.154406376125</v>
      </c>
      <c r="C5431" s="2">
        <v>4.0250333333333304</v>
      </c>
      <c r="D5431" s="2" t="s">
        <v>51</v>
      </c>
      <c r="E5431" s="2" t="s">
        <v>35476</v>
      </c>
      <c r="F5431" s="2">
        <v>211089</v>
      </c>
      <c r="G5431" s="3" t="str">
        <f>HYPERLINK("https://cloud.oebiotech.com/#/lm/network/211089", "https://cloud.oebiotech.com/#/lm/network/211089")</f>
        <v>https://cloud.oebiotech.com/#/lm/network/211089</v>
      </c>
      <c r="H5431" s="2" t="s">
        <v>35477</v>
      </c>
      <c r="I5431" s="2"/>
      <c r="J5431" s="2"/>
      <c r="K5431" s="2">
        <v>44550483</v>
      </c>
      <c r="L5431" s="2"/>
      <c r="M5431" s="2"/>
      <c r="N5431" s="2"/>
      <c r="O5431" s="2"/>
      <c r="P5431" s="2"/>
      <c r="Q5431" s="2"/>
      <c r="R5431" s="2"/>
      <c r="S5431" s="2" t="s">
        <v>35478</v>
      </c>
      <c r="T5431" s="2" t="s">
        <v>35479</v>
      </c>
      <c r="U5431" s="2" t="s">
        <v>56</v>
      </c>
      <c r="V5431" s="2" t="s">
        <v>145</v>
      </c>
      <c r="W5431" s="2" t="s">
        <v>1617</v>
      </c>
      <c r="X5431" s="2" t="s">
        <v>147</v>
      </c>
      <c r="Y5431" s="2">
        <v>42.7</v>
      </c>
      <c r="Z5431" s="2">
        <v>19.8</v>
      </c>
      <c r="AA5431" s="2" t="s">
        <v>60</v>
      </c>
      <c r="AB5431" s="2" t="s">
        <v>35480</v>
      </c>
      <c r="AC5431" s="2">
        <v>2.9635400629004902</v>
      </c>
      <c r="AD5431" s="2"/>
      <c r="AE5431" s="2">
        <v>3.1251610201922797E-2</v>
      </c>
      <c r="AF5431" s="2">
        <v>2078.8994707980301</v>
      </c>
      <c r="AG5431" s="2">
        <v>2263.4289300337</v>
      </c>
      <c r="AH5431" s="4">
        <v>0.91847349091145203</v>
      </c>
      <c r="AI5431" s="4">
        <v>-0.122690012181647</v>
      </c>
      <c r="AJ5431" s="4" t="s">
        <v>62</v>
      </c>
      <c r="AK5431" s="2">
        <v>0.52072303715564605</v>
      </c>
      <c r="AL5431" s="2">
        <v>0.75192102353561097</v>
      </c>
      <c r="AM5431" s="2">
        <v>1859.81843119624</v>
      </c>
      <c r="AN5431" s="2">
        <v>2430.56146357632</v>
      </c>
      <c r="AO5431" s="2">
        <v>2621.5392570640602</v>
      </c>
      <c r="AP5431" s="2">
        <v>2249.9687951106498</v>
      </c>
      <c r="AQ5431" s="2">
        <v>1840.1685481070499</v>
      </c>
      <c r="AR5431" s="2">
        <v>1471.34032973385</v>
      </c>
      <c r="AS5431" s="2">
        <v>2463.68572049562</v>
      </c>
      <c r="AT5431" s="2">
        <v>3103.1155375930598</v>
      </c>
      <c r="AU5431" s="2">
        <v>2025.7833434377401</v>
      </c>
      <c r="AV5431" s="2">
        <v>1524.2570624215</v>
      </c>
      <c r="AW5431" s="2">
        <v>2362.8174813741898</v>
      </c>
      <c r="AX5431" s="2">
        <v>2100.9144348801101</v>
      </c>
    </row>
    <row r="5432" spans="1:50" x14ac:dyDescent="0.25">
      <c r="A5432" s="2" t="s">
        <v>35481</v>
      </c>
      <c r="B5432" s="2">
        <v>580.39855232157799</v>
      </c>
      <c r="C5432" s="2">
        <v>10.534700000000001</v>
      </c>
      <c r="D5432" s="2" t="s">
        <v>51</v>
      </c>
      <c r="E5432" s="2" t="s">
        <v>35482</v>
      </c>
      <c r="F5432" s="2">
        <v>19925</v>
      </c>
      <c r="G5432" s="3" t="str">
        <f>HYPERLINK("https://cloud.oebiotech.com/#/lm/network/19925", "https://cloud.oebiotech.com/#/lm/network/19925")</f>
        <v>https://cloud.oebiotech.com/#/lm/network/19925</v>
      </c>
      <c r="H5432" s="2"/>
      <c r="I5432" s="2">
        <v>76585</v>
      </c>
      <c r="J5432" s="2" t="s">
        <v>35483</v>
      </c>
      <c r="K5432" s="2">
        <v>52924063</v>
      </c>
      <c r="L5432" s="2"/>
      <c r="M5432" s="2"/>
      <c r="N5432" s="2"/>
      <c r="O5432" s="2"/>
      <c r="P5432" s="2"/>
      <c r="Q5432" s="2"/>
      <c r="R5432" s="2"/>
      <c r="S5432" s="2" t="s">
        <v>35484</v>
      </c>
      <c r="T5432" s="2" t="s">
        <v>35485</v>
      </c>
      <c r="U5432" s="2" t="s">
        <v>56</v>
      </c>
      <c r="V5432" s="2" t="s">
        <v>57</v>
      </c>
      <c r="W5432" s="2" t="s">
        <v>58</v>
      </c>
      <c r="X5432" s="2" t="s">
        <v>59</v>
      </c>
      <c r="Y5432" s="2">
        <v>51.1</v>
      </c>
      <c r="Z5432" s="2">
        <v>64.7</v>
      </c>
      <c r="AA5432" s="2" t="s">
        <v>218</v>
      </c>
      <c r="AB5432" s="2" t="s">
        <v>35486</v>
      </c>
      <c r="AC5432" s="2">
        <v>0.32543761811890198</v>
      </c>
      <c r="AD5432" s="2"/>
      <c r="AE5432" s="2">
        <v>3.1213029107301601E-2</v>
      </c>
      <c r="AF5432" s="2">
        <v>39379.732890608298</v>
      </c>
      <c r="AG5432" s="2">
        <v>39703.038762441603</v>
      </c>
      <c r="AH5432" s="4">
        <v>0.99185689856719095</v>
      </c>
      <c r="AI5432" s="4">
        <v>-1.17961059483838E-2</v>
      </c>
      <c r="AJ5432" s="4" t="s">
        <v>62</v>
      </c>
      <c r="AK5432" s="2">
        <v>0.96487421637723003</v>
      </c>
      <c r="AL5432" s="2">
        <v>0.98639647014555798</v>
      </c>
      <c r="AM5432" s="2">
        <v>48236.497248359403</v>
      </c>
      <c r="AN5432" s="2">
        <v>33777.326845371201</v>
      </c>
      <c r="AO5432" s="2">
        <v>40721.090298355499</v>
      </c>
      <c r="AP5432" s="2">
        <v>33860.571144047601</v>
      </c>
      <c r="AQ5432" s="2">
        <v>39819.753946624602</v>
      </c>
      <c r="AR5432" s="2">
        <v>39863.157860891602</v>
      </c>
      <c r="AS5432" s="2">
        <v>60937.451596996703</v>
      </c>
      <c r="AT5432" s="2">
        <v>28004.444834799298</v>
      </c>
      <c r="AU5432" s="2">
        <v>56758.017900241801</v>
      </c>
      <c r="AV5432" s="2">
        <v>19226.334503801299</v>
      </c>
      <c r="AW5432" s="2">
        <v>42927.941789757599</v>
      </c>
      <c r="AX5432" s="2">
        <v>30364.0419490532</v>
      </c>
    </row>
    <row r="5433" spans="1:50" x14ac:dyDescent="0.25">
      <c r="A5433" s="2" t="s">
        <v>35487</v>
      </c>
      <c r="B5433" s="2">
        <v>426.28399951228999</v>
      </c>
      <c r="C5433" s="2">
        <v>13.159000000000001</v>
      </c>
      <c r="D5433" s="2" t="s">
        <v>51</v>
      </c>
      <c r="E5433" s="2" t="s">
        <v>35488</v>
      </c>
      <c r="F5433" s="2">
        <v>198051</v>
      </c>
      <c r="G5433" s="3" t="str">
        <f>HYPERLINK("https://cloud.oebiotech.com/#/lm/network/198051", "https://cloud.oebiotech.com/#/lm/network/198051")</f>
        <v>https://cloud.oebiotech.com/#/lm/network/198051</v>
      </c>
      <c r="H5433" s="2" t="s">
        <v>35489</v>
      </c>
      <c r="I5433" s="2"/>
      <c r="J5433" s="2"/>
      <c r="K5433" s="2"/>
      <c r="L5433" s="2"/>
      <c r="M5433" s="2"/>
      <c r="N5433" s="2"/>
      <c r="O5433" s="2"/>
      <c r="P5433" s="2"/>
      <c r="Q5433" s="2"/>
      <c r="R5433" s="2"/>
      <c r="S5433" s="2" t="s">
        <v>35490</v>
      </c>
      <c r="T5433" s="2" t="s">
        <v>35491</v>
      </c>
      <c r="U5433" s="2" t="s">
        <v>56</v>
      </c>
      <c r="V5433" s="2" t="s">
        <v>145</v>
      </c>
      <c r="W5433" s="2" t="s">
        <v>1188</v>
      </c>
      <c r="X5433" s="2" t="s">
        <v>147</v>
      </c>
      <c r="Y5433" s="2">
        <v>36.6</v>
      </c>
      <c r="Z5433" s="2">
        <v>0</v>
      </c>
      <c r="AA5433" s="2" t="s">
        <v>379</v>
      </c>
      <c r="AB5433" s="2" t="s">
        <v>35492</v>
      </c>
      <c r="AC5433" s="2">
        <v>-4.7430264809906397</v>
      </c>
      <c r="AD5433" s="2"/>
      <c r="AE5433" s="2">
        <v>3.1090767393380399E-2</v>
      </c>
      <c r="AF5433" s="2">
        <v>847.174934600283</v>
      </c>
      <c r="AG5433" s="2">
        <v>828.39161930061596</v>
      </c>
      <c r="AH5433" s="5">
        <v>1.0226744390721001</v>
      </c>
      <c r="AI5433" s="5">
        <v>3.23469467560899E-2</v>
      </c>
      <c r="AJ5433" s="5" t="s">
        <v>139</v>
      </c>
      <c r="AK5433" s="2">
        <v>0.958514338724759</v>
      </c>
      <c r="AL5433" s="2">
        <v>0.98297517973244497</v>
      </c>
      <c r="AM5433" s="2">
        <v>1675.8612768626499</v>
      </c>
      <c r="AN5433" s="2">
        <v>1179.35857182206</v>
      </c>
      <c r="AO5433" s="2">
        <v>589.08274327963397</v>
      </c>
      <c r="AP5433" s="2">
        <v>417.00042196572502</v>
      </c>
      <c r="AQ5433" s="2">
        <v>8.559877937157E-6</v>
      </c>
      <c r="AR5433" s="2">
        <v>1221.7465851117499</v>
      </c>
      <c r="AS5433" s="2">
        <v>300.81881925327798</v>
      </c>
      <c r="AT5433" s="2">
        <v>255.65625306734199</v>
      </c>
      <c r="AU5433" s="2">
        <v>1835.6707430577501</v>
      </c>
      <c r="AV5433" s="2">
        <v>522.83127919399101</v>
      </c>
      <c r="AW5433" s="2">
        <v>1128.0136726160899</v>
      </c>
      <c r="AX5433" s="2">
        <v>927.35894861524503</v>
      </c>
    </row>
    <row r="5434" spans="1:50" x14ac:dyDescent="0.25">
      <c r="A5434" s="2" t="s">
        <v>35493</v>
      </c>
      <c r="B5434" s="2">
        <v>446.22550000000001</v>
      </c>
      <c r="C5434" s="2">
        <v>24.276</v>
      </c>
      <c r="D5434" s="2" t="s">
        <v>125</v>
      </c>
      <c r="E5434" s="2" t="s">
        <v>35494</v>
      </c>
      <c r="F5434" s="2">
        <v>545492</v>
      </c>
      <c r="G5434" s="3" t="str">
        <f>HYPERLINK("https://cloud.oebiotech.com/#/lm/network/545492", "https://cloud.oebiotech.com/#/lm/network/545492")</f>
        <v>https://cloud.oebiotech.com/#/lm/network/545492</v>
      </c>
      <c r="H5434" s="2"/>
      <c r="I5434" s="2"/>
      <c r="J5434" s="2"/>
      <c r="K5434" s="2">
        <v>101450774</v>
      </c>
      <c r="L5434" s="2"/>
      <c r="M5434" s="2"/>
      <c r="N5434" s="2"/>
      <c r="O5434" s="2"/>
      <c r="P5434" s="2"/>
      <c r="Q5434" s="2"/>
      <c r="R5434" s="2"/>
      <c r="S5434" s="2" t="s">
        <v>35495</v>
      </c>
      <c r="T5434" s="2" t="s">
        <v>35496</v>
      </c>
      <c r="U5434" s="2" t="s">
        <v>240</v>
      </c>
      <c r="V5434" s="2" t="s">
        <v>240</v>
      </c>
      <c r="W5434" s="2" t="s">
        <v>240</v>
      </c>
      <c r="X5434" s="2" t="s">
        <v>59</v>
      </c>
      <c r="Y5434" s="2">
        <v>76.900000000000006</v>
      </c>
      <c r="Z5434" s="2">
        <v>61.5</v>
      </c>
      <c r="AA5434" s="2"/>
      <c r="AB5434" s="2" t="s">
        <v>835</v>
      </c>
      <c r="AC5434" s="2"/>
      <c r="AD5434" s="2">
        <v>874114.86301369895</v>
      </c>
      <c r="AE5434" s="2">
        <v>3.1079198477104698E-2</v>
      </c>
      <c r="AF5434" s="2">
        <v>14220.798315128999</v>
      </c>
      <c r="AG5434" s="2">
        <v>13737.066729591401</v>
      </c>
      <c r="AH5434" s="5">
        <v>1.03521360091347</v>
      </c>
      <c r="AI5434" s="5">
        <v>4.9928477081307598E-2</v>
      </c>
      <c r="AJ5434" s="5" t="s">
        <v>139</v>
      </c>
      <c r="AK5434" s="2">
        <v>0.91068321014684706</v>
      </c>
      <c r="AL5434" s="2">
        <v>0.96273615004306101</v>
      </c>
      <c r="AM5434" s="2">
        <v>22226.988393470401</v>
      </c>
      <c r="AN5434" s="2">
        <v>20801.190325468899</v>
      </c>
      <c r="AO5434" s="2">
        <v>11617.142027813199</v>
      </c>
      <c r="AP5434" s="2">
        <v>2299.8352172700202</v>
      </c>
      <c r="AQ5434" s="2">
        <v>5702.2179593643796</v>
      </c>
      <c r="AR5434" s="2">
        <v>22677.4159673869</v>
      </c>
      <c r="AS5434" s="2">
        <v>23405.891121089899</v>
      </c>
      <c r="AT5434" s="2">
        <v>13349.928055027</v>
      </c>
      <c r="AU5434" s="2">
        <v>14422.8900440666</v>
      </c>
      <c r="AV5434" s="2">
        <v>11746.247507663</v>
      </c>
      <c r="AW5434" s="2">
        <v>9965.4439457691806</v>
      </c>
      <c r="AX5434" s="2">
        <v>9531.99970393283</v>
      </c>
    </row>
    <row r="5435" spans="1:50" x14ac:dyDescent="0.25">
      <c r="A5435" s="2" t="s">
        <v>35497</v>
      </c>
      <c r="B5435" s="2">
        <v>182.154654775377</v>
      </c>
      <c r="C5435" s="2">
        <v>5.8374499999999996</v>
      </c>
      <c r="D5435" s="2" t="s">
        <v>51</v>
      </c>
      <c r="E5435" s="2" t="s">
        <v>35498</v>
      </c>
      <c r="F5435" s="2">
        <v>8769</v>
      </c>
      <c r="G5435" s="3" t="str">
        <f>HYPERLINK("https://cloud.oebiotech.com/#/lm/network/8769", "https://cloud.oebiotech.com/#/lm/network/8769")</f>
        <v>https://cloud.oebiotech.com/#/lm/network/8769</v>
      </c>
      <c r="H5435" s="2" t="s">
        <v>35499</v>
      </c>
      <c r="I5435" s="2"/>
      <c r="J5435" s="2" t="s">
        <v>35500</v>
      </c>
      <c r="K5435" s="2">
        <v>11309884</v>
      </c>
      <c r="L5435" s="2" t="s">
        <v>35501</v>
      </c>
      <c r="M5435" s="2"/>
      <c r="N5435" s="2"/>
      <c r="O5435" s="2"/>
      <c r="P5435" s="2"/>
      <c r="Q5435" s="2"/>
      <c r="R5435" s="2" t="s">
        <v>35502</v>
      </c>
      <c r="S5435" s="2" t="s">
        <v>35503</v>
      </c>
      <c r="T5435" s="2" t="s">
        <v>35504</v>
      </c>
      <c r="U5435" s="2" t="s">
        <v>56</v>
      </c>
      <c r="V5435" s="2" t="s">
        <v>145</v>
      </c>
      <c r="W5435" s="2" t="s">
        <v>1617</v>
      </c>
      <c r="X5435" s="2" t="s">
        <v>147</v>
      </c>
      <c r="Y5435" s="2">
        <v>36.700000000000003</v>
      </c>
      <c r="Z5435" s="2">
        <v>0</v>
      </c>
      <c r="AA5435" s="2" t="s">
        <v>259</v>
      </c>
      <c r="AB5435" s="2" t="s">
        <v>35505</v>
      </c>
      <c r="AC5435" s="2">
        <v>3.94216305241937</v>
      </c>
      <c r="AD5435" s="2"/>
      <c r="AE5435" s="2">
        <v>3.1022988170306399E-2</v>
      </c>
      <c r="AF5435" s="2">
        <v>274.88217778588398</v>
      </c>
      <c r="AG5435" s="2">
        <v>209.64816786524301</v>
      </c>
      <c r="AH5435" s="5">
        <v>1.31115945626852</v>
      </c>
      <c r="AI5435" s="5">
        <v>0.39084314915900598</v>
      </c>
      <c r="AJ5435" s="5" t="s">
        <v>139</v>
      </c>
      <c r="AK5435" s="2">
        <v>0.47649443045471102</v>
      </c>
      <c r="AL5435" s="2">
        <v>0.72225087180455805</v>
      </c>
      <c r="AM5435" s="2">
        <v>130.68263243832999</v>
      </c>
      <c r="AN5435" s="2">
        <v>217.19369967745601</v>
      </c>
      <c r="AO5435" s="2">
        <v>558.85371365339802</v>
      </c>
      <c r="AP5435" s="2">
        <v>132.55391140538401</v>
      </c>
      <c r="AQ5435" s="2">
        <v>431.33959169914402</v>
      </c>
      <c r="AR5435" s="2">
        <v>178.66951784159201</v>
      </c>
      <c r="AS5435" s="2">
        <v>287.68394165682099</v>
      </c>
      <c r="AT5435" s="2">
        <v>132.07270323346901</v>
      </c>
      <c r="AU5435" s="2">
        <v>416.78018945486599</v>
      </c>
      <c r="AV5435" s="2">
        <v>173.151707524149</v>
      </c>
      <c r="AW5435" s="2">
        <v>166.50119058558801</v>
      </c>
      <c r="AX5435" s="2">
        <v>81.699274736565698</v>
      </c>
    </row>
    <row r="5436" spans="1:50" x14ac:dyDescent="0.25">
      <c r="A5436" s="2" t="s">
        <v>35506</v>
      </c>
      <c r="B5436" s="2">
        <v>139.02980684232301</v>
      </c>
      <c r="C5436" s="2">
        <v>0.97001666666666697</v>
      </c>
      <c r="D5436" s="2" t="s">
        <v>51</v>
      </c>
      <c r="E5436" s="2" t="s">
        <v>35507</v>
      </c>
      <c r="F5436" s="2">
        <v>301357</v>
      </c>
      <c r="G5436" s="3" t="str">
        <f>HYPERLINK("https://cloud.oebiotech.com/#/lm/network/301357", "https://cloud.oebiotech.com/#/lm/network/301357")</f>
        <v>https://cloud.oebiotech.com/#/lm/network/301357</v>
      </c>
      <c r="H5436" s="2"/>
      <c r="I5436" s="2">
        <v>326714</v>
      </c>
      <c r="J5436" s="2"/>
      <c r="K5436" s="2">
        <v>67768</v>
      </c>
      <c r="L5436" s="2"/>
      <c r="M5436" s="2"/>
      <c r="N5436" s="2"/>
      <c r="O5436" s="2"/>
      <c r="P5436" s="2"/>
      <c r="Q5436" s="2"/>
      <c r="R5436" s="2"/>
      <c r="S5436" s="2" t="s">
        <v>35508</v>
      </c>
      <c r="T5436" s="2" t="s">
        <v>35509</v>
      </c>
      <c r="U5436" s="2" t="s">
        <v>610</v>
      </c>
      <c r="V5436" s="2" t="s">
        <v>611</v>
      </c>
      <c r="W5436" s="2" t="s">
        <v>8369</v>
      </c>
      <c r="X5436" s="2" t="s">
        <v>147</v>
      </c>
      <c r="Y5436" s="2">
        <v>37.9</v>
      </c>
      <c r="Z5436" s="2">
        <v>0</v>
      </c>
      <c r="AA5436" s="2" t="s">
        <v>156</v>
      </c>
      <c r="AB5436" s="2" t="s">
        <v>35510</v>
      </c>
      <c r="AC5436" s="2">
        <v>-2.6310807131609901</v>
      </c>
      <c r="AD5436" s="2"/>
      <c r="AE5436" s="2">
        <v>3.1007079572785801E-2</v>
      </c>
      <c r="AF5436" s="2">
        <v>3009.7832071818102</v>
      </c>
      <c r="AG5436" s="2">
        <v>3224.83205559629</v>
      </c>
      <c r="AH5436" s="4">
        <v>0.93331471384958298</v>
      </c>
      <c r="AI5436" s="4">
        <v>-9.9564454806075703E-2</v>
      </c>
      <c r="AJ5436" s="4" t="s">
        <v>62</v>
      </c>
      <c r="AK5436" s="2">
        <v>0.62662232815699004</v>
      </c>
      <c r="AL5436" s="2">
        <v>0.81661510033178697</v>
      </c>
      <c r="AM5436" s="2">
        <v>2358.71834413232</v>
      </c>
      <c r="AN5436" s="2">
        <v>4395.12924123212</v>
      </c>
      <c r="AO5436" s="2">
        <v>2910.72338538555</v>
      </c>
      <c r="AP5436" s="2">
        <v>2625.8733264152602</v>
      </c>
      <c r="AQ5436" s="2">
        <v>2450.8506030237299</v>
      </c>
      <c r="AR5436" s="2">
        <v>3317.4043429019098</v>
      </c>
      <c r="AS5436" s="2">
        <v>3312.8579469613601</v>
      </c>
      <c r="AT5436" s="2">
        <v>3853.6709462761401</v>
      </c>
      <c r="AU5436" s="2">
        <v>3141.3849714101898</v>
      </c>
      <c r="AV5436" s="2">
        <v>1920.11335646831</v>
      </c>
      <c r="AW5436" s="2">
        <v>3197.7662714456601</v>
      </c>
      <c r="AX5436" s="2">
        <v>3923.1988410160802</v>
      </c>
    </row>
    <row r="5437" spans="1:50" x14ac:dyDescent="0.25">
      <c r="A5437" s="2" t="s">
        <v>35511</v>
      </c>
      <c r="B5437" s="2">
        <v>215.1439</v>
      </c>
      <c r="C5437" s="2">
        <v>11.835000000000001</v>
      </c>
      <c r="D5437" s="2" t="s">
        <v>125</v>
      </c>
      <c r="E5437" s="2" t="s">
        <v>35512</v>
      </c>
      <c r="F5437" s="2">
        <v>56</v>
      </c>
      <c r="G5437" s="3" t="str">
        <f>HYPERLINK("https://cloud.oebiotech.com/#/lm/network/56", "https://cloud.oebiotech.com/#/lm/network/56")</f>
        <v>https://cloud.oebiotech.com/#/lm/network/56</v>
      </c>
      <c r="H5437" s="2" t="s">
        <v>35513</v>
      </c>
      <c r="I5437" s="2">
        <v>5810</v>
      </c>
      <c r="J5437" s="2" t="s">
        <v>35514</v>
      </c>
      <c r="K5437" s="2">
        <v>8158</v>
      </c>
      <c r="L5437" s="2" t="s">
        <v>35515</v>
      </c>
      <c r="M5437" s="2"/>
      <c r="N5437" s="2"/>
      <c r="O5437" s="2">
        <v>29019</v>
      </c>
      <c r="P5437" s="2"/>
      <c r="Q5437" s="2"/>
      <c r="R5437" s="2" t="s">
        <v>35516</v>
      </c>
      <c r="S5437" s="2" t="s">
        <v>35517</v>
      </c>
      <c r="T5437" s="2" t="s">
        <v>35518</v>
      </c>
      <c r="U5437" s="2" t="s">
        <v>56</v>
      </c>
      <c r="V5437" s="2" t="s">
        <v>145</v>
      </c>
      <c r="W5437" s="2" t="s">
        <v>231</v>
      </c>
      <c r="X5437" s="2" t="s">
        <v>69</v>
      </c>
      <c r="Y5437" s="2">
        <v>93.6</v>
      </c>
      <c r="Z5437" s="2">
        <v>92.6</v>
      </c>
      <c r="AA5437" s="2"/>
      <c r="AB5437" s="2" t="s">
        <v>35519</v>
      </c>
      <c r="AC5437" s="2"/>
      <c r="AD5437" s="2">
        <v>400207.920928773</v>
      </c>
      <c r="AE5437" s="2">
        <v>3.0942889916857001E-2</v>
      </c>
      <c r="AF5437" s="2">
        <v>61600.916412988598</v>
      </c>
      <c r="AG5437" s="2">
        <v>62730.162337570997</v>
      </c>
      <c r="AH5437" s="4">
        <v>0.98199835800670299</v>
      </c>
      <c r="AI5437" s="4">
        <v>-2.6207482666708401E-2</v>
      </c>
      <c r="AJ5437" s="4" t="s">
        <v>62</v>
      </c>
      <c r="AK5437" s="2">
        <v>0.92757850084668103</v>
      </c>
      <c r="AL5437" s="2">
        <v>0.96903634691654905</v>
      </c>
      <c r="AM5437" s="2">
        <v>46910.227736936999</v>
      </c>
      <c r="AN5437" s="2">
        <v>45941.284672759502</v>
      </c>
      <c r="AO5437" s="2">
        <v>62357.150597492102</v>
      </c>
      <c r="AP5437" s="2">
        <v>47260.861274240902</v>
      </c>
      <c r="AQ5437" s="2">
        <v>112766.14810006499</v>
      </c>
      <c r="AR5437" s="2">
        <v>54369.826096437297</v>
      </c>
      <c r="AS5437" s="2">
        <v>49828.945940158599</v>
      </c>
      <c r="AT5437" s="2">
        <v>57284.068371902402</v>
      </c>
      <c r="AU5437" s="2">
        <v>81115.588857146795</v>
      </c>
      <c r="AV5437" s="2">
        <v>81301.0131564357</v>
      </c>
      <c r="AW5437" s="2">
        <v>56049.841985200401</v>
      </c>
      <c r="AX5437" s="2">
        <v>50801.515714581903</v>
      </c>
    </row>
    <row r="5438" spans="1:50" x14ac:dyDescent="0.25">
      <c r="A5438" s="2" t="s">
        <v>35520</v>
      </c>
      <c r="B5438" s="2">
        <v>257.17430000000002</v>
      </c>
      <c r="C5438" s="2">
        <v>16.321999999999999</v>
      </c>
      <c r="D5438" s="2" t="s">
        <v>125</v>
      </c>
      <c r="E5438" s="2" t="s">
        <v>35521</v>
      </c>
      <c r="F5438" s="2">
        <v>59</v>
      </c>
      <c r="G5438" s="3" t="str">
        <f>HYPERLINK("https://cloud.oebiotech.com/#/lm/network/59", "https://cloud.oebiotech.com/#/lm/network/59")</f>
        <v>https://cloud.oebiotech.com/#/lm/network/59</v>
      </c>
      <c r="H5438" s="2" t="s">
        <v>35522</v>
      </c>
      <c r="I5438" s="2">
        <v>357</v>
      </c>
      <c r="J5438" s="2" t="s">
        <v>35523</v>
      </c>
      <c r="K5438" s="2">
        <v>3893</v>
      </c>
      <c r="L5438" s="2" t="s">
        <v>35524</v>
      </c>
      <c r="M5438" s="2" t="s">
        <v>12589</v>
      </c>
      <c r="N5438" s="2" t="s">
        <v>12590</v>
      </c>
      <c r="O5438" s="2">
        <v>30805</v>
      </c>
      <c r="P5438" s="2" t="s">
        <v>35525</v>
      </c>
      <c r="Q5438" s="2" t="s">
        <v>35526</v>
      </c>
      <c r="R5438" s="2" t="s">
        <v>35527</v>
      </c>
      <c r="S5438" s="2" t="s">
        <v>35528</v>
      </c>
      <c r="T5438" s="2" t="s">
        <v>35529</v>
      </c>
      <c r="U5438" s="2" t="s">
        <v>56</v>
      </c>
      <c r="V5438" s="2" t="s">
        <v>145</v>
      </c>
      <c r="W5438" s="2" t="s">
        <v>231</v>
      </c>
      <c r="X5438" s="2" t="s">
        <v>69</v>
      </c>
      <c r="Y5438" s="2">
        <v>87.5</v>
      </c>
      <c r="Z5438" s="2">
        <v>82.8</v>
      </c>
      <c r="AA5438" s="2"/>
      <c r="AB5438" s="2" t="s">
        <v>14101</v>
      </c>
      <c r="AC5438" s="2"/>
      <c r="AD5438" s="2">
        <v>548627.52358003403</v>
      </c>
      <c r="AE5438" s="2">
        <v>3.09387985234428E-2</v>
      </c>
      <c r="AF5438" s="2">
        <v>16812.457954639998</v>
      </c>
      <c r="AG5438" s="2">
        <v>17697.181755216101</v>
      </c>
      <c r="AH5438" s="4">
        <v>0.95000764456095999</v>
      </c>
      <c r="AI5438" s="4">
        <v>-7.3988972258710095E-2</v>
      </c>
      <c r="AJ5438" s="4" t="s">
        <v>62</v>
      </c>
      <c r="AK5438" s="2">
        <v>0.69042499137882196</v>
      </c>
      <c r="AL5438" s="2">
        <v>0.85113230353323699</v>
      </c>
      <c r="AM5438" s="2">
        <v>14489.836201632899</v>
      </c>
      <c r="AN5438" s="2">
        <v>15412.5023808367</v>
      </c>
      <c r="AO5438" s="2">
        <v>16349.2549403292</v>
      </c>
      <c r="AP5438" s="2">
        <v>13536.4026117126</v>
      </c>
      <c r="AQ5438" s="2">
        <v>22974.279804387599</v>
      </c>
      <c r="AR5438" s="2">
        <v>18112.471788940999</v>
      </c>
      <c r="AS5438" s="2">
        <v>12753.3353637746</v>
      </c>
      <c r="AT5438" s="2">
        <v>18672.8593423483</v>
      </c>
      <c r="AU5438" s="2">
        <v>19761.263409793301</v>
      </c>
      <c r="AV5438" s="2">
        <v>17296.8827334204</v>
      </c>
      <c r="AW5438" s="2">
        <v>23811.072431478398</v>
      </c>
      <c r="AX5438" s="2">
        <v>13887.6772504813</v>
      </c>
    </row>
    <row r="5439" spans="1:50" x14ac:dyDescent="0.25">
      <c r="A5439" s="2" t="s">
        <v>35530</v>
      </c>
      <c r="B5439" s="2">
        <v>198.05889186875501</v>
      </c>
      <c r="C5439" s="2">
        <v>4.9970999999999997</v>
      </c>
      <c r="D5439" s="2" t="s">
        <v>51</v>
      </c>
      <c r="E5439" s="2" t="s">
        <v>35531</v>
      </c>
      <c r="F5439" s="2">
        <v>57434</v>
      </c>
      <c r="G5439" s="3" t="str">
        <f>HYPERLINK("https://cloud.oebiotech.com/#/lm/network/57434", "https://cloud.oebiotech.com/#/lm/network/57434")</f>
        <v>https://cloud.oebiotech.com/#/lm/network/57434</v>
      </c>
      <c r="H5439" s="2" t="s">
        <v>35532</v>
      </c>
      <c r="I5439" s="2">
        <v>89055</v>
      </c>
      <c r="J5439" s="2"/>
      <c r="K5439" s="2">
        <v>85834720</v>
      </c>
      <c r="L5439" s="2"/>
      <c r="M5439" s="2"/>
      <c r="N5439" s="2"/>
      <c r="O5439" s="2"/>
      <c r="P5439" s="2"/>
      <c r="Q5439" s="2"/>
      <c r="R5439" s="2" t="s">
        <v>35533</v>
      </c>
      <c r="S5439" s="2" t="s">
        <v>35534</v>
      </c>
      <c r="T5439" s="2" t="s">
        <v>35535</v>
      </c>
      <c r="U5439" s="2" t="s">
        <v>610</v>
      </c>
      <c r="V5439" s="2" t="s">
        <v>895</v>
      </c>
      <c r="W5439" s="2" t="s">
        <v>919</v>
      </c>
      <c r="X5439" s="2" t="s">
        <v>147</v>
      </c>
      <c r="Y5439" s="2">
        <v>46.9</v>
      </c>
      <c r="Z5439" s="2">
        <v>43.2</v>
      </c>
      <c r="AA5439" s="2" t="s">
        <v>259</v>
      </c>
      <c r="AB5439" s="2" t="s">
        <v>35536</v>
      </c>
      <c r="AC5439" s="2">
        <v>2.87154047684882</v>
      </c>
      <c r="AD5439" s="2"/>
      <c r="AE5439" s="2">
        <v>3.0858292487509102E-2</v>
      </c>
      <c r="AF5439" s="2">
        <v>62.855569614894399</v>
      </c>
      <c r="AG5439" s="2">
        <v>85.379341999198402</v>
      </c>
      <c r="AH5439" s="4">
        <v>0.73619177828150195</v>
      </c>
      <c r="AI5439" s="4">
        <v>-0.44184645695394897</v>
      </c>
      <c r="AJ5439" s="4" t="s">
        <v>62</v>
      </c>
      <c r="AK5439" s="2">
        <v>2.477687908844E-2</v>
      </c>
      <c r="AL5439" s="2">
        <v>0.24475928643605299</v>
      </c>
      <c r="AM5439" s="2">
        <v>44.511580847660703</v>
      </c>
      <c r="AN5439" s="2">
        <v>75.022931919085906</v>
      </c>
      <c r="AO5439" s="2">
        <v>45.097779894156098</v>
      </c>
      <c r="AP5439" s="2">
        <v>89.343528628393699</v>
      </c>
      <c r="AQ5439" s="2">
        <v>66.243886759632403</v>
      </c>
      <c r="AR5439" s="2">
        <v>56.913709640437503</v>
      </c>
      <c r="AS5439" s="2">
        <v>78.060378573056397</v>
      </c>
      <c r="AT5439" s="2">
        <v>97.899754608454799</v>
      </c>
      <c r="AU5439" s="2">
        <v>78.271233798372094</v>
      </c>
      <c r="AV5439" s="2">
        <v>80.848190931401007</v>
      </c>
      <c r="AW5439" s="2">
        <v>75.656188038468301</v>
      </c>
      <c r="AX5439" s="2">
        <v>101.540306045438</v>
      </c>
    </row>
    <row r="5440" spans="1:50" x14ac:dyDescent="0.25">
      <c r="A5440" s="2" t="s">
        <v>35537</v>
      </c>
      <c r="B5440" s="2">
        <v>157.04967282105201</v>
      </c>
      <c r="C5440" s="2">
        <v>1.4308333333333301</v>
      </c>
      <c r="D5440" s="2" t="s">
        <v>51</v>
      </c>
      <c r="E5440" s="2" t="s">
        <v>35538</v>
      </c>
      <c r="F5440" s="2">
        <v>257729</v>
      </c>
      <c r="G5440" s="3" t="str">
        <f>HYPERLINK("https://cloud.oebiotech.com/#/lm/network/257729", "https://cloud.oebiotech.com/#/lm/network/257729")</f>
        <v>https://cloud.oebiotech.com/#/lm/network/257729</v>
      </c>
      <c r="H5440" s="2"/>
      <c r="I5440" s="2">
        <v>340</v>
      </c>
      <c r="J5440" s="2"/>
      <c r="K5440" s="2">
        <v>36</v>
      </c>
      <c r="L5440" s="2"/>
      <c r="M5440" s="2"/>
      <c r="N5440" s="2"/>
      <c r="O5440" s="2"/>
      <c r="P5440" s="2"/>
      <c r="Q5440" s="2"/>
      <c r="R5440" s="2" t="s">
        <v>35539</v>
      </c>
      <c r="S5440" s="2" t="s">
        <v>35540</v>
      </c>
      <c r="T5440" s="2" t="s">
        <v>35541</v>
      </c>
      <c r="U5440" s="2" t="s">
        <v>56</v>
      </c>
      <c r="V5440" s="2" t="s">
        <v>145</v>
      </c>
      <c r="W5440" s="2" t="s">
        <v>231</v>
      </c>
      <c r="X5440" s="2" t="s">
        <v>83</v>
      </c>
      <c r="Y5440" s="2">
        <v>38.9</v>
      </c>
      <c r="Z5440" s="2">
        <v>0</v>
      </c>
      <c r="AA5440" s="2" t="s">
        <v>379</v>
      </c>
      <c r="AB5440" s="2" t="s">
        <v>29102</v>
      </c>
      <c r="AC5440" s="2">
        <v>-5.4498205698398303</v>
      </c>
      <c r="AD5440" s="2"/>
      <c r="AE5440" s="2">
        <v>3.0846894680577299E-2</v>
      </c>
      <c r="AF5440" s="2">
        <v>850.44837591851694</v>
      </c>
      <c r="AG5440" s="2">
        <v>814.76798385946199</v>
      </c>
      <c r="AH5440" s="5">
        <v>1.04379208899451</v>
      </c>
      <c r="AI5440" s="5">
        <v>6.1834372781327397E-2</v>
      </c>
      <c r="AJ5440" s="5" t="s">
        <v>139</v>
      </c>
      <c r="AK5440" s="2">
        <v>0.72468039410400897</v>
      </c>
      <c r="AL5440" s="2">
        <v>0.87305752836759398</v>
      </c>
      <c r="AM5440" s="2">
        <v>1221.24715104134</v>
      </c>
      <c r="AN5440" s="2">
        <v>736.59067991605298</v>
      </c>
      <c r="AO5440" s="2">
        <v>752.00181780173602</v>
      </c>
      <c r="AP5440" s="2">
        <v>704.00260268167096</v>
      </c>
      <c r="AQ5440" s="2">
        <v>920.51339099477104</v>
      </c>
      <c r="AR5440" s="2">
        <v>768.33461307553</v>
      </c>
      <c r="AS5440" s="2">
        <v>1032.3926095709201</v>
      </c>
      <c r="AT5440" s="2">
        <v>816.10457697136405</v>
      </c>
      <c r="AU5440" s="2">
        <v>911.11644363845903</v>
      </c>
      <c r="AV5440" s="2">
        <v>638.473717310658</v>
      </c>
      <c r="AW5440" s="2">
        <v>758.73690728367399</v>
      </c>
      <c r="AX5440" s="2">
        <v>731.78364838169603</v>
      </c>
    </row>
    <row r="5441" spans="1:50" x14ac:dyDescent="0.25">
      <c r="A5441" s="2" t="s">
        <v>35542</v>
      </c>
      <c r="B5441" s="2">
        <v>286.20222087679201</v>
      </c>
      <c r="C5441" s="2">
        <v>5.1612</v>
      </c>
      <c r="D5441" s="2" t="s">
        <v>51</v>
      </c>
      <c r="E5441" s="2" t="s">
        <v>35543</v>
      </c>
      <c r="F5441" s="2">
        <v>198228</v>
      </c>
      <c r="G5441" s="3" t="str">
        <f>HYPERLINK("https://cloud.oebiotech.com/#/lm/network/198228", "https://cloud.oebiotech.com/#/lm/network/198228")</f>
        <v>https://cloud.oebiotech.com/#/lm/network/198228</v>
      </c>
      <c r="H5441" s="2" t="s">
        <v>35544</v>
      </c>
      <c r="I5441" s="2"/>
      <c r="J5441" s="2"/>
      <c r="K5441" s="2"/>
      <c r="L5441" s="2"/>
      <c r="M5441" s="2"/>
      <c r="N5441" s="2"/>
      <c r="O5441" s="2"/>
      <c r="P5441" s="2"/>
      <c r="Q5441" s="2"/>
      <c r="R5441" s="2"/>
      <c r="S5441" s="2" t="s">
        <v>35545</v>
      </c>
      <c r="T5441" s="2" t="s">
        <v>35546</v>
      </c>
      <c r="U5441" s="2" t="s">
        <v>56</v>
      </c>
      <c r="V5441" s="2" t="s">
        <v>145</v>
      </c>
      <c r="W5441" s="2" t="s">
        <v>1188</v>
      </c>
      <c r="X5441" s="2" t="s">
        <v>69</v>
      </c>
      <c r="Y5441" s="2">
        <v>59.7</v>
      </c>
      <c r="Z5441" s="2">
        <v>90.7</v>
      </c>
      <c r="AA5441" s="2" t="s">
        <v>60</v>
      </c>
      <c r="AB5441" s="2" t="s">
        <v>35547</v>
      </c>
      <c r="AC5441" s="2">
        <v>3.2823125132253601</v>
      </c>
      <c r="AD5441" s="2"/>
      <c r="AE5441" s="2">
        <v>3.0837631381222801E-2</v>
      </c>
      <c r="AF5441" s="2">
        <v>116600.338796949</v>
      </c>
      <c r="AG5441" s="2">
        <v>105883.104744935</v>
      </c>
      <c r="AH5441" s="5">
        <v>1.10121760292005</v>
      </c>
      <c r="AI5441" s="5">
        <v>0.139099576653885</v>
      </c>
      <c r="AJ5441" s="5" t="s">
        <v>139</v>
      </c>
      <c r="AK5441" s="2">
        <v>0.80211830506811199</v>
      </c>
      <c r="AL5441" s="2">
        <v>0.91089831239276597</v>
      </c>
      <c r="AM5441" s="2">
        <v>63642.894225264397</v>
      </c>
      <c r="AN5441" s="2">
        <v>124515.755790941</v>
      </c>
      <c r="AO5441" s="2">
        <v>175879.42341755299</v>
      </c>
      <c r="AP5441" s="2">
        <v>154054.23888698299</v>
      </c>
      <c r="AQ5441" s="2">
        <v>43990.222062424502</v>
      </c>
      <c r="AR5441" s="2">
        <v>137519.498398531</v>
      </c>
      <c r="AS5441" s="2">
        <v>37961.661476629197</v>
      </c>
      <c r="AT5441" s="2">
        <v>75297.464617094098</v>
      </c>
      <c r="AU5441" s="2">
        <v>62038.939481373403</v>
      </c>
      <c r="AV5441" s="2">
        <v>104857.710215453</v>
      </c>
      <c r="AW5441" s="2">
        <v>279501.02929847501</v>
      </c>
      <c r="AX5441" s="2">
        <v>75641.8233805856</v>
      </c>
    </row>
    <row r="5442" spans="1:50" x14ac:dyDescent="0.25">
      <c r="A5442" s="2" t="s">
        <v>35548</v>
      </c>
      <c r="B5442" s="2">
        <v>507.32888246295801</v>
      </c>
      <c r="C5442" s="2">
        <v>11.7921333333333</v>
      </c>
      <c r="D5442" s="2" t="s">
        <v>51</v>
      </c>
      <c r="E5442" s="2" t="s">
        <v>35549</v>
      </c>
      <c r="F5442" s="2">
        <v>258325</v>
      </c>
      <c r="G5442" s="3" t="str">
        <f>HYPERLINK("https://cloud.oebiotech.com/#/lm/network/258325", "https://cloud.oebiotech.com/#/lm/network/258325")</f>
        <v>https://cloud.oebiotech.com/#/lm/network/258325</v>
      </c>
      <c r="H5442" s="2"/>
      <c r="I5442" s="2">
        <v>4010</v>
      </c>
      <c r="J5442" s="2"/>
      <c r="K5442" s="2">
        <v>6434217</v>
      </c>
      <c r="L5442" s="2"/>
      <c r="M5442" s="2"/>
      <c r="N5442" s="2"/>
      <c r="O5442" s="2"/>
      <c r="P5442" s="2"/>
      <c r="Q5442" s="2"/>
      <c r="R5442" s="2" t="s">
        <v>35550</v>
      </c>
      <c r="S5442" s="2" t="s">
        <v>35551</v>
      </c>
      <c r="T5442" s="2" t="s">
        <v>35552</v>
      </c>
      <c r="U5442" s="2" t="s">
        <v>56</v>
      </c>
      <c r="V5442" s="2" t="s">
        <v>177</v>
      </c>
      <c r="W5442" s="2" t="s">
        <v>584</v>
      </c>
      <c r="X5442" s="2" t="s">
        <v>83</v>
      </c>
      <c r="Y5442" s="2">
        <v>40.9</v>
      </c>
      <c r="Z5442" s="2">
        <v>0</v>
      </c>
      <c r="AA5442" s="2" t="s">
        <v>478</v>
      </c>
      <c r="AB5442" s="2" t="s">
        <v>35553</v>
      </c>
      <c r="AC5442" s="2">
        <v>3.98998342912483</v>
      </c>
      <c r="AD5442" s="2"/>
      <c r="AE5442" s="2">
        <v>3.0830115549941799E-2</v>
      </c>
      <c r="AF5442" s="2">
        <v>1415.4303357123799</v>
      </c>
      <c r="AG5442" s="2">
        <v>1697.8932740067401</v>
      </c>
      <c r="AH5442" s="4">
        <v>0.833639167656401</v>
      </c>
      <c r="AI5442" s="4">
        <v>-0.26250503217476601</v>
      </c>
      <c r="AJ5442" s="4" t="s">
        <v>62</v>
      </c>
      <c r="AK5442" s="2">
        <v>0.82453880038967298</v>
      </c>
      <c r="AL5442" s="2">
        <v>0.92318982698311502</v>
      </c>
      <c r="AM5442" s="2">
        <v>959.03482676973795</v>
      </c>
      <c r="AN5442" s="2">
        <v>568.18458850580203</v>
      </c>
      <c r="AO5442" s="2">
        <v>5853.7252706258596</v>
      </c>
      <c r="AP5442" s="2">
        <v>734.64414601345197</v>
      </c>
      <c r="AQ5442" s="2">
        <v>8.559877937157E-6</v>
      </c>
      <c r="AR5442" s="2">
        <v>376.99317379953101</v>
      </c>
      <c r="AS5442" s="2">
        <v>174.160756279098</v>
      </c>
      <c r="AT5442" s="2">
        <v>419.940019404834</v>
      </c>
      <c r="AU5442" s="2">
        <v>2069.60426678053</v>
      </c>
      <c r="AV5442" s="2">
        <v>1610.87381636086</v>
      </c>
      <c r="AW5442" s="2">
        <v>5673.5264478405097</v>
      </c>
      <c r="AX5442" s="2">
        <v>239.25433737458101</v>
      </c>
    </row>
    <row r="5443" spans="1:50" x14ac:dyDescent="0.25">
      <c r="A5443" s="2" t="s">
        <v>35554</v>
      </c>
      <c r="B5443" s="2">
        <v>723.48876546538202</v>
      </c>
      <c r="C5443" s="2">
        <v>10.430199999999999</v>
      </c>
      <c r="D5443" s="2" t="s">
        <v>51</v>
      </c>
      <c r="E5443" s="2" t="s">
        <v>35555</v>
      </c>
      <c r="F5443" s="2">
        <v>22190</v>
      </c>
      <c r="G5443" s="3" t="str">
        <f>HYPERLINK("https://cloud.oebiotech.com/#/lm/network/22190", "https://cloud.oebiotech.com/#/lm/network/22190")</f>
        <v>https://cloud.oebiotech.com/#/lm/network/22190</v>
      </c>
      <c r="H5443" s="2" t="s">
        <v>35556</v>
      </c>
      <c r="I5443" s="2">
        <v>78593</v>
      </c>
      <c r="J5443" s="2" t="s">
        <v>35557</v>
      </c>
      <c r="K5443" s="2">
        <v>52926036</v>
      </c>
      <c r="L5443" s="2"/>
      <c r="M5443" s="2"/>
      <c r="N5443" s="2"/>
      <c r="O5443" s="2"/>
      <c r="P5443" s="2"/>
      <c r="Q5443" s="2"/>
      <c r="R5443" s="2"/>
      <c r="S5443" s="2" t="s">
        <v>35558</v>
      </c>
      <c r="T5443" s="2" t="s">
        <v>35559</v>
      </c>
      <c r="U5443" s="2" t="s">
        <v>56</v>
      </c>
      <c r="V5443" s="2" t="s">
        <v>57</v>
      </c>
      <c r="W5443" s="2" t="s">
        <v>82</v>
      </c>
      <c r="X5443" s="2" t="s">
        <v>147</v>
      </c>
      <c r="Y5443" s="2">
        <v>36.5</v>
      </c>
      <c r="Z5443" s="2">
        <v>0</v>
      </c>
      <c r="AA5443" s="2" t="s">
        <v>512</v>
      </c>
      <c r="AB5443" s="2" t="s">
        <v>35560</v>
      </c>
      <c r="AC5443" s="2">
        <v>-4.4567860932749097</v>
      </c>
      <c r="AD5443" s="2"/>
      <c r="AE5443" s="2">
        <v>3.07625135441046E-2</v>
      </c>
      <c r="AF5443" s="2">
        <v>76853.959851427193</v>
      </c>
      <c r="AG5443" s="2">
        <v>74863.678664649502</v>
      </c>
      <c r="AH5443" s="5">
        <v>1.0265854045951099</v>
      </c>
      <c r="AI5443" s="5">
        <v>3.78536543929077E-2</v>
      </c>
      <c r="AJ5443" s="5" t="s">
        <v>139</v>
      </c>
      <c r="AK5443" s="2">
        <v>0.78365676681166496</v>
      </c>
      <c r="AL5443" s="2">
        <v>0.90516930438927101</v>
      </c>
      <c r="AM5443" s="2">
        <v>60159.071959124602</v>
      </c>
      <c r="AN5443" s="2">
        <v>63626.128261368904</v>
      </c>
      <c r="AO5443" s="2">
        <v>75660.889448136295</v>
      </c>
      <c r="AP5443" s="2">
        <v>81078.200487037495</v>
      </c>
      <c r="AQ5443" s="2">
        <v>97241.126096600798</v>
      </c>
      <c r="AR5443" s="2">
        <v>83358.342856294898</v>
      </c>
      <c r="AS5443" s="2">
        <v>81162.557480837597</v>
      </c>
      <c r="AT5443" s="2">
        <v>91889.794006933196</v>
      </c>
      <c r="AU5443" s="2">
        <v>72865.551747688296</v>
      </c>
      <c r="AV5443" s="2">
        <v>63045.830222279801</v>
      </c>
      <c r="AW5443" s="2">
        <v>74825.676864237903</v>
      </c>
      <c r="AX5443" s="2">
        <v>65392.661665920197</v>
      </c>
    </row>
    <row r="5444" spans="1:50" x14ac:dyDescent="0.25">
      <c r="A5444" s="2" t="s">
        <v>35561</v>
      </c>
      <c r="B5444" s="2">
        <v>161.04460134062001</v>
      </c>
      <c r="C5444" s="2">
        <v>1.3665166666666699</v>
      </c>
      <c r="D5444" s="2" t="s">
        <v>51</v>
      </c>
      <c r="E5444" s="2" t="s">
        <v>35562</v>
      </c>
      <c r="F5444" s="2">
        <v>2900</v>
      </c>
      <c r="G5444" s="3" t="str">
        <f>HYPERLINK("https://cloud.oebiotech.com/#/lm/network/2900", "https://cloud.oebiotech.com/#/lm/network/2900")</f>
        <v>https://cloud.oebiotech.com/#/lm/network/2900</v>
      </c>
      <c r="H5444" s="2" t="s">
        <v>35563</v>
      </c>
      <c r="I5444" s="2">
        <v>5334</v>
      </c>
      <c r="J5444" s="2" t="s">
        <v>35564</v>
      </c>
      <c r="K5444" s="2">
        <v>151913</v>
      </c>
      <c r="L5444" s="2"/>
      <c r="M5444" s="2"/>
      <c r="N5444" s="2"/>
      <c r="O5444" s="2">
        <v>89205</v>
      </c>
      <c r="P5444" s="2"/>
      <c r="Q5444" s="2"/>
      <c r="R5444" s="2" t="s">
        <v>35565</v>
      </c>
      <c r="S5444" s="2" t="s">
        <v>35566</v>
      </c>
      <c r="T5444" s="2" t="s">
        <v>35567</v>
      </c>
      <c r="U5444" s="2" t="s">
        <v>103</v>
      </c>
      <c r="V5444" s="2" t="s">
        <v>377</v>
      </c>
      <c r="W5444" s="2" t="s">
        <v>378</v>
      </c>
      <c r="X5444" s="2" t="s">
        <v>69</v>
      </c>
      <c r="Y5444" s="2">
        <v>53.2</v>
      </c>
      <c r="Z5444" s="2">
        <v>57.4</v>
      </c>
      <c r="AA5444" s="2" t="s">
        <v>163</v>
      </c>
      <c r="AB5444" s="2" t="s">
        <v>6564</v>
      </c>
      <c r="AC5444" s="2">
        <v>-5.8354174905239402</v>
      </c>
      <c r="AD5444" s="2"/>
      <c r="AE5444" s="2">
        <v>3.0714652891714399E-2</v>
      </c>
      <c r="AF5444" s="2">
        <v>5065.3537420126304</v>
      </c>
      <c r="AG5444" s="2">
        <v>5071.2326748990599</v>
      </c>
      <c r="AH5444" s="4">
        <v>0.99884072901732002</v>
      </c>
      <c r="AI5444" s="4">
        <v>-1.6734446732054799E-3</v>
      </c>
      <c r="AJ5444" s="4" t="s">
        <v>62</v>
      </c>
      <c r="AK5444" s="2">
        <v>0.99538652740617095</v>
      </c>
      <c r="AL5444" s="2">
        <v>0.99756113952110803</v>
      </c>
      <c r="AM5444" s="2">
        <v>3347.3931392927798</v>
      </c>
      <c r="AN5444" s="2">
        <v>6568.3873385257102</v>
      </c>
      <c r="AO5444" s="2">
        <v>5614.1033187086296</v>
      </c>
      <c r="AP5444" s="2">
        <v>3883.1373254665</v>
      </c>
      <c r="AQ5444" s="2">
        <v>4285.6099494560203</v>
      </c>
      <c r="AR5444" s="2">
        <v>6693.4913806261302</v>
      </c>
      <c r="AS5444" s="2">
        <v>8765.4711816918407</v>
      </c>
      <c r="AT5444" s="2">
        <v>4277.0046166368302</v>
      </c>
      <c r="AU5444" s="2">
        <v>3422.1377397998299</v>
      </c>
      <c r="AV5444" s="2">
        <v>5607.1523804956396</v>
      </c>
      <c r="AW5444" s="2">
        <v>4653.7546576903096</v>
      </c>
      <c r="AX5444" s="2">
        <v>3701.8754730798801</v>
      </c>
    </row>
    <row r="5445" spans="1:50" x14ac:dyDescent="0.25">
      <c r="A5445" s="2" t="s">
        <v>35568</v>
      </c>
      <c r="B5445" s="2">
        <v>369.16660074127901</v>
      </c>
      <c r="C5445" s="2">
        <v>5.1213666666666704</v>
      </c>
      <c r="D5445" s="2" t="s">
        <v>51</v>
      </c>
      <c r="E5445" s="2" t="s">
        <v>35569</v>
      </c>
      <c r="F5445" s="2">
        <v>24923</v>
      </c>
      <c r="G5445" s="3" t="str">
        <f>HYPERLINK("https://cloud.oebiotech.com/#/lm/network/24923", "https://cloud.oebiotech.com/#/lm/network/24923")</f>
        <v>https://cloud.oebiotech.com/#/lm/network/24923</v>
      </c>
      <c r="H5445" s="2"/>
      <c r="I5445" s="2">
        <v>40918</v>
      </c>
      <c r="J5445" s="2" t="s">
        <v>35570</v>
      </c>
      <c r="K5445" s="2">
        <v>9547165</v>
      </c>
      <c r="L5445" s="2"/>
      <c r="M5445" s="2"/>
      <c r="N5445" s="2"/>
      <c r="O5445" s="2">
        <v>131508</v>
      </c>
      <c r="P5445" s="2"/>
      <c r="Q5445" s="2"/>
      <c r="R5445" s="2"/>
      <c r="S5445" s="2" t="s">
        <v>35571</v>
      </c>
      <c r="T5445" s="2" t="s">
        <v>35572</v>
      </c>
      <c r="U5445" s="2" t="s">
        <v>56</v>
      </c>
      <c r="V5445" s="2" t="s">
        <v>57</v>
      </c>
      <c r="W5445" s="2" t="s">
        <v>702</v>
      </c>
      <c r="X5445" s="2" t="s">
        <v>147</v>
      </c>
      <c r="Y5445" s="2">
        <v>38.4</v>
      </c>
      <c r="Z5445" s="2">
        <v>0</v>
      </c>
      <c r="AA5445" s="2" t="s">
        <v>60</v>
      </c>
      <c r="AB5445" s="2" t="s">
        <v>35573</v>
      </c>
      <c r="AC5445" s="2">
        <v>-1.8475858940137699</v>
      </c>
      <c r="AD5445" s="2"/>
      <c r="AE5445" s="2">
        <v>3.0705596430924301E-2</v>
      </c>
      <c r="AF5445" s="2">
        <v>2952.6945874992498</v>
      </c>
      <c r="AG5445" s="2">
        <v>3379.9702557036499</v>
      </c>
      <c r="AH5445" s="4">
        <v>0.87358596795833099</v>
      </c>
      <c r="AI5445" s="4">
        <v>-0.19497841184332501</v>
      </c>
      <c r="AJ5445" s="4" t="s">
        <v>62</v>
      </c>
      <c r="AK5445" s="2">
        <v>0.91923398134628798</v>
      </c>
      <c r="AL5445" s="2">
        <v>0.96541520383033996</v>
      </c>
      <c r="AM5445" s="2">
        <v>159.38009812486101</v>
      </c>
      <c r="AN5445" s="2">
        <v>17123.012021745799</v>
      </c>
      <c r="AO5445" s="2">
        <v>73.166039475936898</v>
      </c>
      <c r="AP5445" s="2">
        <v>212.33042283195601</v>
      </c>
      <c r="AQ5445" s="2">
        <v>8.559877937157E-6</v>
      </c>
      <c r="AR5445" s="2">
        <v>148.27893425704099</v>
      </c>
      <c r="AS5445" s="2">
        <v>55.038231485850098</v>
      </c>
      <c r="AT5445" s="2">
        <v>8.559877937157E-6</v>
      </c>
      <c r="AU5445" s="2">
        <v>520.44005735645101</v>
      </c>
      <c r="AV5445" s="2">
        <v>1296.0228142394001</v>
      </c>
      <c r="AW5445" s="2">
        <v>18222.264977425199</v>
      </c>
      <c r="AX5445" s="2">
        <v>186.055445155146</v>
      </c>
    </row>
    <row r="5446" spans="1:50" x14ac:dyDescent="0.25">
      <c r="A5446" s="2" t="s">
        <v>35574</v>
      </c>
      <c r="B5446" s="2">
        <v>236.06726943439199</v>
      </c>
      <c r="C5446" s="2">
        <v>4.3619500000000002</v>
      </c>
      <c r="D5446" s="2" t="s">
        <v>51</v>
      </c>
      <c r="E5446" s="2" t="s">
        <v>35575</v>
      </c>
      <c r="F5446" s="2">
        <v>266259</v>
      </c>
      <c r="G5446" s="3" t="str">
        <f>HYPERLINK("https://cloud.oebiotech.com/#/lm/network/266259", "https://cloud.oebiotech.com/#/lm/network/266259")</f>
        <v>https://cloud.oebiotech.com/#/lm/network/266259</v>
      </c>
      <c r="H5446" s="2"/>
      <c r="I5446" s="2">
        <v>34473</v>
      </c>
      <c r="J5446" s="2"/>
      <c r="K5446" s="2">
        <v>72942114</v>
      </c>
      <c r="L5446" s="2"/>
      <c r="M5446" s="2"/>
      <c r="N5446" s="2"/>
      <c r="O5446" s="2"/>
      <c r="P5446" s="2"/>
      <c r="Q5446" s="2"/>
      <c r="R5446" s="2"/>
      <c r="S5446" s="2" t="s">
        <v>35576</v>
      </c>
      <c r="T5446" s="2" t="s">
        <v>35577</v>
      </c>
      <c r="U5446" s="2" t="s">
        <v>610</v>
      </c>
      <c r="V5446" s="2" t="s">
        <v>611</v>
      </c>
      <c r="W5446" s="2" t="s">
        <v>8369</v>
      </c>
      <c r="X5446" s="2" t="s">
        <v>147</v>
      </c>
      <c r="Y5446" s="2">
        <v>37.9</v>
      </c>
      <c r="Z5446" s="2">
        <v>0</v>
      </c>
      <c r="AA5446" s="2" t="s">
        <v>259</v>
      </c>
      <c r="AB5446" s="2" t="s">
        <v>35578</v>
      </c>
      <c r="AC5446" s="2">
        <v>2.9236073829281199</v>
      </c>
      <c r="AD5446" s="2"/>
      <c r="AE5446" s="2">
        <v>3.0681196920020099E-2</v>
      </c>
      <c r="AF5446" s="2">
        <v>124.037117660295</v>
      </c>
      <c r="AG5446" s="2">
        <v>392.88929556341401</v>
      </c>
      <c r="AH5446" s="4">
        <v>0.31570500662895801</v>
      </c>
      <c r="AI5446" s="4">
        <v>-1.66335095497927</v>
      </c>
      <c r="AJ5446" s="4" t="s">
        <v>62</v>
      </c>
      <c r="AK5446" s="2">
        <v>0.50274485397943502</v>
      </c>
      <c r="AL5446" s="2">
        <v>0.73972644314148805</v>
      </c>
      <c r="AM5446" s="2">
        <v>351.61208008643001</v>
      </c>
      <c r="AN5446" s="2">
        <v>228.18021925341699</v>
      </c>
      <c r="AO5446" s="2">
        <v>130.607457764619</v>
      </c>
      <c r="AP5446" s="2">
        <v>8.559877937157E-6</v>
      </c>
      <c r="AQ5446" s="2">
        <v>13.3341520922255</v>
      </c>
      <c r="AR5446" s="2">
        <v>20.488788205197601</v>
      </c>
      <c r="AS5446" s="2">
        <v>8.559877937157E-6</v>
      </c>
      <c r="AT5446" s="2">
        <v>53.2961175229349</v>
      </c>
      <c r="AU5446" s="2">
        <v>2304.0396216180402</v>
      </c>
      <c r="AV5446" s="2">
        <v>8.559877937157E-6</v>
      </c>
      <c r="AW5446" s="2">
        <v>8.559877937157E-6</v>
      </c>
      <c r="AX5446" s="2">
        <v>8.559877937157E-6</v>
      </c>
    </row>
    <row r="5447" spans="1:50" x14ac:dyDescent="0.25">
      <c r="A5447" s="2" t="s">
        <v>35579</v>
      </c>
      <c r="B5447" s="2">
        <v>157.049614344698</v>
      </c>
      <c r="C5447" s="2">
        <v>2.6979833333333301</v>
      </c>
      <c r="D5447" s="2" t="s">
        <v>51</v>
      </c>
      <c r="E5447" s="2" t="s">
        <v>35580</v>
      </c>
      <c r="F5447" s="2">
        <v>2893</v>
      </c>
      <c r="G5447" s="3" t="str">
        <f>HYPERLINK("https://cloud.oebiotech.com/#/lm/network/2893", "https://cloud.oebiotech.com/#/lm/network/2893")</f>
        <v>https://cloud.oebiotech.com/#/lm/network/2893</v>
      </c>
      <c r="H5447" s="2" t="s">
        <v>35581</v>
      </c>
      <c r="I5447" s="2">
        <v>45921</v>
      </c>
      <c r="J5447" s="2" t="s">
        <v>35582</v>
      </c>
      <c r="K5447" s="2">
        <v>21252268</v>
      </c>
      <c r="L5447" s="2"/>
      <c r="M5447" s="2"/>
      <c r="N5447" s="2"/>
      <c r="O5447" s="2"/>
      <c r="P5447" s="2"/>
      <c r="Q5447" s="2"/>
      <c r="R5447" s="2" t="s">
        <v>35583</v>
      </c>
      <c r="S5447" s="2" t="s">
        <v>35584</v>
      </c>
      <c r="T5447" s="2" t="s">
        <v>35585</v>
      </c>
      <c r="U5447" s="2" t="s">
        <v>56</v>
      </c>
      <c r="V5447" s="2" t="s">
        <v>145</v>
      </c>
      <c r="W5447" s="2" t="s">
        <v>231</v>
      </c>
      <c r="X5447" s="2" t="s">
        <v>83</v>
      </c>
      <c r="Y5447" s="2">
        <v>47.9</v>
      </c>
      <c r="Z5447" s="2">
        <v>0</v>
      </c>
      <c r="AA5447" s="2" t="s">
        <v>379</v>
      </c>
      <c r="AB5447" s="2" t="s">
        <v>29102</v>
      </c>
      <c r="AC5447" s="2">
        <v>-5.7819433653560797</v>
      </c>
      <c r="AD5447" s="2"/>
      <c r="AE5447" s="2">
        <v>3.0551832017412E-2</v>
      </c>
      <c r="AF5447" s="2">
        <v>629.90035581792699</v>
      </c>
      <c r="AG5447" s="2">
        <v>698.66485782923098</v>
      </c>
      <c r="AH5447" s="4">
        <v>0.90157727093222195</v>
      </c>
      <c r="AI5447" s="4">
        <v>-0.14947694974845899</v>
      </c>
      <c r="AJ5447" s="4" t="s">
        <v>62</v>
      </c>
      <c r="AK5447" s="2">
        <v>0.34436570847873299</v>
      </c>
      <c r="AL5447" s="2">
        <v>0.63883639734105901</v>
      </c>
      <c r="AM5447" s="2">
        <v>646.42046499767798</v>
      </c>
      <c r="AN5447" s="2">
        <v>556.42391943061602</v>
      </c>
      <c r="AO5447" s="2">
        <v>618.75781901977598</v>
      </c>
      <c r="AP5447" s="2">
        <v>597.37175843118996</v>
      </c>
      <c r="AQ5447" s="2">
        <v>717.8042221316</v>
      </c>
      <c r="AR5447" s="2">
        <v>642.62395089670304</v>
      </c>
      <c r="AS5447" s="2">
        <v>516.08290921654395</v>
      </c>
      <c r="AT5447" s="2">
        <v>611.15994860562796</v>
      </c>
      <c r="AU5447" s="2">
        <v>922.71713562241905</v>
      </c>
      <c r="AV5447" s="2">
        <v>844.98060177001003</v>
      </c>
      <c r="AW5447" s="2">
        <v>572.237814603022</v>
      </c>
      <c r="AX5447" s="2">
        <v>724.81073715776495</v>
      </c>
    </row>
    <row r="5448" spans="1:50" x14ac:dyDescent="0.25">
      <c r="A5448" s="2" t="s">
        <v>35586</v>
      </c>
      <c r="B5448" s="2">
        <v>185.12904689963401</v>
      </c>
      <c r="C5448" s="2">
        <v>3.3068166666666698</v>
      </c>
      <c r="D5448" s="2" t="s">
        <v>51</v>
      </c>
      <c r="E5448" s="2" t="s">
        <v>35587</v>
      </c>
      <c r="F5448" s="2">
        <v>82995</v>
      </c>
      <c r="G5448" s="3" t="str">
        <f>HYPERLINK("https://cloud.oebiotech.com/#/lm/network/82995", "https://cloud.oebiotech.com/#/lm/network/82995")</f>
        <v>https://cloud.oebiotech.com/#/lm/network/82995</v>
      </c>
      <c r="H5448" s="2" t="s">
        <v>35588</v>
      </c>
      <c r="I5448" s="2"/>
      <c r="J5448" s="2"/>
      <c r="K5448" s="2">
        <v>129397</v>
      </c>
      <c r="L5448" s="2"/>
      <c r="M5448" s="2"/>
      <c r="N5448" s="2"/>
      <c r="O5448" s="2">
        <v>133185</v>
      </c>
      <c r="P5448" s="2"/>
      <c r="Q5448" s="2"/>
      <c r="R5448" s="2" t="s">
        <v>35589</v>
      </c>
      <c r="S5448" s="2" t="s">
        <v>35590</v>
      </c>
      <c r="T5448" s="2" t="s">
        <v>35591</v>
      </c>
      <c r="U5448" s="2" t="s">
        <v>266</v>
      </c>
      <c r="V5448" s="2" t="s">
        <v>2432</v>
      </c>
      <c r="W5448" s="2" t="s">
        <v>2433</v>
      </c>
      <c r="X5448" s="2" t="s">
        <v>147</v>
      </c>
      <c r="Y5448" s="2">
        <v>44</v>
      </c>
      <c r="Z5448" s="2">
        <v>28.6</v>
      </c>
      <c r="AA5448" s="2" t="s">
        <v>60</v>
      </c>
      <c r="AB5448" s="2" t="s">
        <v>35592</v>
      </c>
      <c r="AC5448" s="2">
        <v>3.2191071183003199</v>
      </c>
      <c r="AD5448" s="2"/>
      <c r="AE5448" s="2">
        <v>3.0525168509648599E-2</v>
      </c>
      <c r="AF5448" s="2">
        <v>158272.99259043401</v>
      </c>
      <c r="AG5448" s="2">
        <v>148513.41426421501</v>
      </c>
      <c r="AH5448" s="5">
        <v>1.0657151300074199</v>
      </c>
      <c r="AI5448" s="5">
        <v>9.1821851371874805E-2</v>
      </c>
      <c r="AJ5448" s="5" t="s">
        <v>139</v>
      </c>
      <c r="AK5448" s="2">
        <v>0.72806378908922798</v>
      </c>
      <c r="AL5448" s="2">
        <v>0.87464887005721204</v>
      </c>
      <c r="AM5448" s="2">
        <v>109645.70135914</v>
      </c>
      <c r="AN5448" s="2">
        <v>199102.06737866299</v>
      </c>
      <c r="AO5448" s="2">
        <v>96745.021208828606</v>
      </c>
      <c r="AP5448" s="2">
        <v>223728.673307082</v>
      </c>
      <c r="AQ5448" s="2">
        <v>138942.593648045</v>
      </c>
      <c r="AR5448" s="2">
        <v>181473.898640848</v>
      </c>
      <c r="AS5448" s="2">
        <v>115612.547546808</v>
      </c>
      <c r="AT5448" s="2">
        <v>138924.44830323599</v>
      </c>
      <c r="AU5448" s="2">
        <v>128023.12323273699</v>
      </c>
      <c r="AV5448" s="2">
        <v>160568.10285885399</v>
      </c>
      <c r="AW5448" s="2">
        <v>117880.24463020499</v>
      </c>
      <c r="AX5448" s="2">
        <v>230072.019013451</v>
      </c>
    </row>
    <row r="5449" spans="1:50" x14ac:dyDescent="0.25">
      <c r="A5449" s="2" t="s">
        <v>35593</v>
      </c>
      <c r="B5449" s="2">
        <v>235.09495697147</v>
      </c>
      <c r="C5449" s="2">
        <v>6.55185</v>
      </c>
      <c r="D5449" s="2" t="s">
        <v>51</v>
      </c>
      <c r="E5449" s="2" t="s">
        <v>35594</v>
      </c>
      <c r="F5449" s="2">
        <v>205928</v>
      </c>
      <c r="G5449" s="3" t="str">
        <f>HYPERLINK("https://cloud.oebiotech.com/#/lm/network/205928", "https://cloud.oebiotech.com/#/lm/network/205928")</f>
        <v>https://cloud.oebiotech.com/#/lm/network/205928</v>
      </c>
      <c r="H5449" s="2" t="s">
        <v>35595</v>
      </c>
      <c r="I5449" s="2"/>
      <c r="J5449" s="2"/>
      <c r="K5449" s="2"/>
      <c r="L5449" s="2"/>
      <c r="M5449" s="2"/>
      <c r="N5449" s="2"/>
      <c r="O5449" s="2"/>
      <c r="P5449" s="2"/>
      <c r="Q5449" s="2"/>
      <c r="R5449" s="2"/>
      <c r="S5449" s="2" t="s">
        <v>35596</v>
      </c>
      <c r="T5449" s="2" t="s">
        <v>35597</v>
      </c>
      <c r="U5449" s="2" t="s">
        <v>266</v>
      </c>
      <c r="V5449" s="2" t="s">
        <v>6667</v>
      </c>
      <c r="W5449" s="2" t="s">
        <v>6668</v>
      </c>
      <c r="X5449" s="2" t="s">
        <v>147</v>
      </c>
      <c r="Y5449" s="2">
        <v>39.200000000000003</v>
      </c>
      <c r="Z5449" s="2">
        <v>0</v>
      </c>
      <c r="AA5449" s="2" t="s">
        <v>218</v>
      </c>
      <c r="AB5449" s="2" t="s">
        <v>35598</v>
      </c>
      <c r="AC5449" s="2">
        <v>0.31432408942801499</v>
      </c>
      <c r="AD5449" s="2"/>
      <c r="AE5449" s="2">
        <v>3.0416397085046901E-2</v>
      </c>
      <c r="AF5449" s="2">
        <v>1027.7345712194301</v>
      </c>
      <c r="AG5449" s="2">
        <v>1036.6159226018201</v>
      </c>
      <c r="AH5449" s="4">
        <v>0.99143236063739304</v>
      </c>
      <c r="AI5449" s="4">
        <v>-1.24137453295281E-2</v>
      </c>
      <c r="AJ5449" s="4" t="s">
        <v>62</v>
      </c>
      <c r="AK5449" s="2">
        <v>0.98628240863956296</v>
      </c>
      <c r="AL5449" s="2">
        <v>0.99476292038446301</v>
      </c>
      <c r="AM5449" s="2">
        <v>1782.9187851366</v>
      </c>
      <c r="AN5449" s="2">
        <v>1701.3951429901399</v>
      </c>
      <c r="AO5449" s="2">
        <v>636.63005782425603</v>
      </c>
      <c r="AP5449" s="2">
        <v>348.29360311925302</v>
      </c>
      <c r="AQ5449" s="2">
        <v>972.86580571483103</v>
      </c>
      <c r="AR5449" s="2">
        <v>724.30403253148404</v>
      </c>
      <c r="AS5449" s="2">
        <v>464.11473099628103</v>
      </c>
      <c r="AT5449" s="2">
        <v>66.186467276391298</v>
      </c>
      <c r="AU5449" s="2">
        <v>3060.44567784317</v>
      </c>
      <c r="AV5449" s="2">
        <v>362.28491450662102</v>
      </c>
      <c r="AW5449" s="2">
        <v>1279.07426726368</v>
      </c>
      <c r="AX5449" s="2">
        <v>987.58947772475005</v>
      </c>
    </row>
    <row r="5450" spans="1:50" x14ac:dyDescent="0.25">
      <c r="A5450" s="2" t="s">
        <v>35599</v>
      </c>
      <c r="B5450" s="2">
        <v>159.065616730339</v>
      </c>
      <c r="C5450" s="2">
        <v>0.50913333333333299</v>
      </c>
      <c r="D5450" s="2" t="s">
        <v>51</v>
      </c>
      <c r="E5450" s="2" t="s">
        <v>35600</v>
      </c>
      <c r="F5450" s="2">
        <v>257089</v>
      </c>
      <c r="G5450" s="3" t="str">
        <f>HYPERLINK("https://cloud.oebiotech.com/#/lm/network/257089", "https://cloud.oebiotech.com/#/lm/network/257089")</f>
        <v>https://cloud.oebiotech.com/#/lm/network/257089</v>
      </c>
      <c r="H5450" s="2" t="s">
        <v>35601</v>
      </c>
      <c r="I5450" s="2"/>
      <c r="J5450" s="2"/>
      <c r="K5450" s="2">
        <v>6395359</v>
      </c>
      <c r="L5450" s="2" t="s">
        <v>35602</v>
      </c>
      <c r="M5450" s="2"/>
      <c r="N5450" s="2"/>
      <c r="O5450" s="2">
        <v>15870</v>
      </c>
      <c r="P5450" s="2"/>
      <c r="Q5450" s="2"/>
      <c r="R5450" s="2"/>
      <c r="S5450" s="2" t="s">
        <v>35603</v>
      </c>
      <c r="T5450" s="2" t="s">
        <v>35604</v>
      </c>
      <c r="U5450" s="2" t="s">
        <v>119</v>
      </c>
      <c r="V5450" s="2" t="s">
        <v>120</v>
      </c>
      <c r="W5450" s="2" t="s">
        <v>121</v>
      </c>
      <c r="X5450" s="2" t="s">
        <v>147</v>
      </c>
      <c r="Y5450" s="2">
        <v>38.799999999999997</v>
      </c>
      <c r="Z5450" s="2">
        <v>0</v>
      </c>
      <c r="AA5450" s="2" t="s">
        <v>395</v>
      </c>
      <c r="AB5450" s="2" t="s">
        <v>35605</v>
      </c>
      <c r="AC5450" s="2">
        <v>4.1276749570045602E-2</v>
      </c>
      <c r="AD5450" s="2"/>
      <c r="AE5450" s="2">
        <v>3.0402740735843502E-2</v>
      </c>
      <c r="AF5450" s="2">
        <v>3914.5188077798098</v>
      </c>
      <c r="AG5450" s="2">
        <v>3799.9356190649801</v>
      </c>
      <c r="AH5450" s="5">
        <v>1.0301539815937799</v>
      </c>
      <c r="AI5450" s="5">
        <v>4.2859999426121398E-2</v>
      </c>
      <c r="AJ5450" s="5" t="s">
        <v>139</v>
      </c>
      <c r="AK5450" s="2">
        <v>0.80874477853999704</v>
      </c>
      <c r="AL5450" s="2">
        <v>0.91457480956037396</v>
      </c>
      <c r="AM5450" s="2">
        <v>4410.9861243479299</v>
      </c>
      <c r="AN5450" s="2">
        <v>4925.4282858118604</v>
      </c>
      <c r="AO5450" s="2">
        <v>3539.4040052765099</v>
      </c>
      <c r="AP5450" s="2">
        <v>3393.2264097079001</v>
      </c>
      <c r="AQ5450" s="2">
        <v>4104.7084798064097</v>
      </c>
      <c r="AR5450" s="2">
        <v>3113.35954172827</v>
      </c>
      <c r="AS5450" s="2">
        <v>3129.18075966069</v>
      </c>
      <c r="AT5450" s="2">
        <v>3348.2841643986299</v>
      </c>
      <c r="AU5450" s="2">
        <v>3055.02720526341</v>
      </c>
      <c r="AV5450" s="2">
        <v>3431.4634317127502</v>
      </c>
      <c r="AW5450" s="2">
        <v>4623.3951498705001</v>
      </c>
      <c r="AX5450" s="2">
        <v>5212.2630034839103</v>
      </c>
    </row>
    <row r="5451" spans="1:50" x14ac:dyDescent="0.25">
      <c r="A5451" s="2" t="s">
        <v>35606</v>
      </c>
      <c r="B5451" s="2">
        <v>358.19858657965</v>
      </c>
      <c r="C5451" s="2">
        <v>3.8365666666666698</v>
      </c>
      <c r="D5451" s="2" t="s">
        <v>51</v>
      </c>
      <c r="E5451" s="2" t="s">
        <v>35607</v>
      </c>
      <c r="F5451" s="2">
        <v>262360</v>
      </c>
      <c r="G5451" s="3" t="str">
        <f>HYPERLINK("https://cloud.oebiotech.com/#/lm/network/262360", "https://cloud.oebiotech.com/#/lm/network/262360")</f>
        <v>https://cloud.oebiotech.com/#/lm/network/262360</v>
      </c>
      <c r="H5451" s="2"/>
      <c r="I5451" s="2">
        <v>19717</v>
      </c>
      <c r="J5451" s="2"/>
      <c r="K5451" s="2">
        <v>14889680</v>
      </c>
      <c r="L5451" s="2"/>
      <c r="M5451" s="2"/>
      <c r="N5451" s="2"/>
      <c r="O5451" s="2"/>
      <c r="P5451" s="2"/>
      <c r="Q5451" s="2"/>
      <c r="R5451" s="2"/>
      <c r="S5451" s="2" t="s">
        <v>35608</v>
      </c>
      <c r="T5451" s="2" t="s">
        <v>35609</v>
      </c>
      <c r="U5451" s="2" t="s">
        <v>103</v>
      </c>
      <c r="V5451" s="2" t="s">
        <v>104</v>
      </c>
      <c r="W5451" s="2" t="s">
        <v>105</v>
      </c>
      <c r="X5451" s="2" t="s">
        <v>69</v>
      </c>
      <c r="Y5451" s="2">
        <v>54.8</v>
      </c>
      <c r="Z5451" s="2">
        <v>72.7</v>
      </c>
      <c r="AA5451" s="2" t="s">
        <v>259</v>
      </c>
      <c r="AB5451" s="2" t="s">
        <v>35610</v>
      </c>
      <c r="AC5451" s="2">
        <v>3.7082506594781601</v>
      </c>
      <c r="AD5451" s="2"/>
      <c r="AE5451" s="2">
        <v>3.02425568198121E-2</v>
      </c>
      <c r="AF5451" s="2">
        <v>5488.92865355092</v>
      </c>
      <c r="AG5451" s="2">
        <v>6410.9891058174298</v>
      </c>
      <c r="AH5451" s="4">
        <v>0.856175008715922</v>
      </c>
      <c r="AI5451" s="4">
        <v>-0.224022370223599</v>
      </c>
      <c r="AJ5451" s="4" t="s">
        <v>62</v>
      </c>
      <c r="AK5451" s="2">
        <v>0.79404562908074505</v>
      </c>
      <c r="AL5451" s="2">
        <v>0.90920904529457702</v>
      </c>
      <c r="AM5451" s="2">
        <v>11614.6629625858</v>
      </c>
      <c r="AN5451" s="2">
        <v>1202.1841463524099</v>
      </c>
      <c r="AO5451" s="2">
        <v>5960.3185375550302</v>
      </c>
      <c r="AP5451" s="2">
        <v>2362.57590227944</v>
      </c>
      <c r="AQ5451" s="2">
        <v>4555.4755508333101</v>
      </c>
      <c r="AR5451" s="2">
        <v>7238.3548216995096</v>
      </c>
      <c r="AS5451" s="2">
        <v>1479.7302020268601</v>
      </c>
      <c r="AT5451" s="2">
        <v>1515.11082860846</v>
      </c>
      <c r="AU5451" s="2">
        <v>13390.2713900745</v>
      </c>
      <c r="AV5451" s="2">
        <v>18433.000908108101</v>
      </c>
      <c r="AW5451" s="2">
        <v>2637.1003616558401</v>
      </c>
      <c r="AX5451" s="2">
        <v>1010.72094443079</v>
      </c>
    </row>
    <row r="5452" spans="1:50" x14ac:dyDescent="0.25">
      <c r="A5452" s="2" t="s">
        <v>35611</v>
      </c>
      <c r="B5452" s="2">
        <v>138.091749363616</v>
      </c>
      <c r="C5452" s="2">
        <v>5.4438333333333304</v>
      </c>
      <c r="D5452" s="2" t="s">
        <v>51</v>
      </c>
      <c r="E5452" s="2" t="s">
        <v>35612</v>
      </c>
      <c r="F5452" s="2">
        <v>203965</v>
      </c>
      <c r="G5452" s="3" t="str">
        <f>HYPERLINK("https://cloud.oebiotech.com/#/lm/network/203965", "https://cloud.oebiotech.com/#/lm/network/203965")</f>
        <v>https://cloud.oebiotech.com/#/lm/network/203965</v>
      </c>
      <c r="H5452" s="2" t="s">
        <v>35613</v>
      </c>
      <c r="I5452" s="2"/>
      <c r="J5452" s="2"/>
      <c r="K5452" s="2"/>
      <c r="L5452" s="2"/>
      <c r="M5452" s="2"/>
      <c r="N5452" s="2"/>
      <c r="O5452" s="2"/>
      <c r="P5452" s="2"/>
      <c r="Q5452" s="2"/>
      <c r="R5452" s="2"/>
      <c r="S5452" s="2" t="s">
        <v>35614</v>
      </c>
      <c r="T5452" s="2" t="s">
        <v>35615</v>
      </c>
      <c r="U5452" s="2" t="s">
        <v>266</v>
      </c>
      <c r="V5452" s="2" t="s">
        <v>1742</v>
      </c>
      <c r="W5452" s="2" t="s">
        <v>24042</v>
      </c>
      <c r="X5452" s="2" t="s">
        <v>83</v>
      </c>
      <c r="Y5452" s="2">
        <v>44.8</v>
      </c>
      <c r="Z5452" s="2">
        <v>0</v>
      </c>
      <c r="AA5452" s="2" t="s">
        <v>156</v>
      </c>
      <c r="AB5452" s="2" t="s">
        <v>21645</v>
      </c>
      <c r="AC5452" s="2">
        <v>2.6367952870760898</v>
      </c>
      <c r="AD5452" s="2"/>
      <c r="AE5452" s="2">
        <v>3.0227536963611499E-2</v>
      </c>
      <c r="AF5452" s="2">
        <v>2028.5359178041399</v>
      </c>
      <c r="AG5452" s="2">
        <v>2110.1571503107598</v>
      </c>
      <c r="AH5452" s="4">
        <v>0.96131983227192497</v>
      </c>
      <c r="AI5452" s="4">
        <v>-5.6911597638034397E-2</v>
      </c>
      <c r="AJ5452" s="4" t="s">
        <v>62</v>
      </c>
      <c r="AK5452" s="2">
        <v>0.78842256452582504</v>
      </c>
      <c r="AL5452" s="2">
        <v>0.90648239546146703</v>
      </c>
      <c r="AM5452" s="2">
        <v>1655.3483395277899</v>
      </c>
      <c r="AN5452" s="2">
        <v>2070.5411293749498</v>
      </c>
      <c r="AO5452" s="2">
        <v>1672.0271818844799</v>
      </c>
      <c r="AP5452" s="2">
        <v>1966.9607706398699</v>
      </c>
      <c r="AQ5452" s="2">
        <v>3068.3406419356802</v>
      </c>
      <c r="AR5452" s="2">
        <v>1737.9974434620699</v>
      </c>
      <c r="AS5452" s="2">
        <v>2732.4489447853698</v>
      </c>
      <c r="AT5452" s="2">
        <v>2288.9367554180999</v>
      </c>
      <c r="AU5452" s="2">
        <v>1796.5253765535001</v>
      </c>
      <c r="AV5452" s="2">
        <v>1626.3236989470199</v>
      </c>
      <c r="AW5452" s="2">
        <v>1638.79820688362</v>
      </c>
      <c r="AX5452" s="2">
        <v>2577.9099192769299</v>
      </c>
    </row>
    <row r="5453" spans="1:50" x14ac:dyDescent="0.25">
      <c r="A5453" s="2" t="s">
        <v>35616</v>
      </c>
      <c r="B5453" s="2">
        <v>789.34042930798205</v>
      </c>
      <c r="C5453" s="2">
        <v>4.1149500000000003</v>
      </c>
      <c r="D5453" s="2" t="s">
        <v>51</v>
      </c>
      <c r="E5453" s="2" t="s">
        <v>35617</v>
      </c>
      <c r="F5453" s="2">
        <v>213019</v>
      </c>
      <c r="G5453" s="3" t="str">
        <f>HYPERLINK("https://cloud.oebiotech.com/#/lm/network/213019", "https://cloud.oebiotech.com/#/lm/network/213019")</f>
        <v>https://cloud.oebiotech.com/#/lm/network/213019</v>
      </c>
      <c r="H5453" s="2" t="s">
        <v>35618</v>
      </c>
      <c r="I5453" s="2"/>
      <c r="J5453" s="2"/>
      <c r="K5453" s="2">
        <v>74337084</v>
      </c>
      <c r="L5453" s="2"/>
      <c r="M5453" s="2"/>
      <c r="N5453" s="2"/>
      <c r="O5453" s="2"/>
      <c r="P5453" s="2"/>
      <c r="Q5453" s="2"/>
      <c r="R5453" s="2"/>
      <c r="S5453" s="2" t="s">
        <v>35619</v>
      </c>
      <c r="T5453" s="2" t="s">
        <v>35620</v>
      </c>
      <c r="U5453" s="2" t="s">
        <v>331</v>
      </c>
      <c r="V5453" s="2" t="s">
        <v>332</v>
      </c>
      <c r="W5453" s="2" t="s">
        <v>333</v>
      </c>
      <c r="X5453" s="2" t="s">
        <v>147</v>
      </c>
      <c r="Y5453" s="2">
        <v>36.700000000000003</v>
      </c>
      <c r="Z5453" s="2">
        <v>39.299999999999997</v>
      </c>
      <c r="AA5453" s="2" t="s">
        <v>478</v>
      </c>
      <c r="AB5453" s="2" t="s">
        <v>35621</v>
      </c>
      <c r="AC5453" s="2">
        <v>1.4676236497559401</v>
      </c>
      <c r="AD5453" s="2"/>
      <c r="AE5453" s="2">
        <v>3.0147927328575901E-2</v>
      </c>
      <c r="AF5453" s="2">
        <v>5267.4851879323896</v>
      </c>
      <c r="AG5453" s="2">
        <v>5729.0443645119303</v>
      </c>
      <c r="AH5453" s="4">
        <v>0.91943522388504695</v>
      </c>
      <c r="AI5453" s="4">
        <v>-0.121180157522236</v>
      </c>
      <c r="AJ5453" s="4" t="s">
        <v>62</v>
      </c>
      <c r="AK5453" s="2">
        <v>0.93800508704070895</v>
      </c>
      <c r="AL5453" s="2">
        <v>0.97307988847819105</v>
      </c>
      <c r="AM5453" s="2">
        <v>15171.882174627301</v>
      </c>
      <c r="AN5453" s="2">
        <v>8.559877937157E-6</v>
      </c>
      <c r="AO5453" s="2">
        <v>403.20479718339999</v>
      </c>
      <c r="AP5453" s="2">
        <v>8.559877937157E-6</v>
      </c>
      <c r="AQ5453" s="2">
        <v>11765.8237589449</v>
      </c>
      <c r="AR5453" s="2">
        <v>4264.0003797190002</v>
      </c>
      <c r="AS5453" s="2">
        <v>8.559877937157E-6</v>
      </c>
      <c r="AT5453" s="2">
        <v>399.20945967985898</v>
      </c>
      <c r="AU5453" s="2">
        <v>395.144281744713</v>
      </c>
      <c r="AV5453" s="2">
        <v>31230.5663981324</v>
      </c>
      <c r="AW5453" s="2">
        <v>8.559877937157E-6</v>
      </c>
      <c r="AX5453" s="2">
        <v>2349.34603039485</v>
      </c>
    </row>
    <row r="5454" spans="1:50" x14ac:dyDescent="0.25">
      <c r="A5454" s="2" t="s">
        <v>35622</v>
      </c>
      <c r="B5454" s="2">
        <v>251.12861827907901</v>
      </c>
      <c r="C5454" s="2">
        <v>7.6115166666666703</v>
      </c>
      <c r="D5454" s="2" t="s">
        <v>51</v>
      </c>
      <c r="E5454" s="2" t="s">
        <v>35623</v>
      </c>
      <c r="F5454" s="2">
        <v>10157</v>
      </c>
      <c r="G5454" s="3" t="str">
        <f>HYPERLINK("https://cloud.oebiotech.com/#/lm/network/10157", "https://cloud.oebiotech.com/#/lm/network/10157")</f>
        <v>https://cloud.oebiotech.com/#/lm/network/10157</v>
      </c>
      <c r="H5454" s="2"/>
      <c r="I5454" s="2"/>
      <c r="J5454" s="2" t="s">
        <v>35624</v>
      </c>
      <c r="K5454" s="2"/>
      <c r="L5454" s="2"/>
      <c r="M5454" s="2"/>
      <c r="N5454" s="2"/>
      <c r="O5454" s="2"/>
      <c r="P5454" s="2"/>
      <c r="Q5454" s="2"/>
      <c r="R5454" s="2"/>
      <c r="S5454" s="2" t="s">
        <v>35625</v>
      </c>
      <c r="T5454" s="2" t="s">
        <v>35626</v>
      </c>
      <c r="U5454" s="2" t="s">
        <v>56</v>
      </c>
      <c r="V5454" s="2" t="s">
        <v>145</v>
      </c>
      <c r="W5454" s="2" t="s">
        <v>146</v>
      </c>
      <c r="X5454" s="2" t="s">
        <v>83</v>
      </c>
      <c r="Y5454" s="2">
        <v>52.4</v>
      </c>
      <c r="Z5454" s="2">
        <v>0</v>
      </c>
      <c r="AA5454" s="2" t="s">
        <v>218</v>
      </c>
      <c r="AB5454" s="2" t="s">
        <v>9137</v>
      </c>
      <c r="AC5454" s="2">
        <v>-1.2827168706676</v>
      </c>
      <c r="AD5454" s="2"/>
      <c r="AE5454" s="2">
        <v>3.00974816506848E-2</v>
      </c>
      <c r="AF5454" s="2">
        <v>5621.8302817700496</v>
      </c>
      <c r="AG5454" s="2">
        <v>5360.0100294008998</v>
      </c>
      <c r="AH5454" s="5">
        <v>1.0488469706088199</v>
      </c>
      <c r="AI5454" s="5">
        <v>6.8804200461633505E-2</v>
      </c>
      <c r="AJ5454" s="5" t="s">
        <v>139</v>
      </c>
      <c r="AK5454" s="2">
        <v>0.86240477903883395</v>
      </c>
      <c r="AL5454" s="2">
        <v>0.94043129269135906</v>
      </c>
      <c r="AM5454" s="2">
        <v>3265.7629293667101</v>
      </c>
      <c r="AN5454" s="2">
        <v>4598.9305577203804</v>
      </c>
      <c r="AO5454" s="2">
        <v>5677.3541865360203</v>
      </c>
      <c r="AP5454" s="2">
        <v>4829.7422069234499</v>
      </c>
      <c r="AQ5454" s="2">
        <v>5471.0505890772702</v>
      </c>
      <c r="AR5454" s="2">
        <v>9888.1412209964492</v>
      </c>
      <c r="AS5454" s="2">
        <v>5013.6529010249496</v>
      </c>
      <c r="AT5454" s="2">
        <v>2675.9386375895501</v>
      </c>
      <c r="AU5454" s="2">
        <v>3318.7095058802001</v>
      </c>
      <c r="AV5454" s="2">
        <v>4104.6176479293399</v>
      </c>
      <c r="AW5454" s="2">
        <v>6721.7690804101803</v>
      </c>
      <c r="AX5454" s="2">
        <v>10325.3724035712</v>
      </c>
    </row>
    <row r="5455" spans="1:50" x14ac:dyDescent="0.25">
      <c r="A5455" s="2" t="s">
        <v>35627</v>
      </c>
      <c r="B5455" s="2">
        <v>673.31325430012396</v>
      </c>
      <c r="C5455" s="2">
        <v>4.4428333333333301</v>
      </c>
      <c r="D5455" s="2" t="s">
        <v>51</v>
      </c>
      <c r="E5455" s="2" t="s">
        <v>35628</v>
      </c>
      <c r="F5455" s="2">
        <v>219784</v>
      </c>
      <c r="G5455" s="3" t="str">
        <f>HYPERLINK("https://cloud.oebiotech.com/#/lm/network/219784", "https://cloud.oebiotech.com/#/lm/network/219784")</f>
        <v>https://cloud.oebiotech.com/#/lm/network/219784</v>
      </c>
      <c r="H5455" s="2" t="s">
        <v>35629</v>
      </c>
      <c r="I5455" s="2"/>
      <c r="J5455" s="2"/>
      <c r="K5455" s="2"/>
      <c r="L5455" s="2"/>
      <c r="M5455" s="2"/>
      <c r="N5455" s="2"/>
      <c r="O5455" s="2"/>
      <c r="P5455" s="2"/>
      <c r="Q5455" s="2"/>
      <c r="R5455" s="2"/>
      <c r="S5455" s="2" t="s">
        <v>35630</v>
      </c>
      <c r="T5455" s="2" t="s">
        <v>35631</v>
      </c>
      <c r="U5455" s="2" t="s">
        <v>56</v>
      </c>
      <c r="V5455" s="2" t="s">
        <v>145</v>
      </c>
      <c r="W5455" s="2" t="s">
        <v>187</v>
      </c>
      <c r="X5455" s="2" t="s">
        <v>147</v>
      </c>
      <c r="Y5455" s="2">
        <v>36.1</v>
      </c>
      <c r="Z5455" s="2">
        <v>0</v>
      </c>
      <c r="AA5455" s="2" t="s">
        <v>395</v>
      </c>
      <c r="AB5455" s="2" t="s">
        <v>35632</v>
      </c>
      <c r="AC5455" s="2">
        <v>2.9904886880361401</v>
      </c>
      <c r="AD5455" s="2"/>
      <c r="AE5455" s="2">
        <v>3.0087206457152901E-2</v>
      </c>
      <c r="AF5455" s="2">
        <v>4349.8401177096803</v>
      </c>
      <c r="AG5455" s="2">
        <v>5047.77863556386</v>
      </c>
      <c r="AH5455" s="4">
        <v>0.86173353305612799</v>
      </c>
      <c r="AI5455" s="4">
        <v>-0.21468626962118401</v>
      </c>
      <c r="AJ5455" s="4" t="s">
        <v>62</v>
      </c>
      <c r="AK5455" s="2">
        <v>0.880240841837996</v>
      </c>
      <c r="AL5455" s="2">
        <v>0.947767478779867</v>
      </c>
      <c r="AM5455" s="2">
        <v>11119.1085414226</v>
      </c>
      <c r="AN5455" s="2">
        <v>980.87250123823901</v>
      </c>
      <c r="AO5455" s="2">
        <v>2215.2460006095698</v>
      </c>
      <c r="AP5455" s="2">
        <v>8777.38720878612</v>
      </c>
      <c r="AQ5455" s="2">
        <v>1860.1891173931199</v>
      </c>
      <c r="AR5455" s="2">
        <v>1146.23733680846</v>
      </c>
      <c r="AS5455" s="2">
        <v>874.27078461001804</v>
      </c>
      <c r="AT5455" s="2">
        <v>560.29711415989698</v>
      </c>
      <c r="AU5455" s="2">
        <v>25602.325823287902</v>
      </c>
      <c r="AV5455" s="2">
        <v>3199.3595283756899</v>
      </c>
      <c r="AW5455" s="2">
        <v>35.457683531187797</v>
      </c>
      <c r="AX5455" s="2">
        <v>14.9608794184415</v>
      </c>
    </row>
    <row r="5456" spans="1:50" x14ac:dyDescent="0.25">
      <c r="A5456" s="2" t="s">
        <v>35633</v>
      </c>
      <c r="B5456" s="2">
        <v>270.20748015154999</v>
      </c>
      <c r="C5456" s="2">
        <v>8.5561666666666696</v>
      </c>
      <c r="D5456" s="2" t="s">
        <v>51</v>
      </c>
      <c r="E5456" s="2" t="s">
        <v>35634</v>
      </c>
      <c r="F5456" s="2">
        <v>209184</v>
      </c>
      <c r="G5456" s="3" t="str">
        <f>HYPERLINK("https://cloud.oebiotech.com/#/lm/network/209184", "https://cloud.oebiotech.com/#/lm/network/209184")</f>
        <v>https://cloud.oebiotech.com/#/lm/network/209184</v>
      </c>
      <c r="H5456" s="2" t="s">
        <v>35635</v>
      </c>
      <c r="I5456" s="2"/>
      <c r="J5456" s="2"/>
      <c r="K5456" s="2">
        <v>7348</v>
      </c>
      <c r="L5456" s="2"/>
      <c r="M5456" s="2"/>
      <c r="N5456" s="2"/>
      <c r="O5456" s="2"/>
      <c r="P5456" s="2"/>
      <c r="Q5456" s="2"/>
      <c r="R5456" s="2"/>
      <c r="S5456" s="2" t="s">
        <v>35636</v>
      </c>
      <c r="T5456" s="2" t="s">
        <v>35637</v>
      </c>
      <c r="U5456" s="2" t="s">
        <v>103</v>
      </c>
      <c r="V5456" s="2" t="s">
        <v>104</v>
      </c>
      <c r="W5456" s="2" t="s">
        <v>105</v>
      </c>
      <c r="X5456" s="2" t="s">
        <v>83</v>
      </c>
      <c r="Y5456" s="2">
        <v>44.5</v>
      </c>
      <c r="Z5456" s="2">
        <v>0</v>
      </c>
      <c r="AA5456" s="2" t="s">
        <v>163</v>
      </c>
      <c r="AB5456" s="2" t="s">
        <v>35638</v>
      </c>
      <c r="AC5456" s="2">
        <v>4.7158351486957698E-2</v>
      </c>
      <c r="AD5456" s="2"/>
      <c r="AE5456" s="2">
        <v>3.00192214952687E-2</v>
      </c>
      <c r="AF5456" s="2">
        <v>808.58100660420598</v>
      </c>
      <c r="AG5456" s="2">
        <v>700.33037714696695</v>
      </c>
      <c r="AH5456" s="5">
        <v>1.1545708039942999</v>
      </c>
      <c r="AI5456" s="5">
        <v>0.20735664902303999</v>
      </c>
      <c r="AJ5456" s="5" t="s">
        <v>139</v>
      </c>
      <c r="AK5456" s="2">
        <v>0.727393855101927</v>
      </c>
      <c r="AL5456" s="2">
        <v>0.87431905652141195</v>
      </c>
      <c r="AM5456" s="2">
        <v>644.65505158294297</v>
      </c>
      <c r="AN5456" s="2">
        <v>415.13343835828402</v>
      </c>
      <c r="AO5456" s="2">
        <v>2204.1763901572299</v>
      </c>
      <c r="AP5456" s="2">
        <v>621.31964242624395</v>
      </c>
      <c r="AQ5456" s="2">
        <v>521.63951627965605</v>
      </c>
      <c r="AR5456" s="2">
        <v>444.56200082088202</v>
      </c>
      <c r="AS5456" s="2">
        <v>1228.33180935359</v>
      </c>
      <c r="AT5456" s="2">
        <v>709.13172248771502</v>
      </c>
      <c r="AU5456" s="2">
        <v>599.69496016028199</v>
      </c>
      <c r="AV5456" s="2">
        <v>591.19620143783902</v>
      </c>
      <c r="AW5456" s="2">
        <v>513.84983291506398</v>
      </c>
      <c r="AX5456" s="2">
        <v>559.77773652731105</v>
      </c>
    </row>
    <row r="5457" spans="1:50" x14ac:dyDescent="0.25">
      <c r="A5457" s="2" t="s">
        <v>35639</v>
      </c>
      <c r="B5457" s="2">
        <v>184.98595076753301</v>
      </c>
      <c r="C5457" s="2">
        <v>5.3641833333333304</v>
      </c>
      <c r="D5457" s="2" t="s">
        <v>51</v>
      </c>
      <c r="E5457" s="2" t="s">
        <v>35640</v>
      </c>
      <c r="F5457" s="2">
        <v>47613</v>
      </c>
      <c r="G5457" s="3" t="str">
        <f>HYPERLINK("https://cloud.oebiotech.com/#/lm/network/47613", "https://cloud.oebiotech.com/#/lm/network/47613")</f>
        <v>https://cloud.oebiotech.com/#/lm/network/47613</v>
      </c>
      <c r="H5457" s="2" t="s">
        <v>35641</v>
      </c>
      <c r="I5457" s="2">
        <v>63131</v>
      </c>
      <c r="J5457" s="2"/>
      <c r="K5457" s="2">
        <v>186</v>
      </c>
      <c r="L5457" s="2" t="s">
        <v>35642</v>
      </c>
      <c r="M5457" s="2" t="s">
        <v>35643</v>
      </c>
      <c r="N5457" s="2" t="s">
        <v>35644</v>
      </c>
      <c r="O5457" s="2">
        <v>15350</v>
      </c>
      <c r="P5457" s="2"/>
      <c r="Q5457" s="2"/>
      <c r="R5457" s="2" t="s">
        <v>35645</v>
      </c>
      <c r="S5457" s="2" t="s">
        <v>35646</v>
      </c>
      <c r="T5457" s="2" t="s">
        <v>35647</v>
      </c>
      <c r="U5457" s="2" t="s">
        <v>103</v>
      </c>
      <c r="V5457" s="2" t="s">
        <v>1567</v>
      </c>
      <c r="W5457" s="2" t="s">
        <v>1568</v>
      </c>
      <c r="X5457" s="2" t="s">
        <v>147</v>
      </c>
      <c r="Y5457" s="2">
        <v>38.799999999999997</v>
      </c>
      <c r="Z5457" s="2">
        <v>0</v>
      </c>
      <c r="AA5457" s="2" t="s">
        <v>218</v>
      </c>
      <c r="AB5457" s="2" t="s">
        <v>35648</v>
      </c>
      <c r="AC5457" s="2">
        <v>2.0573941605900101</v>
      </c>
      <c r="AD5457" s="2"/>
      <c r="AE5457" s="2">
        <v>2.9983322006243401E-2</v>
      </c>
      <c r="AF5457" s="2">
        <v>851.37365403027104</v>
      </c>
      <c r="AG5457" s="2">
        <v>912.26260736099505</v>
      </c>
      <c r="AH5457" s="4">
        <v>0.93325501578228198</v>
      </c>
      <c r="AI5457" s="4">
        <v>-9.9656737568737094E-2</v>
      </c>
      <c r="AJ5457" s="4" t="s">
        <v>62</v>
      </c>
      <c r="AK5457" s="2">
        <v>0.58498581436288</v>
      </c>
      <c r="AL5457" s="2">
        <v>0.79113001819417295</v>
      </c>
      <c r="AM5457" s="2">
        <v>547.99950588184697</v>
      </c>
      <c r="AN5457" s="2">
        <v>907.00169453805097</v>
      </c>
      <c r="AO5457" s="2">
        <v>914.62325081093695</v>
      </c>
      <c r="AP5457" s="2">
        <v>854.85798287969305</v>
      </c>
      <c r="AQ5457" s="2">
        <v>1018.61695908371</v>
      </c>
      <c r="AR5457" s="2">
        <v>865.142530987388</v>
      </c>
      <c r="AS5457" s="2">
        <v>886.00410325850805</v>
      </c>
      <c r="AT5457" s="2">
        <v>1226.4844654537901</v>
      </c>
      <c r="AU5457" s="2">
        <v>689.19632983272902</v>
      </c>
      <c r="AV5457" s="2">
        <v>976.44240202547496</v>
      </c>
      <c r="AW5457" s="2">
        <v>674.01188772388605</v>
      </c>
      <c r="AX5457" s="2">
        <v>1021.4364558715801</v>
      </c>
    </row>
    <row r="5458" spans="1:50" x14ac:dyDescent="0.25">
      <c r="A5458" s="2" t="s">
        <v>35649</v>
      </c>
      <c r="B5458" s="2">
        <v>251.017159374572</v>
      </c>
      <c r="C5458" s="2">
        <v>4.1373666666666704</v>
      </c>
      <c r="D5458" s="2" t="s">
        <v>51</v>
      </c>
      <c r="E5458" s="2" t="s">
        <v>35650</v>
      </c>
      <c r="F5458" s="2">
        <v>82579</v>
      </c>
      <c r="G5458" s="3" t="str">
        <f>HYPERLINK("https://cloud.oebiotech.com/#/lm/network/82579", "https://cloud.oebiotech.com/#/lm/network/82579")</f>
        <v>https://cloud.oebiotech.com/#/lm/network/82579</v>
      </c>
      <c r="H5458" s="2" t="s">
        <v>35651</v>
      </c>
      <c r="I5458" s="2"/>
      <c r="J5458" s="2"/>
      <c r="K5458" s="2">
        <v>164578</v>
      </c>
      <c r="L5458" s="2"/>
      <c r="M5458" s="2"/>
      <c r="N5458" s="2"/>
      <c r="O5458" s="2"/>
      <c r="P5458" s="2"/>
      <c r="Q5458" s="2"/>
      <c r="R5458" s="2" t="s">
        <v>35652</v>
      </c>
      <c r="S5458" s="2" t="s">
        <v>35653</v>
      </c>
      <c r="T5458" s="2" t="s">
        <v>35654</v>
      </c>
      <c r="U5458" s="2" t="s">
        <v>610</v>
      </c>
      <c r="V5458" s="2" t="s">
        <v>611</v>
      </c>
      <c r="W5458" s="2" t="s">
        <v>1122</v>
      </c>
      <c r="X5458" s="2" t="s">
        <v>147</v>
      </c>
      <c r="Y5458" s="2">
        <v>40</v>
      </c>
      <c r="Z5458" s="2">
        <v>3.61</v>
      </c>
      <c r="AA5458" s="2" t="s">
        <v>218</v>
      </c>
      <c r="AB5458" s="2" t="s">
        <v>35655</v>
      </c>
      <c r="AC5458" s="2">
        <v>-0.59302497105236096</v>
      </c>
      <c r="AD5458" s="2"/>
      <c r="AE5458" s="2">
        <v>2.9918214909316301E-2</v>
      </c>
      <c r="AF5458" s="2">
        <v>7057.3473735180696</v>
      </c>
      <c r="AG5458" s="2">
        <v>5893.3268061813096</v>
      </c>
      <c r="AH5458" s="5">
        <v>1.19751502090735</v>
      </c>
      <c r="AI5458" s="5">
        <v>0.260043752372841</v>
      </c>
      <c r="AJ5458" s="5" t="s">
        <v>139</v>
      </c>
      <c r="AK5458" s="2">
        <v>0.71416096096589299</v>
      </c>
      <c r="AL5458" s="2">
        <v>0.86562363474161996</v>
      </c>
      <c r="AM5458" s="2">
        <v>1500.3311629386601</v>
      </c>
      <c r="AN5458" s="2">
        <v>3956.83777522952</v>
      </c>
      <c r="AO5458" s="2">
        <v>1928.22000249448</v>
      </c>
      <c r="AP5458" s="2">
        <v>15191.306897627899</v>
      </c>
      <c r="AQ5458" s="2">
        <v>4071.7563671605499</v>
      </c>
      <c r="AR5458" s="2">
        <v>15695.6320356573</v>
      </c>
      <c r="AS5458" s="2">
        <v>5472.2506475494401</v>
      </c>
      <c r="AT5458" s="2">
        <v>1062.9438995937401</v>
      </c>
      <c r="AU5458" s="2">
        <v>4794.8770304506897</v>
      </c>
      <c r="AV5458" s="2">
        <v>3507.2084245666301</v>
      </c>
      <c r="AW5458" s="2">
        <v>9498.7093108067493</v>
      </c>
      <c r="AX5458" s="2">
        <v>11023.971524120599</v>
      </c>
    </row>
    <row r="5459" spans="1:50" x14ac:dyDescent="0.25">
      <c r="A5459" s="2" t="s">
        <v>35656</v>
      </c>
      <c r="B5459" s="2">
        <v>529.42656470450902</v>
      </c>
      <c r="C5459" s="2">
        <v>15.0518</v>
      </c>
      <c r="D5459" s="2" t="s">
        <v>51</v>
      </c>
      <c r="E5459" s="2" t="s">
        <v>35657</v>
      </c>
      <c r="F5459" s="2">
        <v>10875</v>
      </c>
      <c r="G5459" s="3" t="str">
        <f>HYPERLINK("https://cloud.oebiotech.com/#/lm/network/10875", "https://cloud.oebiotech.com/#/lm/network/10875")</f>
        <v>https://cloud.oebiotech.com/#/lm/network/10875</v>
      </c>
      <c r="H5459" s="2"/>
      <c r="I5459" s="2">
        <v>98380</v>
      </c>
      <c r="J5459" s="2" t="s">
        <v>35658</v>
      </c>
      <c r="K5459" s="2">
        <v>56936329</v>
      </c>
      <c r="L5459" s="2"/>
      <c r="M5459" s="2"/>
      <c r="N5459" s="2"/>
      <c r="O5459" s="2"/>
      <c r="P5459" s="2"/>
      <c r="Q5459" s="2"/>
      <c r="R5459" s="2"/>
      <c r="S5459" s="2" t="s">
        <v>35659</v>
      </c>
      <c r="T5459" s="2" t="s">
        <v>35660</v>
      </c>
      <c r="U5459" s="2" t="s">
        <v>56</v>
      </c>
      <c r="V5459" s="2" t="s">
        <v>145</v>
      </c>
      <c r="W5459" s="2" t="s">
        <v>203</v>
      </c>
      <c r="X5459" s="2" t="s">
        <v>147</v>
      </c>
      <c r="Y5459" s="2">
        <v>38</v>
      </c>
      <c r="Z5459" s="2">
        <v>0</v>
      </c>
      <c r="AA5459" s="2" t="s">
        <v>379</v>
      </c>
      <c r="AB5459" s="2" t="s">
        <v>35661</v>
      </c>
      <c r="AC5459" s="2">
        <v>0.60316543543923395</v>
      </c>
      <c r="AD5459" s="2"/>
      <c r="AE5459" s="2">
        <v>2.9887834813907301E-2</v>
      </c>
      <c r="AF5459" s="2">
        <v>14501.170148851401</v>
      </c>
      <c r="AG5459" s="2">
        <v>14608.9808348795</v>
      </c>
      <c r="AH5459" s="4">
        <v>0.99262024591265996</v>
      </c>
      <c r="AI5459" s="4">
        <v>-1.0686214119028901E-2</v>
      </c>
      <c r="AJ5459" s="4" t="s">
        <v>62</v>
      </c>
      <c r="AK5459" s="2">
        <v>0.98304506861126695</v>
      </c>
      <c r="AL5459" s="2">
        <v>0.99261612839763103</v>
      </c>
      <c r="AM5459" s="2">
        <v>2004.2183887102301</v>
      </c>
      <c r="AN5459" s="2">
        <v>15987.383555082501</v>
      </c>
      <c r="AO5459" s="2">
        <v>14360.405738218</v>
      </c>
      <c r="AP5459" s="2">
        <v>15506.6180921427</v>
      </c>
      <c r="AQ5459" s="2">
        <v>28156.671746399301</v>
      </c>
      <c r="AR5459" s="2">
        <v>10991.7233725555</v>
      </c>
      <c r="AS5459" s="2">
        <v>19283.0719092539</v>
      </c>
      <c r="AT5459" s="2">
        <v>29957.975296027798</v>
      </c>
      <c r="AU5459" s="2">
        <v>9144.42083177309</v>
      </c>
      <c r="AV5459" s="2">
        <v>7451.2108699459004</v>
      </c>
      <c r="AW5459" s="2">
        <v>13184.0744072907</v>
      </c>
      <c r="AX5459" s="2">
        <v>8633.1316949853099</v>
      </c>
    </row>
    <row r="5460" spans="1:50" x14ac:dyDescent="0.25">
      <c r="A5460" s="2" t="s">
        <v>35662</v>
      </c>
      <c r="B5460" s="2">
        <v>352.16677703825098</v>
      </c>
      <c r="C5460" s="2">
        <v>4.72983333333333</v>
      </c>
      <c r="D5460" s="2" t="s">
        <v>51</v>
      </c>
      <c r="E5460" s="2" t="s">
        <v>35663</v>
      </c>
      <c r="F5460" s="2">
        <v>54023</v>
      </c>
      <c r="G5460" s="3" t="str">
        <f>HYPERLINK("https://cloud.oebiotech.com/#/lm/network/54023", "https://cloud.oebiotech.com/#/lm/network/54023")</f>
        <v>https://cloud.oebiotech.com/#/lm/network/54023</v>
      </c>
      <c r="H5460" s="2" t="s">
        <v>35664</v>
      </c>
      <c r="I5460" s="2">
        <v>85904</v>
      </c>
      <c r="J5460" s="2"/>
      <c r="K5460" s="2">
        <v>134906</v>
      </c>
      <c r="L5460" s="2"/>
      <c r="M5460" s="2"/>
      <c r="N5460" s="2"/>
      <c r="O5460" s="2">
        <v>74751</v>
      </c>
      <c r="P5460" s="2"/>
      <c r="Q5460" s="2"/>
      <c r="R5460" s="2" t="s">
        <v>35665</v>
      </c>
      <c r="S5460" s="2" t="s">
        <v>35666</v>
      </c>
      <c r="T5460" s="2" t="s">
        <v>35667</v>
      </c>
      <c r="U5460" s="2" t="s">
        <v>103</v>
      </c>
      <c r="V5460" s="2" t="s">
        <v>104</v>
      </c>
      <c r="W5460" s="2" t="s">
        <v>105</v>
      </c>
      <c r="X5460" s="2" t="s">
        <v>59</v>
      </c>
      <c r="Y5460" s="2">
        <v>54.5</v>
      </c>
      <c r="Z5460" s="2">
        <v>81.5</v>
      </c>
      <c r="AA5460" s="2" t="s">
        <v>259</v>
      </c>
      <c r="AB5460" s="2" t="s">
        <v>35668</v>
      </c>
      <c r="AC5460" s="2">
        <v>3.4430618054633801</v>
      </c>
      <c r="AD5460" s="2"/>
      <c r="AE5460" s="2">
        <v>2.9856869171257999E-2</v>
      </c>
      <c r="AF5460" s="2">
        <v>38500.776780714797</v>
      </c>
      <c r="AG5460" s="2">
        <v>39886.572230263897</v>
      </c>
      <c r="AH5460" s="4">
        <v>0.96525659207943804</v>
      </c>
      <c r="AI5460" s="4">
        <v>-5.10155930107353E-2</v>
      </c>
      <c r="AJ5460" s="4" t="s">
        <v>62</v>
      </c>
      <c r="AK5460" s="2">
        <v>0.94351958391103097</v>
      </c>
      <c r="AL5460" s="2">
        <v>0.97624185599159796</v>
      </c>
      <c r="AM5460" s="2">
        <v>27274.304636002002</v>
      </c>
      <c r="AN5460" s="2">
        <v>35251.861907209503</v>
      </c>
      <c r="AO5460" s="2">
        <v>48720.416665341298</v>
      </c>
      <c r="AP5460" s="2">
        <v>22261.554315888701</v>
      </c>
      <c r="AQ5460" s="2">
        <v>51533.676951029403</v>
      </c>
      <c r="AR5460" s="2">
        <v>45962.846208818097</v>
      </c>
      <c r="AS5460" s="2">
        <v>20334.157546801602</v>
      </c>
      <c r="AT5460" s="2">
        <v>15630.4758972175</v>
      </c>
      <c r="AU5460" s="2">
        <v>65187.854328090798</v>
      </c>
      <c r="AV5460" s="2">
        <v>7218.5083610103602</v>
      </c>
      <c r="AW5460" s="2">
        <v>9802.0103403279209</v>
      </c>
      <c r="AX5460" s="2">
        <v>121146.42690813501</v>
      </c>
    </row>
    <row r="5461" spans="1:50" x14ac:dyDescent="0.25">
      <c r="A5461" s="2" t="s">
        <v>35669</v>
      </c>
      <c r="B5461" s="2">
        <v>308.96652034892003</v>
      </c>
      <c r="C5461" s="2">
        <v>3.7574999999999998</v>
      </c>
      <c r="D5461" s="2" t="s">
        <v>51</v>
      </c>
      <c r="E5461" s="2" t="s">
        <v>35670</v>
      </c>
      <c r="F5461" s="2">
        <v>212416</v>
      </c>
      <c r="G5461" s="3" t="str">
        <f>HYPERLINK("https://cloud.oebiotech.com/#/lm/network/212416", "https://cloud.oebiotech.com/#/lm/network/212416")</f>
        <v>https://cloud.oebiotech.com/#/lm/network/212416</v>
      </c>
      <c r="H5461" s="2" t="s">
        <v>35671</v>
      </c>
      <c r="I5461" s="2"/>
      <c r="J5461" s="2"/>
      <c r="K5461" s="2">
        <v>21911049</v>
      </c>
      <c r="L5461" s="2"/>
      <c r="M5461" s="2"/>
      <c r="N5461" s="2"/>
      <c r="O5461" s="2"/>
      <c r="P5461" s="2"/>
      <c r="Q5461" s="2"/>
      <c r="R5461" s="2"/>
      <c r="S5461" s="2" t="s">
        <v>35672</v>
      </c>
      <c r="T5461" s="2" t="s">
        <v>35673</v>
      </c>
      <c r="U5461" s="2" t="s">
        <v>266</v>
      </c>
      <c r="V5461" s="2" t="s">
        <v>35674</v>
      </c>
      <c r="W5461" s="2" t="s">
        <v>240</v>
      </c>
      <c r="X5461" s="2" t="s">
        <v>147</v>
      </c>
      <c r="Y5461" s="2">
        <v>39.6</v>
      </c>
      <c r="Z5461" s="2">
        <v>17.7</v>
      </c>
      <c r="AA5461" s="2" t="s">
        <v>478</v>
      </c>
      <c r="AB5461" s="2" t="s">
        <v>35675</v>
      </c>
      <c r="AC5461" s="2">
        <v>3.5953188245105201</v>
      </c>
      <c r="AD5461" s="2"/>
      <c r="AE5461" s="2">
        <v>2.9789575717728899E-2</v>
      </c>
      <c r="AF5461" s="2">
        <v>14792.4856957023</v>
      </c>
      <c r="AG5461" s="2">
        <v>11534.324464217199</v>
      </c>
      <c r="AH5461" s="5">
        <v>1.28247525389049</v>
      </c>
      <c r="AI5461" s="5">
        <v>0.35893098845696902</v>
      </c>
      <c r="AJ5461" s="5" t="s">
        <v>139</v>
      </c>
      <c r="AK5461" s="2">
        <v>0.58593971602039396</v>
      </c>
      <c r="AL5461" s="2">
        <v>0.79179983592488301</v>
      </c>
      <c r="AM5461" s="2">
        <v>6945.7271290754497</v>
      </c>
      <c r="AN5461" s="2">
        <v>3093.7407633156699</v>
      </c>
      <c r="AO5461" s="2">
        <v>8464.8233261991409</v>
      </c>
      <c r="AP5461" s="2">
        <v>28312.169195680501</v>
      </c>
      <c r="AQ5461" s="2">
        <v>16332.796463947199</v>
      </c>
      <c r="AR5461" s="2">
        <v>25605.657295995999</v>
      </c>
      <c r="AS5461" s="2">
        <v>9964.1142518583092</v>
      </c>
      <c r="AT5461" s="2">
        <v>9837.0714867817896</v>
      </c>
      <c r="AU5461" s="2">
        <v>3188.5073517225301</v>
      </c>
      <c r="AV5461" s="2">
        <v>7072.93509388453</v>
      </c>
      <c r="AW5461" s="2">
        <v>30540.8814300306</v>
      </c>
      <c r="AX5461" s="2">
        <v>8602.4371710256</v>
      </c>
    </row>
    <row r="5462" spans="1:50" x14ac:dyDescent="0.25">
      <c r="A5462" s="2" t="s">
        <v>35676</v>
      </c>
      <c r="B5462" s="2">
        <v>481.35355629559899</v>
      </c>
      <c r="C5462" s="2">
        <v>10.74095</v>
      </c>
      <c r="D5462" s="2" t="s">
        <v>51</v>
      </c>
      <c r="E5462" s="2" t="s">
        <v>35677</v>
      </c>
      <c r="F5462" s="2">
        <v>46347</v>
      </c>
      <c r="G5462" s="3" t="str">
        <f>HYPERLINK("https://cloud.oebiotech.com/#/lm/network/46347", "https://cloud.oebiotech.com/#/lm/network/46347")</f>
        <v>https://cloud.oebiotech.com/#/lm/network/46347</v>
      </c>
      <c r="H5462" s="2" t="s">
        <v>35678</v>
      </c>
      <c r="I5462" s="2">
        <v>84770</v>
      </c>
      <c r="J5462" s="2" t="s">
        <v>35679</v>
      </c>
      <c r="K5462" s="2">
        <v>5284199</v>
      </c>
      <c r="L5462" s="2"/>
      <c r="M5462" s="2"/>
      <c r="N5462" s="2"/>
      <c r="O5462" s="2">
        <v>48731</v>
      </c>
      <c r="P5462" s="2"/>
      <c r="Q5462" s="2"/>
      <c r="R5462" s="2"/>
      <c r="S5462" s="2" t="s">
        <v>35680</v>
      </c>
      <c r="T5462" s="2" t="s">
        <v>35681</v>
      </c>
      <c r="U5462" s="2" t="s">
        <v>56</v>
      </c>
      <c r="V5462" s="2" t="s">
        <v>283</v>
      </c>
      <c r="W5462" s="2" t="s">
        <v>2042</v>
      </c>
      <c r="X5462" s="2" t="s">
        <v>69</v>
      </c>
      <c r="Y5462" s="2">
        <v>66.400000000000006</v>
      </c>
      <c r="Z5462" s="2">
        <v>60.5</v>
      </c>
      <c r="AA5462" s="2" t="s">
        <v>218</v>
      </c>
      <c r="AB5462" s="2" t="s">
        <v>13755</v>
      </c>
      <c r="AC5462" s="2">
        <v>0.214064106520159</v>
      </c>
      <c r="AD5462" s="2"/>
      <c r="AE5462" s="2">
        <v>2.97202886390894E-2</v>
      </c>
      <c r="AF5462" s="2">
        <v>37388.134567010697</v>
      </c>
      <c r="AG5462" s="2">
        <v>35002.632304461004</v>
      </c>
      <c r="AH5462" s="5">
        <v>1.06815208187202</v>
      </c>
      <c r="AI5462" s="5">
        <v>9.5117070379732604E-2</v>
      </c>
      <c r="AJ5462" s="5" t="s">
        <v>139</v>
      </c>
      <c r="AK5462" s="2">
        <v>0.84960058019136797</v>
      </c>
      <c r="AL5462" s="2">
        <v>0.93318515058070095</v>
      </c>
      <c r="AM5462" s="2">
        <v>27654.585325405998</v>
      </c>
      <c r="AN5462" s="2">
        <v>49446.6074327635</v>
      </c>
      <c r="AO5462" s="2">
        <v>22595.9413576939</v>
      </c>
      <c r="AP5462" s="2">
        <v>36174.693396627801</v>
      </c>
      <c r="AQ5462" s="2">
        <v>43802.557474409703</v>
      </c>
      <c r="AR5462" s="2">
        <v>44654.422415163397</v>
      </c>
      <c r="AS5462" s="2">
        <v>25929.398902979301</v>
      </c>
      <c r="AT5462" s="2">
        <v>31120.188797345501</v>
      </c>
      <c r="AU5462" s="2">
        <v>18498.605213711398</v>
      </c>
      <c r="AV5462" s="2">
        <v>4110.6618880522601</v>
      </c>
      <c r="AW5462" s="2">
        <v>45074.262525031103</v>
      </c>
      <c r="AX5462" s="2">
        <v>85282.676499646201</v>
      </c>
    </row>
    <row r="5463" spans="1:50" x14ac:dyDescent="0.25">
      <c r="A5463" s="2" t="s">
        <v>35682</v>
      </c>
      <c r="B5463" s="2">
        <v>223.029946021222</v>
      </c>
      <c r="C5463" s="2">
        <v>0.74113333333333298</v>
      </c>
      <c r="D5463" s="2" t="s">
        <v>51</v>
      </c>
      <c r="E5463" s="2" t="s">
        <v>35683</v>
      </c>
      <c r="F5463" s="2">
        <v>278602</v>
      </c>
      <c r="G5463" s="3" t="str">
        <f>HYPERLINK("https://cloud.oebiotech.com/#/lm/network/278602", "https://cloud.oebiotech.com/#/lm/network/278602")</f>
        <v>https://cloud.oebiotech.com/#/lm/network/278602</v>
      </c>
      <c r="H5463" s="2"/>
      <c r="I5463" s="2">
        <v>70884</v>
      </c>
      <c r="J5463" s="2"/>
      <c r="K5463" s="2">
        <v>690730</v>
      </c>
      <c r="L5463" s="2" t="s">
        <v>35684</v>
      </c>
      <c r="M5463" s="2"/>
      <c r="N5463" s="2"/>
      <c r="O5463" s="2"/>
      <c r="P5463" s="2"/>
      <c r="Q5463" s="2"/>
      <c r="R5463" s="2" t="s">
        <v>35685</v>
      </c>
      <c r="S5463" s="2" t="s">
        <v>35686</v>
      </c>
      <c r="T5463" s="2" t="s">
        <v>35687</v>
      </c>
      <c r="U5463" s="2" t="s">
        <v>266</v>
      </c>
      <c r="V5463" s="2" t="s">
        <v>1585</v>
      </c>
      <c r="W5463" s="2" t="s">
        <v>35688</v>
      </c>
      <c r="X5463" s="2" t="s">
        <v>147</v>
      </c>
      <c r="Y5463" s="2">
        <v>36.799999999999997</v>
      </c>
      <c r="Z5463" s="2">
        <v>0</v>
      </c>
      <c r="AA5463" s="2" t="s">
        <v>218</v>
      </c>
      <c r="AB5463" s="2" t="s">
        <v>35689</v>
      </c>
      <c r="AC5463" s="2">
        <v>2.3924981754300099</v>
      </c>
      <c r="AD5463" s="2"/>
      <c r="AE5463" s="2">
        <v>2.97126891572328E-2</v>
      </c>
      <c r="AF5463" s="2">
        <v>1723.37819317868</v>
      </c>
      <c r="AG5463" s="2">
        <v>2249.2349344590102</v>
      </c>
      <c r="AH5463" s="4">
        <v>0.76620639612872998</v>
      </c>
      <c r="AI5463" s="4">
        <v>-0.38419502576262998</v>
      </c>
      <c r="AJ5463" s="4" t="s">
        <v>62</v>
      </c>
      <c r="AK5463" s="2">
        <v>0.65342379601421896</v>
      </c>
      <c r="AL5463" s="2">
        <v>0.83240942988891198</v>
      </c>
      <c r="AM5463" s="2">
        <v>3073.6648106699499</v>
      </c>
      <c r="AN5463" s="2">
        <v>5229.8464627679004</v>
      </c>
      <c r="AO5463" s="2">
        <v>8.559877937157E-6</v>
      </c>
      <c r="AP5463" s="2">
        <v>851.71963517337304</v>
      </c>
      <c r="AQ5463" s="2">
        <v>1185.0382333410801</v>
      </c>
      <c r="AR5463" s="2">
        <v>8.559877937157E-6</v>
      </c>
      <c r="AS5463" s="2">
        <v>8.559877937157E-6</v>
      </c>
      <c r="AT5463" s="2">
        <v>927.68853743129102</v>
      </c>
      <c r="AU5463" s="2">
        <v>3473.4642300935802</v>
      </c>
      <c r="AV5463" s="2">
        <v>1772.0915709107101</v>
      </c>
      <c r="AW5463" s="2">
        <v>2063.0678995149701</v>
      </c>
      <c r="AX5463" s="2">
        <v>5259.0973602436197</v>
      </c>
    </row>
    <row r="5464" spans="1:50" x14ac:dyDescent="0.25">
      <c r="A5464" s="2" t="s">
        <v>35690</v>
      </c>
      <c r="B5464" s="2">
        <v>429.17384843054498</v>
      </c>
      <c r="C5464" s="2">
        <v>12.9738333333333</v>
      </c>
      <c r="D5464" s="2" t="s">
        <v>51</v>
      </c>
      <c r="E5464" s="2" t="s">
        <v>35691</v>
      </c>
      <c r="F5464" s="2">
        <v>198733</v>
      </c>
      <c r="G5464" s="3" t="str">
        <f>HYPERLINK("https://cloud.oebiotech.com/#/lm/network/198733", "https://cloud.oebiotech.com/#/lm/network/198733")</f>
        <v>https://cloud.oebiotech.com/#/lm/network/198733</v>
      </c>
      <c r="H5464" s="2" t="s">
        <v>35692</v>
      </c>
      <c r="I5464" s="2"/>
      <c r="J5464" s="2"/>
      <c r="K5464" s="2">
        <v>6809956</v>
      </c>
      <c r="L5464" s="2"/>
      <c r="M5464" s="2"/>
      <c r="N5464" s="2"/>
      <c r="O5464" s="2"/>
      <c r="P5464" s="2"/>
      <c r="Q5464" s="2"/>
      <c r="R5464" s="2"/>
      <c r="S5464" s="2" t="s">
        <v>35693</v>
      </c>
      <c r="T5464" s="2" t="s">
        <v>35694</v>
      </c>
      <c r="U5464" s="2" t="s">
        <v>119</v>
      </c>
      <c r="V5464" s="2" t="s">
        <v>120</v>
      </c>
      <c r="W5464" s="2" t="s">
        <v>15355</v>
      </c>
      <c r="X5464" s="2" t="s">
        <v>147</v>
      </c>
      <c r="Y5464" s="2">
        <v>38.5</v>
      </c>
      <c r="Z5464" s="2">
        <v>5.53</v>
      </c>
      <c r="AA5464" s="2" t="s">
        <v>478</v>
      </c>
      <c r="AB5464" s="2" t="s">
        <v>35695</v>
      </c>
      <c r="AC5464" s="2">
        <v>-0.202139361381275</v>
      </c>
      <c r="AD5464" s="2"/>
      <c r="AE5464" s="2">
        <v>2.96876859448513E-2</v>
      </c>
      <c r="AF5464" s="2">
        <v>1980.23863105029</v>
      </c>
      <c r="AG5464" s="2">
        <v>2186.1344633538201</v>
      </c>
      <c r="AH5464" s="4">
        <v>0.90581739789799598</v>
      </c>
      <c r="AI5464" s="4">
        <v>-0.14270784560740299</v>
      </c>
      <c r="AJ5464" s="4" t="s">
        <v>62</v>
      </c>
      <c r="AK5464" s="2">
        <v>0.82908219331671495</v>
      </c>
      <c r="AL5464" s="2">
        <v>0.92453281603106896</v>
      </c>
      <c r="AM5464" s="2">
        <v>2128.6048478820799</v>
      </c>
      <c r="AN5464" s="2">
        <v>775.566751456877</v>
      </c>
      <c r="AO5464" s="2">
        <v>640.490837356984</v>
      </c>
      <c r="AP5464" s="2">
        <v>1182.9732175228701</v>
      </c>
      <c r="AQ5464" s="2">
        <v>3343.91232162702</v>
      </c>
      <c r="AR5464" s="2">
        <v>3809.88381045591</v>
      </c>
      <c r="AS5464" s="2">
        <v>362.27191835161102</v>
      </c>
      <c r="AT5464" s="2">
        <v>480.57401297708299</v>
      </c>
      <c r="AU5464" s="2">
        <v>5257.4008775892898</v>
      </c>
      <c r="AV5464" s="2">
        <v>3065.54427847751</v>
      </c>
      <c r="AW5464" s="2">
        <v>2333.6844601513799</v>
      </c>
      <c r="AX5464" s="2">
        <v>1617.3312325760501</v>
      </c>
    </row>
    <row r="5465" spans="1:50" x14ac:dyDescent="0.25">
      <c r="A5465" s="2" t="s">
        <v>35696</v>
      </c>
      <c r="B5465" s="2">
        <v>238.14477772080599</v>
      </c>
      <c r="C5465" s="2">
        <v>6.4400833333333303</v>
      </c>
      <c r="D5465" s="2" t="s">
        <v>51</v>
      </c>
      <c r="E5465" s="2" t="s">
        <v>35697</v>
      </c>
      <c r="F5465" s="2">
        <v>8767</v>
      </c>
      <c r="G5465" s="3" t="str">
        <f>HYPERLINK("https://cloud.oebiotech.com/#/lm/network/8767", "https://cloud.oebiotech.com/#/lm/network/8767")</f>
        <v>https://cloud.oebiotech.com/#/lm/network/8767</v>
      </c>
      <c r="H5465" s="2" t="s">
        <v>35698</v>
      </c>
      <c r="I5465" s="2">
        <v>88262</v>
      </c>
      <c r="J5465" s="2" t="s">
        <v>35699</v>
      </c>
      <c r="K5465" s="2">
        <v>11469606</v>
      </c>
      <c r="L5465" s="2"/>
      <c r="M5465" s="2"/>
      <c r="N5465" s="2"/>
      <c r="O5465" s="2"/>
      <c r="P5465" s="2"/>
      <c r="Q5465" s="2"/>
      <c r="R5465" s="2" t="s">
        <v>35700</v>
      </c>
      <c r="S5465" s="2" t="s">
        <v>35701</v>
      </c>
      <c r="T5465" s="2" t="s">
        <v>35702</v>
      </c>
      <c r="U5465" s="2" t="s">
        <v>56</v>
      </c>
      <c r="V5465" s="2" t="s">
        <v>145</v>
      </c>
      <c r="W5465" s="2" t="s">
        <v>1617</v>
      </c>
      <c r="X5465" s="2" t="s">
        <v>147</v>
      </c>
      <c r="Y5465" s="2">
        <v>39</v>
      </c>
      <c r="Z5465" s="2">
        <v>0</v>
      </c>
      <c r="AA5465" s="2" t="s">
        <v>218</v>
      </c>
      <c r="AB5465" s="2" t="s">
        <v>35703</v>
      </c>
      <c r="AC5465" s="2">
        <v>-0.46277208393136898</v>
      </c>
      <c r="AD5465" s="2"/>
      <c r="AE5465" s="2">
        <v>2.9623906587390399E-2</v>
      </c>
      <c r="AF5465" s="2">
        <v>921.92630653727599</v>
      </c>
      <c r="AG5465" s="2">
        <v>1143.6166802525499</v>
      </c>
      <c r="AH5465" s="4">
        <v>0.80614975494558705</v>
      </c>
      <c r="AI5465" s="4">
        <v>-0.31088022803399301</v>
      </c>
      <c r="AJ5465" s="4" t="s">
        <v>62</v>
      </c>
      <c r="AK5465" s="2">
        <v>0.60612391704354296</v>
      </c>
      <c r="AL5465" s="2">
        <v>0.80376251234912599</v>
      </c>
      <c r="AM5465" s="2">
        <v>1769.3904806232699</v>
      </c>
      <c r="AN5465" s="2">
        <v>781.40521879140704</v>
      </c>
      <c r="AO5465" s="2">
        <v>604.40149617683096</v>
      </c>
      <c r="AP5465" s="2">
        <v>1349.4112399857499</v>
      </c>
      <c r="AQ5465" s="2">
        <v>534.50696979742304</v>
      </c>
      <c r="AR5465" s="2">
        <v>492.44243384897402</v>
      </c>
      <c r="AS5465" s="2">
        <v>154.90548870308501</v>
      </c>
      <c r="AT5465" s="2">
        <v>703.47800809548801</v>
      </c>
      <c r="AU5465" s="2">
        <v>2180.6873195544799</v>
      </c>
      <c r="AV5465" s="2">
        <v>2285.1808729272998</v>
      </c>
      <c r="AW5465" s="2">
        <v>857.99666408710698</v>
      </c>
      <c r="AX5465" s="2">
        <v>679.45172814781404</v>
      </c>
    </row>
    <row r="5466" spans="1:50" x14ac:dyDescent="0.25">
      <c r="A5466" s="2" t="s">
        <v>35704</v>
      </c>
      <c r="B5466" s="2">
        <v>550.19326444871194</v>
      </c>
      <c r="C5466" s="2">
        <v>7.2455166666666697</v>
      </c>
      <c r="D5466" s="2" t="s">
        <v>51</v>
      </c>
      <c r="E5466" s="2" t="s">
        <v>35705</v>
      </c>
      <c r="F5466" s="2">
        <v>59342</v>
      </c>
      <c r="G5466" s="3" t="str">
        <f>HYPERLINK("https://cloud.oebiotech.com/#/lm/network/59342", "https://cloud.oebiotech.com/#/lm/network/59342")</f>
        <v>https://cloud.oebiotech.com/#/lm/network/59342</v>
      </c>
      <c r="H5466" s="2" t="s">
        <v>35706</v>
      </c>
      <c r="I5466" s="2"/>
      <c r="J5466" s="2"/>
      <c r="K5466" s="2">
        <v>131751773</v>
      </c>
      <c r="L5466" s="2"/>
      <c r="M5466" s="2"/>
      <c r="N5466" s="2"/>
      <c r="O5466" s="2"/>
      <c r="P5466" s="2"/>
      <c r="Q5466" s="2"/>
      <c r="R5466" s="2" t="s">
        <v>35707</v>
      </c>
      <c r="S5466" s="2" t="s">
        <v>35708</v>
      </c>
      <c r="T5466" s="2" t="s">
        <v>35709</v>
      </c>
      <c r="U5466" s="2" t="s">
        <v>540</v>
      </c>
      <c r="V5466" s="2" t="s">
        <v>3291</v>
      </c>
      <c r="W5466" s="2" t="s">
        <v>3292</v>
      </c>
      <c r="X5466" s="2" t="s">
        <v>59</v>
      </c>
      <c r="Y5466" s="2">
        <v>52.1</v>
      </c>
      <c r="Z5466" s="2">
        <v>63</v>
      </c>
      <c r="AA5466" s="2" t="s">
        <v>163</v>
      </c>
      <c r="AB5466" s="2" t="s">
        <v>35710</v>
      </c>
      <c r="AC5466" s="2">
        <v>0.48146362291643602</v>
      </c>
      <c r="AD5466" s="2"/>
      <c r="AE5466" s="2">
        <v>2.95969452756078E-2</v>
      </c>
      <c r="AF5466" s="2">
        <v>38.062872732144797</v>
      </c>
      <c r="AG5466" s="2">
        <v>108.17479012524301</v>
      </c>
      <c r="AH5466" s="4">
        <v>0.35186453967764603</v>
      </c>
      <c r="AI5466" s="4">
        <v>-1.5069079658778</v>
      </c>
      <c r="AJ5466" s="4" t="s">
        <v>62</v>
      </c>
      <c r="AK5466" s="2">
        <v>0.40718636603937097</v>
      </c>
      <c r="AL5466" s="2">
        <v>0.67338870617708801</v>
      </c>
      <c r="AM5466" s="2">
        <v>8.559877937157E-6</v>
      </c>
      <c r="AN5466" s="2">
        <v>228.37719359347901</v>
      </c>
      <c r="AO5466" s="2">
        <v>8.559877937157E-6</v>
      </c>
      <c r="AP5466" s="2">
        <v>8.559877937157E-6</v>
      </c>
      <c r="AQ5466" s="2">
        <v>8.559877937157E-6</v>
      </c>
      <c r="AR5466" s="2">
        <v>8.559877937157E-6</v>
      </c>
      <c r="AS5466" s="2">
        <v>8.559877937157E-6</v>
      </c>
      <c r="AT5466" s="2">
        <v>8.559877937157E-6</v>
      </c>
      <c r="AU5466" s="2">
        <v>243.590224420243</v>
      </c>
      <c r="AV5466" s="2">
        <v>8.559877937157E-6</v>
      </c>
      <c r="AW5466" s="2">
        <v>405.458482091706</v>
      </c>
      <c r="AX5466" s="2">
        <v>8.559877937157E-6</v>
      </c>
    </row>
    <row r="5467" spans="1:50" x14ac:dyDescent="0.25">
      <c r="A5467" s="2" t="s">
        <v>35711</v>
      </c>
      <c r="B5467" s="2">
        <v>290.04604443621599</v>
      </c>
      <c r="C5467" s="2">
        <v>1.02813333333333</v>
      </c>
      <c r="D5467" s="2" t="s">
        <v>51</v>
      </c>
      <c r="E5467" s="2" t="s">
        <v>35712</v>
      </c>
      <c r="F5467" s="2">
        <v>197106</v>
      </c>
      <c r="G5467" s="3" t="str">
        <f>HYPERLINK("https://cloud.oebiotech.com/#/lm/network/197106", "https://cloud.oebiotech.com/#/lm/network/197106")</f>
        <v>https://cloud.oebiotech.com/#/lm/network/197106</v>
      </c>
      <c r="H5467" s="2" t="s">
        <v>35713</v>
      </c>
      <c r="I5467" s="2"/>
      <c r="J5467" s="2"/>
      <c r="K5467" s="2"/>
      <c r="L5467" s="2"/>
      <c r="M5467" s="2"/>
      <c r="N5467" s="2"/>
      <c r="O5467" s="2"/>
      <c r="P5467" s="2"/>
      <c r="Q5467" s="2"/>
      <c r="R5467" s="2"/>
      <c r="S5467" s="2" t="s">
        <v>35714</v>
      </c>
      <c r="T5467" s="2" t="s">
        <v>35715</v>
      </c>
      <c r="U5467" s="2" t="s">
        <v>56</v>
      </c>
      <c r="V5467" s="2" t="s">
        <v>145</v>
      </c>
      <c r="W5467" s="2" t="s">
        <v>231</v>
      </c>
      <c r="X5467" s="2" t="s">
        <v>147</v>
      </c>
      <c r="Y5467" s="2">
        <v>39.5</v>
      </c>
      <c r="Z5467" s="2">
        <v>10.7</v>
      </c>
      <c r="AA5467" s="2" t="s">
        <v>122</v>
      </c>
      <c r="AB5467" s="2" t="s">
        <v>35716</v>
      </c>
      <c r="AC5467" s="2">
        <v>7.0851915142469094E-2</v>
      </c>
      <c r="AD5467" s="2"/>
      <c r="AE5467" s="2">
        <v>2.9585440822773E-2</v>
      </c>
      <c r="AF5467" s="2">
        <v>5754.3780093349196</v>
      </c>
      <c r="AG5467" s="2">
        <v>5716.26545038725</v>
      </c>
      <c r="AH5467" s="5">
        <v>1.0066673878738599</v>
      </c>
      <c r="AI5467" s="5">
        <v>9.5870824202561808E-3</v>
      </c>
      <c r="AJ5467" s="5" t="s">
        <v>139</v>
      </c>
      <c r="AK5467" s="2">
        <v>0.97207694965739999</v>
      </c>
      <c r="AL5467" s="2">
        <v>0.98915546194842796</v>
      </c>
      <c r="AM5467" s="2">
        <v>8398.56701210149</v>
      </c>
      <c r="AN5467" s="2">
        <v>2392.7708689882702</v>
      </c>
      <c r="AO5467" s="2">
        <v>5255.2448586653099</v>
      </c>
      <c r="AP5467" s="2">
        <v>6506.4053450608599</v>
      </c>
      <c r="AQ5467" s="2">
        <v>7586.0603920454696</v>
      </c>
      <c r="AR5467" s="2">
        <v>4387.2195791480999</v>
      </c>
      <c r="AS5467" s="2">
        <v>4766.8625796074502</v>
      </c>
      <c r="AT5467" s="2">
        <v>5445.93038184135</v>
      </c>
      <c r="AU5467" s="2">
        <v>7902.7009939253103</v>
      </c>
      <c r="AV5467" s="2">
        <v>3951.5484469766002</v>
      </c>
      <c r="AW5467" s="2">
        <v>5719.4073059674001</v>
      </c>
      <c r="AX5467" s="2">
        <v>6511.1429940054104</v>
      </c>
    </row>
    <row r="5468" spans="1:50" x14ac:dyDescent="0.25">
      <c r="A5468" s="2" t="s">
        <v>35717</v>
      </c>
      <c r="B5468" s="2">
        <v>683.46660138987204</v>
      </c>
      <c r="C5468" s="2">
        <v>13.841049999999999</v>
      </c>
      <c r="D5468" s="2" t="s">
        <v>51</v>
      </c>
      <c r="E5468" s="2" t="s">
        <v>35718</v>
      </c>
      <c r="F5468" s="2">
        <v>25157</v>
      </c>
      <c r="G5468" s="3" t="str">
        <f>HYPERLINK("https://cloud.oebiotech.com/#/lm/network/25157", "https://cloud.oebiotech.com/#/lm/network/25157")</f>
        <v>https://cloud.oebiotech.com/#/lm/network/25157</v>
      </c>
      <c r="H5468" s="2"/>
      <c r="I5468" s="2">
        <v>81424</v>
      </c>
      <c r="J5468" s="2" t="s">
        <v>35719</v>
      </c>
      <c r="K5468" s="2">
        <v>52928851</v>
      </c>
      <c r="L5468" s="2"/>
      <c r="M5468" s="2"/>
      <c r="N5468" s="2"/>
      <c r="O5468" s="2"/>
      <c r="P5468" s="2"/>
      <c r="Q5468" s="2"/>
      <c r="R5468" s="2"/>
      <c r="S5468" s="2" t="s">
        <v>35720</v>
      </c>
      <c r="T5468" s="2" t="s">
        <v>35721</v>
      </c>
      <c r="U5468" s="2" t="s">
        <v>56</v>
      </c>
      <c r="V5468" s="2" t="s">
        <v>57</v>
      </c>
      <c r="W5468" s="2" t="s">
        <v>702</v>
      </c>
      <c r="X5468" s="2" t="s">
        <v>147</v>
      </c>
      <c r="Y5468" s="2">
        <v>37.299999999999997</v>
      </c>
      <c r="Z5468" s="2">
        <v>1.29</v>
      </c>
      <c r="AA5468" s="2" t="s">
        <v>163</v>
      </c>
      <c r="AB5468" s="2" t="s">
        <v>35722</v>
      </c>
      <c r="AC5468" s="2">
        <v>1.2740057753736</v>
      </c>
      <c r="AD5468" s="2"/>
      <c r="AE5468" s="2">
        <v>2.9570517898478799E-2</v>
      </c>
      <c r="AF5468" s="2">
        <v>7422.9030852620199</v>
      </c>
      <c r="AG5468" s="2">
        <v>8702.2592196698606</v>
      </c>
      <c r="AH5468" s="4">
        <v>0.85298574748082701</v>
      </c>
      <c r="AI5468" s="4">
        <v>-0.22940645910055499</v>
      </c>
      <c r="AJ5468" s="4" t="s">
        <v>62</v>
      </c>
      <c r="AK5468" s="2">
        <v>0.69567549128337203</v>
      </c>
      <c r="AL5468" s="2">
        <v>0.85378616196188595</v>
      </c>
      <c r="AM5468" s="2">
        <v>10702.738186370299</v>
      </c>
      <c r="AN5468" s="2">
        <v>13943.6222749686</v>
      </c>
      <c r="AO5468" s="2">
        <v>6530.0482613265003</v>
      </c>
      <c r="AP5468" s="2">
        <v>6973.6749021448704</v>
      </c>
      <c r="AQ5468" s="2">
        <v>1178.6765565166299</v>
      </c>
      <c r="AR5468" s="2">
        <v>5208.65833024519</v>
      </c>
      <c r="AS5468" s="2">
        <v>8031.30891661038</v>
      </c>
      <c r="AT5468" s="2">
        <v>2504.9106985244698</v>
      </c>
      <c r="AU5468" s="2">
        <v>19597.120392279401</v>
      </c>
      <c r="AV5468" s="2">
        <v>3068.5596500977599</v>
      </c>
      <c r="AW5468" s="2">
        <v>6850.3159406586301</v>
      </c>
      <c r="AX5468" s="2">
        <v>12161.3397198485</v>
      </c>
    </row>
    <row r="5469" spans="1:50" x14ac:dyDescent="0.25">
      <c r="A5469" s="2" t="s">
        <v>35723</v>
      </c>
      <c r="B5469" s="2">
        <v>259.19134094173199</v>
      </c>
      <c r="C5469" s="2">
        <v>11.297000000000001</v>
      </c>
      <c r="D5469" s="2" t="s">
        <v>51</v>
      </c>
      <c r="E5469" s="2" t="s">
        <v>35724</v>
      </c>
      <c r="F5469" s="2">
        <v>240</v>
      </c>
      <c r="G5469" s="3" t="str">
        <f>HYPERLINK("https://cloud.oebiotech.com/#/lm/network/240", "https://cloud.oebiotech.com/#/lm/network/240")</f>
        <v>https://cloud.oebiotech.com/#/lm/network/240</v>
      </c>
      <c r="H5469" s="2"/>
      <c r="I5469" s="2">
        <v>73598</v>
      </c>
      <c r="J5469" s="2" t="s">
        <v>35725</v>
      </c>
      <c r="K5469" s="2">
        <v>29846</v>
      </c>
      <c r="L5469" s="2"/>
      <c r="M5469" s="2"/>
      <c r="N5469" s="2"/>
      <c r="O5469" s="2"/>
      <c r="P5469" s="2"/>
      <c r="Q5469" s="2"/>
      <c r="R5469" s="2"/>
      <c r="S5469" s="2" t="s">
        <v>35726</v>
      </c>
      <c r="T5469" s="2" t="s">
        <v>35727</v>
      </c>
      <c r="U5469" s="2" t="s">
        <v>56</v>
      </c>
      <c r="V5469" s="2" t="s">
        <v>145</v>
      </c>
      <c r="W5469" s="2" t="s">
        <v>231</v>
      </c>
      <c r="X5469" s="2" t="s">
        <v>147</v>
      </c>
      <c r="Y5469" s="2">
        <v>39.4</v>
      </c>
      <c r="Z5469" s="2">
        <v>0</v>
      </c>
      <c r="AA5469" s="2" t="s">
        <v>478</v>
      </c>
      <c r="AB5469" s="2" t="s">
        <v>35728</v>
      </c>
      <c r="AC5469" s="2">
        <v>-0.54574613831452701</v>
      </c>
      <c r="AD5469" s="2"/>
      <c r="AE5469" s="2">
        <v>2.9444557008464899E-2</v>
      </c>
      <c r="AF5469" s="2">
        <v>610.04969221828105</v>
      </c>
      <c r="AG5469" s="2">
        <v>474.20385185876802</v>
      </c>
      <c r="AH5469" s="5">
        <v>1.2864713979589799</v>
      </c>
      <c r="AI5469" s="5">
        <v>0.363419382076418</v>
      </c>
      <c r="AJ5469" s="5" t="s">
        <v>139</v>
      </c>
      <c r="AK5469" s="2">
        <v>0.52899953657945398</v>
      </c>
      <c r="AL5469" s="2">
        <v>0.75669486121375795</v>
      </c>
      <c r="AM5469" s="2">
        <v>466.40025980166803</v>
      </c>
      <c r="AN5469" s="2">
        <v>282.91475166398698</v>
      </c>
      <c r="AO5469" s="2">
        <v>843.89361326320602</v>
      </c>
      <c r="AP5469" s="2">
        <v>1056.6606388535899</v>
      </c>
      <c r="AQ5469" s="2">
        <v>751.96569676494005</v>
      </c>
      <c r="AR5469" s="2">
        <v>258.46319296229598</v>
      </c>
      <c r="AS5469" s="2">
        <v>116.666659691078</v>
      </c>
      <c r="AT5469" s="2">
        <v>715.00551445634801</v>
      </c>
      <c r="AU5469" s="2">
        <v>116.08129317722501</v>
      </c>
      <c r="AV5469" s="2">
        <v>126.08798676220501</v>
      </c>
      <c r="AW5469" s="2">
        <v>918.99112971684895</v>
      </c>
      <c r="AX5469" s="2">
        <v>852.39052734890004</v>
      </c>
    </row>
    <row r="5470" spans="1:50" x14ac:dyDescent="0.25">
      <c r="A5470" s="2" t="s">
        <v>35729</v>
      </c>
      <c r="B5470" s="2">
        <v>258.12077893638798</v>
      </c>
      <c r="C5470" s="2">
        <v>1.4665999999999999</v>
      </c>
      <c r="D5470" s="2" t="s">
        <v>51</v>
      </c>
      <c r="E5470" s="2" t="s">
        <v>35730</v>
      </c>
      <c r="F5470" s="2">
        <v>47311</v>
      </c>
      <c r="G5470" s="3" t="str">
        <f>HYPERLINK("https://cloud.oebiotech.com/#/lm/network/47311", "https://cloud.oebiotech.com/#/lm/network/47311")</f>
        <v>https://cloud.oebiotech.com/#/lm/network/47311</v>
      </c>
      <c r="H5470" s="2" t="s">
        <v>35731</v>
      </c>
      <c r="I5470" s="2">
        <v>5890</v>
      </c>
      <c r="J5470" s="2"/>
      <c r="K5470" s="2">
        <v>161510</v>
      </c>
      <c r="L5470" s="2"/>
      <c r="M5470" s="2"/>
      <c r="N5470" s="2"/>
      <c r="O5470" s="2"/>
      <c r="P5470" s="2"/>
      <c r="Q5470" s="2"/>
      <c r="R5470" s="2" t="s">
        <v>35732</v>
      </c>
      <c r="S5470" s="2" t="s">
        <v>35733</v>
      </c>
      <c r="T5470" s="2" t="s">
        <v>35734</v>
      </c>
      <c r="U5470" s="2" t="s">
        <v>266</v>
      </c>
      <c r="V5470" s="2" t="s">
        <v>13201</v>
      </c>
      <c r="W5470" s="2" t="s">
        <v>13202</v>
      </c>
      <c r="X5470" s="2" t="s">
        <v>147</v>
      </c>
      <c r="Y5470" s="2">
        <v>41.8</v>
      </c>
      <c r="Z5470" s="2">
        <v>25.7</v>
      </c>
      <c r="AA5470" s="2" t="s">
        <v>259</v>
      </c>
      <c r="AB5470" s="2" t="s">
        <v>15156</v>
      </c>
      <c r="AC5470" s="2">
        <v>4.2725324847182096</v>
      </c>
      <c r="AD5470" s="2"/>
      <c r="AE5470" s="2">
        <v>2.9401407673880001E-2</v>
      </c>
      <c r="AF5470" s="2">
        <v>2030.02329018862</v>
      </c>
      <c r="AG5470" s="2">
        <v>1935.6605054784</v>
      </c>
      <c r="AH5470" s="5">
        <v>1.0487496564832299</v>
      </c>
      <c r="AI5470" s="5">
        <v>6.8670338112038098E-2</v>
      </c>
      <c r="AJ5470" s="5" t="s">
        <v>139</v>
      </c>
      <c r="AK5470" s="2">
        <v>0.83368050086448697</v>
      </c>
      <c r="AL5470" s="2">
        <v>0.92739717256062304</v>
      </c>
      <c r="AM5470" s="2">
        <v>1617.89066040086</v>
      </c>
      <c r="AN5470" s="2">
        <v>2523.4925505974402</v>
      </c>
      <c r="AO5470" s="2">
        <v>2165.93145908002</v>
      </c>
      <c r="AP5470" s="2">
        <v>2917.4245533149201</v>
      </c>
      <c r="AQ5470" s="2">
        <v>1972.8231121010999</v>
      </c>
      <c r="AR5470" s="2">
        <v>982.57740563739901</v>
      </c>
      <c r="AS5470" s="2">
        <v>680.45919166085901</v>
      </c>
      <c r="AT5470" s="2">
        <v>2047.96333393641</v>
      </c>
      <c r="AU5470" s="2">
        <v>3252.0355517979501</v>
      </c>
      <c r="AV5470" s="2">
        <v>1868.68695059691</v>
      </c>
      <c r="AW5470" s="2">
        <v>2105.1441683759799</v>
      </c>
      <c r="AX5470" s="2">
        <v>1659.67383650227</v>
      </c>
    </row>
    <row r="5471" spans="1:50" x14ac:dyDescent="0.25">
      <c r="A5471" s="2" t="s">
        <v>35735</v>
      </c>
      <c r="B5471" s="2">
        <v>324.29057305408497</v>
      </c>
      <c r="C5471" s="2">
        <v>11.493266666666701</v>
      </c>
      <c r="D5471" s="2" t="s">
        <v>51</v>
      </c>
      <c r="E5471" s="2" t="s">
        <v>35736</v>
      </c>
      <c r="F5471" s="2">
        <v>255596</v>
      </c>
      <c r="G5471" s="3" t="str">
        <f>HYPERLINK("https://cloud.oebiotech.com/#/lm/network/255596", "https://cloud.oebiotech.com/#/lm/network/255596")</f>
        <v>https://cloud.oebiotech.com/#/lm/network/255596</v>
      </c>
      <c r="H5471" s="2" t="s">
        <v>35737</v>
      </c>
      <c r="I5471" s="2"/>
      <c r="J5471" s="2"/>
      <c r="K5471" s="2">
        <v>52916190</v>
      </c>
      <c r="L5471" s="2"/>
      <c r="M5471" s="2"/>
      <c r="N5471" s="2"/>
      <c r="O5471" s="2"/>
      <c r="P5471" s="2"/>
      <c r="Q5471" s="2"/>
      <c r="R5471" s="2"/>
      <c r="S5471" s="2" t="s">
        <v>35738</v>
      </c>
      <c r="T5471" s="2" t="s">
        <v>35739</v>
      </c>
      <c r="U5471" s="2" t="s">
        <v>56</v>
      </c>
      <c r="V5471" s="2" t="s">
        <v>177</v>
      </c>
      <c r="W5471" s="2" t="s">
        <v>178</v>
      </c>
      <c r="X5471" s="2" t="s">
        <v>69</v>
      </c>
      <c r="Y5471" s="2">
        <v>65.900000000000006</v>
      </c>
      <c r="Z5471" s="2">
        <v>58.7</v>
      </c>
      <c r="AA5471" s="2" t="s">
        <v>512</v>
      </c>
      <c r="AB5471" s="2" t="s">
        <v>10131</v>
      </c>
      <c r="AC5471" s="2">
        <v>2.8316014190693601</v>
      </c>
      <c r="AD5471" s="2"/>
      <c r="AE5471" s="2">
        <v>2.9387687726493E-2</v>
      </c>
      <c r="AF5471" s="2">
        <v>46767.750182655604</v>
      </c>
      <c r="AG5471" s="2">
        <v>44456.303504970499</v>
      </c>
      <c r="AH5471" s="5">
        <v>1.0519936768342999</v>
      </c>
      <c r="AI5471" s="5">
        <v>7.31260331214586E-2</v>
      </c>
      <c r="AJ5471" s="5" t="s">
        <v>139</v>
      </c>
      <c r="AK5471" s="2">
        <v>0.95415191986194403</v>
      </c>
      <c r="AL5471" s="2">
        <v>0.98091773995157805</v>
      </c>
      <c r="AM5471" s="2">
        <v>6727.0021474346004</v>
      </c>
      <c r="AN5471" s="2">
        <v>13281.949718997999</v>
      </c>
      <c r="AO5471" s="2">
        <v>13036.1022493359</v>
      </c>
      <c r="AP5471" s="2">
        <v>7153.5659687745901</v>
      </c>
      <c r="AQ5471" s="2">
        <v>201023.16782124201</v>
      </c>
      <c r="AR5471" s="2">
        <v>39384.713190148497</v>
      </c>
      <c r="AS5471" s="2">
        <v>12792.0107839886</v>
      </c>
      <c r="AT5471" s="2">
        <v>7213.2822938187401</v>
      </c>
      <c r="AU5471" s="2">
        <v>158085.265101103</v>
      </c>
      <c r="AV5471" s="2">
        <v>29309.536285102899</v>
      </c>
      <c r="AW5471" s="2">
        <v>50545.712086959997</v>
      </c>
      <c r="AX5471" s="2">
        <v>8792.0144788500202</v>
      </c>
    </row>
    <row r="5472" spans="1:50" x14ac:dyDescent="0.25">
      <c r="A5472" s="2" t="s">
        <v>35740</v>
      </c>
      <c r="B5472" s="2">
        <v>427.21332462403802</v>
      </c>
      <c r="C5472" s="2">
        <v>3.4002666666666701</v>
      </c>
      <c r="D5472" s="2" t="s">
        <v>51</v>
      </c>
      <c r="E5472" s="2" t="s">
        <v>35741</v>
      </c>
      <c r="F5472" s="2">
        <v>4520</v>
      </c>
      <c r="G5472" s="3" t="str">
        <f>HYPERLINK("https://cloud.oebiotech.com/#/lm/network/4520", "https://cloud.oebiotech.com/#/lm/network/4520")</f>
        <v>https://cloud.oebiotech.com/#/lm/network/4520</v>
      </c>
      <c r="H5472" s="2"/>
      <c r="I5472" s="2">
        <v>36401</v>
      </c>
      <c r="J5472" s="2" t="s">
        <v>35742</v>
      </c>
      <c r="K5472" s="2">
        <v>5283232</v>
      </c>
      <c r="L5472" s="2"/>
      <c r="M5472" s="2"/>
      <c r="N5472" s="2"/>
      <c r="O5472" s="2"/>
      <c r="P5472" s="2"/>
      <c r="Q5472" s="2"/>
      <c r="R5472" s="2"/>
      <c r="S5472" s="2" t="s">
        <v>35743</v>
      </c>
      <c r="T5472" s="2" t="s">
        <v>35744</v>
      </c>
      <c r="U5472" s="2" t="s">
        <v>56</v>
      </c>
      <c r="V5472" s="2" t="s">
        <v>145</v>
      </c>
      <c r="W5472" s="2" t="s">
        <v>187</v>
      </c>
      <c r="X5472" s="2" t="s">
        <v>147</v>
      </c>
      <c r="Y5472" s="2">
        <v>37.200000000000003</v>
      </c>
      <c r="Z5472" s="2">
        <v>10</v>
      </c>
      <c r="AA5472" s="2" t="s">
        <v>156</v>
      </c>
      <c r="AB5472" s="2" t="s">
        <v>35745</v>
      </c>
      <c r="AC5472" s="2">
        <v>4.0735042240302901</v>
      </c>
      <c r="AD5472" s="2"/>
      <c r="AE5472" s="2">
        <v>2.9382225513288399E-2</v>
      </c>
      <c r="AF5472" s="2">
        <v>1796.5721727575401</v>
      </c>
      <c r="AG5472" s="2">
        <v>2331.1359578568199</v>
      </c>
      <c r="AH5472" s="4">
        <v>0.77068528186972696</v>
      </c>
      <c r="AI5472" s="4">
        <v>-0.37578625547322703</v>
      </c>
      <c r="AJ5472" s="4" t="s">
        <v>62</v>
      </c>
      <c r="AK5472" s="2">
        <v>0.68760321144181002</v>
      </c>
      <c r="AL5472" s="2">
        <v>0.84972173218991098</v>
      </c>
      <c r="AM5472" s="2">
        <v>4167.8249402657202</v>
      </c>
      <c r="AN5472" s="2">
        <v>484.73776465706101</v>
      </c>
      <c r="AO5472" s="2">
        <v>2406.8526926495501</v>
      </c>
      <c r="AP5472" s="2">
        <v>8.559877937157E-6</v>
      </c>
      <c r="AQ5472" s="2">
        <v>298.22408488443398</v>
      </c>
      <c r="AR5472" s="2">
        <v>3421.7935455286101</v>
      </c>
      <c r="AS5472" s="2">
        <v>8.559877937157E-6</v>
      </c>
      <c r="AT5472" s="2">
        <v>8.559877937157E-6</v>
      </c>
      <c r="AU5472" s="2">
        <v>6088.0731822538601</v>
      </c>
      <c r="AV5472" s="2">
        <v>4790.7920817369804</v>
      </c>
      <c r="AW5472" s="2">
        <v>2539.50761136245</v>
      </c>
      <c r="AX5472" s="2">
        <v>568.44285466789097</v>
      </c>
    </row>
    <row r="5473" spans="1:50" x14ac:dyDescent="0.25">
      <c r="A5473" s="2" t="s">
        <v>35746</v>
      </c>
      <c r="B5473" s="2">
        <v>217.08600000000001</v>
      </c>
      <c r="C5473" s="2">
        <v>17.806999999999999</v>
      </c>
      <c r="D5473" s="2" t="s">
        <v>125</v>
      </c>
      <c r="E5473" s="2" t="s">
        <v>35747</v>
      </c>
      <c r="F5473" s="2">
        <v>47659</v>
      </c>
      <c r="G5473" s="3" t="str">
        <f>HYPERLINK("https://cloud.oebiotech.com/#/lm/network/47659", "https://cloud.oebiotech.com/#/lm/network/47659")</f>
        <v>https://cloud.oebiotech.com/#/lm/network/47659</v>
      </c>
      <c r="H5473" s="2" t="s">
        <v>35748</v>
      </c>
      <c r="I5473" s="2">
        <v>379</v>
      </c>
      <c r="J5473" s="2"/>
      <c r="K5473" s="2">
        <v>65533</v>
      </c>
      <c r="L5473" s="2" t="s">
        <v>35749</v>
      </c>
      <c r="M5473" s="2" t="s">
        <v>35750</v>
      </c>
      <c r="N5473" s="2" t="s">
        <v>35751</v>
      </c>
      <c r="O5473" s="2">
        <v>29042</v>
      </c>
      <c r="P5473" s="2"/>
      <c r="Q5473" s="2"/>
      <c r="R5473" s="2" t="s">
        <v>35752</v>
      </c>
      <c r="S5473" s="2" t="s">
        <v>35753</v>
      </c>
      <c r="T5473" s="2" t="s">
        <v>35754</v>
      </c>
      <c r="U5473" s="2" t="s">
        <v>331</v>
      </c>
      <c r="V5473" s="2" t="s">
        <v>332</v>
      </c>
      <c r="W5473" s="2" t="s">
        <v>333</v>
      </c>
      <c r="X5473" s="2" t="s">
        <v>69</v>
      </c>
      <c r="Y5473" s="2">
        <v>88.7</v>
      </c>
      <c r="Z5473" s="2">
        <v>82.2</v>
      </c>
      <c r="AA5473" s="2"/>
      <c r="AB5473" s="2" t="s">
        <v>22685</v>
      </c>
      <c r="AC5473" s="2"/>
      <c r="AD5473" s="2">
        <v>597960.609332819</v>
      </c>
      <c r="AE5473" s="2">
        <v>2.92968054652986E-2</v>
      </c>
      <c r="AF5473" s="2">
        <v>22357.864459127799</v>
      </c>
      <c r="AG5473" s="2">
        <v>26184.3352907029</v>
      </c>
      <c r="AH5473" s="4">
        <v>0.85386412184640004</v>
      </c>
      <c r="AI5473" s="4">
        <v>-0.22792158749480301</v>
      </c>
      <c r="AJ5473" s="4" t="s">
        <v>62</v>
      </c>
      <c r="AK5473" s="2">
        <v>0.61816182162640299</v>
      </c>
      <c r="AL5473" s="2">
        <v>0.81069731278903401</v>
      </c>
      <c r="AM5473" s="2">
        <v>23506.6680680961</v>
      </c>
      <c r="AN5473" s="2">
        <v>21023.667773160701</v>
      </c>
      <c r="AO5473" s="2">
        <v>8811.7998624842203</v>
      </c>
      <c r="AP5473" s="2">
        <v>32478.117147277</v>
      </c>
      <c r="AQ5473" s="2">
        <v>13694.9257714094</v>
      </c>
      <c r="AR5473" s="2">
        <v>34632.008132339099</v>
      </c>
      <c r="AS5473" s="2">
        <v>45412.772251542599</v>
      </c>
      <c r="AT5473" s="2">
        <v>41097.902534377798</v>
      </c>
      <c r="AU5473" s="2">
        <v>29140.902716417899</v>
      </c>
      <c r="AV5473" s="2">
        <v>21163.170097962498</v>
      </c>
      <c r="AW5473" s="2">
        <v>8586.4544477449308</v>
      </c>
      <c r="AX5473" s="2">
        <v>11704.8096961718</v>
      </c>
    </row>
    <row r="5474" spans="1:50" x14ac:dyDescent="0.25">
      <c r="A5474" s="2" t="s">
        <v>35755</v>
      </c>
      <c r="B5474" s="2">
        <v>243.19627836737101</v>
      </c>
      <c r="C5474" s="2">
        <v>11.068</v>
      </c>
      <c r="D5474" s="2" t="s">
        <v>51</v>
      </c>
      <c r="E5474" s="2" t="s">
        <v>35756</v>
      </c>
      <c r="F5474" s="2">
        <v>1950</v>
      </c>
      <c r="G5474" s="3" t="str">
        <f>HYPERLINK("https://cloud.oebiotech.com/#/lm/network/1950", "https://cloud.oebiotech.com/#/lm/network/1950")</f>
        <v>https://cloud.oebiotech.com/#/lm/network/1950</v>
      </c>
      <c r="H5474" s="2" t="s">
        <v>35757</v>
      </c>
      <c r="I5474" s="2">
        <v>6579</v>
      </c>
      <c r="J5474" s="2" t="s">
        <v>35758</v>
      </c>
      <c r="K5474" s="2">
        <v>1563</v>
      </c>
      <c r="L5474" s="2"/>
      <c r="M5474" s="2"/>
      <c r="N5474" s="2"/>
      <c r="O5474" s="2">
        <v>59270</v>
      </c>
      <c r="P5474" s="2"/>
      <c r="Q5474" s="2"/>
      <c r="R5474" s="2" t="s">
        <v>35759</v>
      </c>
      <c r="S5474" s="2" t="s">
        <v>35760</v>
      </c>
      <c r="T5474" s="2" t="s">
        <v>35761</v>
      </c>
      <c r="U5474" s="2" t="s">
        <v>56</v>
      </c>
      <c r="V5474" s="2" t="s">
        <v>145</v>
      </c>
      <c r="W5474" s="2" t="s">
        <v>231</v>
      </c>
      <c r="X5474" s="2" t="s">
        <v>83</v>
      </c>
      <c r="Y5474" s="2">
        <v>58.4</v>
      </c>
      <c r="Z5474" s="2">
        <v>33.700000000000003</v>
      </c>
      <c r="AA5474" s="2" t="s">
        <v>163</v>
      </c>
      <c r="AB5474" s="2" t="s">
        <v>3861</v>
      </c>
      <c r="AC5474" s="2">
        <v>-1.1873575088525701</v>
      </c>
      <c r="AD5474" s="2"/>
      <c r="AE5474" s="2">
        <v>2.9266640712388301E-2</v>
      </c>
      <c r="AF5474" s="2">
        <v>3702.3145868555798</v>
      </c>
      <c r="AG5474" s="2">
        <v>3555.4148011807802</v>
      </c>
      <c r="AH5474" s="5">
        <v>1.0413172003519799</v>
      </c>
      <c r="AI5474" s="5">
        <v>5.8409601459934402E-2</v>
      </c>
      <c r="AJ5474" s="5" t="s">
        <v>139</v>
      </c>
      <c r="AK5474" s="2">
        <v>0.55562788608936797</v>
      </c>
      <c r="AL5474" s="2">
        <v>0.77526739358697505</v>
      </c>
      <c r="AM5474" s="2">
        <v>3799.3236406508399</v>
      </c>
      <c r="AN5474" s="2">
        <v>3137.66864721925</v>
      </c>
      <c r="AO5474" s="2">
        <v>3614.64873618516</v>
      </c>
      <c r="AP5474" s="2">
        <v>3562.9202573994698</v>
      </c>
      <c r="AQ5474" s="2">
        <v>4146.3450715452</v>
      </c>
      <c r="AR5474" s="2">
        <v>3952.98116813354</v>
      </c>
      <c r="AS5474" s="2">
        <v>2802.00648999961</v>
      </c>
      <c r="AT5474" s="2">
        <v>3456.2360143429701</v>
      </c>
      <c r="AU5474" s="2">
        <v>3312.2983132017898</v>
      </c>
      <c r="AV5474" s="2">
        <v>4070.1053669790799</v>
      </c>
      <c r="AW5474" s="2">
        <v>4012.7033101490201</v>
      </c>
      <c r="AX5474" s="2">
        <v>3679.1393124122301</v>
      </c>
    </row>
    <row r="5475" spans="1:50" x14ac:dyDescent="0.25">
      <c r="A5475" s="2" t="s">
        <v>35762</v>
      </c>
      <c r="B5475" s="2">
        <v>281.07293063101002</v>
      </c>
      <c r="C5475" s="2">
        <v>0.61688333333333301</v>
      </c>
      <c r="D5475" s="2" t="s">
        <v>51</v>
      </c>
      <c r="E5475" s="2" t="s">
        <v>35763</v>
      </c>
      <c r="F5475" s="2">
        <v>206835</v>
      </c>
      <c r="G5475" s="3" t="str">
        <f>HYPERLINK("https://cloud.oebiotech.com/#/lm/network/206835", "https://cloud.oebiotech.com/#/lm/network/206835")</f>
        <v>https://cloud.oebiotech.com/#/lm/network/206835</v>
      </c>
      <c r="H5475" s="2" t="s">
        <v>35764</v>
      </c>
      <c r="I5475" s="2"/>
      <c r="J5475" s="2"/>
      <c r="K5475" s="2"/>
      <c r="L5475" s="2"/>
      <c r="M5475" s="2"/>
      <c r="N5475" s="2"/>
      <c r="O5475" s="2"/>
      <c r="P5475" s="2"/>
      <c r="Q5475" s="2"/>
      <c r="R5475" s="2"/>
      <c r="S5475" s="2" t="s">
        <v>35765</v>
      </c>
      <c r="T5475" s="2" t="s">
        <v>35766</v>
      </c>
      <c r="U5475" s="2" t="s">
        <v>266</v>
      </c>
      <c r="V5475" s="2" t="s">
        <v>1585</v>
      </c>
      <c r="W5475" s="2" t="s">
        <v>14227</v>
      </c>
      <c r="X5475" s="2" t="s">
        <v>147</v>
      </c>
      <c r="Y5475" s="2">
        <v>36.799999999999997</v>
      </c>
      <c r="Z5475" s="2">
        <v>0</v>
      </c>
      <c r="AA5475" s="2" t="s">
        <v>163</v>
      </c>
      <c r="AB5475" s="2" t="s">
        <v>35767</v>
      </c>
      <c r="AC5475" s="2">
        <v>-0.88187066631234601</v>
      </c>
      <c r="AD5475" s="2"/>
      <c r="AE5475" s="2">
        <v>2.9266637388647199E-2</v>
      </c>
      <c r="AF5475" s="2">
        <v>3261.95774507224</v>
      </c>
      <c r="AG5475" s="2">
        <v>3010.10914343586</v>
      </c>
      <c r="AH5475" s="5">
        <v>1.0836675979625501</v>
      </c>
      <c r="AI5475" s="5">
        <v>0.11592229514904499</v>
      </c>
      <c r="AJ5475" s="5" t="s">
        <v>139</v>
      </c>
      <c r="AK5475" s="2">
        <v>0.83958304637160797</v>
      </c>
      <c r="AL5475" s="2">
        <v>0.92909683994561798</v>
      </c>
      <c r="AM5475" s="2">
        <v>4868.0642502996998</v>
      </c>
      <c r="AN5475" s="2">
        <v>2764.8071782772299</v>
      </c>
      <c r="AO5475" s="2">
        <v>2189.32748519403</v>
      </c>
      <c r="AP5475" s="2">
        <v>5862.5883559782096</v>
      </c>
      <c r="AQ5475" s="2">
        <v>1693.3200453596801</v>
      </c>
      <c r="AR5475" s="2">
        <v>2193.6391553246099</v>
      </c>
      <c r="AS5475" s="2">
        <v>789.41265971184202</v>
      </c>
      <c r="AT5475" s="2">
        <v>804.225819645824</v>
      </c>
      <c r="AU5475" s="2">
        <v>5605.0733882388404</v>
      </c>
      <c r="AV5475" s="2">
        <v>6458.5495163146898</v>
      </c>
      <c r="AW5475" s="2">
        <v>2134.2519432592499</v>
      </c>
      <c r="AX5475" s="2">
        <v>2269.1415334447001</v>
      </c>
    </row>
    <row r="5476" spans="1:50" x14ac:dyDescent="0.25">
      <c r="A5476" s="2" t="s">
        <v>35768</v>
      </c>
      <c r="B5476" s="2">
        <v>451.09140000000002</v>
      </c>
      <c r="C5476" s="2">
        <v>16.347000000000001</v>
      </c>
      <c r="D5476" s="2" t="s">
        <v>125</v>
      </c>
      <c r="E5476" s="2" t="s">
        <v>35769</v>
      </c>
      <c r="F5476" s="2">
        <v>257154</v>
      </c>
      <c r="G5476" s="3" t="str">
        <f>HYPERLINK("https://cloud.oebiotech.com/#/lm/network/257154", "https://cloud.oebiotech.com/#/lm/network/257154")</f>
        <v>https://cloud.oebiotech.com/#/lm/network/257154</v>
      </c>
      <c r="H5476" s="2" t="s">
        <v>35770</v>
      </c>
      <c r="I5476" s="2"/>
      <c r="J5476" s="2"/>
      <c r="K5476" s="2"/>
      <c r="L5476" s="2"/>
      <c r="M5476" s="2"/>
      <c r="N5476" s="2"/>
      <c r="O5476" s="2">
        <v>18361</v>
      </c>
      <c r="P5476" s="2"/>
      <c r="Q5476" s="2"/>
      <c r="R5476" s="2"/>
      <c r="S5476" s="2" t="s">
        <v>35771</v>
      </c>
      <c r="T5476" s="2" t="s">
        <v>35772</v>
      </c>
      <c r="U5476" s="2" t="s">
        <v>683</v>
      </c>
      <c r="V5476" s="2" t="s">
        <v>684</v>
      </c>
      <c r="W5476" s="2" t="s">
        <v>685</v>
      </c>
      <c r="X5476" s="2" t="s">
        <v>69</v>
      </c>
      <c r="Y5476" s="2">
        <v>92</v>
      </c>
      <c r="Z5476" s="2">
        <v>90.4</v>
      </c>
      <c r="AA5476" s="2"/>
      <c r="AB5476" s="2" t="s">
        <v>35773</v>
      </c>
      <c r="AC5476" s="2"/>
      <c r="AD5476" s="2">
        <v>549458.22925989702</v>
      </c>
      <c r="AE5476" s="2">
        <v>2.92650538125547E-2</v>
      </c>
      <c r="AF5476" s="2">
        <v>27915.387753902902</v>
      </c>
      <c r="AG5476" s="2">
        <v>28831.991493974601</v>
      </c>
      <c r="AH5476" s="4">
        <v>0.96820879541868499</v>
      </c>
      <c r="AI5476" s="4">
        <v>-4.6609894874419203E-2</v>
      </c>
      <c r="AJ5476" s="4" t="s">
        <v>62</v>
      </c>
      <c r="AK5476" s="2">
        <v>0.91490961304428298</v>
      </c>
      <c r="AL5476" s="2">
        <v>0.96366058811687005</v>
      </c>
      <c r="AM5476" s="2">
        <v>37060.433795958299</v>
      </c>
      <c r="AN5476" s="2">
        <v>17540.824947654899</v>
      </c>
      <c r="AO5476" s="2">
        <v>20396.238168863099</v>
      </c>
      <c r="AP5476" s="2">
        <v>31338.199361843999</v>
      </c>
      <c r="AQ5476" s="2">
        <v>28120.984802532999</v>
      </c>
      <c r="AR5476" s="2">
        <v>33035.6454465641</v>
      </c>
      <c r="AS5476" s="2">
        <v>16975.318327636702</v>
      </c>
      <c r="AT5476" s="2">
        <v>15475.5204015292</v>
      </c>
      <c r="AU5476" s="2">
        <v>60539.292585847703</v>
      </c>
      <c r="AV5476" s="2">
        <v>44254.3495191154</v>
      </c>
      <c r="AW5476" s="2">
        <v>20207.285314105899</v>
      </c>
      <c r="AX5476" s="2">
        <v>15540.182815612599</v>
      </c>
    </row>
    <row r="5477" spans="1:50" x14ac:dyDescent="0.25">
      <c r="A5477" s="2" t="s">
        <v>35774</v>
      </c>
      <c r="B5477" s="2">
        <v>387.23950040053398</v>
      </c>
      <c r="C5477" s="2">
        <v>5.5183</v>
      </c>
      <c r="D5477" s="2" t="s">
        <v>51</v>
      </c>
      <c r="E5477" s="2" t="s">
        <v>35775</v>
      </c>
      <c r="F5477" s="2">
        <v>51835</v>
      </c>
      <c r="G5477" s="3" t="str">
        <f>HYPERLINK("https://cloud.oebiotech.com/#/lm/network/51835", "https://cloud.oebiotech.com/#/lm/network/51835")</f>
        <v>https://cloud.oebiotech.com/#/lm/network/51835</v>
      </c>
      <c r="H5477" s="2" t="s">
        <v>35776</v>
      </c>
      <c r="I5477" s="2"/>
      <c r="J5477" s="2"/>
      <c r="K5477" s="2">
        <v>6439819</v>
      </c>
      <c r="L5477" s="2" t="s">
        <v>35777</v>
      </c>
      <c r="M5477" s="2"/>
      <c r="N5477" s="2"/>
      <c r="O5477" s="2">
        <v>139312</v>
      </c>
      <c r="P5477" s="2"/>
      <c r="Q5477" s="2"/>
      <c r="R5477" s="2" t="s">
        <v>35778</v>
      </c>
      <c r="S5477" s="2" t="s">
        <v>35779</v>
      </c>
      <c r="T5477" s="2" t="s">
        <v>35780</v>
      </c>
      <c r="U5477" s="2" t="s">
        <v>56</v>
      </c>
      <c r="V5477" s="2" t="s">
        <v>145</v>
      </c>
      <c r="W5477" s="2" t="s">
        <v>187</v>
      </c>
      <c r="X5477" s="2" t="s">
        <v>83</v>
      </c>
      <c r="Y5477" s="2">
        <v>40.5</v>
      </c>
      <c r="Z5477" s="2">
        <v>0</v>
      </c>
      <c r="AA5477" s="2" t="s">
        <v>163</v>
      </c>
      <c r="AB5477" s="2" t="s">
        <v>35781</v>
      </c>
      <c r="AC5477" s="2">
        <v>1.73431513686424</v>
      </c>
      <c r="AD5477" s="2"/>
      <c r="AE5477" s="2">
        <v>2.9253999365560699E-2</v>
      </c>
      <c r="AF5477" s="2">
        <v>506.866469603273</v>
      </c>
      <c r="AG5477" s="2">
        <v>425.12689002686699</v>
      </c>
      <c r="AH5477" s="5">
        <v>1.1922710171808699</v>
      </c>
      <c r="AI5477" s="5">
        <v>0.25371221457572801</v>
      </c>
      <c r="AJ5477" s="5" t="s">
        <v>139</v>
      </c>
      <c r="AK5477" s="2">
        <v>0.84945025121135898</v>
      </c>
      <c r="AL5477" s="2">
        <v>0.93318515058070095</v>
      </c>
      <c r="AM5477" s="2">
        <v>579.75781786288996</v>
      </c>
      <c r="AN5477" s="2">
        <v>45.986628309968097</v>
      </c>
      <c r="AO5477" s="2">
        <v>2240.2173818977099</v>
      </c>
      <c r="AP5477" s="2">
        <v>8.559877937157E-6</v>
      </c>
      <c r="AQ5477" s="2">
        <v>8.559877937157E-6</v>
      </c>
      <c r="AR5477" s="2">
        <v>175.236972429312</v>
      </c>
      <c r="AS5477" s="2">
        <v>412.109821875563</v>
      </c>
      <c r="AT5477" s="2">
        <v>8.559877937157E-6</v>
      </c>
      <c r="AU5477" s="2">
        <v>890.81726547864503</v>
      </c>
      <c r="AV5477" s="2">
        <v>8.559877937157E-6</v>
      </c>
      <c r="AW5477" s="2">
        <v>1247.83422712736</v>
      </c>
      <c r="AX5477" s="2">
        <v>8.559877937157E-6</v>
      </c>
    </row>
    <row r="5478" spans="1:50" x14ac:dyDescent="0.25">
      <c r="A5478" s="2" t="s">
        <v>35782</v>
      </c>
      <c r="B5478" s="2">
        <v>261.14925703271598</v>
      </c>
      <c r="C5478" s="2">
        <v>14.7086166666667</v>
      </c>
      <c r="D5478" s="2" t="s">
        <v>51</v>
      </c>
      <c r="E5478" s="2" t="s">
        <v>35783</v>
      </c>
      <c r="F5478" s="2">
        <v>52230</v>
      </c>
      <c r="G5478" s="3" t="str">
        <f>HYPERLINK("https://cloud.oebiotech.com/#/lm/network/52230", "https://cloud.oebiotech.com/#/lm/network/52230")</f>
        <v>https://cloud.oebiotech.com/#/lm/network/52230</v>
      </c>
      <c r="H5478" s="2" t="s">
        <v>35784</v>
      </c>
      <c r="I5478" s="2">
        <v>44802</v>
      </c>
      <c r="J5478" s="2"/>
      <c r="K5478" s="2">
        <v>20393</v>
      </c>
      <c r="L5478" s="2" t="s">
        <v>35785</v>
      </c>
      <c r="M5478" s="2"/>
      <c r="N5478" s="2"/>
      <c r="O5478" s="2">
        <v>17243</v>
      </c>
      <c r="P5478" s="2"/>
      <c r="Q5478" s="2"/>
      <c r="R5478" s="2" t="s">
        <v>35786</v>
      </c>
      <c r="S5478" s="2" t="s">
        <v>35787</v>
      </c>
      <c r="T5478" s="2" t="s">
        <v>35788</v>
      </c>
      <c r="U5478" s="2" t="s">
        <v>610</v>
      </c>
      <c r="V5478" s="2" t="s">
        <v>611</v>
      </c>
      <c r="W5478" s="2" t="s">
        <v>1122</v>
      </c>
      <c r="X5478" s="2" t="s">
        <v>147</v>
      </c>
      <c r="Y5478" s="2">
        <v>39.9</v>
      </c>
      <c r="Z5478" s="2">
        <v>10.199999999999999</v>
      </c>
      <c r="AA5478" s="2" t="s">
        <v>156</v>
      </c>
      <c r="AB5478" s="2" t="s">
        <v>16354</v>
      </c>
      <c r="AC5478" s="2">
        <v>2.6463927661084101</v>
      </c>
      <c r="AD5478" s="2"/>
      <c r="AE5478" s="2">
        <v>2.9251442613480699E-2</v>
      </c>
      <c r="AF5478" s="2">
        <v>2577.1399230811899</v>
      </c>
      <c r="AG5478" s="2">
        <v>2710.6749519433602</v>
      </c>
      <c r="AH5478" s="4">
        <v>0.95073735094411405</v>
      </c>
      <c r="AI5478" s="4">
        <v>-7.28812551956739E-2</v>
      </c>
      <c r="AJ5478" s="4" t="s">
        <v>62</v>
      </c>
      <c r="AK5478" s="2">
        <v>0.61932585091158898</v>
      </c>
      <c r="AL5478" s="2">
        <v>0.81165815121909402</v>
      </c>
      <c r="AM5478" s="2">
        <v>2632.4435226922701</v>
      </c>
      <c r="AN5478" s="2">
        <v>2588.1530892177402</v>
      </c>
      <c r="AO5478" s="2">
        <v>2939.91927261603</v>
      </c>
      <c r="AP5478" s="2">
        <v>2418.6070378864601</v>
      </c>
      <c r="AQ5478" s="2">
        <v>2800.6880763897898</v>
      </c>
      <c r="AR5478" s="2">
        <v>2083.0285396848699</v>
      </c>
      <c r="AS5478" s="2">
        <v>3255.5508166948498</v>
      </c>
      <c r="AT5478" s="2">
        <v>3229.64027531688</v>
      </c>
      <c r="AU5478" s="2">
        <v>1913.25407719746</v>
      </c>
      <c r="AV5478" s="2">
        <v>2368.6639154014701</v>
      </c>
      <c r="AW5478" s="2">
        <v>2388.26469777283</v>
      </c>
      <c r="AX5478" s="2">
        <v>3108.6759292766601</v>
      </c>
    </row>
    <row r="5479" spans="1:50" x14ac:dyDescent="0.25">
      <c r="A5479" s="2" t="s">
        <v>35789</v>
      </c>
      <c r="B5479" s="2">
        <v>309.10928931411098</v>
      </c>
      <c r="C5479" s="2">
        <v>2.4039666666666699</v>
      </c>
      <c r="D5479" s="2" t="s">
        <v>51</v>
      </c>
      <c r="E5479" s="2" t="s">
        <v>35790</v>
      </c>
      <c r="F5479" s="2">
        <v>208645</v>
      </c>
      <c r="G5479" s="3" t="str">
        <f>HYPERLINK("https://cloud.oebiotech.com/#/lm/network/208645", "https://cloud.oebiotech.com/#/lm/network/208645")</f>
        <v>https://cloud.oebiotech.com/#/lm/network/208645</v>
      </c>
      <c r="H5479" s="2" t="s">
        <v>35791</v>
      </c>
      <c r="I5479" s="2"/>
      <c r="J5479" s="2"/>
      <c r="K5479" s="2">
        <v>53995407</v>
      </c>
      <c r="L5479" s="2"/>
      <c r="M5479" s="2"/>
      <c r="N5479" s="2"/>
      <c r="O5479" s="2"/>
      <c r="P5479" s="2"/>
      <c r="Q5479" s="2"/>
      <c r="R5479" s="2"/>
      <c r="S5479" s="2" t="s">
        <v>35792</v>
      </c>
      <c r="T5479" s="2" t="s">
        <v>35793</v>
      </c>
      <c r="U5479" s="2" t="s">
        <v>610</v>
      </c>
      <c r="V5479" s="2" t="s">
        <v>895</v>
      </c>
      <c r="W5479" s="2" t="s">
        <v>896</v>
      </c>
      <c r="X5479" s="2" t="s">
        <v>83</v>
      </c>
      <c r="Y5479" s="2">
        <v>44.4</v>
      </c>
      <c r="Z5479" s="2">
        <v>0</v>
      </c>
      <c r="AA5479" s="2" t="s">
        <v>478</v>
      </c>
      <c r="AB5479" s="2" t="s">
        <v>35794</v>
      </c>
      <c r="AC5479" s="2">
        <v>0.25616790771287701</v>
      </c>
      <c r="AD5479" s="2"/>
      <c r="AE5479" s="2">
        <v>2.9188798286633601E-2</v>
      </c>
      <c r="AF5479" s="2">
        <v>2167.0917411431701</v>
      </c>
      <c r="AG5479" s="2">
        <v>1739.3556719636099</v>
      </c>
      <c r="AH5479" s="5">
        <v>1.2459163908073401</v>
      </c>
      <c r="AI5479" s="5">
        <v>0.31720725727457799</v>
      </c>
      <c r="AJ5479" s="5" t="s">
        <v>139</v>
      </c>
      <c r="AK5479" s="2">
        <v>0.52403703966675597</v>
      </c>
      <c r="AL5479" s="2">
        <v>0.75308450805695804</v>
      </c>
      <c r="AM5479" s="2">
        <v>1096.0140238320701</v>
      </c>
      <c r="AN5479" s="2">
        <v>678.80904763603496</v>
      </c>
      <c r="AO5479" s="2">
        <v>1901.71014404935</v>
      </c>
      <c r="AP5479" s="2">
        <v>3820.3048183880501</v>
      </c>
      <c r="AQ5479" s="2">
        <v>3260.0284465774298</v>
      </c>
      <c r="AR5479" s="2">
        <v>2245.6839663760702</v>
      </c>
      <c r="AS5479" s="2">
        <v>1736.5252332308501</v>
      </c>
      <c r="AT5479" s="2">
        <v>1909.10487195772</v>
      </c>
      <c r="AU5479" s="2">
        <v>1034.16269681945</v>
      </c>
      <c r="AV5479" s="2">
        <v>768.77874681004505</v>
      </c>
      <c r="AW5479" s="2">
        <v>1349.2929315746501</v>
      </c>
      <c r="AX5479" s="2">
        <v>3638.2695513889298</v>
      </c>
    </row>
    <row r="5480" spans="1:50" x14ac:dyDescent="0.25">
      <c r="A5480" s="2" t="s">
        <v>35795</v>
      </c>
      <c r="B5480" s="2">
        <v>174.08779999999999</v>
      </c>
      <c r="C5480" s="2">
        <v>8.7919999999999998</v>
      </c>
      <c r="D5480" s="2" t="s">
        <v>125</v>
      </c>
      <c r="E5480" s="2" t="s">
        <v>35796</v>
      </c>
      <c r="F5480" s="2">
        <v>208682</v>
      </c>
      <c r="G5480" s="3" t="str">
        <f>HYPERLINK("https://cloud.oebiotech.com/#/lm/network/208682", "https://cloud.oebiotech.com/#/lm/network/208682")</f>
        <v>https://cloud.oebiotech.com/#/lm/network/208682</v>
      </c>
      <c r="H5480" s="2" t="s">
        <v>35797</v>
      </c>
      <c r="I5480" s="2">
        <v>329597</v>
      </c>
      <c r="J5480" s="2"/>
      <c r="K5480" s="2">
        <v>69221</v>
      </c>
      <c r="L5480" s="2"/>
      <c r="M5480" s="2"/>
      <c r="N5480" s="2"/>
      <c r="O5480" s="2">
        <v>87375</v>
      </c>
      <c r="P5480" s="2"/>
      <c r="Q5480" s="2"/>
      <c r="R5480" s="2"/>
      <c r="S5480" s="2" t="s">
        <v>35798</v>
      </c>
      <c r="T5480" s="2" t="s">
        <v>35799</v>
      </c>
      <c r="U5480" s="2" t="s">
        <v>103</v>
      </c>
      <c r="V5480" s="2" t="s">
        <v>104</v>
      </c>
      <c r="W5480" s="2" t="s">
        <v>105</v>
      </c>
      <c r="X5480" s="2" t="s">
        <v>83</v>
      </c>
      <c r="Y5480" s="2">
        <v>81.7</v>
      </c>
      <c r="Z5480" s="2">
        <v>70.400000000000006</v>
      </c>
      <c r="AA5480" s="2"/>
      <c r="AB5480" s="2" t="s">
        <v>3480</v>
      </c>
      <c r="AC5480" s="2"/>
      <c r="AD5480" s="2">
        <v>295152.72080616502</v>
      </c>
      <c r="AE5480" s="2">
        <v>2.9062555448196699E-2</v>
      </c>
      <c r="AF5480" s="2">
        <v>35359.821536703799</v>
      </c>
      <c r="AG5480" s="2">
        <v>37965.193651181798</v>
      </c>
      <c r="AH5480" s="4">
        <v>0.93137471815853701</v>
      </c>
      <c r="AI5480" s="4">
        <v>-0.102566373650675</v>
      </c>
      <c r="AJ5480" s="4" t="s">
        <v>62</v>
      </c>
      <c r="AK5480" s="2">
        <v>0.77127262229871396</v>
      </c>
      <c r="AL5480" s="2">
        <v>0.89767605539844497</v>
      </c>
      <c r="AM5480" s="2">
        <v>63389.989695186297</v>
      </c>
      <c r="AN5480" s="2">
        <v>29901.835944011302</v>
      </c>
      <c r="AO5480" s="2">
        <v>30505.669928081799</v>
      </c>
      <c r="AP5480" s="2">
        <v>32156.1060487795</v>
      </c>
      <c r="AQ5480" s="2">
        <v>23055.1368026089</v>
      </c>
      <c r="AR5480" s="2">
        <v>33150.190801554803</v>
      </c>
      <c r="AS5480" s="2">
        <v>26012.8974724285</v>
      </c>
      <c r="AT5480" s="2">
        <v>27511.3679741214</v>
      </c>
      <c r="AU5480" s="2">
        <v>67246.054849999695</v>
      </c>
      <c r="AV5480" s="2">
        <v>43720.2632899729</v>
      </c>
      <c r="AW5480" s="2">
        <v>36855.153701924603</v>
      </c>
      <c r="AX5480" s="2">
        <v>26445.424618643901</v>
      </c>
    </row>
    <row r="5481" spans="1:50" x14ac:dyDescent="0.25">
      <c r="A5481" s="2" t="s">
        <v>35800</v>
      </c>
      <c r="B5481" s="2">
        <v>732.461300603278</v>
      </c>
      <c r="C5481" s="2">
        <v>5.4175500000000003</v>
      </c>
      <c r="D5481" s="2" t="s">
        <v>51</v>
      </c>
      <c r="E5481" s="2" t="s">
        <v>35801</v>
      </c>
      <c r="F5481" s="2">
        <v>214803</v>
      </c>
      <c r="G5481" s="3" t="str">
        <f>HYPERLINK("https://cloud.oebiotech.com/#/lm/network/214803", "https://cloud.oebiotech.com/#/lm/network/214803")</f>
        <v>https://cloud.oebiotech.com/#/lm/network/214803</v>
      </c>
      <c r="H5481" s="2" t="s">
        <v>35802</v>
      </c>
      <c r="I5481" s="2"/>
      <c r="J5481" s="2"/>
      <c r="K5481" s="2"/>
      <c r="L5481" s="2"/>
      <c r="M5481" s="2"/>
      <c r="N5481" s="2"/>
      <c r="O5481" s="2"/>
      <c r="P5481" s="2"/>
      <c r="Q5481" s="2"/>
      <c r="R5481" s="2"/>
      <c r="S5481" s="2" t="s">
        <v>35803</v>
      </c>
      <c r="T5481" s="2" t="s">
        <v>35804</v>
      </c>
      <c r="U5481" s="2" t="s">
        <v>56</v>
      </c>
      <c r="V5481" s="2" t="s">
        <v>57</v>
      </c>
      <c r="W5481" s="2" t="s">
        <v>155</v>
      </c>
      <c r="X5481" s="2" t="s">
        <v>147</v>
      </c>
      <c r="Y5481" s="2">
        <v>37.799999999999997</v>
      </c>
      <c r="Z5481" s="2">
        <v>0</v>
      </c>
      <c r="AA5481" s="2" t="s">
        <v>379</v>
      </c>
      <c r="AB5481" s="2" t="s">
        <v>35805</v>
      </c>
      <c r="AC5481" s="2">
        <v>0.428844472557316</v>
      </c>
      <c r="AD5481" s="2"/>
      <c r="AE5481" s="2">
        <v>2.9061408087878101E-2</v>
      </c>
      <c r="AF5481" s="2">
        <v>10126.058607393201</v>
      </c>
      <c r="AG5481" s="2">
        <v>10649.0100706306</v>
      </c>
      <c r="AH5481" s="4">
        <v>0.95089201157958303</v>
      </c>
      <c r="AI5481" s="4">
        <v>-7.2646584721289501E-2</v>
      </c>
      <c r="AJ5481" s="4" t="s">
        <v>62</v>
      </c>
      <c r="AK5481" s="2">
        <v>0.86631616135482403</v>
      </c>
      <c r="AL5481" s="2">
        <v>0.94236097769736804</v>
      </c>
      <c r="AM5481" s="2">
        <v>8660.4235230532195</v>
      </c>
      <c r="AN5481" s="2">
        <v>6014.3035499938796</v>
      </c>
      <c r="AO5481" s="2">
        <v>4824.2131444346596</v>
      </c>
      <c r="AP5481" s="2">
        <v>15824.317523899101</v>
      </c>
      <c r="AQ5481" s="2">
        <v>11187.373156146999</v>
      </c>
      <c r="AR5481" s="2">
        <v>14245.720746831401</v>
      </c>
      <c r="AS5481" s="2">
        <v>8938.0650718179695</v>
      </c>
      <c r="AT5481" s="2">
        <v>22104.308748019099</v>
      </c>
      <c r="AU5481" s="2">
        <v>11468.074600580399</v>
      </c>
      <c r="AV5481" s="2">
        <v>6003.3500613820697</v>
      </c>
      <c r="AW5481" s="2">
        <v>6392.9544852378003</v>
      </c>
      <c r="AX5481" s="2">
        <v>8987.3074567465192</v>
      </c>
    </row>
    <row r="5482" spans="1:50" x14ac:dyDescent="0.25">
      <c r="A5482" s="2" t="s">
        <v>35806</v>
      </c>
      <c r="B5482" s="2">
        <v>179.14352976835499</v>
      </c>
      <c r="C5482" s="2">
        <v>9.9291999999999998</v>
      </c>
      <c r="D5482" s="2" t="s">
        <v>51</v>
      </c>
      <c r="E5482" s="2" t="s">
        <v>35807</v>
      </c>
      <c r="F5482" s="2">
        <v>61622</v>
      </c>
      <c r="G5482" s="3" t="str">
        <f>HYPERLINK("https://cloud.oebiotech.com/#/lm/network/61622", "https://cloud.oebiotech.com/#/lm/network/61622")</f>
        <v>https://cloud.oebiotech.com/#/lm/network/61622</v>
      </c>
      <c r="H5482" s="2" t="s">
        <v>35808</v>
      </c>
      <c r="I5482" s="2">
        <v>92930</v>
      </c>
      <c r="J5482" s="2"/>
      <c r="K5482" s="2">
        <v>13919499</v>
      </c>
      <c r="L5482" s="2"/>
      <c r="M5482" s="2"/>
      <c r="N5482" s="2"/>
      <c r="O5482" s="2"/>
      <c r="P5482" s="2"/>
      <c r="Q5482" s="2"/>
      <c r="R5482" s="2" t="s">
        <v>35809</v>
      </c>
      <c r="S5482" s="2" t="s">
        <v>35810</v>
      </c>
      <c r="T5482" s="2" t="s">
        <v>35811</v>
      </c>
      <c r="U5482" s="2" t="s">
        <v>56</v>
      </c>
      <c r="V5482" s="2" t="s">
        <v>177</v>
      </c>
      <c r="W5482" s="2" t="s">
        <v>584</v>
      </c>
      <c r="X5482" s="2" t="s">
        <v>83</v>
      </c>
      <c r="Y5482" s="2">
        <v>44.8</v>
      </c>
      <c r="Z5482" s="2">
        <v>0</v>
      </c>
      <c r="AA5482" s="2" t="s">
        <v>259</v>
      </c>
      <c r="AB5482" s="2" t="s">
        <v>23563</v>
      </c>
      <c r="AC5482" s="2">
        <v>2.7402668645071002</v>
      </c>
      <c r="AD5482" s="2"/>
      <c r="AE5482" s="2">
        <v>2.8946854397094001E-2</v>
      </c>
      <c r="AF5482" s="2">
        <v>2070.6159507329598</v>
      </c>
      <c r="AG5482" s="2">
        <v>1990.0937597668101</v>
      </c>
      <c r="AH5482" s="5">
        <v>1.0404615061833</v>
      </c>
      <c r="AI5482" s="5">
        <v>5.72235908630132E-2</v>
      </c>
      <c r="AJ5482" s="5" t="s">
        <v>139</v>
      </c>
      <c r="AK5482" s="2">
        <v>0.81616318818550204</v>
      </c>
      <c r="AL5482" s="2">
        <v>0.91889489993959605</v>
      </c>
      <c r="AM5482" s="2">
        <v>1675.1789080445401</v>
      </c>
      <c r="AN5482" s="2">
        <v>2355.38470466835</v>
      </c>
      <c r="AO5482" s="2">
        <v>2314.70202800991</v>
      </c>
      <c r="AP5482" s="2">
        <v>2062.6680301698102</v>
      </c>
      <c r="AQ5482" s="2">
        <v>2379.6328375029302</v>
      </c>
      <c r="AR5482" s="2">
        <v>1636.12919600224</v>
      </c>
      <c r="AS5482" s="2">
        <v>1664.1356889127701</v>
      </c>
      <c r="AT5482" s="2">
        <v>1510.84276643668</v>
      </c>
      <c r="AU5482" s="2">
        <v>3507.42214275479</v>
      </c>
      <c r="AV5482" s="2">
        <v>1652.1599520114</v>
      </c>
      <c r="AW5482" s="2">
        <v>1731.42689527995</v>
      </c>
      <c r="AX5482" s="2">
        <v>1874.5751132052501</v>
      </c>
    </row>
    <row r="5483" spans="1:50" x14ac:dyDescent="0.25">
      <c r="A5483" s="2" t="s">
        <v>35812</v>
      </c>
      <c r="B5483" s="2">
        <v>198.1455</v>
      </c>
      <c r="C5483" s="2">
        <v>8.3439999999999994</v>
      </c>
      <c r="D5483" s="2" t="s">
        <v>125</v>
      </c>
      <c r="E5483" s="2" t="s">
        <v>35813</v>
      </c>
      <c r="F5483" s="2">
        <v>538399</v>
      </c>
      <c r="G5483" s="3" t="str">
        <f>HYPERLINK("https://cloud.oebiotech.com/#/lm/network/538399", "https://cloud.oebiotech.com/#/lm/network/538399")</f>
        <v>https://cloud.oebiotech.com/#/lm/network/538399</v>
      </c>
      <c r="H5483" s="2"/>
      <c r="I5483" s="2"/>
      <c r="J5483" s="2"/>
      <c r="K5483" s="2"/>
      <c r="L5483" s="2"/>
      <c r="M5483" s="2"/>
      <c r="N5483" s="2"/>
      <c r="O5483" s="2"/>
      <c r="P5483" s="2"/>
      <c r="Q5483" s="2"/>
      <c r="R5483" s="2"/>
      <c r="S5483" s="2" t="s">
        <v>35814</v>
      </c>
      <c r="T5483" s="2" t="s">
        <v>35815</v>
      </c>
      <c r="U5483" s="2" t="s">
        <v>331</v>
      </c>
      <c r="V5483" s="2" t="s">
        <v>332</v>
      </c>
      <c r="W5483" s="2" t="s">
        <v>519</v>
      </c>
      <c r="X5483" s="2" t="s">
        <v>59</v>
      </c>
      <c r="Y5483" s="2">
        <v>77.400000000000006</v>
      </c>
      <c r="Z5483" s="2">
        <v>63.3</v>
      </c>
      <c r="AA5483" s="2"/>
      <c r="AB5483" s="2" t="s">
        <v>35816</v>
      </c>
      <c r="AC5483" s="2"/>
      <c r="AD5483" s="2">
        <v>279006.66271487798</v>
      </c>
      <c r="AE5483" s="2">
        <v>2.8800513956134401E-2</v>
      </c>
      <c r="AF5483" s="2">
        <v>11324.539342253</v>
      </c>
      <c r="AG5483" s="2">
        <v>11076.834461722399</v>
      </c>
      <c r="AH5483" s="5">
        <v>1.0223624250580401</v>
      </c>
      <c r="AI5483" s="5">
        <v>3.1906718922392698E-2</v>
      </c>
      <c r="AJ5483" s="5" t="s">
        <v>139</v>
      </c>
      <c r="AK5483" s="2">
        <v>0.24270124166464199</v>
      </c>
      <c r="AL5483" s="2">
        <v>0.56662102704010198</v>
      </c>
      <c r="AM5483" s="2">
        <v>10869.266078405801</v>
      </c>
      <c r="AN5483" s="2">
        <v>11484.272603514701</v>
      </c>
      <c r="AO5483" s="2">
        <v>11025.991361664001</v>
      </c>
      <c r="AP5483" s="2">
        <v>11462.395818706</v>
      </c>
      <c r="AQ5483" s="2">
        <v>11658.2963364474</v>
      </c>
      <c r="AR5483" s="2">
        <v>11447.0138547798</v>
      </c>
      <c r="AS5483" s="2">
        <v>11175.0057770117</v>
      </c>
      <c r="AT5483" s="2">
        <v>11750.441444226401</v>
      </c>
      <c r="AU5483" s="2">
        <v>10903.506997181799</v>
      </c>
      <c r="AV5483" s="2">
        <v>10642.0239663671</v>
      </c>
      <c r="AW5483" s="2">
        <v>11119.077598161</v>
      </c>
      <c r="AX5483" s="2">
        <v>10870.950987386401</v>
      </c>
    </row>
    <row r="5484" spans="1:50" x14ac:dyDescent="0.25">
      <c r="A5484" s="2" t="s">
        <v>35817</v>
      </c>
      <c r="B5484" s="2">
        <v>231.20760886934801</v>
      </c>
      <c r="C5484" s="2">
        <v>5.0382166666666697</v>
      </c>
      <c r="D5484" s="2" t="s">
        <v>51</v>
      </c>
      <c r="E5484" s="2" t="s">
        <v>35818</v>
      </c>
      <c r="F5484" s="2">
        <v>534660</v>
      </c>
      <c r="G5484" s="3" t="str">
        <f>HYPERLINK("https://cloud.oebiotech.com/#/lm/network/534660", "https://cloud.oebiotech.com/#/lm/network/534660")</f>
        <v>https://cloud.oebiotech.com/#/lm/network/534660</v>
      </c>
      <c r="H5484" s="2"/>
      <c r="I5484" s="2">
        <v>984916</v>
      </c>
      <c r="J5484" s="2"/>
      <c r="K5484" s="2">
        <v>38358941</v>
      </c>
      <c r="L5484" s="2"/>
      <c r="M5484" s="2"/>
      <c r="N5484" s="2"/>
      <c r="O5484" s="2"/>
      <c r="P5484" s="2"/>
      <c r="Q5484" s="2"/>
      <c r="R5484" s="2"/>
      <c r="S5484" s="2" t="s">
        <v>35819</v>
      </c>
      <c r="T5484" s="2" t="s">
        <v>35820</v>
      </c>
      <c r="U5484" s="2" t="s">
        <v>103</v>
      </c>
      <c r="V5484" s="2" t="s">
        <v>104</v>
      </c>
      <c r="W5484" s="2" t="s">
        <v>9173</v>
      </c>
      <c r="X5484" s="2" t="s">
        <v>147</v>
      </c>
      <c r="Y5484" s="2">
        <v>38.200000000000003</v>
      </c>
      <c r="Z5484" s="2">
        <v>0</v>
      </c>
      <c r="AA5484" s="2" t="s">
        <v>512</v>
      </c>
      <c r="AB5484" s="2" t="s">
        <v>35821</v>
      </c>
      <c r="AC5484" s="2">
        <v>4.24236808149558</v>
      </c>
      <c r="AD5484" s="2"/>
      <c r="AE5484" s="2">
        <v>2.8799389486115001E-2</v>
      </c>
      <c r="AF5484" s="2">
        <v>799.30174603588705</v>
      </c>
      <c r="AG5484" s="2">
        <v>506.72378781189201</v>
      </c>
      <c r="AH5484" s="5">
        <v>1.57739140190633</v>
      </c>
      <c r="AI5484" s="5">
        <v>0.65754068392459197</v>
      </c>
      <c r="AJ5484" s="5" t="s">
        <v>139</v>
      </c>
      <c r="AK5484" s="2">
        <v>0.69068308586873095</v>
      </c>
      <c r="AL5484" s="2">
        <v>0.85125338916827797</v>
      </c>
      <c r="AM5484" s="2">
        <v>8.559877937157E-6</v>
      </c>
      <c r="AN5484" s="2">
        <v>8.559877937157E-6</v>
      </c>
      <c r="AO5484" s="2">
        <v>1986.5672675022199</v>
      </c>
      <c r="AP5484" s="2">
        <v>8.559877937157E-6</v>
      </c>
      <c r="AQ5484" s="2">
        <v>2809.24317447359</v>
      </c>
      <c r="AR5484" s="2">
        <v>8.559877937157E-6</v>
      </c>
      <c r="AS5484" s="2">
        <v>2971.9071942359101</v>
      </c>
      <c r="AT5484" s="2">
        <v>8.559877937157E-6</v>
      </c>
      <c r="AU5484" s="2">
        <v>68.435498395931603</v>
      </c>
      <c r="AV5484" s="2">
        <v>8.559877937157E-6</v>
      </c>
      <c r="AW5484" s="2">
        <v>8.559877937157E-6</v>
      </c>
      <c r="AX5484" s="2">
        <v>8.559877937157E-6</v>
      </c>
    </row>
    <row r="5485" spans="1:50" x14ac:dyDescent="0.25">
      <c r="A5485" s="2" t="s">
        <v>35822</v>
      </c>
      <c r="B5485" s="2">
        <v>113.035165935761</v>
      </c>
      <c r="C5485" s="2">
        <v>0.75593333333333301</v>
      </c>
      <c r="D5485" s="2" t="s">
        <v>51</v>
      </c>
      <c r="E5485" s="2" t="s">
        <v>35823</v>
      </c>
      <c r="F5485" s="2">
        <v>46984</v>
      </c>
      <c r="G5485" s="3" t="str">
        <f>HYPERLINK("https://cloud.oebiotech.com/#/lm/network/46984", "https://cloud.oebiotech.com/#/lm/network/46984")</f>
        <v>https://cloud.oebiotech.com/#/lm/network/46984</v>
      </c>
      <c r="H5485" s="2" t="s">
        <v>35824</v>
      </c>
      <c r="I5485" s="2">
        <v>258</v>
      </c>
      <c r="J5485" s="2"/>
      <c r="K5485" s="2">
        <v>1174</v>
      </c>
      <c r="L5485" s="2" t="s">
        <v>35825</v>
      </c>
      <c r="M5485" s="2" t="s">
        <v>33199</v>
      </c>
      <c r="N5485" s="2" t="s">
        <v>33200</v>
      </c>
      <c r="O5485" s="2">
        <v>17568</v>
      </c>
      <c r="P5485" s="2" t="s">
        <v>3458</v>
      </c>
      <c r="Q5485" s="2" t="s">
        <v>3459</v>
      </c>
      <c r="R5485" s="2" t="s">
        <v>35826</v>
      </c>
      <c r="S5485" s="2" t="s">
        <v>35827</v>
      </c>
      <c r="T5485" s="2" t="s">
        <v>35828</v>
      </c>
      <c r="U5485" s="2" t="s">
        <v>266</v>
      </c>
      <c r="V5485" s="2" t="s">
        <v>3926</v>
      </c>
      <c r="W5485" s="2" t="s">
        <v>4115</v>
      </c>
      <c r="X5485" s="2" t="s">
        <v>69</v>
      </c>
      <c r="Y5485" s="2">
        <v>44</v>
      </c>
      <c r="Z5485" s="2">
        <v>64.900000000000006</v>
      </c>
      <c r="AA5485" s="2" t="s">
        <v>259</v>
      </c>
      <c r="AB5485" s="2" t="s">
        <v>35829</v>
      </c>
      <c r="AC5485" s="2">
        <v>5.4640867371550197</v>
      </c>
      <c r="AD5485" s="2"/>
      <c r="AE5485" s="2">
        <v>2.8719021353206E-2</v>
      </c>
      <c r="AF5485" s="2">
        <v>10268.969012933199</v>
      </c>
      <c r="AG5485" s="2">
        <v>10083.364181791099</v>
      </c>
      <c r="AH5485" s="5">
        <v>1.0184070343781899</v>
      </c>
      <c r="AI5485" s="5">
        <v>2.6314289422098101E-2</v>
      </c>
      <c r="AJ5485" s="5" t="s">
        <v>139</v>
      </c>
      <c r="AK5485" s="2">
        <v>0.932407274816899</v>
      </c>
      <c r="AL5485" s="2">
        <v>0.97061347617365101</v>
      </c>
      <c r="AM5485" s="2">
        <v>7228.9308751728104</v>
      </c>
      <c r="AN5485" s="2">
        <v>9592.9536921313393</v>
      </c>
      <c r="AO5485" s="2">
        <v>7842.1740365060195</v>
      </c>
      <c r="AP5485" s="2">
        <v>10255.012265592701</v>
      </c>
      <c r="AQ5485" s="2">
        <v>17019.379415027601</v>
      </c>
      <c r="AR5485" s="2">
        <v>9675.3637931686208</v>
      </c>
      <c r="AS5485" s="2">
        <v>6611.4518325721701</v>
      </c>
      <c r="AT5485" s="2">
        <v>11549.441811770601</v>
      </c>
      <c r="AU5485" s="2">
        <v>17191.129816732198</v>
      </c>
      <c r="AV5485" s="2">
        <v>8978.4290836975797</v>
      </c>
      <c r="AW5485" s="2">
        <v>8850.7487047649993</v>
      </c>
      <c r="AX5485" s="2">
        <v>7318.9838412093204</v>
      </c>
    </row>
    <row r="5486" spans="1:50" x14ac:dyDescent="0.25">
      <c r="A5486" s="2" t="s">
        <v>35830</v>
      </c>
      <c r="B5486" s="2">
        <v>933.63129315840001</v>
      </c>
      <c r="C5486" s="2">
        <v>10.834516666666699</v>
      </c>
      <c r="D5486" s="2" t="s">
        <v>51</v>
      </c>
      <c r="E5486" s="2" t="s">
        <v>35831</v>
      </c>
      <c r="F5486" s="2">
        <v>242192</v>
      </c>
      <c r="G5486" s="3" t="str">
        <f>HYPERLINK("https://cloud.oebiotech.com/#/lm/network/242192", "https://cloud.oebiotech.com/#/lm/network/242192")</f>
        <v>https://cloud.oebiotech.com/#/lm/network/242192</v>
      </c>
      <c r="H5486" s="2" t="s">
        <v>35832</v>
      </c>
      <c r="I5486" s="2"/>
      <c r="J5486" s="2"/>
      <c r="K5486" s="2"/>
      <c r="L5486" s="2"/>
      <c r="M5486" s="2"/>
      <c r="N5486" s="2"/>
      <c r="O5486" s="2"/>
      <c r="P5486" s="2"/>
      <c r="Q5486" s="2"/>
      <c r="R5486" s="2"/>
      <c r="S5486" s="2" t="s">
        <v>35833</v>
      </c>
      <c r="T5486" s="2" t="s">
        <v>35834</v>
      </c>
      <c r="U5486" s="2" t="s">
        <v>56</v>
      </c>
      <c r="V5486" s="2" t="s">
        <v>57</v>
      </c>
      <c r="W5486" s="2" t="s">
        <v>58</v>
      </c>
      <c r="X5486" s="2" t="s">
        <v>147</v>
      </c>
      <c r="Y5486" s="2">
        <v>37.299999999999997</v>
      </c>
      <c r="Z5486" s="2">
        <v>0.186</v>
      </c>
      <c r="AA5486" s="2" t="s">
        <v>512</v>
      </c>
      <c r="AB5486" s="2" t="s">
        <v>35835</v>
      </c>
      <c r="AC5486" s="2">
        <v>-1.6021862459429901</v>
      </c>
      <c r="AD5486" s="2"/>
      <c r="AE5486" s="2">
        <v>2.8618605626998399E-2</v>
      </c>
      <c r="AF5486" s="2">
        <v>210612.97748386601</v>
      </c>
      <c r="AG5486" s="2">
        <v>230389.308505055</v>
      </c>
      <c r="AH5486" s="4">
        <v>0.91416124667627296</v>
      </c>
      <c r="AI5486" s="4">
        <v>-0.129479433693172</v>
      </c>
      <c r="AJ5486" s="4" t="s">
        <v>62</v>
      </c>
      <c r="AK5486" s="2">
        <v>0.81093289301267502</v>
      </c>
      <c r="AL5486" s="2">
        <v>0.91562995650713597</v>
      </c>
      <c r="AM5486" s="2">
        <v>507125.653589311</v>
      </c>
      <c r="AN5486" s="2">
        <v>113292.791290979</v>
      </c>
      <c r="AO5486" s="2">
        <v>151030.76779142901</v>
      </c>
      <c r="AP5486" s="2">
        <v>259939.61263891801</v>
      </c>
      <c r="AQ5486" s="2">
        <v>78505.233734858106</v>
      </c>
      <c r="AR5486" s="2">
        <v>153783.80585770099</v>
      </c>
      <c r="AS5486" s="2">
        <v>139791.099966704</v>
      </c>
      <c r="AT5486" s="2">
        <v>78992.145863877799</v>
      </c>
      <c r="AU5486" s="2">
        <v>376364.42369510699</v>
      </c>
      <c r="AV5486" s="2">
        <v>361508.46934661502</v>
      </c>
      <c r="AW5486" s="2">
        <v>203918.608177082</v>
      </c>
      <c r="AX5486" s="2">
        <v>221761.10398094699</v>
      </c>
    </row>
    <row r="5487" spans="1:50" x14ac:dyDescent="0.25">
      <c r="A5487" s="2" t="s">
        <v>35836</v>
      </c>
      <c r="B5487" s="2">
        <v>382.07962491360303</v>
      </c>
      <c r="C5487" s="2">
        <v>4.7222</v>
      </c>
      <c r="D5487" s="2" t="s">
        <v>51</v>
      </c>
      <c r="E5487" s="2" t="s">
        <v>35837</v>
      </c>
      <c r="F5487" s="2">
        <v>52201</v>
      </c>
      <c r="G5487" s="3" t="str">
        <f>HYPERLINK("https://cloud.oebiotech.com/#/lm/network/52201", "https://cloud.oebiotech.com/#/lm/network/52201")</f>
        <v>https://cloud.oebiotech.com/#/lm/network/52201</v>
      </c>
      <c r="H5487" s="2" t="s">
        <v>35838</v>
      </c>
      <c r="I5487" s="2"/>
      <c r="J5487" s="2"/>
      <c r="K5487" s="2">
        <v>53481645</v>
      </c>
      <c r="L5487" s="2"/>
      <c r="M5487" s="2"/>
      <c r="N5487" s="2"/>
      <c r="O5487" s="2">
        <v>68486</v>
      </c>
      <c r="P5487" s="2"/>
      <c r="Q5487" s="2"/>
      <c r="R5487" s="2"/>
      <c r="S5487" s="2" t="s">
        <v>35839</v>
      </c>
      <c r="T5487" s="2" t="s">
        <v>35840</v>
      </c>
      <c r="U5487" s="2" t="s">
        <v>331</v>
      </c>
      <c r="V5487" s="2" t="s">
        <v>332</v>
      </c>
      <c r="W5487" s="2" t="s">
        <v>333</v>
      </c>
      <c r="X5487" s="2" t="s">
        <v>83</v>
      </c>
      <c r="Y5487" s="2">
        <v>36.700000000000003</v>
      </c>
      <c r="Z5487" s="2">
        <v>0</v>
      </c>
      <c r="AA5487" s="2" t="s">
        <v>218</v>
      </c>
      <c r="AB5487" s="2" t="s">
        <v>35841</v>
      </c>
      <c r="AC5487" s="2">
        <v>4.91160086516894</v>
      </c>
      <c r="AD5487" s="2"/>
      <c r="AE5487" s="2">
        <v>2.85857643663587E-2</v>
      </c>
      <c r="AF5487" s="2">
        <v>51.801521947153098</v>
      </c>
      <c r="AG5487" s="2">
        <v>93.750313828889105</v>
      </c>
      <c r="AH5487" s="4">
        <v>0.55254771777831102</v>
      </c>
      <c r="AI5487" s="4">
        <v>-0.85582903449287695</v>
      </c>
      <c r="AJ5487" s="4" t="s">
        <v>62</v>
      </c>
      <c r="AK5487" s="2">
        <v>0.49023837580294399</v>
      </c>
      <c r="AL5487" s="2">
        <v>0.732028480166518</v>
      </c>
      <c r="AM5487" s="2">
        <v>8.559877937157E-6</v>
      </c>
      <c r="AN5487" s="2">
        <v>8.559877937157E-6</v>
      </c>
      <c r="AO5487" s="2">
        <v>8.559877937157E-6</v>
      </c>
      <c r="AP5487" s="2">
        <v>8.559877937157E-6</v>
      </c>
      <c r="AQ5487" s="2">
        <v>193.31214445578399</v>
      </c>
      <c r="AR5487" s="2">
        <v>117.496952987623</v>
      </c>
      <c r="AS5487" s="2">
        <v>287.742217791602</v>
      </c>
      <c r="AT5487" s="2">
        <v>141.12547989755899</v>
      </c>
      <c r="AU5487" s="2">
        <v>8.559877937157E-6</v>
      </c>
      <c r="AV5487" s="2">
        <v>8.559877937157E-6</v>
      </c>
      <c r="AW5487" s="2">
        <v>133.63415960454</v>
      </c>
      <c r="AX5487" s="2">
        <v>8.559877937157E-6</v>
      </c>
    </row>
    <row r="5488" spans="1:50" x14ac:dyDescent="0.25">
      <c r="A5488" s="2" t="s">
        <v>35842</v>
      </c>
      <c r="B5488" s="2">
        <v>399.32717477594201</v>
      </c>
      <c r="C5488" s="2">
        <v>7.6136333333333299</v>
      </c>
      <c r="D5488" s="2" t="s">
        <v>51</v>
      </c>
      <c r="E5488" s="2" t="s">
        <v>35843</v>
      </c>
      <c r="F5488" s="2">
        <v>43650</v>
      </c>
      <c r="G5488" s="3" t="str">
        <f>HYPERLINK("https://cloud.oebiotech.com/#/lm/network/43650", "https://cloud.oebiotech.com/#/lm/network/43650")</f>
        <v>https://cloud.oebiotech.com/#/lm/network/43650</v>
      </c>
      <c r="H5488" s="2"/>
      <c r="I5488" s="2">
        <v>83925</v>
      </c>
      <c r="J5488" s="2" t="s">
        <v>35844</v>
      </c>
      <c r="K5488" s="2">
        <v>52931336</v>
      </c>
      <c r="L5488" s="2"/>
      <c r="M5488" s="2"/>
      <c r="N5488" s="2"/>
      <c r="O5488" s="2"/>
      <c r="P5488" s="2"/>
      <c r="Q5488" s="2"/>
      <c r="R5488" s="2"/>
      <c r="S5488" s="2" t="s">
        <v>35845</v>
      </c>
      <c r="T5488" s="2" t="s">
        <v>35846</v>
      </c>
      <c r="U5488" s="2" t="s">
        <v>56</v>
      </c>
      <c r="V5488" s="2" t="s">
        <v>283</v>
      </c>
      <c r="W5488" s="2" t="s">
        <v>2042</v>
      </c>
      <c r="X5488" s="2" t="s">
        <v>147</v>
      </c>
      <c r="Y5488" s="2">
        <v>45.9</v>
      </c>
      <c r="Z5488" s="2">
        <v>40.700000000000003</v>
      </c>
      <c r="AA5488" s="2" t="s">
        <v>179</v>
      </c>
      <c r="AB5488" s="2" t="s">
        <v>7163</v>
      </c>
      <c r="AC5488" s="2">
        <v>3.5593575262316999</v>
      </c>
      <c r="AD5488" s="2"/>
      <c r="AE5488" s="2">
        <v>2.8579321129498202E-2</v>
      </c>
      <c r="AF5488" s="2">
        <v>4797.0486651110295</v>
      </c>
      <c r="AG5488" s="2">
        <v>6075.07871525674</v>
      </c>
      <c r="AH5488" s="4">
        <v>0.78962740895256001</v>
      </c>
      <c r="AI5488" s="4">
        <v>-0.34075602647902198</v>
      </c>
      <c r="AJ5488" s="4" t="s">
        <v>62</v>
      </c>
      <c r="AK5488" s="2">
        <v>0.65500696195098196</v>
      </c>
      <c r="AL5488" s="2">
        <v>0.83240942988891198</v>
      </c>
      <c r="AM5488" s="2">
        <v>6470.1166763985302</v>
      </c>
      <c r="AN5488" s="2">
        <v>3997.11606383148</v>
      </c>
      <c r="AO5488" s="2">
        <v>3459.3712134474399</v>
      </c>
      <c r="AP5488" s="2">
        <v>3781.2506821506399</v>
      </c>
      <c r="AQ5488" s="2">
        <v>5880.2841301322796</v>
      </c>
      <c r="AR5488" s="2">
        <v>5194.1532247058303</v>
      </c>
      <c r="AS5488" s="2">
        <v>2882.8729332141002</v>
      </c>
      <c r="AT5488" s="2">
        <v>19595.8604102012</v>
      </c>
      <c r="AU5488" s="2">
        <v>3217.0770053408701</v>
      </c>
      <c r="AV5488" s="2">
        <v>2038.5096670584501</v>
      </c>
      <c r="AW5488" s="2">
        <v>4599.3924021967196</v>
      </c>
      <c r="AX5488" s="2">
        <v>4116.7598735291303</v>
      </c>
    </row>
    <row r="5489" spans="1:50" x14ac:dyDescent="0.25">
      <c r="A5489" s="2" t="s">
        <v>35847</v>
      </c>
      <c r="B5489" s="2">
        <v>147.11338133308999</v>
      </c>
      <c r="C5489" s="2">
        <v>1.0683</v>
      </c>
      <c r="D5489" s="2" t="s">
        <v>51</v>
      </c>
      <c r="E5489" s="2" t="s">
        <v>35848</v>
      </c>
      <c r="F5489" s="2">
        <v>209576</v>
      </c>
      <c r="G5489" s="3" t="str">
        <f>HYPERLINK("https://cloud.oebiotech.com/#/lm/network/209576", "https://cloud.oebiotech.com/#/lm/network/209576")</f>
        <v>https://cloud.oebiotech.com/#/lm/network/209576</v>
      </c>
      <c r="H5489" s="2" t="s">
        <v>35849</v>
      </c>
      <c r="I5489" s="2">
        <v>44223</v>
      </c>
      <c r="J5489" s="2"/>
      <c r="K5489" s="2">
        <v>4498</v>
      </c>
      <c r="L5489" s="2"/>
      <c r="M5489" s="2"/>
      <c r="N5489" s="2"/>
      <c r="O5489" s="2">
        <v>116931</v>
      </c>
      <c r="P5489" s="2"/>
      <c r="Q5489" s="2"/>
      <c r="R5489" s="2" t="s">
        <v>35850</v>
      </c>
      <c r="S5489" s="2" t="s">
        <v>35851</v>
      </c>
      <c r="T5489" s="2" t="s">
        <v>35852</v>
      </c>
      <c r="U5489" s="2" t="s">
        <v>266</v>
      </c>
      <c r="V5489" s="2" t="s">
        <v>1742</v>
      </c>
      <c r="W5489" s="2" t="s">
        <v>18118</v>
      </c>
      <c r="X5489" s="2" t="s">
        <v>83</v>
      </c>
      <c r="Y5489" s="2">
        <v>39</v>
      </c>
      <c r="Z5489" s="2">
        <v>0</v>
      </c>
      <c r="AA5489" s="2" t="s">
        <v>512</v>
      </c>
      <c r="AB5489" s="2" t="s">
        <v>16733</v>
      </c>
      <c r="AC5489" s="2">
        <v>4.4717304548266803</v>
      </c>
      <c r="AD5489" s="2"/>
      <c r="AE5489" s="2">
        <v>2.8537135266016499E-2</v>
      </c>
      <c r="AF5489" s="2">
        <v>803.50104515884505</v>
      </c>
      <c r="AG5489" s="2">
        <v>920.51953380827797</v>
      </c>
      <c r="AH5489" s="4">
        <v>0.87287777787255005</v>
      </c>
      <c r="AI5489" s="4">
        <v>-0.19614843599435799</v>
      </c>
      <c r="AJ5489" s="4" t="s">
        <v>62</v>
      </c>
      <c r="AK5489" s="2">
        <v>0.52766966489759004</v>
      </c>
      <c r="AL5489" s="2">
        <v>0.75541578468508697</v>
      </c>
      <c r="AM5489" s="2">
        <v>1032.34736900852</v>
      </c>
      <c r="AN5489" s="2">
        <v>1047.5532172030901</v>
      </c>
      <c r="AO5489" s="2">
        <v>599.28843399720597</v>
      </c>
      <c r="AP5489" s="2">
        <v>1040.0148225565299</v>
      </c>
      <c r="AQ5489" s="2">
        <v>640.10160281722801</v>
      </c>
      <c r="AR5489" s="2">
        <v>461.70082537049899</v>
      </c>
      <c r="AS5489" s="2">
        <v>291.42656423992202</v>
      </c>
      <c r="AT5489" s="2">
        <v>738.38205374538404</v>
      </c>
      <c r="AU5489" s="2">
        <v>1168.14137608389</v>
      </c>
      <c r="AV5489" s="2">
        <v>1069.0323417121599</v>
      </c>
      <c r="AW5489" s="2">
        <v>1064.9492658874699</v>
      </c>
      <c r="AX5489" s="2">
        <v>1191.18560118084</v>
      </c>
    </row>
    <row r="5490" spans="1:50" x14ac:dyDescent="0.25">
      <c r="A5490" s="2" t="s">
        <v>35853</v>
      </c>
      <c r="B5490" s="2">
        <v>503.335866019516</v>
      </c>
      <c r="C5490" s="2">
        <v>10.74095</v>
      </c>
      <c r="D5490" s="2" t="s">
        <v>51</v>
      </c>
      <c r="E5490" s="2" t="s">
        <v>35854</v>
      </c>
      <c r="F5490" s="2">
        <v>2638</v>
      </c>
      <c r="G5490" s="3" t="str">
        <f>HYPERLINK("https://cloud.oebiotech.com/#/lm/network/2638", "https://cloud.oebiotech.com/#/lm/network/2638")</f>
        <v>https://cloud.oebiotech.com/#/lm/network/2638</v>
      </c>
      <c r="H5490" s="2" t="s">
        <v>35855</v>
      </c>
      <c r="I5490" s="2"/>
      <c r="J5490" s="2" t="s">
        <v>35856</v>
      </c>
      <c r="K5490" s="2">
        <v>54171982</v>
      </c>
      <c r="L5490" s="2"/>
      <c r="M5490" s="2"/>
      <c r="N5490" s="2"/>
      <c r="O5490" s="2"/>
      <c r="P5490" s="2"/>
      <c r="Q5490" s="2"/>
      <c r="R5490" s="2" t="s">
        <v>35857</v>
      </c>
      <c r="S5490" s="2" t="s">
        <v>35858</v>
      </c>
      <c r="T5490" s="2" t="s">
        <v>35859</v>
      </c>
      <c r="U5490" s="2" t="s">
        <v>56</v>
      </c>
      <c r="V5490" s="2" t="s">
        <v>145</v>
      </c>
      <c r="W5490" s="2" t="s">
        <v>231</v>
      </c>
      <c r="X5490" s="2" t="s">
        <v>83</v>
      </c>
      <c r="Y5490" s="2">
        <v>57.4</v>
      </c>
      <c r="Z5490" s="2">
        <v>0</v>
      </c>
      <c r="AA5490" s="2" t="s">
        <v>478</v>
      </c>
      <c r="AB5490" s="2" t="s">
        <v>18466</v>
      </c>
      <c r="AC5490" s="2">
        <v>-3.8600657485936898</v>
      </c>
      <c r="AD5490" s="2"/>
      <c r="AE5490" s="2">
        <v>2.8519561506545599E-2</v>
      </c>
      <c r="AF5490" s="2">
        <v>4762.3863644851399</v>
      </c>
      <c r="AG5490" s="2">
        <v>4723.7777321615904</v>
      </c>
      <c r="AH5490" s="5">
        <v>1.0081732533816501</v>
      </c>
      <c r="AI5490" s="5">
        <v>1.1743585580221001E-2</v>
      </c>
      <c r="AJ5490" s="5" t="s">
        <v>139</v>
      </c>
      <c r="AK5490" s="2">
        <v>0.98470378842157302</v>
      </c>
      <c r="AL5490" s="2">
        <v>0.99408032509078104</v>
      </c>
      <c r="AM5490" s="2">
        <v>3234.3899183796402</v>
      </c>
      <c r="AN5490" s="2">
        <v>5162.35901988146</v>
      </c>
      <c r="AO5490" s="2">
        <v>2744.9144209934302</v>
      </c>
      <c r="AP5490" s="2">
        <v>4269.3410941264601</v>
      </c>
      <c r="AQ5490" s="2">
        <v>6420.4448219012102</v>
      </c>
      <c r="AR5490" s="2">
        <v>6742.8689116286296</v>
      </c>
      <c r="AS5490" s="2">
        <v>3414.5374373660002</v>
      </c>
      <c r="AT5490" s="2">
        <v>3740.0976836950999</v>
      </c>
      <c r="AU5490" s="2">
        <v>1907.50471265243</v>
      </c>
      <c r="AV5490" s="2">
        <v>341.08168197195999</v>
      </c>
      <c r="AW5490" s="2">
        <v>5769.3425222184696</v>
      </c>
      <c r="AX5490" s="2">
        <v>13170.102355065599</v>
      </c>
    </row>
    <row r="5491" spans="1:50" x14ac:dyDescent="0.25">
      <c r="A5491" s="2" t="s">
        <v>35860</v>
      </c>
      <c r="B5491" s="2">
        <v>495.22486629289</v>
      </c>
      <c r="C5491" s="2">
        <v>4.7703666666666704</v>
      </c>
      <c r="D5491" s="2" t="s">
        <v>51</v>
      </c>
      <c r="E5491" s="2" t="s">
        <v>35861</v>
      </c>
      <c r="F5491" s="2">
        <v>48226</v>
      </c>
      <c r="G5491" s="3" t="str">
        <f>HYPERLINK("https://cloud.oebiotech.com/#/lm/network/48226", "https://cloud.oebiotech.com/#/lm/network/48226")</f>
        <v>https://cloud.oebiotech.com/#/lm/network/48226</v>
      </c>
      <c r="H5491" s="2" t="s">
        <v>35862</v>
      </c>
      <c r="I5491" s="2">
        <v>7013</v>
      </c>
      <c r="J5491" s="2"/>
      <c r="K5491" s="2">
        <v>1864</v>
      </c>
      <c r="L5491" s="2" t="s">
        <v>35863</v>
      </c>
      <c r="M5491" s="2" t="s">
        <v>15319</v>
      </c>
      <c r="N5491" s="2" t="s">
        <v>15320</v>
      </c>
      <c r="O5491" s="2">
        <v>2198</v>
      </c>
      <c r="P5491" s="2"/>
      <c r="Q5491" s="2"/>
      <c r="R5491" s="2" t="s">
        <v>35864</v>
      </c>
      <c r="S5491" s="2" t="s">
        <v>35865</v>
      </c>
      <c r="T5491" s="2" t="s">
        <v>35866</v>
      </c>
      <c r="U5491" s="2" t="s">
        <v>266</v>
      </c>
      <c r="V5491" s="2" t="s">
        <v>445</v>
      </c>
      <c r="W5491" s="2" t="s">
        <v>12612</v>
      </c>
      <c r="X5491" s="2" t="s">
        <v>83</v>
      </c>
      <c r="Y5491" s="2">
        <v>39.9</v>
      </c>
      <c r="Z5491" s="2">
        <v>0</v>
      </c>
      <c r="AA5491" s="2" t="s">
        <v>478</v>
      </c>
      <c r="AB5491" s="2" t="s">
        <v>15115</v>
      </c>
      <c r="AC5491" s="2">
        <v>-8.4714194451684405E-2</v>
      </c>
      <c r="AD5491" s="2"/>
      <c r="AE5491" s="2">
        <v>2.84932568723123E-2</v>
      </c>
      <c r="AF5491" s="2">
        <v>678.56356810611305</v>
      </c>
      <c r="AG5491" s="2">
        <v>749.74268097378797</v>
      </c>
      <c r="AH5491" s="4">
        <v>0.90506194368549897</v>
      </c>
      <c r="AI5491" s="4">
        <v>-0.14391155927753799</v>
      </c>
      <c r="AJ5491" s="4" t="s">
        <v>62</v>
      </c>
      <c r="AK5491" s="2">
        <v>0.901762793171626</v>
      </c>
      <c r="AL5491" s="2">
        <v>0.95948789763074704</v>
      </c>
      <c r="AM5491" s="2">
        <v>505.39076566480401</v>
      </c>
      <c r="AN5491" s="2">
        <v>8.559877937157E-6</v>
      </c>
      <c r="AO5491" s="2">
        <v>1466.38280716435</v>
      </c>
      <c r="AP5491" s="2">
        <v>8.559877937157E-6</v>
      </c>
      <c r="AQ5491" s="2">
        <v>243.60312493243001</v>
      </c>
      <c r="AR5491" s="2">
        <v>1856.00469375534</v>
      </c>
      <c r="AS5491" s="2">
        <v>289.66438342103402</v>
      </c>
      <c r="AT5491" s="2">
        <v>318.25190573149001</v>
      </c>
      <c r="AU5491" s="2">
        <v>8.559877937157E-6</v>
      </c>
      <c r="AV5491" s="2">
        <v>3024.5390974552902</v>
      </c>
      <c r="AW5491" s="2">
        <v>442.33441235730203</v>
      </c>
      <c r="AX5491" s="2">
        <v>423.66627831773297</v>
      </c>
    </row>
    <row r="5492" spans="1:50" x14ac:dyDescent="0.25">
      <c r="A5492" s="2" t="s">
        <v>35867</v>
      </c>
      <c r="B5492" s="2">
        <v>231.07714112383499</v>
      </c>
      <c r="C5492" s="2">
        <v>4.9007166666666704</v>
      </c>
      <c r="D5492" s="2" t="s">
        <v>51</v>
      </c>
      <c r="E5492" s="2" t="s">
        <v>35868</v>
      </c>
      <c r="F5492" s="2">
        <v>197277</v>
      </c>
      <c r="G5492" s="3" t="str">
        <f>HYPERLINK("https://cloud.oebiotech.com/#/lm/network/197277", "https://cloud.oebiotech.com/#/lm/network/197277")</f>
        <v>https://cloud.oebiotech.com/#/lm/network/197277</v>
      </c>
      <c r="H5492" s="2" t="s">
        <v>35869</v>
      </c>
      <c r="I5492" s="2">
        <v>330908</v>
      </c>
      <c r="J5492" s="2"/>
      <c r="K5492" s="2">
        <v>446640</v>
      </c>
      <c r="L5492" s="2"/>
      <c r="M5492" s="2"/>
      <c r="N5492" s="2"/>
      <c r="O5492" s="2">
        <v>90332</v>
      </c>
      <c r="P5492" s="2"/>
      <c r="Q5492" s="2"/>
      <c r="R5492" s="2" t="s">
        <v>35870</v>
      </c>
      <c r="S5492" s="2" t="s">
        <v>35871</v>
      </c>
      <c r="T5492" s="2" t="s">
        <v>35872</v>
      </c>
      <c r="U5492" s="2" t="s">
        <v>103</v>
      </c>
      <c r="V5492" s="2" t="s">
        <v>104</v>
      </c>
      <c r="W5492" s="2" t="s">
        <v>105</v>
      </c>
      <c r="X5492" s="2" t="s">
        <v>83</v>
      </c>
      <c r="Y5492" s="2">
        <v>42.6</v>
      </c>
      <c r="Z5492" s="2">
        <v>0</v>
      </c>
      <c r="AA5492" s="2" t="s">
        <v>163</v>
      </c>
      <c r="AB5492" s="2" t="s">
        <v>35873</v>
      </c>
      <c r="AC5492" s="2">
        <v>-1.6144844343498499</v>
      </c>
      <c r="AD5492" s="2"/>
      <c r="AE5492" s="2">
        <v>2.84882441752791E-2</v>
      </c>
      <c r="AF5492" s="2">
        <v>878.09119350812603</v>
      </c>
      <c r="AG5492" s="2">
        <v>1110.2750937405499</v>
      </c>
      <c r="AH5492" s="4">
        <v>0.79087714248349905</v>
      </c>
      <c r="AI5492" s="4">
        <v>-0.33847449588596901</v>
      </c>
      <c r="AJ5492" s="4" t="s">
        <v>62</v>
      </c>
      <c r="AK5492" s="2">
        <v>0.48221839550468798</v>
      </c>
      <c r="AL5492" s="2">
        <v>0.72659746364627098</v>
      </c>
      <c r="AM5492" s="2">
        <v>1342.27289017151</v>
      </c>
      <c r="AN5492" s="2">
        <v>1069.27892182201</v>
      </c>
      <c r="AO5492" s="2">
        <v>524.90158735943896</v>
      </c>
      <c r="AP5492" s="2">
        <v>630.97400742247601</v>
      </c>
      <c r="AQ5492" s="2">
        <v>771.91572243527901</v>
      </c>
      <c r="AR5492" s="2">
        <v>929.20403183804297</v>
      </c>
      <c r="AS5492" s="2">
        <v>754.63068238015796</v>
      </c>
      <c r="AT5492" s="2">
        <v>887.459960056932</v>
      </c>
      <c r="AU5492" s="2">
        <v>2198.05944131248</v>
      </c>
      <c r="AV5492" s="2">
        <v>458.498801231659</v>
      </c>
      <c r="AW5492" s="2">
        <v>553.05167379447198</v>
      </c>
      <c r="AX5492" s="2">
        <v>1809.95000366761</v>
      </c>
    </row>
    <row r="5493" spans="1:50" x14ac:dyDescent="0.25">
      <c r="A5493" s="2" t="s">
        <v>35874</v>
      </c>
      <c r="B5493" s="2">
        <v>269.21220535523298</v>
      </c>
      <c r="C5493" s="2">
        <v>11.6520833333333</v>
      </c>
      <c r="D5493" s="2" t="s">
        <v>51</v>
      </c>
      <c r="E5493" s="2" t="s">
        <v>35875</v>
      </c>
      <c r="F5493" s="2">
        <v>2086</v>
      </c>
      <c r="G5493" s="3" t="str">
        <f>HYPERLINK("https://cloud.oebiotech.com/#/lm/network/2086", "https://cloud.oebiotech.com/#/lm/network/2086")</f>
        <v>https://cloud.oebiotech.com/#/lm/network/2086</v>
      </c>
      <c r="H5493" s="2" t="s">
        <v>35876</v>
      </c>
      <c r="I5493" s="2">
        <v>35745</v>
      </c>
      <c r="J5493" s="2" t="s">
        <v>35877</v>
      </c>
      <c r="K5493" s="2">
        <v>5282997</v>
      </c>
      <c r="L5493" s="2"/>
      <c r="M5493" s="2"/>
      <c r="N5493" s="2"/>
      <c r="O5493" s="2">
        <v>37251</v>
      </c>
      <c r="P5493" s="2"/>
      <c r="Q5493" s="2"/>
      <c r="R5493" s="2"/>
      <c r="S5493" s="2" t="s">
        <v>35878</v>
      </c>
      <c r="T5493" s="2" t="s">
        <v>35879</v>
      </c>
      <c r="U5493" s="2" t="s">
        <v>56</v>
      </c>
      <c r="V5493" s="2" t="s">
        <v>145</v>
      </c>
      <c r="W5493" s="2" t="s">
        <v>231</v>
      </c>
      <c r="X5493" s="2" t="s">
        <v>69</v>
      </c>
      <c r="Y5493" s="2">
        <v>57.5</v>
      </c>
      <c r="Z5493" s="2">
        <v>64.900000000000006</v>
      </c>
      <c r="AA5493" s="2" t="s">
        <v>163</v>
      </c>
      <c r="AB5493" s="2" t="s">
        <v>18062</v>
      </c>
      <c r="AC5493" s="2">
        <v>-4.8233186765516002E-2</v>
      </c>
      <c r="AD5493" s="2"/>
      <c r="AE5493" s="2">
        <v>2.84780518075133E-2</v>
      </c>
      <c r="AF5493" s="2">
        <v>23466.2854644525</v>
      </c>
      <c r="AG5493" s="2">
        <v>23306.473871025399</v>
      </c>
      <c r="AH5493" s="5">
        <v>1.00685696147395</v>
      </c>
      <c r="AI5493" s="5">
        <v>9.8587423022204797E-3</v>
      </c>
      <c r="AJ5493" s="5" t="s">
        <v>139</v>
      </c>
      <c r="AK5493" s="2">
        <v>0.87872669156306904</v>
      </c>
      <c r="AL5493" s="2">
        <v>0.94763287790961603</v>
      </c>
      <c r="AM5493" s="2">
        <v>24371.506471220899</v>
      </c>
      <c r="AN5493" s="2">
        <v>26157.526951813001</v>
      </c>
      <c r="AO5493" s="2">
        <v>22303.0818183417</v>
      </c>
      <c r="AP5493" s="2">
        <v>22948.8094970655</v>
      </c>
      <c r="AQ5493" s="2">
        <v>20241.4668375734</v>
      </c>
      <c r="AR5493" s="2">
        <v>24775.321210700698</v>
      </c>
      <c r="AS5493" s="2">
        <v>24031.8392129561</v>
      </c>
      <c r="AT5493" s="2">
        <v>21313.927696807899</v>
      </c>
      <c r="AU5493" s="2">
        <v>23704.3930840598</v>
      </c>
      <c r="AV5493" s="2">
        <v>22256.567060349</v>
      </c>
      <c r="AW5493" s="2">
        <v>25234.1688003614</v>
      </c>
      <c r="AX5493" s="2">
        <v>23297.9473716182</v>
      </c>
    </row>
    <row r="5494" spans="1:50" x14ac:dyDescent="0.25">
      <c r="A5494" s="2" t="s">
        <v>35880</v>
      </c>
      <c r="B5494" s="2">
        <v>180.10214710762699</v>
      </c>
      <c r="C5494" s="2">
        <v>8.0245666666666704</v>
      </c>
      <c r="D5494" s="2" t="s">
        <v>51</v>
      </c>
      <c r="E5494" s="2" t="s">
        <v>35881</v>
      </c>
      <c r="F5494" s="2">
        <v>8988</v>
      </c>
      <c r="G5494" s="3" t="str">
        <f>HYPERLINK("https://cloud.oebiotech.com/#/lm/network/8988", "https://cloud.oebiotech.com/#/lm/network/8988")</f>
        <v>https://cloud.oebiotech.com/#/lm/network/8988</v>
      </c>
      <c r="H5494" s="2"/>
      <c r="I5494" s="2">
        <v>45094</v>
      </c>
      <c r="J5494" s="2" t="s">
        <v>35882</v>
      </c>
      <c r="K5494" s="2">
        <v>10058590</v>
      </c>
      <c r="L5494" s="2"/>
      <c r="M5494" s="2"/>
      <c r="N5494" s="2"/>
      <c r="O5494" s="2"/>
      <c r="P5494" s="2"/>
      <c r="Q5494" s="2"/>
      <c r="R5494" s="2" t="s">
        <v>35883</v>
      </c>
      <c r="S5494" s="2" t="s">
        <v>35884</v>
      </c>
      <c r="T5494" s="2" t="s">
        <v>35885</v>
      </c>
      <c r="U5494" s="2" t="s">
        <v>103</v>
      </c>
      <c r="V5494" s="2" t="s">
        <v>104</v>
      </c>
      <c r="W5494" s="2" t="s">
        <v>105</v>
      </c>
      <c r="X5494" s="2" t="s">
        <v>147</v>
      </c>
      <c r="Y5494" s="2">
        <v>37.9</v>
      </c>
      <c r="Z5494" s="2">
        <v>0</v>
      </c>
      <c r="AA5494" s="2" t="s">
        <v>379</v>
      </c>
      <c r="AB5494" s="2" t="s">
        <v>35886</v>
      </c>
      <c r="AC5494" s="2">
        <v>-4.2947841540968597</v>
      </c>
      <c r="AD5494" s="2"/>
      <c r="AE5494" s="2">
        <v>2.84283357541311E-2</v>
      </c>
      <c r="AF5494" s="2">
        <v>733.66143930784995</v>
      </c>
      <c r="AG5494" s="2">
        <v>654.55670591276998</v>
      </c>
      <c r="AH5494" s="5">
        <v>1.1208523763953699</v>
      </c>
      <c r="AI5494" s="5">
        <v>0.16459627826210299</v>
      </c>
      <c r="AJ5494" s="5" t="s">
        <v>139</v>
      </c>
      <c r="AK5494" s="2">
        <v>0.55410833511169899</v>
      </c>
      <c r="AL5494" s="2">
        <v>0.77434749273136905</v>
      </c>
      <c r="AM5494" s="2">
        <v>707.51060461326801</v>
      </c>
      <c r="AN5494" s="2">
        <v>583.91793664509999</v>
      </c>
      <c r="AO5494" s="2">
        <v>936.09766246553704</v>
      </c>
      <c r="AP5494" s="2">
        <v>641.045265922986</v>
      </c>
      <c r="AQ5494" s="2">
        <v>519.16347360111104</v>
      </c>
      <c r="AR5494" s="2">
        <v>1014.2336925991</v>
      </c>
      <c r="AS5494" s="2">
        <v>350.46764000048699</v>
      </c>
      <c r="AT5494" s="2">
        <v>679.07077882803799</v>
      </c>
      <c r="AU5494" s="2">
        <v>600.27435758227898</v>
      </c>
      <c r="AV5494" s="2">
        <v>518.077698501746</v>
      </c>
      <c r="AW5494" s="2">
        <v>1087.63713089465</v>
      </c>
      <c r="AX5494" s="2">
        <v>691.81262966941904</v>
      </c>
    </row>
    <row r="5495" spans="1:50" x14ac:dyDescent="0.25">
      <c r="A5495" s="2" t="s">
        <v>35887</v>
      </c>
      <c r="B5495" s="2">
        <v>163.01836397620301</v>
      </c>
      <c r="C5495" s="2">
        <v>1.2499499999999999</v>
      </c>
      <c r="D5495" s="2" t="s">
        <v>51</v>
      </c>
      <c r="E5495" s="2" t="s">
        <v>35888</v>
      </c>
      <c r="F5495" s="2">
        <v>211105</v>
      </c>
      <c r="G5495" s="3" t="str">
        <f>HYPERLINK("https://cloud.oebiotech.com/#/lm/network/211105", "https://cloud.oebiotech.com/#/lm/network/211105")</f>
        <v>https://cloud.oebiotech.com/#/lm/network/211105</v>
      </c>
      <c r="H5495" s="2" t="s">
        <v>35889</v>
      </c>
      <c r="I5495" s="2"/>
      <c r="J5495" s="2"/>
      <c r="K5495" s="2">
        <v>10197849</v>
      </c>
      <c r="L5495" s="2"/>
      <c r="M5495" s="2"/>
      <c r="N5495" s="2"/>
      <c r="O5495" s="2"/>
      <c r="P5495" s="2"/>
      <c r="Q5495" s="2"/>
      <c r="R5495" s="2"/>
      <c r="S5495" s="2" t="s">
        <v>35890</v>
      </c>
      <c r="T5495" s="2" t="s">
        <v>35891</v>
      </c>
      <c r="U5495" s="2" t="s">
        <v>103</v>
      </c>
      <c r="V5495" s="2" t="s">
        <v>104</v>
      </c>
      <c r="W5495" s="2" t="s">
        <v>105</v>
      </c>
      <c r="X5495" s="2" t="s">
        <v>147</v>
      </c>
      <c r="Y5495" s="2">
        <v>37.799999999999997</v>
      </c>
      <c r="Z5495" s="2">
        <v>0</v>
      </c>
      <c r="AA5495" s="2" t="s">
        <v>163</v>
      </c>
      <c r="AB5495" s="2" t="s">
        <v>35892</v>
      </c>
      <c r="AC5495" s="2">
        <v>0.47116657401600798</v>
      </c>
      <c r="AD5495" s="2"/>
      <c r="AE5495" s="2">
        <v>2.8422787048953301E-2</v>
      </c>
      <c r="AF5495" s="2">
        <v>961.58930069859605</v>
      </c>
      <c r="AG5495" s="2">
        <v>1041.49362909722</v>
      </c>
      <c r="AH5495" s="4">
        <v>0.92327910016320602</v>
      </c>
      <c r="AI5495" s="4">
        <v>-0.115161265482979</v>
      </c>
      <c r="AJ5495" s="4" t="s">
        <v>62</v>
      </c>
      <c r="AK5495" s="2">
        <v>0.91428944665241896</v>
      </c>
      <c r="AL5495" s="2">
        <v>0.96366058811687005</v>
      </c>
      <c r="AM5495" s="2">
        <v>8.559877937157E-6</v>
      </c>
      <c r="AN5495" s="2">
        <v>401.06460328178201</v>
      </c>
      <c r="AO5495" s="2">
        <v>3874.67202881712</v>
      </c>
      <c r="AP5495" s="2">
        <v>438.694481939561</v>
      </c>
      <c r="AQ5495" s="2">
        <v>841.33713346395302</v>
      </c>
      <c r="AR5495" s="2">
        <v>213.767548129283</v>
      </c>
      <c r="AS5495" s="2">
        <v>41.672364674877798</v>
      </c>
      <c r="AT5495" s="2">
        <v>127.61758621542801</v>
      </c>
      <c r="AU5495" s="2">
        <v>218.24219308935301</v>
      </c>
      <c r="AV5495" s="2">
        <v>2257.7380160434</v>
      </c>
      <c r="AW5495" s="2">
        <v>1807.38175614641</v>
      </c>
      <c r="AX5495" s="2">
        <v>1796.30985841387</v>
      </c>
    </row>
    <row r="5496" spans="1:50" x14ac:dyDescent="0.25">
      <c r="A5496" s="2" t="s">
        <v>35893</v>
      </c>
      <c r="B5496" s="2">
        <v>695.36316826056805</v>
      </c>
      <c r="C5496" s="2">
        <v>7.58348333333333</v>
      </c>
      <c r="D5496" s="2" t="s">
        <v>51</v>
      </c>
      <c r="E5496" s="2" t="s">
        <v>35894</v>
      </c>
      <c r="F5496" s="2">
        <v>196998</v>
      </c>
      <c r="G5496" s="3" t="str">
        <f>HYPERLINK("https://cloud.oebiotech.com/#/lm/network/196998", "https://cloud.oebiotech.com/#/lm/network/196998")</f>
        <v>https://cloud.oebiotech.com/#/lm/network/196998</v>
      </c>
      <c r="H5496" s="2" t="s">
        <v>35895</v>
      </c>
      <c r="I5496" s="2"/>
      <c r="J5496" s="2"/>
      <c r="K5496" s="2">
        <v>5284514</v>
      </c>
      <c r="L5496" s="2"/>
      <c r="M5496" s="2"/>
      <c r="N5496" s="2"/>
      <c r="O5496" s="2">
        <v>83168</v>
      </c>
      <c r="P5496" s="2"/>
      <c r="Q5496" s="2"/>
      <c r="R5496" s="2" t="s">
        <v>35896</v>
      </c>
      <c r="S5496" s="2" t="s">
        <v>35897</v>
      </c>
      <c r="T5496" s="2" t="s">
        <v>35898</v>
      </c>
      <c r="U5496" s="2" t="s">
        <v>610</v>
      </c>
      <c r="V5496" s="2" t="s">
        <v>611</v>
      </c>
      <c r="W5496" s="2" t="s">
        <v>35899</v>
      </c>
      <c r="X5496" s="2" t="s">
        <v>147</v>
      </c>
      <c r="Y5496" s="2">
        <v>41.6</v>
      </c>
      <c r="Z5496" s="2">
        <v>18.399999999999999</v>
      </c>
      <c r="AA5496" s="2" t="s">
        <v>478</v>
      </c>
      <c r="AB5496" s="2" t="s">
        <v>35900</v>
      </c>
      <c r="AC5496" s="2">
        <v>4.1481768401366699</v>
      </c>
      <c r="AD5496" s="2"/>
      <c r="AE5496" s="2">
        <v>2.8405278358209201E-2</v>
      </c>
      <c r="AF5496" s="2">
        <v>2959.5542030741299</v>
      </c>
      <c r="AG5496" s="2">
        <v>3838.6730869753301</v>
      </c>
      <c r="AH5496" s="4">
        <v>0.77098365399125401</v>
      </c>
      <c r="AI5496" s="4">
        <v>-0.37522782171948299</v>
      </c>
      <c r="AJ5496" s="4" t="s">
        <v>62</v>
      </c>
      <c r="AK5496" s="2">
        <v>0.67570349479573499</v>
      </c>
      <c r="AL5496" s="2">
        <v>0.84313821954650603</v>
      </c>
      <c r="AM5496" s="2">
        <v>4292.9002982777201</v>
      </c>
      <c r="AN5496" s="2">
        <v>1672.4320064052999</v>
      </c>
      <c r="AO5496" s="2">
        <v>1889.63497759558</v>
      </c>
      <c r="AP5496" s="2">
        <v>3763.85210321257</v>
      </c>
      <c r="AQ5496" s="2">
        <v>2145.5597163165598</v>
      </c>
      <c r="AR5496" s="2">
        <v>3992.9461166370302</v>
      </c>
      <c r="AS5496" s="2">
        <v>724.26718062722398</v>
      </c>
      <c r="AT5496" s="2">
        <v>13535.2381874331</v>
      </c>
      <c r="AU5496" s="2">
        <v>1669.8052417107599</v>
      </c>
      <c r="AV5496" s="2">
        <v>964.54169138947498</v>
      </c>
      <c r="AW5496" s="2">
        <v>3244.05834170457</v>
      </c>
      <c r="AX5496" s="2">
        <v>2894.1278789868402</v>
      </c>
    </row>
    <row r="5497" spans="1:50" x14ac:dyDescent="0.25">
      <c r="A5497" s="2" t="s">
        <v>35901</v>
      </c>
      <c r="B5497" s="2">
        <v>440.02683193957301</v>
      </c>
      <c r="C5497" s="2">
        <v>5.5550833333333296</v>
      </c>
      <c r="D5497" s="2" t="s">
        <v>51</v>
      </c>
      <c r="E5497" s="2" t="s">
        <v>35902</v>
      </c>
      <c r="F5497" s="2">
        <v>257076</v>
      </c>
      <c r="G5497" s="3" t="str">
        <f>HYPERLINK("https://cloud.oebiotech.com/#/lm/network/257076", "https://cloud.oebiotech.com/#/lm/network/257076")</f>
        <v>https://cloud.oebiotech.com/#/lm/network/257076</v>
      </c>
      <c r="H5497" s="2" t="s">
        <v>35903</v>
      </c>
      <c r="I5497" s="2"/>
      <c r="J5497" s="2"/>
      <c r="K5497" s="2">
        <v>74413789</v>
      </c>
      <c r="L5497" s="2"/>
      <c r="M5497" s="2"/>
      <c r="N5497" s="2"/>
      <c r="O5497" s="2"/>
      <c r="P5497" s="2"/>
      <c r="Q5497" s="2"/>
      <c r="R5497" s="2"/>
      <c r="S5497" s="2" t="s">
        <v>35904</v>
      </c>
      <c r="T5497" s="2" t="s">
        <v>35905</v>
      </c>
      <c r="U5497" s="2" t="s">
        <v>295</v>
      </c>
      <c r="V5497" s="2" t="s">
        <v>1023</v>
      </c>
      <c r="W5497" s="2" t="s">
        <v>4858</v>
      </c>
      <c r="X5497" s="2" t="s">
        <v>147</v>
      </c>
      <c r="Y5497" s="2">
        <v>38.1</v>
      </c>
      <c r="Z5497" s="2">
        <v>0.91400000000000003</v>
      </c>
      <c r="AA5497" s="2" t="s">
        <v>379</v>
      </c>
      <c r="AB5497" s="2" t="s">
        <v>35906</v>
      </c>
      <c r="AC5497" s="2">
        <v>4.2047096105656898</v>
      </c>
      <c r="AD5497" s="2"/>
      <c r="AE5497" s="2">
        <v>2.8397585767863699E-2</v>
      </c>
      <c r="AF5497" s="2">
        <v>394.50832571063899</v>
      </c>
      <c r="AG5497" s="2">
        <v>640.00789840208802</v>
      </c>
      <c r="AH5497" s="4">
        <v>0.61641165163056599</v>
      </c>
      <c r="AI5497" s="4">
        <v>-0.69803396244614502</v>
      </c>
      <c r="AJ5497" s="4" t="s">
        <v>62</v>
      </c>
      <c r="AK5497" s="2">
        <v>0.67122970794154402</v>
      </c>
      <c r="AL5497" s="2">
        <v>0.84135965593549</v>
      </c>
      <c r="AM5497" s="2">
        <v>2217.3287927245001</v>
      </c>
      <c r="AN5497" s="2">
        <v>8.559877937157E-6</v>
      </c>
      <c r="AO5497" s="2">
        <v>149.72112729982101</v>
      </c>
      <c r="AP5497" s="2">
        <v>8.559877937157E-6</v>
      </c>
      <c r="AQ5497" s="2">
        <v>8.559877937157E-6</v>
      </c>
      <c r="AR5497" s="2">
        <v>8.559877937157E-6</v>
      </c>
      <c r="AS5497" s="2">
        <v>2755.22813236409</v>
      </c>
      <c r="AT5497" s="2">
        <v>8.559877937157E-6</v>
      </c>
      <c r="AU5497" s="2">
        <v>199.27863070513999</v>
      </c>
      <c r="AV5497" s="2">
        <v>198.547377041327</v>
      </c>
      <c r="AW5497" s="2">
        <v>299.77251249438598</v>
      </c>
      <c r="AX5497" s="2">
        <v>387.22072924770998</v>
      </c>
    </row>
    <row r="5498" spans="1:50" x14ac:dyDescent="0.25">
      <c r="A5498" s="2" t="s">
        <v>35907</v>
      </c>
      <c r="B5498" s="2">
        <v>149.014429862377</v>
      </c>
      <c r="C5498" s="2">
        <v>0.80310000000000004</v>
      </c>
      <c r="D5498" s="2" t="s">
        <v>51</v>
      </c>
      <c r="E5498" s="2" t="s">
        <v>35908</v>
      </c>
      <c r="F5498" s="2">
        <v>206579</v>
      </c>
      <c r="G5498" s="3" t="str">
        <f>HYPERLINK("https://cloud.oebiotech.com/#/lm/network/206579", "https://cloud.oebiotech.com/#/lm/network/206579")</f>
        <v>https://cloud.oebiotech.com/#/lm/network/206579</v>
      </c>
      <c r="H5498" s="2" t="s">
        <v>35909</v>
      </c>
      <c r="I5498" s="2"/>
      <c r="J5498" s="2"/>
      <c r="K5498" s="2">
        <v>160541</v>
      </c>
      <c r="L5498" s="2"/>
      <c r="M5498" s="2"/>
      <c r="N5498" s="2"/>
      <c r="O5498" s="2"/>
      <c r="P5498" s="2"/>
      <c r="Q5498" s="2"/>
      <c r="R5498" s="2"/>
      <c r="S5498" s="2" t="s">
        <v>35910</v>
      </c>
      <c r="T5498" s="2" t="s">
        <v>35911</v>
      </c>
      <c r="U5498" s="2" t="s">
        <v>103</v>
      </c>
      <c r="V5498" s="2" t="s">
        <v>9072</v>
      </c>
      <c r="W5498" s="2" t="s">
        <v>31284</v>
      </c>
      <c r="X5498" s="2" t="s">
        <v>147</v>
      </c>
      <c r="Y5498" s="2">
        <v>38.1</v>
      </c>
      <c r="Z5498" s="2">
        <v>0</v>
      </c>
      <c r="AA5498" s="2" t="s">
        <v>95</v>
      </c>
      <c r="AB5498" s="2" t="s">
        <v>35912</v>
      </c>
      <c r="AC5498" s="2">
        <v>4.8787040357602898</v>
      </c>
      <c r="AD5498" s="2"/>
      <c r="AE5498" s="2">
        <v>2.8281180412769301E-2</v>
      </c>
      <c r="AF5498" s="2">
        <v>13459.833436516399</v>
      </c>
      <c r="AG5498" s="2">
        <v>13427.0271305962</v>
      </c>
      <c r="AH5498" s="5">
        <v>1.0024433037634599</v>
      </c>
      <c r="AI5498" s="5">
        <v>3.5206429721198898E-3</v>
      </c>
      <c r="AJ5498" s="5" t="s">
        <v>139</v>
      </c>
      <c r="AK5498" s="2">
        <v>0.98763339999765498</v>
      </c>
      <c r="AL5498" s="2">
        <v>0.99517642494672098</v>
      </c>
      <c r="AM5498" s="2">
        <v>9995.2519791025097</v>
      </c>
      <c r="AN5498" s="2">
        <v>20744.515601626699</v>
      </c>
      <c r="AO5498" s="2">
        <v>11204.7383128362</v>
      </c>
      <c r="AP5498" s="2">
        <v>13662.296549672201</v>
      </c>
      <c r="AQ5498" s="2">
        <v>10710.6469983194</v>
      </c>
      <c r="AR5498" s="2">
        <v>14441.5511775416</v>
      </c>
      <c r="AS5498" s="2">
        <v>14025.6370984154</v>
      </c>
      <c r="AT5498" s="2">
        <v>17193.0131548153</v>
      </c>
      <c r="AU5498" s="2">
        <v>14443.5832304858</v>
      </c>
      <c r="AV5498" s="2">
        <v>7812.2995460767797</v>
      </c>
      <c r="AW5498" s="2">
        <v>12542.8896998418</v>
      </c>
      <c r="AX5498" s="2">
        <v>14544.7400539421</v>
      </c>
    </row>
    <row r="5499" spans="1:50" x14ac:dyDescent="0.25">
      <c r="A5499" s="2" t="s">
        <v>35913</v>
      </c>
      <c r="B5499" s="2">
        <v>493.390298628984</v>
      </c>
      <c r="C5499" s="2">
        <v>14.6315166666667</v>
      </c>
      <c r="D5499" s="2" t="s">
        <v>51</v>
      </c>
      <c r="E5499" s="2" t="s">
        <v>35914</v>
      </c>
      <c r="F5499" s="2">
        <v>44341</v>
      </c>
      <c r="G5499" s="3" t="str">
        <f>HYPERLINK("https://cloud.oebiotech.com/#/lm/network/44341", "https://cloud.oebiotech.com/#/lm/network/44341")</f>
        <v>https://cloud.oebiotech.com/#/lm/network/44341</v>
      </c>
      <c r="H5499" s="2" t="s">
        <v>35915</v>
      </c>
      <c r="I5499" s="2"/>
      <c r="J5499" s="2" t="s">
        <v>35916</v>
      </c>
      <c r="K5499" s="2">
        <v>3036251</v>
      </c>
      <c r="L5499" s="2"/>
      <c r="M5499" s="2"/>
      <c r="N5499" s="2"/>
      <c r="O5499" s="2">
        <v>67593</v>
      </c>
      <c r="P5499" s="2"/>
      <c r="Q5499" s="2"/>
      <c r="R5499" s="2"/>
      <c r="S5499" s="2" t="s">
        <v>35917</v>
      </c>
      <c r="T5499" s="2" t="s">
        <v>35918</v>
      </c>
      <c r="U5499" s="2" t="s">
        <v>56</v>
      </c>
      <c r="V5499" s="2" t="s">
        <v>283</v>
      </c>
      <c r="W5499" s="2" t="s">
        <v>10738</v>
      </c>
      <c r="X5499" s="2" t="s">
        <v>147</v>
      </c>
      <c r="Y5499" s="2">
        <v>37.9</v>
      </c>
      <c r="Z5499" s="2">
        <v>0</v>
      </c>
      <c r="AA5499" s="2" t="s">
        <v>218</v>
      </c>
      <c r="AB5499" s="2" t="s">
        <v>35919</v>
      </c>
      <c r="AC5499" s="2">
        <v>1.0041058263331899</v>
      </c>
      <c r="AD5499" s="2"/>
      <c r="AE5499" s="2">
        <v>2.82274942387113E-2</v>
      </c>
      <c r="AF5499" s="2">
        <v>6448.8435701282997</v>
      </c>
      <c r="AG5499" s="2">
        <v>6257.9385222525198</v>
      </c>
      <c r="AH5499" s="5">
        <v>1.0305060599743701</v>
      </c>
      <c r="AI5499" s="5">
        <v>4.3352988787183799E-2</v>
      </c>
      <c r="AJ5499" s="5" t="s">
        <v>139</v>
      </c>
      <c r="AK5499" s="2">
        <v>0.93954960564070999</v>
      </c>
      <c r="AL5499" s="2">
        <v>0.97408788501608801</v>
      </c>
      <c r="AM5499" s="2">
        <v>6860.9945319776898</v>
      </c>
      <c r="AN5499" s="2">
        <v>1814.68311393719</v>
      </c>
      <c r="AO5499" s="2">
        <v>5873.77172739866</v>
      </c>
      <c r="AP5499" s="2">
        <v>11264.9027370886</v>
      </c>
      <c r="AQ5499" s="2">
        <v>8038.7824733141597</v>
      </c>
      <c r="AR5499" s="2">
        <v>4839.9268370534701</v>
      </c>
      <c r="AS5499" s="2">
        <v>3886.4135343145699</v>
      </c>
      <c r="AT5499" s="2">
        <v>15521.6018487166</v>
      </c>
      <c r="AU5499" s="2">
        <v>3338.53268940108</v>
      </c>
      <c r="AV5499" s="2">
        <v>1473.0284862160599</v>
      </c>
      <c r="AW5499" s="2">
        <v>8577.7376540462392</v>
      </c>
      <c r="AX5499" s="2">
        <v>4750.31692082057</v>
      </c>
    </row>
    <row r="5500" spans="1:50" x14ac:dyDescent="0.25">
      <c r="A5500" s="2" t="s">
        <v>35920</v>
      </c>
      <c r="B5500" s="2">
        <v>194.08184665655</v>
      </c>
      <c r="C5500" s="2">
        <v>5.2849000000000004</v>
      </c>
      <c r="D5500" s="2" t="s">
        <v>51</v>
      </c>
      <c r="E5500" s="2" t="s">
        <v>35921</v>
      </c>
      <c r="F5500" s="2">
        <v>1136</v>
      </c>
      <c r="G5500" s="3" t="str">
        <f>HYPERLINK("https://cloud.oebiotech.com/#/lm/network/1136", "https://cloud.oebiotech.com/#/lm/network/1136")</f>
        <v>https://cloud.oebiotech.com/#/lm/network/1136</v>
      </c>
      <c r="H5500" s="2" t="s">
        <v>35922</v>
      </c>
      <c r="I5500" s="2">
        <v>87377</v>
      </c>
      <c r="J5500" s="2" t="s">
        <v>35923</v>
      </c>
      <c r="K5500" s="2">
        <v>131751124</v>
      </c>
      <c r="L5500" s="2"/>
      <c r="M5500" s="2"/>
      <c r="N5500" s="2"/>
      <c r="O5500" s="2"/>
      <c r="P5500" s="2"/>
      <c r="Q5500" s="2"/>
      <c r="R5500" s="2"/>
      <c r="S5500" s="2" t="s">
        <v>35924</v>
      </c>
      <c r="T5500" s="2" t="s">
        <v>35925</v>
      </c>
      <c r="U5500" s="2" t="s">
        <v>56</v>
      </c>
      <c r="V5500" s="2" t="s">
        <v>145</v>
      </c>
      <c r="W5500" s="2" t="s">
        <v>231</v>
      </c>
      <c r="X5500" s="2" t="s">
        <v>83</v>
      </c>
      <c r="Y5500" s="2">
        <v>42.6</v>
      </c>
      <c r="Z5500" s="2">
        <v>0</v>
      </c>
      <c r="AA5500" s="2" t="s">
        <v>512</v>
      </c>
      <c r="AB5500" s="2" t="s">
        <v>35926</v>
      </c>
      <c r="AC5500" s="2">
        <v>3.84562069477664</v>
      </c>
      <c r="AD5500" s="2"/>
      <c r="AE5500" s="2">
        <v>2.8121573000558502E-2</v>
      </c>
      <c r="AF5500" s="2">
        <v>835.37270163685901</v>
      </c>
      <c r="AG5500" s="2">
        <v>755.66362215703703</v>
      </c>
      <c r="AH5500" s="5">
        <v>1.1054822240248801</v>
      </c>
      <c r="AI5500" s="5">
        <v>0.14467582703805101</v>
      </c>
      <c r="AJ5500" s="5" t="s">
        <v>139</v>
      </c>
      <c r="AK5500" s="2">
        <v>0.85889622916375197</v>
      </c>
      <c r="AL5500" s="2">
        <v>0.93822758280500396</v>
      </c>
      <c r="AM5500" s="2">
        <v>575.37034202162295</v>
      </c>
      <c r="AN5500" s="2">
        <v>613.76114518839404</v>
      </c>
      <c r="AO5500" s="2">
        <v>407.51011530592598</v>
      </c>
      <c r="AP5500" s="2">
        <v>377.81466206926501</v>
      </c>
      <c r="AQ5500" s="2">
        <v>588.59280802387696</v>
      </c>
      <c r="AR5500" s="2">
        <v>2449.18713721207</v>
      </c>
      <c r="AS5500" s="2">
        <v>193.71854013606901</v>
      </c>
      <c r="AT5500" s="2">
        <v>1194.93458310449</v>
      </c>
      <c r="AU5500" s="2">
        <v>1989.20493170346</v>
      </c>
      <c r="AV5500" s="2">
        <v>290.57459458851599</v>
      </c>
      <c r="AW5500" s="2">
        <v>654.21150173634805</v>
      </c>
      <c r="AX5500" s="2">
        <v>211.33758167333701</v>
      </c>
    </row>
    <row r="5501" spans="1:50" x14ac:dyDescent="0.25">
      <c r="A5501" s="2" t="s">
        <v>35927</v>
      </c>
      <c r="B5501" s="2">
        <v>263.04541317128297</v>
      </c>
      <c r="C5501" s="2">
        <v>7.3330166666666701</v>
      </c>
      <c r="D5501" s="2" t="s">
        <v>51</v>
      </c>
      <c r="E5501" s="2" t="s">
        <v>35928</v>
      </c>
      <c r="F5501" s="2">
        <v>82725</v>
      </c>
      <c r="G5501" s="3" t="str">
        <f>HYPERLINK("https://cloud.oebiotech.com/#/lm/network/82725", "https://cloud.oebiotech.com/#/lm/network/82725")</f>
        <v>https://cloud.oebiotech.com/#/lm/network/82725</v>
      </c>
      <c r="H5501" s="2" t="s">
        <v>35929</v>
      </c>
      <c r="I5501" s="2"/>
      <c r="J5501" s="2"/>
      <c r="K5501" s="2">
        <v>131769980</v>
      </c>
      <c r="L5501" s="2"/>
      <c r="M5501" s="2"/>
      <c r="N5501" s="2"/>
      <c r="O5501" s="2"/>
      <c r="P5501" s="2"/>
      <c r="Q5501" s="2"/>
      <c r="R5501" s="2"/>
      <c r="S5501" s="2" t="s">
        <v>35930</v>
      </c>
      <c r="T5501" s="2" t="s">
        <v>35931</v>
      </c>
      <c r="U5501" s="2" t="s">
        <v>266</v>
      </c>
      <c r="V5501" s="2" t="s">
        <v>13648</v>
      </c>
      <c r="W5501" s="2" t="s">
        <v>13649</v>
      </c>
      <c r="X5501" s="2" t="s">
        <v>147</v>
      </c>
      <c r="Y5501" s="2">
        <v>38.200000000000003</v>
      </c>
      <c r="Z5501" s="2">
        <v>1.52</v>
      </c>
      <c r="AA5501" s="2" t="s">
        <v>379</v>
      </c>
      <c r="AB5501" s="2" t="s">
        <v>35932</v>
      </c>
      <c r="AC5501" s="2">
        <v>-2.84515959154542</v>
      </c>
      <c r="AD5501" s="2"/>
      <c r="AE5501" s="2">
        <v>2.8060261658062701E-2</v>
      </c>
      <c r="AF5501" s="2">
        <v>1379.3214531584399</v>
      </c>
      <c r="AG5501" s="2">
        <v>1241.3002148503199</v>
      </c>
      <c r="AH5501" s="5">
        <v>1.11119085992002</v>
      </c>
      <c r="AI5501" s="5">
        <v>0.15210663761922599</v>
      </c>
      <c r="AJ5501" s="5" t="s">
        <v>139</v>
      </c>
      <c r="AK5501" s="2">
        <v>0.84698895197346902</v>
      </c>
      <c r="AL5501" s="2">
        <v>0.93190759967874004</v>
      </c>
      <c r="AM5501" s="2">
        <v>2108.8089981651401</v>
      </c>
      <c r="AN5501" s="2">
        <v>825.50496740220603</v>
      </c>
      <c r="AO5501" s="2">
        <v>1405.6894708668699</v>
      </c>
      <c r="AP5501" s="2">
        <v>8.559877937157E-6</v>
      </c>
      <c r="AQ5501" s="2">
        <v>948.48199114862496</v>
      </c>
      <c r="AR5501" s="2">
        <v>2987.4432828078998</v>
      </c>
      <c r="AS5501" s="2">
        <v>2050.43630246047</v>
      </c>
      <c r="AT5501" s="2">
        <v>1364.3986208255401</v>
      </c>
      <c r="AU5501" s="2">
        <v>8.559877937157E-6</v>
      </c>
      <c r="AV5501" s="2">
        <v>8.559877937157E-6</v>
      </c>
      <c r="AW5501" s="2">
        <v>583.66891927936797</v>
      </c>
      <c r="AX5501" s="2">
        <v>3449.2974294167998</v>
      </c>
    </row>
    <row r="5502" spans="1:50" x14ac:dyDescent="0.25">
      <c r="A5502" s="2" t="s">
        <v>35933</v>
      </c>
      <c r="B5502" s="2">
        <v>651.26791059055699</v>
      </c>
      <c r="C5502" s="2">
        <v>7.5713999999999997</v>
      </c>
      <c r="D5502" s="2" t="s">
        <v>51</v>
      </c>
      <c r="E5502" s="2" t="s">
        <v>35934</v>
      </c>
      <c r="F5502" s="2">
        <v>257472</v>
      </c>
      <c r="G5502" s="3" t="str">
        <f>HYPERLINK("https://cloud.oebiotech.com/#/lm/network/257472", "https://cloud.oebiotech.com/#/lm/network/257472")</f>
        <v>https://cloud.oebiotech.com/#/lm/network/257472</v>
      </c>
      <c r="H5502" s="2" t="s">
        <v>35935</v>
      </c>
      <c r="I5502" s="2">
        <v>66514</v>
      </c>
      <c r="J5502" s="2"/>
      <c r="K5502" s="2">
        <v>24820753</v>
      </c>
      <c r="L5502" s="2" t="s">
        <v>35936</v>
      </c>
      <c r="M5502" s="2"/>
      <c r="N5502" s="2"/>
      <c r="O5502" s="2">
        <v>16063</v>
      </c>
      <c r="P5502" s="2"/>
      <c r="Q5502" s="2"/>
      <c r="R5502" s="2"/>
      <c r="S5502" s="2" t="s">
        <v>35937</v>
      </c>
      <c r="T5502" s="2" t="s">
        <v>35938</v>
      </c>
      <c r="U5502" s="2" t="s">
        <v>56</v>
      </c>
      <c r="V5502" s="2" t="s">
        <v>177</v>
      </c>
      <c r="W5502" s="2" t="s">
        <v>3270</v>
      </c>
      <c r="X5502" s="2" t="s">
        <v>147</v>
      </c>
      <c r="Y5502" s="2">
        <v>40.9</v>
      </c>
      <c r="Z5502" s="2">
        <v>14.2</v>
      </c>
      <c r="AA5502" s="2" t="s">
        <v>259</v>
      </c>
      <c r="AB5502" s="2" t="s">
        <v>33178</v>
      </c>
      <c r="AC5502" s="2">
        <v>4.8875068602655896</v>
      </c>
      <c r="AD5502" s="2"/>
      <c r="AE5502" s="2">
        <v>2.7940563291216702E-2</v>
      </c>
      <c r="AF5502" s="2">
        <v>6291.01311877853</v>
      </c>
      <c r="AG5502" s="2">
        <v>6332.6586998016801</v>
      </c>
      <c r="AH5502" s="4">
        <v>0.993423681427131</v>
      </c>
      <c r="AI5502" s="4">
        <v>-9.5189564570244099E-3</v>
      </c>
      <c r="AJ5502" s="4" t="s">
        <v>62</v>
      </c>
      <c r="AK5502" s="2">
        <v>0.99102222048945998</v>
      </c>
      <c r="AL5502" s="2">
        <v>0.99588573656477897</v>
      </c>
      <c r="AM5502" s="2">
        <v>4466.9862363152397</v>
      </c>
      <c r="AN5502" s="2">
        <v>13182.8685062406</v>
      </c>
      <c r="AO5502" s="2">
        <v>2273.9223861501901</v>
      </c>
      <c r="AP5502" s="2">
        <v>6123.2620550216398</v>
      </c>
      <c r="AQ5502" s="2">
        <v>5248.2870750107504</v>
      </c>
      <c r="AR5502" s="2">
        <v>6450.7524539327796</v>
      </c>
      <c r="AS5502" s="2">
        <v>22420.051965499399</v>
      </c>
      <c r="AT5502" s="2">
        <v>5520.2869747169998</v>
      </c>
      <c r="AU5502" s="2">
        <v>2021.3588678420799</v>
      </c>
      <c r="AV5502" s="2">
        <v>907.05973778552504</v>
      </c>
      <c r="AW5502" s="2">
        <v>3512.16551264082</v>
      </c>
      <c r="AX5502" s="2">
        <v>3615.02914032526</v>
      </c>
    </row>
    <row r="5503" spans="1:50" x14ac:dyDescent="0.25">
      <c r="A5503" s="2" t="s">
        <v>35939</v>
      </c>
      <c r="B5503" s="2">
        <v>496.26821324151803</v>
      </c>
      <c r="C5503" s="2">
        <v>12.1338666666667</v>
      </c>
      <c r="D5503" s="2" t="s">
        <v>51</v>
      </c>
      <c r="E5503" s="2" t="s">
        <v>35940</v>
      </c>
      <c r="F5503" s="2">
        <v>21171</v>
      </c>
      <c r="G5503" s="3" t="str">
        <f>HYPERLINK("https://cloud.oebiotech.com/#/lm/network/21171", "https://cloud.oebiotech.com/#/lm/network/21171")</f>
        <v>https://cloud.oebiotech.com/#/lm/network/21171</v>
      </c>
      <c r="H5503" s="2" t="s">
        <v>35941</v>
      </c>
      <c r="I5503" s="2">
        <v>62290</v>
      </c>
      <c r="J5503" s="2" t="s">
        <v>35942</v>
      </c>
      <c r="K5503" s="2">
        <v>52925129</v>
      </c>
      <c r="L5503" s="2"/>
      <c r="M5503" s="2"/>
      <c r="N5503" s="2"/>
      <c r="O5503" s="2"/>
      <c r="P5503" s="2"/>
      <c r="Q5503" s="2"/>
      <c r="R5503" s="2"/>
      <c r="S5503" s="2" t="s">
        <v>35943</v>
      </c>
      <c r="T5503" s="2" t="s">
        <v>35944</v>
      </c>
      <c r="U5503" s="2" t="s">
        <v>56</v>
      </c>
      <c r="V5503" s="2" t="s">
        <v>57</v>
      </c>
      <c r="W5503" s="2" t="s">
        <v>155</v>
      </c>
      <c r="X5503" s="2" t="s">
        <v>147</v>
      </c>
      <c r="Y5503" s="2">
        <v>39.1</v>
      </c>
      <c r="Z5503" s="2">
        <v>0</v>
      </c>
      <c r="AA5503" s="2" t="s">
        <v>218</v>
      </c>
      <c r="AB5503" s="2" t="s">
        <v>32609</v>
      </c>
      <c r="AC5503" s="2">
        <v>0.26824935739461298</v>
      </c>
      <c r="AD5503" s="2"/>
      <c r="AE5503" s="2">
        <v>2.7940226372267798E-2</v>
      </c>
      <c r="AF5503" s="2">
        <v>808.52015807536202</v>
      </c>
      <c r="AG5503" s="2">
        <v>748.68933531619496</v>
      </c>
      <c r="AH5503" s="5">
        <v>1.0799140844365001</v>
      </c>
      <c r="AI5503" s="5">
        <v>0.110916539344435</v>
      </c>
      <c r="AJ5503" s="5" t="s">
        <v>139</v>
      </c>
      <c r="AK5503" s="2">
        <v>0.82567551997998101</v>
      </c>
      <c r="AL5503" s="2">
        <v>0.92386648362629997</v>
      </c>
      <c r="AM5503" s="2">
        <v>606.93070162687502</v>
      </c>
      <c r="AN5503" s="2">
        <v>1202.5551986806699</v>
      </c>
      <c r="AO5503" s="2">
        <v>705.23186874026305</v>
      </c>
      <c r="AP5503" s="2">
        <v>787.734814183102</v>
      </c>
      <c r="AQ5503" s="2">
        <v>1073.84333403652</v>
      </c>
      <c r="AR5503" s="2">
        <v>474.82503118474398</v>
      </c>
      <c r="AS5503" s="2">
        <v>285.33580774340402</v>
      </c>
      <c r="AT5503" s="2">
        <v>554.50130327146201</v>
      </c>
      <c r="AU5503" s="2">
        <v>1774.31663565849</v>
      </c>
      <c r="AV5503" s="2">
        <v>197.631803606315</v>
      </c>
      <c r="AW5503" s="2">
        <v>1048.9775892907901</v>
      </c>
      <c r="AX5503" s="2">
        <v>631.37287232670701</v>
      </c>
    </row>
    <row r="5504" spans="1:50" x14ac:dyDescent="0.25">
      <c r="A5504" s="2" t="s">
        <v>35945</v>
      </c>
      <c r="B5504" s="2">
        <v>561.414326885317</v>
      </c>
      <c r="C5504" s="2">
        <v>13.3055</v>
      </c>
      <c r="D5504" s="2" t="s">
        <v>51</v>
      </c>
      <c r="E5504" s="2" t="s">
        <v>35946</v>
      </c>
      <c r="F5504" s="2">
        <v>44100</v>
      </c>
      <c r="G5504" s="3" t="str">
        <f>HYPERLINK("https://cloud.oebiotech.com/#/lm/network/44100", "https://cloud.oebiotech.com/#/lm/network/44100")</f>
        <v>https://cloud.oebiotech.com/#/lm/network/44100</v>
      </c>
      <c r="H5504" s="2"/>
      <c r="I5504" s="2"/>
      <c r="J5504" s="2" t="s">
        <v>35947</v>
      </c>
      <c r="K5504" s="2">
        <v>12895787</v>
      </c>
      <c r="L5504" s="2"/>
      <c r="M5504" s="2"/>
      <c r="N5504" s="2"/>
      <c r="O5504" s="2">
        <v>145072</v>
      </c>
      <c r="P5504" s="2"/>
      <c r="Q5504" s="2"/>
      <c r="R5504" s="2"/>
      <c r="S5504" s="2" t="s">
        <v>35948</v>
      </c>
      <c r="T5504" s="2" t="s">
        <v>35949</v>
      </c>
      <c r="U5504" s="2" t="s">
        <v>56</v>
      </c>
      <c r="V5504" s="2" t="s">
        <v>283</v>
      </c>
      <c r="W5504" s="2" t="s">
        <v>3462</v>
      </c>
      <c r="X5504" s="2" t="s">
        <v>83</v>
      </c>
      <c r="Y5504" s="2">
        <v>48.1</v>
      </c>
      <c r="Z5504" s="2">
        <v>0</v>
      </c>
      <c r="AA5504" s="2" t="s">
        <v>163</v>
      </c>
      <c r="AB5504" s="2" t="s">
        <v>35950</v>
      </c>
      <c r="AC5504" s="2">
        <v>-3.0871053545683198</v>
      </c>
      <c r="AD5504" s="2"/>
      <c r="AE5504" s="2">
        <v>2.7889242513776301E-2</v>
      </c>
      <c r="AF5504" s="2">
        <v>10988.625929481401</v>
      </c>
      <c r="AG5504" s="2">
        <v>10852.533747498999</v>
      </c>
      <c r="AH5504" s="5">
        <v>1.0125401298119601</v>
      </c>
      <c r="AI5504" s="5">
        <v>1.7979087190767701E-2</v>
      </c>
      <c r="AJ5504" s="5" t="s">
        <v>139</v>
      </c>
      <c r="AK5504" s="2">
        <v>0.97574369031652097</v>
      </c>
      <c r="AL5504" s="2">
        <v>0.98980639530347603</v>
      </c>
      <c r="AM5504" s="2">
        <v>16106.4233974854</v>
      </c>
      <c r="AN5504" s="2">
        <v>4081.0500423313301</v>
      </c>
      <c r="AO5504" s="2">
        <v>10002.6274539481</v>
      </c>
      <c r="AP5504" s="2">
        <v>14616.4151091888</v>
      </c>
      <c r="AQ5504" s="2">
        <v>17342.426456519199</v>
      </c>
      <c r="AR5504" s="2">
        <v>3782.81311741543</v>
      </c>
      <c r="AS5504" s="2">
        <v>6332.4145056317202</v>
      </c>
      <c r="AT5504" s="2">
        <v>16521.4676837794</v>
      </c>
      <c r="AU5504" s="2">
        <v>8664.6200551845704</v>
      </c>
      <c r="AV5504" s="2">
        <v>2824.5395550817302</v>
      </c>
      <c r="AW5504" s="2">
        <v>26074.333439838501</v>
      </c>
      <c r="AX5504" s="2">
        <v>4697.82724547821</v>
      </c>
    </row>
    <row r="5505" spans="1:50" x14ac:dyDescent="0.25">
      <c r="A5505" s="2" t="s">
        <v>35951</v>
      </c>
      <c r="B5505" s="2">
        <v>303.23256988116799</v>
      </c>
      <c r="C5505" s="2">
        <v>11.940049999999999</v>
      </c>
      <c r="D5505" s="2" t="s">
        <v>51</v>
      </c>
      <c r="E5505" s="2" t="s">
        <v>35952</v>
      </c>
      <c r="F5505" s="2">
        <v>3616</v>
      </c>
      <c r="G5505" s="3" t="str">
        <f>HYPERLINK("https://cloud.oebiotech.com/#/lm/network/3616", "https://cloud.oebiotech.com/#/lm/network/3616")</f>
        <v>https://cloud.oebiotech.com/#/lm/network/3616</v>
      </c>
      <c r="H5505" s="2"/>
      <c r="I5505" s="2"/>
      <c r="J5505" s="2" t="s">
        <v>35953</v>
      </c>
      <c r="K5505" s="2">
        <v>87771207</v>
      </c>
      <c r="L5505" s="2"/>
      <c r="M5505" s="2"/>
      <c r="N5505" s="2"/>
      <c r="O5505" s="2"/>
      <c r="P5505" s="2"/>
      <c r="Q5505" s="2"/>
      <c r="R5505" s="2"/>
      <c r="S5505" s="2" t="s">
        <v>35954</v>
      </c>
      <c r="T5505" s="2" t="s">
        <v>35955</v>
      </c>
      <c r="U5505" s="2" t="s">
        <v>56</v>
      </c>
      <c r="V5505" s="2" t="s">
        <v>145</v>
      </c>
      <c r="W5505" s="2" t="s">
        <v>231</v>
      </c>
      <c r="X5505" s="2" t="s">
        <v>83</v>
      </c>
      <c r="Y5505" s="2">
        <v>49.7</v>
      </c>
      <c r="Z5505" s="2">
        <v>0</v>
      </c>
      <c r="AA5505" s="2" t="s">
        <v>259</v>
      </c>
      <c r="AB5505" s="2" t="s">
        <v>835</v>
      </c>
      <c r="AC5505" s="2">
        <v>2.3599931785272701</v>
      </c>
      <c r="AD5505" s="2"/>
      <c r="AE5505" s="2">
        <v>2.77842376835114E-2</v>
      </c>
      <c r="AF5505" s="2">
        <v>8289.5870922395497</v>
      </c>
      <c r="AG5505" s="2">
        <v>8528.9562929434996</v>
      </c>
      <c r="AH5505" s="4">
        <v>0.97193452604488095</v>
      </c>
      <c r="AI5505" s="4">
        <v>-4.1068964319556298E-2</v>
      </c>
      <c r="AJ5505" s="4" t="s">
        <v>62</v>
      </c>
      <c r="AK5505" s="2">
        <v>0.91907186240283001</v>
      </c>
      <c r="AL5505" s="2">
        <v>0.96541520383033996</v>
      </c>
      <c r="AM5505" s="2">
        <v>15648.794307943899</v>
      </c>
      <c r="AN5505" s="2">
        <v>10523.2024026446</v>
      </c>
      <c r="AO5505" s="2">
        <v>5108.7088490861397</v>
      </c>
      <c r="AP5505" s="2">
        <v>8026.6777670514703</v>
      </c>
      <c r="AQ5505" s="2">
        <v>4402.6771705457404</v>
      </c>
      <c r="AR5505" s="2">
        <v>6027.4620561654301</v>
      </c>
      <c r="AS5505" s="2">
        <v>5078.5202498952704</v>
      </c>
      <c r="AT5505" s="2">
        <v>2859.91612861048</v>
      </c>
      <c r="AU5505" s="2">
        <v>12340.477466279201</v>
      </c>
      <c r="AV5505" s="2">
        <v>9577.7789136376305</v>
      </c>
      <c r="AW5505" s="2">
        <v>10753.9956071751</v>
      </c>
      <c r="AX5505" s="2">
        <v>10563.0493920633</v>
      </c>
    </row>
    <row r="5506" spans="1:50" x14ac:dyDescent="0.25">
      <c r="A5506" s="2" t="s">
        <v>35956</v>
      </c>
      <c r="B5506" s="2">
        <v>539.02354479322798</v>
      </c>
      <c r="C5506" s="2">
        <v>1.27705</v>
      </c>
      <c r="D5506" s="2" t="s">
        <v>51</v>
      </c>
      <c r="E5506" s="2" t="s">
        <v>35957</v>
      </c>
      <c r="F5506" s="2">
        <v>209457</v>
      </c>
      <c r="G5506" s="3" t="str">
        <f>HYPERLINK("https://cloud.oebiotech.com/#/lm/network/209457", "https://cloud.oebiotech.com/#/lm/network/209457")</f>
        <v>https://cloud.oebiotech.com/#/lm/network/209457</v>
      </c>
      <c r="H5506" s="2" t="s">
        <v>35958</v>
      </c>
      <c r="I5506" s="2"/>
      <c r="J5506" s="2"/>
      <c r="K5506" s="2">
        <v>5909486</v>
      </c>
      <c r="L5506" s="2"/>
      <c r="M5506" s="2"/>
      <c r="N5506" s="2"/>
      <c r="O5506" s="2"/>
      <c r="P5506" s="2"/>
      <c r="Q5506" s="2"/>
      <c r="R5506" s="2"/>
      <c r="S5506" s="2" t="s">
        <v>35959</v>
      </c>
      <c r="T5506" s="2" t="s">
        <v>35960</v>
      </c>
      <c r="U5506" s="2" t="s">
        <v>540</v>
      </c>
      <c r="V5506" s="2" t="s">
        <v>1826</v>
      </c>
      <c r="W5506" s="2" t="s">
        <v>240</v>
      </c>
      <c r="X5506" s="2" t="s">
        <v>147</v>
      </c>
      <c r="Y5506" s="2">
        <v>37.1</v>
      </c>
      <c r="Z5506" s="2">
        <v>0</v>
      </c>
      <c r="AA5506" s="2" t="s">
        <v>478</v>
      </c>
      <c r="AB5506" s="2" t="s">
        <v>35961</v>
      </c>
      <c r="AC5506" s="2">
        <v>-3.8045726927840402</v>
      </c>
      <c r="AD5506" s="2"/>
      <c r="AE5506" s="2">
        <v>2.77839921366742E-2</v>
      </c>
      <c r="AF5506" s="2">
        <v>2330.80732225577</v>
      </c>
      <c r="AG5506" s="2">
        <v>2557.3583950790098</v>
      </c>
      <c r="AH5506" s="4">
        <v>0.91141207534337698</v>
      </c>
      <c r="AI5506" s="4">
        <v>-0.13382460986208899</v>
      </c>
      <c r="AJ5506" s="4" t="s">
        <v>62</v>
      </c>
      <c r="AK5506" s="2">
        <v>0.92170293081683496</v>
      </c>
      <c r="AL5506" s="2">
        <v>0.96629883458582899</v>
      </c>
      <c r="AM5506" s="2">
        <v>8.559877937157E-6</v>
      </c>
      <c r="AN5506" s="2">
        <v>2735.33549911201</v>
      </c>
      <c r="AO5506" s="2">
        <v>5197.7492905135396</v>
      </c>
      <c r="AP5506" s="2">
        <v>8.559877937157E-6</v>
      </c>
      <c r="AQ5506" s="2">
        <v>6051.75911822942</v>
      </c>
      <c r="AR5506" s="2">
        <v>8.559877937157E-6</v>
      </c>
      <c r="AS5506" s="2">
        <v>8.559877937157E-6</v>
      </c>
      <c r="AT5506" s="2">
        <v>11951.4127540347</v>
      </c>
      <c r="AU5506" s="2">
        <v>8.559877937157E-6</v>
      </c>
      <c r="AV5506" s="2">
        <v>341.84922947892898</v>
      </c>
      <c r="AW5506" s="2">
        <v>8.559877937157E-6</v>
      </c>
      <c r="AX5506" s="2">
        <v>3050.8883612807999</v>
      </c>
    </row>
    <row r="5507" spans="1:50" x14ac:dyDescent="0.25">
      <c r="A5507" s="2" t="s">
        <v>35962</v>
      </c>
      <c r="B5507" s="2">
        <v>528.24711548634002</v>
      </c>
      <c r="C5507" s="2">
        <v>4.9338333333333297</v>
      </c>
      <c r="D5507" s="2" t="s">
        <v>51</v>
      </c>
      <c r="E5507" s="2" t="s">
        <v>35963</v>
      </c>
      <c r="F5507" s="2">
        <v>210908</v>
      </c>
      <c r="G5507" s="3" t="str">
        <f>HYPERLINK("https://cloud.oebiotech.com/#/lm/network/210908", "https://cloud.oebiotech.com/#/lm/network/210908")</f>
        <v>https://cloud.oebiotech.com/#/lm/network/210908</v>
      </c>
      <c r="H5507" s="2" t="s">
        <v>35964</v>
      </c>
      <c r="I5507" s="2"/>
      <c r="J5507" s="2"/>
      <c r="K5507" s="2"/>
      <c r="L5507" s="2"/>
      <c r="M5507" s="2"/>
      <c r="N5507" s="2"/>
      <c r="O5507" s="2"/>
      <c r="P5507" s="2"/>
      <c r="Q5507" s="2"/>
      <c r="R5507" s="2"/>
      <c r="S5507" s="2" t="s">
        <v>35965</v>
      </c>
      <c r="T5507" s="2" t="s">
        <v>35966</v>
      </c>
      <c r="U5507" s="2" t="s">
        <v>56</v>
      </c>
      <c r="V5507" s="2" t="s">
        <v>177</v>
      </c>
      <c r="W5507" s="2" t="s">
        <v>3987</v>
      </c>
      <c r="X5507" s="2" t="s">
        <v>147</v>
      </c>
      <c r="Y5507" s="2">
        <v>36.700000000000003</v>
      </c>
      <c r="Z5507" s="2">
        <v>0</v>
      </c>
      <c r="AA5507" s="2" t="s">
        <v>122</v>
      </c>
      <c r="AB5507" s="2" t="s">
        <v>35967</v>
      </c>
      <c r="AC5507" s="2">
        <v>-3.2260073418622901</v>
      </c>
      <c r="AD5507" s="2"/>
      <c r="AE5507" s="2">
        <v>2.7705824969055E-2</v>
      </c>
      <c r="AF5507" s="2">
        <v>900.19648062520605</v>
      </c>
      <c r="AG5507" s="2">
        <v>1440.0832794559201</v>
      </c>
      <c r="AH5507" s="4">
        <v>0.62510029348116103</v>
      </c>
      <c r="AI5507" s="4">
        <v>-0.67784041503305004</v>
      </c>
      <c r="AJ5507" s="4" t="s">
        <v>62</v>
      </c>
      <c r="AK5507" s="2">
        <v>0.71491175696101295</v>
      </c>
      <c r="AL5507" s="2">
        <v>0.86585701776367496</v>
      </c>
      <c r="AM5507" s="2">
        <v>1724.62821352585</v>
      </c>
      <c r="AN5507" s="2">
        <v>336.44597190860901</v>
      </c>
      <c r="AO5507" s="2">
        <v>315.77560523493997</v>
      </c>
      <c r="AP5507" s="2">
        <v>2591.4729036691101</v>
      </c>
      <c r="AQ5507" s="2">
        <v>432.85618085284801</v>
      </c>
      <c r="AR5507" s="2">
        <v>8.559877937157E-6</v>
      </c>
      <c r="AS5507" s="2">
        <v>8.559877937157E-6</v>
      </c>
      <c r="AT5507" s="2">
        <v>8.559877937157E-6</v>
      </c>
      <c r="AU5507" s="2">
        <v>8307.8412174270507</v>
      </c>
      <c r="AV5507" s="2">
        <v>332.65842506892801</v>
      </c>
      <c r="AW5507" s="2">
        <v>8.559877937157E-6</v>
      </c>
      <c r="AX5507" s="2">
        <v>8.559877937157E-6</v>
      </c>
    </row>
    <row r="5508" spans="1:50" x14ac:dyDescent="0.25">
      <c r="A5508" s="2" t="s">
        <v>35968</v>
      </c>
      <c r="B5508" s="2">
        <v>213.11031839734099</v>
      </c>
      <c r="C5508" s="2">
        <v>0.59993333333333299</v>
      </c>
      <c r="D5508" s="2" t="s">
        <v>51</v>
      </c>
      <c r="E5508" s="2" t="s">
        <v>35969</v>
      </c>
      <c r="F5508" s="2">
        <v>257047</v>
      </c>
      <c r="G5508" s="3" t="str">
        <f>HYPERLINK("https://cloud.oebiotech.com/#/lm/network/257047", "https://cloud.oebiotech.com/#/lm/network/257047")</f>
        <v>https://cloud.oebiotech.com/#/lm/network/257047</v>
      </c>
      <c r="H5508" s="2" t="s">
        <v>35970</v>
      </c>
      <c r="I5508" s="2">
        <v>3335</v>
      </c>
      <c r="J5508" s="2"/>
      <c r="K5508" s="2">
        <v>135398568</v>
      </c>
      <c r="L5508" s="2" t="s">
        <v>35971</v>
      </c>
      <c r="M5508" s="2" t="s">
        <v>13196</v>
      </c>
      <c r="N5508" s="2" t="s">
        <v>13197</v>
      </c>
      <c r="O5508" s="2">
        <v>17083</v>
      </c>
      <c r="P5508" s="2"/>
      <c r="Q5508" s="2"/>
      <c r="R5508" s="2" t="s">
        <v>35972</v>
      </c>
      <c r="S5508" s="2" t="s">
        <v>35973</v>
      </c>
      <c r="T5508" s="2" t="s">
        <v>35974</v>
      </c>
      <c r="U5508" s="2" t="s">
        <v>266</v>
      </c>
      <c r="V5508" s="2" t="s">
        <v>13201</v>
      </c>
      <c r="W5508" s="2" t="s">
        <v>13202</v>
      </c>
      <c r="X5508" s="2" t="s">
        <v>147</v>
      </c>
      <c r="Y5508" s="2">
        <v>37.1</v>
      </c>
      <c r="Z5508" s="2">
        <v>0</v>
      </c>
      <c r="AA5508" s="2" t="s">
        <v>512</v>
      </c>
      <c r="AB5508" s="2" t="s">
        <v>35975</v>
      </c>
      <c r="AC5508" s="2">
        <v>4.4511742184410501</v>
      </c>
      <c r="AD5508" s="2"/>
      <c r="AE5508" s="2">
        <v>2.7630362183144901E-2</v>
      </c>
      <c r="AF5508" s="2">
        <v>7008.41627279779</v>
      </c>
      <c r="AG5508" s="2">
        <v>6922.0723159604304</v>
      </c>
      <c r="AH5508" s="5">
        <v>1.0124737149362399</v>
      </c>
      <c r="AI5508" s="5">
        <v>1.78844543445533E-2</v>
      </c>
      <c r="AJ5508" s="5" t="s">
        <v>139</v>
      </c>
      <c r="AK5508" s="2">
        <v>0.91264395147153499</v>
      </c>
      <c r="AL5508" s="2">
        <v>0.96314611033547703</v>
      </c>
      <c r="AM5508" s="2">
        <v>7326.4761717028496</v>
      </c>
      <c r="AN5508" s="2">
        <v>9674.5816490248599</v>
      </c>
      <c r="AO5508" s="2">
        <v>6680.5296698977299</v>
      </c>
      <c r="AP5508" s="2">
        <v>5957.6794109748098</v>
      </c>
      <c r="AQ5508" s="2">
        <v>7308.6727476686101</v>
      </c>
      <c r="AR5508" s="2">
        <v>5102.5579875178701</v>
      </c>
      <c r="AS5508" s="2">
        <v>6951.8198126257503</v>
      </c>
      <c r="AT5508" s="2">
        <v>6789.4625914323196</v>
      </c>
      <c r="AU5508" s="2">
        <v>5285.7620500489602</v>
      </c>
      <c r="AV5508" s="2">
        <v>7103.3385156587101</v>
      </c>
      <c r="AW5508" s="2">
        <v>6811.6413022947199</v>
      </c>
      <c r="AX5508" s="2">
        <v>8590.4096237021204</v>
      </c>
    </row>
    <row r="5509" spans="1:50" x14ac:dyDescent="0.25">
      <c r="A5509" s="2" t="s">
        <v>35976</v>
      </c>
      <c r="B5509" s="2">
        <v>349.11140518690001</v>
      </c>
      <c r="C5509" s="2">
        <v>11.4227333333333</v>
      </c>
      <c r="D5509" s="2" t="s">
        <v>51</v>
      </c>
      <c r="E5509" s="2" t="s">
        <v>35977</v>
      </c>
      <c r="F5509" s="2">
        <v>210591</v>
      </c>
      <c r="G5509" s="3" t="str">
        <f>HYPERLINK("https://cloud.oebiotech.com/#/lm/network/210591", "https://cloud.oebiotech.com/#/lm/network/210591")</f>
        <v>https://cloud.oebiotech.com/#/lm/network/210591</v>
      </c>
      <c r="H5509" s="2" t="s">
        <v>35978</v>
      </c>
      <c r="I5509" s="2">
        <v>72645</v>
      </c>
      <c r="J5509" s="2"/>
      <c r="K5509" s="2">
        <v>34469</v>
      </c>
      <c r="L5509" s="2" t="s">
        <v>35979</v>
      </c>
      <c r="M5509" s="2"/>
      <c r="N5509" s="2"/>
      <c r="O5509" s="2"/>
      <c r="P5509" s="2"/>
      <c r="Q5509" s="2"/>
      <c r="R5509" s="2" t="s">
        <v>35980</v>
      </c>
      <c r="S5509" s="2" t="s">
        <v>35981</v>
      </c>
      <c r="T5509" s="2" t="s">
        <v>35982</v>
      </c>
      <c r="U5509" s="2" t="s">
        <v>610</v>
      </c>
      <c r="V5509" s="2" t="s">
        <v>611</v>
      </c>
      <c r="W5509" s="2" t="s">
        <v>977</v>
      </c>
      <c r="X5509" s="2" t="s">
        <v>147</v>
      </c>
      <c r="Y5509" s="2">
        <v>38.5</v>
      </c>
      <c r="Z5509" s="2">
        <v>0</v>
      </c>
      <c r="AA5509" s="2" t="s">
        <v>163</v>
      </c>
      <c r="AB5509" s="2" t="s">
        <v>35983</v>
      </c>
      <c r="AC5509" s="2">
        <v>-4.3073315230410598</v>
      </c>
      <c r="AD5509" s="2"/>
      <c r="AE5509" s="2">
        <v>2.7611784054839598E-2</v>
      </c>
      <c r="AF5509" s="2">
        <v>459.19898638078303</v>
      </c>
      <c r="AG5509" s="2">
        <v>641.78633895217797</v>
      </c>
      <c r="AH5509" s="4">
        <v>0.71550134135061405</v>
      </c>
      <c r="AI5509" s="4">
        <v>-0.48297362331198801</v>
      </c>
      <c r="AJ5509" s="4" t="s">
        <v>62</v>
      </c>
      <c r="AK5509" s="2">
        <v>0.48300237379987898</v>
      </c>
      <c r="AL5509" s="2">
        <v>0.72725972438495501</v>
      </c>
      <c r="AM5509" s="2">
        <v>747.84858038222603</v>
      </c>
      <c r="AN5509" s="2">
        <v>595.73105925291304</v>
      </c>
      <c r="AO5509" s="2">
        <v>700.98458980549697</v>
      </c>
      <c r="AP5509" s="2">
        <v>171.56477136273099</v>
      </c>
      <c r="AQ5509" s="2">
        <v>8.559877937157E-6</v>
      </c>
      <c r="AR5509" s="2">
        <v>539.06490892145496</v>
      </c>
      <c r="AS5509" s="2">
        <v>244.61903600611899</v>
      </c>
      <c r="AT5509" s="2">
        <v>205.73100669927399</v>
      </c>
      <c r="AU5509" s="2">
        <v>1594.55057575467</v>
      </c>
      <c r="AV5509" s="2">
        <v>555.60826256311998</v>
      </c>
      <c r="AW5509" s="2">
        <v>908.26934691296799</v>
      </c>
      <c r="AX5509" s="2">
        <v>341.93980577691798</v>
      </c>
    </row>
    <row r="5510" spans="1:50" x14ac:dyDescent="0.25">
      <c r="A5510" s="2" t="s">
        <v>35984</v>
      </c>
      <c r="B5510" s="2">
        <v>606.31849069351301</v>
      </c>
      <c r="C5510" s="2">
        <v>9.29955</v>
      </c>
      <c r="D5510" s="2" t="s">
        <v>51</v>
      </c>
      <c r="E5510" s="2" t="s">
        <v>35985</v>
      </c>
      <c r="F5510" s="2">
        <v>22456</v>
      </c>
      <c r="G5510" s="3" t="str">
        <f>HYPERLINK("https://cloud.oebiotech.com/#/lm/network/22456", "https://cloud.oebiotech.com/#/lm/network/22456")</f>
        <v>https://cloud.oebiotech.com/#/lm/network/22456</v>
      </c>
      <c r="H5510" s="2"/>
      <c r="I5510" s="2">
        <v>78853</v>
      </c>
      <c r="J5510" s="2" t="s">
        <v>35986</v>
      </c>
      <c r="K5510" s="2">
        <v>52926294</v>
      </c>
      <c r="L5510" s="2"/>
      <c r="M5510" s="2"/>
      <c r="N5510" s="2"/>
      <c r="O5510" s="2"/>
      <c r="P5510" s="2"/>
      <c r="Q5510" s="2"/>
      <c r="R5510" s="2"/>
      <c r="S5510" s="2" t="s">
        <v>35987</v>
      </c>
      <c r="T5510" s="2" t="s">
        <v>35988</v>
      </c>
      <c r="U5510" s="2" t="s">
        <v>56</v>
      </c>
      <c r="V5510" s="2" t="s">
        <v>57</v>
      </c>
      <c r="W5510" s="2" t="s">
        <v>82</v>
      </c>
      <c r="X5510" s="2" t="s">
        <v>59</v>
      </c>
      <c r="Y5510" s="2">
        <v>51.7</v>
      </c>
      <c r="Z5510" s="2">
        <v>70.2</v>
      </c>
      <c r="AA5510" s="2" t="s">
        <v>395</v>
      </c>
      <c r="AB5510" s="2" t="s">
        <v>35989</v>
      </c>
      <c r="AC5510" s="2">
        <v>3.02046349202078</v>
      </c>
      <c r="AD5510" s="2"/>
      <c r="AE5510" s="2">
        <v>2.75720339617762E-2</v>
      </c>
      <c r="AF5510" s="2">
        <v>12162.578656855299</v>
      </c>
      <c r="AG5510" s="2">
        <v>13951.046748369001</v>
      </c>
      <c r="AH5510" s="4">
        <v>0.87180402132028501</v>
      </c>
      <c r="AI5510" s="4">
        <v>-0.197924236543637</v>
      </c>
      <c r="AJ5510" s="4" t="s">
        <v>62</v>
      </c>
      <c r="AK5510" s="2">
        <v>0.65485091171161303</v>
      </c>
      <c r="AL5510" s="2">
        <v>0.83240942988891198</v>
      </c>
      <c r="AM5510" s="2">
        <v>27426.1287985208</v>
      </c>
      <c r="AN5510" s="2">
        <v>8312.6711228189197</v>
      </c>
      <c r="AO5510" s="2">
        <v>7529.2589487648802</v>
      </c>
      <c r="AP5510" s="2">
        <v>10452.881436001901</v>
      </c>
      <c r="AQ5510" s="2">
        <v>7072.6477303762904</v>
      </c>
      <c r="AR5510" s="2">
        <v>12181.883904649299</v>
      </c>
      <c r="AS5510" s="2">
        <v>8604.5853810426906</v>
      </c>
      <c r="AT5510" s="2">
        <v>9495.9795267296104</v>
      </c>
      <c r="AU5510" s="2">
        <v>23023.390459710899</v>
      </c>
      <c r="AV5510" s="2">
        <v>17890.1678936473</v>
      </c>
      <c r="AW5510" s="2">
        <v>13476.2842157619</v>
      </c>
      <c r="AX5510" s="2">
        <v>11215.873013321399</v>
      </c>
    </row>
    <row r="5511" spans="1:50" x14ac:dyDescent="0.25">
      <c r="A5511" s="2" t="s">
        <v>35990</v>
      </c>
      <c r="B5511" s="2">
        <v>467.17866278932303</v>
      </c>
      <c r="C5511" s="2">
        <v>3.87063333333333</v>
      </c>
      <c r="D5511" s="2" t="s">
        <v>51</v>
      </c>
      <c r="E5511" s="2" t="s">
        <v>35991</v>
      </c>
      <c r="F5511" s="2">
        <v>260836</v>
      </c>
      <c r="G5511" s="3" t="str">
        <f>HYPERLINK("https://cloud.oebiotech.com/#/lm/network/260836", "https://cloud.oebiotech.com/#/lm/network/260836")</f>
        <v>https://cloud.oebiotech.com/#/lm/network/260836</v>
      </c>
      <c r="H5511" s="2"/>
      <c r="I5511" s="2">
        <v>18122</v>
      </c>
      <c r="J5511" s="2"/>
      <c r="K5511" s="2">
        <v>145455173</v>
      </c>
      <c r="L5511" s="2"/>
      <c r="M5511" s="2"/>
      <c r="N5511" s="2"/>
      <c r="O5511" s="2"/>
      <c r="P5511" s="2"/>
      <c r="Q5511" s="2"/>
      <c r="R5511" s="2"/>
      <c r="S5511" s="2" t="s">
        <v>35992</v>
      </c>
      <c r="T5511" s="2" t="s">
        <v>35993</v>
      </c>
      <c r="U5511" s="2" t="s">
        <v>103</v>
      </c>
      <c r="V5511" s="2" t="s">
        <v>104</v>
      </c>
      <c r="W5511" s="2" t="s">
        <v>105</v>
      </c>
      <c r="X5511" s="2" t="s">
        <v>83</v>
      </c>
      <c r="Y5511" s="2">
        <v>46.3</v>
      </c>
      <c r="Z5511" s="2">
        <v>0</v>
      </c>
      <c r="AA5511" s="2" t="s">
        <v>218</v>
      </c>
      <c r="AB5511" s="2" t="s">
        <v>35994</v>
      </c>
      <c r="AC5511" s="2">
        <v>0.73601135354549596</v>
      </c>
      <c r="AD5511" s="2"/>
      <c r="AE5511" s="2">
        <v>2.75396457685422E-2</v>
      </c>
      <c r="AF5511" s="2">
        <v>4019.1425058118298</v>
      </c>
      <c r="AG5511" s="2">
        <v>3219.01854096343</v>
      </c>
      <c r="AH5511" s="5">
        <v>1.2485614651380501</v>
      </c>
      <c r="AI5511" s="5">
        <v>0.32026684510843101</v>
      </c>
      <c r="AJ5511" s="5" t="s">
        <v>139</v>
      </c>
      <c r="AK5511" s="2">
        <v>0.82676547630449704</v>
      </c>
      <c r="AL5511" s="2">
        <v>0.92429976515301204</v>
      </c>
      <c r="AM5511" s="2">
        <v>3248.9720619435602</v>
      </c>
      <c r="AN5511" s="2">
        <v>8.559877937157E-6</v>
      </c>
      <c r="AO5511" s="2">
        <v>3400.52520366928</v>
      </c>
      <c r="AP5511" s="2">
        <v>391.20465091226498</v>
      </c>
      <c r="AQ5511" s="2">
        <v>652.00180134968298</v>
      </c>
      <c r="AR5511" s="2">
        <v>16422.1513084363</v>
      </c>
      <c r="AS5511" s="2">
        <v>297.43915332739402</v>
      </c>
      <c r="AT5511" s="2">
        <v>1789.44268869195</v>
      </c>
      <c r="AU5511" s="2">
        <v>8.559877937157E-6</v>
      </c>
      <c r="AV5511" s="2">
        <v>1701.84507338195</v>
      </c>
      <c r="AW5511" s="2">
        <v>8.559877937157E-6</v>
      </c>
      <c r="AX5511" s="2">
        <v>15525.384313259499</v>
      </c>
    </row>
    <row r="5512" spans="1:50" x14ac:dyDescent="0.25">
      <c r="A5512" s="2" t="s">
        <v>35995</v>
      </c>
      <c r="B5512" s="2">
        <v>307.14850000000001</v>
      </c>
      <c r="C5512" s="2">
        <v>16.571999999999999</v>
      </c>
      <c r="D5512" s="2" t="s">
        <v>125</v>
      </c>
      <c r="E5512" s="2" t="s">
        <v>35996</v>
      </c>
      <c r="F5512" s="2">
        <v>46972</v>
      </c>
      <c r="G5512" s="3" t="str">
        <f>HYPERLINK("https://cloud.oebiotech.com/#/lm/network/46972", "https://cloud.oebiotech.com/#/lm/network/46972")</f>
        <v>https://cloud.oebiotech.com/#/lm/network/46972</v>
      </c>
      <c r="H5512" s="2" t="s">
        <v>35997</v>
      </c>
      <c r="I5512" s="2">
        <v>313</v>
      </c>
      <c r="J5512" s="2"/>
      <c r="K5512" s="2">
        <v>5779</v>
      </c>
      <c r="L5512" s="2" t="s">
        <v>35998</v>
      </c>
      <c r="M5512" s="2" t="s">
        <v>35999</v>
      </c>
      <c r="N5512" s="2" t="s">
        <v>36000</v>
      </c>
      <c r="O5512" s="2">
        <v>47013</v>
      </c>
      <c r="P5512" s="2" t="s">
        <v>36001</v>
      </c>
      <c r="Q5512" s="2" t="s">
        <v>36002</v>
      </c>
      <c r="R5512" s="2" t="s">
        <v>36003</v>
      </c>
      <c r="S5512" s="2" t="s">
        <v>36004</v>
      </c>
      <c r="T5512" s="2" t="s">
        <v>36005</v>
      </c>
      <c r="U5512" s="2" t="s">
        <v>331</v>
      </c>
      <c r="V5512" s="2" t="s">
        <v>332</v>
      </c>
      <c r="W5512" s="2" t="s">
        <v>333</v>
      </c>
      <c r="X5512" s="2" t="s">
        <v>69</v>
      </c>
      <c r="Y5512" s="2">
        <v>94</v>
      </c>
      <c r="Z5512" s="2">
        <v>90.6</v>
      </c>
      <c r="AA5512" s="2"/>
      <c r="AB5512" s="2" t="s">
        <v>2762</v>
      </c>
      <c r="AC5512" s="2"/>
      <c r="AD5512" s="2">
        <v>556934.58037865697</v>
      </c>
      <c r="AE5512" s="2">
        <v>2.7517452588097902E-2</v>
      </c>
      <c r="AF5512" s="2">
        <v>8662.2456134893091</v>
      </c>
      <c r="AG5512" s="2">
        <v>12365.252313323899</v>
      </c>
      <c r="AH5512" s="4">
        <v>0.70053124626947505</v>
      </c>
      <c r="AI5512" s="4">
        <v>-0.51347869329242202</v>
      </c>
      <c r="AJ5512" s="4" t="s">
        <v>62</v>
      </c>
      <c r="AK5512" s="2">
        <v>0.54497902135126497</v>
      </c>
      <c r="AL5512" s="2">
        <v>0.769018528661641</v>
      </c>
      <c r="AM5512" s="2">
        <v>8776.7143937166293</v>
      </c>
      <c r="AN5512" s="2">
        <v>7317.8029463872099</v>
      </c>
      <c r="AO5512" s="2">
        <v>12435.757219183501</v>
      </c>
      <c r="AP5512" s="2">
        <v>10360.332183692401</v>
      </c>
      <c r="AQ5512" s="2">
        <v>10783.0317206861</v>
      </c>
      <c r="AR5512" s="2">
        <v>2299.8352172700202</v>
      </c>
      <c r="AS5512" s="2">
        <v>2299.8352172700202</v>
      </c>
      <c r="AT5512" s="2">
        <v>39777.049311119597</v>
      </c>
      <c r="AU5512" s="2">
        <v>11460.9830160644</v>
      </c>
      <c r="AV5512" s="2">
        <v>11266.44330003</v>
      </c>
      <c r="AW5512" s="2">
        <v>2299.8352172700202</v>
      </c>
      <c r="AX5512" s="2">
        <v>7087.3678181894402</v>
      </c>
    </row>
    <row r="5513" spans="1:50" x14ac:dyDescent="0.25">
      <c r="A5513" s="2" t="s">
        <v>36006</v>
      </c>
      <c r="B5513" s="2">
        <v>146.09287363668301</v>
      </c>
      <c r="C5513" s="2">
        <v>0.88049999999999995</v>
      </c>
      <c r="D5513" s="2" t="s">
        <v>51</v>
      </c>
      <c r="E5513" s="2" t="s">
        <v>36007</v>
      </c>
      <c r="F5513" s="2">
        <v>48113</v>
      </c>
      <c r="G5513" s="3" t="str">
        <f>HYPERLINK("https://cloud.oebiotech.com/#/lm/network/48113", "https://cloud.oebiotech.com/#/lm/network/48113")</f>
        <v>https://cloud.oebiotech.com/#/lm/network/48113</v>
      </c>
      <c r="H5513" s="2" t="s">
        <v>36008</v>
      </c>
      <c r="I5513" s="2">
        <v>4155</v>
      </c>
      <c r="J5513" s="2"/>
      <c r="K5513" s="2">
        <v>500</v>
      </c>
      <c r="L5513" s="2" t="s">
        <v>36009</v>
      </c>
      <c r="M5513" s="2" t="s">
        <v>1194</v>
      </c>
      <c r="N5513" s="2" t="s">
        <v>1195</v>
      </c>
      <c r="O5513" s="2">
        <v>15728</v>
      </c>
      <c r="P5513" s="2"/>
      <c r="Q5513" s="2"/>
      <c r="R5513" s="2" t="s">
        <v>36010</v>
      </c>
      <c r="S5513" s="2" t="s">
        <v>36011</v>
      </c>
      <c r="T5513" s="2" t="s">
        <v>36012</v>
      </c>
      <c r="U5513" s="2" t="s">
        <v>103</v>
      </c>
      <c r="V5513" s="2" t="s">
        <v>104</v>
      </c>
      <c r="W5513" s="2" t="s">
        <v>105</v>
      </c>
      <c r="X5513" s="2" t="s">
        <v>83</v>
      </c>
      <c r="Y5513" s="2">
        <v>39.6</v>
      </c>
      <c r="Z5513" s="2">
        <v>0</v>
      </c>
      <c r="AA5513" s="2" t="s">
        <v>259</v>
      </c>
      <c r="AB5513" s="2" t="s">
        <v>36013</v>
      </c>
      <c r="AC5513" s="2">
        <v>3.24360190551254</v>
      </c>
      <c r="AD5513" s="2"/>
      <c r="AE5513" s="2">
        <v>2.7425563645731201E-2</v>
      </c>
      <c r="AF5513" s="2">
        <v>496.86579450932697</v>
      </c>
      <c r="AG5513" s="2">
        <v>568.30683590854596</v>
      </c>
      <c r="AH5513" s="4">
        <v>0.87429142694543305</v>
      </c>
      <c r="AI5513" s="4">
        <v>-0.19381384247424499</v>
      </c>
      <c r="AJ5513" s="4" t="s">
        <v>62</v>
      </c>
      <c r="AK5513" s="2">
        <v>0.67723098602433995</v>
      </c>
      <c r="AL5513" s="2">
        <v>0.843625758293435</v>
      </c>
      <c r="AM5513" s="2">
        <v>483.33297182258701</v>
      </c>
      <c r="AN5513" s="2">
        <v>742.11136030140904</v>
      </c>
      <c r="AO5513" s="2">
        <v>52.860672446809403</v>
      </c>
      <c r="AP5513" s="2">
        <v>385.28184258351803</v>
      </c>
      <c r="AQ5513" s="2">
        <v>549.26870710636194</v>
      </c>
      <c r="AR5513" s="2">
        <v>768.33921279527601</v>
      </c>
      <c r="AS5513" s="2">
        <v>417.01896476747697</v>
      </c>
      <c r="AT5513" s="2">
        <v>381.19526477745302</v>
      </c>
      <c r="AU5513" s="2">
        <v>522.837190190353</v>
      </c>
      <c r="AV5513" s="2">
        <v>556.98964681410803</v>
      </c>
      <c r="AW5513" s="2">
        <v>348.41414060869602</v>
      </c>
      <c r="AX5513" s="2">
        <v>1183.3858082931899</v>
      </c>
    </row>
    <row r="5514" spans="1:50" x14ac:dyDescent="0.25">
      <c r="A5514" s="2" t="s">
        <v>36014</v>
      </c>
      <c r="B5514" s="2">
        <v>560.30096212233298</v>
      </c>
      <c r="C5514" s="2">
        <v>10.3920333333333</v>
      </c>
      <c r="D5514" s="2" t="s">
        <v>51</v>
      </c>
      <c r="E5514" s="2" t="s">
        <v>36015</v>
      </c>
      <c r="F5514" s="2">
        <v>35112</v>
      </c>
      <c r="G5514" s="3" t="str">
        <f>HYPERLINK("https://cloud.oebiotech.com/#/lm/network/35112", "https://cloud.oebiotech.com/#/lm/network/35112")</f>
        <v>https://cloud.oebiotech.com/#/lm/network/35112</v>
      </c>
      <c r="H5514" s="2"/>
      <c r="I5514" s="2"/>
      <c r="J5514" s="2" t="s">
        <v>36016</v>
      </c>
      <c r="K5514" s="2"/>
      <c r="L5514" s="2"/>
      <c r="M5514" s="2"/>
      <c r="N5514" s="2"/>
      <c r="O5514" s="2"/>
      <c r="P5514" s="2"/>
      <c r="Q5514" s="2"/>
      <c r="R5514" s="2"/>
      <c r="S5514" s="2" t="s">
        <v>36017</v>
      </c>
      <c r="T5514" s="2" t="s">
        <v>36018</v>
      </c>
      <c r="U5514" s="2" t="s">
        <v>540</v>
      </c>
      <c r="V5514" s="2" t="s">
        <v>7590</v>
      </c>
      <c r="W5514" s="2" t="s">
        <v>240</v>
      </c>
      <c r="X5514" s="2" t="s">
        <v>147</v>
      </c>
      <c r="Y5514" s="2">
        <v>38.299999999999997</v>
      </c>
      <c r="Z5514" s="2">
        <v>0</v>
      </c>
      <c r="AA5514" s="2" t="s">
        <v>512</v>
      </c>
      <c r="AB5514" s="2" t="s">
        <v>36019</v>
      </c>
      <c r="AC5514" s="2">
        <v>0.54891114830967302</v>
      </c>
      <c r="AD5514" s="2"/>
      <c r="AE5514" s="2">
        <v>2.7412057027924701E-2</v>
      </c>
      <c r="AF5514" s="2">
        <v>97486.878088433703</v>
      </c>
      <c r="AG5514" s="2">
        <v>97246.541199986706</v>
      </c>
      <c r="AH5514" s="5">
        <v>1.0024714183710901</v>
      </c>
      <c r="AI5514" s="5">
        <v>3.5611043489240501E-3</v>
      </c>
      <c r="AJ5514" s="5" t="s">
        <v>139</v>
      </c>
      <c r="AK5514" s="2">
        <v>0.98637992478967096</v>
      </c>
      <c r="AL5514" s="2">
        <v>0.99476292038446301</v>
      </c>
      <c r="AM5514" s="2">
        <v>119628.824224685</v>
      </c>
      <c r="AN5514" s="2">
        <v>108517.113969168</v>
      </c>
      <c r="AO5514" s="2">
        <v>92940.665769888394</v>
      </c>
      <c r="AP5514" s="2">
        <v>104321.307239801</v>
      </c>
      <c r="AQ5514" s="2">
        <v>74708.1180737799</v>
      </c>
      <c r="AR5514" s="2">
        <v>84805.239253279899</v>
      </c>
      <c r="AS5514" s="2">
        <v>80803.560494356207</v>
      </c>
      <c r="AT5514" s="2">
        <v>51693.960299188402</v>
      </c>
      <c r="AU5514" s="2">
        <v>93142.5812276754</v>
      </c>
      <c r="AV5514" s="2">
        <v>101750.355764719</v>
      </c>
      <c r="AW5514" s="2">
        <v>131048.020245447</v>
      </c>
      <c r="AX5514" s="2">
        <v>125040.769168534</v>
      </c>
    </row>
    <row r="5515" spans="1:50" x14ac:dyDescent="0.25">
      <c r="A5515" s="2" t="s">
        <v>36020</v>
      </c>
      <c r="B5515" s="2">
        <v>511.400611513743</v>
      </c>
      <c r="C5515" s="2">
        <v>13.4911166666667</v>
      </c>
      <c r="D5515" s="2" t="s">
        <v>51</v>
      </c>
      <c r="E5515" s="2" t="s">
        <v>36021</v>
      </c>
      <c r="F5515" s="2">
        <v>212659</v>
      </c>
      <c r="G5515" s="3" t="str">
        <f>HYPERLINK("https://cloud.oebiotech.com/#/lm/network/212659", "https://cloud.oebiotech.com/#/lm/network/212659")</f>
        <v>https://cloud.oebiotech.com/#/lm/network/212659</v>
      </c>
      <c r="H5515" s="2" t="s">
        <v>36022</v>
      </c>
      <c r="I5515" s="2">
        <v>414144</v>
      </c>
      <c r="J5515" s="2"/>
      <c r="K5515" s="2">
        <v>31350</v>
      </c>
      <c r="L5515" s="2"/>
      <c r="M5515" s="2"/>
      <c r="N5515" s="2"/>
      <c r="O5515" s="2"/>
      <c r="P5515" s="2"/>
      <c r="Q5515" s="2"/>
      <c r="R5515" s="2"/>
      <c r="S5515" s="2" t="s">
        <v>36023</v>
      </c>
      <c r="T5515" s="2" t="s">
        <v>36024</v>
      </c>
      <c r="U5515" s="2" t="s">
        <v>56</v>
      </c>
      <c r="V5515" s="2" t="s">
        <v>3215</v>
      </c>
      <c r="W5515" s="2" t="s">
        <v>12389</v>
      </c>
      <c r="X5515" s="2" t="s">
        <v>83</v>
      </c>
      <c r="Y5515" s="2">
        <v>45</v>
      </c>
      <c r="Z5515" s="2">
        <v>16.5</v>
      </c>
      <c r="AA5515" s="2" t="s">
        <v>163</v>
      </c>
      <c r="AB5515" s="2" t="s">
        <v>36025</v>
      </c>
      <c r="AC5515" s="2">
        <v>0.387255045454933</v>
      </c>
      <c r="AD5515" s="2"/>
      <c r="AE5515" s="2">
        <v>2.73928207206083E-2</v>
      </c>
      <c r="AF5515" s="2">
        <v>20810.445623196101</v>
      </c>
      <c r="AG5515" s="2">
        <v>21090.8314665791</v>
      </c>
      <c r="AH5515" s="4">
        <v>0.986705794703859</v>
      </c>
      <c r="AI5515" s="4">
        <v>-1.93081133406438E-2</v>
      </c>
      <c r="AJ5515" s="4" t="s">
        <v>62</v>
      </c>
      <c r="AK5515" s="2">
        <v>0.96664441299453596</v>
      </c>
      <c r="AL5515" s="2">
        <v>0.98697736467291397</v>
      </c>
      <c r="AM5515" s="2">
        <v>32370.771114277199</v>
      </c>
      <c r="AN5515" s="2">
        <v>10411.258769996</v>
      </c>
      <c r="AO5515" s="2">
        <v>20496.396344232598</v>
      </c>
      <c r="AP5515" s="2">
        <v>29532.726900174399</v>
      </c>
      <c r="AQ5515" s="2">
        <v>23052.5129169348</v>
      </c>
      <c r="AR5515" s="2">
        <v>8999.0076935617199</v>
      </c>
      <c r="AS5515" s="2">
        <v>18021.610947489899</v>
      </c>
      <c r="AT5515" s="2">
        <v>32035.873381161698</v>
      </c>
      <c r="AU5515" s="2">
        <v>15722.6806241382</v>
      </c>
      <c r="AV5515" s="2">
        <v>6826.2069605695297</v>
      </c>
      <c r="AW5515" s="2">
        <v>40930.212002475098</v>
      </c>
      <c r="AX5515" s="2">
        <v>13008.4048836404</v>
      </c>
    </row>
    <row r="5516" spans="1:50" x14ac:dyDescent="0.25">
      <c r="A5516" s="2" t="s">
        <v>36026</v>
      </c>
      <c r="B5516" s="2">
        <v>255.196307339106</v>
      </c>
      <c r="C5516" s="2">
        <v>9.0934000000000008</v>
      </c>
      <c r="D5516" s="2" t="s">
        <v>51</v>
      </c>
      <c r="E5516" s="2" t="s">
        <v>36027</v>
      </c>
      <c r="F5516" s="2">
        <v>63476</v>
      </c>
      <c r="G5516" s="3" t="str">
        <f>HYPERLINK("https://cloud.oebiotech.com/#/lm/network/63476", "https://cloud.oebiotech.com/#/lm/network/63476")</f>
        <v>https://cloud.oebiotech.com/#/lm/network/63476</v>
      </c>
      <c r="H5516" s="2" t="s">
        <v>36028</v>
      </c>
      <c r="I5516" s="2">
        <v>94801</v>
      </c>
      <c r="J5516" s="2"/>
      <c r="K5516" s="2">
        <v>93838</v>
      </c>
      <c r="L5516" s="2"/>
      <c r="M5516" s="2"/>
      <c r="N5516" s="2"/>
      <c r="O5516" s="2"/>
      <c r="P5516" s="2"/>
      <c r="Q5516" s="2"/>
      <c r="R5516" s="2" t="s">
        <v>36029</v>
      </c>
      <c r="S5516" s="2" t="s">
        <v>36030</v>
      </c>
      <c r="T5516" s="2" t="s">
        <v>36031</v>
      </c>
      <c r="U5516" s="2" t="s">
        <v>266</v>
      </c>
      <c r="V5516" s="2" t="s">
        <v>26276</v>
      </c>
      <c r="W5516" s="2" t="s">
        <v>240</v>
      </c>
      <c r="X5516" s="2" t="s">
        <v>83</v>
      </c>
      <c r="Y5516" s="2">
        <v>39.5</v>
      </c>
      <c r="Z5516" s="2">
        <v>0</v>
      </c>
      <c r="AA5516" s="2" t="s">
        <v>259</v>
      </c>
      <c r="AB5516" s="2" t="s">
        <v>34743</v>
      </c>
      <c r="AC5516" s="2">
        <v>3.289746037379</v>
      </c>
      <c r="AD5516" s="2"/>
      <c r="AE5516" s="2">
        <v>2.7306716284841999E-2</v>
      </c>
      <c r="AF5516" s="2">
        <v>2458.3143160888599</v>
      </c>
      <c r="AG5516" s="2">
        <v>2385.3425712398898</v>
      </c>
      <c r="AH5516" s="5">
        <v>1.03059172536842</v>
      </c>
      <c r="AI5516" s="5">
        <v>4.3472914236732399E-2</v>
      </c>
      <c r="AJ5516" s="5" t="s">
        <v>139</v>
      </c>
      <c r="AK5516" s="2">
        <v>0.70455879172878999</v>
      </c>
      <c r="AL5516" s="2">
        <v>0.85874514419550696</v>
      </c>
      <c r="AM5516" s="2">
        <v>2255.7805627665002</v>
      </c>
      <c r="AN5516" s="2">
        <v>3172.1856148455799</v>
      </c>
      <c r="AO5516" s="2">
        <v>2434.73767174867</v>
      </c>
      <c r="AP5516" s="2">
        <v>2492.81986690435</v>
      </c>
      <c r="AQ5516" s="2">
        <v>2510.8334627484201</v>
      </c>
      <c r="AR5516" s="2">
        <v>1883.5287175196499</v>
      </c>
      <c r="AS5516" s="2">
        <v>2476.8329024708401</v>
      </c>
      <c r="AT5516" s="2">
        <v>2647.0370612976299</v>
      </c>
      <c r="AU5516" s="2">
        <v>2096.4373651077999</v>
      </c>
      <c r="AV5516" s="2">
        <v>2361.3836686186501</v>
      </c>
      <c r="AW5516" s="2">
        <v>2334.5257057200301</v>
      </c>
      <c r="AX5516" s="2">
        <v>2395.8387242244198</v>
      </c>
    </row>
    <row r="5517" spans="1:50" x14ac:dyDescent="0.25">
      <c r="A5517" s="2" t="s">
        <v>36032</v>
      </c>
      <c r="B5517" s="2">
        <v>489.160791768134</v>
      </c>
      <c r="C5517" s="2">
        <v>3.8612500000000001</v>
      </c>
      <c r="D5517" s="2" t="s">
        <v>51</v>
      </c>
      <c r="E5517" s="2" t="s">
        <v>36033</v>
      </c>
      <c r="F5517" s="2">
        <v>57015</v>
      </c>
      <c r="G5517" s="3" t="str">
        <f>HYPERLINK("https://cloud.oebiotech.com/#/lm/network/57015", "https://cloud.oebiotech.com/#/lm/network/57015")</f>
        <v>https://cloud.oebiotech.com/#/lm/network/57015</v>
      </c>
      <c r="H5517" s="2" t="s">
        <v>36034</v>
      </c>
      <c r="I5517" s="2">
        <v>88670</v>
      </c>
      <c r="J5517" s="2"/>
      <c r="K5517" s="2">
        <v>131751293</v>
      </c>
      <c r="L5517" s="2"/>
      <c r="M5517" s="2"/>
      <c r="N5517" s="2"/>
      <c r="O5517" s="2">
        <v>169408</v>
      </c>
      <c r="P5517" s="2"/>
      <c r="Q5517" s="2"/>
      <c r="R5517" s="2" t="s">
        <v>36035</v>
      </c>
      <c r="S5517" s="2" t="s">
        <v>36036</v>
      </c>
      <c r="T5517" s="2" t="s">
        <v>36037</v>
      </c>
      <c r="U5517" s="2" t="s">
        <v>331</v>
      </c>
      <c r="V5517" s="2" t="s">
        <v>332</v>
      </c>
      <c r="W5517" s="2" t="s">
        <v>333</v>
      </c>
      <c r="X5517" s="2" t="s">
        <v>59</v>
      </c>
      <c r="Y5517" s="2">
        <v>47.6</v>
      </c>
      <c r="Z5517" s="2">
        <v>53.4</v>
      </c>
      <c r="AA5517" s="2" t="s">
        <v>163</v>
      </c>
      <c r="AB5517" s="2" t="s">
        <v>36038</v>
      </c>
      <c r="AC5517" s="2">
        <v>-1.1686105527472199</v>
      </c>
      <c r="AD5517" s="2"/>
      <c r="AE5517" s="2">
        <v>2.73066361926264E-2</v>
      </c>
      <c r="AF5517" s="2">
        <v>971.82806612452498</v>
      </c>
      <c r="AG5517" s="2">
        <v>674.13321425604499</v>
      </c>
      <c r="AH5517" s="5">
        <v>1.44159647614605</v>
      </c>
      <c r="AI5517" s="5">
        <v>0.52766738972910598</v>
      </c>
      <c r="AJ5517" s="5" t="s">
        <v>139</v>
      </c>
      <c r="AK5517" s="2">
        <v>0.747777508914792</v>
      </c>
      <c r="AL5517" s="2">
        <v>0.88463645213384701</v>
      </c>
      <c r="AM5517" s="2">
        <v>596.50672074425097</v>
      </c>
      <c r="AN5517" s="2">
        <v>8.559877937157E-6</v>
      </c>
      <c r="AO5517" s="2">
        <v>709.10604227914496</v>
      </c>
      <c r="AP5517" s="2">
        <v>8.559877937157E-6</v>
      </c>
      <c r="AQ5517" s="2">
        <v>8.559877937157E-6</v>
      </c>
      <c r="AR5517" s="2">
        <v>4525.3556080441203</v>
      </c>
      <c r="AS5517" s="2">
        <v>8.559877937157E-6</v>
      </c>
      <c r="AT5517" s="2">
        <v>537.76524705456302</v>
      </c>
      <c r="AU5517" s="2">
        <v>8.559877937157E-6</v>
      </c>
      <c r="AV5517" s="2">
        <v>8.559877937157E-6</v>
      </c>
      <c r="AW5517" s="2">
        <v>181.24090929791501</v>
      </c>
      <c r="AX5517" s="2">
        <v>3325.7931035041602</v>
      </c>
    </row>
    <row r="5518" spans="1:50" x14ac:dyDescent="0.25">
      <c r="A5518" s="2" t="s">
        <v>36039</v>
      </c>
      <c r="B5518" s="2">
        <v>152.03059999999999</v>
      </c>
      <c r="C5518" s="2">
        <v>8.1340000000000003</v>
      </c>
      <c r="D5518" s="2" t="s">
        <v>125</v>
      </c>
      <c r="E5518" s="2" t="s">
        <v>36040</v>
      </c>
      <c r="F5518" s="2">
        <v>267084</v>
      </c>
      <c r="G5518" s="3" t="str">
        <f>HYPERLINK("https://cloud.oebiotech.com/#/lm/network/267084", "https://cloud.oebiotech.com/#/lm/network/267084")</f>
        <v>https://cloud.oebiotech.com/#/lm/network/267084</v>
      </c>
      <c r="H5518" s="2"/>
      <c r="I5518" s="2">
        <v>44716</v>
      </c>
      <c r="J5518" s="2"/>
      <c r="K5518" s="2">
        <v>7971</v>
      </c>
      <c r="L5518" s="2"/>
      <c r="M5518" s="2"/>
      <c r="N5518" s="2"/>
      <c r="O5518" s="2"/>
      <c r="P5518" s="2"/>
      <c r="Q5518" s="2"/>
      <c r="R5518" s="2" t="s">
        <v>36041</v>
      </c>
      <c r="S5518" s="2" t="s">
        <v>36042</v>
      </c>
      <c r="T5518" s="2" t="s">
        <v>36043</v>
      </c>
      <c r="U5518" s="2" t="s">
        <v>266</v>
      </c>
      <c r="V5518" s="2" t="s">
        <v>2143</v>
      </c>
      <c r="W5518" s="2" t="s">
        <v>36044</v>
      </c>
      <c r="X5518" s="2" t="s">
        <v>69</v>
      </c>
      <c r="Y5518" s="2">
        <v>92.5</v>
      </c>
      <c r="Z5518" s="2">
        <v>87.9</v>
      </c>
      <c r="AA5518" s="2"/>
      <c r="AB5518" s="2" t="s">
        <v>34392</v>
      </c>
      <c r="AC5518" s="2"/>
      <c r="AD5518" s="2">
        <v>271438.19798458798</v>
      </c>
      <c r="AE5518" s="2">
        <v>2.7188511833318E-2</v>
      </c>
      <c r="AF5518" s="2">
        <v>224465.648747739</v>
      </c>
      <c r="AG5518" s="2">
        <v>226866.49390530499</v>
      </c>
      <c r="AH5518" s="4">
        <v>0.98941736562223004</v>
      </c>
      <c r="AI5518" s="4">
        <v>-1.5348873905872799E-2</v>
      </c>
      <c r="AJ5518" s="4" t="s">
        <v>62</v>
      </c>
      <c r="AK5518" s="2">
        <v>0.68810503040149396</v>
      </c>
      <c r="AL5518" s="2">
        <v>0.84986052953893698</v>
      </c>
      <c r="AM5518" s="2">
        <v>242758.896734949</v>
      </c>
      <c r="AN5518" s="2">
        <v>221816.7178972</v>
      </c>
      <c r="AO5518" s="2">
        <v>214309.29736386999</v>
      </c>
      <c r="AP5518" s="2">
        <v>222468.22336699901</v>
      </c>
      <c r="AQ5518" s="2">
        <v>219429.86465865199</v>
      </c>
      <c r="AR5518" s="2">
        <v>226010.89246476401</v>
      </c>
      <c r="AS5518" s="2">
        <v>214883.48373574999</v>
      </c>
      <c r="AT5518" s="2">
        <v>223652.36669836999</v>
      </c>
      <c r="AU5518" s="2">
        <v>244946.40609231399</v>
      </c>
      <c r="AV5518" s="2">
        <v>228677.98304921499</v>
      </c>
      <c r="AW5518" s="2">
        <v>229026.81337222501</v>
      </c>
      <c r="AX5518" s="2">
        <v>220011.910483958</v>
      </c>
    </row>
    <row r="5519" spans="1:50" x14ac:dyDescent="0.25">
      <c r="A5519" s="2" t="s">
        <v>36045</v>
      </c>
      <c r="B5519" s="2">
        <v>164.93033201759101</v>
      </c>
      <c r="C5519" s="2">
        <v>0.82335000000000003</v>
      </c>
      <c r="D5519" s="2" t="s">
        <v>51</v>
      </c>
      <c r="E5519" s="2" t="s">
        <v>36046</v>
      </c>
      <c r="F5519" s="2">
        <v>256770</v>
      </c>
      <c r="G5519" s="3" t="str">
        <f>HYPERLINK("https://cloud.oebiotech.com/#/lm/network/256770", "https://cloud.oebiotech.com/#/lm/network/256770")</f>
        <v>https://cloud.oebiotech.com/#/lm/network/256770</v>
      </c>
      <c r="H5519" s="2" t="s">
        <v>36047</v>
      </c>
      <c r="I5519" s="2">
        <v>354289</v>
      </c>
      <c r="J5519" s="2"/>
      <c r="K5519" s="2">
        <v>23988</v>
      </c>
      <c r="L5519" s="2"/>
      <c r="M5519" s="2"/>
      <c r="N5519" s="2"/>
      <c r="O5519" s="2">
        <v>49648</v>
      </c>
      <c r="P5519" s="2"/>
      <c r="Q5519" s="2"/>
      <c r="R5519" s="2"/>
      <c r="S5519" s="2" t="s">
        <v>36048</v>
      </c>
      <c r="T5519" s="2" t="s">
        <v>36049</v>
      </c>
      <c r="U5519" s="2" t="s">
        <v>26504</v>
      </c>
      <c r="V5519" s="2" t="s">
        <v>36050</v>
      </c>
      <c r="W5519" s="2" t="s">
        <v>240</v>
      </c>
      <c r="X5519" s="2" t="s">
        <v>147</v>
      </c>
      <c r="Y5519" s="2">
        <v>40</v>
      </c>
      <c r="Z5519" s="2">
        <v>0</v>
      </c>
      <c r="AA5519" s="2" t="s">
        <v>122</v>
      </c>
      <c r="AB5519" s="2" t="s">
        <v>36051</v>
      </c>
      <c r="AC5519" s="2">
        <v>7.8321505629573795E-2</v>
      </c>
      <c r="AD5519" s="2"/>
      <c r="AE5519" s="2">
        <v>2.7053124914416801E-2</v>
      </c>
      <c r="AF5519" s="2">
        <v>1845.62735452539</v>
      </c>
      <c r="AG5519" s="2">
        <v>2442.2425482424601</v>
      </c>
      <c r="AH5519" s="4">
        <v>0.75571009761236796</v>
      </c>
      <c r="AI5519" s="4">
        <v>-0.404095195029129</v>
      </c>
      <c r="AJ5519" s="4" t="s">
        <v>62</v>
      </c>
      <c r="AK5519" s="2">
        <v>0.63681137245431696</v>
      </c>
      <c r="AL5519" s="2">
        <v>0.82208069542537099</v>
      </c>
      <c r="AM5519" s="2">
        <v>5909.1829882901002</v>
      </c>
      <c r="AN5519" s="2">
        <v>138.08370436539599</v>
      </c>
      <c r="AO5519" s="2">
        <v>50.574325372210197</v>
      </c>
      <c r="AP5519" s="2">
        <v>3256.0201384801098</v>
      </c>
      <c r="AQ5519" s="2">
        <v>815.54968339024401</v>
      </c>
      <c r="AR5519" s="2">
        <v>904.35328725428701</v>
      </c>
      <c r="AS5519" s="2">
        <v>2379.7567213238599</v>
      </c>
      <c r="AT5519" s="2">
        <v>1589.1008555652099</v>
      </c>
      <c r="AU5519" s="2">
        <v>6097.7911042186997</v>
      </c>
      <c r="AV5519" s="2">
        <v>1122.27652171963</v>
      </c>
      <c r="AW5519" s="2">
        <v>835.66060628450202</v>
      </c>
      <c r="AX5519" s="2">
        <v>2628.8694803428798</v>
      </c>
    </row>
    <row r="5520" spans="1:50" x14ac:dyDescent="0.25">
      <c r="A5520" s="2" t="s">
        <v>36052</v>
      </c>
      <c r="B5520" s="2">
        <v>471.10660003485498</v>
      </c>
      <c r="C5520" s="2">
        <v>1.6289833333333299</v>
      </c>
      <c r="D5520" s="2" t="s">
        <v>51</v>
      </c>
      <c r="E5520" s="2" t="s">
        <v>36053</v>
      </c>
      <c r="F5520" s="2">
        <v>31600</v>
      </c>
      <c r="G5520" s="3" t="str">
        <f>HYPERLINK("https://cloud.oebiotech.com/#/lm/network/31600", "https://cloud.oebiotech.com/#/lm/network/31600")</f>
        <v>https://cloud.oebiotech.com/#/lm/network/31600</v>
      </c>
      <c r="H5520" s="2"/>
      <c r="I5520" s="2">
        <v>49933</v>
      </c>
      <c r="J5520" s="2" t="s">
        <v>36054</v>
      </c>
      <c r="K5520" s="2">
        <v>44258658</v>
      </c>
      <c r="L5520" s="2"/>
      <c r="M5520" s="2"/>
      <c r="N5520" s="2"/>
      <c r="O5520" s="2"/>
      <c r="P5520" s="2"/>
      <c r="Q5520" s="2"/>
      <c r="R5520" s="2"/>
      <c r="S5520" s="2" t="s">
        <v>36055</v>
      </c>
      <c r="T5520" s="2" t="s">
        <v>36056</v>
      </c>
      <c r="U5520" s="2" t="s">
        <v>266</v>
      </c>
      <c r="V5520" s="2" t="s">
        <v>1785</v>
      </c>
      <c r="W5520" s="2" t="s">
        <v>1786</v>
      </c>
      <c r="X5520" s="2" t="s">
        <v>147</v>
      </c>
      <c r="Y5520" s="2">
        <v>42.6</v>
      </c>
      <c r="Z5520" s="2">
        <v>32.799999999999997</v>
      </c>
      <c r="AA5520" s="2" t="s">
        <v>95</v>
      </c>
      <c r="AB5520" s="2" t="s">
        <v>36057</v>
      </c>
      <c r="AC5520" s="2">
        <v>3.48516368706813</v>
      </c>
      <c r="AD5520" s="2"/>
      <c r="AE5520" s="2">
        <v>2.7050268930418502E-2</v>
      </c>
      <c r="AF5520" s="2">
        <v>282.47589081746497</v>
      </c>
      <c r="AG5520" s="2">
        <v>335.05276798085299</v>
      </c>
      <c r="AH5520" s="4">
        <v>0.84307881567361598</v>
      </c>
      <c r="AI5520" s="4">
        <v>-0.246260586298503</v>
      </c>
      <c r="AJ5520" s="4" t="s">
        <v>62</v>
      </c>
      <c r="AK5520" s="2">
        <v>0.87825848964644404</v>
      </c>
      <c r="AL5520" s="2">
        <v>0.94752328784861595</v>
      </c>
      <c r="AM5520" s="2">
        <v>8.559877937157E-6</v>
      </c>
      <c r="AN5520" s="2">
        <v>8.559877937157E-6</v>
      </c>
      <c r="AO5520" s="2">
        <v>223.04112629402599</v>
      </c>
      <c r="AP5520" s="2">
        <v>8.559877937157E-6</v>
      </c>
      <c r="AQ5520" s="2">
        <v>8.559877937157E-6</v>
      </c>
      <c r="AR5520" s="2">
        <v>1471.8141843712499</v>
      </c>
      <c r="AS5520" s="2">
        <v>1464.6115322216101</v>
      </c>
      <c r="AT5520" s="2">
        <v>290.08320395623201</v>
      </c>
      <c r="AU5520" s="2">
        <v>8.559877937157E-6</v>
      </c>
      <c r="AV5520" s="2">
        <v>8.559877937157E-6</v>
      </c>
      <c r="AW5520" s="2">
        <v>8.559877937157E-6</v>
      </c>
      <c r="AX5520" s="2">
        <v>255.62184602764299</v>
      </c>
    </row>
    <row r="5521" spans="1:50" x14ac:dyDescent="0.25">
      <c r="A5521" s="2" t="s">
        <v>36058</v>
      </c>
      <c r="B5521" s="2">
        <v>244.155221145566</v>
      </c>
      <c r="C5521" s="2">
        <v>3.8365666666666698</v>
      </c>
      <c r="D5521" s="2" t="s">
        <v>51</v>
      </c>
      <c r="E5521" s="2" t="s">
        <v>36059</v>
      </c>
      <c r="F5521" s="2">
        <v>198190</v>
      </c>
      <c r="G5521" s="3" t="str">
        <f>HYPERLINK("https://cloud.oebiotech.com/#/lm/network/198190", "https://cloud.oebiotech.com/#/lm/network/198190")</f>
        <v>https://cloud.oebiotech.com/#/lm/network/198190</v>
      </c>
      <c r="H5521" s="2" t="s">
        <v>36060</v>
      </c>
      <c r="I5521" s="2"/>
      <c r="J5521" s="2"/>
      <c r="K5521" s="2">
        <v>87088065</v>
      </c>
      <c r="L5521" s="2"/>
      <c r="M5521" s="2"/>
      <c r="N5521" s="2"/>
      <c r="O5521" s="2"/>
      <c r="P5521" s="2"/>
      <c r="Q5521" s="2"/>
      <c r="R5521" s="2"/>
      <c r="S5521" s="2" t="s">
        <v>36061</v>
      </c>
      <c r="T5521" s="2" t="s">
        <v>36062</v>
      </c>
      <c r="U5521" s="2" t="s">
        <v>56</v>
      </c>
      <c r="V5521" s="2" t="s">
        <v>145</v>
      </c>
      <c r="W5521" s="2" t="s">
        <v>1188</v>
      </c>
      <c r="X5521" s="2" t="s">
        <v>69</v>
      </c>
      <c r="Y5521" s="2">
        <v>55.7</v>
      </c>
      <c r="Z5521" s="2">
        <v>68.5</v>
      </c>
      <c r="AA5521" s="2" t="s">
        <v>259</v>
      </c>
      <c r="AB5521" s="2" t="s">
        <v>36063</v>
      </c>
      <c r="AC5521" s="2">
        <v>3.6461763619794101</v>
      </c>
      <c r="AD5521" s="2"/>
      <c r="AE5521" s="2">
        <v>2.69931596273289E-2</v>
      </c>
      <c r="AF5521" s="2">
        <v>3648.4081979102898</v>
      </c>
      <c r="AG5521" s="2">
        <v>3930.5303559274098</v>
      </c>
      <c r="AH5521" s="4">
        <v>0.92822287771123202</v>
      </c>
      <c r="AI5521" s="4">
        <v>-0.107456839144181</v>
      </c>
      <c r="AJ5521" s="4" t="s">
        <v>62</v>
      </c>
      <c r="AK5521" s="2">
        <v>0.78440103241290504</v>
      </c>
      <c r="AL5521" s="2">
        <v>0.90560695252028101</v>
      </c>
      <c r="AM5521" s="2">
        <v>4944.6109522942797</v>
      </c>
      <c r="AN5521" s="2">
        <v>3717.2064114688001</v>
      </c>
      <c r="AO5521" s="2">
        <v>3328.1373722787198</v>
      </c>
      <c r="AP5521" s="2">
        <v>5457.0591871135002</v>
      </c>
      <c r="AQ5521" s="2">
        <v>1346.9698155778899</v>
      </c>
      <c r="AR5521" s="2">
        <v>3096.4654487285802</v>
      </c>
      <c r="AS5521" s="2">
        <v>4151.5987547631503</v>
      </c>
      <c r="AT5521" s="2">
        <v>2852.7195047421901</v>
      </c>
      <c r="AU5521" s="2">
        <v>5631.1560751118996</v>
      </c>
      <c r="AV5521" s="2">
        <v>1262.6901157958</v>
      </c>
      <c r="AW5521" s="2">
        <v>6670.8740720839196</v>
      </c>
      <c r="AX5521" s="2">
        <v>3014.1436130675002</v>
      </c>
    </row>
    <row r="5522" spans="1:50" x14ac:dyDescent="0.25">
      <c r="A5522" s="2" t="s">
        <v>36064</v>
      </c>
      <c r="B5522" s="2">
        <v>356.171764739671</v>
      </c>
      <c r="C5522" s="2">
        <v>3.9216000000000002</v>
      </c>
      <c r="D5522" s="2" t="s">
        <v>51</v>
      </c>
      <c r="E5522" s="2" t="s">
        <v>36065</v>
      </c>
      <c r="F5522" s="2">
        <v>207449</v>
      </c>
      <c r="G5522" s="3" t="str">
        <f>HYPERLINK("https://cloud.oebiotech.com/#/lm/network/207449", "https://cloud.oebiotech.com/#/lm/network/207449")</f>
        <v>https://cloud.oebiotech.com/#/lm/network/207449</v>
      </c>
      <c r="H5522" s="2" t="s">
        <v>36066</v>
      </c>
      <c r="I5522" s="2">
        <v>418394</v>
      </c>
      <c r="J5522" s="2"/>
      <c r="K5522" s="2">
        <v>1150897</v>
      </c>
      <c r="L5522" s="2"/>
      <c r="M5522" s="2"/>
      <c r="N5522" s="2"/>
      <c r="O5522" s="2"/>
      <c r="P5522" s="2"/>
      <c r="Q5522" s="2"/>
      <c r="R5522" s="2"/>
      <c r="S5522" s="2" t="s">
        <v>36067</v>
      </c>
      <c r="T5522" s="2" t="s">
        <v>36068</v>
      </c>
      <c r="U5522" s="2" t="s">
        <v>266</v>
      </c>
      <c r="V5522" s="2" t="s">
        <v>2772</v>
      </c>
      <c r="W5522" s="2" t="s">
        <v>2773</v>
      </c>
      <c r="X5522" s="2" t="s">
        <v>147</v>
      </c>
      <c r="Y5522" s="2">
        <v>39</v>
      </c>
      <c r="Z5522" s="2">
        <v>0</v>
      </c>
      <c r="AA5522" s="2" t="s">
        <v>259</v>
      </c>
      <c r="AB5522" s="2" t="s">
        <v>36069</v>
      </c>
      <c r="AC5522" s="2">
        <v>0.13726464622933601</v>
      </c>
      <c r="AD5522" s="2"/>
      <c r="AE5522" s="2">
        <v>2.6695470563664898E-2</v>
      </c>
      <c r="AF5522" s="2">
        <v>18.415276387085001</v>
      </c>
      <c r="AG5522" s="2">
        <v>61.742673804740299</v>
      </c>
      <c r="AH5522" s="4">
        <v>0.298258485619247</v>
      </c>
      <c r="AI5522" s="4">
        <v>-1.7453649109093401</v>
      </c>
      <c r="AJ5522" s="4" t="s">
        <v>62</v>
      </c>
      <c r="AK5522" s="2">
        <v>0.295868191477619</v>
      </c>
      <c r="AL5522" s="2">
        <v>0.60778876168892604</v>
      </c>
      <c r="AM5522" s="2">
        <v>6.5565504763111502</v>
      </c>
      <c r="AN5522" s="2">
        <v>41.399032515059801</v>
      </c>
      <c r="AO5522" s="2">
        <v>36.824408187526203</v>
      </c>
      <c r="AP5522" s="2">
        <v>25.711650023856802</v>
      </c>
      <c r="AQ5522" s="2">
        <v>8.559877937157E-6</v>
      </c>
      <c r="AR5522" s="2">
        <v>8.559877937157E-6</v>
      </c>
      <c r="AS5522" s="2">
        <v>0.86819566676443305</v>
      </c>
      <c r="AT5522" s="2">
        <v>2.00608587304442</v>
      </c>
      <c r="AU5522" s="2">
        <v>174.72381724050001</v>
      </c>
      <c r="AV5522" s="2">
        <v>192.07230604844801</v>
      </c>
      <c r="AW5522" s="2">
        <v>0.78562943980692002</v>
      </c>
      <c r="AX5522" s="2">
        <v>8.559877937157E-6</v>
      </c>
    </row>
    <row r="5523" spans="1:50" x14ac:dyDescent="0.25">
      <c r="A5523" s="2" t="s">
        <v>36070</v>
      </c>
      <c r="B5523" s="2">
        <v>136.112458277782</v>
      </c>
      <c r="C5523" s="2">
        <v>14.54205</v>
      </c>
      <c r="D5523" s="2" t="s">
        <v>51</v>
      </c>
      <c r="E5523" s="2" t="s">
        <v>36071</v>
      </c>
      <c r="F5523" s="2">
        <v>58576</v>
      </c>
      <c r="G5523" s="3" t="str">
        <f>HYPERLINK("https://cloud.oebiotech.com/#/lm/network/58576", "https://cloud.oebiotech.com/#/lm/network/58576")</f>
        <v>https://cloud.oebiotech.com/#/lm/network/58576</v>
      </c>
      <c r="H5523" s="2" t="s">
        <v>36072</v>
      </c>
      <c r="I5523" s="2">
        <v>64456</v>
      </c>
      <c r="J5523" s="2"/>
      <c r="K5523" s="2">
        <v>11096</v>
      </c>
      <c r="L5523" s="2" t="s">
        <v>36073</v>
      </c>
      <c r="M5523" s="2"/>
      <c r="N5523" s="2"/>
      <c r="O5523" s="2"/>
      <c r="P5523" s="2"/>
      <c r="Q5523" s="2"/>
      <c r="R5523" s="2" t="s">
        <v>36074</v>
      </c>
      <c r="S5523" s="2" t="s">
        <v>36075</v>
      </c>
      <c r="T5523" s="2" t="s">
        <v>36076</v>
      </c>
      <c r="U5523" s="2" t="s">
        <v>266</v>
      </c>
      <c r="V5523" s="2" t="s">
        <v>1742</v>
      </c>
      <c r="W5523" s="2" t="s">
        <v>24042</v>
      </c>
      <c r="X5523" s="2" t="s">
        <v>147</v>
      </c>
      <c r="Y5523" s="2">
        <v>38.6</v>
      </c>
      <c r="Z5523" s="2">
        <v>0</v>
      </c>
      <c r="AA5523" s="2" t="s">
        <v>156</v>
      </c>
      <c r="AB5523" s="2" t="s">
        <v>28531</v>
      </c>
      <c r="AC5523" s="2">
        <v>2.4976093954969101</v>
      </c>
      <c r="AD5523" s="2"/>
      <c r="AE5523" s="2">
        <v>2.6643984921364501E-2</v>
      </c>
      <c r="AF5523" s="2">
        <v>1001.83312679145</v>
      </c>
      <c r="AG5523" s="2">
        <v>1066.4029130731501</v>
      </c>
      <c r="AH5523" s="4">
        <v>0.93945085343435397</v>
      </c>
      <c r="AI5523" s="4">
        <v>-9.0110404621627505E-2</v>
      </c>
      <c r="AJ5523" s="4" t="s">
        <v>62</v>
      </c>
      <c r="AK5523" s="2">
        <v>0.50388081791331496</v>
      </c>
      <c r="AL5523" s="2">
        <v>0.74084706335228001</v>
      </c>
      <c r="AM5523" s="2">
        <v>826.94145872837805</v>
      </c>
      <c r="AN5523" s="2">
        <v>988.77882428787302</v>
      </c>
      <c r="AO5523" s="2">
        <v>1093.4596194516</v>
      </c>
      <c r="AP5523" s="2">
        <v>992.64338822980005</v>
      </c>
      <c r="AQ5523" s="2">
        <v>1210.0510255490501</v>
      </c>
      <c r="AR5523" s="2">
        <v>899.12444450200201</v>
      </c>
      <c r="AS5523" s="2">
        <v>1138.6670091420101</v>
      </c>
      <c r="AT5523" s="2">
        <v>1393.0653346696299</v>
      </c>
      <c r="AU5523" s="2">
        <v>930.90267935914198</v>
      </c>
      <c r="AV5523" s="2">
        <v>1003.52200501895</v>
      </c>
      <c r="AW5523" s="2">
        <v>886.466886818592</v>
      </c>
      <c r="AX5523" s="2">
        <v>1045.79356343057</v>
      </c>
    </row>
    <row r="5524" spans="1:50" x14ac:dyDescent="0.25">
      <c r="A5524" s="2" t="s">
        <v>36077</v>
      </c>
      <c r="B5524" s="2">
        <v>158.1069</v>
      </c>
      <c r="C5524" s="2">
        <v>7.101</v>
      </c>
      <c r="D5524" s="2" t="s">
        <v>125</v>
      </c>
      <c r="E5524" s="2" t="s">
        <v>36078</v>
      </c>
      <c r="F5524" s="2">
        <v>205985</v>
      </c>
      <c r="G5524" s="3" t="str">
        <f>HYPERLINK("https://cloud.oebiotech.com/#/lm/network/205985", "https://cloud.oebiotech.com/#/lm/network/205985")</f>
        <v>https://cloud.oebiotech.com/#/lm/network/205985</v>
      </c>
      <c r="H5524" s="2" t="s">
        <v>36079</v>
      </c>
      <c r="I5524" s="2"/>
      <c r="J5524" s="2"/>
      <c r="K5524" s="2">
        <v>7912</v>
      </c>
      <c r="L5524" s="2"/>
      <c r="M5524" s="2"/>
      <c r="N5524" s="2"/>
      <c r="O5524" s="2"/>
      <c r="P5524" s="2"/>
      <c r="Q5524" s="2"/>
      <c r="R5524" s="2"/>
      <c r="S5524" s="2" t="s">
        <v>36080</v>
      </c>
      <c r="T5524" s="2" t="s">
        <v>36081</v>
      </c>
      <c r="U5524" s="2" t="s">
        <v>119</v>
      </c>
      <c r="V5524" s="2" t="s">
        <v>120</v>
      </c>
      <c r="W5524" s="2" t="s">
        <v>1887</v>
      </c>
      <c r="X5524" s="2" t="s">
        <v>59</v>
      </c>
      <c r="Y5524" s="2">
        <v>73</v>
      </c>
      <c r="Z5524" s="2">
        <v>63.6</v>
      </c>
      <c r="AA5524" s="2"/>
      <c r="AB5524" s="2" t="s">
        <v>36082</v>
      </c>
      <c r="AC5524" s="2"/>
      <c r="AD5524" s="2">
        <v>234208.55957320699</v>
      </c>
      <c r="AE5524" s="2">
        <v>2.65780266424934E-2</v>
      </c>
      <c r="AF5524" s="2">
        <v>65281.983562619302</v>
      </c>
      <c r="AG5524" s="2">
        <v>66970.2682649997</v>
      </c>
      <c r="AH5524" s="4">
        <v>0.97479053397696003</v>
      </c>
      <c r="AI5524" s="4">
        <v>-3.6835853521231303E-2</v>
      </c>
      <c r="AJ5524" s="4" t="s">
        <v>62</v>
      </c>
      <c r="AK5524" s="2">
        <v>0.41491364198629199</v>
      </c>
      <c r="AL5524" s="2">
        <v>0.67767325790168198</v>
      </c>
      <c r="AM5524" s="2">
        <v>71283.5180155993</v>
      </c>
      <c r="AN5524" s="2">
        <v>62921.227262811997</v>
      </c>
      <c r="AO5524" s="2">
        <v>61517.925662676702</v>
      </c>
      <c r="AP5524" s="2">
        <v>66157.034254533195</v>
      </c>
      <c r="AQ5524" s="2">
        <v>65048.006182655401</v>
      </c>
      <c r="AR5524" s="2">
        <v>64764.189997439396</v>
      </c>
      <c r="AS5524" s="2">
        <v>66183.635647169707</v>
      </c>
      <c r="AT5524" s="2">
        <v>71003.402292748098</v>
      </c>
      <c r="AU5524" s="2">
        <v>71503.704828190894</v>
      </c>
      <c r="AV5524" s="2">
        <v>63753.656443033899</v>
      </c>
      <c r="AW5524" s="2">
        <v>65943.843954249896</v>
      </c>
      <c r="AX5524" s="2">
        <v>63433.366424606</v>
      </c>
    </row>
    <row r="5525" spans="1:50" x14ac:dyDescent="0.25">
      <c r="A5525" s="2" t="s">
        <v>36083</v>
      </c>
      <c r="B5525" s="2">
        <v>641.35473730676404</v>
      </c>
      <c r="C5525" s="2">
        <v>7.4851333333333301</v>
      </c>
      <c r="D5525" s="2" t="s">
        <v>51</v>
      </c>
      <c r="E5525" s="2" t="s">
        <v>36084</v>
      </c>
      <c r="F5525" s="2">
        <v>211355</v>
      </c>
      <c r="G5525" s="3" t="str">
        <f>HYPERLINK("https://cloud.oebiotech.com/#/lm/network/211355", "https://cloud.oebiotech.com/#/lm/network/211355")</f>
        <v>https://cloud.oebiotech.com/#/lm/network/211355</v>
      </c>
      <c r="H5525" s="2" t="s">
        <v>36085</v>
      </c>
      <c r="I5525" s="2"/>
      <c r="J5525" s="2"/>
      <c r="K5525" s="2"/>
      <c r="L5525" s="2"/>
      <c r="M5525" s="2"/>
      <c r="N5525" s="2"/>
      <c r="O5525" s="2"/>
      <c r="P5525" s="2"/>
      <c r="Q5525" s="2"/>
      <c r="R5525" s="2"/>
      <c r="S5525" s="2" t="s">
        <v>36086</v>
      </c>
      <c r="T5525" s="2" t="s">
        <v>36087</v>
      </c>
      <c r="U5525" s="2" t="s">
        <v>103</v>
      </c>
      <c r="V5525" s="2" t="s">
        <v>104</v>
      </c>
      <c r="W5525" s="2" t="s">
        <v>105</v>
      </c>
      <c r="X5525" s="2" t="s">
        <v>147</v>
      </c>
      <c r="Y5525" s="2">
        <v>38</v>
      </c>
      <c r="Z5525" s="2">
        <v>0</v>
      </c>
      <c r="AA5525" s="2" t="s">
        <v>478</v>
      </c>
      <c r="AB5525" s="2" t="s">
        <v>36088</v>
      </c>
      <c r="AC5525" s="2">
        <v>2.85587158681389</v>
      </c>
      <c r="AD5525" s="2"/>
      <c r="AE5525" s="2">
        <v>2.65676665582706E-2</v>
      </c>
      <c r="AF5525" s="2">
        <v>2013.7287780457</v>
      </c>
      <c r="AG5525" s="2">
        <v>1895.87201420562</v>
      </c>
      <c r="AH5525" s="5">
        <v>1.0621649367452</v>
      </c>
      <c r="AI5525" s="5">
        <v>8.70078103494802E-2</v>
      </c>
      <c r="AJ5525" s="5" t="s">
        <v>139</v>
      </c>
      <c r="AK5525" s="2">
        <v>0.90008757206114398</v>
      </c>
      <c r="AL5525" s="2">
        <v>0.95836081695247699</v>
      </c>
      <c r="AM5525" s="2">
        <v>3189.42002545483</v>
      </c>
      <c r="AN5525" s="2">
        <v>695.34158995479902</v>
      </c>
      <c r="AO5525" s="2">
        <v>839.73727594019294</v>
      </c>
      <c r="AP5525" s="2">
        <v>4614.9658747126596</v>
      </c>
      <c r="AQ5525" s="2">
        <v>8.559877937157E-6</v>
      </c>
      <c r="AR5525" s="2">
        <v>2742.9078936518699</v>
      </c>
      <c r="AS5525" s="2">
        <v>8.559877937157E-6</v>
      </c>
      <c r="AT5525" s="2">
        <v>3610.8556130076199</v>
      </c>
      <c r="AU5525" s="2">
        <v>2567.5051157151202</v>
      </c>
      <c r="AV5525" s="2">
        <v>1226.82773612653</v>
      </c>
      <c r="AW5525" s="2">
        <v>2940.5064480268402</v>
      </c>
      <c r="AX5525" s="2">
        <v>1029.5371637977501</v>
      </c>
    </row>
    <row r="5526" spans="1:50" x14ac:dyDescent="0.25">
      <c r="A5526" s="2" t="s">
        <v>36089</v>
      </c>
      <c r="B5526" s="2">
        <v>331.166185969026</v>
      </c>
      <c r="C5526" s="2">
        <v>4.1098999999999997</v>
      </c>
      <c r="D5526" s="2" t="s">
        <v>51</v>
      </c>
      <c r="E5526" s="2" t="s">
        <v>36090</v>
      </c>
      <c r="F5526" s="2">
        <v>57601</v>
      </c>
      <c r="G5526" s="3" t="str">
        <f>HYPERLINK("https://cloud.oebiotech.com/#/lm/network/57601", "https://cloud.oebiotech.com/#/lm/network/57601")</f>
        <v>https://cloud.oebiotech.com/#/lm/network/57601</v>
      </c>
      <c r="H5526" s="2" t="s">
        <v>36091</v>
      </c>
      <c r="I5526" s="2">
        <v>89201</v>
      </c>
      <c r="J5526" s="2"/>
      <c r="K5526" s="2">
        <v>14539910</v>
      </c>
      <c r="L5526" s="2"/>
      <c r="M5526" s="2"/>
      <c r="N5526" s="2"/>
      <c r="O5526" s="2"/>
      <c r="P5526" s="2"/>
      <c r="Q5526" s="2"/>
      <c r="R5526" s="2" t="s">
        <v>36092</v>
      </c>
      <c r="S5526" s="2" t="s">
        <v>36093</v>
      </c>
      <c r="T5526" s="2" t="s">
        <v>36094</v>
      </c>
      <c r="U5526" s="2" t="s">
        <v>238</v>
      </c>
      <c r="V5526" s="2" t="s">
        <v>29412</v>
      </c>
      <c r="W5526" s="2" t="s">
        <v>240</v>
      </c>
      <c r="X5526" s="2" t="s">
        <v>83</v>
      </c>
      <c r="Y5526" s="2">
        <v>41.8</v>
      </c>
      <c r="Z5526" s="2">
        <v>0</v>
      </c>
      <c r="AA5526" s="2" t="s">
        <v>512</v>
      </c>
      <c r="AB5526" s="2" t="s">
        <v>36095</v>
      </c>
      <c r="AC5526" s="2">
        <v>3.0413642063221502</v>
      </c>
      <c r="AD5526" s="2"/>
      <c r="AE5526" s="2">
        <v>2.6522079093252299E-2</v>
      </c>
      <c r="AF5526" s="2">
        <v>316.23965716647501</v>
      </c>
      <c r="AG5526" s="2">
        <v>368.66976858665799</v>
      </c>
      <c r="AH5526" s="4">
        <v>0.85778570447698899</v>
      </c>
      <c r="AI5526" s="4">
        <v>-0.221310822108123</v>
      </c>
      <c r="AJ5526" s="4" t="s">
        <v>62</v>
      </c>
      <c r="AK5526" s="2">
        <v>0.79785628388066698</v>
      </c>
      <c r="AL5526" s="2">
        <v>0.90954932814260703</v>
      </c>
      <c r="AM5526" s="2">
        <v>203.69398651447</v>
      </c>
      <c r="AN5526" s="2">
        <v>194.35756926888601</v>
      </c>
      <c r="AO5526" s="2">
        <v>316.126220005459</v>
      </c>
      <c r="AP5526" s="2">
        <v>880.97776634175602</v>
      </c>
      <c r="AQ5526" s="2">
        <v>1.2948141137803799</v>
      </c>
      <c r="AR5526" s="2">
        <v>300.98758675449898</v>
      </c>
      <c r="AS5526" s="2">
        <v>984.89551645900201</v>
      </c>
      <c r="AT5526" s="2">
        <v>706.73112813142802</v>
      </c>
      <c r="AU5526" s="2">
        <v>1.2415736664811801</v>
      </c>
      <c r="AV5526" s="2">
        <v>205.49820900466099</v>
      </c>
      <c r="AW5526" s="2">
        <v>139.83166560883001</v>
      </c>
      <c r="AX5526" s="2">
        <v>173.82051864954599</v>
      </c>
    </row>
    <row r="5527" spans="1:50" x14ac:dyDescent="0.25">
      <c r="A5527" s="2" t="s">
        <v>36096</v>
      </c>
      <c r="B5527" s="2">
        <v>391.21071035239902</v>
      </c>
      <c r="C5527" s="2">
        <v>6.9315166666666697</v>
      </c>
      <c r="D5527" s="2" t="s">
        <v>51</v>
      </c>
      <c r="E5527" s="2" t="s">
        <v>36097</v>
      </c>
      <c r="F5527" s="2">
        <v>3644</v>
      </c>
      <c r="G5527" s="3" t="str">
        <f>HYPERLINK("https://cloud.oebiotech.com/#/lm/network/3644", "https://cloud.oebiotech.com/#/lm/network/3644")</f>
        <v>https://cloud.oebiotech.com/#/lm/network/3644</v>
      </c>
      <c r="H5527" s="2" t="s">
        <v>36098</v>
      </c>
      <c r="I5527" s="2">
        <v>3812</v>
      </c>
      <c r="J5527" s="2" t="s">
        <v>36099</v>
      </c>
      <c r="K5527" s="2">
        <v>5280889</v>
      </c>
      <c r="L5527" s="2" t="s">
        <v>36100</v>
      </c>
      <c r="M5527" s="2" t="s">
        <v>305</v>
      </c>
      <c r="N5527" s="2" t="s">
        <v>306</v>
      </c>
      <c r="O5527" s="2">
        <v>28269</v>
      </c>
      <c r="P5527" s="2"/>
      <c r="Q5527" s="2"/>
      <c r="R5527" s="2" t="s">
        <v>36101</v>
      </c>
      <c r="S5527" s="2" t="s">
        <v>36102</v>
      </c>
      <c r="T5527" s="2" t="s">
        <v>36103</v>
      </c>
      <c r="U5527" s="2" t="s">
        <v>56</v>
      </c>
      <c r="V5527" s="2" t="s">
        <v>145</v>
      </c>
      <c r="W5527" s="2" t="s">
        <v>187</v>
      </c>
      <c r="X5527" s="2" t="s">
        <v>69</v>
      </c>
      <c r="Y5527" s="2">
        <v>70.099999999999994</v>
      </c>
      <c r="Z5527" s="2">
        <v>84.3</v>
      </c>
      <c r="AA5527" s="2" t="s">
        <v>60</v>
      </c>
      <c r="AB5527" s="2" t="s">
        <v>533</v>
      </c>
      <c r="AC5527" s="2">
        <v>4.3477521105700898</v>
      </c>
      <c r="AD5527" s="2"/>
      <c r="AE5527" s="2">
        <v>2.6413946580580799E-2</v>
      </c>
      <c r="AF5527" s="2">
        <v>63629.5579536031</v>
      </c>
      <c r="AG5527" s="2">
        <v>65325.167575126201</v>
      </c>
      <c r="AH5527" s="4">
        <v>0.974043547311639</v>
      </c>
      <c r="AI5527" s="4">
        <v>-3.7941821464621099E-2</v>
      </c>
      <c r="AJ5527" s="4" t="s">
        <v>62</v>
      </c>
      <c r="AK5527" s="2">
        <v>0.92200711113651401</v>
      </c>
      <c r="AL5527" s="2">
        <v>0.96642820875674595</v>
      </c>
      <c r="AM5527" s="2">
        <v>71636.520741020198</v>
      </c>
      <c r="AN5527" s="2">
        <v>70701.291610112094</v>
      </c>
      <c r="AO5527" s="2">
        <v>61536.667061267603</v>
      </c>
      <c r="AP5527" s="2">
        <v>56300.932944884902</v>
      </c>
      <c r="AQ5527" s="2">
        <v>43665.961982925503</v>
      </c>
      <c r="AR5527" s="2">
        <v>77935.973381408403</v>
      </c>
      <c r="AS5527" s="2">
        <v>44720.593521034498</v>
      </c>
      <c r="AT5527" s="2">
        <v>27302.138242614601</v>
      </c>
      <c r="AU5527" s="2">
        <v>135508.20707470001</v>
      </c>
      <c r="AV5527" s="2">
        <v>63520.679564316699</v>
      </c>
      <c r="AW5527" s="2">
        <v>82055.407216402396</v>
      </c>
      <c r="AX5527" s="2">
        <v>38843.979831688703</v>
      </c>
    </row>
    <row r="5528" spans="1:50" x14ac:dyDescent="0.25">
      <c r="A5528" s="2" t="s">
        <v>36104</v>
      </c>
      <c r="B5528" s="2">
        <v>606.41447936753696</v>
      </c>
      <c r="C5528" s="2">
        <v>11.3173666666667</v>
      </c>
      <c r="D5528" s="2" t="s">
        <v>51</v>
      </c>
      <c r="E5528" s="2" t="s">
        <v>36105</v>
      </c>
      <c r="F5528" s="2">
        <v>39577</v>
      </c>
      <c r="G5528" s="3" t="str">
        <f>HYPERLINK("https://cloud.oebiotech.com/#/lm/network/39577", "https://cloud.oebiotech.com/#/lm/network/39577")</f>
        <v>https://cloud.oebiotech.com/#/lm/network/39577</v>
      </c>
      <c r="H5528" s="2" t="s">
        <v>36106</v>
      </c>
      <c r="I5528" s="2">
        <v>61968</v>
      </c>
      <c r="J5528" s="2" t="s">
        <v>36107</v>
      </c>
      <c r="K5528" s="2">
        <v>5283580</v>
      </c>
      <c r="L5528" s="2"/>
      <c r="M5528" s="2"/>
      <c r="N5528" s="2"/>
      <c r="O5528" s="2">
        <v>72718</v>
      </c>
      <c r="P5528" s="2"/>
      <c r="Q5528" s="2"/>
      <c r="R5528" s="2"/>
      <c r="S5528" s="2" t="s">
        <v>36108</v>
      </c>
      <c r="T5528" s="2" t="s">
        <v>36109</v>
      </c>
      <c r="U5528" s="2" t="s">
        <v>56</v>
      </c>
      <c r="V5528" s="2" t="s">
        <v>344</v>
      </c>
      <c r="W5528" s="2" t="s">
        <v>1239</v>
      </c>
      <c r="X5528" s="2" t="s">
        <v>59</v>
      </c>
      <c r="Y5528" s="2">
        <v>48.6</v>
      </c>
      <c r="Z5528" s="2">
        <v>53.3</v>
      </c>
      <c r="AA5528" s="2" t="s">
        <v>218</v>
      </c>
      <c r="AB5528" s="2" t="s">
        <v>36110</v>
      </c>
      <c r="AC5528" s="2">
        <v>0.80372008880060697</v>
      </c>
      <c r="AD5528" s="2"/>
      <c r="AE5528" s="2">
        <v>2.63258864182398E-2</v>
      </c>
      <c r="AF5528" s="2">
        <v>19548.403281116702</v>
      </c>
      <c r="AG5528" s="2">
        <v>19254.5277794703</v>
      </c>
      <c r="AH5528" s="5">
        <v>1.0152626699035301</v>
      </c>
      <c r="AI5528" s="5">
        <v>2.1853031392192999E-2</v>
      </c>
      <c r="AJ5528" s="5" t="s">
        <v>139</v>
      </c>
      <c r="AK5528" s="2">
        <v>0.937883693505007</v>
      </c>
      <c r="AL5528" s="2">
        <v>0.97307988847819105</v>
      </c>
      <c r="AM5528" s="2">
        <v>23297.085913876501</v>
      </c>
      <c r="AN5528" s="2">
        <v>20912.850438768</v>
      </c>
      <c r="AO5528" s="2">
        <v>27195.945692110399</v>
      </c>
      <c r="AP5528" s="2">
        <v>20179.029031685001</v>
      </c>
      <c r="AQ5528" s="2">
        <v>10622.5700944004</v>
      </c>
      <c r="AR5528" s="2">
        <v>15082.9385158601</v>
      </c>
      <c r="AS5528" s="2">
        <v>17846.279876077599</v>
      </c>
      <c r="AT5528" s="2">
        <v>8741.23656162316</v>
      </c>
      <c r="AU5528" s="2">
        <v>21038.571810592501</v>
      </c>
      <c r="AV5528" s="2">
        <v>15854.291871289801</v>
      </c>
      <c r="AW5528" s="2">
        <v>28514.963029559302</v>
      </c>
      <c r="AX5528" s="2">
        <v>23531.8235276796</v>
      </c>
    </row>
    <row r="5529" spans="1:50" x14ac:dyDescent="0.25">
      <c r="A5529" s="2" t="s">
        <v>36111</v>
      </c>
      <c r="B5529" s="2">
        <v>174.08879999999999</v>
      </c>
      <c r="C5529" s="2">
        <v>15.423999999999999</v>
      </c>
      <c r="D5529" s="2" t="s">
        <v>125</v>
      </c>
      <c r="E5529" s="2" t="s">
        <v>36112</v>
      </c>
      <c r="F5529" s="2">
        <v>51504</v>
      </c>
      <c r="G5529" s="3" t="str">
        <f>HYPERLINK("https://cloud.oebiotech.com/#/lm/network/51504", "https://cloud.oebiotech.com/#/lm/network/51504")</f>
        <v>https://cloud.oebiotech.com/#/lm/network/51504</v>
      </c>
      <c r="H5529" s="2" t="s">
        <v>36113</v>
      </c>
      <c r="I5529" s="2">
        <v>62458</v>
      </c>
      <c r="J5529" s="2"/>
      <c r="K5529" s="2">
        <v>11163</v>
      </c>
      <c r="L5529" s="2" t="s">
        <v>36114</v>
      </c>
      <c r="M5529" s="2"/>
      <c r="N5529" s="2"/>
      <c r="O5529" s="2">
        <v>17201</v>
      </c>
      <c r="P5529" s="2"/>
      <c r="Q5529" s="2"/>
      <c r="R5529" s="2" t="s">
        <v>36115</v>
      </c>
      <c r="S5529" s="2" t="s">
        <v>36116</v>
      </c>
      <c r="T5529" s="2" t="s">
        <v>36117</v>
      </c>
      <c r="U5529" s="2" t="s">
        <v>103</v>
      </c>
      <c r="V5529" s="2" t="s">
        <v>104</v>
      </c>
      <c r="W5529" s="2" t="s">
        <v>105</v>
      </c>
      <c r="X5529" s="2" t="s">
        <v>59</v>
      </c>
      <c r="Y5529" s="2">
        <v>78.5</v>
      </c>
      <c r="Z5529" s="2">
        <v>69.400000000000006</v>
      </c>
      <c r="AA5529" s="2"/>
      <c r="AB5529" s="2" t="s">
        <v>14260</v>
      </c>
      <c r="AC5529" s="2"/>
      <c r="AD5529" s="2">
        <v>518788.57555938</v>
      </c>
      <c r="AE5529" s="2">
        <v>2.6300211464013099E-2</v>
      </c>
      <c r="AF5529" s="2">
        <v>50524.875615740202</v>
      </c>
      <c r="AG5529" s="2">
        <v>51761.157325211403</v>
      </c>
      <c r="AH5529" s="4">
        <v>0.97611564784566696</v>
      </c>
      <c r="AI5529" s="4">
        <v>-3.4876009917468899E-2</v>
      </c>
      <c r="AJ5529" s="4" t="s">
        <v>62</v>
      </c>
      <c r="AK5529" s="2">
        <v>0.56729549226687903</v>
      </c>
      <c r="AL5529" s="2">
        <v>0.78255050592287401</v>
      </c>
      <c r="AM5529" s="2">
        <v>53322.344717715001</v>
      </c>
      <c r="AN5529" s="2">
        <v>49372.367763154703</v>
      </c>
      <c r="AO5529" s="2">
        <v>49759.719336586997</v>
      </c>
      <c r="AP5529" s="2">
        <v>50769.076334799698</v>
      </c>
      <c r="AQ5529" s="2">
        <v>50529.433670553801</v>
      </c>
      <c r="AR5529" s="2">
        <v>49396.311871631202</v>
      </c>
      <c r="AS5529" s="2">
        <v>47892.485619843697</v>
      </c>
      <c r="AT5529" s="2">
        <v>54139.036658343903</v>
      </c>
      <c r="AU5529" s="2">
        <v>58393.728946908399</v>
      </c>
      <c r="AV5529" s="2">
        <v>55372.743791309098</v>
      </c>
      <c r="AW5529" s="2">
        <v>48798.707019080503</v>
      </c>
      <c r="AX5529" s="2">
        <v>45970.241915782797</v>
      </c>
    </row>
    <row r="5530" spans="1:50" x14ac:dyDescent="0.25">
      <c r="A5530" s="2" t="s">
        <v>36118</v>
      </c>
      <c r="B5530" s="2">
        <v>354.11425373303598</v>
      </c>
      <c r="C5530" s="2">
        <v>11.4432333333333</v>
      </c>
      <c r="D5530" s="2" t="s">
        <v>51</v>
      </c>
      <c r="E5530" s="2" t="s">
        <v>36119</v>
      </c>
      <c r="F5530" s="2">
        <v>274586</v>
      </c>
      <c r="G5530" s="3" t="str">
        <f>HYPERLINK("https://cloud.oebiotech.com/#/lm/network/274586", "https://cloud.oebiotech.com/#/lm/network/274586")</f>
        <v>https://cloud.oebiotech.com/#/lm/network/274586</v>
      </c>
      <c r="H5530" s="2"/>
      <c r="I5530" s="2">
        <v>64666</v>
      </c>
      <c r="J5530" s="2"/>
      <c r="K5530" s="2">
        <v>53394628</v>
      </c>
      <c r="L5530" s="2"/>
      <c r="M5530" s="2"/>
      <c r="N5530" s="2"/>
      <c r="O5530" s="2"/>
      <c r="P5530" s="2"/>
      <c r="Q5530" s="2"/>
      <c r="R5530" s="2"/>
      <c r="S5530" s="2" t="s">
        <v>36120</v>
      </c>
      <c r="T5530" s="2" t="s">
        <v>36121</v>
      </c>
      <c r="U5530" s="2" t="s">
        <v>610</v>
      </c>
      <c r="V5530" s="2" t="s">
        <v>813</v>
      </c>
      <c r="W5530" s="2" t="s">
        <v>240</v>
      </c>
      <c r="X5530" s="2" t="s">
        <v>147</v>
      </c>
      <c r="Y5530" s="2">
        <v>37.799999999999997</v>
      </c>
      <c r="Z5530" s="2">
        <v>0</v>
      </c>
      <c r="AA5530" s="2" t="s">
        <v>379</v>
      </c>
      <c r="AB5530" s="2" t="s">
        <v>36122</v>
      </c>
      <c r="AC5530" s="2">
        <v>1.8405329894267799</v>
      </c>
      <c r="AD5530" s="2"/>
      <c r="AE5530" s="2">
        <v>2.62151569730345E-2</v>
      </c>
      <c r="AF5530" s="2">
        <v>328.29206213363898</v>
      </c>
      <c r="AG5530" s="2">
        <v>340.42220377226403</v>
      </c>
      <c r="AH5530" s="4">
        <v>0.96436736057692896</v>
      </c>
      <c r="AI5530" s="4">
        <v>-5.2345271747277398E-2</v>
      </c>
      <c r="AJ5530" s="4" t="s">
        <v>62</v>
      </c>
      <c r="AK5530" s="2">
        <v>0.96809066599256099</v>
      </c>
      <c r="AL5530" s="2">
        <v>0.98789176417975899</v>
      </c>
      <c r="AM5530" s="2">
        <v>935.46640526489</v>
      </c>
      <c r="AN5530" s="2">
        <v>379.33978981611301</v>
      </c>
      <c r="AO5530" s="2">
        <v>140.40595080177101</v>
      </c>
      <c r="AP5530" s="2">
        <v>8.559877937157E-6</v>
      </c>
      <c r="AQ5530" s="2">
        <v>273.85827362791201</v>
      </c>
      <c r="AR5530" s="2">
        <v>240.68194473127301</v>
      </c>
      <c r="AS5530" s="2">
        <v>161.22442072471401</v>
      </c>
      <c r="AT5530" s="2">
        <v>8.559877937157E-6</v>
      </c>
      <c r="AU5530" s="2">
        <v>1656.1689966190299</v>
      </c>
      <c r="AV5530" s="2">
        <v>108.68524373223801</v>
      </c>
      <c r="AW5530" s="2">
        <v>116.45454443784401</v>
      </c>
      <c r="AX5530" s="2">
        <v>8.559877937157E-6</v>
      </c>
    </row>
    <row r="5531" spans="1:50" x14ac:dyDescent="0.25">
      <c r="A5531" s="2" t="s">
        <v>36123</v>
      </c>
      <c r="B5531" s="2">
        <v>234.085653969313</v>
      </c>
      <c r="C5531" s="2">
        <v>1.3362333333333301</v>
      </c>
      <c r="D5531" s="2" t="s">
        <v>51</v>
      </c>
      <c r="E5531" s="2" t="s">
        <v>36124</v>
      </c>
      <c r="F5531" s="2">
        <v>53199</v>
      </c>
      <c r="G5531" s="3" t="str">
        <f>HYPERLINK("https://cloud.oebiotech.com/#/lm/network/53199", "https://cloud.oebiotech.com/#/lm/network/53199")</f>
        <v>https://cloud.oebiotech.com/#/lm/network/53199</v>
      </c>
      <c r="H5531" s="2" t="s">
        <v>36125</v>
      </c>
      <c r="I5531" s="2">
        <v>3061</v>
      </c>
      <c r="J5531" s="2"/>
      <c r="K5531" s="2">
        <v>24066</v>
      </c>
      <c r="L5531" s="2" t="s">
        <v>36126</v>
      </c>
      <c r="M5531" s="2"/>
      <c r="N5531" s="2"/>
      <c r="O5531" s="2">
        <v>10101</v>
      </c>
      <c r="P5531" s="2"/>
      <c r="Q5531" s="2"/>
      <c r="R5531" s="2" t="s">
        <v>36127</v>
      </c>
      <c r="S5531" s="2" t="s">
        <v>36128</v>
      </c>
      <c r="T5531" s="2" t="s">
        <v>36129</v>
      </c>
      <c r="U5531" s="2" t="s">
        <v>295</v>
      </c>
      <c r="V5531" s="2" t="s">
        <v>1818</v>
      </c>
      <c r="W5531" s="2" t="s">
        <v>8257</v>
      </c>
      <c r="X5531" s="2" t="s">
        <v>147</v>
      </c>
      <c r="Y5531" s="2">
        <v>37.700000000000003</v>
      </c>
      <c r="Z5531" s="2">
        <v>3.36</v>
      </c>
      <c r="AA5531" s="2" t="s">
        <v>95</v>
      </c>
      <c r="AB5531" s="2" t="s">
        <v>36130</v>
      </c>
      <c r="AC5531" s="2">
        <v>3.5149903763195001</v>
      </c>
      <c r="AD5531" s="2"/>
      <c r="AE5531" s="2">
        <v>2.6132896440101201E-2</v>
      </c>
      <c r="AF5531" s="2">
        <v>1917.1252612201499</v>
      </c>
      <c r="AG5531" s="2">
        <v>2010.30850577352</v>
      </c>
      <c r="AH5531" s="4">
        <v>0.95364729130591197</v>
      </c>
      <c r="AI5531" s="4">
        <v>-6.8472314161947698E-2</v>
      </c>
      <c r="AJ5531" s="4" t="s">
        <v>62</v>
      </c>
      <c r="AK5531" s="2">
        <v>0.82793096700079505</v>
      </c>
      <c r="AL5531" s="2">
        <v>0.92429976515301204</v>
      </c>
      <c r="AM5531" s="2">
        <v>1689.02988538967</v>
      </c>
      <c r="AN5531" s="2">
        <v>1660.7073043241801</v>
      </c>
      <c r="AO5531" s="2">
        <v>857.75366002562998</v>
      </c>
      <c r="AP5531" s="2">
        <v>1875.84434328924</v>
      </c>
      <c r="AQ5531" s="2">
        <v>3406.60416143578</v>
      </c>
      <c r="AR5531" s="2">
        <v>2012.81221285642</v>
      </c>
      <c r="AS5531" s="2">
        <v>1635.18545009792</v>
      </c>
      <c r="AT5531" s="2">
        <v>1839.8047659663</v>
      </c>
      <c r="AU5531" s="2">
        <v>2651.0677273445499</v>
      </c>
      <c r="AV5531" s="2">
        <v>2062.1696989997099</v>
      </c>
      <c r="AW5531" s="2">
        <v>1172.2374425452099</v>
      </c>
      <c r="AX5531" s="2">
        <v>2701.3859496874302</v>
      </c>
    </row>
    <row r="5532" spans="1:50" x14ac:dyDescent="0.25">
      <c r="A5532" s="2" t="s">
        <v>36131</v>
      </c>
      <c r="B5532" s="2">
        <v>373.13846362994201</v>
      </c>
      <c r="C5532" s="2">
        <v>4.8599833333333304</v>
      </c>
      <c r="D5532" s="2" t="s">
        <v>51</v>
      </c>
      <c r="E5532" s="2" t="s">
        <v>36132</v>
      </c>
      <c r="F5532" s="2">
        <v>210247</v>
      </c>
      <c r="G5532" s="3" t="str">
        <f>HYPERLINK("https://cloud.oebiotech.com/#/lm/network/210247", "https://cloud.oebiotech.com/#/lm/network/210247")</f>
        <v>https://cloud.oebiotech.com/#/lm/network/210247</v>
      </c>
      <c r="H5532" s="2" t="s">
        <v>36133</v>
      </c>
      <c r="I5532" s="2">
        <v>23928</v>
      </c>
      <c r="J5532" s="2"/>
      <c r="K5532" s="2">
        <v>13341191</v>
      </c>
      <c r="L5532" s="2"/>
      <c r="M5532" s="2"/>
      <c r="N5532" s="2"/>
      <c r="O5532" s="2"/>
      <c r="P5532" s="2"/>
      <c r="Q5532" s="2"/>
      <c r="R5532" s="2" t="s">
        <v>36134</v>
      </c>
      <c r="S5532" s="2" t="s">
        <v>36135</v>
      </c>
      <c r="T5532" s="2" t="s">
        <v>36136</v>
      </c>
      <c r="U5532" s="2" t="s">
        <v>103</v>
      </c>
      <c r="V5532" s="2" t="s">
        <v>104</v>
      </c>
      <c r="W5532" s="2" t="s">
        <v>105</v>
      </c>
      <c r="X5532" s="2" t="s">
        <v>69</v>
      </c>
      <c r="Y5532" s="2">
        <v>55.2</v>
      </c>
      <c r="Z5532" s="2">
        <v>83.6</v>
      </c>
      <c r="AA5532" s="2" t="s">
        <v>218</v>
      </c>
      <c r="AB5532" s="2" t="s">
        <v>21325</v>
      </c>
      <c r="AC5532" s="2">
        <v>-6.2362251169677503</v>
      </c>
      <c r="AD5532" s="2"/>
      <c r="AE5532" s="2">
        <v>2.6114721724512999E-2</v>
      </c>
      <c r="AF5532" s="2">
        <v>486.70763984761498</v>
      </c>
      <c r="AG5532" s="2">
        <v>274.18795058473398</v>
      </c>
      <c r="AH5532" s="5">
        <v>1.77508763171271</v>
      </c>
      <c r="AI5532" s="5">
        <v>0.82789024868302596</v>
      </c>
      <c r="AJ5532" s="5" t="s">
        <v>139</v>
      </c>
      <c r="AK5532" s="2">
        <v>0.59041958264604799</v>
      </c>
      <c r="AL5532" s="2">
        <v>0.79384060507313303</v>
      </c>
      <c r="AM5532" s="2">
        <v>8.559877937157E-6</v>
      </c>
      <c r="AN5532" s="2">
        <v>132.81290660178999</v>
      </c>
      <c r="AO5532" s="2">
        <v>8.559877937157E-6</v>
      </c>
      <c r="AP5532" s="2">
        <v>29.773789108737098</v>
      </c>
      <c r="AQ5532" s="2">
        <v>2338.83524813138</v>
      </c>
      <c r="AR5532" s="2">
        <v>418.823878124028</v>
      </c>
      <c r="AS5532" s="2">
        <v>454.38285210020302</v>
      </c>
      <c r="AT5532" s="2">
        <v>3.8349690448192799</v>
      </c>
      <c r="AU5532" s="2">
        <v>147.840032568791</v>
      </c>
      <c r="AV5532" s="2">
        <v>368.50357342975798</v>
      </c>
      <c r="AW5532" s="2">
        <v>366.78334088221402</v>
      </c>
      <c r="AX5532" s="2">
        <v>303.78293548261598</v>
      </c>
    </row>
    <row r="5533" spans="1:50" x14ac:dyDescent="0.25">
      <c r="A5533" s="2" t="s">
        <v>36137</v>
      </c>
      <c r="B5533" s="2">
        <v>331.10923766612001</v>
      </c>
      <c r="C5533" s="2">
        <v>4.2577833333333297</v>
      </c>
      <c r="D5533" s="2" t="s">
        <v>51</v>
      </c>
      <c r="E5533" s="2" t="s">
        <v>36138</v>
      </c>
      <c r="F5533" s="2">
        <v>207366</v>
      </c>
      <c r="G5533" s="3" t="str">
        <f>HYPERLINK("https://cloud.oebiotech.com/#/lm/network/207366", "https://cloud.oebiotech.com/#/lm/network/207366")</f>
        <v>https://cloud.oebiotech.com/#/lm/network/207366</v>
      </c>
      <c r="H5533" s="2" t="s">
        <v>36139</v>
      </c>
      <c r="I5533" s="2">
        <v>841378</v>
      </c>
      <c r="J5533" s="2"/>
      <c r="K5533" s="2">
        <v>54685147</v>
      </c>
      <c r="L5533" s="2"/>
      <c r="M5533" s="2"/>
      <c r="N5533" s="2"/>
      <c r="O5533" s="2"/>
      <c r="P5533" s="2"/>
      <c r="Q5533" s="2"/>
      <c r="R5533" s="2"/>
      <c r="S5533" s="2" t="s">
        <v>36140</v>
      </c>
      <c r="T5533" s="2" t="s">
        <v>36141</v>
      </c>
      <c r="U5533" s="2" t="s">
        <v>103</v>
      </c>
      <c r="V5533" s="2" t="s">
        <v>104</v>
      </c>
      <c r="W5533" s="2" t="s">
        <v>105</v>
      </c>
      <c r="X5533" s="2" t="s">
        <v>147</v>
      </c>
      <c r="Y5533" s="2">
        <v>46.5</v>
      </c>
      <c r="Z5533" s="2">
        <v>43</v>
      </c>
      <c r="AA5533" s="2" t="s">
        <v>156</v>
      </c>
      <c r="AB5533" s="2" t="s">
        <v>36142</v>
      </c>
      <c r="AC5533" s="2">
        <v>1.08023672828476</v>
      </c>
      <c r="AD5533" s="2"/>
      <c r="AE5533" s="2">
        <v>2.61004644266048E-2</v>
      </c>
      <c r="AF5533" s="2">
        <v>641.48920072959197</v>
      </c>
      <c r="AG5533" s="2">
        <v>631.84177973170995</v>
      </c>
      <c r="AH5533" s="5">
        <v>1.01526872914605</v>
      </c>
      <c r="AI5533" s="5">
        <v>2.1861641590627499E-2</v>
      </c>
      <c r="AJ5533" s="5" t="s">
        <v>139</v>
      </c>
      <c r="AK5533" s="2">
        <v>0.98189252144849404</v>
      </c>
      <c r="AL5533" s="2">
        <v>0.99225462124931296</v>
      </c>
      <c r="AM5533" s="2">
        <v>1262.7059475285701</v>
      </c>
      <c r="AN5533" s="2">
        <v>173.070485514003</v>
      </c>
      <c r="AO5533" s="2">
        <v>768.98773386061498</v>
      </c>
      <c r="AP5533" s="2">
        <v>543.83961527487202</v>
      </c>
      <c r="AQ5533" s="2">
        <v>519.65962232054801</v>
      </c>
      <c r="AR5533" s="2">
        <v>580.67179987894497</v>
      </c>
      <c r="AS5533" s="2">
        <v>8.559877937157E-6</v>
      </c>
      <c r="AT5533" s="2">
        <v>8.559877937157E-6</v>
      </c>
      <c r="AU5533" s="2">
        <v>2506.3128857295001</v>
      </c>
      <c r="AV5533" s="2">
        <v>217.035771293404</v>
      </c>
      <c r="AW5533" s="2">
        <v>493.006992753845</v>
      </c>
      <c r="AX5533" s="2">
        <v>574.69501149375401</v>
      </c>
    </row>
    <row r="5534" spans="1:50" x14ac:dyDescent="0.25">
      <c r="A5534" s="2" t="s">
        <v>36143</v>
      </c>
      <c r="B5534" s="2">
        <v>297.14732636973503</v>
      </c>
      <c r="C5534" s="2">
        <v>10.591366666666699</v>
      </c>
      <c r="D5534" s="2" t="s">
        <v>51</v>
      </c>
      <c r="E5534" s="2" t="s">
        <v>36144</v>
      </c>
      <c r="F5534" s="2">
        <v>207265</v>
      </c>
      <c r="G5534" s="3" t="str">
        <f>HYPERLINK("https://cloud.oebiotech.com/#/lm/network/207265", "https://cloud.oebiotech.com/#/lm/network/207265")</f>
        <v>https://cloud.oebiotech.com/#/lm/network/207265</v>
      </c>
      <c r="H5534" s="2" t="s">
        <v>36145</v>
      </c>
      <c r="I5534" s="2"/>
      <c r="J5534" s="2"/>
      <c r="K5534" s="2">
        <v>53463649</v>
      </c>
      <c r="L5534" s="2"/>
      <c r="M5534" s="2"/>
      <c r="N5534" s="2"/>
      <c r="O5534" s="2"/>
      <c r="P5534" s="2"/>
      <c r="Q5534" s="2"/>
      <c r="R5534" s="2"/>
      <c r="S5534" s="2" t="s">
        <v>36146</v>
      </c>
      <c r="T5534" s="2" t="s">
        <v>36147</v>
      </c>
      <c r="U5534" s="2" t="s">
        <v>103</v>
      </c>
      <c r="V5534" s="2" t="s">
        <v>104</v>
      </c>
      <c r="W5534" s="2" t="s">
        <v>105</v>
      </c>
      <c r="X5534" s="2" t="s">
        <v>147</v>
      </c>
      <c r="Y5534" s="2">
        <v>37.299999999999997</v>
      </c>
      <c r="Z5534" s="2">
        <v>0</v>
      </c>
      <c r="AA5534" s="2" t="s">
        <v>122</v>
      </c>
      <c r="AB5534" s="2" t="s">
        <v>36148</v>
      </c>
      <c r="AC5534" s="2">
        <v>-1.3481278118726601</v>
      </c>
      <c r="AD5534" s="2"/>
      <c r="AE5534" s="2">
        <v>2.6052397263083799E-2</v>
      </c>
      <c r="AF5534" s="2">
        <v>116830.53577284901</v>
      </c>
      <c r="AG5534" s="2">
        <v>116581.69938201099</v>
      </c>
      <c r="AH5534" s="5">
        <v>1.0021344378419399</v>
      </c>
      <c r="AI5534" s="5">
        <v>3.0760612254972898E-3</v>
      </c>
      <c r="AJ5534" s="5" t="s">
        <v>139</v>
      </c>
      <c r="AK5534" s="2">
        <v>0.98551230237940501</v>
      </c>
      <c r="AL5534" s="2">
        <v>0.994389282669362</v>
      </c>
      <c r="AM5534" s="2">
        <v>156750.540046129</v>
      </c>
      <c r="AN5534" s="2">
        <v>107891.12256631</v>
      </c>
      <c r="AO5534" s="2">
        <v>107827.462842041</v>
      </c>
      <c r="AP5534" s="2">
        <v>131524.255442036</v>
      </c>
      <c r="AQ5534" s="2">
        <v>106874.690533742</v>
      </c>
      <c r="AR5534" s="2">
        <v>90115.143206838795</v>
      </c>
      <c r="AS5534" s="2">
        <v>98060.593181607503</v>
      </c>
      <c r="AT5534" s="2">
        <v>79920.268989095304</v>
      </c>
      <c r="AU5534" s="2">
        <v>121932.853141549</v>
      </c>
      <c r="AV5534" s="2">
        <v>134464.66036286199</v>
      </c>
      <c r="AW5534" s="2">
        <v>136426.63121113001</v>
      </c>
      <c r="AX5534" s="2">
        <v>128685.18940582201</v>
      </c>
    </row>
    <row r="5535" spans="1:50" x14ac:dyDescent="0.25">
      <c r="A5535" s="2" t="s">
        <v>36149</v>
      </c>
      <c r="B5535" s="2">
        <v>381.10699629977302</v>
      </c>
      <c r="C5535" s="2">
        <v>5.7914500000000002</v>
      </c>
      <c r="D5535" s="2" t="s">
        <v>51</v>
      </c>
      <c r="E5535" s="2" t="s">
        <v>36150</v>
      </c>
      <c r="F5535" s="2">
        <v>211248</v>
      </c>
      <c r="G5535" s="3" t="str">
        <f>HYPERLINK("https://cloud.oebiotech.com/#/lm/network/211248", "https://cloud.oebiotech.com/#/lm/network/211248")</f>
        <v>https://cloud.oebiotech.com/#/lm/network/211248</v>
      </c>
      <c r="H5535" s="2" t="s">
        <v>36151</v>
      </c>
      <c r="I5535" s="2"/>
      <c r="J5535" s="2"/>
      <c r="K5535" s="2">
        <v>54052793</v>
      </c>
      <c r="L5535" s="2"/>
      <c r="M5535" s="2"/>
      <c r="N5535" s="2"/>
      <c r="O5535" s="2"/>
      <c r="P5535" s="2"/>
      <c r="Q5535" s="2"/>
      <c r="R5535" s="2"/>
      <c r="S5535" s="2" t="s">
        <v>36152</v>
      </c>
      <c r="T5535" s="2" t="s">
        <v>36153</v>
      </c>
      <c r="U5535" s="2" t="s">
        <v>266</v>
      </c>
      <c r="V5535" s="2" t="s">
        <v>445</v>
      </c>
      <c r="W5535" s="2" t="s">
        <v>3768</v>
      </c>
      <c r="X5535" s="2" t="s">
        <v>83</v>
      </c>
      <c r="Y5535" s="2">
        <v>40.1</v>
      </c>
      <c r="Z5535" s="2">
        <v>0</v>
      </c>
      <c r="AA5535" s="2" t="s">
        <v>478</v>
      </c>
      <c r="AB5535" s="2" t="s">
        <v>36154</v>
      </c>
      <c r="AC5535" s="2">
        <v>-5.7929257869928499</v>
      </c>
      <c r="AD5535" s="2"/>
      <c r="AE5535" s="2">
        <v>2.5951384038307799E-2</v>
      </c>
      <c r="AF5535" s="2">
        <v>2917.0172031727502</v>
      </c>
      <c r="AG5535" s="2">
        <v>3140.7991080438901</v>
      </c>
      <c r="AH5535" s="4">
        <v>0.92875001005380597</v>
      </c>
      <c r="AI5535" s="4">
        <v>-0.10663777361882</v>
      </c>
      <c r="AJ5535" s="4" t="s">
        <v>62</v>
      </c>
      <c r="AK5535" s="2">
        <v>0.74670094874892401</v>
      </c>
      <c r="AL5535" s="2">
        <v>0.88438089966151401</v>
      </c>
      <c r="AM5535" s="2">
        <v>4049.9974931628799</v>
      </c>
      <c r="AN5535" s="2">
        <v>3712.4314394745202</v>
      </c>
      <c r="AO5535" s="2">
        <v>2553.2402029659202</v>
      </c>
      <c r="AP5535" s="2">
        <v>3366.8751779791401</v>
      </c>
      <c r="AQ5535" s="2">
        <v>2253.3352252585601</v>
      </c>
      <c r="AR5535" s="2">
        <v>1566.22368019545</v>
      </c>
      <c r="AS5535" s="2">
        <v>5173.3350411437305</v>
      </c>
      <c r="AT5535" s="2">
        <v>3639.8939450718899</v>
      </c>
      <c r="AU5535" s="2">
        <v>1689.5329040051899</v>
      </c>
      <c r="AV5535" s="2">
        <v>2006.11801151944</v>
      </c>
      <c r="AW5535" s="2">
        <v>3984.55458700708</v>
      </c>
      <c r="AX5535" s="2">
        <v>2351.3601595159998</v>
      </c>
    </row>
    <row r="5536" spans="1:50" x14ac:dyDescent="0.25">
      <c r="A5536" s="2" t="s">
        <v>36155</v>
      </c>
      <c r="B5536" s="2">
        <v>635.284163342581</v>
      </c>
      <c r="C5536" s="2">
        <v>9.5006666666666693</v>
      </c>
      <c r="D5536" s="2" t="s">
        <v>51</v>
      </c>
      <c r="E5536" s="2" t="s">
        <v>36156</v>
      </c>
      <c r="F5536" s="2">
        <v>202003</v>
      </c>
      <c r="G5536" s="3" t="str">
        <f>HYPERLINK("https://cloud.oebiotech.com/#/lm/network/202003", "https://cloud.oebiotech.com/#/lm/network/202003")</f>
        <v>https://cloud.oebiotech.com/#/lm/network/202003</v>
      </c>
      <c r="H5536" s="2" t="s">
        <v>36157</v>
      </c>
      <c r="I5536" s="2"/>
      <c r="J5536" s="2"/>
      <c r="K5536" s="2">
        <v>22330991</v>
      </c>
      <c r="L5536" s="2"/>
      <c r="M5536" s="2"/>
      <c r="N5536" s="2"/>
      <c r="O5536" s="2"/>
      <c r="P5536" s="2"/>
      <c r="Q5536" s="2"/>
      <c r="R5536" s="2"/>
      <c r="S5536" s="2" t="s">
        <v>36158</v>
      </c>
      <c r="T5536" s="2" t="s">
        <v>36159</v>
      </c>
      <c r="U5536" s="2" t="s">
        <v>540</v>
      </c>
      <c r="V5536" s="2" t="s">
        <v>1826</v>
      </c>
      <c r="W5536" s="2" t="s">
        <v>240</v>
      </c>
      <c r="X5536" s="2" t="s">
        <v>83</v>
      </c>
      <c r="Y5536" s="2">
        <v>43.1</v>
      </c>
      <c r="Z5536" s="2">
        <v>0</v>
      </c>
      <c r="AA5536" s="2" t="s">
        <v>478</v>
      </c>
      <c r="AB5536" s="2" t="s">
        <v>6160</v>
      </c>
      <c r="AC5536" s="2">
        <v>-3.1555127701408998</v>
      </c>
      <c r="AD5536" s="2"/>
      <c r="AE5536" s="2">
        <v>2.5822283998911798E-2</v>
      </c>
      <c r="AF5536" s="2">
        <v>10395.7306571438</v>
      </c>
      <c r="AG5536" s="2">
        <v>10806.151886113101</v>
      </c>
      <c r="AH5536" s="4">
        <v>0.96201966867625399</v>
      </c>
      <c r="AI5536" s="4">
        <v>-5.5861704414274002E-2</v>
      </c>
      <c r="AJ5536" s="4" t="s">
        <v>62</v>
      </c>
      <c r="AK5536" s="2">
        <v>0.91044105887257398</v>
      </c>
      <c r="AL5536" s="2">
        <v>0.96265157017390501</v>
      </c>
      <c r="AM5536" s="2">
        <v>15034.5699491423</v>
      </c>
      <c r="AN5536" s="2">
        <v>7077.2379788953103</v>
      </c>
      <c r="AO5536" s="2">
        <v>11135.933681934101</v>
      </c>
      <c r="AP5536" s="2">
        <v>6645.1625570538799</v>
      </c>
      <c r="AQ5536" s="2">
        <v>9962.8952272010902</v>
      </c>
      <c r="AR5536" s="2">
        <v>12518.5845486362</v>
      </c>
      <c r="AS5536" s="2">
        <v>4337.5910401792498</v>
      </c>
      <c r="AT5536" s="2">
        <v>3224.6046115695199</v>
      </c>
      <c r="AU5536" s="2">
        <v>25618.607576359402</v>
      </c>
      <c r="AV5536" s="2">
        <v>12102.865824926799</v>
      </c>
      <c r="AW5536" s="2">
        <v>11409.7510462214</v>
      </c>
      <c r="AX5536" s="2">
        <v>8143.49121742227</v>
      </c>
    </row>
    <row r="5537" spans="1:50" x14ac:dyDescent="0.25">
      <c r="A5537" s="2" t="s">
        <v>36160</v>
      </c>
      <c r="B5537" s="2">
        <v>440.33857712221999</v>
      </c>
      <c r="C5537" s="2">
        <v>9.3200333333333294</v>
      </c>
      <c r="D5537" s="2" t="s">
        <v>51</v>
      </c>
      <c r="E5537" s="2" t="s">
        <v>36161</v>
      </c>
      <c r="F5537" s="2">
        <v>280462</v>
      </c>
      <c r="G5537" s="3" t="str">
        <f>HYPERLINK("https://cloud.oebiotech.com/#/lm/network/280462", "https://cloud.oebiotech.com/#/lm/network/280462")</f>
        <v>https://cloud.oebiotech.com/#/lm/network/280462</v>
      </c>
      <c r="H5537" s="2"/>
      <c r="I5537" s="2">
        <v>73574</v>
      </c>
      <c r="J5537" s="2"/>
      <c r="K5537" s="2">
        <v>10960835</v>
      </c>
      <c r="L5537" s="2"/>
      <c r="M5537" s="2"/>
      <c r="N5537" s="2"/>
      <c r="O5537" s="2"/>
      <c r="P5537" s="2"/>
      <c r="Q5537" s="2"/>
      <c r="R5537" s="2" t="s">
        <v>36162</v>
      </c>
      <c r="S5537" s="2" t="s">
        <v>36163</v>
      </c>
      <c r="T5537" s="2" t="s">
        <v>36164</v>
      </c>
      <c r="U5537" s="2" t="s">
        <v>56</v>
      </c>
      <c r="V5537" s="2" t="s">
        <v>283</v>
      </c>
      <c r="W5537" s="2" t="s">
        <v>2042</v>
      </c>
      <c r="X5537" s="2" t="s">
        <v>147</v>
      </c>
      <c r="Y5537" s="2">
        <v>37.9</v>
      </c>
      <c r="Z5537" s="2">
        <v>0</v>
      </c>
      <c r="AA5537" s="2" t="s">
        <v>512</v>
      </c>
      <c r="AB5537" s="2" t="s">
        <v>36165</v>
      </c>
      <c r="AC5537" s="2">
        <v>3.6162344777856599</v>
      </c>
      <c r="AD5537" s="2"/>
      <c r="AE5537" s="2">
        <v>2.5793925215263701E-2</v>
      </c>
      <c r="AF5537" s="2">
        <v>3020.1215765956699</v>
      </c>
      <c r="AG5537" s="2">
        <v>2563.6583485637998</v>
      </c>
      <c r="AH5537" s="5">
        <v>1.17805150529812</v>
      </c>
      <c r="AI5537" s="5">
        <v>0.23640261625987299</v>
      </c>
      <c r="AJ5537" s="5" t="s">
        <v>139</v>
      </c>
      <c r="AK5537" s="2">
        <v>0.68285427392578002</v>
      </c>
      <c r="AL5537" s="2">
        <v>0.846868955769424</v>
      </c>
      <c r="AM5537" s="2">
        <v>1654.41081670227</v>
      </c>
      <c r="AN5537" s="2">
        <v>2966.4827081318799</v>
      </c>
      <c r="AO5537" s="2">
        <v>3482.9865136746598</v>
      </c>
      <c r="AP5537" s="2">
        <v>5726.6474505623901</v>
      </c>
      <c r="AQ5537" s="2">
        <v>2241.3340106291598</v>
      </c>
      <c r="AR5537" s="2">
        <v>2048.8679598736799</v>
      </c>
      <c r="AS5537" s="2">
        <v>321.51582349933</v>
      </c>
      <c r="AT5537" s="2">
        <v>1398.43509621097</v>
      </c>
      <c r="AU5537" s="2">
        <v>3452.20738899564</v>
      </c>
      <c r="AV5537" s="2">
        <v>3262.3374450388101</v>
      </c>
      <c r="AW5537" s="2">
        <v>6215.6791855454103</v>
      </c>
      <c r="AX5537" s="2">
        <v>731.77515209262106</v>
      </c>
    </row>
    <row r="5538" spans="1:50" x14ac:dyDescent="0.25">
      <c r="A5538" s="2" t="s">
        <v>36166</v>
      </c>
      <c r="B5538" s="2">
        <v>366.04178449246098</v>
      </c>
      <c r="C5538" s="2">
        <v>1.08738333333333</v>
      </c>
      <c r="D5538" s="2" t="s">
        <v>51</v>
      </c>
      <c r="E5538" s="2" t="s">
        <v>36167</v>
      </c>
      <c r="F5538" s="2">
        <v>211477</v>
      </c>
      <c r="G5538" s="3" t="str">
        <f>HYPERLINK("https://cloud.oebiotech.com/#/lm/network/211477", "https://cloud.oebiotech.com/#/lm/network/211477")</f>
        <v>https://cloud.oebiotech.com/#/lm/network/211477</v>
      </c>
      <c r="H5538" s="2" t="s">
        <v>36168</v>
      </c>
      <c r="I5538" s="2"/>
      <c r="J5538" s="2"/>
      <c r="K5538" s="2">
        <v>18364615</v>
      </c>
      <c r="L5538" s="2"/>
      <c r="M5538" s="2"/>
      <c r="N5538" s="2"/>
      <c r="O5538" s="2"/>
      <c r="P5538" s="2"/>
      <c r="Q5538" s="2"/>
      <c r="R5538" s="2"/>
      <c r="S5538" s="2" t="s">
        <v>36169</v>
      </c>
      <c r="T5538" s="2" t="s">
        <v>36170</v>
      </c>
      <c r="U5538" s="2" t="s">
        <v>103</v>
      </c>
      <c r="V5538" s="2" t="s">
        <v>104</v>
      </c>
      <c r="W5538" s="2" t="s">
        <v>6545</v>
      </c>
      <c r="X5538" s="2" t="s">
        <v>147</v>
      </c>
      <c r="Y5538" s="2">
        <v>43.7</v>
      </c>
      <c r="Z5538" s="2">
        <v>38.6</v>
      </c>
      <c r="AA5538" s="2" t="s">
        <v>122</v>
      </c>
      <c r="AB5538" s="2" t="s">
        <v>36171</v>
      </c>
      <c r="AC5538" s="2">
        <v>-4.5243558988446102</v>
      </c>
      <c r="AD5538" s="2"/>
      <c r="AE5538" s="2">
        <v>2.5652449152224002E-2</v>
      </c>
      <c r="AF5538" s="2">
        <v>546.67704755685202</v>
      </c>
      <c r="AG5538" s="2">
        <v>643.42852118240501</v>
      </c>
      <c r="AH5538" s="4">
        <v>0.849631356956704</v>
      </c>
      <c r="AI5538" s="4">
        <v>-0.23509108287532701</v>
      </c>
      <c r="AJ5538" s="4" t="s">
        <v>62</v>
      </c>
      <c r="AK5538" s="2">
        <v>0.85844487770336497</v>
      </c>
      <c r="AL5538" s="2">
        <v>0.93807974211759204</v>
      </c>
      <c r="AM5538" s="2">
        <v>14.025488839651899</v>
      </c>
      <c r="AN5538" s="2">
        <v>8.559877937157E-6</v>
      </c>
      <c r="AO5538" s="2">
        <v>202.83779451603601</v>
      </c>
      <c r="AP5538" s="2">
        <v>8.559877937157E-6</v>
      </c>
      <c r="AQ5538" s="2">
        <v>1066.0024968866501</v>
      </c>
      <c r="AR5538" s="2">
        <v>1997.19648797902</v>
      </c>
      <c r="AS5538" s="2">
        <v>8.559877937157E-6</v>
      </c>
      <c r="AT5538" s="2">
        <v>8.559877937157E-6</v>
      </c>
      <c r="AU5538" s="2">
        <v>2076.9514217303999</v>
      </c>
      <c r="AV5538" s="2">
        <v>1783.61967112452</v>
      </c>
      <c r="AW5538" s="2">
        <v>8.559877937157E-6</v>
      </c>
      <c r="AX5538" s="2">
        <v>8.559877937157E-6</v>
      </c>
    </row>
    <row r="5539" spans="1:50" x14ac:dyDescent="0.25">
      <c r="A5539" s="2" t="s">
        <v>36172</v>
      </c>
      <c r="B5539" s="2">
        <v>600.31638843472001</v>
      </c>
      <c r="C5539" s="2">
        <v>3.88018333333333</v>
      </c>
      <c r="D5539" s="2" t="s">
        <v>51</v>
      </c>
      <c r="E5539" s="2" t="s">
        <v>36173</v>
      </c>
      <c r="F5539" s="2">
        <v>205946</v>
      </c>
      <c r="G5539" s="3" t="str">
        <f>HYPERLINK("https://cloud.oebiotech.com/#/lm/network/205946", "https://cloud.oebiotech.com/#/lm/network/205946")</f>
        <v>https://cloud.oebiotech.com/#/lm/network/205946</v>
      </c>
      <c r="H5539" s="2" t="s">
        <v>36174</v>
      </c>
      <c r="I5539" s="2"/>
      <c r="J5539" s="2"/>
      <c r="K5539" s="2">
        <v>522609</v>
      </c>
      <c r="L5539" s="2"/>
      <c r="M5539" s="2"/>
      <c r="N5539" s="2"/>
      <c r="O5539" s="2"/>
      <c r="P5539" s="2"/>
      <c r="Q5539" s="2"/>
      <c r="R5539" s="2"/>
      <c r="S5539" s="2" t="s">
        <v>36175</v>
      </c>
      <c r="T5539" s="2" t="s">
        <v>36176</v>
      </c>
      <c r="U5539" s="2" t="s">
        <v>238</v>
      </c>
      <c r="V5539" s="2" t="s">
        <v>860</v>
      </c>
      <c r="W5539" s="2" t="s">
        <v>861</v>
      </c>
      <c r="X5539" s="2" t="s">
        <v>147</v>
      </c>
      <c r="Y5539" s="2">
        <v>42.4</v>
      </c>
      <c r="Z5539" s="2">
        <v>24.9</v>
      </c>
      <c r="AA5539" s="2" t="s">
        <v>95</v>
      </c>
      <c r="AB5539" s="2" t="s">
        <v>36177</v>
      </c>
      <c r="AC5539" s="2">
        <v>1.296067328243</v>
      </c>
      <c r="AD5539" s="2"/>
      <c r="AE5539" s="2">
        <v>2.5603104486302201E-2</v>
      </c>
      <c r="AF5539" s="2">
        <v>2476.2694425006998</v>
      </c>
      <c r="AG5539" s="2">
        <v>3085.0356299885102</v>
      </c>
      <c r="AH5539" s="4">
        <v>0.80267126202037498</v>
      </c>
      <c r="AI5539" s="4">
        <v>-0.31711884906162802</v>
      </c>
      <c r="AJ5539" s="4" t="s">
        <v>62</v>
      </c>
      <c r="AK5539" s="2">
        <v>0.74391426424515805</v>
      </c>
      <c r="AL5539" s="2">
        <v>0.88266909785071501</v>
      </c>
      <c r="AM5539" s="2">
        <v>4611.9048880773998</v>
      </c>
      <c r="AN5539" s="2">
        <v>8.559877937157E-6</v>
      </c>
      <c r="AO5539" s="2">
        <v>4540.4047691974001</v>
      </c>
      <c r="AP5539" s="2">
        <v>8.559877937157E-6</v>
      </c>
      <c r="AQ5539" s="2">
        <v>1717.13462049481</v>
      </c>
      <c r="AR5539" s="2">
        <v>3988.1723601148501</v>
      </c>
      <c r="AS5539" s="2">
        <v>8.559877937157E-6</v>
      </c>
      <c r="AT5539" s="2">
        <v>8.559877937157E-6</v>
      </c>
      <c r="AU5539" s="2">
        <v>9020.0374072293998</v>
      </c>
      <c r="AV5539" s="2">
        <v>6376.5601920334302</v>
      </c>
      <c r="AW5539" s="2">
        <v>3113.6161549886101</v>
      </c>
      <c r="AX5539" s="2">
        <v>8.559877937157E-6</v>
      </c>
    </row>
    <row r="5540" spans="1:50" x14ac:dyDescent="0.25">
      <c r="A5540" s="2" t="s">
        <v>36178</v>
      </c>
      <c r="B5540" s="2">
        <v>174.11303030967801</v>
      </c>
      <c r="C5540" s="2">
        <v>0.71519999999999995</v>
      </c>
      <c r="D5540" s="2" t="s">
        <v>51</v>
      </c>
      <c r="E5540" s="2" t="s">
        <v>36179</v>
      </c>
      <c r="F5540" s="2">
        <v>206129</v>
      </c>
      <c r="G5540" s="3" t="str">
        <f>HYPERLINK("https://cloud.oebiotech.com/#/lm/network/206129", "https://cloud.oebiotech.com/#/lm/network/206129")</f>
        <v>https://cloud.oebiotech.com/#/lm/network/206129</v>
      </c>
      <c r="H5540" s="2" t="s">
        <v>36180</v>
      </c>
      <c r="I5540" s="2">
        <v>63425</v>
      </c>
      <c r="J5540" s="2"/>
      <c r="K5540" s="2">
        <v>232</v>
      </c>
      <c r="L5540" s="2" t="s">
        <v>36181</v>
      </c>
      <c r="M5540" s="2"/>
      <c r="N5540" s="2"/>
      <c r="O5540" s="2">
        <v>29016</v>
      </c>
      <c r="P5540" s="2"/>
      <c r="Q5540" s="2"/>
      <c r="R5540" s="2"/>
      <c r="S5540" s="2" t="s">
        <v>36182</v>
      </c>
      <c r="T5540" s="2" t="s">
        <v>36183</v>
      </c>
      <c r="U5540" s="2" t="s">
        <v>103</v>
      </c>
      <c r="V5540" s="2" t="s">
        <v>104</v>
      </c>
      <c r="W5540" s="2" t="s">
        <v>105</v>
      </c>
      <c r="X5540" s="2" t="s">
        <v>83</v>
      </c>
      <c r="Y5540" s="2">
        <v>39.5</v>
      </c>
      <c r="Z5540" s="2">
        <v>0</v>
      </c>
      <c r="AA5540" s="2" t="s">
        <v>122</v>
      </c>
      <c r="AB5540" s="2" t="s">
        <v>32918</v>
      </c>
      <c r="AC5540" s="2">
        <v>7.77950342613007</v>
      </c>
      <c r="AD5540" s="2"/>
      <c r="AE5540" s="2">
        <v>2.55137241196676E-2</v>
      </c>
      <c r="AF5540" s="2">
        <v>2810.6445222178399</v>
      </c>
      <c r="AG5540" s="2">
        <v>2500.7030959285598</v>
      </c>
      <c r="AH5540" s="5">
        <v>1.1239417133501</v>
      </c>
      <c r="AI5540" s="5">
        <v>0.16856722057561899</v>
      </c>
      <c r="AJ5540" s="5" t="s">
        <v>139</v>
      </c>
      <c r="AK5540" s="2">
        <v>0.73097251587249601</v>
      </c>
      <c r="AL5540" s="2">
        <v>0.87619950005733704</v>
      </c>
      <c r="AM5540" s="2">
        <v>2347.8602163884898</v>
      </c>
      <c r="AN5540" s="2">
        <v>3507.2949986148701</v>
      </c>
      <c r="AO5540" s="2">
        <v>2428.3464448419099</v>
      </c>
      <c r="AP5540" s="2">
        <v>4908.32525588312</v>
      </c>
      <c r="AQ5540" s="2">
        <v>1808.2012403183701</v>
      </c>
      <c r="AR5540" s="2">
        <v>1863.83897726031</v>
      </c>
      <c r="AS5540" s="2">
        <v>2200.3799999757998</v>
      </c>
      <c r="AT5540" s="2">
        <v>3275.1028542294498</v>
      </c>
      <c r="AU5540" s="2">
        <v>485.68914398948198</v>
      </c>
      <c r="AV5540" s="2">
        <v>928.87999255164095</v>
      </c>
      <c r="AW5540" s="2">
        <v>2672.3090472354802</v>
      </c>
      <c r="AX5540" s="2">
        <v>5441.8575375895298</v>
      </c>
    </row>
    <row r="5541" spans="1:50" x14ac:dyDescent="0.25">
      <c r="A5541" s="2" t="s">
        <v>36184</v>
      </c>
      <c r="B5541" s="2">
        <v>499.30489978984002</v>
      </c>
      <c r="C5541" s="2">
        <v>10.473283333333301</v>
      </c>
      <c r="D5541" s="2" t="s">
        <v>51</v>
      </c>
      <c r="E5541" s="2" t="s">
        <v>36185</v>
      </c>
      <c r="F5541" s="2">
        <v>45303</v>
      </c>
      <c r="G5541" s="3" t="str">
        <f>HYPERLINK("https://cloud.oebiotech.com/#/lm/network/45303", "https://cloud.oebiotech.com/#/lm/network/45303")</f>
        <v>https://cloud.oebiotech.com/#/lm/network/45303</v>
      </c>
      <c r="H5541" s="2"/>
      <c r="I5541" s="2">
        <v>42070</v>
      </c>
      <c r="J5541" s="2" t="s">
        <v>36186</v>
      </c>
      <c r="K5541" s="2">
        <v>9547376</v>
      </c>
      <c r="L5541" s="2"/>
      <c r="M5541" s="2"/>
      <c r="N5541" s="2"/>
      <c r="O5541" s="2"/>
      <c r="P5541" s="2"/>
      <c r="Q5541" s="2"/>
      <c r="R5541" s="2"/>
      <c r="S5541" s="2" t="s">
        <v>36187</v>
      </c>
      <c r="T5541" s="2" t="s">
        <v>36188</v>
      </c>
      <c r="U5541" s="2" t="s">
        <v>56</v>
      </c>
      <c r="V5541" s="2" t="s">
        <v>283</v>
      </c>
      <c r="W5541" s="2" t="s">
        <v>420</v>
      </c>
      <c r="X5541" s="2" t="s">
        <v>147</v>
      </c>
      <c r="Y5541" s="2">
        <v>37.9</v>
      </c>
      <c r="Z5541" s="2">
        <v>0</v>
      </c>
      <c r="AA5541" s="2" t="s">
        <v>218</v>
      </c>
      <c r="AB5541" s="2" t="s">
        <v>36189</v>
      </c>
      <c r="AC5541" s="2">
        <v>1.8307178343375199</v>
      </c>
      <c r="AD5541" s="2"/>
      <c r="AE5541" s="2">
        <v>2.5436187605945001E-2</v>
      </c>
      <c r="AF5541" s="2">
        <v>3397.49405079282</v>
      </c>
      <c r="AG5541" s="2">
        <v>3478.1749197150202</v>
      </c>
      <c r="AH5541" s="4">
        <v>0.97680367699022597</v>
      </c>
      <c r="AI5541" s="4">
        <v>-3.3859463802852402E-2</v>
      </c>
      <c r="AJ5541" s="4" t="s">
        <v>62</v>
      </c>
      <c r="AK5541" s="2">
        <v>0.93225012364653004</v>
      </c>
      <c r="AL5541" s="2">
        <v>0.97061347617365101</v>
      </c>
      <c r="AM5541" s="2">
        <v>1260.9590553349101</v>
      </c>
      <c r="AN5541" s="2">
        <v>1795.37799585324</v>
      </c>
      <c r="AO5541" s="2">
        <v>4199.4166433410601</v>
      </c>
      <c r="AP5541" s="2">
        <v>2624.7852084168699</v>
      </c>
      <c r="AQ5541" s="2">
        <v>7005.4861895051499</v>
      </c>
      <c r="AR5541" s="2">
        <v>3498.93921230569</v>
      </c>
      <c r="AS5541" s="2">
        <v>2705.97575884348</v>
      </c>
      <c r="AT5541" s="2">
        <v>4219.9183635814697</v>
      </c>
      <c r="AU5541" s="2">
        <v>4658.5779504438096</v>
      </c>
      <c r="AV5541" s="2">
        <v>3855.0363479315902</v>
      </c>
      <c r="AW5541" s="2">
        <v>3187.6805592709502</v>
      </c>
      <c r="AX5541" s="2">
        <v>2241.8605382188398</v>
      </c>
    </row>
    <row r="5542" spans="1:50" x14ac:dyDescent="0.25">
      <c r="A5542" s="2" t="s">
        <v>36190</v>
      </c>
      <c r="B5542" s="2">
        <v>227.12849070513499</v>
      </c>
      <c r="C5542" s="2">
        <v>6.1134166666666703</v>
      </c>
      <c r="D5542" s="2" t="s">
        <v>51</v>
      </c>
      <c r="E5542" s="2" t="s">
        <v>36191</v>
      </c>
      <c r="F5542" s="2">
        <v>3370</v>
      </c>
      <c r="G5542" s="3" t="str">
        <f>HYPERLINK("https://cloud.oebiotech.com/#/lm/network/3370", "https://cloud.oebiotech.com/#/lm/network/3370")</f>
        <v>https://cloud.oebiotech.com/#/lm/network/3370</v>
      </c>
      <c r="H5542" s="2"/>
      <c r="I5542" s="2">
        <v>45942</v>
      </c>
      <c r="J5542" s="2" t="s">
        <v>36192</v>
      </c>
      <c r="K5542" s="2">
        <v>11966225</v>
      </c>
      <c r="L5542" s="2"/>
      <c r="M5542" s="2"/>
      <c r="N5542" s="2"/>
      <c r="O5542" s="2">
        <v>38152</v>
      </c>
      <c r="P5542" s="2"/>
      <c r="Q5542" s="2"/>
      <c r="R5542" s="2"/>
      <c r="S5542" s="2" t="s">
        <v>36193</v>
      </c>
      <c r="T5542" s="2" t="s">
        <v>36194</v>
      </c>
      <c r="U5542" s="2" t="s">
        <v>56</v>
      </c>
      <c r="V5542" s="2" t="s">
        <v>145</v>
      </c>
      <c r="W5542" s="2" t="s">
        <v>203</v>
      </c>
      <c r="X5542" s="2" t="s">
        <v>83</v>
      </c>
      <c r="Y5542" s="2">
        <v>48.2</v>
      </c>
      <c r="Z5542" s="2">
        <v>0</v>
      </c>
      <c r="AA5542" s="2" t="s">
        <v>163</v>
      </c>
      <c r="AB5542" s="2" t="s">
        <v>7377</v>
      </c>
      <c r="AC5542" s="2">
        <v>-1.7181954266338999</v>
      </c>
      <c r="AD5542" s="2"/>
      <c r="AE5542" s="2">
        <v>2.5388728128106001E-2</v>
      </c>
      <c r="AF5542" s="2">
        <v>1039.0678353565099</v>
      </c>
      <c r="AG5542" s="2">
        <v>999.43289275158895</v>
      </c>
      <c r="AH5542" s="5">
        <v>1.0396574326224199</v>
      </c>
      <c r="AI5542" s="5">
        <v>5.61082382983756E-2</v>
      </c>
      <c r="AJ5542" s="5" t="s">
        <v>139</v>
      </c>
      <c r="AK5542" s="2">
        <v>0.90078152480497098</v>
      </c>
      <c r="AL5542" s="2">
        <v>0.95892772328619502</v>
      </c>
      <c r="AM5542" s="2">
        <v>1005.73876399877</v>
      </c>
      <c r="AN5542" s="2">
        <v>1701.4507604288499</v>
      </c>
      <c r="AO5542" s="2">
        <v>563.98340938804199</v>
      </c>
      <c r="AP5542" s="2">
        <v>777.56147100540397</v>
      </c>
      <c r="AQ5542" s="2">
        <v>752.93009070549397</v>
      </c>
      <c r="AR5542" s="2">
        <v>1432.7425166125299</v>
      </c>
      <c r="AS5542" s="2">
        <v>1326.4227002889099</v>
      </c>
      <c r="AT5542" s="2">
        <v>863.72669139144796</v>
      </c>
      <c r="AU5542" s="2">
        <v>1966.26055673728</v>
      </c>
      <c r="AV5542" s="2">
        <v>722.204609605114</v>
      </c>
      <c r="AW5542" s="2">
        <v>119.521854321699</v>
      </c>
      <c r="AX5542" s="2">
        <v>998.46094416508197</v>
      </c>
    </row>
    <row r="5543" spans="1:50" x14ac:dyDescent="0.25">
      <c r="A5543" s="2" t="s">
        <v>36195</v>
      </c>
      <c r="B5543" s="2">
        <v>219.17485147162</v>
      </c>
      <c r="C5543" s="2">
        <v>11.777900000000001</v>
      </c>
      <c r="D5543" s="2" t="s">
        <v>51</v>
      </c>
      <c r="E5543" s="2" t="s">
        <v>36196</v>
      </c>
      <c r="F5543" s="2">
        <v>61643</v>
      </c>
      <c r="G5543" s="3" t="str">
        <f>HYPERLINK("https://cloud.oebiotech.com/#/lm/network/61643", "https://cloud.oebiotech.com/#/lm/network/61643")</f>
        <v>https://cloud.oebiotech.com/#/lm/network/61643</v>
      </c>
      <c r="H5543" s="2" t="s">
        <v>36197</v>
      </c>
      <c r="I5543" s="2">
        <v>67911</v>
      </c>
      <c r="J5543" s="2"/>
      <c r="K5543" s="2">
        <v>5281534</v>
      </c>
      <c r="L5543" s="2" t="s">
        <v>36198</v>
      </c>
      <c r="M5543" s="2"/>
      <c r="N5543" s="2"/>
      <c r="O5543" s="2">
        <v>10332</v>
      </c>
      <c r="P5543" s="2"/>
      <c r="Q5543" s="2"/>
      <c r="R5543" s="2" t="s">
        <v>36199</v>
      </c>
      <c r="S5543" s="2" t="s">
        <v>36200</v>
      </c>
      <c r="T5543" s="2" t="s">
        <v>36201</v>
      </c>
      <c r="U5543" s="2" t="s">
        <v>56</v>
      </c>
      <c r="V5543" s="2" t="s">
        <v>177</v>
      </c>
      <c r="W5543" s="2" t="s">
        <v>1996</v>
      </c>
      <c r="X5543" s="2" t="s">
        <v>83</v>
      </c>
      <c r="Y5543" s="2">
        <v>43.4</v>
      </c>
      <c r="Z5543" s="2">
        <v>0</v>
      </c>
      <c r="AA5543" s="2" t="s">
        <v>259</v>
      </c>
      <c r="AB5543" s="2" t="s">
        <v>16120</v>
      </c>
      <c r="AC5543" s="2">
        <v>2.3363495271937502</v>
      </c>
      <c r="AD5543" s="2"/>
      <c r="AE5543" s="2">
        <v>2.51995820478528E-2</v>
      </c>
      <c r="AF5543" s="2">
        <v>3000.27249777416</v>
      </c>
      <c r="AG5543" s="2">
        <v>2757.1981585262201</v>
      </c>
      <c r="AH5543" s="5">
        <v>1.08815990918037</v>
      </c>
      <c r="AI5543" s="5">
        <v>0.121890581615409</v>
      </c>
      <c r="AJ5543" s="5" t="s">
        <v>139</v>
      </c>
      <c r="AK5543" s="2">
        <v>0.58810341291511004</v>
      </c>
      <c r="AL5543" s="2">
        <v>0.79259485853877298</v>
      </c>
      <c r="AM5543" s="2">
        <v>2125.9395310611999</v>
      </c>
      <c r="AN5543" s="2">
        <v>2211.8457692930401</v>
      </c>
      <c r="AO5543" s="2">
        <v>3524.3488317815099</v>
      </c>
      <c r="AP5543" s="2">
        <v>4535.1929711559796</v>
      </c>
      <c r="AQ5543" s="2">
        <v>3478.6119871126598</v>
      </c>
      <c r="AR5543" s="2">
        <v>2125.6958962405602</v>
      </c>
      <c r="AS5543" s="2">
        <v>2303.9269109861302</v>
      </c>
      <c r="AT5543" s="2">
        <v>3283.9206195976399</v>
      </c>
      <c r="AU5543" s="2">
        <v>2659.5349655926502</v>
      </c>
      <c r="AV5543" s="2">
        <v>3016.7889230794499</v>
      </c>
      <c r="AW5543" s="2">
        <v>2461.2124267029099</v>
      </c>
      <c r="AX5543" s="2">
        <v>2817.8051051985199</v>
      </c>
    </row>
    <row r="5544" spans="1:50" x14ac:dyDescent="0.25">
      <c r="A5544" s="2" t="s">
        <v>36202</v>
      </c>
      <c r="B5544" s="2">
        <v>512.20069586879595</v>
      </c>
      <c r="C5544" s="2">
        <v>8.9651666666666703</v>
      </c>
      <c r="D5544" s="2" t="s">
        <v>51</v>
      </c>
      <c r="E5544" s="2" t="s">
        <v>36203</v>
      </c>
      <c r="F5544" s="2">
        <v>57146</v>
      </c>
      <c r="G5544" s="3" t="str">
        <f>HYPERLINK("https://cloud.oebiotech.com/#/lm/network/57146", "https://cloud.oebiotech.com/#/lm/network/57146")</f>
        <v>https://cloud.oebiotech.com/#/lm/network/57146</v>
      </c>
      <c r="H5544" s="2" t="s">
        <v>36204</v>
      </c>
      <c r="I5544" s="2">
        <v>88794</v>
      </c>
      <c r="J5544" s="2"/>
      <c r="K5544" s="2">
        <v>131751341</v>
      </c>
      <c r="L5544" s="2"/>
      <c r="M5544" s="2"/>
      <c r="N5544" s="2"/>
      <c r="O5544" s="2">
        <v>172726</v>
      </c>
      <c r="P5544" s="2"/>
      <c r="Q5544" s="2"/>
      <c r="R5544" s="2" t="s">
        <v>36205</v>
      </c>
      <c r="S5544" s="2" t="s">
        <v>36206</v>
      </c>
      <c r="T5544" s="2" t="s">
        <v>36207</v>
      </c>
      <c r="U5544" s="2" t="s">
        <v>295</v>
      </c>
      <c r="V5544" s="2" t="s">
        <v>5395</v>
      </c>
      <c r="W5544" s="2" t="s">
        <v>240</v>
      </c>
      <c r="X5544" s="2" t="s">
        <v>147</v>
      </c>
      <c r="Y5544" s="2">
        <v>38.200000000000003</v>
      </c>
      <c r="Z5544" s="2">
        <v>0</v>
      </c>
      <c r="AA5544" s="2" t="s">
        <v>163</v>
      </c>
      <c r="AB5544" s="2" t="s">
        <v>36208</v>
      </c>
      <c r="AC5544" s="2">
        <v>1.7148769747866599</v>
      </c>
      <c r="AD5544" s="2"/>
      <c r="AE5544" s="2">
        <v>2.5183713011637E-2</v>
      </c>
      <c r="AF5544" s="2">
        <v>2148.09258192887</v>
      </c>
      <c r="AG5544" s="2">
        <v>2058.97260148336</v>
      </c>
      <c r="AH5544" s="5">
        <v>1.0432837136255699</v>
      </c>
      <c r="AI5544" s="5">
        <v>6.1131541923658501E-2</v>
      </c>
      <c r="AJ5544" s="5" t="s">
        <v>139</v>
      </c>
      <c r="AK5544" s="2">
        <v>0.87030520191955496</v>
      </c>
      <c r="AL5544" s="2">
        <v>0.94366278137172899</v>
      </c>
      <c r="AM5544" s="2">
        <v>1218.6338848913799</v>
      </c>
      <c r="AN5544" s="2">
        <v>1503.8140806536401</v>
      </c>
      <c r="AO5544" s="2">
        <v>1880.2873081385701</v>
      </c>
      <c r="AP5544" s="2">
        <v>3632.6407096417101</v>
      </c>
      <c r="AQ5544" s="2">
        <v>1986.0791083670499</v>
      </c>
      <c r="AR5544" s="2">
        <v>2667.1003998808501</v>
      </c>
      <c r="AS5544" s="2">
        <v>3958.8847313123802</v>
      </c>
      <c r="AT5544" s="2">
        <v>1806.7758166256899</v>
      </c>
      <c r="AU5544" s="2">
        <v>1805.54173158053</v>
      </c>
      <c r="AV5544" s="2">
        <v>2006.4416843983699</v>
      </c>
      <c r="AW5544" s="2">
        <v>1405.9935373846399</v>
      </c>
      <c r="AX5544" s="2">
        <v>1370.19810759855</v>
      </c>
    </row>
    <row r="5545" spans="1:50" x14ac:dyDescent="0.25">
      <c r="A5545" s="2" t="s">
        <v>36209</v>
      </c>
      <c r="B5545" s="2">
        <v>371.190002038128</v>
      </c>
      <c r="C5545" s="2">
        <v>7.5426333333333302</v>
      </c>
      <c r="D5545" s="2" t="s">
        <v>51</v>
      </c>
      <c r="E5545" s="2" t="s">
        <v>36210</v>
      </c>
      <c r="F5545" s="2">
        <v>36265</v>
      </c>
      <c r="G5545" s="3" t="str">
        <f>HYPERLINK("https://cloud.oebiotech.com/#/lm/network/36265", "https://cloud.oebiotech.com/#/lm/network/36265")</f>
        <v>https://cloud.oebiotech.com/#/lm/network/36265</v>
      </c>
      <c r="H5545" s="2"/>
      <c r="I5545" s="2">
        <v>41275</v>
      </c>
      <c r="J5545" s="2" t="s">
        <v>36211</v>
      </c>
      <c r="K5545" s="2">
        <v>72964</v>
      </c>
      <c r="L5545" s="2" t="s">
        <v>36212</v>
      </c>
      <c r="M5545" s="2"/>
      <c r="N5545" s="2"/>
      <c r="O5545" s="2">
        <v>7512</v>
      </c>
      <c r="P5545" s="2"/>
      <c r="Q5545" s="2"/>
      <c r="R5545" s="2"/>
      <c r="S5545" s="2" t="s">
        <v>36213</v>
      </c>
      <c r="T5545" s="2" t="s">
        <v>36214</v>
      </c>
      <c r="U5545" s="2" t="s">
        <v>56</v>
      </c>
      <c r="V5545" s="2" t="s">
        <v>177</v>
      </c>
      <c r="W5545" s="2" t="s">
        <v>806</v>
      </c>
      <c r="X5545" s="2" t="s">
        <v>83</v>
      </c>
      <c r="Y5545" s="2">
        <v>45.8</v>
      </c>
      <c r="Z5545" s="2">
        <v>0</v>
      </c>
      <c r="AA5545" s="2" t="s">
        <v>379</v>
      </c>
      <c r="AB5545" s="2" t="s">
        <v>8535</v>
      </c>
      <c r="AC5545" s="2">
        <v>9.2374154624980296</v>
      </c>
      <c r="AD5545" s="2"/>
      <c r="AE5545" s="2">
        <v>2.50618333826697E-2</v>
      </c>
      <c r="AF5545" s="2">
        <v>8209.8255034543199</v>
      </c>
      <c r="AG5545" s="2">
        <v>7384.4195920271004</v>
      </c>
      <c r="AH5545" s="5">
        <v>1.1117766807723699</v>
      </c>
      <c r="AI5545" s="5">
        <v>0.15286702736187699</v>
      </c>
      <c r="AJ5545" s="5" t="s">
        <v>139</v>
      </c>
      <c r="AK5545" s="2">
        <v>0.87740131703038204</v>
      </c>
      <c r="AL5545" s="2">
        <v>0.94752328784861595</v>
      </c>
      <c r="AM5545" s="2">
        <v>304.83011887722103</v>
      </c>
      <c r="AN5545" s="2">
        <v>332.318201873661</v>
      </c>
      <c r="AO5545" s="2">
        <v>20514.7881498604</v>
      </c>
      <c r="AP5545" s="2">
        <v>6134.1535492753301</v>
      </c>
      <c r="AQ5545" s="2">
        <v>21025.246888676498</v>
      </c>
      <c r="AR5545" s="2">
        <v>947.61611216283598</v>
      </c>
      <c r="AS5545" s="2">
        <v>18270.8826704229</v>
      </c>
      <c r="AT5545" s="2">
        <v>15820.5068680858</v>
      </c>
      <c r="AU5545" s="2">
        <v>1080.92759076742</v>
      </c>
      <c r="AV5545" s="2">
        <v>785.49102656869502</v>
      </c>
      <c r="AW5545" s="2">
        <v>7725.5734922661504</v>
      </c>
      <c r="AX5545" s="2">
        <v>623.13590405161699</v>
      </c>
    </row>
    <row r="5546" spans="1:50" x14ac:dyDescent="0.25">
      <c r="A5546" s="2" t="s">
        <v>36215</v>
      </c>
      <c r="B5546" s="2">
        <v>388.30720235348002</v>
      </c>
      <c r="C5546" s="2">
        <v>8.5599833333333297</v>
      </c>
      <c r="D5546" s="2" t="s">
        <v>51</v>
      </c>
      <c r="E5546" s="2" t="s">
        <v>36216</v>
      </c>
      <c r="F5546" s="2">
        <v>8327</v>
      </c>
      <c r="G5546" s="3" t="str">
        <f>HYPERLINK("https://cloud.oebiotech.com/#/lm/network/8327", "https://cloud.oebiotech.com/#/lm/network/8327")</f>
        <v>https://cloud.oebiotech.com/#/lm/network/8327</v>
      </c>
      <c r="H5546" s="2" t="s">
        <v>36217</v>
      </c>
      <c r="I5546" s="2"/>
      <c r="J5546" s="2" t="s">
        <v>36218</v>
      </c>
      <c r="K5546" s="2">
        <v>71464541</v>
      </c>
      <c r="L5546" s="2"/>
      <c r="M5546" s="2"/>
      <c r="N5546" s="2"/>
      <c r="O5546" s="2">
        <v>73063</v>
      </c>
      <c r="P5546" s="2"/>
      <c r="Q5546" s="2"/>
      <c r="R5546" s="2" t="s">
        <v>36219</v>
      </c>
      <c r="S5546" s="2" t="s">
        <v>36220</v>
      </c>
      <c r="T5546" s="2" t="s">
        <v>36221</v>
      </c>
      <c r="U5546" s="2" t="s">
        <v>56</v>
      </c>
      <c r="V5546" s="2" t="s">
        <v>145</v>
      </c>
      <c r="W5546" s="2" t="s">
        <v>1188</v>
      </c>
      <c r="X5546" s="2" t="s">
        <v>83</v>
      </c>
      <c r="Y5546" s="2">
        <v>41.4</v>
      </c>
      <c r="Z5546" s="2">
        <v>1.59</v>
      </c>
      <c r="AA5546" s="2" t="s">
        <v>259</v>
      </c>
      <c r="AB5546" s="2" t="s">
        <v>33713</v>
      </c>
      <c r="AC5546" s="2">
        <v>3.7503478843356999</v>
      </c>
      <c r="AD5546" s="2"/>
      <c r="AE5546" s="2">
        <v>2.50334285283286E-2</v>
      </c>
      <c r="AF5546" s="2">
        <v>3375.2490829089202</v>
      </c>
      <c r="AG5546" s="2">
        <v>3047.4552620045101</v>
      </c>
      <c r="AH5546" s="5">
        <v>1.1075631281585401</v>
      </c>
      <c r="AI5546" s="5">
        <v>0.14738893091185801</v>
      </c>
      <c r="AJ5546" s="5" t="s">
        <v>139</v>
      </c>
      <c r="AK5546" s="2">
        <v>0.83146438435914105</v>
      </c>
      <c r="AL5546" s="2">
        <v>0.92563361146450696</v>
      </c>
      <c r="AM5546" s="2">
        <v>1661.7814861551501</v>
      </c>
      <c r="AN5546" s="2">
        <v>1461.0365355828001</v>
      </c>
      <c r="AO5546" s="2">
        <v>2811.1851771186298</v>
      </c>
      <c r="AP5546" s="2">
        <v>7642.4957803805501</v>
      </c>
      <c r="AQ5546" s="2">
        <v>3177.23238358044</v>
      </c>
      <c r="AR5546" s="2">
        <v>3497.7631346359299</v>
      </c>
      <c r="AS5546" s="2">
        <v>2131.9564317846998</v>
      </c>
      <c r="AT5546" s="2">
        <v>1553.17555140541</v>
      </c>
      <c r="AU5546" s="2">
        <v>2809.3838749299298</v>
      </c>
      <c r="AV5546" s="2">
        <v>1654.4569572553</v>
      </c>
      <c r="AW5546" s="2">
        <v>8884.1817131824901</v>
      </c>
      <c r="AX5546" s="2">
        <v>1251.5770434692399</v>
      </c>
    </row>
    <row r="5547" spans="1:50" x14ac:dyDescent="0.25">
      <c r="A5547" s="2" t="s">
        <v>36222</v>
      </c>
      <c r="B5547" s="2">
        <v>435.12555513077598</v>
      </c>
      <c r="C5547" s="2">
        <v>0.74113333333333298</v>
      </c>
      <c r="D5547" s="2" t="s">
        <v>51</v>
      </c>
      <c r="E5547" s="2" t="s">
        <v>36223</v>
      </c>
      <c r="F5547" s="2">
        <v>208608</v>
      </c>
      <c r="G5547" s="3" t="str">
        <f>HYPERLINK("https://cloud.oebiotech.com/#/lm/network/208608", "https://cloud.oebiotech.com/#/lm/network/208608")</f>
        <v>https://cloud.oebiotech.com/#/lm/network/208608</v>
      </c>
      <c r="H5547" s="2" t="s">
        <v>36224</v>
      </c>
      <c r="I5547" s="2"/>
      <c r="J5547" s="2"/>
      <c r="K5547" s="2">
        <v>13559</v>
      </c>
      <c r="L5547" s="2"/>
      <c r="M5547" s="2"/>
      <c r="N5547" s="2"/>
      <c r="O5547" s="2"/>
      <c r="P5547" s="2"/>
      <c r="Q5547" s="2"/>
      <c r="R5547" s="2"/>
      <c r="S5547" s="2" t="s">
        <v>36225</v>
      </c>
      <c r="T5547" s="2" t="s">
        <v>36226</v>
      </c>
      <c r="U5547" s="2" t="s">
        <v>119</v>
      </c>
      <c r="V5547" s="2" t="s">
        <v>120</v>
      </c>
      <c r="W5547" s="2" t="s">
        <v>36227</v>
      </c>
      <c r="X5547" s="2" t="s">
        <v>147</v>
      </c>
      <c r="Y5547" s="2">
        <v>36</v>
      </c>
      <c r="Z5547" s="2">
        <v>0</v>
      </c>
      <c r="AA5547" s="2" t="s">
        <v>478</v>
      </c>
      <c r="AB5547" s="2" t="s">
        <v>36228</v>
      </c>
      <c r="AC5547" s="2">
        <v>1.95955917241046</v>
      </c>
      <c r="AD5547" s="2"/>
      <c r="AE5547" s="2">
        <v>2.4556274317153001E-2</v>
      </c>
      <c r="AF5547" s="2">
        <v>2618.8997861492899</v>
      </c>
      <c r="AG5547" s="2">
        <v>1841.3057958084601</v>
      </c>
      <c r="AH5547" s="5">
        <v>1.4223057311343601</v>
      </c>
      <c r="AI5547" s="5">
        <v>0.50823161220223301</v>
      </c>
      <c r="AJ5547" s="5" t="s">
        <v>139</v>
      </c>
      <c r="AK5547" s="2">
        <v>0.696475984760202</v>
      </c>
      <c r="AL5547" s="2">
        <v>0.85378616196188595</v>
      </c>
      <c r="AM5547" s="2">
        <v>883.23158512959606</v>
      </c>
      <c r="AN5547" s="2">
        <v>8.559877937157E-6</v>
      </c>
      <c r="AO5547" s="2">
        <v>8.559877937157E-6</v>
      </c>
      <c r="AP5547" s="2">
        <v>8.559877937157E-6</v>
      </c>
      <c r="AQ5547" s="2">
        <v>7427.2528091419199</v>
      </c>
      <c r="AR5547" s="2">
        <v>7402.9142969446102</v>
      </c>
      <c r="AS5547" s="2">
        <v>8.559877937157E-6</v>
      </c>
      <c r="AT5547" s="2">
        <v>8.559877937157E-6</v>
      </c>
      <c r="AU5547" s="2">
        <v>8.559877937157E-6</v>
      </c>
      <c r="AV5547" s="2">
        <v>4468.2010087974104</v>
      </c>
      <c r="AW5547" s="2">
        <v>8.559877937157E-6</v>
      </c>
      <c r="AX5547" s="2">
        <v>6579.6337318138503</v>
      </c>
    </row>
    <row r="5548" spans="1:50" x14ac:dyDescent="0.25">
      <c r="A5548" s="2" t="s">
        <v>36229</v>
      </c>
      <c r="B5548" s="2">
        <v>281.93264493119102</v>
      </c>
      <c r="C5548" s="2">
        <v>12.6645</v>
      </c>
      <c r="D5548" s="2" t="s">
        <v>51</v>
      </c>
      <c r="E5548" s="2" t="s">
        <v>36230</v>
      </c>
      <c r="F5548" s="2">
        <v>202715</v>
      </c>
      <c r="G5548" s="3" t="str">
        <f>HYPERLINK("https://cloud.oebiotech.com/#/lm/network/202715", "https://cloud.oebiotech.com/#/lm/network/202715")</f>
        <v>https://cloud.oebiotech.com/#/lm/network/202715</v>
      </c>
      <c r="H5548" s="2" t="s">
        <v>36231</v>
      </c>
      <c r="I5548" s="2"/>
      <c r="J5548" s="2"/>
      <c r="K5548" s="2">
        <v>157857</v>
      </c>
      <c r="L5548" s="2"/>
      <c r="M5548" s="2"/>
      <c r="N5548" s="2"/>
      <c r="O5548" s="2"/>
      <c r="P5548" s="2"/>
      <c r="Q5548" s="2"/>
      <c r="R5548" s="2"/>
      <c r="S5548" s="2" t="s">
        <v>36232</v>
      </c>
      <c r="T5548" s="2" t="s">
        <v>36233</v>
      </c>
      <c r="U5548" s="2" t="s">
        <v>103</v>
      </c>
      <c r="V5548" s="2" t="s">
        <v>12842</v>
      </c>
      <c r="W5548" s="2" t="s">
        <v>12843</v>
      </c>
      <c r="X5548" s="2" t="s">
        <v>147</v>
      </c>
      <c r="Y5548" s="2">
        <v>37.200000000000003</v>
      </c>
      <c r="Z5548" s="2">
        <v>0</v>
      </c>
      <c r="AA5548" s="2" t="s">
        <v>259</v>
      </c>
      <c r="AB5548" s="2" t="s">
        <v>36234</v>
      </c>
      <c r="AC5548" s="2">
        <v>0.88872110141045801</v>
      </c>
      <c r="AD5548" s="2"/>
      <c r="AE5548" s="2">
        <v>2.4458669025850199E-2</v>
      </c>
      <c r="AF5548" s="2">
        <v>5942.9538265131696</v>
      </c>
      <c r="AG5548" s="2">
        <v>6255.0023879932396</v>
      </c>
      <c r="AH5548" s="4">
        <v>0.95011215949668404</v>
      </c>
      <c r="AI5548" s="4">
        <v>-7.3830263129635199E-2</v>
      </c>
      <c r="AJ5548" s="4" t="s">
        <v>62</v>
      </c>
      <c r="AK5548" s="2">
        <v>0.95596967889025497</v>
      </c>
      <c r="AL5548" s="2">
        <v>0.98216255097125205</v>
      </c>
      <c r="AM5548" s="2">
        <v>8.559877937157E-6</v>
      </c>
      <c r="AN5548" s="2">
        <v>8.559877937157E-6</v>
      </c>
      <c r="AO5548" s="2">
        <v>17098.069172924101</v>
      </c>
      <c r="AP5548" s="2">
        <v>8.559877937157E-6</v>
      </c>
      <c r="AQ5548" s="2">
        <v>18559.653751915401</v>
      </c>
      <c r="AR5548" s="2">
        <v>8.559877937157E-6</v>
      </c>
      <c r="AS5548" s="2">
        <v>21688.953150325</v>
      </c>
      <c r="AT5548" s="2">
        <v>8.559877937157E-6</v>
      </c>
      <c r="AU5548" s="2">
        <v>15841.0611433949</v>
      </c>
      <c r="AV5548" s="2">
        <v>8.559877937157E-6</v>
      </c>
      <c r="AW5548" s="2">
        <v>8.559877937157E-6</v>
      </c>
      <c r="AX5548" s="2">
        <v>8.559877937157E-6</v>
      </c>
    </row>
    <row r="5549" spans="1:50" x14ac:dyDescent="0.25">
      <c r="A5549" s="2" t="s">
        <v>36235</v>
      </c>
      <c r="B5549" s="2">
        <v>576.20366978145501</v>
      </c>
      <c r="C5549" s="2">
        <v>10.246033333333299</v>
      </c>
      <c r="D5549" s="2" t="s">
        <v>51</v>
      </c>
      <c r="E5549" s="2" t="s">
        <v>36236</v>
      </c>
      <c r="F5549" s="2">
        <v>63563</v>
      </c>
      <c r="G5549" s="3" t="str">
        <f>HYPERLINK("https://cloud.oebiotech.com/#/lm/network/63563", "https://cloud.oebiotech.com/#/lm/network/63563")</f>
        <v>https://cloud.oebiotech.com/#/lm/network/63563</v>
      </c>
      <c r="H5549" s="2" t="s">
        <v>36237</v>
      </c>
      <c r="I5549" s="2">
        <v>94898</v>
      </c>
      <c r="J5549" s="2"/>
      <c r="K5549" s="2">
        <v>131752805</v>
      </c>
      <c r="L5549" s="2"/>
      <c r="M5549" s="2"/>
      <c r="N5549" s="2"/>
      <c r="O5549" s="2">
        <v>173299</v>
      </c>
      <c r="P5549" s="2"/>
      <c r="Q5549" s="2"/>
      <c r="R5549" s="2" t="s">
        <v>36238</v>
      </c>
      <c r="S5549" s="2" t="s">
        <v>36239</v>
      </c>
      <c r="T5549" s="2" t="s">
        <v>36240</v>
      </c>
      <c r="U5549" s="2" t="s">
        <v>266</v>
      </c>
      <c r="V5549" s="2" t="s">
        <v>1393</v>
      </c>
      <c r="W5549" s="2" t="s">
        <v>1394</v>
      </c>
      <c r="X5549" s="2" t="s">
        <v>147</v>
      </c>
      <c r="Y5549" s="2">
        <v>36.700000000000003</v>
      </c>
      <c r="Z5549" s="2">
        <v>0</v>
      </c>
      <c r="AA5549" s="2" t="s">
        <v>379</v>
      </c>
      <c r="AB5549" s="2" t="s">
        <v>36241</v>
      </c>
      <c r="AC5549" s="2">
        <v>1.5017656310332399</v>
      </c>
      <c r="AD5549" s="2"/>
      <c r="AE5549" s="2">
        <v>2.4435389965809701E-2</v>
      </c>
      <c r="AF5549" s="2">
        <v>4494.5842203061702</v>
      </c>
      <c r="AG5549" s="2">
        <v>4692.0374597052396</v>
      </c>
      <c r="AH5549" s="4">
        <v>0.95791737787799602</v>
      </c>
      <c r="AI5549" s="4">
        <v>-6.2026868639978097E-2</v>
      </c>
      <c r="AJ5549" s="4" t="s">
        <v>62</v>
      </c>
      <c r="AK5549" s="2">
        <v>0.81545596898191197</v>
      </c>
      <c r="AL5549" s="2">
        <v>0.91880789402858098</v>
      </c>
      <c r="AM5549" s="2">
        <v>4151.3172858873704</v>
      </c>
      <c r="AN5549" s="2">
        <v>5262.31976443657</v>
      </c>
      <c r="AO5549" s="2">
        <v>6740.7846163540698</v>
      </c>
      <c r="AP5549" s="2">
        <v>4263.5678989708304</v>
      </c>
      <c r="AQ5549" s="2">
        <v>3182.1272259083898</v>
      </c>
      <c r="AR5549" s="2">
        <v>3367.3885302798199</v>
      </c>
      <c r="AS5549" s="2">
        <v>3565.7138063325301</v>
      </c>
      <c r="AT5549" s="2">
        <v>3425.8107078397102</v>
      </c>
      <c r="AU5549" s="2">
        <v>5406.3344153751996</v>
      </c>
      <c r="AV5549" s="2">
        <v>6395.88754937868</v>
      </c>
      <c r="AW5549" s="2">
        <v>6304.6378355303696</v>
      </c>
      <c r="AX5549" s="2">
        <v>3053.84044377494</v>
      </c>
    </row>
    <row r="5550" spans="1:50" x14ac:dyDescent="0.25">
      <c r="A5550" s="2" t="s">
        <v>36242</v>
      </c>
      <c r="B5550" s="2">
        <v>249.146691305464</v>
      </c>
      <c r="C5550" s="2">
        <v>0.63544999999999996</v>
      </c>
      <c r="D5550" s="2" t="s">
        <v>51</v>
      </c>
      <c r="E5550" s="2" t="s">
        <v>36243</v>
      </c>
      <c r="F5550" s="2">
        <v>266757</v>
      </c>
      <c r="G5550" s="3" t="str">
        <f>HYPERLINK("https://cloud.oebiotech.com/#/lm/network/266757", "https://cloud.oebiotech.com/#/lm/network/266757")</f>
        <v>https://cloud.oebiotech.com/#/lm/network/266757</v>
      </c>
      <c r="H5550" s="2"/>
      <c r="I5550" s="2">
        <v>43916</v>
      </c>
      <c r="J5550" s="2"/>
      <c r="K5550" s="2">
        <v>102861</v>
      </c>
      <c r="L5550" s="2"/>
      <c r="M5550" s="2"/>
      <c r="N5550" s="2"/>
      <c r="O5550" s="2"/>
      <c r="P5550" s="2"/>
      <c r="Q5550" s="2"/>
      <c r="R5550" s="2" t="s">
        <v>36244</v>
      </c>
      <c r="S5550" s="2" t="s">
        <v>36245</v>
      </c>
      <c r="T5550" s="2" t="s">
        <v>36246</v>
      </c>
      <c r="U5550" s="2" t="s">
        <v>56</v>
      </c>
      <c r="V5550" s="2" t="s">
        <v>145</v>
      </c>
      <c r="W5550" s="2" t="s">
        <v>203</v>
      </c>
      <c r="X5550" s="2" t="s">
        <v>147</v>
      </c>
      <c r="Y5550" s="2">
        <v>36.6</v>
      </c>
      <c r="Z5550" s="2">
        <v>0</v>
      </c>
      <c r="AA5550" s="2" t="s">
        <v>95</v>
      </c>
      <c r="AB5550" s="2" t="s">
        <v>5983</v>
      </c>
      <c r="AC5550" s="2">
        <v>2.5471752495332498</v>
      </c>
      <c r="AD5550" s="2"/>
      <c r="AE5550" s="2">
        <v>2.4329886017797699E-2</v>
      </c>
      <c r="AF5550" s="2">
        <v>895.08913102576798</v>
      </c>
      <c r="AG5550" s="2">
        <v>831.87793423170604</v>
      </c>
      <c r="AH5550" s="5">
        <v>1.07598614435235</v>
      </c>
      <c r="AI5550" s="5">
        <v>0.105659500196711</v>
      </c>
      <c r="AJ5550" s="5" t="s">
        <v>139</v>
      </c>
      <c r="AK5550" s="2">
        <v>0.78579923369232996</v>
      </c>
      <c r="AL5550" s="2">
        <v>0.90577508306915799</v>
      </c>
      <c r="AM5550" s="2">
        <v>847.85157876562096</v>
      </c>
      <c r="AN5550" s="2">
        <v>1540.6052593515799</v>
      </c>
      <c r="AO5550" s="2">
        <v>1085.79461580473</v>
      </c>
      <c r="AP5550" s="2">
        <v>863.281784582</v>
      </c>
      <c r="AQ5550" s="2">
        <v>379.34665445732099</v>
      </c>
      <c r="AR5550" s="2">
        <v>653.65489319335802</v>
      </c>
      <c r="AS5550" s="2">
        <v>1274.5429578859801</v>
      </c>
      <c r="AT5550" s="2">
        <v>664.30235526715899</v>
      </c>
      <c r="AU5550" s="2">
        <v>972.17337514277494</v>
      </c>
      <c r="AV5550" s="2">
        <v>683.48473060487004</v>
      </c>
      <c r="AW5550" s="2">
        <v>1175.8952713309</v>
      </c>
      <c r="AX5550" s="2">
        <v>220.86891515855001</v>
      </c>
    </row>
    <row r="5551" spans="1:50" x14ac:dyDescent="0.25">
      <c r="A5551" s="2" t="s">
        <v>36247</v>
      </c>
      <c r="B5551" s="2">
        <v>395.234022509005</v>
      </c>
      <c r="C5551" s="2">
        <v>9.8284666666666691</v>
      </c>
      <c r="D5551" s="2" t="s">
        <v>51</v>
      </c>
      <c r="E5551" s="2" t="s">
        <v>36248</v>
      </c>
      <c r="F5551" s="2">
        <v>1215</v>
      </c>
      <c r="G5551" s="3" t="str">
        <f>HYPERLINK("https://cloud.oebiotech.com/#/lm/network/1215", "https://cloud.oebiotech.com/#/lm/network/1215")</f>
        <v>https://cloud.oebiotech.com/#/lm/network/1215</v>
      </c>
      <c r="H5551" s="2" t="s">
        <v>36249</v>
      </c>
      <c r="I5551" s="2">
        <v>6430</v>
      </c>
      <c r="J5551" s="2" t="s">
        <v>36250</v>
      </c>
      <c r="K5551" s="2">
        <v>6439582</v>
      </c>
      <c r="L5551" s="2"/>
      <c r="M5551" s="2"/>
      <c r="N5551" s="2"/>
      <c r="O5551" s="2"/>
      <c r="P5551" s="2"/>
      <c r="Q5551" s="2"/>
      <c r="R5551" s="2"/>
      <c r="S5551" s="2" t="s">
        <v>36251</v>
      </c>
      <c r="T5551" s="2" t="s">
        <v>36252</v>
      </c>
      <c r="U5551" s="2" t="s">
        <v>56</v>
      </c>
      <c r="V5551" s="2" t="s">
        <v>145</v>
      </c>
      <c r="W5551" s="2" t="s">
        <v>231</v>
      </c>
      <c r="X5551" s="2" t="s">
        <v>147</v>
      </c>
      <c r="Y5551" s="2">
        <v>39</v>
      </c>
      <c r="Z5551" s="2">
        <v>0.76500000000000001</v>
      </c>
      <c r="AA5551" s="2" t="s">
        <v>395</v>
      </c>
      <c r="AB5551" s="2" t="s">
        <v>9642</v>
      </c>
      <c r="AC5551" s="2">
        <v>-1.8692614418860201</v>
      </c>
      <c r="AD5551" s="2"/>
      <c r="AE5551" s="2">
        <v>2.42486313509069E-2</v>
      </c>
      <c r="AF5551" s="2">
        <v>7864.4482614153403</v>
      </c>
      <c r="AG5551" s="2">
        <v>6734.6154596986098</v>
      </c>
      <c r="AH5551" s="5">
        <v>1.16776500580885</v>
      </c>
      <c r="AI5551" s="5">
        <v>0.22374998392374101</v>
      </c>
      <c r="AJ5551" s="5" t="s">
        <v>139</v>
      </c>
      <c r="AK5551" s="2">
        <v>0.81489769534272505</v>
      </c>
      <c r="AL5551" s="2">
        <v>0.91838413387428997</v>
      </c>
      <c r="AM5551" s="2">
        <v>585.36711061422704</v>
      </c>
      <c r="AN5551" s="2">
        <v>10823.0011055619</v>
      </c>
      <c r="AO5551" s="2">
        <v>7102.5403720241302</v>
      </c>
      <c r="AP5551" s="2">
        <v>1009.43653568071</v>
      </c>
      <c r="AQ5551" s="2">
        <v>10622.379244522301</v>
      </c>
      <c r="AR5551" s="2">
        <v>17043.965200088802</v>
      </c>
      <c r="AS5551" s="2">
        <v>9124.6980288866307</v>
      </c>
      <c r="AT5551" s="2">
        <v>2047.7415243000301</v>
      </c>
      <c r="AU5551" s="2">
        <v>3684.2998815894598</v>
      </c>
      <c r="AV5551" s="2">
        <v>177.037575295626</v>
      </c>
      <c r="AW5551" s="2">
        <v>221.56749216148501</v>
      </c>
      <c r="AX5551" s="2">
        <v>25152.348255958401</v>
      </c>
    </row>
    <row r="5552" spans="1:50" x14ac:dyDescent="0.25">
      <c r="A5552" s="2" t="s">
        <v>36253</v>
      </c>
      <c r="B5552" s="2">
        <v>206.04531384836099</v>
      </c>
      <c r="C5552" s="2">
        <v>4.0557999999999996</v>
      </c>
      <c r="D5552" s="2" t="s">
        <v>51</v>
      </c>
      <c r="E5552" s="2" t="s">
        <v>36254</v>
      </c>
      <c r="F5552" s="2">
        <v>47327</v>
      </c>
      <c r="G5552" s="3" t="str">
        <f>HYPERLINK("https://cloud.oebiotech.com/#/lm/network/47327", "https://cloud.oebiotech.com/#/lm/network/47327")</f>
        <v>https://cloud.oebiotech.com/#/lm/network/47327</v>
      </c>
      <c r="H5552" s="2" t="s">
        <v>36255</v>
      </c>
      <c r="I5552" s="2">
        <v>5916</v>
      </c>
      <c r="J5552" s="2"/>
      <c r="K5552" s="2">
        <v>472</v>
      </c>
      <c r="L5552" s="2" t="s">
        <v>36256</v>
      </c>
      <c r="M5552" s="2" t="s">
        <v>15319</v>
      </c>
      <c r="N5552" s="2" t="s">
        <v>15320</v>
      </c>
      <c r="O5552" s="2">
        <v>17442</v>
      </c>
      <c r="P5552" s="2" t="s">
        <v>3763</v>
      </c>
      <c r="Q5552" s="2" t="s">
        <v>3764</v>
      </c>
      <c r="R5552" s="2" t="s">
        <v>36257</v>
      </c>
      <c r="S5552" s="2" t="s">
        <v>36258</v>
      </c>
      <c r="T5552" s="2" t="s">
        <v>36259</v>
      </c>
      <c r="U5552" s="2" t="s">
        <v>331</v>
      </c>
      <c r="V5552" s="2" t="s">
        <v>332</v>
      </c>
      <c r="W5552" s="2" t="s">
        <v>1207</v>
      </c>
      <c r="X5552" s="2" t="s">
        <v>83</v>
      </c>
      <c r="Y5552" s="2">
        <v>45.1</v>
      </c>
      <c r="Z5552" s="2">
        <v>0</v>
      </c>
      <c r="AA5552" s="2" t="s">
        <v>163</v>
      </c>
      <c r="AB5552" s="2" t="s">
        <v>26598</v>
      </c>
      <c r="AC5552" s="2">
        <v>-2.7408000699871899</v>
      </c>
      <c r="AD5552" s="2"/>
      <c r="AE5552" s="2">
        <v>2.4243116671821299E-2</v>
      </c>
      <c r="AF5552" s="2">
        <v>641.54649227824495</v>
      </c>
      <c r="AG5552" s="2">
        <v>480.69059193228799</v>
      </c>
      <c r="AH5552" s="5">
        <v>1.3346350085599701</v>
      </c>
      <c r="AI5552" s="5">
        <v>0.416445252522261</v>
      </c>
      <c r="AJ5552" s="5" t="s">
        <v>139</v>
      </c>
      <c r="AK5552" s="2">
        <v>0.61021337094000205</v>
      </c>
      <c r="AL5552" s="2">
        <v>0.80553815117069005</v>
      </c>
      <c r="AM5552" s="2">
        <v>8.559877937157E-6</v>
      </c>
      <c r="AN5552" s="2">
        <v>409.552834316163</v>
      </c>
      <c r="AO5552" s="2">
        <v>390.67674582735202</v>
      </c>
      <c r="AP5552" s="2">
        <v>101.853999068487</v>
      </c>
      <c r="AQ5552" s="2">
        <v>1923.7591670936699</v>
      </c>
      <c r="AR5552" s="2">
        <v>1023.43619880392</v>
      </c>
      <c r="AS5552" s="2">
        <v>755.19421852848495</v>
      </c>
      <c r="AT5552" s="2">
        <v>702.40292926036</v>
      </c>
      <c r="AU5552" s="2">
        <v>302.72709893483898</v>
      </c>
      <c r="AV5552" s="2">
        <v>404.34932359541699</v>
      </c>
      <c r="AW5552" s="2">
        <v>323.93797760973598</v>
      </c>
      <c r="AX5552" s="2">
        <v>395.53200366489102</v>
      </c>
    </row>
    <row r="5553" spans="1:50" x14ac:dyDescent="0.25">
      <c r="A5553" s="2" t="s">
        <v>36260</v>
      </c>
      <c r="B5553" s="2">
        <v>327.25408997288798</v>
      </c>
      <c r="C5553" s="2">
        <v>12.7282333333333</v>
      </c>
      <c r="D5553" s="2" t="s">
        <v>51</v>
      </c>
      <c r="E5553" s="2" t="s">
        <v>36261</v>
      </c>
      <c r="F5553" s="2">
        <v>589</v>
      </c>
      <c r="G5553" s="3" t="str">
        <f>HYPERLINK("https://cloud.oebiotech.com/#/lm/network/589", "https://cloud.oebiotech.com/#/lm/network/589")</f>
        <v>https://cloud.oebiotech.com/#/lm/network/589</v>
      </c>
      <c r="H5553" s="2" t="s">
        <v>36262</v>
      </c>
      <c r="I5553" s="2">
        <v>34763</v>
      </c>
      <c r="J5553" s="2" t="s">
        <v>36263</v>
      </c>
      <c r="K5553" s="2">
        <v>5282764</v>
      </c>
      <c r="L5553" s="2"/>
      <c r="M5553" s="2"/>
      <c r="N5553" s="2"/>
      <c r="O5553" s="2"/>
      <c r="P5553" s="2"/>
      <c r="Q5553" s="2"/>
      <c r="R5553" s="2"/>
      <c r="S5553" s="2" t="s">
        <v>36264</v>
      </c>
      <c r="T5553" s="2" t="s">
        <v>36265</v>
      </c>
      <c r="U5553" s="2" t="s">
        <v>56</v>
      </c>
      <c r="V5553" s="2" t="s">
        <v>145</v>
      </c>
      <c r="W5553" s="2" t="s">
        <v>231</v>
      </c>
      <c r="X5553" s="2" t="s">
        <v>83</v>
      </c>
      <c r="Y5553" s="2">
        <v>45</v>
      </c>
      <c r="Z5553" s="2">
        <v>0</v>
      </c>
      <c r="AA5553" s="2" t="s">
        <v>218</v>
      </c>
      <c r="AB5553" s="2" t="s">
        <v>3183</v>
      </c>
      <c r="AC5553" s="2">
        <v>2.3997330577235701E-2</v>
      </c>
      <c r="AD5553" s="2"/>
      <c r="AE5553" s="2">
        <v>2.4144309021879602E-2</v>
      </c>
      <c r="AF5553" s="2">
        <v>962.90691241493903</v>
      </c>
      <c r="AG5553" s="2">
        <v>1245.50041789088</v>
      </c>
      <c r="AH5553" s="4">
        <v>0.77310846193493299</v>
      </c>
      <c r="AI5553" s="4">
        <v>-0.37125726609458998</v>
      </c>
      <c r="AJ5553" s="4" t="s">
        <v>62</v>
      </c>
      <c r="AK5553" s="2">
        <v>0.61178322955173503</v>
      </c>
      <c r="AL5553" s="2">
        <v>0.80607124586077505</v>
      </c>
      <c r="AM5553" s="2">
        <v>2913.0365361069298</v>
      </c>
      <c r="AN5553" s="2">
        <v>520.30648723597199</v>
      </c>
      <c r="AO5553" s="2">
        <v>222.39734518228499</v>
      </c>
      <c r="AP5553" s="2">
        <v>1115.2165896444101</v>
      </c>
      <c r="AQ5553" s="2">
        <v>137.22300471396201</v>
      </c>
      <c r="AR5553" s="2">
        <v>869.26151160607401</v>
      </c>
      <c r="AS5553" s="2">
        <v>386.66665111626298</v>
      </c>
      <c r="AT5553" s="2">
        <v>531.59082719980904</v>
      </c>
      <c r="AU5553" s="2">
        <v>2411.1207448740502</v>
      </c>
      <c r="AV5553" s="2">
        <v>1933.2542876907301</v>
      </c>
      <c r="AW5553" s="2">
        <v>1523.80001959587</v>
      </c>
      <c r="AX5553" s="2">
        <v>686.56997686858597</v>
      </c>
    </row>
    <row r="5554" spans="1:50" x14ac:dyDescent="0.25">
      <c r="A5554" s="2" t="s">
        <v>36266</v>
      </c>
      <c r="B5554" s="2">
        <v>350.21820416809697</v>
      </c>
      <c r="C5554" s="2">
        <v>8.4163499999999996</v>
      </c>
      <c r="D5554" s="2" t="s">
        <v>51</v>
      </c>
      <c r="E5554" s="2" t="s">
        <v>36267</v>
      </c>
      <c r="F5554" s="2">
        <v>54099</v>
      </c>
      <c r="G5554" s="3" t="str">
        <f>HYPERLINK("https://cloud.oebiotech.com/#/lm/network/54099", "https://cloud.oebiotech.com/#/lm/network/54099")</f>
        <v>https://cloud.oebiotech.com/#/lm/network/54099</v>
      </c>
      <c r="H5554" s="2" t="s">
        <v>36268</v>
      </c>
      <c r="I5554" s="2"/>
      <c r="J5554" s="2"/>
      <c r="K5554" s="2">
        <v>18799209</v>
      </c>
      <c r="L5554" s="2"/>
      <c r="M5554" s="2"/>
      <c r="N5554" s="2"/>
      <c r="O5554" s="2"/>
      <c r="P5554" s="2"/>
      <c r="Q5554" s="2"/>
      <c r="R5554" s="2"/>
      <c r="S5554" s="2" t="s">
        <v>36269</v>
      </c>
      <c r="T5554" s="2" t="s">
        <v>36270</v>
      </c>
      <c r="U5554" s="2" t="s">
        <v>103</v>
      </c>
      <c r="V5554" s="2" t="s">
        <v>104</v>
      </c>
      <c r="W5554" s="2" t="s">
        <v>105</v>
      </c>
      <c r="X5554" s="2" t="s">
        <v>147</v>
      </c>
      <c r="Y5554" s="2">
        <v>39.1</v>
      </c>
      <c r="Z5554" s="2">
        <v>0</v>
      </c>
      <c r="AA5554" s="2" t="s">
        <v>512</v>
      </c>
      <c r="AB5554" s="2" t="s">
        <v>36271</v>
      </c>
      <c r="AC5554" s="2">
        <v>-1.39082042969636</v>
      </c>
      <c r="AD5554" s="2"/>
      <c r="AE5554" s="2">
        <v>2.4072967687960599E-2</v>
      </c>
      <c r="AF5554" s="2">
        <v>4193.4671302690904</v>
      </c>
      <c r="AG5554" s="2">
        <v>4663.4824691290896</v>
      </c>
      <c r="AH5554" s="4">
        <v>0.89921365803959397</v>
      </c>
      <c r="AI5554" s="4">
        <v>-0.15326414625429499</v>
      </c>
      <c r="AJ5554" s="4" t="s">
        <v>62</v>
      </c>
      <c r="AK5554" s="2">
        <v>0.85107970003733002</v>
      </c>
      <c r="AL5554" s="2">
        <v>0.93433065442337804</v>
      </c>
      <c r="AM5554" s="2">
        <v>3288.3067518958801</v>
      </c>
      <c r="AN5554" s="2">
        <v>4531.7021377261799</v>
      </c>
      <c r="AO5554" s="2">
        <v>5161.7060101758398</v>
      </c>
      <c r="AP5554" s="2">
        <v>3578.3352341719701</v>
      </c>
      <c r="AQ5554" s="2">
        <v>4943.3197512290999</v>
      </c>
      <c r="AR5554" s="2">
        <v>3657.4328964155502</v>
      </c>
      <c r="AS5554" s="2">
        <v>2982.3539217119901</v>
      </c>
      <c r="AT5554" s="2">
        <v>16625.041419965</v>
      </c>
      <c r="AU5554" s="2">
        <v>3133.4811292743302</v>
      </c>
      <c r="AV5554" s="2">
        <v>752.232376257228</v>
      </c>
      <c r="AW5554" s="2">
        <v>2555.5174864913802</v>
      </c>
      <c r="AX5554" s="2">
        <v>1932.26848107461</v>
      </c>
    </row>
    <row r="5555" spans="1:50" x14ac:dyDescent="0.25">
      <c r="A5555" s="2" t="s">
        <v>36272</v>
      </c>
      <c r="B5555" s="2">
        <v>247.073585113928</v>
      </c>
      <c r="C5555" s="2">
        <v>1.21291666666667</v>
      </c>
      <c r="D5555" s="2" t="s">
        <v>51</v>
      </c>
      <c r="E5555" s="2" t="s">
        <v>36273</v>
      </c>
      <c r="F5555" s="2">
        <v>1902</v>
      </c>
      <c r="G5555" s="3" t="str">
        <f>HYPERLINK("https://cloud.oebiotech.com/#/lm/network/1902", "https://cloud.oebiotech.com/#/lm/network/1902")</f>
        <v>https://cloud.oebiotech.com/#/lm/network/1902</v>
      </c>
      <c r="H5555" s="2"/>
      <c r="I5555" s="2"/>
      <c r="J5555" s="2" t="s">
        <v>36274</v>
      </c>
      <c r="K5555" s="2">
        <v>73242168</v>
      </c>
      <c r="L5555" s="2"/>
      <c r="M5555" s="2"/>
      <c r="N5555" s="2"/>
      <c r="O5555" s="2"/>
      <c r="P5555" s="2"/>
      <c r="Q5555" s="2"/>
      <c r="R5555" s="2"/>
      <c r="S5555" s="2" t="s">
        <v>36275</v>
      </c>
      <c r="T5555" s="2" t="s">
        <v>36276</v>
      </c>
      <c r="U5555" s="2" t="s">
        <v>56</v>
      </c>
      <c r="V5555" s="2" t="s">
        <v>145</v>
      </c>
      <c r="W5555" s="2" t="s">
        <v>231</v>
      </c>
      <c r="X5555" s="2" t="s">
        <v>147</v>
      </c>
      <c r="Y5555" s="2">
        <v>38</v>
      </c>
      <c r="Z5555" s="2">
        <v>0</v>
      </c>
      <c r="AA5555" s="2" t="s">
        <v>379</v>
      </c>
      <c r="AB5555" s="2" t="s">
        <v>36277</v>
      </c>
      <c r="AC5555" s="2">
        <v>-1.87424989416489</v>
      </c>
      <c r="AD5555" s="2"/>
      <c r="AE5555" s="2">
        <v>2.4070365789824501E-2</v>
      </c>
      <c r="AF5555" s="2">
        <v>3235.2241552494502</v>
      </c>
      <c r="AG5555" s="2">
        <v>3216.1387106653301</v>
      </c>
      <c r="AH5555" s="5">
        <v>1.0059342728349401</v>
      </c>
      <c r="AI5555" s="5">
        <v>8.5360433612408203E-3</v>
      </c>
      <c r="AJ5555" s="5" t="s">
        <v>139</v>
      </c>
      <c r="AK5555" s="2">
        <v>0.99434468909850504</v>
      </c>
      <c r="AL5555" s="2">
        <v>0.99703165329806198</v>
      </c>
      <c r="AM5555" s="2">
        <v>8.559877937157E-6</v>
      </c>
      <c r="AN5555" s="2">
        <v>1424.8303653269099</v>
      </c>
      <c r="AO5555" s="2">
        <v>14141.313158312299</v>
      </c>
      <c r="AP5555" s="2">
        <v>929.75037809314199</v>
      </c>
      <c r="AQ5555" s="2">
        <v>2221.95838351873</v>
      </c>
      <c r="AR5555" s="2">
        <v>693.492637685712</v>
      </c>
      <c r="AS5555" s="2">
        <v>403.98831918096499</v>
      </c>
      <c r="AT5555" s="2">
        <v>76.9550684452947</v>
      </c>
      <c r="AU5555" s="2">
        <v>298.86224989886398</v>
      </c>
      <c r="AV5555" s="2">
        <v>8582.0228827336396</v>
      </c>
      <c r="AW5555" s="2">
        <v>5307.9243841576099</v>
      </c>
      <c r="AX5555" s="2">
        <v>4627.0793595756304</v>
      </c>
    </row>
    <row r="5556" spans="1:50" x14ac:dyDescent="0.25">
      <c r="A5556" s="2" t="s">
        <v>36278</v>
      </c>
      <c r="B5556" s="2">
        <v>622.37061661318796</v>
      </c>
      <c r="C5556" s="2">
        <v>10.2053333333333</v>
      </c>
      <c r="D5556" s="2" t="s">
        <v>51</v>
      </c>
      <c r="E5556" s="2" t="s">
        <v>36279</v>
      </c>
      <c r="F5556" s="2">
        <v>18372</v>
      </c>
      <c r="G5556" s="3" t="str">
        <f>HYPERLINK("https://cloud.oebiotech.com/#/lm/network/18372", "https://cloud.oebiotech.com/#/lm/network/18372")</f>
        <v>https://cloud.oebiotech.com/#/lm/network/18372</v>
      </c>
      <c r="H5556" s="2"/>
      <c r="I5556" s="2">
        <v>39571</v>
      </c>
      <c r="J5556" s="2" t="s">
        <v>36280</v>
      </c>
      <c r="K5556" s="2">
        <v>24778885</v>
      </c>
      <c r="L5556" s="2"/>
      <c r="M5556" s="2"/>
      <c r="N5556" s="2"/>
      <c r="O5556" s="2"/>
      <c r="P5556" s="2"/>
      <c r="Q5556" s="2"/>
      <c r="R5556" s="2"/>
      <c r="S5556" s="2" t="s">
        <v>36281</v>
      </c>
      <c r="T5556" s="2" t="s">
        <v>36282</v>
      </c>
      <c r="U5556" s="2" t="s">
        <v>56</v>
      </c>
      <c r="V5556" s="2" t="s">
        <v>57</v>
      </c>
      <c r="W5556" s="2" t="s">
        <v>58</v>
      </c>
      <c r="X5556" s="2" t="s">
        <v>147</v>
      </c>
      <c r="Y5556" s="2">
        <v>42.9</v>
      </c>
      <c r="Z5556" s="2">
        <v>29</v>
      </c>
      <c r="AA5556" s="2" t="s">
        <v>218</v>
      </c>
      <c r="AB5556" s="2" t="s">
        <v>36283</v>
      </c>
      <c r="AC5556" s="2">
        <v>-3.3611538109567198</v>
      </c>
      <c r="AD5556" s="2"/>
      <c r="AE5556" s="2">
        <v>2.40540132600469E-2</v>
      </c>
      <c r="AF5556" s="2">
        <v>45985.351136037498</v>
      </c>
      <c r="AG5556" s="2">
        <v>47887.783583699602</v>
      </c>
      <c r="AH5556" s="4">
        <v>0.96027311549433303</v>
      </c>
      <c r="AI5556" s="4">
        <v>-5.8483307458636898E-2</v>
      </c>
      <c r="AJ5556" s="4" t="s">
        <v>62</v>
      </c>
      <c r="AK5556" s="2">
        <v>0.78731784463412302</v>
      </c>
      <c r="AL5556" s="2">
        <v>0.90596086033650003</v>
      </c>
      <c r="AM5556" s="2">
        <v>67158.095716825905</v>
      </c>
      <c r="AN5556" s="2">
        <v>46024.103052505903</v>
      </c>
      <c r="AO5556" s="2">
        <v>40081.200034642701</v>
      </c>
      <c r="AP5556" s="2">
        <v>31943.529372507099</v>
      </c>
      <c r="AQ5556" s="2">
        <v>44361.957404421802</v>
      </c>
      <c r="AR5556" s="2">
        <v>46343.2212353219</v>
      </c>
      <c r="AS5556" s="2">
        <v>56118.599213675603</v>
      </c>
      <c r="AT5556" s="2">
        <v>35224.960284650901</v>
      </c>
      <c r="AU5556" s="2">
        <v>62734.373951385103</v>
      </c>
      <c r="AV5556" s="2">
        <v>31917.495856990099</v>
      </c>
      <c r="AW5556" s="2">
        <v>48259.522394969797</v>
      </c>
      <c r="AX5556" s="2">
        <v>53071.749800525999</v>
      </c>
    </row>
    <row r="5557" spans="1:50" x14ac:dyDescent="0.25">
      <c r="A5557" s="2" t="s">
        <v>36284</v>
      </c>
      <c r="B5557" s="2">
        <v>91.029812091012204</v>
      </c>
      <c r="C5557" s="2">
        <v>1.0003833333333301</v>
      </c>
      <c r="D5557" s="2" t="s">
        <v>51</v>
      </c>
      <c r="E5557" s="2" t="s">
        <v>36285</v>
      </c>
      <c r="F5557" s="2">
        <v>267207</v>
      </c>
      <c r="G5557" s="3" t="str">
        <f>HYPERLINK("https://cloud.oebiotech.com/#/lm/network/267207", "https://cloud.oebiotech.com/#/lm/network/267207")</f>
        <v>https://cloud.oebiotech.com/#/lm/network/267207</v>
      </c>
      <c r="H5557" s="2"/>
      <c r="I5557" s="2">
        <v>44994</v>
      </c>
      <c r="J5557" s="2"/>
      <c r="K5557" s="2">
        <v>12933341</v>
      </c>
      <c r="L5557" s="2"/>
      <c r="M5557" s="2"/>
      <c r="N5557" s="2"/>
      <c r="O5557" s="2"/>
      <c r="P5557" s="2"/>
      <c r="Q5557" s="2"/>
      <c r="R5557" s="2" t="s">
        <v>36286</v>
      </c>
      <c r="S5557" s="2" t="s">
        <v>36287</v>
      </c>
      <c r="T5557" s="2" t="s">
        <v>36288</v>
      </c>
      <c r="U5557" s="2" t="s">
        <v>266</v>
      </c>
      <c r="V5557" s="2" t="s">
        <v>3926</v>
      </c>
      <c r="W5557" s="2" t="s">
        <v>4115</v>
      </c>
      <c r="X5557" s="2" t="s">
        <v>147</v>
      </c>
      <c r="Y5557" s="2">
        <v>38</v>
      </c>
      <c r="Z5557" s="2">
        <v>0</v>
      </c>
      <c r="AA5557" s="2" t="s">
        <v>379</v>
      </c>
      <c r="AB5557" s="2" t="s">
        <v>36289</v>
      </c>
      <c r="AC5557" s="2">
        <v>-3.2677606671696502</v>
      </c>
      <c r="AD5557" s="2"/>
      <c r="AE5557" s="2">
        <v>2.3986301485390198E-2</v>
      </c>
      <c r="AF5557" s="2">
        <v>219.77437176904701</v>
      </c>
      <c r="AG5557" s="2">
        <v>167.71475537881199</v>
      </c>
      <c r="AH5557" s="5">
        <v>1.31040570206628</v>
      </c>
      <c r="AI5557" s="5">
        <v>0.390013539811983</v>
      </c>
      <c r="AJ5557" s="5" t="s">
        <v>139</v>
      </c>
      <c r="AK5557" s="2">
        <v>0.60055527813707898</v>
      </c>
      <c r="AL5557" s="2">
        <v>0.80014457667342997</v>
      </c>
      <c r="AM5557" s="2">
        <v>301.82124411440702</v>
      </c>
      <c r="AN5557" s="2">
        <v>82.149797456775005</v>
      </c>
      <c r="AO5557" s="2">
        <v>263.53805707897698</v>
      </c>
      <c r="AP5557" s="2">
        <v>560.19559378916597</v>
      </c>
      <c r="AQ5557" s="2">
        <v>110.941529615077</v>
      </c>
      <c r="AR5557" s="2">
        <v>8.559877937157E-6</v>
      </c>
      <c r="AS5557" s="2">
        <v>52.653323923811598</v>
      </c>
      <c r="AT5557" s="2">
        <v>161.93013160266301</v>
      </c>
      <c r="AU5557" s="2">
        <v>384.51132892535998</v>
      </c>
      <c r="AV5557" s="2">
        <v>122.40519477204199</v>
      </c>
      <c r="AW5557" s="2">
        <v>216.17272535365899</v>
      </c>
      <c r="AX5557" s="2">
        <v>68.615827695338893</v>
      </c>
    </row>
    <row r="5558" spans="1:50" x14ac:dyDescent="0.25">
      <c r="A5558" s="2" t="s">
        <v>36290</v>
      </c>
      <c r="B5558" s="2">
        <v>229.14419439686</v>
      </c>
      <c r="C5558" s="2">
        <v>7.4702833333333301</v>
      </c>
      <c r="D5558" s="2" t="s">
        <v>51</v>
      </c>
      <c r="E5558" s="2" t="s">
        <v>36291</v>
      </c>
      <c r="F5558" s="2">
        <v>2824</v>
      </c>
      <c r="G5558" s="3" t="str">
        <f>HYPERLINK("https://cloud.oebiotech.com/#/lm/network/2824", "https://cloud.oebiotech.com/#/lm/network/2824")</f>
        <v>https://cloud.oebiotech.com/#/lm/network/2824</v>
      </c>
      <c r="H5558" s="2" t="s">
        <v>36292</v>
      </c>
      <c r="I5558" s="2">
        <v>5596</v>
      </c>
      <c r="J5558" s="2" t="s">
        <v>36293</v>
      </c>
      <c r="K5558" s="2">
        <v>12736</v>
      </c>
      <c r="L5558" s="2" t="s">
        <v>36294</v>
      </c>
      <c r="M5558" s="2"/>
      <c r="N5558" s="2"/>
      <c r="O5558" s="2">
        <v>4676</v>
      </c>
      <c r="P5558" s="2"/>
      <c r="Q5558" s="2"/>
      <c r="R5558" s="2" t="s">
        <v>36295</v>
      </c>
      <c r="S5558" s="2" t="s">
        <v>36296</v>
      </c>
      <c r="T5558" s="2" t="s">
        <v>36297</v>
      </c>
      <c r="U5558" s="2" t="s">
        <v>56</v>
      </c>
      <c r="V5558" s="2" t="s">
        <v>145</v>
      </c>
      <c r="W5558" s="2" t="s">
        <v>231</v>
      </c>
      <c r="X5558" s="2" t="s">
        <v>69</v>
      </c>
      <c r="Y5558" s="2">
        <v>51.6</v>
      </c>
      <c r="Z5558" s="2">
        <v>47.8</v>
      </c>
      <c r="AA5558" s="2" t="s">
        <v>163</v>
      </c>
      <c r="AB5558" s="2" t="s">
        <v>25262</v>
      </c>
      <c r="AC5558" s="2">
        <v>-1.4701380000995601</v>
      </c>
      <c r="AD5558" s="2"/>
      <c r="AE5558" s="2">
        <v>2.3981325555389701E-2</v>
      </c>
      <c r="AF5558" s="2">
        <v>5079.7364586813801</v>
      </c>
      <c r="AG5558" s="2">
        <v>5107.5282529269898</v>
      </c>
      <c r="AH5558" s="4">
        <v>0.99455866069273702</v>
      </c>
      <c r="AI5558" s="4">
        <v>-7.8716288110831697E-3</v>
      </c>
      <c r="AJ5558" s="4" t="s">
        <v>62</v>
      </c>
      <c r="AK5558" s="2">
        <v>0.97348063531100804</v>
      </c>
      <c r="AL5558" s="2">
        <v>0.98931094348535698</v>
      </c>
      <c r="AM5558" s="2">
        <v>3437.3937074896098</v>
      </c>
      <c r="AN5558" s="2">
        <v>3843.6299720285801</v>
      </c>
      <c r="AO5558" s="2">
        <v>7286.2165864898998</v>
      </c>
      <c r="AP5558" s="2">
        <v>5305.6229009592498</v>
      </c>
      <c r="AQ5558" s="2">
        <v>6572.8996289774896</v>
      </c>
      <c r="AR5558" s="2">
        <v>4032.6559561434501</v>
      </c>
      <c r="AS5558" s="2">
        <v>4244.1367376442304</v>
      </c>
      <c r="AT5558" s="2">
        <v>6168.4366054366501</v>
      </c>
      <c r="AU5558" s="2">
        <v>4111.5384245595696</v>
      </c>
      <c r="AV5558" s="2">
        <v>6689.3676231670497</v>
      </c>
      <c r="AW5558" s="2">
        <v>5665.2445492414299</v>
      </c>
      <c r="AX5558" s="2">
        <v>3766.445577513</v>
      </c>
    </row>
    <row r="5559" spans="1:50" x14ac:dyDescent="0.25">
      <c r="A5559" s="2" t="s">
        <v>36298</v>
      </c>
      <c r="B5559" s="2">
        <v>427.24677055643502</v>
      </c>
      <c r="C5559" s="2">
        <v>14.459250000000001</v>
      </c>
      <c r="D5559" s="2" t="s">
        <v>51</v>
      </c>
      <c r="E5559" s="2" t="s">
        <v>36299</v>
      </c>
      <c r="F5559" s="2">
        <v>46053</v>
      </c>
      <c r="G5559" s="3" t="str">
        <f>HYPERLINK("https://cloud.oebiotech.com/#/lm/network/46053", "https://cloud.oebiotech.com/#/lm/network/46053")</f>
        <v>https://cloud.oebiotech.com/#/lm/network/46053</v>
      </c>
      <c r="H5559" s="2"/>
      <c r="I5559" s="2">
        <v>84506</v>
      </c>
      <c r="J5559" s="2" t="s">
        <v>36300</v>
      </c>
      <c r="K5559" s="2">
        <v>3080560</v>
      </c>
      <c r="L5559" s="2"/>
      <c r="M5559" s="2"/>
      <c r="N5559" s="2"/>
      <c r="O5559" s="2">
        <v>138389</v>
      </c>
      <c r="P5559" s="2"/>
      <c r="Q5559" s="2"/>
      <c r="R5559" s="2"/>
      <c r="S5559" s="2" t="s">
        <v>36301</v>
      </c>
      <c r="T5559" s="2" t="s">
        <v>36302</v>
      </c>
      <c r="U5559" s="2" t="s">
        <v>56</v>
      </c>
      <c r="V5559" s="2" t="s">
        <v>283</v>
      </c>
      <c r="W5559" s="2" t="s">
        <v>2042</v>
      </c>
      <c r="X5559" s="2" t="s">
        <v>147</v>
      </c>
      <c r="Y5559" s="2">
        <v>44</v>
      </c>
      <c r="Z5559" s="2">
        <v>33.700000000000003</v>
      </c>
      <c r="AA5559" s="2" t="s">
        <v>95</v>
      </c>
      <c r="AB5559" s="2" t="s">
        <v>9082</v>
      </c>
      <c r="AC5559" s="2">
        <v>3.15548377706655</v>
      </c>
      <c r="AD5559" s="2"/>
      <c r="AE5559" s="2">
        <v>2.3956940976364902E-2</v>
      </c>
      <c r="AF5559" s="2">
        <v>28749.519768919501</v>
      </c>
      <c r="AG5559" s="2">
        <v>28396.168098430499</v>
      </c>
      <c r="AH5559" s="5">
        <v>1.01244363920034</v>
      </c>
      <c r="AI5559" s="5">
        <v>1.7841598160857002E-2</v>
      </c>
      <c r="AJ5559" s="5" t="s">
        <v>139</v>
      </c>
      <c r="AK5559" s="2">
        <v>0.88986993207304499</v>
      </c>
      <c r="AL5559" s="2">
        <v>0.95226347994190097</v>
      </c>
      <c r="AM5559" s="2">
        <v>26577.5931743492</v>
      </c>
      <c r="AN5559" s="2">
        <v>34847.284937717901</v>
      </c>
      <c r="AO5559" s="2">
        <v>31187.2477895706</v>
      </c>
      <c r="AP5559" s="2">
        <v>25818.729289312301</v>
      </c>
      <c r="AQ5559" s="2">
        <v>30416.924539773201</v>
      </c>
      <c r="AR5559" s="2">
        <v>23649.3388827938</v>
      </c>
      <c r="AS5559" s="2">
        <v>27170.9171543962</v>
      </c>
      <c r="AT5559" s="2">
        <v>29788.127229905502</v>
      </c>
      <c r="AU5559" s="2">
        <v>20124.904119499901</v>
      </c>
      <c r="AV5559" s="2">
        <v>30512.548942423098</v>
      </c>
      <c r="AW5559" s="2">
        <v>29633.0844528411</v>
      </c>
      <c r="AX5559" s="2">
        <v>33147.426691517503</v>
      </c>
    </row>
    <row r="5560" spans="1:50" x14ac:dyDescent="0.25">
      <c r="A5560" s="2" t="s">
        <v>36303</v>
      </c>
      <c r="B5560" s="2">
        <v>700.95827857302299</v>
      </c>
      <c r="C5560" s="2">
        <v>4.5859833333333304</v>
      </c>
      <c r="D5560" s="2" t="s">
        <v>51</v>
      </c>
      <c r="E5560" s="2" t="s">
        <v>36304</v>
      </c>
      <c r="F5560" s="2">
        <v>82375</v>
      </c>
      <c r="G5560" s="3" t="str">
        <f>HYPERLINK("https://cloud.oebiotech.com/#/lm/network/82375", "https://cloud.oebiotech.com/#/lm/network/82375")</f>
        <v>https://cloud.oebiotech.com/#/lm/network/82375</v>
      </c>
      <c r="H5560" s="2" t="s">
        <v>36305</v>
      </c>
      <c r="I5560" s="2">
        <v>63398</v>
      </c>
      <c r="J5560" s="2"/>
      <c r="K5560" s="2">
        <v>38166</v>
      </c>
      <c r="L5560" s="2" t="s">
        <v>36306</v>
      </c>
      <c r="M5560" s="2" t="s">
        <v>2788</v>
      </c>
      <c r="N5560" s="2" t="s">
        <v>2789</v>
      </c>
      <c r="O5560" s="2">
        <v>16690</v>
      </c>
      <c r="P5560" s="2"/>
      <c r="Q5560" s="2"/>
      <c r="R5560" s="2"/>
      <c r="S5560" s="2" t="s">
        <v>36307</v>
      </c>
      <c r="T5560" s="2" t="s">
        <v>36308</v>
      </c>
      <c r="U5560" s="2" t="s">
        <v>295</v>
      </c>
      <c r="V5560" s="2" t="s">
        <v>1023</v>
      </c>
      <c r="W5560" s="2" t="s">
        <v>4858</v>
      </c>
      <c r="X5560" s="2" t="s">
        <v>147</v>
      </c>
      <c r="Y5560" s="2">
        <v>36.4</v>
      </c>
      <c r="Z5560" s="2">
        <v>0</v>
      </c>
      <c r="AA5560" s="2" t="s">
        <v>512</v>
      </c>
      <c r="AB5560" s="2" t="s">
        <v>36309</v>
      </c>
      <c r="AC5560" s="2">
        <v>1.6574343389580399</v>
      </c>
      <c r="AD5560" s="2"/>
      <c r="AE5560" s="2">
        <v>2.39412735601265E-2</v>
      </c>
      <c r="AF5560" s="2">
        <v>1230.8775163059499</v>
      </c>
      <c r="AG5560" s="2">
        <v>1129.3521663100601</v>
      </c>
      <c r="AH5560" s="5">
        <v>1.08989698078643</v>
      </c>
      <c r="AI5560" s="5">
        <v>0.12419177506413499</v>
      </c>
      <c r="AJ5560" s="5" t="s">
        <v>139</v>
      </c>
      <c r="AK5560" s="2">
        <v>0.87310591412496896</v>
      </c>
      <c r="AL5560" s="2">
        <v>0.94522790156089398</v>
      </c>
      <c r="AM5560" s="2">
        <v>1842.97093422581</v>
      </c>
      <c r="AN5560" s="2">
        <v>1165.43473173968</v>
      </c>
      <c r="AO5560" s="2">
        <v>1798.55938692735</v>
      </c>
      <c r="AP5560" s="2">
        <v>1433.85393886631</v>
      </c>
      <c r="AQ5560" s="2">
        <v>395.519004848343</v>
      </c>
      <c r="AR5560" s="2">
        <v>748.92710122821495</v>
      </c>
      <c r="AS5560" s="2">
        <v>8.559877937157E-6</v>
      </c>
      <c r="AT5560" s="2">
        <v>8.559877937157E-6</v>
      </c>
      <c r="AU5560" s="2">
        <v>2017.26461100406</v>
      </c>
      <c r="AV5560" s="2">
        <v>3405.10786662801</v>
      </c>
      <c r="AW5560" s="2">
        <v>8.559877937157E-6</v>
      </c>
      <c r="AX5560" s="2">
        <v>1353.7404945486801</v>
      </c>
    </row>
    <row r="5561" spans="1:50" x14ac:dyDescent="0.25">
      <c r="A5561" s="2" t="s">
        <v>36310</v>
      </c>
      <c r="B5561" s="2">
        <v>141.066234459062</v>
      </c>
      <c r="C5561" s="2">
        <v>6.6638666666666699</v>
      </c>
      <c r="D5561" s="2" t="s">
        <v>51</v>
      </c>
      <c r="E5561" s="2" t="s">
        <v>36311</v>
      </c>
      <c r="F5561" s="2">
        <v>198750</v>
      </c>
      <c r="G5561" s="3" t="str">
        <f>HYPERLINK("https://cloud.oebiotech.com/#/lm/network/198750", "https://cloud.oebiotech.com/#/lm/network/198750")</f>
        <v>https://cloud.oebiotech.com/#/lm/network/198750</v>
      </c>
      <c r="H5561" s="2" t="s">
        <v>36312</v>
      </c>
      <c r="I5561" s="2">
        <v>3774</v>
      </c>
      <c r="J5561" s="2"/>
      <c r="K5561" s="2">
        <v>23043581</v>
      </c>
      <c r="L5561" s="2" t="s">
        <v>36313</v>
      </c>
      <c r="M5561" s="2" t="s">
        <v>2506</v>
      </c>
      <c r="N5561" s="2" t="s">
        <v>2507</v>
      </c>
      <c r="O5561" s="2"/>
      <c r="P5561" s="2"/>
      <c r="Q5561" s="2"/>
      <c r="R5561" s="2" t="s">
        <v>36314</v>
      </c>
      <c r="S5561" s="2" t="s">
        <v>36315</v>
      </c>
      <c r="T5561" s="2" t="s">
        <v>36316</v>
      </c>
      <c r="U5561" s="2" t="s">
        <v>266</v>
      </c>
      <c r="V5561" s="2" t="s">
        <v>1585</v>
      </c>
      <c r="W5561" s="2" t="s">
        <v>1586</v>
      </c>
      <c r="X5561" s="2" t="s">
        <v>147</v>
      </c>
      <c r="Y5561" s="2">
        <v>38.200000000000003</v>
      </c>
      <c r="Z5561" s="2">
        <v>0</v>
      </c>
      <c r="AA5561" s="2" t="s">
        <v>259</v>
      </c>
      <c r="AB5561" s="2" t="s">
        <v>20212</v>
      </c>
      <c r="AC5561" s="2">
        <v>2.7168759613414601</v>
      </c>
      <c r="AD5561" s="2"/>
      <c r="AE5561" s="2">
        <v>2.39109707608667E-2</v>
      </c>
      <c r="AF5561" s="2">
        <v>391.22578573026101</v>
      </c>
      <c r="AG5561" s="2">
        <v>266.49337841639601</v>
      </c>
      <c r="AH5561" s="5">
        <v>1.4680506812404599</v>
      </c>
      <c r="AI5561" s="5">
        <v>0.55390177493326997</v>
      </c>
      <c r="AJ5561" s="5" t="s">
        <v>139</v>
      </c>
      <c r="AK5561" s="2">
        <v>0.57389697177879895</v>
      </c>
      <c r="AL5561" s="2">
        <v>0.78561824335963304</v>
      </c>
      <c r="AM5561" s="2">
        <v>144.51553419205899</v>
      </c>
      <c r="AN5561" s="2">
        <v>172.31604423558599</v>
      </c>
      <c r="AO5561" s="2">
        <v>185.37849660513501</v>
      </c>
      <c r="AP5561" s="2">
        <v>111.149013996102</v>
      </c>
      <c r="AQ5561" s="2">
        <v>282.53777779012302</v>
      </c>
      <c r="AR5561" s="2">
        <v>1451.4578475625599</v>
      </c>
      <c r="AS5561" s="2">
        <v>213.26885320350101</v>
      </c>
      <c r="AT5561" s="2">
        <v>254.99510404233001</v>
      </c>
      <c r="AU5561" s="2">
        <v>228.183425877253</v>
      </c>
      <c r="AV5561" s="2">
        <v>233.185879890688</v>
      </c>
      <c r="AW5561" s="2">
        <v>355.38137957629499</v>
      </c>
      <c r="AX5561" s="2">
        <v>313.94562790830702</v>
      </c>
    </row>
    <row r="5562" spans="1:50" x14ac:dyDescent="0.25">
      <c r="A5562" s="2" t="s">
        <v>36317</v>
      </c>
      <c r="B5562" s="2">
        <v>554.26259057714105</v>
      </c>
      <c r="C5562" s="2">
        <v>4.8329666666666702</v>
      </c>
      <c r="D5562" s="2" t="s">
        <v>51</v>
      </c>
      <c r="E5562" s="2" t="s">
        <v>36318</v>
      </c>
      <c r="F5562" s="2">
        <v>19841</v>
      </c>
      <c r="G5562" s="3" t="str">
        <f>HYPERLINK("https://cloud.oebiotech.com/#/lm/network/19841", "https://cloud.oebiotech.com/#/lm/network/19841")</f>
        <v>https://cloud.oebiotech.com/#/lm/network/19841</v>
      </c>
      <c r="H5562" s="2"/>
      <c r="I5562" s="2">
        <v>40306</v>
      </c>
      <c r="J5562" s="2" t="s">
        <v>36319</v>
      </c>
      <c r="K5562" s="2">
        <v>24779471</v>
      </c>
      <c r="L5562" s="2"/>
      <c r="M5562" s="2"/>
      <c r="N5562" s="2"/>
      <c r="O5562" s="2"/>
      <c r="P5562" s="2"/>
      <c r="Q5562" s="2"/>
      <c r="R5562" s="2"/>
      <c r="S5562" s="2" t="s">
        <v>36320</v>
      </c>
      <c r="T5562" s="2" t="s">
        <v>36321</v>
      </c>
      <c r="U5562" s="2" t="s">
        <v>56</v>
      </c>
      <c r="V5562" s="2" t="s">
        <v>57</v>
      </c>
      <c r="W5562" s="2" t="s">
        <v>58</v>
      </c>
      <c r="X5562" s="2" t="s">
        <v>59</v>
      </c>
      <c r="Y5562" s="2">
        <v>48.4</v>
      </c>
      <c r="Z5562" s="2">
        <v>53.7</v>
      </c>
      <c r="AA5562" s="2" t="s">
        <v>395</v>
      </c>
      <c r="AB5562" s="2" t="s">
        <v>794</v>
      </c>
      <c r="AC5562" s="2">
        <v>-3.4095589820886798</v>
      </c>
      <c r="AD5562" s="2"/>
      <c r="AE5562" s="2">
        <v>2.3908408491571401E-2</v>
      </c>
      <c r="AF5562" s="2">
        <v>9307.3880387653608</v>
      </c>
      <c r="AG5562" s="2">
        <v>8764.4019084721403</v>
      </c>
      <c r="AH5562" s="5">
        <v>1.0619535863329499</v>
      </c>
      <c r="AI5562" s="5">
        <v>8.6720713194279403E-2</v>
      </c>
      <c r="AJ5562" s="5" t="s">
        <v>139</v>
      </c>
      <c r="AK5562" s="2">
        <v>0.92510332491616998</v>
      </c>
      <c r="AL5562" s="2">
        <v>0.96781294097397297</v>
      </c>
      <c r="AM5562" s="2">
        <v>6312.5929294056596</v>
      </c>
      <c r="AN5562" s="2">
        <v>3685.2361292077499</v>
      </c>
      <c r="AO5562" s="2">
        <v>23264.194241781701</v>
      </c>
      <c r="AP5562" s="2">
        <v>2164.2480428271601</v>
      </c>
      <c r="AQ5562" s="2">
        <v>2750.4187306505601</v>
      </c>
      <c r="AR5562" s="2">
        <v>17667.638158719299</v>
      </c>
      <c r="AS5562" s="2">
        <v>6752.4187590333204</v>
      </c>
      <c r="AT5562" s="2">
        <v>1617.7986770104501</v>
      </c>
      <c r="AU5562" s="2">
        <v>8.559877937157E-6</v>
      </c>
      <c r="AV5562" s="2">
        <v>29119.3609741582</v>
      </c>
      <c r="AW5562" s="2">
        <v>6285.2118823744004</v>
      </c>
      <c r="AX5562" s="2">
        <v>8811.6211496965898</v>
      </c>
    </row>
    <row r="5563" spans="1:50" x14ac:dyDescent="0.25">
      <c r="A5563" s="2" t="s">
        <v>36322</v>
      </c>
      <c r="B5563" s="2">
        <v>389.09390917151302</v>
      </c>
      <c r="C5563" s="2">
        <v>5.0177166666666704</v>
      </c>
      <c r="D5563" s="2" t="s">
        <v>51</v>
      </c>
      <c r="E5563" s="2" t="s">
        <v>36323</v>
      </c>
      <c r="F5563" s="2">
        <v>211636</v>
      </c>
      <c r="G5563" s="3" t="str">
        <f>HYPERLINK("https://cloud.oebiotech.com/#/lm/network/211636", "https://cloud.oebiotech.com/#/lm/network/211636")</f>
        <v>https://cloud.oebiotech.com/#/lm/network/211636</v>
      </c>
      <c r="H5563" s="2" t="s">
        <v>36324</v>
      </c>
      <c r="I5563" s="2"/>
      <c r="J5563" s="2"/>
      <c r="K5563" s="2">
        <v>53687697</v>
      </c>
      <c r="L5563" s="2"/>
      <c r="M5563" s="2"/>
      <c r="N5563" s="2"/>
      <c r="O5563" s="2"/>
      <c r="P5563" s="2"/>
      <c r="Q5563" s="2"/>
      <c r="R5563" s="2"/>
      <c r="S5563" s="2" t="s">
        <v>36325</v>
      </c>
      <c r="T5563" s="2" t="s">
        <v>36326</v>
      </c>
      <c r="U5563" s="2" t="s">
        <v>331</v>
      </c>
      <c r="V5563" s="2" t="s">
        <v>332</v>
      </c>
      <c r="W5563" s="2" t="s">
        <v>1207</v>
      </c>
      <c r="X5563" s="2" t="s">
        <v>147</v>
      </c>
      <c r="Y5563" s="2">
        <v>38.700000000000003</v>
      </c>
      <c r="Z5563" s="2">
        <v>0</v>
      </c>
      <c r="AA5563" s="2" t="s">
        <v>95</v>
      </c>
      <c r="AB5563" s="2" t="s">
        <v>36327</v>
      </c>
      <c r="AC5563" s="2">
        <v>2.8906754416872502</v>
      </c>
      <c r="AD5563" s="2"/>
      <c r="AE5563" s="2">
        <v>2.3865317088614901E-2</v>
      </c>
      <c r="AF5563" s="2">
        <v>2201.68946638237</v>
      </c>
      <c r="AG5563" s="2">
        <v>2410.4292890327902</v>
      </c>
      <c r="AH5563" s="4">
        <v>0.91340139136204301</v>
      </c>
      <c r="AI5563" s="4">
        <v>-0.13067910754728301</v>
      </c>
      <c r="AJ5563" s="4" t="s">
        <v>62</v>
      </c>
      <c r="AK5563" s="2">
        <v>0.80606014606862797</v>
      </c>
      <c r="AL5563" s="2">
        <v>0.91293000519066103</v>
      </c>
      <c r="AM5563" s="2">
        <v>2783.22806469136</v>
      </c>
      <c r="AN5563" s="2">
        <v>3573.92401148421</v>
      </c>
      <c r="AO5563" s="2">
        <v>1494.22431879802</v>
      </c>
      <c r="AP5563" s="2">
        <v>2319.5934515377498</v>
      </c>
      <c r="AQ5563" s="2">
        <v>1969.75126498175</v>
      </c>
      <c r="AR5563" s="2">
        <v>1069.41568680111</v>
      </c>
      <c r="AS5563" s="2">
        <v>5986.4704940551101</v>
      </c>
      <c r="AT5563" s="2">
        <v>2083.1448284229</v>
      </c>
      <c r="AU5563" s="2">
        <v>2216.6862876126602</v>
      </c>
      <c r="AV5563" s="2">
        <v>1191.63780447349</v>
      </c>
      <c r="AW5563" s="2">
        <v>1934.02311608886</v>
      </c>
      <c r="AX5563" s="2">
        <v>1050.6132035436999</v>
      </c>
    </row>
    <row r="5564" spans="1:50" x14ac:dyDescent="0.25">
      <c r="A5564" s="2" t="s">
        <v>36328</v>
      </c>
      <c r="B5564" s="2">
        <v>635.26884484216305</v>
      </c>
      <c r="C5564" s="2">
        <v>4.6213499999999996</v>
      </c>
      <c r="D5564" s="2" t="s">
        <v>51</v>
      </c>
      <c r="E5564" s="2" t="s">
        <v>36329</v>
      </c>
      <c r="F5564" s="2">
        <v>44689</v>
      </c>
      <c r="G5564" s="3" t="str">
        <f>HYPERLINK("https://cloud.oebiotech.com/#/lm/network/44689", "https://cloud.oebiotech.com/#/lm/network/44689")</f>
        <v>https://cloud.oebiotech.com/#/lm/network/44689</v>
      </c>
      <c r="H5564" s="2"/>
      <c r="I5564" s="2"/>
      <c r="J5564" s="2" t="s">
        <v>36330</v>
      </c>
      <c r="K5564" s="2">
        <v>44573473</v>
      </c>
      <c r="L5564" s="2"/>
      <c r="M5564" s="2"/>
      <c r="N5564" s="2"/>
      <c r="O5564" s="2"/>
      <c r="P5564" s="2"/>
      <c r="Q5564" s="2"/>
      <c r="R5564" s="2"/>
      <c r="S5564" s="2" t="s">
        <v>36331</v>
      </c>
      <c r="T5564" s="2" t="s">
        <v>36332</v>
      </c>
      <c r="U5564" s="2" t="s">
        <v>56</v>
      </c>
      <c r="V5564" s="2" t="s">
        <v>283</v>
      </c>
      <c r="W5564" s="2" t="s">
        <v>1338</v>
      </c>
      <c r="X5564" s="2" t="s">
        <v>59</v>
      </c>
      <c r="Y5564" s="2">
        <v>51.1</v>
      </c>
      <c r="Z5564" s="2">
        <v>67.2</v>
      </c>
      <c r="AA5564" s="2" t="s">
        <v>218</v>
      </c>
      <c r="AB5564" s="2" t="s">
        <v>36333</v>
      </c>
      <c r="AC5564" s="2">
        <v>-3.5071754026394402</v>
      </c>
      <c r="AD5564" s="2"/>
      <c r="AE5564" s="2">
        <v>2.3857543982144801E-2</v>
      </c>
      <c r="AF5564" s="2">
        <v>7173.5600196490996</v>
      </c>
      <c r="AG5564" s="2">
        <v>5450.9289329153698</v>
      </c>
      <c r="AH5564" s="5">
        <v>1.3160252331179101</v>
      </c>
      <c r="AI5564" s="5">
        <v>0.39618715118947101</v>
      </c>
      <c r="AJ5564" s="5" t="s">
        <v>139</v>
      </c>
      <c r="AK5564" s="2">
        <v>0.66297713485611698</v>
      </c>
      <c r="AL5564" s="2">
        <v>0.83663677386975799</v>
      </c>
      <c r="AM5564" s="2">
        <v>1915.73169922329</v>
      </c>
      <c r="AN5564" s="2">
        <v>1586.1021744751699</v>
      </c>
      <c r="AO5564" s="2">
        <v>4353.9216641111698</v>
      </c>
      <c r="AP5564" s="2">
        <v>21423.805931347699</v>
      </c>
      <c r="AQ5564" s="2">
        <v>4128.6784741670499</v>
      </c>
      <c r="AR5564" s="2">
        <v>9633.1201745702092</v>
      </c>
      <c r="AS5564" s="2">
        <v>10963.933808043301</v>
      </c>
      <c r="AT5564" s="2">
        <v>8567.4543442488994</v>
      </c>
      <c r="AU5564" s="2">
        <v>935.00537998742402</v>
      </c>
      <c r="AV5564" s="2">
        <v>410.25272933079299</v>
      </c>
      <c r="AW5564" s="2">
        <v>8.559877937157E-6</v>
      </c>
      <c r="AX5564" s="2">
        <v>11828.927327321901</v>
      </c>
    </row>
    <row r="5565" spans="1:50" x14ac:dyDescent="0.25">
      <c r="A5565" s="2" t="s">
        <v>36334</v>
      </c>
      <c r="B5565" s="2">
        <v>256.26424157594403</v>
      </c>
      <c r="C5565" s="2">
        <v>13.953466666666699</v>
      </c>
      <c r="D5565" s="2" t="s">
        <v>51</v>
      </c>
      <c r="E5565" s="2" t="s">
        <v>36335</v>
      </c>
      <c r="F5565" s="2">
        <v>58255</v>
      </c>
      <c r="G5565" s="3" t="str">
        <f>HYPERLINK("https://cloud.oebiotech.com/#/lm/network/58255", "https://cloud.oebiotech.com/#/lm/network/58255")</f>
        <v>https://cloud.oebiotech.com/#/lm/network/58255</v>
      </c>
      <c r="H5565" s="2" t="s">
        <v>36336</v>
      </c>
      <c r="I5565" s="2">
        <v>89760</v>
      </c>
      <c r="J5565" s="2"/>
      <c r="K5565" s="2">
        <v>10947</v>
      </c>
      <c r="L5565" s="2"/>
      <c r="M5565" s="2"/>
      <c r="N5565" s="2"/>
      <c r="O5565" s="2"/>
      <c r="P5565" s="2"/>
      <c r="Q5565" s="2"/>
      <c r="R5565" s="2" t="s">
        <v>36337</v>
      </c>
      <c r="S5565" s="2" t="s">
        <v>36338</v>
      </c>
      <c r="T5565" s="2" t="s">
        <v>36339</v>
      </c>
      <c r="U5565" s="2" t="s">
        <v>331</v>
      </c>
      <c r="V5565" s="2" t="s">
        <v>332</v>
      </c>
      <c r="W5565" s="2" t="s">
        <v>1207</v>
      </c>
      <c r="X5565" s="2" t="s">
        <v>147</v>
      </c>
      <c r="Y5565" s="2">
        <v>39.700000000000003</v>
      </c>
      <c r="Z5565" s="2">
        <v>5.58</v>
      </c>
      <c r="AA5565" s="2" t="s">
        <v>512</v>
      </c>
      <c r="AB5565" s="2" t="s">
        <v>27568</v>
      </c>
      <c r="AC5565" s="2">
        <v>3.15017142172738</v>
      </c>
      <c r="AD5565" s="2"/>
      <c r="AE5565" s="2">
        <v>2.3777848835549301E-2</v>
      </c>
      <c r="AF5565" s="2">
        <v>27304.920285052802</v>
      </c>
      <c r="AG5565" s="2">
        <v>27597.460332517101</v>
      </c>
      <c r="AH5565" s="4">
        <v>0.989399747515186</v>
      </c>
      <c r="AI5565" s="4">
        <v>-1.5374563551970401E-2</v>
      </c>
      <c r="AJ5565" s="4" t="s">
        <v>62</v>
      </c>
      <c r="AK5565" s="2">
        <v>0.935343743772446</v>
      </c>
      <c r="AL5565" s="2">
        <v>0.97251863385723103</v>
      </c>
      <c r="AM5565" s="2">
        <v>22601.529963549099</v>
      </c>
      <c r="AN5565" s="2">
        <v>24605.739825193901</v>
      </c>
      <c r="AO5565" s="2">
        <v>36637.652197013798</v>
      </c>
      <c r="AP5565" s="2">
        <v>25040.684140698198</v>
      </c>
      <c r="AQ5565" s="2">
        <v>36071.350710598999</v>
      </c>
      <c r="AR5565" s="2">
        <v>18872.564873262501</v>
      </c>
      <c r="AS5565" s="2">
        <v>33902.8300700377</v>
      </c>
      <c r="AT5565" s="2">
        <v>24825.7364530091</v>
      </c>
      <c r="AU5565" s="2">
        <v>31912.699721684799</v>
      </c>
      <c r="AV5565" s="2">
        <v>25563.479447072801</v>
      </c>
      <c r="AW5565" s="2">
        <v>22015.758284244999</v>
      </c>
      <c r="AX5565" s="2">
        <v>27364.258019053101</v>
      </c>
    </row>
    <row r="5566" spans="1:50" x14ac:dyDescent="0.25">
      <c r="A5566" s="2" t="s">
        <v>36340</v>
      </c>
      <c r="B5566" s="2">
        <v>656.34241534561295</v>
      </c>
      <c r="C5566" s="2">
        <v>5.7116499999999997</v>
      </c>
      <c r="D5566" s="2" t="s">
        <v>51</v>
      </c>
      <c r="E5566" s="2" t="s">
        <v>36341</v>
      </c>
      <c r="F5566" s="2">
        <v>28019</v>
      </c>
      <c r="G5566" s="3" t="str">
        <f>HYPERLINK("https://cloud.oebiotech.com/#/lm/network/28019", "https://cloud.oebiotech.com/#/lm/network/28019")</f>
        <v>https://cloud.oebiotech.com/#/lm/network/28019</v>
      </c>
      <c r="H5566" s="2"/>
      <c r="I5566" s="2"/>
      <c r="J5566" s="2" t="s">
        <v>36342</v>
      </c>
      <c r="K5566" s="2">
        <v>134812465</v>
      </c>
      <c r="L5566" s="2"/>
      <c r="M5566" s="2"/>
      <c r="N5566" s="2"/>
      <c r="O5566" s="2"/>
      <c r="P5566" s="2"/>
      <c r="Q5566" s="2"/>
      <c r="R5566" s="2"/>
      <c r="S5566" s="2" t="s">
        <v>36343</v>
      </c>
      <c r="T5566" s="2" t="s">
        <v>36344</v>
      </c>
      <c r="U5566" s="2" t="s">
        <v>56</v>
      </c>
      <c r="V5566" s="2" t="s">
        <v>57</v>
      </c>
      <c r="W5566" s="2" t="s">
        <v>570</v>
      </c>
      <c r="X5566" s="2" t="s">
        <v>147</v>
      </c>
      <c r="Y5566" s="2">
        <v>37.9</v>
      </c>
      <c r="Z5566" s="2">
        <v>0</v>
      </c>
      <c r="AA5566" s="2" t="s">
        <v>512</v>
      </c>
      <c r="AB5566" s="2" t="s">
        <v>36345</v>
      </c>
      <c r="AC5566" s="2">
        <v>2.9163029011016</v>
      </c>
      <c r="AD5566" s="2"/>
      <c r="AE5566" s="2">
        <v>2.3681486320963899E-2</v>
      </c>
      <c r="AF5566" s="2">
        <v>1596.2546666072999</v>
      </c>
      <c r="AG5566" s="2">
        <v>2070.8415289426098</v>
      </c>
      <c r="AH5566" s="4">
        <v>0.77082415254747305</v>
      </c>
      <c r="AI5566" s="4">
        <v>-0.37552631799353697</v>
      </c>
      <c r="AJ5566" s="4" t="s">
        <v>62</v>
      </c>
      <c r="AK5566" s="2">
        <v>0.82791466892155596</v>
      </c>
      <c r="AL5566" s="2">
        <v>0.92429976515301204</v>
      </c>
      <c r="AM5566" s="2">
        <v>5067.8744666602497</v>
      </c>
      <c r="AN5566" s="2">
        <v>8.559877937157E-6</v>
      </c>
      <c r="AO5566" s="2">
        <v>832.26330418169505</v>
      </c>
      <c r="AP5566" s="2">
        <v>8.559877937157E-6</v>
      </c>
      <c r="AQ5566" s="2">
        <v>2137.3495033596801</v>
      </c>
      <c r="AR5566" s="2">
        <v>1540.04070832244</v>
      </c>
      <c r="AS5566" s="2">
        <v>8.559877937157E-6</v>
      </c>
      <c r="AT5566" s="2">
        <v>8.559877937157E-6</v>
      </c>
      <c r="AU5566" s="2">
        <v>11966.2549615227</v>
      </c>
      <c r="AV5566" s="2">
        <v>458.79417789347502</v>
      </c>
      <c r="AW5566" s="2">
        <v>8.559877937157E-6</v>
      </c>
      <c r="AX5566" s="2">
        <v>8.559877937157E-6</v>
      </c>
    </row>
    <row r="5567" spans="1:50" x14ac:dyDescent="0.25">
      <c r="A5567" s="2" t="s">
        <v>36346</v>
      </c>
      <c r="B5567" s="2">
        <v>218.02468562089999</v>
      </c>
      <c r="C5567" s="2">
        <v>0.78368333333333295</v>
      </c>
      <c r="D5567" s="2" t="s">
        <v>51</v>
      </c>
      <c r="E5567" s="2" t="s">
        <v>36347</v>
      </c>
      <c r="F5567" s="2">
        <v>206991</v>
      </c>
      <c r="G5567" s="3" t="str">
        <f>HYPERLINK("https://cloud.oebiotech.com/#/lm/network/206991", "https://cloud.oebiotech.com/#/lm/network/206991")</f>
        <v>https://cloud.oebiotech.com/#/lm/network/206991</v>
      </c>
      <c r="H5567" s="2" t="s">
        <v>36348</v>
      </c>
      <c r="I5567" s="2"/>
      <c r="J5567" s="2"/>
      <c r="K5567" s="2">
        <v>362789</v>
      </c>
      <c r="L5567" s="2"/>
      <c r="M5567" s="2"/>
      <c r="N5567" s="2"/>
      <c r="O5567" s="2"/>
      <c r="P5567" s="2"/>
      <c r="Q5567" s="2"/>
      <c r="R5567" s="2"/>
      <c r="S5567" s="2" t="s">
        <v>36349</v>
      </c>
      <c r="T5567" s="2" t="s">
        <v>36350</v>
      </c>
      <c r="U5567" s="2" t="s">
        <v>103</v>
      </c>
      <c r="V5567" s="2" t="s">
        <v>104</v>
      </c>
      <c r="W5567" s="2" t="s">
        <v>105</v>
      </c>
      <c r="X5567" s="2" t="s">
        <v>83</v>
      </c>
      <c r="Y5567" s="2">
        <v>45.9</v>
      </c>
      <c r="Z5567" s="2">
        <v>0</v>
      </c>
      <c r="AA5567" s="2" t="s">
        <v>395</v>
      </c>
      <c r="AB5567" s="2" t="s">
        <v>10535</v>
      </c>
      <c r="AC5567" s="2">
        <v>-0.48441141435768398</v>
      </c>
      <c r="AD5567" s="2"/>
      <c r="AE5567" s="2">
        <v>2.36632428629753E-2</v>
      </c>
      <c r="AF5567" s="2">
        <v>3910.3140819369801</v>
      </c>
      <c r="AG5567" s="2">
        <v>3787.8646947973798</v>
      </c>
      <c r="AH5567" s="5">
        <v>1.03232675847893</v>
      </c>
      <c r="AI5567" s="5">
        <v>4.5899693844493203E-2</v>
      </c>
      <c r="AJ5567" s="5" t="s">
        <v>139</v>
      </c>
      <c r="AK5567" s="2">
        <v>0.86893373951778696</v>
      </c>
      <c r="AL5567" s="2">
        <v>0.94329120707937397</v>
      </c>
      <c r="AM5567" s="2">
        <v>5604.5284899995504</v>
      </c>
      <c r="AN5567" s="2">
        <v>1494.3994921389601</v>
      </c>
      <c r="AO5567" s="2">
        <v>3658.3667855713102</v>
      </c>
      <c r="AP5567" s="2">
        <v>4928.0998679187396</v>
      </c>
      <c r="AQ5567" s="2">
        <v>4495.9379372888598</v>
      </c>
      <c r="AR5567" s="2">
        <v>3280.5519187044301</v>
      </c>
      <c r="AS5567" s="2">
        <v>3172.7987781167199</v>
      </c>
      <c r="AT5567" s="2">
        <v>3647.4367143806799</v>
      </c>
      <c r="AU5567" s="2">
        <v>3936.6671998572101</v>
      </c>
      <c r="AV5567" s="2">
        <v>2458.6220772267002</v>
      </c>
      <c r="AW5567" s="2">
        <v>4018.9507997074702</v>
      </c>
      <c r="AX5567" s="2">
        <v>5492.7125994955104</v>
      </c>
    </row>
    <row r="5568" spans="1:50" x14ac:dyDescent="0.25">
      <c r="A5568" s="2" t="s">
        <v>36351</v>
      </c>
      <c r="B5568" s="2">
        <v>344.28045936573</v>
      </c>
      <c r="C5568" s="2">
        <v>11.493266666666701</v>
      </c>
      <c r="D5568" s="2" t="s">
        <v>51</v>
      </c>
      <c r="E5568" s="2" t="s">
        <v>36352</v>
      </c>
      <c r="F5568" s="2">
        <v>2927</v>
      </c>
      <c r="G5568" s="3" t="str">
        <f>HYPERLINK("https://cloud.oebiotech.com/#/lm/network/2927", "https://cloud.oebiotech.com/#/lm/network/2927")</f>
        <v>https://cloud.oebiotech.com/#/lm/network/2927</v>
      </c>
      <c r="H5568" s="2"/>
      <c r="I5568" s="2">
        <v>45935</v>
      </c>
      <c r="J5568" s="2" t="s">
        <v>36353</v>
      </c>
      <c r="K5568" s="2">
        <v>52921868</v>
      </c>
      <c r="L5568" s="2"/>
      <c r="M5568" s="2"/>
      <c r="N5568" s="2"/>
      <c r="O5568" s="2"/>
      <c r="P5568" s="2"/>
      <c r="Q5568" s="2"/>
      <c r="R5568" s="2"/>
      <c r="S5568" s="2" t="s">
        <v>36354</v>
      </c>
      <c r="T5568" s="2" t="s">
        <v>36355</v>
      </c>
      <c r="U5568" s="2" t="s">
        <v>56</v>
      </c>
      <c r="V5568" s="2" t="s">
        <v>145</v>
      </c>
      <c r="W5568" s="2" t="s">
        <v>231</v>
      </c>
      <c r="X5568" s="2" t="s">
        <v>69</v>
      </c>
      <c r="Y5568" s="2">
        <v>53.6</v>
      </c>
      <c r="Z5568" s="2">
        <v>51</v>
      </c>
      <c r="AA5568" s="2" t="s">
        <v>512</v>
      </c>
      <c r="AB5568" s="2" t="s">
        <v>28680</v>
      </c>
      <c r="AC5568" s="2">
        <v>2.8330398938526402</v>
      </c>
      <c r="AD5568" s="2"/>
      <c r="AE5568" s="2">
        <v>2.3638981459907699E-2</v>
      </c>
      <c r="AF5568" s="2">
        <v>15032.663311832701</v>
      </c>
      <c r="AG5568" s="2">
        <v>15478.1712039137</v>
      </c>
      <c r="AH5568" s="4">
        <v>0.971217020007618</v>
      </c>
      <c r="AI5568" s="4">
        <v>-4.21343906893272E-2</v>
      </c>
      <c r="AJ5568" s="4" t="s">
        <v>62</v>
      </c>
      <c r="AK5568" s="2">
        <v>0.90375852783038302</v>
      </c>
      <c r="AL5568" s="2">
        <v>0.95998600422561597</v>
      </c>
      <c r="AM5568" s="2">
        <v>21105.463043068801</v>
      </c>
      <c r="AN5568" s="2">
        <v>17167.827832161001</v>
      </c>
      <c r="AO5568" s="2">
        <v>12242.296058559599</v>
      </c>
      <c r="AP5568" s="2">
        <v>15227.280992903899</v>
      </c>
      <c r="AQ5568" s="2">
        <v>13788.969825267501</v>
      </c>
      <c r="AR5568" s="2">
        <v>10664.1421190357</v>
      </c>
      <c r="AS5568" s="2">
        <v>6874.9014833153096</v>
      </c>
      <c r="AT5568" s="2">
        <v>8885.1630804506294</v>
      </c>
      <c r="AU5568" s="2">
        <v>12960.4375386103</v>
      </c>
      <c r="AV5568" s="2">
        <v>15982.706650862399</v>
      </c>
      <c r="AW5568" s="2">
        <v>19335.1372408596</v>
      </c>
      <c r="AX5568" s="2">
        <v>28830.681229383699</v>
      </c>
    </row>
    <row r="5569" spans="1:50" x14ac:dyDescent="0.25">
      <c r="A5569" s="2" t="s">
        <v>36356</v>
      </c>
      <c r="B5569" s="2">
        <v>130.04600506232899</v>
      </c>
      <c r="C5569" s="2">
        <v>0.78368333333333295</v>
      </c>
      <c r="D5569" s="2" t="s">
        <v>51</v>
      </c>
      <c r="E5569" s="2" t="s">
        <v>36357</v>
      </c>
      <c r="F5569" s="2">
        <v>200880</v>
      </c>
      <c r="G5569" s="3" t="str">
        <f>HYPERLINK("https://cloud.oebiotech.com/#/lm/network/200880", "https://cloud.oebiotech.com/#/lm/network/200880")</f>
        <v>https://cloud.oebiotech.com/#/lm/network/200880</v>
      </c>
      <c r="H5569" s="2" t="s">
        <v>36358</v>
      </c>
      <c r="I5569" s="2"/>
      <c r="J5569" s="2"/>
      <c r="K5569" s="2">
        <v>9709</v>
      </c>
      <c r="L5569" s="2"/>
      <c r="M5569" s="2"/>
      <c r="N5569" s="2"/>
      <c r="O5569" s="2"/>
      <c r="P5569" s="2"/>
      <c r="Q5569" s="2"/>
      <c r="R5569" s="2"/>
      <c r="S5569" s="2" t="s">
        <v>36359</v>
      </c>
      <c r="T5569" s="2" t="s">
        <v>36360</v>
      </c>
      <c r="U5569" s="2" t="s">
        <v>610</v>
      </c>
      <c r="V5569" s="2" t="s">
        <v>611</v>
      </c>
      <c r="W5569" s="2" t="s">
        <v>977</v>
      </c>
      <c r="X5569" s="2" t="s">
        <v>147</v>
      </c>
      <c r="Y5569" s="2">
        <v>38.200000000000003</v>
      </c>
      <c r="Z5569" s="2">
        <v>0</v>
      </c>
      <c r="AA5569" s="2" t="s">
        <v>259</v>
      </c>
      <c r="AB5569" s="2" t="s">
        <v>36361</v>
      </c>
      <c r="AC5569" s="2">
        <v>-2.1464426162737</v>
      </c>
      <c r="AD5569" s="2"/>
      <c r="AE5569" s="2">
        <v>2.3592936947069001E-2</v>
      </c>
      <c r="AF5569" s="2">
        <v>58.494139721734498</v>
      </c>
      <c r="AG5569" s="2">
        <v>115.419507999578</v>
      </c>
      <c r="AH5569" s="4">
        <v>0.50679595447546399</v>
      </c>
      <c r="AI5569" s="4">
        <v>-0.98052308674936794</v>
      </c>
      <c r="AJ5569" s="4" t="s">
        <v>62</v>
      </c>
      <c r="AK5569" s="2">
        <v>0.39660037201141402</v>
      </c>
      <c r="AL5569" s="2">
        <v>0.66752996494649497</v>
      </c>
      <c r="AM5569" s="2">
        <v>211.53223314241501</v>
      </c>
      <c r="AN5569" s="2">
        <v>8.559877937157E-6</v>
      </c>
      <c r="AO5569" s="2">
        <v>8.559877937157E-6</v>
      </c>
      <c r="AP5569" s="2">
        <v>8.559877937157E-6</v>
      </c>
      <c r="AQ5569" s="2">
        <v>8.559877937157E-6</v>
      </c>
      <c r="AR5569" s="2">
        <v>139.43257094847999</v>
      </c>
      <c r="AS5569" s="2">
        <v>8.559877937157E-6</v>
      </c>
      <c r="AT5569" s="2">
        <v>8.559877937157E-6</v>
      </c>
      <c r="AU5569" s="2">
        <v>225.24937103429801</v>
      </c>
      <c r="AV5569" s="2">
        <v>221.32947576436499</v>
      </c>
      <c r="AW5569" s="2">
        <v>8.559877937157E-6</v>
      </c>
      <c r="AX5569" s="2">
        <v>245.93817551916999</v>
      </c>
    </row>
    <row r="5570" spans="1:50" x14ac:dyDescent="0.25">
      <c r="A5570" s="2" t="s">
        <v>36362</v>
      </c>
      <c r="B5570" s="2">
        <v>322.16457272541601</v>
      </c>
      <c r="C5570" s="2">
        <v>4.1536</v>
      </c>
      <c r="D5570" s="2" t="s">
        <v>51</v>
      </c>
      <c r="E5570" s="2" t="s">
        <v>36363</v>
      </c>
      <c r="F5570" s="2">
        <v>197679</v>
      </c>
      <c r="G5570" s="3" t="str">
        <f>HYPERLINK("https://cloud.oebiotech.com/#/lm/network/197679", "https://cloud.oebiotech.com/#/lm/network/197679")</f>
        <v>https://cloud.oebiotech.com/#/lm/network/197679</v>
      </c>
      <c r="H5570" s="2" t="s">
        <v>36364</v>
      </c>
      <c r="I5570" s="2"/>
      <c r="J5570" s="2"/>
      <c r="K5570" s="2"/>
      <c r="L5570" s="2"/>
      <c r="M5570" s="2"/>
      <c r="N5570" s="2"/>
      <c r="O5570" s="2"/>
      <c r="P5570" s="2"/>
      <c r="Q5570" s="2"/>
      <c r="R5570" s="2"/>
      <c r="S5570" s="2" t="s">
        <v>36365</v>
      </c>
      <c r="T5570" s="2" t="s">
        <v>36366</v>
      </c>
      <c r="U5570" s="2" t="s">
        <v>56</v>
      </c>
      <c r="V5570" s="2" t="s">
        <v>145</v>
      </c>
      <c r="W5570" s="2" t="s">
        <v>1188</v>
      </c>
      <c r="X5570" s="2" t="s">
        <v>83</v>
      </c>
      <c r="Y5570" s="2">
        <v>38.200000000000003</v>
      </c>
      <c r="Z5570" s="2">
        <v>0</v>
      </c>
      <c r="AA5570" s="2" t="s">
        <v>156</v>
      </c>
      <c r="AB5570" s="2" t="s">
        <v>36367</v>
      </c>
      <c r="AC5570" s="2">
        <v>-0.96279222475146997</v>
      </c>
      <c r="AD5570" s="2"/>
      <c r="AE5570" s="2">
        <v>2.3563268897935401E-2</v>
      </c>
      <c r="AF5570" s="2">
        <v>873.73107274968697</v>
      </c>
      <c r="AG5570" s="2">
        <v>993.01776157859501</v>
      </c>
      <c r="AH5570" s="4">
        <v>0.87987456675570497</v>
      </c>
      <c r="AI5570" s="4">
        <v>-0.18463022433934401</v>
      </c>
      <c r="AJ5570" s="4" t="s">
        <v>62</v>
      </c>
      <c r="AK5570" s="2">
        <v>0.78885390775356101</v>
      </c>
      <c r="AL5570" s="2">
        <v>0.90672005663972099</v>
      </c>
      <c r="AM5570" s="2">
        <v>1494.72511508258</v>
      </c>
      <c r="AN5570" s="2">
        <v>236.68883346745301</v>
      </c>
      <c r="AO5570" s="2">
        <v>1324.3645655983401</v>
      </c>
      <c r="AP5570" s="2">
        <v>503.05100595154198</v>
      </c>
      <c r="AQ5570" s="2">
        <v>305.55579428953502</v>
      </c>
      <c r="AR5570" s="2">
        <v>1378.00112210867</v>
      </c>
      <c r="AS5570" s="2">
        <v>8.559877937157E-6</v>
      </c>
      <c r="AT5570" s="2">
        <v>173.08467049089401</v>
      </c>
      <c r="AU5570" s="2">
        <v>1159.56561997681</v>
      </c>
      <c r="AV5570" s="2">
        <v>2440.3539028861301</v>
      </c>
      <c r="AW5570" s="2">
        <v>1349.0790097763499</v>
      </c>
      <c r="AX5570" s="2">
        <v>836.02335778150803</v>
      </c>
    </row>
    <row r="5571" spans="1:50" x14ac:dyDescent="0.25">
      <c r="A5571" s="2" t="s">
        <v>36368</v>
      </c>
      <c r="B5571" s="2">
        <v>618.33933372841705</v>
      </c>
      <c r="C5571" s="2">
        <v>11.505183333333299</v>
      </c>
      <c r="D5571" s="2" t="s">
        <v>51</v>
      </c>
      <c r="E5571" s="2" t="s">
        <v>36369</v>
      </c>
      <c r="F5571" s="2">
        <v>27915</v>
      </c>
      <c r="G5571" s="3" t="str">
        <f>HYPERLINK("https://cloud.oebiotech.com/#/lm/network/27915", "https://cloud.oebiotech.com/#/lm/network/27915")</f>
        <v>https://cloud.oebiotech.com/#/lm/network/27915</v>
      </c>
      <c r="H5571" s="2"/>
      <c r="I5571" s="2"/>
      <c r="J5571" s="2" t="s">
        <v>36370</v>
      </c>
      <c r="K5571" s="2">
        <v>134812372</v>
      </c>
      <c r="L5571" s="2"/>
      <c r="M5571" s="2"/>
      <c r="N5571" s="2"/>
      <c r="O5571" s="2"/>
      <c r="P5571" s="2"/>
      <c r="Q5571" s="2"/>
      <c r="R5571" s="2"/>
      <c r="S5571" s="2" t="s">
        <v>36371</v>
      </c>
      <c r="T5571" s="2" t="s">
        <v>36372</v>
      </c>
      <c r="U5571" s="2" t="s">
        <v>56</v>
      </c>
      <c r="V5571" s="2" t="s">
        <v>57</v>
      </c>
      <c r="W5571" s="2" t="s">
        <v>155</v>
      </c>
      <c r="X5571" s="2" t="s">
        <v>83</v>
      </c>
      <c r="Y5571" s="2">
        <v>52.5</v>
      </c>
      <c r="Z5571" s="2">
        <v>0</v>
      </c>
      <c r="AA5571" s="2" t="s">
        <v>163</v>
      </c>
      <c r="AB5571" s="2" t="s">
        <v>36373</v>
      </c>
      <c r="AC5571" s="2">
        <v>-3.1055240443944401</v>
      </c>
      <c r="AD5571" s="2"/>
      <c r="AE5571" s="2">
        <v>2.3493306816082402E-2</v>
      </c>
      <c r="AF5571" s="2">
        <v>12569.102119113801</v>
      </c>
      <c r="AG5571" s="2">
        <v>12079.3409934917</v>
      </c>
      <c r="AH5571" s="5">
        <v>1.0405453514298499</v>
      </c>
      <c r="AI5571" s="5">
        <v>5.7339845281898602E-2</v>
      </c>
      <c r="AJ5571" s="5" t="s">
        <v>139</v>
      </c>
      <c r="AK5571" s="2">
        <v>0.76644673576378797</v>
      </c>
      <c r="AL5571" s="2">
        <v>0.89413650924854104</v>
      </c>
      <c r="AM5571" s="2">
        <v>13531.8425013744</v>
      </c>
      <c r="AN5571" s="2">
        <v>12686.254476677001</v>
      </c>
      <c r="AO5571" s="2">
        <v>10965.3702135208</v>
      </c>
      <c r="AP5571" s="2">
        <v>11286.354301589699</v>
      </c>
      <c r="AQ5571" s="2">
        <v>10760.5628581322</v>
      </c>
      <c r="AR5571" s="2">
        <v>16184.2283633887</v>
      </c>
      <c r="AS5571" s="2">
        <v>16055.0609484578</v>
      </c>
      <c r="AT5571" s="2">
        <v>6858.0160033318098</v>
      </c>
      <c r="AU5571" s="2">
        <v>13576.3927421106</v>
      </c>
      <c r="AV5571" s="2">
        <v>13459.4702042274</v>
      </c>
      <c r="AW5571" s="2">
        <v>13160.046987773299</v>
      </c>
      <c r="AX5571" s="2">
        <v>9367.0590750490792</v>
      </c>
    </row>
    <row r="5572" spans="1:50" x14ac:dyDescent="0.25">
      <c r="A5572" s="2" t="s">
        <v>36374</v>
      </c>
      <c r="B5572" s="2">
        <v>219.108</v>
      </c>
      <c r="C5572" s="2">
        <v>12.602</v>
      </c>
      <c r="D5572" s="2" t="s">
        <v>125</v>
      </c>
      <c r="E5572" s="2" t="s">
        <v>36375</v>
      </c>
      <c r="F5572" s="2">
        <v>1871</v>
      </c>
      <c r="G5572" s="3" t="str">
        <f>HYPERLINK("https://cloud.oebiotech.com/#/lm/network/1871", "https://cloud.oebiotech.com/#/lm/network/1871")</f>
        <v>https://cloud.oebiotech.com/#/lm/network/1871</v>
      </c>
      <c r="H5572" s="2" t="s">
        <v>36376</v>
      </c>
      <c r="I5572" s="2">
        <v>3782</v>
      </c>
      <c r="J5572" s="2" t="s">
        <v>36377</v>
      </c>
      <c r="K5572" s="2">
        <v>192742</v>
      </c>
      <c r="L5572" s="2"/>
      <c r="M5572" s="2"/>
      <c r="N5572" s="2"/>
      <c r="O5572" s="2">
        <v>86348</v>
      </c>
      <c r="P5572" s="2"/>
      <c r="Q5572" s="2"/>
      <c r="R5572" s="2" t="s">
        <v>36378</v>
      </c>
      <c r="S5572" s="2" t="s">
        <v>36379</v>
      </c>
      <c r="T5572" s="2" t="s">
        <v>36380</v>
      </c>
      <c r="U5572" s="2" t="s">
        <v>103</v>
      </c>
      <c r="V5572" s="2" t="s">
        <v>377</v>
      </c>
      <c r="W5572" s="2" t="s">
        <v>21745</v>
      </c>
      <c r="X5572" s="2" t="s">
        <v>83</v>
      </c>
      <c r="Y5572" s="2">
        <v>80.099999999999994</v>
      </c>
      <c r="Z5572" s="2">
        <v>68.400000000000006</v>
      </c>
      <c r="AA5572" s="2"/>
      <c r="AB5572" s="2" t="s">
        <v>16095</v>
      </c>
      <c r="AC5572" s="2"/>
      <c r="AD5572" s="2">
        <v>425495.09507373697</v>
      </c>
      <c r="AE5572" s="2">
        <v>2.34521986059621E-2</v>
      </c>
      <c r="AF5572" s="2">
        <v>13056.932555154899</v>
      </c>
      <c r="AG5572" s="2">
        <v>11656.473932987201</v>
      </c>
      <c r="AH5572" s="5">
        <v>1.1201442760665801</v>
      </c>
      <c r="AI5572" s="5">
        <v>0.16368456528327199</v>
      </c>
      <c r="AJ5572" s="5" t="s">
        <v>139</v>
      </c>
      <c r="AK5572" s="2">
        <v>0.69689198936622898</v>
      </c>
      <c r="AL5572" s="2">
        <v>0.85378616196188595</v>
      </c>
      <c r="AM5572" s="2">
        <v>9706.6910787330708</v>
      </c>
      <c r="AN5572" s="2">
        <v>11169.1304807179</v>
      </c>
      <c r="AO5572" s="2">
        <v>11754.536159937599</v>
      </c>
      <c r="AP5572" s="2">
        <v>26288.002111532998</v>
      </c>
      <c r="AQ5572" s="2">
        <v>10146.9165278568</v>
      </c>
      <c r="AR5572" s="2">
        <v>9276.3189721511299</v>
      </c>
      <c r="AS5572" s="2">
        <v>9544.8458558071598</v>
      </c>
      <c r="AT5572" s="2">
        <v>11249.8300743198</v>
      </c>
      <c r="AU5572" s="2">
        <v>9974.0456671131105</v>
      </c>
      <c r="AV5572" s="2">
        <v>10444.1398411708</v>
      </c>
      <c r="AW5572" s="2">
        <v>22366.849875332598</v>
      </c>
      <c r="AX5572" s="2">
        <v>6359.13228417956</v>
      </c>
    </row>
    <row r="5573" spans="1:50" x14ac:dyDescent="0.25">
      <c r="A5573" s="2" t="s">
        <v>36381</v>
      </c>
      <c r="B5573" s="2">
        <v>207.00767113765801</v>
      </c>
      <c r="C5573" s="2">
        <v>4.4255333333333304</v>
      </c>
      <c r="D5573" s="2" t="s">
        <v>51</v>
      </c>
      <c r="E5573" s="2" t="s">
        <v>36382</v>
      </c>
      <c r="F5573" s="2">
        <v>63414</v>
      </c>
      <c r="G5573" s="3" t="str">
        <f>HYPERLINK("https://cloud.oebiotech.com/#/lm/network/63414", "https://cloud.oebiotech.com/#/lm/network/63414")</f>
        <v>https://cloud.oebiotech.com/#/lm/network/63414</v>
      </c>
      <c r="H5573" s="2" t="s">
        <v>36383</v>
      </c>
      <c r="I5573" s="2">
        <v>94727</v>
      </c>
      <c r="J5573" s="2"/>
      <c r="K5573" s="2">
        <v>104890</v>
      </c>
      <c r="L5573" s="2"/>
      <c r="M5573" s="2"/>
      <c r="N5573" s="2"/>
      <c r="O5573" s="2"/>
      <c r="P5573" s="2"/>
      <c r="Q5573" s="2"/>
      <c r="R5573" s="2" t="s">
        <v>36384</v>
      </c>
      <c r="S5573" s="2" t="s">
        <v>36385</v>
      </c>
      <c r="T5573" s="2" t="s">
        <v>36386</v>
      </c>
      <c r="U5573" s="2" t="s">
        <v>103</v>
      </c>
      <c r="V5573" s="2" t="s">
        <v>104</v>
      </c>
      <c r="W5573" s="2" t="s">
        <v>105</v>
      </c>
      <c r="X5573" s="2" t="s">
        <v>147</v>
      </c>
      <c r="Y5573" s="2">
        <v>37.299999999999997</v>
      </c>
      <c r="Z5573" s="2">
        <v>0</v>
      </c>
      <c r="AA5573" s="2" t="s">
        <v>218</v>
      </c>
      <c r="AB5573" s="2" t="s">
        <v>36387</v>
      </c>
      <c r="AC5573" s="2">
        <v>-2.74546806243819</v>
      </c>
      <c r="AD5573" s="2"/>
      <c r="AE5573" s="2">
        <v>2.3287467525367499E-2</v>
      </c>
      <c r="AF5573" s="2">
        <v>808.92104692993996</v>
      </c>
      <c r="AG5573" s="2">
        <v>877.49853392511602</v>
      </c>
      <c r="AH5573" s="4">
        <v>0.92184888709907598</v>
      </c>
      <c r="AI5573" s="4">
        <v>-0.117397816792719</v>
      </c>
      <c r="AJ5573" s="4" t="s">
        <v>62</v>
      </c>
      <c r="AK5573" s="2">
        <v>0.57540862618435995</v>
      </c>
      <c r="AL5573" s="2">
        <v>0.78579377678617801</v>
      </c>
      <c r="AM5573" s="2">
        <v>880.65293056729899</v>
      </c>
      <c r="AN5573" s="2">
        <v>734.43493106811297</v>
      </c>
      <c r="AO5573" s="2">
        <v>693.66335742167098</v>
      </c>
      <c r="AP5573" s="2">
        <v>757.02365092547495</v>
      </c>
      <c r="AQ5573" s="2">
        <v>912.72079863918202</v>
      </c>
      <c r="AR5573" s="2">
        <v>875.03061295789701</v>
      </c>
      <c r="AS5573" s="2">
        <v>630.62983189209695</v>
      </c>
      <c r="AT5573" s="2">
        <v>1049.35268748661</v>
      </c>
      <c r="AU5573" s="2">
        <v>769.85444978990904</v>
      </c>
      <c r="AV5573" s="2">
        <v>1251.75338774188</v>
      </c>
      <c r="AW5573" s="2">
        <v>538.21487446489198</v>
      </c>
      <c r="AX5573" s="2">
        <v>1025.1859721753101</v>
      </c>
    </row>
    <row r="5574" spans="1:50" x14ac:dyDescent="0.25">
      <c r="A5574" s="2" t="s">
        <v>36388</v>
      </c>
      <c r="B5574" s="2">
        <v>479.33807146352001</v>
      </c>
      <c r="C5574" s="2">
        <v>11.528283333333301</v>
      </c>
      <c r="D5574" s="2" t="s">
        <v>51</v>
      </c>
      <c r="E5574" s="2" t="s">
        <v>36389</v>
      </c>
      <c r="F5574" s="2">
        <v>46389</v>
      </c>
      <c r="G5574" s="3" t="str">
        <f>HYPERLINK("https://cloud.oebiotech.com/#/lm/network/46389", "https://cloud.oebiotech.com/#/lm/network/46389")</f>
        <v>https://cloud.oebiotech.com/#/lm/network/46389</v>
      </c>
      <c r="H5574" s="2" t="s">
        <v>36390</v>
      </c>
      <c r="I5574" s="2">
        <v>5348</v>
      </c>
      <c r="J5574" s="2" t="s">
        <v>36391</v>
      </c>
      <c r="K5574" s="2">
        <v>5284239</v>
      </c>
      <c r="L5574" s="2"/>
      <c r="M5574" s="2"/>
      <c r="N5574" s="2"/>
      <c r="O5574" s="2">
        <v>16577</v>
      </c>
      <c r="P5574" s="2" t="s">
        <v>9647</v>
      </c>
      <c r="Q5574" s="2" t="s">
        <v>9648</v>
      </c>
      <c r="R5574" s="2" t="s">
        <v>36392</v>
      </c>
      <c r="S5574" s="2" t="s">
        <v>36393</v>
      </c>
      <c r="T5574" s="2" t="s">
        <v>36394</v>
      </c>
      <c r="U5574" s="2" t="s">
        <v>56</v>
      </c>
      <c r="V5574" s="2" t="s">
        <v>283</v>
      </c>
      <c r="W5574" s="2" t="s">
        <v>2042</v>
      </c>
      <c r="X5574" s="2" t="s">
        <v>83</v>
      </c>
      <c r="Y5574" s="2">
        <v>41</v>
      </c>
      <c r="Z5574" s="2">
        <v>5.81</v>
      </c>
      <c r="AA5574" s="2" t="s">
        <v>218</v>
      </c>
      <c r="AB5574" s="2" t="s">
        <v>16486</v>
      </c>
      <c r="AC5574" s="2">
        <v>0.59547887060604099</v>
      </c>
      <c r="AD5574" s="2"/>
      <c r="AE5574" s="2">
        <v>2.32370326546864E-2</v>
      </c>
      <c r="AF5574" s="2">
        <v>5454.0359643907204</v>
      </c>
      <c r="AG5574" s="2">
        <v>5027.59659528466</v>
      </c>
      <c r="AH5574" s="5">
        <v>1.0848197266873001</v>
      </c>
      <c r="AI5574" s="5">
        <v>0.117455318224786</v>
      </c>
      <c r="AJ5574" s="5" t="s">
        <v>139</v>
      </c>
      <c r="AK5574" s="2">
        <v>0.74222052449599796</v>
      </c>
      <c r="AL5574" s="2">
        <v>0.88201826539886696</v>
      </c>
      <c r="AM5574" s="2">
        <v>4502.6314034421403</v>
      </c>
      <c r="AN5574" s="2">
        <v>5037.0658518788796</v>
      </c>
      <c r="AO5574" s="2">
        <v>3988.3250749701201</v>
      </c>
      <c r="AP5574" s="2">
        <v>8993.0747027724792</v>
      </c>
      <c r="AQ5574" s="2">
        <v>6547.7181769420604</v>
      </c>
      <c r="AR5574" s="2">
        <v>3655.4005763386699</v>
      </c>
      <c r="AS5574" s="2">
        <v>3243.1302370242602</v>
      </c>
      <c r="AT5574" s="2">
        <v>6171.3489019215003</v>
      </c>
      <c r="AU5574" s="2">
        <v>3780.8426577829</v>
      </c>
      <c r="AV5574" s="2">
        <v>2013.6347365546301</v>
      </c>
      <c r="AW5574" s="2">
        <v>7044.5447234764697</v>
      </c>
      <c r="AX5574" s="2">
        <v>7912.0783149482204</v>
      </c>
    </row>
    <row r="5575" spans="1:50" x14ac:dyDescent="0.25">
      <c r="A5575" s="2" t="s">
        <v>36395</v>
      </c>
      <c r="B5575" s="2">
        <v>211.144687164282</v>
      </c>
      <c r="C5575" s="2">
        <v>4.6064833333333297</v>
      </c>
      <c r="D5575" s="2" t="s">
        <v>51</v>
      </c>
      <c r="E5575" s="2" t="s">
        <v>36396</v>
      </c>
      <c r="F5575" s="2">
        <v>280649</v>
      </c>
      <c r="G5575" s="3" t="str">
        <f>HYPERLINK("https://cloud.oebiotech.com/#/lm/network/280649", "https://cloud.oebiotech.com/#/lm/network/280649")</f>
        <v>https://cloud.oebiotech.com/#/lm/network/280649</v>
      </c>
      <c r="H5575" s="2" t="s">
        <v>36397</v>
      </c>
      <c r="I5575" s="2">
        <v>89817</v>
      </c>
      <c r="J5575" s="2"/>
      <c r="K5575" s="2">
        <v>102892</v>
      </c>
      <c r="L5575" s="2"/>
      <c r="M5575" s="2"/>
      <c r="N5575" s="2"/>
      <c r="O5575" s="2"/>
      <c r="P5575" s="2"/>
      <c r="Q5575" s="2"/>
      <c r="R5575" s="2" t="s">
        <v>36398</v>
      </c>
      <c r="S5575" s="2" t="s">
        <v>36399</v>
      </c>
      <c r="T5575" s="2" t="s">
        <v>36400</v>
      </c>
      <c r="U5575" s="2" t="s">
        <v>103</v>
      </c>
      <c r="V5575" s="2" t="s">
        <v>104</v>
      </c>
      <c r="W5575" s="2" t="s">
        <v>105</v>
      </c>
      <c r="X5575" s="2" t="s">
        <v>69</v>
      </c>
      <c r="Y5575" s="2">
        <v>52.2</v>
      </c>
      <c r="Z5575" s="2">
        <v>61.8</v>
      </c>
      <c r="AA5575" s="2" t="s">
        <v>259</v>
      </c>
      <c r="AB5575" s="2" t="s">
        <v>36401</v>
      </c>
      <c r="AC5575" s="2">
        <v>2.7739369035566499</v>
      </c>
      <c r="AD5575" s="2"/>
      <c r="AE5575" s="2">
        <v>2.30646830266103E-2</v>
      </c>
      <c r="AF5575" s="2">
        <v>4879.4744278519202</v>
      </c>
      <c r="AG5575" s="2">
        <v>4084.58173727639</v>
      </c>
      <c r="AH5575" s="5">
        <v>1.19460809985053</v>
      </c>
      <c r="AI5575" s="5">
        <v>0.25653740889001297</v>
      </c>
      <c r="AJ5575" s="5" t="s">
        <v>139</v>
      </c>
      <c r="AK5575" s="2">
        <v>0.52467769868665703</v>
      </c>
      <c r="AL5575" s="2">
        <v>0.75332805250367096</v>
      </c>
      <c r="AM5575" s="2">
        <v>2928.03134568102</v>
      </c>
      <c r="AN5575" s="2">
        <v>3382.9187798312701</v>
      </c>
      <c r="AO5575" s="2">
        <v>4202.6456459358997</v>
      </c>
      <c r="AP5575" s="2">
        <v>9969.8448722939502</v>
      </c>
      <c r="AQ5575" s="2">
        <v>3889.9606260604401</v>
      </c>
      <c r="AR5575" s="2">
        <v>4903.4452973089601</v>
      </c>
      <c r="AS5575" s="2">
        <v>2862.5443351090198</v>
      </c>
      <c r="AT5575" s="2">
        <v>2458.8729648047001</v>
      </c>
      <c r="AU5575" s="2">
        <v>3577.4550343616602</v>
      </c>
      <c r="AV5575" s="2">
        <v>4393.6864480147397</v>
      </c>
      <c r="AW5575" s="2">
        <v>6349.6295957960101</v>
      </c>
      <c r="AX5575" s="2">
        <v>4865.3020455721899</v>
      </c>
    </row>
    <row r="5576" spans="1:50" x14ac:dyDescent="0.25">
      <c r="A5576" s="2" t="s">
        <v>36402</v>
      </c>
      <c r="B5576" s="2">
        <v>225.07642159587999</v>
      </c>
      <c r="C5576" s="2">
        <v>6.4343000000000004</v>
      </c>
      <c r="D5576" s="2" t="s">
        <v>51</v>
      </c>
      <c r="E5576" s="2" t="s">
        <v>36403</v>
      </c>
      <c r="F5576" s="2">
        <v>199916</v>
      </c>
      <c r="G5576" s="3" t="str">
        <f>HYPERLINK("https://cloud.oebiotech.com/#/lm/network/199916", "https://cloud.oebiotech.com/#/lm/network/199916")</f>
        <v>https://cloud.oebiotech.com/#/lm/network/199916</v>
      </c>
      <c r="H5576" s="2" t="s">
        <v>36404</v>
      </c>
      <c r="I5576" s="2"/>
      <c r="J5576" s="2"/>
      <c r="K5576" s="2">
        <v>3082710</v>
      </c>
      <c r="L5576" s="2"/>
      <c r="M5576" s="2"/>
      <c r="N5576" s="2"/>
      <c r="O5576" s="2"/>
      <c r="P5576" s="2"/>
      <c r="Q5576" s="2"/>
      <c r="R5576" s="2"/>
      <c r="S5576" s="2" t="s">
        <v>36405</v>
      </c>
      <c r="T5576" s="2" t="s">
        <v>36406</v>
      </c>
      <c r="U5576" s="2" t="s">
        <v>56</v>
      </c>
      <c r="V5576" s="2" t="s">
        <v>145</v>
      </c>
      <c r="W5576" s="2" t="s">
        <v>231</v>
      </c>
      <c r="X5576" s="2" t="s">
        <v>147</v>
      </c>
      <c r="Y5576" s="2">
        <v>41.7</v>
      </c>
      <c r="Z5576" s="2">
        <v>16</v>
      </c>
      <c r="AA5576" s="2" t="s">
        <v>163</v>
      </c>
      <c r="AB5576" s="2" t="s">
        <v>25353</v>
      </c>
      <c r="AC5576" s="2">
        <v>-1.88212641028742</v>
      </c>
      <c r="AD5576" s="2"/>
      <c r="AE5576" s="2">
        <v>2.3042602446442899E-2</v>
      </c>
      <c r="AF5576" s="2">
        <v>1511.9944537024201</v>
      </c>
      <c r="AG5576" s="2">
        <v>1387.12420558451</v>
      </c>
      <c r="AH5576" s="5">
        <v>1.09002095675008</v>
      </c>
      <c r="AI5576" s="5">
        <v>0.12435587253318001</v>
      </c>
      <c r="AJ5576" s="5" t="s">
        <v>139</v>
      </c>
      <c r="AK5576" s="2">
        <v>0.85516549045146495</v>
      </c>
      <c r="AL5576" s="2">
        <v>0.93591158472213798</v>
      </c>
      <c r="AM5576" s="2">
        <v>1394.8669688177299</v>
      </c>
      <c r="AN5576" s="2">
        <v>3911.26430118194</v>
      </c>
      <c r="AO5576" s="2">
        <v>406.99253154106702</v>
      </c>
      <c r="AP5576" s="2">
        <v>2058.1661262309699</v>
      </c>
      <c r="AQ5576" s="2">
        <v>6.0275656641406901</v>
      </c>
      <c r="AR5576" s="2">
        <v>1294.64922877867</v>
      </c>
      <c r="AS5576" s="2">
        <v>1713.7723713349901</v>
      </c>
      <c r="AT5576" s="2">
        <v>2020.99279630197</v>
      </c>
      <c r="AU5576" s="2">
        <v>394.62680090263399</v>
      </c>
      <c r="AV5576" s="2">
        <v>1162.12742930945</v>
      </c>
      <c r="AW5576" s="2">
        <v>2552.7120288201299</v>
      </c>
      <c r="AX5576" s="2">
        <v>478.51380683789</v>
      </c>
    </row>
    <row r="5577" spans="1:50" x14ac:dyDescent="0.25">
      <c r="A5577" s="2" t="s">
        <v>36407</v>
      </c>
      <c r="B5577" s="2">
        <v>145.097126740335</v>
      </c>
      <c r="C5577" s="2">
        <v>0.61688333333333301</v>
      </c>
      <c r="D5577" s="2" t="s">
        <v>51</v>
      </c>
      <c r="E5577" s="2" t="s">
        <v>36408</v>
      </c>
      <c r="F5577" s="2">
        <v>51838</v>
      </c>
      <c r="G5577" s="3" t="str">
        <f>HYPERLINK("https://cloud.oebiotech.com/#/lm/network/51838", "https://cloud.oebiotech.com/#/lm/network/51838")</f>
        <v>https://cloud.oebiotech.com/#/lm/network/51838</v>
      </c>
      <c r="H5577" s="2" t="s">
        <v>36409</v>
      </c>
      <c r="I5577" s="2">
        <v>62790</v>
      </c>
      <c r="J5577" s="2"/>
      <c r="K5577" s="2">
        <v>439430</v>
      </c>
      <c r="L5577" s="2" t="s">
        <v>36410</v>
      </c>
      <c r="M5577" s="2" t="s">
        <v>6725</v>
      </c>
      <c r="N5577" s="2" t="s">
        <v>6726</v>
      </c>
      <c r="O5577" s="2">
        <v>15616</v>
      </c>
      <c r="P5577" s="2"/>
      <c r="Q5577" s="2"/>
      <c r="R5577" s="2" t="s">
        <v>36411</v>
      </c>
      <c r="S5577" s="2" t="s">
        <v>36412</v>
      </c>
      <c r="T5577" s="2" t="s">
        <v>36413</v>
      </c>
      <c r="U5577" s="2" t="s">
        <v>103</v>
      </c>
      <c r="V5577" s="2" t="s">
        <v>104</v>
      </c>
      <c r="W5577" s="2" t="s">
        <v>105</v>
      </c>
      <c r="X5577" s="2" t="s">
        <v>83</v>
      </c>
      <c r="Y5577" s="2">
        <v>39.1</v>
      </c>
      <c r="Z5577" s="2">
        <v>0</v>
      </c>
      <c r="AA5577" s="2" t="s">
        <v>163</v>
      </c>
      <c r="AB5577" s="2" t="s">
        <v>11424</v>
      </c>
      <c r="AC5577" s="2">
        <v>-7.6966654371911201</v>
      </c>
      <c r="AD5577" s="2"/>
      <c r="AE5577" s="2">
        <v>2.3004598212892E-2</v>
      </c>
      <c r="AF5577" s="2">
        <v>1236.7329931582401</v>
      </c>
      <c r="AG5577" s="2">
        <v>1380.68650078933</v>
      </c>
      <c r="AH5577" s="4">
        <v>0.89573773079639096</v>
      </c>
      <c r="AI5577" s="4">
        <v>-0.158851717367263</v>
      </c>
      <c r="AJ5577" s="4" t="s">
        <v>62</v>
      </c>
      <c r="AK5577" s="2">
        <v>0.79672691875190704</v>
      </c>
      <c r="AL5577" s="2">
        <v>0.90954932814260703</v>
      </c>
      <c r="AM5577" s="2">
        <v>2052.46867570524</v>
      </c>
      <c r="AN5577" s="2">
        <v>1266.81267879951</v>
      </c>
      <c r="AO5577" s="2">
        <v>394.56567826852802</v>
      </c>
      <c r="AP5577" s="2">
        <v>1878.8384054721</v>
      </c>
      <c r="AQ5577" s="2">
        <v>1144.6866880046</v>
      </c>
      <c r="AR5577" s="2">
        <v>683.025832699484</v>
      </c>
      <c r="AS5577" s="2">
        <v>338.88425256669598</v>
      </c>
      <c r="AT5577" s="2">
        <v>642.250776282267</v>
      </c>
      <c r="AU5577" s="2">
        <v>2151.8380168335998</v>
      </c>
      <c r="AV5577" s="2">
        <v>3392.4013449170402</v>
      </c>
      <c r="AW5577" s="2">
        <v>830.57305531614702</v>
      </c>
      <c r="AX5577" s="2">
        <v>928.17155882022803</v>
      </c>
    </row>
    <row r="5578" spans="1:50" x14ac:dyDescent="0.25">
      <c r="A5578" s="2" t="s">
        <v>36414</v>
      </c>
      <c r="B5578" s="2">
        <v>278.24927635058901</v>
      </c>
      <c r="C5578" s="2">
        <v>11.940049999999999</v>
      </c>
      <c r="D5578" s="2" t="s">
        <v>51</v>
      </c>
      <c r="E5578" s="2" t="s">
        <v>36415</v>
      </c>
      <c r="F5578" s="2">
        <v>2605</v>
      </c>
      <c r="G5578" s="3" t="str">
        <f>HYPERLINK("https://cloud.oebiotech.com/#/lm/network/2605", "https://cloud.oebiotech.com/#/lm/network/2605")</f>
        <v>https://cloud.oebiotech.com/#/lm/network/2605</v>
      </c>
      <c r="H5578" s="2"/>
      <c r="I5578" s="2"/>
      <c r="J5578" s="2" t="s">
        <v>36416</v>
      </c>
      <c r="K5578" s="2">
        <v>137323827</v>
      </c>
      <c r="L5578" s="2"/>
      <c r="M5578" s="2"/>
      <c r="N5578" s="2"/>
      <c r="O5578" s="2"/>
      <c r="P5578" s="2"/>
      <c r="Q5578" s="2"/>
      <c r="R5578" s="2"/>
      <c r="S5578" s="2" t="s">
        <v>36417</v>
      </c>
      <c r="T5578" s="2" t="s">
        <v>36418</v>
      </c>
      <c r="U5578" s="2" t="s">
        <v>56</v>
      </c>
      <c r="V5578" s="2" t="s">
        <v>145</v>
      </c>
      <c r="W5578" s="2" t="s">
        <v>146</v>
      </c>
      <c r="X5578" s="2" t="s">
        <v>83</v>
      </c>
      <c r="Y5578" s="2">
        <v>40.6</v>
      </c>
      <c r="Z5578" s="2">
        <v>0</v>
      </c>
      <c r="AA5578" s="2" t="s">
        <v>512</v>
      </c>
      <c r="AB5578" s="2" t="s">
        <v>23117</v>
      </c>
      <c r="AC5578" s="2">
        <v>5.5158561150634604</v>
      </c>
      <c r="AD5578" s="2"/>
      <c r="AE5578" s="2">
        <v>2.29921802414992E-2</v>
      </c>
      <c r="AF5578" s="2">
        <v>801.97195864055698</v>
      </c>
      <c r="AG5578" s="2">
        <v>870.61269925792897</v>
      </c>
      <c r="AH5578" s="4">
        <v>0.921158121543738</v>
      </c>
      <c r="AI5578" s="4">
        <v>-0.118479271266951</v>
      </c>
      <c r="AJ5578" s="4" t="s">
        <v>62</v>
      </c>
      <c r="AK5578" s="2">
        <v>0.93856361912428499</v>
      </c>
      <c r="AL5578" s="2">
        <v>0.97331916274949803</v>
      </c>
      <c r="AM5578" s="2">
        <v>8.559877937157E-6</v>
      </c>
      <c r="AN5578" s="2">
        <v>8.559877937157E-6</v>
      </c>
      <c r="AO5578" s="2">
        <v>2463.2740998467598</v>
      </c>
      <c r="AP5578" s="2">
        <v>8.559877937157E-6</v>
      </c>
      <c r="AQ5578" s="2">
        <v>2348.5576177570701</v>
      </c>
      <c r="AR5578" s="2">
        <v>8.559877937157E-6</v>
      </c>
      <c r="AS5578" s="2">
        <v>4315.8988410444899</v>
      </c>
      <c r="AT5578" s="2">
        <v>8.559877937157E-6</v>
      </c>
      <c r="AU5578" s="2">
        <v>907.77732026357296</v>
      </c>
      <c r="AV5578" s="2">
        <v>8.559877937157E-6</v>
      </c>
      <c r="AW5578" s="2">
        <v>8.559877937157E-6</v>
      </c>
      <c r="AX5578" s="2">
        <v>8.559877937157E-6</v>
      </c>
    </row>
    <row r="5579" spans="1:50" x14ac:dyDescent="0.25">
      <c r="A5579" s="2" t="s">
        <v>36419</v>
      </c>
      <c r="B5579" s="2">
        <v>460.17039033030301</v>
      </c>
      <c r="C5579" s="2">
        <v>6.88723333333333</v>
      </c>
      <c r="D5579" s="2" t="s">
        <v>51</v>
      </c>
      <c r="E5579" s="2" t="s">
        <v>36420</v>
      </c>
      <c r="F5579" s="2">
        <v>211120</v>
      </c>
      <c r="G5579" s="3" t="str">
        <f>HYPERLINK("https://cloud.oebiotech.com/#/lm/network/211120", "https://cloud.oebiotech.com/#/lm/network/211120")</f>
        <v>https://cloud.oebiotech.com/#/lm/network/211120</v>
      </c>
      <c r="H5579" s="2" t="s">
        <v>36421</v>
      </c>
      <c r="I5579" s="2"/>
      <c r="J5579" s="2"/>
      <c r="K5579" s="2">
        <v>59823</v>
      </c>
      <c r="L5579" s="2"/>
      <c r="M5579" s="2"/>
      <c r="N5579" s="2"/>
      <c r="O5579" s="2"/>
      <c r="P5579" s="2"/>
      <c r="Q5579" s="2"/>
      <c r="R5579" s="2"/>
      <c r="S5579" s="2" t="s">
        <v>36422</v>
      </c>
      <c r="T5579" s="2" t="s">
        <v>36423</v>
      </c>
      <c r="U5579" s="2" t="s">
        <v>266</v>
      </c>
      <c r="V5579" s="2" t="s">
        <v>9065</v>
      </c>
      <c r="W5579" s="2" t="s">
        <v>240</v>
      </c>
      <c r="X5579" s="2" t="s">
        <v>147</v>
      </c>
      <c r="Y5579" s="2">
        <v>37</v>
      </c>
      <c r="Z5579" s="2">
        <v>0</v>
      </c>
      <c r="AA5579" s="2" t="s">
        <v>218</v>
      </c>
      <c r="AB5579" s="2" t="s">
        <v>36424</v>
      </c>
      <c r="AC5579" s="2">
        <v>-1.9000442767251799</v>
      </c>
      <c r="AD5579" s="2"/>
      <c r="AE5579" s="2">
        <v>2.2882780889016699E-2</v>
      </c>
      <c r="AF5579" s="2">
        <v>3011.0844861898499</v>
      </c>
      <c r="AG5579" s="2">
        <v>2484.57418060385</v>
      </c>
      <c r="AH5579" s="5">
        <v>1.2119116867977899</v>
      </c>
      <c r="AI5579" s="5">
        <v>0.27728457202788898</v>
      </c>
      <c r="AJ5579" s="5" t="s">
        <v>139</v>
      </c>
      <c r="AK5579" s="2">
        <v>0.81643432662647297</v>
      </c>
      <c r="AL5579" s="2">
        <v>0.91889489993959605</v>
      </c>
      <c r="AM5579" s="2">
        <v>231.761794033618</v>
      </c>
      <c r="AN5579" s="2">
        <v>9530.5697371214792</v>
      </c>
      <c r="AO5579" s="2">
        <v>1340.6792560710301</v>
      </c>
      <c r="AP5579" s="2">
        <v>4071.2116155945801</v>
      </c>
      <c r="AQ5579" s="2">
        <v>1847.3865630216301</v>
      </c>
      <c r="AR5579" s="2">
        <v>1044.8979512967801</v>
      </c>
      <c r="AS5579" s="2">
        <v>10722.148756836201</v>
      </c>
      <c r="AT5579" s="2">
        <v>1668.4592701384299</v>
      </c>
      <c r="AU5579" s="2">
        <v>8.559877937157E-6</v>
      </c>
      <c r="AV5579" s="2">
        <v>8.559877937157E-6</v>
      </c>
      <c r="AW5579" s="2">
        <v>8.559877937157E-6</v>
      </c>
      <c r="AX5579" s="2">
        <v>2516.8370309688098</v>
      </c>
    </row>
    <row r="5580" spans="1:50" x14ac:dyDescent="0.25">
      <c r="A5580" s="2" t="s">
        <v>36425</v>
      </c>
      <c r="B5580" s="2">
        <v>378.11298801543001</v>
      </c>
      <c r="C5580" s="2">
        <v>5.0793666666666697</v>
      </c>
      <c r="D5580" s="2" t="s">
        <v>51</v>
      </c>
      <c r="E5580" s="2" t="s">
        <v>36426</v>
      </c>
      <c r="F5580" s="2">
        <v>213012</v>
      </c>
      <c r="G5580" s="3" t="str">
        <f>HYPERLINK("https://cloud.oebiotech.com/#/lm/network/213012", "https://cloud.oebiotech.com/#/lm/network/213012")</f>
        <v>https://cloud.oebiotech.com/#/lm/network/213012</v>
      </c>
      <c r="H5580" s="2" t="s">
        <v>36427</v>
      </c>
      <c r="I5580" s="2"/>
      <c r="J5580" s="2"/>
      <c r="K5580" s="2"/>
      <c r="L5580" s="2"/>
      <c r="M5580" s="2"/>
      <c r="N5580" s="2"/>
      <c r="O5580" s="2"/>
      <c r="P5580" s="2"/>
      <c r="Q5580" s="2"/>
      <c r="R5580" s="2"/>
      <c r="S5580" s="2" t="s">
        <v>36428</v>
      </c>
      <c r="T5580" s="2" t="s">
        <v>36429</v>
      </c>
      <c r="U5580" s="2" t="s">
        <v>1231</v>
      </c>
      <c r="V5580" s="2" t="s">
        <v>15569</v>
      </c>
      <c r="W5580" s="2" t="s">
        <v>18047</v>
      </c>
      <c r="X5580" s="2" t="s">
        <v>147</v>
      </c>
      <c r="Y5580" s="2">
        <v>38</v>
      </c>
      <c r="Z5580" s="2">
        <v>0</v>
      </c>
      <c r="AA5580" s="2" t="s">
        <v>512</v>
      </c>
      <c r="AB5580" s="2" t="s">
        <v>36430</v>
      </c>
      <c r="AC5580" s="2">
        <v>-0.46530793669479598</v>
      </c>
      <c r="AD5580" s="2"/>
      <c r="AE5580" s="2">
        <v>2.28763011771147E-2</v>
      </c>
      <c r="AF5580" s="2">
        <v>47.770446027843299</v>
      </c>
      <c r="AG5580" s="2">
        <v>26.539865692041602</v>
      </c>
      <c r="AH5580" s="5">
        <v>1.79995055672674</v>
      </c>
      <c r="AI5580" s="5">
        <v>0.84795727736337501</v>
      </c>
      <c r="AJ5580" s="5" t="s">
        <v>139</v>
      </c>
      <c r="AK5580" s="2">
        <v>0.66669960182978805</v>
      </c>
      <c r="AL5580" s="2">
        <v>0.83860074916598604</v>
      </c>
      <c r="AM5580" s="2">
        <v>42.892542697501199</v>
      </c>
      <c r="AN5580" s="2">
        <v>243.73009923004699</v>
      </c>
      <c r="AO5580" s="2">
        <v>8.559877937157E-6</v>
      </c>
      <c r="AP5580" s="2">
        <v>8.559877937157E-6</v>
      </c>
      <c r="AQ5580" s="2">
        <v>8.559877937157E-6</v>
      </c>
      <c r="AR5580" s="2">
        <v>8.559877937157E-6</v>
      </c>
      <c r="AS5580" s="2">
        <v>8.559877937157E-6</v>
      </c>
      <c r="AT5580" s="2">
        <v>159.23915135286001</v>
      </c>
      <c r="AU5580" s="2">
        <v>8.559877937157E-6</v>
      </c>
      <c r="AV5580" s="2">
        <v>8.559877937157E-6</v>
      </c>
      <c r="AW5580" s="2">
        <v>8.559877937157E-6</v>
      </c>
      <c r="AX5580" s="2">
        <v>8.559877937157E-6</v>
      </c>
    </row>
    <row r="5581" spans="1:50" x14ac:dyDescent="0.25">
      <c r="A5581" s="2" t="s">
        <v>36431</v>
      </c>
      <c r="B5581" s="2">
        <v>374.09799655603001</v>
      </c>
      <c r="C5581" s="2">
        <v>1.08738333333333</v>
      </c>
      <c r="D5581" s="2" t="s">
        <v>51</v>
      </c>
      <c r="E5581" s="2" t="s">
        <v>36432</v>
      </c>
      <c r="F5581" s="2">
        <v>83638</v>
      </c>
      <c r="G5581" s="3" t="str">
        <f>HYPERLINK("https://cloud.oebiotech.com/#/lm/network/83638", "https://cloud.oebiotech.com/#/lm/network/83638")</f>
        <v>https://cloud.oebiotech.com/#/lm/network/83638</v>
      </c>
      <c r="H5581" s="2" t="s">
        <v>36433</v>
      </c>
      <c r="I5581" s="2">
        <v>70378</v>
      </c>
      <c r="J5581" s="2"/>
      <c r="K5581" s="2">
        <v>5460887</v>
      </c>
      <c r="L5581" s="2" t="s">
        <v>36434</v>
      </c>
      <c r="M5581" s="2" t="s">
        <v>29688</v>
      </c>
      <c r="N5581" s="2" t="s">
        <v>29689</v>
      </c>
      <c r="O5581" s="2">
        <v>35896</v>
      </c>
      <c r="P5581" s="2" t="s">
        <v>36435</v>
      </c>
      <c r="Q5581" s="2" t="s">
        <v>36436</v>
      </c>
      <c r="R5581" s="2" t="s">
        <v>36437</v>
      </c>
      <c r="S5581" s="2" t="s">
        <v>36438</v>
      </c>
      <c r="T5581" s="2" t="s">
        <v>36439</v>
      </c>
      <c r="U5581" s="2" t="s">
        <v>103</v>
      </c>
      <c r="V5581" s="2" t="s">
        <v>104</v>
      </c>
      <c r="W5581" s="2" t="s">
        <v>105</v>
      </c>
      <c r="X5581" s="2" t="s">
        <v>83</v>
      </c>
      <c r="Y5581" s="2">
        <v>44.7</v>
      </c>
      <c r="Z5581" s="2">
        <v>0</v>
      </c>
      <c r="AA5581" s="2" t="s">
        <v>95</v>
      </c>
      <c r="AB5581" s="2" t="s">
        <v>36440</v>
      </c>
      <c r="AC5581" s="2">
        <v>-3.5463207708219202</v>
      </c>
      <c r="AD5581" s="2"/>
      <c r="AE5581" s="2">
        <v>2.2875769130171902E-2</v>
      </c>
      <c r="AF5581" s="2">
        <v>1588.63888743198</v>
      </c>
      <c r="AG5581" s="2">
        <v>1651.62630427576</v>
      </c>
      <c r="AH5581" s="4">
        <v>0.96186339689510003</v>
      </c>
      <c r="AI5581" s="4">
        <v>-5.6096076791923397E-2</v>
      </c>
      <c r="AJ5581" s="4" t="s">
        <v>62</v>
      </c>
      <c r="AK5581" s="2">
        <v>0.84787838487579303</v>
      </c>
      <c r="AL5581" s="2">
        <v>0.93254803350219395</v>
      </c>
      <c r="AM5581" s="2">
        <v>1033.3214496486801</v>
      </c>
      <c r="AN5581" s="2">
        <v>2206.2834517054398</v>
      </c>
      <c r="AO5581" s="2">
        <v>938.33111664396597</v>
      </c>
      <c r="AP5581" s="2">
        <v>1830.68048533</v>
      </c>
      <c r="AQ5581" s="2">
        <v>2118.3780873122</v>
      </c>
      <c r="AR5581" s="2">
        <v>1404.83873395158</v>
      </c>
      <c r="AS5581" s="2">
        <v>2058.5111450616801</v>
      </c>
      <c r="AT5581" s="2">
        <v>1869.6866123736399</v>
      </c>
      <c r="AU5581" s="2">
        <v>1579.56754310777</v>
      </c>
      <c r="AV5581" s="2">
        <v>1072.1662077621399</v>
      </c>
      <c r="AW5581" s="2">
        <v>946.93867394442304</v>
      </c>
      <c r="AX5581" s="2">
        <v>2382.8876434048798</v>
      </c>
    </row>
    <row r="5582" spans="1:50" x14ac:dyDescent="0.25">
      <c r="A5582" s="2" t="s">
        <v>36441</v>
      </c>
      <c r="B5582" s="2">
        <v>217.0975</v>
      </c>
      <c r="C5582" s="2">
        <v>13.965999999999999</v>
      </c>
      <c r="D5582" s="2" t="s">
        <v>125</v>
      </c>
      <c r="E5582" s="2" t="s">
        <v>36442</v>
      </c>
      <c r="F5582" s="2">
        <v>549740</v>
      </c>
      <c r="G5582" s="3" t="str">
        <f>HYPERLINK("https://cloud.oebiotech.com/#/lm/network/549740", "https://cloud.oebiotech.com/#/lm/network/549740")</f>
        <v>https://cloud.oebiotech.com/#/lm/network/549740</v>
      </c>
      <c r="H5582" s="2"/>
      <c r="I5582" s="2"/>
      <c r="J5582" s="2"/>
      <c r="K5582" s="2">
        <v>8998</v>
      </c>
      <c r="L5582" s="2"/>
      <c r="M5582" s="2"/>
      <c r="N5582" s="2"/>
      <c r="O5582" s="2"/>
      <c r="P5582" s="2"/>
      <c r="Q5582" s="2"/>
      <c r="R5582" s="2"/>
      <c r="S5582" s="2" t="s">
        <v>36443</v>
      </c>
      <c r="T5582" s="2" t="s">
        <v>36444</v>
      </c>
      <c r="U5582" s="2" t="s">
        <v>331</v>
      </c>
      <c r="V5582" s="2" t="s">
        <v>332</v>
      </c>
      <c r="W5582" s="2" t="s">
        <v>333</v>
      </c>
      <c r="X5582" s="2" t="s">
        <v>69</v>
      </c>
      <c r="Y5582" s="2">
        <v>91.9</v>
      </c>
      <c r="Z5582" s="2">
        <v>86.8</v>
      </c>
      <c r="AA5582" s="2"/>
      <c r="AB5582" s="2" t="s">
        <v>33706</v>
      </c>
      <c r="AC5582" s="2"/>
      <c r="AD5582" s="2">
        <v>470464.72419202997</v>
      </c>
      <c r="AE5582" s="2">
        <v>2.2761351962354799E-2</v>
      </c>
      <c r="AF5582" s="2">
        <v>20672.553854333</v>
      </c>
      <c r="AG5582" s="2">
        <v>18133.0735207047</v>
      </c>
      <c r="AH5582" s="5">
        <v>1.1400468779177799</v>
      </c>
      <c r="AI5582" s="5">
        <v>0.18909314820495801</v>
      </c>
      <c r="AJ5582" s="5" t="s">
        <v>139</v>
      </c>
      <c r="AK5582" s="2">
        <v>0.80949956824511704</v>
      </c>
      <c r="AL5582" s="2">
        <v>0.91490556570935899</v>
      </c>
      <c r="AM5582" s="2">
        <v>14237.927282361499</v>
      </c>
      <c r="AN5582" s="2">
        <v>15245.7923103019</v>
      </c>
      <c r="AO5582" s="2">
        <v>14202.306186732199</v>
      </c>
      <c r="AP5582" s="2">
        <v>57966.153342456797</v>
      </c>
      <c r="AQ5582" s="2">
        <v>12176.2537474209</v>
      </c>
      <c r="AR5582" s="2">
        <v>10206.8902567245</v>
      </c>
      <c r="AS5582" s="2">
        <v>6764.9849568354803</v>
      </c>
      <c r="AT5582" s="2">
        <v>18686.5028471359</v>
      </c>
      <c r="AU5582" s="2">
        <v>11545.5080213131</v>
      </c>
      <c r="AV5582" s="2">
        <v>12328.2989401497</v>
      </c>
      <c r="AW5582" s="2">
        <v>52054.702252708797</v>
      </c>
      <c r="AX5582" s="2">
        <v>7418.4441060850504</v>
      </c>
    </row>
    <row r="5583" spans="1:50" x14ac:dyDescent="0.25">
      <c r="A5583" s="2" t="s">
        <v>36445</v>
      </c>
      <c r="B5583" s="2">
        <v>243.05420000000001</v>
      </c>
      <c r="C5583" s="2">
        <v>17.247</v>
      </c>
      <c r="D5583" s="2" t="s">
        <v>125</v>
      </c>
      <c r="E5583" s="2" t="s">
        <v>36446</v>
      </c>
      <c r="F5583" s="2">
        <v>47958</v>
      </c>
      <c r="G5583" s="3" t="str">
        <f>HYPERLINK("https://cloud.oebiotech.com/#/lm/network/47958", "https://cloud.oebiotech.com/#/lm/network/47958")</f>
        <v>https://cloud.oebiotech.com/#/lm/network/47958</v>
      </c>
      <c r="H5583" s="2" t="s">
        <v>36447</v>
      </c>
      <c r="I5583" s="2">
        <v>44760</v>
      </c>
      <c r="J5583" s="2"/>
      <c r="K5583" s="2">
        <v>2526</v>
      </c>
      <c r="L5583" s="2" t="s">
        <v>36448</v>
      </c>
      <c r="M5583" s="2"/>
      <c r="N5583" s="2"/>
      <c r="O5583" s="2">
        <v>17270</v>
      </c>
      <c r="P5583" s="2"/>
      <c r="Q5583" s="2"/>
      <c r="R5583" s="2" t="s">
        <v>36449</v>
      </c>
      <c r="S5583" s="2" t="s">
        <v>36450</v>
      </c>
      <c r="T5583" s="2" t="s">
        <v>36451</v>
      </c>
      <c r="U5583" s="2" t="s">
        <v>56</v>
      </c>
      <c r="V5583" s="2" t="s">
        <v>57</v>
      </c>
      <c r="W5583" s="2" t="s">
        <v>702</v>
      </c>
      <c r="X5583" s="2" t="s">
        <v>83</v>
      </c>
      <c r="Y5583" s="2">
        <v>83.5</v>
      </c>
      <c r="Z5583" s="2">
        <v>72.7</v>
      </c>
      <c r="AA5583" s="2"/>
      <c r="AB5583" s="2" t="s">
        <v>12070</v>
      </c>
      <c r="AC5583" s="2"/>
      <c r="AD5583" s="2">
        <v>579363.63373493997</v>
      </c>
      <c r="AE5583" s="2">
        <v>2.2652595849518401E-2</v>
      </c>
      <c r="AF5583" s="2">
        <v>9909.0923412010306</v>
      </c>
      <c r="AG5583" s="2">
        <v>9322.4249435701804</v>
      </c>
      <c r="AH5583" s="5">
        <v>1.06293077189487</v>
      </c>
      <c r="AI5583" s="5">
        <v>8.8047637982568594E-2</v>
      </c>
      <c r="AJ5583" s="5" t="s">
        <v>139</v>
      </c>
      <c r="AK5583" s="2">
        <v>0.427219280748387</v>
      </c>
      <c r="AL5583" s="2">
        <v>0.68606977764313104</v>
      </c>
      <c r="AM5583" s="2">
        <v>8691.3891576577298</v>
      </c>
      <c r="AN5583" s="2">
        <v>10159.2156765482</v>
      </c>
      <c r="AO5583" s="2">
        <v>10094.235524706901</v>
      </c>
      <c r="AP5583" s="2">
        <v>12060.9271406354</v>
      </c>
      <c r="AQ5583" s="2">
        <v>9315.5051096239604</v>
      </c>
      <c r="AR5583" s="2">
        <v>9133.2814380340005</v>
      </c>
      <c r="AS5583" s="2">
        <v>8193.36755943971</v>
      </c>
      <c r="AT5583" s="2">
        <v>8763.2163247718909</v>
      </c>
      <c r="AU5583" s="2">
        <v>10536.9749671599</v>
      </c>
      <c r="AV5583" s="2">
        <v>11203.422561781799</v>
      </c>
      <c r="AW5583" s="2">
        <v>9019.3603208578606</v>
      </c>
      <c r="AX5583" s="2">
        <v>8218.2079274099106</v>
      </c>
    </row>
    <row r="5584" spans="1:50" x14ac:dyDescent="0.25">
      <c r="A5584" s="2" t="s">
        <v>36452</v>
      </c>
      <c r="B5584" s="2">
        <v>411.10708640739301</v>
      </c>
      <c r="C5584" s="2">
        <v>1.20183333333333</v>
      </c>
      <c r="D5584" s="2" t="s">
        <v>51</v>
      </c>
      <c r="E5584" s="2" t="s">
        <v>36453</v>
      </c>
      <c r="F5584" s="2">
        <v>54423</v>
      </c>
      <c r="G5584" s="3" t="str">
        <f>HYPERLINK("https://cloud.oebiotech.com/#/lm/network/54423", "https://cloud.oebiotech.com/#/lm/network/54423")</f>
        <v>https://cloud.oebiotech.com/#/lm/network/54423</v>
      </c>
      <c r="H5584" s="2" t="s">
        <v>36454</v>
      </c>
      <c r="I5584" s="2">
        <v>43925</v>
      </c>
      <c r="J5584" s="2"/>
      <c r="K5584" s="2">
        <v>5318562</v>
      </c>
      <c r="L5584" s="2"/>
      <c r="M5584" s="2"/>
      <c r="N5584" s="2"/>
      <c r="O5584" s="2">
        <v>895319</v>
      </c>
      <c r="P5584" s="2"/>
      <c r="Q5584" s="2"/>
      <c r="R5584" s="2" t="s">
        <v>36455</v>
      </c>
      <c r="S5584" s="2" t="s">
        <v>36456</v>
      </c>
      <c r="T5584" s="2" t="s">
        <v>36457</v>
      </c>
      <c r="U5584" s="2" t="s">
        <v>266</v>
      </c>
      <c r="V5584" s="2" t="s">
        <v>1785</v>
      </c>
      <c r="W5584" s="2" t="s">
        <v>1786</v>
      </c>
      <c r="X5584" s="2" t="s">
        <v>147</v>
      </c>
      <c r="Y5584" s="2">
        <v>38.200000000000003</v>
      </c>
      <c r="Z5584" s="2">
        <v>0</v>
      </c>
      <c r="AA5584" s="2" t="s">
        <v>478</v>
      </c>
      <c r="AB5584" s="2" t="s">
        <v>36458</v>
      </c>
      <c r="AC5584" s="2">
        <v>-3.5299748888006501</v>
      </c>
      <c r="AD5584" s="2"/>
      <c r="AE5584" s="2">
        <v>2.2594681535076998E-2</v>
      </c>
      <c r="AF5584" s="2">
        <v>2796.2010761153701</v>
      </c>
      <c r="AG5584" s="2">
        <v>3917.6361888707102</v>
      </c>
      <c r="AH5584" s="4">
        <v>0.71374699980025402</v>
      </c>
      <c r="AI5584" s="4">
        <v>-0.48651531869544401</v>
      </c>
      <c r="AJ5584" s="4" t="s">
        <v>62</v>
      </c>
      <c r="AK5584" s="2">
        <v>0.73587739216844805</v>
      </c>
      <c r="AL5584" s="2">
        <v>0.87870154410781898</v>
      </c>
      <c r="AM5584" s="2">
        <v>8.559877937157E-6</v>
      </c>
      <c r="AN5584" s="2">
        <v>4745.7572048408201</v>
      </c>
      <c r="AO5584" s="2">
        <v>4132.7466319996101</v>
      </c>
      <c r="AP5584" s="2">
        <v>259.65441342233299</v>
      </c>
      <c r="AQ5584" s="2">
        <v>7480.5465083600102</v>
      </c>
      <c r="AR5584" s="2">
        <v>158.50168950958499</v>
      </c>
      <c r="AS5584" s="2">
        <v>1.95851446832833</v>
      </c>
      <c r="AT5584" s="2">
        <v>18463.5684837708</v>
      </c>
      <c r="AU5584" s="2">
        <v>8.559877937157E-6</v>
      </c>
      <c r="AV5584" s="2">
        <v>1233.36000988354</v>
      </c>
      <c r="AW5584" s="2">
        <v>8.559877937157E-6</v>
      </c>
      <c r="AX5584" s="2">
        <v>3806.9301079818501</v>
      </c>
    </row>
    <row r="5585" spans="1:50" x14ac:dyDescent="0.25">
      <c r="A5585" s="2" t="s">
        <v>36459</v>
      </c>
      <c r="B5585" s="2">
        <v>349.06062753950903</v>
      </c>
      <c r="C5585" s="2">
        <v>0.61688333333333301</v>
      </c>
      <c r="D5585" s="2" t="s">
        <v>51</v>
      </c>
      <c r="E5585" s="2" t="s">
        <v>36460</v>
      </c>
      <c r="F5585" s="2">
        <v>210679</v>
      </c>
      <c r="G5585" s="3" t="str">
        <f>HYPERLINK("https://cloud.oebiotech.com/#/lm/network/210679", "https://cloud.oebiotech.com/#/lm/network/210679")</f>
        <v>https://cloud.oebiotech.com/#/lm/network/210679</v>
      </c>
      <c r="H5585" s="2" t="s">
        <v>36461</v>
      </c>
      <c r="I5585" s="2"/>
      <c r="J5585" s="2"/>
      <c r="K5585" s="2"/>
      <c r="L5585" s="2"/>
      <c r="M5585" s="2"/>
      <c r="N5585" s="2"/>
      <c r="O5585" s="2"/>
      <c r="P5585" s="2"/>
      <c r="Q5585" s="2"/>
      <c r="R5585" s="2"/>
      <c r="S5585" s="2" t="s">
        <v>36462</v>
      </c>
      <c r="T5585" s="2" t="s">
        <v>36463</v>
      </c>
      <c r="U5585" s="2" t="s">
        <v>266</v>
      </c>
      <c r="V5585" s="2" t="s">
        <v>2772</v>
      </c>
      <c r="W5585" s="2" t="s">
        <v>2773</v>
      </c>
      <c r="X5585" s="2" t="s">
        <v>147</v>
      </c>
      <c r="Y5585" s="2">
        <v>36.1</v>
      </c>
      <c r="Z5585" s="2">
        <v>0</v>
      </c>
      <c r="AA5585" s="2" t="s">
        <v>163</v>
      </c>
      <c r="AB5585" s="2" t="s">
        <v>36464</v>
      </c>
      <c r="AC5585" s="2">
        <v>-1.67565629823591</v>
      </c>
      <c r="AD5585" s="2"/>
      <c r="AE5585" s="2">
        <v>2.2580491798017899E-2</v>
      </c>
      <c r="AF5585" s="2">
        <v>5115.4236839977502</v>
      </c>
      <c r="AG5585" s="2">
        <v>5479.6511025870504</v>
      </c>
      <c r="AH5585" s="4">
        <v>0.93353091067835703</v>
      </c>
      <c r="AI5585" s="4">
        <v>-9.9230301740578897E-2</v>
      </c>
      <c r="AJ5585" s="4" t="s">
        <v>62</v>
      </c>
      <c r="AK5585" s="2">
        <v>0.82389663074971298</v>
      </c>
      <c r="AL5585" s="2">
        <v>0.92318982698311502</v>
      </c>
      <c r="AM5585" s="2">
        <v>7829.6528781076204</v>
      </c>
      <c r="AN5585" s="2">
        <v>5024.0985598731204</v>
      </c>
      <c r="AO5585" s="2">
        <v>3273.3500145338098</v>
      </c>
      <c r="AP5585" s="2">
        <v>6593.0082528337198</v>
      </c>
      <c r="AQ5585" s="2">
        <v>4376.4133905321896</v>
      </c>
      <c r="AR5585" s="2">
        <v>3596.01900810606</v>
      </c>
      <c r="AS5585" s="2">
        <v>1047.63849187549</v>
      </c>
      <c r="AT5585" s="2">
        <v>2866.33251741704</v>
      </c>
      <c r="AU5585" s="2">
        <v>8701.0619375007791</v>
      </c>
      <c r="AV5585" s="2">
        <v>10249.887663830499</v>
      </c>
      <c r="AW5585" s="2">
        <v>4561.8565318609199</v>
      </c>
      <c r="AX5585" s="2">
        <v>5451.1294730375703</v>
      </c>
    </row>
    <row r="5586" spans="1:50" x14ac:dyDescent="0.25">
      <c r="A5586" s="2" t="s">
        <v>36465</v>
      </c>
      <c r="B5586" s="2">
        <v>205.19563873952001</v>
      </c>
      <c r="C5586" s="2">
        <v>10.073</v>
      </c>
      <c r="D5586" s="2" t="s">
        <v>51</v>
      </c>
      <c r="E5586" s="2" t="s">
        <v>36466</v>
      </c>
      <c r="F5586" s="2">
        <v>35640</v>
      </c>
      <c r="G5586" s="3" t="str">
        <f>HYPERLINK("https://cloud.oebiotech.com/#/lm/network/35640", "https://cloud.oebiotech.com/#/lm/network/35640")</f>
        <v>https://cloud.oebiotech.com/#/lm/network/35640</v>
      </c>
      <c r="H5586" s="2"/>
      <c r="I5586" s="2">
        <v>53438</v>
      </c>
      <c r="J5586" s="2" t="s">
        <v>36467</v>
      </c>
      <c r="K5586" s="2">
        <v>3080551</v>
      </c>
      <c r="L5586" s="2" t="s">
        <v>36468</v>
      </c>
      <c r="M5586" s="2"/>
      <c r="N5586" s="2"/>
      <c r="O5586" s="2">
        <v>61148</v>
      </c>
      <c r="P5586" s="2"/>
      <c r="Q5586" s="2"/>
      <c r="R5586" s="2"/>
      <c r="S5586" s="2" t="s">
        <v>36469</v>
      </c>
      <c r="T5586" s="2" t="s">
        <v>36470</v>
      </c>
      <c r="U5586" s="2" t="s">
        <v>331</v>
      </c>
      <c r="V5586" s="2" t="s">
        <v>332</v>
      </c>
      <c r="W5586" s="2" t="s">
        <v>519</v>
      </c>
      <c r="X5586" s="2" t="s">
        <v>83</v>
      </c>
      <c r="Y5586" s="2">
        <v>57.3</v>
      </c>
      <c r="Z5586" s="2">
        <v>0</v>
      </c>
      <c r="AA5586" s="2" t="s">
        <v>156</v>
      </c>
      <c r="AB5586" s="2" t="s">
        <v>16236</v>
      </c>
      <c r="AC5586" s="2">
        <v>2.5271839377499399</v>
      </c>
      <c r="AD5586" s="2"/>
      <c r="AE5586" s="2">
        <v>2.2416546392499102E-2</v>
      </c>
      <c r="AF5586" s="2">
        <v>1119.9016828849799</v>
      </c>
      <c r="AG5586" s="2">
        <v>1092.49495034795</v>
      </c>
      <c r="AH5586" s="5">
        <v>1.0250863699903601</v>
      </c>
      <c r="AI5586" s="5">
        <v>3.5745471006060403E-2</v>
      </c>
      <c r="AJ5586" s="5" t="s">
        <v>139</v>
      </c>
      <c r="AK5586" s="2">
        <v>0.95336092888874002</v>
      </c>
      <c r="AL5586" s="2">
        <v>0.98091773995157805</v>
      </c>
      <c r="AM5586" s="2">
        <v>1477.6758653407001</v>
      </c>
      <c r="AN5586" s="2">
        <v>685.54643687889404</v>
      </c>
      <c r="AO5586" s="2">
        <v>867.40486170692498</v>
      </c>
      <c r="AP5586" s="2">
        <v>1464.8886510258201</v>
      </c>
      <c r="AQ5586" s="2">
        <v>1090.54780543949</v>
      </c>
      <c r="AR5586" s="2">
        <v>1133.34647691806</v>
      </c>
      <c r="AS5586" s="2">
        <v>553.01340783678802</v>
      </c>
      <c r="AT5586" s="2">
        <v>534.73643646825303</v>
      </c>
      <c r="AU5586" s="2">
        <v>3231.0090079571401</v>
      </c>
      <c r="AV5586" s="2">
        <v>419.714514849973</v>
      </c>
      <c r="AW5586" s="2">
        <v>722.17756683164203</v>
      </c>
      <c r="AX5586" s="2">
        <v>1094.3187681439299</v>
      </c>
    </row>
    <row r="5587" spans="1:50" x14ac:dyDescent="0.25">
      <c r="A5587" s="2" t="s">
        <v>36471</v>
      </c>
      <c r="B5587" s="2">
        <v>426.26269201306297</v>
      </c>
      <c r="C5587" s="2">
        <v>9.6638500000000001</v>
      </c>
      <c r="D5587" s="2" t="s">
        <v>51</v>
      </c>
      <c r="E5587" s="2" t="s">
        <v>36472</v>
      </c>
      <c r="F5587" s="2">
        <v>21165</v>
      </c>
      <c r="G5587" s="3" t="str">
        <f>HYPERLINK("https://cloud.oebiotech.com/#/lm/network/21165", "https://cloud.oebiotech.com/#/lm/network/21165")</f>
        <v>https://cloud.oebiotech.com/#/lm/network/21165</v>
      </c>
      <c r="H5587" s="2" t="s">
        <v>36473</v>
      </c>
      <c r="I5587" s="2">
        <v>40777</v>
      </c>
      <c r="J5587" s="2" t="s">
        <v>36474</v>
      </c>
      <c r="K5587" s="2">
        <v>9547070</v>
      </c>
      <c r="L5587" s="2"/>
      <c r="M5587" s="2"/>
      <c r="N5587" s="2"/>
      <c r="O5587" s="2">
        <v>84299</v>
      </c>
      <c r="P5587" s="2"/>
      <c r="Q5587" s="2"/>
      <c r="R5587" s="2"/>
      <c r="S5587" s="2" t="s">
        <v>36475</v>
      </c>
      <c r="T5587" s="2" t="s">
        <v>36476</v>
      </c>
      <c r="U5587" s="2" t="s">
        <v>56</v>
      </c>
      <c r="V5587" s="2" t="s">
        <v>57</v>
      </c>
      <c r="W5587" s="2" t="s">
        <v>155</v>
      </c>
      <c r="X5587" s="2" t="s">
        <v>83</v>
      </c>
      <c r="Y5587" s="2">
        <v>42.4</v>
      </c>
      <c r="Z5587" s="2">
        <v>0</v>
      </c>
      <c r="AA5587" s="2" t="s">
        <v>259</v>
      </c>
      <c r="AB5587" s="2" t="s">
        <v>36477</v>
      </c>
      <c r="AC5587" s="2">
        <v>2.7661724088511801</v>
      </c>
      <c r="AD5587" s="2"/>
      <c r="AE5587" s="2">
        <v>2.2345833435308701E-2</v>
      </c>
      <c r="AF5587" s="2">
        <v>2271.1314487760001</v>
      </c>
      <c r="AG5587" s="2">
        <v>2506.46219451859</v>
      </c>
      <c r="AH5587" s="4">
        <v>0.90611039485963696</v>
      </c>
      <c r="AI5587" s="4">
        <v>-0.14224126490928701</v>
      </c>
      <c r="AJ5587" s="4" t="s">
        <v>62</v>
      </c>
      <c r="AK5587" s="2">
        <v>0.84804224909522397</v>
      </c>
      <c r="AL5587" s="2">
        <v>0.93254803350219395</v>
      </c>
      <c r="AM5587" s="2">
        <v>6191.8976856487097</v>
      </c>
      <c r="AN5587" s="2">
        <v>1352.6828763362901</v>
      </c>
      <c r="AO5587" s="2">
        <v>391.07702472478201</v>
      </c>
      <c r="AP5587" s="2">
        <v>1422.9693383167901</v>
      </c>
      <c r="AQ5587" s="2">
        <v>2758.3387921530998</v>
      </c>
      <c r="AR5587" s="2">
        <v>1509.8229754763099</v>
      </c>
      <c r="AS5587" s="2">
        <v>1071.4869183696401</v>
      </c>
      <c r="AT5587" s="2">
        <v>1105.60293034962</v>
      </c>
      <c r="AU5587" s="2">
        <v>6345.4567827575902</v>
      </c>
      <c r="AV5587" s="2">
        <v>3151.4513513636398</v>
      </c>
      <c r="AW5587" s="2">
        <v>2438.37980831811</v>
      </c>
      <c r="AX5587" s="2">
        <v>926.39537595296702</v>
      </c>
    </row>
    <row r="5588" spans="1:50" x14ac:dyDescent="0.25">
      <c r="A5588" s="2" t="s">
        <v>36478</v>
      </c>
      <c r="B5588" s="2">
        <v>338.23349909259298</v>
      </c>
      <c r="C5588" s="2">
        <v>6.7257166666666697</v>
      </c>
      <c r="D5588" s="2" t="s">
        <v>51</v>
      </c>
      <c r="E5588" s="2" t="s">
        <v>36479</v>
      </c>
      <c r="F5588" s="2">
        <v>197795</v>
      </c>
      <c r="G5588" s="3" t="str">
        <f>HYPERLINK("https://cloud.oebiotech.com/#/lm/network/197795", "https://cloud.oebiotech.com/#/lm/network/197795")</f>
        <v>https://cloud.oebiotech.com/#/lm/network/197795</v>
      </c>
      <c r="H5588" s="2" t="s">
        <v>36480</v>
      </c>
      <c r="I5588" s="2"/>
      <c r="J5588" s="2"/>
      <c r="K5588" s="2"/>
      <c r="L5588" s="2"/>
      <c r="M5588" s="2"/>
      <c r="N5588" s="2"/>
      <c r="O5588" s="2"/>
      <c r="P5588" s="2"/>
      <c r="Q5588" s="2"/>
      <c r="R5588" s="2"/>
      <c r="S5588" s="2" t="s">
        <v>36481</v>
      </c>
      <c r="T5588" s="2" t="s">
        <v>36482</v>
      </c>
      <c r="U5588" s="2" t="s">
        <v>56</v>
      </c>
      <c r="V5588" s="2" t="s">
        <v>145</v>
      </c>
      <c r="W5588" s="2" t="s">
        <v>1188</v>
      </c>
      <c r="X5588" s="2" t="s">
        <v>83</v>
      </c>
      <c r="Y5588" s="2">
        <v>54.1</v>
      </c>
      <c r="Z5588" s="2">
        <v>2.82</v>
      </c>
      <c r="AA5588" s="2" t="s">
        <v>156</v>
      </c>
      <c r="AB5588" s="2" t="s">
        <v>36483</v>
      </c>
      <c r="AC5588" s="2">
        <v>2.57344979047802</v>
      </c>
      <c r="AD5588" s="2"/>
      <c r="AE5588" s="2">
        <v>2.2278163814442298E-2</v>
      </c>
      <c r="AF5588" s="2">
        <v>2616.1962903641502</v>
      </c>
      <c r="AG5588" s="2">
        <v>2218.1678656589902</v>
      </c>
      <c r="AH5588" s="5">
        <v>1.17944017261602</v>
      </c>
      <c r="AI5588" s="5">
        <v>0.238102239383434</v>
      </c>
      <c r="AJ5588" s="5" t="s">
        <v>139</v>
      </c>
      <c r="AK5588" s="2">
        <v>0.83893830442982797</v>
      </c>
      <c r="AL5588" s="2">
        <v>0.92909683994561798</v>
      </c>
      <c r="AM5588" s="2">
        <v>257.12243619301501</v>
      </c>
      <c r="AN5588" s="2">
        <v>2393.3764985399298</v>
      </c>
      <c r="AO5588" s="2">
        <v>2086.62575172482</v>
      </c>
      <c r="AP5588" s="2">
        <v>7141.6344943467402</v>
      </c>
      <c r="AQ5588" s="2">
        <v>1212.45150464279</v>
      </c>
      <c r="AR5588" s="2">
        <v>2605.9670567376302</v>
      </c>
      <c r="AS5588" s="2">
        <v>234.19529982364301</v>
      </c>
      <c r="AT5588" s="2">
        <v>996.55883645998301</v>
      </c>
      <c r="AU5588" s="2">
        <v>259.30557631328298</v>
      </c>
      <c r="AV5588" s="2">
        <v>566.12568947697196</v>
      </c>
      <c r="AW5588" s="2">
        <v>10403.362821443099</v>
      </c>
      <c r="AX5588" s="2">
        <v>849.45897043697698</v>
      </c>
    </row>
    <row r="5589" spans="1:50" x14ac:dyDescent="0.25">
      <c r="A5589" s="2" t="s">
        <v>36484</v>
      </c>
      <c r="B5589" s="2">
        <v>251.10362314617001</v>
      </c>
      <c r="C5589" s="2">
        <v>1.6576500000000001</v>
      </c>
      <c r="D5589" s="2" t="s">
        <v>51</v>
      </c>
      <c r="E5589" s="2" t="s">
        <v>36485</v>
      </c>
      <c r="F5589" s="2">
        <v>53738</v>
      </c>
      <c r="G5589" s="3" t="str">
        <f>HYPERLINK("https://cloud.oebiotech.com/#/lm/network/53738", "https://cloud.oebiotech.com/#/lm/network/53738")</f>
        <v>https://cloud.oebiotech.com/#/lm/network/53738</v>
      </c>
      <c r="H5589" s="2" t="s">
        <v>36486</v>
      </c>
      <c r="I5589" s="2">
        <v>23768</v>
      </c>
      <c r="J5589" s="2"/>
      <c r="K5589" s="2">
        <v>92946</v>
      </c>
      <c r="L5589" s="2"/>
      <c r="M5589" s="2"/>
      <c r="N5589" s="2"/>
      <c r="O5589" s="2">
        <v>73395</v>
      </c>
      <c r="P5589" s="2"/>
      <c r="Q5589" s="2"/>
      <c r="R5589" s="2" t="s">
        <v>36487</v>
      </c>
      <c r="S5589" s="2" t="s">
        <v>36488</v>
      </c>
      <c r="T5589" s="2" t="s">
        <v>36489</v>
      </c>
      <c r="U5589" s="2" t="s">
        <v>103</v>
      </c>
      <c r="V5589" s="2" t="s">
        <v>104</v>
      </c>
      <c r="W5589" s="2" t="s">
        <v>105</v>
      </c>
      <c r="X5589" s="2" t="s">
        <v>83</v>
      </c>
      <c r="Y5589" s="2">
        <v>37.799999999999997</v>
      </c>
      <c r="Z5589" s="2">
        <v>0</v>
      </c>
      <c r="AA5589" s="2" t="s">
        <v>163</v>
      </c>
      <c r="AB5589" s="2" t="s">
        <v>23803</v>
      </c>
      <c r="AC5589" s="2">
        <v>-0.42609321534524702</v>
      </c>
      <c r="AD5589" s="2"/>
      <c r="AE5589" s="2">
        <v>2.2027374412067799E-2</v>
      </c>
      <c r="AF5589" s="2">
        <v>1152.7118855855099</v>
      </c>
      <c r="AG5589" s="2">
        <v>1106.5595718822301</v>
      </c>
      <c r="AH5589" s="5">
        <v>1.04170793410135</v>
      </c>
      <c r="AI5589" s="5">
        <v>5.8950842791891098E-2</v>
      </c>
      <c r="AJ5589" s="5" t="s">
        <v>139</v>
      </c>
      <c r="AK5589" s="2">
        <v>0.93709846118375495</v>
      </c>
      <c r="AL5589" s="2">
        <v>0.97288634998159795</v>
      </c>
      <c r="AM5589" s="2">
        <v>1274.8799427901599</v>
      </c>
      <c r="AN5589" s="2">
        <v>877.54752336902004</v>
      </c>
      <c r="AO5589" s="2">
        <v>1046.61576771454</v>
      </c>
      <c r="AP5589" s="2">
        <v>1059.70060021206</v>
      </c>
      <c r="AQ5589" s="2">
        <v>744.38747268787699</v>
      </c>
      <c r="AR5589" s="2">
        <v>1913.14000673942</v>
      </c>
      <c r="AS5589" s="2">
        <v>633.83299878662297</v>
      </c>
      <c r="AT5589" s="2">
        <v>88.473368779795805</v>
      </c>
      <c r="AU5589" s="2">
        <v>3691.9917685549999</v>
      </c>
      <c r="AV5589" s="2">
        <v>1025.3951152448501</v>
      </c>
      <c r="AW5589" s="2">
        <v>132.099511122156</v>
      </c>
      <c r="AX5589" s="2">
        <v>1067.5646688049401</v>
      </c>
    </row>
    <row r="5590" spans="1:50" x14ac:dyDescent="0.25">
      <c r="A5590" s="2" t="s">
        <v>36490</v>
      </c>
      <c r="B5590" s="2">
        <v>376.28580541659397</v>
      </c>
      <c r="C5590" s="2">
        <v>14.182399999999999</v>
      </c>
      <c r="D5590" s="2" t="s">
        <v>51</v>
      </c>
      <c r="E5590" s="2" t="s">
        <v>36491</v>
      </c>
      <c r="F5590" s="2">
        <v>273700</v>
      </c>
      <c r="G5590" s="3" t="str">
        <f>HYPERLINK("https://cloud.oebiotech.com/#/lm/network/273700", "https://cloud.oebiotech.com/#/lm/network/273700")</f>
        <v>https://cloud.oebiotech.com/#/lm/network/273700</v>
      </c>
      <c r="H5590" s="2"/>
      <c r="I5590" s="2">
        <v>62962</v>
      </c>
      <c r="J5590" s="2"/>
      <c r="K5590" s="2">
        <v>14428012</v>
      </c>
      <c r="L5590" s="2"/>
      <c r="M5590" s="2"/>
      <c r="N5590" s="2"/>
      <c r="O5590" s="2"/>
      <c r="P5590" s="2"/>
      <c r="Q5590" s="2"/>
      <c r="R5590" s="2" t="s">
        <v>36492</v>
      </c>
      <c r="S5590" s="2" t="s">
        <v>36493</v>
      </c>
      <c r="T5590" s="2" t="s">
        <v>36494</v>
      </c>
      <c r="U5590" s="2" t="s">
        <v>56</v>
      </c>
      <c r="V5590" s="2" t="s">
        <v>145</v>
      </c>
      <c r="W5590" s="2" t="s">
        <v>231</v>
      </c>
      <c r="X5590" s="2" t="s">
        <v>147</v>
      </c>
      <c r="Y5590" s="2">
        <v>38.5</v>
      </c>
      <c r="Z5590" s="2">
        <v>0</v>
      </c>
      <c r="AA5590" s="2" t="s">
        <v>512</v>
      </c>
      <c r="AB5590" s="2" t="s">
        <v>36495</v>
      </c>
      <c r="AC5590" s="2">
        <v>3.3075642830972201</v>
      </c>
      <c r="AD5590" s="2"/>
      <c r="AE5590" s="2">
        <v>2.1988839022492501E-2</v>
      </c>
      <c r="AF5590" s="2">
        <v>2246.1153991160199</v>
      </c>
      <c r="AG5590" s="2">
        <v>2190.5544602823102</v>
      </c>
      <c r="AH5590" s="5">
        <v>1.02536387012563</v>
      </c>
      <c r="AI5590" s="5">
        <v>3.61359687256416E-2</v>
      </c>
      <c r="AJ5590" s="5" t="s">
        <v>139</v>
      </c>
      <c r="AK5590" s="2">
        <v>0.94092510801145102</v>
      </c>
      <c r="AL5590" s="2">
        <v>0.97508681554616605</v>
      </c>
      <c r="AM5590" s="2">
        <v>792.74551150939703</v>
      </c>
      <c r="AN5590" s="2">
        <v>4301.0914553200901</v>
      </c>
      <c r="AO5590" s="2">
        <v>2603.0773166050599</v>
      </c>
      <c r="AP5590" s="2">
        <v>3036.9281157914502</v>
      </c>
      <c r="AQ5590" s="2">
        <v>1713.1463419791501</v>
      </c>
      <c r="AR5590" s="2">
        <v>1029.7036534909901</v>
      </c>
      <c r="AS5590" s="2">
        <v>1460.6400784320799</v>
      </c>
      <c r="AT5590" s="2">
        <v>1407.06347341425</v>
      </c>
      <c r="AU5590" s="2">
        <v>576.67538947234596</v>
      </c>
      <c r="AV5590" s="2">
        <v>2895.0234527060702</v>
      </c>
      <c r="AW5590" s="2">
        <v>3442.1951383497599</v>
      </c>
      <c r="AX5590" s="2">
        <v>3361.72922931937</v>
      </c>
    </row>
    <row r="5591" spans="1:50" x14ac:dyDescent="0.25">
      <c r="A5591" s="2" t="s">
        <v>36496</v>
      </c>
      <c r="B5591" s="2">
        <v>148.07601802894999</v>
      </c>
      <c r="C5591" s="2">
        <v>5.2849000000000004</v>
      </c>
      <c r="D5591" s="2" t="s">
        <v>51</v>
      </c>
      <c r="E5591" s="2" t="s">
        <v>36497</v>
      </c>
      <c r="F5591" s="2">
        <v>205078</v>
      </c>
      <c r="G5591" s="3" t="str">
        <f>HYPERLINK("https://cloud.oebiotech.com/#/lm/network/205078", "https://cloud.oebiotech.com/#/lm/network/205078")</f>
        <v>https://cloud.oebiotech.com/#/lm/network/205078</v>
      </c>
      <c r="H5591" s="2" t="s">
        <v>36498</v>
      </c>
      <c r="I5591" s="2"/>
      <c r="J5591" s="2"/>
      <c r="K5591" s="2">
        <v>12135</v>
      </c>
      <c r="L5591" s="2"/>
      <c r="M5591" s="2"/>
      <c r="N5591" s="2"/>
      <c r="O5591" s="2">
        <v>23246</v>
      </c>
      <c r="P5591" s="2"/>
      <c r="Q5591" s="2"/>
      <c r="R5591" s="2"/>
      <c r="S5591" s="2" t="s">
        <v>36499</v>
      </c>
      <c r="T5591" s="2" t="s">
        <v>36500</v>
      </c>
      <c r="U5591" s="2" t="s">
        <v>540</v>
      </c>
      <c r="V5591" s="2" t="s">
        <v>3291</v>
      </c>
      <c r="W5591" s="2" t="s">
        <v>36501</v>
      </c>
      <c r="X5591" s="2" t="s">
        <v>83</v>
      </c>
      <c r="Y5591" s="2">
        <v>40.4</v>
      </c>
      <c r="Z5591" s="2">
        <v>0</v>
      </c>
      <c r="AA5591" s="2" t="s">
        <v>259</v>
      </c>
      <c r="AB5591" s="2" t="s">
        <v>36502</v>
      </c>
      <c r="AC5591" s="2">
        <v>2.2281056262146501</v>
      </c>
      <c r="AD5591" s="2"/>
      <c r="AE5591" s="2">
        <v>2.1865634615921101E-2</v>
      </c>
      <c r="AF5591" s="2">
        <v>268.911659416737</v>
      </c>
      <c r="AG5591" s="2">
        <v>225.665324405657</v>
      </c>
      <c r="AH5591" s="5">
        <v>1.19163925660701</v>
      </c>
      <c r="AI5591" s="5">
        <v>0.25294755671230801</v>
      </c>
      <c r="AJ5591" s="5" t="s">
        <v>139</v>
      </c>
      <c r="AK5591" s="2">
        <v>0.47177806587015902</v>
      </c>
      <c r="AL5591" s="2">
        <v>0.71837557760224002</v>
      </c>
      <c r="AM5591" s="2">
        <v>127.22087870439201</v>
      </c>
      <c r="AN5591" s="2">
        <v>299.06932497955898</v>
      </c>
      <c r="AO5591" s="2">
        <v>233.39613646456601</v>
      </c>
      <c r="AP5591" s="2">
        <v>209.434007606449</v>
      </c>
      <c r="AQ5591" s="2">
        <v>243.82661225962801</v>
      </c>
      <c r="AR5591" s="2">
        <v>500.522996485828</v>
      </c>
      <c r="AS5591" s="2">
        <v>175.58183603948399</v>
      </c>
      <c r="AT5591" s="2">
        <v>268.68899308514398</v>
      </c>
      <c r="AU5591" s="2">
        <v>327.64015177926802</v>
      </c>
      <c r="AV5591" s="2">
        <v>173.319253685002</v>
      </c>
      <c r="AW5591" s="2">
        <v>173.87096097717901</v>
      </c>
      <c r="AX5591" s="2">
        <v>234.89075086786301</v>
      </c>
    </row>
    <row r="5592" spans="1:50" x14ac:dyDescent="0.25">
      <c r="A5592" s="2" t="s">
        <v>36503</v>
      </c>
      <c r="B5592" s="2">
        <v>356.28062565599498</v>
      </c>
      <c r="C5592" s="2">
        <v>11.769866666666699</v>
      </c>
      <c r="D5592" s="2" t="s">
        <v>51</v>
      </c>
      <c r="E5592" s="2" t="s">
        <v>36504</v>
      </c>
      <c r="F5592" s="2">
        <v>38955</v>
      </c>
      <c r="G5592" s="3" t="str">
        <f>HYPERLINK("https://cloud.oebiotech.com/#/lm/network/38955", "https://cloud.oebiotech.com/#/lm/network/38955")</f>
        <v>https://cloud.oebiotech.com/#/lm/network/38955</v>
      </c>
      <c r="H5592" s="2"/>
      <c r="I5592" s="2">
        <v>53912</v>
      </c>
      <c r="J5592" s="2" t="s">
        <v>36505</v>
      </c>
      <c r="K5592" s="2">
        <v>10913955</v>
      </c>
      <c r="L5592" s="2"/>
      <c r="M5592" s="2"/>
      <c r="N5592" s="2"/>
      <c r="O5592" s="2"/>
      <c r="P5592" s="2"/>
      <c r="Q5592" s="2"/>
      <c r="R5592" s="2"/>
      <c r="S5592" s="2" t="s">
        <v>36506</v>
      </c>
      <c r="T5592" s="2" t="s">
        <v>36507</v>
      </c>
      <c r="U5592" s="2" t="s">
        <v>119</v>
      </c>
      <c r="V5592" s="2" t="s">
        <v>120</v>
      </c>
      <c r="W5592" s="2" t="s">
        <v>1887</v>
      </c>
      <c r="X5592" s="2" t="s">
        <v>147</v>
      </c>
      <c r="Y5592" s="2">
        <v>38.299999999999997</v>
      </c>
      <c r="Z5592" s="2">
        <v>0</v>
      </c>
      <c r="AA5592" s="2" t="s">
        <v>218</v>
      </c>
      <c r="AB5592" s="2" t="s">
        <v>36508</v>
      </c>
      <c r="AC5592" s="2">
        <v>-2.1345615875476599E-2</v>
      </c>
      <c r="AD5592" s="2"/>
      <c r="AE5592" s="2">
        <v>2.1639081452424502E-2</v>
      </c>
      <c r="AF5592" s="2">
        <v>1111.176597094</v>
      </c>
      <c r="AG5592" s="2">
        <v>1077.22263129105</v>
      </c>
      <c r="AH5592" s="5">
        <v>1.03151991502653</v>
      </c>
      <c r="AI5592" s="5">
        <v>4.4771674867306502E-2</v>
      </c>
      <c r="AJ5592" s="5" t="s">
        <v>139</v>
      </c>
      <c r="AK5592" s="2">
        <v>0.90612116921165298</v>
      </c>
      <c r="AL5592" s="2">
        <v>0.96060028116840301</v>
      </c>
      <c r="AM5592" s="2">
        <v>1945.4376004359499</v>
      </c>
      <c r="AN5592" s="2">
        <v>1158.4685957460099</v>
      </c>
      <c r="AO5592" s="2">
        <v>804.570677879149</v>
      </c>
      <c r="AP5592" s="2">
        <v>1070.82745610184</v>
      </c>
      <c r="AQ5592" s="2">
        <v>984.88119192458203</v>
      </c>
      <c r="AR5592" s="2">
        <v>702.87406047647403</v>
      </c>
      <c r="AS5592" s="2">
        <v>593.81942722703104</v>
      </c>
      <c r="AT5592" s="2">
        <v>424.111799705745</v>
      </c>
      <c r="AU5592" s="2">
        <v>1466.07219238428</v>
      </c>
      <c r="AV5592" s="2">
        <v>1017.67102497853</v>
      </c>
      <c r="AW5592" s="2">
        <v>1832.01642721382</v>
      </c>
      <c r="AX5592" s="2">
        <v>1129.6449162369099</v>
      </c>
    </row>
    <row r="5593" spans="1:50" x14ac:dyDescent="0.25">
      <c r="A5593" s="2" t="s">
        <v>36509</v>
      </c>
      <c r="B5593" s="2">
        <v>639.28262650506701</v>
      </c>
      <c r="C5593" s="2">
        <v>4.1970666666666698</v>
      </c>
      <c r="D5593" s="2" t="s">
        <v>51</v>
      </c>
      <c r="E5593" s="2" t="s">
        <v>36510</v>
      </c>
      <c r="F5593" s="2">
        <v>205335</v>
      </c>
      <c r="G5593" s="3" t="str">
        <f>HYPERLINK("https://cloud.oebiotech.com/#/lm/network/205335", "https://cloud.oebiotech.com/#/lm/network/205335")</f>
        <v>https://cloud.oebiotech.com/#/lm/network/205335</v>
      </c>
      <c r="H5593" s="2" t="s">
        <v>36511</v>
      </c>
      <c r="I5593" s="2"/>
      <c r="J5593" s="2"/>
      <c r="K5593" s="2">
        <v>73241701</v>
      </c>
      <c r="L5593" s="2"/>
      <c r="M5593" s="2"/>
      <c r="N5593" s="2"/>
      <c r="O5593" s="2"/>
      <c r="P5593" s="2"/>
      <c r="Q5593" s="2"/>
      <c r="R5593" s="2"/>
      <c r="S5593" s="2" t="s">
        <v>36512</v>
      </c>
      <c r="T5593" s="2" t="s">
        <v>36513</v>
      </c>
      <c r="U5593" s="2" t="s">
        <v>56</v>
      </c>
      <c r="V5593" s="2" t="s">
        <v>283</v>
      </c>
      <c r="W5593" s="2" t="s">
        <v>18279</v>
      </c>
      <c r="X5593" s="2" t="s">
        <v>147</v>
      </c>
      <c r="Y5593" s="2">
        <v>43.9</v>
      </c>
      <c r="Z5593" s="2">
        <v>41.4</v>
      </c>
      <c r="AA5593" s="2" t="s">
        <v>259</v>
      </c>
      <c r="AB5593" s="2" t="s">
        <v>36514</v>
      </c>
      <c r="AC5593" s="2">
        <v>-1.1487463372175599</v>
      </c>
      <c r="AD5593" s="2"/>
      <c r="AE5593" s="2">
        <v>2.1620725290157499E-2</v>
      </c>
      <c r="AF5593" s="2">
        <v>5112.2924371537101</v>
      </c>
      <c r="AG5593" s="2">
        <v>4980.3544941232403</v>
      </c>
      <c r="AH5593" s="5">
        <v>1.02649167708567</v>
      </c>
      <c r="AI5593" s="5">
        <v>3.7721929954151398E-2</v>
      </c>
      <c r="AJ5593" s="5" t="s">
        <v>139</v>
      </c>
      <c r="AK5593" s="2">
        <v>0.980219304572996</v>
      </c>
      <c r="AL5593" s="2">
        <v>0.99157642038675697</v>
      </c>
      <c r="AM5593" s="2">
        <v>9983.0923604782893</v>
      </c>
      <c r="AN5593" s="2">
        <v>0.769989833186422</v>
      </c>
      <c r="AO5593" s="2">
        <v>8.559877937157E-6</v>
      </c>
      <c r="AP5593" s="2">
        <v>8.559877937157E-6</v>
      </c>
      <c r="AQ5593" s="2">
        <v>17195.627157237701</v>
      </c>
      <c r="AR5593" s="2">
        <v>3494.2650982533301</v>
      </c>
      <c r="AS5593" s="2">
        <v>8.559877937157E-6</v>
      </c>
      <c r="AT5593" s="2">
        <v>8.559877937157E-6</v>
      </c>
      <c r="AU5593" s="2">
        <v>30.544731732733801</v>
      </c>
      <c r="AV5593" s="2">
        <v>26466.209831525801</v>
      </c>
      <c r="AW5593" s="2">
        <v>1650.51037281859</v>
      </c>
      <c r="AX5593" s="2">
        <v>1734.8620115425699</v>
      </c>
    </row>
    <row r="5594" spans="1:50" x14ac:dyDescent="0.25">
      <c r="A5594" s="2" t="s">
        <v>36515</v>
      </c>
      <c r="B5594" s="2">
        <v>445.173241211169</v>
      </c>
      <c r="C5594" s="2">
        <v>10.9866666666667</v>
      </c>
      <c r="D5594" s="2" t="s">
        <v>51</v>
      </c>
      <c r="E5594" s="2" t="s">
        <v>36516</v>
      </c>
      <c r="F5594" s="2">
        <v>62540</v>
      </c>
      <c r="G5594" s="3" t="str">
        <f>HYPERLINK("https://cloud.oebiotech.com/#/lm/network/62540", "https://cloud.oebiotech.com/#/lm/network/62540")</f>
        <v>https://cloud.oebiotech.com/#/lm/network/62540</v>
      </c>
      <c r="H5594" s="2" t="s">
        <v>36517</v>
      </c>
      <c r="I5594" s="2"/>
      <c r="J5594" s="2"/>
      <c r="K5594" s="2">
        <v>131752590</v>
      </c>
      <c r="L5594" s="2"/>
      <c r="M5594" s="2"/>
      <c r="N5594" s="2"/>
      <c r="O5594" s="2"/>
      <c r="P5594" s="2"/>
      <c r="Q5594" s="2"/>
      <c r="R5594" s="2" t="s">
        <v>36518</v>
      </c>
      <c r="S5594" s="2" t="s">
        <v>36519</v>
      </c>
      <c r="T5594" s="2" t="s">
        <v>36520</v>
      </c>
      <c r="U5594" s="2" t="s">
        <v>331</v>
      </c>
      <c r="V5594" s="2" t="s">
        <v>332</v>
      </c>
      <c r="W5594" s="2" t="s">
        <v>333</v>
      </c>
      <c r="X5594" s="2" t="s">
        <v>147</v>
      </c>
      <c r="Y5594" s="2">
        <v>38.5</v>
      </c>
      <c r="Z5594" s="2">
        <v>0</v>
      </c>
      <c r="AA5594" s="2" t="s">
        <v>163</v>
      </c>
      <c r="AB5594" s="2" t="s">
        <v>36521</v>
      </c>
      <c r="AC5594" s="2">
        <v>3.8232786145730899</v>
      </c>
      <c r="AD5594" s="2"/>
      <c r="AE5594" s="2">
        <v>2.151706074994E-2</v>
      </c>
      <c r="AF5594" s="2">
        <v>5658.6737686292599</v>
      </c>
      <c r="AG5594" s="2">
        <v>5487.2438311462502</v>
      </c>
      <c r="AH5594" s="5">
        <v>1.03124153814889</v>
      </c>
      <c r="AI5594" s="5">
        <v>4.43822813747232E-2</v>
      </c>
      <c r="AJ5594" s="5" t="s">
        <v>139</v>
      </c>
      <c r="AK5594" s="2">
        <v>0.83448582332526899</v>
      </c>
      <c r="AL5594" s="2">
        <v>0.92739717256062304</v>
      </c>
      <c r="AM5594" s="2">
        <v>3806.4265002718998</v>
      </c>
      <c r="AN5594" s="2">
        <v>6798.3687047322101</v>
      </c>
      <c r="AO5594" s="2">
        <v>4988.70711400046</v>
      </c>
      <c r="AP5594" s="2">
        <v>4330.5909024273597</v>
      </c>
      <c r="AQ5594" s="2">
        <v>8496.2938126060599</v>
      </c>
      <c r="AR5594" s="2">
        <v>5531.6555777375597</v>
      </c>
      <c r="AS5594" s="2">
        <v>6630.6779010156997</v>
      </c>
      <c r="AT5594" s="2">
        <v>5858.0266398870499</v>
      </c>
      <c r="AU5594" s="2">
        <v>6360.3678060945003</v>
      </c>
      <c r="AV5594" s="2">
        <v>4815.4781852655497</v>
      </c>
      <c r="AW5594" s="2">
        <v>4742.1730504942498</v>
      </c>
      <c r="AX5594" s="2">
        <v>4516.7394041204698</v>
      </c>
    </row>
    <row r="5595" spans="1:50" x14ac:dyDescent="0.25">
      <c r="A5595" s="2" t="s">
        <v>36522</v>
      </c>
      <c r="B5595" s="2">
        <v>305.24826896756201</v>
      </c>
      <c r="C5595" s="2">
        <v>11.493266666666701</v>
      </c>
      <c r="D5595" s="2" t="s">
        <v>51</v>
      </c>
      <c r="E5595" s="2" t="s">
        <v>36523</v>
      </c>
      <c r="F5595" s="2">
        <v>3937</v>
      </c>
      <c r="G5595" s="3" t="str">
        <f>HYPERLINK("https://cloud.oebiotech.com/#/lm/network/3937", "https://cloud.oebiotech.com/#/lm/network/3937")</f>
        <v>https://cloud.oebiotech.com/#/lm/network/3937</v>
      </c>
      <c r="H5595" s="2"/>
      <c r="I5595" s="2">
        <v>45654</v>
      </c>
      <c r="J5595" s="2" t="s">
        <v>36524</v>
      </c>
      <c r="K5595" s="2">
        <v>5283143</v>
      </c>
      <c r="L5595" s="2"/>
      <c r="M5595" s="2"/>
      <c r="N5595" s="2"/>
      <c r="O5595" s="2">
        <v>88359</v>
      </c>
      <c r="P5595" s="2"/>
      <c r="Q5595" s="2"/>
      <c r="R5595" s="2"/>
      <c r="S5595" s="2" t="s">
        <v>36525</v>
      </c>
      <c r="T5595" s="2" t="s">
        <v>36526</v>
      </c>
      <c r="U5595" s="2" t="s">
        <v>56</v>
      </c>
      <c r="V5595" s="2" t="s">
        <v>145</v>
      </c>
      <c r="W5595" s="2" t="s">
        <v>187</v>
      </c>
      <c r="X5595" s="2" t="s">
        <v>69</v>
      </c>
      <c r="Y5595" s="2">
        <v>63.9</v>
      </c>
      <c r="Z5595" s="2">
        <v>89.9</v>
      </c>
      <c r="AA5595" s="2" t="s">
        <v>156</v>
      </c>
      <c r="AB5595" s="2" t="s">
        <v>2176</v>
      </c>
      <c r="AC5595" s="2">
        <v>2.3654511157257199</v>
      </c>
      <c r="AD5595" s="2"/>
      <c r="AE5595" s="2">
        <v>2.1509903322468899E-2</v>
      </c>
      <c r="AF5595" s="2">
        <v>15171.4999919083</v>
      </c>
      <c r="AG5595" s="2">
        <v>15644.223122822899</v>
      </c>
      <c r="AH5595" s="4">
        <v>0.96978289511705096</v>
      </c>
      <c r="AI5595" s="4">
        <v>-4.4266286964038802E-2</v>
      </c>
      <c r="AJ5595" s="4" t="s">
        <v>62</v>
      </c>
      <c r="AK5595" s="2">
        <v>0.93361156311123805</v>
      </c>
      <c r="AL5595" s="2">
        <v>0.97157788785125598</v>
      </c>
      <c r="AM5595" s="2">
        <v>18777.425439658298</v>
      </c>
      <c r="AN5595" s="2">
        <v>12565.7025306048</v>
      </c>
      <c r="AO5595" s="2">
        <v>10170.343114429101</v>
      </c>
      <c r="AP5595" s="2">
        <v>15826.167442878301</v>
      </c>
      <c r="AQ5595" s="2">
        <v>18744.4844671508</v>
      </c>
      <c r="AR5595" s="2">
        <v>14944.8769567285</v>
      </c>
      <c r="AS5595" s="2">
        <v>10068.4363299995</v>
      </c>
      <c r="AT5595" s="2">
        <v>5016.8184023970398</v>
      </c>
      <c r="AU5595" s="2">
        <v>41753.571420805703</v>
      </c>
      <c r="AV5595" s="2">
        <v>11313.0346939219</v>
      </c>
      <c r="AW5595" s="2">
        <v>13429.2716960987</v>
      </c>
      <c r="AX5595" s="2">
        <v>12284.206193714501</v>
      </c>
    </row>
    <row r="5596" spans="1:50" x14ac:dyDescent="0.25">
      <c r="A5596" s="2" t="s">
        <v>36527</v>
      </c>
      <c r="B5596" s="2">
        <v>293.19685299114002</v>
      </c>
      <c r="C5596" s="2">
        <v>8.9285833333333304</v>
      </c>
      <c r="D5596" s="2" t="s">
        <v>51</v>
      </c>
      <c r="E5596" s="2" t="s">
        <v>36528</v>
      </c>
      <c r="F5596" s="2">
        <v>53231</v>
      </c>
      <c r="G5596" s="3" t="str">
        <f>HYPERLINK("https://cloud.oebiotech.com/#/lm/network/53231", "https://cloud.oebiotech.com/#/lm/network/53231")</f>
        <v>https://cloud.oebiotech.com/#/lm/network/53231</v>
      </c>
      <c r="H5596" s="2" t="s">
        <v>36529</v>
      </c>
      <c r="I5596" s="2">
        <v>1934</v>
      </c>
      <c r="J5596" s="2"/>
      <c r="K5596" s="2">
        <v>5983</v>
      </c>
      <c r="L5596" s="2" t="s">
        <v>36530</v>
      </c>
      <c r="M5596" s="2"/>
      <c r="N5596" s="2"/>
      <c r="O5596" s="2">
        <v>27953</v>
      </c>
      <c r="P5596" s="2"/>
      <c r="Q5596" s="2"/>
      <c r="R5596" s="2" t="s">
        <v>36531</v>
      </c>
      <c r="S5596" s="2" t="s">
        <v>36532</v>
      </c>
      <c r="T5596" s="2" t="s">
        <v>36533</v>
      </c>
      <c r="U5596" s="2" t="s">
        <v>266</v>
      </c>
      <c r="V5596" s="2" t="s">
        <v>445</v>
      </c>
      <c r="W5596" s="2" t="s">
        <v>25722</v>
      </c>
      <c r="X5596" s="2" t="s">
        <v>147</v>
      </c>
      <c r="Y5596" s="2">
        <v>36.4</v>
      </c>
      <c r="Z5596" s="2">
        <v>0</v>
      </c>
      <c r="AA5596" s="2" t="s">
        <v>512</v>
      </c>
      <c r="AB5596" s="2" t="s">
        <v>36534</v>
      </c>
      <c r="AC5596" s="2">
        <v>-1.2700303851620101</v>
      </c>
      <c r="AD5596" s="2"/>
      <c r="AE5596" s="2">
        <v>2.1481893070273199E-2</v>
      </c>
      <c r="AF5596" s="2">
        <v>6075.8229180423205</v>
      </c>
      <c r="AG5596" s="2">
        <v>5959.3037542108796</v>
      </c>
      <c r="AH5596" s="5">
        <v>1.0195524793897499</v>
      </c>
      <c r="AI5596" s="5">
        <v>2.7936037058037901E-2</v>
      </c>
      <c r="AJ5596" s="5" t="s">
        <v>139</v>
      </c>
      <c r="AK5596" s="2">
        <v>0.83692492679897001</v>
      </c>
      <c r="AL5596" s="2">
        <v>0.928404949627333</v>
      </c>
      <c r="AM5596" s="2">
        <v>5810.8798044057703</v>
      </c>
      <c r="AN5596" s="2">
        <v>7070.19939007431</v>
      </c>
      <c r="AO5596" s="2">
        <v>6498.11366140685</v>
      </c>
      <c r="AP5596" s="2">
        <v>6781.0143652473998</v>
      </c>
      <c r="AQ5596" s="2">
        <v>5659.2216325977697</v>
      </c>
      <c r="AR5596" s="2">
        <v>4635.5086545218001</v>
      </c>
      <c r="AS5596" s="2">
        <v>6239.2810531267996</v>
      </c>
      <c r="AT5596" s="2">
        <v>7247.0639345044901</v>
      </c>
      <c r="AU5596" s="2">
        <v>4145.4721953038497</v>
      </c>
      <c r="AV5596" s="2">
        <v>5928.93549232655</v>
      </c>
      <c r="AW5596" s="2">
        <v>5901.0386384834801</v>
      </c>
      <c r="AX5596" s="2">
        <v>6294.0312115200804</v>
      </c>
    </row>
    <row r="5597" spans="1:50" x14ac:dyDescent="0.25">
      <c r="A5597" s="2" t="s">
        <v>36535</v>
      </c>
      <c r="B5597" s="2">
        <v>497.29458799863301</v>
      </c>
      <c r="C5597" s="2">
        <v>14.5698666666667</v>
      </c>
      <c r="D5597" s="2" t="s">
        <v>51</v>
      </c>
      <c r="E5597" s="2" t="s">
        <v>36536</v>
      </c>
      <c r="F5597" s="2">
        <v>82422</v>
      </c>
      <c r="G5597" s="3" t="str">
        <f>HYPERLINK("https://cloud.oebiotech.com/#/lm/network/82422", "https://cloud.oebiotech.com/#/lm/network/82422")</f>
        <v>https://cloud.oebiotech.com/#/lm/network/82422</v>
      </c>
      <c r="H5597" s="2" t="s">
        <v>36537</v>
      </c>
      <c r="I5597" s="2">
        <v>1610</v>
      </c>
      <c r="J5597" s="2"/>
      <c r="K5597" s="2">
        <v>162558</v>
      </c>
      <c r="L5597" s="2"/>
      <c r="M5597" s="2"/>
      <c r="N5597" s="2"/>
      <c r="O5597" s="2"/>
      <c r="P5597" s="2"/>
      <c r="Q5597" s="2"/>
      <c r="R5597" s="2" t="s">
        <v>36538</v>
      </c>
      <c r="S5597" s="2" t="s">
        <v>36539</v>
      </c>
      <c r="T5597" s="2" t="s">
        <v>36540</v>
      </c>
      <c r="U5597" s="2" t="s">
        <v>610</v>
      </c>
      <c r="V5597" s="2" t="s">
        <v>20162</v>
      </c>
      <c r="W5597" s="2" t="s">
        <v>240</v>
      </c>
      <c r="X5597" s="2" t="s">
        <v>147</v>
      </c>
      <c r="Y5597" s="2">
        <v>38.9</v>
      </c>
      <c r="Z5597" s="2">
        <v>0</v>
      </c>
      <c r="AA5597" s="2" t="s">
        <v>478</v>
      </c>
      <c r="AB5597" s="2" t="s">
        <v>36541</v>
      </c>
      <c r="AC5597" s="2">
        <v>-3.2807267654160599</v>
      </c>
      <c r="AD5597" s="2"/>
      <c r="AE5597" s="2">
        <v>2.1386155292353499E-2</v>
      </c>
      <c r="AF5597" s="2">
        <v>1290.2523411587599</v>
      </c>
      <c r="AG5597" s="2">
        <v>1400.0185868011799</v>
      </c>
      <c r="AH5597" s="4">
        <v>0.92159657973311704</v>
      </c>
      <c r="AI5597" s="4">
        <v>-0.117792732285985</v>
      </c>
      <c r="AJ5597" s="4" t="s">
        <v>62</v>
      </c>
      <c r="AK5597" s="2">
        <v>0.60734436176787199</v>
      </c>
      <c r="AL5597" s="2">
        <v>0.80448616752299296</v>
      </c>
      <c r="AM5597" s="2">
        <v>1008.7559801352299</v>
      </c>
      <c r="AN5597" s="2">
        <v>1329.48000089066</v>
      </c>
      <c r="AO5597" s="2">
        <v>1709.8116871894699</v>
      </c>
      <c r="AP5597" s="2">
        <v>681.51295574542996</v>
      </c>
      <c r="AQ5597" s="2">
        <v>1379.24772753599</v>
      </c>
      <c r="AR5597" s="2">
        <v>1632.70569545577</v>
      </c>
      <c r="AS5597" s="2">
        <v>1798.6518723486699</v>
      </c>
      <c r="AT5597" s="2">
        <v>1614.14640464532</v>
      </c>
      <c r="AU5597" s="2">
        <v>1638.63387380161</v>
      </c>
      <c r="AV5597" s="2">
        <v>1252.0641352192599</v>
      </c>
      <c r="AW5597" s="2">
        <v>1068.4400183067301</v>
      </c>
      <c r="AX5597" s="2">
        <v>1028.17521648548</v>
      </c>
    </row>
    <row r="5598" spans="1:50" x14ac:dyDescent="0.25">
      <c r="A5598" s="2" t="s">
        <v>36542</v>
      </c>
      <c r="B5598" s="2">
        <v>363.04415876326902</v>
      </c>
      <c r="C5598" s="2">
        <v>7.3330166666666701</v>
      </c>
      <c r="D5598" s="2" t="s">
        <v>51</v>
      </c>
      <c r="E5598" s="2" t="s">
        <v>36543</v>
      </c>
      <c r="F5598" s="2">
        <v>57094</v>
      </c>
      <c r="G5598" s="3" t="str">
        <f>HYPERLINK("https://cloud.oebiotech.com/#/lm/network/57094", "https://cloud.oebiotech.com/#/lm/network/57094")</f>
        <v>https://cloud.oebiotech.com/#/lm/network/57094</v>
      </c>
      <c r="H5598" s="2" t="s">
        <v>36544</v>
      </c>
      <c r="I5598" s="2">
        <v>88747</v>
      </c>
      <c r="J5598" s="2"/>
      <c r="K5598" s="2">
        <v>22383</v>
      </c>
      <c r="L5598" s="2"/>
      <c r="M5598" s="2"/>
      <c r="N5598" s="2"/>
      <c r="O5598" s="2"/>
      <c r="P5598" s="2"/>
      <c r="Q5598" s="2"/>
      <c r="R5598" s="2" t="s">
        <v>36545</v>
      </c>
      <c r="S5598" s="2" t="s">
        <v>36546</v>
      </c>
      <c r="T5598" s="2" t="s">
        <v>36547</v>
      </c>
      <c r="U5598" s="2" t="s">
        <v>1231</v>
      </c>
      <c r="V5598" s="2" t="s">
        <v>36548</v>
      </c>
      <c r="W5598" s="2" t="s">
        <v>240</v>
      </c>
      <c r="X5598" s="2" t="s">
        <v>147</v>
      </c>
      <c r="Y5598" s="2">
        <v>37.4</v>
      </c>
      <c r="Z5598" s="2">
        <v>0</v>
      </c>
      <c r="AA5598" s="2" t="s">
        <v>478</v>
      </c>
      <c r="AB5598" s="2" t="s">
        <v>36549</v>
      </c>
      <c r="AC5598" s="2">
        <v>-0.25189481144591702</v>
      </c>
      <c r="AD5598" s="2"/>
      <c r="AE5598" s="2">
        <v>2.13362046197343E-2</v>
      </c>
      <c r="AF5598" s="2">
        <v>1629.23244489387</v>
      </c>
      <c r="AG5598" s="2">
        <v>1790.7517538355501</v>
      </c>
      <c r="AH5598" s="4">
        <v>0.90980362934408898</v>
      </c>
      <c r="AI5598" s="4">
        <v>-0.13637290511790101</v>
      </c>
      <c r="AJ5598" s="4" t="s">
        <v>62</v>
      </c>
      <c r="AK5598" s="2">
        <v>0.87427620119340799</v>
      </c>
      <c r="AL5598" s="2">
        <v>0.94630424795653401</v>
      </c>
      <c r="AM5598" s="2">
        <v>2441.5126950583999</v>
      </c>
      <c r="AN5598" s="2">
        <v>498.79739658263799</v>
      </c>
      <c r="AO5598" s="2">
        <v>1856.7931284174001</v>
      </c>
      <c r="AP5598" s="2">
        <v>6.1330083976083696</v>
      </c>
      <c r="AQ5598" s="2">
        <v>1054.70336332591</v>
      </c>
      <c r="AR5598" s="2">
        <v>3917.45507758129</v>
      </c>
      <c r="AS5598" s="2">
        <v>2839.9137034185701</v>
      </c>
      <c r="AT5598" s="2">
        <v>1508.92159095279</v>
      </c>
      <c r="AU5598" s="2">
        <v>307.20409905064201</v>
      </c>
      <c r="AV5598" s="2">
        <v>2.27887458514427E-3</v>
      </c>
      <c r="AW5598" s="2">
        <v>832.96980314596794</v>
      </c>
      <c r="AX5598" s="2">
        <v>5255.49904757073</v>
      </c>
    </row>
    <row r="5599" spans="1:50" x14ac:dyDescent="0.25">
      <c r="A5599" s="2" t="s">
        <v>36550</v>
      </c>
      <c r="B5599" s="2">
        <v>368.32600000000002</v>
      </c>
      <c r="C5599" s="2">
        <v>26.59</v>
      </c>
      <c r="D5599" s="2" t="s">
        <v>125</v>
      </c>
      <c r="E5599" s="2" t="s">
        <v>36551</v>
      </c>
      <c r="F5599" s="2">
        <v>325261</v>
      </c>
      <c r="G5599" s="3" t="str">
        <f>HYPERLINK("https://cloud.oebiotech.com/#/lm/network/325261", "https://cloud.oebiotech.com/#/lm/network/325261")</f>
        <v>https://cloud.oebiotech.com/#/lm/network/325261</v>
      </c>
      <c r="H5599" s="2"/>
      <c r="I5599" s="2">
        <v>353484</v>
      </c>
      <c r="J5599" s="2"/>
      <c r="K5599" s="2">
        <v>544138</v>
      </c>
      <c r="L5599" s="2"/>
      <c r="M5599" s="2"/>
      <c r="N5599" s="2"/>
      <c r="O5599" s="2"/>
      <c r="P5599" s="2"/>
      <c r="Q5599" s="2"/>
      <c r="R5599" s="2"/>
      <c r="S5599" s="2" t="s">
        <v>36552</v>
      </c>
      <c r="T5599" s="2" t="s">
        <v>36553</v>
      </c>
      <c r="U5599" s="2" t="s">
        <v>56</v>
      </c>
      <c r="V5599" s="2" t="s">
        <v>145</v>
      </c>
      <c r="W5599" s="2" t="s">
        <v>231</v>
      </c>
      <c r="X5599" s="2" t="s">
        <v>59</v>
      </c>
      <c r="Y5599" s="2">
        <v>79.900000000000006</v>
      </c>
      <c r="Z5599" s="2">
        <v>66.7</v>
      </c>
      <c r="AA5599" s="2"/>
      <c r="AB5599" s="2" t="s">
        <v>2410</v>
      </c>
      <c r="AC5599" s="2"/>
      <c r="AD5599" s="2">
        <v>1020060.32753327</v>
      </c>
      <c r="AE5599" s="2">
        <v>2.1270145340178199E-2</v>
      </c>
      <c r="AF5599" s="2">
        <v>8999.5167164279301</v>
      </c>
      <c r="AG5599" s="2">
        <v>8978.0345244135406</v>
      </c>
      <c r="AH5599" s="5">
        <v>1.00239274998954</v>
      </c>
      <c r="AI5599" s="5">
        <v>3.4478852233693199E-3</v>
      </c>
      <c r="AJ5599" s="5" t="s">
        <v>139</v>
      </c>
      <c r="AK5599" s="2">
        <v>0.98904155460075605</v>
      </c>
      <c r="AL5599" s="2">
        <v>0.99545530263140103</v>
      </c>
      <c r="AM5599" s="2">
        <v>2299.8352172700202</v>
      </c>
      <c r="AN5599" s="2">
        <v>9444.3718940953495</v>
      </c>
      <c r="AO5599" s="2">
        <v>11387.2975685249</v>
      </c>
      <c r="AP5599" s="2">
        <v>9523.5640153244294</v>
      </c>
      <c r="AQ5599" s="2">
        <v>9908.9873822913996</v>
      </c>
      <c r="AR5599" s="2">
        <v>11433.0442210615</v>
      </c>
      <c r="AS5599" s="2">
        <v>8669.27177573884</v>
      </c>
      <c r="AT5599" s="2">
        <v>8928.6847508180199</v>
      </c>
      <c r="AU5599" s="2">
        <v>6238.8184186026501</v>
      </c>
      <c r="AV5599" s="2">
        <v>10624.616459348799</v>
      </c>
      <c r="AW5599" s="2">
        <v>9136.9980104151</v>
      </c>
      <c r="AX5599" s="2">
        <v>10269.8177315578</v>
      </c>
    </row>
    <row r="5600" spans="1:50" x14ac:dyDescent="0.25">
      <c r="A5600" s="2" t="s">
        <v>36554</v>
      </c>
      <c r="B5600" s="2">
        <v>345.22553866480001</v>
      </c>
      <c r="C5600" s="2">
        <v>12.4242833333333</v>
      </c>
      <c r="D5600" s="2" t="s">
        <v>51</v>
      </c>
      <c r="E5600" s="2" t="s">
        <v>36555</v>
      </c>
      <c r="F5600" s="2">
        <v>81712</v>
      </c>
      <c r="G5600" s="3" t="str">
        <f>HYPERLINK("https://cloud.oebiotech.com/#/lm/network/81712", "https://cloud.oebiotech.com/#/lm/network/81712")</f>
        <v>https://cloud.oebiotech.com/#/lm/network/81712</v>
      </c>
      <c r="H5600" s="2" t="s">
        <v>36556</v>
      </c>
      <c r="I5600" s="2">
        <v>96232</v>
      </c>
      <c r="J5600" s="2"/>
      <c r="K5600" s="2">
        <v>25244460</v>
      </c>
      <c r="L5600" s="2"/>
      <c r="M5600" s="2"/>
      <c r="N5600" s="2"/>
      <c r="O5600" s="2"/>
      <c r="P5600" s="2"/>
      <c r="Q5600" s="2"/>
      <c r="R5600" s="2"/>
      <c r="S5600" s="2" t="s">
        <v>36557</v>
      </c>
      <c r="T5600" s="2" t="s">
        <v>36558</v>
      </c>
      <c r="U5600" s="2" t="s">
        <v>103</v>
      </c>
      <c r="V5600" s="2" t="s">
        <v>7841</v>
      </c>
      <c r="W5600" s="2" t="s">
        <v>7842</v>
      </c>
      <c r="X5600" s="2" t="s">
        <v>147</v>
      </c>
      <c r="Y5600" s="2">
        <v>38.200000000000003</v>
      </c>
      <c r="Z5600" s="2">
        <v>0</v>
      </c>
      <c r="AA5600" s="2" t="s">
        <v>478</v>
      </c>
      <c r="AB5600" s="2" t="s">
        <v>19064</v>
      </c>
      <c r="AC5600" s="2">
        <v>-0.110828129529464</v>
      </c>
      <c r="AD5600" s="2"/>
      <c r="AE5600" s="2">
        <v>2.1224777724528601E-2</v>
      </c>
      <c r="AF5600" s="2">
        <v>178.80198025995901</v>
      </c>
      <c r="AG5600" s="2">
        <v>276.99459486360399</v>
      </c>
      <c r="AH5600" s="4">
        <v>0.64550710943657197</v>
      </c>
      <c r="AI5600" s="4">
        <v>-0.63149510982367596</v>
      </c>
      <c r="AJ5600" s="4" t="s">
        <v>62</v>
      </c>
      <c r="AK5600" s="2">
        <v>0.63074649160212803</v>
      </c>
      <c r="AL5600" s="2">
        <v>0.81905991265131906</v>
      </c>
      <c r="AM5600" s="2">
        <v>104.269639283255</v>
      </c>
      <c r="AN5600" s="2">
        <v>8.559877937157E-6</v>
      </c>
      <c r="AO5600" s="2">
        <v>319.81934401022698</v>
      </c>
      <c r="AP5600" s="2">
        <v>8.559877937157E-6</v>
      </c>
      <c r="AQ5600" s="2">
        <v>536.121547498773</v>
      </c>
      <c r="AR5600" s="2">
        <v>112.601333647744</v>
      </c>
      <c r="AS5600" s="2">
        <v>363.95555543324502</v>
      </c>
      <c r="AT5600" s="2">
        <v>8.559877937157E-6</v>
      </c>
      <c r="AU5600" s="2">
        <v>1118.42469176241</v>
      </c>
      <c r="AV5600" s="2">
        <v>8.559877937157E-6</v>
      </c>
      <c r="AW5600" s="2">
        <v>179.587296306334</v>
      </c>
      <c r="AX5600" s="2">
        <v>8.559877937157E-6</v>
      </c>
    </row>
    <row r="5601" spans="1:50" x14ac:dyDescent="0.25">
      <c r="A5601" s="2" t="s">
        <v>36559</v>
      </c>
      <c r="B5601" s="2">
        <v>633.11719408046702</v>
      </c>
      <c r="C5601" s="2">
        <v>3.6124666666666698</v>
      </c>
      <c r="D5601" s="2" t="s">
        <v>51</v>
      </c>
      <c r="E5601" s="2" t="s">
        <v>36560</v>
      </c>
      <c r="F5601" s="2">
        <v>52976</v>
      </c>
      <c r="G5601" s="3" t="str">
        <f>HYPERLINK("https://cloud.oebiotech.com/#/lm/network/52976", "https://cloud.oebiotech.com/#/lm/network/52976")</f>
        <v>https://cloud.oebiotech.com/#/lm/network/52976</v>
      </c>
      <c r="H5601" s="2" t="s">
        <v>36561</v>
      </c>
      <c r="I5601" s="2">
        <v>44648</v>
      </c>
      <c r="J5601" s="2"/>
      <c r="K5601" s="2">
        <v>4493</v>
      </c>
      <c r="L5601" s="2" t="s">
        <v>36562</v>
      </c>
      <c r="M5601" s="2"/>
      <c r="N5601" s="2"/>
      <c r="O5601" s="2">
        <v>7573</v>
      </c>
      <c r="P5601" s="2"/>
      <c r="Q5601" s="2"/>
      <c r="R5601" s="2" t="s">
        <v>36563</v>
      </c>
      <c r="S5601" s="2" t="s">
        <v>36564</v>
      </c>
      <c r="T5601" s="2" t="s">
        <v>36565</v>
      </c>
      <c r="U5601" s="2" t="s">
        <v>266</v>
      </c>
      <c r="V5601" s="2" t="s">
        <v>13648</v>
      </c>
      <c r="W5601" s="2" t="s">
        <v>13649</v>
      </c>
      <c r="X5601" s="2" t="s">
        <v>147</v>
      </c>
      <c r="Y5601" s="2">
        <v>41.1</v>
      </c>
      <c r="Z5601" s="2">
        <v>13.4</v>
      </c>
      <c r="AA5601" s="2" t="s">
        <v>478</v>
      </c>
      <c r="AB5601" s="2" t="s">
        <v>36566</v>
      </c>
      <c r="AC5601" s="2">
        <v>-0.33184990171169998</v>
      </c>
      <c r="AD5601" s="2"/>
      <c r="AE5601" s="2">
        <v>2.1104875199569498E-2</v>
      </c>
      <c r="AF5601" s="2">
        <v>4702.4927329053598</v>
      </c>
      <c r="AG5601" s="2">
        <v>4769.3775629284301</v>
      </c>
      <c r="AH5601" s="4">
        <v>0.98597619309006801</v>
      </c>
      <c r="AI5601" s="4">
        <v>-2.0375282488583699E-2</v>
      </c>
      <c r="AJ5601" s="4" t="s">
        <v>62</v>
      </c>
      <c r="AK5601" s="2">
        <v>0.96990588741138795</v>
      </c>
      <c r="AL5601" s="2">
        <v>0.98861864207084904</v>
      </c>
      <c r="AM5601" s="2">
        <v>2300.6985049464602</v>
      </c>
      <c r="AN5601" s="2">
        <v>6123.5739343251098</v>
      </c>
      <c r="AO5601" s="2">
        <v>2215.1411785883502</v>
      </c>
      <c r="AP5601" s="2">
        <v>8153.0115918455103</v>
      </c>
      <c r="AQ5601" s="2">
        <v>5247.8216716003499</v>
      </c>
      <c r="AR5601" s="2">
        <v>4174.7095161263596</v>
      </c>
      <c r="AS5601" s="2">
        <v>5408.0221415153801</v>
      </c>
      <c r="AT5601" s="2">
        <v>9000.8290114092197</v>
      </c>
      <c r="AU5601" s="2">
        <v>2641.69711004501</v>
      </c>
      <c r="AV5601" s="2">
        <v>308.44958323426698</v>
      </c>
      <c r="AW5601" s="2">
        <v>2544.5566919921198</v>
      </c>
      <c r="AX5601" s="2">
        <v>8712.7108393745602</v>
      </c>
    </row>
    <row r="5602" spans="1:50" x14ac:dyDescent="0.25">
      <c r="A5602" s="2" t="s">
        <v>36567</v>
      </c>
      <c r="B5602" s="2">
        <v>492.33365581484202</v>
      </c>
      <c r="C5602" s="2">
        <v>11.842883333333299</v>
      </c>
      <c r="D5602" s="2" t="s">
        <v>51</v>
      </c>
      <c r="E5602" s="2" t="s">
        <v>36568</v>
      </c>
      <c r="F5602" s="2">
        <v>255329</v>
      </c>
      <c r="G5602" s="3" t="str">
        <f>HYPERLINK("https://cloud.oebiotech.com/#/lm/network/255329", "https://cloud.oebiotech.com/#/lm/network/255329")</f>
        <v>https://cloud.oebiotech.com/#/lm/network/255329</v>
      </c>
      <c r="H5602" s="2" t="s">
        <v>36569</v>
      </c>
      <c r="I5602" s="2"/>
      <c r="J5602" s="2"/>
      <c r="K5602" s="2">
        <v>44176376</v>
      </c>
      <c r="L5602" s="2"/>
      <c r="M5602" s="2"/>
      <c r="N5602" s="2"/>
      <c r="O5602" s="2"/>
      <c r="P5602" s="2"/>
      <c r="Q5602" s="2"/>
      <c r="R5602" s="2"/>
      <c r="S5602" s="2" t="s">
        <v>36570</v>
      </c>
      <c r="T5602" s="2" t="s">
        <v>36571</v>
      </c>
      <c r="U5602" s="2" t="s">
        <v>56</v>
      </c>
      <c r="V5602" s="2" t="s">
        <v>344</v>
      </c>
      <c r="W5602" s="2" t="s">
        <v>1239</v>
      </c>
      <c r="X5602" s="2" t="s">
        <v>147</v>
      </c>
      <c r="Y5602" s="2">
        <v>37.1</v>
      </c>
      <c r="Z5602" s="2">
        <v>0</v>
      </c>
      <c r="AA5602" s="2" t="s">
        <v>163</v>
      </c>
      <c r="AB5602" s="2" t="s">
        <v>36572</v>
      </c>
      <c r="AC5602" s="2">
        <v>0.57422063690927205</v>
      </c>
      <c r="AD5602" s="2"/>
      <c r="AE5602" s="2">
        <v>2.10978380961909E-2</v>
      </c>
      <c r="AF5602" s="2">
        <v>801.55188283861196</v>
      </c>
      <c r="AG5602" s="2">
        <v>667.94753472316802</v>
      </c>
      <c r="AH5602" s="5">
        <v>1.2000222190666801</v>
      </c>
      <c r="AI5602" s="5">
        <v>0.26306111836758</v>
      </c>
      <c r="AJ5602" s="5" t="s">
        <v>139</v>
      </c>
      <c r="AK5602" s="2">
        <v>0.64541728679368104</v>
      </c>
      <c r="AL5602" s="2">
        <v>0.82671897123928395</v>
      </c>
      <c r="AM5602" s="2">
        <v>993.31913407968602</v>
      </c>
      <c r="AN5602" s="2">
        <v>416.58805150400701</v>
      </c>
      <c r="AO5602" s="2">
        <v>561.62167123591098</v>
      </c>
      <c r="AP5602" s="2">
        <v>1731.6991641791601</v>
      </c>
      <c r="AQ5602" s="2">
        <v>917.27779219654497</v>
      </c>
      <c r="AR5602" s="2">
        <v>188.80548383636301</v>
      </c>
      <c r="AS5602" s="2">
        <v>462.57732216095599</v>
      </c>
      <c r="AT5602" s="2">
        <v>631.09367931096403</v>
      </c>
      <c r="AU5602" s="2">
        <v>431.81017346569598</v>
      </c>
      <c r="AV5602" s="2">
        <v>149.70815296248401</v>
      </c>
      <c r="AW5602" s="2">
        <v>1262.6487943463601</v>
      </c>
      <c r="AX5602" s="2">
        <v>1069.8470860925499</v>
      </c>
    </row>
    <row r="5603" spans="1:50" x14ac:dyDescent="0.25">
      <c r="A5603" s="2" t="s">
        <v>36573</v>
      </c>
      <c r="B5603" s="2">
        <v>303.23309410859599</v>
      </c>
      <c r="C5603" s="2">
        <v>9.9108499999999999</v>
      </c>
      <c r="D5603" s="2" t="s">
        <v>51</v>
      </c>
      <c r="E5603" s="2" t="s">
        <v>36574</v>
      </c>
      <c r="F5603" s="2">
        <v>6522</v>
      </c>
      <c r="G5603" s="3" t="str">
        <f>HYPERLINK("https://cloud.oebiotech.com/#/lm/network/6522", "https://cloud.oebiotech.com/#/lm/network/6522")</f>
        <v>https://cloud.oebiotech.com/#/lm/network/6522</v>
      </c>
      <c r="H5603" s="2"/>
      <c r="I5603" s="2">
        <v>36557</v>
      </c>
      <c r="J5603" s="2" t="s">
        <v>36575</v>
      </c>
      <c r="K5603" s="2">
        <v>5283349</v>
      </c>
      <c r="L5603" s="2"/>
      <c r="M5603" s="2"/>
      <c r="N5603" s="2"/>
      <c r="O5603" s="2">
        <v>149547</v>
      </c>
      <c r="P5603" s="2"/>
      <c r="Q5603" s="2"/>
      <c r="R5603" s="2" t="s">
        <v>36576</v>
      </c>
      <c r="S5603" s="2" t="s">
        <v>36577</v>
      </c>
      <c r="T5603" s="2" t="s">
        <v>36578</v>
      </c>
      <c r="U5603" s="2" t="s">
        <v>331</v>
      </c>
      <c r="V5603" s="2" t="s">
        <v>332</v>
      </c>
      <c r="W5603" s="2" t="s">
        <v>1207</v>
      </c>
      <c r="X5603" s="2" t="s">
        <v>147</v>
      </c>
      <c r="Y5603" s="2">
        <v>37.799999999999997</v>
      </c>
      <c r="Z5603" s="2">
        <v>0</v>
      </c>
      <c r="AA5603" s="2" t="s">
        <v>478</v>
      </c>
      <c r="AB5603" s="2" t="s">
        <v>26659</v>
      </c>
      <c r="AC5603" s="2">
        <v>0.46106734794273202</v>
      </c>
      <c r="AD5603" s="2"/>
      <c r="AE5603" s="2">
        <v>2.1075877373346399E-2</v>
      </c>
      <c r="AF5603" s="2">
        <v>403.00956970422197</v>
      </c>
      <c r="AG5603" s="2">
        <v>346.94294151387101</v>
      </c>
      <c r="AH5603" s="5">
        <v>1.1616018701683499</v>
      </c>
      <c r="AI5603" s="5">
        <v>0.216115681173948</v>
      </c>
      <c r="AJ5603" s="5" t="s">
        <v>139</v>
      </c>
      <c r="AK5603" s="2">
        <v>0.81338690441402295</v>
      </c>
      <c r="AL5603" s="2">
        <v>0.91737804929826205</v>
      </c>
      <c r="AM5603" s="2">
        <v>931.79980498819202</v>
      </c>
      <c r="AN5603" s="2">
        <v>8.559877937157E-6</v>
      </c>
      <c r="AO5603" s="2">
        <v>468.48810743629599</v>
      </c>
      <c r="AP5603" s="2">
        <v>880.22194185238902</v>
      </c>
      <c r="AQ5603" s="2">
        <v>137.54754682869699</v>
      </c>
      <c r="AR5603" s="2">
        <v>8.559877937157E-6</v>
      </c>
      <c r="AS5603" s="2">
        <v>8.559877937157E-6</v>
      </c>
      <c r="AT5603" s="2">
        <v>190.04461499102899</v>
      </c>
      <c r="AU5603" s="2">
        <v>595.17382739412903</v>
      </c>
      <c r="AV5603" s="2">
        <v>340.14433199042901</v>
      </c>
      <c r="AW5603" s="2">
        <v>956.29485758788303</v>
      </c>
      <c r="AX5603" s="2">
        <v>8.559877937157E-6</v>
      </c>
    </row>
    <row r="5604" spans="1:50" x14ac:dyDescent="0.25">
      <c r="A5604" s="2" t="s">
        <v>36579</v>
      </c>
      <c r="B5604" s="2">
        <v>344.21920281674397</v>
      </c>
      <c r="C5604" s="2">
        <v>4.46383333333333</v>
      </c>
      <c r="D5604" s="2" t="s">
        <v>51</v>
      </c>
      <c r="E5604" s="2" t="s">
        <v>36580</v>
      </c>
      <c r="F5604" s="2">
        <v>260763</v>
      </c>
      <c r="G5604" s="3" t="str">
        <f>HYPERLINK("https://cloud.oebiotech.com/#/lm/network/260763", "https://cloud.oebiotech.com/#/lm/network/260763")</f>
        <v>https://cloud.oebiotech.com/#/lm/network/260763</v>
      </c>
      <c r="H5604" s="2"/>
      <c r="I5604" s="2">
        <v>18043</v>
      </c>
      <c r="J5604" s="2"/>
      <c r="K5604" s="2">
        <v>145456197</v>
      </c>
      <c r="L5604" s="2"/>
      <c r="M5604" s="2"/>
      <c r="N5604" s="2"/>
      <c r="O5604" s="2"/>
      <c r="P5604" s="2"/>
      <c r="Q5604" s="2"/>
      <c r="R5604" s="2"/>
      <c r="S5604" s="2" t="s">
        <v>36581</v>
      </c>
      <c r="T5604" s="2" t="s">
        <v>36582</v>
      </c>
      <c r="U5604" s="2" t="s">
        <v>103</v>
      </c>
      <c r="V5604" s="2" t="s">
        <v>104</v>
      </c>
      <c r="W5604" s="2" t="s">
        <v>105</v>
      </c>
      <c r="X5604" s="2" t="s">
        <v>83</v>
      </c>
      <c r="Y5604" s="2">
        <v>54.9</v>
      </c>
      <c r="Z5604" s="2">
        <v>0</v>
      </c>
      <c r="AA5604" s="2" t="s">
        <v>163</v>
      </c>
      <c r="AB5604" s="2" t="s">
        <v>36583</v>
      </c>
      <c r="AC5604" s="2">
        <v>0.313250616940627</v>
      </c>
      <c r="AD5604" s="2"/>
      <c r="AE5604" s="2">
        <v>2.09104337132382E-2</v>
      </c>
      <c r="AF5604" s="2">
        <v>805.42911973017203</v>
      </c>
      <c r="AG5604" s="2">
        <v>945.20233805826695</v>
      </c>
      <c r="AH5604" s="4">
        <v>0.85212349493841499</v>
      </c>
      <c r="AI5604" s="4">
        <v>-0.230865565112089</v>
      </c>
      <c r="AJ5604" s="4" t="s">
        <v>62</v>
      </c>
      <c r="AK5604" s="2">
        <v>0.80259912634607899</v>
      </c>
      <c r="AL5604" s="2">
        <v>0.91127003501944404</v>
      </c>
      <c r="AM5604" s="2">
        <v>1402.9722084673899</v>
      </c>
      <c r="AN5604" s="2">
        <v>174.15392978703699</v>
      </c>
      <c r="AO5604" s="2">
        <v>729.79291763232504</v>
      </c>
      <c r="AP5604" s="2">
        <v>119.377510859723</v>
      </c>
      <c r="AQ5604" s="2">
        <v>1409.6508438256501</v>
      </c>
      <c r="AR5604" s="2">
        <v>996.62730780890502</v>
      </c>
      <c r="AS5604" s="2">
        <v>396.95574250963801</v>
      </c>
      <c r="AT5604" s="2">
        <v>734.09316265605196</v>
      </c>
      <c r="AU5604" s="2">
        <v>1019.69145851938</v>
      </c>
      <c r="AV5604" s="2">
        <v>3291.0449620541699</v>
      </c>
      <c r="AW5604" s="2">
        <v>229.42869405048501</v>
      </c>
      <c r="AX5604" s="2">
        <v>8.559877937157E-6</v>
      </c>
    </row>
    <row r="5605" spans="1:50" x14ac:dyDescent="0.25">
      <c r="A5605" s="2" t="s">
        <v>36584</v>
      </c>
      <c r="B5605" s="2">
        <v>438.29982267990403</v>
      </c>
      <c r="C5605" s="2">
        <v>10.840299999999999</v>
      </c>
      <c r="D5605" s="2" t="s">
        <v>51</v>
      </c>
      <c r="E5605" s="2" t="s">
        <v>36585</v>
      </c>
      <c r="F5605" s="2">
        <v>21237</v>
      </c>
      <c r="G5605" s="3" t="str">
        <f>HYPERLINK("https://cloud.oebiotech.com/#/lm/network/21237", "https://cloud.oebiotech.com/#/lm/network/21237")</f>
        <v>https://cloud.oebiotech.com/#/lm/network/21237</v>
      </c>
      <c r="H5605" s="2"/>
      <c r="I5605" s="2">
        <v>46716</v>
      </c>
      <c r="J5605" s="2" t="s">
        <v>36586</v>
      </c>
      <c r="K5605" s="2">
        <v>42607466</v>
      </c>
      <c r="L5605" s="2"/>
      <c r="M5605" s="2"/>
      <c r="N5605" s="2"/>
      <c r="O5605" s="2">
        <v>78390</v>
      </c>
      <c r="P5605" s="2"/>
      <c r="Q5605" s="2"/>
      <c r="R5605" s="2"/>
      <c r="S5605" s="2" t="s">
        <v>36587</v>
      </c>
      <c r="T5605" s="2" t="s">
        <v>36588</v>
      </c>
      <c r="U5605" s="2" t="s">
        <v>56</v>
      </c>
      <c r="V5605" s="2" t="s">
        <v>57</v>
      </c>
      <c r="W5605" s="2" t="s">
        <v>155</v>
      </c>
      <c r="X5605" s="2" t="s">
        <v>83</v>
      </c>
      <c r="Y5605" s="2">
        <v>48.4</v>
      </c>
      <c r="Z5605" s="2">
        <v>22.4</v>
      </c>
      <c r="AA5605" s="2" t="s">
        <v>163</v>
      </c>
      <c r="AB5605" s="2" t="s">
        <v>36589</v>
      </c>
      <c r="AC5605" s="2">
        <v>1.8763322326096701</v>
      </c>
      <c r="AD5605" s="2"/>
      <c r="AE5605" s="2">
        <v>2.0827301813498601E-2</v>
      </c>
      <c r="AF5605" s="2">
        <v>117040.885802957</v>
      </c>
      <c r="AG5605" s="2">
        <v>125778.821797351</v>
      </c>
      <c r="AH5605" s="4">
        <v>0.93052935407145698</v>
      </c>
      <c r="AI5605" s="4">
        <v>-0.103876433259193</v>
      </c>
      <c r="AJ5605" s="4" t="s">
        <v>62</v>
      </c>
      <c r="AK5605" s="2">
        <v>0.86044969864634502</v>
      </c>
      <c r="AL5605" s="2">
        <v>0.93957878625406399</v>
      </c>
      <c r="AM5605" s="2">
        <v>272424.133060825</v>
      </c>
      <c r="AN5605" s="2">
        <v>74446.368914382198</v>
      </c>
      <c r="AO5605" s="2">
        <v>60126.747967470401</v>
      </c>
      <c r="AP5605" s="2">
        <v>57181.026975151901</v>
      </c>
      <c r="AQ5605" s="2">
        <v>38631.184674594297</v>
      </c>
      <c r="AR5605" s="2">
        <v>199435.85322532101</v>
      </c>
      <c r="AS5605" s="2">
        <v>74924.849492943104</v>
      </c>
      <c r="AT5605" s="2">
        <v>44694.874459846098</v>
      </c>
      <c r="AU5605" s="2">
        <v>188476.54127769699</v>
      </c>
      <c r="AV5605" s="2">
        <v>229326.17491887399</v>
      </c>
      <c r="AW5605" s="2">
        <v>120256.12676539901</v>
      </c>
      <c r="AX5605" s="2">
        <v>96994.363869343899</v>
      </c>
    </row>
    <row r="5606" spans="1:50" x14ac:dyDescent="0.25">
      <c r="A5606" s="2" t="s">
        <v>36590</v>
      </c>
      <c r="B5606" s="2">
        <v>343.16284893225901</v>
      </c>
      <c r="C5606" s="2">
        <v>0.99048333333333305</v>
      </c>
      <c r="D5606" s="2" t="s">
        <v>51</v>
      </c>
      <c r="E5606" s="2" t="s">
        <v>36591</v>
      </c>
      <c r="F5606" s="2">
        <v>264051</v>
      </c>
      <c r="G5606" s="3" t="str">
        <f>HYPERLINK("https://cloud.oebiotech.com/#/lm/network/264051", "https://cloud.oebiotech.com/#/lm/network/264051")</f>
        <v>https://cloud.oebiotech.com/#/lm/network/264051</v>
      </c>
      <c r="H5606" s="2"/>
      <c r="I5606" s="2">
        <v>21490</v>
      </c>
      <c r="J5606" s="2"/>
      <c r="K5606" s="2">
        <v>145458866</v>
      </c>
      <c r="L5606" s="2"/>
      <c r="M5606" s="2"/>
      <c r="N5606" s="2"/>
      <c r="O5606" s="2"/>
      <c r="P5606" s="2"/>
      <c r="Q5606" s="2"/>
      <c r="R5606" s="2"/>
      <c r="S5606" s="2" t="s">
        <v>36592</v>
      </c>
      <c r="T5606" s="2" t="s">
        <v>36593</v>
      </c>
      <c r="U5606" s="2" t="s">
        <v>103</v>
      </c>
      <c r="V5606" s="2" t="s">
        <v>104</v>
      </c>
      <c r="W5606" s="2" t="s">
        <v>105</v>
      </c>
      <c r="X5606" s="2" t="s">
        <v>83</v>
      </c>
      <c r="Y5606" s="2">
        <v>38.799999999999997</v>
      </c>
      <c r="Z5606" s="2">
        <v>0</v>
      </c>
      <c r="AA5606" s="2" t="s">
        <v>156</v>
      </c>
      <c r="AB5606" s="2" t="s">
        <v>36594</v>
      </c>
      <c r="AC5606" s="2">
        <v>4.54807862281623</v>
      </c>
      <c r="AD5606" s="2"/>
      <c r="AE5606" s="2">
        <v>2.0821478576542801E-2</v>
      </c>
      <c r="AF5606" s="2">
        <v>945.59148459388803</v>
      </c>
      <c r="AG5606" s="2">
        <v>957.62221061835601</v>
      </c>
      <c r="AH5606" s="4">
        <v>0.98743687657714296</v>
      </c>
      <c r="AI5606" s="4">
        <v>-1.8239570264572499E-2</v>
      </c>
      <c r="AJ5606" s="4" t="s">
        <v>62</v>
      </c>
      <c r="AK5606" s="2">
        <v>0.98955974663514801</v>
      </c>
      <c r="AL5606" s="2">
        <v>0.99545530263140103</v>
      </c>
      <c r="AM5606" s="2">
        <v>1013.94216819288</v>
      </c>
      <c r="AN5606" s="2">
        <v>350.14222112323199</v>
      </c>
      <c r="AO5606" s="2">
        <v>449.91832862547301</v>
      </c>
      <c r="AP5606" s="2">
        <v>140.45174929121899</v>
      </c>
      <c r="AQ5606" s="2">
        <v>3130.8422422337899</v>
      </c>
      <c r="AR5606" s="2">
        <v>588.25219809673297</v>
      </c>
      <c r="AS5606" s="2">
        <v>45.085351191248797</v>
      </c>
      <c r="AT5606" s="2">
        <v>118.719859655044</v>
      </c>
      <c r="AU5606" s="2">
        <v>81.045507096152704</v>
      </c>
      <c r="AV5606" s="2">
        <v>4817.7883260876697</v>
      </c>
      <c r="AW5606" s="2">
        <v>382.18450286407301</v>
      </c>
      <c r="AX5606" s="2">
        <v>300.90971681594499</v>
      </c>
    </row>
    <row r="5607" spans="1:50" x14ac:dyDescent="0.25">
      <c r="A5607" s="2" t="s">
        <v>36595</v>
      </c>
      <c r="B5607" s="2">
        <v>687.50601977265001</v>
      </c>
      <c r="C5607" s="2">
        <v>14.1947333333333</v>
      </c>
      <c r="D5607" s="2" t="s">
        <v>51</v>
      </c>
      <c r="E5607" s="2" t="s">
        <v>36596</v>
      </c>
      <c r="F5607" s="2">
        <v>206520</v>
      </c>
      <c r="G5607" s="3" t="str">
        <f>HYPERLINK("https://cloud.oebiotech.com/#/lm/network/206520", "https://cloud.oebiotech.com/#/lm/network/206520")</f>
        <v>https://cloud.oebiotech.com/#/lm/network/206520</v>
      </c>
      <c r="H5607" s="2" t="s">
        <v>36597</v>
      </c>
      <c r="I5607" s="2"/>
      <c r="J5607" s="2"/>
      <c r="K5607" s="2"/>
      <c r="L5607" s="2"/>
      <c r="M5607" s="2"/>
      <c r="N5607" s="2"/>
      <c r="O5607" s="2">
        <v>149601</v>
      </c>
      <c r="P5607" s="2"/>
      <c r="Q5607" s="2"/>
      <c r="R5607" s="2"/>
      <c r="S5607" s="2" t="s">
        <v>36598</v>
      </c>
      <c r="T5607" s="2" t="s">
        <v>36599</v>
      </c>
      <c r="U5607" s="2" t="s">
        <v>56</v>
      </c>
      <c r="V5607" s="2" t="s">
        <v>145</v>
      </c>
      <c r="W5607" s="2" t="s">
        <v>231</v>
      </c>
      <c r="X5607" s="2" t="s">
        <v>147</v>
      </c>
      <c r="Y5607" s="2">
        <v>41.5</v>
      </c>
      <c r="Z5607" s="2">
        <v>17.2</v>
      </c>
      <c r="AA5607" s="2" t="s">
        <v>478</v>
      </c>
      <c r="AB5607" s="2" t="s">
        <v>36600</v>
      </c>
      <c r="AC5607" s="2">
        <v>1.0859642455163201</v>
      </c>
      <c r="AD5607" s="2"/>
      <c r="AE5607" s="2">
        <v>2.0755777354106299E-2</v>
      </c>
      <c r="AF5607" s="2">
        <v>5965.9658581601398</v>
      </c>
      <c r="AG5607" s="2">
        <v>8168.0738855568397</v>
      </c>
      <c r="AH5607" s="4">
        <v>0.73040057444992401</v>
      </c>
      <c r="AI5607" s="4">
        <v>-0.45324019490513501</v>
      </c>
      <c r="AJ5607" s="4" t="s">
        <v>62</v>
      </c>
      <c r="AK5607" s="2">
        <v>0.72147009772878301</v>
      </c>
      <c r="AL5607" s="2">
        <v>0.87113430593434704</v>
      </c>
      <c r="AM5607" s="2">
        <v>22975.454294237799</v>
      </c>
      <c r="AN5607" s="2">
        <v>6549.9552590122403</v>
      </c>
      <c r="AO5607" s="2">
        <v>1031.45435715037</v>
      </c>
      <c r="AP5607" s="2">
        <v>2659.58189670401</v>
      </c>
      <c r="AQ5607" s="2">
        <v>720.70428268915805</v>
      </c>
      <c r="AR5607" s="2">
        <v>1858.6450591672599</v>
      </c>
      <c r="AS5607" s="2">
        <v>8.559877937157E-6</v>
      </c>
      <c r="AT5607" s="2">
        <v>1426.0461363289201</v>
      </c>
      <c r="AU5607" s="2">
        <v>32043.0421219239</v>
      </c>
      <c r="AV5607" s="2">
        <v>4166.0601899180201</v>
      </c>
      <c r="AW5607" s="2">
        <v>6667.3193746256902</v>
      </c>
      <c r="AX5607" s="2">
        <v>4705.9754819846103</v>
      </c>
    </row>
    <row r="5608" spans="1:50" x14ac:dyDescent="0.25">
      <c r="A5608" s="2" t="s">
        <v>36601</v>
      </c>
      <c r="B5608" s="2">
        <v>269.076030378491</v>
      </c>
      <c r="C5608" s="2">
        <v>1.2111499999999999</v>
      </c>
      <c r="D5608" s="2" t="s">
        <v>51</v>
      </c>
      <c r="E5608" s="2" t="s">
        <v>36602</v>
      </c>
      <c r="F5608" s="2">
        <v>47063</v>
      </c>
      <c r="G5608" s="3" t="str">
        <f>HYPERLINK("https://cloud.oebiotech.com/#/lm/network/47063", "https://cloud.oebiotech.com/#/lm/network/47063")</f>
        <v>https://cloud.oebiotech.com/#/lm/network/47063</v>
      </c>
      <c r="H5608" s="2" t="s">
        <v>36603</v>
      </c>
      <c r="I5608" s="2">
        <v>5483</v>
      </c>
      <c r="J5608" s="2"/>
      <c r="K5608" s="2">
        <v>94312</v>
      </c>
      <c r="L5608" s="2"/>
      <c r="M5608" s="2"/>
      <c r="N5608" s="2"/>
      <c r="O5608" s="2">
        <v>23774</v>
      </c>
      <c r="P5608" s="2"/>
      <c r="Q5608" s="2"/>
      <c r="R5608" s="2" t="s">
        <v>36604</v>
      </c>
      <c r="S5608" s="2" t="s">
        <v>36605</v>
      </c>
      <c r="T5608" s="2" t="s">
        <v>36606</v>
      </c>
      <c r="U5608" s="2" t="s">
        <v>331</v>
      </c>
      <c r="V5608" s="2" t="s">
        <v>332</v>
      </c>
      <c r="W5608" s="2" t="s">
        <v>333</v>
      </c>
      <c r="X5608" s="2" t="s">
        <v>83</v>
      </c>
      <c r="Y5608" s="2">
        <v>36.9</v>
      </c>
      <c r="Z5608" s="2">
        <v>0</v>
      </c>
      <c r="AA5608" s="2" t="s">
        <v>95</v>
      </c>
      <c r="AB5608" s="2" t="s">
        <v>36607</v>
      </c>
      <c r="AC5608" s="2">
        <v>6.5974005856546603</v>
      </c>
      <c r="AD5608" s="2"/>
      <c r="AE5608" s="2">
        <v>2.0537741338089201E-2</v>
      </c>
      <c r="AF5608" s="2">
        <v>2127.3512903312198</v>
      </c>
      <c r="AG5608" s="2">
        <v>2069.07622078243</v>
      </c>
      <c r="AH5608" s="5">
        <v>1.0281647766106701</v>
      </c>
      <c r="AI5608" s="5">
        <v>4.0071493470524203E-2</v>
      </c>
      <c r="AJ5608" s="5" t="s">
        <v>139</v>
      </c>
      <c r="AK5608" s="2">
        <v>0.97280265847106995</v>
      </c>
      <c r="AL5608" s="2">
        <v>0.98929931198059995</v>
      </c>
      <c r="AM5608" s="2">
        <v>8.559877937157E-6</v>
      </c>
      <c r="AN5608" s="2">
        <v>652.71360699345996</v>
      </c>
      <c r="AO5608" s="2">
        <v>8843.7411555872095</v>
      </c>
      <c r="AP5608" s="2">
        <v>931.78622034605996</v>
      </c>
      <c r="AQ5608" s="2">
        <v>1778.2915762146599</v>
      </c>
      <c r="AR5608" s="2">
        <v>557.57517428603398</v>
      </c>
      <c r="AS5608" s="2">
        <v>183.049284017117</v>
      </c>
      <c r="AT5608" s="2">
        <v>8.559877937157E-6</v>
      </c>
      <c r="AU5608" s="2">
        <v>8.559877937157E-6</v>
      </c>
      <c r="AV5608" s="2">
        <v>5328.5058595084001</v>
      </c>
      <c r="AW5608" s="2">
        <v>4153.3640512022603</v>
      </c>
      <c r="AX5608" s="2">
        <v>2749.5381128470399</v>
      </c>
    </row>
    <row r="5609" spans="1:50" x14ac:dyDescent="0.25">
      <c r="A5609" s="2" t="s">
        <v>36608</v>
      </c>
      <c r="B5609" s="2">
        <v>417.33767488033601</v>
      </c>
      <c r="C5609" s="2">
        <v>14.2561</v>
      </c>
      <c r="D5609" s="2" t="s">
        <v>51</v>
      </c>
      <c r="E5609" s="2" t="s">
        <v>36609</v>
      </c>
      <c r="F5609" s="2">
        <v>202510</v>
      </c>
      <c r="G5609" s="3" t="str">
        <f>HYPERLINK("https://cloud.oebiotech.com/#/lm/network/202510", "https://cloud.oebiotech.com/#/lm/network/202510")</f>
        <v>https://cloud.oebiotech.com/#/lm/network/202510</v>
      </c>
      <c r="H5609" s="2" t="s">
        <v>36610</v>
      </c>
      <c r="I5609" s="2"/>
      <c r="J5609" s="2"/>
      <c r="K5609" s="2"/>
      <c r="L5609" s="2"/>
      <c r="M5609" s="2"/>
      <c r="N5609" s="2"/>
      <c r="O5609" s="2"/>
      <c r="P5609" s="2"/>
      <c r="Q5609" s="2"/>
      <c r="R5609" s="2"/>
      <c r="S5609" s="2" t="s">
        <v>36611</v>
      </c>
      <c r="T5609" s="2" t="s">
        <v>36612</v>
      </c>
      <c r="U5609" s="2" t="s">
        <v>56</v>
      </c>
      <c r="V5609" s="2" t="s">
        <v>283</v>
      </c>
      <c r="W5609" s="2" t="s">
        <v>1108</v>
      </c>
      <c r="X5609" s="2" t="s">
        <v>83</v>
      </c>
      <c r="Y5609" s="2">
        <v>42.2</v>
      </c>
      <c r="Z5609" s="2">
        <v>0</v>
      </c>
      <c r="AA5609" s="2" t="s">
        <v>163</v>
      </c>
      <c r="AB5609" s="2" t="s">
        <v>9651</v>
      </c>
      <c r="AC5609" s="2">
        <v>0.61188402584343404</v>
      </c>
      <c r="AD5609" s="2"/>
      <c r="AE5609" s="2">
        <v>2.0512106932529101E-2</v>
      </c>
      <c r="AF5609" s="2">
        <v>246.399521424661</v>
      </c>
      <c r="AG5609" s="2">
        <v>222.004099633941</v>
      </c>
      <c r="AH5609" s="5">
        <v>1.1098872580774199</v>
      </c>
      <c r="AI5609" s="5">
        <v>0.15041313560835401</v>
      </c>
      <c r="AJ5609" s="5" t="s">
        <v>139</v>
      </c>
      <c r="AK5609" s="2">
        <v>0.84246733359404802</v>
      </c>
      <c r="AL5609" s="2">
        <v>0.93010017496442798</v>
      </c>
      <c r="AM5609" s="2">
        <v>146.254319919409</v>
      </c>
      <c r="AN5609" s="2">
        <v>634.19159847163098</v>
      </c>
      <c r="AO5609" s="2">
        <v>343.03730609252699</v>
      </c>
      <c r="AP5609" s="2">
        <v>354.91388694464501</v>
      </c>
      <c r="AQ5609" s="2">
        <v>8.559877937157E-6</v>
      </c>
      <c r="AR5609" s="2">
        <v>8.559877937157E-6</v>
      </c>
      <c r="AS5609" s="2">
        <v>8.559877937157E-6</v>
      </c>
      <c r="AT5609" s="2">
        <v>484.27987184378497</v>
      </c>
      <c r="AU5609" s="2">
        <v>240.718223055582</v>
      </c>
      <c r="AV5609" s="2">
        <v>267.42823975816702</v>
      </c>
      <c r="AW5609" s="2">
        <v>181.02336685128299</v>
      </c>
      <c r="AX5609" s="2">
        <v>158.57488773495101</v>
      </c>
    </row>
    <row r="5610" spans="1:50" x14ac:dyDescent="0.25">
      <c r="A5610" s="2" t="s">
        <v>36613</v>
      </c>
      <c r="B5610" s="2">
        <v>346.19859973454402</v>
      </c>
      <c r="C5610" s="2">
        <v>3.5042</v>
      </c>
      <c r="D5610" s="2" t="s">
        <v>51</v>
      </c>
      <c r="E5610" s="2" t="s">
        <v>36614</v>
      </c>
      <c r="F5610" s="2">
        <v>265428</v>
      </c>
      <c r="G5610" s="3" t="str">
        <f>HYPERLINK("https://cloud.oebiotech.com/#/lm/network/265428", "https://cloud.oebiotech.com/#/lm/network/265428")</f>
        <v>https://cloud.oebiotech.com/#/lm/network/265428</v>
      </c>
      <c r="H5610" s="2"/>
      <c r="I5610" s="2">
        <v>22920</v>
      </c>
      <c r="J5610" s="2"/>
      <c r="K5610" s="2">
        <v>145458947</v>
      </c>
      <c r="L5610" s="2"/>
      <c r="M5610" s="2"/>
      <c r="N5610" s="2"/>
      <c r="O5610" s="2"/>
      <c r="P5610" s="2"/>
      <c r="Q5610" s="2"/>
      <c r="R5610" s="2"/>
      <c r="S5610" s="2" t="s">
        <v>36615</v>
      </c>
      <c r="T5610" s="2" t="s">
        <v>36616</v>
      </c>
      <c r="U5610" s="2" t="s">
        <v>103</v>
      </c>
      <c r="V5610" s="2" t="s">
        <v>104</v>
      </c>
      <c r="W5610" s="2" t="s">
        <v>105</v>
      </c>
      <c r="X5610" s="2" t="s">
        <v>83</v>
      </c>
      <c r="Y5610" s="2">
        <v>41.4</v>
      </c>
      <c r="Z5610" s="2">
        <v>0</v>
      </c>
      <c r="AA5610" s="2" t="s">
        <v>259</v>
      </c>
      <c r="AB5610" s="2" t="s">
        <v>24630</v>
      </c>
      <c r="AC5610" s="2">
        <v>3.8752714427251198</v>
      </c>
      <c r="AD5610" s="2"/>
      <c r="AE5610" s="2">
        <v>2.0489895870307799E-2</v>
      </c>
      <c r="AF5610" s="2">
        <v>542.86047423461798</v>
      </c>
      <c r="AG5610" s="2">
        <v>787.04596806794802</v>
      </c>
      <c r="AH5610" s="4">
        <v>0.68974430498289696</v>
      </c>
      <c r="AI5610" s="4">
        <v>-0.53586645517086895</v>
      </c>
      <c r="AJ5610" s="4" t="s">
        <v>62</v>
      </c>
      <c r="AK5610" s="2">
        <v>0.76150120134131105</v>
      </c>
      <c r="AL5610" s="2">
        <v>0.89152062866139503</v>
      </c>
      <c r="AM5610" s="2">
        <v>436.00369461977999</v>
      </c>
      <c r="AN5610" s="2">
        <v>8.559877937157E-6</v>
      </c>
      <c r="AO5610" s="2">
        <v>8.559877937157E-6</v>
      </c>
      <c r="AP5610" s="2">
        <v>762.00032150064101</v>
      </c>
      <c r="AQ5610" s="2">
        <v>1630.19835017323</v>
      </c>
      <c r="AR5610" s="2">
        <v>428.960461994301</v>
      </c>
      <c r="AS5610" s="2">
        <v>207.13955525746499</v>
      </c>
      <c r="AT5610" s="2">
        <v>8.559877937157E-6</v>
      </c>
      <c r="AU5610" s="2">
        <v>4495.96273095581</v>
      </c>
      <c r="AV5610" s="2">
        <v>8.559877937157E-6</v>
      </c>
      <c r="AW5610" s="2">
        <v>8.559877937157E-6</v>
      </c>
      <c r="AX5610" s="2">
        <v>19.173496514781402</v>
      </c>
    </row>
    <row r="5611" spans="1:50" x14ac:dyDescent="0.25">
      <c r="A5611" s="2" t="s">
        <v>36617</v>
      </c>
      <c r="B5611" s="2">
        <v>449.29445021548798</v>
      </c>
      <c r="C5611" s="2">
        <v>14.822050000000001</v>
      </c>
      <c r="D5611" s="2" t="s">
        <v>51</v>
      </c>
      <c r="E5611" s="2" t="s">
        <v>36618</v>
      </c>
      <c r="F5611" s="2">
        <v>209667</v>
      </c>
      <c r="G5611" s="3" t="str">
        <f>HYPERLINK("https://cloud.oebiotech.com/#/lm/network/209667", "https://cloud.oebiotech.com/#/lm/network/209667")</f>
        <v>https://cloud.oebiotech.com/#/lm/network/209667</v>
      </c>
      <c r="H5611" s="2" t="s">
        <v>36619</v>
      </c>
      <c r="I5611" s="2"/>
      <c r="J5611" s="2"/>
      <c r="K5611" s="2">
        <v>102554</v>
      </c>
      <c r="L5611" s="2"/>
      <c r="M5611" s="2"/>
      <c r="N5611" s="2"/>
      <c r="O5611" s="2"/>
      <c r="P5611" s="2"/>
      <c r="Q5611" s="2"/>
      <c r="R5611" s="2"/>
      <c r="S5611" s="2" t="s">
        <v>36620</v>
      </c>
      <c r="T5611" s="2" t="s">
        <v>36621</v>
      </c>
      <c r="U5611" s="2" t="s">
        <v>610</v>
      </c>
      <c r="V5611" s="2" t="s">
        <v>611</v>
      </c>
      <c r="W5611" s="2" t="s">
        <v>11083</v>
      </c>
      <c r="X5611" s="2" t="s">
        <v>147</v>
      </c>
      <c r="Y5611" s="2">
        <v>37.200000000000003</v>
      </c>
      <c r="Z5611" s="2">
        <v>0</v>
      </c>
      <c r="AA5611" s="2" t="s">
        <v>478</v>
      </c>
      <c r="AB5611" s="2" t="s">
        <v>36622</v>
      </c>
      <c r="AC5611" s="2">
        <v>-3.9364134964084099</v>
      </c>
      <c r="AD5611" s="2"/>
      <c r="AE5611" s="2">
        <v>2.0481023372706599E-2</v>
      </c>
      <c r="AF5611" s="2">
        <v>2966.5910855212001</v>
      </c>
      <c r="AG5611" s="2">
        <v>3097.17413873962</v>
      </c>
      <c r="AH5611" s="4">
        <v>0.95783800091022298</v>
      </c>
      <c r="AI5611" s="4">
        <v>-6.2146421229103098E-2</v>
      </c>
      <c r="AJ5611" s="4" t="s">
        <v>62</v>
      </c>
      <c r="AK5611" s="2">
        <v>0.71699148826102699</v>
      </c>
      <c r="AL5611" s="2">
        <v>0.86731427583653498</v>
      </c>
      <c r="AM5611" s="2">
        <v>2630.22882156593</v>
      </c>
      <c r="AN5611" s="2">
        <v>2557.0384900106901</v>
      </c>
      <c r="AO5611" s="2">
        <v>2984.7429321250102</v>
      </c>
      <c r="AP5611" s="2">
        <v>3029.06458634911</v>
      </c>
      <c r="AQ5611" s="2">
        <v>3577.9425730738099</v>
      </c>
      <c r="AR5611" s="2">
        <v>3020.5291100026502</v>
      </c>
      <c r="AS5611" s="2">
        <v>3396.3704761548802</v>
      </c>
      <c r="AT5611" s="2">
        <v>4531.5107362634799</v>
      </c>
      <c r="AU5611" s="2">
        <v>2939.7420995704902</v>
      </c>
      <c r="AV5611" s="2">
        <v>2471.6517124699699</v>
      </c>
      <c r="AW5611" s="2">
        <v>2653.4060195075199</v>
      </c>
      <c r="AX5611" s="2">
        <v>2590.3637884713798</v>
      </c>
    </row>
    <row r="5612" spans="1:50" x14ac:dyDescent="0.25">
      <c r="A5612" s="2" t="s">
        <v>36623</v>
      </c>
      <c r="B5612" s="2">
        <v>414.33787244450002</v>
      </c>
      <c r="C5612" s="2">
        <v>6.2920666666666696</v>
      </c>
      <c r="D5612" s="2" t="s">
        <v>51</v>
      </c>
      <c r="E5612" s="2" t="s">
        <v>36624</v>
      </c>
      <c r="F5612" s="2">
        <v>44784</v>
      </c>
      <c r="G5612" s="3" t="str">
        <f>HYPERLINK("https://cloud.oebiotech.com/#/lm/network/44784", "https://cloud.oebiotech.com/#/lm/network/44784")</f>
        <v>https://cloud.oebiotech.com/#/lm/network/44784</v>
      </c>
      <c r="H5612" s="2"/>
      <c r="I5612" s="2">
        <v>41810</v>
      </c>
      <c r="J5612" s="2" t="s">
        <v>36625</v>
      </c>
      <c r="K5612" s="2">
        <v>185580</v>
      </c>
      <c r="L5612" s="2"/>
      <c r="M5612" s="2"/>
      <c r="N5612" s="2"/>
      <c r="O5612" s="2"/>
      <c r="P5612" s="2"/>
      <c r="Q5612" s="2"/>
      <c r="R5612" s="2"/>
      <c r="S5612" s="2" t="s">
        <v>36626</v>
      </c>
      <c r="T5612" s="2" t="s">
        <v>36627</v>
      </c>
      <c r="U5612" s="2" t="s">
        <v>56</v>
      </c>
      <c r="V5612" s="2" t="s">
        <v>283</v>
      </c>
      <c r="W5612" s="2" t="s">
        <v>5249</v>
      </c>
      <c r="X5612" s="2" t="s">
        <v>83</v>
      </c>
      <c r="Y5612" s="2">
        <v>40.799999999999997</v>
      </c>
      <c r="Z5612" s="2">
        <v>0</v>
      </c>
      <c r="AA5612" s="2" t="s">
        <v>259</v>
      </c>
      <c r="AB5612" s="2" t="s">
        <v>36628</v>
      </c>
      <c r="AC5612" s="2">
        <v>2.9429061426535799</v>
      </c>
      <c r="AD5612" s="2"/>
      <c r="AE5612" s="2">
        <v>2.04359598412234E-2</v>
      </c>
      <c r="AF5612" s="2">
        <v>676.57413227792495</v>
      </c>
      <c r="AG5612" s="2">
        <v>689.11676511806002</v>
      </c>
      <c r="AH5612" s="4">
        <v>0.98179897301150998</v>
      </c>
      <c r="AI5612" s="4">
        <v>-2.65004372809532E-2</v>
      </c>
      <c r="AJ5612" s="4" t="s">
        <v>62</v>
      </c>
      <c r="AK5612" s="2">
        <v>0.98712745867025298</v>
      </c>
      <c r="AL5612" s="2">
        <v>0.99500436708409101</v>
      </c>
      <c r="AM5612" s="2">
        <v>8.559877937157E-6</v>
      </c>
      <c r="AN5612" s="2">
        <v>1212.8700722896299</v>
      </c>
      <c r="AO5612" s="2">
        <v>8.559877937157E-6</v>
      </c>
      <c r="AP5612" s="2">
        <v>8.559877937157E-6</v>
      </c>
      <c r="AQ5612" s="2">
        <v>2846.5746871384099</v>
      </c>
      <c r="AR5612" s="2">
        <v>8.559877937157E-6</v>
      </c>
      <c r="AS5612" s="2">
        <v>3623.9081027909401</v>
      </c>
      <c r="AT5612" s="2">
        <v>199.890574914669</v>
      </c>
      <c r="AU5612" s="2">
        <v>8.559877937157E-6</v>
      </c>
      <c r="AV5612" s="2">
        <v>8.559877937157E-6</v>
      </c>
      <c r="AW5612" s="2">
        <v>310.90188732311799</v>
      </c>
      <c r="AX5612" s="2">
        <v>8.559877937157E-6</v>
      </c>
    </row>
    <row r="5613" spans="1:50" x14ac:dyDescent="0.25">
      <c r="A5613" s="2" t="s">
        <v>36629</v>
      </c>
      <c r="B5613" s="2">
        <v>265.11938603671001</v>
      </c>
      <c r="C5613" s="2">
        <v>3.64218333333333</v>
      </c>
      <c r="D5613" s="2" t="s">
        <v>51</v>
      </c>
      <c r="E5613" s="2" t="s">
        <v>36630</v>
      </c>
      <c r="F5613" s="2">
        <v>206348</v>
      </c>
      <c r="G5613" s="3" t="str">
        <f>HYPERLINK("https://cloud.oebiotech.com/#/lm/network/206348", "https://cloud.oebiotech.com/#/lm/network/206348")</f>
        <v>https://cloud.oebiotech.com/#/lm/network/206348</v>
      </c>
      <c r="H5613" s="2" t="s">
        <v>36631</v>
      </c>
      <c r="I5613" s="2">
        <v>320966</v>
      </c>
      <c r="J5613" s="2"/>
      <c r="K5613" s="2">
        <v>65853</v>
      </c>
      <c r="L5613" s="2"/>
      <c r="M5613" s="2"/>
      <c r="N5613" s="2"/>
      <c r="O5613" s="2"/>
      <c r="P5613" s="2"/>
      <c r="Q5613" s="2"/>
      <c r="R5613" s="2"/>
      <c r="S5613" s="2" t="s">
        <v>36632</v>
      </c>
      <c r="T5613" s="2" t="s">
        <v>36633</v>
      </c>
      <c r="U5613" s="2" t="s">
        <v>266</v>
      </c>
      <c r="V5613" s="2" t="s">
        <v>2781</v>
      </c>
      <c r="W5613" s="2" t="s">
        <v>2782</v>
      </c>
      <c r="X5613" s="2" t="s">
        <v>147</v>
      </c>
      <c r="Y5613" s="2">
        <v>46.2</v>
      </c>
      <c r="Z5613" s="2">
        <v>34.1</v>
      </c>
      <c r="AA5613" s="2" t="s">
        <v>218</v>
      </c>
      <c r="AB5613" s="2" t="s">
        <v>36634</v>
      </c>
      <c r="AC5613" s="2">
        <v>2.4554068247315899E-2</v>
      </c>
      <c r="AD5613" s="2"/>
      <c r="AE5613" s="2">
        <v>2.03923800162314E-2</v>
      </c>
      <c r="AF5613" s="2">
        <v>17312.2013584462</v>
      </c>
      <c r="AG5613" s="2">
        <v>18054.168574469099</v>
      </c>
      <c r="AH5613" s="4">
        <v>0.95890327416837595</v>
      </c>
      <c r="AI5613" s="4">
        <v>-6.0542798846731E-2</v>
      </c>
      <c r="AJ5613" s="4" t="s">
        <v>62</v>
      </c>
      <c r="AK5613" s="2">
        <v>0.91021883437273399</v>
      </c>
      <c r="AL5613" s="2">
        <v>0.96265157017390501</v>
      </c>
      <c r="AM5613" s="2">
        <v>9302.4512762660797</v>
      </c>
      <c r="AN5613" s="2">
        <v>15866.573945890101</v>
      </c>
      <c r="AO5613" s="2">
        <v>23407.301578879698</v>
      </c>
      <c r="AP5613" s="2">
        <v>13357.802393506699</v>
      </c>
      <c r="AQ5613" s="2">
        <v>19450.458875186599</v>
      </c>
      <c r="AR5613" s="2">
        <v>22488.620080948</v>
      </c>
      <c r="AS5613" s="2">
        <v>8551.1460109387008</v>
      </c>
      <c r="AT5613" s="2">
        <v>23135.452998046399</v>
      </c>
      <c r="AU5613" s="2">
        <v>35100.216557615997</v>
      </c>
      <c r="AV5613" s="2">
        <v>4656.4137062793598</v>
      </c>
      <c r="AW5613" s="2">
        <v>2662.7521135597899</v>
      </c>
      <c r="AX5613" s="2">
        <v>34219.0300603742</v>
      </c>
    </row>
    <row r="5614" spans="1:50" x14ac:dyDescent="0.25">
      <c r="A5614" s="2" t="s">
        <v>36635</v>
      </c>
      <c r="B5614" s="2">
        <v>313.16072189089198</v>
      </c>
      <c r="C5614" s="2">
        <v>11.493266666666701</v>
      </c>
      <c r="D5614" s="2" t="s">
        <v>51</v>
      </c>
      <c r="E5614" s="2" t="s">
        <v>36636</v>
      </c>
      <c r="F5614" s="2">
        <v>205468</v>
      </c>
      <c r="G5614" s="3" t="str">
        <f>HYPERLINK("https://cloud.oebiotech.com/#/lm/network/205468", "https://cloud.oebiotech.com/#/lm/network/205468")</f>
        <v>https://cloud.oebiotech.com/#/lm/network/205468</v>
      </c>
      <c r="H5614" s="2" t="s">
        <v>36637</v>
      </c>
      <c r="I5614" s="2"/>
      <c r="J5614" s="2"/>
      <c r="K5614" s="2">
        <v>3051453</v>
      </c>
      <c r="L5614" s="2"/>
      <c r="M5614" s="2"/>
      <c r="N5614" s="2"/>
      <c r="O5614" s="2"/>
      <c r="P5614" s="2"/>
      <c r="Q5614" s="2"/>
      <c r="R5614" s="2"/>
      <c r="S5614" s="2" t="s">
        <v>36638</v>
      </c>
      <c r="T5614" s="2" t="s">
        <v>36639</v>
      </c>
      <c r="U5614" s="2" t="s">
        <v>119</v>
      </c>
      <c r="V5614" s="2" t="s">
        <v>120</v>
      </c>
      <c r="W5614" s="2" t="s">
        <v>1887</v>
      </c>
      <c r="X5614" s="2" t="s">
        <v>147</v>
      </c>
      <c r="Y5614" s="2">
        <v>37.6</v>
      </c>
      <c r="Z5614" s="2">
        <v>0</v>
      </c>
      <c r="AA5614" s="2" t="s">
        <v>122</v>
      </c>
      <c r="AB5614" s="2" t="s">
        <v>36640</v>
      </c>
      <c r="AC5614" s="2">
        <v>-1.7465797112313699</v>
      </c>
      <c r="AD5614" s="2"/>
      <c r="AE5614" s="2">
        <v>1.9954855420953099E-2</v>
      </c>
      <c r="AF5614" s="2">
        <v>7167.4557156393503</v>
      </c>
      <c r="AG5614" s="2">
        <v>7896.7550358666003</v>
      </c>
      <c r="AH5614" s="4">
        <v>0.90764569536286499</v>
      </c>
      <c r="AI5614" s="4">
        <v>-0.13979885166172301</v>
      </c>
      <c r="AJ5614" s="4" t="s">
        <v>62</v>
      </c>
      <c r="AK5614" s="2">
        <v>0.71561940265281598</v>
      </c>
      <c r="AL5614" s="2">
        <v>0.86653730237604998</v>
      </c>
      <c r="AM5614" s="2">
        <v>12131.2783351006</v>
      </c>
      <c r="AN5614" s="2">
        <v>9054.5329686995592</v>
      </c>
      <c r="AO5614" s="2">
        <v>5672.4846463926497</v>
      </c>
      <c r="AP5614" s="2">
        <v>4511.87595182718</v>
      </c>
      <c r="AQ5614" s="2">
        <v>6002.5464191512901</v>
      </c>
      <c r="AR5614" s="2">
        <v>5632.0159726647998</v>
      </c>
      <c r="AS5614" s="2">
        <v>4054.1849076411299</v>
      </c>
      <c r="AT5614" s="2">
        <v>3573.4933639349201</v>
      </c>
      <c r="AU5614" s="2">
        <v>11719.0960938137</v>
      </c>
      <c r="AV5614" s="2">
        <v>9412.8436104288994</v>
      </c>
      <c r="AW5614" s="2">
        <v>12311.357197282199</v>
      </c>
      <c r="AX5614" s="2">
        <v>6309.5550420987602</v>
      </c>
    </row>
    <row r="5615" spans="1:50" x14ac:dyDescent="0.25">
      <c r="A5615" s="2" t="s">
        <v>36641</v>
      </c>
      <c r="B5615" s="2">
        <v>357.280109618312</v>
      </c>
      <c r="C5615" s="2">
        <v>13.698116666666699</v>
      </c>
      <c r="D5615" s="2" t="s">
        <v>51</v>
      </c>
      <c r="E5615" s="2" t="s">
        <v>36642</v>
      </c>
      <c r="F5615" s="2">
        <v>1231</v>
      </c>
      <c r="G5615" s="3" t="str">
        <f>HYPERLINK("https://cloud.oebiotech.com/#/lm/network/1231", "https://cloud.oebiotech.com/#/lm/network/1231")</f>
        <v>https://cloud.oebiotech.com/#/lm/network/1231</v>
      </c>
      <c r="H5615" s="2" t="s">
        <v>36643</v>
      </c>
      <c r="I5615" s="2">
        <v>74356</v>
      </c>
      <c r="J5615" s="2" t="s">
        <v>36644</v>
      </c>
      <c r="K5615" s="2">
        <v>14505435</v>
      </c>
      <c r="L5615" s="2"/>
      <c r="M5615" s="2"/>
      <c r="N5615" s="2"/>
      <c r="O5615" s="2">
        <v>77527</v>
      </c>
      <c r="P5615" s="2"/>
      <c r="Q5615" s="2"/>
      <c r="R5615" s="2"/>
      <c r="S5615" s="2" t="s">
        <v>36645</v>
      </c>
      <c r="T5615" s="2" t="s">
        <v>36646</v>
      </c>
      <c r="U5615" s="2" t="s">
        <v>56</v>
      </c>
      <c r="V5615" s="2" t="s">
        <v>145</v>
      </c>
      <c r="W5615" s="2" t="s">
        <v>231</v>
      </c>
      <c r="X5615" s="2" t="s">
        <v>83</v>
      </c>
      <c r="Y5615" s="2">
        <v>54.6</v>
      </c>
      <c r="Z5615" s="2">
        <v>0</v>
      </c>
      <c r="AA5615" s="2" t="s">
        <v>163</v>
      </c>
      <c r="AB5615" s="2" t="s">
        <v>36647</v>
      </c>
      <c r="AC5615" s="2">
        <v>0.57382050855047295</v>
      </c>
      <c r="AD5615" s="2"/>
      <c r="AE5615" s="2">
        <v>1.9929248840437001E-2</v>
      </c>
      <c r="AF5615" s="2">
        <v>4145.73151621125</v>
      </c>
      <c r="AG5615" s="2">
        <v>4037.9791465348499</v>
      </c>
      <c r="AH5615" s="5">
        <v>1.0266847266333401</v>
      </c>
      <c r="AI5615" s="5">
        <v>3.7993228246286197E-2</v>
      </c>
      <c r="AJ5615" s="5" t="s">
        <v>139</v>
      </c>
      <c r="AK5615" s="2">
        <v>0.95262153589768395</v>
      </c>
      <c r="AL5615" s="2">
        <v>0.98062767782557803</v>
      </c>
      <c r="AM5615" s="2">
        <v>6584.06945642762</v>
      </c>
      <c r="AN5615" s="2">
        <v>1504.90482511037</v>
      </c>
      <c r="AO5615" s="2">
        <v>1486.11817321386</v>
      </c>
      <c r="AP5615" s="2">
        <v>2470.9861493119402</v>
      </c>
      <c r="AQ5615" s="2">
        <v>4878.8457611900603</v>
      </c>
      <c r="AR5615" s="2">
        <v>7949.4647320136401</v>
      </c>
      <c r="AS5615" s="2">
        <v>481.05604425650898</v>
      </c>
      <c r="AT5615" s="2">
        <v>849.81954667807702</v>
      </c>
      <c r="AU5615" s="2">
        <v>8719.1359748272807</v>
      </c>
      <c r="AV5615" s="2">
        <v>7031.05210065142</v>
      </c>
      <c r="AW5615" s="2">
        <v>4554.3700395227297</v>
      </c>
      <c r="AX5615" s="2">
        <v>2592.44117327306</v>
      </c>
    </row>
    <row r="5616" spans="1:50" x14ac:dyDescent="0.25">
      <c r="A5616" s="2" t="s">
        <v>36648</v>
      </c>
      <c r="B5616" s="2">
        <v>225.14921181190701</v>
      </c>
      <c r="C5616" s="2">
        <v>9.4023000000000003</v>
      </c>
      <c r="D5616" s="2" t="s">
        <v>51</v>
      </c>
      <c r="E5616" s="2" t="s">
        <v>36649</v>
      </c>
      <c r="F5616" s="2">
        <v>132589</v>
      </c>
      <c r="G5616" s="3" t="str">
        <f>HYPERLINK("https://cloud.oebiotech.com/#/lm/network/132589", "https://cloud.oebiotech.com/#/lm/network/132589")</f>
        <v>https://cloud.oebiotech.com/#/lm/network/132589</v>
      </c>
      <c r="H5616" s="2" t="s">
        <v>36650</v>
      </c>
      <c r="I5616" s="2"/>
      <c r="J5616" s="2"/>
      <c r="K5616" s="2">
        <v>85564647</v>
      </c>
      <c r="L5616" s="2"/>
      <c r="M5616" s="2"/>
      <c r="N5616" s="2"/>
      <c r="O5616" s="2"/>
      <c r="P5616" s="2"/>
      <c r="Q5616" s="2"/>
      <c r="R5616" s="2" t="s">
        <v>36651</v>
      </c>
      <c r="S5616" s="2" t="s">
        <v>36652</v>
      </c>
      <c r="T5616" s="2" t="s">
        <v>36653</v>
      </c>
      <c r="U5616" s="2" t="s">
        <v>56</v>
      </c>
      <c r="V5616" s="2" t="s">
        <v>145</v>
      </c>
      <c r="W5616" s="2" t="s">
        <v>231</v>
      </c>
      <c r="X5616" s="2" t="s">
        <v>83</v>
      </c>
      <c r="Y5616" s="2">
        <v>46.8</v>
      </c>
      <c r="Z5616" s="2">
        <v>0</v>
      </c>
      <c r="AA5616" s="2" t="s">
        <v>259</v>
      </c>
      <c r="AB5616" s="2" t="s">
        <v>14864</v>
      </c>
      <c r="AC5616" s="2">
        <v>3.0823413541352198</v>
      </c>
      <c r="AD5616" s="2"/>
      <c r="AE5616" s="2">
        <v>1.9923658342698599E-2</v>
      </c>
      <c r="AF5616" s="2">
        <v>3125.5321491999098</v>
      </c>
      <c r="AG5616" s="2">
        <v>3105.5123880604901</v>
      </c>
      <c r="AH5616" s="5">
        <v>1.0064465243212</v>
      </c>
      <c r="AI5616" s="5">
        <v>9.2705193569541308E-3</v>
      </c>
      <c r="AJ5616" s="5" t="s">
        <v>139</v>
      </c>
      <c r="AK5616" s="2">
        <v>0.93082521160732701</v>
      </c>
      <c r="AL5616" s="2">
        <v>0.970549575221759</v>
      </c>
      <c r="AM5616" s="2">
        <v>2914.5597519855301</v>
      </c>
      <c r="AN5616" s="2">
        <v>3226.1928416592</v>
      </c>
      <c r="AO5616" s="2">
        <v>3514.3764689124901</v>
      </c>
      <c r="AP5616" s="2">
        <v>3151.0137767525598</v>
      </c>
      <c r="AQ5616" s="2">
        <v>3285.7056638617</v>
      </c>
      <c r="AR5616" s="2">
        <v>2661.3443920280101</v>
      </c>
      <c r="AS5616" s="2">
        <v>3375.8449758975298</v>
      </c>
      <c r="AT5616" s="2">
        <v>3685.1804952776802</v>
      </c>
      <c r="AU5616" s="2">
        <v>3213.5011865725401</v>
      </c>
      <c r="AV5616" s="2">
        <v>2701.67963485154</v>
      </c>
      <c r="AW5616" s="2">
        <v>2420.7922296080401</v>
      </c>
      <c r="AX5616" s="2">
        <v>3236.0758061556298</v>
      </c>
    </row>
    <row r="5617" spans="1:50" x14ac:dyDescent="0.25">
      <c r="A5617" s="2" t="s">
        <v>36654</v>
      </c>
      <c r="B5617" s="2">
        <v>179.08214084186801</v>
      </c>
      <c r="C5617" s="2">
        <v>4.9338333333333297</v>
      </c>
      <c r="D5617" s="2" t="s">
        <v>51</v>
      </c>
      <c r="E5617" s="2" t="s">
        <v>36655</v>
      </c>
      <c r="F5617" s="2">
        <v>57120</v>
      </c>
      <c r="G5617" s="3" t="str">
        <f>HYPERLINK("https://cloud.oebiotech.com/#/lm/network/57120", "https://cloud.oebiotech.com/#/lm/network/57120")</f>
        <v>https://cloud.oebiotech.com/#/lm/network/57120</v>
      </c>
      <c r="H5617" s="2" t="s">
        <v>36656</v>
      </c>
      <c r="I5617" s="2">
        <v>88771</v>
      </c>
      <c r="J5617" s="2"/>
      <c r="K5617" s="2">
        <v>10330295</v>
      </c>
      <c r="L5617" s="2"/>
      <c r="M5617" s="2"/>
      <c r="N5617" s="2"/>
      <c r="O5617" s="2"/>
      <c r="P5617" s="2"/>
      <c r="Q5617" s="2"/>
      <c r="R5617" s="2" t="s">
        <v>36657</v>
      </c>
      <c r="S5617" s="2" t="s">
        <v>36658</v>
      </c>
      <c r="T5617" s="2" t="s">
        <v>36659</v>
      </c>
      <c r="U5617" s="2" t="s">
        <v>610</v>
      </c>
      <c r="V5617" s="2" t="s">
        <v>611</v>
      </c>
      <c r="W5617" s="2" t="s">
        <v>1122</v>
      </c>
      <c r="X5617" s="2" t="s">
        <v>147</v>
      </c>
      <c r="Y5617" s="2">
        <v>43.2</v>
      </c>
      <c r="Z5617" s="2">
        <v>30.2</v>
      </c>
      <c r="AA5617" s="2" t="s">
        <v>156</v>
      </c>
      <c r="AB5617" s="2" t="s">
        <v>36660</v>
      </c>
      <c r="AC5617" s="2">
        <v>3.2477722551521802</v>
      </c>
      <c r="AD5617" s="2"/>
      <c r="AE5617" s="2">
        <v>1.9892447488334401E-2</v>
      </c>
      <c r="AF5617" s="2">
        <v>437.40713438857603</v>
      </c>
      <c r="AG5617" s="2">
        <v>484.69936001606101</v>
      </c>
      <c r="AH5617" s="4">
        <v>0.90242977497243204</v>
      </c>
      <c r="AI5617" s="4">
        <v>-0.14811342575835901</v>
      </c>
      <c r="AJ5617" s="4" t="s">
        <v>62</v>
      </c>
      <c r="AK5617" s="2">
        <v>0.74849940425357597</v>
      </c>
      <c r="AL5617" s="2">
        <v>0.88463645213384701</v>
      </c>
      <c r="AM5617" s="2">
        <v>461.083584120024</v>
      </c>
      <c r="AN5617" s="2">
        <v>773.08239023084195</v>
      </c>
      <c r="AO5617" s="2">
        <v>287.06484327021502</v>
      </c>
      <c r="AP5617" s="2">
        <v>343.344949035311</v>
      </c>
      <c r="AQ5617" s="2">
        <v>356.97820412592398</v>
      </c>
      <c r="AR5617" s="2">
        <v>402.888835549139</v>
      </c>
      <c r="AS5617" s="2">
        <v>1054.4128104117301</v>
      </c>
      <c r="AT5617" s="2">
        <v>411.40747705134601</v>
      </c>
      <c r="AU5617" s="2">
        <v>194.01391431990399</v>
      </c>
      <c r="AV5617" s="2">
        <v>369.78220372289002</v>
      </c>
      <c r="AW5617" s="2">
        <v>568.69300090720606</v>
      </c>
      <c r="AX5617" s="2">
        <v>309.886753683292</v>
      </c>
    </row>
    <row r="5618" spans="1:50" x14ac:dyDescent="0.25">
      <c r="A5618" s="2" t="s">
        <v>36661</v>
      </c>
      <c r="B5618" s="2">
        <v>360.214534735585</v>
      </c>
      <c r="C5618" s="2">
        <v>3.3592499999999998</v>
      </c>
      <c r="D5618" s="2" t="s">
        <v>51</v>
      </c>
      <c r="E5618" s="2" t="s">
        <v>36662</v>
      </c>
      <c r="F5618" s="2">
        <v>197823</v>
      </c>
      <c r="G5618" s="3" t="str">
        <f>HYPERLINK("https://cloud.oebiotech.com/#/lm/network/197823", "https://cloud.oebiotech.com/#/lm/network/197823")</f>
        <v>https://cloud.oebiotech.com/#/lm/network/197823</v>
      </c>
      <c r="H5618" s="2" t="s">
        <v>36663</v>
      </c>
      <c r="I5618" s="2"/>
      <c r="J5618" s="2"/>
      <c r="K5618" s="2"/>
      <c r="L5618" s="2"/>
      <c r="M5618" s="2"/>
      <c r="N5618" s="2"/>
      <c r="O5618" s="2"/>
      <c r="P5618" s="2"/>
      <c r="Q5618" s="2"/>
      <c r="R5618" s="2"/>
      <c r="S5618" s="2" t="s">
        <v>36664</v>
      </c>
      <c r="T5618" s="2" t="s">
        <v>36665</v>
      </c>
      <c r="U5618" s="2" t="s">
        <v>56</v>
      </c>
      <c r="V5618" s="2" t="s">
        <v>145</v>
      </c>
      <c r="W5618" s="2" t="s">
        <v>1188</v>
      </c>
      <c r="X5618" s="2" t="s">
        <v>147</v>
      </c>
      <c r="Y5618" s="2">
        <v>38.1</v>
      </c>
      <c r="Z5618" s="2">
        <v>0.27100000000000002</v>
      </c>
      <c r="AA5618" s="2" t="s">
        <v>95</v>
      </c>
      <c r="AB5618" s="2" t="s">
        <v>36666</v>
      </c>
      <c r="AC5618" s="2">
        <v>1.65419805634319E-2</v>
      </c>
      <c r="AD5618" s="2"/>
      <c r="AE5618" s="2">
        <v>1.9819275879421901E-2</v>
      </c>
      <c r="AF5618" s="2">
        <v>1089.3541770540201</v>
      </c>
      <c r="AG5618" s="2">
        <v>1569.5919295307499</v>
      </c>
      <c r="AH5618" s="4">
        <v>0.694036555972666</v>
      </c>
      <c r="AI5618" s="4">
        <v>-0.52691644111620295</v>
      </c>
      <c r="AJ5618" s="4" t="s">
        <v>62</v>
      </c>
      <c r="AK5618" s="2">
        <v>0.68912431314734901</v>
      </c>
      <c r="AL5618" s="2">
        <v>0.850765449606115</v>
      </c>
      <c r="AM5618" s="2">
        <v>1848.16706629742</v>
      </c>
      <c r="AN5618" s="2">
        <v>678.26300650391499</v>
      </c>
      <c r="AO5618" s="2">
        <v>337.45850721749099</v>
      </c>
      <c r="AP5618" s="2">
        <v>652.446754539876</v>
      </c>
      <c r="AQ5618" s="2">
        <v>1776.3975926411299</v>
      </c>
      <c r="AR5618" s="2">
        <v>1243.39213512426</v>
      </c>
      <c r="AS5618" s="2">
        <v>394.70322298980199</v>
      </c>
      <c r="AT5618" s="2">
        <v>599.73192843854599</v>
      </c>
      <c r="AU5618" s="2">
        <v>7235.2591789546595</v>
      </c>
      <c r="AV5618" s="2">
        <v>8.559877937157E-6</v>
      </c>
      <c r="AW5618" s="2">
        <v>618.93218905037998</v>
      </c>
      <c r="AX5618" s="2">
        <v>568.92504919125201</v>
      </c>
    </row>
    <row r="5619" spans="1:50" x14ac:dyDescent="0.25">
      <c r="A5619" s="2" t="s">
        <v>36667</v>
      </c>
      <c r="B5619" s="2">
        <v>394.07454959257598</v>
      </c>
      <c r="C5619" s="2">
        <v>0.74455000000000005</v>
      </c>
      <c r="D5619" s="2" t="s">
        <v>51</v>
      </c>
      <c r="E5619" s="2" t="s">
        <v>36668</v>
      </c>
      <c r="F5619" s="2">
        <v>205905</v>
      </c>
      <c r="G5619" s="3" t="str">
        <f>HYPERLINK("https://cloud.oebiotech.com/#/lm/network/205905", "https://cloud.oebiotech.com/#/lm/network/205905")</f>
        <v>https://cloud.oebiotech.com/#/lm/network/205905</v>
      </c>
      <c r="H5619" s="2" t="s">
        <v>36669</v>
      </c>
      <c r="I5619" s="2">
        <v>72354</v>
      </c>
      <c r="J5619" s="2"/>
      <c r="K5619" s="2">
        <v>91735</v>
      </c>
      <c r="L5619" s="2" t="s">
        <v>36670</v>
      </c>
      <c r="M5619" s="2"/>
      <c r="N5619" s="2"/>
      <c r="O5619" s="2">
        <v>81824</v>
      </c>
      <c r="P5619" s="2"/>
      <c r="Q5619" s="2"/>
      <c r="R5619" s="2" t="s">
        <v>36671</v>
      </c>
      <c r="S5619" s="2" t="s">
        <v>36672</v>
      </c>
      <c r="T5619" s="2" t="s">
        <v>36673</v>
      </c>
      <c r="U5619" s="2" t="s">
        <v>610</v>
      </c>
      <c r="V5619" s="2" t="s">
        <v>611</v>
      </c>
      <c r="W5619" s="2" t="s">
        <v>1267</v>
      </c>
      <c r="X5619" s="2" t="s">
        <v>147</v>
      </c>
      <c r="Y5619" s="2">
        <v>45.9</v>
      </c>
      <c r="Z5619" s="2">
        <v>41</v>
      </c>
      <c r="AA5619" s="2" t="s">
        <v>122</v>
      </c>
      <c r="AB5619" s="2" t="s">
        <v>36674</v>
      </c>
      <c r="AC5619" s="2">
        <v>1.2200525844316801</v>
      </c>
      <c r="AD5619" s="2"/>
      <c r="AE5619" s="2">
        <v>1.97710669869023E-2</v>
      </c>
      <c r="AF5619" s="2">
        <v>13911.2373721849</v>
      </c>
      <c r="AG5619" s="2">
        <v>12441.886055325</v>
      </c>
      <c r="AH5619" s="5">
        <v>1.1180971526604699</v>
      </c>
      <c r="AI5619" s="5">
        <v>0.16104555094666201</v>
      </c>
      <c r="AJ5619" s="5" t="s">
        <v>139</v>
      </c>
      <c r="AK5619" s="2">
        <v>0.85346945310561295</v>
      </c>
      <c r="AL5619" s="2">
        <v>0.93549430478880702</v>
      </c>
      <c r="AM5619" s="2">
        <v>58.791346195207403</v>
      </c>
      <c r="AN5619" s="2">
        <v>41467.462476156397</v>
      </c>
      <c r="AO5619" s="2">
        <v>13031.846366546701</v>
      </c>
      <c r="AP5619" s="2">
        <v>13949.206727880401</v>
      </c>
      <c r="AQ5619" s="2">
        <v>3608.7495642552699</v>
      </c>
      <c r="AR5619" s="2">
        <v>11351.367752075201</v>
      </c>
      <c r="AS5619" s="2">
        <v>13230.156635716299</v>
      </c>
      <c r="AT5619" s="2">
        <v>2253.4736320574002</v>
      </c>
      <c r="AU5619" s="2">
        <v>5358.8156527772699</v>
      </c>
      <c r="AV5619" s="2">
        <v>8.559877937157E-6</v>
      </c>
      <c r="AW5619" s="2">
        <v>24595.434292857801</v>
      </c>
      <c r="AX5619" s="2">
        <v>29213.436109981201</v>
      </c>
    </row>
    <row r="5620" spans="1:50" x14ac:dyDescent="0.25">
      <c r="A5620" s="2" t="s">
        <v>36675</v>
      </c>
      <c r="B5620" s="2">
        <v>213.037550275802</v>
      </c>
      <c r="C5620" s="2">
        <v>1.5769166666666701</v>
      </c>
      <c r="D5620" s="2" t="s">
        <v>51</v>
      </c>
      <c r="E5620" s="2" t="s">
        <v>36676</v>
      </c>
      <c r="F5620" s="2">
        <v>82800</v>
      </c>
      <c r="G5620" s="3" t="str">
        <f>HYPERLINK("https://cloud.oebiotech.com/#/lm/network/82800", "https://cloud.oebiotech.com/#/lm/network/82800")</f>
        <v>https://cloud.oebiotech.com/#/lm/network/82800</v>
      </c>
      <c r="H5620" s="2" t="s">
        <v>36677</v>
      </c>
      <c r="I5620" s="2">
        <v>447542</v>
      </c>
      <c r="J5620" s="2"/>
      <c r="K5620" s="2">
        <v>2758337</v>
      </c>
      <c r="L5620" s="2"/>
      <c r="M5620" s="2"/>
      <c r="N5620" s="2"/>
      <c r="O5620" s="2"/>
      <c r="P5620" s="2"/>
      <c r="Q5620" s="2"/>
      <c r="R5620" s="2" t="s">
        <v>36678</v>
      </c>
      <c r="S5620" s="2" t="s">
        <v>36679</v>
      </c>
      <c r="T5620" s="2" t="s">
        <v>36680</v>
      </c>
      <c r="U5620" s="2" t="s">
        <v>331</v>
      </c>
      <c r="V5620" s="2" t="s">
        <v>332</v>
      </c>
      <c r="W5620" s="2" t="s">
        <v>1207</v>
      </c>
      <c r="X5620" s="2" t="s">
        <v>147</v>
      </c>
      <c r="Y5620" s="2">
        <v>37.5</v>
      </c>
      <c r="Z5620" s="2">
        <v>0</v>
      </c>
      <c r="AA5620" s="2" t="s">
        <v>163</v>
      </c>
      <c r="AB5620" s="2" t="s">
        <v>36681</v>
      </c>
      <c r="AC5620" s="2">
        <v>3.1589396884888101</v>
      </c>
      <c r="AD5620" s="2"/>
      <c r="AE5620" s="2">
        <v>1.9694878414850701E-2</v>
      </c>
      <c r="AF5620" s="2">
        <v>1407.5191143209199</v>
      </c>
      <c r="AG5620" s="2">
        <v>1477.02899830409</v>
      </c>
      <c r="AH5620" s="4">
        <v>0.95293939112706505</v>
      </c>
      <c r="AI5620" s="4">
        <v>-6.9543636157226404E-2</v>
      </c>
      <c r="AJ5620" s="4" t="s">
        <v>62</v>
      </c>
      <c r="AK5620" s="2">
        <v>0.68028484795324695</v>
      </c>
      <c r="AL5620" s="2">
        <v>0.84577964471019995</v>
      </c>
      <c r="AM5620" s="2">
        <v>1377.29660758215</v>
      </c>
      <c r="AN5620" s="2">
        <v>1201.10019992925</v>
      </c>
      <c r="AO5620" s="2">
        <v>1521.282062626</v>
      </c>
      <c r="AP5620" s="2">
        <v>1175.2339795242301</v>
      </c>
      <c r="AQ5620" s="2">
        <v>1677.6770074118599</v>
      </c>
      <c r="AR5620" s="2">
        <v>1492.5248288520099</v>
      </c>
      <c r="AS5620" s="2">
        <v>1478.4848719931399</v>
      </c>
      <c r="AT5620" s="2">
        <v>1084.95018582175</v>
      </c>
      <c r="AU5620" s="2">
        <v>2079.5592583774501</v>
      </c>
      <c r="AV5620" s="2">
        <v>1478.57928559843</v>
      </c>
      <c r="AW5620" s="2">
        <v>1177.0351840886201</v>
      </c>
      <c r="AX5620" s="2">
        <v>1563.56520394514</v>
      </c>
    </row>
    <row r="5621" spans="1:50" x14ac:dyDescent="0.25">
      <c r="A5621" s="2" t="s">
        <v>36682</v>
      </c>
      <c r="B5621" s="2">
        <v>226.144501166775</v>
      </c>
      <c r="C5621" s="2">
        <v>9.3827166666666706</v>
      </c>
      <c r="D5621" s="2" t="s">
        <v>51</v>
      </c>
      <c r="E5621" s="2" t="s">
        <v>36683</v>
      </c>
      <c r="F5621" s="2">
        <v>57962</v>
      </c>
      <c r="G5621" s="3" t="str">
        <f>HYPERLINK("https://cloud.oebiotech.com/#/lm/network/57962", "https://cloud.oebiotech.com/#/lm/network/57962")</f>
        <v>https://cloud.oebiotech.com/#/lm/network/57962</v>
      </c>
      <c r="H5621" s="2" t="s">
        <v>36684</v>
      </c>
      <c r="I5621" s="2">
        <v>68334</v>
      </c>
      <c r="J5621" s="2"/>
      <c r="K5621" s="2">
        <v>10248</v>
      </c>
      <c r="L5621" s="2" t="s">
        <v>36685</v>
      </c>
      <c r="M5621" s="2"/>
      <c r="N5621" s="2"/>
      <c r="O5621" s="2"/>
      <c r="P5621" s="2"/>
      <c r="Q5621" s="2"/>
      <c r="R5621" s="2" t="s">
        <v>36686</v>
      </c>
      <c r="S5621" s="2" t="s">
        <v>36687</v>
      </c>
      <c r="T5621" s="2" t="s">
        <v>36688</v>
      </c>
      <c r="U5621" s="2" t="s">
        <v>610</v>
      </c>
      <c r="V5621" s="2" t="s">
        <v>4556</v>
      </c>
      <c r="W5621" s="2" t="s">
        <v>6949</v>
      </c>
      <c r="X5621" s="2" t="s">
        <v>147</v>
      </c>
      <c r="Y5621" s="2">
        <v>38.799999999999997</v>
      </c>
      <c r="Z5621" s="2">
        <v>0</v>
      </c>
      <c r="AA5621" s="2" t="s">
        <v>512</v>
      </c>
      <c r="AB5621" s="2" t="s">
        <v>2604</v>
      </c>
      <c r="AC5621" s="2">
        <v>3.5138396545047001</v>
      </c>
      <c r="AD5621" s="2"/>
      <c r="AE5621" s="2">
        <v>1.9394265658614698E-2</v>
      </c>
      <c r="AF5621" s="2">
        <v>589.92913910106597</v>
      </c>
      <c r="AG5621" s="2">
        <v>820.67639201050702</v>
      </c>
      <c r="AH5621" s="4">
        <v>0.71883283696737899</v>
      </c>
      <c r="AI5621" s="4">
        <v>-0.47627178085316801</v>
      </c>
      <c r="AJ5621" s="4" t="s">
        <v>62</v>
      </c>
      <c r="AK5621" s="2">
        <v>0.58038699936987403</v>
      </c>
      <c r="AL5621" s="2">
        <v>0.788322492623872</v>
      </c>
      <c r="AM5621" s="2">
        <v>1214.82785210872</v>
      </c>
      <c r="AN5621" s="2">
        <v>265.24570318550201</v>
      </c>
      <c r="AO5621" s="2">
        <v>406.34135220240501</v>
      </c>
      <c r="AP5621" s="2">
        <v>487.77022270129299</v>
      </c>
      <c r="AQ5621" s="2">
        <v>639.89204083868697</v>
      </c>
      <c r="AR5621" s="2">
        <v>525.49766356978796</v>
      </c>
      <c r="AS5621" s="2">
        <v>8.559877937157E-6</v>
      </c>
      <c r="AT5621" s="2">
        <v>653.15166077593096</v>
      </c>
      <c r="AU5621" s="2">
        <v>2608.5974368142602</v>
      </c>
      <c r="AV5621" s="2">
        <v>950.15599677526097</v>
      </c>
      <c r="AW5621" s="2">
        <v>360.79838843216498</v>
      </c>
      <c r="AX5621" s="2">
        <v>351.35486070554703</v>
      </c>
    </row>
    <row r="5622" spans="1:50" x14ac:dyDescent="0.25">
      <c r="A5622" s="2" t="s">
        <v>36689</v>
      </c>
      <c r="B5622" s="2">
        <v>152.115518162971</v>
      </c>
      <c r="C5622" s="2">
        <v>0.50913333333333299</v>
      </c>
      <c r="D5622" s="2" t="s">
        <v>51</v>
      </c>
      <c r="E5622" s="2" t="s">
        <v>36690</v>
      </c>
      <c r="F5622" s="2">
        <v>199746</v>
      </c>
      <c r="G5622" s="3" t="str">
        <f>HYPERLINK("https://cloud.oebiotech.com/#/lm/network/199746", "https://cloud.oebiotech.com/#/lm/network/199746")</f>
        <v>https://cloud.oebiotech.com/#/lm/network/199746</v>
      </c>
      <c r="H5622" s="2" t="s">
        <v>36691</v>
      </c>
      <c r="I5622" s="2"/>
      <c r="J5622" s="2"/>
      <c r="K5622" s="2">
        <v>188318</v>
      </c>
      <c r="L5622" s="2"/>
      <c r="M5622" s="2"/>
      <c r="N5622" s="2"/>
      <c r="O5622" s="2">
        <v>37405</v>
      </c>
      <c r="P5622" s="2"/>
      <c r="Q5622" s="2"/>
      <c r="R5622" s="2"/>
      <c r="S5622" s="2" t="s">
        <v>36692</v>
      </c>
      <c r="T5622" s="2" t="s">
        <v>36693</v>
      </c>
      <c r="U5622" s="2" t="s">
        <v>119</v>
      </c>
      <c r="V5622" s="2" t="s">
        <v>120</v>
      </c>
      <c r="W5622" s="2" t="s">
        <v>1887</v>
      </c>
      <c r="X5622" s="2" t="s">
        <v>147</v>
      </c>
      <c r="Y5622" s="2">
        <v>38</v>
      </c>
      <c r="Z5622" s="2">
        <v>0</v>
      </c>
      <c r="AA5622" s="2" t="s">
        <v>95</v>
      </c>
      <c r="AB5622" s="2" t="s">
        <v>36694</v>
      </c>
      <c r="AC5622" s="2">
        <v>-2.3233980054623999</v>
      </c>
      <c r="AD5622" s="2"/>
      <c r="AE5622" s="2">
        <v>1.9220278377064401E-2</v>
      </c>
      <c r="AF5622" s="2">
        <v>2220.9412329326001</v>
      </c>
      <c r="AG5622" s="2">
        <v>2221.25258098116</v>
      </c>
      <c r="AH5622" s="4">
        <v>0.99985983221754104</v>
      </c>
      <c r="AI5622" s="4">
        <v>-2.02233538290849E-4</v>
      </c>
      <c r="AJ5622" s="4" t="s">
        <v>62</v>
      </c>
      <c r="AK5622" s="2">
        <v>0.99836561234934595</v>
      </c>
      <c r="AL5622" s="2">
        <v>0.99920712078861496</v>
      </c>
      <c r="AM5622" s="2">
        <v>2471.1262810128201</v>
      </c>
      <c r="AN5622" s="2">
        <v>2540.2098509618299</v>
      </c>
      <c r="AO5622" s="2">
        <v>2376.12376559412</v>
      </c>
      <c r="AP5622" s="2">
        <v>2093.91983206539</v>
      </c>
      <c r="AQ5622" s="2">
        <v>2238.24114064285</v>
      </c>
      <c r="AR5622" s="2">
        <v>1606.0265273185901</v>
      </c>
      <c r="AS5622" s="2">
        <v>2374.38813912465</v>
      </c>
      <c r="AT5622" s="2">
        <v>2300.9095418924699</v>
      </c>
      <c r="AU5622" s="2">
        <v>2188.1383723870399</v>
      </c>
      <c r="AV5622" s="2">
        <v>2213.7817954874799</v>
      </c>
      <c r="AW5622" s="2">
        <v>2009.4959623289201</v>
      </c>
      <c r="AX5622" s="2">
        <v>2240.8016746663902</v>
      </c>
    </row>
    <row r="5623" spans="1:50" x14ac:dyDescent="0.25">
      <c r="A5623" s="2" t="s">
        <v>36695</v>
      </c>
      <c r="B5623" s="2">
        <v>209.065951759228</v>
      </c>
      <c r="C5623" s="2">
        <v>0.72640000000000005</v>
      </c>
      <c r="D5623" s="2" t="s">
        <v>51</v>
      </c>
      <c r="E5623" s="2" t="s">
        <v>36696</v>
      </c>
      <c r="F5623" s="2">
        <v>257218</v>
      </c>
      <c r="G5623" s="3" t="str">
        <f>HYPERLINK("https://cloud.oebiotech.com/#/lm/network/257218", "https://cloud.oebiotech.com/#/lm/network/257218")</f>
        <v>https://cloud.oebiotech.com/#/lm/network/257218</v>
      </c>
      <c r="H5623" s="2" t="s">
        <v>36697</v>
      </c>
      <c r="I5623" s="2">
        <v>63161</v>
      </c>
      <c r="J5623" s="2"/>
      <c r="K5623" s="2">
        <v>11953811</v>
      </c>
      <c r="L5623" s="2" t="s">
        <v>36698</v>
      </c>
      <c r="M5623" s="2" t="s">
        <v>9910</v>
      </c>
      <c r="N5623" s="2" t="s">
        <v>9911</v>
      </c>
      <c r="O5623" s="2">
        <v>16935</v>
      </c>
      <c r="P5623" s="2"/>
      <c r="Q5623" s="2"/>
      <c r="R5623" s="2"/>
      <c r="S5623" s="2" t="s">
        <v>36699</v>
      </c>
      <c r="T5623" s="2" t="s">
        <v>36700</v>
      </c>
      <c r="U5623" s="2" t="s">
        <v>331</v>
      </c>
      <c r="V5623" s="2" t="s">
        <v>332</v>
      </c>
      <c r="W5623" s="2" t="s">
        <v>333</v>
      </c>
      <c r="X5623" s="2" t="s">
        <v>83</v>
      </c>
      <c r="Y5623" s="2">
        <v>43.5</v>
      </c>
      <c r="Z5623" s="2">
        <v>25.8</v>
      </c>
      <c r="AA5623" s="2" t="s">
        <v>218</v>
      </c>
      <c r="AB5623" s="2" t="s">
        <v>6257</v>
      </c>
      <c r="AC5623" s="2">
        <v>-4.4164085666334101</v>
      </c>
      <c r="AD5623" s="2"/>
      <c r="AE5623" s="2">
        <v>1.9186586694845999E-2</v>
      </c>
      <c r="AF5623" s="2">
        <v>31304.710219480901</v>
      </c>
      <c r="AG5623" s="2">
        <v>26939.273175258098</v>
      </c>
      <c r="AH5623" s="5">
        <v>1.1620473208695199</v>
      </c>
      <c r="AI5623" s="5">
        <v>0.21666881933946</v>
      </c>
      <c r="AJ5623" s="5" t="s">
        <v>139</v>
      </c>
      <c r="AK5623" s="2">
        <v>0.59809923561020795</v>
      </c>
      <c r="AL5623" s="2">
        <v>0.79813782014335899</v>
      </c>
      <c r="AM5623" s="2">
        <v>7987.8217071598301</v>
      </c>
      <c r="AN5623" s="2">
        <v>31886.645219989299</v>
      </c>
      <c r="AO5623" s="2">
        <v>30812.329870446902</v>
      </c>
      <c r="AP5623" s="2">
        <v>55625.251358134803</v>
      </c>
      <c r="AQ5623" s="2">
        <v>40709.788373988798</v>
      </c>
      <c r="AR5623" s="2">
        <v>20806.424787165601</v>
      </c>
      <c r="AS5623" s="2">
        <v>22172.611316723302</v>
      </c>
      <c r="AT5623" s="2">
        <v>19732.444737259098</v>
      </c>
      <c r="AU5623" s="2">
        <v>20898.854774064501</v>
      </c>
      <c r="AV5623" s="2">
        <v>29410.539632907501</v>
      </c>
      <c r="AW5623" s="2">
        <v>48063.954501197302</v>
      </c>
      <c r="AX5623" s="2">
        <v>21357.234089396999</v>
      </c>
    </row>
    <row r="5624" spans="1:50" x14ac:dyDescent="0.25">
      <c r="A5624" s="2" t="s">
        <v>36701</v>
      </c>
      <c r="B5624" s="2">
        <v>429.301127964356</v>
      </c>
      <c r="C5624" s="2">
        <v>10.308716666666699</v>
      </c>
      <c r="D5624" s="2" t="s">
        <v>51</v>
      </c>
      <c r="E5624" s="2" t="s">
        <v>36702</v>
      </c>
      <c r="F5624" s="2">
        <v>44518</v>
      </c>
      <c r="G5624" s="3" t="str">
        <f>HYPERLINK("https://cloud.oebiotech.com/#/lm/network/44518", "https://cloud.oebiotech.com/#/lm/network/44518")</f>
        <v>https://cloud.oebiotech.com/#/lm/network/44518</v>
      </c>
      <c r="H5624" s="2"/>
      <c r="I5624" s="2"/>
      <c r="J5624" s="2" t="s">
        <v>36703</v>
      </c>
      <c r="K5624" s="2">
        <v>52931459</v>
      </c>
      <c r="L5624" s="2"/>
      <c r="M5624" s="2"/>
      <c r="N5624" s="2"/>
      <c r="O5624" s="2"/>
      <c r="P5624" s="2"/>
      <c r="Q5624" s="2"/>
      <c r="R5624" s="2"/>
      <c r="S5624" s="2" t="s">
        <v>36704</v>
      </c>
      <c r="T5624" s="2" t="s">
        <v>36705</v>
      </c>
      <c r="U5624" s="2" t="s">
        <v>56</v>
      </c>
      <c r="V5624" s="2" t="s">
        <v>177</v>
      </c>
      <c r="W5624" s="2" t="s">
        <v>3270</v>
      </c>
      <c r="X5624" s="2" t="s">
        <v>83</v>
      </c>
      <c r="Y5624" s="2">
        <v>55.1</v>
      </c>
      <c r="Z5624" s="2">
        <v>0</v>
      </c>
      <c r="AA5624" s="2" t="s">
        <v>163</v>
      </c>
      <c r="AB5624" s="2" t="s">
        <v>3946</v>
      </c>
      <c r="AC5624" s="2">
        <v>0.21977538915471601</v>
      </c>
      <c r="AD5624" s="2"/>
      <c r="AE5624" s="2">
        <v>1.91718872311381E-2</v>
      </c>
      <c r="AF5624" s="2">
        <v>1161.9979700438901</v>
      </c>
      <c r="AG5624" s="2">
        <v>1131.3721730514701</v>
      </c>
      <c r="AH5624" s="5">
        <v>1.0270696042574601</v>
      </c>
      <c r="AI5624" s="5">
        <v>3.8533956061512303E-2</v>
      </c>
      <c r="AJ5624" s="5" t="s">
        <v>139</v>
      </c>
      <c r="AK5624" s="2">
        <v>0.96230651537289402</v>
      </c>
      <c r="AL5624" s="2">
        <v>0.98520672215362504</v>
      </c>
      <c r="AM5624" s="2">
        <v>8.559877937157E-6</v>
      </c>
      <c r="AN5624" s="2">
        <v>726.67125699909104</v>
      </c>
      <c r="AO5624" s="2">
        <v>1252.28328563838</v>
      </c>
      <c r="AP5624" s="2">
        <v>8.559877937157E-6</v>
      </c>
      <c r="AQ5624" s="2">
        <v>2524.07383017759</v>
      </c>
      <c r="AR5624" s="2">
        <v>2468.9594303284998</v>
      </c>
      <c r="AS5624" s="2">
        <v>1737.76848569903</v>
      </c>
      <c r="AT5624" s="2">
        <v>834.37655898682601</v>
      </c>
      <c r="AU5624" s="2">
        <v>323.44539905200003</v>
      </c>
      <c r="AV5624" s="2">
        <v>8.559877937157E-6</v>
      </c>
      <c r="AW5624" s="2">
        <v>996.26775847190504</v>
      </c>
      <c r="AX5624" s="2">
        <v>2896.3748275392099</v>
      </c>
    </row>
    <row r="5625" spans="1:50" x14ac:dyDescent="0.25">
      <c r="A5625" s="2" t="s">
        <v>36706</v>
      </c>
      <c r="B5625" s="2">
        <v>173.09229621982601</v>
      </c>
      <c r="C5625" s="2">
        <v>1.16671666666667</v>
      </c>
      <c r="D5625" s="2" t="s">
        <v>51</v>
      </c>
      <c r="E5625" s="2" t="s">
        <v>36707</v>
      </c>
      <c r="F5625" s="2">
        <v>197237</v>
      </c>
      <c r="G5625" s="3" t="str">
        <f>HYPERLINK("https://cloud.oebiotech.com/#/lm/network/197237", "https://cloud.oebiotech.com/#/lm/network/197237")</f>
        <v>https://cloud.oebiotech.com/#/lm/network/197237</v>
      </c>
      <c r="H5625" s="2" t="s">
        <v>36708</v>
      </c>
      <c r="I5625" s="2"/>
      <c r="J5625" s="2"/>
      <c r="K5625" s="2">
        <v>193343</v>
      </c>
      <c r="L5625" s="2"/>
      <c r="M5625" s="2"/>
      <c r="N5625" s="2"/>
      <c r="O5625" s="2">
        <v>44673</v>
      </c>
      <c r="P5625" s="2"/>
      <c r="Q5625" s="2"/>
      <c r="R5625" s="2" t="s">
        <v>36709</v>
      </c>
      <c r="S5625" s="2" t="s">
        <v>36710</v>
      </c>
      <c r="T5625" s="2" t="s">
        <v>36711</v>
      </c>
      <c r="U5625" s="2" t="s">
        <v>103</v>
      </c>
      <c r="V5625" s="2" t="s">
        <v>104</v>
      </c>
      <c r="W5625" s="2" t="s">
        <v>105</v>
      </c>
      <c r="X5625" s="2" t="s">
        <v>69</v>
      </c>
      <c r="Y5625" s="2">
        <v>50.1</v>
      </c>
      <c r="Z5625" s="2">
        <v>57.7</v>
      </c>
      <c r="AA5625" s="2" t="s">
        <v>163</v>
      </c>
      <c r="AB5625" s="2" t="s">
        <v>3811</v>
      </c>
      <c r="AC5625" s="2">
        <v>-4.9951937056381697</v>
      </c>
      <c r="AD5625" s="2"/>
      <c r="AE5625" s="2">
        <v>1.9141413532003899E-2</v>
      </c>
      <c r="AF5625" s="2">
        <v>2919.2172170056401</v>
      </c>
      <c r="AG5625" s="2">
        <v>2574.9736560397</v>
      </c>
      <c r="AH5625" s="5">
        <v>1.1336881875115501</v>
      </c>
      <c r="AI5625" s="5">
        <v>0.18102389231798199</v>
      </c>
      <c r="AJ5625" s="5" t="s">
        <v>139</v>
      </c>
      <c r="AK5625" s="2">
        <v>0.83907575359667796</v>
      </c>
      <c r="AL5625" s="2">
        <v>0.92909683994561798</v>
      </c>
      <c r="AM5625" s="2">
        <v>3409.8800906208899</v>
      </c>
      <c r="AN5625" s="2">
        <v>586.41438862423604</v>
      </c>
      <c r="AO5625" s="2">
        <v>2857.8327916673202</v>
      </c>
      <c r="AP5625" s="2">
        <v>792.93942008154704</v>
      </c>
      <c r="AQ5625" s="2">
        <v>6879.80041309032</v>
      </c>
      <c r="AR5625" s="2">
        <v>2988.4361979495302</v>
      </c>
      <c r="AS5625" s="2">
        <v>2190.7095530808901</v>
      </c>
      <c r="AT5625" s="2">
        <v>2296.3799945792998</v>
      </c>
      <c r="AU5625" s="2">
        <v>607.85943554218102</v>
      </c>
      <c r="AV5625" s="2">
        <v>9156.3008859450292</v>
      </c>
      <c r="AW5625" s="2">
        <v>8.559877937157E-6</v>
      </c>
      <c r="AX5625" s="2">
        <v>1198.5920585309</v>
      </c>
    </row>
    <row r="5626" spans="1:50" x14ac:dyDescent="0.25">
      <c r="A5626" s="2" t="s">
        <v>36712</v>
      </c>
      <c r="B5626" s="2">
        <v>837.32782988960196</v>
      </c>
      <c r="C5626" s="2">
        <v>4.6271666666666702</v>
      </c>
      <c r="D5626" s="2" t="s">
        <v>51</v>
      </c>
      <c r="E5626" s="2" t="s">
        <v>36713</v>
      </c>
      <c r="F5626" s="2">
        <v>203137</v>
      </c>
      <c r="G5626" s="3" t="str">
        <f>HYPERLINK("https://cloud.oebiotech.com/#/lm/network/203137", "https://cloud.oebiotech.com/#/lm/network/203137")</f>
        <v>https://cloud.oebiotech.com/#/lm/network/203137</v>
      </c>
      <c r="H5626" s="2" t="s">
        <v>36714</v>
      </c>
      <c r="I5626" s="2"/>
      <c r="J5626" s="2"/>
      <c r="K5626" s="2">
        <v>67311435</v>
      </c>
      <c r="L5626" s="2"/>
      <c r="M5626" s="2"/>
      <c r="N5626" s="2"/>
      <c r="O5626" s="2"/>
      <c r="P5626" s="2"/>
      <c r="Q5626" s="2"/>
      <c r="R5626" s="2"/>
      <c r="S5626" s="2" t="s">
        <v>36715</v>
      </c>
      <c r="T5626" s="2" t="s">
        <v>36716</v>
      </c>
      <c r="U5626" s="2" t="s">
        <v>266</v>
      </c>
      <c r="V5626" s="2" t="s">
        <v>1393</v>
      </c>
      <c r="W5626" s="2" t="s">
        <v>1643</v>
      </c>
      <c r="X5626" s="2" t="s">
        <v>59</v>
      </c>
      <c r="Y5626" s="2">
        <v>52.9</v>
      </c>
      <c r="Z5626" s="2">
        <v>81.900000000000006</v>
      </c>
      <c r="AA5626" s="2" t="s">
        <v>667</v>
      </c>
      <c r="AB5626" s="2" t="s">
        <v>36717</v>
      </c>
      <c r="AC5626" s="2">
        <v>4.51012742481476</v>
      </c>
      <c r="AD5626" s="2"/>
      <c r="AE5626" s="2">
        <v>1.9118877309317599E-2</v>
      </c>
      <c r="AF5626" s="2">
        <v>24750.5347652362</v>
      </c>
      <c r="AG5626" s="2">
        <v>19748.0344296084</v>
      </c>
      <c r="AH5626" s="5">
        <v>1.2533163669254801</v>
      </c>
      <c r="AI5626" s="5">
        <v>0.32575063124706499</v>
      </c>
      <c r="AJ5626" s="5" t="s">
        <v>139</v>
      </c>
      <c r="AK5626" s="2">
        <v>0.73506221488438495</v>
      </c>
      <c r="AL5626" s="2">
        <v>0.87826542457706702</v>
      </c>
      <c r="AM5626" s="2">
        <v>7230.7140051367096</v>
      </c>
      <c r="AN5626" s="2">
        <v>6601.6376843359203</v>
      </c>
      <c r="AO5626" s="2">
        <v>9556.6742055092309</v>
      </c>
      <c r="AP5626" s="2">
        <v>79120.810076806796</v>
      </c>
      <c r="AQ5626" s="2">
        <v>13481.830994449499</v>
      </c>
      <c r="AR5626" s="2">
        <v>32511.541625178801</v>
      </c>
      <c r="AS5626" s="2">
        <v>49394.3546908223</v>
      </c>
      <c r="AT5626" s="2">
        <v>38156.063543705903</v>
      </c>
      <c r="AU5626" s="2">
        <v>6673.2867746864404</v>
      </c>
      <c r="AV5626" s="2">
        <v>8.559877937157E-6</v>
      </c>
      <c r="AW5626" s="2">
        <v>8.559877937157E-6</v>
      </c>
      <c r="AX5626" s="2">
        <v>24264.5015513162</v>
      </c>
    </row>
    <row r="5627" spans="1:50" x14ac:dyDescent="0.25">
      <c r="A5627" s="2" t="s">
        <v>36718</v>
      </c>
      <c r="B5627" s="2">
        <v>131.033844964217</v>
      </c>
      <c r="C5627" s="2">
        <v>2.3927999999999998</v>
      </c>
      <c r="D5627" s="2" t="s">
        <v>51</v>
      </c>
      <c r="E5627" s="2" t="s">
        <v>36719</v>
      </c>
      <c r="F5627" s="2">
        <v>1938</v>
      </c>
      <c r="G5627" s="3" t="str">
        <f>HYPERLINK("https://cloud.oebiotech.com/#/lm/network/1938", "https://cloud.oebiotech.com/#/lm/network/1938")</f>
        <v>https://cloud.oebiotech.com/#/lm/network/1938</v>
      </c>
      <c r="H5627" s="2" t="s">
        <v>36720</v>
      </c>
      <c r="I5627" s="2"/>
      <c r="J5627" s="2" t="s">
        <v>36721</v>
      </c>
      <c r="K5627" s="2">
        <v>22</v>
      </c>
      <c r="L5627" s="2" t="s">
        <v>36722</v>
      </c>
      <c r="M5627" s="2"/>
      <c r="N5627" s="2"/>
      <c r="O5627" s="2">
        <v>16444</v>
      </c>
      <c r="P5627" s="2"/>
      <c r="Q5627" s="2"/>
      <c r="R5627" s="2"/>
      <c r="S5627" s="2" t="s">
        <v>36723</v>
      </c>
      <c r="T5627" s="2" t="s">
        <v>36724</v>
      </c>
      <c r="U5627" s="2" t="s">
        <v>103</v>
      </c>
      <c r="V5627" s="2" t="s">
        <v>2602</v>
      </c>
      <c r="W5627" s="2" t="s">
        <v>19845</v>
      </c>
      <c r="X5627" s="2" t="s">
        <v>83</v>
      </c>
      <c r="Y5627" s="2">
        <v>37.700000000000003</v>
      </c>
      <c r="Z5627" s="2">
        <v>0</v>
      </c>
      <c r="AA5627" s="2" t="s">
        <v>163</v>
      </c>
      <c r="AB5627" s="2" t="s">
        <v>6429</v>
      </c>
      <c r="AC5627" s="2">
        <v>-8.6134438581046506</v>
      </c>
      <c r="AD5627" s="2"/>
      <c r="AE5627" s="2">
        <v>1.9056064167204401E-2</v>
      </c>
      <c r="AF5627" s="2">
        <v>4705.3223396092899</v>
      </c>
      <c r="AG5627" s="2">
        <v>4802.6117898745497</v>
      </c>
      <c r="AH5627" s="4">
        <v>0.97974238715892603</v>
      </c>
      <c r="AI5627" s="4">
        <v>-2.9525637114212799E-2</v>
      </c>
      <c r="AJ5627" s="4" t="s">
        <v>62</v>
      </c>
      <c r="AK5627" s="2">
        <v>0.90979417199560297</v>
      </c>
      <c r="AL5627" s="2">
        <v>0.96252844734401399</v>
      </c>
      <c r="AM5627" s="2">
        <v>3326.0684774967899</v>
      </c>
      <c r="AN5627" s="2">
        <v>3664.7465090996102</v>
      </c>
      <c r="AO5627" s="2">
        <v>3660.2813614571901</v>
      </c>
      <c r="AP5627" s="2">
        <v>3808.6128772378302</v>
      </c>
      <c r="AQ5627" s="2">
        <v>7828.4361201213596</v>
      </c>
      <c r="AR5627" s="2">
        <v>5943.7886922429698</v>
      </c>
      <c r="AS5627" s="2">
        <v>4568.9298001526204</v>
      </c>
      <c r="AT5627" s="2">
        <v>5730.2139928616598</v>
      </c>
      <c r="AU5627" s="2">
        <v>6263.8742624258302</v>
      </c>
      <c r="AV5627" s="2">
        <v>3680.3326818905998</v>
      </c>
      <c r="AW5627" s="2">
        <v>4380.0865274759099</v>
      </c>
      <c r="AX5627" s="2">
        <v>4192.2334744406699</v>
      </c>
    </row>
    <row r="5628" spans="1:50" x14ac:dyDescent="0.25">
      <c r="A5628" s="2" t="s">
        <v>36725</v>
      </c>
      <c r="B5628" s="2">
        <v>382.19857156830801</v>
      </c>
      <c r="C5628" s="2">
        <v>4.0687333333333298</v>
      </c>
      <c r="D5628" s="2" t="s">
        <v>51</v>
      </c>
      <c r="E5628" s="2" t="s">
        <v>36726</v>
      </c>
      <c r="F5628" s="2">
        <v>261639</v>
      </c>
      <c r="G5628" s="3" t="str">
        <f>HYPERLINK("https://cloud.oebiotech.com/#/lm/network/261639", "https://cloud.oebiotech.com/#/lm/network/261639")</f>
        <v>https://cloud.oebiotech.com/#/lm/network/261639</v>
      </c>
      <c r="H5628" s="2"/>
      <c r="I5628" s="2">
        <v>18963</v>
      </c>
      <c r="J5628" s="2"/>
      <c r="K5628" s="2">
        <v>145457803</v>
      </c>
      <c r="L5628" s="2"/>
      <c r="M5628" s="2"/>
      <c r="N5628" s="2"/>
      <c r="O5628" s="2"/>
      <c r="P5628" s="2"/>
      <c r="Q5628" s="2"/>
      <c r="R5628" s="2"/>
      <c r="S5628" s="2" t="s">
        <v>36727</v>
      </c>
      <c r="T5628" s="2" t="s">
        <v>36728</v>
      </c>
      <c r="U5628" s="2" t="s">
        <v>103</v>
      </c>
      <c r="V5628" s="2" t="s">
        <v>104</v>
      </c>
      <c r="W5628" s="2" t="s">
        <v>105</v>
      </c>
      <c r="X5628" s="2" t="s">
        <v>83</v>
      </c>
      <c r="Y5628" s="2">
        <v>43.6</v>
      </c>
      <c r="Z5628" s="2">
        <v>0</v>
      </c>
      <c r="AA5628" s="2" t="s">
        <v>259</v>
      </c>
      <c r="AB5628" s="2" t="s">
        <v>25876</v>
      </c>
      <c r="AC5628" s="2">
        <v>3.4353962787166101</v>
      </c>
      <c r="AD5628" s="2"/>
      <c r="AE5628" s="2">
        <v>1.9037032935066901E-2</v>
      </c>
      <c r="AF5628" s="2">
        <v>562.33810576067106</v>
      </c>
      <c r="AG5628" s="2">
        <v>517.00663337959895</v>
      </c>
      <c r="AH5628" s="5">
        <v>1.0876806397719601</v>
      </c>
      <c r="AI5628" s="5">
        <v>0.121255020695961</v>
      </c>
      <c r="AJ5628" s="5" t="s">
        <v>139</v>
      </c>
      <c r="AK5628" s="2">
        <v>0.93549838604659696</v>
      </c>
      <c r="AL5628" s="2">
        <v>0.97251863385723103</v>
      </c>
      <c r="AM5628" s="2">
        <v>393.331009944897</v>
      </c>
      <c r="AN5628" s="2">
        <v>142.19392606022399</v>
      </c>
      <c r="AO5628" s="2">
        <v>8.559877937157E-6</v>
      </c>
      <c r="AP5628" s="2">
        <v>8.559877937157E-6</v>
      </c>
      <c r="AQ5628" s="2">
        <v>1206.26206006947</v>
      </c>
      <c r="AR5628" s="2">
        <v>1632.2416213696799</v>
      </c>
      <c r="AS5628" s="2">
        <v>8.559877937157E-6</v>
      </c>
      <c r="AT5628" s="2">
        <v>8.559877937157E-6</v>
      </c>
      <c r="AU5628" s="2">
        <v>2844.6315083783202</v>
      </c>
      <c r="AV5628" s="2">
        <v>257.40825765976001</v>
      </c>
      <c r="AW5628" s="2">
        <v>8.559877937157E-6</v>
      </c>
      <c r="AX5628" s="2">
        <v>8.559877937157E-6</v>
      </c>
    </row>
    <row r="5629" spans="1:50" x14ac:dyDescent="0.25">
      <c r="A5629" s="2" t="s">
        <v>36729</v>
      </c>
      <c r="B5629" s="2">
        <v>217.08613587603199</v>
      </c>
      <c r="C5629" s="2">
        <v>0.58143333333333302</v>
      </c>
      <c r="D5629" s="2" t="s">
        <v>51</v>
      </c>
      <c r="E5629" s="2" t="s">
        <v>36730</v>
      </c>
      <c r="F5629" s="2">
        <v>64026</v>
      </c>
      <c r="G5629" s="3" t="str">
        <f>HYPERLINK("https://cloud.oebiotech.com/#/lm/network/64026", "https://cloud.oebiotech.com/#/lm/network/64026")</f>
        <v>https://cloud.oebiotech.com/#/lm/network/64026</v>
      </c>
      <c r="H5629" s="2" t="s">
        <v>36731</v>
      </c>
      <c r="I5629" s="2">
        <v>71942</v>
      </c>
      <c r="J5629" s="2"/>
      <c r="K5629" s="2">
        <v>9845244</v>
      </c>
      <c r="L5629" s="2" t="s">
        <v>36732</v>
      </c>
      <c r="M5629" s="2"/>
      <c r="N5629" s="2"/>
      <c r="O5629" s="2">
        <v>81380</v>
      </c>
      <c r="P5629" s="2"/>
      <c r="Q5629" s="2"/>
      <c r="R5629" s="2" t="s">
        <v>36733</v>
      </c>
      <c r="S5629" s="2" t="s">
        <v>36734</v>
      </c>
      <c r="T5629" s="2" t="s">
        <v>36735</v>
      </c>
      <c r="U5629" s="2" t="s">
        <v>610</v>
      </c>
      <c r="V5629" s="2" t="s">
        <v>36736</v>
      </c>
      <c r="W5629" s="2" t="s">
        <v>240</v>
      </c>
      <c r="X5629" s="2" t="s">
        <v>147</v>
      </c>
      <c r="Y5629" s="2">
        <v>38</v>
      </c>
      <c r="Z5629" s="2">
        <v>0</v>
      </c>
      <c r="AA5629" s="2" t="s">
        <v>156</v>
      </c>
      <c r="AB5629" s="2" t="s">
        <v>28641</v>
      </c>
      <c r="AC5629" s="2">
        <v>0.91930257114983005</v>
      </c>
      <c r="AD5629" s="2"/>
      <c r="AE5629" s="2">
        <v>1.8957298098103498E-2</v>
      </c>
      <c r="AF5629" s="2">
        <v>1003.04956307054</v>
      </c>
      <c r="AG5629" s="2">
        <v>907.94265914452296</v>
      </c>
      <c r="AH5629" s="5">
        <v>1.1047499012940201</v>
      </c>
      <c r="AI5629" s="5">
        <v>0.14371980219458799</v>
      </c>
      <c r="AJ5629" s="5" t="s">
        <v>139</v>
      </c>
      <c r="AK5629" s="2">
        <v>0.61279314423108799</v>
      </c>
      <c r="AL5629" s="2">
        <v>0.80704367730700299</v>
      </c>
      <c r="AM5629" s="2">
        <v>573.64180619359797</v>
      </c>
      <c r="AN5629" s="2">
        <v>875.83166500541597</v>
      </c>
      <c r="AO5629" s="2">
        <v>889.33781126722204</v>
      </c>
      <c r="AP5629" s="2">
        <v>776.127370667484</v>
      </c>
      <c r="AQ5629" s="2">
        <v>1546.65210379985</v>
      </c>
      <c r="AR5629" s="2">
        <v>1356.7066214896599</v>
      </c>
      <c r="AS5629" s="2">
        <v>852.50644649452704</v>
      </c>
      <c r="AT5629" s="2">
        <v>1209.4543343453699</v>
      </c>
      <c r="AU5629" s="2">
        <v>670.67555133837902</v>
      </c>
      <c r="AV5629" s="2">
        <v>628.205375677956</v>
      </c>
      <c r="AW5629" s="2">
        <v>895.61466231190502</v>
      </c>
      <c r="AX5629" s="2">
        <v>1191.1995846990001</v>
      </c>
    </row>
    <row r="5630" spans="1:50" x14ac:dyDescent="0.25">
      <c r="A5630" s="2" t="s">
        <v>36737</v>
      </c>
      <c r="B5630" s="2">
        <v>239.014519526546</v>
      </c>
      <c r="C5630" s="2">
        <v>5.3152666666666697</v>
      </c>
      <c r="D5630" s="2" t="s">
        <v>51</v>
      </c>
      <c r="E5630" s="2" t="s">
        <v>36738</v>
      </c>
      <c r="F5630" s="2">
        <v>279741</v>
      </c>
      <c r="G5630" s="3" t="str">
        <f>HYPERLINK("https://cloud.oebiotech.com/#/lm/network/279741", "https://cloud.oebiotech.com/#/lm/network/279741")</f>
        <v>https://cloud.oebiotech.com/#/lm/network/279741</v>
      </c>
      <c r="H5630" s="2"/>
      <c r="I5630" s="2">
        <v>72519</v>
      </c>
      <c r="J5630" s="2"/>
      <c r="K5630" s="2">
        <v>3034435</v>
      </c>
      <c r="L5630" s="2" t="s">
        <v>36739</v>
      </c>
      <c r="M5630" s="2"/>
      <c r="N5630" s="2"/>
      <c r="O5630" s="2"/>
      <c r="P5630" s="2"/>
      <c r="Q5630" s="2"/>
      <c r="R5630" s="2" t="s">
        <v>36740</v>
      </c>
      <c r="S5630" s="2" t="s">
        <v>36741</v>
      </c>
      <c r="T5630" s="2" t="s">
        <v>36742</v>
      </c>
      <c r="U5630" s="2" t="s">
        <v>103</v>
      </c>
      <c r="V5630" s="2" t="s">
        <v>11073</v>
      </c>
      <c r="W5630" s="2" t="s">
        <v>11074</v>
      </c>
      <c r="X5630" s="2" t="s">
        <v>147</v>
      </c>
      <c r="Y5630" s="2">
        <v>38.5</v>
      </c>
      <c r="Z5630" s="2">
        <v>0</v>
      </c>
      <c r="AA5630" s="2" t="s">
        <v>163</v>
      </c>
      <c r="AB5630" s="2" t="s">
        <v>36743</v>
      </c>
      <c r="AC5630" s="2">
        <v>-1.3964802422739999</v>
      </c>
      <c r="AD5630" s="2"/>
      <c r="AE5630" s="2">
        <v>1.8879083557138399E-2</v>
      </c>
      <c r="AF5630" s="2">
        <v>1270.66923010711</v>
      </c>
      <c r="AG5630" s="2">
        <v>1212.40911007916</v>
      </c>
      <c r="AH5630" s="5">
        <v>1.0480531856315001</v>
      </c>
      <c r="AI5630" s="5">
        <v>6.7711931283616703E-2</v>
      </c>
      <c r="AJ5630" s="5" t="s">
        <v>139</v>
      </c>
      <c r="AK5630" s="2">
        <v>0.74395758222081498</v>
      </c>
      <c r="AL5630" s="2">
        <v>0.88266909785071501</v>
      </c>
      <c r="AM5630" s="2">
        <v>1268.39825251617</v>
      </c>
      <c r="AN5630" s="2">
        <v>1440.4081624897699</v>
      </c>
      <c r="AO5630" s="2">
        <v>1400.7065679024399</v>
      </c>
      <c r="AP5630" s="2">
        <v>1239.48678358292</v>
      </c>
      <c r="AQ5630" s="2">
        <v>1226.00992983946</v>
      </c>
      <c r="AR5630" s="2">
        <v>1049.0056843119</v>
      </c>
      <c r="AS5630" s="2">
        <v>1224.6989445040799</v>
      </c>
      <c r="AT5630" s="2">
        <v>1386.94534879909</v>
      </c>
      <c r="AU5630" s="2">
        <v>705.70041668695706</v>
      </c>
      <c r="AV5630" s="2">
        <v>1363.3612474230199</v>
      </c>
      <c r="AW5630" s="2">
        <v>806.59019358885701</v>
      </c>
      <c r="AX5630" s="2">
        <v>1787.1585094729301</v>
      </c>
    </row>
    <row r="5631" spans="1:50" x14ac:dyDescent="0.25">
      <c r="A5631" s="2" t="s">
        <v>36744</v>
      </c>
      <c r="B5631" s="2">
        <v>323.18648389440102</v>
      </c>
      <c r="C5631" s="2">
        <v>8.4689333333333305</v>
      </c>
      <c r="D5631" s="2" t="s">
        <v>51</v>
      </c>
      <c r="E5631" s="2" t="s">
        <v>36745</v>
      </c>
      <c r="F5631" s="2">
        <v>3223</v>
      </c>
      <c r="G5631" s="3" t="str">
        <f>HYPERLINK("https://cloud.oebiotech.com/#/lm/network/3223", "https://cloud.oebiotech.com/#/lm/network/3223")</f>
        <v>https://cloud.oebiotech.com/#/lm/network/3223</v>
      </c>
      <c r="H5631" s="2"/>
      <c r="I5631" s="2">
        <v>74764</v>
      </c>
      <c r="J5631" s="2" t="s">
        <v>36746</v>
      </c>
      <c r="K5631" s="2">
        <v>5312914</v>
      </c>
      <c r="L5631" s="2"/>
      <c r="M5631" s="2"/>
      <c r="N5631" s="2"/>
      <c r="O5631" s="2"/>
      <c r="P5631" s="2"/>
      <c r="Q5631" s="2"/>
      <c r="R5631" s="2"/>
      <c r="S5631" s="2" t="s">
        <v>36747</v>
      </c>
      <c r="T5631" s="2" t="s">
        <v>36748</v>
      </c>
      <c r="U5631" s="2" t="s">
        <v>56</v>
      </c>
      <c r="V5631" s="2" t="s">
        <v>145</v>
      </c>
      <c r="W5631" s="2" t="s">
        <v>203</v>
      </c>
      <c r="X5631" s="2" t="s">
        <v>83</v>
      </c>
      <c r="Y5631" s="2">
        <v>46.4</v>
      </c>
      <c r="Z5631" s="2">
        <v>0</v>
      </c>
      <c r="AA5631" s="2" t="s">
        <v>163</v>
      </c>
      <c r="AB5631" s="2" t="s">
        <v>23094</v>
      </c>
      <c r="AC5631" s="2">
        <v>0.26629341565992698</v>
      </c>
      <c r="AD5631" s="2"/>
      <c r="AE5631" s="2">
        <v>1.8759561952066101E-2</v>
      </c>
      <c r="AF5631" s="2">
        <v>795.83534143032603</v>
      </c>
      <c r="AG5631" s="2">
        <v>957.65817401059701</v>
      </c>
      <c r="AH5631" s="4">
        <v>0.83102234495366001</v>
      </c>
      <c r="AI5631" s="4">
        <v>-0.26704082544838798</v>
      </c>
      <c r="AJ5631" s="4" t="s">
        <v>62</v>
      </c>
      <c r="AK5631" s="2">
        <v>0.77734266857846701</v>
      </c>
      <c r="AL5631" s="2">
        <v>0.90120746404029695</v>
      </c>
      <c r="AM5631" s="2">
        <v>625.21635478707003</v>
      </c>
      <c r="AN5631" s="2">
        <v>872.74244342940904</v>
      </c>
      <c r="AO5631" s="2">
        <v>437.264495367677</v>
      </c>
      <c r="AP5631" s="2">
        <v>1467.18594561648</v>
      </c>
      <c r="AQ5631" s="2">
        <v>112.00496588476901</v>
      </c>
      <c r="AR5631" s="2">
        <v>1260.59784349655</v>
      </c>
      <c r="AS5631" s="2">
        <v>740.96336213837105</v>
      </c>
      <c r="AT5631" s="2">
        <v>376.073210933101</v>
      </c>
      <c r="AU5631" s="2">
        <v>3491.5512312667202</v>
      </c>
      <c r="AV5631" s="2">
        <v>732.26371379919397</v>
      </c>
      <c r="AW5631" s="2">
        <v>125.366476321935</v>
      </c>
      <c r="AX5631" s="2">
        <v>279.731049604259</v>
      </c>
    </row>
    <row r="5632" spans="1:50" x14ac:dyDescent="0.25">
      <c r="A5632" s="2" t="s">
        <v>36749</v>
      </c>
      <c r="B5632" s="2">
        <v>595.23488207220896</v>
      </c>
      <c r="C5632" s="2">
        <v>3.8612500000000001</v>
      </c>
      <c r="D5632" s="2" t="s">
        <v>51</v>
      </c>
      <c r="E5632" s="2" t="s">
        <v>36750</v>
      </c>
      <c r="F5632" s="2">
        <v>54476</v>
      </c>
      <c r="G5632" s="3" t="str">
        <f>HYPERLINK("https://cloud.oebiotech.com/#/lm/network/54476", "https://cloud.oebiotech.com/#/lm/network/54476")</f>
        <v>https://cloud.oebiotech.com/#/lm/network/54476</v>
      </c>
      <c r="H5632" s="2" t="s">
        <v>36751</v>
      </c>
      <c r="I5632" s="2">
        <v>86329</v>
      </c>
      <c r="J5632" s="2"/>
      <c r="K5632" s="2">
        <v>9796282</v>
      </c>
      <c r="L5632" s="2"/>
      <c r="M5632" s="2"/>
      <c r="N5632" s="2"/>
      <c r="O5632" s="2"/>
      <c r="P5632" s="2"/>
      <c r="Q5632" s="2"/>
      <c r="R5632" s="2"/>
      <c r="S5632" s="2" t="s">
        <v>36752</v>
      </c>
      <c r="T5632" s="2" t="s">
        <v>36753</v>
      </c>
      <c r="U5632" s="2" t="s">
        <v>2723</v>
      </c>
      <c r="V5632" s="2" t="s">
        <v>36754</v>
      </c>
      <c r="W5632" s="2" t="s">
        <v>240</v>
      </c>
      <c r="X5632" s="2" t="s">
        <v>147</v>
      </c>
      <c r="Y5632" s="2">
        <v>37.5</v>
      </c>
      <c r="Z5632" s="2">
        <v>0.93600000000000005</v>
      </c>
      <c r="AA5632" s="2" t="s">
        <v>478</v>
      </c>
      <c r="AB5632" s="2" t="s">
        <v>36755</v>
      </c>
      <c r="AC5632" s="2">
        <v>1.9126379681799801</v>
      </c>
      <c r="AD5632" s="2"/>
      <c r="AE5632" s="2">
        <v>1.8744106998795598E-2</v>
      </c>
      <c r="AF5632" s="2">
        <v>1262.0041824636</v>
      </c>
      <c r="AG5632" s="2">
        <v>1279.35008661449</v>
      </c>
      <c r="AH5632" s="4">
        <v>0.98644162818889003</v>
      </c>
      <c r="AI5632" s="4">
        <v>-1.9694411616150501E-2</v>
      </c>
      <c r="AJ5632" s="4" t="s">
        <v>62</v>
      </c>
      <c r="AK5632" s="2">
        <v>0.98251333073953895</v>
      </c>
      <c r="AL5632" s="2">
        <v>0.99261612839763103</v>
      </c>
      <c r="AM5632" s="2">
        <v>2253.3934557898801</v>
      </c>
      <c r="AN5632" s="2">
        <v>645.09555891187597</v>
      </c>
      <c r="AO5632" s="2">
        <v>1981.15402522354</v>
      </c>
      <c r="AP5632" s="2">
        <v>8.559877937157E-6</v>
      </c>
      <c r="AQ5632" s="2">
        <v>985.43543332741103</v>
      </c>
      <c r="AR5632" s="2">
        <v>1706.9466129689999</v>
      </c>
      <c r="AS5632" s="2">
        <v>8.559877937157E-6</v>
      </c>
      <c r="AT5632" s="2">
        <v>293.40135289114698</v>
      </c>
      <c r="AU5632" s="2">
        <v>2867.55975786828</v>
      </c>
      <c r="AV5632" s="2">
        <v>3907.4891742529198</v>
      </c>
      <c r="AW5632" s="2">
        <v>607.650217554856</v>
      </c>
      <c r="AX5632" s="2">
        <v>8.559877937157E-6</v>
      </c>
    </row>
    <row r="5633" spans="1:50" x14ac:dyDescent="0.25">
      <c r="A5633" s="2" t="s">
        <v>36756</v>
      </c>
      <c r="B5633" s="2">
        <v>265.155547493668</v>
      </c>
      <c r="C5633" s="2">
        <v>4.6486833333333299</v>
      </c>
      <c r="D5633" s="2" t="s">
        <v>51</v>
      </c>
      <c r="E5633" s="2" t="s">
        <v>36757</v>
      </c>
      <c r="F5633" s="2">
        <v>274770</v>
      </c>
      <c r="G5633" s="3" t="str">
        <f>HYPERLINK("https://cloud.oebiotech.com/#/lm/network/274770", "https://cloud.oebiotech.com/#/lm/network/274770")</f>
        <v>https://cloud.oebiotech.com/#/lm/network/274770</v>
      </c>
      <c r="H5633" s="2"/>
      <c r="I5633" s="2">
        <v>65457</v>
      </c>
      <c r="J5633" s="2"/>
      <c r="K5633" s="2">
        <v>11436562</v>
      </c>
      <c r="L5633" s="2"/>
      <c r="M5633" s="2"/>
      <c r="N5633" s="2"/>
      <c r="O5633" s="2"/>
      <c r="P5633" s="2"/>
      <c r="Q5633" s="2"/>
      <c r="R5633" s="2"/>
      <c r="S5633" s="2" t="s">
        <v>36758</v>
      </c>
      <c r="T5633" s="2" t="s">
        <v>36759</v>
      </c>
      <c r="U5633" s="2" t="s">
        <v>266</v>
      </c>
      <c r="V5633" s="2" t="s">
        <v>13648</v>
      </c>
      <c r="W5633" s="2" t="s">
        <v>15090</v>
      </c>
      <c r="X5633" s="2" t="s">
        <v>147</v>
      </c>
      <c r="Y5633" s="2">
        <v>36.200000000000003</v>
      </c>
      <c r="Z5633" s="2">
        <v>0</v>
      </c>
      <c r="AA5633" s="2" t="s">
        <v>512</v>
      </c>
      <c r="AB5633" s="2" t="s">
        <v>36760</v>
      </c>
      <c r="AC5633" s="2">
        <v>3.5551634797431801</v>
      </c>
      <c r="AD5633" s="2"/>
      <c r="AE5633" s="2">
        <v>1.87001283261027E-2</v>
      </c>
      <c r="AF5633" s="2">
        <v>388.33218662597199</v>
      </c>
      <c r="AG5633" s="2">
        <v>377.97841832590399</v>
      </c>
      <c r="AH5633" s="5">
        <v>1.02739248538561</v>
      </c>
      <c r="AI5633" s="5">
        <v>3.8987426591392302E-2</v>
      </c>
      <c r="AJ5633" s="5" t="s">
        <v>139</v>
      </c>
      <c r="AK5633" s="2">
        <v>0.97246263164637703</v>
      </c>
      <c r="AL5633" s="2">
        <v>0.98915546194842796</v>
      </c>
      <c r="AM5633" s="2">
        <v>302.74223783516601</v>
      </c>
      <c r="AN5633" s="2">
        <v>4.5522948008747104</v>
      </c>
      <c r="AO5633" s="2">
        <v>3.2515809575860901</v>
      </c>
      <c r="AP5633" s="2">
        <v>546.98135211657302</v>
      </c>
      <c r="AQ5633" s="2">
        <v>700.20009161333701</v>
      </c>
      <c r="AR5633" s="2">
        <v>772.26556243229504</v>
      </c>
      <c r="AS5633" s="2">
        <v>753.04225332899205</v>
      </c>
      <c r="AT5633" s="2">
        <v>8.559877937157E-6</v>
      </c>
      <c r="AU5633" s="2">
        <v>8.559877937157E-6</v>
      </c>
      <c r="AV5633" s="2">
        <v>8.559877937157E-6</v>
      </c>
      <c r="AW5633" s="2">
        <v>3.31338733030013</v>
      </c>
      <c r="AX5633" s="2">
        <v>1511.5148436165</v>
      </c>
    </row>
    <row r="5634" spans="1:50" x14ac:dyDescent="0.25">
      <c r="A5634" s="2" t="s">
        <v>36761</v>
      </c>
      <c r="B5634" s="2">
        <v>411.34817944476299</v>
      </c>
      <c r="C5634" s="2">
        <v>13.510733333333301</v>
      </c>
      <c r="D5634" s="2" t="s">
        <v>51</v>
      </c>
      <c r="E5634" s="2" t="s">
        <v>36762</v>
      </c>
      <c r="F5634" s="2">
        <v>51370</v>
      </c>
      <c r="G5634" s="3" t="str">
        <f>HYPERLINK("https://cloud.oebiotech.com/#/lm/network/51370", "https://cloud.oebiotech.com/#/lm/network/51370")</f>
        <v>https://cloud.oebiotech.com/#/lm/network/51370</v>
      </c>
      <c r="H5634" s="2" t="s">
        <v>36763</v>
      </c>
      <c r="I5634" s="2">
        <v>62335</v>
      </c>
      <c r="J5634" s="2"/>
      <c r="K5634" s="2">
        <v>6438186</v>
      </c>
      <c r="L5634" s="2"/>
      <c r="M5634" s="2"/>
      <c r="N5634" s="2"/>
      <c r="O5634" s="2"/>
      <c r="P5634" s="2"/>
      <c r="Q5634" s="2"/>
      <c r="R5634" s="2"/>
      <c r="S5634" s="2" t="s">
        <v>36764</v>
      </c>
      <c r="T5634" s="2" t="s">
        <v>36765</v>
      </c>
      <c r="U5634" s="2" t="s">
        <v>56</v>
      </c>
      <c r="V5634" s="2" t="s">
        <v>3215</v>
      </c>
      <c r="W5634" s="2" t="s">
        <v>4174</v>
      </c>
      <c r="X5634" s="2" t="s">
        <v>83</v>
      </c>
      <c r="Y5634" s="2">
        <v>44.5</v>
      </c>
      <c r="Z5634" s="2">
        <v>0</v>
      </c>
      <c r="AA5634" s="2" t="s">
        <v>163</v>
      </c>
      <c r="AB5634" s="2" t="s">
        <v>36766</v>
      </c>
      <c r="AC5634" s="2">
        <v>0.47497675355819702</v>
      </c>
      <c r="AD5634" s="2"/>
      <c r="AE5634" s="2">
        <v>1.8605829080707601E-2</v>
      </c>
      <c r="AF5634" s="2">
        <v>16548.039921547301</v>
      </c>
      <c r="AG5634" s="2">
        <v>16102.988109636</v>
      </c>
      <c r="AH5634" s="5">
        <v>1.0276378401872499</v>
      </c>
      <c r="AI5634" s="5">
        <v>3.9331919957611199E-2</v>
      </c>
      <c r="AJ5634" s="5" t="s">
        <v>139</v>
      </c>
      <c r="AK5634" s="2">
        <v>0.91580153736966996</v>
      </c>
      <c r="AL5634" s="2">
        <v>0.96368552416939501</v>
      </c>
      <c r="AM5634" s="2">
        <v>11849.136466022501</v>
      </c>
      <c r="AN5634" s="2">
        <v>12302.2935783474</v>
      </c>
      <c r="AO5634" s="2">
        <v>18980.949684892501</v>
      </c>
      <c r="AP5634" s="2">
        <v>24679.075747249</v>
      </c>
      <c r="AQ5634" s="2">
        <v>21234.372978683299</v>
      </c>
      <c r="AR5634" s="2">
        <v>10242.411074089299</v>
      </c>
      <c r="AS5634" s="2">
        <v>13305.720365007801</v>
      </c>
      <c r="AT5634" s="2">
        <v>22104.7953275611</v>
      </c>
      <c r="AU5634" s="2">
        <v>20129.906640020199</v>
      </c>
      <c r="AV5634" s="2">
        <v>6202.7846410903903</v>
      </c>
      <c r="AW5634" s="2">
        <v>26655.1692316642</v>
      </c>
      <c r="AX5634" s="2">
        <v>8219.5524524724406</v>
      </c>
    </row>
    <row r="5635" spans="1:50" x14ac:dyDescent="0.25">
      <c r="A5635" s="2" t="s">
        <v>36767</v>
      </c>
      <c r="B5635" s="2">
        <v>201.11271020810599</v>
      </c>
      <c r="C5635" s="2">
        <v>6.4887499999999996</v>
      </c>
      <c r="D5635" s="2" t="s">
        <v>51</v>
      </c>
      <c r="E5635" s="2" t="s">
        <v>36768</v>
      </c>
      <c r="F5635" s="2">
        <v>81800</v>
      </c>
      <c r="G5635" s="3" t="str">
        <f>HYPERLINK("https://cloud.oebiotech.com/#/lm/network/81800", "https://cloud.oebiotech.com/#/lm/network/81800")</f>
        <v>https://cloud.oebiotech.com/#/lm/network/81800</v>
      </c>
      <c r="H5635" s="2" t="s">
        <v>36769</v>
      </c>
      <c r="I5635" s="2"/>
      <c r="J5635" s="2"/>
      <c r="K5635" s="2">
        <v>22450170</v>
      </c>
      <c r="L5635" s="2"/>
      <c r="M5635" s="2"/>
      <c r="N5635" s="2"/>
      <c r="O5635" s="2">
        <v>89889</v>
      </c>
      <c r="P5635" s="2"/>
      <c r="Q5635" s="2"/>
      <c r="R5635" s="2"/>
      <c r="S5635" s="2" t="s">
        <v>36770</v>
      </c>
      <c r="T5635" s="2" t="s">
        <v>36771</v>
      </c>
      <c r="U5635" s="2" t="s">
        <v>56</v>
      </c>
      <c r="V5635" s="2" t="s">
        <v>145</v>
      </c>
      <c r="W5635" s="2" t="s">
        <v>231</v>
      </c>
      <c r="X5635" s="2" t="s">
        <v>83</v>
      </c>
      <c r="Y5635" s="2">
        <v>51.4</v>
      </c>
      <c r="Z5635" s="2">
        <v>40.5</v>
      </c>
      <c r="AA5635" s="2" t="s">
        <v>163</v>
      </c>
      <c r="AB5635" s="2" t="s">
        <v>9669</v>
      </c>
      <c r="AC5635" s="2">
        <v>-2.5846728573778601</v>
      </c>
      <c r="AD5635" s="2"/>
      <c r="AE5635" s="2">
        <v>1.8588879195102499E-2</v>
      </c>
      <c r="AF5635" s="2">
        <v>1185.3308826375201</v>
      </c>
      <c r="AG5635" s="2">
        <v>1216.43672842876</v>
      </c>
      <c r="AH5635" s="4">
        <v>0.97442871867950098</v>
      </c>
      <c r="AI5635" s="4">
        <v>-3.7371441439978101E-2</v>
      </c>
      <c r="AJ5635" s="4" t="s">
        <v>62</v>
      </c>
      <c r="AK5635" s="2">
        <v>0.72144580680027803</v>
      </c>
      <c r="AL5635" s="2">
        <v>0.87113430593434704</v>
      </c>
      <c r="AM5635" s="2">
        <v>987.47744108261804</v>
      </c>
      <c r="AN5635" s="2">
        <v>1290.2429087861899</v>
      </c>
      <c r="AO5635" s="2">
        <v>1339.2792643769901</v>
      </c>
      <c r="AP5635" s="2">
        <v>1031.0266280974899</v>
      </c>
      <c r="AQ5635" s="2">
        <v>1137.5633318315199</v>
      </c>
      <c r="AR5635" s="2">
        <v>1326.3957216502899</v>
      </c>
      <c r="AS5635" s="2">
        <v>1012.96229671008</v>
      </c>
      <c r="AT5635" s="2">
        <v>1189.6329445045701</v>
      </c>
      <c r="AU5635" s="2">
        <v>1141.4173490907101</v>
      </c>
      <c r="AV5635" s="2">
        <v>1267.5615933197901</v>
      </c>
      <c r="AW5635" s="2">
        <v>1425.06409421582</v>
      </c>
      <c r="AX5635" s="2">
        <v>1261.98209273156</v>
      </c>
    </row>
    <row r="5636" spans="1:50" x14ac:dyDescent="0.25">
      <c r="A5636" s="2" t="s">
        <v>36772</v>
      </c>
      <c r="B5636" s="2">
        <v>300.21795715432501</v>
      </c>
      <c r="C5636" s="2">
        <v>5.7962499999999997</v>
      </c>
      <c r="D5636" s="2" t="s">
        <v>51</v>
      </c>
      <c r="E5636" s="2" t="s">
        <v>36773</v>
      </c>
      <c r="F5636" s="2">
        <v>198269</v>
      </c>
      <c r="G5636" s="3" t="str">
        <f>HYPERLINK("https://cloud.oebiotech.com/#/lm/network/198269", "https://cloud.oebiotech.com/#/lm/network/198269")</f>
        <v>https://cloud.oebiotech.com/#/lm/network/198269</v>
      </c>
      <c r="H5636" s="2" t="s">
        <v>36774</v>
      </c>
      <c r="I5636" s="2"/>
      <c r="J5636" s="2"/>
      <c r="K5636" s="2"/>
      <c r="L5636" s="2"/>
      <c r="M5636" s="2"/>
      <c r="N5636" s="2"/>
      <c r="O5636" s="2"/>
      <c r="P5636" s="2"/>
      <c r="Q5636" s="2"/>
      <c r="R5636" s="2"/>
      <c r="S5636" s="2" t="s">
        <v>36775</v>
      </c>
      <c r="T5636" s="2" t="s">
        <v>36776</v>
      </c>
      <c r="U5636" s="2" t="s">
        <v>56</v>
      </c>
      <c r="V5636" s="2" t="s">
        <v>145</v>
      </c>
      <c r="W5636" s="2" t="s">
        <v>1188</v>
      </c>
      <c r="X5636" s="2" t="s">
        <v>69</v>
      </c>
      <c r="Y5636" s="2">
        <v>63.9</v>
      </c>
      <c r="Z5636" s="2">
        <v>47.6</v>
      </c>
      <c r="AA5636" s="2" t="s">
        <v>259</v>
      </c>
      <c r="AB5636" s="2" t="s">
        <v>36777</v>
      </c>
      <c r="AC5636" s="2">
        <v>3.41669871458237</v>
      </c>
      <c r="AD5636" s="2"/>
      <c r="AE5636" s="2">
        <v>1.8487425029256401E-2</v>
      </c>
      <c r="AF5636" s="2">
        <v>2868.2187146880601</v>
      </c>
      <c r="AG5636" s="2">
        <v>2961.27507777664</v>
      </c>
      <c r="AH5636" s="4">
        <v>0.96857557618103995</v>
      </c>
      <c r="AI5636" s="4">
        <v>-4.6063470810875598E-2</v>
      </c>
      <c r="AJ5636" s="4" t="s">
        <v>62</v>
      </c>
      <c r="AK5636" s="2">
        <v>0.93138595051326101</v>
      </c>
      <c r="AL5636" s="2">
        <v>0.97061347617365101</v>
      </c>
      <c r="AM5636" s="2">
        <v>2071.0102798491398</v>
      </c>
      <c r="AN5636" s="2">
        <v>1906.23427512904</v>
      </c>
      <c r="AO5636" s="2">
        <v>2905.69223255723</v>
      </c>
      <c r="AP5636" s="2">
        <v>2368.1304695669201</v>
      </c>
      <c r="AQ5636" s="2">
        <v>3308.8958416140299</v>
      </c>
      <c r="AR5636" s="2">
        <v>4649.3491894120198</v>
      </c>
      <c r="AS5636" s="2">
        <v>1267.6725462443201</v>
      </c>
      <c r="AT5636" s="2">
        <v>4773.96645622918</v>
      </c>
      <c r="AU5636" s="2">
        <v>2034.57991260176</v>
      </c>
      <c r="AV5636" s="2">
        <v>1766.1888351107</v>
      </c>
      <c r="AW5636" s="2">
        <v>6937.3238406262299</v>
      </c>
      <c r="AX5636" s="2">
        <v>987.91887584765504</v>
      </c>
    </row>
    <row r="5637" spans="1:50" x14ac:dyDescent="0.25">
      <c r="A5637" s="2" t="s">
        <v>36778</v>
      </c>
      <c r="B5637" s="2">
        <v>213.14921001508</v>
      </c>
      <c r="C5637" s="2">
        <v>6.7257166666666697</v>
      </c>
      <c r="D5637" s="2" t="s">
        <v>51</v>
      </c>
      <c r="E5637" s="2" t="s">
        <v>36779</v>
      </c>
      <c r="F5637" s="2">
        <v>54349</v>
      </c>
      <c r="G5637" s="3" t="str">
        <f>HYPERLINK("https://cloud.oebiotech.com/#/lm/network/54349", "https://cloud.oebiotech.com/#/lm/network/54349")</f>
        <v>https://cloud.oebiotech.com/#/lm/network/54349</v>
      </c>
      <c r="H5637" s="2" t="s">
        <v>36780</v>
      </c>
      <c r="I5637" s="2">
        <v>86234</v>
      </c>
      <c r="J5637" s="2"/>
      <c r="K5637" s="2">
        <v>6123064</v>
      </c>
      <c r="L5637" s="2"/>
      <c r="M5637" s="2"/>
      <c r="N5637" s="2"/>
      <c r="O5637" s="2"/>
      <c r="P5637" s="2"/>
      <c r="Q5637" s="2"/>
      <c r="R5637" s="2" t="s">
        <v>36781</v>
      </c>
      <c r="S5637" s="2" t="s">
        <v>36782</v>
      </c>
      <c r="T5637" s="2" t="s">
        <v>36783</v>
      </c>
      <c r="U5637" s="2" t="s">
        <v>56</v>
      </c>
      <c r="V5637" s="2" t="s">
        <v>145</v>
      </c>
      <c r="W5637" s="2" t="s">
        <v>203</v>
      </c>
      <c r="X5637" s="2" t="s">
        <v>83</v>
      </c>
      <c r="Y5637" s="2">
        <v>46.8</v>
      </c>
      <c r="Z5637" s="2">
        <v>0</v>
      </c>
      <c r="AA5637" s="2" t="s">
        <v>259</v>
      </c>
      <c r="AB5637" s="2" t="s">
        <v>16641</v>
      </c>
      <c r="AC5637" s="2">
        <v>3.2482273849162402</v>
      </c>
      <c r="AD5637" s="2"/>
      <c r="AE5637" s="2">
        <v>1.8396314100919301E-2</v>
      </c>
      <c r="AF5637" s="2">
        <v>2935.4879038978202</v>
      </c>
      <c r="AG5637" s="2">
        <v>2943.8264891978702</v>
      </c>
      <c r="AH5637" s="4">
        <v>0.99716743315862699</v>
      </c>
      <c r="AI5637" s="4">
        <v>-4.0923287725215399E-3</v>
      </c>
      <c r="AJ5637" s="4" t="s">
        <v>62</v>
      </c>
      <c r="AK5637" s="2">
        <v>0.97564064976430298</v>
      </c>
      <c r="AL5637" s="2">
        <v>0.98980639530347603</v>
      </c>
      <c r="AM5637" s="2">
        <v>3225.2842357239201</v>
      </c>
      <c r="AN5637" s="2">
        <v>2890.0234052076398</v>
      </c>
      <c r="AO5637" s="2">
        <v>3077.6319862804098</v>
      </c>
      <c r="AP5637" s="2">
        <v>3430.19612199828</v>
      </c>
      <c r="AQ5637" s="2">
        <v>3028.7375724288199</v>
      </c>
      <c r="AR5637" s="2">
        <v>1961.0541017478199</v>
      </c>
      <c r="AS5637" s="2">
        <v>2477.5249087643101</v>
      </c>
      <c r="AT5637" s="2">
        <v>3387.6002531571498</v>
      </c>
      <c r="AU5637" s="2">
        <v>3417.1752864454902</v>
      </c>
      <c r="AV5637" s="2">
        <v>2629.0028655285601</v>
      </c>
      <c r="AW5637" s="2">
        <v>3065.8749865935101</v>
      </c>
      <c r="AX5637" s="2">
        <v>2685.7806346982202</v>
      </c>
    </row>
    <row r="5638" spans="1:50" x14ac:dyDescent="0.25">
      <c r="A5638" s="2" t="s">
        <v>36784</v>
      </c>
      <c r="B5638" s="2">
        <v>263.1773</v>
      </c>
      <c r="C5638" s="2">
        <v>14.61</v>
      </c>
      <c r="D5638" s="2" t="s">
        <v>125</v>
      </c>
      <c r="E5638" s="2" t="s">
        <v>36785</v>
      </c>
      <c r="F5638" s="2">
        <v>546049</v>
      </c>
      <c r="G5638" s="3" t="str">
        <f>HYPERLINK("https://cloud.oebiotech.com/#/lm/network/546049", "https://cloud.oebiotech.com/#/lm/network/546049")</f>
        <v>https://cloud.oebiotech.com/#/lm/network/546049</v>
      </c>
      <c r="H5638" s="2"/>
      <c r="I5638" s="2"/>
      <c r="J5638" s="2"/>
      <c r="K5638" s="2">
        <v>20707</v>
      </c>
      <c r="L5638" s="2"/>
      <c r="M5638" s="2"/>
      <c r="N5638" s="2"/>
      <c r="O5638" s="2"/>
      <c r="P5638" s="2"/>
      <c r="Q5638" s="2"/>
      <c r="R5638" s="2"/>
      <c r="S5638" s="2" t="s">
        <v>36786</v>
      </c>
      <c r="T5638" s="2" t="s">
        <v>36787</v>
      </c>
      <c r="U5638" s="2" t="s">
        <v>266</v>
      </c>
      <c r="V5638" s="2" t="s">
        <v>7995</v>
      </c>
      <c r="W5638" s="2" t="s">
        <v>240</v>
      </c>
      <c r="X5638" s="2" t="s">
        <v>83</v>
      </c>
      <c r="Y5638" s="2">
        <v>83</v>
      </c>
      <c r="Z5638" s="2">
        <v>80</v>
      </c>
      <c r="AA5638" s="2"/>
      <c r="AB5638" s="2" t="s">
        <v>36788</v>
      </c>
      <c r="AC5638" s="2"/>
      <c r="AD5638" s="2">
        <v>491740.79862306401</v>
      </c>
      <c r="AE5638" s="2">
        <v>1.8377441349248302E-2</v>
      </c>
      <c r="AF5638" s="2">
        <v>41302.931511854098</v>
      </c>
      <c r="AG5638" s="2">
        <v>41906.286927818503</v>
      </c>
      <c r="AH5638" s="4">
        <v>0.98560226972617304</v>
      </c>
      <c r="AI5638" s="4">
        <v>-2.09225164936277E-2</v>
      </c>
      <c r="AJ5638" s="4" t="s">
        <v>62</v>
      </c>
      <c r="AK5638" s="2">
        <v>0.51008947795807502</v>
      </c>
      <c r="AL5638" s="2">
        <v>0.74444474696093699</v>
      </c>
      <c r="AM5638" s="2">
        <v>40359.608312309203</v>
      </c>
      <c r="AN5638" s="2">
        <v>41302.751843145197</v>
      </c>
      <c r="AO5638" s="2">
        <v>41032.192948077303</v>
      </c>
      <c r="AP5638" s="2">
        <v>40503.812474413702</v>
      </c>
      <c r="AQ5638" s="2">
        <v>42184.055288743701</v>
      </c>
      <c r="AR5638" s="2">
        <v>42435.168204435802</v>
      </c>
      <c r="AS5638" s="2">
        <v>40490.330129580798</v>
      </c>
      <c r="AT5638" s="2">
        <v>45237.605054307001</v>
      </c>
      <c r="AU5638" s="2">
        <v>43222.9750281827</v>
      </c>
      <c r="AV5638" s="2">
        <v>39852.9562088737</v>
      </c>
      <c r="AW5638" s="2">
        <v>41335.159728378298</v>
      </c>
      <c r="AX5638" s="2">
        <v>41298.695417588497</v>
      </c>
    </row>
    <row r="5639" spans="1:50" x14ac:dyDescent="0.25">
      <c r="A5639" s="2" t="s">
        <v>36789</v>
      </c>
      <c r="B5639" s="2">
        <v>274.14543968219499</v>
      </c>
      <c r="C5639" s="2">
        <v>9.7874166666666707</v>
      </c>
      <c r="D5639" s="2" t="s">
        <v>51</v>
      </c>
      <c r="E5639" s="2" t="s">
        <v>36790</v>
      </c>
      <c r="F5639" s="2">
        <v>33933</v>
      </c>
      <c r="G5639" s="3" t="str">
        <f>HYPERLINK("https://cloud.oebiotech.com/#/lm/network/33933", "https://cloud.oebiotech.com/#/lm/network/33933")</f>
        <v>https://cloud.oebiotech.com/#/lm/network/33933</v>
      </c>
      <c r="H5639" s="2" t="s">
        <v>36791</v>
      </c>
      <c r="I5639" s="2">
        <v>52246</v>
      </c>
      <c r="J5639" s="2" t="s">
        <v>36792</v>
      </c>
      <c r="K5639" s="2">
        <v>1214726</v>
      </c>
      <c r="L5639" s="2"/>
      <c r="M5639" s="2"/>
      <c r="N5639" s="2"/>
      <c r="O5639" s="2"/>
      <c r="P5639" s="2"/>
      <c r="Q5639" s="2"/>
      <c r="R5639" s="2"/>
      <c r="S5639" s="2" t="s">
        <v>36793</v>
      </c>
      <c r="T5639" s="2" t="s">
        <v>36794</v>
      </c>
      <c r="U5639" s="2" t="s">
        <v>540</v>
      </c>
      <c r="V5639" s="2" t="s">
        <v>10873</v>
      </c>
      <c r="W5639" s="2" t="s">
        <v>18007</v>
      </c>
      <c r="X5639" s="2" t="s">
        <v>83</v>
      </c>
      <c r="Y5639" s="2">
        <v>50.8</v>
      </c>
      <c r="Z5639" s="2">
        <v>0</v>
      </c>
      <c r="AA5639" s="2" t="s">
        <v>512</v>
      </c>
      <c r="AB5639" s="2" t="s">
        <v>36795</v>
      </c>
      <c r="AC5639" s="2">
        <v>6.5197796186378696</v>
      </c>
      <c r="AD5639" s="2"/>
      <c r="AE5639" s="2">
        <v>1.8304122694884802E-2</v>
      </c>
      <c r="AF5639" s="2">
        <v>2990.3436899701601</v>
      </c>
      <c r="AG5639" s="2">
        <v>3012.9996191709402</v>
      </c>
      <c r="AH5639" s="4">
        <v>0.99248060668291205</v>
      </c>
      <c r="AI5639" s="4">
        <v>-1.08891829750843E-2</v>
      </c>
      <c r="AJ5639" s="4" t="s">
        <v>62</v>
      </c>
      <c r="AK5639" s="2">
        <v>0.98175660911417395</v>
      </c>
      <c r="AL5639" s="2">
        <v>0.99225462124931296</v>
      </c>
      <c r="AM5639" s="2">
        <v>5757.2622529846703</v>
      </c>
      <c r="AN5639" s="2">
        <v>3459.0331295861201</v>
      </c>
      <c r="AO5639" s="2">
        <v>1154.0041518974799</v>
      </c>
      <c r="AP5639" s="2">
        <v>3595.8035780395899</v>
      </c>
      <c r="AQ5639" s="2">
        <v>1717.77139136505</v>
      </c>
      <c r="AR5639" s="2">
        <v>2258.1876359480202</v>
      </c>
      <c r="AS5639" s="2">
        <v>722.59362850222897</v>
      </c>
      <c r="AT5639" s="2">
        <v>1124.85015277262</v>
      </c>
      <c r="AU5639" s="2">
        <v>4498.0127595055201</v>
      </c>
      <c r="AV5639" s="2">
        <v>4506.36090873998</v>
      </c>
      <c r="AW5639" s="2">
        <v>3986.1836393744302</v>
      </c>
      <c r="AX5639" s="2">
        <v>3239.99662613085</v>
      </c>
    </row>
    <row r="5640" spans="1:50" x14ac:dyDescent="0.25">
      <c r="A5640" s="2" t="s">
        <v>36796</v>
      </c>
      <c r="B5640" s="2">
        <v>346.23483584793701</v>
      </c>
      <c r="C5640" s="2">
        <v>4.4640000000000004</v>
      </c>
      <c r="D5640" s="2" t="s">
        <v>51</v>
      </c>
      <c r="E5640" s="2" t="s">
        <v>36797</v>
      </c>
      <c r="F5640" s="2">
        <v>262120</v>
      </c>
      <c r="G5640" s="3" t="str">
        <f>HYPERLINK("https://cloud.oebiotech.com/#/lm/network/262120", "https://cloud.oebiotech.com/#/lm/network/262120")</f>
        <v>https://cloud.oebiotech.com/#/lm/network/262120</v>
      </c>
      <c r="H5640" s="2"/>
      <c r="I5640" s="2">
        <v>19468</v>
      </c>
      <c r="J5640" s="2"/>
      <c r="K5640" s="2">
        <v>145456281</v>
      </c>
      <c r="L5640" s="2"/>
      <c r="M5640" s="2"/>
      <c r="N5640" s="2"/>
      <c r="O5640" s="2"/>
      <c r="P5640" s="2"/>
      <c r="Q5640" s="2"/>
      <c r="R5640" s="2"/>
      <c r="S5640" s="2" t="s">
        <v>36798</v>
      </c>
      <c r="T5640" s="2" t="s">
        <v>36799</v>
      </c>
      <c r="U5640" s="2" t="s">
        <v>103</v>
      </c>
      <c r="V5640" s="2" t="s">
        <v>104</v>
      </c>
      <c r="W5640" s="2" t="s">
        <v>105</v>
      </c>
      <c r="X5640" s="2" t="s">
        <v>69</v>
      </c>
      <c r="Y5640" s="2">
        <v>63.4</v>
      </c>
      <c r="Z5640" s="2">
        <v>71.099999999999994</v>
      </c>
      <c r="AA5640" s="2" t="s">
        <v>259</v>
      </c>
      <c r="AB5640" s="2" t="s">
        <v>36583</v>
      </c>
      <c r="AC5640" s="2">
        <v>3.4421170165409598</v>
      </c>
      <c r="AD5640" s="2"/>
      <c r="AE5640" s="2">
        <v>1.8256129325175299E-2</v>
      </c>
      <c r="AF5640" s="2">
        <v>2560.0603933007801</v>
      </c>
      <c r="AG5640" s="2">
        <v>2852.17104737605</v>
      </c>
      <c r="AH5640" s="4">
        <v>0.89758305191969301</v>
      </c>
      <c r="AI5640" s="4">
        <v>-0.15588265951802899</v>
      </c>
      <c r="AJ5640" s="4" t="s">
        <v>62</v>
      </c>
      <c r="AK5640" s="2">
        <v>0.84143073709930005</v>
      </c>
      <c r="AL5640" s="2">
        <v>0.92963204272259004</v>
      </c>
      <c r="AM5640" s="2">
        <v>3870.3201480518501</v>
      </c>
      <c r="AN5640" s="2">
        <v>945.68301983806998</v>
      </c>
      <c r="AO5640" s="2">
        <v>1902.7688608696999</v>
      </c>
      <c r="AP5640" s="2">
        <v>309.032668904339</v>
      </c>
      <c r="AQ5640" s="2">
        <v>4622.4758676089896</v>
      </c>
      <c r="AR5640" s="2">
        <v>3710.0817945317299</v>
      </c>
      <c r="AS5640" s="2">
        <v>1209.6127028375599</v>
      </c>
      <c r="AT5640" s="2">
        <v>2018.39492990286</v>
      </c>
      <c r="AU5640" s="2">
        <v>4845.0171728979603</v>
      </c>
      <c r="AV5640" s="2">
        <v>8035.3873412876401</v>
      </c>
      <c r="AW5640" s="2">
        <v>647.98960096222402</v>
      </c>
      <c r="AX5640" s="2">
        <v>356.624536368034</v>
      </c>
    </row>
    <row r="5641" spans="1:50" x14ac:dyDescent="0.25">
      <c r="A5641" s="2" t="s">
        <v>36800</v>
      </c>
      <c r="B5641" s="2">
        <v>349.14070608364898</v>
      </c>
      <c r="C5641" s="2">
        <v>5.7529000000000003</v>
      </c>
      <c r="D5641" s="2" t="s">
        <v>51</v>
      </c>
      <c r="E5641" s="2" t="s">
        <v>36801</v>
      </c>
      <c r="F5641" s="2">
        <v>1726</v>
      </c>
      <c r="G5641" s="3" t="str">
        <f>HYPERLINK("https://cloud.oebiotech.com/#/lm/network/1726", "https://cloud.oebiotech.com/#/lm/network/1726")</f>
        <v>https://cloud.oebiotech.com/#/lm/network/1726</v>
      </c>
      <c r="H5641" s="2"/>
      <c r="I5641" s="2">
        <v>74529</v>
      </c>
      <c r="J5641" s="2" t="s">
        <v>36802</v>
      </c>
      <c r="K5641" s="2">
        <v>5282975</v>
      </c>
      <c r="L5641" s="2"/>
      <c r="M5641" s="2"/>
      <c r="N5641" s="2"/>
      <c r="O5641" s="2">
        <v>143034</v>
      </c>
      <c r="P5641" s="2"/>
      <c r="Q5641" s="2"/>
      <c r="R5641" s="2"/>
      <c r="S5641" s="2" t="s">
        <v>36803</v>
      </c>
      <c r="T5641" s="2" t="s">
        <v>36804</v>
      </c>
      <c r="U5641" s="2" t="s">
        <v>56</v>
      </c>
      <c r="V5641" s="2" t="s">
        <v>145</v>
      </c>
      <c r="W5641" s="2" t="s">
        <v>1188</v>
      </c>
      <c r="X5641" s="2" t="s">
        <v>147</v>
      </c>
      <c r="Y5641" s="2">
        <v>37.799999999999997</v>
      </c>
      <c r="Z5641" s="2">
        <v>0</v>
      </c>
      <c r="AA5641" s="2" t="s">
        <v>395</v>
      </c>
      <c r="AB5641" s="2" t="s">
        <v>6632</v>
      </c>
      <c r="AC5641" s="2">
        <v>-1.53437037504463</v>
      </c>
      <c r="AD5641" s="2"/>
      <c r="AE5641" s="2">
        <v>1.8237624229630101E-2</v>
      </c>
      <c r="AF5641" s="2">
        <v>513.59887894218798</v>
      </c>
      <c r="AG5641" s="2">
        <v>535.62190419706701</v>
      </c>
      <c r="AH5641" s="4">
        <v>0.958883262461245</v>
      </c>
      <c r="AI5641" s="4">
        <v>-6.0572907297371803E-2</v>
      </c>
      <c r="AJ5641" s="4" t="s">
        <v>62</v>
      </c>
      <c r="AK5641" s="2">
        <v>0.96494653065004099</v>
      </c>
      <c r="AL5641" s="2">
        <v>0.98639647014555798</v>
      </c>
      <c r="AM5641" s="2">
        <v>8.559877937157E-6</v>
      </c>
      <c r="AN5641" s="2">
        <v>1451.4332263431099</v>
      </c>
      <c r="AO5641" s="2">
        <v>590.71128576217495</v>
      </c>
      <c r="AP5641" s="2">
        <v>372.65072214504602</v>
      </c>
      <c r="AQ5641" s="2">
        <v>250.46168208268</v>
      </c>
      <c r="AR5641" s="2">
        <v>416.336348760237</v>
      </c>
      <c r="AS5641" s="2">
        <v>2739.46308335925</v>
      </c>
      <c r="AT5641" s="2">
        <v>8.559877937157E-6</v>
      </c>
      <c r="AU5641" s="2">
        <v>8.559877937157E-6</v>
      </c>
      <c r="AV5641" s="2">
        <v>130.7698348596</v>
      </c>
      <c r="AW5641" s="2">
        <v>8.559877937157E-6</v>
      </c>
      <c r="AX5641" s="2">
        <v>343.49848128391602</v>
      </c>
    </row>
    <row r="5642" spans="1:50" x14ac:dyDescent="0.25">
      <c r="A5642" s="2" t="s">
        <v>36805</v>
      </c>
      <c r="B5642" s="2">
        <v>299.07154162737402</v>
      </c>
      <c r="C5642" s="2">
        <v>4.8935333333333304</v>
      </c>
      <c r="D5642" s="2" t="s">
        <v>51</v>
      </c>
      <c r="E5642" s="2" t="s">
        <v>36806</v>
      </c>
      <c r="F5642" s="2">
        <v>54642</v>
      </c>
      <c r="G5642" s="3" t="str">
        <f>HYPERLINK("https://cloud.oebiotech.com/#/lm/network/54642", "https://cloud.oebiotech.com/#/lm/network/54642")</f>
        <v>https://cloud.oebiotech.com/#/lm/network/54642</v>
      </c>
      <c r="H5642" s="2" t="s">
        <v>36807</v>
      </c>
      <c r="I5642" s="2">
        <v>4023</v>
      </c>
      <c r="J5642" s="2"/>
      <c r="K5642" s="2">
        <v>3334</v>
      </c>
      <c r="L5642" s="2"/>
      <c r="M5642" s="2"/>
      <c r="N5642" s="2"/>
      <c r="O5642" s="2">
        <v>77092</v>
      </c>
      <c r="P5642" s="2"/>
      <c r="Q5642" s="2"/>
      <c r="R5642" s="2" t="s">
        <v>36808</v>
      </c>
      <c r="S5642" s="2" t="s">
        <v>36809</v>
      </c>
      <c r="T5642" s="2" t="s">
        <v>36810</v>
      </c>
      <c r="U5642" s="2" t="s">
        <v>266</v>
      </c>
      <c r="V5642" s="2" t="s">
        <v>2963</v>
      </c>
      <c r="W5642" s="2" t="s">
        <v>34189</v>
      </c>
      <c r="X5642" s="2" t="s">
        <v>147</v>
      </c>
      <c r="Y5642" s="2">
        <v>36.5</v>
      </c>
      <c r="Z5642" s="2">
        <v>0</v>
      </c>
      <c r="AA5642" s="2" t="s">
        <v>3659</v>
      </c>
      <c r="AB5642" s="2" t="s">
        <v>36811</v>
      </c>
      <c r="AC5642" s="2">
        <v>-4.3673073844733103</v>
      </c>
      <c r="AD5642" s="2"/>
      <c r="AE5642" s="2">
        <v>1.8231068713017998E-2</v>
      </c>
      <c r="AF5642" s="2">
        <v>1271.1777213963801</v>
      </c>
      <c r="AG5642" s="2">
        <v>1261.5260624136199</v>
      </c>
      <c r="AH5642" s="5">
        <v>1.0076507804874799</v>
      </c>
      <c r="AI5642" s="5">
        <v>1.0995733528028099E-2</v>
      </c>
      <c r="AJ5642" s="5" t="s">
        <v>139</v>
      </c>
      <c r="AK5642" s="2">
        <v>0.98006245481124998</v>
      </c>
      <c r="AL5642" s="2">
        <v>0.99157642038675697</v>
      </c>
      <c r="AM5642" s="2">
        <v>2344.2775001813502</v>
      </c>
      <c r="AN5642" s="2">
        <v>1216.5725435873601</v>
      </c>
      <c r="AO5642" s="2">
        <v>872.46344702875797</v>
      </c>
      <c r="AP5642" s="2">
        <v>2119.0478913516299</v>
      </c>
      <c r="AQ5642" s="2">
        <v>703.30288494656702</v>
      </c>
      <c r="AR5642" s="2">
        <v>371.40206128263497</v>
      </c>
      <c r="AS5642" s="2">
        <v>1970.0698098707601</v>
      </c>
      <c r="AT5642" s="2">
        <v>1476.28368635386</v>
      </c>
      <c r="AU5642" s="2">
        <v>1238.6685885337599</v>
      </c>
      <c r="AV5642" s="2">
        <v>534.51509488411102</v>
      </c>
      <c r="AW5642" s="2">
        <v>1178.7604382352999</v>
      </c>
      <c r="AX5642" s="2">
        <v>1170.85875660394</v>
      </c>
    </row>
    <row r="5643" spans="1:50" x14ac:dyDescent="0.25">
      <c r="A5643" s="2" t="s">
        <v>36812</v>
      </c>
      <c r="B5643" s="2">
        <v>468.27399187901</v>
      </c>
      <c r="C5643" s="2">
        <v>7.9849666666666703</v>
      </c>
      <c r="D5643" s="2" t="s">
        <v>51</v>
      </c>
      <c r="E5643" s="2" t="s">
        <v>36813</v>
      </c>
      <c r="F5643" s="2">
        <v>64510</v>
      </c>
      <c r="G5643" s="3" t="str">
        <f>HYPERLINK("https://cloud.oebiotech.com/#/lm/network/64510", "https://cloud.oebiotech.com/#/lm/network/64510")</f>
        <v>https://cloud.oebiotech.com/#/lm/network/64510</v>
      </c>
      <c r="H5643" s="2" t="s">
        <v>36814</v>
      </c>
      <c r="I5643" s="2">
        <v>95818</v>
      </c>
      <c r="J5643" s="2"/>
      <c r="K5643" s="2">
        <v>131753140</v>
      </c>
      <c r="L5643" s="2"/>
      <c r="M5643" s="2"/>
      <c r="N5643" s="2"/>
      <c r="O5643" s="2"/>
      <c r="P5643" s="2"/>
      <c r="Q5643" s="2"/>
      <c r="R5643" s="2"/>
      <c r="S5643" s="2" t="s">
        <v>36815</v>
      </c>
      <c r="T5643" s="2" t="s">
        <v>36816</v>
      </c>
      <c r="U5643" s="2" t="s">
        <v>103</v>
      </c>
      <c r="V5643" s="2" t="s">
        <v>1372</v>
      </c>
      <c r="W5643" s="2" t="s">
        <v>10005</v>
      </c>
      <c r="X5643" s="2" t="s">
        <v>69</v>
      </c>
      <c r="Y5643" s="2">
        <v>52.3</v>
      </c>
      <c r="Z5643" s="2">
        <v>58.8</v>
      </c>
      <c r="AA5643" s="2" t="s">
        <v>156</v>
      </c>
      <c r="AB5643" s="2" t="s">
        <v>36817</v>
      </c>
      <c r="AC5643" s="2">
        <v>7.3461786374184097</v>
      </c>
      <c r="AD5643" s="2"/>
      <c r="AE5643" s="2">
        <v>1.8184795293154501E-2</v>
      </c>
      <c r="AF5643" s="2">
        <v>2426.0065489861699</v>
      </c>
      <c r="AG5643" s="2">
        <v>2442.4572099655602</v>
      </c>
      <c r="AH5643" s="4">
        <v>0.99326470862528704</v>
      </c>
      <c r="AI5643" s="4">
        <v>-9.7498424625946795E-3</v>
      </c>
      <c r="AJ5643" s="4" t="s">
        <v>62</v>
      </c>
      <c r="AK5643" s="2">
        <v>0.98534678068996995</v>
      </c>
      <c r="AL5643" s="2">
        <v>0.994389282669362</v>
      </c>
      <c r="AM5643" s="2">
        <v>1071.6349142717099</v>
      </c>
      <c r="AN5643" s="2">
        <v>2432.5401624155602</v>
      </c>
      <c r="AO5643" s="2">
        <v>3910.74474089676</v>
      </c>
      <c r="AP5643" s="2">
        <v>1976.20671566696</v>
      </c>
      <c r="AQ5643" s="2">
        <v>2388.0755565699701</v>
      </c>
      <c r="AR5643" s="2">
        <v>2776.8372040960598</v>
      </c>
      <c r="AS5643" s="2">
        <v>6129.4620480476196</v>
      </c>
      <c r="AT5643" s="2">
        <v>2560.1351934489799</v>
      </c>
      <c r="AU5643" s="2">
        <v>1590.5885140359701</v>
      </c>
      <c r="AV5643" s="2">
        <v>537.29316048660098</v>
      </c>
      <c r="AW5643" s="2">
        <v>1821.8220130453401</v>
      </c>
      <c r="AX5643" s="2">
        <v>2015.44233072883</v>
      </c>
    </row>
    <row r="5644" spans="1:50" x14ac:dyDescent="0.25">
      <c r="A5644" s="2" t="s">
        <v>36818</v>
      </c>
      <c r="B5644" s="2">
        <v>364.19460624928598</v>
      </c>
      <c r="C5644" s="2">
        <v>12.9385666666667</v>
      </c>
      <c r="D5644" s="2" t="s">
        <v>51</v>
      </c>
      <c r="E5644" s="2" t="s">
        <v>36819</v>
      </c>
      <c r="F5644" s="2">
        <v>203641</v>
      </c>
      <c r="G5644" s="3" t="str">
        <f>HYPERLINK("https://cloud.oebiotech.com/#/lm/network/203641", "https://cloud.oebiotech.com/#/lm/network/203641")</f>
        <v>https://cloud.oebiotech.com/#/lm/network/203641</v>
      </c>
      <c r="H5644" s="2" t="s">
        <v>36820</v>
      </c>
      <c r="I5644" s="2"/>
      <c r="J5644" s="2"/>
      <c r="K5644" s="2">
        <v>3328704</v>
      </c>
      <c r="L5644" s="2"/>
      <c r="M5644" s="2"/>
      <c r="N5644" s="2"/>
      <c r="O5644" s="2"/>
      <c r="P5644" s="2"/>
      <c r="Q5644" s="2"/>
      <c r="R5644" s="2"/>
      <c r="S5644" s="2" t="s">
        <v>36821</v>
      </c>
      <c r="T5644" s="2" t="s">
        <v>36822</v>
      </c>
      <c r="U5644" s="2" t="s">
        <v>103</v>
      </c>
      <c r="V5644" s="2" t="s">
        <v>104</v>
      </c>
      <c r="W5644" s="2" t="s">
        <v>105</v>
      </c>
      <c r="X5644" s="2" t="s">
        <v>147</v>
      </c>
      <c r="Y5644" s="2">
        <v>39</v>
      </c>
      <c r="Z5644" s="2">
        <v>0</v>
      </c>
      <c r="AA5644" s="2" t="s">
        <v>512</v>
      </c>
      <c r="AB5644" s="2" t="s">
        <v>36823</v>
      </c>
      <c r="AC5644" s="2">
        <v>2.0171811279248</v>
      </c>
      <c r="AD5644" s="2"/>
      <c r="AE5644" s="2">
        <v>1.8148337193233801E-2</v>
      </c>
      <c r="AF5644" s="2">
        <v>2559.67729945469</v>
      </c>
      <c r="AG5644" s="2">
        <v>2699.0876615625202</v>
      </c>
      <c r="AH5644" s="4">
        <v>0.94834907954522496</v>
      </c>
      <c r="AI5644" s="4">
        <v>-7.6509893750058205E-2</v>
      </c>
      <c r="AJ5644" s="4" t="s">
        <v>62</v>
      </c>
      <c r="AK5644" s="2">
        <v>0.90850245250904904</v>
      </c>
      <c r="AL5644" s="2">
        <v>0.96231562186373298</v>
      </c>
      <c r="AM5644" s="2">
        <v>3182.6034840689199</v>
      </c>
      <c r="AN5644" s="2">
        <v>1433.65167323949</v>
      </c>
      <c r="AO5644" s="2">
        <v>3836.2903261368001</v>
      </c>
      <c r="AP5644" s="2">
        <v>779.45942640174599</v>
      </c>
      <c r="AQ5644" s="2">
        <v>4650.8752191051599</v>
      </c>
      <c r="AR5644" s="2">
        <v>1475.18366777601</v>
      </c>
      <c r="AS5644" s="2">
        <v>787.12528766304001</v>
      </c>
      <c r="AT5644" s="2">
        <v>1041.22534712777</v>
      </c>
      <c r="AU5644" s="2">
        <v>7398.1152887493299</v>
      </c>
      <c r="AV5644" s="2">
        <v>2197.7125022159998</v>
      </c>
      <c r="AW5644" s="2">
        <v>3101.82072731471</v>
      </c>
      <c r="AX5644" s="2">
        <v>1668.5268163042599</v>
      </c>
    </row>
    <row r="5645" spans="1:50" x14ac:dyDescent="0.25">
      <c r="A5645" s="2" t="s">
        <v>36824</v>
      </c>
      <c r="B5645" s="2">
        <v>405.264672393936</v>
      </c>
      <c r="C5645" s="2">
        <v>11.4432333333333</v>
      </c>
      <c r="D5645" s="2" t="s">
        <v>51</v>
      </c>
      <c r="E5645" s="2" t="s">
        <v>36825</v>
      </c>
      <c r="F5645" s="2">
        <v>35206</v>
      </c>
      <c r="G5645" s="3" t="str">
        <f>HYPERLINK("https://cloud.oebiotech.com/#/lm/network/35206", "https://cloud.oebiotech.com/#/lm/network/35206")</f>
        <v>https://cloud.oebiotech.com/#/lm/network/35206</v>
      </c>
      <c r="H5645" s="2"/>
      <c r="I5645" s="2"/>
      <c r="J5645" s="2" t="s">
        <v>36826</v>
      </c>
      <c r="K5645" s="2">
        <v>23626635</v>
      </c>
      <c r="L5645" s="2"/>
      <c r="M5645" s="2"/>
      <c r="N5645" s="2"/>
      <c r="O5645" s="2"/>
      <c r="P5645" s="2"/>
      <c r="Q5645" s="2"/>
      <c r="R5645" s="2"/>
      <c r="S5645" s="2" t="s">
        <v>36827</v>
      </c>
      <c r="T5645" s="2" t="s">
        <v>36828</v>
      </c>
      <c r="U5645" s="2" t="s">
        <v>56</v>
      </c>
      <c r="V5645" s="2" t="s">
        <v>145</v>
      </c>
      <c r="W5645" s="2" t="s">
        <v>146</v>
      </c>
      <c r="X5645" s="2" t="s">
        <v>83</v>
      </c>
      <c r="Y5645" s="2">
        <v>42</v>
      </c>
      <c r="Z5645" s="2">
        <v>0</v>
      </c>
      <c r="AA5645" s="2" t="s">
        <v>218</v>
      </c>
      <c r="AB5645" s="2" t="s">
        <v>32101</v>
      </c>
      <c r="AC5645" s="2">
        <v>6.8035022912219301E-2</v>
      </c>
      <c r="AD5645" s="2"/>
      <c r="AE5645" s="2">
        <v>1.8093684511594699E-2</v>
      </c>
      <c r="AF5645" s="2">
        <v>1414.37143007551</v>
      </c>
      <c r="AG5645" s="2">
        <v>1214.2463108198699</v>
      </c>
      <c r="AH5645" s="5">
        <v>1.1648142699486601</v>
      </c>
      <c r="AI5645" s="5">
        <v>0.220099934977944</v>
      </c>
      <c r="AJ5645" s="5" t="s">
        <v>139</v>
      </c>
      <c r="AK5645" s="2">
        <v>0.79642352447643205</v>
      </c>
      <c r="AL5645" s="2">
        <v>0.90954932814260703</v>
      </c>
      <c r="AM5645" s="2">
        <v>492.08617855615</v>
      </c>
      <c r="AN5645" s="2">
        <v>1942.9343607001199</v>
      </c>
      <c r="AO5645" s="2">
        <v>1678.6891571885701</v>
      </c>
      <c r="AP5645" s="2">
        <v>2144.94855352996</v>
      </c>
      <c r="AQ5645" s="2">
        <v>2121.9818612159502</v>
      </c>
      <c r="AR5645" s="2">
        <v>105.588469262296</v>
      </c>
      <c r="AS5645" s="2">
        <v>169.20246908706801</v>
      </c>
      <c r="AT5645" s="2">
        <v>1517.8635179400801</v>
      </c>
      <c r="AU5645" s="2">
        <v>123.66008658369201</v>
      </c>
      <c r="AV5645" s="2">
        <v>8.559877937157E-6</v>
      </c>
      <c r="AW5645" s="2">
        <v>1207.7256581814299</v>
      </c>
      <c r="AX5645" s="2">
        <v>4267.0261245670799</v>
      </c>
    </row>
    <row r="5646" spans="1:50" x14ac:dyDescent="0.25">
      <c r="A5646" s="2" t="s">
        <v>36829</v>
      </c>
      <c r="B5646" s="2">
        <v>290.04629144371302</v>
      </c>
      <c r="C5646" s="2">
        <v>1.3012999999999999</v>
      </c>
      <c r="D5646" s="2" t="s">
        <v>51</v>
      </c>
      <c r="E5646" s="2" t="s">
        <v>36830</v>
      </c>
      <c r="F5646" s="2">
        <v>201473</v>
      </c>
      <c r="G5646" s="3" t="str">
        <f>HYPERLINK("https://cloud.oebiotech.com/#/lm/network/201473", "https://cloud.oebiotech.com/#/lm/network/201473")</f>
        <v>https://cloud.oebiotech.com/#/lm/network/201473</v>
      </c>
      <c r="H5646" s="2" t="s">
        <v>36831</v>
      </c>
      <c r="I5646" s="2"/>
      <c r="J5646" s="2"/>
      <c r="K5646" s="2"/>
      <c r="L5646" s="2"/>
      <c r="M5646" s="2"/>
      <c r="N5646" s="2"/>
      <c r="O5646" s="2"/>
      <c r="P5646" s="2"/>
      <c r="Q5646" s="2"/>
      <c r="R5646" s="2"/>
      <c r="S5646" s="2" t="s">
        <v>36832</v>
      </c>
      <c r="T5646" s="2" t="s">
        <v>36833</v>
      </c>
      <c r="U5646" s="2" t="s">
        <v>295</v>
      </c>
      <c r="V5646" s="2" t="s">
        <v>5645</v>
      </c>
      <c r="W5646" s="2" t="s">
        <v>36834</v>
      </c>
      <c r="X5646" s="2" t="s">
        <v>147</v>
      </c>
      <c r="Y5646" s="2">
        <v>36.4</v>
      </c>
      <c r="Z5646" s="2">
        <v>0</v>
      </c>
      <c r="AA5646" s="2" t="s">
        <v>218</v>
      </c>
      <c r="AB5646" s="2" t="s">
        <v>36835</v>
      </c>
      <c r="AC5646" s="2">
        <v>4.3327532531709299</v>
      </c>
      <c r="AD5646" s="2"/>
      <c r="AE5646" s="2">
        <v>1.8059631811005498E-2</v>
      </c>
      <c r="AF5646" s="2">
        <v>4173.6274378526396</v>
      </c>
      <c r="AG5646" s="2">
        <v>4244.9601855335404</v>
      </c>
      <c r="AH5646" s="4">
        <v>0.98319589711960198</v>
      </c>
      <c r="AI5646" s="4">
        <v>-2.4449199536383599E-2</v>
      </c>
      <c r="AJ5646" s="4" t="s">
        <v>62</v>
      </c>
      <c r="AK5646" s="2">
        <v>0.89892769789212201</v>
      </c>
      <c r="AL5646" s="2">
        <v>0.95779059790043997</v>
      </c>
      <c r="AM5646" s="2">
        <v>3650.8884706877002</v>
      </c>
      <c r="AN5646" s="2">
        <v>4585.5943361067702</v>
      </c>
      <c r="AO5646" s="2">
        <v>5649.8721509234501</v>
      </c>
      <c r="AP5646" s="2">
        <v>3884.4127476593399</v>
      </c>
      <c r="AQ5646" s="2">
        <v>4433.5574671043496</v>
      </c>
      <c r="AR5646" s="2">
        <v>2837.4394546342201</v>
      </c>
      <c r="AS5646" s="2">
        <v>3624.2341865410399</v>
      </c>
      <c r="AT5646" s="2">
        <v>2635.0312212939698</v>
      </c>
      <c r="AU5646" s="2">
        <v>4915.9305769524599</v>
      </c>
      <c r="AV5646" s="2">
        <v>4967.5377711888696</v>
      </c>
      <c r="AW5646" s="2">
        <v>4403.75777412969</v>
      </c>
      <c r="AX5646" s="2">
        <v>4923.2695830952098</v>
      </c>
    </row>
    <row r="5647" spans="1:50" x14ac:dyDescent="0.25">
      <c r="A5647" s="2" t="s">
        <v>36836</v>
      </c>
      <c r="B5647" s="2">
        <v>224.20135942307101</v>
      </c>
      <c r="C5647" s="2">
        <v>11.880366666666699</v>
      </c>
      <c r="D5647" s="2" t="s">
        <v>51</v>
      </c>
      <c r="E5647" s="2" t="s">
        <v>36837</v>
      </c>
      <c r="F5647" s="2">
        <v>38950</v>
      </c>
      <c r="G5647" s="3" t="str">
        <f>HYPERLINK("https://cloud.oebiotech.com/#/lm/network/38950", "https://cloud.oebiotech.com/#/lm/network/38950")</f>
        <v>https://cloud.oebiotech.com/#/lm/network/38950</v>
      </c>
      <c r="H5647" s="2"/>
      <c r="I5647" s="2">
        <v>53907</v>
      </c>
      <c r="J5647" s="2" t="s">
        <v>36838</v>
      </c>
      <c r="K5647" s="2">
        <v>42608347</v>
      </c>
      <c r="L5647" s="2"/>
      <c r="M5647" s="2"/>
      <c r="N5647" s="2"/>
      <c r="O5647" s="2">
        <v>137787</v>
      </c>
      <c r="P5647" s="2"/>
      <c r="Q5647" s="2"/>
      <c r="R5647" s="2"/>
      <c r="S5647" s="2" t="s">
        <v>36839</v>
      </c>
      <c r="T5647" s="2" t="s">
        <v>36840</v>
      </c>
      <c r="U5647" s="2" t="s">
        <v>119</v>
      </c>
      <c r="V5647" s="2" t="s">
        <v>120</v>
      </c>
      <c r="W5647" s="2" t="s">
        <v>1887</v>
      </c>
      <c r="X5647" s="2" t="s">
        <v>59</v>
      </c>
      <c r="Y5647" s="2">
        <v>50.1</v>
      </c>
      <c r="Z5647" s="2">
        <v>57.4</v>
      </c>
      <c r="AA5647" s="2" t="s">
        <v>156</v>
      </c>
      <c r="AB5647" s="2" t="s">
        <v>36841</v>
      </c>
      <c r="AC5647" s="2">
        <v>1.9426000927510301</v>
      </c>
      <c r="AD5647" s="2"/>
      <c r="AE5647" s="2">
        <v>1.8058225878750899E-2</v>
      </c>
      <c r="AF5647" s="2">
        <v>9863.8569721793101</v>
      </c>
      <c r="AG5647" s="2">
        <v>9749.3575784865097</v>
      </c>
      <c r="AH5647" s="5">
        <v>1.0117443013830401</v>
      </c>
      <c r="AI5647" s="5">
        <v>1.6844723097203598E-2</v>
      </c>
      <c r="AJ5647" s="5" t="s">
        <v>139</v>
      </c>
      <c r="AK5647" s="2">
        <v>0.98976249929456295</v>
      </c>
      <c r="AL5647" s="2">
        <v>0.99545530263140103</v>
      </c>
      <c r="AM5647" s="2">
        <v>8.559877937157E-6</v>
      </c>
      <c r="AN5647" s="2">
        <v>8.559877937157E-6</v>
      </c>
      <c r="AO5647" s="2">
        <v>31912.9554448239</v>
      </c>
      <c r="AP5647" s="2">
        <v>8.559877937157E-6</v>
      </c>
      <c r="AQ5647" s="2">
        <v>26926.247293394299</v>
      </c>
      <c r="AR5647" s="2">
        <v>343.93906917801502</v>
      </c>
      <c r="AS5647" s="2">
        <v>27310.015573525001</v>
      </c>
      <c r="AT5647" s="2">
        <v>8.559877937157E-6</v>
      </c>
      <c r="AU5647" s="2">
        <v>30611.115676138499</v>
      </c>
      <c r="AV5647" s="2">
        <v>249.54271454949699</v>
      </c>
      <c r="AW5647" s="2">
        <v>325.47148958629703</v>
      </c>
      <c r="AX5647" s="2">
        <v>8.559877937157E-6</v>
      </c>
    </row>
    <row r="5648" spans="1:50" x14ac:dyDescent="0.25">
      <c r="A5648" s="2" t="s">
        <v>36842</v>
      </c>
      <c r="B5648" s="2">
        <v>171.06540322547301</v>
      </c>
      <c r="C5648" s="2">
        <v>4.9422166666666696</v>
      </c>
      <c r="D5648" s="2" t="s">
        <v>51</v>
      </c>
      <c r="E5648" s="2" t="s">
        <v>36843</v>
      </c>
      <c r="F5648" s="2">
        <v>56704</v>
      </c>
      <c r="G5648" s="3" t="str">
        <f>HYPERLINK("https://cloud.oebiotech.com/#/lm/network/56704", "https://cloud.oebiotech.com/#/lm/network/56704")</f>
        <v>https://cloud.oebiotech.com/#/lm/network/56704</v>
      </c>
      <c r="H5648" s="2" t="s">
        <v>36844</v>
      </c>
      <c r="I5648" s="2">
        <v>88370</v>
      </c>
      <c r="J5648" s="2"/>
      <c r="K5648" s="2">
        <v>102550</v>
      </c>
      <c r="L5648" s="2"/>
      <c r="M5648" s="2"/>
      <c r="N5648" s="2"/>
      <c r="O5648" s="2">
        <v>52939</v>
      </c>
      <c r="P5648" s="2"/>
      <c r="Q5648" s="2"/>
      <c r="R5648" s="2" t="s">
        <v>36845</v>
      </c>
      <c r="S5648" s="2" t="s">
        <v>36846</v>
      </c>
      <c r="T5648" s="2" t="s">
        <v>36847</v>
      </c>
      <c r="U5648" s="2" t="s">
        <v>266</v>
      </c>
      <c r="V5648" s="2" t="s">
        <v>3994</v>
      </c>
      <c r="W5648" s="2" t="s">
        <v>3995</v>
      </c>
      <c r="X5648" s="2" t="s">
        <v>69</v>
      </c>
      <c r="Y5648" s="2">
        <v>51.1</v>
      </c>
      <c r="Z5648" s="2">
        <v>52.5</v>
      </c>
      <c r="AA5648" s="2" t="s">
        <v>218</v>
      </c>
      <c r="AB5648" s="2" t="s">
        <v>29483</v>
      </c>
      <c r="AC5648" s="2">
        <v>-6.9740441041250296</v>
      </c>
      <c r="AD5648" s="2"/>
      <c r="AE5648" s="2">
        <v>1.7966091233704899E-2</v>
      </c>
      <c r="AF5648" s="2">
        <v>21803.9146208157</v>
      </c>
      <c r="AG5648" s="2">
        <v>21740.549006824102</v>
      </c>
      <c r="AH5648" s="5">
        <v>1.00291462805156</v>
      </c>
      <c r="AI5648" s="5">
        <v>4.1988034289915099E-3</v>
      </c>
      <c r="AJ5648" s="5" t="s">
        <v>139</v>
      </c>
      <c r="AK5648" s="2">
        <v>0.97669710820526501</v>
      </c>
      <c r="AL5648" s="2">
        <v>0.990375872145971</v>
      </c>
      <c r="AM5648" s="2">
        <v>18107.720421281902</v>
      </c>
      <c r="AN5648" s="2">
        <v>22261.8276815145</v>
      </c>
      <c r="AO5648" s="2">
        <v>24782.460156800302</v>
      </c>
      <c r="AP5648" s="2">
        <v>23785.421919558201</v>
      </c>
      <c r="AQ5648" s="2">
        <v>21755.586153873799</v>
      </c>
      <c r="AR5648" s="2">
        <v>20130.4713918657</v>
      </c>
      <c r="AS5648" s="2">
        <v>24108.7888588106</v>
      </c>
      <c r="AT5648" s="2">
        <v>26578.163857526</v>
      </c>
      <c r="AU5648" s="2">
        <v>16539.0122502673</v>
      </c>
      <c r="AV5648" s="2">
        <v>25112.5874490309</v>
      </c>
      <c r="AW5648" s="2">
        <v>15666.0308268792</v>
      </c>
      <c r="AX5648" s="2">
        <v>22438.710798430799</v>
      </c>
    </row>
    <row r="5649" spans="1:50" x14ac:dyDescent="0.25">
      <c r="A5649" s="2" t="s">
        <v>36848</v>
      </c>
      <c r="B5649" s="2">
        <v>169.08611260770601</v>
      </c>
      <c r="C5649" s="2">
        <v>6.9037166666666696</v>
      </c>
      <c r="D5649" s="2" t="s">
        <v>51</v>
      </c>
      <c r="E5649" s="2" t="s">
        <v>36849</v>
      </c>
      <c r="F5649" s="2">
        <v>2213</v>
      </c>
      <c r="G5649" s="3" t="str">
        <f>HYPERLINK("https://cloud.oebiotech.com/#/lm/network/2213", "https://cloud.oebiotech.com/#/lm/network/2213")</f>
        <v>https://cloud.oebiotech.com/#/lm/network/2213</v>
      </c>
      <c r="H5649" s="2"/>
      <c r="I5649" s="2"/>
      <c r="J5649" s="2" t="s">
        <v>36850</v>
      </c>
      <c r="K5649" s="2">
        <v>6293976</v>
      </c>
      <c r="L5649" s="2"/>
      <c r="M5649" s="2"/>
      <c r="N5649" s="2"/>
      <c r="O5649" s="2"/>
      <c r="P5649" s="2"/>
      <c r="Q5649" s="2"/>
      <c r="R5649" s="2"/>
      <c r="S5649" s="2" t="s">
        <v>36851</v>
      </c>
      <c r="T5649" s="2" t="s">
        <v>36852</v>
      </c>
      <c r="U5649" s="2" t="s">
        <v>103</v>
      </c>
      <c r="V5649" s="2" t="s">
        <v>2602</v>
      </c>
      <c r="W5649" s="2" t="s">
        <v>2603</v>
      </c>
      <c r="X5649" s="2" t="s">
        <v>83</v>
      </c>
      <c r="Y5649" s="2">
        <v>53.6</v>
      </c>
      <c r="Z5649" s="2">
        <v>40.9</v>
      </c>
      <c r="AA5649" s="2" t="s">
        <v>163</v>
      </c>
      <c r="AB5649" s="2" t="s">
        <v>25008</v>
      </c>
      <c r="AC5649" s="2">
        <v>-5.3221535584776198</v>
      </c>
      <c r="AD5649" s="2"/>
      <c r="AE5649" s="2">
        <v>1.7951887418857299E-2</v>
      </c>
      <c r="AF5649" s="2">
        <v>2127.9026330687698</v>
      </c>
      <c r="AG5649" s="2">
        <v>2245.1715679337899</v>
      </c>
      <c r="AH5649" s="4">
        <v>0.94776838592654</v>
      </c>
      <c r="AI5649" s="4">
        <v>-7.73935561237237E-2</v>
      </c>
      <c r="AJ5649" s="4" t="s">
        <v>62</v>
      </c>
      <c r="AK5649" s="2">
        <v>0.72925474491027398</v>
      </c>
      <c r="AL5649" s="2">
        <v>0.87519414201178403</v>
      </c>
      <c r="AM5649" s="2">
        <v>2261.28997536821</v>
      </c>
      <c r="AN5649" s="2">
        <v>1794.9467602054001</v>
      </c>
      <c r="AO5649" s="2">
        <v>1717.31257268288</v>
      </c>
      <c r="AP5649" s="2">
        <v>2536.0652571222599</v>
      </c>
      <c r="AQ5649" s="2">
        <v>2762.3214064395102</v>
      </c>
      <c r="AR5649" s="2">
        <v>1695.47982659434</v>
      </c>
      <c r="AS5649" s="2">
        <v>1999.7917456903699</v>
      </c>
      <c r="AT5649" s="2">
        <v>3516.8901873765599</v>
      </c>
      <c r="AU5649" s="2">
        <v>1847.2298950139</v>
      </c>
      <c r="AV5649" s="2">
        <v>1714.2377762292399</v>
      </c>
      <c r="AW5649" s="2">
        <v>2396.3735406450901</v>
      </c>
      <c r="AX5649" s="2">
        <v>1996.5062626475701</v>
      </c>
    </row>
    <row r="5650" spans="1:50" x14ac:dyDescent="0.25">
      <c r="A5650" s="2" t="s">
        <v>36853</v>
      </c>
      <c r="B5650" s="2">
        <v>312.217895143894</v>
      </c>
      <c r="C5650" s="2">
        <v>5.9617833333333303</v>
      </c>
      <c r="D5650" s="2" t="s">
        <v>51</v>
      </c>
      <c r="E5650" s="2" t="s">
        <v>36854</v>
      </c>
      <c r="F5650" s="2">
        <v>197655</v>
      </c>
      <c r="G5650" s="3" t="str">
        <f>HYPERLINK("https://cloud.oebiotech.com/#/lm/network/197655", "https://cloud.oebiotech.com/#/lm/network/197655")</f>
        <v>https://cloud.oebiotech.com/#/lm/network/197655</v>
      </c>
      <c r="H5650" s="2" t="s">
        <v>36855</v>
      </c>
      <c r="I5650" s="2"/>
      <c r="J5650" s="2"/>
      <c r="K5650" s="2"/>
      <c r="L5650" s="2"/>
      <c r="M5650" s="2"/>
      <c r="N5650" s="2"/>
      <c r="O5650" s="2"/>
      <c r="P5650" s="2"/>
      <c r="Q5650" s="2"/>
      <c r="R5650" s="2"/>
      <c r="S5650" s="2" t="s">
        <v>36856</v>
      </c>
      <c r="T5650" s="2" t="s">
        <v>36857</v>
      </c>
      <c r="U5650" s="2" t="s">
        <v>56</v>
      </c>
      <c r="V5650" s="2" t="s">
        <v>145</v>
      </c>
      <c r="W5650" s="2" t="s">
        <v>1188</v>
      </c>
      <c r="X5650" s="2" t="s">
        <v>69</v>
      </c>
      <c r="Y5650" s="2">
        <v>51.1</v>
      </c>
      <c r="Z5650" s="2">
        <v>58.1</v>
      </c>
      <c r="AA5650" s="2" t="s">
        <v>259</v>
      </c>
      <c r="AB5650" s="2" t="s">
        <v>36858</v>
      </c>
      <c r="AC5650" s="2">
        <v>3.0856973671591699</v>
      </c>
      <c r="AD5650" s="2"/>
      <c r="AE5650" s="2">
        <v>1.7891765921437E-2</v>
      </c>
      <c r="AF5650" s="2">
        <v>12468.432241755299</v>
      </c>
      <c r="AG5650" s="2">
        <v>11098.6706558605</v>
      </c>
      <c r="AH5650" s="5">
        <v>1.1234167251527101</v>
      </c>
      <c r="AI5650" s="5">
        <v>0.167893186679025</v>
      </c>
      <c r="AJ5650" s="5" t="s">
        <v>139</v>
      </c>
      <c r="AK5650" s="2">
        <v>0.73257671408328995</v>
      </c>
      <c r="AL5650" s="2">
        <v>0.876699849125678</v>
      </c>
      <c r="AM5650" s="2">
        <v>7904.5919404941596</v>
      </c>
      <c r="AN5650" s="2">
        <v>17047.767443187298</v>
      </c>
      <c r="AO5650" s="2">
        <v>14368.5453448314</v>
      </c>
      <c r="AP5650" s="2">
        <v>17675.0567317444</v>
      </c>
      <c r="AQ5650" s="2">
        <v>8314.5028158389305</v>
      </c>
      <c r="AR5650" s="2">
        <v>9500.1291744357804</v>
      </c>
      <c r="AS5650" s="2">
        <v>16890.601442138901</v>
      </c>
      <c r="AT5650" s="2">
        <v>5698.8225597886903</v>
      </c>
      <c r="AU5650" s="2">
        <v>5002.9427072721001</v>
      </c>
      <c r="AV5650" s="2">
        <v>4089.6716338346801</v>
      </c>
      <c r="AW5650" s="2">
        <v>25437.663669934602</v>
      </c>
      <c r="AX5650" s="2">
        <v>9472.32192219426</v>
      </c>
    </row>
    <row r="5651" spans="1:50" x14ac:dyDescent="0.25">
      <c r="A5651" s="2" t="s">
        <v>36859</v>
      </c>
      <c r="B5651" s="2">
        <v>385.31129008983601</v>
      </c>
      <c r="C5651" s="2">
        <v>14.5064666666667</v>
      </c>
      <c r="D5651" s="2" t="s">
        <v>51</v>
      </c>
      <c r="E5651" s="2" t="s">
        <v>36860</v>
      </c>
      <c r="F5651" s="2">
        <v>1256</v>
      </c>
      <c r="G5651" s="3" t="str">
        <f>HYPERLINK("https://cloud.oebiotech.com/#/lm/network/1256", "https://cloud.oebiotech.com/#/lm/network/1256")</f>
        <v>https://cloud.oebiotech.com/#/lm/network/1256</v>
      </c>
      <c r="H5651" s="2"/>
      <c r="I5651" s="2">
        <v>74381</v>
      </c>
      <c r="J5651" s="2" t="s">
        <v>36861</v>
      </c>
      <c r="K5651" s="2">
        <v>52921820</v>
      </c>
      <c r="L5651" s="2"/>
      <c r="M5651" s="2"/>
      <c r="N5651" s="2"/>
      <c r="O5651" s="2">
        <v>77531</v>
      </c>
      <c r="P5651" s="2"/>
      <c r="Q5651" s="2"/>
      <c r="R5651" s="2"/>
      <c r="S5651" s="2" t="s">
        <v>36862</v>
      </c>
      <c r="T5651" s="2" t="s">
        <v>36863</v>
      </c>
      <c r="U5651" s="2" t="s">
        <v>56</v>
      </c>
      <c r="V5651" s="2" t="s">
        <v>145</v>
      </c>
      <c r="W5651" s="2" t="s">
        <v>231</v>
      </c>
      <c r="X5651" s="2" t="s">
        <v>83</v>
      </c>
      <c r="Y5651" s="2">
        <v>41.5</v>
      </c>
      <c r="Z5651" s="2">
        <v>0</v>
      </c>
      <c r="AA5651" s="2" t="s">
        <v>163</v>
      </c>
      <c r="AB5651" s="2" t="s">
        <v>18623</v>
      </c>
      <c r="AC5651" s="2">
        <v>0.22244800574066101</v>
      </c>
      <c r="AD5651" s="2"/>
      <c r="AE5651" s="2">
        <v>1.78906979434479E-2</v>
      </c>
      <c r="AF5651" s="2">
        <v>533.790291903808</v>
      </c>
      <c r="AG5651" s="2">
        <v>443.39291658363402</v>
      </c>
      <c r="AH5651" s="5">
        <v>1.2038764534550801</v>
      </c>
      <c r="AI5651" s="5">
        <v>0.267687344644779</v>
      </c>
      <c r="AJ5651" s="5" t="s">
        <v>139</v>
      </c>
      <c r="AK5651" s="2">
        <v>0.72519619017900405</v>
      </c>
      <c r="AL5651" s="2">
        <v>0.87310915389285904</v>
      </c>
      <c r="AM5651" s="2">
        <v>709.02086127593395</v>
      </c>
      <c r="AN5651" s="2">
        <v>8.559877937157E-6</v>
      </c>
      <c r="AO5651" s="2">
        <v>148.96990652513401</v>
      </c>
      <c r="AP5651" s="2">
        <v>145.231295332879</v>
      </c>
      <c r="AQ5651" s="2">
        <v>680.48539075337203</v>
      </c>
      <c r="AR5651" s="2">
        <v>1519.03428897565</v>
      </c>
      <c r="AS5651" s="2">
        <v>401.832634795275</v>
      </c>
      <c r="AT5651" s="2">
        <v>196.42464441748999</v>
      </c>
      <c r="AU5651" s="2">
        <v>651.31105602610899</v>
      </c>
      <c r="AV5651" s="2">
        <v>712.12284295673101</v>
      </c>
      <c r="AW5651" s="2">
        <v>539.61403006971898</v>
      </c>
      <c r="AX5651" s="2">
        <v>159.052291236483</v>
      </c>
    </row>
    <row r="5652" spans="1:50" x14ac:dyDescent="0.25">
      <c r="A5652" s="2" t="s">
        <v>36864</v>
      </c>
      <c r="B5652" s="2">
        <v>523.14173316884899</v>
      </c>
      <c r="C5652" s="2">
        <v>3.6067666666666698</v>
      </c>
      <c r="D5652" s="2" t="s">
        <v>51</v>
      </c>
      <c r="E5652" s="2" t="s">
        <v>36865</v>
      </c>
      <c r="F5652" s="2">
        <v>197336</v>
      </c>
      <c r="G5652" s="3" t="str">
        <f>HYPERLINK("https://cloud.oebiotech.com/#/lm/network/197336", "https://cloud.oebiotech.com/#/lm/network/197336")</f>
        <v>https://cloud.oebiotech.com/#/lm/network/197336</v>
      </c>
      <c r="H5652" s="2" t="s">
        <v>36866</v>
      </c>
      <c r="I5652" s="2"/>
      <c r="J5652" s="2"/>
      <c r="K5652" s="2">
        <v>5318432</v>
      </c>
      <c r="L5652" s="2"/>
      <c r="M5652" s="2"/>
      <c r="N5652" s="2"/>
      <c r="O5652" s="2"/>
      <c r="P5652" s="2"/>
      <c r="Q5652" s="2"/>
      <c r="R5652" s="2"/>
      <c r="S5652" s="2" t="s">
        <v>36867</v>
      </c>
      <c r="T5652" s="2" t="s">
        <v>36868</v>
      </c>
      <c r="U5652" s="2" t="s">
        <v>266</v>
      </c>
      <c r="V5652" s="2" t="s">
        <v>445</v>
      </c>
      <c r="W5652" s="2" t="s">
        <v>8002</v>
      </c>
      <c r="X5652" s="2" t="s">
        <v>147</v>
      </c>
      <c r="Y5652" s="2">
        <v>39.299999999999997</v>
      </c>
      <c r="Z5652" s="2">
        <v>0</v>
      </c>
      <c r="AA5652" s="2" t="s">
        <v>478</v>
      </c>
      <c r="AB5652" s="2" t="s">
        <v>36869</v>
      </c>
      <c r="AC5652" s="2">
        <v>1.0578339083131101</v>
      </c>
      <c r="AD5652" s="2"/>
      <c r="AE5652" s="2">
        <v>1.7806946837237599E-2</v>
      </c>
      <c r="AF5652" s="2">
        <v>2615.4510046181999</v>
      </c>
      <c r="AG5652" s="2">
        <v>2391.2347786056098</v>
      </c>
      <c r="AH5652" s="5">
        <v>1.0937658769513801</v>
      </c>
      <c r="AI5652" s="5">
        <v>0.129303959054927</v>
      </c>
      <c r="AJ5652" s="5" t="s">
        <v>139</v>
      </c>
      <c r="AK5652" s="2">
        <v>0.827785186853642</v>
      </c>
      <c r="AL5652" s="2">
        <v>0.92429976515301204</v>
      </c>
      <c r="AM5652" s="2">
        <v>2031.3649834083401</v>
      </c>
      <c r="AN5652" s="2">
        <v>2950.1694199440999</v>
      </c>
      <c r="AO5652" s="2">
        <v>304.18755059454099</v>
      </c>
      <c r="AP5652" s="2">
        <v>4681.7437022773702</v>
      </c>
      <c r="AQ5652" s="2">
        <v>2810.77363368428</v>
      </c>
      <c r="AR5652" s="2">
        <v>2914.4667378005702</v>
      </c>
      <c r="AS5652" s="2">
        <v>2629.9592959339102</v>
      </c>
      <c r="AT5652" s="2">
        <v>4550.9663154912696</v>
      </c>
      <c r="AU5652" s="2">
        <v>1088.04004134303</v>
      </c>
      <c r="AV5652" s="2">
        <v>254.67068233043901</v>
      </c>
      <c r="AW5652" s="2">
        <v>847.51773351900601</v>
      </c>
      <c r="AX5652" s="2">
        <v>4976.2546030160102</v>
      </c>
    </row>
    <row r="5653" spans="1:50" x14ac:dyDescent="0.25">
      <c r="A5653" s="2" t="s">
        <v>36870</v>
      </c>
      <c r="B5653" s="2">
        <v>488.19318284402902</v>
      </c>
      <c r="C5653" s="2">
        <v>6.3084166666666697</v>
      </c>
      <c r="D5653" s="2" t="s">
        <v>51</v>
      </c>
      <c r="E5653" s="2" t="s">
        <v>36871</v>
      </c>
      <c r="F5653" s="2">
        <v>274671</v>
      </c>
      <c r="G5653" s="3" t="str">
        <f>HYPERLINK("https://cloud.oebiotech.com/#/lm/network/274671", "https://cloud.oebiotech.com/#/lm/network/274671")</f>
        <v>https://cloud.oebiotech.com/#/lm/network/274671</v>
      </c>
      <c r="H5653" s="2"/>
      <c r="I5653" s="2">
        <v>64836</v>
      </c>
      <c r="J5653" s="2"/>
      <c r="K5653" s="2">
        <v>44819541</v>
      </c>
      <c r="L5653" s="2"/>
      <c r="M5653" s="2"/>
      <c r="N5653" s="2"/>
      <c r="O5653" s="2"/>
      <c r="P5653" s="2"/>
      <c r="Q5653" s="2"/>
      <c r="R5653" s="2" t="s">
        <v>36872</v>
      </c>
      <c r="S5653" s="2" t="s">
        <v>36873</v>
      </c>
      <c r="T5653" s="2" t="s">
        <v>36874</v>
      </c>
      <c r="U5653" s="2" t="s">
        <v>266</v>
      </c>
      <c r="V5653" s="2" t="s">
        <v>4187</v>
      </c>
      <c r="W5653" s="2" t="s">
        <v>240</v>
      </c>
      <c r="X5653" s="2" t="s">
        <v>147</v>
      </c>
      <c r="Y5653" s="2">
        <v>37.1</v>
      </c>
      <c r="Z5653" s="2">
        <v>0</v>
      </c>
      <c r="AA5653" s="2" t="s">
        <v>218</v>
      </c>
      <c r="AB5653" s="2" t="s">
        <v>36875</v>
      </c>
      <c r="AC5653" s="2">
        <v>-1.71416449453978</v>
      </c>
      <c r="AD5653" s="2"/>
      <c r="AE5653" s="2">
        <v>1.7801309480648599E-2</v>
      </c>
      <c r="AF5653" s="2">
        <v>1495.7646295703701</v>
      </c>
      <c r="AG5653" s="2">
        <v>1646.80011372224</v>
      </c>
      <c r="AH5653" s="4">
        <v>0.90828547867264298</v>
      </c>
      <c r="AI5653" s="4">
        <v>-0.13878227982282501</v>
      </c>
      <c r="AJ5653" s="4" t="s">
        <v>62</v>
      </c>
      <c r="AK5653" s="2">
        <v>0.89503250352347996</v>
      </c>
      <c r="AL5653" s="2">
        <v>0.95572085852857902</v>
      </c>
      <c r="AM5653" s="2">
        <v>1175.9910243362799</v>
      </c>
      <c r="AN5653" s="2">
        <v>941.50860060869604</v>
      </c>
      <c r="AO5653" s="2">
        <v>4170.2211952471098</v>
      </c>
      <c r="AP5653" s="2">
        <v>1668.3871042887799</v>
      </c>
      <c r="AQ5653" s="2">
        <v>963.50219751780105</v>
      </c>
      <c r="AR5653" s="2">
        <v>54.977655423559298</v>
      </c>
      <c r="AS5653" s="2">
        <v>8.559877937157E-6</v>
      </c>
      <c r="AT5653" s="2">
        <v>1162.0928357651401</v>
      </c>
      <c r="AU5653" s="2">
        <v>6361.4153941332897</v>
      </c>
      <c r="AV5653" s="2">
        <v>875.15881873541196</v>
      </c>
      <c r="AW5653" s="2">
        <v>778.31021971382597</v>
      </c>
      <c r="AX5653" s="2">
        <v>703.82340542591896</v>
      </c>
    </row>
    <row r="5654" spans="1:50" x14ac:dyDescent="0.25">
      <c r="A5654" s="2" t="s">
        <v>36876</v>
      </c>
      <c r="B5654" s="2">
        <v>353.26985372227102</v>
      </c>
      <c r="C5654" s="2">
        <v>13.8001166666667</v>
      </c>
      <c r="D5654" s="2" t="s">
        <v>51</v>
      </c>
      <c r="E5654" s="2" t="s">
        <v>36877</v>
      </c>
      <c r="F5654" s="2">
        <v>7124</v>
      </c>
      <c r="G5654" s="3" t="str">
        <f>HYPERLINK("https://cloud.oebiotech.com/#/lm/network/7124", "https://cloud.oebiotech.com/#/lm/network/7124")</f>
        <v>https://cloud.oebiotech.com/#/lm/network/7124</v>
      </c>
      <c r="H5654" s="2"/>
      <c r="I5654" s="2">
        <v>46384</v>
      </c>
      <c r="J5654" s="2" t="s">
        <v>36878</v>
      </c>
      <c r="K5654" s="2">
        <v>5363215</v>
      </c>
      <c r="L5654" s="2"/>
      <c r="M5654" s="2"/>
      <c r="N5654" s="2"/>
      <c r="O5654" s="2"/>
      <c r="P5654" s="2"/>
      <c r="Q5654" s="2"/>
      <c r="R5654" s="2"/>
      <c r="S5654" s="2" t="s">
        <v>36879</v>
      </c>
      <c r="T5654" s="2" t="s">
        <v>36880</v>
      </c>
      <c r="U5654" s="2" t="s">
        <v>56</v>
      </c>
      <c r="V5654" s="2" t="s">
        <v>145</v>
      </c>
      <c r="W5654" s="2" t="s">
        <v>17251</v>
      </c>
      <c r="X5654" s="2" t="s">
        <v>83</v>
      </c>
      <c r="Y5654" s="2">
        <v>55</v>
      </c>
      <c r="Z5654" s="2">
        <v>0</v>
      </c>
      <c r="AA5654" s="2" t="s">
        <v>218</v>
      </c>
      <c r="AB5654" s="2" t="s">
        <v>11936</v>
      </c>
      <c r="AC5654" s="2">
        <v>0.390754965658348</v>
      </c>
      <c r="AD5654" s="2"/>
      <c r="AE5654" s="2">
        <v>1.7778564952187301E-2</v>
      </c>
      <c r="AF5654" s="2">
        <v>880.24517631893696</v>
      </c>
      <c r="AG5654" s="2">
        <v>958.38357644203097</v>
      </c>
      <c r="AH5654" s="4">
        <v>0.91846855262985505</v>
      </c>
      <c r="AI5654" s="4">
        <v>-0.1226977690234</v>
      </c>
      <c r="AJ5654" s="4" t="s">
        <v>62</v>
      </c>
      <c r="AK5654" s="2">
        <v>0.87889543088600897</v>
      </c>
      <c r="AL5654" s="2">
        <v>0.94763287790961603</v>
      </c>
      <c r="AM5654" s="2">
        <v>2371.6971072403699</v>
      </c>
      <c r="AN5654" s="2">
        <v>701.67955571279299</v>
      </c>
      <c r="AO5654" s="2">
        <v>505.77021216068903</v>
      </c>
      <c r="AP5654" s="2">
        <v>578.50136409266895</v>
      </c>
      <c r="AQ5654" s="2">
        <v>726.249898396351</v>
      </c>
      <c r="AR5654" s="2">
        <v>397.572920310749</v>
      </c>
      <c r="AS5654" s="2">
        <v>8.559877937157E-6</v>
      </c>
      <c r="AT5654" s="2">
        <v>200.97217651196701</v>
      </c>
      <c r="AU5654" s="2">
        <v>2566.9618722908099</v>
      </c>
      <c r="AV5654" s="2">
        <v>1252.1523831224899</v>
      </c>
      <c r="AW5654" s="2">
        <v>1398.33386250486</v>
      </c>
      <c r="AX5654" s="2">
        <v>331.88115566218403</v>
      </c>
    </row>
    <row r="5655" spans="1:50" x14ac:dyDescent="0.25">
      <c r="A5655" s="2" t="s">
        <v>36881</v>
      </c>
      <c r="B5655" s="2">
        <v>341.01249999999999</v>
      </c>
      <c r="C5655" s="2">
        <v>10.811</v>
      </c>
      <c r="D5655" s="2" t="s">
        <v>125</v>
      </c>
      <c r="E5655" s="2" t="s">
        <v>36882</v>
      </c>
      <c r="F5655" s="2">
        <v>2478</v>
      </c>
      <c r="G5655" s="3" t="str">
        <f>HYPERLINK("https://cloud.oebiotech.com/#/lm/network/2478", "https://cloud.oebiotech.com/#/lm/network/2478")</f>
        <v>https://cloud.oebiotech.com/#/lm/network/2478</v>
      </c>
      <c r="H5655" s="2" t="s">
        <v>36883</v>
      </c>
      <c r="I5655" s="2">
        <v>3926</v>
      </c>
      <c r="J5655" s="2" t="s">
        <v>36884</v>
      </c>
      <c r="K5655" s="2">
        <v>564</v>
      </c>
      <c r="L5655" s="2" t="s">
        <v>36885</v>
      </c>
      <c r="M5655" s="2"/>
      <c r="N5655" s="2"/>
      <c r="O5655" s="2">
        <v>16586</v>
      </c>
      <c r="P5655" s="2"/>
      <c r="Q5655" s="2"/>
      <c r="R5655" s="2" t="s">
        <v>36886</v>
      </c>
      <c r="S5655" s="2" t="s">
        <v>36887</v>
      </c>
      <c r="T5655" s="2" t="s">
        <v>36888</v>
      </c>
      <c r="U5655" s="2" t="s">
        <v>56</v>
      </c>
      <c r="V5655" s="2" t="s">
        <v>145</v>
      </c>
      <c r="W5655" s="2" t="s">
        <v>231</v>
      </c>
      <c r="X5655" s="2" t="s">
        <v>69</v>
      </c>
      <c r="Y5655" s="2">
        <v>92.5</v>
      </c>
      <c r="Z5655" s="2">
        <v>88.9</v>
      </c>
      <c r="AA5655" s="2"/>
      <c r="AB5655" s="2" t="s">
        <v>5212</v>
      </c>
      <c r="AC5655" s="2"/>
      <c r="AD5655" s="2">
        <v>365831.98813056399</v>
      </c>
      <c r="AE5655" s="2">
        <v>1.7776726710918199E-2</v>
      </c>
      <c r="AF5655" s="2">
        <v>18727.867211567002</v>
      </c>
      <c r="AG5655" s="2">
        <v>21311.597046616302</v>
      </c>
      <c r="AH5655" s="4">
        <v>0.87876413816394106</v>
      </c>
      <c r="AI5655" s="4">
        <v>-0.186452099441963</v>
      </c>
      <c r="AJ5655" s="4" t="s">
        <v>62</v>
      </c>
      <c r="AK5655" s="2">
        <v>0.82858926996013305</v>
      </c>
      <c r="AL5655" s="2">
        <v>0.92453281603106896</v>
      </c>
      <c r="AM5655" s="2">
        <v>43079.522378072703</v>
      </c>
      <c r="AN5655" s="2">
        <v>20836.1943652152</v>
      </c>
      <c r="AO5655" s="2">
        <v>19468.404723244301</v>
      </c>
      <c r="AP5655" s="2">
        <v>8049.6089957239901</v>
      </c>
      <c r="AQ5655" s="2">
        <v>11046.6259372967</v>
      </c>
      <c r="AR5655" s="2">
        <v>9886.8468698489705</v>
      </c>
      <c r="AS5655" s="2">
        <v>8343.2965723202506</v>
      </c>
      <c r="AT5655" s="2">
        <v>12736.271581912401</v>
      </c>
      <c r="AU5655" s="2">
        <v>72375.802587586993</v>
      </c>
      <c r="AV5655" s="2">
        <v>18070.810905689501</v>
      </c>
      <c r="AW5655" s="2">
        <v>8266.1765906300097</v>
      </c>
      <c r="AX5655" s="2">
        <v>8077.2240415586602</v>
      </c>
    </row>
    <row r="5656" spans="1:50" x14ac:dyDescent="0.25">
      <c r="A5656" s="2" t="s">
        <v>36889</v>
      </c>
      <c r="B5656" s="2">
        <v>335.14299999999997</v>
      </c>
      <c r="C5656" s="2">
        <v>16.309000000000001</v>
      </c>
      <c r="D5656" s="2" t="s">
        <v>125</v>
      </c>
      <c r="E5656" s="2" t="s">
        <v>36890</v>
      </c>
      <c r="F5656" s="2">
        <v>540803</v>
      </c>
      <c r="G5656" s="3" t="str">
        <f>HYPERLINK("https://cloud.oebiotech.com/#/lm/network/540803", "https://cloud.oebiotech.com/#/lm/network/540803")</f>
        <v>https://cloud.oebiotech.com/#/lm/network/540803</v>
      </c>
      <c r="H5656" s="2"/>
      <c r="I5656" s="2"/>
      <c r="J5656" s="2"/>
      <c r="K5656" s="2"/>
      <c r="L5656" s="2" t="s">
        <v>36891</v>
      </c>
      <c r="M5656" s="2" t="s">
        <v>15379</v>
      </c>
      <c r="N5656" s="2" t="s">
        <v>15380</v>
      </c>
      <c r="O5656" s="2"/>
      <c r="P5656" s="2"/>
      <c r="Q5656" s="2"/>
      <c r="R5656" s="2" t="s">
        <v>36892</v>
      </c>
      <c r="S5656" s="2" t="s">
        <v>36893</v>
      </c>
      <c r="T5656" s="2" t="s">
        <v>36894</v>
      </c>
      <c r="U5656" s="2" t="s">
        <v>331</v>
      </c>
      <c r="V5656" s="2" t="s">
        <v>332</v>
      </c>
      <c r="W5656" s="2" t="s">
        <v>333</v>
      </c>
      <c r="X5656" s="2" t="s">
        <v>83</v>
      </c>
      <c r="Y5656" s="2">
        <v>83.1</v>
      </c>
      <c r="Z5656" s="2">
        <v>71.900000000000006</v>
      </c>
      <c r="AA5656" s="2"/>
      <c r="AB5656" s="2" t="s">
        <v>2762</v>
      </c>
      <c r="AC5656" s="2"/>
      <c r="AD5656" s="2">
        <v>548195.55662650603</v>
      </c>
      <c r="AE5656" s="2">
        <v>1.7622571588234302E-2</v>
      </c>
      <c r="AF5656" s="2">
        <v>6115.28964623312</v>
      </c>
      <c r="AG5656" s="2">
        <v>6672.9247767753104</v>
      </c>
      <c r="AH5656" s="4">
        <v>0.91643317597659701</v>
      </c>
      <c r="AI5656" s="4">
        <v>-0.12589840801413699</v>
      </c>
      <c r="AJ5656" s="4" t="s">
        <v>62</v>
      </c>
      <c r="AK5656" s="2">
        <v>0.592224634805251</v>
      </c>
      <c r="AL5656" s="2">
        <v>0.79386716117380296</v>
      </c>
      <c r="AM5656" s="2">
        <v>7457.59681032362</v>
      </c>
      <c r="AN5656" s="2">
        <v>7200.6448672311599</v>
      </c>
      <c r="AO5656" s="2">
        <v>5632.3641088079803</v>
      </c>
      <c r="AP5656" s="2">
        <v>2299.8352172700202</v>
      </c>
      <c r="AQ5656" s="2">
        <v>5629.6553534219402</v>
      </c>
      <c r="AR5656" s="2">
        <v>8471.6415203440192</v>
      </c>
      <c r="AS5656" s="2">
        <v>8928.8276968426508</v>
      </c>
      <c r="AT5656" s="2">
        <v>6296.2065353785501</v>
      </c>
      <c r="AU5656" s="2">
        <v>6478.2195722000197</v>
      </c>
      <c r="AV5656" s="2">
        <v>6556.8321865108801</v>
      </c>
      <c r="AW5656" s="2">
        <v>6337.5028939393496</v>
      </c>
      <c r="AX5656" s="2">
        <v>5439.9597757804404</v>
      </c>
    </row>
    <row r="5657" spans="1:50" x14ac:dyDescent="0.25">
      <c r="A5657" s="2" t="s">
        <v>36895</v>
      </c>
      <c r="B5657" s="2">
        <v>708.02841919899595</v>
      </c>
      <c r="C5657" s="2">
        <v>4.1536</v>
      </c>
      <c r="D5657" s="2" t="s">
        <v>51</v>
      </c>
      <c r="E5657" s="2" t="s">
        <v>36896</v>
      </c>
      <c r="F5657" s="2">
        <v>212492</v>
      </c>
      <c r="G5657" s="3" t="str">
        <f>HYPERLINK("https://cloud.oebiotech.com/#/lm/network/212492", "https://cloud.oebiotech.com/#/lm/network/212492")</f>
        <v>https://cloud.oebiotech.com/#/lm/network/212492</v>
      </c>
      <c r="H5657" s="2" t="s">
        <v>36897</v>
      </c>
      <c r="I5657" s="2"/>
      <c r="J5657" s="2"/>
      <c r="K5657" s="2">
        <v>337960</v>
      </c>
      <c r="L5657" s="2"/>
      <c r="M5657" s="2"/>
      <c r="N5657" s="2"/>
      <c r="O5657" s="2"/>
      <c r="P5657" s="2"/>
      <c r="Q5657" s="2"/>
      <c r="R5657" s="2"/>
      <c r="S5657" s="2" t="s">
        <v>36898</v>
      </c>
      <c r="T5657" s="2" t="s">
        <v>36899</v>
      </c>
      <c r="U5657" s="2" t="s">
        <v>295</v>
      </c>
      <c r="V5657" s="2" t="s">
        <v>1023</v>
      </c>
      <c r="W5657" s="2" t="s">
        <v>1024</v>
      </c>
      <c r="X5657" s="2" t="s">
        <v>147</v>
      </c>
      <c r="Y5657" s="2">
        <v>38</v>
      </c>
      <c r="Z5657" s="2">
        <v>0</v>
      </c>
      <c r="AA5657" s="2" t="s">
        <v>395</v>
      </c>
      <c r="AB5657" s="2" t="s">
        <v>36900</v>
      </c>
      <c r="AC5657" s="2">
        <v>-0.42096054286589502</v>
      </c>
      <c r="AD5657" s="2"/>
      <c r="AE5657" s="2">
        <v>1.7522217994937701E-2</v>
      </c>
      <c r="AF5657" s="2">
        <v>773.71344327971894</v>
      </c>
      <c r="AG5657" s="2">
        <v>868.82706567597802</v>
      </c>
      <c r="AH5657" s="4">
        <v>0.89052640490399804</v>
      </c>
      <c r="AI5657" s="4">
        <v>-0.16726970572859401</v>
      </c>
      <c r="AJ5657" s="4" t="s">
        <v>62</v>
      </c>
      <c r="AK5657" s="2">
        <v>0.90936645237153901</v>
      </c>
      <c r="AL5657" s="2">
        <v>0.96252844734401399</v>
      </c>
      <c r="AM5657" s="2">
        <v>1642.16212650185</v>
      </c>
      <c r="AN5657" s="2">
        <v>356.38863440401798</v>
      </c>
      <c r="AO5657" s="2">
        <v>1131.1705960250599</v>
      </c>
      <c r="AP5657" s="2">
        <v>8.559877937157E-6</v>
      </c>
      <c r="AQ5657" s="2">
        <v>8.559877937157E-6</v>
      </c>
      <c r="AR5657" s="2">
        <v>1512.5592856276301</v>
      </c>
      <c r="AS5657" s="2">
        <v>599.99606349635906</v>
      </c>
      <c r="AT5657" s="2">
        <v>8.559877937157E-6</v>
      </c>
      <c r="AU5657" s="2">
        <v>8.559877937157E-6</v>
      </c>
      <c r="AV5657" s="2">
        <v>8.559877937157E-6</v>
      </c>
      <c r="AW5657" s="2">
        <v>4612.9662963199999</v>
      </c>
      <c r="AX5657" s="2">
        <v>8.559877937157E-6</v>
      </c>
    </row>
    <row r="5658" spans="1:50" x14ac:dyDescent="0.25">
      <c r="A5658" s="2" t="s">
        <v>36901</v>
      </c>
      <c r="B5658" s="2">
        <v>453.39566402747801</v>
      </c>
      <c r="C5658" s="2">
        <v>14.757666666666699</v>
      </c>
      <c r="D5658" s="2" t="s">
        <v>51</v>
      </c>
      <c r="E5658" s="2" t="s">
        <v>36902</v>
      </c>
      <c r="F5658" s="2">
        <v>2548</v>
      </c>
      <c r="G5658" s="3" t="str">
        <f>HYPERLINK("https://cloud.oebiotech.com/#/lm/network/2548", "https://cloud.oebiotech.com/#/lm/network/2548")</f>
        <v>https://cloud.oebiotech.com/#/lm/network/2548</v>
      </c>
      <c r="H5658" s="2"/>
      <c r="I5658" s="2">
        <v>74895</v>
      </c>
      <c r="J5658" s="2" t="s">
        <v>36903</v>
      </c>
      <c r="K5658" s="2">
        <v>52921866</v>
      </c>
      <c r="L5658" s="2"/>
      <c r="M5658" s="2"/>
      <c r="N5658" s="2"/>
      <c r="O5658" s="2"/>
      <c r="P5658" s="2"/>
      <c r="Q5658" s="2"/>
      <c r="R5658" s="2"/>
      <c r="S5658" s="2" t="s">
        <v>36904</v>
      </c>
      <c r="T5658" s="2" t="s">
        <v>36905</v>
      </c>
      <c r="U5658" s="2" t="s">
        <v>56</v>
      </c>
      <c r="V5658" s="2" t="s">
        <v>145</v>
      </c>
      <c r="W5658" s="2" t="s">
        <v>231</v>
      </c>
      <c r="X5658" s="2" t="s">
        <v>83</v>
      </c>
      <c r="Y5658" s="2">
        <v>43.9</v>
      </c>
      <c r="Z5658" s="2">
        <v>0</v>
      </c>
      <c r="AA5658" s="2" t="s">
        <v>218</v>
      </c>
      <c r="AB5658" s="2" t="s">
        <v>36906</v>
      </c>
      <c r="AC5658" s="2">
        <v>1.7880914872034299</v>
      </c>
      <c r="AD5658" s="2"/>
      <c r="AE5658" s="2">
        <v>1.7520371708849E-2</v>
      </c>
      <c r="AF5658" s="2">
        <v>1398.09445735753</v>
      </c>
      <c r="AG5658" s="2">
        <v>1332.34972132143</v>
      </c>
      <c r="AH5658" s="5">
        <v>1.04934495424437</v>
      </c>
      <c r="AI5658" s="5">
        <v>6.9489017256919194E-2</v>
      </c>
      <c r="AJ5658" s="5" t="s">
        <v>139</v>
      </c>
      <c r="AK5658" s="2">
        <v>0.92687643657976804</v>
      </c>
      <c r="AL5658" s="2">
        <v>0.96869836634135797</v>
      </c>
      <c r="AM5658" s="2">
        <v>676.03139301185797</v>
      </c>
      <c r="AN5658" s="2">
        <v>733.06764999250697</v>
      </c>
      <c r="AO5658" s="2">
        <v>906.27720752500397</v>
      </c>
      <c r="AP5658" s="2">
        <v>1584.3748653387499</v>
      </c>
      <c r="AQ5658" s="2">
        <v>3209.1010684646499</v>
      </c>
      <c r="AR5658" s="2">
        <v>1279.71455981244</v>
      </c>
      <c r="AS5658" s="2">
        <v>1472.62028683837</v>
      </c>
      <c r="AT5658" s="2">
        <v>4018.2309620173701</v>
      </c>
      <c r="AU5658" s="2">
        <v>995.15104179471803</v>
      </c>
      <c r="AV5658" s="2">
        <v>189.60315298155999</v>
      </c>
      <c r="AW5658" s="2">
        <v>1181.7327209811299</v>
      </c>
      <c r="AX5658" s="2">
        <v>136.76016331543499</v>
      </c>
    </row>
    <row r="5659" spans="1:50" x14ac:dyDescent="0.25">
      <c r="A5659" s="2" t="s">
        <v>36907</v>
      </c>
      <c r="B5659" s="2">
        <v>263.16520335530402</v>
      </c>
      <c r="C5659" s="2">
        <v>10.4937</v>
      </c>
      <c r="D5659" s="2" t="s">
        <v>51</v>
      </c>
      <c r="E5659" s="2" t="s">
        <v>36908</v>
      </c>
      <c r="F5659" s="2">
        <v>61629</v>
      </c>
      <c r="G5659" s="3" t="str">
        <f>HYPERLINK("https://cloud.oebiotech.com/#/lm/network/61629", "https://cloud.oebiotech.com/#/lm/network/61629")</f>
        <v>https://cloud.oebiotech.com/#/lm/network/61629</v>
      </c>
      <c r="H5659" s="2" t="s">
        <v>36909</v>
      </c>
      <c r="I5659" s="2">
        <v>92935</v>
      </c>
      <c r="J5659" s="2"/>
      <c r="K5659" s="2">
        <v>75582266</v>
      </c>
      <c r="L5659" s="2"/>
      <c r="M5659" s="2"/>
      <c r="N5659" s="2"/>
      <c r="O5659" s="2"/>
      <c r="P5659" s="2"/>
      <c r="Q5659" s="2"/>
      <c r="R5659" s="2"/>
      <c r="S5659" s="2" t="s">
        <v>36910</v>
      </c>
      <c r="T5659" s="2" t="s">
        <v>36911</v>
      </c>
      <c r="U5659" s="2" t="s">
        <v>56</v>
      </c>
      <c r="V5659" s="2" t="s">
        <v>177</v>
      </c>
      <c r="W5659" s="2" t="s">
        <v>1996</v>
      </c>
      <c r="X5659" s="2" t="s">
        <v>83</v>
      </c>
      <c r="Y5659" s="2">
        <v>42.1</v>
      </c>
      <c r="Z5659" s="2">
        <v>0</v>
      </c>
      <c r="AA5659" s="2" t="s">
        <v>218</v>
      </c>
      <c r="AB5659" s="2" t="s">
        <v>16120</v>
      </c>
      <c r="AC5659" s="2">
        <v>-0.29720249674507099</v>
      </c>
      <c r="AD5659" s="2"/>
      <c r="AE5659" s="2">
        <v>1.7461024037281302E-2</v>
      </c>
      <c r="AF5659" s="2">
        <v>385.24115688738698</v>
      </c>
      <c r="AG5659" s="2">
        <v>500.653657413367</v>
      </c>
      <c r="AH5659" s="4">
        <v>0.769476365912794</v>
      </c>
      <c r="AI5659" s="4">
        <v>-0.37805107932027798</v>
      </c>
      <c r="AJ5659" s="4" t="s">
        <v>62</v>
      </c>
      <c r="AK5659" s="2">
        <v>0.64252902714584903</v>
      </c>
      <c r="AL5659" s="2">
        <v>0.82551284011359105</v>
      </c>
      <c r="AM5659" s="2">
        <v>367.346171473352</v>
      </c>
      <c r="AN5659" s="2">
        <v>543.28321535190105</v>
      </c>
      <c r="AO5659" s="2">
        <v>252.826285717063</v>
      </c>
      <c r="AP5659" s="2">
        <v>224.879947878054</v>
      </c>
      <c r="AQ5659" s="2">
        <v>393.32313234398998</v>
      </c>
      <c r="AR5659" s="2">
        <v>529.78818855995905</v>
      </c>
      <c r="AS5659" s="2">
        <v>298.17449740559499</v>
      </c>
      <c r="AT5659" s="2">
        <v>141.53019494081801</v>
      </c>
      <c r="AU5659" s="2">
        <v>1667.4382562508299</v>
      </c>
      <c r="AV5659" s="2">
        <v>332.77314436466798</v>
      </c>
      <c r="AW5659" s="2">
        <v>285.82126018335401</v>
      </c>
      <c r="AX5659" s="2">
        <v>278.18459133493701</v>
      </c>
    </row>
    <row r="5660" spans="1:50" x14ac:dyDescent="0.25">
      <c r="A5660" s="2" t="s">
        <v>36912</v>
      </c>
      <c r="B5660" s="2">
        <v>219.17492414725399</v>
      </c>
      <c r="C5660" s="2">
        <v>10.691333333333301</v>
      </c>
      <c r="D5660" s="2" t="s">
        <v>51</v>
      </c>
      <c r="E5660" s="2" t="s">
        <v>36913</v>
      </c>
      <c r="F5660" s="2">
        <v>61888</v>
      </c>
      <c r="G5660" s="3" t="str">
        <f>HYPERLINK("https://cloud.oebiotech.com/#/lm/network/61888", "https://cloud.oebiotech.com/#/lm/network/61888")</f>
        <v>https://cloud.oebiotech.com/#/lm/network/61888</v>
      </c>
      <c r="H5660" s="2" t="s">
        <v>36914</v>
      </c>
      <c r="I5660" s="2">
        <v>93188</v>
      </c>
      <c r="J5660" s="2"/>
      <c r="K5660" s="2">
        <v>5315469</v>
      </c>
      <c r="L5660" s="2"/>
      <c r="M5660" s="2"/>
      <c r="N5660" s="2"/>
      <c r="O5660" s="2"/>
      <c r="P5660" s="2"/>
      <c r="Q5660" s="2"/>
      <c r="R5660" s="2" t="s">
        <v>36915</v>
      </c>
      <c r="S5660" s="2" t="s">
        <v>36916</v>
      </c>
      <c r="T5660" s="2" t="s">
        <v>36917</v>
      </c>
      <c r="U5660" s="2" t="s">
        <v>56</v>
      </c>
      <c r="V5660" s="2" t="s">
        <v>177</v>
      </c>
      <c r="W5660" s="2" t="s">
        <v>1996</v>
      </c>
      <c r="X5660" s="2" t="s">
        <v>69</v>
      </c>
      <c r="Y5660" s="2">
        <v>62.6</v>
      </c>
      <c r="Z5660" s="2">
        <v>55.2</v>
      </c>
      <c r="AA5660" s="2" t="s">
        <v>259</v>
      </c>
      <c r="AB5660" s="2" t="s">
        <v>16120</v>
      </c>
      <c r="AC5660" s="2">
        <v>2.6694687084868902</v>
      </c>
      <c r="AD5660" s="2"/>
      <c r="AE5660" s="2">
        <v>1.7460295734612299E-2</v>
      </c>
      <c r="AF5660" s="2">
        <v>6127.5046271383899</v>
      </c>
      <c r="AG5660" s="2">
        <v>6294.0002717809302</v>
      </c>
      <c r="AH5660" s="4">
        <v>0.97354692763694095</v>
      </c>
      <c r="AI5660" s="4">
        <v>-3.8677572400599998E-2</v>
      </c>
      <c r="AJ5660" s="4" t="s">
        <v>62</v>
      </c>
      <c r="AK5660" s="2">
        <v>0.82908941638920597</v>
      </c>
      <c r="AL5660" s="2">
        <v>0.92453281603106896</v>
      </c>
      <c r="AM5660" s="2">
        <v>7205.7671468586304</v>
      </c>
      <c r="AN5660" s="2">
        <v>4563.6205346800598</v>
      </c>
      <c r="AO5660" s="2">
        <v>7233.9447898048102</v>
      </c>
      <c r="AP5660" s="2">
        <v>5925.2850012161898</v>
      </c>
      <c r="AQ5660" s="2">
        <v>5752.2630520817402</v>
      </c>
      <c r="AR5660" s="2">
        <v>6084.1472381889198</v>
      </c>
      <c r="AS5660" s="2">
        <v>4711.5022620995396</v>
      </c>
      <c r="AT5660" s="2">
        <v>7729.9284813074</v>
      </c>
      <c r="AU5660" s="2">
        <v>8177.0671445066901</v>
      </c>
      <c r="AV5660" s="2">
        <v>6578.9266227621001</v>
      </c>
      <c r="AW5660" s="2">
        <v>6200.7358576310799</v>
      </c>
      <c r="AX5660" s="2">
        <v>4365.8412623787599</v>
      </c>
    </row>
    <row r="5661" spans="1:50" x14ac:dyDescent="0.25">
      <c r="A5661" s="2" t="s">
        <v>36918</v>
      </c>
      <c r="B5661" s="2">
        <v>487.00206893070799</v>
      </c>
      <c r="C5661" s="2">
        <v>10.681100000000001</v>
      </c>
      <c r="D5661" s="2" t="s">
        <v>51</v>
      </c>
      <c r="E5661" s="2" t="s">
        <v>36919</v>
      </c>
      <c r="F5661" s="2">
        <v>197200</v>
      </c>
      <c r="G5661" s="3" t="str">
        <f>HYPERLINK("https://cloud.oebiotech.com/#/lm/network/197200", "https://cloud.oebiotech.com/#/lm/network/197200")</f>
        <v>https://cloud.oebiotech.com/#/lm/network/197200</v>
      </c>
      <c r="H5661" s="2" t="s">
        <v>36920</v>
      </c>
      <c r="I5661" s="2"/>
      <c r="J5661" s="2"/>
      <c r="K5661" s="2">
        <v>59950526</v>
      </c>
      <c r="L5661" s="2"/>
      <c r="M5661" s="2"/>
      <c r="N5661" s="2"/>
      <c r="O5661" s="2"/>
      <c r="P5661" s="2"/>
      <c r="Q5661" s="2"/>
      <c r="R5661" s="2"/>
      <c r="S5661" s="2" t="s">
        <v>36921</v>
      </c>
      <c r="T5661" s="2" t="s">
        <v>36922</v>
      </c>
      <c r="U5661" s="2" t="s">
        <v>540</v>
      </c>
      <c r="V5661" s="2" t="s">
        <v>3291</v>
      </c>
      <c r="W5661" s="2" t="s">
        <v>3292</v>
      </c>
      <c r="X5661" s="2" t="s">
        <v>147</v>
      </c>
      <c r="Y5661" s="2">
        <v>37.200000000000003</v>
      </c>
      <c r="Z5661" s="2">
        <v>0</v>
      </c>
      <c r="AA5661" s="2" t="s">
        <v>478</v>
      </c>
      <c r="AB5661" s="2" t="s">
        <v>36923</v>
      </c>
      <c r="AC5661" s="2">
        <v>2.1053224512864701</v>
      </c>
      <c r="AD5661" s="2"/>
      <c r="AE5661" s="2">
        <v>1.7243845613283099E-2</v>
      </c>
      <c r="AF5661" s="2">
        <v>3999.2751510314401</v>
      </c>
      <c r="AG5661" s="2">
        <v>3963.4535548858798</v>
      </c>
      <c r="AH5661" s="5">
        <v>1.00903797550533</v>
      </c>
      <c r="AI5661" s="5">
        <v>1.2980471810208999E-2</v>
      </c>
      <c r="AJ5661" s="5" t="s">
        <v>139</v>
      </c>
      <c r="AK5661" s="2">
        <v>0.94899839061310998</v>
      </c>
      <c r="AL5661" s="2">
        <v>0.97875606918993896</v>
      </c>
      <c r="AM5661" s="2">
        <v>4203.5451759791804</v>
      </c>
      <c r="AN5661" s="2">
        <v>3517.9008360668599</v>
      </c>
      <c r="AO5661" s="2">
        <v>5179.9498874324699</v>
      </c>
      <c r="AP5661" s="2">
        <v>2761.8572797051302</v>
      </c>
      <c r="AQ5661" s="2">
        <v>4863.0447314675403</v>
      </c>
      <c r="AR5661" s="2">
        <v>3469.3529955374402</v>
      </c>
      <c r="AS5661" s="2">
        <v>2647.94175887657</v>
      </c>
      <c r="AT5661" s="2">
        <v>3210.9097508523801</v>
      </c>
      <c r="AU5661" s="2">
        <v>4176.7482963250905</v>
      </c>
      <c r="AV5661" s="2">
        <v>4478.88854918366</v>
      </c>
      <c r="AW5661" s="2">
        <v>3852.6742518148599</v>
      </c>
      <c r="AX5661" s="2">
        <v>5413.5587222627</v>
      </c>
    </row>
    <row r="5662" spans="1:50" x14ac:dyDescent="0.25">
      <c r="A5662" s="2" t="s">
        <v>36924</v>
      </c>
      <c r="B5662" s="2">
        <v>315.09878476068099</v>
      </c>
      <c r="C5662" s="2">
        <v>5.24315</v>
      </c>
      <c r="D5662" s="2" t="s">
        <v>51</v>
      </c>
      <c r="E5662" s="2" t="s">
        <v>36925</v>
      </c>
      <c r="F5662" s="2">
        <v>82453</v>
      </c>
      <c r="G5662" s="3" t="str">
        <f>HYPERLINK("https://cloud.oebiotech.com/#/lm/network/82453", "https://cloud.oebiotech.com/#/lm/network/82453")</f>
        <v>https://cloud.oebiotech.com/#/lm/network/82453</v>
      </c>
      <c r="H5662" s="2" t="s">
        <v>36926</v>
      </c>
      <c r="I5662" s="2"/>
      <c r="J5662" s="2"/>
      <c r="K5662" s="2">
        <v>114725</v>
      </c>
      <c r="L5662" s="2"/>
      <c r="M5662" s="2"/>
      <c r="N5662" s="2"/>
      <c r="O5662" s="2">
        <v>83815</v>
      </c>
      <c r="P5662" s="2"/>
      <c r="Q5662" s="2"/>
      <c r="R5662" s="2"/>
      <c r="S5662" s="2" t="s">
        <v>36927</v>
      </c>
      <c r="T5662" s="2" t="s">
        <v>36928</v>
      </c>
      <c r="U5662" s="2" t="s">
        <v>266</v>
      </c>
      <c r="V5662" s="2" t="s">
        <v>5066</v>
      </c>
      <c r="W5662" s="2" t="s">
        <v>5067</v>
      </c>
      <c r="X5662" s="2" t="s">
        <v>147</v>
      </c>
      <c r="Y5662" s="2">
        <v>39.299999999999997</v>
      </c>
      <c r="Z5662" s="2">
        <v>0</v>
      </c>
      <c r="AA5662" s="2" t="s">
        <v>218</v>
      </c>
      <c r="AB5662" s="2" t="s">
        <v>36929</v>
      </c>
      <c r="AC5662" s="2">
        <v>0.51674636093345305</v>
      </c>
      <c r="AD5662" s="2"/>
      <c r="AE5662" s="2">
        <v>1.7086255458618301E-2</v>
      </c>
      <c r="AF5662" s="2">
        <v>840.91177557887897</v>
      </c>
      <c r="AG5662" s="2">
        <v>1038.7835064635699</v>
      </c>
      <c r="AH5662" s="4">
        <v>0.80951591004912404</v>
      </c>
      <c r="AI5662" s="4">
        <v>-0.30486865966722998</v>
      </c>
      <c r="AJ5662" s="4" t="s">
        <v>62</v>
      </c>
      <c r="AK5662" s="2">
        <v>0.65107839204571505</v>
      </c>
      <c r="AL5662" s="2">
        <v>0.83038202534685202</v>
      </c>
      <c r="AM5662" s="2">
        <v>1422.85899624378</v>
      </c>
      <c r="AN5662" s="2">
        <v>703.55163172638697</v>
      </c>
      <c r="AO5662" s="2">
        <v>651.25762275495697</v>
      </c>
      <c r="AP5662" s="2">
        <v>787.63050098875499</v>
      </c>
      <c r="AQ5662" s="2">
        <v>683.75555715856501</v>
      </c>
      <c r="AR5662" s="2">
        <v>796.41634460083105</v>
      </c>
      <c r="AS5662" s="2">
        <v>1904.19943167461</v>
      </c>
      <c r="AT5662" s="2">
        <v>2667.06372501242</v>
      </c>
      <c r="AU5662" s="2">
        <v>326.76679247175201</v>
      </c>
      <c r="AV5662" s="2">
        <v>527.94940862898397</v>
      </c>
      <c r="AW5662" s="2">
        <v>347.63848033536101</v>
      </c>
      <c r="AX5662" s="2">
        <v>459.08320065830998</v>
      </c>
    </row>
    <row r="5663" spans="1:50" x14ac:dyDescent="0.25">
      <c r="A5663" s="2" t="s">
        <v>36930</v>
      </c>
      <c r="B5663" s="2">
        <v>265.18083979497902</v>
      </c>
      <c r="C5663" s="2">
        <v>10.09835</v>
      </c>
      <c r="D5663" s="2" t="s">
        <v>51</v>
      </c>
      <c r="E5663" s="2" t="s">
        <v>36931</v>
      </c>
      <c r="F5663" s="2">
        <v>212358</v>
      </c>
      <c r="G5663" s="3" t="str">
        <f>HYPERLINK("https://cloud.oebiotech.com/#/lm/network/212358", "https://cloud.oebiotech.com/#/lm/network/212358")</f>
        <v>https://cloud.oebiotech.com/#/lm/network/212358</v>
      </c>
      <c r="H5663" s="2" t="s">
        <v>36932</v>
      </c>
      <c r="I5663" s="2"/>
      <c r="J5663" s="2"/>
      <c r="K5663" s="2"/>
      <c r="L5663" s="2"/>
      <c r="M5663" s="2"/>
      <c r="N5663" s="2"/>
      <c r="O5663" s="2"/>
      <c r="P5663" s="2"/>
      <c r="Q5663" s="2"/>
      <c r="R5663" s="2"/>
      <c r="S5663" s="2" t="s">
        <v>36933</v>
      </c>
      <c r="T5663" s="2" t="s">
        <v>36934</v>
      </c>
      <c r="U5663" s="2" t="s">
        <v>56</v>
      </c>
      <c r="V5663" s="2" t="s">
        <v>145</v>
      </c>
      <c r="W5663" s="2" t="s">
        <v>231</v>
      </c>
      <c r="X5663" s="2" t="s">
        <v>83</v>
      </c>
      <c r="Y5663" s="2">
        <v>54.3</v>
      </c>
      <c r="Z5663" s="2">
        <v>2.94</v>
      </c>
      <c r="AA5663" s="2" t="s">
        <v>379</v>
      </c>
      <c r="AB5663" s="2" t="s">
        <v>36935</v>
      </c>
      <c r="AC5663" s="2">
        <v>-0.27607869071704499</v>
      </c>
      <c r="AD5663" s="2"/>
      <c r="AE5663" s="2">
        <v>1.70655641803075E-2</v>
      </c>
      <c r="AF5663" s="2">
        <v>2307.2702431072998</v>
      </c>
      <c r="AG5663" s="2">
        <v>2883.8001917289398</v>
      </c>
      <c r="AH5663" s="4">
        <v>0.80007978698552396</v>
      </c>
      <c r="AI5663" s="4">
        <v>-0.32178421670156798</v>
      </c>
      <c r="AJ5663" s="4" t="s">
        <v>62</v>
      </c>
      <c r="AK5663" s="2">
        <v>0.68052709496052299</v>
      </c>
      <c r="AL5663" s="2">
        <v>0.84577964471019995</v>
      </c>
      <c r="AM5663" s="2">
        <v>3920.85497513885</v>
      </c>
      <c r="AN5663" s="2">
        <v>3238.4976009921402</v>
      </c>
      <c r="AO5663" s="2">
        <v>1312.42118223273</v>
      </c>
      <c r="AP5663" s="2">
        <v>1333.9323418224001</v>
      </c>
      <c r="AQ5663" s="2">
        <v>1424.24281074806</v>
      </c>
      <c r="AR5663" s="2">
        <v>2613.6725477096502</v>
      </c>
      <c r="AS5663" s="2">
        <v>1101.4674072713501</v>
      </c>
      <c r="AT5663" s="2">
        <v>929.72846889560503</v>
      </c>
      <c r="AU5663" s="2">
        <v>9113.3420516802107</v>
      </c>
      <c r="AV5663" s="2">
        <v>2032.9747467413499</v>
      </c>
      <c r="AW5663" s="2">
        <v>2870.3981181857098</v>
      </c>
      <c r="AX5663" s="2">
        <v>1254.89035759942</v>
      </c>
    </row>
    <row r="5664" spans="1:50" x14ac:dyDescent="0.25">
      <c r="A5664" s="2" t="s">
        <v>36936</v>
      </c>
      <c r="B5664" s="2">
        <v>499.18995788417601</v>
      </c>
      <c r="C5664" s="2">
        <v>10.660450000000001</v>
      </c>
      <c r="D5664" s="2" t="s">
        <v>51</v>
      </c>
      <c r="E5664" s="2" t="s">
        <v>36937</v>
      </c>
      <c r="F5664" s="2">
        <v>54078</v>
      </c>
      <c r="G5664" s="3" t="str">
        <f>HYPERLINK("https://cloud.oebiotech.com/#/lm/network/54078", "https://cloud.oebiotech.com/#/lm/network/54078")</f>
        <v>https://cloud.oebiotech.com/#/lm/network/54078</v>
      </c>
      <c r="H5664" s="2" t="s">
        <v>36938</v>
      </c>
      <c r="I5664" s="2">
        <v>23684</v>
      </c>
      <c r="J5664" s="2"/>
      <c r="K5664" s="2">
        <v>7020164</v>
      </c>
      <c r="L5664" s="2"/>
      <c r="M5664" s="2"/>
      <c r="N5664" s="2"/>
      <c r="O5664" s="2">
        <v>74861</v>
      </c>
      <c r="P5664" s="2"/>
      <c r="Q5664" s="2"/>
      <c r="R5664" s="2" t="s">
        <v>36939</v>
      </c>
      <c r="S5664" s="2" t="s">
        <v>36940</v>
      </c>
      <c r="T5664" s="2" t="s">
        <v>36941</v>
      </c>
      <c r="U5664" s="2" t="s">
        <v>103</v>
      </c>
      <c r="V5664" s="2" t="s">
        <v>104</v>
      </c>
      <c r="W5664" s="2" t="s">
        <v>105</v>
      </c>
      <c r="X5664" s="2" t="s">
        <v>147</v>
      </c>
      <c r="Y5664" s="2">
        <v>38.5</v>
      </c>
      <c r="Z5664" s="2">
        <v>0</v>
      </c>
      <c r="AA5664" s="2" t="s">
        <v>478</v>
      </c>
      <c r="AB5664" s="2" t="s">
        <v>36942</v>
      </c>
      <c r="AC5664" s="2">
        <v>-0.44345292226869598</v>
      </c>
      <c r="AD5664" s="2"/>
      <c r="AE5664" s="2">
        <v>1.6977340244142599E-2</v>
      </c>
      <c r="AF5664" s="2">
        <v>6658.9147194753496</v>
      </c>
      <c r="AG5664" s="2">
        <v>6298.9399315114297</v>
      </c>
      <c r="AH5664" s="5">
        <v>1.05714847131072</v>
      </c>
      <c r="AI5664" s="5">
        <v>8.01780103832231E-2</v>
      </c>
      <c r="AJ5664" s="5" t="s">
        <v>139</v>
      </c>
      <c r="AK5664" s="2">
        <v>0.82922978699097905</v>
      </c>
      <c r="AL5664" s="2">
        <v>0.92453281603106896</v>
      </c>
      <c r="AM5664" s="2">
        <v>1843.4914077707399</v>
      </c>
      <c r="AN5664" s="2">
        <v>6800.8716934966296</v>
      </c>
      <c r="AO5664" s="2">
        <v>8922.8135019661495</v>
      </c>
      <c r="AP5664" s="2">
        <v>5041.34394478386</v>
      </c>
      <c r="AQ5664" s="2">
        <v>10508.7914339852</v>
      </c>
      <c r="AR5664" s="2">
        <v>6836.1763348495097</v>
      </c>
      <c r="AS5664" s="2">
        <v>8375.2427009055391</v>
      </c>
      <c r="AT5664" s="2">
        <v>9910.3778310584003</v>
      </c>
      <c r="AU5664" s="2">
        <v>3737.5747162448802</v>
      </c>
      <c r="AV5664" s="2">
        <v>4431.3925678338901</v>
      </c>
      <c r="AW5664" s="2">
        <v>4041.17729588471</v>
      </c>
      <c r="AX5664" s="2">
        <v>7297.8744771411602</v>
      </c>
    </row>
    <row r="5665" spans="1:50" x14ac:dyDescent="0.25">
      <c r="A5665" s="2" t="s">
        <v>36943</v>
      </c>
      <c r="B5665" s="2">
        <v>258.08749999999998</v>
      </c>
      <c r="C5665" s="2">
        <v>8.6790000000000003</v>
      </c>
      <c r="D5665" s="2" t="s">
        <v>125</v>
      </c>
      <c r="E5665" s="2" t="s">
        <v>36944</v>
      </c>
      <c r="F5665" s="2">
        <v>199725</v>
      </c>
      <c r="G5665" s="3" t="str">
        <f>HYPERLINK("https://cloud.oebiotech.com/#/lm/network/199725", "https://cloud.oebiotech.com/#/lm/network/199725")</f>
        <v>https://cloud.oebiotech.com/#/lm/network/199725</v>
      </c>
      <c r="H5665" s="2" t="s">
        <v>36945</v>
      </c>
      <c r="I5665" s="2"/>
      <c r="J5665" s="2"/>
      <c r="K5665" s="2"/>
      <c r="L5665" s="2"/>
      <c r="M5665" s="2"/>
      <c r="N5665" s="2"/>
      <c r="O5665" s="2">
        <v>41189</v>
      </c>
      <c r="P5665" s="2"/>
      <c r="Q5665" s="2"/>
      <c r="R5665" s="2"/>
      <c r="S5665" s="2" t="s">
        <v>36946</v>
      </c>
      <c r="T5665" s="2" t="s">
        <v>36947</v>
      </c>
      <c r="U5665" s="2" t="s">
        <v>331</v>
      </c>
      <c r="V5665" s="2" t="s">
        <v>332</v>
      </c>
      <c r="W5665" s="2" t="s">
        <v>519</v>
      </c>
      <c r="X5665" s="2" t="s">
        <v>59</v>
      </c>
      <c r="Y5665" s="2">
        <v>71.599999999999994</v>
      </c>
      <c r="Z5665" s="2">
        <v>54.8</v>
      </c>
      <c r="AA5665" s="2"/>
      <c r="AB5665" s="2" t="s">
        <v>36948</v>
      </c>
      <c r="AC5665" s="2"/>
      <c r="AD5665" s="2">
        <v>291080.16597510403</v>
      </c>
      <c r="AE5665" s="2">
        <v>1.6974610826234499E-2</v>
      </c>
      <c r="AF5665" s="2">
        <v>23810.035584879999</v>
      </c>
      <c r="AG5665" s="2">
        <v>22889.3099332782</v>
      </c>
      <c r="AH5665" s="5">
        <v>1.0402251380354299</v>
      </c>
      <c r="AI5665" s="5">
        <v>5.6895807573608501E-2</v>
      </c>
      <c r="AJ5665" s="5" t="s">
        <v>139</v>
      </c>
      <c r="AK5665" s="2">
        <v>0.76767319874533202</v>
      </c>
      <c r="AL5665" s="2">
        <v>0.894890198498142</v>
      </c>
      <c r="AM5665" s="2">
        <v>24686.7889052178</v>
      </c>
      <c r="AN5665" s="2">
        <v>22911.132988617301</v>
      </c>
      <c r="AO5665" s="2">
        <v>25555.312993234998</v>
      </c>
      <c r="AP5665" s="2">
        <v>23130.057120945101</v>
      </c>
      <c r="AQ5665" s="2">
        <v>21214.446809662699</v>
      </c>
      <c r="AR5665" s="2">
        <v>25362.474691601801</v>
      </c>
      <c r="AS5665" s="2">
        <v>14694.077831635799</v>
      </c>
      <c r="AT5665" s="2">
        <v>23194.5796920373</v>
      </c>
      <c r="AU5665" s="2">
        <v>31501.869992077602</v>
      </c>
      <c r="AV5665" s="2">
        <v>31417.8450661225</v>
      </c>
      <c r="AW5665" s="2">
        <v>19808.038322006101</v>
      </c>
      <c r="AX5665" s="2">
        <v>16719.448695789699</v>
      </c>
    </row>
    <row r="5666" spans="1:50" x14ac:dyDescent="0.25">
      <c r="A5666" s="2" t="s">
        <v>36949</v>
      </c>
      <c r="B5666" s="2">
        <v>333.094088347411</v>
      </c>
      <c r="C5666" s="2">
        <v>1.0218833333333299</v>
      </c>
      <c r="D5666" s="2" t="s">
        <v>51</v>
      </c>
      <c r="E5666" s="2" t="s">
        <v>36950</v>
      </c>
      <c r="F5666" s="2">
        <v>54362</v>
      </c>
      <c r="G5666" s="3" t="str">
        <f>HYPERLINK("https://cloud.oebiotech.com/#/lm/network/54362", "https://cloud.oebiotech.com/#/lm/network/54362")</f>
        <v>https://cloud.oebiotech.com/#/lm/network/54362</v>
      </c>
      <c r="H5666" s="2" t="s">
        <v>36951</v>
      </c>
      <c r="I5666" s="2">
        <v>86247</v>
      </c>
      <c r="J5666" s="2"/>
      <c r="K5666" s="2">
        <v>131750866</v>
      </c>
      <c r="L5666" s="2"/>
      <c r="M5666" s="2"/>
      <c r="N5666" s="2"/>
      <c r="O5666" s="2">
        <v>168589</v>
      </c>
      <c r="P5666" s="2"/>
      <c r="Q5666" s="2"/>
      <c r="R5666" s="2" t="s">
        <v>36952</v>
      </c>
      <c r="S5666" s="2" t="s">
        <v>36953</v>
      </c>
      <c r="T5666" s="2" t="s">
        <v>36954</v>
      </c>
      <c r="U5666" s="2" t="s">
        <v>331</v>
      </c>
      <c r="V5666" s="2" t="s">
        <v>332</v>
      </c>
      <c r="W5666" s="2" t="s">
        <v>333</v>
      </c>
      <c r="X5666" s="2" t="s">
        <v>69</v>
      </c>
      <c r="Y5666" s="2">
        <v>48.4</v>
      </c>
      <c r="Z5666" s="2">
        <v>46.2</v>
      </c>
      <c r="AA5666" s="2" t="s">
        <v>163</v>
      </c>
      <c r="AB5666" s="2" t="s">
        <v>36955</v>
      </c>
      <c r="AC5666" s="2">
        <v>0.40292132779446099</v>
      </c>
      <c r="AD5666" s="2"/>
      <c r="AE5666" s="2">
        <v>1.68575763865619E-2</v>
      </c>
      <c r="AF5666" s="2">
        <v>20271.6026644019</v>
      </c>
      <c r="AG5666" s="2">
        <v>20584.093005020899</v>
      </c>
      <c r="AH5666" s="4">
        <v>0.98481884333972003</v>
      </c>
      <c r="AI5666" s="4">
        <v>-2.20697285435787E-2</v>
      </c>
      <c r="AJ5666" s="4" t="s">
        <v>62</v>
      </c>
      <c r="AK5666" s="2">
        <v>0.91801272663464095</v>
      </c>
      <c r="AL5666" s="2">
        <v>0.964986111549196</v>
      </c>
      <c r="AM5666" s="2">
        <v>18632.9584746947</v>
      </c>
      <c r="AN5666" s="2">
        <v>17880.045968946699</v>
      </c>
      <c r="AO5666" s="2">
        <v>22027.4793517086</v>
      </c>
      <c r="AP5666" s="2">
        <v>22327.9117159835</v>
      </c>
      <c r="AQ5666" s="2">
        <v>18182.813300057001</v>
      </c>
      <c r="AR5666" s="2">
        <v>22578.4071750209</v>
      </c>
      <c r="AS5666" s="2">
        <v>13175.431828504101</v>
      </c>
      <c r="AT5666" s="2">
        <v>20563.269418426298</v>
      </c>
      <c r="AU5666" s="2">
        <v>28339.8999501203</v>
      </c>
      <c r="AV5666" s="2">
        <v>27093.233595846701</v>
      </c>
      <c r="AW5666" s="2">
        <v>22490.404454234998</v>
      </c>
      <c r="AX5666" s="2">
        <v>11842.318782992999</v>
      </c>
    </row>
    <row r="5667" spans="1:50" x14ac:dyDescent="0.25">
      <c r="A5667" s="2" t="s">
        <v>36956</v>
      </c>
      <c r="B5667" s="2">
        <v>641.51648261030698</v>
      </c>
      <c r="C5667" s="2">
        <v>14.500716666666699</v>
      </c>
      <c r="D5667" s="2" t="s">
        <v>51</v>
      </c>
      <c r="E5667" s="2" t="s">
        <v>36957</v>
      </c>
      <c r="F5667" s="2">
        <v>49418</v>
      </c>
      <c r="G5667" s="3" t="str">
        <f>HYPERLINK("https://cloud.oebiotech.com/#/lm/network/49418", "https://cloud.oebiotech.com/#/lm/network/49418")</f>
        <v>https://cloud.oebiotech.com/#/lm/network/49418</v>
      </c>
      <c r="H5667" s="2" t="s">
        <v>36958</v>
      </c>
      <c r="I5667" s="2">
        <v>59171</v>
      </c>
      <c r="J5667" s="2"/>
      <c r="K5667" s="2">
        <v>53478461</v>
      </c>
      <c r="L5667" s="2"/>
      <c r="M5667" s="2"/>
      <c r="N5667" s="2"/>
      <c r="O5667" s="2">
        <v>89433</v>
      </c>
      <c r="P5667" s="2"/>
      <c r="Q5667" s="2"/>
      <c r="R5667" s="2"/>
      <c r="S5667" s="2" t="s">
        <v>36959</v>
      </c>
      <c r="T5667" s="2" t="s">
        <v>36960</v>
      </c>
      <c r="U5667" s="2" t="s">
        <v>56</v>
      </c>
      <c r="V5667" s="2" t="s">
        <v>3215</v>
      </c>
      <c r="W5667" s="2" t="s">
        <v>3216</v>
      </c>
      <c r="X5667" s="2" t="s">
        <v>147</v>
      </c>
      <c r="Y5667" s="2">
        <v>36.700000000000003</v>
      </c>
      <c r="Z5667" s="2">
        <v>0</v>
      </c>
      <c r="AA5667" s="2" t="s">
        <v>259</v>
      </c>
      <c r="AB5667" s="2" t="s">
        <v>36961</v>
      </c>
      <c r="AC5667" s="2">
        <v>3.9514026073431401</v>
      </c>
      <c r="AD5667" s="2"/>
      <c r="AE5667" s="2">
        <v>1.68224834705968E-2</v>
      </c>
      <c r="AF5667" s="2">
        <v>11840.462589181299</v>
      </c>
      <c r="AG5667" s="2">
        <v>13133.9314127831</v>
      </c>
      <c r="AH5667" s="4">
        <v>0.90151701094290104</v>
      </c>
      <c r="AI5667" s="4">
        <v>-0.149573380410642</v>
      </c>
      <c r="AJ5667" s="4" t="s">
        <v>62</v>
      </c>
      <c r="AK5667" s="2">
        <v>0.76140263738802205</v>
      </c>
      <c r="AL5667" s="2">
        <v>0.89152062866139503</v>
      </c>
      <c r="AM5667" s="2">
        <v>20662.197031688898</v>
      </c>
      <c r="AN5667" s="2">
        <v>20701.057148335502</v>
      </c>
      <c r="AO5667" s="2">
        <v>5658.0176788792396</v>
      </c>
      <c r="AP5667" s="2">
        <v>10537.757979247101</v>
      </c>
      <c r="AQ5667" s="2">
        <v>2456.8858412131599</v>
      </c>
      <c r="AR5667" s="2">
        <v>11026.8598557236</v>
      </c>
      <c r="AS5667" s="2">
        <v>8448.8226327387601</v>
      </c>
      <c r="AT5667" s="2">
        <v>5730.6362943076601</v>
      </c>
      <c r="AU5667" s="2">
        <v>19324.385898677501</v>
      </c>
      <c r="AV5667" s="2">
        <v>10417.338662820801</v>
      </c>
      <c r="AW5667" s="2">
        <v>11488.268072743</v>
      </c>
      <c r="AX5667" s="2">
        <v>23394.1369154106</v>
      </c>
    </row>
    <row r="5668" spans="1:50" x14ac:dyDescent="0.25">
      <c r="A5668" s="2" t="s">
        <v>36962</v>
      </c>
      <c r="B5668" s="2">
        <v>481.27899447856697</v>
      </c>
      <c r="C5668" s="2">
        <v>9.3200333333333294</v>
      </c>
      <c r="D5668" s="2" t="s">
        <v>51</v>
      </c>
      <c r="E5668" s="2" t="s">
        <v>36963</v>
      </c>
      <c r="F5668" s="2">
        <v>18173</v>
      </c>
      <c r="G5668" s="3" t="str">
        <f>HYPERLINK("https://cloud.oebiotech.com/#/lm/network/18173", "https://cloud.oebiotech.com/#/lm/network/18173")</f>
        <v>https://cloud.oebiotech.com/#/lm/network/18173</v>
      </c>
      <c r="H5668" s="2"/>
      <c r="I5668" s="2">
        <v>39145</v>
      </c>
      <c r="J5668" s="2" t="s">
        <v>36964</v>
      </c>
      <c r="K5668" s="2">
        <v>24778542</v>
      </c>
      <c r="L5668" s="2"/>
      <c r="M5668" s="2"/>
      <c r="N5668" s="2"/>
      <c r="O5668" s="2"/>
      <c r="P5668" s="2"/>
      <c r="Q5668" s="2"/>
      <c r="R5668" s="2"/>
      <c r="S5668" s="2" t="s">
        <v>36965</v>
      </c>
      <c r="T5668" s="2" t="s">
        <v>36966</v>
      </c>
      <c r="U5668" s="2" t="s">
        <v>56</v>
      </c>
      <c r="V5668" s="2" t="s">
        <v>57</v>
      </c>
      <c r="W5668" s="2" t="s">
        <v>58</v>
      </c>
      <c r="X5668" s="2" t="s">
        <v>147</v>
      </c>
      <c r="Y5668" s="2">
        <v>37.5</v>
      </c>
      <c r="Z5668" s="2">
        <v>0</v>
      </c>
      <c r="AA5668" s="2" t="s">
        <v>122</v>
      </c>
      <c r="AB5668" s="2" t="s">
        <v>36967</v>
      </c>
      <c r="AC5668" s="2">
        <v>-3.0327925866174898</v>
      </c>
      <c r="AD5668" s="2"/>
      <c r="AE5668" s="2">
        <v>1.6805966279185701E-2</v>
      </c>
      <c r="AF5668" s="2">
        <v>1529.0573382822399</v>
      </c>
      <c r="AG5668" s="2">
        <v>1494.4761760204599</v>
      </c>
      <c r="AH5668" s="5">
        <v>1.02313931986113</v>
      </c>
      <c r="AI5668" s="5">
        <v>3.3002608805052597E-2</v>
      </c>
      <c r="AJ5668" s="5" t="s">
        <v>139</v>
      </c>
      <c r="AK5668" s="2">
        <v>0.97249459851658604</v>
      </c>
      <c r="AL5668" s="2">
        <v>0.98915546194842796</v>
      </c>
      <c r="AM5668" s="2">
        <v>8.559877937157E-6</v>
      </c>
      <c r="AN5668" s="2">
        <v>2965.0886164250801</v>
      </c>
      <c r="AO5668" s="2">
        <v>793.71139943265405</v>
      </c>
      <c r="AP5668" s="2">
        <v>8.559877937157E-6</v>
      </c>
      <c r="AQ5668" s="2">
        <v>1031.00263849312</v>
      </c>
      <c r="AR5668" s="2">
        <v>4384.5413582228102</v>
      </c>
      <c r="AS5668" s="2">
        <v>4072.5133384374199</v>
      </c>
      <c r="AT5668" s="2">
        <v>1375.0433959632501</v>
      </c>
      <c r="AU5668" s="2">
        <v>8.559877937157E-6</v>
      </c>
      <c r="AV5668" s="2">
        <v>507.68033857182098</v>
      </c>
      <c r="AW5668" s="2">
        <v>249.47036511953601</v>
      </c>
      <c r="AX5668" s="2">
        <v>2762.14960947085</v>
      </c>
    </row>
    <row r="5669" spans="1:50" x14ac:dyDescent="0.25">
      <c r="A5669" s="2" t="s">
        <v>36968</v>
      </c>
      <c r="B5669" s="2">
        <v>370.16811421883801</v>
      </c>
      <c r="C5669" s="2">
        <v>3.4837333333333298</v>
      </c>
      <c r="D5669" s="2" t="s">
        <v>51</v>
      </c>
      <c r="E5669" s="2" t="s">
        <v>36969</v>
      </c>
      <c r="F5669" s="2">
        <v>206494</v>
      </c>
      <c r="G5669" s="3" t="str">
        <f>HYPERLINK("https://cloud.oebiotech.com/#/lm/network/206494", "https://cloud.oebiotech.com/#/lm/network/206494")</f>
        <v>https://cloud.oebiotech.com/#/lm/network/206494</v>
      </c>
      <c r="H5669" s="2" t="s">
        <v>36970</v>
      </c>
      <c r="I5669" s="2"/>
      <c r="J5669" s="2"/>
      <c r="K5669" s="2"/>
      <c r="L5669" s="2"/>
      <c r="M5669" s="2"/>
      <c r="N5669" s="2"/>
      <c r="O5669" s="2"/>
      <c r="P5669" s="2"/>
      <c r="Q5669" s="2"/>
      <c r="R5669" s="2"/>
      <c r="S5669" s="2" t="s">
        <v>36971</v>
      </c>
      <c r="T5669" s="2" t="s">
        <v>36972</v>
      </c>
      <c r="U5669" s="2" t="s">
        <v>56</v>
      </c>
      <c r="V5669" s="2" t="s">
        <v>283</v>
      </c>
      <c r="W5669" s="2" t="s">
        <v>2305</v>
      </c>
      <c r="X5669" s="2" t="s">
        <v>147</v>
      </c>
      <c r="Y5669" s="2">
        <v>38.200000000000003</v>
      </c>
      <c r="Z5669" s="2">
        <v>11.5</v>
      </c>
      <c r="AA5669" s="2" t="s">
        <v>512</v>
      </c>
      <c r="AB5669" s="2" t="s">
        <v>36973</v>
      </c>
      <c r="AC5669" s="2">
        <v>-0.44351992445301702</v>
      </c>
      <c r="AD5669" s="2"/>
      <c r="AE5669" s="2">
        <v>1.6515123769599099E-2</v>
      </c>
      <c r="AF5669" s="2">
        <v>1978.65575673493</v>
      </c>
      <c r="AG5669" s="2">
        <v>2053.7538509436999</v>
      </c>
      <c r="AH5669" s="4">
        <v>0.96343374150009997</v>
      </c>
      <c r="AI5669" s="4">
        <v>-5.3742643826868997E-2</v>
      </c>
      <c r="AJ5669" s="4" t="s">
        <v>62</v>
      </c>
      <c r="AK5669" s="2">
        <v>0.97328066269784497</v>
      </c>
      <c r="AL5669" s="2">
        <v>0.98931094348535698</v>
      </c>
      <c r="AM5669" s="2">
        <v>4975.1938014647303</v>
      </c>
      <c r="AN5669" s="2">
        <v>8.559877937157E-6</v>
      </c>
      <c r="AO5669" s="2">
        <v>270.14254269173898</v>
      </c>
      <c r="AP5669" s="2">
        <v>8.559877937157E-6</v>
      </c>
      <c r="AQ5669" s="2">
        <v>4789.45026475744</v>
      </c>
      <c r="AR5669" s="2">
        <v>1837.14791437591</v>
      </c>
      <c r="AS5669" s="2">
        <v>8.559877937157E-6</v>
      </c>
      <c r="AT5669" s="2">
        <v>8.559877937157E-6</v>
      </c>
      <c r="AU5669" s="2">
        <v>8.559877937157E-6</v>
      </c>
      <c r="AV5669" s="2">
        <v>11870.952204167799</v>
      </c>
      <c r="AW5669" s="2">
        <v>1.7787103505809301</v>
      </c>
      <c r="AX5669" s="2">
        <v>449.79216546420099</v>
      </c>
    </row>
    <row r="5670" spans="1:50" x14ac:dyDescent="0.25">
      <c r="A5670" s="2" t="s">
        <v>36974</v>
      </c>
      <c r="B5670" s="2">
        <v>179.07957404855699</v>
      </c>
      <c r="C5670" s="2">
        <v>0.97001666666666697</v>
      </c>
      <c r="D5670" s="2" t="s">
        <v>51</v>
      </c>
      <c r="E5670" s="2" t="s">
        <v>36975</v>
      </c>
      <c r="F5670" s="2">
        <v>47768</v>
      </c>
      <c r="G5670" s="3" t="str">
        <f>HYPERLINK("https://cloud.oebiotech.com/#/lm/network/47768", "https://cloud.oebiotech.com/#/lm/network/47768")</f>
        <v>https://cloud.oebiotech.com/#/lm/network/47768</v>
      </c>
      <c r="H5670" s="2" t="s">
        <v>36976</v>
      </c>
      <c r="I5670" s="2">
        <v>58080</v>
      </c>
      <c r="J5670" s="2"/>
      <c r="K5670" s="2">
        <v>20484</v>
      </c>
      <c r="L5670" s="2"/>
      <c r="M5670" s="2"/>
      <c r="N5670" s="2"/>
      <c r="O5670" s="2">
        <v>24103</v>
      </c>
      <c r="P5670" s="2" t="s">
        <v>36977</v>
      </c>
      <c r="Q5670" s="2" t="s">
        <v>36978</v>
      </c>
      <c r="R5670" s="2" t="s">
        <v>36979</v>
      </c>
      <c r="S5670" s="2" t="s">
        <v>36980</v>
      </c>
      <c r="T5670" s="2" t="s">
        <v>36981</v>
      </c>
      <c r="U5670" s="2" t="s">
        <v>331</v>
      </c>
      <c r="V5670" s="2" t="s">
        <v>332</v>
      </c>
      <c r="W5670" s="2" t="s">
        <v>333</v>
      </c>
      <c r="X5670" s="2" t="s">
        <v>83</v>
      </c>
      <c r="Y5670" s="2">
        <v>39.200000000000003</v>
      </c>
      <c r="Z5670" s="2">
        <v>0</v>
      </c>
      <c r="AA5670" s="2" t="s">
        <v>122</v>
      </c>
      <c r="AB5670" s="2" t="s">
        <v>14808</v>
      </c>
      <c r="AC5670" s="2">
        <v>1.1248031788644499</v>
      </c>
      <c r="AD5670" s="2"/>
      <c r="AE5670" s="2">
        <v>1.64165299868697E-2</v>
      </c>
      <c r="AF5670" s="2">
        <v>365.06250340983598</v>
      </c>
      <c r="AG5670" s="2">
        <v>398.33298144229002</v>
      </c>
      <c r="AH5670" s="4">
        <v>0.916475713580162</v>
      </c>
      <c r="AI5670" s="4">
        <v>-0.12583144474053801</v>
      </c>
      <c r="AJ5670" s="4" t="s">
        <v>62</v>
      </c>
      <c r="AK5670" s="2">
        <v>0.82836565898211501</v>
      </c>
      <c r="AL5670" s="2">
        <v>0.92453281603106896</v>
      </c>
      <c r="AM5670" s="2">
        <v>416.60687357623402</v>
      </c>
      <c r="AN5670" s="2">
        <v>274.03285188450002</v>
      </c>
      <c r="AO5670" s="2">
        <v>112.19800997281899</v>
      </c>
      <c r="AP5670" s="2">
        <v>425.851559541661</v>
      </c>
      <c r="AQ5670" s="2">
        <v>723.59759627738299</v>
      </c>
      <c r="AR5670" s="2">
        <v>238.08812920641901</v>
      </c>
      <c r="AS5670" s="2">
        <v>376.58509729230798</v>
      </c>
      <c r="AT5670" s="2">
        <v>379.65841790284099</v>
      </c>
      <c r="AU5670" s="2">
        <v>365.66362704663601</v>
      </c>
      <c r="AV5670" s="2">
        <v>930.31512995428295</v>
      </c>
      <c r="AW5670" s="2">
        <v>8.559877937157E-6</v>
      </c>
      <c r="AX5670" s="2">
        <v>337.77560789779301</v>
      </c>
    </row>
    <row r="5671" spans="1:50" x14ac:dyDescent="0.25">
      <c r="A5671" s="2" t="s">
        <v>36982</v>
      </c>
      <c r="B5671" s="2">
        <v>263.12653448995002</v>
      </c>
      <c r="C5671" s="2">
        <v>7.5201000000000002</v>
      </c>
      <c r="D5671" s="2" t="s">
        <v>51</v>
      </c>
      <c r="E5671" s="2" t="s">
        <v>36983</v>
      </c>
      <c r="F5671" s="2">
        <v>61068</v>
      </c>
      <c r="G5671" s="3" t="str">
        <f>HYPERLINK("https://cloud.oebiotech.com/#/lm/network/61068", "https://cloud.oebiotech.com/#/lm/network/61068")</f>
        <v>https://cloud.oebiotech.com/#/lm/network/61068</v>
      </c>
      <c r="H5671" s="2" t="s">
        <v>36984</v>
      </c>
      <c r="I5671" s="2">
        <v>92394</v>
      </c>
      <c r="J5671" s="2"/>
      <c r="K5671" s="2">
        <v>540389</v>
      </c>
      <c r="L5671" s="2"/>
      <c r="M5671" s="2"/>
      <c r="N5671" s="2"/>
      <c r="O5671" s="2">
        <v>174482</v>
      </c>
      <c r="P5671" s="2"/>
      <c r="Q5671" s="2"/>
      <c r="R5671" s="2" t="s">
        <v>36985</v>
      </c>
      <c r="S5671" s="2" t="s">
        <v>36986</v>
      </c>
      <c r="T5671" s="2" t="s">
        <v>36987</v>
      </c>
      <c r="U5671" s="2" t="s">
        <v>56</v>
      </c>
      <c r="V5671" s="2" t="s">
        <v>177</v>
      </c>
      <c r="W5671" s="2" t="s">
        <v>806</v>
      </c>
      <c r="X5671" s="2" t="s">
        <v>83</v>
      </c>
      <c r="Y5671" s="2">
        <v>37.5</v>
      </c>
      <c r="Z5671" s="2">
        <v>0</v>
      </c>
      <c r="AA5671" s="2" t="s">
        <v>163</v>
      </c>
      <c r="AB5671" s="2" t="s">
        <v>13494</v>
      </c>
      <c r="AC5671" s="2">
        <v>-8.8901031122719605</v>
      </c>
      <c r="AD5671" s="2"/>
      <c r="AE5671" s="2">
        <v>1.6400035902781801E-2</v>
      </c>
      <c r="AF5671" s="2">
        <v>418.21115431394497</v>
      </c>
      <c r="AG5671" s="2">
        <v>507.06617524127398</v>
      </c>
      <c r="AH5671" s="4">
        <v>0.82476642050704796</v>
      </c>
      <c r="AI5671" s="4">
        <v>-0.27794249878916899</v>
      </c>
      <c r="AJ5671" s="4" t="s">
        <v>62</v>
      </c>
      <c r="AK5671" s="2">
        <v>0.71454740867675504</v>
      </c>
      <c r="AL5671" s="2">
        <v>0.865687422815694</v>
      </c>
      <c r="AM5671" s="2">
        <v>577.13799155274296</v>
      </c>
      <c r="AN5671" s="2">
        <v>231.65929444600701</v>
      </c>
      <c r="AO5671" s="2">
        <v>871.25928523315895</v>
      </c>
      <c r="AP5671" s="2">
        <v>79.225352939950895</v>
      </c>
      <c r="AQ5671" s="2">
        <v>278.98162925275801</v>
      </c>
      <c r="AR5671" s="2">
        <v>471.00337245905502</v>
      </c>
      <c r="AS5671" s="2">
        <v>93.2213127509077</v>
      </c>
      <c r="AT5671" s="2">
        <v>76.913444789513406</v>
      </c>
      <c r="AU5671" s="2">
        <v>1003.24172718267</v>
      </c>
      <c r="AV5671" s="2">
        <v>784.19559660592802</v>
      </c>
      <c r="AW5671" s="2">
        <v>1084.8249615587499</v>
      </c>
      <c r="AX5671" s="2">
        <v>8.559877937157E-6</v>
      </c>
    </row>
    <row r="5672" spans="1:50" x14ac:dyDescent="0.25">
      <c r="A5672" s="2" t="s">
        <v>36988</v>
      </c>
      <c r="B5672" s="2">
        <v>293.00584623850301</v>
      </c>
      <c r="C5672" s="2">
        <v>6.8210833333333296</v>
      </c>
      <c r="D5672" s="2" t="s">
        <v>51</v>
      </c>
      <c r="E5672" s="2" t="s">
        <v>36989</v>
      </c>
      <c r="F5672" s="2">
        <v>211932</v>
      </c>
      <c r="G5672" s="3" t="str">
        <f>HYPERLINK("https://cloud.oebiotech.com/#/lm/network/211932", "https://cloud.oebiotech.com/#/lm/network/211932")</f>
        <v>https://cloud.oebiotech.com/#/lm/network/211932</v>
      </c>
      <c r="H5672" s="2" t="s">
        <v>36990</v>
      </c>
      <c r="I5672" s="2"/>
      <c r="J5672" s="2"/>
      <c r="K5672" s="2"/>
      <c r="L5672" s="2"/>
      <c r="M5672" s="2"/>
      <c r="N5672" s="2"/>
      <c r="O5672" s="2"/>
      <c r="P5672" s="2"/>
      <c r="Q5672" s="2"/>
      <c r="R5672" s="2"/>
      <c r="S5672" s="2" t="s">
        <v>36991</v>
      </c>
      <c r="T5672" s="2" t="s">
        <v>36992</v>
      </c>
      <c r="U5672" s="2" t="s">
        <v>266</v>
      </c>
      <c r="V5672" s="2" t="s">
        <v>2143</v>
      </c>
      <c r="W5672" s="2" t="s">
        <v>240</v>
      </c>
      <c r="X5672" s="2" t="s">
        <v>147</v>
      </c>
      <c r="Y5672" s="2">
        <v>36.6</v>
      </c>
      <c r="Z5672" s="2">
        <v>0</v>
      </c>
      <c r="AA5672" s="2" t="s">
        <v>379</v>
      </c>
      <c r="AB5672" s="2" t="s">
        <v>36993</v>
      </c>
      <c r="AC5672" s="2">
        <v>-0.51763407812459294</v>
      </c>
      <c r="AD5672" s="2"/>
      <c r="AE5672" s="2">
        <v>1.63295699748497E-2</v>
      </c>
      <c r="AF5672" s="2">
        <v>7793.68311887459</v>
      </c>
      <c r="AG5672" s="2">
        <v>7681.5586795936597</v>
      </c>
      <c r="AH5672" s="5">
        <v>1.0145965739451801</v>
      </c>
      <c r="AI5672" s="5">
        <v>2.0906193946914699E-2</v>
      </c>
      <c r="AJ5672" s="5" t="s">
        <v>139</v>
      </c>
      <c r="AK5672" s="2">
        <v>0.92075468217419498</v>
      </c>
      <c r="AL5672" s="2">
        <v>0.96547519393645298</v>
      </c>
      <c r="AM5672" s="2">
        <v>6332.4991792586397</v>
      </c>
      <c r="AN5672" s="2">
        <v>5846.9343079442497</v>
      </c>
      <c r="AO5672" s="2">
        <v>7780.4033699689198</v>
      </c>
      <c r="AP5672" s="2">
        <v>8300.0002699912493</v>
      </c>
      <c r="AQ5672" s="2">
        <v>10845.547085607401</v>
      </c>
      <c r="AR5672" s="2">
        <v>7656.71450047709</v>
      </c>
      <c r="AS5672" s="2">
        <v>8927.4621663795606</v>
      </c>
      <c r="AT5672" s="2">
        <v>10300.0125769649</v>
      </c>
      <c r="AU5672" s="2">
        <v>4606.1509798294601</v>
      </c>
      <c r="AV5672" s="2">
        <v>7971.0048010882201</v>
      </c>
      <c r="AW5672" s="2">
        <v>6096.3446103168399</v>
      </c>
      <c r="AX5672" s="2">
        <v>8188.3769429829799</v>
      </c>
    </row>
    <row r="5673" spans="1:50" x14ac:dyDescent="0.25">
      <c r="A5673" s="2" t="s">
        <v>36994</v>
      </c>
      <c r="B5673" s="2">
        <v>408.14146995196</v>
      </c>
      <c r="C5673" s="2">
        <v>6.4135499999999999</v>
      </c>
      <c r="D5673" s="2" t="s">
        <v>51</v>
      </c>
      <c r="E5673" s="2" t="s">
        <v>36995</v>
      </c>
      <c r="F5673" s="2">
        <v>203112</v>
      </c>
      <c r="G5673" s="3" t="str">
        <f>HYPERLINK("https://cloud.oebiotech.com/#/lm/network/203112", "https://cloud.oebiotech.com/#/lm/network/203112")</f>
        <v>https://cloud.oebiotech.com/#/lm/network/203112</v>
      </c>
      <c r="H5673" s="2" t="s">
        <v>36996</v>
      </c>
      <c r="I5673" s="2"/>
      <c r="J5673" s="2"/>
      <c r="K5673" s="2">
        <v>13909033</v>
      </c>
      <c r="L5673" s="2"/>
      <c r="M5673" s="2"/>
      <c r="N5673" s="2"/>
      <c r="O5673" s="2"/>
      <c r="P5673" s="2"/>
      <c r="Q5673" s="2"/>
      <c r="R5673" s="2"/>
      <c r="S5673" s="2" t="s">
        <v>36997</v>
      </c>
      <c r="T5673" s="2" t="s">
        <v>36998</v>
      </c>
      <c r="U5673" s="2" t="s">
        <v>238</v>
      </c>
      <c r="V5673" s="2" t="s">
        <v>36999</v>
      </c>
      <c r="W5673" s="2" t="s">
        <v>37000</v>
      </c>
      <c r="X5673" s="2" t="s">
        <v>83</v>
      </c>
      <c r="Y5673" s="2">
        <v>48.2</v>
      </c>
      <c r="Z5673" s="2">
        <v>0</v>
      </c>
      <c r="AA5673" s="2" t="s">
        <v>163</v>
      </c>
      <c r="AB5673" s="2" t="s">
        <v>37001</v>
      </c>
      <c r="AC5673" s="2">
        <v>-9.2656783548433896</v>
      </c>
      <c r="AD5673" s="2"/>
      <c r="AE5673" s="2">
        <v>1.6187123157108001E-2</v>
      </c>
      <c r="AF5673" s="2">
        <v>2283.0597157990201</v>
      </c>
      <c r="AG5673" s="2">
        <v>1863.6917177289299</v>
      </c>
      <c r="AH5673" s="5">
        <v>1.2250200470822099</v>
      </c>
      <c r="AI5673" s="5">
        <v>0.29280535868861202</v>
      </c>
      <c r="AJ5673" s="5" t="s">
        <v>139</v>
      </c>
      <c r="AK5673" s="2">
        <v>0.66281201211623497</v>
      </c>
      <c r="AL5673" s="2">
        <v>0.83663677386975799</v>
      </c>
      <c r="AM5673" s="2">
        <v>978.603015036221</v>
      </c>
      <c r="AN5673" s="2">
        <v>1604.4446683194601</v>
      </c>
      <c r="AO5673" s="2">
        <v>2168.1877517352</v>
      </c>
      <c r="AP5673" s="2">
        <v>4625.6984757642003</v>
      </c>
      <c r="AQ5673" s="2">
        <v>1608.08111475194</v>
      </c>
      <c r="AR5673" s="2">
        <v>2713.3432691871099</v>
      </c>
      <c r="AS5673" s="2">
        <v>5267.9185754472101</v>
      </c>
      <c r="AT5673" s="2">
        <v>2379.6984958337698</v>
      </c>
      <c r="AU5673" s="2">
        <v>518.02614622499402</v>
      </c>
      <c r="AV5673" s="2">
        <v>8.559877937157E-6</v>
      </c>
      <c r="AW5673" s="2">
        <v>1978.7714359328099</v>
      </c>
      <c r="AX5673" s="2">
        <v>1037.73564437494</v>
      </c>
    </row>
    <row r="5674" spans="1:50" x14ac:dyDescent="0.25">
      <c r="A5674" s="2" t="s">
        <v>37002</v>
      </c>
      <c r="B5674" s="2">
        <v>657.34780254184295</v>
      </c>
      <c r="C5674" s="2">
        <v>4.4844999999999997</v>
      </c>
      <c r="D5674" s="2" t="s">
        <v>51</v>
      </c>
      <c r="E5674" s="2" t="s">
        <v>37003</v>
      </c>
      <c r="F5674" s="2">
        <v>18024</v>
      </c>
      <c r="G5674" s="3" t="str">
        <f>HYPERLINK("https://cloud.oebiotech.com/#/lm/network/18024", "https://cloud.oebiotech.com/#/lm/network/18024")</f>
        <v>https://cloud.oebiotech.com/#/lm/network/18024</v>
      </c>
      <c r="H5674" s="2"/>
      <c r="I5674" s="2"/>
      <c r="J5674" s="2" t="s">
        <v>37004</v>
      </c>
      <c r="K5674" s="2"/>
      <c r="L5674" s="2"/>
      <c r="M5674" s="2"/>
      <c r="N5674" s="2"/>
      <c r="O5674" s="2"/>
      <c r="P5674" s="2"/>
      <c r="Q5674" s="2"/>
      <c r="R5674" s="2"/>
      <c r="S5674" s="2" t="s">
        <v>37005</v>
      </c>
      <c r="T5674" s="2" t="s">
        <v>37006</v>
      </c>
      <c r="U5674" s="2" t="s">
        <v>56</v>
      </c>
      <c r="V5674" s="2" t="s">
        <v>3215</v>
      </c>
      <c r="W5674" s="2" t="s">
        <v>5428</v>
      </c>
      <c r="X5674" s="2" t="s">
        <v>147</v>
      </c>
      <c r="Y5674" s="2">
        <v>38.799999999999997</v>
      </c>
      <c r="Z5674" s="2">
        <v>0</v>
      </c>
      <c r="AA5674" s="2" t="s">
        <v>156</v>
      </c>
      <c r="AB5674" s="2" t="s">
        <v>37007</v>
      </c>
      <c r="AC5674" s="2">
        <v>-0.39388039199777702</v>
      </c>
      <c r="AD5674" s="2"/>
      <c r="AE5674" s="2">
        <v>1.6171028426301502E-2</v>
      </c>
      <c r="AF5674" s="2">
        <v>3163.8651644593101</v>
      </c>
      <c r="AG5674" s="2">
        <v>3853.87847671688</v>
      </c>
      <c r="AH5674" s="4">
        <v>0.82095613122565403</v>
      </c>
      <c r="AI5674" s="4">
        <v>-0.28462296296240303</v>
      </c>
      <c r="AJ5674" s="4" t="s">
        <v>62</v>
      </c>
      <c r="AK5674" s="2">
        <v>0.67371825911395</v>
      </c>
      <c r="AL5674" s="2">
        <v>0.84213013038863205</v>
      </c>
      <c r="AM5674" s="2">
        <v>5951.5076485356403</v>
      </c>
      <c r="AN5674" s="2">
        <v>1402.2354034197699</v>
      </c>
      <c r="AO5674" s="2">
        <v>3145.7137153813901</v>
      </c>
      <c r="AP5674" s="2">
        <v>2476.7841773188802</v>
      </c>
      <c r="AQ5674" s="2">
        <v>889.20852342061698</v>
      </c>
      <c r="AR5674" s="2">
        <v>5117.7415186795697</v>
      </c>
      <c r="AS5674" s="2">
        <v>1425.8211369958599</v>
      </c>
      <c r="AT5674" s="2">
        <v>2906.8545365117002</v>
      </c>
      <c r="AU5674" s="2">
        <v>10311.1915036475</v>
      </c>
      <c r="AV5674" s="2">
        <v>2738.0403229703002</v>
      </c>
      <c r="AW5674" s="2">
        <v>1468.1606536536799</v>
      </c>
      <c r="AX5674" s="2">
        <v>4273.2027065222601</v>
      </c>
    </row>
    <row r="5675" spans="1:50" x14ac:dyDescent="0.25">
      <c r="A5675" s="2" t="s">
        <v>37008</v>
      </c>
      <c r="B5675" s="2">
        <v>269.25937906544601</v>
      </c>
      <c r="C5675" s="2">
        <v>11.2897</v>
      </c>
      <c r="D5675" s="2" t="s">
        <v>51</v>
      </c>
      <c r="E5675" s="2" t="s">
        <v>37009</v>
      </c>
      <c r="F5675" s="2">
        <v>205020</v>
      </c>
      <c r="G5675" s="3" t="str">
        <f>HYPERLINK("https://cloud.oebiotech.com/#/lm/network/205020", "https://cloud.oebiotech.com/#/lm/network/205020")</f>
        <v>https://cloud.oebiotech.com/#/lm/network/205020</v>
      </c>
      <c r="H5675" s="2" t="s">
        <v>37010</v>
      </c>
      <c r="I5675" s="2"/>
      <c r="J5675" s="2"/>
      <c r="K5675" s="2">
        <v>16205228</v>
      </c>
      <c r="L5675" s="2"/>
      <c r="M5675" s="2"/>
      <c r="N5675" s="2"/>
      <c r="O5675" s="2"/>
      <c r="P5675" s="2"/>
      <c r="Q5675" s="2"/>
      <c r="R5675" s="2"/>
      <c r="S5675" s="2" t="s">
        <v>37011</v>
      </c>
      <c r="T5675" s="2" t="s">
        <v>37012</v>
      </c>
      <c r="U5675" s="2" t="s">
        <v>103</v>
      </c>
      <c r="V5675" s="2" t="s">
        <v>104</v>
      </c>
      <c r="W5675" s="2" t="s">
        <v>105</v>
      </c>
      <c r="X5675" s="2" t="s">
        <v>147</v>
      </c>
      <c r="Y5675" s="2">
        <v>38.700000000000003</v>
      </c>
      <c r="Z5675" s="2">
        <v>1.42</v>
      </c>
      <c r="AA5675" s="2" t="s">
        <v>156</v>
      </c>
      <c r="AB5675" s="2" t="s">
        <v>37013</v>
      </c>
      <c r="AC5675" s="2">
        <v>2.2321379807314798</v>
      </c>
      <c r="AD5675" s="2"/>
      <c r="AE5675" s="2">
        <v>1.6127729861217101E-2</v>
      </c>
      <c r="AF5675" s="2">
        <v>8028.7347280314398</v>
      </c>
      <c r="AG5675" s="2">
        <v>8736.7743098404899</v>
      </c>
      <c r="AH5675" s="4">
        <v>0.91895869611607595</v>
      </c>
      <c r="AI5675" s="4">
        <v>-0.121928075862324</v>
      </c>
      <c r="AJ5675" s="4" t="s">
        <v>62</v>
      </c>
      <c r="AK5675" s="2">
        <v>0.93716305129606803</v>
      </c>
      <c r="AL5675" s="2">
        <v>0.97288634998159795</v>
      </c>
      <c r="AM5675" s="2">
        <v>8.559877937157E-6</v>
      </c>
      <c r="AN5675" s="2">
        <v>8.559877937157E-6</v>
      </c>
      <c r="AO5675" s="2">
        <v>9192.2224259115701</v>
      </c>
      <c r="AP5675" s="2">
        <v>8.559877937157E-6</v>
      </c>
      <c r="AQ5675" s="2">
        <v>38402.565743172403</v>
      </c>
      <c r="AR5675" s="2">
        <v>577.62017342502395</v>
      </c>
      <c r="AS5675" s="2">
        <v>12517.9951610194</v>
      </c>
      <c r="AT5675" s="2">
        <v>8.559877937157E-6</v>
      </c>
      <c r="AU5675" s="2">
        <v>37773.063071783203</v>
      </c>
      <c r="AV5675" s="2">
        <v>1639.15812703955</v>
      </c>
      <c r="AW5675" s="2">
        <v>490.42948208100802</v>
      </c>
      <c r="AX5675" s="2">
        <v>8.559877937157E-6</v>
      </c>
    </row>
    <row r="5676" spans="1:50" x14ac:dyDescent="0.25">
      <c r="A5676" s="2" t="s">
        <v>37014</v>
      </c>
      <c r="B5676" s="2">
        <v>424.14015707091102</v>
      </c>
      <c r="C5676" s="2">
        <v>0.71519999999999995</v>
      </c>
      <c r="D5676" s="2" t="s">
        <v>51</v>
      </c>
      <c r="E5676" s="2" t="s">
        <v>37015</v>
      </c>
      <c r="F5676" s="2">
        <v>213191</v>
      </c>
      <c r="G5676" s="3" t="str">
        <f>HYPERLINK("https://cloud.oebiotech.com/#/lm/network/213191", "https://cloud.oebiotech.com/#/lm/network/213191")</f>
        <v>https://cloud.oebiotech.com/#/lm/network/213191</v>
      </c>
      <c r="H5676" s="2" t="s">
        <v>37016</v>
      </c>
      <c r="I5676" s="2"/>
      <c r="J5676" s="2"/>
      <c r="K5676" s="2"/>
      <c r="L5676" s="2"/>
      <c r="M5676" s="2"/>
      <c r="N5676" s="2"/>
      <c r="O5676" s="2"/>
      <c r="P5676" s="2"/>
      <c r="Q5676" s="2"/>
      <c r="R5676" s="2"/>
      <c r="S5676" s="2" t="s">
        <v>37017</v>
      </c>
      <c r="T5676" s="2" t="s">
        <v>37018</v>
      </c>
      <c r="U5676" s="2" t="s">
        <v>266</v>
      </c>
      <c r="V5676" s="2" t="s">
        <v>6667</v>
      </c>
      <c r="W5676" s="2" t="s">
        <v>14241</v>
      </c>
      <c r="X5676" s="2" t="s">
        <v>147</v>
      </c>
      <c r="Y5676" s="2">
        <v>37.4</v>
      </c>
      <c r="Z5676" s="2">
        <v>0</v>
      </c>
      <c r="AA5676" s="2" t="s">
        <v>95</v>
      </c>
      <c r="AB5676" s="2" t="s">
        <v>37019</v>
      </c>
      <c r="AC5676" s="2">
        <v>2.5028728414219299</v>
      </c>
      <c r="AD5676" s="2"/>
      <c r="AE5676" s="2">
        <v>1.6057488499026999E-2</v>
      </c>
      <c r="AF5676" s="2">
        <v>1058.29192370535</v>
      </c>
      <c r="AG5676" s="2">
        <v>1929.5494136372999</v>
      </c>
      <c r="AH5676" s="4">
        <v>0.54846583156967099</v>
      </c>
      <c r="AI5676" s="4">
        <v>-0.86652634875377499</v>
      </c>
      <c r="AJ5676" s="4" t="s">
        <v>62</v>
      </c>
      <c r="AK5676" s="2">
        <v>0.67319616061090104</v>
      </c>
      <c r="AL5676" s="2">
        <v>0.84197843653159099</v>
      </c>
      <c r="AM5676" s="2">
        <v>3722.5949445948399</v>
      </c>
      <c r="AN5676" s="2">
        <v>768.24429334109698</v>
      </c>
      <c r="AO5676" s="2">
        <v>713.04170421423601</v>
      </c>
      <c r="AP5676" s="2">
        <v>383.36582389234798</v>
      </c>
      <c r="AQ5676" s="2">
        <v>8.559877937157E-6</v>
      </c>
      <c r="AR5676" s="2">
        <v>762.50476762971005</v>
      </c>
      <c r="AS5676" s="2">
        <v>8.559877937157E-6</v>
      </c>
      <c r="AT5676" s="2">
        <v>8.559877937157E-6</v>
      </c>
      <c r="AU5676" s="2">
        <v>11577.2964390244</v>
      </c>
      <c r="AV5676" s="2">
        <v>8.559877937157E-6</v>
      </c>
      <c r="AW5676" s="2">
        <v>8.559877937157E-6</v>
      </c>
      <c r="AX5676" s="2">
        <v>8.559877937157E-6</v>
      </c>
    </row>
    <row r="5677" spans="1:50" x14ac:dyDescent="0.25">
      <c r="A5677" s="2" t="s">
        <v>37020</v>
      </c>
      <c r="B5677" s="2">
        <v>282.1026</v>
      </c>
      <c r="C5677" s="2">
        <v>16.870999999999999</v>
      </c>
      <c r="D5677" s="2" t="s">
        <v>125</v>
      </c>
      <c r="E5677" s="2" t="s">
        <v>37021</v>
      </c>
      <c r="F5677" s="2">
        <v>201751</v>
      </c>
      <c r="G5677" s="3" t="str">
        <f>HYPERLINK("https://cloud.oebiotech.com/#/lm/network/201751", "https://cloud.oebiotech.com/#/lm/network/201751")</f>
        <v>https://cloud.oebiotech.com/#/lm/network/201751</v>
      </c>
      <c r="H5677" s="2" t="s">
        <v>37022</v>
      </c>
      <c r="I5677" s="2">
        <v>325922</v>
      </c>
      <c r="J5677" s="2"/>
      <c r="K5677" s="2">
        <v>6094</v>
      </c>
      <c r="L5677" s="2"/>
      <c r="M5677" s="2"/>
      <c r="N5677" s="2"/>
      <c r="O5677" s="2">
        <v>65083</v>
      </c>
      <c r="P5677" s="2"/>
      <c r="Q5677" s="2"/>
      <c r="R5677" s="2"/>
      <c r="S5677" s="2" t="s">
        <v>37023</v>
      </c>
      <c r="T5677" s="2" t="s">
        <v>37024</v>
      </c>
      <c r="U5677" s="2" t="s">
        <v>266</v>
      </c>
      <c r="V5677" s="2" t="s">
        <v>2143</v>
      </c>
      <c r="W5677" s="2" t="s">
        <v>18895</v>
      </c>
      <c r="X5677" s="2" t="s">
        <v>59</v>
      </c>
      <c r="Y5677" s="2">
        <v>78.400000000000006</v>
      </c>
      <c r="Z5677" s="2">
        <v>68</v>
      </c>
      <c r="AA5677" s="2"/>
      <c r="AB5677" s="2" t="s">
        <v>37025</v>
      </c>
      <c r="AC5677" s="2"/>
      <c r="AD5677" s="2">
        <v>566869.82030981104</v>
      </c>
      <c r="AE5677" s="2">
        <v>1.6048987561958099E-2</v>
      </c>
      <c r="AF5677" s="2">
        <v>16824.118181952901</v>
      </c>
      <c r="AG5677" s="2">
        <v>16560.168901800102</v>
      </c>
      <c r="AH5677" s="5">
        <v>1.01593880362682</v>
      </c>
      <c r="AI5677" s="5">
        <v>2.2813502146383099E-2</v>
      </c>
      <c r="AJ5677" s="5" t="s">
        <v>139</v>
      </c>
      <c r="AK5677" s="2">
        <v>0.88920913818493996</v>
      </c>
      <c r="AL5677" s="2">
        <v>0.95222097208274104</v>
      </c>
      <c r="AM5677" s="2">
        <v>16731.342195732599</v>
      </c>
      <c r="AN5677" s="2">
        <v>16139.683017646499</v>
      </c>
      <c r="AO5677" s="2">
        <v>13828.184359556501</v>
      </c>
      <c r="AP5677" s="2">
        <v>17995.885474525199</v>
      </c>
      <c r="AQ5677" s="2">
        <v>19729.772665023502</v>
      </c>
      <c r="AR5677" s="2">
        <v>16519.841379232799</v>
      </c>
      <c r="AS5677" s="2">
        <v>12096.6155890806</v>
      </c>
      <c r="AT5677" s="2">
        <v>18401.838289804698</v>
      </c>
      <c r="AU5677" s="2">
        <v>22434.455266048099</v>
      </c>
      <c r="AV5677" s="2">
        <v>18858.941301050902</v>
      </c>
      <c r="AW5677" s="2">
        <v>15281.216196412101</v>
      </c>
      <c r="AX5677" s="2">
        <v>12287.946768404099</v>
      </c>
    </row>
    <row r="5678" spans="1:50" x14ac:dyDescent="0.25">
      <c r="A5678" s="2" t="s">
        <v>37026</v>
      </c>
      <c r="B5678" s="2">
        <v>289.16299072075702</v>
      </c>
      <c r="C5678" s="2">
        <v>0.58143333333333302</v>
      </c>
      <c r="D5678" s="2" t="s">
        <v>51</v>
      </c>
      <c r="E5678" s="2" t="s">
        <v>37027</v>
      </c>
      <c r="F5678" s="2">
        <v>53743</v>
      </c>
      <c r="G5678" s="3" t="str">
        <f>HYPERLINK("https://cloud.oebiotech.com/#/lm/network/53743", "https://cloud.oebiotech.com/#/lm/network/53743")</f>
        <v>https://cloud.oebiotech.com/#/lm/network/53743</v>
      </c>
      <c r="H5678" s="2" t="s">
        <v>37028</v>
      </c>
      <c r="I5678" s="2">
        <v>23959</v>
      </c>
      <c r="J5678" s="2"/>
      <c r="K5678" s="2">
        <v>53972225</v>
      </c>
      <c r="L5678" s="2"/>
      <c r="M5678" s="2"/>
      <c r="N5678" s="2"/>
      <c r="O5678" s="2">
        <v>157790</v>
      </c>
      <c r="P5678" s="2"/>
      <c r="Q5678" s="2"/>
      <c r="R5678" s="2" t="s">
        <v>37029</v>
      </c>
      <c r="S5678" s="2" t="s">
        <v>37030</v>
      </c>
      <c r="T5678" s="2" t="s">
        <v>37031</v>
      </c>
      <c r="U5678" s="2" t="s">
        <v>103</v>
      </c>
      <c r="V5678" s="2" t="s">
        <v>104</v>
      </c>
      <c r="W5678" s="2" t="s">
        <v>105</v>
      </c>
      <c r="X5678" s="2" t="s">
        <v>83</v>
      </c>
      <c r="Y5678" s="2">
        <v>46.2</v>
      </c>
      <c r="Z5678" s="2">
        <v>39.299999999999997</v>
      </c>
      <c r="AA5678" s="2" t="s">
        <v>259</v>
      </c>
      <c r="AB5678" s="2" t="s">
        <v>37032</v>
      </c>
      <c r="AC5678" s="2">
        <v>3.8560561055848099</v>
      </c>
      <c r="AD5678" s="2"/>
      <c r="AE5678" s="2">
        <v>1.6034807701607302E-2</v>
      </c>
      <c r="AF5678" s="2">
        <v>3202.8082267517402</v>
      </c>
      <c r="AG5678" s="2">
        <v>3215.7869515262801</v>
      </c>
      <c r="AH5678" s="4">
        <v>0.99596405950699396</v>
      </c>
      <c r="AI5678" s="4">
        <v>-5.8344129419671403E-3</v>
      </c>
      <c r="AJ5678" s="4" t="s">
        <v>62</v>
      </c>
      <c r="AK5678" s="2">
        <v>0.98933898027088596</v>
      </c>
      <c r="AL5678" s="2">
        <v>0.99545530263140103</v>
      </c>
      <c r="AM5678" s="2">
        <v>4032.9301652174099</v>
      </c>
      <c r="AN5678" s="2">
        <v>1795.8392083041599</v>
      </c>
      <c r="AO5678" s="2">
        <v>2849.5092742028901</v>
      </c>
      <c r="AP5678" s="2">
        <v>2325.0873557576401</v>
      </c>
      <c r="AQ5678" s="2">
        <v>2318.9474243873701</v>
      </c>
      <c r="AR5678" s="2">
        <v>5894.5359326409598</v>
      </c>
      <c r="AS5678" s="2">
        <v>950.54613649820305</v>
      </c>
      <c r="AT5678" s="2">
        <v>1986.23225705767</v>
      </c>
      <c r="AU5678" s="2">
        <v>2318.1916315361</v>
      </c>
      <c r="AV5678" s="2">
        <v>4182.8691664917296</v>
      </c>
      <c r="AW5678" s="2">
        <v>4192.1303801652502</v>
      </c>
      <c r="AX5678" s="2">
        <v>5664.7521374087401</v>
      </c>
    </row>
    <row r="5679" spans="1:50" x14ac:dyDescent="0.25">
      <c r="A5679" s="2" t="s">
        <v>37033</v>
      </c>
      <c r="B5679" s="2">
        <v>326.27021301968</v>
      </c>
      <c r="C5679" s="2">
        <v>12.2162666666667</v>
      </c>
      <c r="D5679" s="2" t="s">
        <v>51</v>
      </c>
      <c r="E5679" s="2" t="s">
        <v>37034</v>
      </c>
      <c r="F5679" s="2">
        <v>8700</v>
      </c>
      <c r="G5679" s="3" t="str">
        <f>HYPERLINK("https://cloud.oebiotech.com/#/lm/network/8700", "https://cloud.oebiotech.com/#/lm/network/8700")</f>
        <v>https://cloud.oebiotech.com/#/lm/network/8700</v>
      </c>
      <c r="H5679" s="2"/>
      <c r="I5679" s="2">
        <v>75505</v>
      </c>
      <c r="J5679" s="2" t="s">
        <v>37035</v>
      </c>
      <c r="K5679" s="2">
        <v>14961184</v>
      </c>
      <c r="L5679" s="2"/>
      <c r="M5679" s="2"/>
      <c r="N5679" s="2"/>
      <c r="O5679" s="2"/>
      <c r="P5679" s="2"/>
      <c r="Q5679" s="2"/>
      <c r="R5679" s="2"/>
      <c r="S5679" s="2" t="s">
        <v>37036</v>
      </c>
      <c r="T5679" s="2" t="s">
        <v>37037</v>
      </c>
      <c r="U5679" s="2" t="s">
        <v>103</v>
      </c>
      <c r="V5679" s="2" t="s">
        <v>104</v>
      </c>
      <c r="W5679" s="2" t="s">
        <v>105</v>
      </c>
      <c r="X5679" s="2" t="s">
        <v>83</v>
      </c>
      <c r="Y5679" s="2">
        <v>42.4</v>
      </c>
      <c r="Z5679" s="2">
        <v>0</v>
      </c>
      <c r="AA5679" s="2" t="s">
        <v>163</v>
      </c>
      <c r="AB5679" s="2" t="s">
        <v>37038</v>
      </c>
      <c r="AC5679" s="2">
        <v>0.44427643054127203</v>
      </c>
      <c r="AD5679" s="2"/>
      <c r="AE5679" s="2">
        <v>1.6021790136198699E-2</v>
      </c>
      <c r="AF5679" s="2">
        <v>755.92417876099103</v>
      </c>
      <c r="AG5679" s="2">
        <v>736.69336593249704</v>
      </c>
      <c r="AH5679" s="5">
        <v>1.02610422968062</v>
      </c>
      <c r="AI5679" s="5">
        <v>3.7177284556917198E-2</v>
      </c>
      <c r="AJ5679" s="5" t="s">
        <v>139</v>
      </c>
      <c r="AK5679" s="2">
        <v>0.93218155208372799</v>
      </c>
      <c r="AL5679" s="2">
        <v>0.97061347617365101</v>
      </c>
      <c r="AM5679" s="2">
        <v>1350.7328568564701</v>
      </c>
      <c r="AN5679" s="2">
        <v>535.97127980896801</v>
      </c>
      <c r="AO5679" s="2">
        <v>398.50401204068402</v>
      </c>
      <c r="AP5679" s="2">
        <v>471.42169832706799</v>
      </c>
      <c r="AQ5679" s="2">
        <v>959.09962164430203</v>
      </c>
      <c r="AR5679" s="2">
        <v>819.81560388845196</v>
      </c>
      <c r="AS5679" s="2">
        <v>518.62118343745306</v>
      </c>
      <c r="AT5679" s="2">
        <v>401.52477966669102</v>
      </c>
      <c r="AU5679" s="2">
        <v>1094.16342548023</v>
      </c>
      <c r="AV5679" s="2">
        <v>763.529813589637</v>
      </c>
      <c r="AW5679" s="2">
        <v>1320.1278496966299</v>
      </c>
      <c r="AX5679" s="2">
        <v>322.19314372434002</v>
      </c>
    </row>
    <row r="5680" spans="1:50" x14ac:dyDescent="0.25">
      <c r="A5680" s="2" t="s">
        <v>37039</v>
      </c>
      <c r="B5680" s="2">
        <v>296.124254813302</v>
      </c>
      <c r="C5680" s="2">
        <v>0.99048333333333305</v>
      </c>
      <c r="D5680" s="2" t="s">
        <v>51</v>
      </c>
      <c r="E5680" s="2" t="s">
        <v>37040</v>
      </c>
      <c r="F5680" s="2">
        <v>19512</v>
      </c>
      <c r="G5680" s="3" t="str">
        <f>HYPERLINK("https://cloud.oebiotech.com/#/lm/network/19512", "https://cloud.oebiotech.com/#/lm/network/19512")</f>
        <v>https://cloud.oebiotech.com/#/lm/network/19512</v>
      </c>
      <c r="H5680" s="2"/>
      <c r="I5680" s="2">
        <v>40034</v>
      </c>
      <c r="J5680" s="2" t="s">
        <v>37041</v>
      </c>
      <c r="K5680" s="2">
        <v>24779268</v>
      </c>
      <c r="L5680" s="2"/>
      <c r="M5680" s="2"/>
      <c r="N5680" s="2"/>
      <c r="O5680" s="2"/>
      <c r="P5680" s="2"/>
      <c r="Q5680" s="2"/>
      <c r="R5680" s="2"/>
      <c r="S5680" s="2" t="s">
        <v>37042</v>
      </c>
      <c r="T5680" s="2" t="s">
        <v>37043</v>
      </c>
      <c r="U5680" s="2" t="s">
        <v>56</v>
      </c>
      <c r="V5680" s="2" t="s">
        <v>57</v>
      </c>
      <c r="W5680" s="2" t="s">
        <v>58</v>
      </c>
      <c r="X5680" s="2" t="s">
        <v>147</v>
      </c>
      <c r="Y5680" s="2">
        <v>38.299999999999997</v>
      </c>
      <c r="Z5680" s="2">
        <v>0</v>
      </c>
      <c r="AA5680" s="2" t="s">
        <v>3354</v>
      </c>
      <c r="AB5680" s="2" t="s">
        <v>25627</v>
      </c>
      <c r="AC5680" s="2">
        <v>-4.7765550700159398</v>
      </c>
      <c r="AD5680" s="2"/>
      <c r="AE5680" s="2">
        <v>1.5935520816903401E-2</v>
      </c>
      <c r="AF5680" s="2">
        <v>4964.0469469552299</v>
      </c>
      <c r="AG5680" s="2">
        <v>4670.24717585286</v>
      </c>
      <c r="AH5680" s="5">
        <v>1.06290882688639</v>
      </c>
      <c r="AI5680" s="5">
        <v>8.8017852146488204E-2</v>
      </c>
      <c r="AJ5680" s="5" t="s">
        <v>139</v>
      </c>
      <c r="AK5680" s="2">
        <v>0.92058011843549103</v>
      </c>
      <c r="AL5680" s="2">
        <v>0.96547519393645298</v>
      </c>
      <c r="AM5680" s="2">
        <v>5388.1964286210396</v>
      </c>
      <c r="AN5680" s="2">
        <v>1213.1245513487499</v>
      </c>
      <c r="AO5680" s="2">
        <v>3841.1470300569199</v>
      </c>
      <c r="AP5680" s="2">
        <v>2068.3218294252702</v>
      </c>
      <c r="AQ5680" s="2">
        <v>6464.7356055931896</v>
      </c>
      <c r="AR5680" s="2">
        <v>10808.7562366862</v>
      </c>
      <c r="AS5680" s="2">
        <v>1455.6537693052301</v>
      </c>
      <c r="AT5680" s="2">
        <v>3083.0403492958098</v>
      </c>
      <c r="AU5680" s="2">
        <v>167.90216240352501</v>
      </c>
      <c r="AV5680" s="2">
        <v>15828.906905024</v>
      </c>
      <c r="AW5680" s="2">
        <v>8.559877937157E-6</v>
      </c>
      <c r="AX5680" s="2">
        <v>7485.9798605287397</v>
      </c>
    </row>
    <row r="5681" spans="1:50" x14ac:dyDescent="0.25">
      <c r="A5681" s="2" t="s">
        <v>37044</v>
      </c>
      <c r="B5681" s="2">
        <v>167.094949337017</v>
      </c>
      <c r="C5681" s="2">
        <v>14.854649999999999</v>
      </c>
      <c r="D5681" s="2" t="s">
        <v>51</v>
      </c>
      <c r="E5681" s="2" t="s">
        <v>37045</v>
      </c>
      <c r="F5681" s="2">
        <v>48321</v>
      </c>
      <c r="G5681" s="3" t="str">
        <f>HYPERLINK("https://cloud.oebiotech.com/#/lm/network/48321", "https://cloud.oebiotech.com/#/lm/network/48321")</f>
        <v>https://cloud.oebiotech.com/#/lm/network/48321</v>
      </c>
      <c r="H5681" s="2" t="s">
        <v>37046</v>
      </c>
      <c r="I5681" s="2">
        <v>24111</v>
      </c>
      <c r="J5681" s="2"/>
      <c r="K5681" s="2">
        <v>7172</v>
      </c>
      <c r="L5681" s="2" t="s">
        <v>37047</v>
      </c>
      <c r="M5681" s="2"/>
      <c r="N5681" s="2"/>
      <c r="O5681" s="2">
        <v>29081</v>
      </c>
      <c r="P5681" s="2"/>
      <c r="Q5681" s="2"/>
      <c r="R5681" s="2" t="s">
        <v>37048</v>
      </c>
      <c r="S5681" s="2" t="s">
        <v>37049</v>
      </c>
      <c r="T5681" s="2" t="s">
        <v>37050</v>
      </c>
      <c r="U5681" s="2" t="s">
        <v>610</v>
      </c>
      <c r="V5681" s="2" t="s">
        <v>895</v>
      </c>
      <c r="W5681" s="2" t="s">
        <v>919</v>
      </c>
      <c r="X5681" s="2" t="s">
        <v>147</v>
      </c>
      <c r="Y5681" s="2">
        <v>37.5</v>
      </c>
      <c r="Z5681" s="2">
        <v>0</v>
      </c>
      <c r="AA5681" s="2" t="s">
        <v>122</v>
      </c>
      <c r="AB5681" s="2" t="s">
        <v>37051</v>
      </c>
      <c r="AC5681" s="2">
        <v>1.91853077413083</v>
      </c>
      <c r="AD5681" s="2"/>
      <c r="AE5681" s="2">
        <v>1.5712051045369099E-2</v>
      </c>
      <c r="AF5681" s="2">
        <v>152.34376560972601</v>
      </c>
      <c r="AG5681" s="2">
        <v>127.060523484794</v>
      </c>
      <c r="AH5681" s="5">
        <v>1.1989858174003001</v>
      </c>
      <c r="AI5681" s="5">
        <v>0.26181459345833102</v>
      </c>
      <c r="AJ5681" s="5" t="s">
        <v>139</v>
      </c>
      <c r="AK5681" s="2">
        <v>0.37881898534014502</v>
      </c>
      <c r="AL5681" s="2">
        <v>0.65877220737095499</v>
      </c>
      <c r="AM5681" s="2">
        <v>98.982957170457695</v>
      </c>
      <c r="AN5681" s="2">
        <v>130.811178387545</v>
      </c>
      <c r="AO5681" s="2">
        <v>185.50022645002801</v>
      </c>
      <c r="AP5681" s="2">
        <v>176.216211007857</v>
      </c>
      <c r="AQ5681" s="2">
        <v>161.82309760153001</v>
      </c>
      <c r="AR5681" s="2">
        <v>160.72892304093699</v>
      </c>
      <c r="AS5681" s="2">
        <v>157.69518874408499</v>
      </c>
      <c r="AT5681" s="2">
        <v>177.18709753628499</v>
      </c>
      <c r="AU5681" s="2">
        <v>64.457177915982896</v>
      </c>
      <c r="AV5681" s="2">
        <v>85.4994876103801</v>
      </c>
      <c r="AW5681" s="2">
        <v>75.103709028797596</v>
      </c>
      <c r="AX5681" s="2">
        <v>202.42048007323501</v>
      </c>
    </row>
    <row r="5682" spans="1:50" x14ac:dyDescent="0.25">
      <c r="A5682" s="2" t="s">
        <v>37052</v>
      </c>
      <c r="B5682" s="2">
        <v>404.25956630659198</v>
      </c>
      <c r="C5682" s="2">
        <v>4.3824333333333296</v>
      </c>
      <c r="D5682" s="2" t="s">
        <v>51</v>
      </c>
      <c r="E5682" s="2" t="s">
        <v>37053</v>
      </c>
      <c r="F5682" s="2">
        <v>61939</v>
      </c>
      <c r="G5682" s="3" t="str">
        <f>HYPERLINK("https://cloud.oebiotech.com/#/lm/network/61939", "https://cloud.oebiotech.com/#/lm/network/61939")</f>
        <v>https://cloud.oebiotech.com/#/lm/network/61939</v>
      </c>
      <c r="H5682" s="2" t="s">
        <v>37054</v>
      </c>
      <c r="I5682" s="2">
        <v>93239</v>
      </c>
      <c r="J5682" s="2"/>
      <c r="K5682" s="2">
        <v>101590875</v>
      </c>
      <c r="L5682" s="2"/>
      <c r="M5682" s="2"/>
      <c r="N5682" s="2"/>
      <c r="O5682" s="2"/>
      <c r="P5682" s="2"/>
      <c r="Q5682" s="2"/>
      <c r="R5682" s="2" t="s">
        <v>37055</v>
      </c>
      <c r="S5682" s="2" t="s">
        <v>37056</v>
      </c>
      <c r="T5682" s="2" t="s">
        <v>37057</v>
      </c>
      <c r="U5682" s="2" t="s">
        <v>266</v>
      </c>
      <c r="V5682" s="2" t="s">
        <v>1988</v>
      </c>
      <c r="W5682" s="2" t="s">
        <v>240</v>
      </c>
      <c r="X5682" s="2" t="s">
        <v>147</v>
      </c>
      <c r="Y5682" s="2">
        <v>36.9</v>
      </c>
      <c r="Z5682" s="2">
        <v>6.69</v>
      </c>
      <c r="AA5682" s="2" t="s">
        <v>156</v>
      </c>
      <c r="AB5682" s="2" t="s">
        <v>37058</v>
      </c>
      <c r="AC5682" s="2">
        <v>2.75498740723059</v>
      </c>
      <c r="AD5682" s="2"/>
      <c r="AE5682" s="2">
        <v>1.55645761699093E-2</v>
      </c>
      <c r="AF5682" s="2">
        <v>1836.2743586009001</v>
      </c>
      <c r="AG5682" s="2">
        <v>1755.34533929028</v>
      </c>
      <c r="AH5682" s="5">
        <v>1.0461043291591501</v>
      </c>
      <c r="AI5682" s="5">
        <v>6.5026740356128501E-2</v>
      </c>
      <c r="AJ5682" s="5" t="s">
        <v>139</v>
      </c>
      <c r="AK5682" s="2">
        <v>0.965446818189026</v>
      </c>
      <c r="AL5682" s="2">
        <v>0.98639647014555798</v>
      </c>
      <c r="AM5682" s="2">
        <v>1966.5955332983799</v>
      </c>
      <c r="AN5682" s="2">
        <v>490.19856876281699</v>
      </c>
      <c r="AO5682" s="2">
        <v>8.559877937157E-6</v>
      </c>
      <c r="AP5682" s="2">
        <v>8.559877937157E-6</v>
      </c>
      <c r="AQ5682" s="2">
        <v>8.559877937157E-6</v>
      </c>
      <c r="AR5682" s="2">
        <v>8560.8520238645506</v>
      </c>
      <c r="AS5682" s="2">
        <v>8.559877937157E-6</v>
      </c>
      <c r="AT5682" s="2">
        <v>8.559877937157E-6</v>
      </c>
      <c r="AU5682" s="2">
        <v>6917.75359475188</v>
      </c>
      <c r="AV5682" s="2">
        <v>3614.3184067502798</v>
      </c>
      <c r="AW5682" s="2">
        <v>8.559877937157E-6</v>
      </c>
      <c r="AX5682" s="2">
        <v>8.559877937157E-6</v>
      </c>
    </row>
    <row r="5683" spans="1:50" x14ac:dyDescent="0.25">
      <c r="A5683" s="2" t="s">
        <v>37059</v>
      </c>
      <c r="B5683" s="2">
        <v>280.11594582670898</v>
      </c>
      <c r="C5683" s="2">
        <v>6.5601333333333303</v>
      </c>
      <c r="D5683" s="2" t="s">
        <v>51</v>
      </c>
      <c r="E5683" s="2" t="s">
        <v>37060</v>
      </c>
      <c r="F5683" s="2">
        <v>54333</v>
      </c>
      <c r="G5683" s="3" t="str">
        <f>HYPERLINK("https://cloud.oebiotech.com/#/lm/network/54333", "https://cloud.oebiotech.com/#/lm/network/54333")</f>
        <v>https://cloud.oebiotech.com/#/lm/network/54333</v>
      </c>
      <c r="H5683" s="2" t="s">
        <v>37061</v>
      </c>
      <c r="I5683" s="2">
        <v>69686</v>
      </c>
      <c r="J5683" s="2"/>
      <c r="K5683" s="2">
        <v>37165</v>
      </c>
      <c r="L5683" s="2" t="s">
        <v>37062</v>
      </c>
      <c r="M5683" s="2"/>
      <c r="N5683" s="2"/>
      <c r="O5683" s="2">
        <v>34970</v>
      </c>
      <c r="P5683" s="2"/>
      <c r="Q5683" s="2"/>
      <c r="R5683" s="2" t="s">
        <v>37063</v>
      </c>
      <c r="S5683" s="2" t="s">
        <v>37064</v>
      </c>
      <c r="T5683" s="2" t="s">
        <v>37065</v>
      </c>
      <c r="U5683" s="2" t="s">
        <v>540</v>
      </c>
      <c r="V5683" s="2" t="s">
        <v>9490</v>
      </c>
      <c r="W5683" s="2" t="s">
        <v>240</v>
      </c>
      <c r="X5683" s="2" t="s">
        <v>147</v>
      </c>
      <c r="Y5683" s="2">
        <v>37.200000000000003</v>
      </c>
      <c r="Z5683" s="2">
        <v>0</v>
      </c>
      <c r="AA5683" s="2" t="s">
        <v>379</v>
      </c>
      <c r="AB5683" s="2" t="s">
        <v>37066</v>
      </c>
      <c r="AC5683" s="2">
        <v>-1.3877059786148001</v>
      </c>
      <c r="AD5683" s="2"/>
      <c r="AE5683" s="2">
        <v>1.5519070100983299E-2</v>
      </c>
      <c r="AF5683" s="2">
        <v>13579.982377844501</v>
      </c>
      <c r="AG5683" s="2">
        <v>13721.527971359599</v>
      </c>
      <c r="AH5683" s="4">
        <v>0.98968441460669399</v>
      </c>
      <c r="AI5683" s="4">
        <v>-1.4959535417324799E-2</v>
      </c>
      <c r="AJ5683" s="4" t="s">
        <v>62</v>
      </c>
      <c r="AK5683" s="2">
        <v>0.977026440613464</v>
      </c>
      <c r="AL5683" s="2">
        <v>0.99054063830637595</v>
      </c>
      <c r="AM5683" s="2">
        <v>17923.575789629798</v>
      </c>
      <c r="AN5683" s="2">
        <v>6265.15417707913</v>
      </c>
      <c r="AO5683" s="2">
        <v>11050.2587929113</v>
      </c>
      <c r="AP5683" s="2">
        <v>12036.907188740999</v>
      </c>
      <c r="AQ5683" s="2">
        <v>16842.479278420898</v>
      </c>
      <c r="AR5683" s="2">
        <v>17361.519040284598</v>
      </c>
      <c r="AS5683" s="2">
        <v>20656.0458085219</v>
      </c>
      <c r="AT5683" s="2">
        <v>22864.928161616299</v>
      </c>
      <c r="AU5683" s="2">
        <v>2079.31110707789</v>
      </c>
      <c r="AV5683" s="2">
        <v>5767.7162596633598</v>
      </c>
      <c r="AW5683" s="2">
        <v>26586.8146564116</v>
      </c>
      <c r="AX5683" s="2">
        <v>4374.3518348668404</v>
      </c>
    </row>
    <row r="5684" spans="1:50" x14ac:dyDescent="0.25">
      <c r="A5684" s="2" t="s">
        <v>37067</v>
      </c>
      <c r="B5684" s="2">
        <v>447.34832304954699</v>
      </c>
      <c r="C5684" s="2">
        <v>11.371549999999999</v>
      </c>
      <c r="D5684" s="2" t="s">
        <v>51</v>
      </c>
      <c r="E5684" s="2" t="s">
        <v>37068</v>
      </c>
      <c r="F5684" s="2">
        <v>44160</v>
      </c>
      <c r="G5684" s="3" t="str">
        <f>HYPERLINK("https://cloud.oebiotech.com/#/lm/network/44160", "https://cloud.oebiotech.com/#/lm/network/44160")</f>
        <v>https://cloud.oebiotech.com/#/lm/network/44160</v>
      </c>
      <c r="H5684" s="2"/>
      <c r="I5684" s="2"/>
      <c r="J5684" s="2" t="s">
        <v>37069</v>
      </c>
      <c r="K5684" s="2"/>
      <c r="L5684" s="2"/>
      <c r="M5684" s="2"/>
      <c r="N5684" s="2"/>
      <c r="O5684" s="2"/>
      <c r="P5684" s="2"/>
      <c r="Q5684" s="2"/>
      <c r="R5684" s="2"/>
      <c r="S5684" s="2" t="s">
        <v>37070</v>
      </c>
      <c r="T5684" s="2" t="s">
        <v>37071</v>
      </c>
      <c r="U5684" s="2" t="s">
        <v>56</v>
      </c>
      <c r="V5684" s="2" t="s">
        <v>283</v>
      </c>
      <c r="W5684" s="2" t="s">
        <v>1215</v>
      </c>
      <c r="X5684" s="2" t="s">
        <v>83</v>
      </c>
      <c r="Y5684" s="2">
        <v>41.9</v>
      </c>
      <c r="Z5684" s="2">
        <v>0</v>
      </c>
      <c r="AA5684" s="2" t="s">
        <v>259</v>
      </c>
      <c r="AB5684" s="2" t="s">
        <v>19461</v>
      </c>
      <c r="AC5684" s="2">
        <v>3.2187689698981199</v>
      </c>
      <c r="AD5684" s="2"/>
      <c r="AE5684" s="2">
        <v>1.5410726300069E-2</v>
      </c>
      <c r="AF5684" s="2">
        <v>32781.648158489101</v>
      </c>
      <c r="AG5684" s="2">
        <v>31836.528564002099</v>
      </c>
      <c r="AH5684" s="5">
        <v>1.02968664101009</v>
      </c>
      <c r="AI5684" s="5">
        <v>4.2205356589522597E-2</v>
      </c>
      <c r="AJ5684" s="5" t="s">
        <v>139</v>
      </c>
      <c r="AK5684" s="2">
        <v>0.89143992173938802</v>
      </c>
      <c r="AL5684" s="2">
        <v>0.95359978655256705</v>
      </c>
      <c r="AM5684" s="2">
        <v>21283.2283509628</v>
      </c>
      <c r="AN5684" s="2">
        <v>40636.314113890701</v>
      </c>
      <c r="AO5684" s="2">
        <v>39193.211617254397</v>
      </c>
      <c r="AP5684" s="2">
        <v>37025.606125908402</v>
      </c>
      <c r="AQ5684" s="2">
        <v>38097.505113125197</v>
      </c>
      <c r="AR5684" s="2">
        <v>20454.023629793301</v>
      </c>
      <c r="AS5684" s="2">
        <v>27997.644425208098</v>
      </c>
      <c r="AT5684" s="2">
        <v>40225.6706781955</v>
      </c>
      <c r="AU5684" s="2">
        <v>17510.550426686001</v>
      </c>
      <c r="AV5684" s="2">
        <v>15034.908223226699</v>
      </c>
      <c r="AW5684" s="2">
        <v>43106.541317720097</v>
      </c>
      <c r="AX5684" s="2">
        <v>47143.856312976102</v>
      </c>
    </row>
    <row r="5685" spans="1:50" x14ac:dyDescent="0.25">
      <c r="A5685" s="2" t="s">
        <v>37072</v>
      </c>
      <c r="B5685" s="2">
        <v>312.04173475267402</v>
      </c>
      <c r="C5685" s="2">
        <v>1.3362333333333301</v>
      </c>
      <c r="D5685" s="2" t="s">
        <v>51</v>
      </c>
      <c r="E5685" s="2" t="s">
        <v>37073</v>
      </c>
      <c r="F5685" s="2">
        <v>534649</v>
      </c>
      <c r="G5685" s="3" t="str">
        <f>HYPERLINK("https://cloud.oebiotech.com/#/lm/network/534649", "https://cloud.oebiotech.com/#/lm/network/534649")</f>
        <v>https://cloud.oebiotech.com/#/lm/network/534649</v>
      </c>
      <c r="H5685" s="2"/>
      <c r="I5685" s="2">
        <v>984893</v>
      </c>
      <c r="J5685" s="2"/>
      <c r="K5685" s="2">
        <v>6731</v>
      </c>
      <c r="L5685" s="2"/>
      <c r="M5685" s="2"/>
      <c r="N5685" s="2"/>
      <c r="O5685" s="2"/>
      <c r="P5685" s="2"/>
      <c r="Q5685" s="2"/>
      <c r="R5685" s="2"/>
      <c r="S5685" s="2" t="s">
        <v>37074</v>
      </c>
      <c r="T5685" s="2" t="s">
        <v>37075</v>
      </c>
      <c r="U5685" s="2" t="s">
        <v>610</v>
      </c>
      <c r="V5685" s="2" t="s">
        <v>14762</v>
      </c>
      <c r="W5685" s="2" t="s">
        <v>23206</v>
      </c>
      <c r="X5685" s="2" t="s">
        <v>147</v>
      </c>
      <c r="Y5685" s="2">
        <v>36</v>
      </c>
      <c r="Z5685" s="2">
        <v>0</v>
      </c>
      <c r="AA5685" s="2" t="s">
        <v>395</v>
      </c>
      <c r="AB5685" s="2" t="s">
        <v>37076</v>
      </c>
      <c r="AC5685" s="2">
        <v>-1.47182334616681</v>
      </c>
      <c r="AD5685" s="2"/>
      <c r="AE5685" s="2">
        <v>1.5387899456502501E-2</v>
      </c>
      <c r="AF5685" s="2">
        <v>3308.8905457666201</v>
      </c>
      <c r="AG5685" s="2">
        <v>3356.1424915064999</v>
      </c>
      <c r="AH5685" s="4">
        <v>0.98592075698231996</v>
      </c>
      <c r="AI5685" s="4">
        <v>-2.04563997069581E-2</v>
      </c>
      <c r="AJ5685" s="4" t="s">
        <v>62</v>
      </c>
      <c r="AK5685" s="2">
        <v>0.90735217245215805</v>
      </c>
      <c r="AL5685" s="2">
        <v>0.96135785818545705</v>
      </c>
      <c r="AM5685" s="2">
        <v>2928.37142512521</v>
      </c>
      <c r="AN5685" s="2">
        <v>3974.65826426679</v>
      </c>
      <c r="AO5685" s="2">
        <v>3158.7539055809202</v>
      </c>
      <c r="AP5685" s="2">
        <v>3569.59873992948</v>
      </c>
      <c r="AQ5685" s="2">
        <v>3691.8595361231401</v>
      </c>
      <c r="AR5685" s="2">
        <v>2530.10140357418</v>
      </c>
      <c r="AS5685" s="2">
        <v>1963.69049462724</v>
      </c>
      <c r="AT5685" s="2">
        <v>2929.19447237947</v>
      </c>
      <c r="AU5685" s="2">
        <v>3508.8590883484098</v>
      </c>
      <c r="AV5685" s="2">
        <v>3693.5467815725601</v>
      </c>
      <c r="AW5685" s="2">
        <v>3768.0032880577401</v>
      </c>
      <c r="AX5685" s="2">
        <v>4273.5608240535903</v>
      </c>
    </row>
    <row r="5686" spans="1:50" x14ac:dyDescent="0.25">
      <c r="A5686" s="2" t="s">
        <v>37077</v>
      </c>
      <c r="B5686" s="2">
        <v>359.030026600067</v>
      </c>
      <c r="C5686" s="2">
        <v>0.59993333333333299</v>
      </c>
      <c r="D5686" s="2" t="s">
        <v>51</v>
      </c>
      <c r="E5686" s="2" t="s">
        <v>37078</v>
      </c>
      <c r="F5686" s="2">
        <v>206805</v>
      </c>
      <c r="G5686" s="3" t="str">
        <f>HYPERLINK("https://cloud.oebiotech.com/#/lm/network/206805", "https://cloud.oebiotech.com/#/lm/network/206805")</f>
        <v>https://cloud.oebiotech.com/#/lm/network/206805</v>
      </c>
      <c r="H5686" s="2" t="s">
        <v>37079</v>
      </c>
      <c r="I5686" s="2">
        <v>72612</v>
      </c>
      <c r="J5686" s="2"/>
      <c r="K5686" s="2">
        <v>11700495</v>
      </c>
      <c r="L5686" s="2" t="s">
        <v>37080</v>
      </c>
      <c r="M5686" s="2"/>
      <c r="N5686" s="2"/>
      <c r="O5686" s="2"/>
      <c r="P5686" s="2"/>
      <c r="Q5686" s="2"/>
      <c r="R5686" s="2" t="s">
        <v>37081</v>
      </c>
      <c r="S5686" s="2" t="s">
        <v>37082</v>
      </c>
      <c r="T5686" s="2" t="s">
        <v>37083</v>
      </c>
      <c r="U5686" s="2" t="s">
        <v>610</v>
      </c>
      <c r="V5686" s="2" t="s">
        <v>611</v>
      </c>
      <c r="W5686" s="2" t="s">
        <v>11492</v>
      </c>
      <c r="X5686" s="2" t="s">
        <v>147</v>
      </c>
      <c r="Y5686" s="2">
        <v>38.5</v>
      </c>
      <c r="Z5686" s="2">
        <v>0</v>
      </c>
      <c r="AA5686" s="2" t="s">
        <v>122</v>
      </c>
      <c r="AB5686" s="2" t="s">
        <v>37084</v>
      </c>
      <c r="AC5686" s="2">
        <v>8.8295762024192995E-2</v>
      </c>
      <c r="AD5686" s="2"/>
      <c r="AE5686" s="2">
        <v>1.53877805256122E-2</v>
      </c>
      <c r="AF5686" s="2">
        <v>2409.2793453642598</v>
      </c>
      <c r="AG5686" s="2">
        <v>2301.91117134755</v>
      </c>
      <c r="AH5686" s="5">
        <v>1.0466430570185099</v>
      </c>
      <c r="AI5686" s="5">
        <v>6.5769515172989901E-2</v>
      </c>
      <c r="AJ5686" s="5" t="s">
        <v>139</v>
      </c>
      <c r="AK5686" s="2">
        <v>0.90343184140194199</v>
      </c>
      <c r="AL5686" s="2">
        <v>0.95998600422561597</v>
      </c>
      <c r="AM5686" s="2">
        <v>533.93169441299005</v>
      </c>
      <c r="AN5686" s="2">
        <v>1612.05340084406</v>
      </c>
      <c r="AO5686" s="2">
        <v>2000.2304979616999</v>
      </c>
      <c r="AP5686" s="2">
        <v>1944.9809570336699</v>
      </c>
      <c r="AQ5686" s="2">
        <v>6229.5585595387302</v>
      </c>
      <c r="AR5686" s="2">
        <v>2134.9209623943998</v>
      </c>
      <c r="AS5686" s="2">
        <v>1710.3389365958999</v>
      </c>
      <c r="AT5686" s="2">
        <v>3215.2235771690798</v>
      </c>
      <c r="AU5686" s="2">
        <v>1160.4148629695201</v>
      </c>
      <c r="AV5686" s="2">
        <v>2797.0745190573002</v>
      </c>
      <c r="AW5686" s="2">
        <v>2878.12077834823</v>
      </c>
      <c r="AX5686" s="2">
        <v>2050.2943539452999</v>
      </c>
    </row>
    <row r="5687" spans="1:50" x14ac:dyDescent="0.25">
      <c r="A5687" s="2" t="s">
        <v>37085</v>
      </c>
      <c r="B5687" s="2">
        <v>222.11321789316801</v>
      </c>
      <c r="C5687" s="2">
        <v>6.8612500000000001</v>
      </c>
      <c r="D5687" s="2" t="s">
        <v>51</v>
      </c>
      <c r="E5687" s="2" t="s">
        <v>37086</v>
      </c>
      <c r="F5687" s="2">
        <v>267201</v>
      </c>
      <c r="G5687" s="3" t="str">
        <f>HYPERLINK("https://cloud.oebiotech.com/#/lm/network/267201", "https://cloud.oebiotech.com/#/lm/network/267201")</f>
        <v>https://cloud.oebiotech.com/#/lm/network/267201</v>
      </c>
      <c r="H5687" s="2"/>
      <c r="I5687" s="2">
        <v>44986</v>
      </c>
      <c r="J5687" s="2"/>
      <c r="K5687" s="2">
        <v>81103</v>
      </c>
      <c r="L5687" s="2"/>
      <c r="M5687" s="2"/>
      <c r="N5687" s="2"/>
      <c r="O5687" s="2"/>
      <c r="P5687" s="2"/>
      <c r="Q5687" s="2"/>
      <c r="R5687" s="2" t="s">
        <v>37087</v>
      </c>
      <c r="S5687" s="2" t="s">
        <v>37088</v>
      </c>
      <c r="T5687" s="2" t="s">
        <v>37089</v>
      </c>
      <c r="U5687" s="2" t="s">
        <v>610</v>
      </c>
      <c r="V5687" s="2" t="s">
        <v>611</v>
      </c>
      <c r="W5687" s="2" t="s">
        <v>1267</v>
      </c>
      <c r="X5687" s="2" t="s">
        <v>147</v>
      </c>
      <c r="Y5687" s="2">
        <v>38.6</v>
      </c>
      <c r="Z5687" s="2">
        <v>0</v>
      </c>
      <c r="AA5687" s="2" t="s">
        <v>218</v>
      </c>
      <c r="AB5687" s="2" t="s">
        <v>23415</v>
      </c>
      <c r="AC5687" s="2">
        <v>-1.9709314524400601</v>
      </c>
      <c r="AD5687" s="2"/>
      <c r="AE5687" s="2">
        <v>1.53305446631523E-2</v>
      </c>
      <c r="AF5687" s="2">
        <v>1297.3954349743899</v>
      </c>
      <c r="AG5687" s="2">
        <v>1234.3801487143601</v>
      </c>
      <c r="AH5687" s="5">
        <v>1.0510501455533501</v>
      </c>
      <c r="AI5687" s="5">
        <v>7.1831501855114804E-2</v>
      </c>
      <c r="AJ5687" s="5" t="s">
        <v>139</v>
      </c>
      <c r="AK5687" s="2">
        <v>0.91996463177155297</v>
      </c>
      <c r="AL5687" s="2">
        <v>0.96547519393645298</v>
      </c>
      <c r="AM5687" s="2">
        <v>568.86081623483199</v>
      </c>
      <c r="AN5687" s="2">
        <v>1007.64415014784</v>
      </c>
      <c r="AO5687" s="2">
        <v>702.09016480416096</v>
      </c>
      <c r="AP5687" s="2">
        <v>1660.97714076585</v>
      </c>
      <c r="AQ5687" s="2">
        <v>1194.08048236889</v>
      </c>
      <c r="AR5687" s="2">
        <v>2650.7198555247701</v>
      </c>
      <c r="AS5687" s="2">
        <v>835.21927647902203</v>
      </c>
      <c r="AT5687" s="2">
        <v>1904.76516399358</v>
      </c>
      <c r="AU5687" s="2">
        <v>74.154502141340799</v>
      </c>
      <c r="AV5687" s="2">
        <v>612.974801766837</v>
      </c>
      <c r="AW5687" s="2">
        <v>3537.8161930711399</v>
      </c>
      <c r="AX5687" s="2">
        <v>441.35095483422799</v>
      </c>
    </row>
    <row r="5688" spans="1:50" x14ac:dyDescent="0.25">
      <c r="A5688" s="2" t="s">
        <v>37090</v>
      </c>
      <c r="B5688" s="2">
        <v>270.14757072739002</v>
      </c>
      <c r="C5688" s="2">
        <v>7.4684833333333298</v>
      </c>
      <c r="D5688" s="2" t="s">
        <v>51</v>
      </c>
      <c r="E5688" s="2" t="s">
        <v>37091</v>
      </c>
      <c r="F5688" s="2">
        <v>206606</v>
      </c>
      <c r="G5688" s="3" t="str">
        <f>HYPERLINK("https://cloud.oebiotech.com/#/lm/network/206606", "https://cloud.oebiotech.com/#/lm/network/206606")</f>
        <v>https://cloud.oebiotech.com/#/lm/network/206606</v>
      </c>
      <c r="H5688" s="2" t="s">
        <v>37092</v>
      </c>
      <c r="I5688" s="2"/>
      <c r="J5688" s="2"/>
      <c r="K5688" s="2">
        <v>3080846</v>
      </c>
      <c r="L5688" s="2"/>
      <c r="M5688" s="2"/>
      <c r="N5688" s="2"/>
      <c r="O5688" s="2"/>
      <c r="P5688" s="2"/>
      <c r="Q5688" s="2"/>
      <c r="R5688" s="2"/>
      <c r="S5688" s="2" t="s">
        <v>37093</v>
      </c>
      <c r="T5688" s="2" t="s">
        <v>37094</v>
      </c>
      <c r="U5688" s="2" t="s">
        <v>119</v>
      </c>
      <c r="V5688" s="2" t="s">
        <v>120</v>
      </c>
      <c r="W5688" s="2" t="s">
        <v>1887</v>
      </c>
      <c r="X5688" s="2" t="s">
        <v>147</v>
      </c>
      <c r="Y5688" s="2">
        <v>38.1</v>
      </c>
      <c r="Z5688" s="2">
        <v>0</v>
      </c>
      <c r="AA5688" s="2" t="s">
        <v>60</v>
      </c>
      <c r="AB5688" s="2" t="s">
        <v>37095</v>
      </c>
      <c r="AC5688" s="2">
        <v>4.5361003790373102</v>
      </c>
      <c r="AD5688" s="2"/>
      <c r="AE5688" s="2">
        <v>1.53047347445681E-2</v>
      </c>
      <c r="AF5688" s="2">
        <v>889.95220187828204</v>
      </c>
      <c r="AG5688" s="2">
        <v>712.33237256817495</v>
      </c>
      <c r="AH5688" s="5">
        <v>1.24934965214305</v>
      </c>
      <c r="AI5688" s="5">
        <v>0.32117729665595202</v>
      </c>
      <c r="AJ5688" s="5" t="s">
        <v>139</v>
      </c>
      <c r="AK5688" s="2">
        <v>0.79424560134103805</v>
      </c>
      <c r="AL5688" s="2">
        <v>0.90923569242355795</v>
      </c>
      <c r="AM5688" s="2">
        <v>203.271059681526</v>
      </c>
      <c r="AN5688" s="2">
        <v>236.396562554182</v>
      </c>
      <c r="AO5688" s="2">
        <v>2481.1793741891502</v>
      </c>
      <c r="AP5688" s="2">
        <v>196.270250667038</v>
      </c>
      <c r="AQ5688" s="2">
        <v>2099.4071601522401</v>
      </c>
      <c r="AR5688" s="2">
        <v>123.188804025553</v>
      </c>
      <c r="AS5688" s="2">
        <v>3166.1351497403798</v>
      </c>
      <c r="AT5688" s="2">
        <v>185.91403278750499</v>
      </c>
      <c r="AU5688" s="2">
        <v>253.60544383410499</v>
      </c>
      <c r="AV5688" s="2">
        <v>231.611898494195</v>
      </c>
      <c r="AW5688" s="2">
        <v>207.18185458899899</v>
      </c>
      <c r="AX5688" s="2">
        <v>229.545855963864</v>
      </c>
    </row>
    <row r="5689" spans="1:50" x14ac:dyDescent="0.25">
      <c r="A5689" s="2" t="s">
        <v>37096</v>
      </c>
      <c r="B5689" s="2">
        <v>583.09012274937504</v>
      </c>
      <c r="C5689" s="2">
        <v>4.6271666666666702</v>
      </c>
      <c r="D5689" s="2" t="s">
        <v>51</v>
      </c>
      <c r="E5689" s="2" t="s">
        <v>37097</v>
      </c>
      <c r="F5689" s="2">
        <v>206045</v>
      </c>
      <c r="G5689" s="3" t="str">
        <f>HYPERLINK("https://cloud.oebiotech.com/#/lm/network/206045", "https://cloud.oebiotech.com/#/lm/network/206045")</f>
        <v>https://cloud.oebiotech.com/#/lm/network/206045</v>
      </c>
      <c r="H5689" s="2" t="s">
        <v>37098</v>
      </c>
      <c r="I5689" s="2"/>
      <c r="J5689" s="2"/>
      <c r="K5689" s="2">
        <v>3033659</v>
      </c>
      <c r="L5689" s="2"/>
      <c r="M5689" s="2"/>
      <c r="N5689" s="2"/>
      <c r="O5689" s="2"/>
      <c r="P5689" s="2"/>
      <c r="Q5689" s="2"/>
      <c r="R5689" s="2"/>
      <c r="S5689" s="2" t="s">
        <v>37099</v>
      </c>
      <c r="T5689" s="2" t="s">
        <v>37100</v>
      </c>
      <c r="U5689" s="2" t="s">
        <v>610</v>
      </c>
      <c r="V5689" s="2" t="s">
        <v>15860</v>
      </c>
      <c r="W5689" s="2" t="s">
        <v>240</v>
      </c>
      <c r="X5689" s="2" t="s">
        <v>147</v>
      </c>
      <c r="Y5689" s="2">
        <v>41.4</v>
      </c>
      <c r="Z5689" s="2">
        <v>10.4</v>
      </c>
      <c r="AA5689" s="2" t="s">
        <v>478</v>
      </c>
      <c r="AB5689" s="2" t="s">
        <v>37101</v>
      </c>
      <c r="AC5689" s="2">
        <v>1.0027320161929401</v>
      </c>
      <c r="AD5689" s="2"/>
      <c r="AE5689" s="2">
        <v>1.52872520327669E-2</v>
      </c>
      <c r="AF5689" s="2">
        <v>4437.5640251536397</v>
      </c>
      <c r="AG5689" s="2">
        <v>4079.5300891740198</v>
      </c>
      <c r="AH5689" s="5">
        <v>1.0877635237768499</v>
      </c>
      <c r="AI5689" s="5">
        <v>0.12136495350406</v>
      </c>
      <c r="AJ5689" s="5" t="s">
        <v>139</v>
      </c>
      <c r="AK5689" s="2">
        <v>0.85815313672023796</v>
      </c>
      <c r="AL5689" s="2">
        <v>0.93793357376805098</v>
      </c>
      <c r="AM5689" s="2">
        <v>1300.8791610999299</v>
      </c>
      <c r="AN5689" s="2">
        <v>6285.37354953473</v>
      </c>
      <c r="AO5689" s="2">
        <v>5353.7084616262</v>
      </c>
      <c r="AP5689" s="2">
        <v>3258.7889234959598</v>
      </c>
      <c r="AQ5689" s="2">
        <v>4679.2546310294401</v>
      </c>
      <c r="AR5689" s="2">
        <v>5747.3794241355499</v>
      </c>
      <c r="AS5689" s="2">
        <v>6408.8192218054501</v>
      </c>
      <c r="AT5689" s="2">
        <v>4668.4003209729699</v>
      </c>
      <c r="AU5689" s="2">
        <v>1294.17383639631</v>
      </c>
      <c r="AV5689" s="2">
        <v>8.559877937157E-6</v>
      </c>
      <c r="AW5689" s="2">
        <v>615.91897029331597</v>
      </c>
      <c r="AX5689" s="2">
        <v>11489.8681770162</v>
      </c>
    </row>
    <row r="5690" spans="1:50" x14ac:dyDescent="0.25">
      <c r="A5690" s="2" t="s">
        <v>37102</v>
      </c>
      <c r="B5690" s="2">
        <v>217.09805572782599</v>
      </c>
      <c r="C5690" s="2">
        <v>4.0687333333333298</v>
      </c>
      <c r="D5690" s="2" t="s">
        <v>51</v>
      </c>
      <c r="E5690" s="2" t="s">
        <v>37103</v>
      </c>
      <c r="F5690" s="2">
        <v>200645</v>
      </c>
      <c r="G5690" s="3" t="str">
        <f>HYPERLINK("https://cloud.oebiotech.com/#/lm/network/200645", "https://cloud.oebiotech.com/#/lm/network/200645")</f>
        <v>https://cloud.oebiotech.com/#/lm/network/200645</v>
      </c>
      <c r="H5690" s="2" t="s">
        <v>37104</v>
      </c>
      <c r="I5690" s="2"/>
      <c r="J5690" s="2"/>
      <c r="K5690" s="2">
        <v>108094</v>
      </c>
      <c r="L5690" s="2"/>
      <c r="M5690" s="2"/>
      <c r="N5690" s="2"/>
      <c r="O5690" s="2">
        <v>73287</v>
      </c>
      <c r="P5690" s="2"/>
      <c r="Q5690" s="2"/>
      <c r="R5690" s="2"/>
      <c r="S5690" s="2" t="s">
        <v>37105</v>
      </c>
      <c r="T5690" s="2" t="s">
        <v>37106</v>
      </c>
      <c r="U5690" s="2" t="s">
        <v>266</v>
      </c>
      <c r="V5690" s="2" t="s">
        <v>25051</v>
      </c>
      <c r="W5690" s="2" t="s">
        <v>37107</v>
      </c>
      <c r="X5690" s="2" t="s">
        <v>83</v>
      </c>
      <c r="Y5690" s="2">
        <v>40.700000000000003</v>
      </c>
      <c r="Z5690" s="2">
        <v>0</v>
      </c>
      <c r="AA5690" s="2" t="s">
        <v>156</v>
      </c>
      <c r="AB5690" s="2" t="s">
        <v>37108</v>
      </c>
      <c r="AC5690" s="2">
        <v>3.8515970185046</v>
      </c>
      <c r="AD5690" s="2"/>
      <c r="AE5690" s="2">
        <v>1.5172465093330201E-2</v>
      </c>
      <c r="AF5690" s="2">
        <v>1616.3462520144899</v>
      </c>
      <c r="AG5690" s="2">
        <v>1592.3604306853499</v>
      </c>
      <c r="AH5690" s="5">
        <v>1.01506306038942</v>
      </c>
      <c r="AI5690" s="5">
        <v>2.15693570509305E-2</v>
      </c>
      <c r="AJ5690" s="5" t="s">
        <v>139</v>
      </c>
      <c r="AK5690" s="2">
        <v>0.98075285018248903</v>
      </c>
      <c r="AL5690" s="2">
        <v>0.99177817604044205</v>
      </c>
      <c r="AM5690" s="2">
        <v>1384.7654398550301</v>
      </c>
      <c r="AN5690" s="2">
        <v>695.14796663620405</v>
      </c>
      <c r="AO5690" s="2">
        <v>733.98188248514703</v>
      </c>
      <c r="AP5690" s="2">
        <v>979.34334451550501</v>
      </c>
      <c r="AQ5690" s="2">
        <v>4575.9426966216697</v>
      </c>
      <c r="AR5690" s="2">
        <v>1328.8961819733599</v>
      </c>
      <c r="AS5690" s="2">
        <v>434.47073027222598</v>
      </c>
      <c r="AT5690" s="2">
        <v>605.17777396564702</v>
      </c>
      <c r="AU5690" s="2">
        <v>5142.3944262713903</v>
      </c>
      <c r="AV5690" s="2">
        <v>667.671639694649</v>
      </c>
      <c r="AW5690" s="2">
        <v>517.62463544409798</v>
      </c>
      <c r="AX5690" s="2">
        <v>2186.8233784640602</v>
      </c>
    </row>
    <row r="5691" spans="1:50" x14ac:dyDescent="0.25">
      <c r="A5691" s="2" t="s">
        <v>37109</v>
      </c>
      <c r="B5691" s="2">
        <v>174.0985</v>
      </c>
      <c r="C5691" s="2">
        <v>11.824999999999999</v>
      </c>
      <c r="D5691" s="2" t="s">
        <v>125</v>
      </c>
      <c r="E5691" s="2" t="s">
        <v>37110</v>
      </c>
      <c r="F5691" s="2">
        <v>47571</v>
      </c>
      <c r="G5691" s="3" t="str">
        <f>HYPERLINK("https://cloud.oebiotech.com/#/lm/network/47571", "https://cloud.oebiotech.com/#/lm/network/47571")</f>
        <v>https://cloud.oebiotech.com/#/lm/network/47571</v>
      </c>
      <c r="H5691" s="2" t="s">
        <v>37111</v>
      </c>
      <c r="I5691" s="2">
        <v>3226</v>
      </c>
      <c r="J5691" s="2"/>
      <c r="K5691" s="2">
        <v>1045</v>
      </c>
      <c r="L5691" s="2" t="s">
        <v>37112</v>
      </c>
      <c r="M5691" s="2" t="s">
        <v>37113</v>
      </c>
      <c r="N5691" s="2" t="s">
        <v>37114</v>
      </c>
      <c r="O5691" s="2">
        <v>17148</v>
      </c>
      <c r="P5691" s="2"/>
      <c r="Q5691" s="2"/>
      <c r="R5691" s="2" t="s">
        <v>37115</v>
      </c>
      <c r="S5691" s="2" t="s">
        <v>37116</v>
      </c>
      <c r="T5691" s="2" t="s">
        <v>37117</v>
      </c>
      <c r="U5691" s="2" t="s">
        <v>119</v>
      </c>
      <c r="V5691" s="2" t="s">
        <v>120</v>
      </c>
      <c r="W5691" s="2" t="s">
        <v>1887</v>
      </c>
      <c r="X5691" s="2" t="s">
        <v>83</v>
      </c>
      <c r="Y5691" s="2">
        <v>81.3</v>
      </c>
      <c r="Z5691" s="2">
        <v>70</v>
      </c>
      <c r="AA5691" s="2"/>
      <c r="AB5691" s="2" t="s">
        <v>37118</v>
      </c>
      <c r="AC5691" s="2"/>
      <c r="AD5691" s="2">
        <v>399878.231565736</v>
      </c>
      <c r="AE5691" s="2">
        <v>1.5156664548048E-2</v>
      </c>
      <c r="AF5691" s="2">
        <v>38565.1815664241</v>
      </c>
      <c r="AG5691" s="2">
        <v>38328.844953915897</v>
      </c>
      <c r="AH5691" s="5">
        <v>1.0061660249035</v>
      </c>
      <c r="AI5691" s="5">
        <v>8.8683802351787293E-3</v>
      </c>
      <c r="AJ5691" s="5" t="s">
        <v>139</v>
      </c>
      <c r="AK5691" s="2">
        <v>0.86409822366516398</v>
      </c>
      <c r="AL5691" s="2">
        <v>0.94118525584854995</v>
      </c>
      <c r="AM5691" s="2">
        <v>41098.518844049897</v>
      </c>
      <c r="AN5691" s="2">
        <v>39339.439750804297</v>
      </c>
      <c r="AO5691" s="2">
        <v>37089.395136121697</v>
      </c>
      <c r="AP5691" s="2">
        <v>38429.599631892197</v>
      </c>
      <c r="AQ5691" s="2">
        <v>33829.163158607102</v>
      </c>
      <c r="AR5691" s="2">
        <v>41604.972877069602</v>
      </c>
      <c r="AS5691" s="2">
        <v>37070.361532008101</v>
      </c>
      <c r="AT5691" s="2">
        <v>39228.728556419999</v>
      </c>
      <c r="AU5691" s="2">
        <v>38531.869570108</v>
      </c>
      <c r="AV5691" s="2">
        <v>39283.215270532302</v>
      </c>
      <c r="AW5691" s="2">
        <v>40140.938691722302</v>
      </c>
      <c r="AX5691" s="2">
        <v>35717.956102704797</v>
      </c>
    </row>
    <row r="5692" spans="1:50" x14ac:dyDescent="0.25">
      <c r="A5692" s="2" t="s">
        <v>37119</v>
      </c>
      <c r="B5692" s="2">
        <v>455.23920708551202</v>
      </c>
      <c r="C5692" s="2">
        <v>11.3173666666667</v>
      </c>
      <c r="D5692" s="2" t="s">
        <v>51</v>
      </c>
      <c r="E5692" s="2" t="s">
        <v>37120</v>
      </c>
      <c r="F5692" s="2">
        <v>207415</v>
      </c>
      <c r="G5692" s="3" t="str">
        <f>HYPERLINK("https://cloud.oebiotech.com/#/lm/network/207415", "https://cloud.oebiotech.com/#/lm/network/207415")</f>
        <v>https://cloud.oebiotech.com/#/lm/network/207415</v>
      </c>
      <c r="H5692" s="2" t="s">
        <v>37121</v>
      </c>
      <c r="I5692" s="2"/>
      <c r="J5692" s="2"/>
      <c r="K5692" s="2">
        <v>22236830</v>
      </c>
      <c r="L5692" s="2"/>
      <c r="M5692" s="2"/>
      <c r="N5692" s="2"/>
      <c r="O5692" s="2"/>
      <c r="P5692" s="2"/>
      <c r="Q5692" s="2"/>
      <c r="R5692" s="2"/>
      <c r="S5692" s="2" t="s">
        <v>37122</v>
      </c>
      <c r="T5692" s="2" t="s">
        <v>37123</v>
      </c>
      <c r="U5692" s="2" t="s">
        <v>103</v>
      </c>
      <c r="V5692" s="2" t="s">
        <v>104</v>
      </c>
      <c r="W5692" s="2" t="s">
        <v>105</v>
      </c>
      <c r="X5692" s="2" t="s">
        <v>147</v>
      </c>
      <c r="Y5692" s="2">
        <v>38</v>
      </c>
      <c r="Z5692" s="2">
        <v>0</v>
      </c>
      <c r="AA5692" s="2" t="s">
        <v>478</v>
      </c>
      <c r="AB5692" s="2" t="s">
        <v>37124</v>
      </c>
      <c r="AC5692" s="2">
        <v>4.3896103877150603</v>
      </c>
      <c r="AD5692" s="2"/>
      <c r="AE5692" s="2">
        <v>1.50980847553457E-2</v>
      </c>
      <c r="AF5692" s="2">
        <v>2043.84470764707</v>
      </c>
      <c r="AG5692" s="2">
        <v>1888.9092322500001</v>
      </c>
      <c r="AH5692" s="5">
        <v>1.08202378004819</v>
      </c>
      <c r="AI5692" s="5">
        <v>0.11373220617082699</v>
      </c>
      <c r="AJ5692" s="5" t="s">
        <v>139</v>
      </c>
      <c r="AK5692" s="2">
        <v>0.85364060799920705</v>
      </c>
      <c r="AL5692" s="2">
        <v>0.93549430478880702</v>
      </c>
      <c r="AM5692" s="2">
        <v>632.64457091462702</v>
      </c>
      <c r="AN5692" s="2">
        <v>2332.7337244130599</v>
      </c>
      <c r="AO5692" s="2">
        <v>1876.4753550534199</v>
      </c>
      <c r="AP5692" s="2">
        <v>2438.0586528757399</v>
      </c>
      <c r="AQ5692" s="2">
        <v>4249.1469812898504</v>
      </c>
      <c r="AR5692" s="2">
        <v>734.00896133573804</v>
      </c>
      <c r="AS5692" s="2">
        <v>1457.9482507064599</v>
      </c>
      <c r="AT5692" s="2">
        <v>4089.7023078258899</v>
      </c>
      <c r="AU5692" s="2">
        <v>293.290587400601</v>
      </c>
      <c r="AV5692" s="2">
        <v>460.84114590330302</v>
      </c>
      <c r="AW5692" s="2">
        <v>1861.0942244283899</v>
      </c>
      <c r="AX5692" s="2">
        <v>3170.5788772353799</v>
      </c>
    </row>
    <row r="5693" spans="1:50" x14ac:dyDescent="0.25">
      <c r="A5693" s="2" t="s">
        <v>37125</v>
      </c>
      <c r="B5693" s="2">
        <v>299.25893491573402</v>
      </c>
      <c r="C5693" s="2">
        <v>14.479983333333299</v>
      </c>
      <c r="D5693" s="2" t="s">
        <v>51</v>
      </c>
      <c r="E5693" s="2" t="s">
        <v>37126</v>
      </c>
      <c r="F5693" s="2">
        <v>3131</v>
      </c>
      <c r="G5693" s="3" t="str">
        <f>HYPERLINK("https://cloud.oebiotech.com/#/lm/network/3131", "https://cloud.oebiotech.com/#/lm/network/3131")</f>
        <v>https://cloud.oebiotech.com/#/lm/network/3131</v>
      </c>
      <c r="H5693" s="2"/>
      <c r="I5693" s="2">
        <v>35565</v>
      </c>
      <c r="J5693" s="2" t="s">
        <v>37127</v>
      </c>
      <c r="K5693" s="2">
        <v>5312769</v>
      </c>
      <c r="L5693" s="2"/>
      <c r="M5693" s="2"/>
      <c r="N5693" s="2"/>
      <c r="O5693" s="2"/>
      <c r="P5693" s="2"/>
      <c r="Q5693" s="2"/>
      <c r="R5693" s="2"/>
      <c r="S5693" s="2" t="s">
        <v>37128</v>
      </c>
      <c r="T5693" s="2" t="s">
        <v>37129</v>
      </c>
      <c r="U5693" s="2" t="s">
        <v>56</v>
      </c>
      <c r="V5693" s="2" t="s">
        <v>145</v>
      </c>
      <c r="W5693" s="2" t="s">
        <v>231</v>
      </c>
      <c r="X5693" s="2" t="s">
        <v>147</v>
      </c>
      <c r="Y5693" s="2">
        <v>40.5</v>
      </c>
      <c r="Z5693" s="2">
        <v>11.1</v>
      </c>
      <c r="AA5693" s="2" t="s">
        <v>179</v>
      </c>
      <c r="AB5693" s="2" t="s">
        <v>8747</v>
      </c>
      <c r="AC5693" s="2">
        <v>2.8953306688093301</v>
      </c>
      <c r="AD5693" s="2"/>
      <c r="AE5693" s="2">
        <v>1.4898581969730399E-2</v>
      </c>
      <c r="AF5693" s="2">
        <v>28631.713270726701</v>
      </c>
      <c r="AG5693" s="2">
        <v>28303.052400798799</v>
      </c>
      <c r="AH5693" s="5">
        <v>1.01161220582408</v>
      </c>
      <c r="AI5693" s="5">
        <v>1.6656349365311001E-2</v>
      </c>
      <c r="AJ5693" s="5" t="s">
        <v>139</v>
      </c>
      <c r="AK5693" s="2">
        <v>0.96349757769468003</v>
      </c>
      <c r="AL5693" s="2">
        <v>0.98574618624389398</v>
      </c>
      <c r="AM5693" s="2">
        <v>11415.674284953</v>
      </c>
      <c r="AN5693" s="2">
        <v>32658.657981586101</v>
      </c>
      <c r="AO5693" s="2">
        <v>33716.893452056203</v>
      </c>
      <c r="AP5693" s="2">
        <v>37400.656232829097</v>
      </c>
      <c r="AQ5693" s="2">
        <v>36519.141776031101</v>
      </c>
      <c r="AR5693" s="2">
        <v>20079.2558969048</v>
      </c>
      <c r="AS5693" s="2">
        <v>17912.237560523601</v>
      </c>
      <c r="AT5693" s="2">
        <v>49963.419339340799</v>
      </c>
      <c r="AU5693" s="2">
        <v>16031.555125905499</v>
      </c>
      <c r="AV5693" s="2">
        <v>17788.136386374699</v>
      </c>
      <c r="AW5693" s="2">
        <v>36923.932406597603</v>
      </c>
      <c r="AX5693" s="2">
        <v>31199.033586050798</v>
      </c>
    </row>
    <row r="5694" spans="1:50" x14ac:dyDescent="0.25">
      <c r="A5694" s="2" t="s">
        <v>37130</v>
      </c>
      <c r="B5694" s="2">
        <v>528.27123029025097</v>
      </c>
      <c r="C5694" s="2">
        <v>10.4937</v>
      </c>
      <c r="D5694" s="2" t="s">
        <v>51</v>
      </c>
      <c r="E5694" s="2" t="s">
        <v>37131</v>
      </c>
      <c r="F5694" s="2">
        <v>22452</v>
      </c>
      <c r="G5694" s="3" t="str">
        <f>HYPERLINK("https://cloud.oebiotech.com/#/lm/network/22452", "https://cloud.oebiotech.com/#/lm/network/22452")</f>
        <v>https://cloud.oebiotech.com/#/lm/network/22452</v>
      </c>
      <c r="H5694" s="2"/>
      <c r="I5694" s="2">
        <v>78849</v>
      </c>
      <c r="J5694" s="2" t="s">
        <v>37132</v>
      </c>
      <c r="K5694" s="2">
        <v>52926290</v>
      </c>
      <c r="L5694" s="2"/>
      <c r="M5694" s="2"/>
      <c r="N5694" s="2"/>
      <c r="O5694" s="2"/>
      <c r="P5694" s="2"/>
      <c r="Q5694" s="2"/>
      <c r="R5694" s="2"/>
      <c r="S5694" s="2" t="s">
        <v>37133</v>
      </c>
      <c r="T5694" s="2" t="s">
        <v>37134</v>
      </c>
      <c r="U5694" s="2" t="s">
        <v>56</v>
      </c>
      <c r="V5694" s="2" t="s">
        <v>57</v>
      </c>
      <c r="W5694" s="2" t="s">
        <v>82</v>
      </c>
      <c r="X5694" s="2" t="s">
        <v>147</v>
      </c>
      <c r="Y5694" s="2">
        <v>37.200000000000003</v>
      </c>
      <c r="Z5694" s="2">
        <v>0</v>
      </c>
      <c r="AA5694" s="2" t="s">
        <v>379</v>
      </c>
      <c r="AB5694" s="2" t="s">
        <v>37135</v>
      </c>
      <c r="AC5694" s="2">
        <v>-3.5580262472278199</v>
      </c>
      <c r="AD5694" s="2"/>
      <c r="AE5694" s="2">
        <v>1.48279069941969E-2</v>
      </c>
      <c r="AF5694" s="2">
        <v>805.01389442783397</v>
      </c>
      <c r="AG5694" s="2">
        <v>917.39281207894703</v>
      </c>
      <c r="AH5694" s="4">
        <v>0.87750185507073497</v>
      </c>
      <c r="AI5694" s="4">
        <v>-0.18852591955732001</v>
      </c>
      <c r="AJ5694" s="4" t="s">
        <v>62</v>
      </c>
      <c r="AK5694" s="2">
        <v>0.82206063524888695</v>
      </c>
      <c r="AL5694" s="2">
        <v>0.92199577547641898</v>
      </c>
      <c r="AM5694" s="2">
        <v>1306.5921401282601</v>
      </c>
      <c r="AN5694" s="2">
        <v>1043.3708321296599</v>
      </c>
      <c r="AO5694" s="2">
        <v>1039.8505642739201</v>
      </c>
      <c r="AP5694" s="2">
        <v>8.559877937157E-6</v>
      </c>
      <c r="AQ5694" s="2">
        <v>371.17722924622802</v>
      </c>
      <c r="AR5694" s="2">
        <v>1069.0925922290601</v>
      </c>
      <c r="AS5694" s="2">
        <v>8.559877937157E-6</v>
      </c>
      <c r="AT5694" s="2">
        <v>391.52617234776699</v>
      </c>
      <c r="AU5694" s="2">
        <v>777.90891977301101</v>
      </c>
      <c r="AV5694" s="2">
        <v>2772.94693203211</v>
      </c>
      <c r="AW5694" s="2">
        <v>1561.9748312010399</v>
      </c>
      <c r="AX5694" s="2">
        <v>8.559877937157E-6</v>
      </c>
    </row>
    <row r="5695" spans="1:50" x14ac:dyDescent="0.25">
      <c r="A5695" s="2" t="s">
        <v>37136</v>
      </c>
      <c r="B5695" s="2">
        <v>113.132983226909</v>
      </c>
      <c r="C5695" s="2">
        <v>14.7086166666667</v>
      </c>
      <c r="D5695" s="2" t="s">
        <v>51</v>
      </c>
      <c r="E5695" s="2" t="s">
        <v>37137</v>
      </c>
      <c r="F5695" s="2">
        <v>205769</v>
      </c>
      <c r="G5695" s="3" t="str">
        <f>HYPERLINK("https://cloud.oebiotech.com/#/lm/network/205769", "https://cloud.oebiotech.com/#/lm/network/205769")</f>
        <v>https://cloud.oebiotech.com/#/lm/network/205769</v>
      </c>
      <c r="H5695" s="2" t="s">
        <v>37138</v>
      </c>
      <c r="I5695" s="2">
        <v>329814</v>
      </c>
      <c r="J5695" s="2"/>
      <c r="K5695" s="2">
        <v>22541</v>
      </c>
      <c r="L5695" s="2"/>
      <c r="M5695" s="2"/>
      <c r="N5695" s="2"/>
      <c r="O5695" s="2"/>
      <c r="P5695" s="2"/>
      <c r="Q5695" s="2"/>
      <c r="R5695" s="2"/>
      <c r="S5695" s="2" t="s">
        <v>37139</v>
      </c>
      <c r="T5695" s="2" t="s">
        <v>37140</v>
      </c>
      <c r="U5695" s="2" t="s">
        <v>331</v>
      </c>
      <c r="V5695" s="2" t="s">
        <v>332</v>
      </c>
      <c r="W5695" s="2" t="s">
        <v>511</v>
      </c>
      <c r="X5695" s="2" t="s">
        <v>147</v>
      </c>
      <c r="Y5695" s="2">
        <v>37.799999999999997</v>
      </c>
      <c r="Z5695" s="2">
        <v>0</v>
      </c>
      <c r="AA5695" s="2" t="s">
        <v>156</v>
      </c>
      <c r="AB5695" s="2" t="s">
        <v>37141</v>
      </c>
      <c r="AC5695" s="2">
        <v>3.89039929593143</v>
      </c>
      <c r="AD5695" s="2"/>
      <c r="AE5695" s="2">
        <v>1.48194670637137E-2</v>
      </c>
      <c r="AF5695" s="2">
        <v>1016.67428880509</v>
      </c>
      <c r="AG5695" s="2">
        <v>1048.1537147865499</v>
      </c>
      <c r="AH5695" s="4">
        <v>0.96996678489292498</v>
      </c>
      <c r="AI5695" s="4">
        <v>-4.3992749742971897E-2</v>
      </c>
      <c r="AJ5695" s="4" t="s">
        <v>62</v>
      </c>
      <c r="AK5695" s="2">
        <v>0.65443722598185605</v>
      </c>
      <c r="AL5695" s="2">
        <v>0.83240942988891198</v>
      </c>
      <c r="AM5695" s="2">
        <v>961.47556276364696</v>
      </c>
      <c r="AN5695" s="2">
        <v>1079.2481361892101</v>
      </c>
      <c r="AO5695" s="2">
        <v>1099.37391042238</v>
      </c>
      <c r="AP5695" s="2">
        <v>942.86140315134799</v>
      </c>
      <c r="AQ5695" s="2">
        <v>1180.43060723701</v>
      </c>
      <c r="AR5695" s="2">
        <v>836.65611306691903</v>
      </c>
      <c r="AS5695" s="2">
        <v>1176.3075033390401</v>
      </c>
      <c r="AT5695" s="2">
        <v>1120.13701331829</v>
      </c>
      <c r="AU5695" s="2">
        <v>912.805529598455</v>
      </c>
      <c r="AV5695" s="2">
        <v>1006.71176379568</v>
      </c>
      <c r="AW5695" s="2">
        <v>938.24006660186603</v>
      </c>
      <c r="AX5695" s="2">
        <v>1134.7204120659701</v>
      </c>
    </row>
    <row r="5696" spans="1:50" x14ac:dyDescent="0.25">
      <c r="A5696" s="2" t="s">
        <v>37142</v>
      </c>
      <c r="B5696" s="2">
        <v>279.02659157377701</v>
      </c>
      <c r="C5696" s="2">
        <v>11.859116666666701</v>
      </c>
      <c r="D5696" s="2" t="s">
        <v>51</v>
      </c>
      <c r="E5696" s="2" t="s">
        <v>37143</v>
      </c>
      <c r="F5696" s="2">
        <v>256784</v>
      </c>
      <c r="G5696" s="3" t="str">
        <f>HYPERLINK("https://cloud.oebiotech.com/#/lm/network/256784", "https://cloud.oebiotech.com/#/lm/network/256784")</f>
        <v>https://cloud.oebiotech.com/#/lm/network/256784</v>
      </c>
      <c r="H5696" s="2" t="s">
        <v>37144</v>
      </c>
      <c r="I5696" s="2">
        <v>63986</v>
      </c>
      <c r="J5696" s="2"/>
      <c r="K5696" s="2">
        <v>5287432</v>
      </c>
      <c r="L5696" s="2" t="s">
        <v>37145</v>
      </c>
      <c r="M5696" s="2" t="s">
        <v>34284</v>
      </c>
      <c r="N5696" s="2" t="s">
        <v>34285</v>
      </c>
      <c r="O5696" s="2">
        <v>39564</v>
      </c>
      <c r="P5696" s="2"/>
      <c r="Q5696" s="2"/>
      <c r="R5696" s="2"/>
      <c r="S5696" s="2" t="s">
        <v>37146</v>
      </c>
      <c r="T5696" s="2" t="s">
        <v>37147</v>
      </c>
      <c r="U5696" s="2" t="s">
        <v>103</v>
      </c>
      <c r="V5696" s="2" t="s">
        <v>2602</v>
      </c>
      <c r="W5696" s="2" t="s">
        <v>3042</v>
      </c>
      <c r="X5696" s="2" t="s">
        <v>147</v>
      </c>
      <c r="Y5696" s="2">
        <v>37.4</v>
      </c>
      <c r="Z5696" s="2">
        <v>0</v>
      </c>
      <c r="AA5696" s="2" t="s">
        <v>395</v>
      </c>
      <c r="AB5696" s="2" t="s">
        <v>37148</v>
      </c>
      <c r="AC5696" s="2">
        <v>0.18908162961933001</v>
      </c>
      <c r="AD5696" s="2"/>
      <c r="AE5696" s="2">
        <v>1.48175018680486E-2</v>
      </c>
      <c r="AF5696" s="2">
        <v>790.55441239448203</v>
      </c>
      <c r="AG5696" s="2">
        <v>781.60504870773798</v>
      </c>
      <c r="AH5696" s="5">
        <v>1.01144998193338</v>
      </c>
      <c r="AI5696" s="5">
        <v>1.64249777302275E-2</v>
      </c>
      <c r="AJ5696" s="5" t="s">
        <v>139</v>
      </c>
      <c r="AK5696" s="2">
        <v>0.99169218032187501</v>
      </c>
      <c r="AL5696" s="2">
        <v>0.99588573656477897</v>
      </c>
      <c r="AM5696" s="2">
        <v>8.559877937157E-6</v>
      </c>
      <c r="AN5696" s="2">
        <v>8.559877937157E-6</v>
      </c>
      <c r="AO5696" s="2">
        <v>1748.5822186023099</v>
      </c>
      <c r="AP5696" s="2">
        <v>8.559877937157E-6</v>
      </c>
      <c r="AQ5696" s="2">
        <v>2994.7442215250699</v>
      </c>
      <c r="AR5696" s="2">
        <v>8.559877937157E-6</v>
      </c>
      <c r="AS5696" s="2">
        <v>690.26433372419399</v>
      </c>
      <c r="AT5696" s="2">
        <v>8.559877937157E-6</v>
      </c>
      <c r="AU5696" s="2">
        <v>3999.3659242827198</v>
      </c>
      <c r="AV5696" s="2">
        <v>8.559877937157E-6</v>
      </c>
      <c r="AW5696" s="2">
        <v>8.559877937157E-6</v>
      </c>
      <c r="AX5696" s="2">
        <v>8.559877937157E-6</v>
      </c>
    </row>
    <row r="5697" spans="1:50" x14ac:dyDescent="0.25">
      <c r="A5697" s="2" t="s">
        <v>37149</v>
      </c>
      <c r="B5697" s="2">
        <v>186.22207150224901</v>
      </c>
      <c r="C5697" s="2">
        <v>5.4644666666666701</v>
      </c>
      <c r="D5697" s="2" t="s">
        <v>51</v>
      </c>
      <c r="E5697" s="2" t="s">
        <v>37150</v>
      </c>
      <c r="F5697" s="2">
        <v>293010</v>
      </c>
      <c r="G5697" s="3" t="str">
        <f>HYPERLINK("https://cloud.oebiotech.com/#/lm/network/293010", "https://cloud.oebiotech.com/#/lm/network/293010")</f>
        <v>https://cloud.oebiotech.com/#/lm/network/293010</v>
      </c>
      <c r="H5697" s="2"/>
      <c r="I5697" s="2">
        <v>316814</v>
      </c>
      <c r="J5697" s="2"/>
      <c r="K5697" s="2">
        <v>9559</v>
      </c>
      <c r="L5697" s="2"/>
      <c r="M5697" s="2"/>
      <c r="N5697" s="2"/>
      <c r="O5697" s="2"/>
      <c r="P5697" s="2"/>
      <c r="Q5697" s="2"/>
      <c r="R5697" s="2"/>
      <c r="S5697" s="2" t="s">
        <v>37151</v>
      </c>
      <c r="T5697" s="2" t="s">
        <v>37152</v>
      </c>
      <c r="U5697" s="2" t="s">
        <v>119</v>
      </c>
      <c r="V5697" s="2" t="s">
        <v>120</v>
      </c>
      <c r="W5697" s="2" t="s">
        <v>121</v>
      </c>
      <c r="X5697" s="2" t="s">
        <v>147</v>
      </c>
      <c r="Y5697" s="2">
        <v>37.299999999999997</v>
      </c>
      <c r="Z5697" s="2">
        <v>0</v>
      </c>
      <c r="AA5697" s="2" t="s">
        <v>122</v>
      </c>
      <c r="AB5697" s="2" t="s">
        <v>37153</v>
      </c>
      <c r="AC5697" s="2">
        <v>-0.55579047561318695</v>
      </c>
      <c r="AD5697" s="2"/>
      <c r="AE5697" s="2">
        <v>1.47960812454727E-2</v>
      </c>
      <c r="AF5697" s="2">
        <v>36.5725572725487</v>
      </c>
      <c r="AG5697" s="2">
        <v>47.442636814816602</v>
      </c>
      <c r="AH5697" s="4">
        <v>0.77087952373521795</v>
      </c>
      <c r="AI5697" s="4">
        <v>-0.37542268752390601</v>
      </c>
      <c r="AJ5697" s="4" t="s">
        <v>62</v>
      </c>
      <c r="AK5697" s="2">
        <v>0.67491975591273201</v>
      </c>
      <c r="AL5697" s="2">
        <v>0.84259510330444198</v>
      </c>
      <c r="AM5697" s="2">
        <v>8.559877937157E-6</v>
      </c>
      <c r="AN5697" s="2">
        <v>50.761652006231799</v>
      </c>
      <c r="AO5697" s="2">
        <v>52.419671006419698</v>
      </c>
      <c r="AP5697" s="2">
        <v>116.253994943007</v>
      </c>
      <c r="AQ5697" s="2">
        <v>8.559877937157E-6</v>
      </c>
      <c r="AR5697" s="2">
        <v>8.559877937157E-6</v>
      </c>
      <c r="AS5697" s="2">
        <v>65.324040180765095</v>
      </c>
      <c r="AT5697" s="2">
        <v>68.413461227785604</v>
      </c>
      <c r="AU5697" s="2">
        <v>8.559877937157E-6</v>
      </c>
      <c r="AV5697" s="2">
        <v>101.44368005454599</v>
      </c>
      <c r="AW5697" s="2">
        <v>49.474622306046903</v>
      </c>
      <c r="AX5697" s="2">
        <v>8.559877937157E-6</v>
      </c>
    </row>
    <row r="5698" spans="1:50" x14ac:dyDescent="0.25">
      <c r="A5698" s="2" t="s">
        <v>37154</v>
      </c>
      <c r="B5698" s="2">
        <v>323.110216088958</v>
      </c>
      <c r="C5698" s="2">
        <v>7.8615000000000004</v>
      </c>
      <c r="D5698" s="2" t="s">
        <v>51</v>
      </c>
      <c r="E5698" s="2" t="s">
        <v>37155</v>
      </c>
      <c r="F5698" s="2">
        <v>200157</v>
      </c>
      <c r="G5698" s="3" t="str">
        <f>HYPERLINK("https://cloud.oebiotech.com/#/lm/network/200157", "https://cloud.oebiotech.com/#/lm/network/200157")</f>
        <v>https://cloud.oebiotech.com/#/lm/network/200157</v>
      </c>
      <c r="H5698" s="2" t="s">
        <v>37156</v>
      </c>
      <c r="I5698" s="2">
        <v>336311</v>
      </c>
      <c r="J5698" s="2"/>
      <c r="K5698" s="2">
        <v>8773</v>
      </c>
      <c r="L5698" s="2"/>
      <c r="M5698" s="2"/>
      <c r="N5698" s="2"/>
      <c r="O5698" s="2"/>
      <c r="P5698" s="2"/>
      <c r="Q5698" s="2"/>
      <c r="R5698" s="2"/>
      <c r="S5698" s="2" t="s">
        <v>37157</v>
      </c>
      <c r="T5698" s="2" t="s">
        <v>37158</v>
      </c>
      <c r="U5698" s="2" t="s">
        <v>103</v>
      </c>
      <c r="V5698" s="2" t="s">
        <v>104</v>
      </c>
      <c r="W5698" s="2" t="s">
        <v>105</v>
      </c>
      <c r="X5698" s="2" t="s">
        <v>147</v>
      </c>
      <c r="Y5698" s="2">
        <v>37</v>
      </c>
      <c r="Z5698" s="2">
        <v>0</v>
      </c>
      <c r="AA5698" s="2" t="s">
        <v>218</v>
      </c>
      <c r="AB5698" s="2" t="s">
        <v>37159</v>
      </c>
      <c r="AC5698" s="2">
        <v>2.20161839998091</v>
      </c>
      <c r="AD5698" s="2"/>
      <c r="AE5698" s="2">
        <v>1.4783529287104601E-2</v>
      </c>
      <c r="AF5698" s="2">
        <v>830.04104427732705</v>
      </c>
      <c r="AG5698" s="2">
        <v>760.93084901428801</v>
      </c>
      <c r="AH5698" s="5">
        <v>1.09082322704167</v>
      </c>
      <c r="AI5698" s="5">
        <v>0.12541732518711399</v>
      </c>
      <c r="AJ5698" s="5" t="s">
        <v>139</v>
      </c>
      <c r="AK5698" s="2">
        <v>0.75346242614258896</v>
      </c>
      <c r="AL5698" s="2">
        <v>0.88845414165782899</v>
      </c>
      <c r="AM5698" s="2">
        <v>758.45926338001198</v>
      </c>
      <c r="AN5698" s="2">
        <v>319.36068864107102</v>
      </c>
      <c r="AO5698" s="2">
        <v>917.15223382219199</v>
      </c>
      <c r="AP5698" s="2">
        <v>1118.39111440394</v>
      </c>
      <c r="AQ5698" s="2">
        <v>955.94316773591095</v>
      </c>
      <c r="AR5698" s="2">
        <v>910.93979768083705</v>
      </c>
      <c r="AS5698" s="2">
        <v>421.78736630838199</v>
      </c>
      <c r="AT5698" s="2">
        <v>1321.69575805971</v>
      </c>
      <c r="AU5698" s="2">
        <v>465.39516058268202</v>
      </c>
      <c r="AV5698" s="2">
        <v>566.77878249891796</v>
      </c>
      <c r="AW5698" s="2">
        <v>1345.1016048844799</v>
      </c>
      <c r="AX5698" s="2">
        <v>444.826421751559</v>
      </c>
    </row>
    <row r="5699" spans="1:50" x14ac:dyDescent="0.25">
      <c r="A5699" s="2" t="s">
        <v>37160</v>
      </c>
      <c r="B5699" s="2">
        <v>190.050332140969</v>
      </c>
      <c r="C5699" s="2">
        <v>4.1558999999999999</v>
      </c>
      <c r="D5699" s="2" t="s">
        <v>51</v>
      </c>
      <c r="E5699" s="2" t="s">
        <v>37161</v>
      </c>
      <c r="F5699" s="2">
        <v>199435</v>
      </c>
      <c r="G5699" s="3" t="str">
        <f>HYPERLINK("https://cloud.oebiotech.com/#/lm/network/199435", "https://cloud.oebiotech.com/#/lm/network/199435")</f>
        <v>https://cloud.oebiotech.com/#/lm/network/199435</v>
      </c>
      <c r="H5699" s="2" t="s">
        <v>37162</v>
      </c>
      <c r="I5699" s="2">
        <v>66365</v>
      </c>
      <c r="J5699" s="2"/>
      <c r="K5699" s="2">
        <v>10284</v>
      </c>
      <c r="L5699" s="2" t="s">
        <v>37163</v>
      </c>
      <c r="M5699" s="2"/>
      <c r="N5699" s="2"/>
      <c r="O5699" s="2">
        <v>18350</v>
      </c>
      <c r="P5699" s="2"/>
      <c r="Q5699" s="2"/>
      <c r="R5699" s="2" t="s">
        <v>37164</v>
      </c>
      <c r="S5699" s="2" t="s">
        <v>37165</v>
      </c>
      <c r="T5699" s="2" t="s">
        <v>37166</v>
      </c>
      <c r="U5699" s="2" t="s">
        <v>266</v>
      </c>
      <c r="V5699" s="2" t="s">
        <v>1074</v>
      </c>
      <c r="W5699" s="2" t="s">
        <v>35011</v>
      </c>
      <c r="X5699" s="2" t="s">
        <v>83</v>
      </c>
      <c r="Y5699" s="2">
        <v>43.2</v>
      </c>
      <c r="Z5699" s="2">
        <v>0</v>
      </c>
      <c r="AA5699" s="2" t="s">
        <v>218</v>
      </c>
      <c r="AB5699" s="2" t="s">
        <v>23543</v>
      </c>
      <c r="AC5699" s="2">
        <v>-4.3748072355107297</v>
      </c>
      <c r="AD5699" s="2"/>
      <c r="AE5699" s="2">
        <v>1.4774930758299099E-2</v>
      </c>
      <c r="AF5699" s="2">
        <v>499.83663070403202</v>
      </c>
      <c r="AG5699" s="2">
        <v>464.82794183783102</v>
      </c>
      <c r="AH5699" s="5">
        <v>1.07531537094733</v>
      </c>
      <c r="AI5699" s="5">
        <v>0.104759838769008</v>
      </c>
      <c r="AJ5699" s="5" t="s">
        <v>139</v>
      </c>
      <c r="AK5699" s="2">
        <v>0.893360896956925</v>
      </c>
      <c r="AL5699" s="2">
        <v>0.95462268632708103</v>
      </c>
      <c r="AM5699" s="2">
        <v>531.60720079231203</v>
      </c>
      <c r="AN5699" s="2">
        <v>556.98663681873802</v>
      </c>
      <c r="AO5699" s="2">
        <v>318.26607545401203</v>
      </c>
      <c r="AP5699" s="2">
        <v>921.97786873695998</v>
      </c>
      <c r="AQ5699" s="2">
        <v>279.97864190844399</v>
      </c>
      <c r="AR5699" s="2">
        <v>390.20336051372499</v>
      </c>
      <c r="AS5699" s="2">
        <v>1091.01685787364</v>
      </c>
      <c r="AT5699" s="2">
        <v>1310.7855545500099</v>
      </c>
      <c r="AU5699" s="2">
        <v>116.900022967616</v>
      </c>
      <c r="AV5699" s="2">
        <v>8.559877937157E-6</v>
      </c>
      <c r="AW5699" s="2">
        <v>192.35571253752201</v>
      </c>
      <c r="AX5699" s="2">
        <v>77.909494538322605</v>
      </c>
    </row>
    <row r="5700" spans="1:50" x14ac:dyDescent="0.25">
      <c r="A5700" s="2" t="s">
        <v>37167</v>
      </c>
      <c r="B5700" s="2">
        <v>321.067084451168</v>
      </c>
      <c r="C5700" s="2">
        <v>3.60421666666667</v>
      </c>
      <c r="D5700" s="2" t="s">
        <v>51</v>
      </c>
      <c r="E5700" s="2" t="s">
        <v>37168</v>
      </c>
      <c r="F5700" s="2">
        <v>211335</v>
      </c>
      <c r="G5700" s="3" t="str">
        <f>HYPERLINK("https://cloud.oebiotech.com/#/lm/network/211335", "https://cloud.oebiotech.com/#/lm/network/211335")</f>
        <v>https://cloud.oebiotech.com/#/lm/network/211335</v>
      </c>
      <c r="H5700" s="2" t="s">
        <v>37169</v>
      </c>
      <c r="I5700" s="2"/>
      <c r="J5700" s="2"/>
      <c r="K5700" s="2">
        <v>136380052</v>
      </c>
      <c r="L5700" s="2"/>
      <c r="M5700" s="2"/>
      <c r="N5700" s="2"/>
      <c r="O5700" s="2"/>
      <c r="P5700" s="2"/>
      <c r="Q5700" s="2"/>
      <c r="R5700" s="2"/>
      <c r="S5700" s="2" t="s">
        <v>37170</v>
      </c>
      <c r="T5700" s="2" t="s">
        <v>37171</v>
      </c>
      <c r="U5700" s="2" t="s">
        <v>610</v>
      </c>
      <c r="V5700" s="2" t="s">
        <v>611</v>
      </c>
      <c r="W5700" s="2" t="s">
        <v>1409</v>
      </c>
      <c r="X5700" s="2" t="s">
        <v>147</v>
      </c>
      <c r="Y5700" s="2">
        <v>45.6</v>
      </c>
      <c r="Z5700" s="2">
        <v>43.3</v>
      </c>
      <c r="AA5700" s="2" t="s">
        <v>259</v>
      </c>
      <c r="AB5700" s="2" t="s">
        <v>37172</v>
      </c>
      <c r="AC5700" s="2">
        <v>-2.6209871169155998</v>
      </c>
      <c r="AD5700" s="2"/>
      <c r="AE5700" s="2">
        <v>1.4727982754311499E-2</v>
      </c>
      <c r="AF5700" s="2">
        <v>9804.5853884284807</v>
      </c>
      <c r="AG5700" s="2">
        <v>9446.0629700694208</v>
      </c>
      <c r="AH5700" s="5">
        <v>1.037954692817</v>
      </c>
      <c r="AI5700" s="5">
        <v>5.3743470791363997E-2</v>
      </c>
      <c r="AJ5700" s="5" t="s">
        <v>139</v>
      </c>
      <c r="AK5700" s="2">
        <v>0.869577179290693</v>
      </c>
      <c r="AL5700" s="2">
        <v>0.94347394765202897</v>
      </c>
      <c r="AM5700" s="2">
        <v>5604.96381069771</v>
      </c>
      <c r="AN5700" s="2">
        <v>12788.4485208357</v>
      </c>
      <c r="AO5700" s="2">
        <v>7795.4183891879802</v>
      </c>
      <c r="AP5700" s="2">
        <v>13842.322540106699</v>
      </c>
      <c r="AQ5700" s="2">
        <v>11005.809370990301</v>
      </c>
      <c r="AR5700" s="2">
        <v>7790.5496987524903</v>
      </c>
      <c r="AS5700" s="2">
        <v>9097.9927759634902</v>
      </c>
      <c r="AT5700" s="2">
        <v>14798.8885330107</v>
      </c>
      <c r="AU5700" s="2">
        <v>6842.05014108463</v>
      </c>
      <c r="AV5700" s="2">
        <v>3107.0608186918998</v>
      </c>
      <c r="AW5700" s="2">
        <v>11456.598616216101</v>
      </c>
      <c r="AX5700" s="2">
        <v>11373.7869354497</v>
      </c>
    </row>
    <row r="5701" spans="1:50" x14ac:dyDescent="0.25">
      <c r="A5701" s="2" t="s">
        <v>37173</v>
      </c>
      <c r="B5701" s="2">
        <v>272.13628776547301</v>
      </c>
      <c r="C5701" s="2">
        <v>3.3798499999999998</v>
      </c>
      <c r="D5701" s="2" t="s">
        <v>51</v>
      </c>
      <c r="E5701" s="2" t="s">
        <v>37174</v>
      </c>
      <c r="F5701" s="2">
        <v>53786</v>
      </c>
      <c r="G5701" s="3" t="str">
        <f>HYPERLINK("https://cloud.oebiotech.com/#/lm/network/53786", "https://cloud.oebiotech.com/#/lm/network/53786")</f>
        <v>https://cloud.oebiotech.com/#/lm/network/53786</v>
      </c>
      <c r="H5701" s="2" t="s">
        <v>37175</v>
      </c>
      <c r="I5701" s="2">
        <v>85662</v>
      </c>
      <c r="J5701" s="2"/>
      <c r="K5701" s="2">
        <v>18218189</v>
      </c>
      <c r="L5701" s="2"/>
      <c r="M5701" s="2"/>
      <c r="N5701" s="2"/>
      <c r="O5701" s="2"/>
      <c r="P5701" s="2"/>
      <c r="Q5701" s="2"/>
      <c r="R5701" s="2"/>
      <c r="S5701" s="2" t="s">
        <v>37176</v>
      </c>
      <c r="T5701" s="2" t="s">
        <v>37177</v>
      </c>
      <c r="U5701" s="2" t="s">
        <v>103</v>
      </c>
      <c r="V5701" s="2" t="s">
        <v>104</v>
      </c>
      <c r="W5701" s="2" t="s">
        <v>105</v>
      </c>
      <c r="X5701" s="2" t="s">
        <v>147</v>
      </c>
      <c r="Y5701" s="2">
        <v>43.2</v>
      </c>
      <c r="Z5701" s="2">
        <v>26.1</v>
      </c>
      <c r="AA5701" s="2" t="s">
        <v>156</v>
      </c>
      <c r="AB5701" s="2" t="s">
        <v>37178</v>
      </c>
      <c r="AC5701" s="2">
        <v>3.3108145411905201</v>
      </c>
      <c r="AD5701" s="2"/>
      <c r="AE5701" s="2">
        <v>1.46057796470066E-2</v>
      </c>
      <c r="AF5701" s="2">
        <v>2534.6909901815502</v>
      </c>
      <c r="AG5701" s="2">
        <v>2502.6758649721701</v>
      </c>
      <c r="AH5701" s="5">
        <v>1.0127923578348601</v>
      </c>
      <c r="AI5701" s="5">
        <v>1.8338423864528101E-2</v>
      </c>
      <c r="AJ5701" s="5" t="s">
        <v>139</v>
      </c>
      <c r="AK5701" s="2">
        <v>0.97195329258255203</v>
      </c>
      <c r="AL5701" s="2">
        <v>0.98915546194842796</v>
      </c>
      <c r="AM5701" s="2">
        <v>2248.3368241318399</v>
      </c>
      <c r="AN5701" s="2">
        <v>2386.76285351561</v>
      </c>
      <c r="AO5701" s="2">
        <v>2630.7373290004598</v>
      </c>
      <c r="AP5701" s="2">
        <v>5031.7748578275296</v>
      </c>
      <c r="AQ5701" s="2">
        <v>1451.98227126951</v>
      </c>
      <c r="AR5701" s="2">
        <v>1458.55180534438</v>
      </c>
      <c r="AS5701" s="2">
        <v>757.36595592603805</v>
      </c>
      <c r="AT5701" s="2">
        <v>2278.2216518523401</v>
      </c>
      <c r="AU5701" s="2">
        <v>5822.3976376946102</v>
      </c>
      <c r="AV5701" s="2">
        <v>2043.81984834676</v>
      </c>
      <c r="AW5701" s="2">
        <v>2417.0533565794799</v>
      </c>
      <c r="AX5701" s="2">
        <v>1697.1967394337701</v>
      </c>
    </row>
    <row r="5702" spans="1:50" x14ac:dyDescent="0.25">
      <c r="A5702" s="2" t="s">
        <v>37179</v>
      </c>
      <c r="B5702" s="2">
        <v>395.23427631327098</v>
      </c>
      <c r="C5702" s="2">
        <v>9.6834500000000006</v>
      </c>
      <c r="D5702" s="2" t="s">
        <v>51</v>
      </c>
      <c r="E5702" s="2" t="s">
        <v>37180</v>
      </c>
      <c r="F5702" s="2">
        <v>3918</v>
      </c>
      <c r="G5702" s="3" t="str">
        <f>HYPERLINK("https://cloud.oebiotech.com/#/lm/network/3918", "https://cloud.oebiotech.com/#/lm/network/3918")</f>
        <v>https://cloud.oebiotech.com/#/lm/network/3918</v>
      </c>
      <c r="H5702" s="2"/>
      <c r="I5702" s="2"/>
      <c r="J5702" s="2" t="s">
        <v>37181</v>
      </c>
      <c r="K5702" s="2">
        <v>24778496</v>
      </c>
      <c r="L5702" s="2"/>
      <c r="M5702" s="2"/>
      <c r="N5702" s="2"/>
      <c r="O5702" s="2">
        <v>28667</v>
      </c>
      <c r="P5702" s="2" t="s">
        <v>307</v>
      </c>
      <c r="Q5702" s="2" t="s">
        <v>308</v>
      </c>
      <c r="R5702" s="2"/>
      <c r="S5702" s="2" t="s">
        <v>37182</v>
      </c>
      <c r="T5702" s="2" t="s">
        <v>37183</v>
      </c>
      <c r="U5702" s="2" t="s">
        <v>56</v>
      </c>
      <c r="V5702" s="2" t="s">
        <v>145</v>
      </c>
      <c r="W5702" s="2" t="s">
        <v>187</v>
      </c>
      <c r="X5702" s="2" t="s">
        <v>147</v>
      </c>
      <c r="Y5702" s="2">
        <v>39</v>
      </c>
      <c r="Z5702" s="2">
        <v>0.83</v>
      </c>
      <c r="AA5702" s="2" t="s">
        <v>95</v>
      </c>
      <c r="AB5702" s="2" t="s">
        <v>37184</v>
      </c>
      <c r="AC5702" s="2">
        <v>0.160933664594997</v>
      </c>
      <c r="AD5702" s="2"/>
      <c r="AE5702" s="2">
        <v>1.45999794272194E-2</v>
      </c>
      <c r="AF5702" s="2">
        <v>2834.1270082321998</v>
      </c>
      <c r="AG5702" s="2">
        <v>2685.55142654873</v>
      </c>
      <c r="AH5702" s="5">
        <v>1.0553240501055701</v>
      </c>
      <c r="AI5702" s="5">
        <v>7.7686064047466696E-2</v>
      </c>
      <c r="AJ5702" s="5" t="s">
        <v>139</v>
      </c>
      <c r="AK5702" s="2">
        <v>0.94486608373577796</v>
      </c>
      <c r="AL5702" s="2">
        <v>0.97746470450240697</v>
      </c>
      <c r="AM5702" s="2">
        <v>172.349466523102</v>
      </c>
      <c r="AN5702" s="2">
        <v>3522.3009306912099</v>
      </c>
      <c r="AO5702" s="2">
        <v>2563.569305991</v>
      </c>
      <c r="AP5702" s="2">
        <v>152.85918074352799</v>
      </c>
      <c r="AQ5702" s="2">
        <v>4381.4467992213004</v>
      </c>
      <c r="AR5702" s="2">
        <v>6212.23636622306</v>
      </c>
      <c r="AS5702" s="2">
        <v>2538.0799361269701</v>
      </c>
      <c r="AT5702" s="2">
        <v>189.01856050040399</v>
      </c>
      <c r="AU5702" s="2">
        <v>1615.31816430547</v>
      </c>
      <c r="AV5702" s="2">
        <v>8.559877937157E-6</v>
      </c>
      <c r="AW5702" s="2">
        <v>55.329696762572503</v>
      </c>
      <c r="AX5702" s="2">
        <v>11715.5621930371</v>
      </c>
    </row>
    <row r="5703" spans="1:50" x14ac:dyDescent="0.25">
      <c r="A5703" s="2" t="s">
        <v>37185</v>
      </c>
      <c r="B5703" s="2">
        <v>296.29582238998398</v>
      </c>
      <c r="C5703" s="2">
        <v>13.079549999999999</v>
      </c>
      <c r="D5703" s="2" t="s">
        <v>51</v>
      </c>
      <c r="E5703" s="2" t="s">
        <v>37186</v>
      </c>
      <c r="F5703" s="2">
        <v>10086</v>
      </c>
      <c r="G5703" s="3" t="str">
        <f>HYPERLINK("https://cloud.oebiotech.com/#/lm/network/10086", "https://cloud.oebiotech.com/#/lm/network/10086")</f>
        <v>https://cloud.oebiotech.com/#/lm/network/10086</v>
      </c>
      <c r="H5703" s="2"/>
      <c r="I5703" s="2">
        <v>98291</v>
      </c>
      <c r="J5703" s="2" t="s">
        <v>37187</v>
      </c>
      <c r="K5703" s="2">
        <v>11022252</v>
      </c>
      <c r="L5703" s="2"/>
      <c r="M5703" s="2"/>
      <c r="N5703" s="2"/>
      <c r="O5703" s="2"/>
      <c r="P5703" s="2"/>
      <c r="Q5703" s="2"/>
      <c r="R5703" s="2"/>
      <c r="S5703" s="2" t="s">
        <v>37188</v>
      </c>
      <c r="T5703" s="2" t="s">
        <v>37189</v>
      </c>
      <c r="U5703" s="2" t="s">
        <v>266</v>
      </c>
      <c r="V5703" s="2" t="s">
        <v>1593</v>
      </c>
      <c r="W5703" s="2" t="s">
        <v>240</v>
      </c>
      <c r="X5703" s="2" t="s">
        <v>83</v>
      </c>
      <c r="Y5703" s="2">
        <v>52.2</v>
      </c>
      <c r="Z5703" s="2">
        <v>0</v>
      </c>
      <c r="AA5703" s="2" t="s">
        <v>512</v>
      </c>
      <c r="AB5703" s="2" t="s">
        <v>10991</v>
      </c>
      <c r="AC5703" s="2">
        <v>3.7056941913044898</v>
      </c>
      <c r="AD5703" s="2"/>
      <c r="AE5703" s="2">
        <v>1.4544592838654599E-2</v>
      </c>
      <c r="AF5703" s="2">
        <v>625.28410437588002</v>
      </c>
      <c r="AG5703" s="2">
        <v>715.87418607823895</v>
      </c>
      <c r="AH5703" s="4">
        <v>0.87345530337022503</v>
      </c>
      <c r="AI5703" s="4">
        <v>-0.19519421573614301</v>
      </c>
      <c r="AJ5703" s="4" t="s">
        <v>62</v>
      </c>
      <c r="AK5703" s="2">
        <v>0.90510105580437705</v>
      </c>
      <c r="AL5703" s="2">
        <v>0.96038450174894097</v>
      </c>
      <c r="AM5703" s="2">
        <v>8.559877937157E-6</v>
      </c>
      <c r="AN5703" s="2">
        <v>8.559877937157E-6</v>
      </c>
      <c r="AO5703" s="2">
        <v>3232.5023651892202</v>
      </c>
      <c r="AP5703" s="2">
        <v>8.559877937157E-6</v>
      </c>
      <c r="AQ5703" s="2">
        <v>519.20222682655105</v>
      </c>
      <c r="AR5703" s="2">
        <v>8.559877937157E-6</v>
      </c>
      <c r="AS5703" s="2">
        <v>3133.3608677402899</v>
      </c>
      <c r="AT5703" s="2">
        <v>8.559877937157E-6</v>
      </c>
      <c r="AU5703" s="2">
        <v>1161.88421448963</v>
      </c>
      <c r="AV5703" s="2">
        <v>8.559877937157E-6</v>
      </c>
      <c r="AW5703" s="2">
        <v>8.559877937157E-6</v>
      </c>
      <c r="AX5703" s="2">
        <v>8.559877937157E-6</v>
      </c>
    </row>
    <row r="5704" spans="1:50" x14ac:dyDescent="0.25">
      <c r="A5704" s="2" t="s">
        <v>37190</v>
      </c>
      <c r="B5704" s="2">
        <v>439.16117194701002</v>
      </c>
      <c r="C5704" s="2">
        <v>4.8042499999999997</v>
      </c>
      <c r="D5704" s="2" t="s">
        <v>51</v>
      </c>
      <c r="E5704" s="2" t="s">
        <v>37191</v>
      </c>
      <c r="F5704" s="2">
        <v>82988</v>
      </c>
      <c r="G5704" s="3" t="str">
        <f>HYPERLINK("https://cloud.oebiotech.com/#/lm/network/82988", "https://cloud.oebiotech.com/#/lm/network/82988")</f>
        <v>https://cloud.oebiotech.com/#/lm/network/82988</v>
      </c>
      <c r="H5704" s="2" t="s">
        <v>37192</v>
      </c>
      <c r="I5704" s="2">
        <v>943702</v>
      </c>
      <c r="J5704" s="2"/>
      <c r="K5704" s="2">
        <v>71396710</v>
      </c>
      <c r="L5704" s="2"/>
      <c r="M5704" s="2"/>
      <c r="N5704" s="2"/>
      <c r="O5704" s="2"/>
      <c r="P5704" s="2"/>
      <c r="Q5704" s="2"/>
      <c r="R5704" s="2"/>
      <c r="S5704" s="2" t="s">
        <v>37193</v>
      </c>
      <c r="T5704" s="2" t="s">
        <v>37194</v>
      </c>
      <c r="U5704" s="2" t="s">
        <v>266</v>
      </c>
      <c r="V5704" s="2" t="s">
        <v>13648</v>
      </c>
      <c r="W5704" s="2" t="s">
        <v>13649</v>
      </c>
      <c r="X5704" s="2" t="s">
        <v>83</v>
      </c>
      <c r="Y5704" s="2">
        <v>45.8</v>
      </c>
      <c r="Z5704" s="2">
        <v>12</v>
      </c>
      <c r="AA5704" s="2" t="s">
        <v>478</v>
      </c>
      <c r="AB5704" s="2" t="s">
        <v>14678</v>
      </c>
      <c r="AC5704" s="2">
        <v>-2.58111253033301</v>
      </c>
      <c r="AD5704" s="2"/>
      <c r="AE5704" s="2">
        <v>1.4383513437991701E-2</v>
      </c>
      <c r="AF5704" s="2">
        <v>1729.9927653397799</v>
      </c>
      <c r="AG5704" s="2">
        <v>1779.61882694561</v>
      </c>
      <c r="AH5704" s="4">
        <v>0.97211421858746405</v>
      </c>
      <c r="AI5704" s="4">
        <v>-4.0802261602843497E-2</v>
      </c>
      <c r="AJ5704" s="4" t="s">
        <v>62</v>
      </c>
      <c r="AK5704" s="2">
        <v>0.96043241640855004</v>
      </c>
      <c r="AL5704" s="2">
        <v>0.98379697312242198</v>
      </c>
      <c r="AM5704" s="2">
        <v>1715.4229872748899</v>
      </c>
      <c r="AN5704" s="2">
        <v>1551.2543409007801</v>
      </c>
      <c r="AO5704" s="2">
        <v>172.78934530524199</v>
      </c>
      <c r="AP5704" s="2">
        <v>392.70069324155702</v>
      </c>
      <c r="AQ5704" s="2">
        <v>896.62049417098297</v>
      </c>
      <c r="AR5704" s="2">
        <v>5651.1687311451997</v>
      </c>
      <c r="AS5704" s="2">
        <v>949.45043194097104</v>
      </c>
      <c r="AT5704" s="2">
        <v>2793.4445078245699</v>
      </c>
      <c r="AU5704" s="2">
        <v>548.76333178362597</v>
      </c>
      <c r="AV5704" s="2">
        <v>2347.3325792033302</v>
      </c>
      <c r="AW5704" s="2">
        <v>3530.6771812951602</v>
      </c>
      <c r="AX5704" s="2">
        <v>508.04492962602399</v>
      </c>
    </row>
    <row r="5705" spans="1:50" x14ac:dyDescent="0.25">
      <c r="A5705" s="2" t="s">
        <v>37195</v>
      </c>
      <c r="B5705" s="2">
        <v>429.36833508900702</v>
      </c>
      <c r="C5705" s="2">
        <v>10.21335</v>
      </c>
      <c r="D5705" s="2" t="s">
        <v>51</v>
      </c>
      <c r="E5705" s="2" t="s">
        <v>37196</v>
      </c>
      <c r="F5705" s="2">
        <v>198059</v>
      </c>
      <c r="G5705" s="3" t="str">
        <f>HYPERLINK("https://cloud.oebiotech.com/#/lm/network/198059", "https://cloud.oebiotech.com/#/lm/network/198059")</f>
        <v>https://cloud.oebiotech.com/#/lm/network/198059</v>
      </c>
      <c r="H5705" s="2" t="s">
        <v>37197</v>
      </c>
      <c r="I5705" s="2"/>
      <c r="J5705" s="2"/>
      <c r="K5705" s="2"/>
      <c r="L5705" s="2"/>
      <c r="M5705" s="2"/>
      <c r="N5705" s="2"/>
      <c r="O5705" s="2"/>
      <c r="P5705" s="2"/>
      <c r="Q5705" s="2"/>
      <c r="R5705" s="2"/>
      <c r="S5705" s="2" t="s">
        <v>37198</v>
      </c>
      <c r="T5705" s="2" t="s">
        <v>37199</v>
      </c>
      <c r="U5705" s="2" t="s">
        <v>56</v>
      </c>
      <c r="V5705" s="2" t="s">
        <v>145</v>
      </c>
      <c r="W5705" s="2" t="s">
        <v>1188</v>
      </c>
      <c r="X5705" s="2" t="s">
        <v>83</v>
      </c>
      <c r="Y5705" s="2">
        <v>37.799999999999997</v>
      </c>
      <c r="Z5705" s="2">
        <v>0</v>
      </c>
      <c r="AA5705" s="2" t="s">
        <v>512</v>
      </c>
      <c r="AB5705" s="2" t="s">
        <v>15807</v>
      </c>
      <c r="AC5705" s="2">
        <v>-0.84934980687885397</v>
      </c>
      <c r="AD5705" s="2"/>
      <c r="AE5705" s="2">
        <v>1.43478213545018E-2</v>
      </c>
      <c r="AF5705" s="2">
        <v>1882.4363902848299</v>
      </c>
      <c r="AG5705" s="2">
        <v>2107.7645346704999</v>
      </c>
      <c r="AH5705" s="4">
        <v>0.89309614965084305</v>
      </c>
      <c r="AI5705" s="4">
        <v>-0.16311259237707601</v>
      </c>
      <c r="AJ5705" s="4" t="s">
        <v>62</v>
      </c>
      <c r="AK5705" s="2">
        <v>0.75241800608315301</v>
      </c>
      <c r="AL5705" s="2">
        <v>0.88799216304912298</v>
      </c>
      <c r="AM5705" s="2">
        <v>3685.00011103323</v>
      </c>
      <c r="AN5705" s="2">
        <v>576.35211742654099</v>
      </c>
      <c r="AO5705" s="2">
        <v>2602.0683094933502</v>
      </c>
      <c r="AP5705" s="2">
        <v>2400.7459312933902</v>
      </c>
      <c r="AQ5705" s="2">
        <v>800.92987263205998</v>
      </c>
      <c r="AR5705" s="2">
        <v>1229.5219998303901</v>
      </c>
      <c r="AS5705" s="2">
        <v>1847.17161014869</v>
      </c>
      <c r="AT5705" s="2">
        <v>1014.18270411249</v>
      </c>
      <c r="AU5705" s="2">
        <v>3811.0280131243599</v>
      </c>
      <c r="AV5705" s="2">
        <v>2027.3514315853799</v>
      </c>
      <c r="AW5705" s="2">
        <v>3186.0764677395</v>
      </c>
      <c r="AX5705" s="2">
        <v>760.77698131259297</v>
      </c>
    </row>
    <row r="5706" spans="1:50" x14ac:dyDescent="0.25">
      <c r="A5706" s="2" t="s">
        <v>37200</v>
      </c>
      <c r="B5706" s="2">
        <v>144.044464190474</v>
      </c>
      <c r="C5706" s="2">
        <v>3.7695666666666701</v>
      </c>
      <c r="D5706" s="2" t="s">
        <v>51</v>
      </c>
      <c r="E5706" s="2" t="s">
        <v>37201</v>
      </c>
      <c r="F5706" s="2">
        <v>274961</v>
      </c>
      <c r="G5706" s="3" t="str">
        <f>HYPERLINK("https://cloud.oebiotech.com/#/lm/network/274961", "https://cloud.oebiotech.com/#/lm/network/274961")</f>
        <v>https://cloud.oebiotech.com/#/lm/network/274961</v>
      </c>
      <c r="H5706" s="2"/>
      <c r="I5706" s="2">
        <v>65836</v>
      </c>
      <c r="J5706" s="2"/>
      <c r="K5706" s="2">
        <v>150946</v>
      </c>
      <c r="L5706" s="2" t="s">
        <v>37202</v>
      </c>
      <c r="M5706" s="2"/>
      <c r="N5706" s="2"/>
      <c r="O5706" s="2"/>
      <c r="P5706" s="2"/>
      <c r="Q5706" s="2"/>
      <c r="R5706" s="2" t="s">
        <v>37203</v>
      </c>
      <c r="S5706" s="2" t="s">
        <v>37204</v>
      </c>
      <c r="T5706" s="2" t="s">
        <v>37205</v>
      </c>
      <c r="U5706" s="2" t="s">
        <v>266</v>
      </c>
      <c r="V5706" s="2" t="s">
        <v>445</v>
      </c>
      <c r="W5706" s="2" t="s">
        <v>8002</v>
      </c>
      <c r="X5706" s="2" t="s">
        <v>83</v>
      </c>
      <c r="Y5706" s="2">
        <v>42.7</v>
      </c>
      <c r="Z5706" s="2">
        <v>0</v>
      </c>
      <c r="AA5706" s="2" t="s">
        <v>163</v>
      </c>
      <c r="AB5706" s="2" t="s">
        <v>23543</v>
      </c>
      <c r="AC5706" s="2">
        <v>-7.0541666989470402</v>
      </c>
      <c r="AD5706" s="2"/>
      <c r="AE5706" s="2">
        <v>1.4188439948560101E-2</v>
      </c>
      <c r="AF5706" s="2">
        <v>1546.2759460672</v>
      </c>
      <c r="AG5706" s="2">
        <v>1687.0617920848599</v>
      </c>
      <c r="AH5706" s="4">
        <v>0.91654968023211403</v>
      </c>
      <c r="AI5706" s="4">
        <v>-0.12571501283252401</v>
      </c>
      <c r="AJ5706" s="4" t="s">
        <v>62</v>
      </c>
      <c r="AK5706" s="2">
        <v>0.66024736874665602</v>
      </c>
      <c r="AL5706" s="2">
        <v>0.83508492293329795</v>
      </c>
      <c r="AM5706" s="2">
        <v>1427.0058464378901</v>
      </c>
      <c r="AN5706" s="2">
        <v>1906.7218132396499</v>
      </c>
      <c r="AO5706" s="2">
        <v>1119.7360212813701</v>
      </c>
      <c r="AP5706" s="2">
        <v>1637.7488077226001</v>
      </c>
      <c r="AQ5706" s="2">
        <v>1771.9390682157</v>
      </c>
      <c r="AR5706" s="2">
        <v>1414.50411950598</v>
      </c>
      <c r="AS5706" s="2">
        <v>1617.7940354331199</v>
      </c>
      <c r="AT5706" s="2">
        <v>2833.9192055778099</v>
      </c>
      <c r="AU5706" s="2">
        <v>1787.8881530412</v>
      </c>
      <c r="AV5706" s="2">
        <v>610.69642141022905</v>
      </c>
      <c r="AW5706" s="2">
        <v>1609.55494784134</v>
      </c>
      <c r="AX5706" s="2">
        <v>1662.51798920548</v>
      </c>
    </row>
    <row r="5707" spans="1:50" x14ac:dyDescent="0.25">
      <c r="A5707" s="2" t="s">
        <v>37206</v>
      </c>
      <c r="B5707" s="2">
        <v>369.06796464835901</v>
      </c>
      <c r="C5707" s="2">
        <v>3.6886666666666699</v>
      </c>
      <c r="D5707" s="2" t="s">
        <v>51</v>
      </c>
      <c r="E5707" s="2" t="s">
        <v>37207</v>
      </c>
      <c r="F5707" s="2">
        <v>211186</v>
      </c>
      <c r="G5707" s="3" t="str">
        <f>HYPERLINK("https://cloud.oebiotech.com/#/lm/network/211186", "https://cloud.oebiotech.com/#/lm/network/211186")</f>
        <v>https://cloud.oebiotech.com/#/lm/network/211186</v>
      </c>
      <c r="H5707" s="2" t="s">
        <v>37208</v>
      </c>
      <c r="I5707" s="2"/>
      <c r="J5707" s="2"/>
      <c r="K5707" s="2">
        <v>19387341</v>
      </c>
      <c r="L5707" s="2"/>
      <c r="M5707" s="2"/>
      <c r="N5707" s="2"/>
      <c r="O5707" s="2"/>
      <c r="P5707" s="2"/>
      <c r="Q5707" s="2"/>
      <c r="R5707" s="2"/>
      <c r="S5707" s="2" t="s">
        <v>37209</v>
      </c>
      <c r="T5707" s="2" t="s">
        <v>37210</v>
      </c>
      <c r="U5707" s="2" t="s">
        <v>610</v>
      </c>
      <c r="V5707" s="2" t="s">
        <v>611</v>
      </c>
      <c r="W5707" s="2" t="s">
        <v>1409</v>
      </c>
      <c r="X5707" s="2" t="s">
        <v>59</v>
      </c>
      <c r="Y5707" s="2">
        <v>42.9</v>
      </c>
      <c r="Z5707" s="2">
        <v>67.3</v>
      </c>
      <c r="AA5707" s="2" t="s">
        <v>379</v>
      </c>
      <c r="AB5707" s="2" t="s">
        <v>37211</v>
      </c>
      <c r="AC5707" s="2">
        <v>3.5470761385620402</v>
      </c>
      <c r="AD5707" s="2"/>
      <c r="AE5707" s="2">
        <v>1.4140173938880301E-2</v>
      </c>
      <c r="AF5707" s="2">
        <v>1962.74921577496</v>
      </c>
      <c r="AG5707" s="2">
        <v>1767.3444176565299</v>
      </c>
      <c r="AH5707" s="5">
        <v>1.1105640735140601</v>
      </c>
      <c r="AI5707" s="5">
        <v>0.15129263095272599</v>
      </c>
      <c r="AJ5707" s="5" t="s">
        <v>139</v>
      </c>
      <c r="AK5707" s="2">
        <v>0.82691678724100404</v>
      </c>
      <c r="AL5707" s="2">
        <v>0.92429976515301204</v>
      </c>
      <c r="AM5707" s="2">
        <v>8.559877937157E-6</v>
      </c>
      <c r="AN5707" s="2">
        <v>3336.3212180350401</v>
      </c>
      <c r="AO5707" s="2">
        <v>1981.4447221226201</v>
      </c>
      <c r="AP5707" s="2">
        <v>350.07774024458598</v>
      </c>
      <c r="AQ5707" s="2">
        <v>2964.9544657360202</v>
      </c>
      <c r="AR5707" s="2">
        <v>3143.6971399516401</v>
      </c>
      <c r="AS5707" s="2">
        <v>3955.1146745925798</v>
      </c>
      <c r="AT5707" s="2">
        <v>2337.94036972394</v>
      </c>
      <c r="AU5707" s="2">
        <v>514.69864347744601</v>
      </c>
      <c r="AV5707" s="2">
        <v>8.559877937157E-6</v>
      </c>
      <c r="AW5707" s="2">
        <v>859.55902270240097</v>
      </c>
      <c r="AX5707" s="2">
        <v>2936.75378688295</v>
      </c>
    </row>
    <row r="5708" spans="1:50" x14ac:dyDescent="0.25">
      <c r="A5708" s="2" t="s">
        <v>37212</v>
      </c>
      <c r="B5708" s="2">
        <v>258.15834347235301</v>
      </c>
      <c r="C5708" s="2">
        <v>8.5796666666666699</v>
      </c>
      <c r="D5708" s="2" t="s">
        <v>51</v>
      </c>
      <c r="E5708" s="2" t="s">
        <v>37213</v>
      </c>
      <c r="F5708" s="2">
        <v>53274</v>
      </c>
      <c r="G5708" s="3" t="str">
        <f>HYPERLINK("https://cloud.oebiotech.com/#/lm/network/53274", "https://cloud.oebiotech.com/#/lm/network/53274")</f>
        <v>https://cloud.oebiotech.com/#/lm/network/53274</v>
      </c>
      <c r="H5708" s="2" t="s">
        <v>37214</v>
      </c>
      <c r="I5708" s="2">
        <v>2101</v>
      </c>
      <c r="J5708" s="2"/>
      <c r="K5708" s="2">
        <v>4913</v>
      </c>
      <c r="L5708" s="2" t="s">
        <v>37215</v>
      </c>
      <c r="M5708" s="2"/>
      <c r="N5708" s="2"/>
      <c r="O5708" s="2">
        <v>8428</v>
      </c>
      <c r="P5708" s="2" t="s">
        <v>16052</v>
      </c>
      <c r="Q5708" s="2" t="s">
        <v>16053</v>
      </c>
      <c r="R5708" s="2" t="s">
        <v>37216</v>
      </c>
      <c r="S5708" s="2" t="s">
        <v>37217</v>
      </c>
      <c r="T5708" s="2" t="s">
        <v>37218</v>
      </c>
      <c r="U5708" s="2" t="s">
        <v>610</v>
      </c>
      <c r="V5708" s="2" t="s">
        <v>611</v>
      </c>
      <c r="W5708" s="2" t="s">
        <v>1122</v>
      </c>
      <c r="X5708" s="2" t="s">
        <v>147</v>
      </c>
      <c r="Y5708" s="2">
        <v>36.5</v>
      </c>
      <c r="Z5708" s="2">
        <v>0</v>
      </c>
      <c r="AA5708" s="2" t="s">
        <v>95</v>
      </c>
      <c r="AB5708" s="2" t="s">
        <v>37219</v>
      </c>
      <c r="AC5708" s="2">
        <v>2.8085607934315502</v>
      </c>
      <c r="AD5708" s="2"/>
      <c r="AE5708" s="2">
        <v>1.4066634232535E-2</v>
      </c>
      <c r="AF5708" s="2">
        <v>858.58268062724903</v>
      </c>
      <c r="AG5708" s="2">
        <v>713.88997588913401</v>
      </c>
      <c r="AH5708" s="5">
        <v>1.2026820793469</v>
      </c>
      <c r="AI5708" s="5">
        <v>0.266255326498679</v>
      </c>
      <c r="AJ5708" s="5" t="s">
        <v>139</v>
      </c>
      <c r="AK5708" s="2">
        <v>0.54275003968713298</v>
      </c>
      <c r="AL5708" s="2">
        <v>0.76703332197631802</v>
      </c>
      <c r="AM5708" s="2">
        <v>204.92342732832699</v>
      </c>
      <c r="AN5708" s="2">
        <v>1499.4342224003899</v>
      </c>
      <c r="AO5708" s="2">
        <v>621.24706592580503</v>
      </c>
      <c r="AP5708" s="2">
        <v>1078.9855461688101</v>
      </c>
      <c r="AQ5708" s="2">
        <v>795.42454687912698</v>
      </c>
      <c r="AR5708" s="2">
        <v>951.48127506103503</v>
      </c>
      <c r="AS5708" s="2">
        <v>1116.5788598290301</v>
      </c>
      <c r="AT5708" s="2">
        <v>345.16103334950202</v>
      </c>
      <c r="AU5708" s="2">
        <v>519.03160580917995</v>
      </c>
      <c r="AV5708" s="2">
        <v>891.269071204184</v>
      </c>
      <c r="AW5708" s="2">
        <v>1065.31727905764</v>
      </c>
      <c r="AX5708" s="2">
        <v>345.98200608526798</v>
      </c>
    </row>
    <row r="5709" spans="1:50" x14ac:dyDescent="0.25">
      <c r="A5709" s="2" t="s">
        <v>37220</v>
      </c>
      <c r="B5709" s="2">
        <v>407.00318019705003</v>
      </c>
      <c r="C5709" s="2">
        <v>1.0339</v>
      </c>
      <c r="D5709" s="2" t="s">
        <v>51</v>
      </c>
      <c r="E5709" s="2" t="s">
        <v>37221</v>
      </c>
      <c r="F5709" s="2">
        <v>58138</v>
      </c>
      <c r="G5709" s="3" t="str">
        <f>HYPERLINK("https://cloud.oebiotech.com/#/lm/network/58138", "https://cloud.oebiotech.com/#/lm/network/58138")</f>
        <v>https://cloud.oebiotech.com/#/lm/network/58138</v>
      </c>
      <c r="H5709" s="2" t="s">
        <v>37222</v>
      </c>
      <c r="I5709" s="2"/>
      <c r="J5709" s="2"/>
      <c r="K5709" s="2"/>
      <c r="L5709" s="2"/>
      <c r="M5709" s="2"/>
      <c r="N5709" s="2"/>
      <c r="O5709" s="2"/>
      <c r="P5709" s="2"/>
      <c r="Q5709" s="2"/>
      <c r="R5709" s="2" t="s">
        <v>37223</v>
      </c>
      <c r="S5709" s="2" t="s">
        <v>37224</v>
      </c>
      <c r="T5709" s="2" t="s">
        <v>37225</v>
      </c>
      <c r="U5709" s="2" t="s">
        <v>610</v>
      </c>
      <c r="V5709" s="2" t="s">
        <v>813</v>
      </c>
      <c r="W5709" s="2" t="s">
        <v>814</v>
      </c>
      <c r="X5709" s="2" t="s">
        <v>147</v>
      </c>
      <c r="Y5709" s="2">
        <v>36.5</v>
      </c>
      <c r="Z5709" s="2">
        <v>0</v>
      </c>
      <c r="AA5709" s="2" t="s">
        <v>163</v>
      </c>
      <c r="AB5709" s="2" t="s">
        <v>37226</v>
      </c>
      <c r="AC5709" s="2">
        <v>4.5682804814566396</v>
      </c>
      <c r="AD5709" s="2"/>
      <c r="AE5709" s="2">
        <v>1.40218440669733E-2</v>
      </c>
      <c r="AF5709" s="2">
        <v>1666.616023949</v>
      </c>
      <c r="AG5709" s="2">
        <v>1711.6063652576299</v>
      </c>
      <c r="AH5709" s="4">
        <v>0.97371455129996398</v>
      </c>
      <c r="AI5709" s="4">
        <v>-3.8429192991268298E-2</v>
      </c>
      <c r="AJ5709" s="4" t="s">
        <v>62</v>
      </c>
      <c r="AK5709" s="2">
        <v>0.92982273515868497</v>
      </c>
      <c r="AL5709" s="2">
        <v>0.97001844110086</v>
      </c>
      <c r="AM5709" s="2">
        <v>3149.63472401231</v>
      </c>
      <c r="AN5709" s="2">
        <v>8.559877937157E-6</v>
      </c>
      <c r="AO5709" s="2">
        <v>2395.0382471200101</v>
      </c>
      <c r="AP5709" s="2">
        <v>1513.52670050388</v>
      </c>
      <c r="AQ5709" s="2">
        <v>1721.49184084744</v>
      </c>
      <c r="AR5709" s="2">
        <v>1220.0046226504701</v>
      </c>
      <c r="AS5709" s="2">
        <v>1355.7373058482799</v>
      </c>
      <c r="AT5709" s="2">
        <v>1323.94623995231</v>
      </c>
      <c r="AU5709" s="2">
        <v>2508.6295541094601</v>
      </c>
      <c r="AV5709" s="2">
        <v>2239.3914435655802</v>
      </c>
      <c r="AW5709" s="2">
        <v>1001.4628633513</v>
      </c>
      <c r="AX5709" s="2">
        <v>1840.4707847188699</v>
      </c>
    </row>
    <row r="5710" spans="1:50" x14ac:dyDescent="0.25">
      <c r="A5710" s="2" t="s">
        <v>37227</v>
      </c>
      <c r="B5710" s="2">
        <v>359.20298729439799</v>
      </c>
      <c r="C5710" s="2">
        <v>4.1970666666666698</v>
      </c>
      <c r="D5710" s="2" t="s">
        <v>51</v>
      </c>
      <c r="E5710" s="2" t="s">
        <v>37228</v>
      </c>
      <c r="F5710" s="2">
        <v>264745</v>
      </c>
      <c r="G5710" s="3" t="str">
        <f>HYPERLINK("https://cloud.oebiotech.com/#/lm/network/264745", "https://cloud.oebiotech.com/#/lm/network/264745")</f>
        <v>https://cloud.oebiotech.com/#/lm/network/264745</v>
      </c>
      <c r="H5710" s="2"/>
      <c r="I5710" s="2">
        <v>22210</v>
      </c>
      <c r="J5710" s="2"/>
      <c r="K5710" s="2">
        <v>145458950</v>
      </c>
      <c r="L5710" s="2"/>
      <c r="M5710" s="2"/>
      <c r="N5710" s="2"/>
      <c r="O5710" s="2"/>
      <c r="P5710" s="2"/>
      <c r="Q5710" s="2"/>
      <c r="R5710" s="2"/>
      <c r="S5710" s="2" t="s">
        <v>37229</v>
      </c>
      <c r="T5710" s="2" t="s">
        <v>37230</v>
      </c>
      <c r="U5710" s="2" t="s">
        <v>103</v>
      </c>
      <c r="V5710" s="2" t="s">
        <v>104</v>
      </c>
      <c r="W5710" s="2" t="s">
        <v>105</v>
      </c>
      <c r="X5710" s="2" t="s">
        <v>83</v>
      </c>
      <c r="Y5710" s="2">
        <v>42.4</v>
      </c>
      <c r="Z5710" s="2">
        <v>0</v>
      </c>
      <c r="AA5710" s="2" t="s">
        <v>122</v>
      </c>
      <c r="AB5710" s="2" t="s">
        <v>31178</v>
      </c>
      <c r="AC5710" s="2">
        <v>-7.37312316129045</v>
      </c>
      <c r="AD5710" s="2"/>
      <c r="AE5710" s="2">
        <v>1.3904827034806E-2</v>
      </c>
      <c r="AF5710" s="2">
        <v>1654.12192807317</v>
      </c>
      <c r="AG5710" s="2">
        <v>1577.2555138950599</v>
      </c>
      <c r="AH5710" s="5">
        <v>1.0487342814787699</v>
      </c>
      <c r="AI5710" s="5">
        <v>6.8649187587561097E-2</v>
      </c>
      <c r="AJ5710" s="5" t="s">
        <v>139</v>
      </c>
      <c r="AK5710" s="2">
        <v>0.80544072015909096</v>
      </c>
      <c r="AL5710" s="2">
        <v>0.91260400941862796</v>
      </c>
      <c r="AM5710" s="2">
        <v>1327.59605205143</v>
      </c>
      <c r="AN5710" s="2">
        <v>1943.22573720934</v>
      </c>
      <c r="AO5710" s="2">
        <v>2149.7915171233299</v>
      </c>
      <c r="AP5710" s="2">
        <v>2145.1067611134699</v>
      </c>
      <c r="AQ5710" s="2">
        <v>1509.1605998545699</v>
      </c>
      <c r="AR5710" s="2">
        <v>849.85090108686597</v>
      </c>
      <c r="AS5710" s="2">
        <v>1231.69582015115</v>
      </c>
      <c r="AT5710" s="2">
        <v>1876.8405864077999</v>
      </c>
      <c r="AU5710" s="2">
        <v>996.00215262460097</v>
      </c>
      <c r="AV5710" s="2">
        <v>1081.23142682907</v>
      </c>
      <c r="AW5710" s="2">
        <v>2108.4229986000501</v>
      </c>
      <c r="AX5710" s="2">
        <v>2169.3400987576902</v>
      </c>
    </row>
    <row r="5711" spans="1:50" x14ac:dyDescent="0.25">
      <c r="A5711" s="2" t="s">
        <v>37231</v>
      </c>
      <c r="B5711" s="2">
        <v>314.11471435725599</v>
      </c>
      <c r="C5711" s="2">
        <v>4.7222</v>
      </c>
      <c r="D5711" s="2" t="s">
        <v>51</v>
      </c>
      <c r="E5711" s="2" t="s">
        <v>37232</v>
      </c>
      <c r="F5711" s="2">
        <v>203168</v>
      </c>
      <c r="G5711" s="3" t="str">
        <f>HYPERLINK("https://cloud.oebiotech.com/#/lm/network/203168", "https://cloud.oebiotech.com/#/lm/network/203168")</f>
        <v>https://cloud.oebiotech.com/#/lm/network/203168</v>
      </c>
      <c r="H5711" s="2" t="s">
        <v>37233</v>
      </c>
      <c r="I5711" s="2"/>
      <c r="J5711" s="2"/>
      <c r="K5711" s="2">
        <v>74070111</v>
      </c>
      <c r="L5711" s="2"/>
      <c r="M5711" s="2"/>
      <c r="N5711" s="2"/>
      <c r="O5711" s="2"/>
      <c r="P5711" s="2"/>
      <c r="Q5711" s="2"/>
      <c r="R5711" s="2"/>
      <c r="S5711" s="2" t="s">
        <v>37234</v>
      </c>
      <c r="T5711" s="2" t="s">
        <v>37235</v>
      </c>
      <c r="U5711" s="2" t="s">
        <v>266</v>
      </c>
      <c r="V5711" s="2" t="s">
        <v>445</v>
      </c>
      <c r="W5711" s="2" t="s">
        <v>37236</v>
      </c>
      <c r="X5711" s="2" t="s">
        <v>83</v>
      </c>
      <c r="Y5711" s="2">
        <v>46.7</v>
      </c>
      <c r="Z5711" s="2">
        <v>0.39600000000000002</v>
      </c>
      <c r="AA5711" s="2" t="s">
        <v>379</v>
      </c>
      <c r="AB5711" s="2" t="s">
        <v>7339</v>
      </c>
      <c r="AC5711" s="2">
        <v>0.25442048901209102</v>
      </c>
      <c r="AD5711" s="2"/>
      <c r="AE5711" s="2">
        <v>1.38856313901703E-2</v>
      </c>
      <c r="AF5711" s="2">
        <v>964.049723074231</v>
      </c>
      <c r="AG5711" s="2">
        <v>1320.8673313935799</v>
      </c>
      <c r="AH5711" s="4">
        <v>0.72986113000244301</v>
      </c>
      <c r="AI5711" s="4">
        <v>-0.45430610502555502</v>
      </c>
      <c r="AJ5711" s="4" t="s">
        <v>62</v>
      </c>
      <c r="AK5711" s="2">
        <v>0.789213625470914</v>
      </c>
      <c r="AL5711" s="2">
        <v>0.90682432638297195</v>
      </c>
      <c r="AM5711" s="2">
        <v>2096.0148027517598</v>
      </c>
      <c r="AN5711" s="2">
        <v>2540.20971374908</v>
      </c>
      <c r="AO5711" s="2">
        <v>311.63024035437502</v>
      </c>
      <c r="AP5711" s="2">
        <v>185.570159000026</v>
      </c>
      <c r="AQ5711" s="2">
        <v>470.22386118436401</v>
      </c>
      <c r="AR5711" s="2">
        <v>180.64956140578201</v>
      </c>
      <c r="AS5711" s="2">
        <v>8.559877937157E-6</v>
      </c>
      <c r="AT5711" s="2">
        <v>165.933219969932</v>
      </c>
      <c r="AU5711" s="2">
        <v>7442.3956617877902</v>
      </c>
      <c r="AV5711" s="2">
        <v>143.65396056772599</v>
      </c>
      <c r="AW5711" s="2">
        <v>173.221128916288</v>
      </c>
      <c r="AX5711" s="2">
        <v>8.559877937157E-6</v>
      </c>
    </row>
    <row r="5712" spans="1:50" x14ac:dyDescent="0.25">
      <c r="A5712" s="2" t="s">
        <v>37237</v>
      </c>
      <c r="B5712" s="2">
        <v>246.074820881515</v>
      </c>
      <c r="C5712" s="2">
        <v>5.8082500000000001</v>
      </c>
      <c r="D5712" s="2" t="s">
        <v>51</v>
      </c>
      <c r="E5712" s="2" t="s">
        <v>37238</v>
      </c>
      <c r="F5712" s="2">
        <v>9006</v>
      </c>
      <c r="G5712" s="3" t="str">
        <f>HYPERLINK("https://cloud.oebiotech.com/#/lm/network/9006", "https://cloud.oebiotech.com/#/lm/network/9006")</f>
        <v>https://cloud.oebiotech.com/#/lm/network/9006</v>
      </c>
      <c r="H5712" s="2"/>
      <c r="I5712" s="2"/>
      <c r="J5712" s="2" t="s">
        <v>37239</v>
      </c>
      <c r="K5712" s="2">
        <v>71311837</v>
      </c>
      <c r="L5712" s="2"/>
      <c r="M5712" s="2"/>
      <c r="N5712" s="2"/>
      <c r="O5712" s="2"/>
      <c r="P5712" s="2"/>
      <c r="Q5712" s="2"/>
      <c r="R5712" s="2"/>
      <c r="S5712" s="2" t="s">
        <v>37240</v>
      </c>
      <c r="T5712" s="2" t="s">
        <v>37241</v>
      </c>
      <c r="U5712" s="2" t="s">
        <v>103</v>
      </c>
      <c r="V5712" s="2" t="s">
        <v>104</v>
      </c>
      <c r="W5712" s="2" t="s">
        <v>105</v>
      </c>
      <c r="X5712" s="2" t="s">
        <v>83</v>
      </c>
      <c r="Y5712" s="2">
        <v>38</v>
      </c>
      <c r="Z5712" s="2">
        <v>0</v>
      </c>
      <c r="AA5712" s="2" t="s">
        <v>163</v>
      </c>
      <c r="AB5712" s="2" t="s">
        <v>37242</v>
      </c>
      <c r="AC5712" s="2">
        <v>-9.5537633380534697</v>
      </c>
      <c r="AD5712" s="2"/>
      <c r="AE5712" s="2">
        <v>1.3851492864013101E-2</v>
      </c>
      <c r="AF5712" s="2">
        <v>1829.4281414541599</v>
      </c>
      <c r="AG5712" s="2">
        <v>1740.85206577497</v>
      </c>
      <c r="AH5712" s="5">
        <v>1.05088087461341</v>
      </c>
      <c r="AI5712" s="5">
        <v>7.1599138048880295E-2</v>
      </c>
      <c r="AJ5712" s="5" t="s">
        <v>139</v>
      </c>
      <c r="AK5712" s="2">
        <v>0.95893615036336699</v>
      </c>
      <c r="AL5712" s="2">
        <v>0.98297517973244497</v>
      </c>
      <c r="AM5712" s="2">
        <v>176.94029781018199</v>
      </c>
      <c r="AN5712" s="2">
        <v>835.43744905436699</v>
      </c>
      <c r="AO5712" s="2">
        <v>214.56286906083201</v>
      </c>
      <c r="AP5712" s="2">
        <v>161.83246288229401</v>
      </c>
      <c r="AQ5712" s="2">
        <v>67.426844167360102</v>
      </c>
      <c r="AR5712" s="2">
        <v>9520.3689257499409</v>
      </c>
      <c r="AS5712" s="2">
        <v>1751.6171490311799</v>
      </c>
      <c r="AT5712" s="2">
        <v>3851.5938876985201</v>
      </c>
      <c r="AU5712" s="2">
        <v>8.559877937157E-6</v>
      </c>
      <c r="AV5712" s="2">
        <v>3500.43498142013</v>
      </c>
      <c r="AW5712" s="2">
        <v>997.53025707450195</v>
      </c>
      <c r="AX5712" s="2">
        <v>343.93611086561299</v>
      </c>
    </row>
    <row r="5713" spans="1:50" x14ac:dyDescent="0.25">
      <c r="A5713" s="2" t="s">
        <v>37243</v>
      </c>
      <c r="B5713" s="2">
        <v>321.05617209640297</v>
      </c>
      <c r="C5713" s="2">
        <v>7.3330166666666701</v>
      </c>
      <c r="D5713" s="2" t="s">
        <v>51</v>
      </c>
      <c r="E5713" s="2" t="s">
        <v>37244</v>
      </c>
      <c r="F5713" s="2">
        <v>199327</v>
      </c>
      <c r="G5713" s="3" t="str">
        <f>HYPERLINK("https://cloud.oebiotech.com/#/lm/network/199327", "https://cloud.oebiotech.com/#/lm/network/199327")</f>
        <v>https://cloud.oebiotech.com/#/lm/network/199327</v>
      </c>
      <c r="H5713" s="2" t="s">
        <v>37245</v>
      </c>
      <c r="I5713" s="2"/>
      <c r="J5713" s="2"/>
      <c r="K5713" s="2">
        <v>91367618</v>
      </c>
      <c r="L5713" s="2"/>
      <c r="M5713" s="2"/>
      <c r="N5713" s="2"/>
      <c r="O5713" s="2"/>
      <c r="P5713" s="2"/>
      <c r="Q5713" s="2"/>
      <c r="R5713" s="2"/>
      <c r="S5713" s="2" t="s">
        <v>37246</v>
      </c>
      <c r="T5713" s="2" t="s">
        <v>37247</v>
      </c>
      <c r="U5713" s="2" t="s">
        <v>295</v>
      </c>
      <c r="V5713" s="2" t="s">
        <v>22471</v>
      </c>
      <c r="W5713" s="2" t="s">
        <v>240</v>
      </c>
      <c r="X5713" s="2" t="s">
        <v>147</v>
      </c>
      <c r="Y5713" s="2">
        <v>43.3</v>
      </c>
      <c r="Z5713" s="2">
        <v>24.4</v>
      </c>
      <c r="AA5713" s="2" t="s">
        <v>218</v>
      </c>
      <c r="AB5713" s="2" t="s">
        <v>37248</v>
      </c>
      <c r="AC5713" s="2">
        <v>-0.13366157133223799</v>
      </c>
      <c r="AD5713" s="2"/>
      <c r="AE5713" s="2">
        <v>1.3826313405412001E-2</v>
      </c>
      <c r="AF5713" s="2">
        <v>4171.43548075534</v>
      </c>
      <c r="AG5713" s="2">
        <v>4090.9753818336699</v>
      </c>
      <c r="AH5713" s="5">
        <v>1.01966770547654</v>
      </c>
      <c r="AI5713" s="5">
        <v>2.8099075954384801E-2</v>
      </c>
      <c r="AJ5713" s="5" t="s">
        <v>139</v>
      </c>
      <c r="AK5713" s="2">
        <v>0.967485993170624</v>
      </c>
      <c r="AL5713" s="2">
        <v>0.98744444584046698</v>
      </c>
      <c r="AM5713" s="2">
        <v>4792.1095921282104</v>
      </c>
      <c r="AN5713" s="2">
        <v>2684.28981561706</v>
      </c>
      <c r="AO5713" s="2">
        <v>4220.9856549726501</v>
      </c>
      <c r="AP5713" s="2">
        <v>8.559877937157E-6</v>
      </c>
      <c r="AQ5713" s="2">
        <v>3033.74793236695</v>
      </c>
      <c r="AR5713" s="2">
        <v>10297.4798808873</v>
      </c>
      <c r="AS5713" s="2">
        <v>5971.9509747095199</v>
      </c>
      <c r="AT5713" s="2">
        <v>5190.11327125567</v>
      </c>
      <c r="AU5713" s="2">
        <v>1321.6697223764099</v>
      </c>
      <c r="AV5713" s="2">
        <v>744.30143166980702</v>
      </c>
      <c r="AW5713" s="2">
        <v>2206.7733241662499</v>
      </c>
      <c r="AX5713" s="2">
        <v>9111.0435668243408</v>
      </c>
    </row>
    <row r="5714" spans="1:50" x14ac:dyDescent="0.25">
      <c r="A5714" s="2" t="s">
        <v>37249</v>
      </c>
      <c r="B5714" s="2">
        <v>177.1643405117</v>
      </c>
      <c r="C5714" s="2">
        <v>9.9910499999999995</v>
      </c>
      <c r="D5714" s="2" t="s">
        <v>51</v>
      </c>
      <c r="E5714" s="2" t="s">
        <v>37250</v>
      </c>
      <c r="F5714" s="2">
        <v>60496</v>
      </c>
      <c r="G5714" s="3" t="str">
        <f>HYPERLINK("https://cloud.oebiotech.com/#/lm/network/60496", "https://cloud.oebiotech.com/#/lm/network/60496")</f>
        <v>https://cloud.oebiotech.com/#/lm/network/60496</v>
      </c>
      <c r="H5714" s="2" t="s">
        <v>37251</v>
      </c>
      <c r="I5714" s="2">
        <v>91837</v>
      </c>
      <c r="J5714" s="2"/>
      <c r="K5714" s="2">
        <v>61953</v>
      </c>
      <c r="L5714" s="2"/>
      <c r="M5714" s="2"/>
      <c r="N5714" s="2"/>
      <c r="O5714" s="2">
        <v>89598</v>
      </c>
      <c r="P5714" s="2"/>
      <c r="Q5714" s="2"/>
      <c r="R5714" s="2" t="s">
        <v>37252</v>
      </c>
      <c r="S5714" s="2" t="s">
        <v>37253</v>
      </c>
      <c r="T5714" s="2" t="s">
        <v>37254</v>
      </c>
      <c r="U5714" s="2" t="s">
        <v>266</v>
      </c>
      <c r="V5714" s="2" t="s">
        <v>26276</v>
      </c>
      <c r="W5714" s="2" t="s">
        <v>240</v>
      </c>
      <c r="X5714" s="2" t="s">
        <v>83</v>
      </c>
      <c r="Y5714" s="2">
        <v>56.6</v>
      </c>
      <c r="Z5714" s="2">
        <v>0</v>
      </c>
      <c r="AA5714" s="2" t="s">
        <v>156</v>
      </c>
      <c r="AB5714" s="2" t="s">
        <v>15079</v>
      </c>
      <c r="AC5714" s="2">
        <v>2.9018134422507198</v>
      </c>
      <c r="AD5714" s="2"/>
      <c r="AE5714" s="2">
        <v>1.37645187292024E-2</v>
      </c>
      <c r="AF5714" s="2">
        <v>939.70603757513902</v>
      </c>
      <c r="AG5714" s="2">
        <v>934.38693231280001</v>
      </c>
      <c r="AH5714" s="5">
        <v>1.0056926152093899</v>
      </c>
      <c r="AI5714" s="5">
        <v>8.1894201760681403E-3</v>
      </c>
      <c r="AJ5714" s="5" t="s">
        <v>139</v>
      </c>
      <c r="AK5714" s="2">
        <v>0.97465943266135902</v>
      </c>
      <c r="AL5714" s="2">
        <v>0.98980639530347603</v>
      </c>
      <c r="AM5714" s="2">
        <v>873.12527528722796</v>
      </c>
      <c r="AN5714" s="2">
        <v>945.77301229329703</v>
      </c>
      <c r="AO5714" s="2">
        <v>1229.8683005749001</v>
      </c>
      <c r="AP5714" s="2">
        <v>898.55165223151698</v>
      </c>
      <c r="AQ5714" s="2">
        <v>1066.10306677227</v>
      </c>
      <c r="AR5714" s="2">
        <v>624.81491829161905</v>
      </c>
      <c r="AS5714" s="2">
        <v>816.06203295502496</v>
      </c>
      <c r="AT5714" s="2">
        <v>758.34683017830298</v>
      </c>
      <c r="AU5714" s="2">
        <v>1603.02095922289</v>
      </c>
      <c r="AV5714" s="2">
        <v>869.68259643782199</v>
      </c>
      <c r="AW5714" s="2">
        <v>620.63188873823799</v>
      </c>
      <c r="AX5714" s="2">
        <v>938.57728634452099</v>
      </c>
    </row>
    <row r="5715" spans="1:50" x14ac:dyDescent="0.25">
      <c r="A5715" s="2" t="s">
        <v>37255</v>
      </c>
      <c r="B5715" s="2">
        <v>281.07548281655698</v>
      </c>
      <c r="C5715" s="2">
        <v>1.12998333333333</v>
      </c>
      <c r="D5715" s="2" t="s">
        <v>51</v>
      </c>
      <c r="E5715" s="2" t="s">
        <v>37256</v>
      </c>
      <c r="F5715" s="2">
        <v>202126</v>
      </c>
      <c r="G5715" s="3" t="str">
        <f>HYPERLINK("https://cloud.oebiotech.com/#/lm/network/202126", "https://cloud.oebiotech.com/#/lm/network/202126")</f>
        <v>https://cloud.oebiotech.com/#/lm/network/202126</v>
      </c>
      <c r="H5715" s="2" t="s">
        <v>37257</v>
      </c>
      <c r="I5715" s="2"/>
      <c r="J5715" s="2"/>
      <c r="K5715" s="2">
        <v>5201346</v>
      </c>
      <c r="L5715" s="2"/>
      <c r="M5715" s="2"/>
      <c r="N5715" s="2"/>
      <c r="O5715" s="2"/>
      <c r="P5715" s="2"/>
      <c r="Q5715" s="2"/>
      <c r="R5715" s="2"/>
      <c r="S5715" s="2" t="s">
        <v>37258</v>
      </c>
      <c r="T5715" s="2" t="s">
        <v>37259</v>
      </c>
      <c r="U5715" s="2" t="s">
        <v>295</v>
      </c>
      <c r="V5715" s="2" t="s">
        <v>1818</v>
      </c>
      <c r="W5715" s="2" t="s">
        <v>1819</v>
      </c>
      <c r="X5715" s="2" t="s">
        <v>83</v>
      </c>
      <c r="Y5715" s="2">
        <v>40.700000000000003</v>
      </c>
      <c r="Z5715" s="2">
        <v>0</v>
      </c>
      <c r="AA5715" s="2" t="s">
        <v>95</v>
      </c>
      <c r="AB5715" s="2" t="s">
        <v>37260</v>
      </c>
      <c r="AC5715" s="2">
        <v>4.1690134689332599</v>
      </c>
      <c r="AD5715" s="2"/>
      <c r="AE5715" s="2">
        <v>1.3664188868941499E-2</v>
      </c>
      <c r="AF5715" s="2">
        <v>2103.5641724627299</v>
      </c>
      <c r="AG5715" s="2">
        <v>2309.3082014332299</v>
      </c>
      <c r="AH5715" s="4">
        <v>0.91090663912126901</v>
      </c>
      <c r="AI5715" s="4">
        <v>-0.13462489835611599</v>
      </c>
      <c r="AJ5715" s="4" t="s">
        <v>62</v>
      </c>
      <c r="AK5715" s="2">
        <v>0.861698319542747</v>
      </c>
      <c r="AL5715" s="2">
        <v>0.93991664755551796</v>
      </c>
      <c r="AM5715" s="2">
        <v>2914.5626609585602</v>
      </c>
      <c r="AN5715" s="2">
        <v>1865.36972964612</v>
      </c>
      <c r="AO5715" s="2">
        <v>2433.4578821109599</v>
      </c>
      <c r="AP5715" s="2">
        <v>1963.02324836751</v>
      </c>
      <c r="AQ5715" s="2">
        <v>1708.29424711364</v>
      </c>
      <c r="AR5715" s="2">
        <v>1736.67726657958</v>
      </c>
      <c r="AS5715" s="2">
        <v>820.70402928474698</v>
      </c>
      <c r="AT5715" s="2">
        <v>907.80359144339695</v>
      </c>
      <c r="AU5715" s="2">
        <v>7875.7682025740896</v>
      </c>
      <c r="AV5715" s="2">
        <v>1354.7683448423099</v>
      </c>
      <c r="AW5715" s="2">
        <v>2172.6530301733801</v>
      </c>
      <c r="AX5715" s="2">
        <v>724.15201028146998</v>
      </c>
    </row>
    <row r="5716" spans="1:50" x14ac:dyDescent="0.25">
      <c r="A5716" s="2" t="s">
        <v>37261</v>
      </c>
      <c r="B5716" s="2">
        <v>479.17277166174802</v>
      </c>
      <c r="C5716" s="2">
        <v>7.1716333333333298</v>
      </c>
      <c r="D5716" s="2" t="s">
        <v>51</v>
      </c>
      <c r="E5716" s="2" t="s">
        <v>37262</v>
      </c>
      <c r="F5716" s="2">
        <v>514237</v>
      </c>
      <c r="G5716" s="3" t="str">
        <f>HYPERLINK("https://cloud.oebiotech.com/#/lm/network/514237", "https://cloud.oebiotech.com/#/lm/network/514237")</f>
        <v>https://cloud.oebiotech.com/#/lm/network/514237</v>
      </c>
      <c r="H5716" s="2"/>
      <c r="I5716" s="2">
        <v>96370</v>
      </c>
      <c r="J5716" s="2"/>
      <c r="K5716" s="2">
        <v>222857</v>
      </c>
      <c r="L5716" s="2"/>
      <c r="M5716" s="2"/>
      <c r="N5716" s="2"/>
      <c r="O5716" s="2"/>
      <c r="P5716" s="2"/>
      <c r="Q5716" s="2"/>
      <c r="R5716" s="2"/>
      <c r="S5716" s="2" t="s">
        <v>37263</v>
      </c>
      <c r="T5716" s="2" t="s">
        <v>37264</v>
      </c>
      <c r="U5716" s="2" t="s">
        <v>266</v>
      </c>
      <c r="V5716" s="2" t="s">
        <v>445</v>
      </c>
      <c r="W5716" s="2" t="s">
        <v>911</v>
      </c>
      <c r="X5716" s="2" t="s">
        <v>147</v>
      </c>
      <c r="Y5716" s="2">
        <v>39.5</v>
      </c>
      <c r="Z5716" s="2">
        <v>0</v>
      </c>
      <c r="AA5716" s="2" t="s">
        <v>478</v>
      </c>
      <c r="AB5716" s="2" t="s">
        <v>37265</v>
      </c>
      <c r="AC5716" s="2">
        <v>0.60982710152908404</v>
      </c>
      <c r="AD5716" s="2"/>
      <c r="AE5716" s="2">
        <v>1.3629725083806299E-2</v>
      </c>
      <c r="AF5716" s="2">
        <v>3469.29250243558</v>
      </c>
      <c r="AG5716" s="2">
        <v>3104.7779266796601</v>
      </c>
      <c r="AH5716" s="5">
        <v>1.1174043955361901</v>
      </c>
      <c r="AI5716" s="5">
        <v>0.16015140054847099</v>
      </c>
      <c r="AJ5716" s="5" t="s">
        <v>139</v>
      </c>
      <c r="AK5716" s="2">
        <v>0.88729104867268005</v>
      </c>
      <c r="AL5716" s="2">
        <v>0.951247561505008</v>
      </c>
      <c r="AM5716" s="2">
        <v>620.29215141376903</v>
      </c>
      <c r="AN5716" s="2">
        <v>2046.78549115687</v>
      </c>
      <c r="AO5716" s="2">
        <v>11669.2236306677</v>
      </c>
      <c r="AP5716" s="2">
        <v>4780.0601005530598</v>
      </c>
      <c r="AQ5716" s="2">
        <v>1041.4731273110599</v>
      </c>
      <c r="AR5716" s="2">
        <v>657.92051351099497</v>
      </c>
      <c r="AS5716" s="2">
        <v>703.01073519574402</v>
      </c>
      <c r="AT5716" s="2">
        <v>2893.8095899648301</v>
      </c>
      <c r="AU5716" s="2">
        <v>2030.1934256781201</v>
      </c>
      <c r="AV5716" s="2">
        <v>11819.101138558901</v>
      </c>
      <c r="AW5716" s="2">
        <v>332.64752597405999</v>
      </c>
      <c r="AX5716" s="2">
        <v>849.90514470630205</v>
      </c>
    </row>
    <row r="5717" spans="1:50" x14ac:dyDescent="0.25">
      <c r="A5717" s="2" t="s">
        <v>37266</v>
      </c>
      <c r="B5717" s="2">
        <v>448.244640607593</v>
      </c>
      <c r="C5717" s="2">
        <v>9.8698333333333306</v>
      </c>
      <c r="D5717" s="2" t="s">
        <v>51</v>
      </c>
      <c r="E5717" s="2" t="s">
        <v>37267</v>
      </c>
      <c r="F5717" s="2">
        <v>19961</v>
      </c>
      <c r="G5717" s="3" t="str">
        <f>HYPERLINK("https://cloud.oebiotech.com/#/lm/network/19961", "https://cloud.oebiotech.com/#/lm/network/19961")</f>
        <v>https://cloud.oebiotech.com/#/lm/network/19961</v>
      </c>
      <c r="H5717" s="2"/>
      <c r="I5717" s="2">
        <v>40500</v>
      </c>
      <c r="J5717" s="2" t="s">
        <v>37268</v>
      </c>
      <c r="K5717" s="2">
        <v>9546804</v>
      </c>
      <c r="L5717" s="2"/>
      <c r="M5717" s="2"/>
      <c r="N5717" s="2"/>
      <c r="O5717" s="2"/>
      <c r="P5717" s="2"/>
      <c r="Q5717" s="2"/>
      <c r="R5717" s="2"/>
      <c r="S5717" s="2" t="s">
        <v>37269</v>
      </c>
      <c r="T5717" s="2" t="s">
        <v>37270</v>
      </c>
      <c r="U5717" s="2" t="s">
        <v>56</v>
      </c>
      <c r="V5717" s="2" t="s">
        <v>57</v>
      </c>
      <c r="W5717" s="2" t="s">
        <v>155</v>
      </c>
      <c r="X5717" s="2" t="s">
        <v>147</v>
      </c>
      <c r="Y5717" s="2">
        <v>36.4</v>
      </c>
      <c r="Z5717" s="2">
        <v>0</v>
      </c>
      <c r="AA5717" s="2" t="s">
        <v>379</v>
      </c>
      <c r="AB5717" s="2" t="s">
        <v>37271</v>
      </c>
      <c r="AC5717" s="2">
        <v>-4.9697957289792898</v>
      </c>
      <c r="AD5717" s="2"/>
      <c r="AE5717" s="2">
        <v>1.3502541878654101E-2</v>
      </c>
      <c r="AF5717" s="2">
        <v>2522.9441223286899</v>
      </c>
      <c r="AG5717" s="2">
        <v>2458.4513700908301</v>
      </c>
      <c r="AH5717" s="5">
        <v>1.02623308031327</v>
      </c>
      <c r="AI5717" s="5">
        <v>3.7358436230252902E-2</v>
      </c>
      <c r="AJ5717" s="5" t="s">
        <v>139</v>
      </c>
      <c r="AK5717" s="2">
        <v>0.95726476628006196</v>
      </c>
      <c r="AL5717" s="2">
        <v>0.98245377088014596</v>
      </c>
      <c r="AM5717" s="2">
        <v>662.43872828647397</v>
      </c>
      <c r="AN5717" s="2">
        <v>2370.4957062539902</v>
      </c>
      <c r="AO5717" s="2">
        <v>2515.2738754294701</v>
      </c>
      <c r="AP5717" s="2">
        <v>4105.5994356375004</v>
      </c>
      <c r="AQ5717" s="2">
        <v>3130.7378584692701</v>
      </c>
      <c r="AR5717" s="2">
        <v>2353.11912989545</v>
      </c>
      <c r="AS5717" s="2">
        <v>6990.9350041564203</v>
      </c>
      <c r="AT5717" s="2">
        <v>4280.6859276279401</v>
      </c>
      <c r="AU5717" s="2">
        <v>1715.14301847606</v>
      </c>
      <c r="AV5717" s="2">
        <v>642.41284013014399</v>
      </c>
      <c r="AW5717" s="2">
        <v>678.62085508665905</v>
      </c>
      <c r="AX5717" s="2">
        <v>442.91057506777202</v>
      </c>
    </row>
    <row r="5718" spans="1:50" x14ac:dyDescent="0.25">
      <c r="A5718" s="2" t="s">
        <v>37272</v>
      </c>
      <c r="B5718" s="2">
        <v>433.33265359948399</v>
      </c>
      <c r="C5718" s="2">
        <v>12.11665</v>
      </c>
      <c r="D5718" s="2" t="s">
        <v>51</v>
      </c>
      <c r="E5718" s="2" t="s">
        <v>37273</v>
      </c>
      <c r="F5718" s="2">
        <v>254861</v>
      </c>
      <c r="G5718" s="3" t="str">
        <f>HYPERLINK("https://cloud.oebiotech.com/#/lm/network/254861", "https://cloud.oebiotech.com/#/lm/network/254861")</f>
        <v>https://cloud.oebiotech.com/#/lm/network/254861</v>
      </c>
      <c r="H5718" s="2" t="s">
        <v>37274</v>
      </c>
      <c r="I5718" s="2"/>
      <c r="J5718" s="2"/>
      <c r="K5718" s="2">
        <v>287688</v>
      </c>
      <c r="L5718" s="2"/>
      <c r="M5718" s="2"/>
      <c r="N5718" s="2"/>
      <c r="O5718" s="2"/>
      <c r="P5718" s="2"/>
      <c r="Q5718" s="2"/>
      <c r="R5718" s="2" t="s">
        <v>37275</v>
      </c>
      <c r="S5718" s="2" t="s">
        <v>37276</v>
      </c>
      <c r="T5718" s="2" t="s">
        <v>37277</v>
      </c>
      <c r="U5718" s="2" t="s">
        <v>56</v>
      </c>
      <c r="V5718" s="2" t="s">
        <v>177</v>
      </c>
      <c r="W5718" s="2" t="s">
        <v>3270</v>
      </c>
      <c r="X5718" s="2" t="s">
        <v>83</v>
      </c>
      <c r="Y5718" s="2">
        <v>44.3</v>
      </c>
      <c r="Z5718" s="2">
        <v>0</v>
      </c>
      <c r="AA5718" s="2" t="s">
        <v>259</v>
      </c>
      <c r="AB5718" s="2" t="s">
        <v>12999</v>
      </c>
      <c r="AC5718" s="2">
        <v>3.2782780865893999</v>
      </c>
      <c r="AD5718" s="2"/>
      <c r="AE5718" s="2">
        <v>1.34801171519897E-2</v>
      </c>
      <c r="AF5718" s="2">
        <v>6708.3352884530104</v>
      </c>
      <c r="AG5718" s="2">
        <v>5818.2573885599904</v>
      </c>
      <c r="AH5718" s="5">
        <v>1.1529801520371199</v>
      </c>
      <c r="AI5718" s="5">
        <v>0.20536767794712099</v>
      </c>
      <c r="AJ5718" s="5" t="s">
        <v>139</v>
      </c>
      <c r="AK5718" s="2">
        <v>0.78581048369427198</v>
      </c>
      <c r="AL5718" s="2">
        <v>0.90577508306915799</v>
      </c>
      <c r="AM5718" s="2">
        <v>3058.6046143694498</v>
      </c>
      <c r="AN5718" s="2">
        <v>4195.5740843960302</v>
      </c>
      <c r="AO5718" s="2">
        <v>10603.2454883396</v>
      </c>
      <c r="AP5718" s="2">
        <v>17498.937430955899</v>
      </c>
      <c r="AQ5718" s="2">
        <v>3221.6581851852302</v>
      </c>
      <c r="AR5718" s="2">
        <v>1671.99192747187</v>
      </c>
      <c r="AS5718" s="2">
        <v>2380.0772050124301</v>
      </c>
      <c r="AT5718" s="2">
        <v>4114.3882708892197</v>
      </c>
      <c r="AU5718" s="2">
        <v>5635.7364684301901</v>
      </c>
      <c r="AV5718" s="2">
        <v>1429.19268476003</v>
      </c>
      <c r="AW5718" s="2">
        <v>6490.71751918275</v>
      </c>
      <c r="AX5718" s="2">
        <v>14859.4321830853</v>
      </c>
    </row>
    <row r="5719" spans="1:50" x14ac:dyDescent="0.25">
      <c r="A5719" s="2" t="s">
        <v>37278</v>
      </c>
      <c r="B5719" s="2">
        <v>239.12860981590401</v>
      </c>
      <c r="C5719" s="2">
        <v>12.667533333333299</v>
      </c>
      <c r="D5719" s="2" t="s">
        <v>51</v>
      </c>
      <c r="E5719" s="2" t="s">
        <v>37279</v>
      </c>
      <c r="F5719" s="2">
        <v>277884</v>
      </c>
      <c r="G5719" s="3" t="str">
        <f>HYPERLINK("https://cloud.oebiotech.com/#/lm/network/277884", "https://cloud.oebiotech.com/#/lm/network/277884")</f>
        <v>https://cloud.oebiotech.com/#/lm/network/277884</v>
      </c>
      <c r="H5719" s="2"/>
      <c r="I5719" s="2">
        <v>69955</v>
      </c>
      <c r="J5719" s="2"/>
      <c r="K5719" s="2">
        <v>29354</v>
      </c>
      <c r="L5719" s="2" t="s">
        <v>37280</v>
      </c>
      <c r="M5719" s="2"/>
      <c r="N5719" s="2"/>
      <c r="O5719" s="2"/>
      <c r="P5719" s="2"/>
      <c r="Q5719" s="2"/>
      <c r="R5719" s="2" t="s">
        <v>37281</v>
      </c>
      <c r="S5719" s="2" t="s">
        <v>37282</v>
      </c>
      <c r="T5719" s="2" t="s">
        <v>37283</v>
      </c>
      <c r="U5719" s="2" t="s">
        <v>610</v>
      </c>
      <c r="V5719" s="2" t="s">
        <v>895</v>
      </c>
      <c r="W5719" s="2" t="s">
        <v>22706</v>
      </c>
      <c r="X5719" s="2" t="s">
        <v>147</v>
      </c>
      <c r="Y5719" s="2">
        <v>39</v>
      </c>
      <c r="Z5719" s="2">
        <v>0</v>
      </c>
      <c r="AA5719" s="2" t="s">
        <v>218</v>
      </c>
      <c r="AB5719" s="2" t="s">
        <v>5717</v>
      </c>
      <c r="AC5719" s="2">
        <v>-1.40560202411838</v>
      </c>
      <c r="AD5719" s="2"/>
      <c r="AE5719" s="2">
        <v>1.34295121999479E-2</v>
      </c>
      <c r="AF5719" s="2">
        <v>1287.4396964207499</v>
      </c>
      <c r="AG5719" s="2">
        <v>1184.05205389256</v>
      </c>
      <c r="AH5719" s="5">
        <v>1.0873168051930699</v>
      </c>
      <c r="AI5719" s="5">
        <v>0.12077235130360001</v>
      </c>
      <c r="AJ5719" s="5" t="s">
        <v>139</v>
      </c>
      <c r="AK5719" s="2">
        <v>0.77029153736684297</v>
      </c>
      <c r="AL5719" s="2">
        <v>0.89723775894584001</v>
      </c>
      <c r="AM5719" s="2">
        <v>1009.67959954064</v>
      </c>
      <c r="AN5719" s="2">
        <v>921.55482448108501</v>
      </c>
      <c r="AO5719" s="2">
        <v>1630.0035066430801</v>
      </c>
      <c r="AP5719" s="2">
        <v>1234.37033936749</v>
      </c>
      <c r="AQ5719" s="2">
        <v>1869.9796266685601</v>
      </c>
      <c r="AR5719" s="2">
        <v>1059.05028182362</v>
      </c>
      <c r="AS5719" s="2">
        <v>2633.10232308178</v>
      </c>
      <c r="AT5719" s="2">
        <v>1209.01549207781</v>
      </c>
      <c r="AU5719" s="2">
        <v>1032.94667776911</v>
      </c>
      <c r="AV5719" s="2">
        <v>1019.48146708104</v>
      </c>
      <c r="AW5719" s="2">
        <v>700.29553726951997</v>
      </c>
      <c r="AX5719" s="2">
        <v>509.47082607608701</v>
      </c>
    </row>
    <row r="5720" spans="1:50" x14ac:dyDescent="0.25">
      <c r="A5720" s="2" t="s">
        <v>37284</v>
      </c>
      <c r="B5720" s="2">
        <v>164.07077870942001</v>
      </c>
      <c r="C5720" s="2">
        <v>2.0702500000000001</v>
      </c>
      <c r="D5720" s="2" t="s">
        <v>51</v>
      </c>
      <c r="E5720" s="2" t="s">
        <v>37285</v>
      </c>
      <c r="F5720" s="2">
        <v>46902</v>
      </c>
      <c r="G5720" s="3" t="str">
        <f>HYPERLINK("https://cloud.oebiotech.com/#/lm/network/46902", "https://cloud.oebiotech.com/#/lm/network/46902")</f>
        <v>https://cloud.oebiotech.com/#/lm/network/46902</v>
      </c>
      <c r="H5720" s="2" t="s">
        <v>37286</v>
      </c>
      <c r="I5720" s="2">
        <v>28</v>
      </c>
      <c r="J5720" s="2"/>
      <c r="K5720" s="2">
        <v>6140</v>
      </c>
      <c r="L5720" s="2" t="s">
        <v>37287</v>
      </c>
      <c r="M5720" s="2" t="s">
        <v>37288</v>
      </c>
      <c r="N5720" s="2" t="s">
        <v>37289</v>
      </c>
      <c r="O5720" s="2">
        <v>17295</v>
      </c>
      <c r="P5720" s="2"/>
      <c r="Q5720" s="2"/>
      <c r="R5720" s="2" t="s">
        <v>37290</v>
      </c>
      <c r="S5720" s="2" t="s">
        <v>37291</v>
      </c>
      <c r="T5720" s="2" t="s">
        <v>37292</v>
      </c>
      <c r="U5720" s="2" t="s">
        <v>103</v>
      </c>
      <c r="V5720" s="2" t="s">
        <v>104</v>
      </c>
      <c r="W5720" s="2" t="s">
        <v>105</v>
      </c>
      <c r="X5720" s="2" t="s">
        <v>69</v>
      </c>
      <c r="Y5720" s="2">
        <v>55.9</v>
      </c>
      <c r="Z5720" s="2">
        <v>82.6</v>
      </c>
      <c r="AA5720" s="2" t="s">
        <v>163</v>
      </c>
      <c r="AB5720" s="2" t="s">
        <v>12406</v>
      </c>
      <c r="AC5720" s="2">
        <v>-5.5940209801818197</v>
      </c>
      <c r="AD5720" s="2"/>
      <c r="AE5720" s="2">
        <v>1.3300813586585801E-2</v>
      </c>
      <c r="AF5720" s="2">
        <v>40354.930552226302</v>
      </c>
      <c r="AG5720" s="2">
        <v>39083.718875581697</v>
      </c>
      <c r="AH5720" s="5">
        <v>1.0325253510468499</v>
      </c>
      <c r="AI5720" s="5">
        <v>4.6177203805083597E-2</v>
      </c>
      <c r="AJ5720" s="5" t="s">
        <v>139</v>
      </c>
      <c r="AK5720" s="2">
        <v>0.753684497250383</v>
      </c>
      <c r="AL5720" s="2">
        <v>0.88845414165782899</v>
      </c>
      <c r="AM5720" s="2">
        <v>40928.991320430498</v>
      </c>
      <c r="AN5720" s="2">
        <v>38786.471630620501</v>
      </c>
      <c r="AO5720" s="2">
        <v>32406.9944033268</v>
      </c>
      <c r="AP5720" s="2">
        <v>45365.353043093899</v>
      </c>
      <c r="AQ5720" s="2">
        <v>49303.079400137998</v>
      </c>
      <c r="AR5720" s="2">
        <v>35338.693515747902</v>
      </c>
      <c r="AS5720" s="2">
        <v>34343.946482983898</v>
      </c>
      <c r="AT5720" s="2">
        <v>34457.629300550601</v>
      </c>
      <c r="AU5720" s="2">
        <v>32196.264614157899</v>
      </c>
      <c r="AV5720" s="2">
        <v>41671.669246161102</v>
      </c>
      <c r="AW5720" s="2">
        <v>39658.162590706197</v>
      </c>
      <c r="AX5720" s="2">
        <v>52174.641018930502</v>
      </c>
    </row>
    <row r="5721" spans="1:50" x14ac:dyDescent="0.25">
      <c r="A5721" s="2" t="s">
        <v>37293</v>
      </c>
      <c r="B5721" s="2">
        <v>255.08738357874299</v>
      </c>
      <c r="C5721" s="2">
        <v>4.2287166666666698</v>
      </c>
      <c r="D5721" s="2" t="s">
        <v>51</v>
      </c>
      <c r="E5721" s="2" t="s">
        <v>37294</v>
      </c>
      <c r="F5721" s="2">
        <v>1366</v>
      </c>
      <c r="G5721" s="3" t="str">
        <f>HYPERLINK("https://cloud.oebiotech.com/#/lm/network/1366", "https://cloud.oebiotech.com/#/lm/network/1366")</f>
        <v>https://cloud.oebiotech.com/#/lm/network/1366</v>
      </c>
      <c r="H5721" s="2"/>
      <c r="I5721" s="2">
        <v>69013</v>
      </c>
      <c r="J5721" s="2" t="s">
        <v>37295</v>
      </c>
      <c r="K5721" s="2">
        <v>11953951</v>
      </c>
      <c r="L5721" s="2" t="s">
        <v>37294</v>
      </c>
      <c r="M5721" s="2"/>
      <c r="N5721" s="2"/>
      <c r="O5721" s="2">
        <v>1142</v>
      </c>
      <c r="P5721" s="2"/>
      <c r="Q5721" s="2"/>
      <c r="R5721" s="2"/>
      <c r="S5721" s="2" t="s">
        <v>37296</v>
      </c>
      <c r="T5721" s="2" t="s">
        <v>37297</v>
      </c>
      <c r="U5721" s="2" t="s">
        <v>56</v>
      </c>
      <c r="V5721" s="2" t="s">
        <v>145</v>
      </c>
      <c r="W5721" s="2" t="s">
        <v>231</v>
      </c>
      <c r="X5721" s="2" t="s">
        <v>83</v>
      </c>
      <c r="Y5721" s="2">
        <v>48.4</v>
      </c>
      <c r="Z5721" s="2">
        <v>6.24</v>
      </c>
      <c r="AA5721" s="2" t="s">
        <v>478</v>
      </c>
      <c r="AB5721" s="2" t="s">
        <v>21660</v>
      </c>
      <c r="AC5721" s="2">
        <v>-0.11019259042160499</v>
      </c>
      <c r="AD5721" s="2"/>
      <c r="AE5721" s="2">
        <v>1.3292536364961799E-2</v>
      </c>
      <c r="AF5721" s="2">
        <v>1649.2888771027201</v>
      </c>
      <c r="AG5721" s="2">
        <v>1760.7540436678401</v>
      </c>
      <c r="AH5721" s="4">
        <v>0.93669464115900603</v>
      </c>
      <c r="AI5721" s="4">
        <v>-9.4349283379539295E-2</v>
      </c>
      <c r="AJ5721" s="4" t="s">
        <v>62</v>
      </c>
      <c r="AK5721" s="2">
        <v>0.91169969795089101</v>
      </c>
      <c r="AL5721" s="2">
        <v>0.962914197112401</v>
      </c>
      <c r="AM5721" s="2">
        <v>2918.1450795102501</v>
      </c>
      <c r="AN5721" s="2">
        <v>495.98869226925399</v>
      </c>
      <c r="AO5721" s="2">
        <v>756.87751887219997</v>
      </c>
      <c r="AP5721" s="2">
        <v>8.559877937157E-6</v>
      </c>
      <c r="AQ5721" s="2">
        <v>681.03772723086001</v>
      </c>
      <c r="AR5721" s="2">
        <v>5043.68423617387</v>
      </c>
      <c r="AS5721" s="2">
        <v>368.53244698097001</v>
      </c>
      <c r="AT5721" s="2">
        <v>1778.7428342522301</v>
      </c>
      <c r="AU5721" s="2">
        <v>638.92775647166195</v>
      </c>
      <c r="AV5721" s="2">
        <v>1315.07669314743</v>
      </c>
      <c r="AW5721" s="2">
        <v>4274.7738663883201</v>
      </c>
      <c r="AX5721" s="2">
        <v>2188.4706647664402</v>
      </c>
    </row>
    <row r="5722" spans="1:50" x14ac:dyDescent="0.25">
      <c r="A5722" s="2" t="s">
        <v>37298</v>
      </c>
      <c r="B5722" s="2">
        <v>305.24840942699802</v>
      </c>
      <c r="C5722" s="2">
        <v>11.251533333333301</v>
      </c>
      <c r="D5722" s="2" t="s">
        <v>51</v>
      </c>
      <c r="E5722" s="2" t="s">
        <v>37299</v>
      </c>
      <c r="F5722" s="2">
        <v>82061</v>
      </c>
      <c r="G5722" s="3" t="str">
        <f>HYPERLINK("https://cloud.oebiotech.com/#/lm/network/82061", "https://cloud.oebiotech.com/#/lm/network/82061")</f>
        <v>https://cloud.oebiotech.com/#/lm/network/82061</v>
      </c>
      <c r="H5722" s="2" t="s">
        <v>37300</v>
      </c>
      <c r="I5722" s="2">
        <v>36269</v>
      </c>
      <c r="J5722" s="2"/>
      <c r="K5722" s="2">
        <v>35025143</v>
      </c>
      <c r="L5722" s="2"/>
      <c r="M5722" s="2"/>
      <c r="N5722" s="2"/>
      <c r="O5722" s="2"/>
      <c r="P5722" s="2"/>
      <c r="Q5722" s="2"/>
      <c r="R5722" s="2"/>
      <c r="S5722" s="2" t="s">
        <v>37301</v>
      </c>
      <c r="T5722" s="2" t="s">
        <v>37302</v>
      </c>
      <c r="U5722" s="2" t="s">
        <v>56</v>
      </c>
      <c r="V5722" s="2" t="s">
        <v>145</v>
      </c>
      <c r="W5722" s="2" t="s">
        <v>187</v>
      </c>
      <c r="X5722" s="2" t="s">
        <v>83</v>
      </c>
      <c r="Y5722" s="2">
        <v>46.3</v>
      </c>
      <c r="Z5722" s="2">
        <v>0</v>
      </c>
      <c r="AA5722" s="2" t="s">
        <v>156</v>
      </c>
      <c r="AB5722" s="2" t="s">
        <v>2176</v>
      </c>
      <c r="AC5722" s="2">
        <v>2.80132105762697</v>
      </c>
      <c r="AD5722" s="2"/>
      <c r="AE5722" s="2">
        <v>1.3237587966426699E-2</v>
      </c>
      <c r="AF5722" s="2">
        <v>3390.4029318427101</v>
      </c>
      <c r="AG5722" s="2">
        <v>3299.8973325424899</v>
      </c>
      <c r="AH5722" s="5">
        <v>1.02742679246645</v>
      </c>
      <c r="AI5722" s="5">
        <v>3.9035600808880702E-2</v>
      </c>
      <c r="AJ5722" s="5" t="s">
        <v>139</v>
      </c>
      <c r="AK5722" s="2">
        <v>0.93457379755190195</v>
      </c>
      <c r="AL5722" s="2">
        <v>0.97206808620631502</v>
      </c>
      <c r="AM5722" s="2">
        <v>2653.1680517386098</v>
      </c>
      <c r="AN5722" s="2">
        <v>2993.26580714697</v>
      </c>
      <c r="AO5722" s="2">
        <v>3530.2525523586701</v>
      </c>
      <c r="AP5722" s="2">
        <v>3010.45808164761</v>
      </c>
      <c r="AQ5722" s="2">
        <v>5134.3534040956201</v>
      </c>
      <c r="AR5722" s="2">
        <v>3020.9196940687898</v>
      </c>
      <c r="AS5722" s="2">
        <v>2534.56967098421</v>
      </c>
      <c r="AT5722" s="2">
        <v>661.55532453245905</v>
      </c>
      <c r="AU5722" s="2">
        <v>7859.45068803101</v>
      </c>
      <c r="AV5722" s="2">
        <v>2803.5006422811698</v>
      </c>
      <c r="AW5722" s="2">
        <v>3927.7696210132599</v>
      </c>
      <c r="AX5722" s="2">
        <v>2012.53804841285</v>
      </c>
    </row>
    <row r="5723" spans="1:50" x14ac:dyDescent="0.25">
      <c r="A5723" s="2" t="s">
        <v>37303</v>
      </c>
      <c r="B5723" s="2">
        <v>192.06592600590801</v>
      </c>
      <c r="C5723" s="2">
        <v>2.0231333333333299</v>
      </c>
      <c r="D5723" s="2" t="s">
        <v>51</v>
      </c>
      <c r="E5723" s="2" t="s">
        <v>37304</v>
      </c>
      <c r="F5723" s="2">
        <v>47207</v>
      </c>
      <c r="G5723" s="3" t="str">
        <f>HYPERLINK("https://cloud.oebiotech.com/#/lm/network/47207", "https://cloud.oebiotech.com/#/lm/network/47207")</f>
        <v>https://cloud.oebiotech.com/#/lm/network/47207</v>
      </c>
      <c r="H5723" s="2" t="s">
        <v>37305</v>
      </c>
      <c r="I5723" s="2">
        <v>2975</v>
      </c>
      <c r="J5723" s="2"/>
      <c r="K5723" s="2">
        <v>1826</v>
      </c>
      <c r="L5723" s="2" t="s">
        <v>37306</v>
      </c>
      <c r="M5723" s="2" t="s">
        <v>14673</v>
      </c>
      <c r="N5723" s="2" t="s">
        <v>14674</v>
      </c>
      <c r="O5723" s="2">
        <v>27823</v>
      </c>
      <c r="P5723" s="2" t="s">
        <v>37307</v>
      </c>
      <c r="Q5723" s="2" t="s">
        <v>37308</v>
      </c>
      <c r="R5723" s="2" t="s">
        <v>37309</v>
      </c>
      <c r="S5723" s="2" t="s">
        <v>37310</v>
      </c>
      <c r="T5723" s="2" t="s">
        <v>37311</v>
      </c>
      <c r="U5723" s="2" t="s">
        <v>266</v>
      </c>
      <c r="V5723" s="2" t="s">
        <v>445</v>
      </c>
      <c r="W5723" s="2" t="s">
        <v>3768</v>
      </c>
      <c r="X5723" s="2" t="s">
        <v>59</v>
      </c>
      <c r="Y5723" s="2">
        <v>48.7</v>
      </c>
      <c r="Z5723" s="2">
        <v>57.1</v>
      </c>
      <c r="AA5723" s="2" t="s">
        <v>259</v>
      </c>
      <c r="AB5723" s="2" t="s">
        <v>36154</v>
      </c>
      <c r="AC5723" s="2">
        <v>2.1272141504973598</v>
      </c>
      <c r="AD5723" s="2"/>
      <c r="AE5723" s="2">
        <v>1.32352269247139E-2</v>
      </c>
      <c r="AF5723" s="2">
        <v>4414.1368696178297</v>
      </c>
      <c r="AG5723" s="2">
        <v>4425.0412844298298</v>
      </c>
      <c r="AH5723" s="4">
        <v>0.99753574845722304</v>
      </c>
      <c r="AI5723" s="4">
        <v>-3.5595510984243999E-3</v>
      </c>
      <c r="AJ5723" s="4" t="s">
        <v>62</v>
      </c>
      <c r="AK5723" s="2">
        <v>0.99164832679461501</v>
      </c>
      <c r="AL5723" s="2">
        <v>0.99588573656477897</v>
      </c>
      <c r="AM5723" s="2">
        <v>2387.9886539188601</v>
      </c>
      <c r="AN5723" s="2">
        <v>6205.4279901284099</v>
      </c>
      <c r="AO5723" s="2">
        <v>4997.9486525643797</v>
      </c>
      <c r="AP5723" s="2">
        <v>4698.9497574059196</v>
      </c>
      <c r="AQ5723" s="2">
        <v>3249.0820835572299</v>
      </c>
      <c r="AR5723" s="2">
        <v>4945.4240801321603</v>
      </c>
      <c r="AS5723" s="2">
        <v>3531.7097494140598</v>
      </c>
      <c r="AT5723" s="2">
        <v>7894.9846912116</v>
      </c>
      <c r="AU5723" s="2">
        <v>3753.4236125791299</v>
      </c>
      <c r="AV5723" s="2">
        <v>1833.60609777129</v>
      </c>
      <c r="AW5723" s="2">
        <v>5591.4084749118601</v>
      </c>
      <c r="AX5723" s="2">
        <v>3945.11508069106</v>
      </c>
    </row>
    <row r="5724" spans="1:50" x14ac:dyDescent="0.25">
      <c r="A5724" s="2" t="s">
        <v>37312</v>
      </c>
      <c r="B5724" s="2">
        <v>107.049012657529</v>
      </c>
      <c r="C5724" s="2">
        <v>4.6654666666666698</v>
      </c>
      <c r="D5724" s="2" t="s">
        <v>51</v>
      </c>
      <c r="E5724" s="2" t="s">
        <v>37313</v>
      </c>
      <c r="F5724" s="2">
        <v>60677</v>
      </c>
      <c r="G5724" s="3" t="str">
        <f>HYPERLINK("https://cloud.oebiotech.com/#/lm/network/60677", "https://cloud.oebiotech.com/#/lm/network/60677")</f>
        <v>https://cloud.oebiotech.com/#/lm/network/60677</v>
      </c>
      <c r="H5724" s="2" t="s">
        <v>37314</v>
      </c>
      <c r="I5724" s="2">
        <v>92009</v>
      </c>
      <c r="J5724" s="2"/>
      <c r="K5724" s="2">
        <v>61634</v>
      </c>
      <c r="L5724" s="2"/>
      <c r="M5724" s="2"/>
      <c r="N5724" s="2"/>
      <c r="O5724" s="2"/>
      <c r="P5724" s="2"/>
      <c r="Q5724" s="2"/>
      <c r="R5724" s="2" t="s">
        <v>37315</v>
      </c>
      <c r="S5724" s="2" t="s">
        <v>37316</v>
      </c>
      <c r="T5724" s="2" t="s">
        <v>37317</v>
      </c>
      <c r="U5724" s="2" t="s">
        <v>331</v>
      </c>
      <c r="V5724" s="2" t="s">
        <v>332</v>
      </c>
      <c r="W5724" s="2" t="s">
        <v>1207</v>
      </c>
      <c r="X5724" s="2" t="s">
        <v>83</v>
      </c>
      <c r="Y5724" s="2">
        <v>54.5</v>
      </c>
      <c r="Z5724" s="2">
        <v>21.6</v>
      </c>
      <c r="AA5724" s="2" t="s">
        <v>379</v>
      </c>
      <c r="AB5724" s="2" t="s">
        <v>29483</v>
      </c>
      <c r="AC5724" s="2">
        <v>-9.7231773134754693</v>
      </c>
      <c r="AD5724" s="2"/>
      <c r="AE5724" s="2">
        <v>1.32123191618829E-2</v>
      </c>
      <c r="AF5724" s="2">
        <v>2456.1409239476998</v>
      </c>
      <c r="AG5724" s="2">
        <v>1917.25386912199</v>
      </c>
      <c r="AH5724" s="5">
        <v>1.2810723522349701</v>
      </c>
      <c r="AI5724" s="5">
        <v>0.35735195832037597</v>
      </c>
      <c r="AJ5724" s="5" t="s">
        <v>139</v>
      </c>
      <c r="AK5724" s="2">
        <v>0.74032077856377199</v>
      </c>
      <c r="AL5724" s="2">
        <v>0.88190791048193196</v>
      </c>
      <c r="AM5724" s="2">
        <v>699.00603652397399</v>
      </c>
      <c r="AN5724" s="2">
        <v>1844.2617240131599</v>
      </c>
      <c r="AO5724" s="2">
        <v>957.16795774545005</v>
      </c>
      <c r="AP5724" s="2">
        <v>532.923694826472</v>
      </c>
      <c r="AQ5724" s="2">
        <v>1633.8352173253299</v>
      </c>
      <c r="AR5724" s="2">
        <v>9069.6509132518095</v>
      </c>
      <c r="AS5724" s="2">
        <v>732.87479063167598</v>
      </c>
      <c r="AT5724" s="2">
        <v>1009.94906357063</v>
      </c>
      <c r="AU5724" s="2">
        <v>255.443487882254</v>
      </c>
      <c r="AV5724" s="2">
        <v>5099.6566715570298</v>
      </c>
      <c r="AW5724" s="2">
        <v>3922.9981405960102</v>
      </c>
      <c r="AX5724" s="2">
        <v>482.60106049434103</v>
      </c>
    </row>
    <row r="5725" spans="1:50" x14ac:dyDescent="0.25">
      <c r="A5725" s="2" t="s">
        <v>37318</v>
      </c>
      <c r="B5725" s="2">
        <v>301.11953214555302</v>
      </c>
      <c r="C5725" s="2">
        <v>8.0600333333333296</v>
      </c>
      <c r="D5725" s="2" t="s">
        <v>51</v>
      </c>
      <c r="E5725" s="2" t="s">
        <v>37319</v>
      </c>
      <c r="F5725" s="2">
        <v>203494</v>
      </c>
      <c r="G5725" s="3" t="str">
        <f>HYPERLINK("https://cloud.oebiotech.com/#/lm/network/203494", "https://cloud.oebiotech.com/#/lm/network/203494")</f>
        <v>https://cloud.oebiotech.com/#/lm/network/203494</v>
      </c>
      <c r="H5725" s="2" t="s">
        <v>37320</v>
      </c>
      <c r="I5725" s="2">
        <v>72544</v>
      </c>
      <c r="J5725" s="2"/>
      <c r="K5725" s="2">
        <v>25572</v>
      </c>
      <c r="L5725" s="2" t="s">
        <v>37321</v>
      </c>
      <c r="M5725" s="2"/>
      <c r="N5725" s="2"/>
      <c r="O5725" s="2">
        <v>73171</v>
      </c>
      <c r="P5725" s="2"/>
      <c r="Q5725" s="2"/>
      <c r="R5725" s="2" t="s">
        <v>37322</v>
      </c>
      <c r="S5725" s="2" t="s">
        <v>37323</v>
      </c>
      <c r="T5725" s="2" t="s">
        <v>37324</v>
      </c>
      <c r="U5725" s="2" t="s">
        <v>610</v>
      </c>
      <c r="V5725" s="2" t="s">
        <v>4556</v>
      </c>
      <c r="W5725" s="2" t="s">
        <v>6949</v>
      </c>
      <c r="X5725" s="2" t="s">
        <v>147</v>
      </c>
      <c r="Y5725" s="2">
        <v>46.6</v>
      </c>
      <c r="Z5725" s="2">
        <v>36.799999999999997</v>
      </c>
      <c r="AA5725" s="2" t="s">
        <v>218</v>
      </c>
      <c r="AB5725" s="2" t="s">
        <v>37325</v>
      </c>
      <c r="AC5725" s="2">
        <v>0.59157042242153601</v>
      </c>
      <c r="AD5725" s="2"/>
      <c r="AE5725" s="2">
        <v>1.3105798748442799E-2</v>
      </c>
      <c r="AF5725" s="2">
        <v>648.37303427264703</v>
      </c>
      <c r="AG5725" s="2">
        <v>569.69738854089803</v>
      </c>
      <c r="AH5725" s="5">
        <v>1.13810076597552</v>
      </c>
      <c r="AI5725" s="5">
        <v>0.18662829765973099</v>
      </c>
      <c r="AJ5725" s="5" t="s">
        <v>139</v>
      </c>
      <c r="AK5725" s="2">
        <v>0.83020808079179598</v>
      </c>
      <c r="AL5725" s="2">
        <v>0.925102360296714</v>
      </c>
      <c r="AM5725" s="2">
        <v>1156.46835901486</v>
      </c>
      <c r="AN5725" s="2">
        <v>649.97854344952304</v>
      </c>
      <c r="AO5725" s="2">
        <v>333.06881909134501</v>
      </c>
      <c r="AP5725" s="2">
        <v>973.67760096790505</v>
      </c>
      <c r="AQ5725" s="2">
        <v>364.62815192969202</v>
      </c>
      <c r="AR5725" s="2">
        <v>412.41673118256</v>
      </c>
      <c r="AS5725" s="2">
        <v>2040.99512298645</v>
      </c>
      <c r="AT5725" s="2">
        <v>506.46684950241502</v>
      </c>
      <c r="AU5725" s="2">
        <v>8.559877937157E-6</v>
      </c>
      <c r="AV5725" s="2">
        <v>8.559877937157E-6</v>
      </c>
      <c r="AW5725" s="2">
        <v>870.72233307688998</v>
      </c>
      <c r="AX5725" s="2">
        <v>8.559877937157E-6</v>
      </c>
    </row>
    <row r="5726" spans="1:50" x14ac:dyDescent="0.25">
      <c r="A5726" s="2" t="s">
        <v>37326</v>
      </c>
      <c r="B5726" s="2">
        <v>411.31163267888002</v>
      </c>
      <c r="C5726" s="2">
        <v>12.1750333333333</v>
      </c>
      <c r="D5726" s="2" t="s">
        <v>51</v>
      </c>
      <c r="E5726" s="2" t="s">
        <v>37327</v>
      </c>
      <c r="F5726" s="2">
        <v>7659</v>
      </c>
      <c r="G5726" s="3" t="str">
        <f>HYPERLINK("https://cloud.oebiotech.com/#/lm/network/7659", "https://cloud.oebiotech.com/#/lm/network/7659")</f>
        <v>https://cloud.oebiotech.com/#/lm/network/7659</v>
      </c>
      <c r="H5726" s="2" t="s">
        <v>37328</v>
      </c>
      <c r="I5726" s="2">
        <v>86567</v>
      </c>
      <c r="J5726" s="2" t="s">
        <v>37329</v>
      </c>
      <c r="K5726" s="2">
        <v>3793749</v>
      </c>
      <c r="L5726" s="2"/>
      <c r="M5726" s="2"/>
      <c r="N5726" s="2"/>
      <c r="O5726" s="2"/>
      <c r="P5726" s="2"/>
      <c r="Q5726" s="2"/>
      <c r="R5726" s="2" t="s">
        <v>37330</v>
      </c>
      <c r="S5726" s="2" t="s">
        <v>37331</v>
      </c>
      <c r="T5726" s="2" t="s">
        <v>37332</v>
      </c>
      <c r="U5726" s="2" t="s">
        <v>56</v>
      </c>
      <c r="V5726" s="2" t="s">
        <v>145</v>
      </c>
      <c r="W5726" s="2" t="s">
        <v>1188</v>
      </c>
      <c r="X5726" s="2" t="s">
        <v>83</v>
      </c>
      <c r="Y5726" s="2">
        <v>49.2</v>
      </c>
      <c r="Z5726" s="2">
        <v>0</v>
      </c>
      <c r="AA5726" s="2" t="s">
        <v>379</v>
      </c>
      <c r="AB5726" s="2" t="s">
        <v>37333</v>
      </c>
      <c r="AC5726" s="2">
        <v>8.0418157000866797E-2</v>
      </c>
      <c r="AD5726" s="2"/>
      <c r="AE5726" s="2">
        <v>1.2973384672171099E-2</v>
      </c>
      <c r="AF5726" s="2">
        <v>1346.43738178226</v>
      </c>
      <c r="AG5726" s="2">
        <v>1248.07952508625</v>
      </c>
      <c r="AH5726" s="5">
        <v>1.0788073634083599</v>
      </c>
      <c r="AI5726" s="5">
        <v>0.10943727384639899</v>
      </c>
      <c r="AJ5726" s="5" t="s">
        <v>139</v>
      </c>
      <c r="AK5726" s="2">
        <v>0.84698312059194103</v>
      </c>
      <c r="AL5726" s="2">
        <v>0.93190759967874004</v>
      </c>
      <c r="AM5726" s="2">
        <v>1569.3104439649601</v>
      </c>
      <c r="AN5726" s="2">
        <v>334.66212693580502</v>
      </c>
      <c r="AO5726" s="2">
        <v>875.17504732892405</v>
      </c>
      <c r="AP5726" s="2">
        <v>3262.5426159468798</v>
      </c>
      <c r="AQ5726" s="2">
        <v>1002.34939271539</v>
      </c>
      <c r="AR5726" s="2">
        <v>1034.5846638016101</v>
      </c>
      <c r="AS5726" s="2">
        <v>1202.26682207662</v>
      </c>
      <c r="AT5726" s="2">
        <v>1680.36426755092</v>
      </c>
      <c r="AU5726" s="2">
        <v>2040.6259461217301</v>
      </c>
      <c r="AV5726" s="2">
        <v>192.076592854984</v>
      </c>
      <c r="AW5726" s="2">
        <v>1559.2687898818101</v>
      </c>
      <c r="AX5726" s="2">
        <v>813.87473203146499</v>
      </c>
    </row>
    <row r="5727" spans="1:50" x14ac:dyDescent="0.25">
      <c r="A5727" s="2" t="s">
        <v>37334</v>
      </c>
      <c r="B5727" s="2">
        <v>195.17503599207501</v>
      </c>
      <c r="C5727" s="2">
        <v>1.64581666666667</v>
      </c>
      <c r="D5727" s="2" t="s">
        <v>51</v>
      </c>
      <c r="E5727" s="2" t="s">
        <v>37335</v>
      </c>
      <c r="F5727" s="2">
        <v>6955</v>
      </c>
      <c r="G5727" s="3" t="str">
        <f>HYPERLINK("https://cloud.oebiotech.com/#/lm/network/6955", "https://cloud.oebiotech.com/#/lm/network/6955")</f>
        <v>https://cloud.oebiotech.com/#/lm/network/6955</v>
      </c>
      <c r="H5727" s="2"/>
      <c r="I5727" s="2">
        <v>46215</v>
      </c>
      <c r="J5727" s="2" t="s">
        <v>37336</v>
      </c>
      <c r="K5727" s="2">
        <v>44256529</v>
      </c>
      <c r="L5727" s="2"/>
      <c r="M5727" s="2"/>
      <c r="N5727" s="2"/>
      <c r="O5727" s="2"/>
      <c r="P5727" s="2"/>
      <c r="Q5727" s="2"/>
      <c r="R5727" s="2"/>
      <c r="S5727" s="2" t="s">
        <v>37337</v>
      </c>
      <c r="T5727" s="2" t="s">
        <v>37338</v>
      </c>
      <c r="U5727" s="2" t="s">
        <v>56</v>
      </c>
      <c r="V5727" s="2" t="s">
        <v>145</v>
      </c>
      <c r="W5727" s="2" t="s">
        <v>17251</v>
      </c>
      <c r="X5727" s="2" t="s">
        <v>147</v>
      </c>
      <c r="Y5727" s="2">
        <v>36.5</v>
      </c>
      <c r="Z5727" s="2">
        <v>0</v>
      </c>
      <c r="AA5727" s="2" t="s">
        <v>156</v>
      </c>
      <c r="AB5727" s="2" t="s">
        <v>15716</v>
      </c>
      <c r="AC5727" s="2">
        <v>3.27194377182105</v>
      </c>
      <c r="AD5727" s="2"/>
      <c r="AE5727" s="2">
        <v>1.29381415138125E-2</v>
      </c>
      <c r="AF5727" s="2">
        <v>962.84450031016695</v>
      </c>
      <c r="AG5727" s="2">
        <v>945.50837357134401</v>
      </c>
      <c r="AH5727" s="5">
        <v>1.0183352440056599</v>
      </c>
      <c r="AI5727" s="5">
        <v>2.6212586211457899E-2</v>
      </c>
      <c r="AJ5727" s="5" t="s">
        <v>139</v>
      </c>
      <c r="AK5727" s="2">
        <v>0.91730167518100203</v>
      </c>
      <c r="AL5727" s="2">
        <v>0.96492204917604696</v>
      </c>
      <c r="AM5727" s="2">
        <v>827.93822423642405</v>
      </c>
      <c r="AN5727" s="2">
        <v>1474.6830965045001</v>
      </c>
      <c r="AO5727" s="2">
        <v>1034.7450710102501</v>
      </c>
      <c r="AP5727" s="2">
        <v>762.01905174515696</v>
      </c>
      <c r="AQ5727" s="2">
        <v>947.59279430542097</v>
      </c>
      <c r="AR5727" s="2">
        <v>730.088764059249</v>
      </c>
      <c r="AS5727" s="2">
        <v>1178.19871712091</v>
      </c>
      <c r="AT5727" s="2">
        <v>1211.5093398720701</v>
      </c>
      <c r="AU5727" s="2">
        <v>602.57825363833297</v>
      </c>
      <c r="AV5727" s="2">
        <v>563.31790659148203</v>
      </c>
      <c r="AW5727" s="2">
        <v>1038.47020331054</v>
      </c>
      <c r="AX5727" s="2">
        <v>1078.9758208947301</v>
      </c>
    </row>
    <row r="5728" spans="1:50" x14ac:dyDescent="0.25">
      <c r="A5728" s="2" t="s">
        <v>37339</v>
      </c>
      <c r="B5728" s="2">
        <v>179.143547251613</v>
      </c>
      <c r="C5728" s="2">
        <v>10.153133333333299</v>
      </c>
      <c r="D5728" s="2" t="s">
        <v>51</v>
      </c>
      <c r="E5728" s="2" t="s">
        <v>37340</v>
      </c>
      <c r="F5728" s="2">
        <v>60359</v>
      </c>
      <c r="G5728" s="3" t="str">
        <f>HYPERLINK("https://cloud.oebiotech.com/#/lm/network/60359", "https://cloud.oebiotech.com/#/lm/network/60359")</f>
        <v>https://cloud.oebiotech.com/#/lm/network/60359</v>
      </c>
      <c r="H5728" s="2" t="s">
        <v>37341</v>
      </c>
      <c r="I5728" s="2">
        <v>91718</v>
      </c>
      <c r="J5728" s="2"/>
      <c r="K5728" s="2">
        <v>57446842</v>
      </c>
      <c r="L5728" s="2"/>
      <c r="M5728" s="2"/>
      <c r="N5728" s="2"/>
      <c r="O5728" s="2"/>
      <c r="P5728" s="2"/>
      <c r="Q5728" s="2"/>
      <c r="R5728" s="2" t="s">
        <v>37342</v>
      </c>
      <c r="S5728" s="2" t="s">
        <v>37343</v>
      </c>
      <c r="T5728" s="2" t="s">
        <v>37344</v>
      </c>
      <c r="U5728" s="2" t="s">
        <v>331</v>
      </c>
      <c r="V5728" s="2" t="s">
        <v>332</v>
      </c>
      <c r="W5728" s="2" t="s">
        <v>1207</v>
      </c>
      <c r="X5728" s="2" t="s">
        <v>83</v>
      </c>
      <c r="Y5728" s="2">
        <v>45.1</v>
      </c>
      <c r="Z5728" s="2">
        <v>0</v>
      </c>
      <c r="AA5728" s="2" t="s">
        <v>259</v>
      </c>
      <c r="AB5728" s="2" t="s">
        <v>23563</v>
      </c>
      <c r="AC5728" s="2">
        <v>2.8384125600381802</v>
      </c>
      <c r="AD5728" s="2"/>
      <c r="AE5728" s="2">
        <v>1.28957519458125E-2</v>
      </c>
      <c r="AF5728" s="2">
        <v>1724.4389142520999</v>
      </c>
      <c r="AG5728" s="2">
        <v>1700.1812991405</v>
      </c>
      <c r="AH5728" s="5">
        <v>1.0142676637626</v>
      </c>
      <c r="AI5728" s="5">
        <v>2.0438427711355098E-2</v>
      </c>
      <c r="AJ5728" s="5" t="s">
        <v>139</v>
      </c>
      <c r="AK5728" s="2">
        <v>0.95393388157040604</v>
      </c>
      <c r="AL5728" s="2">
        <v>0.98091773995157805</v>
      </c>
      <c r="AM5728" s="2">
        <v>1259.1645680203801</v>
      </c>
      <c r="AN5728" s="2">
        <v>1360.9337252171999</v>
      </c>
      <c r="AO5728" s="2">
        <v>2450.31262928147</v>
      </c>
      <c r="AP5728" s="2">
        <v>1377.0938516147</v>
      </c>
      <c r="AQ5728" s="2">
        <v>2818.41047593846</v>
      </c>
      <c r="AR5728" s="2">
        <v>1080.7182354403801</v>
      </c>
      <c r="AS5728" s="2">
        <v>1680.7789591171299</v>
      </c>
      <c r="AT5728" s="2">
        <v>1316.9721206220199</v>
      </c>
      <c r="AU5728" s="2">
        <v>3094.6854163579501</v>
      </c>
      <c r="AV5728" s="2">
        <v>1393.52579669018</v>
      </c>
      <c r="AW5728" s="2">
        <v>1315.69604407376</v>
      </c>
      <c r="AX5728" s="2">
        <v>1399.42945798199</v>
      </c>
    </row>
    <row r="5729" spans="1:50" x14ac:dyDescent="0.25">
      <c r="A5729" s="2" t="s">
        <v>37345</v>
      </c>
      <c r="B5729" s="2">
        <v>308.22283225005299</v>
      </c>
      <c r="C5729" s="2">
        <v>10.7136833333333</v>
      </c>
      <c r="D5729" s="2" t="s">
        <v>51</v>
      </c>
      <c r="E5729" s="2" t="s">
        <v>37346</v>
      </c>
      <c r="F5729" s="2">
        <v>1381</v>
      </c>
      <c r="G5729" s="3" t="str">
        <f>HYPERLINK("https://cloud.oebiotech.com/#/lm/network/1381", "https://cloud.oebiotech.com/#/lm/network/1381")</f>
        <v>https://cloud.oebiotech.com/#/lm/network/1381</v>
      </c>
      <c r="H5729" s="2"/>
      <c r="I5729" s="2"/>
      <c r="J5729" s="2" t="s">
        <v>37347</v>
      </c>
      <c r="K5729" s="2">
        <v>131839741</v>
      </c>
      <c r="L5729" s="2"/>
      <c r="M5729" s="2"/>
      <c r="N5729" s="2"/>
      <c r="O5729" s="2"/>
      <c r="P5729" s="2"/>
      <c r="Q5729" s="2"/>
      <c r="R5729" s="2"/>
      <c r="S5729" s="2" t="s">
        <v>37348</v>
      </c>
      <c r="T5729" s="2" t="s">
        <v>37349</v>
      </c>
      <c r="U5729" s="2" t="s">
        <v>56</v>
      </c>
      <c r="V5729" s="2" t="s">
        <v>145</v>
      </c>
      <c r="W5729" s="2" t="s">
        <v>231</v>
      </c>
      <c r="X5729" s="2" t="s">
        <v>83</v>
      </c>
      <c r="Y5729" s="2">
        <v>48.3</v>
      </c>
      <c r="Z5729" s="2">
        <v>0</v>
      </c>
      <c r="AA5729" s="2" t="s">
        <v>512</v>
      </c>
      <c r="AB5729" s="2" t="s">
        <v>29039</v>
      </c>
      <c r="AC5729" s="2">
        <v>2.79827907423202</v>
      </c>
      <c r="AD5729" s="2"/>
      <c r="AE5729" s="2">
        <v>1.28443993185844E-2</v>
      </c>
      <c r="AF5729" s="2">
        <v>4986.6476601972599</v>
      </c>
      <c r="AG5729" s="2">
        <v>5482.4860877917299</v>
      </c>
      <c r="AH5729" s="4">
        <v>0.90955956482979505</v>
      </c>
      <c r="AI5729" s="4">
        <v>-0.13675997534958301</v>
      </c>
      <c r="AJ5729" s="4" t="s">
        <v>62</v>
      </c>
      <c r="AK5729" s="2">
        <v>0.82113980576551704</v>
      </c>
      <c r="AL5729" s="2">
        <v>0.92196063093736003</v>
      </c>
      <c r="AM5729" s="2">
        <v>6858.6527978632703</v>
      </c>
      <c r="AN5729" s="2">
        <v>4162.61226878261</v>
      </c>
      <c r="AO5729" s="2">
        <v>4176.5554595081803</v>
      </c>
      <c r="AP5729" s="2">
        <v>7166.2028651270202</v>
      </c>
      <c r="AQ5729" s="2">
        <v>3741.0261622550001</v>
      </c>
      <c r="AR5729" s="2">
        <v>3814.83640764745</v>
      </c>
      <c r="AS5729" s="2">
        <v>699.17254757380795</v>
      </c>
      <c r="AT5729" s="2">
        <v>1882.42473700035</v>
      </c>
      <c r="AU5729" s="2">
        <v>14829.1096106681</v>
      </c>
      <c r="AV5729" s="2">
        <v>5838.2688034143903</v>
      </c>
      <c r="AW5729" s="2">
        <v>5140.4835235708997</v>
      </c>
      <c r="AX5729" s="2">
        <v>4505.4573045228599</v>
      </c>
    </row>
    <row r="5730" spans="1:50" x14ac:dyDescent="0.25">
      <c r="A5730" s="2" t="s">
        <v>37350</v>
      </c>
      <c r="B5730" s="2">
        <v>297.24312228805599</v>
      </c>
      <c r="C5730" s="2">
        <v>11.655150000000001</v>
      </c>
      <c r="D5730" s="2" t="s">
        <v>51</v>
      </c>
      <c r="E5730" s="2" t="s">
        <v>37351</v>
      </c>
      <c r="F5730" s="2">
        <v>3171</v>
      </c>
      <c r="G5730" s="3" t="str">
        <f>HYPERLINK("https://cloud.oebiotech.com/#/lm/network/3171", "https://cloud.oebiotech.com/#/lm/network/3171")</f>
        <v>https://cloud.oebiotech.com/#/lm/network/3171</v>
      </c>
      <c r="H5730" s="2"/>
      <c r="I5730" s="2">
        <v>74670</v>
      </c>
      <c r="J5730" s="2" t="s">
        <v>37352</v>
      </c>
      <c r="K5730" s="2">
        <v>5312857</v>
      </c>
      <c r="L5730" s="2"/>
      <c r="M5730" s="2"/>
      <c r="N5730" s="2"/>
      <c r="O5730" s="2"/>
      <c r="P5730" s="2"/>
      <c r="Q5730" s="2"/>
      <c r="R5730" s="2"/>
      <c r="S5730" s="2" t="s">
        <v>37353</v>
      </c>
      <c r="T5730" s="2" t="s">
        <v>37354</v>
      </c>
      <c r="U5730" s="2" t="s">
        <v>56</v>
      </c>
      <c r="V5730" s="2" t="s">
        <v>145</v>
      </c>
      <c r="W5730" s="2" t="s">
        <v>231</v>
      </c>
      <c r="X5730" s="2" t="s">
        <v>83</v>
      </c>
      <c r="Y5730" s="2">
        <v>51.5</v>
      </c>
      <c r="Z5730" s="2">
        <v>0</v>
      </c>
      <c r="AA5730" s="2" t="s">
        <v>259</v>
      </c>
      <c r="AB5730" s="2" t="s">
        <v>1772</v>
      </c>
      <c r="AC5730" s="2">
        <v>2.36626594890995</v>
      </c>
      <c r="AD5730" s="2"/>
      <c r="AE5730" s="2">
        <v>1.2836551044571799E-2</v>
      </c>
      <c r="AF5730" s="2">
        <v>6568.6556038508497</v>
      </c>
      <c r="AG5730" s="2">
        <v>6626.0385482052197</v>
      </c>
      <c r="AH5730" s="4">
        <v>0.99133978108686005</v>
      </c>
      <c r="AI5730" s="4">
        <v>-1.2548469895935801E-2</v>
      </c>
      <c r="AJ5730" s="4" t="s">
        <v>62</v>
      </c>
      <c r="AK5730" s="2">
        <v>0.91422930573789196</v>
      </c>
      <c r="AL5730" s="2">
        <v>0.96366058811687005</v>
      </c>
      <c r="AM5730" s="2">
        <v>6723.49279000364</v>
      </c>
      <c r="AN5730" s="2">
        <v>7647.37319780696</v>
      </c>
      <c r="AO5730" s="2">
        <v>7339.7911277782296</v>
      </c>
      <c r="AP5730" s="2">
        <v>6056.7853371540796</v>
      </c>
      <c r="AQ5730" s="2">
        <v>6408.5578925044401</v>
      </c>
      <c r="AR5730" s="2">
        <v>5235.93327785777</v>
      </c>
      <c r="AS5730" s="2">
        <v>6907.2187911916199</v>
      </c>
      <c r="AT5730" s="2">
        <v>6237.7720471291696</v>
      </c>
      <c r="AU5730" s="2">
        <v>6989.1185862695702</v>
      </c>
      <c r="AV5730" s="2">
        <v>5005.7267023589602</v>
      </c>
      <c r="AW5730" s="2">
        <v>6900.6411454072904</v>
      </c>
      <c r="AX5730" s="2">
        <v>7715.75401687469</v>
      </c>
    </row>
    <row r="5731" spans="1:50" x14ac:dyDescent="0.25">
      <c r="A5731" s="2" t="s">
        <v>37355</v>
      </c>
      <c r="B5731" s="2">
        <v>232.12989889915599</v>
      </c>
      <c r="C5731" s="2">
        <v>0.75593333333333301</v>
      </c>
      <c r="D5731" s="2" t="s">
        <v>51</v>
      </c>
      <c r="E5731" s="2" t="s">
        <v>37356</v>
      </c>
      <c r="F5731" s="2">
        <v>54133</v>
      </c>
      <c r="G5731" s="3" t="str">
        <f>HYPERLINK("https://cloud.oebiotech.com/#/lm/network/54133", "https://cloud.oebiotech.com/#/lm/network/54133")</f>
        <v>https://cloud.oebiotech.com/#/lm/network/54133</v>
      </c>
      <c r="H5731" s="2" t="s">
        <v>37357</v>
      </c>
      <c r="I5731" s="2">
        <v>23873</v>
      </c>
      <c r="J5731" s="2"/>
      <c r="K5731" s="2">
        <v>7020200</v>
      </c>
      <c r="L5731" s="2"/>
      <c r="M5731" s="2"/>
      <c r="N5731" s="2"/>
      <c r="O5731" s="2">
        <v>73698</v>
      </c>
      <c r="P5731" s="2"/>
      <c r="Q5731" s="2"/>
      <c r="R5731" s="2" t="s">
        <v>37358</v>
      </c>
      <c r="S5731" s="2" t="s">
        <v>37359</v>
      </c>
      <c r="T5731" s="2" t="s">
        <v>37360</v>
      </c>
      <c r="U5731" s="2" t="s">
        <v>103</v>
      </c>
      <c r="V5731" s="2" t="s">
        <v>104</v>
      </c>
      <c r="W5731" s="2" t="s">
        <v>105</v>
      </c>
      <c r="X5731" s="2" t="s">
        <v>83</v>
      </c>
      <c r="Y5731" s="2">
        <v>44</v>
      </c>
      <c r="Z5731" s="2">
        <v>18.2</v>
      </c>
      <c r="AA5731" s="2" t="s">
        <v>259</v>
      </c>
      <c r="AB5731" s="2" t="s">
        <v>33977</v>
      </c>
      <c r="AC5731" s="2">
        <v>3.0997897940061199</v>
      </c>
      <c r="AD5731" s="2"/>
      <c r="AE5731" s="2">
        <v>1.28169968567633E-2</v>
      </c>
      <c r="AF5731" s="2">
        <v>9601.0102434705295</v>
      </c>
      <c r="AG5731" s="2">
        <v>9449.1999876100599</v>
      </c>
      <c r="AH5731" s="5">
        <v>1.0160659374401599</v>
      </c>
      <c r="AI5731" s="5">
        <v>2.2994028617175099E-2</v>
      </c>
      <c r="AJ5731" s="5" t="s">
        <v>139</v>
      </c>
      <c r="AK5731" s="2">
        <v>0.95286436390726603</v>
      </c>
      <c r="AL5731" s="2">
        <v>0.98062767782557803</v>
      </c>
      <c r="AM5731" s="2">
        <v>13445.350934509201</v>
      </c>
      <c r="AN5731" s="2">
        <v>6340.0101052331702</v>
      </c>
      <c r="AO5731" s="2">
        <v>9113.2287212949705</v>
      </c>
      <c r="AP5731" s="2">
        <v>6218.20029911853</v>
      </c>
      <c r="AQ5731" s="2">
        <v>9242.3024961727806</v>
      </c>
      <c r="AR5731" s="2">
        <v>13246.968904494501</v>
      </c>
      <c r="AS5731" s="2">
        <v>4590.0718302470896</v>
      </c>
      <c r="AT5731" s="2">
        <v>3741.63366798795</v>
      </c>
      <c r="AU5731" s="2">
        <v>10387.2407775913</v>
      </c>
      <c r="AV5731" s="2">
        <v>14349.9058182313</v>
      </c>
      <c r="AW5731" s="2">
        <v>7047.0324077578998</v>
      </c>
      <c r="AX5731" s="2">
        <v>16579.315423844801</v>
      </c>
    </row>
    <row r="5732" spans="1:50" x14ac:dyDescent="0.25">
      <c r="A5732" s="2" t="s">
        <v>37361</v>
      </c>
      <c r="B5732" s="2">
        <v>279.23295001240302</v>
      </c>
      <c r="C5732" s="2">
        <v>9.9108499999999999</v>
      </c>
      <c r="D5732" s="2" t="s">
        <v>51</v>
      </c>
      <c r="E5732" s="2" t="s">
        <v>37362</v>
      </c>
      <c r="F5732" s="2">
        <v>626</v>
      </c>
      <c r="G5732" s="3" t="str">
        <f>HYPERLINK("https://cloud.oebiotech.com/#/lm/network/626", "https://cloud.oebiotech.com/#/lm/network/626")</f>
        <v>https://cloud.oebiotech.com/#/lm/network/626</v>
      </c>
      <c r="H5732" s="2" t="s">
        <v>37363</v>
      </c>
      <c r="I5732" s="2">
        <v>24063</v>
      </c>
      <c r="J5732" s="2" t="s">
        <v>37364</v>
      </c>
      <c r="K5732" s="2">
        <v>5280644</v>
      </c>
      <c r="L5732" s="2" t="s">
        <v>37365</v>
      </c>
      <c r="M5732" s="2" t="s">
        <v>1756</v>
      </c>
      <c r="N5732" s="2" t="s">
        <v>1757</v>
      </c>
      <c r="O5732" s="2">
        <v>32798</v>
      </c>
      <c r="P5732" s="2"/>
      <c r="Q5732" s="2"/>
      <c r="R5732" s="2" t="s">
        <v>37366</v>
      </c>
      <c r="S5732" s="2" t="s">
        <v>37367</v>
      </c>
      <c r="T5732" s="2" t="s">
        <v>37368</v>
      </c>
      <c r="U5732" s="2" t="s">
        <v>56</v>
      </c>
      <c r="V5732" s="2" t="s">
        <v>145</v>
      </c>
      <c r="W5732" s="2" t="s">
        <v>203</v>
      </c>
      <c r="X5732" s="2" t="s">
        <v>147</v>
      </c>
      <c r="Y5732" s="2">
        <v>42.7</v>
      </c>
      <c r="Z5732" s="2">
        <v>22.2</v>
      </c>
      <c r="AA5732" s="2" t="s">
        <v>241</v>
      </c>
      <c r="AB5732" s="2" t="s">
        <v>598</v>
      </c>
      <c r="AC5732" s="2">
        <v>-1.3634576314929699E-2</v>
      </c>
      <c r="AD5732" s="2"/>
      <c r="AE5732" s="2">
        <v>1.27460787046714E-2</v>
      </c>
      <c r="AF5732" s="2">
        <v>3138.5115954247999</v>
      </c>
      <c r="AG5732" s="2">
        <v>3547.8568631223202</v>
      </c>
      <c r="AH5732" s="4">
        <v>0.88462182001974299</v>
      </c>
      <c r="AI5732" s="4">
        <v>-0.176867266797263</v>
      </c>
      <c r="AJ5732" s="4" t="s">
        <v>62</v>
      </c>
      <c r="AK5732" s="2">
        <v>0.75808320271022001</v>
      </c>
      <c r="AL5732" s="2">
        <v>0.89141215577155497</v>
      </c>
      <c r="AM5732" s="2">
        <v>5642.91914613466</v>
      </c>
      <c r="AN5732" s="2">
        <v>2241.44815289177</v>
      </c>
      <c r="AO5732" s="2">
        <v>5040.3113610473101</v>
      </c>
      <c r="AP5732" s="2">
        <v>3538.1932354988498</v>
      </c>
      <c r="AQ5732" s="2">
        <v>1038.55886020809</v>
      </c>
      <c r="AR5732" s="2">
        <v>1329.63881676814</v>
      </c>
      <c r="AS5732" s="2">
        <v>1614.1814034491299</v>
      </c>
      <c r="AT5732" s="2">
        <v>1515.59131211267</v>
      </c>
      <c r="AU5732" s="2">
        <v>6933.9412992202897</v>
      </c>
      <c r="AV5732" s="2">
        <v>4049.70645378071</v>
      </c>
      <c r="AW5732" s="2">
        <v>6040.1450980701702</v>
      </c>
      <c r="AX5732" s="2">
        <v>1133.5756121009399</v>
      </c>
    </row>
    <row r="5733" spans="1:50" x14ac:dyDescent="0.25">
      <c r="A5733" s="2" t="s">
        <v>37369</v>
      </c>
      <c r="B5733" s="2">
        <v>381.10709743759401</v>
      </c>
      <c r="C5733" s="2">
        <v>4.5643000000000002</v>
      </c>
      <c r="D5733" s="2" t="s">
        <v>51</v>
      </c>
      <c r="E5733" s="2" t="s">
        <v>37370</v>
      </c>
      <c r="F5733" s="2">
        <v>211250</v>
      </c>
      <c r="G5733" s="3" t="str">
        <f>HYPERLINK("https://cloud.oebiotech.com/#/lm/network/211250", "https://cloud.oebiotech.com/#/lm/network/211250")</f>
        <v>https://cloud.oebiotech.com/#/lm/network/211250</v>
      </c>
      <c r="H5733" s="2" t="s">
        <v>37371</v>
      </c>
      <c r="I5733" s="2"/>
      <c r="J5733" s="2"/>
      <c r="K5733" s="2">
        <v>15919788</v>
      </c>
      <c r="L5733" s="2"/>
      <c r="M5733" s="2"/>
      <c r="N5733" s="2"/>
      <c r="O5733" s="2"/>
      <c r="P5733" s="2"/>
      <c r="Q5733" s="2"/>
      <c r="R5733" s="2"/>
      <c r="S5733" s="2" t="s">
        <v>37372</v>
      </c>
      <c r="T5733" s="2" t="s">
        <v>37373</v>
      </c>
      <c r="U5733" s="2" t="s">
        <v>266</v>
      </c>
      <c r="V5733" s="2" t="s">
        <v>445</v>
      </c>
      <c r="W5733" s="2" t="s">
        <v>3768</v>
      </c>
      <c r="X5733" s="2" t="s">
        <v>83</v>
      </c>
      <c r="Y5733" s="2">
        <v>40</v>
      </c>
      <c r="Z5733" s="2">
        <v>0</v>
      </c>
      <c r="AA5733" s="2" t="s">
        <v>478</v>
      </c>
      <c r="AB5733" s="2" t="s">
        <v>36154</v>
      </c>
      <c r="AC5733" s="2">
        <v>-5.5282478039634499</v>
      </c>
      <c r="AD5733" s="2"/>
      <c r="AE5733" s="2">
        <v>1.2745129585465901E-2</v>
      </c>
      <c r="AF5733" s="2">
        <v>543.48033266893196</v>
      </c>
      <c r="AG5733" s="2">
        <v>687.40607229489297</v>
      </c>
      <c r="AH5733" s="4">
        <v>0.79062486436078705</v>
      </c>
      <c r="AI5733" s="4">
        <v>-0.338934767701082</v>
      </c>
      <c r="AJ5733" s="4" t="s">
        <v>62</v>
      </c>
      <c r="AK5733" s="2">
        <v>0.61105026771550397</v>
      </c>
      <c r="AL5733" s="2">
        <v>0.80562509339130595</v>
      </c>
      <c r="AM5733" s="2">
        <v>877.43800686258999</v>
      </c>
      <c r="AN5733" s="2">
        <v>348.27028087086001</v>
      </c>
      <c r="AO5733" s="2">
        <v>586.75605597708102</v>
      </c>
      <c r="AP5733" s="2">
        <v>732.36155562629301</v>
      </c>
      <c r="AQ5733" s="2">
        <v>323.84716187005699</v>
      </c>
      <c r="AR5733" s="2">
        <v>392.20893480670799</v>
      </c>
      <c r="AS5733" s="2">
        <v>395.72772535921098</v>
      </c>
      <c r="AT5733" s="2">
        <v>770.125192655246</v>
      </c>
      <c r="AU5733" s="2">
        <v>1857.57452459057</v>
      </c>
      <c r="AV5733" s="2">
        <v>214.78247634919299</v>
      </c>
      <c r="AW5733" s="2">
        <v>753.54775501581503</v>
      </c>
      <c r="AX5733" s="2">
        <v>132.67875979932401</v>
      </c>
    </row>
    <row r="5734" spans="1:50" x14ac:dyDescent="0.25">
      <c r="A5734" s="2" t="s">
        <v>37374</v>
      </c>
      <c r="B5734" s="2">
        <v>425.40025287426897</v>
      </c>
      <c r="C5734" s="2">
        <v>14.0975</v>
      </c>
      <c r="D5734" s="2" t="s">
        <v>51</v>
      </c>
      <c r="E5734" s="2" t="s">
        <v>37375</v>
      </c>
      <c r="F5734" s="2">
        <v>51402</v>
      </c>
      <c r="G5734" s="3" t="str">
        <f>HYPERLINK("https://cloud.oebiotech.com/#/lm/network/51402", "https://cloud.oebiotech.com/#/lm/network/51402")</f>
        <v>https://cloud.oebiotech.com/#/lm/network/51402</v>
      </c>
      <c r="H5734" s="2" t="s">
        <v>37376</v>
      </c>
      <c r="I5734" s="2">
        <v>62370</v>
      </c>
      <c r="J5734" s="2"/>
      <c r="K5734" s="2">
        <v>53480996</v>
      </c>
      <c r="L5734" s="2"/>
      <c r="M5734" s="2"/>
      <c r="N5734" s="2"/>
      <c r="O5734" s="2"/>
      <c r="P5734" s="2"/>
      <c r="Q5734" s="2"/>
      <c r="R5734" s="2"/>
      <c r="S5734" s="2" t="s">
        <v>37377</v>
      </c>
      <c r="T5734" s="2" t="s">
        <v>37378</v>
      </c>
      <c r="U5734" s="2" t="s">
        <v>56</v>
      </c>
      <c r="V5734" s="2" t="s">
        <v>3215</v>
      </c>
      <c r="W5734" s="2" t="s">
        <v>4174</v>
      </c>
      <c r="X5734" s="2" t="s">
        <v>147</v>
      </c>
      <c r="Y5734" s="2">
        <v>37</v>
      </c>
      <c r="Z5734" s="2">
        <v>0</v>
      </c>
      <c r="AA5734" s="2" t="s">
        <v>179</v>
      </c>
      <c r="AB5734" s="2" t="s">
        <v>37379</v>
      </c>
      <c r="AC5734" s="2">
        <v>3.0083806498041499</v>
      </c>
      <c r="AD5734" s="2"/>
      <c r="AE5734" s="2">
        <v>1.2715506189641399E-2</v>
      </c>
      <c r="AF5734" s="2">
        <v>6848.8547339833303</v>
      </c>
      <c r="AG5734" s="2">
        <v>6197.9868104996203</v>
      </c>
      <c r="AH5734" s="5">
        <v>1.1050127958292999</v>
      </c>
      <c r="AI5734" s="5">
        <v>0.14406307583625</v>
      </c>
      <c r="AJ5734" s="5" t="s">
        <v>139</v>
      </c>
      <c r="AK5734" s="2">
        <v>0.82274133705749197</v>
      </c>
      <c r="AL5734" s="2">
        <v>0.92232162351025904</v>
      </c>
      <c r="AM5734" s="2">
        <v>1215.75224383006</v>
      </c>
      <c r="AN5734" s="2">
        <v>5729.6236714848001</v>
      </c>
      <c r="AO5734" s="2">
        <v>5801.1635961359998</v>
      </c>
      <c r="AP5734" s="2">
        <v>15391.1600914631</v>
      </c>
      <c r="AQ5734" s="2">
        <v>10627.8890874965</v>
      </c>
      <c r="AR5734" s="2">
        <v>2327.5397134895102</v>
      </c>
      <c r="AS5734" s="2">
        <v>1057.9540104902001</v>
      </c>
      <c r="AT5734" s="2">
        <v>12745.6118103598</v>
      </c>
      <c r="AU5734" s="2">
        <v>5176.1892363608804</v>
      </c>
      <c r="AV5734" s="2">
        <v>3888.8077584887101</v>
      </c>
      <c r="AW5734" s="2">
        <v>10398.920315625701</v>
      </c>
      <c r="AX5734" s="2">
        <v>3920.4377316724099</v>
      </c>
    </row>
    <row r="5735" spans="1:50" x14ac:dyDescent="0.25">
      <c r="A5735" s="2" t="s">
        <v>37380</v>
      </c>
      <c r="B5735" s="2">
        <v>385.23650680948703</v>
      </c>
      <c r="C5735" s="2">
        <v>10.9866666666667</v>
      </c>
      <c r="D5735" s="2" t="s">
        <v>51</v>
      </c>
      <c r="E5735" s="2" t="s">
        <v>37381</v>
      </c>
      <c r="F5735" s="2">
        <v>257845</v>
      </c>
      <c r="G5735" s="3" t="str">
        <f>HYPERLINK("https://cloud.oebiotech.com/#/lm/network/257845", "https://cloud.oebiotech.com/#/lm/network/257845")</f>
        <v>https://cloud.oebiotech.com/#/lm/network/257845</v>
      </c>
      <c r="H5735" s="2"/>
      <c r="I5735" s="2">
        <v>1083</v>
      </c>
      <c r="J5735" s="2"/>
      <c r="K5735" s="2">
        <v>6279</v>
      </c>
      <c r="L5735" s="2" t="s">
        <v>37382</v>
      </c>
      <c r="M5735" s="2" t="s">
        <v>2636</v>
      </c>
      <c r="N5735" s="2" t="s">
        <v>2637</v>
      </c>
      <c r="O5735" s="2"/>
      <c r="P5735" s="2"/>
      <c r="Q5735" s="2"/>
      <c r="R5735" s="2" t="s">
        <v>37383</v>
      </c>
      <c r="S5735" s="2" t="s">
        <v>37384</v>
      </c>
      <c r="T5735" s="2" t="s">
        <v>37385</v>
      </c>
      <c r="U5735" s="2" t="s">
        <v>56</v>
      </c>
      <c r="V5735" s="2" t="s">
        <v>283</v>
      </c>
      <c r="W5735" s="2" t="s">
        <v>3686</v>
      </c>
      <c r="X5735" s="2" t="s">
        <v>147</v>
      </c>
      <c r="Y5735" s="2">
        <v>36</v>
      </c>
      <c r="Z5735" s="2">
        <v>0</v>
      </c>
      <c r="AA5735" s="2" t="s">
        <v>163</v>
      </c>
      <c r="AB5735" s="2" t="s">
        <v>8939</v>
      </c>
      <c r="AC5735" s="2">
        <v>-4.9873101108240698</v>
      </c>
      <c r="AD5735" s="2"/>
      <c r="AE5735" s="2">
        <v>1.2657958292048899E-2</v>
      </c>
      <c r="AF5735" s="2">
        <v>2010.19365826629</v>
      </c>
      <c r="AG5735" s="2">
        <v>1821.71369914057</v>
      </c>
      <c r="AH5735" s="5">
        <v>1.10346299707502</v>
      </c>
      <c r="AI5735" s="5">
        <v>0.14203825188175601</v>
      </c>
      <c r="AJ5735" s="5" t="s">
        <v>139</v>
      </c>
      <c r="AK5735" s="2">
        <v>0.81059260974940495</v>
      </c>
      <c r="AL5735" s="2">
        <v>0.91544385088115199</v>
      </c>
      <c r="AM5735" s="2">
        <v>887.77888675256099</v>
      </c>
      <c r="AN5735" s="2">
        <v>1466.1682769516201</v>
      </c>
      <c r="AO5735" s="2">
        <v>3540.3282022451799</v>
      </c>
      <c r="AP5735" s="2">
        <v>3172.4003423874101</v>
      </c>
      <c r="AQ5735" s="2">
        <v>2466.7931650643</v>
      </c>
      <c r="AR5735" s="2">
        <v>527.69307619665506</v>
      </c>
      <c r="AS5735" s="2">
        <v>1820.2870651158701</v>
      </c>
      <c r="AT5735" s="2">
        <v>2321.70474868474</v>
      </c>
      <c r="AU5735" s="2">
        <v>854.011859157814</v>
      </c>
      <c r="AV5735" s="2">
        <v>8.559877937157E-6</v>
      </c>
      <c r="AW5735" s="2">
        <v>1780.6934141014799</v>
      </c>
      <c r="AX5735" s="2">
        <v>4153.5850992236601</v>
      </c>
    </row>
    <row r="5736" spans="1:50" x14ac:dyDescent="0.25">
      <c r="A5736" s="2" t="s">
        <v>37386</v>
      </c>
      <c r="B5736" s="2">
        <v>204.134993002768</v>
      </c>
      <c r="C5736" s="2">
        <v>0.58143333333333302</v>
      </c>
      <c r="D5736" s="2" t="s">
        <v>51</v>
      </c>
      <c r="E5736" s="2" t="s">
        <v>37387</v>
      </c>
      <c r="F5736" s="2">
        <v>53972</v>
      </c>
      <c r="G5736" s="3" t="str">
        <f>HYPERLINK("https://cloud.oebiotech.com/#/lm/network/53972", "https://cloud.oebiotech.com/#/lm/network/53972")</f>
        <v>https://cloud.oebiotech.com/#/lm/network/53972</v>
      </c>
      <c r="H5736" s="2" t="s">
        <v>37388</v>
      </c>
      <c r="I5736" s="2">
        <v>23747</v>
      </c>
      <c r="J5736" s="2"/>
      <c r="K5736" s="2">
        <v>7022320</v>
      </c>
      <c r="L5736" s="2"/>
      <c r="M5736" s="2"/>
      <c r="N5736" s="2"/>
      <c r="O5736" s="2">
        <v>73604</v>
      </c>
      <c r="P5736" s="2"/>
      <c r="Q5736" s="2"/>
      <c r="R5736" s="2" t="s">
        <v>37389</v>
      </c>
      <c r="S5736" s="2" t="s">
        <v>37390</v>
      </c>
      <c r="T5736" s="2" t="s">
        <v>37391</v>
      </c>
      <c r="U5736" s="2" t="s">
        <v>103</v>
      </c>
      <c r="V5736" s="2" t="s">
        <v>104</v>
      </c>
      <c r="W5736" s="2" t="s">
        <v>105</v>
      </c>
      <c r="X5736" s="2" t="s">
        <v>69</v>
      </c>
      <c r="Y5736" s="2">
        <v>53.4</v>
      </c>
      <c r="Z5736" s="2">
        <v>60.8</v>
      </c>
      <c r="AA5736" s="2" t="s">
        <v>259</v>
      </c>
      <c r="AB5736" s="2" t="s">
        <v>37392</v>
      </c>
      <c r="AC5736" s="2">
        <v>3.56994653076777</v>
      </c>
      <c r="AD5736" s="2"/>
      <c r="AE5736" s="2">
        <v>1.2633620152554899E-2</v>
      </c>
      <c r="AF5736" s="2">
        <v>3764.91493666726</v>
      </c>
      <c r="AG5736" s="2">
        <v>3786.3491541036801</v>
      </c>
      <c r="AH5736" s="4">
        <v>0.994339080585532</v>
      </c>
      <c r="AI5736" s="4">
        <v>-8.1901842867670993E-3</v>
      </c>
      <c r="AJ5736" s="4" t="s">
        <v>62</v>
      </c>
      <c r="AK5736" s="2">
        <v>0.990553612713021</v>
      </c>
      <c r="AL5736" s="2">
        <v>0.99588573656477897</v>
      </c>
      <c r="AM5736" s="2">
        <v>5609.6383744433897</v>
      </c>
      <c r="AN5736" s="2">
        <v>2177.81522470045</v>
      </c>
      <c r="AO5736" s="2">
        <v>1620.77359515647</v>
      </c>
      <c r="AP5736" s="2">
        <v>1982.55974138443</v>
      </c>
      <c r="AQ5736" s="2">
        <v>5144.2508943591902</v>
      </c>
      <c r="AR5736" s="2">
        <v>6054.4517899596203</v>
      </c>
      <c r="AS5736" s="2">
        <v>72.071975044611605</v>
      </c>
      <c r="AT5736" s="2">
        <v>1724.8231884961101</v>
      </c>
      <c r="AU5736" s="2">
        <v>3316.3700829640302</v>
      </c>
      <c r="AV5736" s="2">
        <v>10827.9546644369</v>
      </c>
      <c r="AW5736" s="2">
        <v>1883.6487202078699</v>
      </c>
      <c r="AX5736" s="2">
        <v>4893.2262934725504</v>
      </c>
    </row>
    <row r="5737" spans="1:50" x14ac:dyDescent="0.25">
      <c r="A5737" s="2" t="s">
        <v>37393</v>
      </c>
      <c r="B5737" s="2">
        <v>293.11431483768399</v>
      </c>
      <c r="C5737" s="2">
        <v>3.7524500000000001</v>
      </c>
      <c r="D5737" s="2" t="s">
        <v>51</v>
      </c>
      <c r="E5737" s="2" t="s">
        <v>37394</v>
      </c>
      <c r="F5737" s="2">
        <v>64406</v>
      </c>
      <c r="G5737" s="3" t="str">
        <f>HYPERLINK("https://cloud.oebiotech.com/#/lm/network/64406", "https://cloud.oebiotech.com/#/lm/network/64406")</f>
        <v>https://cloud.oebiotech.com/#/lm/network/64406</v>
      </c>
      <c r="H5737" s="2" t="s">
        <v>37395</v>
      </c>
      <c r="I5737" s="2">
        <v>95722</v>
      </c>
      <c r="J5737" s="2"/>
      <c r="K5737" s="2">
        <v>9926066</v>
      </c>
      <c r="L5737" s="2"/>
      <c r="M5737" s="2"/>
      <c r="N5737" s="2"/>
      <c r="O5737" s="2">
        <v>168621</v>
      </c>
      <c r="P5737" s="2"/>
      <c r="Q5737" s="2"/>
      <c r="R5737" s="2" t="s">
        <v>37396</v>
      </c>
      <c r="S5737" s="2" t="s">
        <v>37397</v>
      </c>
      <c r="T5737" s="2" t="s">
        <v>37398</v>
      </c>
      <c r="U5737" s="2" t="s">
        <v>103</v>
      </c>
      <c r="V5737" s="2" t="s">
        <v>104</v>
      </c>
      <c r="W5737" s="2" t="s">
        <v>105</v>
      </c>
      <c r="X5737" s="2" t="s">
        <v>83</v>
      </c>
      <c r="Y5737" s="2">
        <v>44.9</v>
      </c>
      <c r="Z5737" s="2">
        <v>0</v>
      </c>
      <c r="AA5737" s="2" t="s">
        <v>259</v>
      </c>
      <c r="AB5737" s="2" t="s">
        <v>37399</v>
      </c>
      <c r="AC5737" s="2">
        <v>3.82321986938183</v>
      </c>
      <c r="AD5737" s="2"/>
      <c r="AE5737" s="2">
        <v>1.2595602507245601E-2</v>
      </c>
      <c r="AF5737" s="2">
        <v>732.34724095563297</v>
      </c>
      <c r="AG5737" s="2">
        <v>1011.8438061463</v>
      </c>
      <c r="AH5737" s="4">
        <v>0.72377499027724901</v>
      </c>
      <c r="AI5737" s="4">
        <v>-0.46638683800085101</v>
      </c>
      <c r="AJ5737" s="4" t="s">
        <v>62</v>
      </c>
      <c r="AK5737" s="2">
        <v>0.65038707228377701</v>
      </c>
      <c r="AL5737" s="2">
        <v>0.83021999206264596</v>
      </c>
      <c r="AM5737" s="2">
        <v>1528.10085388624</v>
      </c>
      <c r="AN5737" s="2">
        <v>618.55364989307895</v>
      </c>
      <c r="AO5737" s="2">
        <v>605.38993400198001</v>
      </c>
      <c r="AP5737" s="2">
        <v>501.77809601992601</v>
      </c>
      <c r="AQ5737" s="2">
        <v>415.01175823379998</v>
      </c>
      <c r="AR5737" s="2">
        <v>725.24915369877203</v>
      </c>
      <c r="AS5737" s="2">
        <v>104.931882501947</v>
      </c>
      <c r="AT5737" s="2">
        <v>448.17619989071102</v>
      </c>
      <c r="AU5737" s="2">
        <v>3858.4670773112398</v>
      </c>
      <c r="AV5737" s="2">
        <v>721.06715896356798</v>
      </c>
      <c r="AW5737" s="2">
        <v>517.15900075152194</v>
      </c>
      <c r="AX5737" s="2">
        <v>421.26151745881299</v>
      </c>
    </row>
    <row r="5738" spans="1:50" x14ac:dyDescent="0.25">
      <c r="A5738" s="2" t="s">
        <v>37400</v>
      </c>
      <c r="B5738" s="2">
        <v>299.14480264455699</v>
      </c>
      <c r="C5738" s="2">
        <v>10.2727</v>
      </c>
      <c r="D5738" s="2" t="s">
        <v>51</v>
      </c>
      <c r="E5738" s="2" t="s">
        <v>37401</v>
      </c>
      <c r="F5738" s="2">
        <v>61328</v>
      </c>
      <c r="G5738" s="3" t="str">
        <f>HYPERLINK("https://cloud.oebiotech.com/#/lm/network/61328", "https://cloud.oebiotech.com/#/lm/network/61328")</f>
        <v>https://cloud.oebiotech.com/#/lm/network/61328</v>
      </c>
      <c r="H5738" s="2" t="s">
        <v>37402</v>
      </c>
      <c r="I5738" s="2"/>
      <c r="J5738" s="2"/>
      <c r="K5738" s="2">
        <v>131752246</v>
      </c>
      <c r="L5738" s="2"/>
      <c r="M5738" s="2"/>
      <c r="N5738" s="2"/>
      <c r="O5738" s="2">
        <v>168466</v>
      </c>
      <c r="P5738" s="2"/>
      <c r="Q5738" s="2"/>
      <c r="R5738" s="2" t="s">
        <v>37403</v>
      </c>
      <c r="S5738" s="2" t="s">
        <v>37404</v>
      </c>
      <c r="T5738" s="2" t="s">
        <v>37405</v>
      </c>
      <c r="U5738" s="2" t="s">
        <v>331</v>
      </c>
      <c r="V5738" s="2" t="s">
        <v>332</v>
      </c>
      <c r="W5738" s="2" t="s">
        <v>333</v>
      </c>
      <c r="X5738" s="2" t="s">
        <v>147</v>
      </c>
      <c r="Y5738" s="2">
        <v>38.5</v>
      </c>
      <c r="Z5738" s="2">
        <v>0</v>
      </c>
      <c r="AA5738" s="2" t="s">
        <v>512</v>
      </c>
      <c r="AB5738" s="2" t="s">
        <v>37406</v>
      </c>
      <c r="AC5738" s="2">
        <v>-0.31822316443065102</v>
      </c>
      <c r="AD5738" s="2"/>
      <c r="AE5738" s="2">
        <v>1.25798400065994E-2</v>
      </c>
      <c r="AF5738" s="2">
        <v>4082.0904333632402</v>
      </c>
      <c r="AG5738" s="2">
        <v>4491.9770417315804</v>
      </c>
      <c r="AH5738" s="4">
        <v>0.90875140176354696</v>
      </c>
      <c r="AI5738" s="4">
        <v>-0.138042410473278</v>
      </c>
      <c r="AJ5738" s="4" t="s">
        <v>62</v>
      </c>
      <c r="AK5738" s="2">
        <v>0.78530394145144999</v>
      </c>
      <c r="AL5738" s="2">
        <v>0.90577508306915799</v>
      </c>
      <c r="AM5738" s="2">
        <v>8035.0507585412997</v>
      </c>
      <c r="AN5738" s="2">
        <v>4205.7922202360996</v>
      </c>
      <c r="AO5738" s="2">
        <v>2613.79550324416</v>
      </c>
      <c r="AP5738" s="2">
        <v>2600.1098855631699</v>
      </c>
      <c r="AQ5738" s="2">
        <v>2613.0442869107501</v>
      </c>
      <c r="AR5738" s="2">
        <v>4424.7499456839896</v>
      </c>
      <c r="AS5738" s="2">
        <v>979.65405792849197</v>
      </c>
      <c r="AT5738" s="2">
        <v>865.39046826739605</v>
      </c>
      <c r="AU5738" s="2">
        <v>7342.6018725690201</v>
      </c>
      <c r="AV5738" s="2">
        <v>7083.7623824352104</v>
      </c>
      <c r="AW5738" s="2">
        <v>5741.7502488171403</v>
      </c>
      <c r="AX5738" s="2">
        <v>4938.7032203722101</v>
      </c>
    </row>
    <row r="5739" spans="1:50" x14ac:dyDescent="0.25">
      <c r="A5739" s="2" t="s">
        <v>37407</v>
      </c>
      <c r="B5739" s="2">
        <v>329.17285896485799</v>
      </c>
      <c r="C5739" s="2">
        <v>9.7466666666666697</v>
      </c>
      <c r="D5739" s="2" t="s">
        <v>51</v>
      </c>
      <c r="E5739" s="2" t="s">
        <v>37408</v>
      </c>
      <c r="F5739" s="2">
        <v>202773</v>
      </c>
      <c r="G5739" s="3" t="str">
        <f>HYPERLINK("https://cloud.oebiotech.com/#/lm/network/202773", "https://cloud.oebiotech.com/#/lm/network/202773")</f>
        <v>https://cloud.oebiotech.com/#/lm/network/202773</v>
      </c>
      <c r="H5739" s="2" t="s">
        <v>37409</v>
      </c>
      <c r="I5739" s="2">
        <v>811391</v>
      </c>
      <c r="J5739" s="2"/>
      <c r="K5739" s="2">
        <v>45072429</v>
      </c>
      <c r="L5739" s="2"/>
      <c r="M5739" s="2"/>
      <c r="N5739" s="2"/>
      <c r="O5739" s="2"/>
      <c r="P5739" s="2"/>
      <c r="Q5739" s="2"/>
      <c r="R5739" s="2"/>
      <c r="S5739" s="2" t="s">
        <v>37410</v>
      </c>
      <c r="T5739" s="2" t="s">
        <v>37411</v>
      </c>
      <c r="U5739" s="2" t="s">
        <v>266</v>
      </c>
      <c r="V5739" s="2" t="s">
        <v>1742</v>
      </c>
      <c r="W5739" s="2" t="s">
        <v>18118</v>
      </c>
      <c r="X5739" s="2" t="s">
        <v>147</v>
      </c>
      <c r="Y5739" s="2">
        <v>36</v>
      </c>
      <c r="Z5739" s="2">
        <v>0</v>
      </c>
      <c r="AA5739" s="2" t="s">
        <v>218</v>
      </c>
      <c r="AB5739" s="2" t="s">
        <v>37412</v>
      </c>
      <c r="AC5739" s="2">
        <v>3.69083303583297</v>
      </c>
      <c r="AD5739" s="2"/>
      <c r="AE5739" s="2">
        <v>1.2526023527937901E-2</v>
      </c>
      <c r="AF5739" s="2">
        <v>1374.94125776175</v>
      </c>
      <c r="AG5739" s="2">
        <v>1187.2407236219999</v>
      </c>
      <c r="AH5739" s="5">
        <v>1.1580981265257699</v>
      </c>
      <c r="AI5739" s="5">
        <v>0.211757499142711</v>
      </c>
      <c r="AJ5739" s="5" t="s">
        <v>139</v>
      </c>
      <c r="AK5739" s="2">
        <v>0.74326322709996195</v>
      </c>
      <c r="AL5739" s="2">
        <v>0.88262853116149298</v>
      </c>
      <c r="AM5739" s="2">
        <v>966.13835260688995</v>
      </c>
      <c r="AN5739" s="2">
        <v>1152.35453367281</v>
      </c>
      <c r="AO5739" s="2">
        <v>2153.3297254355002</v>
      </c>
      <c r="AP5739" s="2">
        <v>1408.28595658068</v>
      </c>
      <c r="AQ5739" s="2">
        <v>1971.2362572183199</v>
      </c>
      <c r="AR5739" s="2">
        <v>598.30272105628296</v>
      </c>
      <c r="AS5739" s="2">
        <v>3579.6034488792702</v>
      </c>
      <c r="AT5739" s="2">
        <v>225.995222673797</v>
      </c>
      <c r="AU5739" s="2">
        <v>726.993471579637</v>
      </c>
      <c r="AV5739" s="2">
        <v>520.09196351096398</v>
      </c>
      <c r="AW5739" s="2">
        <v>729.25036660593503</v>
      </c>
      <c r="AX5739" s="2">
        <v>1341.50986848242</v>
      </c>
    </row>
    <row r="5740" spans="1:50" x14ac:dyDescent="0.25">
      <c r="A5740" s="2" t="s">
        <v>37413</v>
      </c>
      <c r="B5740" s="2">
        <v>249.18553182454599</v>
      </c>
      <c r="C5740" s="2">
        <v>10.98715</v>
      </c>
      <c r="D5740" s="2" t="s">
        <v>51</v>
      </c>
      <c r="E5740" s="2" t="s">
        <v>37414</v>
      </c>
      <c r="F5740" s="2">
        <v>132590</v>
      </c>
      <c r="G5740" s="3" t="str">
        <f>HYPERLINK("https://cloud.oebiotech.com/#/lm/network/132590", "https://cloud.oebiotech.com/#/lm/network/132590")</f>
        <v>https://cloud.oebiotech.com/#/lm/network/132590</v>
      </c>
      <c r="H5740" s="2" t="s">
        <v>37415</v>
      </c>
      <c r="I5740" s="2"/>
      <c r="J5740" s="2"/>
      <c r="K5740" s="2">
        <v>131819624</v>
      </c>
      <c r="L5740" s="2"/>
      <c r="M5740" s="2"/>
      <c r="N5740" s="2"/>
      <c r="O5740" s="2"/>
      <c r="P5740" s="2"/>
      <c r="Q5740" s="2"/>
      <c r="R5740" s="2"/>
      <c r="S5740" s="2" t="s">
        <v>37416</v>
      </c>
      <c r="T5740" s="2" t="s">
        <v>37417</v>
      </c>
      <c r="U5740" s="2" t="s">
        <v>56</v>
      </c>
      <c r="V5740" s="2" t="s">
        <v>145</v>
      </c>
      <c r="W5740" s="2" t="s">
        <v>231</v>
      </c>
      <c r="X5740" s="2" t="s">
        <v>83</v>
      </c>
      <c r="Y5740" s="2">
        <v>54.9</v>
      </c>
      <c r="Z5740" s="2">
        <v>0</v>
      </c>
      <c r="AA5740" s="2" t="s">
        <v>156</v>
      </c>
      <c r="AB5740" s="2" t="s">
        <v>10329</v>
      </c>
      <c r="AC5740" s="2">
        <v>2.3493981249127001</v>
      </c>
      <c r="AD5740" s="2"/>
      <c r="AE5740" s="2">
        <v>1.22948870580017E-2</v>
      </c>
      <c r="AF5740" s="2">
        <v>5189.9455280394204</v>
      </c>
      <c r="AG5740" s="2">
        <v>5215.5804622313499</v>
      </c>
      <c r="AH5740" s="4">
        <v>0.99508493170078405</v>
      </c>
      <c r="AI5740" s="4">
        <v>-7.1084282116567503E-3</v>
      </c>
      <c r="AJ5740" s="4" t="s">
        <v>62</v>
      </c>
      <c r="AK5740" s="2">
        <v>0.96669586922233397</v>
      </c>
      <c r="AL5740" s="2">
        <v>0.98697736467291397</v>
      </c>
      <c r="AM5740" s="2">
        <v>5699.3064527444803</v>
      </c>
      <c r="AN5740" s="2">
        <v>5149.1381483057903</v>
      </c>
      <c r="AO5740" s="2">
        <v>4600.2532133877603</v>
      </c>
      <c r="AP5740" s="2">
        <v>6397.3931022352699</v>
      </c>
      <c r="AQ5740" s="2">
        <v>5058.8316325447504</v>
      </c>
      <c r="AR5740" s="2">
        <v>4234.7506190184904</v>
      </c>
      <c r="AS5740" s="2">
        <v>4124.4494305411499</v>
      </c>
      <c r="AT5740" s="2">
        <v>5016.5062251252602</v>
      </c>
      <c r="AU5740" s="2">
        <v>4455.98370896287</v>
      </c>
      <c r="AV5740" s="2">
        <v>4497.3327953688504</v>
      </c>
      <c r="AW5740" s="2">
        <v>5703.3052462570604</v>
      </c>
      <c r="AX5740" s="2">
        <v>7495.9053671328802</v>
      </c>
    </row>
    <row r="5741" spans="1:50" x14ac:dyDescent="0.25">
      <c r="A5741" s="2" t="s">
        <v>37418</v>
      </c>
      <c r="B5741" s="2">
        <v>344.28048372606901</v>
      </c>
      <c r="C5741" s="2">
        <v>8.59643333333333</v>
      </c>
      <c r="D5741" s="2" t="s">
        <v>51</v>
      </c>
      <c r="E5741" s="2" t="s">
        <v>37419</v>
      </c>
      <c r="F5741" s="2">
        <v>197364</v>
      </c>
      <c r="G5741" s="3" t="str">
        <f>HYPERLINK("https://cloud.oebiotech.com/#/lm/network/197364", "https://cloud.oebiotech.com/#/lm/network/197364")</f>
        <v>https://cloud.oebiotech.com/#/lm/network/197364</v>
      </c>
      <c r="H5741" s="2" t="s">
        <v>37420</v>
      </c>
      <c r="I5741" s="2"/>
      <c r="J5741" s="2"/>
      <c r="K5741" s="2"/>
      <c r="L5741" s="2"/>
      <c r="M5741" s="2"/>
      <c r="N5741" s="2"/>
      <c r="O5741" s="2"/>
      <c r="P5741" s="2"/>
      <c r="Q5741" s="2"/>
      <c r="R5741" s="2"/>
      <c r="S5741" s="2" t="s">
        <v>37421</v>
      </c>
      <c r="T5741" s="2" t="s">
        <v>37422</v>
      </c>
      <c r="U5741" s="2" t="s">
        <v>56</v>
      </c>
      <c r="V5741" s="2" t="s">
        <v>145</v>
      </c>
      <c r="W5741" s="2" t="s">
        <v>1188</v>
      </c>
      <c r="X5741" s="2" t="s">
        <v>69</v>
      </c>
      <c r="Y5741" s="2">
        <v>61.2</v>
      </c>
      <c r="Z5741" s="2">
        <v>63.1</v>
      </c>
      <c r="AA5741" s="2" t="s">
        <v>259</v>
      </c>
      <c r="AB5741" s="2" t="s">
        <v>27222</v>
      </c>
      <c r="AC5741" s="2">
        <v>2.7634753890949599</v>
      </c>
      <c r="AD5741" s="2"/>
      <c r="AE5741" s="2">
        <v>1.22455217776541E-2</v>
      </c>
      <c r="AF5741" s="2">
        <v>68739.134949107305</v>
      </c>
      <c r="AG5741" s="2">
        <v>62230.488679852599</v>
      </c>
      <c r="AH5741" s="5">
        <v>1.1045893485223699</v>
      </c>
      <c r="AI5741" s="5">
        <v>0.14351012078157999</v>
      </c>
      <c r="AJ5741" s="5" t="s">
        <v>139</v>
      </c>
      <c r="AK5741" s="2">
        <v>0.76148545768555198</v>
      </c>
      <c r="AL5741" s="2">
        <v>0.89152062866139503</v>
      </c>
      <c r="AM5741" s="2">
        <v>45206.404237178198</v>
      </c>
      <c r="AN5741" s="2">
        <v>54629.329092486601</v>
      </c>
      <c r="AO5741" s="2">
        <v>66304.023801297604</v>
      </c>
      <c r="AP5741" s="2">
        <v>87801.828497467301</v>
      </c>
      <c r="AQ5741" s="2">
        <v>79005.756126095293</v>
      </c>
      <c r="AR5741" s="2">
        <v>79487.467940118906</v>
      </c>
      <c r="AS5741" s="2">
        <v>62224.457115242403</v>
      </c>
      <c r="AT5741" s="2">
        <v>47092.4355928968</v>
      </c>
      <c r="AU5741" s="2">
        <v>29234.473803550201</v>
      </c>
      <c r="AV5741" s="2">
        <v>31057.638150213399</v>
      </c>
      <c r="AW5741" s="2">
        <v>157929.93474942099</v>
      </c>
      <c r="AX5741" s="2">
        <v>45843.992667791797</v>
      </c>
    </row>
    <row r="5742" spans="1:50" x14ac:dyDescent="0.25">
      <c r="A5742" s="2" t="s">
        <v>37423</v>
      </c>
      <c r="B5742" s="2">
        <v>429.19547647000797</v>
      </c>
      <c r="C5742" s="2">
        <v>5.24315</v>
      </c>
      <c r="D5742" s="2" t="s">
        <v>51</v>
      </c>
      <c r="E5742" s="2" t="s">
        <v>37424</v>
      </c>
      <c r="F5742" s="2">
        <v>265798</v>
      </c>
      <c r="G5742" s="3" t="str">
        <f>HYPERLINK("https://cloud.oebiotech.com/#/lm/network/265798", "https://cloud.oebiotech.com/#/lm/network/265798")</f>
        <v>https://cloud.oebiotech.com/#/lm/network/265798</v>
      </c>
      <c r="H5742" s="2"/>
      <c r="I5742" s="2">
        <v>23307</v>
      </c>
      <c r="J5742" s="2"/>
      <c r="K5742" s="2">
        <v>11976249</v>
      </c>
      <c r="L5742" s="2"/>
      <c r="M5742" s="2"/>
      <c r="N5742" s="2"/>
      <c r="O5742" s="2"/>
      <c r="P5742" s="2"/>
      <c r="Q5742" s="2"/>
      <c r="R5742" s="2"/>
      <c r="S5742" s="2" t="s">
        <v>37425</v>
      </c>
      <c r="T5742" s="2" t="s">
        <v>37426</v>
      </c>
      <c r="U5742" s="2" t="s">
        <v>103</v>
      </c>
      <c r="V5742" s="2" t="s">
        <v>104</v>
      </c>
      <c r="W5742" s="2" t="s">
        <v>105</v>
      </c>
      <c r="X5742" s="2" t="s">
        <v>83</v>
      </c>
      <c r="Y5742" s="2">
        <v>54.7</v>
      </c>
      <c r="Z5742" s="2">
        <v>0</v>
      </c>
      <c r="AA5742" s="2" t="s">
        <v>379</v>
      </c>
      <c r="AB5742" s="2" t="s">
        <v>37427</v>
      </c>
      <c r="AC5742" s="2">
        <v>-2.4741141889532101</v>
      </c>
      <c r="AD5742" s="2"/>
      <c r="AE5742" s="2">
        <v>1.22245411009511E-2</v>
      </c>
      <c r="AF5742" s="2">
        <v>938.51403896796603</v>
      </c>
      <c r="AG5742" s="2">
        <v>1037.7082558177699</v>
      </c>
      <c r="AH5742" s="4">
        <v>0.90441030386557897</v>
      </c>
      <c r="AI5742" s="4">
        <v>-0.14495066620892</v>
      </c>
      <c r="AJ5742" s="4" t="s">
        <v>62</v>
      </c>
      <c r="AK5742" s="2">
        <v>0.88490735469285497</v>
      </c>
      <c r="AL5742" s="2">
        <v>0.95000757066617403</v>
      </c>
      <c r="AM5742" s="2">
        <v>8.559877937157E-6</v>
      </c>
      <c r="AN5742" s="2">
        <v>2055.08187495434</v>
      </c>
      <c r="AO5742" s="2">
        <v>557.51029328877405</v>
      </c>
      <c r="AP5742" s="2">
        <v>8.559877937157E-6</v>
      </c>
      <c r="AQ5742" s="2">
        <v>8.559877937157E-6</v>
      </c>
      <c r="AR5742" s="2">
        <v>3018.49203988505</v>
      </c>
      <c r="AS5742" s="2">
        <v>8.559877937157E-6</v>
      </c>
      <c r="AT5742" s="2">
        <v>2271.3230297923301</v>
      </c>
      <c r="AU5742" s="2">
        <v>578.40693701666498</v>
      </c>
      <c r="AV5742" s="2">
        <v>2330.0526047149701</v>
      </c>
      <c r="AW5742" s="2">
        <v>429.235962641291</v>
      </c>
      <c r="AX5742" s="2">
        <v>617.23099218146899</v>
      </c>
    </row>
    <row r="5743" spans="1:50" x14ac:dyDescent="0.25">
      <c r="A5743" s="2" t="s">
        <v>37428</v>
      </c>
      <c r="B5743" s="2">
        <v>386.17012071133001</v>
      </c>
      <c r="C5743" s="2">
        <v>5.9617833333333303</v>
      </c>
      <c r="D5743" s="2" t="s">
        <v>51</v>
      </c>
      <c r="E5743" s="2" t="s">
        <v>37429</v>
      </c>
      <c r="F5743" s="2">
        <v>203598</v>
      </c>
      <c r="G5743" s="3" t="str">
        <f>HYPERLINK("https://cloud.oebiotech.com/#/lm/network/203598", "https://cloud.oebiotech.com/#/lm/network/203598")</f>
        <v>https://cloud.oebiotech.com/#/lm/network/203598</v>
      </c>
      <c r="H5743" s="2" t="s">
        <v>37430</v>
      </c>
      <c r="I5743" s="2"/>
      <c r="J5743" s="2"/>
      <c r="K5743" s="2">
        <v>4397</v>
      </c>
      <c r="L5743" s="2"/>
      <c r="M5743" s="2"/>
      <c r="N5743" s="2"/>
      <c r="O5743" s="2"/>
      <c r="P5743" s="2"/>
      <c r="Q5743" s="2"/>
      <c r="R5743" s="2"/>
      <c r="S5743" s="2" t="s">
        <v>37431</v>
      </c>
      <c r="T5743" s="2" t="s">
        <v>37432</v>
      </c>
      <c r="U5743" s="2" t="s">
        <v>295</v>
      </c>
      <c r="V5743" s="2" t="s">
        <v>5395</v>
      </c>
      <c r="W5743" s="2" t="s">
        <v>240</v>
      </c>
      <c r="X5743" s="2" t="s">
        <v>147</v>
      </c>
      <c r="Y5743" s="2">
        <v>37.6</v>
      </c>
      <c r="Z5743" s="2">
        <v>0</v>
      </c>
      <c r="AA5743" s="2" t="s">
        <v>122</v>
      </c>
      <c r="AB5743" s="2" t="s">
        <v>37433</v>
      </c>
      <c r="AC5743" s="2">
        <v>-0.34337510270078098</v>
      </c>
      <c r="AD5743" s="2"/>
      <c r="AE5743" s="2">
        <v>1.2167911428409501E-2</v>
      </c>
      <c r="AF5743" s="2">
        <v>908.254481569679</v>
      </c>
      <c r="AG5743" s="2">
        <v>742.609848196097</v>
      </c>
      <c r="AH5743" s="5">
        <v>1.22305741537896</v>
      </c>
      <c r="AI5743" s="5">
        <v>0.29049213153349601</v>
      </c>
      <c r="AJ5743" s="5" t="s">
        <v>139</v>
      </c>
      <c r="AK5743" s="2">
        <v>0.76014782261313196</v>
      </c>
      <c r="AL5743" s="2">
        <v>0.89152062866139503</v>
      </c>
      <c r="AM5743" s="2">
        <v>8.559877937157E-6</v>
      </c>
      <c r="AN5743" s="2">
        <v>2355.7206092660799</v>
      </c>
      <c r="AO5743" s="2">
        <v>385.925576301722</v>
      </c>
      <c r="AP5743" s="2">
        <v>1310.72781680875</v>
      </c>
      <c r="AQ5743" s="2">
        <v>458.62290675410497</v>
      </c>
      <c r="AR5743" s="2">
        <v>938.52997172753703</v>
      </c>
      <c r="AS5743" s="2">
        <v>2645.6823522591899</v>
      </c>
      <c r="AT5743" s="2">
        <v>306.094483983521</v>
      </c>
      <c r="AU5743" s="2">
        <v>521.41856405323006</v>
      </c>
      <c r="AV5743" s="2">
        <v>8.559877937157E-6</v>
      </c>
      <c r="AW5743" s="2">
        <v>127.739278613476</v>
      </c>
      <c r="AX5743" s="2">
        <v>854.72440170728703</v>
      </c>
    </row>
    <row r="5744" spans="1:50" x14ac:dyDescent="0.25">
      <c r="A5744" s="2" t="s">
        <v>37434</v>
      </c>
      <c r="B5744" s="2">
        <v>199.16981495381401</v>
      </c>
      <c r="C5744" s="2">
        <v>14.4369666666667</v>
      </c>
      <c r="D5744" s="2" t="s">
        <v>51</v>
      </c>
      <c r="E5744" s="2" t="s">
        <v>37435</v>
      </c>
      <c r="F5744" s="2">
        <v>721</v>
      </c>
      <c r="G5744" s="3" t="str">
        <f>HYPERLINK("https://cloud.oebiotech.com/#/lm/network/721", "https://cloud.oebiotech.com/#/lm/network/721")</f>
        <v>https://cloud.oebiotech.com/#/lm/network/721</v>
      </c>
      <c r="H5744" s="2" t="s">
        <v>37436</v>
      </c>
      <c r="I5744" s="2">
        <v>34891</v>
      </c>
      <c r="J5744" s="2" t="s">
        <v>37437</v>
      </c>
      <c r="K5744" s="2">
        <v>5312378</v>
      </c>
      <c r="L5744" s="2"/>
      <c r="M5744" s="2"/>
      <c r="N5744" s="2"/>
      <c r="O5744" s="2">
        <v>86595</v>
      </c>
      <c r="P5744" s="2"/>
      <c r="Q5744" s="2"/>
      <c r="R5744" s="2" t="s">
        <v>37438</v>
      </c>
      <c r="S5744" s="2" t="s">
        <v>37439</v>
      </c>
      <c r="T5744" s="2" t="s">
        <v>37440</v>
      </c>
      <c r="U5744" s="2" t="s">
        <v>56</v>
      </c>
      <c r="V5744" s="2" t="s">
        <v>145</v>
      </c>
      <c r="W5744" s="2" t="s">
        <v>231</v>
      </c>
      <c r="X5744" s="2" t="s">
        <v>59</v>
      </c>
      <c r="Y5744" s="2">
        <v>50.9</v>
      </c>
      <c r="Z5744" s="2">
        <v>61.1</v>
      </c>
      <c r="AA5744" s="2" t="s">
        <v>179</v>
      </c>
      <c r="AB5744" s="2" t="s">
        <v>31539</v>
      </c>
      <c r="AC5744" s="2">
        <v>2.8187907374533698</v>
      </c>
      <c r="AD5744" s="2"/>
      <c r="AE5744" s="2">
        <v>1.21390263056837E-2</v>
      </c>
      <c r="AF5744" s="2">
        <v>17739.067553715598</v>
      </c>
      <c r="AG5744" s="2">
        <v>17558.1060760049</v>
      </c>
      <c r="AH5744" s="5">
        <v>1.01030643492683</v>
      </c>
      <c r="AI5744" s="5">
        <v>1.47929415882267E-2</v>
      </c>
      <c r="AJ5744" s="5" t="s">
        <v>139</v>
      </c>
      <c r="AK5744" s="2">
        <v>0.97135125502221098</v>
      </c>
      <c r="AL5744" s="2">
        <v>0.98915546194842796</v>
      </c>
      <c r="AM5744" s="2">
        <v>20604.356500496098</v>
      </c>
      <c r="AN5744" s="2">
        <v>10593.594526511701</v>
      </c>
      <c r="AO5744" s="2">
        <v>15192.880231724799</v>
      </c>
      <c r="AP5744" s="2">
        <v>25942.818692859299</v>
      </c>
      <c r="AQ5744" s="2">
        <v>25095.697238741199</v>
      </c>
      <c r="AR5744" s="2">
        <v>9005.0581319605408</v>
      </c>
      <c r="AS5744" s="2">
        <v>12781.631632824899</v>
      </c>
      <c r="AT5744" s="2">
        <v>28803.937722282801</v>
      </c>
      <c r="AU5744" s="2">
        <v>10744.101017339301</v>
      </c>
      <c r="AV5744" s="2">
        <v>8365.3547341223493</v>
      </c>
      <c r="AW5744" s="2">
        <v>30554.556785783301</v>
      </c>
      <c r="AX5744" s="2">
        <v>14099.054563677</v>
      </c>
    </row>
    <row r="5745" spans="1:50" x14ac:dyDescent="0.25">
      <c r="A5745" s="2" t="s">
        <v>37441</v>
      </c>
      <c r="B5745" s="2">
        <v>412.30715861131898</v>
      </c>
      <c r="C5745" s="2">
        <v>8.4163499999999996</v>
      </c>
      <c r="D5745" s="2" t="s">
        <v>51</v>
      </c>
      <c r="E5745" s="2" t="s">
        <v>37442</v>
      </c>
      <c r="F5745" s="2">
        <v>10447</v>
      </c>
      <c r="G5745" s="3" t="str">
        <f>HYPERLINK("https://cloud.oebiotech.com/#/lm/network/10447", "https://cloud.oebiotech.com/#/lm/network/10447")</f>
        <v>https://cloud.oebiotech.com/#/lm/network/10447</v>
      </c>
      <c r="H5745" s="2" t="s">
        <v>37443</v>
      </c>
      <c r="I5745" s="2">
        <v>75562</v>
      </c>
      <c r="J5745" s="2" t="s">
        <v>37444</v>
      </c>
      <c r="K5745" s="2">
        <v>53477519</v>
      </c>
      <c r="L5745" s="2"/>
      <c r="M5745" s="2"/>
      <c r="N5745" s="2"/>
      <c r="O5745" s="2"/>
      <c r="P5745" s="2"/>
      <c r="Q5745" s="2"/>
      <c r="R5745" s="2"/>
      <c r="S5745" s="2" t="s">
        <v>37445</v>
      </c>
      <c r="T5745" s="2" t="s">
        <v>37446</v>
      </c>
      <c r="U5745" s="2" t="s">
        <v>56</v>
      </c>
      <c r="V5745" s="2" t="s">
        <v>33894</v>
      </c>
      <c r="W5745" s="2" t="s">
        <v>240</v>
      </c>
      <c r="X5745" s="2" t="s">
        <v>83</v>
      </c>
      <c r="Y5745" s="2">
        <v>40.5</v>
      </c>
      <c r="Z5745" s="2">
        <v>0</v>
      </c>
      <c r="AA5745" s="2" t="s">
        <v>512</v>
      </c>
      <c r="AB5745" s="2" t="s">
        <v>33217</v>
      </c>
      <c r="AC5745" s="2">
        <v>3.5730793200806699</v>
      </c>
      <c r="AD5745" s="2"/>
      <c r="AE5745" s="2">
        <v>1.2127558911530599E-2</v>
      </c>
      <c r="AF5745" s="2">
        <v>6146.2278610447202</v>
      </c>
      <c r="AG5745" s="2">
        <v>5696.9335904224799</v>
      </c>
      <c r="AH5745" s="5">
        <v>1.07886598351394</v>
      </c>
      <c r="AI5745" s="5">
        <v>0.109515664707324</v>
      </c>
      <c r="AJ5745" s="5" t="s">
        <v>139</v>
      </c>
      <c r="AK5745" s="2">
        <v>0.80930719634924497</v>
      </c>
      <c r="AL5745" s="2">
        <v>0.91490556570935899</v>
      </c>
      <c r="AM5745" s="2">
        <v>2701.7060786773</v>
      </c>
      <c r="AN5745" s="2">
        <v>5990.5136852259002</v>
      </c>
      <c r="AO5745" s="2">
        <v>7947.6296795216304</v>
      </c>
      <c r="AP5745" s="2">
        <v>8338.2445736895297</v>
      </c>
      <c r="AQ5745" s="2">
        <v>5704.9807065683599</v>
      </c>
      <c r="AR5745" s="2">
        <v>6194.2924425856299</v>
      </c>
      <c r="AS5745" s="2">
        <v>3214.7581407123998</v>
      </c>
      <c r="AT5745" s="2">
        <v>3320.28451477608</v>
      </c>
      <c r="AU5745" s="2">
        <v>5183.5943430970501</v>
      </c>
      <c r="AV5745" s="2">
        <v>5573.1625877095503</v>
      </c>
      <c r="AW5745" s="2">
        <v>13509.519251924899</v>
      </c>
      <c r="AX5745" s="2">
        <v>3380.28270431488</v>
      </c>
    </row>
    <row r="5746" spans="1:50" x14ac:dyDescent="0.25">
      <c r="A5746" s="2" t="s">
        <v>37447</v>
      </c>
      <c r="B5746" s="2">
        <v>530.32488402918898</v>
      </c>
      <c r="C5746" s="2">
        <v>10.76145</v>
      </c>
      <c r="D5746" s="2" t="s">
        <v>51</v>
      </c>
      <c r="E5746" s="2" t="s">
        <v>37448</v>
      </c>
      <c r="F5746" s="2">
        <v>19822</v>
      </c>
      <c r="G5746" s="3" t="str">
        <f>HYPERLINK("https://cloud.oebiotech.com/#/lm/network/19822", "https://cloud.oebiotech.com/#/lm/network/19822")</f>
        <v>https://cloud.oebiotech.com/#/lm/network/19822</v>
      </c>
      <c r="H5746" s="2"/>
      <c r="I5746" s="2">
        <v>40269</v>
      </c>
      <c r="J5746" s="2" t="s">
        <v>37449</v>
      </c>
      <c r="K5746" s="2">
        <v>24779452</v>
      </c>
      <c r="L5746" s="2"/>
      <c r="M5746" s="2"/>
      <c r="N5746" s="2"/>
      <c r="O5746" s="2"/>
      <c r="P5746" s="2"/>
      <c r="Q5746" s="2"/>
      <c r="R5746" s="2"/>
      <c r="S5746" s="2" t="s">
        <v>37450</v>
      </c>
      <c r="T5746" s="2" t="s">
        <v>37451</v>
      </c>
      <c r="U5746" s="2" t="s">
        <v>56</v>
      </c>
      <c r="V5746" s="2" t="s">
        <v>57</v>
      </c>
      <c r="W5746" s="2" t="s">
        <v>58</v>
      </c>
      <c r="X5746" s="2" t="s">
        <v>83</v>
      </c>
      <c r="Y5746" s="2">
        <v>42.4</v>
      </c>
      <c r="Z5746" s="2">
        <v>0</v>
      </c>
      <c r="AA5746" s="2" t="s">
        <v>163</v>
      </c>
      <c r="AB5746" s="2" t="s">
        <v>37452</v>
      </c>
      <c r="AC5746" s="2">
        <v>-0.61941258449110803</v>
      </c>
      <c r="AD5746" s="2"/>
      <c r="AE5746" s="2">
        <v>1.19954948493544E-2</v>
      </c>
      <c r="AF5746" s="2">
        <v>4724.4072892150698</v>
      </c>
      <c r="AG5746" s="2">
        <v>5070.7227062679003</v>
      </c>
      <c r="AH5746" s="4">
        <v>0.93170294707207102</v>
      </c>
      <c r="AI5746" s="4">
        <v>-0.102058038180214</v>
      </c>
      <c r="AJ5746" s="4" t="s">
        <v>62</v>
      </c>
      <c r="AK5746" s="2">
        <v>0.84077832305525302</v>
      </c>
      <c r="AL5746" s="2">
        <v>0.92963204272259004</v>
      </c>
      <c r="AM5746" s="2">
        <v>10166.6887179963</v>
      </c>
      <c r="AN5746" s="2">
        <v>3199.31329006953</v>
      </c>
      <c r="AO5746" s="2">
        <v>2973.77070558885</v>
      </c>
      <c r="AP5746" s="2">
        <v>4651.1702464703703</v>
      </c>
      <c r="AQ5746" s="2">
        <v>3589.4287265939902</v>
      </c>
      <c r="AR5746" s="2">
        <v>3766.07204857137</v>
      </c>
      <c r="AS5746" s="2">
        <v>1593.8550110952399</v>
      </c>
      <c r="AT5746" s="2">
        <v>873.84454222544605</v>
      </c>
      <c r="AU5746" s="2">
        <v>7078.2690337710201</v>
      </c>
      <c r="AV5746" s="2">
        <v>8135.3747848702797</v>
      </c>
      <c r="AW5746" s="2">
        <v>5700.8224574383603</v>
      </c>
      <c r="AX5746" s="2">
        <v>7042.1704082070401</v>
      </c>
    </row>
    <row r="5747" spans="1:50" x14ac:dyDescent="0.25">
      <c r="A5747" s="2" t="s">
        <v>37453</v>
      </c>
      <c r="B5747" s="2">
        <v>161.039433711957</v>
      </c>
      <c r="C5747" s="2">
        <v>3.3387333333333298</v>
      </c>
      <c r="D5747" s="2" t="s">
        <v>51</v>
      </c>
      <c r="E5747" s="2" t="s">
        <v>37454</v>
      </c>
      <c r="F5747" s="2">
        <v>64453</v>
      </c>
      <c r="G5747" s="3" t="str">
        <f>HYPERLINK("https://cloud.oebiotech.com/#/lm/network/64453", "https://cloud.oebiotech.com/#/lm/network/64453")</f>
        <v>https://cloud.oebiotech.com/#/lm/network/64453</v>
      </c>
      <c r="H5747" s="2" t="s">
        <v>37455</v>
      </c>
      <c r="I5747" s="2">
        <v>95766</v>
      </c>
      <c r="J5747" s="2"/>
      <c r="K5747" s="2">
        <v>3734338</v>
      </c>
      <c r="L5747" s="2"/>
      <c r="M5747" s="2"/>
      <c r="N5747" s="2"/>
      <c r="O5747" s="2"/>
      <c r="P5747" s="2"/>
      <c r="Q5747" s="2"/>
      <c r="R5747" s="2" t="s">
        <v>37456</v>
      </c>
      <c r="S5747" s="2" t="s">
        <v>37457</v>
      </c>
      <c r="T5747" s="2" t="s">
        <v>37458</v>
      </c>
      <c r="U5747" s="2" t="s">
        <v>610</v>
      </c>
      <c r="V5747" s="2" t="s">
        <v>37459</v>
      </c>
      <c r="W5747" s="2" t="s">
        <v>240</v>
      </c>
      <c r="X5747" s="2" t="s">
        <v>147</v>
      </c>
      <c r="Y5747" s="2">
        <v>36.6</v>
      </c>
      <c r="Z5747" s="2">
        <v>0</v>
      </c>
      <c r="AA5747" s="2" t="s">
        <v>95</v>
      </c>
      <c r="AB5747" s="2" t="s">
        <v>37460</v>
      </c>
      <c r="AC5747" s="2">
        <v>-0.784415000892694</v>
      </c>
      <c r="AD5747" s="2"/>
      <c r="AE5747" s="2">
        <v>1.19953756775888E-2</v>
      </c>
      <c r="AF5747" s="2">
        <v>1233.81113296495</v>
      </c>
      <c r="AG5747" s="2">
        <v>1167.98014663872</v>
      </c>
      <c r="AH5747" s="5">
        <v>1.05636310387268</v>
      </c>
      <c r="AI5747" s="5">
        <v>7.9105817759730399E-2</v>
      </c>
      <c r="AJ5747" s="5" t="s">
        <v>139</v>
      </c>
      <c r="AK5747" s="2">
        <v>0.73127312157387703</v>
      </c>
      <c r="AL5747" s="2">
        <v>0.87619950005733704</v>
      </c>
      <c r="AM5747" s="2">
        <v>1023.4269914128</v>
      </c>
      <c r="AN5747" s="2">
        <v>955.26318068654098</v>
      </c>
      <c r="AO5747" s="2">
        <v>1248.8871655964299</v>
      </c>
      <c r="AP5747" s="2">
        <v>1383.6043930406699</v>
      </c>
      <c r="AQ5747" s="2">
        <v>1825.4269936020701</v>
      </c>
      <c r="AR5747" s="2">
        <v>966.25807345116596</v>
      </c>
      <c r="AS5747" s="2">
        <v>1694.63797674839</v>
      </c>
      <c r="AT5747" s="2">
        <v>1336.0859745145401</v>
      </c>
      <c r="AU5747" s="2">
        <v>1144.09801793776</v>
      </c>
      <c r="AV5747" s="2">
        <v>979.933269166527</v>
      </c>
      <c r="AW5747" s="2">
        <v>831.79923136018294</v>
      </c>
      <c r="AX5747" s="2">
        <v>1021.32641010494</v>
      </c>
    </row>
    <row r="5748" spans="1:50" x14ac:dyDescent="0.25">
      <c r="A5748" s="2" t="s">
        <v>37461</v>
      </c>
      <c r="B5748" s="2">
        <v>239.20125822009101</v>
      </c>
      <c r="C5748" s="2">
        <v>7.69593333333333</v>
      </c>
      <c r="D5748" s="2" t="s">
        <v>51</v>
      </c>
      <c r="E5748" s="2" t="s">
        <v>37462</v>
      </c>
      <c r="F5748" s="2">
        <v>55957</v>
      </c>
      <c r="G5748" s="3" t="str">
        <f>HYPERLINK("https://cloud.oebiotech.com/#/lm/network/55957", "https://cloud.oebiotech.com/#/lm/network/55957")</f>
        <v>https://cloud.oebiotech.com/#/lm/network/55957</v>
      </c>
      <c r="H5748" s="2" t="s">
        <v>37463</v>
      </c>
      <c r="I5748" s="2">
        <v>87636</v>
      </c>
      <c r="J5748" s="2"/>
      <c r="K5748" s="2">
        <v>14633005</v>
      </c>
      <c r="L5748" s="2"/>
      <c r="M5748" s="2"/>
      <c r="N5748" s="2"/>
      <c r="O5748" s="2"/>
      <c r="P5748" s="2"/>
      <c r="Q5748" s="2"/>
      <c r="R5748" s="2" t="s">
        <v>37464</v>
      </c>
      <c r="S5748" s="2" t="s">
        <v>37465</v>
      </c>
      <c r="T5748" s="2" t="s">
        <v>37466</v>
      </c>
      <c r="U5748" s="2" t="s">
        <v>56</v>
      </c>
      <c r="V5748" s="2" t="s">
        <v>177</v>
      </c>
      <c r="W5748" s="2" t="s">
        <v>1996</v>
      </c>
      <c r="X5748" s="2" t="s">
        <v>83</v>
      </c>
      <c r="Y5748" s="2">
        <v>37.700000000000003</v>
      </c>
      <c r="Z5748" s="2">
        <v>0</v>
      </c>
      <c r="AA5748" s="2" t="s">
        <v>259</v>
      </c>
      <c r="AB5748" s="2" t="s">
        <v>34894</v>
      </c>
      <c r="AC5748" s="2">
        <v>2.9459905443603902</v>
      </c>
      <c r="AD5748" s="2"/>
      <c r="AE5748" s="2">
        <v>1.1914706095144501E-2</v>
      </c>
      <c r="AF5748" s="2">
        <v>1405.4123860524501</v>
      </c>
      <c r="AG5748" s="2">
        <v>1437.2065762833199</v>
      </c>
      <c r="AH5748" s="4">
        <v>0.97787778684321702</v>
      </c>
      <c r="AI5748" s="4">
        <v>-3.2273923505956398E-2</v>
      </c>
      <c r="AJ5748" s="4" t="s">
        <v>62</v>
      </c>
      <c r="AK5748" s="2">
        <v>0.85332108302587795</v>
      </c>
      <c r="AL5748" s="2">
        <v>0.93549430478880702</v>
      </c>
      <c r="AM5748" s="2">
        <v>1214.55638980755</v>
      </c>
      <c r="AN5748" s="2">
        <v>1497.8339743977201</v>
      </c>
      <c r="AO5748" s="2">
        <v>1834.52848540491</v>
      </c>
      <c r="AP5748" s="2">
        <v>1395.3298690418201</v>
      </c>
      <c r="AQ5748" s="2">
        <v>1408.5743357732899</v>
      </c>
      <c r="AR5748" s="2">
        <v>1081.6512618894201</v>
      </c>
      <c r="AS5748" s="2">
        <v>1967.4353969318299</v>
      </c>
      <c r="AT5748" s="2">
        <v>1611.0301925307699</v>
      </c>
      <c r="AU5748" s="2">
        <v>1093.99102814495</v>
      </c>
      <c r="AV5748" s="2">
        <v>1284.3702708973001</v>
      </c>
      <c r="AW5748" s="2">
        <v>1202.21524196004</v>
      </c>
      <c r="AX5748" s="2">
        <v>1464.1973272350399</v>
      </c>
    </row>
    <row r="5749" spans="1:50" x14ac:dyDescent="0.25">
      <c r="A5749" s="2" t="s">
        <v>37467</v>
      </c>
      <c r="B5749" s="2">
        <v>448.32459677507501</v>
      </c>
      <c r="C5749" s="2">
        <v>10.1716</v>
      </c>
      <c r="D5749" s="2" t="s">
        <v>51</v>
      </c>
      <c r="E5749" s="2" t="s">
        <v>37468</v>
      </c>
      <c r="F5749" s="2">
        <v>250064</v>
      </c>
      <c r="G5749" s="3" t="str">
        <f>HYPERLINK("https://cloud.oebiotech.com/#/lm/network/250064", "https://cloud.oebiotech.com/#/lm/network/250064")</f>
        <v>https://cloud.oebiotech.com/#/lm/network/250064</v>
      </c>
      <c r="H5749" s="2" t="s">
        <v>37469</v>
      </c>
      <c r="I5749" s="2"/>
      <c r="J5749" s="2"/>
      <c r="K5749" s="2"/>
      <c r="L5749" s="2"/>
      <c r="M5749" s="2"/>
      <c r="N5749" s="2"/>
      <c r="O5749" s="2"/>
      <c r="P5749" s="2"/>
      <c r="Q5749" s="2"/>
      <c r="R5749" s="2"/>
      <c r="S5749" s="2" t="s">
        <v>37470</v>
      </c>
      <c r="T5749" s="2" t="s">
        <v>37471</v>
      </c>
      <c r="U5749" s="2" t="s">
        <v>56</v>
      </c>
      <c r="V5749" s="2" t="s">
        <v>3215</v>
      </c>
      <c r="W5749" s="2" t="s">
        <v>3216</v>
      </c>
      <c r="X5749" s="2" t="s">
        <v>83</v>
      </c>
      <c r="Y5749" s="2">
        <v>38.6</v>
      </c>
      <c r="Z5749" s="2">
        <v>0</v>
      </c>
      <c r="AA5749" s="2" t="s">
        <v>512</v>
      </c>
      <c r="AB5749" s="2" t="s">
        <v>14595</v>
      </c>
      <c r="AC5749" s="2">
        <v>-5.3043821319693301</v>
      </c>
      <c r="AD5749" s="2"/>
      <c r="AE5749" s="2">
        <v>1.1879846167354701E-2</v>
      </c>
      <c r="AF5749" s="2">
        <v>17739.686084731198</v>
      </c>
      <c r="AG5749" s="2">
        <v>17752.6886389586</v>
      </c>
      <c r="AH5749" s="4">
        <v>0.99926757267634903</v>
      </c>
      <c r="AI5749" s="4">
        <v>-1.05705642341789E-3</v>
      </c>
      <c r="AJ5749" s="4" t="s">
        <v>62</v>
      </c>
      <c r="AK5749" s="2">
        <v>0.99363500354344603</v>
      </c>
      <c r="AL5749" s="2">
        <v>0.99650644689565104</v>
      </c>
      <c r="AM5749" s="2">
        <v>15580.0141508783</v>
      </c>
      <c r="AN5749" s="2">
        <v>14399.7409127797</v>
      </c>
      <c r="AO5749" s="2">
        <v>20114.436285732299</v>
      </c>
      <c r="AP5749" s="2">
        <v>17131.012980659601</v>
      </c>
      <c r="AQ5749" s="2">
        <v>21236.339431315399</v>
      </c>
      <c r="AR5749" s="2">
        <v>17976.572747021899</v>
      </c>
      <c r="AS5749" s="2">
        <v>18203.159710210701</v>
      </c>
      <c r="AT5749" s="2">
        <v>17256.0170866712</v>
      </c>
      <c r="AU5749" s="2">
        <v>21079.219322552799</v>
      </c>
      <c r="AV5749" s="2">
        <v>14056.5212804517</v>
      </c>
      <c r="AW5749" s="2">
        <v>20827.8808273293</v>
      </c>
      <c r="AX5749" s="2">
        <v>15093.3336065361</v>
      </c>
    </row>
    <row r="5750" spans="1:50" x14ac:dyDescent="0.25">
      <c r="A5750" s="2" t="s">
        <v>37472</v>
      </c>
      <c r="B5750" s="2">
        <v>179.07073735072299</v>
      </c>
      <c r="C5750" s="2">
        <v>4.8935333333333304</v>
      </c>
      <c r="D5750" s="2" t="s">
        <v>51</v>
      </c>
      <c r="E5750" s="2" t="s">
        <v>37473</v>
      </c>
      <c r="F5750" s="2">
        <v>144411</v>
      </c>
      <c r="G5750" s="3" t="str">
        <f>HYPERLINK("https://cloud.oebiotech.com/#/lm/network/144411", "https://cloud.oebiotech.com/#/lm/network/144411")</f>
        <v>https://cloud.oebiotech.com/#/lm/network/144411</v>
      </c>
      <c r="H5750" s="2" t="s">
        <v>37474</v>
      </c>
      <c r="I5750" s="2">
        <v>405516</v>
      </c>
      <c r="J5750" s="2"/>
      <c r="K5750" s="2">
        <v>2752054</v>
      </c>
      <c r="L5750" s="2"/>
      <c r="M5750" s="2"/>
      <c r="N5750" s="2"/>
      <c r="O5750" s="2"/>
      <c r="P5750" s="2"/>
      <c r="Q5750" s="2"/>
      <c r="R5750" s="2"/>
      <c r="S5750" s="2" t="s">
        <v>37475</v>
      </c>
      <c r="T5750" s="2" t="s">
        <v>37476</v>
      </c>
      <c r="U5750" s="2" t="s">
        <v>540</v>
      </c>
      <c r="V5750" s="2" t="s">
        <v>1916</v>
      </c>
      <c r="W5750" s="2" t="s">
        <v>240</v>
      </c>
      <c r="X5750" s="2" t="s">
        <v>83</v>
      </c>
      <c r="Y5750" s="2">
        <v>49.1</v>
      </c>
      <c r="Z5750" s="2">
        <v>0</v>
      </c>
      <c r="AA5750" s="2" t="s">
        <v>156</v>
      </c>
      <c r="AB5750" s="2" t="s">
        <v>12250</v>
      </c>
      <c r="AC5750" s="2">
        <v>2.3804211331291398</v>
      </c>
      <c r="AD5750" s="2"/>
      <c r="AE5750" s="2">
        <v>1.18368358076431E-2</v>
      </c>
      <c r="AF5750" s="2">
        <v>561.53396328572398</v>
      </c>
      <c r="AG5750" s="2">
        <v>556.26408588760796</v>
      </c>
      <c r="AH5750" s="5">
        <v>1.00947369699359</v>
      </c>
      <c r="AI5750" s="5">
        <v>1.3603320068807901E-2</v>
      </c>
      <c r="AJ5750" s="5" t="s">
        <v>139</v>
      </c>
      <c r="AK5750" s="2">
        <v>0.97185950789171804</v>
      </c>
      <c r="AL5750" s="2">
        <v>0.98915546194842796</v>
      </c>
      <c r="AM5750" s="2">
        <v>868.41053205073899</v>
      </c>
      <c r="AN5750" s="2">
        <v>437.06805115121699</v>
      </c>
      <c r="AO5750" s="2">
        <v>642.13687807062297</v>
      </c>
      <c r="AP5750" s="2">
        <v>763.16794604239203</v>
      </c>
      <c r="AQ5750" s="2">
        <v>337.45144766425301</v>
      </c>
      <c r="AR5750" s="2">
        <v>320.96892473511701</v>
      </c>
      <c r="AS5750" s="2">
        <v>834.40198951408604</v>
      </c>
      <c r="AT5750" s="2">
        <v>618.42619881755502</v>
      </c>
      <c r="AU5750" s="2">
        <v>588.19702270380901</v>
      </c>
      <c r="AV5750" s="2">
        <v>29.392131822169802</v>
      </c>
      <c r="AW5750" s="2">
        <v>624.26549047358606</v>
      </c>
      <c r="AX5750" s="2">
        <v>642.90168199444304</v>
      </c>
    </row>
    <row r="5751" spans="1:50" x14ac:dyDescent="0.25">
      <c r="A5751" s="2" t="s">
        <v>37477</v>
      </c>
      <c r="B5751" s="2">
        <v>472.19805041009897</v>
      </c>
      <c r="C5751" s="2">
        <v>4.2577833333333297</v>
      </c>
      <c r="D5751" s="2" t="s">
        <v>51</v>
      </c>
      <c r="E5751" s="2" t="s">
        <v>37478</v>
      </c>
      <c r="F5751" s="2">
        <v>82959</v>
      </c>
      <c r="G5751" s="3" t="str">
        <f>HYPERLINK("https://cloud.oebiotech.com/#/lm/network/82959", "https://cloud.oebiotech.com/#/lm/network/82959")</f>
        <v>https://cloud.oebiotech.com/#/lm/network/82959</v>
      </c>
      <c r="H5751" s="2" t="s">
        <v>37479</v>
      </c>
      <c r="I5751" s="2"/>
      <c r="J5751" s="2"/>
      <c r="K5751" s="2">
        <v>131770046</v>
      </c>
      <c r="L5751" s="2"/>
      <c r="M5751" s="2"/>
      <c r="N5751" s="2"/>
      <c r="O5751" s="2"/>
      <c r="P5751" s="2"/>
      <c r="Q5751" s="2"/>
      <c r="R5751" s="2"/>
      <c r="S5751" s="2" t="s">
        <v>37480</v>
      </c>
      <c r="T5751" s="2" t="s">
        <v>37481</v>
      </c>
      <c r="U5751" s="2" t="s">
        <v>266</v>
      </c>
      <c r="V5751" s="2" t="s">
        <v>31851</v>
      </c>
      <c r="W5751" s="2" t="s">
        <v>31852</v>
      </c>
      <c r="X5751" s="2" t="s">
        <v>83</v>
      </c>
      <c r="Y5751" s="2">
        <v>39.299999999999997</v>
      </c>
      <c r="Z5751" s="2">
        <v>0</v>
      </c>
      <c r="AA5751" s="2" t="s">
        <v>122</v>
      </c>
      <c r="AB5751" s="2" t="s">
        <v>37482</v>
      </c>
      <c r="AC5751" s="2">
        <v>1.9237446366819699</v>
      </c>
      <c r="AD5751" s="2"/>
      <c r="AE5751" s="2">
        <v>1.18087638620013E-2</v>
      </c>
      <c r="AF5751" s="2">
        <v>1778.45809925758</v>
      </c>
      <c r="AG5751" s="2">
        <v>1660.9030643277099</v>
      </c>
      <c r="AH5751" s="5">
        <v>1.0707777819516899</v>
      </c>
      <c r="AI5751" s="5">
        <v>9.8659109275615095E-2</v>
      </c>
      <c r="AJ5751" s="5" t="s">
        <v>139</v>
      </c>
      <c r="AK5751" s="2">
        <v>0.91269328225490898</v>
      </c>
      <c r="AL5751" s="2">
        <v>0.96314611033547703</v>
      </c>
      <c r="AM5751" s="2">
        <v>1115.92806519436</v>
      </c>
      <c r="AN5751" s="2">
        <v>409.73903046897101</v>
      </c>
      <c r="AO5751" s="2">
        <v>2321.7391278874702</v>
      </c>
      <c r="AP5751" s="2">
        <v>335.77745300940302</v>
      </c>
      <c r="AQ5751" s="2">
        <v>2921.9589665957501</v>
      </c>
      <c r="AR5751" s="2">
        <v>3565.6059523895501</v>
      </c>
      <c r="AS5751" s="2">
        <v>8.559877937157E-6</v>
      </c>
      <c r="AT5751" s="2">
        <v>1011.0661925573</v>
      </c>
      <c r="AU5751" s="2">
        <v>512.47263229556802</v>
      </c>
      <c r="AV5751" s="2">
        <v>5491.8658131305501</v>
      </c>
      <c r="AW5751" s="2">
        <v>2950.0137308630701</v>
      </c>
      <c r="AX5751" s="2">
        <v>8.559877937157E-6</v>
      </c>
    </row>
    <row r="5752" spans="1:50" x14ac:dyDescent="0.25">
      <c r="A5752" s="2" t="s">
        <v>37483</v>
      </c>
      <c r="B5752" s="2">
        <v>563.26894754446005</v>
      </c>
      <c r="C5752" s="2">
        <v>3.6894833333333299</v>
      </c>
      <c r="D5752" s="2" t="s">
        <v>51</v>
      </c>
      <c r="E5752" s="2" t="s">
        <v>37484</v>
      </c>
      <c r="F5752" s="2">
        <v>51910</v>
      </c>
      <c r="G5752" s="3" t="str">
        <f>HYPERLINK("https://cloud.oebiotech.com/#/lm/network/51910", "https://cloud.oebiotech.com/#/lm/network/51910")</f>
        <v>https://cloud.oebiotech.com/#/lm/network/51910</v>
      </c>
      <c r="H5752" s="2" t="s">
        <v>37485</v>
      </c>
      <c r="I5752" s="2"/>
      <c r="J5752" s="2"/>
      <c r="K5752" s="2"/>
      <c r="L5752" s="2"/>
      <c r="M5752" s="2"/>
      <c r="N5752" s="2"/>
      <c r="O5752" s="2"/>
      <c r="P5752" s="2"/>
      <c r="Q5752" s="2"/>
      <c r="R5752" s="2" t="s">
        <v>37486</v>
      </c>
      <c r="S5752" s="2" t="s">
        <v>37487</v>
      </c>
      <c r="T5752" s="2" t="s">
        <v>37488</v>
      </c>
      <c r="U5752" s="2" t="s">
        <v>56</v>
      </c>
      <c r="V5752" s="2" t="s">
        <v>145</v>
      </c>
      <c r="W5752" s="2" t="s">
        <v>3263</v>
      </c>
      <c r="X5752" s="2" t="s">
        <v>83</v>
      </c>
      <c r="Y5752" s="2">
        <v>40.4</v>
      </c>
      <c r="Z5752" s="2">
        <v>0</v>
      </c>
      <c r="AA5752" s="2" t="s">
        <v>512</v>
      </c>
      <c r="AB5752" s="2" t="s">
        <v>37489</v>
      </c>
      <c r="AC5752" s="2">
        <v>3.3289471256528298</v>
      </c>
      <c r="AD5752" s="2"/>
      <c r="AE5752" s="2">
        <v>1.17752043002297E-2</v>
      </c>
      <c r="AF5752" s="2">
        <v>3919.92523427378</v>
      </c>
      <c r="AG5752" s="2">
        <v>3536.03316206624</v>
      </c>
      <c r="AH5752" s="5">
        <v>1.1085657443278101</v>
      </c>
      <c r="AI5752" s="5">
        <v>0.148694332860246</v>
      </c>
      <c r="AJ5752" s="5" t="s">
        <v>139</v>
      </c>
      <c r="AK5752" s="2">
        <v>0.91993390304687495</v>
      </c>
      <c r="AL5752" s="2">
        <v>0.96547519393645298</v>
      </c>
      <c r="AM5752" s="2">
        <v>5168.63663116316</v>
      </c>
      <c r="AN5752" s="2">
        <v>8.559877937157E-6</v>
      </c>
      <c r="AO5752" s="2">
        <v>8.559877937157E-6</v>
      </c>
      <c r="AP5752" s="2">
        <v>8.559877937157E-6</v>
      </c>
      <c r="AQ5752" s="2">
        <v>13636.1071332348</v>
      </c>
      <c r="AR5752" s="2">
        <v>4714.8076155650797</v>
      </c>
      <c r="AS5752" s="2">
        <v>8.559877937157E-6</v>
      </c>
      <c r="AT5752" s="2">
        <v>376.92792845441198</v>
      </c>
      <c r="AU5752" s="2">
        <v>8.559877937157E-6</v>
      </c>
      <c r="AV5752" s="2">
        <v>18516.1160135998</v>
      </c>
      <c r="AW5752" s="2">
        <v>8.559877937157E-6</v>
      </c>
      <c r="AX5752" s="2">
        <v>2323.1550046635898</v>
      </c>
    </row>
    <row r="5753" spans="1:50" x14ac:dyDescent="0.25">
      <c r="A5753" s="2" t="s">
        <v>37490</v>
      </c>
      <c r="B5753" s="2">
        <v>906.39594225045596</v>
      </c>
      <c r="C5753" s="2">
        <v>4.6654666666666698</v>
      </c>
      <c r="D5753" s="2" t="s">
        <v>51</v>
      </c>
      <c r="E5753" s="2" t="s">
        <v>37491</v>
      </c>
      <c r="F5753" s="2">
        <v>205016</v>
      </c>
      <c r="G5753" s="3" t="str">
        <f>HYPERLINK("https://cloud.oebiotech.com/#/lm/network/205016", "https://cloud.oebiotech.com/#/lm/network/205016")</f>
        <v>https://cloud.oebiotech.com/#/lm/network/205016</v>
      </c>
      <c r="H5753" s="2" t="s">
        <v>37492</v>
      </c>
      <c r="I5753" s="2"/>
      <c r="J5753" s="2"/>
      <c r="K5753" s="2">
        <v>56626462</v>
      </c>
      <c r="L5753" s="2"/>
      <c r="M5753" s="2"/>
      <c r="N5753" s="2"/>
      <c r="O5753" s="2"/>
      <c r="P5753" s="2"/>
      <c r="Q5753" s="2"/>
      <c r="R5753" s="2"/>
      <c r="S5753" s="2" t="s">
        <v>37493</v>
      </c>
      <c r="T5753" s="2" t="s">
        <v>37494</v>
      </c>
      <c r="U5753" s="2" t="s">
        <v>56</v>
      </c>
      <c r="V5753" s="2" t="s">
        <v>283</v>
      </c>
      <c r="W5753" s="2" t="s">
        <v>2042</v>
      </c>
      <c r="X5753" s="2" t="s">
        <v>147</v>
      </c>
      <c r="Y5753" s="2">
        <v>42.8</v>
      </c>
      <c r="Z5753" s="2">
        <v>36.299999999999997</v>
      </c>
      <c r="AA5753" s="2" t="s">
        <v>379</v>
      </c>
      <c r="AB5753" s="2" t="s">
        <v>37495</v>
      </c>
      <c r="AC5753" s="2">
        <v>-4.9139717271423704</v>
      </c>
      <c r="AD5753" s="2"/>
      <c r="AE5753" s="2">
        <v>1.17381897131033E-2</v>
      </c>
      <c r="AF5753" s="2">
        <v>18571.539163435998</v>
      </c>
      <c r="AG5753" s="2">
        <v>20261.101541906599</v>
      </c>
      <c r="AH5753" s="4">
        <v>0.91661053694558503</v>
      </c>
      <c r="AI5753" s="4">
        <v>-0.12561922450159699</v>
      </c>
      <c r="AJ5753" s="4" t="s">
        <v>62</v>
      </c>
      <c r="AK5753" s="2">
        <v>0.80856133071611402</v>
      </c>
      <c r="AL5753" s="2">
        <v>0.91454155466975995</v>
      </c>
      <c r="AM5753" s="2">
        <v>36872.801589307397</v>
      </c>
      <c r="AN5753" s="2">
        <v>14552.191404983299</v>
      </c>
      <c r="AO5753" s="2">
        <v>21206.990943836499</v>
      </c>
      <c r="AP5753" s="2">
        <v>13774.235398687701</v>
      </c>
      <c r="AQ5753" s="2">
        <v>9389.4649354898593</v>
      </c>
      <c r="AR5753" s="2">
        <v>15633.550708311301</v>
      </c>
      <c r="AS5753" s="2">
        <v>7633.8923881425098</v>
      </c>
      <c r="AT5753" s="2">
        <v>16456.5171355315</v>
      </c>
      <c r="AU5753" s="2">
        <v>21078.6335933031</v>
      </c>
      <c r="AV5753" s="2">
        <v>45397.167886633499</v>
      </c>
      <c r="AW5753" s="2">
        <v>20880.100622123002</v>
      </c>
      <c r="AX5753" s="2">
        <v>10120.2976257058</v>
      </c>
    </row>
    <row r="5754" spans="1:50" x14ac:dyDescent="0.25">
      <c r="A5754" s="2" t="s">
        <v>37496</v>
      </c>
      <c r="B5754" s="2">
        <v>295.096856399464</v>
      </c>
      <c r="C5754" s="2">
        <v>0.71519999999999995</v>
      </c>
      <c r="D5754" s="2" t="s">
        <v>51</v>
      </c>
      <c r="E5754" s="2" t="s">
        <v>37497</v>
      </c>
      <c r="F5754" s="2">
        <v>61980</v>
      </c>
      <c r="G5754" s="3" t="str">
        <f>HYPERLINK("https://cloud.oebiotech.com/#/lm/network/61980", "https://cloud.oebiotech.com/#/lm/network/61980")</f>
        <v>https://cloud.oebiotech.com/#/lm/network/61980</v>
      </c>
      <c r="H5754" s="2" t="s">
        <v>37498</v>
      </c>
      <c r="I5754" s="2">
        <v>93274</v>
      </c>
      <c r="J5754" s="2"/>
      <c r="K5754" s="2">
        <v>13894653</v>
      </c>
      <c r="L5754" s="2"/>
      <c r="M5754" s="2"/>
      <c r="N5754" s="2"/>
      <c r="O5754" s="2">
        <v>174787</v>
      </c>
      <c r="P5754" s="2"/>
      <c r="Q5754" s="2"/>
      <c r="R5754" s="2" t="s">
        <v>37499</v>
      </c>
      <c r="S5754" s="2" t="s">
        <v>37500</v>
      </c>
      <c r="T5754" s="2" t="s">
        <v>37501</v>
      </c>
      <c r="U5754" s="2" t="s">
        <v>103</v>
      </c>
      <c r="V5754" s="2" t="s">
        <v>104</v>
      </c>
      <c r="W5754" s="2" t="s">
        <v>105</v>
      </c>
      <c r="X5754" s="2" t="s">
        <v>147</v>
      </c>
      <c r="Y5754" s="2">
        <v>42.9</v>
      </c>
      <c r="Z5754" s="2">
        <v>25.4</v>
      </c>
      <c r="AA5754" s="2" t="s">
        <v>259</v>
      </c>
      <c r="AB5754" s="2" t="s">
        <v>37502</v>
      </c>
      <c r="AC5754" s="2">
        <v>3.4773989618885999</v>
      </c>
      <c r="AD5754" s="2"/>
      <c r="AE5754" s="2">
        <v>1.1675945473681301E-2</v>
      </c>
      <c r="AF5754" s="2">
        <v>4769.4988703587996</v>
      </c>
      <c r="AG5754" s="2">
        <v>4990.5879628347302</v>
      </c>
      <c r="AH5754" s="4">
        <v>0.95569878857513402</v>
      </c>
      <c r="AI5754" s="4">
        <v>-6.5372105030852404E-2</v>
      </c>
      <c r="AJ5754" s="4" t="s">
        <v>62</v>
      </c>
      <c r="AK5754" s="2">
        <v>0.92419127168892101</v>
      </c>
      <c r="AL5754" s="2">
        <v>0.96702918223777301</v>
      </c>
      <c r="AM5754" s="2">
        <v>5808.2815503495704</v>
      </c>
      <c r="AN5754" s="2">
        <v>4059.2978605532498</v>
      </c>
      <c r="AO5754" s="2">
        <v>5232.8222551319795</v>
      </c>
      <c r="AP5754" s="2">
        <v>6840.9670419174399</v>
      </c>
      <c r="AQ5754" s="2">
        <v>2760.8313162905702</v>
      </c>
      <c r="AR5754" s="2">
        <v>3914.7931979099599</v>
      </c>
      <c r="AS5754" s="2">
        <v>1726.9260606058899</v>
      </c>
      <c r="AT5754" s="2">
        <v>1203.81543914586</v>
      </c>
      <c r="AU5754" s="2">
        <v>14546.100370783501</v>
      </c>
      <c r="AV5754" s="2">
        <v>5066.26980273357</v>
      </c>
      <c r="AW5754" s="2">
        <v>272.03297184217098</v>
      </c>
      <c r="AX5754" s="2">
        <v>7128.3831318973598</v>
      </c>
    </row>
    <row r="5755" spans="1:50" x14ac:dyDescent="0.25">
      <c r="A5755" s="2" t="s">
        <v>37503</v>
      </c>
      <c r="B5755" s="2">
        <v>351.290623419947</v>
      </c>
      <c r="C5755" s="2">
        <v>12.1138666666667</v>
      </c>
      <c r="D5755" s="2" t="s">
        <v>51</v>
      </c>
      <c r="E5755" s="2" t="s">
        <v>37504</v>
      </c>
      <c r="F5755" s="2">
        <v>1531</v>
      </c>
      <c r="G5755" s="3" t="str">
        <f>HYPERLINK("https://cloud.oebiotech.com/#/lm/network/1531", "https://cloud.oebiotech.com/#/lm/network/1531")</f>
        <v>https://cloud.oebiotech.com/#/lm/network/1531</v>
      </c>
      <c r="H5755" s="2"/>
      <c r="I5755" s="2"/>
      <c r="J5755" s="2" t="s">
        <v>37505</v>
      </c>
      <c r="K5755" s="2">
        <v>145721311</v>
      </c>
      <c r="L5755" s="2"/>
      <c r="M5755" s="2"/>
      <c r="N5755" s="2"/>
      <c r="O5755" s="2"/>
      <c r="P5755" s="2"/>
      <c r="Q5755" s="2"/>
      <c r="R5755" s="2"/>
      <c r="S5755" s="2" t="s">
        <v>37506</v>
      </c>
      <c r="T5755" s="2" t="s">
        <v>37507</v>
      </c>
      <c r="U5755" s="2" t="s">
        <v>56</v>
      </c>
      <c r="V5755" s="2" t="s">
        <v>145</v>
      </c>
      <c r="W5755" s="2" t="s">
        <v>231</v>
      </c>
      <c r="X5755" s="2" t="s">
        <v>83</v>
      </c>
      <c r="Y5755" s="2">
        <v>40.9</v>
      </c>
      <c r="Z5755" s="2">
        <v>0</v>
      </c>
      <c r="AA5755" s="2" t="s">
        <v>163</v>
      </c>
      <c r="AB5755" s="2" t="s">
        <v>37508</v>
      </c>
      <c r="AC5755" s="2">
        <v>0.43914691112354298</v>
      </c>
      <c r="AD5755" s="2"/>
      <c r="AE5755" s="2">
        <v>1.1612541443518301E-2</v>
      </c>
      <c r="AF5755" s="2">
        <v>616.17546100076095</v>
      </c>
      <c r="AG5755" s="2">
        <v>914.56535186373799</v>
      </c>
      <c r="AH5755" s="4">
        <v>0.67373584593500402</v>
      </c>
      <c r="AI5755" s="4">
        <v>-0.56974503531738996</v>
      </c>
      <c r="AJ5755" s="4" t="s">
        <v>62</v>
      </c>
      <c r="AK5755" s="2">
        <v>0.65958208177131505</v>
      </c>
      <c r="AL5755" s="2">
        <v>0.83459906638454795</v>
      </c>
      <c r="AM5755" s="2">
        <v>1712.1681492237899</v>
      </c>
      <c r="AN5755" s="2">
        <v>201.39784905496501</v>
      </c>
      <c r="AO5755" s="2">
        <v>846.41803316764197</v>
      </c>
      <c r="AP5755" s="2">
        <v>268.04710133970599</v>
      </c>
      <c r="AQ5755" s="2">
        <v>246.47284427552199</v>
      </c>
      <c r="AR5755" s="2">
        <v>422.54878894294001</v>
      </c>
      <c r="AS5755" s="2">
        <v>8.559877937157E-6</v>
      </c>
      <c r="AT5755" s="2">
        <v>8.559877937157E-6</v>
      </c>
      <c r="AU5755" s="2">
        <v>3916.0205650263201</v>
      </c>
      <c r="AV5755" s="2">
        <v>270.16839799582903</v>
      </c>
      <c r="AW5755" s="2">
        <v>594.78740625278897</v>
      </c>
      <c r="AX5755" s="2">
        <v>706.41572478773696</v>
      </c>
    </row>
    <row r="5756" spans="1:50" x14ac:dyDescent="0.25">
      <c r="A5756" s="2" t="s">
        <v>37509</v>
      </c>
      <c r="B5756" s="2">
        <v>157.049653787647</v>
      </c>
      <c r="C5756" s="2">
        <v>4.9007166666666704</v>
      </c>
      <c r="D5756" s="2" t="s">
        <v>51</v>
      </c>
      <c r="E5756" s="2" t="s">
        <v>37510</v>
      </c>
      <c r="F5756" s="2">
        <v>56643</v>
      </c>
      <c r="G5756" s="3" t="str">
        <f>HYPERLINK("https://cloud.oebiotech.com/#/lm/network/56643", "https://cloud.oebiotech.com/#/lm/network/56643")</f>
        <v>https://cloud.oebiotech.com/#/lm/network/56643</v>
      </c>
      <c r="H5756" s="2" t="s">
        <v>37511</v>
      </c>
      <c r="I5756" s="2">
        <v>88282</v>
      </c>
      <c r="J5756" s="2"/>
      <c r="K5756" s="2">
        <v>85730</v>
      </c>
      <c r="L5756" s="2"/>
      <c r="M5756" s="2"/>
      <c r="N5756" s="2"/>
      <c r="O5756" s="2"/>
      <c r="P5756" s="2"/>
      <c r="Q5756" s="2"/>
      <c r="R5756" s="2" t="s">
        <v>37512</v>
      </c>
      <c r="S5756" s="2" t="s">
        <v>37513</v>
      </c>
      <c r="T5756" s="2" t="s">
        <v>37514</v>
      </c>
      <c r="U5756" s="2" t="s">
        <v>266</v>
      </c>
      <c r="V5756" s="2" t="s">
        <v>10648</v>
      </c>
      <c r="W5756" s="2" t="s">
        <v>10649</v>
      </c>
      <c r="X5756" s="2" t="s">
        <v>83</v>
      </c>
      <c r="Y5756" s="2">
        <v>48.2</v>
      </c>
      <c r="Z5756" s="2">
        <v>0</v>
      </c>
      <c r="AA5756" s="2" t="s">
        <v>218</v>
      </c>
      <c r="AB5756" s="2" t="s">
        <v>16331</v>
      </c>
      <c r="AC5756" s="2">
        <v>-8.7332156665206302</v>
      </c>
      <c r="AD5756" s="2"/>
      <c r="AE5756" s="2">
        <v>1.15289117221432E-2</v>
      </c>
      <c r="AF5756" s="2">
        <v>681.00175504010804</v>
      </c>
      <c r="AG5756" s="2">
        <v>651.70311861375399</v>
      </c>
      <c r="AH5756" s="5">
        <v>1.0449570296497499</v>
      </c>
      <c r="AI5756" s="5">
        <v>6.3443617535036897E-2</v>
      </c>
      <c r="AJ5756" s="5" t="s">
        <v>139</v>
      </c>
      <c r="AK5756" s="2">
        <v>0.76382204387574304</v>
      </c>
      <c r="AL5756" s="2">
        <v>0.89233912008317295</v>
      </c>
      <c r="AM5756" s="2">
        <v>439.17558035190501</v>
      </c>
      <c r="AN5756" s="2">
        <v>742.09323516325605</v>
      </c>
      <c r="AO5756" s="2">
        <v>799.46947011883299</v>
      </c>
      <c r="AP5756" s="2">
        <v>714.35904173814504</v>
      </c>
      <c r="AQ5756" s="2">
        <v>743.03870978422401</v>
      </c>
      <c r="AR5756" s="2">
        <v>647.87449308428404</v>
      </c>
      <c r="AS5756" s="2">
        <v>684.253875428779</v>
      </c>
      <c r="AT5756" s="2">
        <v>987.46932676496203</v>
      </c>
      <c r="AU5756" s="2">
        <v>500.95924128807002</v>
      </c>
      <c r="AV5756" s="2">
        <v>696.79480431586501</v>
      </c>
      <c r="AW5756" s="2">
        <v>434.55249435714302</v>
      </c>
      <c r="AX5756" s="2">
        <v>606.18896952770604</v>
      </c>
    </row>
    <row r="5757" spans="1:50" x14ac:dyDescent="0.25">
      <c r="A5757" s="2" t="s">
        <v>37515</v>
      </c>
      <c r="B5757" s="2">
        <v>156.138742351622</v>
      </c>
      <c r="C5757" s="2">
        <v>4.0481166666666697</v>
      </c>
      <c r="D5757" s="2" t="s">
        <v>51</v>
      </c>
      <c r="E5757" s="2" t="s">
        <v>37516</v>
      </c>
      <c r="F5757" s="2">
        <v>2461</v>
      </c>
      <c r="G5757" s="3" t="str">
        <f>HYPERLINK("https://cloud.oebiotech.com/#/lm/network/2461", "https://cloud.oebiotech.com/#/lm/network/2461")</f>
        <v>https://cloud.oebiotech.com/#/lm/network/2461</v>
      </c>
      <c r="H5757" s="2"/>
      <c r="I5757" s="2">
        <v>74863</v>
      </c>
      <c r="J5757" s="2" t="s">
        <v>37517</v>
      </c>
      <c r="K5757" s="2">
        <v>136877</v>
      </c>
      <c r="L5757" s="2"/>
      <c r="M5757" s="2"/>
      <c r="N5757" s="2"/>
      <c r="O5757" s="2">
        <v>73740</v>
      </c>
      <c r="P5757" s="2"/>
      <c r="Q5757" s="2"/>
      <c r="R5757" s="2"/>
      <c r="S5757" s="2" t="s">
        <v>37518</v>
      </c>
      <c r="T5757" s="2" t="s">
        <v>37519</v>
      </c>
      <c r="U5757" s="2" t="s">
        <v>56</v>
      </c>
      <c r="V5757" s="2" t="s">
        <v>145</v>
      </c>
      <c r="W5757" s="2" t="s">
        <v>231</v>
      </c>
      <c r="X5757" s="2" t="s">
        <v>83</v>
      </c>
      <c r="Y5757" s="2">
        <v>40.6</v>
      </c>
      <c r="Z5757" s="2">
        <v>0</v>
      </c>
      <c r="AA5757" s="2" t="s">
        <v>156</v>
      </c>
      <c r="AB5757" s="2" t="s">
        <v>30782</v>
      </c>
      <c r="AC5757" s="2">
        <v>2.6091270228869301</v>
      </c>
      <c r="AD5757" s="2"/>
      <c r="AE5757" s="2">
        <v>1.15232150498392E-2</v>
      </c>
      <c r="AF5757" s="2">
        <v>1708.8210904842699</v>
      </c>
      <c r="AG5757" s="2">
        <v>1862.42347950928</v>
      </c>
      <c r="AH5757" s="4">
        <v>0.91752553019494698</v>
      </c>
      <c r="AI5757" s="4">
        <v>-0.124179793309488</v>
      </c>
      <c r="AJ5757" s="4" t="s">
        <v>62</v>
      </c>
      <c r="AK5757" s="2">
        <v>0.759859264914028</v>
      </c>
      <c r="AL5757" s="2">
        <v>0.89152062866139503</v>
      </c>
      <c r="AM5757" s="2">
        <v>2816.13372636954</v>
      </c>
      <c r="AN5757" s="2">
        <v>1838.7248696545901</v>
      </c>
      <c r="AO5757" s="2">
        <v>1541.1640563343501</v>
      </c>
      <c r="AP5757" s="2">
        <v>2098.5876026013302</v>
      </c>
      <c r="AQ5757" s="2">
        <v>920.95652254536799</v>
      </c>
      <c r="AR5757" s="2">
        <v>1037.35976540045</v>
      </c>
      <c r="AS5757" s="2">
        <v>831.10110092622403</v>
      </c>
      <c r="AT5757" s="2">
        <v>1929.66715438649</v>
      </c>
      <c r="AU5757" s="2">
        <v>3656.2079815666202</v>
      </c>
      <c r="AV5757" s="2">
        <v>1302.42542915328</v>
      </c>
      <c r="AW5757" s="2">
        <v>1583.6838352428699</v>
      </c>
      <c r="AX5757" s="2">
        <v>1871.45537578021</v>
      </c>
    </row>
    <row r="5758" spans="1:50" x14ac:dyDescent="0.25">
      <c r="A5758" s="2" t="s">
        <v>37520</v>
      </c>
      <c r="B5758" s="2">
        <v>188.03463239981301</v>
      </c>
      <c r="C5758" s="2">
        <v>3.88188333333333</v>
      </c>
      <c r="D5758" s="2" t="s">
        <v>51</v>
      </c>
      <c r="E5758" s="2" t="s">
        <v>37521</v>
      </c>
      <c r="F5758" s="2">
        <v>47176</v>
      </c>
      <c r="G5758" s="3" t="str">
        <f>HYPERLINK("https://cloud.oebiotech.com/#/lm/network/47176", "https://cloud.oebiotech.com/#/lm/network/47176")</f>
        <v>https://cloud.oebiotech.com/#/lm/network/47176</v>
      </c>
      <c r="H5758" s="2" t="s">
        <v>37522</v>
      </c>
      <c r="I5758" s="2">
        <v>5683</v>
      </c>
      <c r="J5758" s="2"/>
      <c r="K5758" s="2">
        <v>3845</v>
      </c>
      <c r="L5758" s="2" t="s">
        <v>37523</v>
      </c>
      <c r="M5758" s="2" t="s">
        <v>15319</v>
      </c>
      <c r="N5758" s="2" t="s">
        <v>15320</v>
      </c>
      <c r="O5758" s="2">
        <v>18344</v>
      </c>
      <c r="P5758" s="2" t="s">
        <v>37524</v>
      </c>
      <c r="Q5758" s="2" t="s">
        <v>37525</v>
      </c>
      <c r="R5758" s="2" t="s">
        <v>37526</v>
      </c>
      <c r="S5758" s="2" t="s">
        <v>37527</v>
      </c>
      <c r="T5758" s="2" t="s">
        <v>37528</v>
      </c>
      <c r="U5758" s="2" t="s">
        <v>266</v>
      </c>
      <c r="V5758" s="2" t="s">
        <v>1393</v>
      </c>
      <c r="W5758" s="2" t="s">
        <v>1643</v>
      </c>
      <c r="X5758" s="2" t="s">
        <v>83</v>
      </c>
      <c r="Y5758" s="2">
        <v>40</v>
      </c>
      <c r="Z5758" s="2">
        <v>0</v>
      </c>
      <c r="AA5758" s="2" t="s">
        <v>163</v>
      </c>
      <c r="AB5758" s="2" t="s">
        <v>30771</v>
      </c>
      <c r="AC5758" s="2">
        <v>-3.6195872343436299</v>
      </c>
      <c r="AD5758" s="2"/>
      <c r="AE5758" s="2">
        <v>1.14997173566173E-2</v>
      </c>
      <c r="AF5758" s="2">
        <v>936.55256695438004</v>
      </c>
      <c r="AG5758" s="2">
        <v>968.75108425577798</v>
      </c>
      <c r="AH5758" s="4">
        <v>0.96676285805023499</v>
      </c>
      <c r="AI5758" s="4">
        <v>-4.8766047452101897E-2</v>
      </c>
      <c r="AJ5758" s="4" t="s">
        <v>62</v>
      </c>
      <c r="AK5758" s="2">
        <v>0.92402900686275502</v>
      </c>
      <c r="AL5758" s="2">
        <v>0.96702918223777301</v>
      </c>
      <c r="AM5758" s="2">
        <v>585.35515153594997</v>
      </c>
      <c r="AN5758" s="2">
        <v>847.32873919803603</v>
      </c>
      <c r="AO5758" s="2">
        <v>1043.66667386926</v>
      </c>
      <c r="AP5758" s="2">
        <v>666.18751266209699</v>
      </c>
      <c r="AQ5758" s="2">
        <v>1070.5640812677</v>
      </c>
      <c r="AR5758" s="2">
        <v>1406.21324319324</v>
      </c>
      <c r="AS5758" s="2">
        <v>560.54277771147497</v>
      </c>
      <c r="AT5758" s="2">
        <v>1162.5450993690599</v>
      </c>
      <c r="AU5758" s="2">
        <v>986.40319838958305</v>
      </c>
      <c r="AV5758" s="2">
        <v>586.01205779891404</v>
      </c>
      <c r="AW5758" s="2">
        <v>2325.9486937019201</v>
      </c>
      <c r="AX5758" s="2">
        <v>191.054678563717</v>
      </c>
    </row>
    <row r="5759" spans="1:50" x14ac:dyDescent="0.25">
      <c r="A5759" s="2" t="s">
        <v>37529</v>
      </c>
      <c r="B5759" s="2">
        <v>353.21229188604701</v>
      </c>
      <c r="C5759" s="2">
        <v>11.4845333333333</v>
      </c>
      <c r="D5759" s="2" t="s">
        <v>51</v>
      </c>
      <c r="E5759" s="2" t="s">
        <v>37530</v>
      </c>
      <c r="F5759" s="2">
        <v>208267</v>
      </c>
      <c r="G5759" s="3" t="str">
        <f>HYPERLINK("https://cloud.oebiotech.com/#/lm/network/208267", "https://cloud.oebiotech.com/#/lm/network/208267")</f>
        <v>https://cloud.oebiotech.com/#/lm/network/208267</v>
      </c>
      <c r="H5759" s="2" t="s">
        <v>37531</v>
      </c>
      <c r="I5759" s="2"/>
      <c r="J5759" s="2"/>
      <c r="K5759" s="2">
        <v>22006198</v>
      </c>
      <c r="L5759" s="2"/>
      <c r="M5759" s="2"/>
      <c r="N5759" s="2"/>
      <c r="O5759" s="2"/>
      <c r="P5759" s="2"/>
      <c r="Q5759" s="2"/>
      <c r="R5759" s="2"/>
      <c r="S5759" s="2" t="s">
        <v>37532</v>
      </c>
      <c r="T5759" s="2" t="s">
        <v>37533</v>
      </c>
      <c r="U5759" s="2" t="s">
        <v>56</v>
      </c>
      <c r="V5759" s="2" t="s">
        <v>283</v>
      </c>
      <c r="W5759" s="2" t="s">
        <v>1663</v>
      </c>
      <c r="X5759" s="2" t="s">
        <v>83</v>
      </c>
      <c r="Y5759" s="2">
        <v>50</v>
      </c>
      <c r="Z5759" s="2">
        <v>27.8</v>
      </c>
      <c r="AA5759" s="2" t="s">
        <v>163</v>
      </c>
      <c r="AB5759" s="2" t="s">
        <v>37534</v>
      </c>
      <c r="AC5759" s="2">
        <v>0.207490746508223</v>
      </c>
      <c r="AD5759" s="2"/>
      <c r="AE5759" s="2">
        <v>1.14338271097035E-2</v>
      </c>
      <c r="AF5759" s="2">
        <v>153.451421340531</v>
      </c>
      <c r="AG5759" s="2">
        <v>163.14595821768299</v>
      </c>
      <c r="AH5759" s="4">
        <v>0.94057752344549606</v>
      </c>
      <c r="AI5759" s="4">
        <v>-8.8381237708649293E-2</v>
      </c>
      <c r="AJ5759" s="4" t="s">
        <v>62</v>
      </c>
      <c r="AK5759" s="2">
        <v>0.915767612908436</v>
      </c>
      <c r="AL5759" s="2">
        <v>0.96368552416939501</v>
      </c>
      <c r="AM5759" s="2">
        <v>8.559877937157E-6</v>
      </c>
      <c r="AN5759" s="2">
        <v>8.559877937157E-6</v>
      </c>
      <c r="AO5759" s="2">
        <v>280.56639467071602</v>
      </c>
      <c r="AP5759" s="2">
        <v>284.94210921778603</v>
      </c>
      <c r="AQ5759" s="2">
        <v>247.34130578161799</v>
      </c>
      <c r="AR5759" s="2">
        <v>107.858701253308</v>
      </c>
      <c r="AS5759" s="2">
        <v>150.79351030620899</v>
      </c>
      <c r="AT5759" s="2">
        <v>311.74136365793902</v>
      </c>
      <c r="AU5759" s="2">
        <v>92.836187856129499</v>
      </c>
      <c r="AV5759" s="2">
        <v>8.559877937157E-6</v>
      </c>
      <c r="AW5759" s="2">
        <v>423.504670366065</v>
      </c>
      <c r="AX5759" s="2">
        <v>8.559877937157E-6</v>
      </c>
    </row>
    <row r="5760" spans="1:50" x14ac:dyDescent="0.25">
      <c r="A5760" s="2" t="s">
        <v>37535</v>
      </c>
      <c r="B5760" s="2">
        <v>221.0943</v>
      </c>
      <c r="C5760" s="2">
        <v>9.0190000000000001</v>
      </c>
      <c r="D5760" s="2" t="s">
        <v>125</v>
      </c>
      <c r="E5760" s="2" t="s">
        <v>37536</v>
      </c>
      <c r="F5760" s="2">
        <v>2096</v>
      </c>
      <c r="G5760" s="3" t="str">
        <f>HYPERLINK("https://cloud.oebiotech.com/#/lm/network/2096", "https://cloud.oebiotech.com/#/lm/network/2096")</f>
        <v>https://cloud.oebiotech.com/#/lm/network/2096</v>
      </c>
      <c r="H5760" s="2" t="s">
        <v>37537</v>
      </c>
      <c r="I5760" s="2">
        <v>117</v>
      </c>
      <c r="J5760" s="2" t="s">
        <v>37538</v>
      </c>
      <c r="K5760" s="2">
        <v>1060</v>
      </c>
      <c r="L5760" s="2" t="s">
        <v>37539</v>
      </c>
      <c r="M5760" s="2" t="s">
        <v>37540</v>
      </c>
      <c r="N5760" s="2" t="s">
        <v>37541</v>
      </c>
      <c r="O5760" s="2">
        <v>32816</v>
      </c>
      <c r="P5760" s="2"/>
      <c r="Q5760" s="2"/>
      <c r="R5760" s="2" t="s">
        <v>37542</v>
      </c>
      <c r="S5760" s="2" t="s">
        <v>37543</v>
      </c>
      <c r="T5760" s="2" t="s">
        <v>37544</v>
      </c>
      <c r="U5760" s="2" t="s">
        <v>103</v>
      </c>
      <c r="V5760" s="2" t="s">
        <v>2602</v>
      </c>
      <c r="W5760" s="2" t="s">
        <v>37545</v>
      </c>
      <c r="X5760" s="2" t="s">
        <v>59</v>
      </c>
      <c r="Y5760" s="2">
        <v>71.7</v>
      </c>
      <c r="Z5760" s="2">
        <v>54</v>
      </c>
      <c r="AA5760" s="2"/>
      <c r="AB5760" s="2" t="s">
        <v>37546</v>
      </c>
      <c r="AC5760" s="2"/>
      <c r="AD5760" s="2">
        <v>303333.87077652599</v>
      </c>
      <c r="AE5760" s="2">
        <v>1.13397910795576E-2</v>
      </c>
      <c r="AF5760" s="2">
        <v>14648.316804595201</v>
      </c>
      <c r="AG5760" s="2">
        <v>15793.554968832599</v>
      </c>
      <c r="AH5760" s="4">
        <v>0.92748699285895597</v>
      </c>
      <c r="AI5760" s="4">
        <v>-0.108601045466011</v>
      </c>
      <c r="AJ5760" s="4" t="s">
        <v>62</v>
      </c>
      <c r="AK5760" s="2">
        <v>0.81640692957744498</v>
      </c>
      <c r="AL5760" s="2">
        <v>0.91889489993959605</v>
      </c>
      <c r="AM5760" s="2">
        <v>6989.0171157575196</v>
      </c>
      <c r="AN5760" s="2">
        <v>11284.542493270001</v>
      </c>
      <c r="AO5760" s="2">
        <v>11654.9371154152</v>
      </c>
      <c r="AP5760" s="2">
        <v>18871.568264050398</v>
      </c>
      <c r="AQ5760" s="2">
        <v>27322.236199999101</v>
      </c>
      <c r="AR5760" s="2">
        <v>11767.5996390788</v>
      </c>
      <c r="AS5760" s="2">
        <v>18286.281700397001</v>
      </c>
      <c r="AT5760" s="2">
        <v>26411.868631871701</v>
      </c>
      <c r="AU5760" s="2">
        <v>2299.8352172700202</v>
      </c>
      <c r="AV5760" s="2">
        <v>8782.2986265290692</v>
      </c>
      <c r="AW5760" s="2">
        <v>14528.6785818401</v>
      </c>
      <c r="AX5760" s="2">
        <v>24452.3670550877</v>
      </c>
    </row>
    <row r="5761" spans="1:50" x14ac:dyDescent="0.25">
      <c r="A5761" s="2" t="s">
        <v>37547</v>
      </c>
      <c r="B5761" s="2">
        <v>284.223028211398</v>
      </c>
      <c r="C5761" s="2">
        <v>10.96625</v>
      </c>
      <c r="D5761" s="2" t="s">
        <v>51</v>
      </c>
      <c r="E5761" s="2" t="s">
        <v>37548</v>
      </c>
      <c r="F5761" s="2">
        <v>52231</v>
      </c>
      <c r="G5761" s="3" t="str">
        <f>HYPERLINK("https://cloud.oebiotech.com/#/lm/network/52231", "https://cloud.oebiotech.com/#/lm/network/52231")</f>
        <v>https://cloud.oebiotech.com/#/lm/network/52231</v>
      </c>
      <c r="H5761" s="2" t="s">
        <v>37549</v>
      </c>
      <c r="I5761" s="2">
        <v>427157</v>
      </c>
      <c r="J5761" s="2"/>
      <c r="K5761" s="2">
        <v>72348</v>
      </c>
      <c r="L5761" s="2"/>
      <c r="M5761" s="2"/>
      <c r="N5761" s="2"/>
      <c r="O5761" s="2">
        <v>87142</v>
      </c>
      <c r="P5761" s="2"/>
      <c r="Q5761" s="2"/>
      <c r="R5761" s="2"/>
      <c r="S5761" s="2" t="s">
        <v>37550</v>
      </c>
      <c r="T5761" s="2" t="s">
        <v>37551</v>
      </c>
      <c r="U5761" s="2" t="s">
        <v>103</v>
      </c>
      <c r="V5761" s="2" t="s">
        <v>104</v>
      </c>
      <c r="W5761" s="2" t="s">
        <v>105</v>
      </c>
      <c r="X5761" s="2" t="s">
        <v>83</v>
      </c>
      <c r="Y5761" s="2">
        <v>50</v>
      </c>
      <c r="Z5761" s="2">
        <v>22.4</v>
      </c>
      <c r="AA5761" s="2" t="s">
        <v>163</v>
      </c>
      <c r="AB5761" s="2" t="s">
        <v>37552</v>
      </c>
      <c r="AC5761" s="2">
        <v>-0.31277961247536201</v>
      </c>
      <c r="AD5761" s="2"/>
      <c r="AE5761" s="2">
        <v>1.1163162851421099E-2</v>
      </c>
      <c r="AF5761" s="2">
        <v>4966.9212183060099</v>
      </c>
      <c r="AG5761" s="2">
        <v>5132.6821848120198</v>
      </c>
      <c r="AH5761" s="4">
        <v>0.96770480607653597</v>
      </c>
      <c r="AI5761" s="4">
        <v>-4.73610677991236E-2</v>
      </c>
      <c r="AJ5761" s="4" t="s">
        <v>62</v>
      </c>
      <c r="AK5761" s="2">
        <v>0.82152657673461904</v>
      </c>
      <c r="AL5761" s="2">
        <v>0.92196891676237602</v>
      </c>
      <c r="AM5761" s="2">
        <v>4448.5411665321099</v>
      </c>
      <c r="AN5761" s="2">
        <v>5210.1085862261398</v>
      </c>
      <c r="AO5761" s="2">
        <v>5399.1664651249503</v>
      </c>
      <c r="AP5761" s="2">
        <v>5534.9045088913399</v>
      </c>
      <c r="AQ5761" s="2">
        <v>4768.53994847991</v>
      </c>
      <c r="AR5761" s="2">
        <v>4440.2666345815996</v>
      </c>
      <c r="AS5761" s="2">
        <v>3264.9231192868801</v>
      </c>
      <c r="AT5761" s="2">
        <v>5094.3826850450896</v>
      </c>
      <c r="AU5761" s="2">
        <v>7344.2386761765601</v>
      </c>
      <c r="AV5761" s="2">
        <v>3725.2482034208901</v>
      </c>
      <c r="AW5761" s="2">
        <v>6957.6256775740603</v>
      </c>
      <c r="AX5761" s="2">
        <v>4409.6747473686401</v>
      </c>
    </row>
    <row r="5762" spans="1:50" x14ac:dyDescent="0.25">
      <c r="A5762" s="2" t="s">
        <v>37553</v>
      </c>
      <c r="B5762" s="2">
        <v>275.17226317765301</v>
      </c>
      <c r="C5762" s="2">
        <v>0.58143333333333302</v>
      </c>
      <c r="D5762" s="2" t="s">
        <v>51</v>
      </c>
      <c r="E5762" s="2" t="s">
        <v>37554</v>
      </c>
      <c r="F5762" s="2">
        <v>53970</v>
      </c>
      <c r="G5762" s="3" t="str">
        <f>HYPERLINK("https://cloud.oebiotech.com/#/lm/network/53970", "https://cloud.oebiotech.com/#/lm/network/53970")</f>
        <v>https://cloud.oebiotech.com/#/lm/network/53970</v>
      </c>
      <c r="H5762" s="2" t="s">
        <v>37555</v>
      </c>
      <c r="I5762" s="2">
        <v>23754</v>
      </c>
      <c r="J5762" s="2"/>
      <c r="K5762" s="2">
        <v>196305</v>
      </c>
      <c r="L5762" s="2"/>
      <c r="M5762" s="2"/>
      <c r="N5762" s="2"/>
      <c r="O5762" s="2">
        <v>73600</v>
      </c>
      <c r="P5762" s="2"/>
      <c r="Q5762" s="2"/>
      <c r="R5762" s="2" t="s">
        <v>37556</v>
      </c>
      <c r="S5762" s="2" t="s">
        <v>37557</v>
      </c>
      <c r="T5762" s="2" t="s">
        <v>37558</v>
      </c>
      <c r="U5762" s="2" t="s">
        <v>103</v>
      </c>
      <c r="V5762" s="2" t="s">
        <v>104</v>
      </c>
      <c r="W5762" s="2" t="s">
        <v>105</v>
      </c>
      <c r="X5762" s="2" t="s">
        <v>83</v>
      </c>
      <c r="Y5762" s="2">
        <v>37.299999999999997</v>
      </c>
      <c r="Z5762" s="2">
        <v>0</v>
      </c>
      <c r="AA5762" s="2" t="s">
        <v>259</v>
      </c>
      <c r="AB5762" s="2" t="s">
        <v>37559</v>
      </c>
      <c r="AC5762" s="2">
        <v>3.21538325533959</v>
      </c>
      <c r="AD5762" s="2"/>
      <c r="AE5762" s="2">
        <v>1.11389220751924E-2</v>
      </c>
      <c r="AF5762" s="2">
        <v>603.73659828532902</v>
      </c>
      <c r="AG5762" s="2">
        <v>579.53037586804498</v>
      </c>
      <c r="AH5762" s="5">
        <v>1.04176868620739</v>
      </c>
      <c r="AI5762" s="5">
        <v>5.9034977896913303E-2</v>
      </c>
      <c r="AJ5762" s="5" t="s">
        <v>139</v>
      </c>
      <c r="AK5762" s="2">
        <v>0.90234931308459698</v>
      </c>
      <c r="AL5762" s="2">
        <v>0.95948789763074704</v>
      </c>
      <c r="AM5762" s="2">
        <v>1044.8539300293701</v>
      </c>
      <c r="AN5762" s="2">
        <v>238.975596321263</v>
      </c>
      <c r="AO5762" s="2">
        <v>268.27200241624303</v>
      </c>
      <c r="AP5762" s="2">
        <v>249.036993789543</v>
      </c>
      <c r="AQ5762" s="2">
        <v>1076.86453112136</v>
      </c>
      <c r="AR5762" s="2">
        <v>744.41653603419797</v>
      </c>
      <c r="AS5762" s="2">
        <v>843.91800198491603</v>
      </c>
      <c r="AT5762" s="2">
        <v>684.502889525858</v>
      </c>
      <c r="AU5762" s="2">
        <v>215.44660076597401</v>
      </c>
      <c r="AV5762" s="2">
        <v>458.900064506153</v>
      </c>
      <c r="AW5762" s="2">
        <v>456.02273526010401</v>
      </c>
      <c r="AX5762" s="2">
        <v>818.39196316526602</v>
      </c>
    </row>
    <row r="5763" spans="1:50" x14ac:dyDescent="0.25">
      <c r="A5763" s="2" t="s">
        <v>37560</v>
      </c>
      <c r="B5763" s="2">
        <v>177.10281460822401</v>
      </c>
      <c r="C5763" s="2">
        <v>1.81718333333333</v>
      </c>
      <c r="D5763" s="2" t="s">
        <v>51</v>
      </c>
      <c r="E5763" s="2" t="s">
        <v>37561</v>
      </c>
      <c r="F5763" s="2">
        <v>46962</v>
      </c>
      <c r="G5763" s="3" t="str">
        <f>HYPERLINK("https://cloud.oebiotech.com/#/lm/network/46962", "https://cloud.oebiotech.com/#/lm/network/46962")</f>
        <v>https://cloud.oebiotech.com/#/lm/network/46962</v>
      </c>
      <c r="H5763" s="2" t="s">
        <v>37562</v>
      </c>
      <c r="I5763" s="2">
        <v>74</v>
      </c>
      <c r="J5763" s="2"/>
      <c r="K5763" s="2">
        <v>5202</v>
      </c>
      <c r="L5763" s="2" t="s">
        <v>37563</v>
      </c>
      <c r="M5763" s="2" t="s">
        <v>37564</v>
      </c>
      <c r="N5763" s="2" t="s">
        <v>37565</v>
      </c>
      <c r="O5763" s="2">
        <v>28790</v>
      </c>
      <c r="P5763" s="2"/>
      <c r="Q5763" s="2"/>
      <c r="R5763" s="2" t="s">
        <v>37566</v>
      </c>
      <c r="S5763" s="2" t="s">
        <v>37567</v>
      </c>
      <c r="T5763" s="2" t="s">
        <v>37568</v>
      </c>
      <c r="U5763" s="2" t="s">
        <v>266</v>
      </c>
      <c r="V5763" s="2" t="s">
        <v>445</v>
      </c>
      <c r="W5763" s="2" t="s">
        <v>3500</v>
      </c>
      <c r="X5763" s="2" t="s">
        <v>83</v>
      </c>
      <c r="Y5763" s="2">
        <v>37.700000000000003</v>
      </c>
      <c r="Z5763" s="2">
        <v>0</v>
      </c>
      <c r="AA5763" s="2" t="s">
        <v>259</v>
      </c>
      <c r="AB5763" s="2" t="s">
        <v>22661</v>
      </c>
      <c r="AC5763" s="2">
        <v>3.26620485946995</v>
      </c>
      <c r="AD5763" s="2"/>
      <c r="AE5763" s="2">
        <v>1.1129741067421E-2</v>
      </c>
      <c r="AF5763" s="2">
        <v>5029.2280028381001</v>
      </c>
      <c r="AG5763" s="2">
        <v>5053.0065318894904</v>
      </c>
      <c r="AH5763" s="4">
        <v>0.99529418200801401</v>
      </c>
      <c r="AI5763" s="4">
        <v>-6.80508461286463E-3</v>
      </c>
      <c r="AJ5763" s="4" t="s">
        <v>62</v>
      </c>
      <c r="AK5763" s="2">
        <v>0.96285608728531102</v>
      </c>
      <c r="AL5763" s="2">
        <v>0.98559941210567104</v>
      </c>
      <c r="AM5763" s="2">
        <v>4013.1919711637902</v>
      </c>
      <c r="AN5763" s="2">
        <v>4671.4887468316501</v>
      </c>
      <c r="AO5763" s="2">
        <v>5661.1710259514803</v>
      </c>
      <c r="AP5763" s="2">
        <v>6087.0106702850098</v>
      </c>
      <c r="AQ5763" s="2">
        <v>5355.9062957515898</v>
      </c>
      <c r="AR5763" s="2">
        <v>4386.5993070450804</v>
      </c>
      <c r="AS5763" s="2">
        <v>4993.6423748920697</v>
      </c>
      <c r="AT5763" s="2">
        <v>6545.6964378689399</v>
      </c>
      <c r="AU5763" s="2">
        <v>4601.64090421934</v>
      </c>
      <c r="AV5763" s="2">
        <v>3774.10721480642</v>
      </c>
      <c r="AW5763" s="2">
        <v>4950.1036338653003</v>
      </c>
      <c r="AX5763" s="2">
        <v>5452.8486256848701</v>
      </c>
    </row>
    <row r="5764" spans="1:50" x14ac:dyDescent="0.25">
      <c r="A5764" s="2" t="s">
        <v>37569</v>
      </c>
      <c r="B5764" s="2">
        <v>143.03397016350499</v>
      </c>
      <c r="C5764" s="2">
        <v>1.8172666666666699</v>
      </c>
      <c r="D5764" s="2" t="s">
        <v>51</v>
      </c>
      <c r="E5764" s="2" t="s">
        <v>37570</v>
      </c>
      <c r="F5764" s="2">
        <v>54171</v>
      </c>
      <c r="G5764" s="3" t="str">
        <f>HYPERLINK("https://cloud.oebiotech.com/#/lm/network/54171", "https://cloud.oebiotech.com/#/lm/network/54171")</f>
        <v>https://cloud.oebiotech.com/#/lm/network/54171</v>
      </c>
      <c r="H5764" s="2" t="s">
        <v>37571</v>
      </c>
      <c r="I5764" s="2">
        <v>86062</v>
      </c>
      <c r="J5764" s="2"/>
      <c r="K5764" s="2">
        <v>194109</v>
      </c>
      <c r="L5764" s="2"/>
      <c r="M5764" s="2"/>
      <c r="N5764" s="2"/>
      <c r="O5764" s="2">
        <v>173603</v>
      </c>
      <c r="P5764" s="2"/>
      <c r="Q5764" s="2"/>
      <c r="R5764" s="2" t="s">
        <v>37572</v>
      </c>
      <c r="S5764" s="2" t="s">
        <v>37573</v>
      </c>
      <c r="T5764" s="2" t="s">
        <v>37574</v>
      </c>
      <c r="U5764" s="2" t="s">
        <v>266</v>
      </c>
      <c r="V5764" s="2" t="s">
        <v>3994</v>
      </c>
      <c r="W5764" s="2" t="s">
        <v>3995</v>
      </c>
      <c r="X5764" s="2" t="s">
        <v>83</v>
      </c>
      <c r="Y5764" s="2">
        <v>38.5</v>
      </c>
      <c r="Z5764" s="2">
        <v>0</v>
      </c>
      <c r="AA5764" s="2" t="s">
        <v>163</v>
      </c>
      <c r="AB5764" s="2" t="s">
        <v>29027</v>
      </c>
      <c r="AC5764" s="2">
        <v>-7.0266830323811398</v>
      </c>
      <c r="AD5764" s="2"/>
      <c r="AE5764" s="2">
        <v>1.10763463531269E-2</v>
      </c>
      <c r="AF5764" s="2">
        <v>706.38647582413205</v>
      </c>
      <c r="AG5764" s="2">
        <v>725.90538970465002</v>
      </c>
      <c r="AH5764" s="4">
        <v>0.97311093958338002</v>
      </c>
      <c r="AI5764" s="4">
        <v>-3.93238059518232E-2</v>
      </c>
      <c r="AJ5764" s="4" t="s">
        <v>62</v>
      </c>
      <c r="AK5764" s="2">
        <v>0.82596083905820405</v>
      </c>
      <c r="AL5764" s="2">
        <v>0.92401158874855005</v>
      </c>
      <c r="AM5764" s="2">
        <v>592.82327673415602</v>
      </c>
      <c r="AN5764" s="2">
        <v>804.49538623982801</v>
      </c>
      <c r="AO5764" s="2">
        <v>581.36450337647705</v>
      </c>
      <c r="AP5764" s="2">
        <v>698.46682234633397</v>
      </c>
      <c r="AQ5764" s="2">
        <v>551.74352244089596</v>
      </c>
      <c r="AR5764" s="2">
        <v>1009.4253438071</v>
      </c>
      <c r="AS5764" s="2">
        <v>637.20650035691403</v>
      </c>
      <c r="AT5764" s="2">
        <v>910.87840507746898</v>
      </c>
      <c r="AU5764" s="2">
        <v>647.46457660327496</v>
      </c>
      <c r="AV5764" s="2">
        <v>799.14639427125996</v>
      </c>
      <c r="AW5764" s="2">
        <v>759.77582333717601</v>
      </c>
      <c r="AX5764" s="2">
        <v>600.96063858180605</v>
      </c>
    </row>
    <row r="5765" spans="1:50" x14ac:dyDescent="0.25">
      <c r="A5765" s="2" t="s">
        <v>37575</v>
      </c>
      <c r="B5765" s="2">
        <v>139.03897144523</v>
      </c>
      <c r="C5765" s="2">
        <v>4.7055833333333297</v>
      </c>
      <c r="D5765" s="2" t="s">
        <v>51</v>
      </c>
      <c r="E5765" s="2" t="s">
        <v>37576</v>
      </c>
      <c r="F5765" s="2">
        <v>7854</v>
      </c>
      <c r="G5765" s="3" t="str">
        <f>HYPERLINK("https://cloud.oebiotech.com/#/lm/network/7854", "https://cloud.oebiotech.com/#/lm/network/7854")</f>
        <v>https://cloud.oebiotech.com/#/lm/network/7854</v>
      </c>
      <c r="H5765" s="2"/>
      <c r="I5765" s="2"/>
      <c r="J5765" s="2" t="s">
        <v>37577</v>
      </c>
      <c r="K5765" s="2">
        <v>11062468</v>
      </c>
      <c r="L5765" s="2"/>
      <c r="M5765" s="2"/>
      <c r="N5765" s="2"/>
      <c r="O5765" s="2"/>
      <c r="P5765" s="2"/>
      <c r="Q5765" s="2"/>
      <c r="R5765" s="2"/>
      <c r="S5765" s="2" t="s">
        <v>37578</v>
      </c>
      <c r="T5765" s="2" t="s">
        <v>37579</v>
      </c>
      <c r="U5765" s="2" t="s">
        <v>266</v>
      </c>
      <c r="V5765" s="2" t="s">
        <v>3994</v>
      </c>
      <c r="W5765" s="2" t="s">
        <v>3995</v>
      </c>
      <c r="X5765" s="2" t="s">
        <v>83</v>
      </c>
      <c r="Y5765" s="2">
        <v>45.1</v>
      </c>
      <c r="Z5765" s="2">
        <v>8.91</v>
      </c>
      <c r="AA5765" s="2" t="s">
        <v>163</v>
      </c>
      <c r="AB5765" s="2" t="s">
        <v>37580</v>
      </c>
      <c r="AC5765" s="2">
        <v>-7.8276244120364202</v>
      </c>
      <c r="AD5765" s="2"/>
      <c r="AE5765" s="2">
        <v>1.0974885612624601E-2</v>
      </c>
      <c r="AF5765" s="2">
        <v>743.612297988048</v>
      </c>
      <c r="AG5765" s="2">
        <v>568.36517413976196</v>
      </c>
      <c r="AH5765" s="5">
        <v>1.3083354361278901</v>
      </c>
      <c r="AI5765" s="5">
        <v>0.38773247202616801</v>
      </c>
      <c r="AJ5765" s="5" t="s">
        <v>139</v>
      </c>
      <c r="AK5765" s="2">
        <v>0.59721331977629299</v>
      </c>
      <c r="AL5765" s="2">
        <v>0.79803184323921905</v>
      </c>
      <c r="AM5765" s="2">
        <v>263.66673176853902</v>
      </c>
      <c r="AN5765" s="2">
        <v>928.10270431973697</v>
      </c>
      <c r="AO5765" s="2">
        <v>382.70281907158397</v>
      </c>
      <c r="AP5765" s="2">
        <v>2109.3012170615498</v>
      </c>
      <c r="AQ5765" s="2">
        <v>400.55102131686601</v>
      </c>
      <c r="AR5765" s="2">
        <v>377.34929439001297</v>
      </c>
      <c r="AS5765" s="2">
        <v>1106.62749939679</v>
      </c>
      <c r="AT5765" s="2">
        <v>305.95691985748903</v>
      </c>
      <c r="AU5765" s="2">
        <v>381.73320378748701</v>
      </c>
      <c r="AV5765" s="2">
        <v>260.76805905308498</v>
      </c>
      <c r="AW5765" s="2">
        <v>864.83593782114599</v>
      </c>
      <c r="AX5765" s="2">
        <v>490.26942492257598</v>
      </c>
    </row>
    <row r="5766" spans="1:50" x14ac:dyDescent="0.25">
      <c r="A5766" s="2" t="s">
        <v>37581</v>
      </c>
      <c r="B5766" s="2">
        <v>289.08065438413303</v>
      </c>
      <c r="C5766" s="2">
        <v>3.5571000000000002</v>
      </c>
      <c r="D5766" s="2" t="s">
        <v>51</v>
      </c>
      <c r="E5766" s="2" t="s">
        <v>37582</v>
      </c>
      <c r="F5766" s="2">
        <v>211235</v>
      </c>
      <c r="G5766" s="3" t="str">
        <f>HYPERLINK("https://cloud.oebiotech.com/#/lm/network/211235", "https://cloud.oebiotech.com/#/lm/network/211235")</f>
        <v>https://cloud.oebiotech.com/#/lm/network/211235</v>
      </c>
      <c r="H5766" s="2" t="s">
        <v>37583</v>
      </c>
      <c r="I5766" s="2"/>
      <c r="J5766" s="2"/>
      <c r="K5766" s="2">
        <v>56974816</v>
      </c>
      <c r="L5766" s="2"/>
      <c r="M5766" s="2"/>
      <c r="N5766" s="2"/>
      <c r="O5766" s="2"/>
      <c r="P5766" s="2"/>
      <c r="Q5766" s="2"/>
      <c r="R5766" s="2"/>
      <c r="S5766" s="2" t="s">
        <v>37584</v>
      </c>
      <c r="T5766" s="2" t="s">
        <v>37585</v>
      </c>
      <c r="U5766" s="2" t="s">
        <v>266</v>
      </c>
      <c r="V5766" s="2" t="s">
        <v>2772</v>
      </c>
      <c r="W5766" s="2" t="s">
        <v>2773</v>
      </c>
      <c r="X5766" s="2" t="s">
        <v>147</v>
      </c>
      <c r="Y5766" s="2">
        <v>38.9</v>
      </c>
      <c r="Z5766" s="2">
        <v>1.81</v>
      </c>
      <c r="AA5766" s="2" t="s">
        <v>218</v>
      </c>
      <c r="AB5766" s="2" t="s">
        <v>37586</v>
      </c>
      <c r="AC5766" s="2">
        <v>1.4118184156399101</v>
      </c>
      <c r="AD5766" s="2"/>
      <c r="AE5766" s="2">
        <v>1.0972123896020199E-2</v>
      </c>
      <c r="AF5766" s="2">
        <v>4082.4168806798202</v>
      </c>
      <c r="AG5766" s="2">
        <v>3892.04241687069</v>
      </c>
      <c r="AH5766" s="5">
        <v>1.0489137690236701</v>
      </c>
      <c r="AI5766" s="5">
        <v>6.8896079139734903E-2</v>
      </c>
      <c r="AJ5766" s="5" t="s">
        <v>139</v>
      </c>
      <c r="AK5766" s="2">
        <v>0.88148901424206405</v>
      </c>
      <c r="AL5766" s="2">
        <v>0.94817593896816699</v>
      </c>
      <c r="AM5766" s="2">
        <v>2783.48773218524</v>
      </c>
      <c r="AN5766" s="2">
        <v>1768.0827412707899</v>
      </c>
      <c r="AO5766" s="2">
        <v>6424.3837183921196</v>
      </c>
      <c r="AP5766" s="2">
        <v>2137.1700870822701</v>
      </c>
      <c r="AQ5766" s="2">
        <v>6824.3879696218401</v>
      </c>
      <c r="AR5766" s="2">
        <v>4556.9890355266398</v>
      </c>
      <c r="AS5766" s="2">
        <v>6274.6198360441804</v>
      </c>
      <c r="AT5766" s="2">
        <v>2612.1673557306699</v>
      </c>
      <c r="AU5766" s="2">
        <v>2039.2457713864801</v>
      </c>
      <c r="AV5766" s="2">
        <v>5733.38151262681</v>
      </c>
      <c r="AW5766" s="2">
        <v>1384.91044323952</v>
      </c>
      <c r="AX5766" s="2">
        <v>5307.9295821964997</v>
      </c>
    </row>
    <row r="5767" spans="1:50" x14ac:dyDescent="0.25">
      <c r="A5767" s="2" t="s">
        <v>37587</v>
      </c>
      <c r="B5767" s="2">
        <v>174.087475883759</v>
      </c>
      <c r="C5767" s="2">
        <v>0.68473333333333297</v>
      </c>
      <c r="D5767" s="2" t="s">
        <v>51</v>
      </c>
      <c r="E5767" s="2" t="s">
        <v>37588</v>
      </c>
      <c r="F5767" s="2">
        <v>211555</v>
      </c>
      <c r="G5767" s="3" t="str">
        <f>HYPERLINK("https://cloud.oebiotech.com/#/lm/network/211555", "https://cloud.oebiotech.com/#/lm/network/211555")</f>
        <v>https://cloud.oebiotech.com/#/lm/network/211555</v>
      </c>
      <c r="H5767" s="2" t="s">
        <v>37589</v>
      </c>
      <c r="I5767" s="2"/>
      <c r="J5767" s="2"/>
      <c r="K5767" s="2">
        <v>76472149</v>
      </c>
      <c r="L5767" s="2"/>
      <c r="M5767" s="2"/>
      <c r="N5767" s="2"/>
      <c r="O5767" s="2"/>
      <c r="P5767" s="2"/>
      <c r="Q5767" s="2"/>
      <c r="R5767" s="2"/>
      <c r="S5767" s="2" t="s">
        <v>37590</v>
      </c>
      <c r="T5767" s="2" t="s">
        <v>37591</v>
      </c>
      <c r="U5767" s="2" t="s">
        <v>103</v>
      </c>
      <c r="V5767" s="2" t="s">
        <v>104</v>
      </c>
      <c r="W5767" s="2" t="s">
        <v>105</v>
      </c>
      <c r="X5767" s="2" t="s">
        <v>69</v>
      </c>
      <c r="Y5767" s="2">
        <v>55.3</v>
      </c>
      <c r="Z5767" s="2">
        <v>84.2</v>
      </c>
      <c r="AA5767" s="2" t="s">
        <v>163</v>
      </c>
      <c r="AB5767" s="2" t="s">
        <v>19949</v>
      </c>
      <c r="AC5767" s="2">
        <v>-5.3626347047464904</v>
      </c>
      <c r="AD5767" s="2"/>
      <c r="AE5767" s="2">
        <v>1.08628244495172E-2</v>
      </c>
      <c r="AF5767" s="2">
        <v>22260.951255678501</v>
      </c>
      <c r="AG5767" s="2">
        <v>24389.074798297301</v>
      </c>
      <c r="AH5767" s="4">
        <v>0.91274275222742896</v>
      </c>
      <c r="AI5767" s="4">
        <v>-0.131719787120996</v>
      </c>
      <c r="AJ5767" s="4" t="s">
        <v>62</v>
      </c>
      <c r="AK5767" s="2">
        <v>0.76197237568881504</v>
      </c>
      <c r="AL5767" s="2">
        <v>0.89174649999300104</v>
      </c>
      <c r="AM5767" s="2">
        <v>36490.426355172298</v>
      </c>
      <c r="AN5767" s="2">
        <v>27686.911128573302</v>
      </c>
      <c r="AO5767" s="2">
        <v>16034.6112479986</v>
      </c>
      <c r="AP5767" s="2">
        <v>20207.7193892174</v>
      </c>
      <c r="AQ5767" s="2">
        <v>23359.892191500901</v>
      </c>
      <c r="AR5767" s="2">
        <v>9786.1472216085494</v>
      </c>
      <c r="AS5767" s="2">
        <v>8250.2201767994793</v>
      </c>
      <c r="AT5767" s="2">
        <v>17733.041379282098</v>
      </c>
      <c r="AU5767" s="2">
        <v>45567.411633632502</v>
      </c>
      <c r="AV5767" s="2">
        <v>19750.4916155352</v>
      </c>
      <c r="AW5767" s="2">
        <v>36897.937759390901</v>
      </c>
      <c r="AX5767" s="2">
        <v>18135.346225143599</v>
      </c>
    </row>
    <row r="5768" spans="1:50" x14ac:dyDescent="0.25">
      <c r="A5768" s="2" t="s">
        <v>37592</v>
      </c>
      <c r="B5768" s="2">
        <v>385.16917656247301</v>
      </c>
      <c r="C5768" s="2">
        <v>5.0034000000000001</v>
      </c>
      <c r="D5768" s="2" t="s">
        <v>51</v>
      </c>
      <c r="E5768" s="2" t="s">
        <v>37593</v>
      </c>
      <c r="F5768" s="2">
        <v>7902</v>
      </c>
      <c r="G5768" s="3" t="str">
        <f>HYPERLINK("https://cloud.oebiotech.com/#/lm/network/7902", "https://cloud.oebiotech.com/#/lm/network/7902")</f>
        <v>https://cloud.oebiotech.com/#/lm/network/7902</v>
      </c>
      <c r="H5768" s="2"/>
      <c r="I5768" s="2"/>
      <c r="J5768" s="2" t="s">
        <v>37594</v>
      </c>
      <c r="K5768" s="2">
        <v>132967549</v>
      </c>
      <c r="L5768" s="2"/>
      <c r="M5768" s="2"/>
      <c r="N5768" s="2"/>
      <c r="O5768" s="2"/>
      <c r="P5768" s="2"/>
      <c r="Q5768" s="2"/>
      <c r="R5768" s="2"/>
      <c r="S5768" s="2" t="s">
        <v>37595</v>
      </c>
      <c r="T5768" s="2" t="s">
        <v>37596</v>
      </c>
      <c r="U5768" s="2" t="s">
        <v>540</v>
      </c>
      <c r="V5768" s="2" t="s">
        <v>563</v>
      </c>
      <c r="W5768" s="2" t="s">
        <v>240</v>
      </c>
      <c r="X5768" s="2" t="s">
        <v>147</v>
      </c>
      <c r="Y5768" s="2">
        <v>41.8</v>
      </c>
      <c r="Z5768" s="2">
        <v>17</v>
      </c>
      <c r="AA5768" s="2" t="s">
        <v>379</v>
      </c>
      <c r="AB5768" s="2" t="s">
        <v>37597</v>
      </c>
      <c r="AC5768" s="2">
        <v>0.354586756705212</v>
      </c>
      <c r="AD5768" s="2"/>
      <c r="AE5768" s="2">
        <v>1.07895441779288E-2</v>
      </c>
      <c r="AF5768" s="2">
        <v>27185.533528679101</v>
      </c>
      <c r="AG5768" s="2">
        <v>27545.453732487302</v>
      </c>
      <c r="AH5768" s="4">
        <v>0.98693358957512201</v>
      </c>
      <c r="AI5768" s="4">
        <v>-1.8975085397252501E-2</v>
      </c>
      <c r="AJ5768" s="4" t="s">
        <v>62</v>
      </c>
      <c r="AK5768" s="2">
        <v>0.97171511693089296</v>
      </c>
      <c r="AL5768" s="2">
        <v>0.98915546194842796</v>
      </c>
      <c r="AM5768" s="2">
        <v>2638.3625107632702</v>
      </c>
      <c r="AN5768" s="2">
        <v>37647.525196848801</v>
      </c>
      <c r="AO5768" s="2">
        <v>59144.052339605798</v>
      </c>
      <c r="AP5768" s="2">
        <v>16460.164867858199</v>
      </c>
      <c r="AQ5768" s="2">
        <v>15027.1707638267</v>
      </c>
      <c r="AR5768" s="2">
        <v>32195.925493171799</v>
      </c>
      <c r="AS5768" s="2">
        <v>6772.4318629767104</v>
      </c>
      <c r="AT5768" s="2">
        <v>31179.404899893801</v>
      </c>
      <c r="AU5768" s="2">
        <v>41257.726878775698</v>
      </c>
      <c r="AV5768" s="2">
        <v>37399.678095975003</v>
      </c>
      <c r="AW5768" s="2">
        <v>33513.880067508202</v>
      </c>
      <c r="AX5768" s="2">
        <v>15149.6005897941</v>
      </c>
    </row>
    <row r="5769" spans="1:50" x14ac:dyDescent="0.25">
      <c r="A5769" s="2" t="s">
        <v>37598</v>
      </c>
      <c r="B5769" s="2">
        <v>229.032799340818</v>
      </c>
      <c r="C5769" s="2">
        <v>1.08738333333333</v>
      </c>
      <c r="D5769" s="2" t="s">
        <v>51</v>
      </c>
      <c r="E5769" s="2" t="s">
        <v>37599</v>
      </c>
      <c r="F5769" s="2">
        <v>81951</v>
      </c>
      <c r="G5769" s="3" t="str">
        <f>HYPERLINK("https://cloud.oebiotech.com/#/lm/network/81951", "https://cloud.oebiotech.com/#/lm/network/81951")</f>
        <v>https://cloud.oebiotech.com/#/lm/network/81951</v>
      </c>
      <c r="H5769" s="2" t="s">
        <v>37600</v>
      </c>
      <c r="I5769" s="2"/>
      <c r="J5769" s="2"/>
      <c r="K5769" s="2">
        <v>22471</v>
      </c>
      <c r="L5769" s="2"/>
      <c r="M5769" s="2"/>
      <c r="N5769" s="2"/>
      <c r="O5769" s="2"/>
      <c r="P5769" s="2"/>
      <c r="Q5769" s="2"/>
      <c r="R5769" s="2"/>
      <c r="S5769" s="2" t="s">
        <v>37601</v>
      </c>
      <c r="T5769" s="2" t="s">
        <v>37602</v>
      </c>
      <c r="U5769" s="2" t="s">
        <v>103</v>
      </c>
      <c r="V5769" s="2" t="s">
        <v>104</v>
      </c>
      <c r="W5769" s="2" t="s">
        <v>1139</v>
      </c>
      <c r="X5769" s="2" t="s">
        <v>147</v>
      </c>
      <c r="Y5769" s="2">
        <v>40.200000000000003</v>
      </c>
      <c r="Z5769" s="2">
        <v>10</v>
      </c>
      <c r="AA5769" s="2" t="s">
        <v>95</v>
      </c>
      <c r="AB5769" s="2" t="s">
        <v>28734</v>
      </c>
      <c r="AC5769" s="2">
        <v>4.4942306172429101</v>
      </c>
      <c r="AD5769" s="2"/>
      <c r="AE5769" s="2">
        <v>1.07150779038929E-2</v>
      </c>
      <c r="AF5769" s="2">
        <v>1147.0872791275599</v>
      </c>
      <c r="AG5769" s="2">
        <v>1791.6092069497399</v>
      </c>
      <c r="AH5769" s="4">
        <v>0.64025529377609103</v>
      </c>
      <c r="AI5769" s="4">
        <v>-0.64328081848525098</v>
      </c>
      <c r="AJ5769" s="4" t="s">
        <v>62</v>
      </c>
      <c r="AK5769" s="2">
        <v>0.73781997039594105</v>
      </c>
      <c r="AL5769" s="2">
        <v>0.87978251942974495</v>
      </c>
      <c r="AM5769" s="2">
        <v>5593.6112307048797</v>
      </c>
      <c r="AN5769" s="2">
        <v>8.559877937157E-6</v>
      </c>
      <c r="AO5769" s="2">
        <v>578.84168505456205</v>
      </c>
      <c r="AP5769" s="2">
        <v>470.63763606565999</v>
      </c>
      <c r="AQ5769" s="2">
        <v>8.559877937157E-6</v>
      </c>
      <c r="AR5769" s="2">
        <v>239.433105820478</v>
      </c>
      <c r="AS5769" s="2">
        <v>401.026604385052</v>
      </c>
      <c r="AT5769" s="2">
        <v>131.98931523159499</v>
      </c>
      <c r="AU5769" s="2">
        <v>10010.877475744001</v>
      </c>
      <c r="AV5769" s="2">
        <v>205.761829218049</v>
      </c>
      <c r="AW5769" s="2">
        <v>8.559877937157E-6</v>
      </c>
      <c r="AX5769" s="2">
        <v>8.559877937157E-6</v>
      </c>
    </row>
    <row r="5770" spans="1:50" x14ac:dyDescent="0.25">
      <c r="A5770" s="2" t="s">
        <v>37603</v>
      </c>
      <c r="B5770" s="2">
        <v>329.03162796010901</v>
      </c>
      <c r="C5770" s="2">
        <v>0.99048333333333305</v>
      </c>
      <c r="D5770" s="2" t="s">
        <v>51</v>
      </c>
      <c r="E5770" s="2" t="s">
        <v>37604</v>
      </c>
      <c r="F5770" s="2">
        <v>212268</v>
      </c>
      <c r="G5770" s="3" t="str">
        <f>HYPERLINK("https://cloud.oebiotech.com/#/lm/network/212268", "https://cloud.oebiotech.com/#/lm/network/212268")</f>
        <v>https://cloud.oebiotech.com/#/lm/network/212268</v>
      </c>
      <c r="H5770" s="2" t="s">
        <v>37605</v>
      </c>
      <c r="I5770" s="2">
        <v>72768</v>
      </c>
      <c r="J5770" s="2"/>
      <c r="K5770" s="2">
        <v>7873</v>
      </c>
      <c r="L5770" s="2" t="s">
        <v>37606</v>
      </c>
      <c r="M5770" s="2"/>
      <c r="N5770" s="2"/>
      <c r="O5770" s="2"/>
      <c r="P5770" s="2"/>
      <c r="Q5770" s="2"/>
      <c r="R5770" s="2" t="s">
        <v>37607</v>
      </c>
      <c r="S5770" s="2" t="s">
        <v>37608</v>
      </c>
      <c r="T5770" s="2" t="s">
        <v>37609</v>
      </c>
      <c r="U5770" s="2" t="s">
        <v>331</v>
      </c>
      <c r="V5770" s="2" t="s">
        <v>1284</v>
      </c>
      <c r="W5770" s="2" t="s">
        <v>4947</v>
      </c>
      <c r="X5770" s="2" t="s">
        <v>147</v>
      </c>
      <c r="Y5770" s="2">
        <v>38</v>
      </c>
      <c r="Z5770" s="2">
        <v>0</v>
      </c>
      <c r="AA5770" s="2" t="s">
        <v>395</v>
      </c>
      <c r="AB5770" s="2" t="s">
        <v>37610</v>
      </c>
      <c r="AC5770" s="2">
        <v>0.15045342626691499</v>
      </c>
      <c r="AD5770" s="2"/>
      <c r="AE5770" s="2">
        <v>1.0692429407055899E-2</v>
      </c>
      <c r="AF5770" s="2">
        <v>2710.2951165446998</v>
      </c>
      <c r="AG5770" s="2">
        <v>2220.21356373251</v>
      </c>
      <c r="AH5770" s="5">
        <v>1.2207362214238</v>
      </c>
      <c r="AI5770" s="5">
        <v>0.28775149421888402</v>
      </c>
      <c r="AJ5770" s="5" t="s">
        <v>139</v>
      </c>
      <c r="AK5770" s="2">
        <v>0.64094571499171904</v>
      </c>
      <c r="AL5770" s="2">
        <v>0.824370604399012</v>
      </c>
      <c r="AM5770" s="2">
        <v>8.559877937157E-6</v>
      </c>
      <c r="AN5770" s="2">
        <v>2905.6275379601102</v>
      </c>
      <c r="AO5770" s="2">
        <v>5206.10624567582</v>
      </c>
      <c r="AP5770" s="2">
        <v>3711.52868975806</v>
      </c>
      <c r="AQ5770" s="2">
        <v>1688.77902536798</v>
      </c>
      <c r="AR5770" s="2">
        <v>2749.7291919463401</v>
      </c>
      <c r="AS5770" s="2">
        <v>1542.79668186288</v>
      </c>
      <c r="AT5770" s="2">
        <v>403.56459819792798</v>
      </c>
      <c r="AU5770" s="2">
        <v>905.93573072452796</v>
      </c>
      <c r="AV5770" s="2">
        <v>2611.9325764718301</v>
      </c>
      <c r="AW5770" s="2">
        <v>5346.5095185710798</v>
      </c>
      <c r="AX5770" s="2">
        <v>2510.54227656684</v>
      </c>
    </row>
    <row r="5771" spans="1:50" x14ac:dyDescent="0.25">
      <c r="A5771" s="2" t="s">
        <v>37611</v>
      </c>
      <c r="B5771" s="2">
        <v>147.02884392907399</v>
      </c>
      <c r="C5771" s="2">
        <v>0.84524999999999995</v>
      </c>
      <c r="D5771" s="2" t="s">
        <v>51</v>
      </c>
      <c r="E5771" s="2" t="s">
        <v>37612</v>
      </c>
      <c r="F5771" s="2">
        <v>47118</v>
      </c>
      <c r="G5771" s="3" t="str">
        <f>HYPERLINK("https://cloud.oebiotech.com/#/lm/network/47118", "https://cloud.oebiotech.com/#/lm/network/47118")</f>
        <v>https://cloud.oebiotech.com/#/lm/network/47118</v>
      </c>
      <c r="H5771" s="2" t="s">
        <v>37613</v>
      </c>
      <c r="I5771" s="2">
        <v>45120</v>
      </c>
      <c r="J5771" s="2"/>
      <c r="K5771" s="2">
        <v>439391</v>
      </c>
      <c r="L5771" s="2" t="s">
        <v>37614</v>
      </c>
      <c r="M5771" s="2" t="s">
        <v>6725</v>
      </c>
      <c r="N5771" s="2" t="s">
        <v>6726</v>
      </c>
      <c r="O5771" s="2">
        <v>32796</v>
      </c>
      <c r="P5771" s="2" t="s">
        <v>37615</v>
      </c>
      <c r="Q5771" s="2" t="s">
        <v>37616</v>
      </c>
      <c r="R5771" s="2" t="s">
        <v>37617</v>
      </c>
      <c r="S5771" s="2" t="s">
        <v>37618</v>
      </c>
      <c r="T5771" s="2" t="s">
        <v>37619</v>
      </c>
      <c r="U5771" s="2" t="s">
        <v>103</v>
      </c>
      <c r="V5771" s="2" t="s">
        <v>377</v>
      </c>
      <c r="W5771" s="2" t="s">
        <v>21745</v>
      </c>
      <c r="X5771" s="2" t="s">
        <v>69</v>
      </c>
      <c r="Y5771" s="2">
        <v>66.2</v>
      </c>
      <c r="Z5771" s="2">
        <v>73.3</v>
      </c>
      <c r="AA5771" s="2" t="s">
        <v>163</v>
      </c>
      <c r="AB5771" s="2" t="s">
        <v>21746</v>
      </c>
      <c r="AC5771" s="2">
        <v>-7.1130329110149102</v>
      </c>
      <c r="AD5771" s="2"/>
      <c r="AE5771" s="2">
        <v>1.06739953120824E-2</v>
      </c>
      <c r="AF5771" s="2">
        <v>88750.563093937293</v>
      </c>
      <c r="AG5771" s="2">
        <v>117293.095881029</v>
      </c>
      <c r="AH5771" s="4">
        <v>0.75665632684772699</v>
      </c>
      <c r="AI5771" s="4">
        <v>-0.40228991770817801</v>
      </c>
      <c r="AJ5771" s="4" t="s">
        <v>62</v>
      </c>
      <c r="AK5771" s="2">
        <v>0.78689492424450502</v>
      </c>
      <c r="AL5771" s="2">
        <v>0.90579760595838199</v>
      </c>
      <c r="AM5771" s="2">
        <v>258335.40816647201</v>
      </c>
      <c r="AN5771" s="2">
        <v>16707.4729519346</v>
      </c>
      <c r="AO5771" s="2">
        <v>12032.997753867499</v>
      </c>
      <c r="AP5771" s="2">
        <v>142011.65728412001</v>
      </c>
      <c r="AQ5771" s="2">
        <v>43377.776307087101</v>
      </c>
      <c r="AR5771" s="2">
        <v>60038.066100142802</v>
      </c>
      <c r="AS5771" s="2">
        <v>63087.030260826497</v>
      </c>
      <c r="AT5771" s="2">
        <v>13048.896918090601</v>
      </c>
      <c r="AU5771" s="2">
        <v>591004.60354624805</v>
      </c>
      <c r="AV5771" s="2">
        <v>14314.2874213583</v>
      </c>
      <c r="AW5771" s="2">
        <v>13522.4013666435</v>
      </c>
      <c r="AX5771" s="2">
        <v>8781.3557730043904</v>
      </c>
    </row>
    <row r="5772" spans="1:50" x14ac:dyDescent="0.25">
      <c r="A5772" s="2" t="s">
        <v>37620</v>
      </c>
      <c r="B5772" s="2">
        <v>385.10192815451302</v>
      </c>
      <c r="C5772" s="2">
        <v>5.0147000000000004</v>
      </c>
      <c r="D5772" s="2" t="s">
        <v>51</v>
      </c>
      <c r="E5772" s="2" t="s">
        <v>37621</v>
      </c>
      <c r="F5772" s="2">
        <v>209054</v>
      </c>
      <c r="G5772" s="3" t="str">
        <f>HYPERLINK("https://cloud.oebiotech.com/#/lm/network/209054", "https://cloud.oebiotech.com/#/lm/network/209054")</f>
        <v>https://cloud.oebiotech.com/#/lm/network/209054</v>
      </c>
      <c r="H5772" s="2" t="s">
        <v>37622</v>
      </c>
      <c r="I5772" s="2"/>
      <c r="J5772" s="2"/>
      <c r="K5772" s="2">
        <v>5681</v>
      </c>
      <c r="L5772" s="2"/>
      <c r="M5772" s="2"/>
      <c r="N5772" s="2"/>
      <c r="O5772" s="2"/>
      <c r="P5772" s="2"/>
      <c r="Q5772" s="2"/>
      <c r="R5772" s="2"/>
      <c r="S5772" s="2" t="s">
        <v>37623</v>
      </c>
      <c r="T5772" s="2" t="s">
        <v>37624</v>
      </c>
      <c r="U5772" s="2" t="s">
        <v>610</v>
      </c>
      <c r="V5772" s="2" t="s">
        <v>813</v>
      </c>
      <c r="W5772" s="2" t="s">
        <v>814</v>
      </c>
      <c r="X5772" s="2" t="s">
        <v>83</v>
      </c>
      <c r="Y5772" s="2">
        <v>36.9</v>
      </c>
      <c r="Z5772" s="2">
        <v>0</v>
      </c>
      <c r="AA5772" s="2" t="s">
        <v>11323</v>
      </c>
      <c r="AB5772" s="2" t="s">
        <v>37625</v>
      </c>
      <c r="AC5772" s="2">
        <v>7.3468194989826197</v>
      </c>
      <c r="AD5772" s="2"/>
      <c r="AE5772" s="2">
        <v>1.0660865262510401E-2</v>
      </c>
      <c r="AF5772" s="2">
        <v>10728.044109512201</v>
      </c>
      <c r="AG5772" s="2">
        <v>10586.105338122599</v>
      </c>
      <c r="AH5772" s="5">
        <v>1.01340802560111</v>
      </c>
      <c r="AI5772" s="5">
        <v>1.9215159322485E-2</v>
      </c>
      <c r="AJ5772" s="5" t="s">
        <v>139</v>
      </c>
      <c r="AK5772" s="2">
        <v>0.97728784421711801</v>
      </c>
      <c r="AL5772" s="2">
        <v>0.99063649156855604</v>
      </c>
      <c r="AM5772" s="2">
        <v>9403.8779605334694</v>
      </c>
      <c r="AN5772" s="2">
        <v>22225.838656348002</v>
      </c>
      <c r="AO5772" s="2">
        <v>7594.3397216350104</v>
      </c>
      <c r="AP5772" s="2">
        <v>11058.1028866005</v>
      </c>
      <c r="AQ5772" s="2">
        <v>7431.3255969020402</v>
      </c>
      <c r="AR5772" s="2">
        <v>6654.7798350539597</v>
      </c>
      <c r="AS5772" s="2">
        <v>31618.4572303612</v>
      </c>
      <c r="AT5772" s="2">
        <v>7544.0145175656598</v>
      </c>
      <c r="AU5772" s="2">
        <v>5322.2251776963903</v>
      </c>
      <c r="AV5772" s="2">
        <v>8088.8691627368398</v>
      </c>
      <c r="AW5772" s="2">
        <v>5196.9162421036199</v>
      </c>
      <c r="AX5772" s="2">
        <v>5746.1496982716899</v>
      </c>
    </row>
    <row r="5773" spans="1:50" x14ac:dyDescent="0.25">
      <c r="A5773" s="2" t="s">
        <v>37626</v>
      </c>
      <c r="B5773" s="2">
        <v>207.102281815927</v>
      </c>
      <c r="C5773" s="2">
        <v>6.1681499999999998</v>
      </c>
      <c r="D5773" s="2" t="s">
        <v>51</v>
      </c>
      <c r="E5773" s="2" t="s">
        <v>37627</v>
      </c>
      <c r="F5773" s="2">
        <v>468006</v>
      </c>
      <c r="G5773" s="3" t="str">
        <f>HYPERLINK("https://cloud.oebiotech.com/#/lm/network/468006", "https://cloud.oebiotech.com/#/lm/network/468006")</f>
        <v>https://cloud.oebiotech.com/#/lm/network/468006</v>
      </c>
      <c r="H5773" s="2" t="s">
        <v>37628</v>
      </c>
      <c r="I5773" s="2">
        <v>87137</v>
      </c>
      <c r="J5773" s="2"/>
      <c r="K5773" s="2">
        <v>129639</v>
      </c>
      <c r="L5773" s="2"/>
      <c r="M5773" s="2"/>
      <c r="N5773" s="2"/>
      <c r="O5773" s="2"/>
      <c r="P5773" s="2"/>
      <c r="Q5773" s="2"/>
      <c r="R5773" s="2" t="s">
        <v>37629</v>
      </c>
      <c r="S5773" s="2" t="s">
        <v>37630</v>
      </c>
      <c r="T5773" s="2" t="s">
        <v>37631</v>
      </c>
      <c r="U5773" s="2" t="s">
        <v>266</v>
      </c>
      <c r="V5773" s="2" t="s">
        <v>11698</v>
      </c>
      <c r="W5773" s="2" t="s">
        <v>11699</v>
      </c>
      <c r="X5773" s="2" t="s">
        <v>83</v>
      </c>
      <c r="Y5773" s="2">
        <v>47.6</v>
      </c>
      <c r="Z5773" s="2">
        <v>37.5</v>
      </c>
      <c r="AA5773" s="2" t="s">
        <v>156</v>
      </c>
      <c r="AB5773" s="2" t="s">
        <v>19677</v>
      </c>
      <c r="AC5773" s="2">
        <v>3.1729547045641202</v>
      </c>
      <c r="AD5773" s="2"/>
      <c r="AE5773" s="2">
        <v>1.06416723841829E-2</v>
      </c>
      <c r="AF5773" s="2">
        <v>2630.9217979750101</v>
      </c>
      <c r="AG5773" s="2">
        <v>2571.2016697241802</v>
      </c>
      <c r="AH5773" s="5">
        <v>1.02322654381958</v>
      </c>
      <c r="AI5773" s="5">
        <v>3.3125595192396197E-2</v>
      </c>
      <c r="AJ5773" s="5" t="s">
        <v>139</v>
      </c>
      <c r="AK5773" s="2">
        <v>0.95228643994096496</v>
      </c>
      <c r="AL5773" s="2">
        <v>0.98062767782557803</v>
      </c>
      <c r="AM5773" s="2">
        <v>2333.0264749897701</v>
      </c>
      <c r="AN5773" s="2">
        <v>2707.3307442597602</v>
      </c>
      <c r="AO5773" s="2">
        <v>1685.8910791451999</v>
      </c>
      <c r="AP5773" s="2">
        <v>833.64839937071304</v>
      </c>
      <c r="AQ5773" s="2">
        <v>1760.9282540230799</v>
      </c>
      <c r="AR5773" s="2">
        <v>6464.7058360615201</v>
      </c>
      <c r="AS5773" s="2">
        <v>4459.8684060532596</v>
      </c>
      <c r="AT5773" s="2">
        <v>1582.0358151932301</v>
      </c>
      <c r="AU5773" s="2">
        <v>1705.7765536715399</v>
      </c>
      <c r="AV5773" s="2">
        <v>1058.3937892937799</v>
      </c>
      <c r="AW5773" s="2">
        <v>3503.8308883898399</v>
      </c>
      <c r="AX5773" s="2">
        <v>3117.30456574342</v>
      </c>
    </row>
    <row r="5774" spans="1:50" x14ac:dyDescent="0.25">
      <c r="A5774" s="2" t="s">
        <v>37632</v>
      </c>
      <c r="B5774" s="2">
        <v>161.12885431137801</v>
      </c>
      <c r="C5774" s="2">
        <v>0.59993333333333299</v>
      </c>
      <c r="D5774" s="2" t="s">
        <v>51</v>
      </c>
      <c r="E5774" s="2" t="s">
        <v>37633</v>
      </c>
      <c r="F5774" s="2">
        <v>48667</v>
      </c>
      <c r="G5774" s="3" t="str">
        <f>HYPERLINK("https://cloud.oebiotech.com/#/lm/network/48667", "https://cloud.oebiotech.com/#/lm/network/48667")</f>
        <v>https://cloud.oebiotech.com/#/lm/network/48667</v>
      </c>
      <c r="H5774" s="2" t="s">
        <v>37634</v>
      </c>
      <c r="I5774" s="2"/>
      <c r="J5774" s="2"/>
      <c r="K5774" s="2">
        <v>53477800</v>
      </c>
      <c r="L5774" s="2"/>
      <c r="M5774" s="2"/>
      <c r="N5774" s="2"/>
      <c r="O5774" s="2">
        <v>89478</v>
      </c>
      <c r="P5774" s="2"/>
      <c r="Q5774" s="2"/>
      <c r="R5774" s="2" t="s">
        <v>37635</v>
      </c>
      <c r="S5774" s="2" t="s">
        <v>37636</v>
      </c>
      <c r="T5774" s="2" t="s">
        <v>37637</v>
      </c>
      <c r="U5774" s="2" t="s">
        <v>103</v>
      </c>
      <c r="V5774" s="2" t="s">
        <v>104</v>
      </c>
      <c r="W5774" s="2" t="s">
        <v>105</v>
      </c>
      <c r="X5774" s="2" t="s">
        <v>83</v>
      </c>
      <c r="Y5774" s="2">
        <v>40.299999999999997</v>
      </c>
      <c r="Z5774" s="2">
        <v>0</v>
      </c>
      <c r="AA5774" s="2" t="s">
        <v>122</v>
      </c>
      <c r="AB5774" s="2" t="s">
        <v>37638</v>
      </c>
      <c r="AC5774" s="2">
        <v>-0.92213400142065505</v>
      </c>
      <c r="AD5774" s="2"/>
      <c r="AE5774" s="2">
        <v>1.0608769156454499E-2</v>
      </c>
      <c r="AF5774" s="2">
        <v>11331.0604115734</v>
      </c>
      <c r="AG5774" s="2">
        <v>10427.7577414761</v>
      </c>
      <c r="AH5774" s="5">
        <v>1.0866248231395399</v>
      </c>
      <c r="AI5774" s="5">
        <v>0.11985390979834901</v>
      </c>
      <c r="AJ5774" s="5" t="s">
        <v>139</v>
      </c>
      <c r="AK5774" s="2">
        <v>0.87566305587589499</v>
      </c>
      <c r="AL5774" s="2">
        <v>0.94713273141468202</v>
      </c>
      <c r="AM5774" s="2">
        <v>8828.9578546165394</v>
      </c>
      <c r="AN5774" s="2">
        <v>23552.749585390498</v>
      </c>
      <c r="AO5774" s="2">
        <v>4020.38765679782</v>
      </c>
      <c r="AP5774" s="2">
        <v>21673.776993810701</v>
      </c>
      <c r="AQ5774" s="2">
        <v>3897.6615947883402</v>
      </c>
      <c r="AR5774" s="2">
        <v>6012.8287840364101</v>
      </c>
      <c r="AS5774" s="2">
        <v>3093.2525397946802</v>
      </c>
      <c r="AT5774" s="2">
        <v>7383.7482970614301</v>
      </c>
      <c r="AU5774" s="2">
        <v>3431.8199953396602</v>
      </c>
      <c r="AV5774" s="2">
        <v>11114.509818823401</v>
      </c>
      <c r="AW5774" s="2">
        <v>6552.0029186640204</v>
      </c>
      <c r="AX5774" s="2">
        <v>30991.212879173199</v>
      </c>
    </row>
    <row r="5775" spans="1:50" x14ac:dyDescent="0.25">
      <c r="A5775" s="2" t="s">
        <v>37639</v>
      </c>
      <c r="B5775" s="2">
        <v>665.24734318528601</v>
      </c>
      <c r="C5775" s="2">
        <v>6.8908500000000004</v>
      </c>
      <c r="D5775" s="2" t="s">
        <v>51</v>
      </c>
      <c r="E5775" s="2" t="s">
        <v>37640</v>
      </c>
      <c r="F5775" s="2">
        <v>316049</v>
      </c>
      <c r="G5775" s="3" t="str">
        <f>HYPERLINK("https://cloud.oebiotech.com/#/lm/network/316049", "https://cloud.oebiotech.com/#/lm/network/316049")</f>
        <v>https://cloud.oebiotech.com/#/lm/network/316049</v>
      </c>
      <c r="H5775" s="2"/>
      <c r="I5775" s="2">
        <v>343740</v>
      </c>
      <c r="J5775" s="2"/>
      <c r="K5775" s="2">
        <v>174003</v>
      </c>
      <c r="L5775" s="2"/>
      <c r="M5775" s="2"/>
      <c r="N5775" s="2"/>
      <c r="O5775" s="2"/>
      <c r="P5775" s="2"/>
      <c r="Q5775" s="2"/>
      <c r="R5775" s="2"/>
      <c r="S5775" s="2" t="s">
        <v>37641</v>
      </c>
      <c r="T5775" s="2" t="s">
        <v>37642</v>
      </c>
      <c r="U5775" s="2" t="s">
        <v>2723</v>
      </c>
      <c r="V5775" s="2" t="s">
        <v>25124</v>
      </c>
      <c r="W5775" s="2" t="s">
        <v>240</v>
      </c>
      <c r="X5775" s="2" t="s">
        <v>147</v>
      </c>
      <c r="Y5775" s="2">
        <v>37.9</v>
      </c>
      <c r="Z5775" s="2">
        <v>0</v>
      </c>
      <c r="AA5775" s="2" t="s">
        <v>156</v>
      </c>
      <c r="AB5775" s="2" t="s">
        <v>37643</v>
      </c>
      <c r="AC5775" s="2">
        <v>4.9046371590156896</v>
      </c>
      <c r="AD5775" s="2"/>
      <c r="AE5775" s="2">
        <v>1.0603216869602101E-2</v>
      </c>
      <c r="AF5775" s="2">
        <v>10832.8732491596</v>
      </c>
      <c r="AG5775" s="2">
        <v>9957.6881729660799</v>
      </c>
      <c r="AH5775" s="5">
        <v>1.08789038790846</v>
      </c>
      <c r="AI5775" s="5">
        <v>0.12153320292347899</v>
      </c>
      <c r="AJ5775" s="5" t="s">
        <v>139</v>
      </c>
      <c r="AK5775" s="2">
        <v>0.864755412935727</v>
      </c>
      <c r="AL5775" s="2">
        <v>0.94126880286700698</v>
      </c>
      <c r="AM5775" s="2">
        <v>12026.691513923401</v>
      </c>
      <c r="AN5775" s="2">
        <v>10126.3050786392</v>
      </c>
      <c r="AO5775" s="2">
        <v>9447.4439215531002</v>
      </c>
      <c r="AP5775" s="2">
        <v>18892.0850288531</v>
      </c>
      <c r="AQ5775" s="2">
        <v>8446.8022315597791</v>
      </c>
      <c r="AR5775" s="2">
        <v>6057.9117204289796</v>
      </c>
      <c r="AS5775" s="2">
        <v>31787.107187154099</v>
      </c>
      <c r="AT5775" s="2">
        <v>12178.054726283901</v>
      </c>
      <c r="AU5775" s="2">
        <v>1132.4585931658901</v>
      </c>
      <c r="AV5775" s="2">
        <v>3106.2753365050198</v>
      </c>
      <c r="AW5775" s="2">
        <v>8393.3040415265696</v>
      </c>
      <c r="AX5775" s="2">
        <v>3148.9291531609801</v>
      </c>
    </row>
    <row r="5776" spans="1:50" x14ac:dyDescent="0.25">
      <c r="A5776" s="2" t="s">
        <v>37644</v>
      </c>
      <c r="B5776" s="2">
        <v>253.191822737938</v>
      </c>
      <c r="C5776" s="2">
        <v>5.8986166666666699</v>
      </c>
      <c r="D5776" s="2" t="s">
        <v>51</v>
      </c>
      <c r="E5776" s="2" t="s">
        <v>37645</v>
      </c>
      <c r="F5776" s="2">
        <v>82994</v>
      </c>
      <c r="G5776" s="3" t="str">
        <f>HYPERLINK("https://cloud.oebiotech.com/#/lm/network/82994", "https://cloud.oebiotech.com/#/lm/network/82994")</f>
        <v>https://cloud.oebiotech.com/#/lm/network/82994</v>
      </c>
      <c r="H5776" s="2" t="s">
        <v>37646</v>
      </c>
      <c r="I5776" s="2"/>
      <c r="J5776" s="2"/>
      <c r="K5776" s="2">
        <v>9859500</v>
      </c>
      <c r="L5776" s="2"/>
      <c r="M5776" s="2"/>
      <c r="N5776" s="2"/>
      <c r="O5776" s="2"/>
      <c r="P5776" s="2"/>
      <c r="Q5776" s="2"/>
      <c r="R5776" s="2" t="s">
        <v>37647</v>
      </c>
      <c r="S5776" s="2" t="s">
        <v>37648</v>
      </c>
      <c r="T5776" s="2" t="s">
        <v>37649</v>
      </c>
      <c r="U5776" s="2" t="s">
        <v>331</v>
      </c>
      <c r="V5776" s="2" t="s">
        <v>332</v>
      </c>
      <c r="W5776" s="2" t="s">
        <v>519</v>
      </c>
      <c r="X5776" s="2" t="s">
        <v>147</v>
      </c>
      <c r="Y5776" s="2">
        <v>39</v>
      </c>
      <c r="Z5776" s="2">
        <v>0.32200000000000001</v>
      </c>
      <c r="AA5776" s="2" t="s">
        <v>512</v>
      </c>
      <c r="AB5776" s="2" t="s">
        <v>37650</v>
      </c>
      <c r="AC5776" s="2">
        <v>3.2671355715883599</v>
      </c>
      <c r="AD5776" s="2"/>
      <c r="AE5776" s="2">
        <v>1.05884539030358E-2</v>
      </c>
      <c r="AF5776" s="2">
        <v>1231.87158290771</v>
      </c>
      <c r="AG5776" s="2">
        <v>1369.29318617012</v>
      </c>
      <c r="AH5776" s="4">
        <v>0.89964048265895802</v>
      </c>
      <c r="AI5776" s="4">
        <v>-0.15257951289874899</v>
      </c>
      <c r="AJ5776" s="4" t="s">
        <v>62</v>
      </c>
      <c r="AK5776" s="2">
        <v>0.82117699450846504</v>
      </c>
      <c r="AL5776" s="2">
        <v>0.92196063093736003</v>
      </c>
      <c r="AM5776" s="2">
        <v>2192.4931467024799</v>
      </c>
      <c r="AN5776" s="2">
        <v>1279.64831627023</v>
      </c>
      <c r="AO5776" s="2">
        <v>877.32169525717597</v>
      </c>
      <c r="AP5776" s="2">
        <v>1804.87291896942</v>
      </c>
      <c r="AQ5776" s="2">
        <v>740.09227253687698</v>
      </c>
      <c r="AR5776" s="2">
        <v>496.80114771005998</v>
      </c>
      <c r="AS5776" s="2">
        <v>8.559877937157E-6</v>
      </c>
      <c r="AT5776" s="2">
        <v>696.12746380643603</v>
      </c>
      <c r="AU5776" s="2">
        <v>2506.7296490357298</v>
      </c>
      <c r="AV5776" s="2">
        <v>3381.4644333788401</v>
      </c>
      <c r="AW5776" s="2">
        <v>1010.8358410670299</v>
      </c>
      <c r="AX5776" s="2">
        <v>620.60172117279001</v>
      </c>
    </row>
    <row r="5777" spans="1:50" x14ac:dyDescent="0.25">
      <c r="A5777" s="2" t="s">
        <v>37651</v>
      </c>
      <c r="B5777" s="2">
        <v>135.04407466003499</v>
      </c>
      <c r="C5777" s="2">
        <v>4.78165</v>
      </c>
      <c r="D5777" s="2" t="s">
        <v>51</v>
      </c>
      <c r="E5777" s="2" t="s">
        <v>37652</v>
      </c>
      <c r="F5777" s="2">
        <v>200592</v>
      </c>
      <c r="G5777" s="3" t="str">
        <f>HYPERLINK("https://cloud.oebiotech.com/#/lm/network/200592", "https://cloud.oebiotech.com/#/lm/network/200592")</f>
        <v>https://cloud.oebiotech.com/#/lm/network/200592</v>
      </c>
      <c r="H5777" s="2" t="s">
        <v>37653</v>
      </c>
      <c r="I5777" s="2">
        <v>66603</v>
      </c>
      <c r="J5777" s="2"/>
      <c r="K5777" s="2">
        <v>68490</v>
      </c>
      <c r="L5777" s="2" t="s">
        <v>37654</v>
      </c>
      <c r="M5777" s="2"/>
      <c r="N5777" s="2"/>
      <c r="O5777" s="2">
        <v>28341</v>
      </c>
      <c r="P5777" s="2"/>
      <c r="Q5777" s="2"/>
      <c r="R5777" s="2" t="s">
        <v>37655</v>
      </c>
      <c r="S5777" s="2" t="s">
        <v>37656</v>
      </c>
      <c r="T5777" s="2" t="s">
        <v>37657</v>
      </c>
      <c r="U5777" s="2" t="s">
        <v>331</v>
      </c>
      <c r="V5777" s="2" t="s">
        <v>332</v>
      </c>
      <c r="W5777" s="2" t="s">
        <v>1207</v>
      </c>
      <c r="X5777" s="2" t="s">
        <v>83</v>
      </c>
      <c r="Y5777" s="2">
        <v>41.6</v>
      </c>
      <c r="Z5777" s="2">
        <v>0</v>
      </c>
      <c r="AA5777" s="2" t="s">
        <v>163</v>
      </c>
      <c r="AB5777" s="2" t="s">
        <v>37658</v>
      </c>
      <c r="AC5777" s="2">
        <v>-7.9263828589075302</v>
      </c>
      <c r="AD5777" s="2"/>
      <c r="AE5777" s="2">
        <v>1.0515300696717699E-2</v>
      </c>
      <c r="AF5777" s="2">
        <v>1745.2313805942599</v>
      </c>
      <c r="AG5777" s="2">
        <v>1730.3080657349699</v>
      </c>
      <c r="AH5777" s="5">
        <v>1.00862465774437</v>
      </c>
      <c r="AI5777" s="5">
        <v>1.2389400257857199E-2</v>
      </c>
      <c r="AJ5777" s="5" t="s">
        <v>139</v>
      </c>
      <c r="AK5777" s="2">
        <v>0.95413020526596304</v>
      </c>
      <c r="AL5777" s="2">
        <v>0.98091773995157805</v>
      </c>
      <c r="AM5777" s="2">
        <v>1327.6681856948701</v>
      </c>
      <c r="AN5777" s="2">
        <v>1893.76728001475</v>
      </c>
      <c r="AO5777" s="2">
        <v>1564.48424437925</v>
      </c>
      <c r="AP5777" s="2">
        <v>2191.1923270030402</v>
      </c>
      <c r="AQ5777" s="2">
        <v>2016.95514570152</v>
      </c>
      <c r="AR5777" s="2">
        <v>1477.32110077213</v>
      </c>
      <c r="AS5777" s="2">
        <v>2498.9489389171299</v>
      </c>
      <c r="AT5777" s="2">
        <v>2168.5106403332202</v>
      </c>
      <c r="AU5777" s="2">
        <v>1192.9149948223001</v>
      </c>
      <c r="AV5777" s="2">
        <v>1498.00866425247</v>
      </c>
      <c r="AW5777" s="2">
        <v>1260.81293956076</v>
      </c>
      <c r="AX5777" s="2">
        <v>1762.6522165239101</v>
      </c>
    </row>
    <row r="5778" spans="1:50" x14ac:dyDescent="0.25">
      <c r="A5778" s="2" t="s">
        <v>37659</v>
      </c>
      <c r="B5778" s="2">
        <v>329.15039924008499</v>
      </c>
      <c r="C5778" s="2">
        <v>4.0250333333333304</v>
      </c>
      <c r="D5778" s="2" t="s">
        <v>51</v>
      </c>
      <c r="E5778" s="2" t="s">
        <v>37660</v>
      </c>
      <c r="F5778" s="2">
        <v>54024</v>
      </c>
      <c r="G5778" s="3" t="str">
        <f>HYPERLINK("https://cloud.oebiotech.com/#/lm/network/54024", "https://cloud.oebiotech.com/#/lm/network/54024")</f>
        <v>https://cloud.oebiotech.com/#/lm/network/54024</v>
      </c>
      <c r="H5778" s="2" t="s">
        <v>37661</v>
      </c>
      <c r="I5778" s="2">
        <v>336907</v>
      </c>
      <c r="J5778" s="2"/>
      <c r="K5778" s="2">
        <v>13341191</v>
      </c>
      <c r="L5778" s="2"/>
      <c r="M5778" s="2"/>
      <c r="N5778" s="2"/>
      <c r="O5778" s="2">
        <v>73637</v>
      </c>
      <c r="P5778" s="2"/>
      <c r="Q5778" s="2"/>
      <c r="R5778" s="2" t="s">
        <v>36134</v>
      </c>
      <c r="S5778" s="2" t="s">
        <v>37662</v>
      </c>
      <c r="T5778" s="2" t="s">
        <v>37663</v>
      </c>
      <c r="U5778" s="2" t="s">
        <v>103</v>
      </c>
      <c r="V5778" s="2" t="s">
        <v>104</v>
      </c>
      <c r="W5778" s="2" t="s">
        <v>105</v>
      </c>
      <c r="X5778" s="2" t="s">
        <v>83</v>
      </c>
      <c r="Y5778" s="2">
        <v>42.1</v>
      </c>
      <c r="Z5778" s="2">
        <v>0</v>
      </c>
      <c r="AA5778" s="2" t="s">
        <v>259</v>
      </c>
      <c r="AB5778" s="2" t="s">
        <v>21325</v>
      </c>
      <c r="AC5778" s="2">
        <v>2.48574727134802</v>
      </c>
      <c r="AD5778" s="2"/>
      <c r="AE5778" s="2">
        <v>1.0416081662945401E-2</v>
      </c>
      <c r="AF5778" s="2">
        <v>790.89841305412995</v>
      </c>
      <c r="AG5778" s="2">
        <v>1000.85325468779</v>
      </c>
      <c r="AH5778" s="4">
        <v>0.79022415059323503</v>
      </c>
      <c r="AI5778" s="4">
        <v>-0.33966615668532701</v>
      </c>
      <c r="AJ5778" s="4" t="s">
        <v>62</v>
      </c>
      <c r="AK5778" s="2">
        <v>0.77080823922255104</v>
      </c>
      <c r="AL5778" s="2">
        <v>0.897487451709018</v>
      </c>
      <c r="AM5778" s="2">
        <v>846.04733367832398</v>
      </c>
      <c r="AN5778" s="2">
        <v>249.108595870568</v>
      </c>
      <c r="AO5778" s="2">
        <v>1096.95063106415</v>
      </c>
      <c r="AP5778" s="2">
        <v>521.06698371267396</v>
      </c>
      <c r="AQ5778" s="2">
        <v>1397.7774787989999</v>
      </c>
      <c r="AR5778" s="2">
        <v>634.43945520006196</v>
      </c>
      <c r="AS5778" s="2">
        <v>482.40899165674199</v>
      </c>
      <c r="AT5778" s="2">
        <v>180.18868690399799</v>
      </c>
      <c r="AU5778" s="2">
        <v>4376.9452499048502</v>
      </c>
      <c r="AV5778" s="2">
        <v>359.50909601962599</v>
      </c>
      <c r="AW5778" s="2">
        <v>600.54916252824296</v>
      </c>
      <c r="AX5778" s="2">
        <v>5.5183411132540101</v>
      </c>
    </row>
    <row r="5779" spans="1:50" x14ac:dyDescent="0.25">
      <c r="A5779" s="2" t="s">
        <v>37664</v>
      </c>
      <c r="B5779" s="2">
        <v>261.14537127024698</v>
      </c>
      <c r="C5779" s="2">
        <v>0.76721666666666699</v>
      </c>
      <c r="D5779" s="2" t="s">
        <v>51</v>
      </c>
      <c r="E5779" s="2" t="s">
        <v>37665</v>
      </c>
      <c r="F5779" s="2">
        <v>53757</v>
      </c>
      <c r="G5779" s="3" t="str">
        <f>HYPERLINK("https://cloud.oebiotech.com/#/lm/network/53757", "https://cloud.oebiotech.com/#/lm/network/53757")</f>
        <v>https://cloud.oebiotech.com/#/lm/network/53757</v>
      </c>
      <c r="H5779" s="2" t="s">
        <v>37666</v>
      </c>
      <c r="I5779" s="2">
        <v>85633</v>
      </c>
      <c r="J5779" s="2"/>
      <c r="K5779" s="2">
        <v>7021454</v>
      </c>
      <c r="L5779" s="2"/>
      <c r="M5779" s="2"/>
      <c r="N5779" s="2"/>
      <c r="O5779" s="2">
        <v>73819</v>
      </c>
      <c r="P5779" s="2"/>
      <c r="Q5779" s="2"/>
      <c r="R5779" s="2" t="s">
        <v>37667</v>
      </c>
      <c r="S5779" s="2" t="s">
        <v>37668</v>
      </c>
      <c r="T5779" s="2" t="s">
        <v>37669</v>
      </c>
      <c r="U5779" s="2" t="s">
        <v>103</v>
      </c>
      <c r="V5779" s="2" t="s">
        <v>104</v>
      </c>
      <c r="W5779" s="2" t="s">
        <v>105</v>
      </c>
      <c r="X5779" s="2" t="s">
        <v>83</v>
      </c>
      <c r="Y5779" s="2">
        <v>38.6</v>
      </c>
      <c r="Z5779" s="2">
        <v>4.7</v>
      </c>
      <c r="AA5779" s="2" t="s">
        <v>122</v>
      </c>
      <c r="AB5779" s="2" t="s">
        <v>34033</v>
      </c>
      <c r="AC5779" s="2">
        <v>6.3836832017706504</v>
      </c>
      <c r="AD5779" s="2"/>
      <c r="AE5779" s="2">
        <v>1.03795834362934E-2</v>
      </c>
      <c r="AF5779" s="2">
        <v>12171.3382471675</v>
      </c>
      <c r="AG5779" s="2">
        <v>14991.689238609801</v>
      </c>
      <c r="AH5779" s="4">
        <v>0.81187236831332099</v>
      </c>
      <c r="AI5779" s="4">
        <v>-0.30067515081949803</v>
      </c>
      <c r="AJ5779" s="4" t="s">
        <v>62</v>
      </c>
      <c r="AK5779" s="2">
        <v>0.75916794629582596</v>
      </c>
      <c r="AL5779" s="2">
        <v>0.89152062866139503</v>
      </c>
      <c r="AM5779" s="2">
        <v>18832.603545765702</v>
      </c>
      <c r="AN5779" s="2">
        <v>7869.7843345495103</v>
      </c>
      <c r="AO5779" s="2">
        <v>9878.1689428131194</v>
      </c>
      <c r="AP5779" s="2">
        <v>10389.250797696999</v>
      </c>
      <c r="AQ5779" s="2">
        <v>11825.4161628572</v>
      </c>
      <c r="AR5779" s="2">
        <v>14232.8056993225</v>
      </c>
      <c r="AS5779" s="2">
        <v>1494.67292644082</v>
      </c>
      <c r="AT5779" s="2">
        <v>8836.7634199454696</v>
      </c>
      <c r="AU5779" s="2">
        <v>58550.949681361599</v>
      </c>
      <c r="AV5779" s="2">
        <v>10645.568600254401</v>
      </c>
      <c r="AW5779" s="2">
        <v>5516.3304095573403</v>
      </c>
      <c r="AX5779" s="2">
        <v>4905.8503940994296</v>
      </c>
    </row>
    <row r="5780" spans="1:50" x14ac:dyDescent="0.25">
      <c r="A5780" s="2" t="s">
        <v>37670</v>
      </c>
      <c r="B5780" s="2">
        <v>916.87187517488599</v>
      </c>
      <c r="C5780" s="2">
        <v>4.72983333333333</v>
      </c>
      <c r="D5780" s="2" t="s">
        <v>51</v>
      </c>
      <c r="E5780" s="2" t="s">
        <v>37671</v>
      </c>
      <c r="F5780" s="2">
        <v>73473</v>
      </c>
      <c r="G5780" s="3" t="str">
        <f>HYPERLINK("https://cloud.oebiotech.com/#/lm/network/73473", "https://cloud.oebiotech.com/#/lm/network/73473")</f>
        <v>https://cloud.oebiotech.com/#/lm/network/73473</v>
      </c>
      <c r="H5780" s="2" t="s">
        <v>37672</v>
      </c>
      <c r="I5780" s="2"/>
      <c r="J5780" s="2"/>
      <c r="K5780" s="2">
        <v>131761586</v>
      </c>
      <c r="L5780" s="2"/>
      <c r="M5780" s="2"/>
      <c r="N5780" s="2"/>
      <c r="O5780" s="2"/>
      <c r="P5780" s="2"/>
      <c r="Q5780" s="2"/>
      <c r="R5780" s="2"/>
      <c r="S5780" s="2" t="s">
        <v>37673</v>
      </c>
      <c r="T5780" s="2" t="s">
        <v>37674</v>
      </c>
      <c r="U5780" s="2" t="s">
        <v>56</v>
      </c>
      <c r="V5780" s="2" t="s">
        <v>3215</v>
      </c>
      <c r="W5780" s="2" t="s">
        <v>12389</v>
      </c>
      <c r="X5780" s="2" t="s">
        <v>147</v>
      </c>
      <c r="Y5780" s="2">
        <v>36.6</v>
      </c>
      <c r="Z5780" s="2">
        <v>0</v>
      </c>
      <c r="AA5780" s="2" t="s">
        <v>512</v>
      </c>
      <c r="AB5780" s="2" t="s">
        <v>37675</v>
      </c>
      <c r="AC5780" s="2">
        <v>3.0294975126352099</v>
      </c>
      <c r="AD5780" s="2"/>
      <c r="AE5780" s="2">
        <v>1.03671797749241E-2</v>
      </c>
      <c r="AF5780" s="2">
        <v>9085.7677875691097</v>
      </c>
      <c r="AG5780" s="2">
        <v>8737.4346535798395</v>
      </c>
      <c r="AH5780" s="5">
        <v>1.03986675126051</v>
      </c>
      <c r="AI5780" s="5">
        <v>5.6398672970407397E-2</v>
      </c>
      <c r="AJ5780" s="5" t="s">
        <v>139</v>
      </c>
      <c r="AK5780" s="2">
        <v>0.96163350687421001</v>
      </c>
      <c r="AL5780" s="2">
        <v>0.98485736248269495</v>
      </c>
      <c r="AM5780" s="2">
        <v>19664.215765099299</v>
      </c>
      <c r="AN5780" s="2">
        <v>2269.20606972203</v>
      </c>
      <c r="AO5780" s="2">
        <v>9601.5169044144604</v>
      </c>
      <c r="AP5780" s="2">
        <v>8.559877937157E-6</v>
      </c>
      <c r="AQ5780" s="2">
        <v>8.559877937157E-6</v>
      </c>
      <c r="AR5780" s="2">
        <v>22979.667969059101</v>
      </c>
      <c r="AS5780" s="2">
        <v>8.559877937157E-6</v>
      </c>
      <c r="AT5780" s="2">
        <v>817.47351797294596</v>
      </c>
      <c r="AU5780" s="2">
        <v>1315.1880940461201</v>
      </c>
      <c r="AV5780" s="2">
        <v>36165.678930925998</v>
      </c>
      <c r="AW5780" s="2">
        <v>3358.0732277888301</v>
      </c>
      <c r="AX5780" s="2">
        <v>10768.194142185301</v>
      </c>
    </row>
    <row r="5781" spans="1:50" x14ac:dyDescent="0.25">
      <c r="A5781" s="2" t="s">
        <v>37676</v>
      </c>
      <c r="B5781" s="2">
        <v>293.06130872678102</v>
      </c>
      <c r="C5781" s="2">
        <v>7.3330166666666701</v>
      </c>
      <c r="D5781" s="2" t="s">
        <v>51</v>
      </c>
      <c r="E5781" s="2" t="s">
        <v>37677</v>
      </c>
      <c r="F5781" s="2">
        <v>209713</v>
      </c>
      <c r="G5781" s="3" t="str">
        <f>HYPERLINK("https://cloud.oebiotech.com/#/lm/network/209713", "https://cloud.oebiotech.com/#/lm/network/209713")</f>
        <v>https://cloud.oebiotech.com/#/lm/network/209713</v>
      </c>
      <c r="H5781" s="2" t="s">
        <v>37678</v>
      </c>
      <c r="I5781" s="2"/>
      <c r="J5781" s="2"/>
      <c r="K5781" s="2"/>
      <c r="L5781" s="2"/>
      <c r="M5781" s="2"/>
      <c r="N5781" s="2"/>
      <c r="O5781" s="2"/>
      <c r="P5781" s="2"/>
      <c r="Q5781" s="2"/>
      <c r="R5781" s="2"/>
      <c r="S5781" s="2" t="s">
        <v>37679</v>
      </c>
      <c r="T5781" s="2" t="s">
        <v>37680</v>
      </c>
      <c r="U5781" s="2" t="s">
        <v>610</v>
      </c>
      <c r="V5781" s="2" t="s">
        <v>611</v>
      </c>
      <c r="W5781" s="2" t="s">
        <v>11492</v>
      </c>
      <c r="X5781" s="2" t="s">
        <v>147</v>
      </c>
      <c r="Y5781" s="2">
        <v>42.2</v>
      </c>
      <c r="Z5781" s="2">
        <v>16.7</v>
      </c>
      <c r="AA5781" s="2" t="s">
        <v>218</v>
      </c>
      <c r="AB5781" s="2" t="s">
        <v>37681</v>
      </c>
      <c r="AC5781" s="2">
        <v>5.7854598913673998E-2</v>
      </c>
      <c r="AD5781" s="2"/>
      <c r="AE5781" s="2">
        <v>1.03398473670094E-2</v>
      </c>
      <c r="AF5781" s="2">
        <v>5706.5910782788696</v>
      </c>
      <c r="AG5781" s="2">
        <v>5723.5524862311504</v>
      </c>
      <c r="AH5781" s="4">
        <v>0.99703655937582802</v>
      </c>
      <c r="AI5781" s="4">
        <v>-4.2816884954020003E-3</v>
      </c>
      <c r="AJ5781" s="4" t="s">
        <v>62</v>
      </c>
      <c r="AK5781" s="2">
        <v>0.99475893640560198</v>
      </c>
      <c r="AL5781" s="2">
        <v>0.99727858923337698</v>
      </c>
      <c r="AM5781" s="2">
        <v>7646.8979992610402</v>
      </c>
      <c r="AN5781" s="2">
        <v>3496.3006976076599</v>
      </c>
      <c r="AO5781" s="2">
        <v>5347.2115904572101</v>
      </c>
      <c r="AP5781" s="2">
        <v>291.986112690683</v>
      </c>
      <c r="AQ5781" s="2">
        <v>4123.2392292928298</v>
      </c>
      <c r="AR5781" s="2">
        <v>13333.9108403638</v>
      </c>
      <c r="AS5781" s="2">
        <v>8350.0657307839101</v>
      </c>
      <c r="AT5781" s="2">
        <v>6893.8529071160601</v>
      </c>
      <c r="AU5781" s="2">
        <v>2008.3747537204599</v>
      </c>
      <c r="AV5781" s="2">
        <v>1453.04112669299</v>
      </c>
      <c r="AW5781" s="2">
        <v>3212.47964321476</v>
      </c>
      <c r="AX5781" s="2">
        <v>12423.5007558587</v>
      </c>
    </row>
    <row r="5782" spans="1:50" x14ac:dyDescent="0.25">
      <c r="A5782" s="2" t="s">
        <v>37682</v>
      </c>
      <c r="B5782" s="2">
        <v>283.20224375900602</v>
      </c>
      <c r="C5782" s="2">
        <v>4.7092833333333299</v>
      </c>
      <c r="D5782" s="2" t="s">
        <v>51</v>
      </c>
      <c r="E5782" s="2" t="s">
        <v>37683</v>
      </c>
      <c r="F5782" s="2">
        <v>53569</v>
      </c>
      <c r="G5782" s="3" t="str">
        <f>HYPERLINK("https://cloud.oebiotech.com/#/lm/network/53569", "https://cloud.oebiotech.com/#/lm/network/53569")</f>
        <v>https://cloud.oebiotech.com/#/lm/network/53569</v>
      </c>
      <c r="H5782" s="2" t="s">
        <v>37684</v>
      </c>
      <c r="I5782" s="2">
        <v>1681</v>
      </c>
      <c r="J5782" s="2"/>
      <c r="K5782" s="2">
        <v>4631</v>
      </c>
      <c r="L5782" s="2" t="s">
        <v>37685</v>
      </c>
      <c r="M5782" s="2"/>
      <c r="N5782" s="2"/>
      <c r="O5782" s="2">
        <v>113756</v>
      </c>
      <c r="P5782" s="2"/>
      <c r="Q5782" s="2"/>
      <c r="R5782" s="2" t="s">
        <v>37686</v>
      </c>
      <c r="S5782" s="2" t="s">
        <v>37687</v>
      </c>
      <c r="T5782" s="2" t="s">
        <v>37688</v>
      </c>
      <c r="U5782" s="2" t="s">
        <v>610</v>
      </c>
      <c r="V5782" s="2" t="s">
        <v>4556</v>
      </c>
      <c r="W5782" s="2" t="s">
        <v>240</v>
      </c>
      <c r="X5782" s="2" t="s">
        <v>147</v>
      </c>
      <c r="Y5782" s="2">
        <v>36.200000000000003</v>
      </c>
      <c r="Z5782" s="2">
        <v>0</v>
      </c>
      <c r="AA5782" s="2" t="s">
        <v>512</v>
      </c>
      <c r="AB5782" s="2" t="s">
        <v>37689</v>
      </c>
      <c r="AC5782" s="2">
        <v>2.3555949512483498</v>
      </c>
      <c r="AD5782" s="2"/>
      <c r="AE5782" s="2">
        <v>1.03233139761673E-2</v>
      </c>
      <c r="AF5782" s="2">
        <v>472.77519139679498</v>
      </c>
      <c r="AG5782" s="2">
        <v>550.24589109208398</v>
      </c>
      <c r="AH5782" s="4">
        <v>0.85920712730533799</v>
      </c>
      <c r="AI5782" s="4">
        <v>-0.21892213405307601</v>
      </c>
      <c r="AJ5782" s="4" t="s">
        <v>62</v>
      </c>
      <c r="AK5782" s="2">
        <v>0.83123365698962903</v>
      </c>
      <c r="AL5782" s="2">
        <v>0.92555030411617201</v>
      </c>
      <c r="AM5782" s="2">
        <v>661.75003124961302</v>
      </c>
      <c r="AN5782" s="2">
        <v>484.44995086335001</v>
      </c>
      <c r="AO5782" s="2">
        <v>264.01624813125602</v>
      </c>
      <c r="AP5782" s="2">
        <v>291.958213101936</v>
      </c>
      <c r="AQ5782" s="2">
        <v>667.142947946508</v>
      </c>
      <c r="AR5782" s="2">
        <v>467.33375708810701</v>
      </c>
      <c r="AS5782" s="2">
        <v>2.64802319947816</v>
      </c>
      <c r="AT5782" s="2">
        <v>615.71300378222998</v>
      </c>
      <c r="AU5782" s="2">
        <v>2222.3373241887198</v>
      </c>
      <c r="AV5782" s="2">
        <v>282.67045633245903</v>
      </c>
      <c r="AW5782" s="2">
        <v>1.7638157999583499</v>
      </c>
      <c r="AX5782" s="2">
        <v>176.34272324965801</v>
      </c>
    </row>
    <row r="5783" spans="1:50" x14ac:dyDescent="0.25">
      <c r="A5783" s="2" t="s">
        <v>37690</v>
      </c>
      <c r="B5783" s="2">
        <v>175.096999480129</v>
      </c>
      <c r="C5783" s="2">
        <v>1.6850166666666699</v>
      </c>
      <c r="D5783" s="2" t="s">
        <v>51</v>
      </c>
      <c r="E5783" s="2" t="s">
        <v>37691</v>
      </c>
      <c r="F5783" s="2">
        <v>83800</v>
      </c>
      <c r="G5783" s="3" t="str">
        <f>HYPERLINK("https://cloud.oebiotech.com/#/lm/network/83800", "https://cloud.oebiotech.com/#/lm/network/83800")</f>
        <v>https://cloud.oebiotech.com/#/lm/network/83800</v>
      </c>
      <c r="H5783" s="2" t="s">
        <v>37692</v>
      </c>
      <c r="I5783" s="2"/>
      <c r="J5783" s="2"/>
      <c r="K5783" s="2"/>
      <c r="L5783" s="2"/>
      <c r="M5783" s="2"/>
      <c r="N5783" s="2"/>
      <c r="O5783" s="2">
        <v>57946</v>
      </c>
      <c r="P5783" s="2"/>
      <c r="Q5783" s="2"/>
      <c r="R5783" s="2"/>
      <c r="S5783" s="2" t="s">
        <v>37693</v>
      </c>
      <c r="T5783" s="2" t="s">
        <v>37694</v>
      </c>
      <c r="U5783" s="2" t="s">
        <v>119</v>
      </c>
      <c r="V5783" s="2" t="s">
        <v>120</v>
      </c>
      <c r="W5783" s="2" t="s">
        <v>1887</v>
      </c>
      <c r="X5783" s="2" t="s">
        <v>147</v>
      </c>
      <c r="Y5783" s="2">
        <v>39.200000000000003</v>
      </c>
      <c r="Z5783" s="2">
        <v>0</v>
      </c>
      <c r="AA5783" s="2" t="s">
        <v>95</v>
      </c>
      <c r="AB5783" s="2" t="s">
        <v>37695</v>
      </c>
      <c r="AC5783" s="2">
        <v>1.57603489090211</v>
      </c>
      <c r="AD5783" s="2"/>
      <c r="AE5783" s="2">
        <v>1.01928228733668E-2</v>
      </c>
      <c r="AF5783" s="2">
        <v>5382.0988206112697</v>
      </c>
      <c r="AG5783" s="2">
        <v>5443.4137101664901</v>
      </c>
      <c r="AH5783" s="4">
        <v>0.98873594901657003</v>
      </c>
      <c r="AI5783" s="4">
        <v>-1.6342807378444998E-2</v>
      </c>
      <c r="AJ5783" s="4" t="s">
        <v>62</v>
      </c>
      <c r="AK5783" s="2">
        <v>0.90607230192740995</v>
      </c>
      <c r="AL5783" s="2">
        <v>0.96060028116840301</v>
      </c>
      <c r="AM5783" s="2">
        <v>4948.0927726483797</v>
      </c>
      <c r="AN5783" s="2">
        <v>5787.3037050400599</v>
      </c>
      <c r="AO5783" s="2">
        <v>5562.8752576400502</v>
      </c>
      <c r="AP5783" s="2">
        <v>5753.4253656459996</v>
      </c>
      <c r="AQ5783" s="2">
        <v>5769.2568013798</v>
      </c>
      <c r="AR5783" s="2">
        <v>4471.63902131335</v>
      </c>
      <c r="AS5783" s="2">
        <v>6175.4062290431402</v>
      </c>
      <c r="AT5783" s="2">
        <v>6693.9541908768197</v>
      </c>
      <c r="AU5783" s="2">
        <v>4265.7280702308299</v>
      </c>
      <c r="AV5783" s="2">
        <v>4151.4923632227401</v>
      </c>
      <c r="AW5783" s="2">
        <v>5007.0207525148498</v>
      </c>
      <c r="AX5783" s="2">
        <v>6366.8806551105599</v>
      </c>
    </row>
    <row r="5784" spans="1:50" x14ac:dyDescent="0.25">
      <c r="A5784" s="2" t="s">
        <v>37696</v>
      </c>
      <c r="B5784" s="2">
        <v>164.03442251944401</v>
      </c>
      <c r="C5784" s="2">
        <v>4.9007166666666704</v>
      </c>
      <c r="D5784" s="2" t="s">
        <v>51</v>
      </c>
      <c r="E5784" s="2" t="s">
        <v>37697</v>
      </c>
      <c r="F5784" s="2">
        <v>83508</v>
      </c>
      <c r="G5784" s="3" t="str">
        <f>HYPERLINK("https://cloud.oebiotech.com/#/lm/network/83508", "https://cloud.oebiotech.com/#/lm/network/83508")</f>
        <v>https://cloud.oebiotech.com/#/lm/network/83508</v>
      </c>
      <c r="H5784" s="2" t="s">
        <v>37698</v>
      </c>
      <c r="I5784" s="2">
        <v>325077</v>
      </c>
      <c r="J5784" s="2"/>
      <c r="K5784" s="2">
        <v>7672</v>
      </c>
      <c r="L5784" s="2"/>
      <c r="M5784" s="2"/>
      <c r="N5784" s="2"/>
      <c r="O5784" s="2">
        <v>53806</v>
      </c>
      <c r="P5784" s="2"/>
      <c r="Q5784" s="2"/>
      <c r="R5784" s="2" t="s">
        <v>37699</v>
      </c>
      <c r="S5784" s="2" t="s">
        <v>37700</v>
      </c>
      <c r="T5784" s="2" t="s">
        <v>37701</v>
      </c>
      <c r="U5784" s="2" t="s">
        <v>610</v>
      </c>
      <c r="V5784" s="2" t="s">
        <v>611</v>
      </c>
      <c r="W5784" s="2" t="s">
        <v>240</v>
      </c>
      <c r="X5784" s="2" t="s">
        <v>69</v>
      </c>
      <c r="Y5784" s="2">
        <v>51.9</v>
      </c>
      <c r="Z5784" s="2">
        <v>65.5</v>
      </c>
      <c r="AA5784" s="2" t="s">
        <v>218</v>
      </c>
      <c r="AB5784" s="2" t="s">
        <v>37702</v>
      </c>
      <c r="AC5784" s="2">
        <v>-7.5113990689546304</v>
      </c>
      <c r="AD5784" s="2"/>
      <c r="AE5784" s="2">
        <v>1.00389945743587E-2</v>
      </c>
      <c r="AF5784" s="2">
        <v>1655.1907360858499</v>
      </c>
      <c r="AG5784" s="2">
        <v>1586.0127014202501</v>
      </c>
      <c r="AH5784" s="5">
        <v>1.0436175792310201</v>
      </c>
      <c r="AI5784" s="5">
        <v>6.1593150969621799E-2</v>
      </c>
      <c r="AJ5784" s="5" t="s">
        <v>139</v>
      </c>
      <c r="AK5784" s="2">
        <v>0.85887576967367696</v>
      </c>
      <c r="AL5784" s="2">
        <v>0.93822758280500396</v>
      </c>
      <c r="AM5784" s="2">
        <v>1018.3212666161299</v>
      </c>
      <c r="AN5784" s="2">
        <v>1322.49798595472</v>
      </c>
      <c r="AO5784" s="2">
        <v>1496.36843824926</v>
      </c>
      <c r="AP5784" s="2">
        <v>1309.1957062347001</v>
      </c>
      <c r="AQ5784" s="2">
        <v>1700.90016625627</v>
      </c>
      <c r="AR5784" s="2">
        <v>3083.8608532040298</v>
      </c>
      <c r="AS5784" s="2">
        <v>1479.5880192951499</v>
      </c>
      <c r="AT5784" s="2">
        <v>2722.6266928776499</v>
      </c>
      <c r="AU5784" s="2">
        <v>1172.78036615565</v>
      </c>
      <c r="AV5784" s="2">
        <v>1332.0386996976199</v>
      </c>
      <c r="AW5784" s="2">
        <v>1450.1558261580501</v>
      </c>
      <c r="AX5784" s="2">
        <v>1358.8866043374001</v>
      </c>
    </row>
    <row r="5785" spans="1:50" x14ac:dyDescent="0.25">
      <c r="A5785" s="2" t="s">
        <v>37703</v>
      </c>
      <c r="B5785" s="2">
        <v>147.04</v>
      </c>
      <c r="C5785" s="2">
        <v>8.5359999999999996</v>
      </c>
      <c r="D5785" s="2" t="s">
        <v>125</v>
      </c>
      <c r="E5785" s="2" t="s">
        <v>37704</v>
      </c>
      <c r="F5785" s="2">
        <v>258238</v>
      </c>
      <c r="G5785" s="3" t="str">
        <f>HYPERLINK("https://cloud.oebiotech.com/#/lm/network/258238", "https://cloud.oebiotech.com/#/lm/network/258238")</f>
        <v>https://cloud.oebiotech.com/#/lm/network/258238</v>
      </c>
      <c r="H5785" s="2"/>
      <c r="I5785" s="2">
        <v>3221</v>
      </c>
      <c r="J5785" s="2"/>
      <c r="K5785" s="2">
        <v>10442</v>
      </c>
      <c r="L5785" s="2" t="s">
        <v>37705</v>
      </c>
      <c r="M5785" s="2" t="s">
        <v>37706</v>
      </c>
      <c r="N5785" s="2" t="s">
        <v>37707</v>
      </c>
      <c r="O5785" s="2"/>
      <c r="P5785" s="2"/>
      <c r="Q5785" s="2"/>
      <c r="R5785" s="2" t="s">
        <v>37708</v>
      </c>
      <c r="S5785" s="2" t="s">
        <v>37709</v>
      </c>
      <c r="T5785" s="2" t="s">
        <v>37710</v>
      </c>
      <c r="U5785" s="2" t="s">
        <v>331</v>
      </c>
      <c r="V5785" s="2" t="s">
        <v>332</v>
      </c>
      <c r="W5785" s="2" t="s">
        <v>519</v>
      </c>
      <c r="X5785" s="2" t="s">
        <v>83</v>
      </c>
      <c r="Y5785" s="2">
        <v>80.2</v>
      </c>
      <c r="Z5785" s="2">
        <v>66.900000000000006</v>
      </c>
      <c r="AA5785" s="2"/>
      <c r="AB5785" s="2" t="s">
        <v>37711</v>
      </c>
      <c r="AC5785" s="2"/>
      <c r="AD5785" s="2">
        <v>285926.40189685801</v>
      </c>
      <c r="AE5785" s="2">
        <v>9.9531159532719599E-3</v>
      </c>
      <c r="AF5785" s="2">
        <v>166386.33230008199</v>
      </c>
      <c r="AG5785" s="2">
        <v>162689.23550885601</v>
      </c>
      <c r="AH5785" s="5">
        <v>1.0227249011261399</v>
      </c>
      <c r="AI5785" s="5">
        <v>3.2418132224577199E-2</v>
      </c>
      <c r="AJ5785" s="5" t="s">
        <v>139</v>
      </c>
      <c r="AK5785" s="2">
        <v>0.90392718434796304</v>
      </c>
      <c r="AL5785" s="2">
        <v>0.95998600422561597</v>
      </c>
      <c r="AM5785" s="2">
        <v>188076.48538878199</v>
      </c>
      <c r="AN5785" s="2">
        <v>169358.688872342</v>
      </c>
      <c r="AO5785" s="2">
        <v>176371.10698343199</v>
      </c>
      <c r="AP5785" s="2">
        <v>221756.89403301501</v>
      </c>
      <c r="AQ5785" s="2">
        <v>27151.692600469902</v>
      </c>
      <c r="AR5785" s="2">
        <v>215603.12592245301</v>
      </c>
      <c r="AS5785" s="2">
        <v>163314.67234908501</v>
      </c>
      <c r="AT5785" s="2">
        <v>139489.64919719601</v>
      </c>
      <c r="AU5785" s="2">
        <v>171276.957800534</v>
      </c>
      <c r="AV5785" s="2">
        <v>147228.835039906</v>
      </c>
      <c r="AW5785" s="2">
        <v>180299.73600747599</v>
      </c>
      <c r="AX5785" s="2">
        <v>174525.56265894001</v>
      </c>
    </row>
    <row r="5786" spans="1:50" x14ac:dyDescent="0.25">
      <c r="A5786" s="2" t="s">
        <v>37712</v>
      </c>
      <c r="B5786" s="2">
        <v>340.224283170055</v>
      </c>
      <c r="C5786" s="2">
        <v>7.7745666666666704</v>
      </c>
      <c r="D5786" s="2" t="s">
        <v>51</v>
      </c>
      <c r="E5786" s="2" t="s">
        <v>37713</v>
      </c>
      <c r="F5786" s="2">
        <v>260221</v>
      </c>
      <c r="G5786" s="3" t="str">
        <f>HYPERLINK("https://cloud.oebiotech.com/#/lm/network/260221", "https://cloud.oebiotech.com/#/lm/network/260221")</f>
        <v>https://cloud.oebiotech.com/#/lm/network/260221</v>
      </c>
      <c r="H5786" s="2"/>
      <c r="I5786" s="2">
        <v>17467</v>
      </c>
      <c r="J5786" s="2"/>
      <c r="K5786" s="2">
        <v>94701</v>
      </c>
      <c r="L5786" s="2"/>
      <c r="M5786" s="2"/>
      <c r="N5786" s="2"/>
      <c r="O5786" s="2"/>
      <c r="P5786" s="2"/>
      <c r="Q5786" s="2"/>
      <c r="R5786" s="2"/>
      <c r="S5786" s="2" t="s">
        <v>37714</v>
      </c>
      <c r="T5786" s="2" t="s">
        <v>37715</v>
      </c>
      <c r="U5786" s="2" t="s">
        <v>103</v>
      </c>
      <c r="V5786" s="2" t="s">
        <v>104</v>
      </c>
      <c r="W5786" s="2" t="s">
        <v>105</v>
      </c>
      <c r="X5786" s="2" t="s">
        <v>147</v>
      </c>
      <c r="Y5786" s="2">
        <v>37.6</v>
      </c>
      <c r="Z5786" s="2">
        <v>0</v>
      </c>
      <c r="AA5786" s="2" t="s">
        <v>163</v>
      </c>
      <c r="AB5786" s="2" t="s">
        <v>32789</v>
      </c>
      <c r="AC5786" s="2">
        <v>0.30218563569893198</v>
      </c>
      <c r="AD5786" s="2"/>
      <c r="AE5786" s="2">
        <v>9.9446794668917992E-3</v>
      </c>
      <c r="AF5786" s="2">
        <v>530.57176167111095</v>
      </c>
      <c r="AG5786" s="2">
        <v>503.10937739856899</v>
      </c>
      <c r="AH5786" s="5">
        <v>1.05458531585029</v>
      </c>
      <c r="AI5786" s="5">
        <v>7.6675813742520096E-2</v>
      </c>
      <c r="AJ5786" s="5" t="s">
        <v>139</v>
      </c>
      <c r="AK5786" s="2">
        <v>0.93824443139498404</v>
      </c>
      <c r="AL5786" s="2">
        <v>0.97315813927184203</v>
      </c>
      <c r="AM5786" s="2">
        <v>8.559877937157E-6</v>
      </c>
      <c r="AN5786" s="2">
        <v>1289.5074129832601</v>
      </c>
      <c r="AO5786" s="2">
        <v>355.546089100176</v>
      </c>
      <c r="AP5786" s="2">
        <v>550.21664889057604</v>
      </c>
      <c r="AQ5786" s="2">
        <v>385.17854025458098</v>
      </c>
      <c r="AR5786" s="2">
        <v>602.98187023819298</v>
      </c>
      <c r="AS5786" s="2">
        <v>1888.4494080494701</v>
      </c>
      <c r="AT5786" s="2">
        <v>245.271413671917</v>
      </c>
      <c r="AU5786" s="2">
        <v>8.559877937157E-6</v>
      </c>
      <c r="AV5786" s="2">
        <v>8.559877937157E-6</v>
      </c>
      <c r="AW5786" s="2">
        <v>150.50875579432301</v>
      </c>
      <c r="AX5786" s="2">
        <v>734.42666975594796</v>
      </c>
    </row>
    <row r="5787" spans="1:50" x14ac:dyDescent="0.25">
      <c r="A5787" s="2" t="s">
        <v>37716</v>
      </c>
      <c r="B5787" s="2">
        <v>221.15418490811899</v>
      </c>
      <c r="C5787" s="2">
        <v>11.270949999999999</v>
      </c>
      <c r="D5787" s="2" t="s">
        <v>51</v>
      </c>
      <c r="E5787" s="2" t="s">
        <v>37717</v>
      </c>
      <c r="F5787" s="2">
        <v>1448</v>
      </c>
      <c r="G5787" s="3" t="str">
        <f>HYPERLINK("https://cloud.oebiotech.com/#/lm/network/1448", "https://cloud.oebiotech.com/#/lm/network/1448")</f>
        <v>https://cloud.oebiotech.com/#/lm/network/1448</v>
      </c>
      <c r="H5787" s="2"/>
      <c r="I5787" s="2"/>
      <c r="J5787" s="2" t="s">
        <v>37718</v>
      </c>
      <c r="K5787" s="2">
        <v>14309406</v>
      </c>
      <c r="L5787" s="2"/>
      <c r="M5787" s="2"/>
      <c r="N5787" s="2"/>
      <c r="O5787" s="2"/>
      <c r="P5787" s="2"/>
      <c r="Q5787" s="2"/>
      <c r="R5787" s="2"/>
      <c r="S5787" s="2" t="s">
        <v>37719</v>
      </c>
      <c r="T5787" s="2" t="s">
        <v>37720</v>
      </c>
      <c r="U5787" s="2" t="s">
        <v>56</v>
      </c>
      <c r="V5787" s="2" t="s">
        <v>145</v>
      </c>
      <c r="W5787" s="2" t="s">
        <v>231</v>
      </c>
      <c r="X5787" s="2" t="s">
        <v>83</v>
      </c>
      <c r="Y5787" s="2">
        <v>53.8</v>
      </c>
      <c r="Z5787" s="2">
        <v>0</v>
      </c>
      <c r="AA5787" s="2" t="s">
        <v>259</v>
      </c>
      <c r="AB5787" s="2" t="s">
        <v>7554</v>
      </c>
      <c r="AC5787" s="2">
        <v>2.6282318631121599</v>
      </c>
      <c r="AD5787" s="2"/>
      <c r="AE5787" s="2">
        <v>9.8614647454636807E-3</v>
      </c>
      <c r="AF5787" s="2">
        <v>3313.6584417323202</v>
      </c>
      <c r="AG5787" s="2">
        <v>3162.7570606352001</v>
      </c>
      <c r="AH5787" s="5">
        <v>1.0477119735104801</v>
      </c>
      <c r="AI5787" s="5">
        <v>6.7242160100444301E-2</v>
      </c>
      <c r="AJ5787" s="5" t="s">
        <v>139</v>
      </c>
      <c r="AK5787" s="2">
        <v>0.83418608547233597</v>
      </c>
      <c r="AL5787" s="2">
        <v>0.92739717256062304</v>
      </c>
      <c r="AM5787" s="2">
        <v>2350.58607366662</v>
      </c>
      <c r="AN5787" s="2">
        <v>3636.2713345508</v>
      </c>
      <c r="AO5787" s="2">
        <v>3871.4308005456201</v>
      </c>
      <c r="AP5787" s="2">
        <v>4681.31451967883</v>
      </c>
      <c r="AQ5787" s="2">
        <v>3446.6432551252501</v>
      </c>
      <c r="AR5787" s="2">
        <v>1895.7046668268199</v>
      </c>
      <c r="AS5787" s="2">
        <v>2025.6787119098301</v>
      </c>
      <c r="AT5787" s="2">
        <v>4279.6958676108297</v>
      </c>
      <c r="AU5787" s="2">
        <v>1608.71444524199</v>
      </c>
      <c r="AV5787" s="2">
        <v>2269.1576130273102</v>
      </c>
      <c r="AW5787" s="2">
        <v>3781.9596272527101</v>
      </c>
      <c r="AX5787" s="2">
        <v>5011.3360987685501</v>
      </c>
    </row>
    <row r="5788" spans="1:50" x14ac:dyDescent="0.25">
      <c r="A5788" s="2" t="s">
        <v>37721</v>
      </c>
      <c r="B5788" s="2">
        <v>228.23279224230399</v>
      </c>
      <c r="C5788" s="2">
        <v>12.757199999999999</v>
      </c>
      <c r="D5788" s="2" t="s">
        <v>51</v>
      </c>
      <c r="E5788" s="2" t="s">
        <v>37722</v>
      </c>
      <c r="F5788" s="2">
        <v>39020</v>
      </c>
      <c r="G5788" s="3" t="str">
        <f>HYPERLINK("https://cloud.oebiotech.com/#/lm/network/39020", "https://cloud.oebiotech.com/#/lm/network/39020")</f>
        <v>https://cloud.oebiotech.com/#/lm/network/39020</v>
      </c>
      <c r="H5788" s="2"/>
      <c r="I5788" s="2"/>
      <c r="J5788" s="2" t="s">
        <v>37723</v>
      </c>
      <c r="K5788" s="2">
        <v>14756402</v>
      </c>
      <c r="L5788" s="2"/>
      <c r="M5788" s="2"/>
      <c r="N5788" s="2"/>
      <c r="O5788" s="2"/>
      <c r="P5788" s="2"/>
      <c r="Q5788" s="2"/>
      <c r="R5788" s="2"/>
      <c r="S5788" s="2" t="s">
        <v>37724</v>
      </c>
      <c r="T5788" s="2" t="s">
        <v>37725</v>
      </c>
      <c r="U5788" s="2" t="s">
        <v>119</v>
      </c>
      <c r="V5788" s="2" t="s">
        <v>120</v>
      </c>
      <c r="W5788" s="2" t="s">
        <v>1887</v>
      </c>
      <c r="X5788" s="2" t="s">
        <v>147</v>
      </c>
      <c r="Y5788" s="2">
        <v>40</v>
      </c>
      <c r="Z5788" s="2">
        <v>9.86</v>
      </c>
      <c r="AA5788" s="2" t="s">
        <v>259</v>
      </c>
      <c r="AB5788" s="2" t="s">
        <v>31261</v>
      </c>
      <c r="AC5788" s="2">
        <v>2.6460826921893599</v>
      </c>
      <c r="AD5788" s="2"/>
      <c r="AE5788" s="2">
        <v>9.7900566490353499E-3</v>
      </c>
      <c r="AF5788" s="2">
        <v>1464.07664058005</v>
      </c>
      <c r="AG5788" s="2">
        <v>1483.72409703178</v>
      </c>
      <c r="AH5788" s="4">
        <v>0.98675801215937897</v>
      </c>
      <c r="AI5788" s="4">
        <v>-1.9231766499234901E-2</v>
      </c>
      <c r="AJ5788" s="4" t="s">
        <v>62</v>
      </c>
      <c r="AK5788" s="2">
        <v>0.95617639213729599</v>
      </c>
      <c r="AL5788" s="2">
        <v>0.98216255097125205</v>
      </c>
      <c r="AM5788" s="2">
        <v>1517.8208342742601</v>
      </c>
      <c r="AN5788" s="2">
        <v>1409.33677728519</v>
      </c>
      <c r="AO5788" s="2">
        <v>902.05123666679697</v>
      </c>
      <c r="AP5788" s="2">
        <v>2047.4368890753601</v>
      </c>
      <c r="AQ5788" s="2">
        <v>1692.14045116582</v>
      </c>
      <c r="AR5788" s="2">
        <v>1215.6736550128601</v>
      </c>
      <c r="AS5788" s="2">
        <v>377.03433588836498</v>
      </c>
      <c r="AT5788" s="2">
        <v>2355.3923478183501</v>
      </c>
      <c r="AU5788" s="2">
        <v>1931.54400128358</v>
      </c>
      <c r="AV5788" s="2">
        <v>787.97199099312797</v>
      </c>
      <c r="AW5788" s="2">
        <v>1517.7582111343199</v>
      </c>
      <c r="AX5788" s="2">
        <v>1932.6436950729301</v>
      </c>
    </row>
    <row r="5789" spans="1:50" x14ac:dyDescent="0.25">
      <c r="A5789" s="2" t="s">
        <v>37726</v>
      </c>
      <c r="B5789" s="2">
        <v>266.09888773166</v>
      </c>
      <c r="C5789" s="2">
        <v>0.84268333333333301</v>
      </c>
      <c r="D5789" s="2" t="s">
        <v>51</v>
      </c>
      <c r="E5789" s="2" t="s">
        <v>37727</v>
      </c>
      <c r="F5789" s="2">
        <v>53788</v>
      </c>
      <c r="G5789" s="3" t="str">
        <f>HYPERLINK("https://cloud.oebiotech.com/#/lm/network/53788", "https://cloud.oebiotech.com/#/lm/network/53788")</f>
        <v>https://cloud.oebiotech.com/#/lm/network/53788</v>
      </c>
      <c r="H5789" s="2" t="s">
        <v>37728</v>
      </c>
      <c r="I5789" s="2">
        <v>85664</v>
      </c>
      <c r="J5789" s="2"/>
      <c r="K5789" s="2">
        <v>332965</v>
      </c>
      <c r="L5789" s="2"/>
      <c r="M5789" s="2"/>
      <c r="N5789" s="2"/>
      <c r="O5789" s="2">
        <v>174279</v>
      </c>
      <c r="P5789" s="2"/>
      <c r="Q5789" s="2"/>
      <c r="R5789" s="2"/>
      <c r="S5789" s="2" t="s">
        <v>37729</v>
      </c>
      <c r="T5789" s="2" t="s">
        <v>37730</v>
      </c>
      <c r="U5789" s="2" t="s">
        <v>103</v>
      </c>
      <c r="V5789" s="2" t="s">
        <v>104</v>
      </c>
      <c r="W5789" s="2" t="s">
        <v>105</v>
      </c>
      <c r="X5789" s="2" t="s">
        <v>147</v>
      </c>
      <c r="Y5789" s="2">
        <v>37.299999999999997</v>
      </c>
      <c r="Z5789" s="2">
        <v>0</v>
      </c>
      <c r="AA5789" s="2" t="s">
        <v>512</v>
      </c>
      <c r="AB5789" s="2" t="s">
        <v>37731</v>
      </c>
      <c r="AC5789" s="2">
        <v>2.46496544731218</v>
      </c>
      <c r="AD5789" s="2"/>
      <c r="AE5789" s="2">
        <v>9.7489475037499506E-3</v>
      </c>
      <c r="AF5789" s="2">
        <v>1280.84534996915</v>
      </c>
      <c r="AG5789" s="2">
        <v>1266.7321108931601</v>
      </c>
      <c r="AH5789" s="5">
        <v>1.0111414552095299</v>
      </c>
      <c r="AI5789" s="5">
        <v>1.59848394306553E-2</v>
      </c>
      <c r="AJ5789" s="5" t="s">
        <v>139</v>
      </c>
      <c r="AK5789" s="2">
        <v>0.95883261617259896</v>
      </c>
      <c r="AL5789" s="2">
        <v>0.98297517973244497</v>
      </c>
      <c r="AM5789" s="2">
        <v>1058.8627117650301</v>
      </c>
      <c r="AN5789" s="2">
        <v>1576.1260033608201</v>
      </c>
      <c r="AO5789" s="2">
        <v>1509.10434587949</v>
      </c>
      <c r="AP5789" s="2">
        <v>1406.4471347108699</v>
      </c>
      <c r="AQ5789" s="2">
        <v>1234.8021611561601</v>
      </c>
      <c r="AR5789" s="2">
        <v>899.72974294252595</v>
      </c>
      <c r="AS5789" s="2">
        <v>871.74377079525402</v>
      </c>
      <c r="AT5789" s="2">
        <v>510.13692326703602</v>
      </c>
      <c r="AU5789" s="2">
        <v>1171.44159571005</v>
      </c>
      <c r="AV5789" s="2">
        <v>1250.46038390901</v>
      </c>
      <c r="AW5789" s="2">
        <v>1547.67713843354</v>
      </c>
      <c r="AX5789" s="2">
        <v>2248.93285324407</v>
      </c>
    </row>
    <row r="5790" spans="1:50" x14ac:dyDescent="0.25">
      <c r="A5790" s="2" t="s">
        <v>37732</v>
      </c>
      <c r="B5790" s="2">
        <v>349.27491369762299</v>
      </c>
      <c r="C5790" s="2">
        <v>11.672833333333299</v>
      </c>
      <c r="D5790" s="2" t="s">
        <v>51</v>
      </c>
      <c r="E5790" s="2" t="s">
        <v>37733</v>
      </c>
      <c r="F5790" s="2">
        <v>45043</v>
      </c>
      <c r="G5790" s="3" t="str">
        <f>HYPERLINK("https://cloud.oebiotech.com/#/lm/network/45043", "https://cloud.oebiotech.com/#/lm/network/45043")</f>
        <v>https://cloud.oebiotech.com/#/lm/network/45043</v>
      </c>
      <c r="H5790" s="2"/>
      <c r="I5790" s="2">
        <v>57868</v>
      </c>
      <c r="J5790" s="2" t="s">
        <v>37734</v>
      </c>
      <c r="K5790" s="2">
        <v>5460188</v>
      </c>
      <c r="L5790" s="2" t="s">
        <v>37735</v>
      </c>
      <c r="M5790" s="2"/>
      <c r="N5790" s="2"/>
      <c r="O5790" s="2">
        <v>15938</v>
      </c>
      <c r="P5790" s="2"/>
      <c r="Q5790" s="2"/>
      <c r="R5790" s="2"/>
      <c r="S5790" s="2" t="s">
        <v>37736</v>
      </c>
      <c r="T5790" s="2" t="s">
        <v>37737</v>
      </c>
      <c r="U5790" s="2" t="s">
        <v>56</v>
      </c>
      <c r="V5790" s="2" t="s">
        <v>283</v>
      </c>
      <c r="W5790" s="2" t="s">
        <v>492</v>
      </c>
      <c r="X5790" s="2" t="s">
        <v>83</v>
      </c>
      <c r="Y5790" s="2">
        <v>42.9</v>
      </c>
      <c r="Z5790" s="2">
        <v>0.82699999999999996</v>
      </c>
      <c r="AA5790" s="2" t="s">
        <v>218</v>
      </c>
      <c r="AB5790" s="2" t="s">
        <v>37738</v>
      </c>
      <c r="AC5790" s="2">
        <v>0.31239187645748001</v>
      </c>
      <c r="AD5790" s="2"/>
      <c r="AE5790" s="2">
        <v>9.5279931927990599E-3</v>
      </c>
      <c r="AF5790" s="2">
        <v>1731.5688279087699</v>
      </c>
      <c r="AG5790" s="2">
        <v>2217.8351197976399</v>
      </c>
      <c r="AH5790" s="4">
        <v>0.78074732086791299</v>
      </c>
      <c r="AI5790" s="4">
        <v>-0.35707238123672003</v>
      </c>
      <c r="AJ5790" s="4" t="s">
        <v>62</v>
      </c>
      <c r="AK5790" s="2">
        <v>0.72531149519952498</v>
      </c>
      <c r="AL5790" s="2">
        <v>0.87310915389285904</v>
      </c>
      <c r="AM5790" s="2">
        <v>5992.9276958446299</v>
      </c>
      <c r="AN5790" s="2">
        <v>640.31820625536102</v>
      </c>
      <c r="AO5790" s="2">
        <v>1418.9292683690701</v>
      </c>
      <c r="AP5790" s="2">
        <v>1017.65498943002</v>
      </c>
      <c r="AQ5790" s="2">
        <v>631.52864472527006</v>
      </c>
      <c r="AR5790" s="2">
        <v>688.05416282828105</v>
      </c>
      <c r="AS5790" s="2">
        <v>799.54045090580598</v>
      </c>
      <c r="AT5790" s="2">
        <v>892.99881572986499</v>
      </c>
      <c r="AU5790" s="2">
        <v>7079.8688944733103</v>
      </c>
      <c r="AV5790" s="2">
        <v>946.07562374462805</v>
      </c>
      <c r="AW5790" s="2">
        <v>2949.6125092832499</v>
      </c>
      <c r="AX5790" s="2">
        <v>638.91442464895999</v>
      </c>
    </row>
    <row r="5791" spans="1:50" x14ac:dyDescent="0.25">
      <c r="A5791" s="2" t="s">
        <v>37739</v>
      </c>
      <c r="B5791" s="2">
        <v>276.10225647824899</v>
      </c>
      <c r="C5791" s="2">
        <v>1.02813333333333</v>
      </c>
      <c r="D5791" s="2" t="s">
        <v>51</v>
      </c>
      <c r="E5791" s="2" t="s">
        <v>37740</v>
      </c>
      <c r="F5791" s="2">
        <v>256880</v>
      </c>
      <c r="G5791" s="3" t="str">
        <f>HYPERLINK("https://cloud.oebiotech.com/#/lm/network/256880", "https://cloud.oebiotech.com/#/lm/network/256880")</f>
        <v>https://cloud.oebiotech.com/#/lm/network/256880</v>
      </c>
      <c r="H5791" s="2" t="s">
        <v>37741</v>
      </c>
      <c r="I5791" s="2"/>
      <c r="J5791" s="2"/>
      <c r="K5791" s="2">
        <v>44237389</v>
      </c>
      <c r="L5791" s="2"/>
      <c r="M5791" s="2"/>
      <c r="N5791" s="2"/>
      <c r="O5791" s="2"/>
      <c r="P5791" s="2"/>
      <c r="Q5791" s="2"/>
      <c r="R5791" s="2"/>
      <c r="S5791" s="2" t="s">
        <v>37742</v>
      </c>
      <c r="T5791" s="2" t="s">
        <v>37743</v>
      </c>
      <c r="U5791" s="2" t="s">
        <v>103</v>
      </c>
      <c r="V5791" s="2" t="s">
        <v>377</v>
      </c>
      <c r="W5791" s="2" t="s">
        <v>378</v>
      </c>
      <c r="X5791" s="2" t="s">
        <v>147</v>
      </c>
      <c r="Y5791" s="2">
        <v>43.5</v>
      </c>
      <c r="Z5791" s="2">
        <v>27</v>
      </c>
      <c r="AA5791" s="2" t="s">
        <v>122</v>
      </c>
      <c r="AB5791" s="2" t="s">
        <v>37744</v>
      </c>
      <c r="AC5791" s="2">
        <v>-3.21749667752646</v>
      </c>
      <c r="AD5791" s="2"/>
      <c r="AE5791" s="2">
        <v>9.5087834745120094E-3</v>
      </c>
      <c r="AF5791" s="2">
        <v>7321.7627562313401</v>
      </c>
      <c r="AG5791" s="2">
        <v>6736.4480659478504</v>
      </c>
      <c r="AH5791" s="5">
        <v>1.08688773142069</v>
      </c>
      <c r="AI5791" s="5">
        <v>0.120202926853234</v>
      </c>
      <c r="AJ5791" s="5" t="s">
        <v>139</v>
      </c>
      <c r="AK5791" s="2">
        <v>0.83108163082700204</v>
      </c>
      <c r="AL5791" s="2">
        <v>0.92555030411617201</v>
      </c>
      <c r="AM5791" s="2">
        <v>6201.6363574870502</v>
      </c>
      <c r="AN5791" s="2">
        <v>3673.9635793688299</v>
      </c>
      <c r="AO5791" s="2">
        <v>4134.1195220739801</v>
      </c>
      <c r="AP5791" s="2">
        <v>19546.466400997298</v>
      </c>
      <c r="AQ5791" s="2">
        <v>4393.9912390004802</v>
      </c>
      <c r="AR5791" s="2">
        <v>5980.3994384604202</v>
      </c>
      <c r="AS5791" s="2">
        <v>2938.4450785434801</v>
      </c>
      <c r="AT5791" s="2">
        <v>7055.3497056668903</v>
      </c>
      <c r="AU5791" s="2">
        <v>8109.3963414299496</v>
      </c>
      <c r="AV5791" s="2">
        <v>9882.9139894348591</v>
      </c>
      <c r="AW5791" s="2">
        <v>4996.9401093406004</v>
      </c>
      <c r="AX5791" s="2">
        <v>7435.6431712713002</v>
      </c>
    </row>
    <row r="5792" spans="1:50" x14ac:dyDescent="0.25">
      <c r="A5792" s="2" t="s">
        <v>37745</v>
      </c>
      <c r="B5792" s="2">
        <v>448.30719337560998</v>
      </c>
      <c r="C5792" s="2">
        <v>7.3937166666666698</v>
      </c>
      <c r="D5792" s="2" t="s">
        <v>51</v>
      </c>
      <c r="E5792" s="2" t="s">
        <v>37746</v>
      </c>
      <c r="F5792" s="2">
        <v>46738</v>
      </c>
      <c r="G5792" s="3" t="str">
        <f>HYPERLINK("https://cloud.oebiotech.com/#/lm/network/46738", "https://cloud.oebiotech.com/#/lm/network/46738")</f>
        <v>https://cloud.oebiotech.com/#/lm/network/46738</v>
      </c>
      <c r="H5792" s="2" t="s">
        <v>37747</v>
      </c>
      <c r="I5792" s="2">
        <v>57909</v>
      </c>
      <c r="J5792" s="2" t="s">
        <v>37748</v>
      </c>
      <c r="K5792" s="2">
        <v>12310288</v>
      </c>
      <c r="L5792" s="2"/>
      <c r="M5792" s="2"/>
      <c r="N5792" s="2"/>
      <c r="O5792" s="2">
        <v>89929</v>
      </c>
      <c r="P5792" s="2"/>
      <c r="Q5792" s="2"/>
      <c r="R5792" s="2" t="s">
        <v>37749</v>
      </c>
      <c r="S5792" s="2" t="s">
        <v>37750</v>
      </c>
      <c r="T5792" s="2" t="s">
        <v>37751</v>
      </c>
      <c r="U5792" s="2" t="s">
        <v>56</v>
      </c>
      <c r="V5792" s="2" t="s">
        <v>283</v>
      </c>
      <c r="W5792" s="2" t="s">
        <v>2042</v>
      </c>
      <c r="X5792" s="2" t="s">
        <v>69</v>
      </c>
      <c r="Y5792" s="2">
        <v>56.3</v>
      </c>
      <c r="Z5792" s="2">
        <v>73.900000000000006</v>
      </c>
      <c r="AA5792" s="2" t="s">
        <v>163</v>
      </c>
      <c r="AB5792" s="2" t="s">
        <v>4976</v>
      </c>
      <c r="AC5792" s="2">
        <v>0.770788144518187</v>
      </c>
      <c r="AD5792" s="2"/>
      <c r="AE5792" s="2">
        <v>9.4125370138181796E-3</v>
      </c>
      <c r="AF5792" s="2">
        <v>33656.715988362899</v>
      </c>
      <c r="AG5792" s="2">
        <v>27598.08628159</v>
      </c>
      <c r="AH5792" s="5">
        <v>1.21953079082931</v>
      </c>
      <c r="AI5792" s="5">
        <v>0.28632618389543901</v>
      </c>
      <c r="AJ5792" s="5" t="s">
        <v>139</v>
      </c>
      <c r="AK5792" s="2">
        <v>0.83436856119859903</v>
      </c>
      <c r="AL5792" s="2">
        <v>0.92739717256062304</v>
      </c>
      <c r="AM5792" s="2">
        <v>993.76054298351801</v>
      </c>
      <c r="AN5792" s="2">
        <v>15097.523866215901</v>
      </c>
      <c r="AO5792" s="2">
        <v>189.990804906482</v>
      </c>
      <c r="AP5792" s="2">
        <v>164901.21464760901</v>
      </c>
      <c r="AQ5792" s="2">
        <v>6404.6308695263697</v>
      </c>
      <c r="AR5792" s="2">
        <v>14353.1751989361</v>
      </c>
      <c r="AS5792" s="2">
        <v>4172.4435120693397</v>
      </c>
      <c r="AT5792" s="2">
        <v>41638.390528698998</v>
      </c>
      <c r="AU5792" s="2">
        <v>65560.438676090998</v>
      </c>
      <c r="AV5792" s="2">
        <v>35968.293604872102</v>
      </c>
      <c r="AW5792" s="2">
        <v>2291.2708119363201</v>
      </c>
      <c r="AX5792" s="2">
        <v>15957.680555872401</v>
      </c>
    </row>
    <row r="5793" spans="1:50" x14ac:dyDescent="0.25">
      <c r="A5793" s="2" t="s">
        <v>37752</v>
      </c>
      <c r="B5793" s="2">
        <v>212.03808915801699</v>
      </c>
      <c r="C5793" s="2">
        <v>6.88723333333333</v>
      </c>
      <c r="D5793" s="2" t="s">
        <v>51</v>
      </c>
      <c r="E5793" s="2" t="s">
        <v>37753</v>
      </c>
      <c r="F5793" s="2">
        <v>199228</v>
      </c>
      <c r="G5793" s="3" t="str">
        <f>HYPERLINK("https://cloud.oebiotech.com/#/lm/network/199228", "https://cloud.oebiotech.com/#/lm/network/199228")</f>
        <v>https://cloud.oebiotech.com/#/lm/network/199228</v>
      </c>
      <c r="H5793" s="2" t="s">
        <v>37754</v>
      </c>
      <c r="I5793" s="2"/>
      <c r="J5793" s="2"/>
      <c r="K5793" s="2">
        <v>150642</v>
      </c>
      <c r="L5793" s="2"/>
      <c r="M5793" s="2"/>
      <c r="N5793" s="2"/>
      <c r="O5793" s="2"/>
      <c r="P5793" s="2"/>
      <c r="Q5793" s="2"/>
      <c r="R5793" s="2"/>
      <c r="S5793" s="2" t="s">
        <v>37755</v>
      </c>
      <c r="T5793" s="2" t="s">
        <v>37756</v>
      </c>
      <c r="U5793" s="2" t="s">
        <v>610</v>
      </c>
      <c r="V5793" s="2" t="s">
        <v>611</v>
      </c>
      <c r="W5793" s="2" t="s">
        <v>6372</v>
      </c>
      <c r="X5793" s="2" t="s">
        <v>147</v>
      </c>
      <c r="Y5793" s="2">
        <v>37.9</v>
      </c>
      <c r="Z5793" s="2">
        <v>7.09</v>
      </c>
      <c r="AA5793" s="2" t="s">
        <v>218</v>
      </c>
      <c r="AB5793" s="2" t="s">
        <v>37757</v>
      </c>
      <c r="AC5793" s="2">
        <v>-3.5837118971825199</v>
      </c>
      <c r="AD5793" s="2"/>
      <c r="AE5793" s="2">
        <v>9.4027615630258698E-3</v>
      </c>
      <c r="AF5793" s="2">
        <v>462.78189022554602</v>
      </c>
      <c r="AG5793" s="2">
        <v>554.44357830867705</v>
      </c>
      <c r="AH5793" s="4">
        <v>0.83467805982577303</v>
      </c>
      <c r="AI5793" s="4">
        <v>-0.26070824586840102</v>
      </c>
      <c r="AJ5793" s="4" t="s">
        <v>62</v>
      </c>
      <c r="AK5793" s="2">
        <v>0.68068048979741302</v>
      </c>
      <c r="AL5793" s="2">
        <v>0.84579323313671895</v>
      </c>
      <c r="AM5793" s="2">
        <v>1096.9809955333801</v>
      </c>
      <c r="AN5793" s="2">
        <v>599.73408774528195</v>
      </c>
      <c r="AO5793" s="2">
        <v>220.883543431069</v>
      </c>
      <c r="AP5793" s="2">
        <v>351.10276055656601</v>
      </c>
      <c r="AQ5793" s="2">
        <v>201.724597171829</v>
      </c>
      <c r="AR5793" s="2">
        <v>306.26535691514903</v>
      </c>
      <c r="AS5793" s="2">
        <v>732.91073199361597</v>
      </c>
      <c r="AT5793" s="2">
        <v>93.101947550284706</v>
      </c>
      <c r="AU5793" s="2">
        <v>978.35430040227698</v>
      </c>
      <c r="AV5793" s="2">
        <v>8.559877937157E-6</v>
      </c>
      <c r="AW5793" s="2">
        <v>788.60165863915802</v>
      </c>
      <c r="AX5793" s="2">
        <v>733.69282270685005</v>
      </c>
    </row>
    <row r="5794" spans="1:50" x14ac:dyDescent="0.25">
      <c r="A5794" s="2" t="s">
        <v>37758</v>
      </c>
      <c r="B5794" s="2">
        <v>456.33349939999499</v>
      </c>
      <c r="C5794" s="2">
        <v>8.2727166666666694</v>
      </c>
      <c r="D5794" s="2" t="s">
        <v>51</v>
      </c>
      <c r="E5794" s="2" t="s">
        <v>37759</v>
      </c>
      <c r="F5794" s="2">
        <v>198073</v>
      </c>
      <c r="G5794" s="3" t="str">
        <f>HYPERLINK("https://cloud.oebiotech.com/#/lm/network/198073", "https://cloud.oebiotech.com/#/lm/network/198073")</f>
        <v>https://cloud.oebiotech.com/#/lm/network/198073</v>
      </c>
      <c r="H5794" s="2" t="s">
        <v>37760</v>
      </c>
      <c r="I5794" s="2"/>
      <c r="J5794" s="2"/>
      <c r="K5794" s="2"/>
      <c r="L5794" s="2"/>
      <c r="M5794" s="2"/>
      <c r="N5794" s="2"/>
      <c r="O5794" s="2"/>
      <c r="P5794" s="2"/>
      <c r="Q5794" s="2"/>
      <c r="R5794" s="2"/>
      <c r="S5794" s="2" t="s">
        <v>37761</v>
      </c>
      <c r="T5794" s="2" t="s">
        <v>37762</v>
      </c>
      <c r="U5794" s="2" t="s">
        <v>56</v>
      </c>
      <c r="V5794" s="2" t="s">
        <v>145</v>
      </c>
      <c r="W5794" s="2" t="s">
        <v>1188</v>
      </c>
      <c r="X5794" s="2" t="s">
        <v>59</v>
      </c>
      <c r="Y5794" s="2">
        <v>51.6</v>
      </c>
      <c r="Z5794" s="2">
        <v>66.099999999999994</v>
      </c>
      <c r="AA5794" s="2" t="s">
        <v>156</v>
      </c>
      <c r="AB5794" s="2" t="s">
        <v>37763</v>
      </c>
      <c r="AC5794" s="2">
        <v>3.2425241427645699</v>
      </c>
      <c r="AD5794" s="2"/>
      <c r="AE5794" s="2">
        <v>9.3481734374557795E-3</v>
      </c>
      <c r="AF5794" s="2">
        <v>21046.6903648513</v>
      </c>
      <c r="AG5794" s="2">
        <v>20059.700045153899</v>
      </c>
      <c r="AH5794" s="5">
        <v>1.0492026459755499</v>
      </c>
      <c r="AI5794" s="5">
        <v>6.9293351040911902E-2</v>
      </c>
      <c r="AJ5794" s="5" t="s">
        <v>139</v>
      </c>
      <c r="AK5794" s="2">
        <v>0.93012234028817298</v>
      </c>
      <c r="AL5794" s="2">
        <v>0.97001844110086</v>
      </c>
      <c r="AM5794" s="2">
        <v>11697.7671381736</v>
      </c>
      <c r="AN5794" s="2">
        <v>14871.5030350164</v>
      </c>
      <c r="AO5794" s="2">
        <v>51369.335786611999</v>
      </c>
      <c r="AP5794" s="2">
        <v>8404.4806439119602</v>
      </c>
      <c r="AQ5794" s="2">
        <v>19251.598366718499</v>
      </c>
      <c r="AR5794" s="2">
        <v>20685.457218675201</v>
      </c>
      <c r="AS5794" s="2">
        <v>64009.420659935298</v>
      </c>
      <c r="AT5794" s="2">
        <v>13178.0266490055</v>
      </c>
      <c r="AU5794" s="2">
        <v>6005.8919745678204</v>
      </c>
      <c r="AV5794" s="2">
        <v>17416.724637766201</v>
      </c>
      <c r="AW5794" s="2">
        <v>12600.9612368374</v>
      </c>
      <c r="AX5794" s="2">
        <v>7147.1751128112801</v>
      </c>
    </row>
    <row r="5795" spans="1:50" x14ac:dyDescent="0.25">
      <c r="A5795" s="2" t="s">
        <v>37764</v>
      </c>
      <c r="B5795" s="2">
        <v>126.09991114733</v>
      </c>
      <c r="C5795" s="2">
        <v>3.2863333333333302</v>
      </c>
      <c r="D5795" s="2" t="s">
        <v>51</v>
      </c>
      <c r="E5795" s="2" t="s">
        <v>37765</v>
      </c>
      <c r="F5795" s="2">
        <v>55984</v>
      </c>
      <c r="G5795" s="3" t="str">
        <f>HYPERLINK("https://cloud.oebiotech.com/#/lm/network/55984", "https://cloud.oebiotech.com/#/lm/network/55984")</f>
        <v>https://cloud.oebiotech.com/#/lm/network/55984</v>
      </c>
      <c r="H5795" s="2" t="s">
        <v>37766</v>
      </c>
      <c r="I5795" s="2">
        <v>87664</v>
      </c>
      <c r="J5795" s="2"/>
      <c r="K5795" s="2">
        <v>8111</v>
      </c>
      <c r="L5795" s="2"/>
      <c r="M5795" s="2"/>
      <c r="N5795" s="2"/>
      <c r="O5795" s="2">
        <v>30629</v>
      </c>
      <c r="P5795" s="2"/>
      <c r="Q5795" s="2"/>
      <c r="R5795" s="2" t="s">
        <v>37767</v>
      </c>
      <c r="S5795" s="2" t="s">
        <v>37768</v>
      </c>
      <c r="T5795" s="2" t="s">
        <v>37769</v>
      </c>
      <c r="U5795" s="2" t="s">
        <v>119</v>
      </c>
      <c r="V5795" s="2" t="s">
        <v>120</v>
      </c>
      <c r="W5795" s="2" t="s">
        <v>1887</v>
      </c>
      <c r="X5795" s="2" t="s">
        <v>147</v>
      </c>
      <c r="Y5795" s="2">
        <v>38.299999999999997</v>
      </c>
      <c r="Z5795" s="2">
        <v>0</v>
      </c>
      <c r="AA5795" s="2" t="s">
        <v>95</v>
      </c>
      <c r="AB5795" s="2" t="s">
        <v>37770</v>
      </c>
      <c r="AC5795" s="2">
        <v>-2.4921115247290602</v>
      </c>
      <c r="AD5795" s="2"/>
      <c r="AE5795" s="2">
        <v>9.2537489528812297E-3</v>
      </c>
      <c r="AF5795" s="2">
        <v>343.718524528123</v>
      </c>
      <c r="AG5795" s="2">
        <v>378.15349618572202</v>
      </c>
      <c r="AH5795" s="4">
        <v>0.90893916886943904</v>
      </c>
      <c r="AI5795" s="4">
        <v>-0.137744350200697</v>
      </c>
      <c r="AJ5795" s="4" t="s">
        <v>62</v>
      </c>
      <c r="AK5795" s="2">
        <v>0.66105403895685899</v>
      </c>
      <c r="AL5795" s="2">
        <v>0.83574911185836298</v>
      </c>
      <c r="AM5795" s="2">
        <v>384.38314187577203</v>
      </c>
      <c r="AN5795" s="2">
        <v>433.26475352381101</v>
      </c>
      <c r="AO5795" s="2">
        <v>502.580986425959</v>
      </c>
      <c r="AP5795" s="2">
        <v>228.280757382448</v>
      </c>
      <c r="AQ5795" s="2">
        <v>304.01161500330699</v>
      </c>
      <c r="AR5795" s="2">
        <v>209.78989295743901</v>
      </c>
      <c r="AS5795" s="2">
        <v>445.85433999591498</v>
      </c>
      <c r="AT5795" s="2">
        <v>418.89234758682801</v>
      </c>
      <c r="AU5795" s="2">
        <v>231.30835329196199</v>
      </c>
      <c r="AV5795" s="2">
        <v>234.72287840778301</v>
      </c>
      <c r="AW5795" s="2">
        <v>324.82819513857601</v>
      </c>
      <c r="AX5795" s="2">
        <v>613.31486269326797</v>
      </c>
    </row>
    <row r="5796" spans="1:50" x14ac:dyDescent="0.25">
      <c r="A5796" s="2" t="s">
        <v>37771</v>
      </c>
      <c r="B5796" s="2">
        <v>152.028468332931</v>
      </c>
      <c r="C5796" s="2">
        <v>1.0218833333333299</v>
      </c>
      <c r="D5796" s="2" t="s">
        <v>51</v>
      </c>
      <c r="E5796" s="2" t="s">
        <v>37772</v>
      </c>
      <c r="F5796" s="2">
        <v>202283</v>
      </c>
      <c r="G5796" s="3" t="str">
        <f>HYPERLINK("https://cloud.oebiotech.com/#/lm/network/202283", "https://cloud.oebiotech.com/#/lm/network/202283")</f>
        <v>https://cloud.oebiotech.com/#/lm/network/202283</v>
      </c>
      <c r="H5796" s="2" t="s">
        <v>37773</v>
      </c>
      <c r="I5796" s="2"/>
      <c r="J5796" s="2"/>
      <c r="K5796" s="2"/>
      <c r="L5796" s="2"/>
      <c r="M5796" s="2"/>
      <c r="N5796" s="2"/>
      <c r="O5796" s="2"/>
      <c r="P5796" s="2"/>
      <c r="Q5796" s="2"/>
      <c r="R5796" s="2"/>
      <c r="S5796" s="2" t="s">
        <v>37774</v>
      </c>
      <c r="T5796" s="2" t="s">
        <v>37775</v>
      </c>
      <c r="U5796" s="2" t="s">
        <v>1231</v>
      </c>
      <c r="V5796" s="2" t="s">
        <v>15569</v>
      </c>
      <c r="W5796" s="2" t="s">
        <v>18047</v>
      </c>
      <c r="X5796" s="2" t="s">
        <v>147</v>
      </c>
      <c r="Y5796" s="2">
        <v>37.1</v>
      </c>
      <c r="Z5796" s="2">
        <v>0</v>
      </c>
      <c r="AA5796" s="2" t="s">
        <v>379</v>
      </c>
      <c r="AB5796" s="2" t="s">
        <v>37776</v>
      </c>
      <c r="AC5796" s="2">
        <v>-1.89111971275959</v>
      </c>
      <c r="AD5796" s="2"/>
      <c r="AE5796" s="2">
        <v>9.2267792257895095E-3</v>
      </c>
      <c r="AF5796" s="2">
        <v>2740.5510038637699</v>
      </c>
      <c r="AG5796" s="2">
        <v>2720.44902194726</v>
      </c>
      <c r="AH5796" s="5">
        <v>1.0073892147047601</v>
      </c>
      <c r="AI5796" s="5">
        <v>1.0621190431494201E-2</v>
      </c>
      <c r="AJ5796" s="5" t="s">
        <v>139</v>
      </c>
      <c r="AK5796" s="2">
        <v>0.98931269201373095</v>
      </c>
      <c r="AL5796" s="2">
        <v>0.99545530263140103</v>
      </c>
      <c r="AM5796" s="2">
        <v>4071.90823515379</v>
      </c>
      <c r="AN5796" s="2">
        <v>864.83205688493899</v>
      </c>
      <c r="AO5796" s="2">
        <v>1293.4684792010901</v>
      </c>
      <c r="AP5796" s="2">
        <v>1577.8969940526799</v>
      </c>
      <c r="AQ5796" s="2">
        <v>6296.8651645073996</v>
      </c>
      <c r="AR5796" s="2">
        <v>2338.3350933827401</v>
      </c>
      <c r="AS5796" s="2">
        <v>675.91968983446304</v>
      </c>
      <c r="AT5796" s="2">
        <v>2044.5966273812401</v>
      </c>
      <c r="AU5796" s="2">
        <v>1665.7522876349899</v>
      </c>
      <c r="AV5796" s="2">
        <v>8605.74002120552</v>
      </c>
      <c r="AW5796" s="2">
        <v>1905.68031822126</v>
      </c>
      <c r="AX5796" s="2">
        <v>1425.00518740607</v>
      </c>
    </row>
    <row r="5797" spans="1:50" x14ac:dyDescent="0.25">
      <c r="A5797" s="2" t="s">
        <v>37777</v>
      </c>
      <c r="B5797" s="2">
        <v>194.045221034458</v>
      </c>
      <c r="C5797" s="2">
        <v>5.3152666666666697</v>
      </c>
      <c r="D5797" s="2" t="s">
        <v>51</v>
      </c>
      <c r="E5797" s="2" t="s">
        <v>37778</v>
      </c>
      <c r="F5797" s="2">
        <v>47251</v>
      </c>
      <c r="G5797" s="3" t="str">
        <f>HYPERLINK("https://cloud.oebiotech.com/#/lm/network/47251", "https://cloud.oebiotech.com/#/lm/network/47251")</f>
        <v>https://cloud.oebiotech.com/#/lm/network/47251</v>
      </c>
      <c r="H5797" s="2" t="s">
        <v>37779</v>
      </c>
      <c r="I5797" s="2">
        <v>617</v>
      </c>
      <c r="J5797" s="2"/>
      <c r="K5797" s="2">
        <v>10253</v>
      </c>
      <c r="L5797" s="2" t="s">
        <v>37780</v>
      </c>
      <c r="M5797" s="2"/>
      <c r="N5797" s="2"/>
      <c r="O5797" s="2">
        <v>9008</v>
      </c>
      <c r="P5797" s="2" t="s">
        <v>37781</v>
      </c>
      <c r="Q5797" s="2" t="s">
        <v>37782</v>
      </c>
      <c r="R5797" s="2" t="s">
        <v>37783</v>
      </c>
      <c r="S5797" s="2" t="s">
        <v>37784</v>
      </c>
      <c r="T5797" s="2" t="s">
        <v>37785</v>
      </c>
      <c r="U5797" s="2" t="s">
        <v>610</v>
      </c>
      <c r="V5797" s="2" t="s">
        <v>611</v>
      </c>
      <c r="W5797" s="2" t="s">
        <v>1122</v>
      </c>
      <c r="X5797" s="2" t="s">
        <v>147</v>
      </c>
      <c r="Y5797" s="2">
        <v>46.6</v>
      </c>
      <c r="Z5797" s="2">
        <v>41.7</v>
      </c>
      <c r="AA5797" s="2" t="s">
        <v>163</v>
      </c>
      <c r="AB5797" s="2" t="s">
        <v>37786</v>
      </c>
      <c r="AC5797" s="2">
        <v>-3.3852577393816898</v>
      </c>
      <c r="AD5797" s="2"/>
      <c r="AE5797" s="2">
        <v>9.1682612400158497E-3</v>
      </c>
      <c r="AF5797" s="2">
        <v>2548.02453516779</v>
      </c>
      <c r="AG5797" s="2">
        <v>2620.1362048637802</v>
      </c>
      <c r="AH5797" s="4">
        <v>0.97247789272858198</v>
      </c>
      <c r="AI5797" s="4">
        <v>-4.0262641100473999E-2</v>
      </c>
      <c r="AJ5797" s="4" t="s">
        <v>62</v>
      </c>
      <c r="AK5797" s="2">
        <v>0.90181651087682102</v>
      </c>
      <c r="AL5797" s="2">
        <v>0.95948789763074704</v>
      </c>
      <c r="AM5797" s="2">
        <v>2920.4508484524899</v>
      </c>
      <c r="AN5797" s="2">
        <v>2255.7469393900901</v>
      </c>
      <c r="AO5797" s="2">
        <v>1805.50807302218</v>
      </c>
      <c r="AP5797" s="2">
        <v>2341.0753936179999</v>
      </c>
      <c r="AQ5797" s="2">
        <v>2070.2771063896098</v>
      </c>
      <c r="AR5797" s="2">
        <v>3895.0888501344002</v>
      </c>
      <c r="AS5797" s="2">
        <v>2758.27250218776</v>
      </c>
      <c r="AT5797" s="2">
        <v>4856.9320700476601</v>
      </c>
      <c r="AU5797" s="2">
        <v>2144.9841652410801</v>
      </c>
      <c r="AV5797" s="2">
        <v>1521.37929096418</v>
      </c>
      <c r="AW5797" s="2">
        <v>2449.9623019567198</v>
      </c>
      <c r="AX5797" s="2">
        <v>1989.2868987853001</v>
      </c>
    </row>
    <row r="5798" spans="1:50" x14ac:dyDescent="0.25">
      <c r="A5798" s="2" t="s">
        <v>37787</v>
      </c>
      <c r="B5798" s="2">
        <v>355.02916162529402</v>
      </c>
      <c r="C5798" s="2">
        <v>0.72640000000000005</v>
      </c>
      <c r="D5798" s="2" t="s">
        <v>51</v>
      </c>
      <c r="E5798" s="2" t="s">
        <v>37788</v>
      </c>
      <c r="F5798" s="2">
        <v>202400</v>
      </c>
      <c r="G5798" s="3" t="str">
        <f>HYPERLINK("https://cloud.oebiotech.com/#/lm/network/202400", "https://cloud.oebiotech.com/#/lm/network/202400")</f>
        <v>https://cloud.oebiotech.com/#/lm/network/202400</v>
      </c>
      <c r="H5798" s="2" t="s">
        <v>37789</v>
      </c>
      <c r="I5798" s="2">
        <v>339194</v>
      </c>
      <c r="J5798" s="2"/>
      <c r="K5798" s="2">
        <v>11787</v>
      </c>
      <c r="L5798" s="2"/>
      <c r="M5798" s="2"/>
      <c r="N5798" s="2"/>
      <c r="O5798" s="2"/>
      <c r="P5798" s="2"/>
      <c r="Q5798" s="2"/>
      <c r="R5798" s="2"/>
      <c r="S5798" s="2" t="s">
        <v>37790</v>
      </c>
      <c r="T5798" s="2" t="s">
        <v>37791</v>
      </c>
      <c r="U5798" s="2" t="s">
        <v>610</v>
      </c>
      <c r="V5798" s="2" t="s">
        <v>813</v>
      </c>
      <c r="W5798" s="2" t="s">
        <v>5823</v>
      </c>
      <c r="X5798" s="2" t="s">
        <v>147</v>
      </c>
      <c r="Y5798" s="2">
        <v>38.799999999999997</v>
      </c>
      <c r="Z5798" s="2">
        <v>25.8</v>
      </c>
      <c r="AA5798" s="2" t="s">
        <v>478</v>
      </c>
      <c r="AB5798" s="2" t="s">
        <v>37792</v>
      </c>
      <c r="AC5798" s="2">
        <v>-1.8173129510767001</v>
      </c>
      <c r="AD5798" s="2"/>
      <c r="AE5798" s="2">
        <v>8.9085942299857706E-3</v>
      </c>
      <c r="AF5798" s="2">
        <v>10047.5973595695</v>
      </c>
      <c r="AG5798" s="2">
        <v>9246.9200866930296</v>
      </c>
      <c r="AH5798" s="5">
        <v>1.0865885360065699</v>
      </c>
      <c r="AI5798" s="5">
        <v>0.119805731126368</v>
      </c>
      <c r="AJ5798" s="5" t="s">
        <v>139</v>
      </c>
      <c r="AK5798" s="2">
        <v>0.84147593019895595</v>
      </c>
      <c r="AL5798" s="2">
        <v>0.92963204272259004</v>
      </c>
      <c r="AM5798" s="2">
        <v>7116.9697518706998</v>
      </c>
      <c r="AN5798" s="2">
        <v>811.99250062181295</v>
      </c>
      <c r="AO5798" s="2">
        <v>19465.848602404101</v>
      </c>
      <c r="AP5798" s="2">
        <v>12753.9699229088</v>
      </c>
      <c r="AQ5798" s="2">
        <v>12299.520348526599</v>
      </c>
      <c r="AR5798" s="2">
        <v>7837.2830310850904</v>
      </c>
      <c r="AS5798" s="2">
        <v>14902.160644462299</v>
      </c>
      <c r="AT5798" s="2">
        <v>2422.3101588771201</v>
      </c>
      <c r="AU5798" s="2">
        <v>12298.642877488601</v>
      </c>
      <c r="AV5798" s="2">
        <v>5748.4384955906999</v>
      </c>
      <c r="AW5798" s="2">
        <v>1247.6989442735501</v>
      </c>
      <c r="AX5798" s="2">
        <v>18862.269399465898</v>
      </c>
    </row>
    <row r="5799" spans="1:50" x14ac:dyDescent="0.25">
      <c r="A5799" s="2" t="s">
        <v>37793</v>
      </c>
      <c r="B5799" s="2">
        <v>157.049630735275</v>
      </c>
      <c r="C5799" s="2">
        <v>3.6478999999999999</v>
      </c>
      <c r="D5799" s="2" t="s">
        <v>51</v>
      </c>
      <c r="E5799" s="2" t="s">
        <v>37794</v>
      </c>
      <c r="F5799" s="2">
        <v>6483</v>
      </c>
      <c r="G5799" s="3" t="str">
        <f>HYPERLINK("https://cloud.oebiotech.com/#/lm/network/6483", "https://cloud.oebiotech.com/#/lm/network/6483")</f>
        <v>https://cloud.oebiotech.com/#/lm/network/6483</v>
      </c>
      <c r="H5799" s="2"/>
      <c r="I5799" s="2">
        <v>75300</v>
      </c>
      <c r="J5799" s="2" t="s">
        <v>37795</v>
      </c>
      <c r="K5799" s="2">
        <v>5283315</v>
      </c>
      <c r="L5799" s="2"/>
      <c r="M5799" s="2"/>
      <c r="N5799" s="2"/>
      <c r="O5799" s="2"/>
      <c r="P5799" s="2"/>
      <c r="Q5799" s="2"/>
      <c r="R5799" s="2"/>
      <c r="S5799" s="2" t="s">
        <v>37796</v>
      </c>
      <c r="T5799" s="2" t="s">
        <v>37797</v>
      </c>
      <c r="U5799" s="2" t="s">
        <v>56</v>
      </c>
      <c r="V5799" s="2" t="s">
        <v>145</v>
      </c>
      <c r="W5799" s="2" t="s">
        <v>146</v>
      </c>
      <c r="X5799" s="2" t="s">
        <v>83</v>
      </c>
      <c r="Y5799" s="2">
        <v>49</v>
      </c>
      <c r="Z5799" s="2">
        <v>0</v>
      </c>
      <c r="AA5799" s="2" t="s">
        <v>218</v>
      </c>
      <c r="AB5799" s="2" t="s">
        <v>16331</v>
      </c>
      <c r="AC5799" s="2">
        <v>-8.9389441110781895</v>
      </c>
      <c r="AD5799" s="2"/>
      <c r="AE5799" s="2">
        <v>8.7842696427823108E-3</v>
      </c>
      <c r="AF5799" s="2">
        <v>2053.12950045247</v>
      </c>
      <c r="AG5799" s="2">
        <v>2062.1330397219699</v>
      </c>
      <c r="AH5799" s="4">
        <v>0.99563387080461496</v>
      </c>
      <c r="AI5799" s="4">
        <v>-6.3127842041532699E-3</v>
      </c>
      <c r="AJ5799" s="4" t="s">
        <v>62</v>
      </c>
      <c r="AK5799" s="2">
        <v>0.95262415329757399</v>
      </c>
      <c r="AL5799" s="2">
        <v>0.98062767782557803</v>
      </c>
      <c r="AM5799" s="2">
        <v>1842.37004254507</v>
      </c>
      <c r="AN5799" s="2">
        <v>1939.69062382365</v>
      </c>
      <c r="AO5799" s="2">
        <v>1823.61259763407</v>
      </c>
      <c r="AP5799" s="2">
        <v>2179.8628927371201</v>
      </c>
      <c r="AQ5799" s="2">
        <v>2153.0467915068798</v>
      </c>
      <c r="AR5799" s="2">
        <v>2380.1940544680601</v>
      </c>
      <c r="AS5799" s="2">
        <v>2271.28799723662</v>
      </c>
      <c r="AT5799" s="2">
        <v>2326.6928131937002</v>
      </c>
      <c r="AU5799" s="2">
        <v>2186.95435254935</v>
      </c>
      <c r="AV5799" s="2">
        <v>1752.7456940536399</v>
      </c>
      <c r="AW5799" s="2">
        <v>2187.26420583665</v>
      </c>
      <c r="AX5799" s="2">
        <v>1647.85317546188</v>
      </c>
    </row>
    <row r="5800" spans="1:50" x14ac:dyDescent="0.25">
      <c r="A5800" s="2" t="s">
        <v>37798</v>
      </c>
      <c r="B5800" s="2">
        <v>238.21698537918201</v>
      </c>
      <c r="C5800" s="2">
        <v>11.880366666666699</v>
      </c>
      <c r="D5800" s="2" t="s">
        <v>51</v>
      </c>
      <c r="E5800" s="2" t="s">
        <v>37799</v>
      </c>
      <c r="F5800" s="2">
        <v>60717</v>
      </c>
      <c r="G5800" s="3" t="str">
        <f>HYPERLINK("https://cloud.oebiotech.com/#/lm/network/60717", "https://cloud.oebiotech.com/#/lm/network/60717")</f>
        <v>https://cloud.oebiotech.com/#/lm/network/60717</v>
      </c>
      <c r="H5800" s="2" t="s">
        <v>37800</v>
      </c>
      <c r="I5800" s="2">
        <v>92046</v>
      </c>
      <c r="J5800" s="2"/>
      <c r="K5800" s="2">
        <v>24976912</v>
      </c>
      <c r="L5800" s="2"/>
      <c r="M5800" s="2"/>
      <c r="N5800" s="2"/>
      <c r="O5800" s="2"/>
      <c r="P5800" s="2"/>
      <c r="Q5800" s="2"/>
      <c r="R5800" s="2" t="s">
        <v>37801</v>
      </c>
      <c r="S5800" s="2" t="s">
        <v>37802</v>
      </c>
      <c r="T5800" s="2" t="s">
        <v>37803</v>
      </c>
      <c r="U5800" s="2" t="s">
        <v>56</v>
      </c>
      <c r="V5800" s="2" t="s">
        <v>177</v>
      </c>
      <c r="W5800" s="2" t="s">
        <v>1996</v>
      </c>
      <c r="X5800" s="2" t="s">
        <v>69</v>
      </c>
      <c r="Y5800" s="2">
        <v>65</v>
      </c>
      <c r="Z5800" s="2">
        <v>90.2</v>
      </c>
      <c r="AA5800" s="2" t="s">
        <v>512</v>
      </c>
      <c r="AB5800" s="2" t="s">
        <v>4168</v>
      </c>
      <c r="AC5800" s="2">
        <v>2.01859596934267</v>
      </c>
      <c r="AD5800" s="2"/>
      <c r="AE5800" s="2">
        <v>8.6173204087433494E-3</v>
      </c>
      <c r="AF5800" s="2">
        <v>5117.5032724753801</v>
      </c>
      <c r="AG5800" s="2">
        <v>5065.9150196822002</v>
      </c>
      <c r="AH5800" s="5">
        <v>1.0101834027204899</v>
      </c>
      <c r="AI5800" s="5">
        <v>1.4617243645213499E-2</v>
      </c>
      <c r="AJ5800" s="5" t="s">
        <v>139</v>
      </c>
      <c r="AK5800" s="2">
        <v>0.99116457559832105</v>
      </c>
      <c r="AL5800" s="2">
        <v>0.99588573656477897</v>
      </c>
      <c r="AM5800" s="2">
        <v>8.559877937157E-6</v>
      </c>
      <c r="AN5800" s="2">
        <v>8.559877937157E-6</v>
      </c>
      <c r="AO5800" s="2">
        <v>16406.8945356164</v>
      </c>
      <c r="AP5800" s="2">
        <v>8.559877937157E-6</v>
      </c>
      <c r="AQ5800" s="2">
        <v>14115.460467426799</v>
      </c>
      <c r="AR5800" s="2">
        <v>182.66460612947199</v>
      </c>
      <c r="AS5800" s="2">
        <v>15389.103386725399</v>
      </c>
      <c r="AT5800" s="2">
        <v>8.559877937157E-6</v>
      </c>
      <c r="AU5800" s="2">
        <v>15006.386697128301</v>
      </c>
      <c r="AV5800" s="2">
        <v>8.559877937157E-6</v>
      </c>
      <c r="AW5800" s="2">
        <v>8.559877937157E-6</v>
      </c>
      <c r="AX5800" s="2">
        <v>8.559877937157E-6</v>
      </c>
    </row>
    <row r="5801" spans="1:50" x14ac:dyDescent="0.25">
      <c r="A5801" s="2" t="s">
        <v>37804</v>
      </c>
      <c r="B5801" s="2">
        <v>347.16301257666402</v>
      </c>
      <c r="C5801" s="2">
        <v>8.6853666666666705</v>
      </c>
      <c r="D5801" s="2" t="s">
        <v>51</v>
      </c>
      <c r="E5801" s="2" t="s">
        <v>37805</v>
      </c>
      <c r="F5801" s="2">
        <v>44763</v>
      </c>
      <c r="G5801" s="3" t="str">
        <f>HYPERLINK("https://cloud.oebiotech.com/#/lm/network/44763", "https://cloud.oebiotech.com/#/lm/network/44763")</f>
        <v>https://cloud.oebiotech.com/#/lm/network/44763</v>
      </c>
      <c r="H5801" s="2"/>
      <c r="I5801" s="2"/>
      <c r="J5801" s="2" t="s">
        <v>37806</v>
      </c>
      <c r="K5801" s="2"/>
      <c r="L5801" s="2"/>
      <c r="M5801" s="2"/>
      <c r="N5801" s="2"/>
      <c r="O5801" s="2"/>
      <c r="P5801" s="2"/>
      <c r="Q5801" s="2"/>
      <c r="R5801" s="2"/>
      <c r="S5801" s="2" t="s">
        <v>37807</v>
      </c>
      <c r="T5801" s="2" t="s">
        <v>37808</v>
      </c>
      <c r="U5801" s="2" t="s">
        <v>266</v>
      </c>
      <c r="V5801" s="2" t="s">
        <v>11698</v>
      </c>
      <c r="W5801" s="2" t="s">
        <v>11699</v>
      </c>
      <c r="X5801" s="2" t="s">
        <v>83</v>
      </c>
      <c r="Y5801" s="2">
        <v>37.799999999999997</v>
      </c>
      <c r="Z5801" s="2">
        <v>0</v>
      </c>
      <c r="AA5801" s="2" t="s">
        <v>379</v>
      </c>
      <c r="AB5801" s="2" t="s">
        <v>37809</v>
      </c>
      <c r="AC5801" s="2">
        <v>-6.15980185449415</v>
      </c>
      <c r="AD5801" s="2"/>
      <c r="AE5801" s="2">
        <v>8.5737803978914694E-3</v>
      </c>
      <c r="AF5801" s="2">
        <v>5769.5770844502304</v>
      </c>
      <c r="AG5801" s="2">
        <v>5612.5987271063204</v>
      </c>
      <c r="AH5801" s="5">
        <v>1.0279689258000499</v>
      </c>
      <c r="AI5801" s="5">
        <v>3.9796654345272298E-2</v>
      </c>
      <c r="AJ5801" s="5" t="s">
        <v>139</v>
      </c>
      <c r="AK5801" s="2">
        <v>0.88747856546677395</v>
      </c>
      <c r="AL5801" s="2">
        <v>0.951247561505008</v>
      </c>
      <c r="AM5801" s="2">
        <v>2996.5419711506102</v>
      </c>
      <c r="AN5801" s="2">
        <v>4564.5297089614196</v>
      </c>
      <c r="AO5801" s="2">
        <v>7143.8427248826301</v>
      </c>
      <c r="AP5801" s="2">
        <v>8358.9599390860894</v>
      </c>
      <c r="AQ5801" s="2">
        <v>4074.3553862806698</v>
      </c>
      <c r="AR5801" s="2">
        <v>7479.2327763399599</v>
      </c>
      <c r="AS5801" s="2">
        <v>3268.8708839995502</v>
      </c>
      <c r="AT5801" s="2">
        <v>5638.2789642581401</v>
      </c>
      <c r="AU5801" s="2">
        <v>7772.0567214778403</v>
      </c>
      <c r="AV5801" s="2">
        <v>4984.7050208457904</v>
      </c>
      <c r="AW5801" s="2">
        <v>5415.3047876817</v>
      </c>
      <c r="AX5801" s="2">
        <v>6596.3759843748803</v>
      </c>
    </row>
    <row r="5802" spans="1:50" x14ac:dyDescent="0.25">
      <c r="A5802" s="2" t="s">
        <v>37810</v>
      </c>
      <c r="B5802" s="2">
        <v>225.19689889081801</v>
      </c>
      <c r="C5802" s="2">
        <v>7.9026166666666704</v>
      </c>
      <c r="D5802" s="2" t="s">
        <v>51</v>
      </c>
      <c r="E5802" s="2" t="s">
        <v>37811</v>
      </c>
      <c r="F5802" s="2">
        <v>82491</v>
      </c>
      <c r="G5802" s="3" t="str">
        <f>HYPERLINK("https://cloud.oebiotech.com/#/lm/network/82491", "https://cloud.oebiotech.com/#/lm/network/82491")</f>
        <v>https://cloud.oebiotech.com/#/lm/network/82491</v>
      </c>
      <c r="H5802" s="2" t="s">
        <v>37812</v>
      </c>
      <c r="I5802" s="2"/>
      <c r="J5802" s="2"/>
      <c r="K5802" s="2">
        <v>71159880</v>
      </c>
      <c r="L5802" s="2"/>
      <c r="M5802" s="2"/>
      <c r="N5802" s="2"/>
      <c r="O5802" s="2"/>
      <c r="P5802" s="2"/>
      <c r="Q5802" s="2"/>
      <c r="R5802" s="2"/>
      <c r="S5802" s="2" t="s">
        <v>37813</v>
      </c>
      <c r="T5802" s="2" t="s">
        <v>37814</v>
      </c>
      <c r="U5802" s="2" t="s">
        <v>610</v>
      </c>
      <c r="V5802" s="2" t="s">
        <v>611</v>
      </c>
      <c r="W5802" s="2" t="s">
        <v>2744</v>
      </c>
      <c r="X5802" s="2" t="s">
        <v>147</v>
      </c>
      <c r="Y5802" s="2">
        <v>36.4</v>
      </c>
      <c r="Z5802" s="2">
        <v>0</v>
      </c>
      <c r="AA5802" s="2" t="s">
        <v>512</v>
      </c>
      <c r="AB5802" s="2" t="s">
        <v>37815</v>
      </c>
      <c r="AC5802" s="2">
        <v>3.6640978375442601</v>
      </c>
      <c r="AD5802" s="2"/>
      <c r="AE5802" s="2">
        <v>8.5465345817727304E-3</v>
      </c>
      <c r="AF5802" s="2">
        <v>1047.6309501912599</v>
      </c>
      <c r="AG5802" s="2">
        <v>998.86886159810103</v>
      </c>
      <c r="AH5802" s="5">
        <v>1.0488173077245999</v>
      </c>
      <c r="AI5802" s="5">
        <v>6.8763398416798696E-2</v>
      </c>
      <c r="AJ5802" s="5" t="s">
        <v>139</v>
      </c>
      <c r="AK5802" s="2">
        <v>0.78448468257285298</v>
      </c>
      <c r="AL5802" s="2">
        <v>0.90560695252028101</v>
      </c>
      <c r="AM5802" s="2">
        <v>742.27416104180099</v>
      </c>
      <c r="AN5802" s="2">
        <v>937.21571507724502</v>
      </c>
      <c r="AO5802" s="2">
        <v>1690.9173829808501</v>
      </c>
      <c r="AP5802" s="2">
        <v>984.33698726999</v>
      </c>
      <c r="AQ5802" s="2">
        <v>1091.3580363614701</v>
      </c>
      <c r="AR5802" s="2">
        <v>839.68341841619997</v>
      </c>
      <c r="AS5802" s="2">
        <v>1418.3822586487699</v>
      </c>
      <c r="AT5802" s="2">
        <v>1095.8405739790701</v>
      </c>
      <c r="AU5802" s="2">
        <v>654.33819216033805</v>
      </c>
      <c r="AV5802" s="2">
        <v>866.00027621809602</v>
      </c>
      <c r="AW5802" s="2">
        <v>899.14956036229501</v>
      </c>
      <c r="AX5802" s="2">
        <v>1059.50230822004</v>
      </c>
    </row>
    <row r="5803" spans="1:50" x14ac:dyDescent="0.25">
      <c r="A5803" s="2" t="s">
        <v>37816</v>
      </c>
      <c r="B5803" s="2">
        <v>441.22504109756198</v>
      </c>
      <c r="C5803" s="2">
        <v>5.0382166666666697</v>
      </c>
      <c r="D5803" s="2" t="s">
        <v>51</v>
      </c>
      <c r="E5803" s="2" t="s">
        <v>37817</v>
      </c>
      <c r="F5803" s="2">
        <v>265627</v>
      </c>
      <c r="G5803" s="3" t="str">
        <f>HYPERLINK("https://cloud.oebiotech.com/#/lm/network/265627", "https://cloud.oebiotech.com/#/lm/network/265627")</f>
        <v>https://cloud.oebiotech.com/#/lm/network/265627</v>
      </c>
      <c r="H5803" s="2"/>
      <c r="I5803" s="2">
        <v>23130</v>
      </c>
      <c r="J5803" s="2"/>
      <c r="K5803" s="2">
        <v>145457351</v>
      </c>
      <c r="L5803" s="2"/>
      <c r="M5803" s="2"/>
      <c r="N5803" s="2"/>
      <c r="O5803" s="2"/>
      <c r="P5803" s="2"/>
      <c r="Q5803" s="2"/>
      <c r="R5803" s="2"/>
      <c r="S5803" s="2" t="s">
        <v>37818</v>
      </c>
      <c r="T5803" s="2" t="s">
        <v>37819</v>
      </c>
      <c r="U5803" s="2" t="s">
        <v>103</v>
      </c>
      <c r="V5803" s="2" t="s">
        <v>104</v>
      </c>
      <c r="W5803" s="2" t="s">
        <v>105</v>
      </c>
      <c r="X5803" s="2" t="s">
        <v>83</v>
      </c>
      <c r="Y5803" s="2">
        <v>41.4</v>
      </c>
      <c r="Z5803" s="2">
        <v>0</v>
      </c>
      <c r="AA5803" s="2" t="s">
        <v>122</v>
      </c>
      <c r="AB5803" s="2" t="s">
        <v>37820</v>
      </c>
      <c r="AC5803" s="2">
        <v>-3.01457232679692</v>
      </c>
      <c r="AD5803" s="2"/>
      <c r="AE5803" s="2">
        <v>8.5033471727968997E-3</v>
      </c>
      <c r="AF5803" s="2">
        <v>2245.5519470397398</v>
      </c>
      <c r="AG5803" s="2">
        <v>1962.59708237682</v>
      </c>
      <c r="AH5803" s="5">
        <v>1.1441736906692299</v>
      </c>
      <c r="AI5803" s="5">
        <v>0.194306076282732</v>
      </c>
      <c r="AJ5803" s="5" t="s">
        <v>139</v>
      </c>
      <c r="AK5803" s="2">
        <v>0.83945058665069405</v>
      </c>
      <c r="AL5803" s="2">
        <v>0.92909683994561798</v>
      </c>
      <c r="AM5803" s="2">
        <v>93.465079727750194</v>
      </c>
      <c r="AN5803" s="2">
        <v>1613.0512791251001</v>
      </c>
      <c r="AO5803" s="2">
        <v>2379.9092666326301</v>
      </c>
      <c r="AP5803" s="2">
        <v>642.33186134579501</v>
      </c>
      <c r="AQ5803" s="2">
        <v>1521.81674396878</v>
      </c>
      <c r="AR5803" s="2">
        <v>7222.73745143836</v>
      </c>
      <c r="AS5803" s="2">
        <v>284.083354994638</v>
      </c>
      <c r="AT5803" s="2">
        <v>730.23357316654199</v>
      </c>
      <c r="AU5803" s="2">
        <v>1001.01090228054</v>
      </c>
      <c r="AV5803" s="2">
        <v>6046.92283460823</v>
      </c>
      <c r="AW5803" s="2">
        <v>1278.2801343251299</v>
      </c>
      <c r="AX5803" s="2">
        <v>2435.0516948858099</v>
      </c>
    </row>
    <row r="5804" spans="1:50" x14ac:dyDescent="0.25">
      <c r="A5804" s="2" t="s">
        <v>37821</v>
      </c>
      <c r="B5804" s="2">
        <v>419.05492176382899</v>
      </c>
      <c r="C5804" s="2">
        <v>3.64218333333333</v>
      </c>
      <c r="D5804" s="2" t="s">
        <v>51</v>
      </c>
      <c r="E5804" s="2" t="s">
        <v>37822</v>
      </c>
      <c r="F5804" s="2">
        <v>207728</v>
      </c>
      <c r="G5804" s="3" t="str">
        <f>HYPERLINK("https://cloud.oebiotech.com/#/lm/network/207728", "https://cloud.oebiotech.com/#/lm/network/207728")</f>
        <v>https://cloud.oebiotech.com/#/lm/network/207728</v>
      </c>
      <c r="H5804" s="2" t="s">
        <v>37823</v>
      </c>
      <c r="I5804" s="2">
        <v>322835</v>
      </c>
      <c r="J5804" s="2"/>
      <c r="K5804" s="2">
        <v>124246</v>
      </c>
      <c r="L5804" s="2"/>
      <c r="M5804" s="2"/>
      <c r="N5804" s="2"/>
      <c r="O5804" s="2"/>
      <c r="P5804" s="2"/>
      <c r="Q5804" s="2"/>
      <c r="R5804" s="2"/>
      <c r="S5804" s="2" t="s">
        <v>37824</v>
      </c>
      <c r="T5804" s="2" t="s">
        <v>37825</v>
      </c>
      <c r="U5804" s="2" t="s">
        <v>266</v>
      </c>
      <c r="V5804" s="2" t="s">
        <v>1785</v>
      </c>
      <c r="W5804" s="2" t="s">
        <v>1786</v>
      </c>
      <c r="X5804" s="2" t="s">
        <v>147</v>
      </c>
      <c r="Y5804" s="2">
        <v>37.200000000000003</v>
      </c>
      <c r="Z5804" s="2">
        <v>0</v>
      </c>
      <c r="AA5804" s="2" t="s">
        <v>218</v>
      </c>
      <c r="AB5804" s="2" t="s">
        <v>37826</v>
      </c>
      <c r="AC5804" s="2">
        <v>-1.4390366727042401</v>
      </c>
      <c r="AD5804" s="2"/>
      <c r="AE5804" s="2">
        <v>8.4406871271690692E-3</v>
      </c>
      <c r="AF5804" s="2">
        <v>1542.47557033059</v>
      </c>
      <c r="AG5804" s="2">
        <v>1469.42329141184</v>
      </c>
      <c r="AH5804" s="5">
        <v>1.0497149319367001</v>
      </c>
      <c r="AI5804" s="5">
        <v>6.9997592539609604E-2</v>
      </c>
      <c r="AJ5804" s="5" t="s">
        <v>139</v>
      </c>
      <c r="AK5804" s="2">
        <v>0.70166322893871103</v>
      </c>
      <c r="AL5804" s="2">
        <v>0.85677136386328001</v>
      </c>
      <c r="AM5804" s="2">
        <v>1145.8454459321799</v>
      </c>
      <c r="AN5804" s="2">
        <v>1485.30557573744</v>
      </c>
      <c r="AO5804" s="2">
        <v>1596.70813467723</v>
      </c>
      <c r="AP5804" s="2">
        <v>1246.83923796615</v>
      </c>
      <c r="AQ5804" s="2">
        <v>1555.70514859782</v>
      </c>
      <c r="AR5804" s="2">
        <v>2224.4498790727098</v>
      </c>
      <c r="AS5804" s="2">
        <v>1470.8832376403</v>
      </c>
      <c r="AT5804" s="2">
        <v>1556.3138145365699</v>
      </c>
      <c r="AU5804" s="2">
        <v>1215.3419681734999</v>
      </c>
      <c r="AV5804" s="2">
        <v>1657.5566434994701</v>
      </c>
      <c r="AW5804" s="2">
        <v>1779.1601192391799</v>
      </c>
      <c r="AX5804" s="2">
        <v>1137.2839653820199</v>
      </c>
    </row>
    <row r="5805" spans="1:50" x14ac:dyDescent="0.25">
      <c r="A5805" s="2" t="s">
        <v>37827</v>
      </c>
      <c r="B5805" s="2">
        <v>269.21225143907998</v>
      </c>
      <c r="C5805" s="2">
        <v>10.1823833333333</v>
      </c>
      <c r="D5805" s="2" t="s">
        <v>51</v>
      </c>
      <c r="E5805" s="2" t="s">
        <v>37828</v>
      </c>
      <c r="F5805" s="2">
        <v>1767</v>
      </c>
      <c r="G5805" s="3" t="str">
        <f>HYPERLINK("https://cloud.oebiotech.com/#/lm/network/1767", "https://cloud.oebiotech.com/#/lm/network/1767")</f>
        <v>https://cloud.oebiotech.com/#/lm/network/1767</v>
      </c>
      <c r="H5805" s="2"/>
      <c r="I5805" s="2">
        <v>74570</v>
      </c>
      <c r="J5805" s="2" t="s">
        <v>37829</v>
      </c>
      <c r="K5805" s="2">
        <v>5312762</v>
      </c>
      <c r="L5805" s="2"/>
      <c r="M5805" s="2"/>
      <c r="N5805" s="2"/>
      <c r="O5805" s="2">
        <v>137801</v>
      </c>
      <c r="P5805" s="2"/>
      <c r="Q5805" s="2"/>
      <c r="R5805" s="2"/>
      <c r="S5805" s="2" t="s">
        <v>37830</v>
      </c>
      <c r="T5805" s="2" t="s">
        <v>37831</v>
      </c>
      <c r="U5805" s="2" t="s">
        <v>56</v>
      </c>
      <c r="V5805" s="2" t="s">
        <v>145</v>
      </c>
      <c r="W5805" s="2" t="s">
        <v>231</v>
      </c>
      <c r="X5805" s="2" t="s">
        <v>83</v>
      </c>
      <c r="Y5805" s="2">
        <v>47.1</v>
      </c>
      <c r="Z5805" s="2">
        <v>0</v>
      </c>
      <c r="AA5805" s="2" t="s">
        <v>163</v>
      </c>
      <c r="AB5805" s="2" t="s">
        <v>18062</v>
      </c>
      <c r="AC5805" s="2">
        <v>0.12230908927904199</v>
      </c>
      <c r="AD5805" s="2"/>
      <c r="AE5805" s="2">
        <v>8.4275681231506805E-3</v>
      </c>
      <c r="AF5805" s="2">
        <v>2829.1857147177102</v>
      </c>
      <c r="AG5805" s="2">
        <v>2919.2404212463498</v>
      </c>
      <c r="AH5805" s="4">
        <v>0.96915132242167501</v>
      </c>
      <c r="AI5805" s="4">
        <v>-4.5206150544312297E-2</v>
      </c>
      <c r="AJ5805" s="4" t="s">
        <v>62</v>
      </c>
      <c r="AK5805" s="2">
        <v>0.82893517151631002</v>
      </c>
      <c r="AL5805" s="2">
        <v>0.92453281603106896</v>
      </c>
      <c r="AM5805" s="2">
        <v>2673.6855999302202</v>
      </c>
      <c r="AN5805" s="2">
        <v>2762.8233821271601</v>
      </c>
      <c r="AO5805" s="2">
        <v>2783.6314137692998</v>
      </c>
      <c r="AP5805" s="2">
        <v>2363.6769120003801</v>
      </c>
      <c r="AQ5805" s="2">
        <v>3158.5476266256501</v>
      </c>
      <c r="AR5805" s="2">
        <v>3232.74935385353</v>
      </c>
      <c r="AS5805" s="2">
        <v>2292.5489382863302</v>
      </c>
      <c r="AT5805" s="2">
        <v>2116.0264727107001</v>
      </c>
      <c r="AU5805" s="2">
        <v>4737.7291108704103</v>
      </c>
      <c r="AV5805" s="2">
        <v>2651.8279192308901</v>
      </c>
      <c r="AW5805" s="2">
        <v>2899.03089873097</v>
      </c>
      <c r="AX5805" s="2">
        <v>2818.27918764879</v>
      </c>
    </row>
    <row r="5806" spans="1:50" x14ac:dyDescent="0.25">
      <c r="A5806" s="2" t="s">
        <v>37832</v>
      </c>
      <c r="B5806" s="2">
        <v>407.28053359821803</v>
      </c>
      <c r="C5806" s="2">
        <v>11.842883333333299</v>
      </c>
      <c r="D5806" s="2" t="s">
        <v>51</v>
      </c>
      <c r="E5806" s="2" t="s">
        <v>37833</v>
      </c>
      <c r="F5806" s="2">
        <v>10468</v>
      </c>
      <c r="G5806" s="3" t="str">
        <f>HYPERLINK("https://cloud.oebiotech.com/#/lm/network/10468", "https://cloud.oebiotech.com/#/lm/network/10468")</f>
        <v>https://cloud.oebiotech.com/#/lm/network/10468</v>
      </c>
      <c r="H5806" s="2"/>
      <c r="I5806" s="2"/>
      <c r="J5806" s="2" t="s">
        <v>37834</v>
      </c>
      <c r="K5806" s="2">
        <v>137323842</v>
      </c>
      <c r="L5806" s="2"/>
      <c r="M5806" s="2"/>
      <c r="N5806" s="2"/>
      <c r="O5806" s="2"/>
      <c r="P5806" s="2"/>
      <c r="Q5806" s="2"/>
      <c r="R5806" s="2"/>
      <c r="S5806" s="2" t="s">
        <v>37835</v>
      </c>
      <c r="T5806" s="2" t="s">
        <v>37836</v>
      </c>
      <c r="U5806" s="2" t="s">
        <v>56</v>
      </c>
      <c r="V5806" s="2" t="s">
        <v>3215</v>
      </c>
      <c r="W5806" s="2" t="s">
        <v>27374</v>
      </c>
      <c r="X5806" s="2" t="s">
        <v>83</v>
      </c>
      <c r="Y5806" s="2">
        <v>41.5</v>
      </c>
      <c r="Z5806" s="2">
        <v>0</v>
      </c>
      <c r="AA5806" s="2" t="s">
        <v>218</v>
      </c>
      <c r="AB5806" s="2" t="s">
        <v>25059</v>
      </c>
      <c r="AC5806" s="2">
        <v>0.65046239077336498</v>
      </c>
      <c r="AD5806" s="2"/>
      <c r="AE5806" s="2">
        <v>8.3128814818215092E-3</v>
      </c>
      <c r="AF5806" s="2">
        <v>2429.1729952163</v>
      </c>
      <c r="AG5806" s="2">
        <v>2235.70111464</v>
      </c>
      <c r="AH5806" s="5">
        <v>1.08653745319953</v>
      </c>
      <c r="AI5806" s="5">
        <v>0.11973790541099801</v>
      </c>
      <c r="AJ5806" s="5" t="s">
        <v>139</v>
      </c>
      <c r="AK5806" s="2">
        <v>0.83017595718298098</v>
      </c>
      <c r="AL5806" s="2">
        <v>0.925102360296714</v>
      </c>
      <c r="AM5806" s="2">
        <v>1540.69196705697</v>
      </c>
      <c r="AN5806" s="2">
        <v>2607.6473635208599</v>
      </c>
      <c r="AO5806" s="2">
        <v>2473.4526250689701</v>
      </c>
      <c r="AP5806" s="2">
        <v>3955.8129826415902</v>
      </c>
      <c r="AQ5806" s="2">
        <v>2921.9376593305601</v>
      </c>
      <c r="AR5806" s="2">
        <v>1075.49537367886</v>
      </c>
      <c r="AS5806" s="2">
        <v>824.80223295288897</v>
      </c>
      <c r="AT5806" s="2">
        <v>3107.0291825363402</v>
      </c>
      <c r="AU5806" s="2">
        <v>425.047129959144</v>
      </c>
      <c r="AV5806" s="2">
        <v>554.72655953496201</v>
      </c>
      <c r="AW5806" s="2">
        <v>3558.7861227039002</v>
      </c>
      <c r="AX5806" s="2">
        <v>4943.8154601527904</v>
      </c>
    </row>
    <row r="5807" spans="1:50" x14ac:dyDescent="0.25">
      <c r="A5807" s="2" t="s">
        <v>37837</v>
      </c>
      <c r="B5807" s="2">
        <v>207.02930000000001</v>
      </c>
      <c r="C5807" s="2">
        <v>8.67</v>
      </c>
      <c r="D5807" s="2" t="s">
        <v>125</v>
      </c>
      <c r="E5807" s="2" t="s">
        <v>37838</v>
      </c>
      <c r="F5807" s="2">
        <v>1891</v>
      </c>
      <c r="G5807" s="3" t="str">
        <f>HYPERLINK("https://cloud.oebiotech.com/#/lm/network/1891", "https://cloud.oebiotech.com/#/lm/network/1891")</f>
        <v>https://cloud.oebiotech.com/#/lm/network/1891</v>
      </c>
      <c r="H5807" s="2" t="s">
        <v>37839</v>
      </c>
      <c r="I5807" s="2">
        <v>74706</v>
      </c>
      <c r="J5807" s="2" t="s">
        <v>37840</v>
      </c>
      <c r="K5807" s="2">
        <v>11671</v>
      </c>
      <c r="L5807" s="2"/>
      <c r="M5807" s="2"/>
      <c r="N5807" s="2"/>
      <c r="O5807" s="2">
        <v>50129</v>
      </c>
      <c r="P5807" s="2"/>
      <c r="Q5807" s="2"/>
      <c r="R5807" s="2" t="s">
        <v>37841</v>
      </c>
      <c r="S5807" s="2" t="s">
        <v>37842</v>
      </c>
      <c r="T5807" s="2" t="s">
        <v>37843</v>
      </c>
      <c r="U5807" s="2" t="s">
        <v>103</v>
      </c>
      <c r="V5807" s="2" t="s">
        <v>377</v>
      </c>
      <c r="W5807" s="2" t="s">
        <v>2285</v>
      </c>
      <c r="X5807" s="2" t="s">
        <v>59</v>
      </c>
      <c r="Y5807" s="2">
        <v>78.900000000000006</v>
      </c>
      <c r="Z5807" s="2">
        <v>66.400000000000006</v>
      </c>
      <c r="AA5807" s="2"/>
      <c r="AB5807" s="2" t="s">
        <v>6186</v>
      </c>
      <c r="AC5807" s="2"/>
      <c r="AD5807" s="2">
        <v>290755.80320094799</v>
      </c>
      <c r="AE5807" s="2">
        <v>8.2560205744804608E-3</v>
      </c>
      <c r="AF5807" s="2">
        <v>19735.1322156147</v>
      </c>
      <c r="AG5807" s="2">
        <v>19662.205215902199</v>
      </c>
      <c r="AH5807" s="5">
        <v>1.00370899392575</v>
      </c>
      <c r="AI5807" s="5">
        <v>5.3410482970916101E-3</v>
      </c>
      <c r="AJ5807" s="5" t="s">
        <v>139</v>
      </c>
      <c r="AK5807" s="2">
        <v>0.97149799315077001</v>
      </c>
      <c r="AL5807" s="2">
        <v>0.98915546194842796</v>
      </c>
      <c r="AM5807" s="2">
        <v>18379.365439271998</v>
      </c>
      <c r="AN5807" s="2">
        <v>16897.372086349402</v>
      </c>
      <c r="AO5807" s="2">
        <v>17856.642230790199</v>
      </c>
      <c r="AP5807" s="2">
        <v>23655.456975810801</v>
      </c>
      <c r="AQ5807" s="2">
        <v>23790.675726108399</v>
      </c>
      <c r="AR5807" s="2">
        <v>17831.2808353576</v>
      </c>
      <c r="AS5807" s="2">
        <v>18319.153440689799</v>
      </c>
      <c r="AT5807" s="2">
        <v>23513.537910901799</v>
      </c>
      <c r="AU5807" s="2">
        <v>15936.6167680952</v>
      </c>
      <c r="AV5807" s="2">
        <v>15239.9373293676</v>
      </c>
      <c r="AW5807" s="2">
        <v>21058.811217800601</v>
      </c>
      <c r="AX5807" s="2">
        <v>23905.174628558099</v>
      </c>
    </row>
    <row r="5808" spans="1:50" x14ac:dyDescent="0.25">
      <c r="A5808" s="2" t="s">
        <v>37844</v>
      </c>
      <c r="B5808" s="2">
        <v>289.11916797603902</v>
      </c>
      <c r="C5808" s="2">
        <v>4.3411833333333298</v>
      </c>
      <c r="D5808" s="2" t="s">
        <v>51</v>
      </c>
      <c r="E5808" s="2" t="s">
        <v>37845</v>
      </c>
      <c r="F5808" s="2">
        <v>58817</v>
      </c>
      <c r="G5808" s="3" t="str">
        <f>HYPERLINK("https://cloud.oebiotech.com/#/lm/network/58817", "https://cloud.oebiotech.com/#/lm/network/58817")</f>
        <v>https://cloud.oebiotech.com/#/lm/network/58817</v>
      </c>
      <c r="H5808" s="2" t="s">
        <v>37846</v>
      </c>
      <c r="I5808" s="2">
        <v>90269</v>
      </c>
      <c r="J5808" s="2"/>
      <c r="K5808" s="2">
        <v>131751635</v>
      </c>
      <c r="L5808" s="2"/>
      <c r="M5808" s="2"/>
      <c r="N5808" s="2"/>
      <c r="O5808" s="2"/>
      <c r="P5808" s="2"/>
      <c r="Q5808" s="2"/>
      <c r="R5808" s="2"/>
      <c r="S5808" s="2" t="s">
        <v>37847</v>
      </c>
      <c r="T5808" s="2" t="s">
        <v>37848</v>
      </c>
      <c r="U5808" s="2" t="s">
        <v>238</v>
      </c>
      <c r="V5808" s="2" t="s">
        <v>18178</v>
      </c>
      <c r="W5808" s="2" t="s">
        <v>240</v>
      </c>
      <c r="X5808" s="2" t="s">
        <v>83</v>
      </c>
      <c r="Y5808" s="2">
        <v>39.799999999999997</v>
      </c>
      <c r="Z5808" s="2">
        <v>0</v>
      </c>
      <c r="AA5808" s="2" t="s">
        <v>259</v>
      </c>
      <c r="AB5808" s="2" t="s">
        <v>37849</v>
      </c>
      <c r="AC5808" s="2">
        <v>3.07014677582425</v>
      </c>
      <c r="AD5808" s="2"/>
      <c r="AE5808" s="2">
        <v>8.1620757193942104E-3</v>
      </c>
      <c r="AF5808" s="2">
        <v>1165.45158143208</v>
      </c>
      <c r="AG5808" s="2">
        <v>1070.723361542</v>
      </c>
      <c r="AH5808" s="5">
        <v>1.0884712366354401</v>
      </c>
      <c r="AI5808" s="5">
        <v>0.122303284134579</v>
      </c>
      <c r="AJ5808" s="5" t="s">
        <v>139</v>
      </c>
      <c r="AK5808" s="2">
        <v>0.84904804433915604</v>
      </c>
      <c r="AL5808" s="2">
        <v>0.93318515058070095</v>
      </c>
      <c r="AM5808" s="2">
        <v>724.78949711551297</v>
      </c>
      <c r="AN5808" s="2">
        <v>1127.0553940760601</v>
      </c>
      <c r="AO5808" s="2">
        <v>912.48422676472603</v>
      </c>
      <c r="AP5808" s="2">
        <v>1637.0359155376</v>
      </c>
      <c r="AQ5808" s="2">
        <v>1754.47979067341</v>
      </c>
      <c r="AR5808" s="2">
        <v>836.86466442517496</v>
      </c>
      <c r="AS5808" s="2">
        <v>2618.6036125052601</v>
      </c>
      <c r="AT5808" s="2">
        <v>2255.6647169511698</v>
      </c>
      <c r="AU5808" s="2">
        <v>18.004975667822698</v>
      </c>
      <c r="AV5808" s="2">
        <v>169.56733699324201</v>
      </c>
      <c r="AW5808" s="2">
        <v>899.46022330556502</v>
      </c>
      <c r="AX5808" s="2">
        <v>463.039303828968</v>
      </c>
    </row>
    <row r="5809" spans="1:50" x14ac:dyDescent="0.25">
      <c r="A5809" s="2" t="s">
        <v>37850</v>
      </c>
      <c r="B5809" s="2">
        <v>300.97382074961098</v>
      </c>
      <c r="C5809" s="2">
        <v>4.6687166666666702</v>
      </c>
      <c r="D5809" s="2" t="s">
        <v>51</v>
      </c>
      <c r="E5809" s="2" t="s">
        <v>37851</v>
      </c>
      <c r="F5809" s="2">
        <v>279899</v>
      </c>
      <c r="G5809" s="3" t="str">
        <f>HYPERLINK("https://cloud.oebiotech.com/#/lm/network/279899", "https://cloud.oebiotech.com/#/lm/network/279899")</f>
        <v>https://cloud.oebiotech.com/#/lm/network/279899</v>
      </c>
      <c r="H5809" s="2"/>
      <c r="I5809" s="2">
        <v>72738</v>
      </c>
      <c r="J5809" s="2"/>
      <c r="K5809" s="2">
        <v>28213</v>
      </c>
      <c r="L5809" s="2" t="s">
        <v>37852</v>
      </c>
      <c r="M5809" s="2"/>
      <c r="N5809" s="2"/>
      <c r="O5809" s="2"/>
      <c r="P5809" s="2"/>
      <c r="Q5809" s="2"/>
      <c r="R5809" s="2" t="s">
        <v>37853</v>
      </c>
      <c r="S5809" s="2" t="s">
        <v>37854</v>
      </c>
      <c r="T5809" s="2" t="s">
        <v>37855</v>
      </c>
      <c r="U5809" s="2" t="s">
        <v>1231</v>
      </c>
      <c r="V5809" s="2" t="s">
        <v>30020</v>
      </c>
      <c r="W5809" s="2" t="s">
        <v>30021</v>
      </c>
      <c r="X5809" s="2" t="s">
        <v>147</v>
      </c>
      <c r="Y5809" s="2">
        <v>36.9</v>
      </c>
      <c r="Z5809" s="2">
        <v>0</v>
      </c>
      <c r="AA5809" s="2" t="s">
        <v>395</v>
      </c>
      <c r="AB5809" s="2" t="s">
        <v>37856</v>
      </c>
      <c r="AC5809" s="2">
        <v>3.0932453650068901</v>
      </c>
      <c r="AD5809" s="2"/>
      <c r="AE5809" s="2">
        <v>8.1531189032431808E-3</v>
      </c>
      <c r="AF5809" s="2">
        <v>1066.03497504964</v>
      </c>
      <c r="AG5809" s="2">
        <v>888.19085397649803</v>
      </c>
      <c r="AH5809" s="5">
        <v>1.20023187615243</v>
      </c>
      <c r="AI5809" s="5">
        <v>0.263313151049681</v>
      </c>
      <c r="AJ5809" s="5" t="s">
        <v>139</v>
      </c>
      <c r="AK5809" s="2">
        <v>0.85446951118561199</v>
      </c>
      <c r="AL5809" s="2">
        <v>0.93587389349021</v>
      </c>
      <c r="AM5809" s="2">
        <v>8.559877937157E-6</v>
      </c>
      <c r="AN5809" s="2">
        <v>987.15120138878694</v>
      </c>
      <c r="AO5809" s="2">
        <v>376.53557506199797</v>
      </c>
      <c r="AP5809" s="2">
        <v>8.559877937157E-6</v>
      </c>
      <c r="AQ5809" s="2">
        <v>312.59645868676699</v>
      </c>
      <c r="AR5809" s="2">
        <v>4719.9265980405298</v>
      </c>
      <c r="AS5809" s="2">
        <v>8.559877937157E-6</v>
      </c>
      <c r="AT5809" s="2">
        <v>100.829128575247</v>
      </c>
      <c r="AU5809" s="2">
        <v>8.559877937157E-6</v>
      </c>
      <c r="AV5809" s="2">
        <v>1850.5376822719199</v>
      </c>
      <c r="AW5809" s="2">
        <v>3377.7782873321898</v>
      </c>
      <c r="AX5809" s="2">
        <v>8.559877937157E-6</v>
      </c>
    </row>
    <row r="5810" spans="1:50" x14ac:dyDescent="0.25">
      <c r="A5810" s="2" t="s">
        <v>37857</v>
      </c>
      <c r="B5810" s="2">
        <v>129.05461833163201</v>
      </c>
      <c r="C5810" s="2">
        <v>4.1837666666666697</v>
      </c>
      <c r="D5810" s="2" t="s">
        <v>51</v>
      </c>
      <c r="E5810" s="2" t="s">
        <v>37858</v>
      </c>
      <c r="F5810" s="2">
        <v>2044</v>
      </c>
      <c r="G5810" s="3" t="str">
        <f>HYPERLINK("https://cloud.oebiotech.com/#/lm/network/2044", "https://cloud.oebiotech.com/#/lm/network/2044")</f>
        <v>https://cloud.oebiotech.com/#/lm/network/2044</v>
      </c>
      <c r="H5810" s="2" t="s">
        <v>37859</v>
      </c>
      <c r="I5810" s="2">
        <v>35703</v>
      </c>
      <c r="J5810" s="2" t="s">
        <v>37860</v>
      </c>
      <c r="K5810" s="2">
        <v>439658</v>
      </c>
      <c r="L5810" s="2" t="s">
        <v>37861</v>
      </c>
      <c r="M5810" s="2"/>
      <c r="N5810" s="2"/>
      <c r="O5810" s="2">
        <v>28422</v>
      </c>
      <c r="P5810" s="2"/>
      <c r="Q5810" s="2"/>
      <c r="R5810" s="2" t="s">
        <v>37862</v>
      </c>
      <c r="S5810" s="2" t="s">
        <v>37863</v>
      </c>
      <c r="T5810" s="2" t="s">
        <v>37864</v>
      </c>
      <c r="U5810" s="2" t="s">
        <v>103</v>
      </c>
      <c r="V5810" s="2" t="s">
        <v>2602</v>
      </c>
      <c r="W5810" s="2" t="s">
        <v>2603</v>
      </c>
      <c r="X5810" s="2" t="s">
        <v>83</v>
      </c>
      <c r="Y5810" s="2">
        <v>53</v>
      </c>
      <c r="Z5810" s="2">
        <v>4.41</v>
      </c>
      <c r="AA5810" s="2" t="s">
        <v>163</v>
      </c>
      <c r="AB5810" s="2" t="s">
        <v>15268</v>
      </c>
      <c r="AC5810" s="2">
        <v>-8.4529481666705397</v>
      </c>
      <c r="AD5810" s="2"/>
      <c r="AE5810" s="2">
        <v>8.08842135301986E-3</v>
      </c>
      <c r="AF5810" s="2">
        <v>15971.607625099099</v>
      </c>
      <c r="AG5810" s="2">
        <v>15576.2244289106</v>
      </c>
      <c r="AH5810" s="5">
        <v>1.02538376343979</v>
      </c>
      <c r="AI5810" s="5">
        <v>3.6163958503832999E-2</v>
      </c>
      <c r="AJ5810" s="5" t="s">
        <v>139</v>
      </c>
      <c r="AK5810" s="2">
        <v>0.87824974333834305</v>
      </c>
      <c r="AL5810" s="2">
        <v>0.94752328784861595</v>
      </c>
      <c r="AM5810" s="2">
        <v>9459.1014553279001</v>
      </c>
      <c r="AN5810" s="2">
        <v>15928.221627805</v>
      </c>
      <c r="AO5810" s="2">
        <v>17094.046667896098</v>
      </c>
      <c r="AP5810" s="2">
        <v>18391.673717813701</v>
      </c>
      <c r="AQ5810" s="2">
        <v>22828.107126770599</v>
      </c>
      <c r="AR5810" s="2">
        <v>12128.4951549815</v>
      </c>
      <c r="AS5810" s="2">
        <v>18800.568504856699</v>
      </c>
      <c r="AT5810" s="2">
        <v>20184.4811135727</v>
      </c>
      <c r="AU5810" s="2">
        <v>11964.738399804</v>
      </c>
      <c r="AV5810" s="2">
        <v>10805.2967623358</v>
      </c>
      <c r="AW5810" s="2">
        <v>13507.3160422043</v>
      </c>
      <c r="AX5810" s="2">
        <v>18194.945750689902</v>
      </c>
    </row>
    <row r="5811" spans="1:50" x14ac:dyDescent="0.25">
      <c r="A5811" s="2" t="s">
        <v>37865</v>
      </c>
      <c r="B5811" s="2">
        <v>349.265565405985</v>
      </c>
      <c r="C5811" s="2">
        <v>11.4020666666667</v>
      </c>
      <c r="D5811" s="2" t="s">
        <v>51</v>
      </c>
      <c r="E5811" s="2" t="s">
        <v>37866</v>
      </c>
      <c r="F5811" s="2">
        <v>199521</v>
      </c>
      <c r="G5811" s="3" t="str">
        <f>HYPERLINK("https://cloud.oebiotech.com/#/lm/network/199521", "https://cloud.oebiotech.com/#/lm/network/199521")</f>
        <v>https://cloud.oebiotech.com/#/lm/network/199521</v>
      </c>
      <c r="H5811" s="2" t="s">
        <v>37867</v>
      </c>
      <c r="I5811" s="2">
        <v>454253</v>
      </c>
      <c r="J5811" s="2"/>
      <c r="K5811" s="2">
        <v>31862</v>
      </c>
      <c r="L5811" s="2"/>
      <c r="M5811" s="2"/>
      <c r="N5811" s="2"/>
      <c r="O5811" s="2"/>
      <c r="P5811" s="2"/>
      <c r="Q5811" s="2"/>
      <c r="R5811" s="2"/>
      <c r="S5811" s="2" t="s">
        <v>37868</v>
      </c>
      <c r="T5811" s="2" t="s">
        <v>37869</v>
      </c>
      <c r="U5811" s="2" t="s">
        <v>119</v>
      </c>
      <c r="V5811" s="2" t="s">
        <v>120</v>
      </c>
      <c r="W5811" s="2" t="s">
        <v>1887</v>
      </c>
      <c r="X5811" s="2" t="s">
        <v>147</v>
      </c>
      <c r="Y5811" s="2">
        <v>37</v>
      </c>
      <c r="Z5811" s="2">
        <v>0</v>
      </c>
      <c r="AA5811" s="2" t="s">
        <v>478</v>
      </c>
      <c r="AB5811" s="2" t="s">
        <v>37870</v>
      </c>
      <c r="AC5811" s="2">
        <v>1.83496722550421</v>
      </c>
      <c r="AD5811" s="2"/>
      <c r="AE5811" s="2">
        <v>8.0166795915512096E-3</v>
      </c>
      <c r="AF5811" s="2">
        <v>1253.87593675059</v>
      </c>
      <c r="AG5811" s="2">
        <v>1333.04802449368</v>
      </c>
      <c r="AH5811" s="4">
        <v>0.94060822544397105</v>
      </c>
      <c r="AI5811" s="4">
        <v>-8.8334146536525202E-2</v>
      </c>
      <c r="AJ5811" s="4" t="s">
        <v>62</v>
      </c>
      <c r="AK5811" s="2">
        <v>0.87063951338443801</v>
      </c>
      <c r="AL5811" s="2">
        <v>0.94376242303513003</v>
      </c>
      <c r="AM5811" s="2">
        <v>1276.6282495627199</v>
      </c>
      <c r="AN5811" s="2">
        <v>1429.0226411057599</v>
      </c>
      <c r="AO5811" s="2">
        <v>857.43848797052499</v>
      </c>
      <c r="AP5811" s="2">
        <v>897.25980641818296</v>
      </c>
      <c r="AQ5811" s="2">
        <v>1422.8366315098201</v>
      </c>
      <c r="AR5811" s="2">
        <v>1640.06980393652</v>
      </c>
      <c r="AS5811" s="2">
        <v>301.11913658901801</v>
      </c>
      <c r="AT5811" s="2">
        <v>317.61208243188798</v>
      </c>
      <c r="AU5811" s="2">
        <v>3073.29841994563</v>
      </c>
      <c r="AV5811" s="2">
        <v>1205.82104682467</v>
      </c>
      <c r="AW5811" s="2">
        <v>2260.2365622269299</v>
      </c>
      <c r="AX5811" s="2">
        <v>840.20089894392402</v>
      </c>
    </row>
    <row r="5812" spans="1:50" x14ac:dyDescent="0.25">
      <c r="A5812" s="2" t="s">
        <v>37871</v>
      </c>
      <c r="B5812" s="2">
        <v>211.13347850205801</v>
      </c>
      <c r="C5812" s="2">
        <v>9.6451499999999992</v>
      </c>
      <c r="D5812" s="2" t="s">
        <v>51</v>
      </c>
      <c r="E5812" s="2" t="s">
        <v>37872</v>
      </c>
      <c r="F5812" s="2">
        <v>57364</v>
      </c>
      <c r="G5812" s="3" t="str">
        <f>HYPERLINK("https://cloud.oebiotech.com/#/lm/network/57364", "https://cloud.oebiotech.com/#/lm/network/57364")</f>
        <v>https://cloud.oebiotech.com/#/lm/network/57364</v>
      </c>
      <c r="H5812" s="2" t="s">
        <v>37873</v>
      </c>
      <c r="I5812" s="2">
        <v>88993</v>
      </c>
      <c r="J5812" s="2"/>
      <c r="K5812" s="2">
        <v>5362689</v>
      </c>
      <c r="L5812" s="2"/>
      <c r="M5812" s="2"/>
      <c r="N5812" s="2"/>
      <c r="O5812" s="2"/>
      <c r="P5812" s="2"/>
      <c r="Q5812" s="2"/>
      <c r="R5812" s="2" t="s">
        <v>37874</v>
      </c>
      <c r="S5812" s="2" t="s">
        <v>37875</v>
      </c>
      <c r="T5812" s="2" t="s">
        <v>37876</v>
      </c>
      <c r="U5812" s="2" t="s">
        <v>103</v>
      </c>
      <c r="V5812" s="2" t="s">
        <v>104</v>
      </c>
      <c r="W5812" s="2" t="s">
        <v>3415</v>
      </c>
      <c r="X5812" s="2" t="s">
        <v>83</v>
      </c>
      <c r="Y5812" s="2">
        <v>44.2</v>
      </c>
      <c r="Z5812" s="2">
        <v>0</v>
      </c>
      <c r="AA5812" s="2" t="s">
        <v>259</v>
      </c>
      <c r="AB5812" s="2" t="s">
        <v>20499</v>
      </c>
      <c r="AC5812" s="2">
        <v>2.8917663270357798</v>
      </c>
      <c r="AD5812" s="2"/>
      <c r="AE5812" s="2">
        <v>7.8871924761833908E-3</v>
      </c>
      <c r="AF5812" s="2">
        <v>1412.2957418006099</v>
      </c>
      <c r="AG5812" s="2">
        <v>1429.02488569196</v>
      </c>
      <c r="AH5812" s="4">
        <v>0.988293315211759</v>
      </c>
      <c r="AI5812" s="4">
        <v>-1.6988812591777501E-2</v>
      </c>
      <c r="AJ5812" s="4" t="s">
        <v>62</v>
      </c>
      <c r="AK5812" s="2">
        <v>0.88905201905101305</v>
      </c>
      <c r="AL5812" s="2">
        <v>0.95222097208274104</v>
      </c>
      <c r="AM5812" s="2">
        <v>1181.75145867367</v>
      </c>
      <c r="AN5812" s="2">
        <v>1566.9174149472899</v>
      </c>
      <c r="AO5812" s="2">
        <v>1566.9149910752201</v>
      </c>
      <c r="AP5812" s="2">
        <v>1456.70418497418</v>
      </c>
      <c r="AQ5812" s="2">
        <v>1524.53631657955</v>
      </c>
      <c r="AR5812" s="2">
        <v>1176.95008455378</v>
      </c>
      <c r="AS5812" s="2">
        <v>1183.8414858450101</v>
      </c>
      <c r="AT5812" s="2">
        <v>1331.10856153338</v>
      </c>
      <c r="AU5812" s="2">
        <v>1577.2687558979501</v>
      </c>
      <c r="AV5812" s="2">
        <v>1199.7236309188199</v>
      </c>
      <c r="AW5812" s="2">
        <v>1591.81971067785</v>
      </c>
      <c r="AX5812" s="2">
        <v>1690.38716927877</v>
      </c>
    </row>
    <row r="5813" spans="1:50" x14ac:dyDescent="0.25">
      <c r="A5813" s="2" t="s">
        <v>37877</v>
      </c>
      <c r="B5813" s="2">
        <v>130.12305984291899</v>
      </c>
      <c r="C5813" s="2">
        <v>3.9009</v>
      </c>
      <c r="D5813" s="2" t="s">
        <v>51</v>
      </c>
      <c r="E5813" s="2" t="s">
        <v>37878</v>
      </c>
      <c r="F5813" s="2">
        <v>47528</v>
      </c>
      <c r="G5813" s="3" t="str">
        <f>HYPERLINK("https://cloud.oebiotech.com/#/lm/network/47528", "https://cloud.oebiotech.com/#/lm/network/47528")</f>
        <v>https://cloud.oebiotech.com/#/lm/network/47528</v>
      </c>
      <c r="H5813" s="2" t="s">
        <v>37879</v>
      </c>
      <c r="I5813" s="2">
        <v>350092</v>
      </c>
      <c r="J5813" s="2"/>
      <c r="K5813" s="2">
        <v>133</v>
      </c>
      <c r="L5813" s="2" t="s">
        <v>37880</v>
      </c>
      <c r="M5813" s="2" t="s">
        <v>6725</v>
      </c>
      <c r="N5813" s="2" t="s">
        <v>6726</v>
      </c>
      <c r="O5813" s="2">
        <v>18020</v>
      </c>
      <c r="P5813" s="2" t="s">
        <v>21457</v>
      </c>
      <c r="Q5813" s="2" t="s">
        <v>21458</v>
      </c>
      <c r="R5813" s="2" t="s">
        <v>37881</v>
      </c>
      <c r="S5813" s="2" t="s">
        <v>37882</v>
      </c>
      <c r="T5813" s="2" t="s">
        <v>37883</v>
      </c>
      <c r="U5813" s="2" t="s">
        <v>331</v>
      </c>
      <c r="V5813" s="2" t="s">
        <v>332</v>
      </c>
      <c r="W5813" s="2" t="s">
        <v>1207</v>
      </c>
      <c r="X5813" s="2" t="s">
        <v>147</v>
      </c>
      <c r="Y5813" s="2">
        <v>38.799999999999997</v>
      </c>
      <c r="Z5813" s="2">
        <v>0</v>
      </c>
      <c r="AA5813" s="2" t="s">
        <v>122</v>
      </c>
      <c r="AB5813" s="2" t="s">
        <v>37884</v>
      </c>
      <c r="AC5813" s="2">
        <v>-0.99440047662725095</v>
      </c>
      <c r="AD5813" s="2"/>
      <c r="AE5813" s="2">
        <v>7.8577780141680705E-3</v>
      </c>
      <c r="AF5813" s="2">
        <v>1154.44610131127</v>
      </c>
      <c r="AG5813" s="2">
        <v>1165.7681832570199</v>
      </c>
      <c r="AH5813" s="4">
        <v>0.99028787874952096</v>
      </c>
      <c r="AI5813" s="4">
        <v>-1.40801142697763E-2</v>
      </c>
      <c r="AJ5813" s="4" t="s">
        <v>62</v>
      </c>
      <c r="AK5813" s="2">
        <v>0.94293279622703297</v>
      </c>
      <c r="AL5813" s="2">
        <v>0.97589327031342099</v>
      </c>
      <c r="AM5813" s="2">
        <v>1368.6878240275501</v>
      </c>
      <c r="AN5813" s="2">
        <v>1422.7479648775</v>
      </c>
      <c r="AO5813" s="2">
        <v>975.50339728131701</v>
      </c>
      <c r="AP5813" s="2">
        <v>1187.8375312246601</v>
      </c>
      <c r="AQ5813" s="2">
        <v>968.30992757856598</v>
      </c>
      <c r="AR5813" s="2">
        <v>1003.58996287805</v>
      </c>
      <c r="AS5813" s="2">
        <v>866.65416200891002</v>
      </c>
      <c r="AT5813" s="2">
        <v>1131.2739917220199</v>
      </c>
      <c r="AU5813" s="2">
        <v>1411.15130753777</v>
      </c>
      <c r="AV5813" s="2">
        <v>1654.4175485687299</v>
      </c>
      <c r="AW5813" s="2">
        <v>1098.78883827968</v>
      </c>
      <c r="AX5813" s="2">
        <v>832.32325142498996</v>
      </c>
    </row>
    <row r="5814" spans="1:50" x14ac:dyDescent="0.25">
      <c r="A5814" s="2" t="s">
        <v>37885</v>
      </c>
      <c r="B5814" s="2">
        <v>377.20868126798399</v>
      </c>
      <c r="C5814" s="2">
        <v>5.6083833333333297</v>
      </c>
      <c r="D5814" s="2" t="s">
        <v>51</v>
      </c>
      <c r="E5814" s="2" t="s">
        <v>37886</v>
      </c>
      <c r="F5814" s="2">
        <v>52912</v>
      </c>
      <c r="G5814" s="3" t="str">
        <f>HYPERLINK("https://cloud.oebiotech.com/#/lm/network/52912", "https://cloud.oebiotech.com/#/lm/network/52912")</f>
        <v>https://cloud.oebiotech.com/#/lm/network/52912</v>
      </c>
      <c r="H5814" s="2" t="s">
        <v>37887</v>
      </c>
      <c r="I5814" s="2">
        <v>2532</v>
      </c>
      <c r="J5814" s="2"/>
      <c r="K5814" s="2">
        <v>40466924</v>
      </c>
      <c r="L5814" s="2" t="s">
        <v>37888</v>
      </c>
      <c r="M5814" s="2"/>
      <c r="N5814" s="2"/>
      <c r="O5814" s="2">
        <v>4784</v>
      </c>
      <c r="P5814" s="2" t="s">
        <v>13166</v>
      </c>
      <c r="Q5814" s="2" t="s">
        <v>13167</v>
      </c>
      <c r="R5814" s="2" t="s">
        <v>37889</v>
      </c>
      <c r="S5814" s="2" t="s">
        <v>37890</v>
      </c>
      <c r="T5814" s="2" t="s">
        <v>37891</v>
      </c>
      <c r="U5814" s="2" t="s">
        <v>103</v>
      </c>
      <c r="V5814" s="2" t="s">
        <v>104</v>
      </c>
      <c r="W5814" s="2" t="s">
        <v>105</v>
      </c>
      <c r="X5814" s="2" t="s">
        <v>83</v>
      </c>
      <c r="Y5814" s="2">
        <v>37.299999999999997</v>
      </c>
      <c r="Z5814" s="2">
        <v>0</v>
      </c>
      <c r="AA5814" s="2" t="s">
        <v>259</v>
      </c>
      <c r="AB5814" s="2" t="s">
        <v>37892</v>
      </c>
      <c r="AC5814" s="2">
        <v>4.2074199169929196</v>
      </c>
      <c r="AD5814" s="2"/>
      <c r="AE5814" s="2">
        <v>7.7780094007506998E-3</v>
      </c>
      <c r="AF5814" s="2">
        <v>1351.77880064651</v>
      </c>
      <c r="AG5814" s="2">
        <v>1431.4022950322901</v>
      </c>
      <c r="AH5814" s="4">
        <v>0.94437378320398702</v>
      </c>
      <c r="AI5814" s="4">
        <v>-8.2570103476029194E-2</v>
      </c>
      <c r="AJ5814" s="4" t="s">
        <v>62</v>
      </c>
      <c r="AK5814" s="2">
        <v>0.86479370898031405</v>
      </c>
      <c r="AL5814" s="2">
        <v>0.94126880286700698</v>
      </c>
      <c r="AM5814" s="2">
        <v>1701.50002512737</v>
      </c>
      <c r="AN5814" s="2">
        <v>2321.9581776724799</v>
      </c>
      <c r="AO5814" s="2">
        <v>562.41100266134004</v>
      </c>
      <c r="AP5814" s="2">
        <v>1333.54357464537</v>
      </c>
      <c r="AQ5814" s="2">
        <v>1147.3807892331899</v>
      </c>
      <c r="AR5814" s="2">
        <v>1043.8792345393199</v>
      </c>
      <c r="AS5814" s="2">
        <v>2321.5026195749001</v>
      </c>
      <c r="AT5814" s="2">
        <v>1308.3072016221299</v>
      </c>
      <c r="AU5814" s="2">
        <v>2606.58647459852</v>
      </c>
      <c r="AV5814" s="2">
        <v>204.626389993299</v>
      </c>
      <c r="AW5814" s="2">
        <v>595.06697635814203</v>
      </c>
      <c r="AX5814" s="2">
        <v>1552.3241080467401</v>
      </c>
    </row>
    <row r="5815" spans="1:50" x14ac:dyDescent="0.25">
      <c r="A5815" s="2" t="s">
        <v>37893</v>
      </c>
      <c r="B5815" s="2">
        <v>253.07160650539001</v>
      </c>
      <c r="C5815" s="2">
        <v>4.3268333333333304</v>
      </c>
      <c r="D5815" s="2" t="s">
        <v>51</v>
      </c>
      <c r="E5815" s="2" t="s">
        <v>37894</v>
      </c>
      <c r="F5815" s="2">
        <v>64550</v>
      </c>
      <c r="G5815" s="3" t="str">
        <f>HYPERLINK("https://cloud.oebiotech.com/#/lm/network/64550", "https://cloud.oebiotech.com/#/lm/network/64550")</f>
        <v>https://cloud.oebiotech.com/#/lm/network/64550</v>
      </c>
      <c r="H5815" s="2" t="s">
        <v>37895</v>
      </c>
      <c r="I5815" s="2">
        <v>95853</v>
      </c>
      <c r="J5815" s="2"/>
      <c r="K5815" s="2">
        <v>13250360</v>
      </c>
      <c r="L5815" s="2"/>
      <c r="M5815" s="2"/>
      <c r="N5815" s="2"/>
      <c r="O5815" s="2">
        <v>174040</v>
      </c>
      <c r="P5815" s="2"/>
      <c r="Q5815" s="2"/>
      <c r="R5815" s="2"/>
      <c r="S5815" s="2" t="s">
        <v>37896</v>
      </c>
      <c r="T5815" s="2" t="s">
        <v>37897</v>
      </c>
      <c r="U5815" s="2" t="s">
        <v>266</v>
      </c>
      <c r="V5815" s="2" t="s">
        <v>4740</v>
      </c>
      <c r="W5815" s="2" t="s">
        <v>240</v>
      </c>
      <c r="X5815" s="2" t="s">
        <v>147</v>
      </c>
      <c r="Y5815" s="2">
        <v>41.3</v>
      </c>
      <c r="Z5815" s="2">
        <v>19.8</v>
      </c>
      <c r="AA5815" s="2" t="s">
        <v>218</v>
      </c>
      <c r="AB5815" s="2" t="s">
        <v>37898</v>
      </c>
      <c r="AC5815" s="2">
        <v>-0.74602314203646503</v>
      </c>
      <c r="AD5815" s="2"/>
      <c r="AE5815" s="2">
        <v>7.7294780958706696E-3</v>
      </c>
      <c r="AF5815" s="2">
        <v>480.55909020303301</v>
      </c>
      <c r="AG5815" s="2">
        <v>489.69837128533902</v>
      </c>
      <c r="AH5815" s="4">
        <v>0.98133691754310504</v>
      </c>
      <c r="AI5815" s="4">
        <v>-2.71795600542671E-2</v>
      </c>
      <c r="AJ5815" s="4" t="s">
        <v>62</v>
      </c>
      <c r="AK5815" s="2">
        <v>0.97809590042232197</v>
      </c>
      <c r="AL5815" s="2">
        <v>0.99107196550940102</v>
      </c>
      <c r="AM5815" s="2">
        <v>377.985040200176</v>
      </c>
      <c r="AN5815" s="2">
        <v>8.559877937157E-6</v>
      </c>
      <c r="AO5815" s="2">
        <v>69.386964634690102</v>
      </c>
      <c r="AP5815" s="2">
        <v>8.559877937157E-6</v>
      </c>
      <c r="AQ5815" s="2">
        <v>562.23816286734598</v>
      </c>
      <c r="AR5815" s="2">
        <v>1873.7443563962299</v>
      </c>
      <c r="AS5815" s="2">
        <v>245.65295519286099</v>
      </c>
      <c r="AT5815" s="2">
        <v>1046.2605545775</v>
      </c>
      <c r="AU5815" s="2">
        <v>77.743342651739098</v>
      </c>
      <c r="AV5815" s="2">
        <v>630.57466617699697</v>
      </c>
      <c r="AW5815" s="2">
        <v>550.31093919564898</v>
      </c>
      <c r="AX5815" s="2">
        <v>387.64776991728502</v>
      </c>
    </row>
    <row r="5816" spans="1:50" x14ac:dyDescent="0.25">
      <c r="A5816" s="2" t="s">
        <v>37899</v>
      </c>
      <c r="B5816" s="2">
        <v>205.05186892154001</v>
      </c>
      <c r="C5816" s="2">
        <v>0.72640000000000005</v>
      </c>
      <c r="D5816" s="2" t="s">
        <v>51</v>
      </c>
      <c r="E5816" s="2" t="s">
        <v>37900</v>
      </c>
      <c r="F5816" s="2">
        <v>204243</v>
      </c>
      <c r="G5816" s="3" t="str">
        <f>HYPERLINK("https://cloud.oebiotech.com/#/lm/network/204243", "https://cloud.oebiotech.com/#/lm/network/204243")</f>
        <v>https://cloud.oebiotech.com/#/lm/network/204243</v>
      </c>
      <c r="H5816" s="2" t="s">
        <v>37901</v>
      </c>
      <c r="I5816" s="2"/>
      <c r="J5816" s="2"/>
      <c r="K5816" s="2">
        <v>129651751</v>
      </c>
      <c r="L5816" s="2"/>
      <c r="M5816" s="2"/>
      <c r="N5816" s="2"/>
      <c r="O5816" s="2"/>
      <c r="P5816" s="2"/>
      <c r="Q5816" s="2"/>
      <c r="R5816" s="2"/>
      <c r="S5816" s="2" t="s">
        <v>37902</v>
      </c>
      <c r="T5816" s="2" t="s">
        <v>37903</v>
      </c>
      <c r="U5816" s="2" t="s">
        <v>610</v>
      </c>
      <c r="V5816" s="2" t="s">
        <v>611</v>
      </c>
      <c r="W5816" s="2" t="s">
        <v>240</v>
      </c>
      <c r="X5816" s="2" t="s">
        <v>147</v>
      </c>
      <c r="Y5816" s="2">
        <v>38.299999999999997</v>
      </c>
      <c r="Z5816" s="2">
        <v>0</v>
      </c>
      <c r="AA5816" s="2" t="s">
        <v>163</v>
      </c>
      <c r="AB5816" s="2" t="s">
        <v>37904</v>
      </c>
      <c r="AC5816" s="2">
        <v>-0.48946155896346699</v>
      </c>
      <c r="AD5816" s="2"/>
      <c r="AE5816" s="2">
        <v>7.6772822821855602E-3</v>
      </c>
      <c r="AF5816" s="2">
        <v>2071.1588190894199</v>
      </c>
      <c r="AG5816" s="2">
        <v>2672.1761082851999</v>
      </c>
      <c r="AH5816" s="4">
        <v>0.77508320378574902</v>
      </c>
      <c r="AI5816" s="4">
        <v>-0.36757690547347099</v>
      </c>
      <c r="AJ5816" s="4" t="s">
        <v>62</v>
      </c>
      <c r="AK5816" s="2">
        <v>0.76381590441235903</v>
      </c>
      <c r="AL5816" s="2">
        <v>0.89233912008317295</v>
      </c>
      <c r="AM5816" s="2">
        <v>6679.2886393259996</v>
      </c>
      <c r="AN5816" s="2">
        <v>709.71499889500296</v>
      </c>
      <c r="AO5816" s="2">
        <v>2121.1697705906699</v>
      </c>
      <c r="AP5816" s="2">
        <v>2593.7694839329301</v>
      </c>
      <c r="AQ5816" s="2">
        <v>323.01001323206498</v>
      </c>
      <c r="AR5816" s="2">
        <v>8.559877937157E-6</v>
      </c>
      <c r="AS5816" s="2">
        <v>8.559877937157E-6</v>
      </c>
      <c r="AT5816" s="2">
        <v>8.559877937157E-6</v>
      </c>
      <c r="AU5816" s="2">
        <v>10765.7022847402</v>
      </c>
      <c r="AV5816" s="2">
        <v>1403.54936382548</v>
      </c>
      <c r="AW5816" s="2">
        <v>1459.7221391455</v>
      </c>
      <c r="AX5816" s="2">
        <v>2404.0828448802499</v>
      </c>
    </row>
    <row r="5817" spans="1:50" x14ac:dyDescent="0.25">
      <c r="A5817" s="2" t="s">
        <v>37905</v>
      </c>
      <c r="B5817" s="2">
        <v>487.14511320411901</v>
      </c>
      <c r="C5817" s="2">
        <v>3.8180333333333301</v>
      </c>
      <c r="D5817" s="2" t="s">
        <v>51</v>
      </c>
      <c r="E5817" s="2" t="s">
        <v>37906</v>
      </c>
      <c r="F5817" s="2">
        <v>55116</v>
      </c>
      <c r="G5817" s="3" t="str">
        <f>HYPERLINK("https://cloud.oebiotech.com/#/lm/network/55116", "https://cloud.oebiotech.com/#/lm/network/55116")</f>
        <v>https://cloud.oebiotech.com/#/lm/network/55116</v>
      </c>
      <c r="H5817" s="2" t="s">
        <v>37907</v>
      </c>
      <c r="I5817" s="2">
        <v>86866</v>
      </c>
      <c r="J5817" s="2"/>
      <c r="K5817" s="2">
        <v>131750995</v>
      </c>
      <c r="L5817" s="2"/>
      <c r="M5817" s="2"/>
      <c r="N5817" s="2"/>
      <c r="O5817" s="2">
        <v>168082</v>
      </c>
      <c r="P5817" s="2"/>
      <c r="Q5817" s="2"/>
      <c r="R5817" s="2" t="s">
        <v>37908</v>
      </c>
      <c r="S5817" s="2" t="s">
        <v>37909</v>
      </c>
      <c r="T5817" s="2" t="s">
        <v>37910</v>
      </c>
      <c r="U5817" s="2" t="s">
        <v>540</v>
      </c>
      <c r="V5817" s="2" t="s">
        <v>3291</v>
      </c>
      <c r="W5817" s="2" t="s">
        <v>37911</v>
      </c>
      <c r="X5817" s="2" t="s">
        <v>147</v>
      </c>
      <c r="Y5817" s="2">
        <v>37</v>
      </c>
      <c r="Z5817" s="2">
        <v>0</v>
      </c>
      <c r="AA5817" s="2" t="s">
        <v>218</v>
      </c>
      <c r="AB5817" s="2" t="s">
        <v>37912</v>
      </c>
      <c r="AC5817" s="2">
        <v>-1.35998698459706</v>
      </c>
      <c r="AD5817" s="2"/>
      <c r="AE5817" s="2">
        <v>7.59318801573105E-3</v>
      </c>
      <c r="AF5817" s="2">
        <v>999.03502584100602</v>
      </c>
      <c r="AG5817" s="2">
        <v>876.81030768702396</v>
      </c>
      <c r="AH5817" s="5">
        <v>1.13939699052627</v>
      </c>
      <c r="AI5817" s="5">
        <v>0.1882705007555</v>
      </c>
      <c r="AJ5817" s="5" t="s">
        <v>139</v>
      </c>
      <c r="AK5817" s="2">
        <v>0.86784040376524396</v>
      </c>
      <c r="AL5817" s="2">
        <v>0.94267539732074102</v>
      </c>
      <c r="AM5817" s="2">
        <v>8.559877937157E-6</v>
      </c>
      <c r="AN5817" s="2">
        <v>2509.4904640016198</v>
      </c>
      <c r="AO5817" s="2">
        <v>708.83205050173206</v>
      </c>
      <c r="AP5817" s="2">
        <v>8.559877937157E-6</v>
      </c>
      <c r="AQ5817" s="2">
        <v>1617.4366994607899</v>
      </c>
      <c r="AR5817" s="2">
        <v>1158.45092396214</v>
      </c>
      <c r="AS5817" s="2">
        <v>3749.2996874384799</v>
      </c>
      <c r="AT5817" s="2">
        <v>659.71557929616199</v>
      </c>
      <c r="AU5817" s="2">
        <v>8.559877937157E-6</v>
      </c>
      <c r="AV5817" s="2">
        <v>8.559877937157E-6</v>
      </c>
      <c r="AW5817" s="2">
        <v>8.559877937157E-6</v>
      </c>
      <c r="AX5817" s="2">
        <v>851.84655370787004</v>
      </c>
    </row>
    <row r="5818" spans="1:50" x14ac:dyDescent="0.25">
      <c r="A5818" s="2" t="s">
        <v>37913</v>
      </c>
      <c r="B5818" s="2">
        <v>496.20948340735902</v>
      </c>
      <c r="C5818" s="2">
        <v>5.8786333333333296</v>
      </c>
      <c r="D5818" s="2" t="s">
        <v>51</v>
      </c>
      <c r="E5818" s="2" t="s">
        <v>37914</v>
      </c>
      <c r="F5818" s="2">
        <v>289940</v>
      </c>
      <c r="G5818" s="3" t="str">
        <f>HYPERLINK("https://cloud.oebiotech.com/#/lm/network/289940", "https://cloud.oebiotech.com/#/lm/network/289940")</f>
        <v>https://cloud.oebiotech.com/#/lm/network/289940</v>
      </c>
      <c r="H5818" s="2"/>
      <c r="I5818" s="2">
        <v>985345</v>
      </c>
      <c r="J5818" s="2"/>
      <c r="K5818" s="2">
        <v>102329399</v>
      </c>
      <c r="L5818" s="2"/>
      <c r="M5818" s="2"/>
      <c r="N5818" s="2"/>
      <c r="O5818" s="2"/>
      <c r="P5818" s="2"/>
      <c r="Q5818" s="2"/>
      <c r="R5818" s="2"/>
      <c r="S5818" s="2" t="s">
        <v>37915</v>
      </c>
      <c r="T5818" s="2" t="s">
        <v>37916</v>
      </c>
      <c r="U5818" s="2" t="s">
        <v>266</v>
      </c>
      <c r="V5818" s="2" t="s">
        <v>10648</v>
      </c>
      <c r="W5818" s="2" t="s">
        <v>10649</v>
      </c>
      <c r="X5818" s="2" t="s">
        <v>147</v>
      </c>
      <c r="Y5818" s="2">
        <v>38.200000000000003</v>
      </c>
      <c r="Z5818" s="2">
        <v>0</v>
      </c>
      <c r="AA5818" s="2" t="s">
        <v>122</v>
      </c>
      <c r="AB5818" s="2" t="s">
        <v>37917</v>
      </c>
      <c r="AC5818" s="2">
        <v>-0.472935843382634</v>
      </c>
      <c r="AD5818" s="2"/>
      <c r="AE5818" s="2">
        <v>7.5850882093065402E-3</v>
      </c>
      <c r="AF5818" s="2">
        <v>5702.0236196394699</v>
      </c>
      <c r="AG5818" s="2">
        <v>6009.6289642870997</v>
      </c>
      <c r="AH5818" s="4">
        <v>0.948814586312132</v>
      </c>
      <c r="AI5818" s="4">
        <v>-7.5801906000049296E-2</v>
      </c>
      <c r="AJ5818" s="4" t="s">
        <v>62</v>
      </c>
      <c r="AK5818" s="2">
        <v>0.86269105047984396</v>
      </c>
      <c r="AL5818" s="2">
        <v>0.94046947607396802</v>
      </c>
      <c r="AM5818" s="2">
        <v>4908.1274627361599</v>
      </c>
      <c r="AN5818" s="2">
        <v>6422.4656912977198</v>
      </c>
      <c r="AO5818" s="2">
        <v>5684.2747175535396</v>
      </c>
      <c r="AP5818" s="2">
        <v>6341.6590262037498</v>
      </c>
      <c r="AQ5818" s="2">
        <v>6464.7703747318201</v>
      </c>
      <c r="AR5818" s="2">
        <v>4390.84444531383</v>
      </c>
      <c r="AS5818" s="2">
        <v>10084.300157486599</v>
      </c>
      <c r="AT5818" s="2">
        <v>12472.945547122599</v>
      </c>
      <c r="AU5818" s="2">
        <v>3497.8523889974999</v>
      </c>
      <c r="AV5818" s="2">
        <v>3208.1425930157902</v>
      </c>
      <c r="AW5818" s="2">
        <v>3616.2430870122098</v>
      </c>
      <c r="AX5818" s="2">
        <v>3178.2900120879099</v>
      </c>
    </row>
    <row r="5819" spans="1:50" x14ac:dyDescent="0.25">
      <c r="A5819" s="2" t="s">
        <v>37918</v>
      </c>
      <c r="B5819" s="2">
        <v>179.10689235281001</v>
      </c>
      <c r="C5819" s="2">
        <v>6.1954000000000002</v>
      </c>
      <c r="D5819" s="2" t="s">
        <v>51</v>
      </c>
      <c r="E5819" s="2" t="s">
        <v>37919</v>
      </c>
      <c r="F5819" s="2">
        <v>3388</v>
      </c>
      <c r="G5819" s="3" t="str">
        <f>HYPERLINK("https://cloud.oebiotech.com/#/lm/network/3388", "https://cloud.oebiotech.com/#/lm/network/3388")</f>
        <v>https://cloud.oebiotech.com/#/lm/network/3388</v>
      </c>
      <c r="H5819" s="2"/>
      <c r="I5819" s="2"/>
      <c r="J5819" s="2" t="s">
        <v>37920</v>
      </c>
      <c r="K5819" s="2"/>
      <c r="L5819" s="2"/>
      <c r="M5819" s="2"/>
      <c r="N5819" s="2"/>
      <c r="O5819" s="2"/>
      <c r="P5819" s="2"/>
      <c r="Q5819" s="2"/>
      <c r="R5819" s="2"/>
      <c r="S5819" s="2" t="s">
        <v>37921</v>
      </c>
      <c r="T5819" s="2" t="s">
        <v>37922</v>
      </c>
      <c r="U5819" s="2" t="s">
        <v>56</v>
      </c>
      <c r="V5819" s="2" t="s">
        <v>145</v>
      </c>
      <c r="W5819" s="2" t="s">
        <v>146</v>
      </c>
      <c r="X5819" s="2" t="s">
        <v>83</v>
      </c>
      <c r="Y5819" s="2">
        <v>39.6</v>
      </c>
      <c r="Z5819" s="2">
        <v>0</v>
      </c>
      <c r="AA5819" s="2" t="s">
        <v>163</v>
      </c>
      <c r="AB5819" s="2" t="s">
        <v>26796</v>
      </c>
      <c r="AC5819" s="2">
        <v>-4.7800976499588499</v>
      </c>
      <c r="AD5819" s="2"/>
      <c r="AE5819" s="2">
        <v>7.4618835000145401E-3</v>
      </c>
      <c r="AF5819" s="2">
        <v>888.99989836865802</v>
      </c>
      <c r="AG5819" s="2">
        <v>808.83226937696202</v>
      </c>
      <c r="AH5819" s="5">
        <v>1.0991152702814999</v>
      </c>
      <c r="AI5819" s="5">
        <v>0.13634269760905801</v>
      </c>
      <c r="AJ5819" s="5" t="s">
        <v>139</v>
      </c>
      <c r="AK5819" s="2">
        <v>0.82214007670071798</v>
      </c>
      <c r="AL5819" s="2">
        <v>0.92199577547641898</v>
      </c>
      <c r="AM5819" s="2">
        <v>658.95905466652198</v>
      </c>
      <c r="AN5819" s="2">
        <v>1163.39302903113</v>
      </c>
      <c r="AO5819" s="2">
        <v>681.33107444849099</v>
      </c>
      <c r="AP5819" s="2">
        <v>175.42628142697399</v>
      </c>
      <c r="AQ5819" s="2">
        <v>579.88953066690203</v>
      </c>
      <c r="AR5819" s="2">
        <v>2075.0004199719301</v>
      </c>
      <c r="AS5819" s="2">
        <v>1227.4890315692701</v>
      </c>
      <c r="AT5819" s="2">
        <v>367.29283561683599</v>
      </c>
      <c r="AU5819" s="2">
        <v>534.48314265884005</v>
      </c>
      <c r="AV5819" s="2">
        <v>241.12550377314801</v>
      </c>
      <c r="AW5819" s="2">
        <v>1625.7868116014399</v>
      </c>
      <c r="AX5819" s="2">
        <v>856.81629104224101</v>
      </c>
    </row>
    <row r="5820" spans="1:50" x14ac:dyDescent="0.25">
      <c r="A5820" s="2" t="s">
        <v>37923</v>
      </c>
      <c r="B5820" s="2">
        <v>239.103387919623</v>
      </c>
      <c r="C5820" s="2">
        <v>1.6289833333333299</v>
      </c>
      <c r="D5820" s="2" t="s">
        <v>51</v>
      </c>
      <c r="E5820" s="2" t="s">
        <v>37924</v>
      </c>
      <c r="F5820" s="2">
        <v>53880</v>
      </c>
      <c r="G5820" s="3" t="str">
        <f>HYPERLINK("https://cloud.oebiotech.com/#/lm/network/53880", "https://cloud.oebiotech.com/#/lm/network/53880")</f>
        <v>https://cloud.oebiotech.com/#/lm/network/53880</v>
      </c>
      <c r="H5820" s="2" t="s">
        <v>37925</v>
      </c>
      <c r="I5820" s="2">
        <v>85762</v>
      </c>
      <c r="J5820" s="2"/>
      <c r="K5820" s="2">
        <v>92829</v>
      </c>
      <c r="L5820" s="2"/>
      <c r="M5820" s="2"/>
      <c r="N5820" s="2"/>
      <c r="O5820" s="2">
        <v>73517</v>
      </c>
      <c r="P5820" s="2"/>
      <c r="Q5820" s="2"/>
      <c r="R5820" s="2" t="s">
        <v>37926</v>
      </c>
      <c r="S5820" s="2" t="s">
        <v>37927</v>
      </c>
      <c r="T5820" s="2" t="s">
        <v>37928</v>
      </c>
      <c r="U5820" s="2" t="s">
        <v>103</v>
      </c>
      <c r="V5820" s="2" t="s">
        <v>104</v>
      </c>
      <c r="W5820" s="2" t="s">
        <v>105</v>
      </c>
      <c r="X5820" s="2" t="s">
        <v>59</v>
      </c>
      <c r="Y5820" s="2">
        <v>47</v>
      </c>
      <c r="Z5820" s="2">
        <v>45.9</v>
      </c>
      <c r="AA5820" s="2" t="s">
        <v>259</v>
      </c>
      <c r="AB5820" s="2" t="s">
        <v>17856</v>
      </c>
      <c r="AC5820" s="2">
        <v>3.1691117917798</v>
      </c>
      <c r="AD5820" s="2"/>
      <c r="AE5820" s="2">
        <v>7.4472272851488497E-3</v>
      </c>
      <c r="AF5820" s="2">
        <v>2456.4638952053301</v>
      </c>
      <c r="AG5820" s="2">
        <v>2686.1856814285602</v>
      </c>
      <c r="AH5820" s="4">
        <v>0.91448030275365899</v>
      </c>
      <c r="AI5820" s="4">
        <v>-0.128975999189648</v>
      </c>
      <c r="AJ5820" s="4" t="s">
        <v>62</v>
      </c>
      <c r="AK5820" s="2">
        <v>0.79897600108530598</v>
      </c>
      <c r="AL5820" s="2">
        <v>0.90954932814260703</v>
      </c>
      <c r="AM5820" s="2">
        <v>3538.2109778101499</v>
      </c>
      <c r="AN5820" s="2">
        <v>304.87339684244301</v>
      </c>
      <c r="AO5820" s="2">
        <v>2215.49732469729</v>
      </c>
      <c r="AP5820" s="2">
        <v>2380.8041114253701</v>
      </c>
      <c r="AQ5820" s="2">
        <v>2614.40408731856</v>
      </c>
      <c r="AR5820" s="2">
        <v>3684.99347313819</v>
      </c>
      <c r="AS5820" s="2">
        <v>264.596135197845</v>
      </c>
      <c r="AT5820" s="2">
        <v>5596.2491562834402</v>
      </c>
      <c r="AU5820" s="2">
        <v>2058.91359074001</v>
      </c>
      <c r="AV5820" s="2">
        <v>1995.2026444728899</v>
      </c>
      <c r="AW5820" s="2">
        <v>2786.9129349749701</v>
      </c>
      <c r="AX5820" s="2">
        <v>3415.2396269022101</v>
      </c>
    </row>
    <row r="5821" spans="1:50" x14ac:dyDescent="0.25">
      <c r="A5821" s="2" t="s">
        <v>37929</v>
      </c>
      <c r="B5821" s="2">
        <v>307.16619666836101</v>
      </c>
      <c r="C5821" s="2">
        <v>4.8730833333333301</v>
      </c>
      <c r="D5821" s="2" t="s">
        <v>51</v>
      </c>
      <c r="E5821" s="2" t="s">
        <v>37930</v>
      </c>
      <c r="F5821" s="2">
        <v>209690</v>
      </c>
      <c r="G5821" s="3" t="str">
        <f>HYPERLINK("https://cloud.oebiotech.com/#/lm/network/209690", "https://cloud.oebiotech.com/#/lm/network/209690")</f>
        <v>https://cloud.oebiotech.com/#/lm/network/209690</v>
      </c>
      <c r="H5821" s="2" t="s">
        <v>37931</v>
      </c>
      <c r="I5821" s="2"/>
      <c r="J5821" s="2"/>
      <c r="K5821" s="2">
        <v>10424253</v>
      </c>
      <c r="L5821" s="2"/>
      <c r="M5821" s="2"/>
      <c r="N5821" s="2"/>
      <c r="O5821" s="2"/>
      <c r="P5821" s="2"/>
      <c r="Q5821" s="2"/>
      <c r="R5821" s="2"/>
      <c r="S5821" s="2" t="s">
        <v>37932</v>
      </c>
      <c r="T5821" s="2" t="s">
        <v>37933</v>
      </c>
      <c r="U5821" s="2" t="s">
        <v>103</v>
      </c>
      <c r="V5821" s="2" t="s">
        <v>377</v>
      </c>
      <c r="W5821" s="2" t="s">
        <v>7726</v>
      </c>
      <c r="X5821" s="2" t="s">
        <v>69</v>
      </c>
      <c r="Y5821" s="2">
        <v>64.7</v>
      </c>
      <c r="Z5821" s="2">
        <v>61.2</v>
      </c>
      <c r="AA5821" s="2" t="s">
        <v>512</v>
      </c>
      <c r="AB5821" s="2" t="s">
        <v>37934</v>
      </c>
      <c r="AC5821" s="2">
        <v>3.3308245448896501</v>
      </c>
      <c r="AD5821" s="2"/>
      <c r="AE5821" s="2">
        <v>7.4122329908063297E-3</v>
      </c>
      <c r="AF5821" s="2">
        <v>5803.7774931233298</v>
      </c>
      <c r="AG5821" s="2">
        <v>4623.4399163707403</v>
      </c>
      <c r="AH5821" s="5">
        <v>1.2552942393764499</v>
      </c>
      <c r="AI5821" s="5">
        <v>0.32802556970153901</v>
      </c>
      <c r="AJ5821" s="5" t="s">
        <v>139</v>
      </c>
      <c r="AK5821" s="2">
        <v>0.73536422866306195</v>
      </c>
      <c r="AL5821" s="2">
        <v>0.87826542457706702</v>
      </c>
      <c r="AM5821" s="2">
        <v>475.92853063696202</v>
      </c>
      <c r="AN5821" s="2">
        <v>993.40006829116703</v>
      </c>
      <c r="AO5821" s="2">
        <v>3837.8919948601101</v>
      </c>
      <c r="AP5821" s="2">
        <v>2555.6826145888399</v>
      </c>
      <c r="AQ5821" s="2">
        <v>21076.777014161598</v>
      </c>
      <c r="AR5821" s="2">
        <v>5882.9847362012997</v>
      </c>
      <c r="AS5821" s="2">
        <v>3803.2580950861902</v>
      </c>
      <c r="AT5821" s="2">
        <v>2138.1064154403298</v>
      </c>
      <c r="AU5821" s="2">
        <v>1306.6470248073199</v>
      </c>
      <c r="AV5821" s="2">
        <v>9069.6312167619399</v>
      </c>
      <c r="AW5821" s="2">
        <v>7551.4478786856198</v>
      </c>
      <c r="AX5821" s="2">
        <v>3871.5488674430399</v>
      </c>
    </row>
    <row r="5822" spans="1:50" x14ac:dyDescent="0.25">
      <c r="A5822" s="2" t="s">
        <v>37935</v>
      </c>
      <c r="B5822" s="2">
        <v>532.329751059464</v>
      </c>
      <c r="C5822" s="2">
        <v>10.09835</v>
      </c>
      <c r="D5822" s="2" t="s">
        <v>51</v>
      </c>
      <c r="E5822" s="2" t="s">
        <v>37936</v>
      </c>
      <c r="F5822" s="2">
        <v>198160</v>
      </c>
      <c r="G5822" s="3" t="str">
        <f>HYPERLINK("https://cloud.oebiotech.com/#/lm/network/198160", "https://cloud.oebiotech.com/#/lm/network/198160")</f>
        <v>https://cloud.oebiotech.com/#/lm/network/198160</v>
      </c>
      <c r="H5822" s="2" t="s">
        <v>37937</v>
      </c>
      <c r="I5822" s="2"/>
      <c r="J5822" s="2"/>
      <c r="K5822" s="2"/>
      <c r="L5822" s="2"/>
      <c r="M5822" s="2"/>
      <c r="N5822" s="2"/>
      <c r="O5822" s="2"/>
      <c r="P5822" s="2"/>
      <c r="Q5822" s="2"/>
      <c r="R5822" s="2"/>
      <c r="S5822" s="2" t="s">
        <v>37938</v>
      </c>
      <c r="T5822" s="2" t="s">
        <v>37939</v>
      </c>
      <c r="U5822" s="2" t="s">
        <v>56</v>
      </c>
      <c r="V5822" s="2" t="s">
        <v>145</v>
      </c>
      <c r="W5822" s="2" t="s">
        <v>1188</v>
      </c>
      <c r="X5822" s="2" t="s">
        <v>83</v>
      </c>
      <c r="Y5822" s="2">
        <v>38.5</v>
      </c>
      <c r="Z5822" s="2">
        <v>0</v>
      </c>
      <c r="AA5822" s="2" t="s">
        <v>218</v>
      </c>
      <c r="AB5822" s="2" t="s">
        <v>37940</v>
      </c>
      <c r="AC5822" s="2">
        <v>3.6415663691775699</v>
      </c>
      <c r="AD5822" s="2"/>
      <c r="AE5822" s="2">
        <v>7.3401606072745302E-3</v>
      </c>
      <c r="AF5822" s="2">
        <v>2746.6113790443901</v>
      </c>
      <c r="AG5822" s="2">
        <v>2676.8067092322399</v>
      </c>
      <c r="AH5822" s="5">
        <v>1.0260775907245701</v>
      </c>
      <c r="AI5822" s="5">
        <v>3.7139829893388203E-2</v>
      </c>
      <c r="AJ5822" s="5" t="s">
        <v>139</v>
      </c>
      <c r="AK5822" s="2">
        <v>0.85176604349192897</v>
      </c>
      <c r="AL5822" s="2">
        <v>0.93439301556015897</v>
      </c>
      <c r="AM5822" s="2">
        <v>1869.5836707312801</v>
      </c>
      <c r="AN5822" s="2">
        <v>2766.60910591013</v>
      </c>
      <c r="AO5822" s="2">
        <v>3030.83047495251</v>
      </c>
      <c r="AP5822" s="2">
        <v>2812.5033102331599</v>
      </c>
      <c r="AQ5822" s="2">
        <v>3437.0264276646599</v>
      </c>
      <c r="AR5822" s="2">
        <v>2563.1152847745898</v>
      </c>
      <c r="AS5822" s="2">
        <v>2726.9587814090401</v>
      </c>
      <c r="AT5822" s="2">
        <v>3152.7641029319998</v>
      </c>
      <c r="AU5822" s="2">
        <v>1494.61117502203</v>
      </c>
      <c r="AV5822" s="2">
        <v>2836.4622866316299</v>
      </c>
      <c r="AW5822" s="2">
        <v>2278.94180149574</v>
      </c>
      <c r="AX5822" s="2">
        <v>3571.1021079030002</v>
      </c>
    </row>
    <row r="5823" spans="1:50" x14ac:dyDescent="0.25">
      <c r="A5823" s="2" t="s">
        <v>37941</v>
      </c>
      <c r="B5823" s="2">
        <v>425.14544487596902</v>
      </c>
      <c r="C5823" s="2">
        <v>4.9626666666666699</v>
      </c>
      <c r="D5823" s="2" t="s">
        <v>51</v>
      </c>
      <c r="E5823" s="2" t="s">
        <v>37942</v>
      </c>
      <c r="F5823" s="2">
        <v>61837</v>
      </c>
      <c r="G5823" s="3" t="str">
        <f>HYPERLINK("https://cloud.oebiotech.com/#/lm/network/61837", "https://cloud.oebiotech.com/#/lm/network/61837")</f>
        <v>https://cloud.oebiotech.com/#/lm/network/61837</v>
      </c>
      <c r="H5823" s="2" t="s">
        <v>37943</v>
      </c>
      <c r="I5823" s="2">
        <v>93141</v>
      </c>
      <c r="J5823" s="2"/>
      <c r="K5823" s="2">
        <v>101663489</v>
      </c>
      <c r="L5823" s="2"/>
      <c r="M5823" s="2"/>
      <c r="N5823" s="2"/>
      <c r="O5823" s="2"/>
      <c r="P5823" s="2"/>
      <c r="Q5823" s="2"/>
      <c r="R5823" s="2" t="s">
        <v>37944</v>
      </c>
      <c r="S5823" s="2" t="s">
        <v>37945</v>
      </c>
      <c r="T5823" s="2" t="s">
        <v>37946</v>
      </c>
      <c r="U5823" s="2" t="s">
        <v>56</v>
      </c>
      <c r="V5823" s="2" t="s">
        <v>177</v>
      </c>
      <c r="W5823" s="2" t="s">
        <v>178</v>
      </c>
      <c r="X5823" s="2" t="s">
        <v>83</v>
      </c>
      <c r="Y5823" s="2">
        <v>45.6</v>
      </c>
      <c r="Z5823" s="2">
        <v>0</v>
      </c>
      <c r="AA5823" s="2" t="s">
        <v>218</v>
      </c>
      <c r="AB5823" s="2" t="s">
        <v>37947</v>
      </c>
      <c r="AC5823" s="2">
        <v>0.326925559317847</v>
      </c>
      <c r="AD5823" s="2"/>
      <c r="AE5823" s="2">
        <v>7.3117490018599803E-3</v>
      </c>
      <c r="AF5823" s="2">
        <v>1387.65178536349</v>
      </c>
      <c r="AG5823" s="2">
        <v>1300.4945499600799</v>
      </c>
      <c r="AH5823" s="5">
        <v>1.0670185318393599</v>
      </c>
      <c r="AI5823" s="5">
        <v>9.3585232920135306E-2</v>
      </c>
      <c r="AJ5823" s="5" t="s">
        <v>139</v>
      </c>
      <c r="AK5823" s="2">
        <v>0.89205951763340297</v>
      </c>
      <c r="AL5823" s="2">
        <v>0.95409067847045803</v>
      </c>
      <c r="AM5823" s="2">
        <v>738.97497582465996</v>
      </c>
      <c r="AN5823" s="2">
        <v>1967.79111440624</v>
      </c>
      <c r="AO5823" s="2">
        <v>643.65441297151904</v>
      </c>
      <c r="AP5823" s="2">
        <v>776.76336982157898</v>
      </c>
      <c r="AQ5823" s="2">
        <v>749.384036043386</v>
      </c>
      <c r="AR5823" s="2">
        <v>3449.34280311358</v>
      </c>
      <c r="AS5823" s="2">
        <v>1167.0144173472299</v>
      </c>
      <c r="AT5823" s="2">
        <v>406.82506003945002</v>
      </c>
      <c r="AU5823" s="2">
        <v>1219.17750644691</v>
      </c>
      <c r="AV5823" s="2">
        <v>1224.5551104138799</v>
      </c>
      <c r="AW5823" s="2">
        <v>3287.2837812429698</v>
      </c>
      <c r="AX5823" s="2">
        <v>498.11142427004103</v>
      </c>
    </row>
    <row r="5824" spans="1:50" x14ac:dyDescent="0.25">
      <c r="A5824" s="2" t="s">
        <v>37948</v>
      </c>
      <c r="B5824" s="2">
        <v>193.15924097745699</v>
      </c>
      <c r="C5824" s="2">
        <v>10.7136833333333</v>
      </c>
      <c r="D5824" s="2" t="s">
        <v>51</v>
      </c>
      <c r="E5824" s="2" t="s">
        <v>37949</v>
      </c>
      <c r="F5824" s="2">
        <v>58662</v>
      </c>
      <c r="G5824" s="3" t="str">
        <f>HYPERLINK("https://cloud.oebiotech.com/#/lm/network/58662", "https://cloud.oebiotech.com/#/lm/network/58662")</f>
        <v>https://cloud.oebiotech.com/#/lm/network/58662</v>
      </c>
      <c r="H5824" s="2" t="s">
        <v>37950</v>
      </c>
      <c r="I5824" s="2">
        <v>90125</v>
      </c>
      <c r="J5824" s="2"/>
      <c r="K5824" s="2">
        <v>14109911</v>
      </c>
      <c r="L5824" s="2"/>
      <c r="M5824" s="2"/>
      <c r="N5824" s="2"/>
      <c r="O5824" s="2"/>
      <c r="P5824" s="2"/>
      <c r="Q5824" s="2"/>
      <c r="R5824" s="2" t="s">
        <v>37951</v>
      </c>
      <c r="S5824" s="2" t="s">
        <v>37952</v>
      </c>
      <c r="T5824" s="2" t="s">
        <v>37953</v>
      </c>
      <c r="U5824" s="2" t="s">
        <v>331</v>
      </c>
      <c r="V5824" s="2" t="s">
        <v>332</v>
      </c>
      <c r="W5824" s="2" t="s">
        <v>1207</v>
      </c>
      <c r="X5824" s="2" t="s">
        <v>83</v>
      </c>
      <c r="Y5824" s="2">
        <v>54.8</v>
      </c>
      <c r="Z5824" s="2">
        <v>0</v>
      </c>
      <c r="AA5824" s="2" t="s">
        <v>259</v>
      </c>
      <c r="AB5824" s="2" t="s">
        <v>7957</v>
      </c>
      <c r="AC5824" s="2">
        <v>2.8586024014737399</v>
      </c>
      <c r="AD5824" s="2"/>
      <c r="AE5824" s="2">
        <v>7.2222907981444404E-3</v>
      </c>
      <c r="AF5824" s="2">
        <v>4260.0865778883099</v>
      </c>
      <c r="AG5824" s="2">
        <v>4222.4628299594497</v>
      </c>
      <c r="AH5824" s="5">
        <v>1.00891037990007</v>
      </c>
      <c r="AI5824" s="5">
        <v>1.27980275502296E-2</v>
      </c>
      <c r="AJ5824" s="5" t="s">
        <v>139</v>
      </c>
      <c r="AK5824" s="2">
        <v>0.95779727570393902</v>
      </c>
      <c r="AL5824" s="2">
        <v>0.98245377088014596</v>
      </c>
      <c r="AM5824" s="2">
        <v>4540.0087387861304</v>
      </c>
      <c r="AN5824" s="2">
        <v>4501.8145800911898</v>
      </c>
      <c r="AO5824" s="2">
        <v>3419.4249662657498</v>
      </c>
      <c r="AP5824" s="2">
        <v>4163.5618757905004</v>
      </c>
      <c r="AQ5824" s="2">
        <v>2564.30242694239</v>
      </c>
      <c r="AR5824" s="2">
        <v>6371.4068794538898</v>
      </c>
      <c r="AS5824" s="2">
        <v>3311.6509856544299</v>
      </c>
      <c r="AT5824" s="2">
        <v>2885.3156511843099</v>
      </c>
      <c r="AU5824" s="2">
        <v>4220.0703437981501</v>
      </c>
      <c r="AV5824" s="2">
        <v>4772.6228438792205</v>
      </c>
      <c r="AW5824" s="2">
        <v>4104.9202545815697</v>
      </c>
      <c r="AX5824" s="2">
        <v>6040.1969006589898</v>
      </c>
    </row>
    <row r="5825" spans="1:50" x14ac:dyDescent="0.25">
      <c r="A5825" s="2" t="s">
        <v>37954</v>
      </c>
      <c r="B5825" s="2">
        <v>283.10865755034803</v>
      </c>
      <c r="C5825" s="2">
        <v>5.0177166666666704</v>
      </c>
      <c r="D5825" s="2" t="s">
        <v>51</v>
      </c>
      <c r="E5825" s="2" t="s">
        <v>37955</v>
      </c>
      <c r="F5825" s="2">
        <v>293792</v>
      </c>
      <c r="G5825" s="3" t="str">
        <f>HYPERLINK("https://cloud.oebiotech.com/#/lm/network/293792", "https://cloud.oebiotech.com/#/lm/network/293792")</f>
        <v>https://cloud.oebiotech.com/#/lm/network/293792</v>
      </c>
      <c r="H5825" s="2"/>
      <c r="I5825" s="2">
        <v>317748</v>
      </c>
      <c r="J5825" s="2"/>
      <c r="K5825" s="2">
        <v>153939</v>
      </c>
      <c r="L5825" s="2"/>
      <c r="M5825" s="2"/>
      <c r="N5825" s="2"/>
      <c r="O5825" s="2"/>
      <c r="P5825" s="2"/>
      <c r="Q5825" s="2"/>
      <c r="R5825" s="2"/>
      <c r="S5825" s="2" t="s">
        <v>37956</v>
      </c>
      <c r="T5825" s="2" t="s">
        <v>37957</v>
      </c>
      <c r="U5825" s="2" t="s">
        <v>266</v>
      </c>
      <c r="V5825" s="2" t="s">
        <v>22669</v>
      </c>
      <c r="W5825" s="2" t="s">
        <v>240</v>
      </c>
      <c r="X5825" s="2" t="s">
        <v>147</v>
      </c>
      <c r="Y5825" s="2">
        <v>38.799999999999997</v>
      </c>
      <c r="Z5825" s="2">
        <v>0</v>
      </c>
      <c r="AA5825" s="2" t="s">
        <v>156</v>
      </c>
      <c r="AB5825" s="2" t="s">
        <v>20007</v>
      </c>
      <c r="AC5825" s="2">
        <v>3.1281737948764898</v>
      </c>
      <c r="AD5825" s="2"/>
      <c r="AE5825" s="2">
        <v>7.2011052372615196E-3</v>
      </c>
      <c r="AF5825" s="2">
        <v>1378.9301091596701</v>
      </c>
      <c r="AG5825" s="2">
        <v>1352.59487721204</v>
      </c>
      <c r="AH5825" s="5">
        <v>1.0194701550267</v>
      </c>
      <c r="AI5825" s="5">
        <v>2.78195410973054E-2</v>
      </c>
      <c r="AJ5825" s="5" t="s">
        <v>139</v>
      </c>
      <c r="AK5825" s="2">
        <v>0.95486343453658995</v>
      </c>
      <c r="AL5825" s="2">
        <v>0.98147926088014803</v>
      </c>
      <c r="AM5825" s="2">
        <v>1315.77120214142</v>
      </c>
      <c r="AN5825" s="2">
        <v>2563.6550198078698</v>
      </c>
      <c r="AO5825" s="2">
        <v>1130.33916051238</v>
      </c>
      <c r="AP5825" s="2">
        <v>1280.1293072512501</v>
      </c>
      <c r="AQ5825" s="2">
        <v>998.96335839556002</v>
      </c>
      <c r="AR5825" s="2">
        <v>984.72260684955904</v>
      </c>
      <c r="AS5825" s="2">
        <v>3228.2433449228301</v>
      </c>
      <c r="AT5825" s="2">
        <v>1161.78137091997</v>
      </c>
      <c r="AU5825" s="2">
        <v>1115.1309376245099</v>
      </c>
      <c r="AV5825" s="2">
        <v>689.12029560991698</v>
      </c>
      <c r="AW5825" s="2">
        <v>1102.3716673481199</v>
      </c>
      <c r="AX5825" s="2">
        <v>818.921646846866</v>
      </c>
    </row>
    <row r="5826" spans="1:50" x14ac:dyDescent="0.25">
      <c r="A5826" s="2" t="s">
        <v>37958</v>
      </c>
      <c r="B5826" s="2">
        <v>131.05500000000001</v>
      </c>
      <c r="C5826" s="2">
        <v>23.853999999999999</v>
      </c>
      <c r="D5826" s="2" t="s">
        <v>125</v>
      </c>
      <c r="E5826" s="2" t="s">
        <v>37959</v>
      </c>
      <c r="F5826" s="2">
        <v>593</v>
      </c>
      <c r="G5826" s="3" t="str">
        <f>HYPERLINK("https://cloud.oebiotech.com/#/lm/network/593", "https://cloud.oebiotech.com/#/lm/network/593")</f>
        <v>https://cloud.oebiotech.com/#/lm/network/593</v>
      </c>
      <c r="H5826" s="2" t="s">
        <v>37960</v>
      </c>
      <c r="I5826" s="2">
        <v>3554</v>
      </c>
      <c r="J5826" s="2" t="s">
        <v>37961</v>
      </c>
      <c r="K5826" s="2">
        <v>5282768</v>
      </c>
      <c r="L5826" s="2" t="s">
        <v>37962</v>
      </c>
      <c r="M5826" s="2" t="s">
        <v>3305</v>
      </c>
      <c r="N5826" s="2" t="s">
        <v>3306</v>
      </c>
      <c r="O5826" s="2">
        <v>32425</v>
      </c>
      <c r="P5826" s="2"/>
      <c r="Q5826" s="2"/>
      <c r="R5826" s="2" t="s">
        <v>37963</v>
      </c>
      <c r="S5826" s="2" t="s">
        <v>37964</v>
      </c>
      <c r="T5826" s="2" t="s">
        <v>37965</v>
      </c>
      <c r="U5826" s="2" t="s">
        <v>56</v>
      </c>
      <c r="V5826" s="2" t="s">
        <v>145</v>
      </c>
      <c r="W5826" s="2" t="s">
        <v>231</v>
      </c>
      <c r="X5826" s="2" t="s">
        <v>69</v>
      </c>
      <c r="Y5826" s="2">
        <v>91.4</v>
      </c>
      <c r="Z5826" s="2">
        <v>88.5</v>
      </c>
      <c r="AA5826" s="2"/>
      <c r="AB5826" s="2" t="s">
        <v>37966</v>
      </c>
      <c r="AC5826" s="2"/>
      <c r="AD5826" s="2">
        <v>849907.67123287695</v>
      </c>
      <c r="AE5826" s="2">
        <v>7.0876239759267096E-3</v>
      </c>
      <c r="AF5826" s="2">
        <v>17867.911216952201</v>
      </c>
      <c r="AG5826" s="2">
        <v>14929.884534009399</v>
      </c>
      <c r="AH5826" s="5">
        <v>1.19678830578027</v>
      </c>
      <c r="AI5826" s="5">
        <v>0.25916798335018998</v>
      </c>
      <c r="AJ5826" s="5" t="s">
        <v>139</v>
      </c>
      <c r="AK5826" s="2">
        <v>0.79342493512094703</v>
      </c>
      <c r="AL5826" s="2">
        <v>0.90902428402413304</v>
      </c>
      <c r="AM5826" s="2">
        <v>2299.8352172700202</v>
      </c>
      <c r="AN5826" s="2">
        <v>2299.8352172700202</v>
      </c>
      <c r="AO5826" s="2">
        <v>59416.8854349635</v>
      </c>
      <c r="AP5826" s="2">
        <v>2299.8352172700202</v>
      </c>
      <c r="AQ5826" s="2">
        <v>38591.240997669804</v>
      </c>
      <c r="AR5826" s="2">
        <v>2299.8352172700202</v>
      </c>
      <c r="AS5826" s="2">
        <v>29584.767557497598</v>
      </c>
      <c r="AT5826" s="2">
        <v>11798.329275014399</v>
      </c>
      <c r="AU5826" s="2">
        <v>20945.404890603601</v>
      </c>
      <c r="AV5826" s="2">
        <v>9149.97303375513</v>
      </c>
      <c r="AW5826" s="2">
        <v>2299.8352172700202</v>
      </c>
      <c r="AX5826" s="2">
        <v>15800.9972299158</v>
      </c>
    </row>
    <row r="5827" spans="1:50" x14ac:dyDescent="0.25">
      <c r="A5827" s="2" t="s">
        <v>37967</v>
      </c>
      <c r="B5827" s="2">
        <v>491.37477196570399</v>
      </c>
      <c r="C5827" s="2">
        <v>12.708216666666701</v>
      </c>
      <c r="D5827" s="2" t="s">
        <v>51</v>
      </c>
      <c r="E5827" s="2" t="s">
        <v>37968</v>
      </c>
      <c r="F5827" s="2">
        <v>44291</v>
      </c>
      <c r="G5827" s="3" t="str">
        <f>HYPERLINK("https://cloud.oebiotech.com/#/lm/network/44291", "https://cloud.oebiotech.com/#/lm/network/44291")</f>
        <v>https://cloud.oebiotech.com/#/lm/network/44291</v>
      </c>
      <c r="H5827" s="2"/>
      <c r="I5827" s="2">
        <v>84124</v>
      </c>
      <c r="J5827" s="2" t="s">
        <v>37969</v>
      </c>
      <c r="K5827" s="2">
        <v>25208133</v>
      </c>
      <c r="L5827" s="2"/>
      <c r="M5827" s="2"/>
      <c r="N5827" s="2"/>
      <c r="O5827" s="2"/>
      <c r="P5827" s="2"/>
      <c r="Q5827" s="2"/>
      <c r="R5827" s="2"/>
      <c r="S5827" s="2" t="s">
        <v>37970</v>
      </c>
      <c r="T5827" s="2" t="s">
        <v>37971</v>
      </c>
      <c r="U5827" s="2" t="s">
        <v>56</v>
      </c>
      <c r="V5827" s="2" t="s">
        <v>283</v>
      </c>
      <c r="W5827" s="2" t="s">
        <v>10738</v>
      </c>
      <c r="X5827" s="2" t="s">
        <v>83</v>
      </c>
      <c r="Y5827" s="2">
        <v>41.3</v>
      </c>
      <c r="Z5827" s="2">
        <v>0</v>
      </c>
      <c r="AA5827" s="2" t="s">
        <v>218</v>
      </c>
      <c r="AB5827" s="2" t="s">
        <v>13447</v>
      </c>
      <c r="AC5827" s="2">
        <v>1.28509043913356</v>
      </c>
      <c r="AD5827" s="2"/>
      <c r="AE5827" s="2">
        <v>7.0832366607918498E-3</v>
      </c>
      <c r="AF5827" s="2">
        <v>30633.970028350199</v>
      </c>
      <c r="AG5827" s="2">
        <v>30575.0358381804</v>
      </c>
      <c r="AH5827" s="5">
        <v>1.00192752644614</v>
      </c>
      <c r="AI5827" s="5">
        <v>2.778156219562E-3</v>
      </c>
      <c r="AJ5827" s="5" t="s">
        <v>139</v>
      </c>
      <c r="AK5827" s="2">
        <v>0.99247758070641301</v>
      </c>
      <c r="AL5827" s="2">
        <v>0.99633740220730105</v>
      </c>
      <c r="AM5827" s="2">
        <v>22115.9293925647</v>
      </c>
      <c r="AN5827" s="2">
        <v>29667.2948792487</v>
      </c>
      <c r="AO5827" s="2">
        <v>38051.340684167299</v>
      </c>
      <c r="AP5827" s="2">
        <v>46935.4612169131</v>
      </c>
      <c r="AQ5827" s="2">
        <v>27042.466470628999</v>
      </c>
      <c r="AR5827" s="2">
        <v>19991.327526578101</v>
      </c>
      <c r="AS5827" s="2">
        <v>26206.0173779861</v>
      </c>
      <c r="AT5827" s="2">
        <v>35104.236871521302</v>
      </c>
      <c r="AU5827" s="2">
        <v>37894.475219036001</v>
      </c>
      <c r="AV5827" s="2">
        <v>10147.662805469299</v>
      </c>
      <c r="AW5827" s="2">
        <v>36576.659749259299</v>
      </c>
      <c r="AX5827" s="2">
        <v>37521.163005810296</v>
      </c>
    </row>
    <row r="5828" spans="1:50" x14ac:dyDescent="0.25">
      <c r="A5828" s="2" t="s">
        <v>37972</v>
      </c>
      <c r="B5828" s="2">
        <v>107.049760066909</v>
      </c>
      <c r="C5828" s="2">
        <v>2.0634666666666699</v>
      </c>
      <c r="D5828" s="2" t="s">
        <v>51</v>
      </c>
      <c r="E5828" s="2" t="s">
        <v>37973</v>
      </c>
      <c r="F5828" s="2">
        <v>48673</v>
      </c>
      <c r="G5828" s="3" t="str">
        <f>HYPERLINK("https://cloud.oebiotech.com/#/lm/network/48673", "https://cloud.oebiotech.com/#/lm/network/48673")</f>
        <v>https://cloud.oebiotech.com/#/lm/network/48673</v>
      </c>
      <c r="H5828" s="2" t="s">
        <v>37974</v>
      </c>
      <c r="I5828" s="2">
        <v>58358</v>
      </c>
      <c r="J5828" s="2"/>
      <c r="K5828" s="2">
        <v>240</v>
      </c>
      <c r="L5828" s="2" t="s">
        <v>37975</v>
      </c>
      <c r="M5828" s="2"/>
      <c r="N5828" s="2"/>
      <c r="O5828" s="2">
        <v>17169</v>
      </c>
      <c r="P5828" s="2" t="s">
        <v>18203</v>
      </c>
      <c r="Q5828" s="2" t="s">
        <v>18204</v>
      </c>
      <c r="R5828" s="2" t="s">
        <v>37976</v>
      </c>
      <c r="S5828" s="2" t="s">
        <v>37977</v>
      </c>
      <c r="T5828" s="2" t="s">
        <v>37978</v>
      </c>
      <c r="U5828" s="2" t="s">
        <v>610</v>
      </c>
      <c r="V5828" s="2" t="s">
        <v>611</v>
      </c>
      <c r="W5828" s="2" t="s">
        <v>14667</v>
      </c>
      <c r="X5828" s="2" t="s">
        <v>69</v>
      </c>
      <c r="Y5828" s="2">
        <v>50.5</v>
      </c>
      <c r="Z5828" s="2">
        <v>55</v>
      </c>
      <c r="AA5828" s="2" t="s">
        <v>259</v>
      </c>
      <c r="AB5828" s="2" t="s">
        <v>37979</v>
      </c>
      <c r="AC5828" s="2">
        <v>5.8356473646056299</v>
      </c>
      <c r="AD5828" s="2"/>
      <c r="AE5828" s="2">
        <v>7.0554822942585802E-3</v>
      </c>
      <c r="AF5828" s="2">
        <v>16611.942533069901</v>
      </c>
      <c r="AG5828" s="2">
        <v>16665.680249967601</v>
      </c>
      <c r="AH5828" s="4">
        <v>0.99677554614683095</v>
      </c>
      <c r="AI5828" s="4">
        <v>-4.6594196689559901E-3</v>
      </c>
      <c r="AJ5828" s="4" t="s">
        <v>62</v>
      </c>
      <c r="AK5828" s="2">
        <v>0.97836230796579404</v>
      </c>
      <c r="AL5828" s="2">
        <v>0.99107196550940102</v>
      </c>
      <c r="AM5828" s="2">
        <v>17511.362125131101</v>
      </c>
      <c r="AN5828" s="2">
        <v>17070.860532788702</v>
      </c>
      <c r="AO5828" s="2">
        <v>13213.6446619379</v>
      </c>
      <c r="AP5828" s="2">
        <v>21158.672256405502</v>
      </c>
      <c r="AQ5828" s="2">
        <v>18690.362839958099</v>
      </c>
      <c r="AR5828" s="2">
        <v>12026.7527821979</v>
      </c>
      <c r="AS5828" s="2">
        <v>14665.934894460401</v>
      </c>
      <c r="AT5828" s="2">
        <v>16491.613203568399</v>
      </c>
      <c r="AU5828" s="2">
        <v>17722.4935388593</v>
      </c>
      <c r="AV5828" s="2">
        <v>13066.6593280323</v>
      </c>
      <c r="AW5828" s="2">
        <v>15543.2920936676</v>
      </c>
      <c r="AX5828" s="2">
        <v>22504.088441217398</v>
      </c>
    </row>
    <row r="5829" spans="1:50" x14ac:dyDescent="0.25">
      <c r="A5829" s="2" t="s">
        <v>37980</v>
      </c>
      <c r="B5829" s="2">
        <v>295.077</v>
      </c>
      <c r="C5829" s="2">
        <v>18.202999999999999</v>
      </c>
      <c r="D5829" s="2" t="s">
        <v>125</v>
      </c>
      <c r="E5829" s="2" t="s">
        <v>37981</v>
      </c>
      <c r="F5829" s="2">
        <v>47939</v>
      </c>
      <c r="G5829" s="3" t="str">
        <f>HYPERLINK("https://cloud.oebiotech.com/#/lm/network/47939", "https://cloud.oebiotech.com/#/lm/network/47939")</f>
        <v>https://cloud.oebiotech.com/#/lm/network/47939</v>
      </c>
      <c r="H5829" s="2" t="s">
        <v>37982</v>
      </c>
      <c r="I5829" s="2">
        <v>6676</v>
      </c>
      <c r="J5829" s="2"/>
      <c r="K5829" s="2">
        <v>7489</v>
      </c>
      <c r="L5829" s="2" t="s">
        <v>37983</v>
      </c>
      <c r="M5829" s="2"/>
      <c r="N5829" s="2"/>
      <c r="O5829" s="2">
        <v>15702</v>
      </c>
      <c r="P5829" s="2"/>
      <c r="Q5829" s="2"/>
      <c r="R5829" s="2" t="s">
        <v>37984</v>
      </c>
      <c r="S5829" s="2" t="s">
        <v>37985</v>
      </c>
      <c r="T5829" s="2" t="s">
        <v>37986</v>
      </c>
      <c r="U5829" s="2" t="s">
        <v>610</v>
      </c>
      <c r="V5829" s="2" t="s">
        <v>611</v>
      </c>
      <c r="W5829" s="2" t="s">
        <v>1122</v>
      </c>
      <c r="X5829" s="2" t="s">
        <v>69</v>
      </c>
      <c r="Y5829" s="2">
        <v>87.7</v>
      </c>
      <c r="Z5829" s="2">
        <v>83.1</v>
      </c>
      <c r="AA5829" s="2"/>
      <c r="AB5829" s="2" t="s">
        <v>8529</v>
      </c>
      <c r="AC5829" s="2"/>
      <c r="AD5829" s="2">
        <v>611109.70304666401</v>
      </c>
      <c r="AE5829" s="2">
        <v>6.9555929830256002E-3</v>
      </c>
      <c r="AF5829" s="2">
        <v>15040.0418793726</v>
      </c>
      <c r="AG5829" s="2">
        <v>14503.063546924301</v>
      </c>
      <c r="AH5829" s="5">
        <v>1.0370251658010701</v>
      </c>
      <c r="AI5829" s="5">
        <v>5.2450904889685498E-2</v>
      </c>
      <c r="AJ5829" s="5" t="s">
        <v>139</v>
      </c>
      <c r="AK5829" s="2">
        <v>0.56711158822709895</v>
      </c>
      <c r="AL5829" s="2">
        <v>0.78255050592287401</v>
      </c>
      <c r="AM5829" s="2">
        <v>11502.093963317</v>
      </c>
      <c r="AN5829" s="2">
        <v>15237.8797579285</v>
      </c>
      <c r="AO5829" s="2">
        <v>15911.7306436175</v>
      </c>
      <c r="AP5829" s="2">
        <v>15732.815524059</v>
      </c>
      <c r="AQ5829" s="2">
        <v>15584.360985180099</v>
      </c>
      <c r="AR5829" s="2">
        <v>16271.3704021337</v>
      </c>
      <c r="AS5829" s="2">
        <v>13686.052862063299</v>
      </c>
      <c r="AT5829" s="2">
        <v>13716.5219960097</v>
      </c>
      <c r="AU5829" s="2">
        <v>14042.3570022809</v>
      </c>
      <c r="AV5829" s="2">
        <v>17217.6803330945</v>
      </c>
      <c r="AW5829" s="2">
        <v>14250.1971710649</v>
      </c>
      <c r="AX5829" s="2">
        <v>14105.571917032299</v>
      </c>
    </row>
    <row r="5830" spans="1:50" x14ac:dyDescent="0.25">
      <c r="A5830" s="2" t="s">
        <v>37987</v>
      </c>
      <c r="B5830" s="2">
        <v>380.12992721536898</v>
      </c>
      <c r="C5830" s="2">
        <v>9.0521333333333303</v>
      </c>
      <c r="D5830" s="2" t="s">
        <v>51</v>
      </c>
      <c r="E5830" s="2" t="s">
        <v>37988</v>
      </c>
      <c r="F5830" s="2">
        <v>211892</v>
      </c>
      <c r="G5830" s="3" t="str">
        <f>HYPERLINK("https://cloud.oebiotech.com/#/lm/network/211892", "https://cloud.oebiotech.com/#/lm/network/211892")</f>
        <v>https://cloud.oebiotech.com/#/lm/network/211892</v>
      </c>
      <c r="H5830" s="2" t="s">
        <v>37989</v>
      </c>
      <c r="I5830" s="2"/>
      <c r="J5830" s="2"/>
      <c r="K5830" s="2"/>
      <c r="L5830" s="2"/>
      <c r="M5830" s="2"/>
      <c r="N5830" s="2"/>
      <c r="O5830" s="2"/>
      <c r="P5830" s="2"/>
      <c r="Q5830" s="2"/>
      <c r="R5830" s="2"/>
      <c r="S5830" s="2" t="s">
        <v>37990</v>
      </c>
      <c r="T5830" s="2" t="s">
        <v>37991</v>
      </c>
      <c r="U5830" s="2" t="s">
        <v>266</v>
      </c>
      <c r="V5830" s="2" t="s">
        <v>37992</v>
      </c>
      <c r="W5830" s="2" t="s">
        <v>240</v>
      </c>
      <c r="X5830" s="2" t="s">
        <v>147</v>
      </c>
      <c r="Y5830" s="2">
        <v>37.5</v>
      </c>
      <c r="Z5830" s="2">
        <v>0</v>
      </c>
      <c r="AA5830" s="2" t="s">
        <v>512</v>
      </c>
      <c r="AB5830" s="2" t="s">
        <v>37993</v>
      </c>
      <c r="AC5830" s="2">
        <v>1.38119879734881</v>
      </c>
      <c r="AD5830" s="2"/>
      <c r="AE5830" s="2">
        <v>6.9151473206380699E-3</v>
      </c>
      <c r="AF5830" s="2">
        <v>2555.26907302471</v>
      </c>
      <c r="AG5830" s="2">
        <v>2472.8960252823299</v>
      </c>
      <c r="AH5830" s="5">
        <v>1.0333103563191599</v>
      </c>
      <c r="AI5830" s="5">
        <v>4.7273634914203097E-2</v>
      </c>
      <c r="AJ5830" s="5" t="s">
        <v>139</v>
      </c>
      <c r="AK5830" s="2">
        <v>0.89079675039178496</v>
      </c>
      <c r="AL5830" s="2">
        <v>0.95308349379636403</v>
      </c>
      <c r="AM5830" s="2">
        <v>2046.7050886550601</v>
      </c>
      <c r="AN5830" s="2">
        <v>3713.0263389316301</v>
      </c>
      <c r="AO5830" s="2">
        <v>2208.5830874774501</v>
      </c>
      <c r="AP5830" s="2">
        <v>2215.7320756302602</v>
      </c>
      <c r="AQ5830" s="2">
        <v>1319.27980137804</v>
      </c>
      <c r="AR5830" s="2">
        <v>3828.2880460758201</v>
      </c>
      <c r="AS5830" s="2">
        <v>2635.4264791887799</v>
      </c>
      <c r="AT5830" s="2">
        <v>2104.7365685411801</v>
      </c>
      <c r="AU5830" s="2">
        <v>2491.8629487930202</v>
      </c>
      <c r="AV5830" s="2">
        <v>2176.41206470418</v>
      </c>
      <c r="AW5830" s="2">
        <v>4281.8218321101804</v>
      </c>
      <c r="AX5830" s="2">
        <v>1147.1162583566399</v>
      </c>
    </row>
    <row r="5831" spans="1:50" x14ac:dyDescent="0.25">
      <c r="A5831" s="2" t="s">
        <v>37994</v>
      </c>
      <c r="B5831" s="2">
        <v>478.19902885334102</v>
      </c>
      <c r="C5831" s="2">
        <v>9.0727166666666701</v>
      </c>
      <c r="D5831" s="2" t="s">
        <v>51</v>
      </c>
      <c r="E5831" s="2" t="s">
        <v>37995</v>
      </c>
      <c r="F5831" s="2">
        <v>208070</v>
      </c>
      <c r="G5831" s="3" t="str">
        <f>HYPERLINK("https://cloud.oebiotech.com/#/lm/network/208070", "https://cloud.oebiotech.com/#/lm/network/208070")</f>
        <v>https://cloud.oebiotech.com/#/lm/network/208070</v>
      </c>
      <c r="H5831" s="2" t="s">
        <v>37996</v>
      </c>
      <c r="I5831" s="2"/>
      <c r="J5831" s="2"/>
      <c r="K5831" s="2">
        <v>539244</v>
      </c>
      <c r="L5831" s="2"/>
      <c r="M5831" s="2"/>
      <c r="N5831" s="2"/>
      <c r="O5831" s="2"/>
      <c r="P5831" s="2"/>
      <c r="Q5831" s="2"/>
      <c r="R5831" s="2"/>
      <c r="S5831" s="2" t="s">
        <v>37997</v>
      </c>
      <c r="T5831" s="2" t="s">
        <v>37998</v>
      </c>
      <c r="U5831" s="2" t="s">
        <v>56</v>
      </c>
      <c r="V5831" s="2" t="s">
        <v>283</v>
      </c>
      <c r="W5831" s="2" t="s">
        <v>3686</v>
      </c>
      <c r="X5831" s="2" t="s">
        <v>59</v>
      </c>
      <c r="Y5831" s="2">
        <v>53.9</v>
      </c>
      <c r="Z5831" s="2">
        <v>79.3</v>
      </c>
      <c r="AA5831" s="2" t="s">
        <v>122</v>
      </c>
      <c r="AB5831" s="2" t="s">
        <v>37999</v>
      </c>
      <c r="AC5831" s="2">
        <v>-2.6503900556455902</v>
      </c>
      <c r="AD5831" s="2"/>
      <c r="AE5831" s="2">
        <v>6.9077987070250996E-3</v>
      </c>
      <c r="AF5831" s="2">
        <v>8193.9314093054109</v>
      </c>
      <c r="AG5831" s="2">
        <v>9583.7642908238795</v>
      </c>
      <c r="AH5831" s="4">
        <v>0.85498048164131202</v>
      </c>
      <c r="AI5831" s="4">
        <v>-0.226036609813627</v>
      </c>
      <c r="AJ5831" s="4" t="s">
        <v>62</v>
      </c>
      <c r="AK5831" s="2">
        <v>0.71590684862388299</v>
      </c>
      <c r="AL5831" s="2">
        <v>0.86670859712071702</v>
      </c>
      <c r="AM5831" s="2">
        <v>19765.814851479001</v>
      </c>
      <c r="AN5831" s="2">
        <v>7101.7646908736797</v>
      </c>
      <c r="AO5831" s="2">
        <v>4843.9154469489404</v>
      </c>
      <c r="AP5831" s="2">
        <v>8497.9648619050404</v>
      </c>
      <c r="AQ5831" s="2">
        <v>4135.4356574620697</v>
      </c>
      <c r="AR5831" s="2">
        <v>4818.6929471637204</v>
      </c>
      <c r="AS5831" s="2">
        <v>19192.950989099802</v>
      </c>
      <c r="AT5831" s="2">
        <v>17517.2008877964</v>
      </c>
      <c r="AU5831" s="2">
        <v>6921.9214904698802</v>
      </c>
      <c r="AV5831" s="2">
        <v>5959.2349155529701</v>
      </c>
      <c r="AW5831" s="2">
        <v>4289.0825665578304</v>
      </c>
      <c r="AX5831" s="2">
        <v>3622.1948954663999</v>
      </c>
    </row>
    <row r="5832" spans="1:50" x14ac:dyDescent="0.25">
      <c r="A5832" s="2" t="s">
        <v>38000</v>
      </c>
      <c r="B5832" s="2">
        <v>279.13500324050199</v>
      </c>
      <c r="C5832" s="2">
        <v>2.7446333333333301</v>
      </c>
      <c r="D5832" s="2" t="s">
        <v>51</v>
      </c>
      <c r="E5832" s="2" t="s">
        <v>38001</v>
      </c>
      <c r="F5832" s="2">
        <v>57691</v>
      </c>
      <c r="G5832" s="3" t="str">
        <f>HYPERLINK("https://cloud.oebiotech.com/#/lm/network/57691", "https://cloud.oebiotech.com/#/lm/network/57691")</f>
        <v>https://cloud.oebiotech.com/#/lm/network/57691</v>
      </c>
      <c r="H5832" s="2" t="s">
        <v>38002</v>
      </c>
      <c r="I5832" s="2"/>
      <c r="J5832" s="2"/>
      <c r="K5832" s="2">
        <v>131751428</v>
      </c>
      <c r="L5832" s="2"/>
      <c r="M5832" s="2"/>
      <c r="N5832" s="2"/>
      <c r="O5832" s="2">
        <v>168929</v>
      </c>
      <c r="P5832" s="2"/>
      <c r="Q5832" s="2"/>
      <c r="R5832" s="2" t="s">
        <v>38003</v>
      </c>
      <c r="S5832" s="2" t="s">
        <v>38004</v>
      </c>
      <c r="T5832" s="2" t="s">
        <v>38005</v>
      </c>
      <c r="U5832" s="2" t="s">
        <v>540</v>
      </c>
      <c r="V5832" s="2" t="s">
        <v>3291</v>
      </c>
      <c r="W5832" s="2" t="s">
        <v>3292</v>
      </c>
      <c r="X5832" s="2" t="s">
        <v>83</v>
      </c>
      <c r="Y5832" s="2">
        <v>41.5</v>
      </c>
      <c r="Z5832" s="2">
        <v>6.48</v>
      </c>
      <c r="AA5832" s="2" t="s">
        <v>218</v>
      </c>
      <c r="AB5832" s="2" t="s">
        <v>38006</v>
      </c>
      <c r="AC5832" s="2">
        <v>-0.117262533823319</v>
      </c>
      <c r="AD5832" s="2"/>
      <c r="AE5832" s="2">
        <v>6.7901166951421102E-3</v>
      </c>
      <c r="AF5832" s="2">
        <v>6369.7128279251901</v>
      </c>
      <c r="AG5832" s="2">
        <v>6603.3897852870696</v>
      </c>
      <c r="AH5832" s="4">
        <v>0.96461257551651303</v>
      </c>
      <c r="AI5832" s="4">
        <v>-5.19784764555535E-2</v>
      </c>
      <c r="AJ5832" s="4" t="s">
        <v>62</v>
      </c>
      <c r="AK5832" s="2">
        <v>0.945455439305256</v>
      </c>
      <c r="AL5832" s="2">
        <v>0.97761542155245595</v>
      </c>
      <c r="AM5832" s="2">
        <v>9714.6673475940806</v>
      </c>
      <c r="AN5832" s="2">
        <v>2562.9715924759598</v>
      </c>
      <c r="AO5832" s="2">
        <v>7513.89424064798</v>
      </c>
      <c r="AP5832" s="2">
        <v>5937.9547337661897</v>
      </c>
      <c r="AQ5832" s="2">
        <v>6041.7461431480597</v>
      </c>
      <c r="AR5832" s="2">
        <v>6447.0429099188996</v>
      </c>
      <c r="AS5832" s="2">
        <v>8.559877937157E-6</v>
      </c>
      <c r="AT5832" s="2">
        <v>8.559877937157E-6</v>
      </c>
      <c r="AU5832" s="2">
        <v>14119.0275639192</v>
      </c>
      <c r="AV5832" s="2">
        <v>18454.332388598101</v>
      </c>
      <c r="AW5832" s="2">
        <v>2413.2939753421201</v>
      </c>
      <c r="AX5832" s="2">
        <v>4633.6847667432503</v>
      </c>
    </row>
    <row r="5833" spans="1:50" x14ac:dyDescent="0.25">
      <c r="A5833" s="2" t="s">
        <v>38007</v>
      </c>
      <c r="B5833" s="2">
        <v>292.14</v>
      </c>
      <c r="C5833" s="2">
        <v>20.239999999999998</v>
      </c>
      <c r="D5833" s="2" t="s">
        <v>125</v>
      </c>
      <c r="E5833" s="2" t="s">
        <v>38008</v>
      </c>
      <c r="F5833" s="2">
        <v>51427</v>
      </c>
      <c r="G5833" s="3" t="str">
        <f>HYPERLINK("https://cloud.oebiotech.com/#/lm/network/51427", "https://cloud.oebiotech.com/#/lm/network/51427")</f>
        <v>https://cloud.oebiotech.com/#/lm/network/51427</v>
      </c>
      <c r="H5833" s="2" t="s">
        <v>38009</v>
      </c>
      <c r="I5833" s="2">
        <v>62390</v>
      </c>
      <c r="J5833" s="2"/>
      <c r="K5833" s="2">
        <v>5460044</v>
      </c>
      <c r="L5833" s="2" t="s">
        <v>38010</v>
      </c>
      <c r="M5833" s="2"/>
      <c r="N5833" s="2"/>
      <c r="O5833" s="2">
        <v>18202</v>
      </c>
      <c r="P5833" s="2"/>
      <c r="Q5833" s="2"/>
      <c r="R5833" s="2" t="s">
        <v>38011</v>
      </c>
      <c r="S5833" s="2" t="s">
        <v>38012</v>
      </c>
      <c r="T5833" s="2" t="s">
        <v>38013</v>
      </c>
      <c r="U5833" s="2" t="s">
        <v>331</v>
      </c>
      <c r="V5833" s="2" t="s">
        <v>332</v>
      </c>
      <c r="W5833" s="2" t="s">
        <v>333</v>
      </c>
      <c r="X5833" s="2" t="s">
        <v>59</v>
      </c>
      <c r="Y5833" s="2">
        <v>75.5</v>
      </c>
      <c r="Z5833" s="2">
        <v>60.3</v>
      </c>
      <c r="AA5833" s="2"/>
      <c r="AB5833" s="2" t="s">
        <v>7128</v>
      </c>
      <c r="AC5833" s="2"/>
      <c r="AD5833" s="2">
        <v>681124.697286012</v>
      </c>
      <c r="AE5833" s="2">
        <v>6.7877871531973298E-3</v>
      </c>
      <c r="AF5833" s="2">
        <v>8723.4033869856903</v>
      </c>
      <c r="AG5833" s="2">
        <v>10506.644930233801</v>
      </c>
      <c r="AH5833" s="4">
        <v>0.83027488269669403</v>
      </c>
      <c r="AI5833" s="4">
        <v>-0.26833904005585602</v>
      </c>
      <c r="AJ5833" s="4" t="s">
        <v>62</v>
      </c>
      <c r="AK5833" s="2">
        <v>0.70456567722008601</v>
      </c>
      <c r="AL5833" s="2">
        <v>0.85874514419550696</v>
      </c>
      <c r="AM5833" s="2">
        <v>11796.0600061646</v>
      </c>
      <c r="AN5833" s="2">
        <v>2299.8352172700202</v>
      </c>
      <c r="AO5833" s="2">
        <v>7929.1737134447403</v>
      </c>
      <c r="AP5833" s="2">
        <v>10279.2189148998</v>
      </c>
      <c r="AQ5833" s="2">
        <v>9000.8590432825895</v>
      </c>
      <c r="AR5833" s="2">
        <v>11035.2734268524</v>
      </c>
      <c r="AS5833" s="2">
        <v>2299.8352172700202</v>
      </c>
      <c r="AT5833" s="2">
        <v>31092.500324413599</v>
      </c>
      <c r="AU5833" s="2">
        <v>9443.2043803208107</v>
      </c>
      <c r="AV5833" s="2">
        <v>2299.8352172700202</v>
      </c>
      <c r="AW5833" s="2">
        <v>10160.8571698654</v>
      </c>
      <c r="AX5833" s="2">
        <v>7743.6372722630103</v>
      </c>
    </row>
    <row r="5834" spans="1:50" x14ac:dyDescent="0.25">
      <c r="A5834" s="2" t="s">
        <v>38014</v>
      </c>
      <c r="B5834" s="2">
        <v>435.31194816291298</v>
      </c>
      <c r="C5834" s="2">
        <v>12.586399999999999</v>
      </c>
      <c r="D5834" s="2" t="s">
        <v>51</v>
      </c>
      <c r="E5834" s="2" t="s">
        <v>38015</v>
      </c>
      <c r="F5834" s="2">
        <v>28233</v>
      </c>
      <c r="G5834" s="3" t="str">
        <f>HYPERLINK("https://cloud.oebiotech.com/#/lm/network/28233", "https://cloud.oebiotech.com/#/lm/network/28233")</f>
        <v>https://cloud.oebiotech.com/#/lm/network/28233</v>
      </c>
      <c r="H5834" s="2"/>
      <c r="I5834" s="2"/>
      <c r="J5834" s="2" t="s">
        <v>38016</v>
      </c>
      <c r="K5834" s="2">
        <v>6712596</v>
      </c>
      <c r="L5834" s="2"/>
      <c r="M5834" s="2"/>
      <c r="N5834" s="2"/>
      <c r="O5834" s="2"/>
      <c r="P5834" s="2"/>
      <c r="Q5834" s="2"/>
      <c r="R5834" s="2"/>
      <c r="S5834" s="2" t="s">
        <v>38017</v>
      </c>
      <c r="T5834" s="2" t="s">
        <v>38018</v>
      </c>
      <c r="U5834" s="2" t="s">
        <v>266</v>
      </c>
      <c r="V5834" s="2" t="s">
        <v>3994</v>
      </c>
      <c r="W5834" s="2" t="s">
        <v>3995</v>
      </c>
      <c r="X5834" s="2" t="s">
        <v>147</v>
      </c>
      <c r="Y5834" s="2">
        <v>37.4</v>
      </c>
      <c r="Z5834" s="2">
        <v>0</v>
      </c>
      <c r="AA5834" s="2" t="s">
        <v>218</v>
      </c>
      <c r="AB5834" s="2" t="s">
        <v>33867</v>
      </c>
      <c r="AC5834" s="2">
        <v>0.89693896495045899</v>
      </c>
      <c r="AD5834" s="2"/>
      <c r="AE5834" s="2">
        <v>6.6583788381083704E-3</v>
      </c>
      <c r="AF5834" s="2">
        <v>1623.38045176741</v>
      </c>
      <c r="AG5834" s="2">
        <v>1566.76522222685</v>
      </c>
      <c r="AH5834" s="5">
        <v>1.03613510737754</v>
      </c>
      <c r="AI5834" s="5">
        <v>5.1212136262638798E-2</v>
      </c>
      <c r="AJ5834" s="5" t="s">
        <v>139</v>
      </c>
      <c r="AK5834" s="2">
        <v>0.92692865406522795</v>
      </c>
      <c r="AL5834" s="2">
        <v>0.96869836634135797</v>
      </c>
      <c r="AM5834" s="2">
        <v>1240.17177146938</v>
      </c>
      <c r="AN5834" s="2">
        <v>1121.5862606968401</v>
      </c>
      <c r="AO5834" s="2">
        <v>2533.9594817697998</v>
      </c>
      <c r="AP5834" s="2">
        <v>2369.5800864818102</v>
      </c>
      <c r="AQ5834" s="2">
        <v>2278.8054757319901</v>
      </c>
      <c r="AR5834" s="2">
        <v>196.17963445465401</v>
      </c>
      <c r="AS5834" s="2">
        <v>1734.8346690675201</v>
      </c>
      <c r="AT5834" s="2">
        <v>1190.19733103967</v>
      </c>
      <c r="AU5834" s="2">
        <v>847.84554235483404</v>
      </c>
      <c r="AV5834" s="2">
        <v>8.559877937157E-6</v>
      </c>
      <c r="AW5834" s="2">
        <v>2384.77150335744</v>
      </c>
      <c r="AX5834" s="2">
        <v>3242.94227898176</v>
      </c>
    </row>
    <row r="5835" spans="1:50" x14ac:dyDescent="0.25">
      <c r="A5835" s="2" t="s">
        <v>38019</v>
      </c>
      <c r="B5835" s="2">
        <v>449.11264774921801</v>
      </c>
      <c r="C5835" s="2">
        <v>4.2766000000000002</v>
      </c>
      <c r="D5835" s="2" t="s">
        <v>51</v>
      </c>
      <c r="E5835" s="2" t="s">
        <v>38020</v>
      </c>
      <c r="F5835" s="2">
        <v>205356</v>
      </c>
      <c r="G5835" s="3" t="str">
        <f>HYPERLINK("https://cloud.oebiotech.com/#/lm/network/205356", "https://cloud.oebiotech.com/#/lm/network/205356")</f>
        <v>https://cloud.oebiotech.com/#/lm/network/205356</v>
      </c>
      <c r="H5835" s="2" t="s">
        <v>38021</v>
      </c>
      <c r="I5835" s="2"/>
      <c r="J5835" s="2"/>
      <c r="K5835" s="2"/>
      <c r="L5835" s="2"/>
      <c r="M5835" s="2"/>
      <c r="N5835" s="2"/>
      <c r="O5835" s="2"/>
      <c r="P5835" s="2"/>
      <c r="Q5835" s="2"/>
      <c r="R5835" s="2"/>
      <c r="S5835" s="2" t="s">
        <v>38022</v>
      </c>
      <c r="T5835" s="2" t="s">
        <v>38023</v>
      </c>
      <c r="U5835" s="2" t="s">
        <v>540</v>
      </c>
      <c r="V5835" s="2" t="s">
        <v>541</v>
      </c>
      <c r="W5835" s="2" t="s">
        <v>542</v>
      </c>
      <c r="X5835" s="2" t="s">
        <v>83</v>
      </c>
      <c r="Y5835" s="2">
        <v>53</v>
      </c>
      <c r="Z5835" s="2">
        <v>0</v>
      </c>
      <c r="AA5835" s="2" t="s">
        <v>163</v>
      </c>
      <c r="AB5835" s="2" t="s">
        <v>38024</v>
      </c>
      <c r="AC5835" s="2">
        <v>8.2482266197871592</v>
      </c>
      <c r="AD5835" s="2"/>
      <c r="AE5835" s="2">
        <v>6.5519322829892899E-3</v>
      </c>
      <c r="AF5835" s="2">
        <v>2379.5921118659699</v>
      </c>
      <c r="AG5835" s="2">
        <v>2534.6909174581101</v>
      </c>
      <c r="AH5835" s="4">
        <v>0.93880957850763203</v>
      </c>
      <c r="AI5835" s="4">
        <v>-9.1095533389547304E-2</v>
      </c>
      <c r="AJ5835" s="4" t="s">
        <v>62</v>
      </c>
      <c r="AK5835" s="2">
        <v>0.88196806383490201</v>
      </c>
      <c r="AL5835" s="2">
        <v>0.94825142973339605</v>
      </c>
      <c r="AM5835" s="2">
        <v>3017.5540409179498</v>
      </c>
      <c r="AN5835" s="2">
        <v>1693.22650408565</v>
      </c>
      <c r="AO5835" s="2">
        <v>3012.2820190934899</v>
      </c>
      <c r="AP5835" s="2">
        <v>8.559877937157E-6</v>
      </c>
      <c r="AQ5835" s="2">
        <v>745.85299472970405</v>
      </c>
      <c r="AR5835" s="2">
        <v>5808.6371038091402</v>
      </c>
      <c r="AS5835" s="2">
        <v>3303.3363570011602</v>
      </c>
      <c r="AT5835" s="2">
        <v>4958.9947322284897</v>
      </c>
      <c r="AU5835" s="2">
        <v>1302.3819508772301</v>
      </c>
      <c r="AV5835" s="2">
        <v>1629.0987817826699</v>
      </c>
      <c r="AW5835" s="2">
        <v>2440.2635891956802</v>
      </c>
      <c r="AX5835" s="2">
        <v>1574.07009366341</v>
      </c>
    </row>
    <row r="5836" spans="1:50" x14ac:dyDescent="0.25">
      <c r="A5836" s="2" t="s">
        <v>38025</v>
      </c>
      <c r="B5836" s="2">
        <v>619.16275269706796</v>
      </c>
      <c r="C5836" s="2">
        <v>5.5590666666666699</v>
      </c>
      <c r="D5836" s="2" t="s">
        <v>51</v>
      </c>
      <c r="E5836" s="2" t="s">
        <v>38026</v>
      </c>
      <c r="F5836" s="2">
        <v>63540</v>
      </c>
      <c r="G5836" s="3" t="str">
        <f>HYPERLINK("https://cloud.oebiotech.com/#/lm/network/63540", "https://cloud.oebiotech.com/#/lm/network/63540")</f>
        <v>https://cloud.oebiotech.com/#/lm/network/63540</v>
      </c>
      <c r="H5836" s="2" t="s">
        <v>38027</v>
      </c>
      <c r="I5836" s="2">
        <v>94871</v>
      </c>
      <c r="J5836" s="2"/>
      <c r="K5836" s="2">
        <v>15127378</v>
      </c>
      <c r="L5836" s="2"/>
      <c r="M5836" s="2"/>
      <c r="N5836" s="2"/>
      <c r="O5836" s="2"/>
      <c r="P5836" s="2"/>
      <c r="Q5836" s="2"/>
      <c r="R5836" s="2" t="s">
        <v>38028</v>
      </c>
      <c r="S5836" s="2" t="s">
        <v>38029</v>
      </c>
      <c r="T5836" s="2" t="s">
        <v>38030</v>
      </c>
      <c r="U5836" s="2" t="s">
        <v>266</v>
      </c>
      <c r="V5836" s="2" t="s">
        <v>1785</v>
      </c>
      <c r="W5836" s="2" t="s">
        <v>1786</v>
      </c>
      <c r="X5836" s="2" t="s">
        <v>147</v>
      </c>
      <c r="Y5836" s="2">
        <v>38.9</v>
      </c>
      <c r="Z5836" s="2">
        <v>0</v>
      </c>
      <c r="AA5836" s="2" t="s">
        <v>478</v>
      </c>
      <c r="AB5836" s="2" t="s">
        <v>38031</v>
      </c>
      <c r="AC5836" s="2">
        <v>2.8734710556088299</v>
      </c>
      <c r="AD5836" s="2"/>
      <c r="AE5836" s="2">
        <v>6.3483318018250096E-3</v>
      </c>
      <c r="AF5836" s="2">
        <v>7068.4746498434897</v>
      </c>
      <c r="AG5836" s="2">
        <v>6229.3462463453097</v>
      </c>
      <c r="AH5836" s="5">
        <v>1.1347056930718</v>
      </c>
      <c r="AI5836" s="5">
        <v>0.18231815636697801</v>
      </c>
      <c r="AJ5836" s="5" t="s">
        <v>139</v>
      </c>
      <c r="AK5836" s="2">
        <v>0.8791581424164</v>
      </c>
      <c r="AL5836" s="2">
        <v>0.94763287790961603</v>
      </c>
      <c r="AM5836" s="2">
        <v>3407.42568261009</v>
      </c>
      <c r="AN5836" s="2">
        <v>1108.3502914774599</v>
      </c>
      <c r="AO5836" s="2">
        <v>4497.7100342167596</v>
      </c>
      <c r="AP5836" s="2">
        <v>8.559877937157E-6</v>
      </c>
      <c r="AQ5836" s="2">
        <v>1983.36807852674</v>
      </c>
      <c r="AR5836" s="2">
        <v>31413.99380367</v>
      </c>
      <c r="AS5836" s="2">
        <v>2840.0529095342499</v>
      </c>
      <c r="AT5836" s="2">
        <v>8589.1829814782905</v>
      </c>
      <c r="AU5836" s="2">
        <v>2987.89546104804</v>
      </c>
      <c r="AV5836" s="2">
        <v>15313.833622436699</v>
      </c>
      <c r="AW5836" s="2">
        <v>7182.8705161992202</v>
      </c>
      <c r="AX5836" s="2">
        <v>462.24198737537398</v>
      </c>
    </row>
    <row r="5837" spans="1:50" x14ac:dyDescent="0.25">
      <c r="A5837" s="2" t="s">
        <v>38032</v>
      </c>
      <c r="B5837" s="2">
        <v>313.05318528177401</v>
      </c>
      <c r="C5837" s="2">
        <v>1.27196666666667</v>
      </c>
      <c r="D5837" s="2" t="s">
        <v>51</v>
      </c>
      <c r="E5837" s="2" t="s">
        <v>38033</v>
      </c>
      <c r="F5837" s="2">
        <v>63115</v>
      </c>
      <c r="G5837" s="3" t="str">
        <f>HYPERLINK("https://cloud.oebiotech.com/#/lm/network/63115", "https://cloud.oebiotech.com/#/lm/network/63115")</f>
        <v>https://cloud.oebiotech.com/#/lm/network/63115</v>
      </c>
      <c r="H5837" s="2" t="s">
        <v>38034</v>
      </c>
      <c r="I5837" s="2"/>
      <c r="J5837" s="2"/>
      <c r="K5837" s="2">
        <v>131752741</v>
      </c>
      <c r="L5837" s="2"/>
      <c r="M5837" s="2"/>
      <c r="N5837" s="2"/>
      <c r="O5837" s="2">
        <v>174609</v>
      </c>
      <c r="P5837" s="2"/>
      <c r="Q5837" s="2"/>
      <c r="R5837" s="2" t="s">
        <v>38035</v>
      </c>
      <c r="S5837" s="2" t="s">
        <v>38036</v>
      </c>
      <c r="T5837" s="2" t="s">
        <v>38037</v>
      </c>
      <c r="U5837" s="2" t="s">
        <v>331</v>
      </c>
      <c r="V5837" s="2" t="s">
        <v>332</v>
      </c>
      <c r="W5837" s="2" t="s">
        <v>333</v>
      </c>
      <c r="X5837" s="2" t="s">
        <v>147</v>
      </c>
      <c r="Y5837" s="2">
        <v>40.5</v>
      </c>
      <c r="Z5837" s="2">
        <v>17.2</v>
      </c>
      <c r="AA5837" s="2" t="s">
        <v>395</v>
      </c>
      <c r="AB5837" s="2" t="s">
        <v>38038</v>
      </c>
      <c r="AC5837" s="2">
        <v>-4.7684242544237501</v>
      </c>
      <c r="AD5837" s="2"/>
      <c r="AE5837" s="2">
        <v>6.3034344018044596E-3</v>
      </c>
      <c r="AF5837" s="2">
        <v>1529.3294307070801</v>
      </c>
      <c r="AG5837" s="2">
        <v>2087.6204031316101</v>
      </c>
      <c r="AH5837" s="4">
        <v>0.73257064762011104</v>
      </c>
      <c r="AI5837" s="4">
        <v>-0.44896019807410797</v>
      </c>
      <c r="AJ5837" s="4" t="s">
        <v>62</v>
      </c>
      <c r="AK5837" s="2">
        <v>0.78686551339454103</v>
      </c>
      <c r="AL5837" s="2">
        <v>0.90579760595838199</v>
      </c>
      <c r="AM5837" s="2">
        <v>8.559877937157E-6</v>
      </c>
      <c r="AN5837" s="2">
        <v>2034.62254679232</v>
      </c>
      <c r="AO5837" s="2">
        <v>1876.76382429207</v>
      </c>
      <c r="AP5837" s="2">
        <v>33.592998480683903</v>
      </c>
      <c r="AQ5837" s="2">
        <v>5230.99719755767</v>
      </c>
      <c r="AR5837" s="2">
        <v>8.559877937157E-6</v>
      </c>
      <c r="AS5837" s="2">
        <v>8.559877937157E-6</v>
      </c>
      <c r="AT5837" s="2">
        <v>11157.8465125892</v>
      </c>
      <c r="AU5837" s="2">
        <v>8.559877937157E-6</v>
      </c>
      <c r="AV5837" s="2">
        <v>8.559877937157E-6</v>
      </c>
      <c r="AW5837" s="2">
        <v>8.559877937157E-6</v>
      </c>
      <c r="AX5837" s="2">
        <v>1367.87587196097</v>
      </c>
    </row>
    <row r="5838" spans="1:50" x14ac:dyDescent="0.25">
      <c r="A5838" s="2" t="s">
        <v>38039</v>
      </c>
      <c r="B5838" s="2">
        <v>160.133597376712</v>
      </c>
      <c r="C5838" s="2">
        <v>4.23708333333333</v>
      </c>
      <c r="D5838" s="2" t="s">
        <v>51</v>
      </c>
      <c r="E5838" s="2" t="s">
        <v>38040</v>
      </c>
      <c r="F5838" s="2">
        <v>53681</v>
      </c>
      <c r="G5838" s="3" t="str">
        <f>HYPERLINK("https://cloud.oebiotech.com/#/lm/network/53681", "https://cloud.oebiotech.com/#/lm/network/53681")</f>
        <v>https://cloud.oebiotech.com/#/lm/network/53681</v>
      </c>
      <c r="H5838" s="2" t="s">
        <v>38041</v>
      </c>
      <c r="I5838" s="2">
        <v>316603</v>
      </c>
      <c r="J5838" s="2"/>
      <c r="K5838" s="2">
        <v>1993</v>
      </c>
      <c r="L5838" s="2" t="s">
        <v>38042</v>
      </c>
      <c r="M5838" s="2"/>
      <c r="N5838" s="2"/>
      <c r="O5838" s="2">
        <v>6804</v>
      </c>
      <c r="P5838" s="2"/>
      <c r="Q5838" s="2"/>
      <c r="R5838" s="2" t="s">
        <v>38043</v>
      </c>
      <c r="S5838" s="2" t="s">
        <v>38044</v>
      </c>
      <c r="T5838" s="2" t="s">
        <v>38045</v>
      </c>
      <c r="U5838" s="2" t="s">
        <v>119</v>
      </c>
      <c r="V5838" s="2" t="s">
        <v>120</v>
      </c>
      <c r="W5838" s="2" t="s">
        <v>121</v>
      </c>
      <c r="X5838" s="2" t="s">
        <v>147</v>
      </c>
      <c r="Y5838" s="2">
        <v>39.200000000000003</v>
      </c>
      <c r="Z5838" s="2">
        <v>0</v>
      </c>
      <c r="AA5838" s="2" t="s">
        <v>122</v>
      </c>
      <c r="AB5838" s="2" t="s">
        <v>38046</v>
      </c>
      <c r="AC5838" s="2">
        <v>-0.97758570402375999</v>
      </c>
      <c r="AD5838" s="2"/>
      <c r="AE5838" s="2">
        <v>6.2385848023899897E-3</v>
      </c>
      <c r="AF5838" s="2">
        <v>4780.6456602914004</v>
      </c>
      <c r="AG5838" s="2">
        <v>4964.2898387465902</v>
      </c>
      <c r="AH5838" s="4">
        <v>0.96300695881577303</v>
      </c>
      <c r="AI5838" s="4">
        <v>-5.4381871675602697E-2</v>
      </c>
      <c r="AJ5838" s="4" t="s">
        <v>62</v>
      </c>
      <c r="AK5838" s="2">
        <v>0.89653196434038596</v>
      </c>
      <c r="AL5838" s="2">
        <v>0.95663376568814995</v>
      </c>
      <c r="AM5838" s="2">
        <v>1917.1671076898399</v>
      </c>
      <c r="AN5838" s="2">
        <v>7900.4722498043002</v>
      </c>
      <c r="AO5838" s="2">
        <v>6492.53700545233</v>
      </c>
      <c r="AP5838" s="2">
        <v>3949.97031247533</v>
      </c>
      <c r="AQ5838" s="2">
        <v>4277.1504858931103</v>
      </c>
      <c r="AR5838" s="2">
        <v>4146.5768004334996</v>
      </c>
      <c r="AS5838" s="2">
        <v>4666.4137200371197</v>
      </c>
      <c r="AT5838" s="2">
        <v>4028.7843486356601</v>
      </c>
      <c r="AU5838" s="2">
        <v>9092.3431565427309</v>
      </c>
      <c r="AV5838" s="2">
        <v>3083.4337641541201</v>
      </c>
      <c r="AW5838" s="2">
        <v>6967.2245304038697</v>
      </c>
      <c r="AX5838" s="2">
        <v>1947.5395127060599</v>
      </c>
    </row>
    <row r="5839" spans="1:50" x14ac:dyDescent="0.25">
      <c r="A5839" s="2" t="s">
        <v>38047</v>
      </c>
      <c r="B5839" s="2">
        <v>295.21212028184601</v>
      </c>
      <c r="C5839" s="2">
        <v>10.644133333333301</v>
      </c>
      <c r="D5839" s="2" t="s">
        <v>51</v>
      </c>
      <c r="E5839" s="2" t="s">
        <v>38048</v>
      </c>
      <c r="F5839" s="2">
        <v>212592</v>
      </c>
      <c r="G5839" s="3" t="str">
        <f>HYPERLINK("https://cloud.oebiotech.com/#/lm/network/212592", "https://cloud.oebiotech.com/#/lm/network/212592")</f>
        <v>https://cloud.oebiotech.com/#/lm/network/212592</v>
      </c>
      <c r="H5839" s="2" t="s">
        <v>38049</v>
      </c>
      <c r="I5839" s="2"/>
      <c r="J5839" s="2"/>
      <c r="K5839" s="2"/>
      <c r="L5839" s="2"/>
      <c r="M5839" s="2"/>
      <c r="N5839" s="2"/>
      <c r="O5839" s="2"/>
      <c r="P5839" s="2"/>
      <c r="Q5839" s="2"/>
      <c r="R5839" s="2"/>
      <c r="S5839" s="2" t="s">
        <v>38050</v>
      </c>
      <c r="T5839" s="2" t="s">
        <v>38051</v>
      </c>
      <c r="U5839" s="2" t="s">
        <v>331</v>
      </c>
      <c r="V5839" s="2" t="s">
        <v>332</v>
      </c>
      <c r="W5839" s="2" t="s">
        <v>38052</v>
      </c>
      <c r="X5839" s="2" t="s">
        <v>147</v>
      </c>
      <c r="Y5839" s="2">
        <v>38.9</v>
      </c>
      <c r="Z5839" s="2">
        <v>0</v>
      </c>
      <c r="AA5839" s="2" t="s">
        <v>478</v>
      </c>
      <c r="AB5839" s="2" t="s">
        <v>8888</v>
      </c>
      <c r="AC5839" s="2">
        <v>-1.6610287587861201</v>
      </c>
      <c r="AD5839" s="2"/>
      <c r="AE5839" s="2">
        <v>6.1844877223693898E-3</v>
      </c>
      <c r="AF5839" s="2">
        <v>2836.1999584185101</v>
      </c>
      <c r="AG5839" s="2">
        <v>3108.1390894536198</v>
      </c>
      <c r="AH5839" s="4">
        <v>0.91250741256791001</v>
      </c>
      <c r="AI5839" s="4">
        <v>-0.13209181652073901</v>
      </c>
      <c r="AJ5839" s="4" t="s">
        <v>62</v>
      </c>
      <c r="AK5839" s="2">
        <v>0.77298868670722498</v>
      </c>
      <c r="AL5839" s="2">
        <v>0.89844045281534801</v>
      </c>
      <c r="AM5839" s="2">
        <v>3970.5522673499299</v>
      </c>
      <c r="AN5839" s="2">
        <v>2726.6881967331501</v>
      </c>
      <c r="AO5839" s="2">
        <v>3093.3792283324401</v>
      </c>
      <c r="AP5839" s="2">
        <v>1619.8324879941199</v>
      </c>
      <c r="AQ5839" s="2">
        <v>2023.0224132429701</v>
      </c>
      <c r="AR5839" s="2">
        <v>3583.7251568584202</v>
      </c>
      <c r="AS5839" s="2">
        <v>2408.41033001812</v>
      </c>
      <c r="AT5839" s="2">
        <v>1995.94905219007</v>
      </c>
      <c r="AU5839" s="2">
        <v>7256.7750847255702</v>
      </c>
      <c r="AV5839" s="2">
        <v>2864.8198251537801</v>
      </c>
      <c r="AW5839" s="2">
        <v>2064.95169223009</v>
      </c>
      <c r="AX5839" s="2">
        <v>2057.9285524041102</v>
      </c>
    </row>
    <row r="5840" spans="1:50" x14ac:dyDescent="0.25">
      <c r="A5840" s="2" t="s">
        <v>38053</v>
      </c>
      <c r="B5840" s="2">
        <v>463.34319339650801</v>
      </c>
      <c r="C5840" s="2">
        <v>11.472666666666701</v>
      </c>
      <c r="D5840" s="2" t="s">
        <v>51</v>
      </c>
      <c r="E5840" s="2" t="s">
        <v>38054</v>
      </c>
      <c r="F5840" s="2">
        <v>58377</v>
      </c>
      <c r="G5840" s="3" t="str">
        <f>HYPERLINK("https://cloud.oebiotech.com/#/lm/network/58377", "https://cloud.oebiotech.com/#/lm/network/58377")</f>
        <v>https://cloud.oebiotech.com/#/lm/network/58377</v>
      </c>
      <c r="H5840" s="2" t="s">
        <v>38055</v>
      </c>
      <c r="I5840" s="2">
        <v>89857</v>
      </c>
      <c r="J5840" s="2"/>
      <c r="K5840" s="2">
        <v>13870422</v>
      </c>
      <c r="L5840" s="2"/>
      <c r="M5840" s="2"/>
      <c r="N5840" s="2"/>
      <c r="O5840" s="2"/>
      <c r="P5840" s="2"/>
      <c r="Q5840" s="2"/>
      <c r="R5840" s="2" t="s">
        <v>38056</v>
      </c>
      <c r="S5840" s="2" t="s">
        <v>38057</v>
      </c>
      <c r="T5840" s="2" t="s">
        <v>38058</v>
      </c>
      <c r="U5840" s="2" t="s">
        <v>56</v>
      </c>
      <c r="V5840" s="2" t="s">
        <v>283</v>
      </c>
      <c r="W5840" s="2" t="s">
        <v>2042</v>
      </c>
      <c r="X5840" s="2" t="s">
        <v>147</v>
      </c>
      <c r="Y5840" s="2">
        <v>36.799999999999997</v>
      </c>
      <c r="Z5840" s="2">
        <v>0</v>
      </c>
      <c r="AA5840" s="2" t="s">
        <v>259</v>
      </c>
      <c r="AB5840" s="2" t="s">
        <v>38059</v>
      </c>
      <c r="AC5840" s="2">
        <v>3.0116537135974299</v>
      </c>
      <c r="AD5840" s="2"/>
      <c r="AE5840" s="2">
        <v>6.1286813452715401E-3</v>
      </c>
      <c r="AF5840" s="2">
        <v>22612.710091979301</v>
      </c>
      <c r="AG5840" s="2">
        <v>22085.420722424398</v>
      </c>
      <c r="AH5840" s="5">
        <v>1.02387499772732</v>
      </c>
      <c r="AI5840" s="5">
        <v>3.40395911513117E-2</v>
      </c>
      <c r="AJ5840" s="5" t="s">
        <v>139</v>
      </c>
      <c r="AK5840" s="2">
        <v>0.92586240534322495</v>
      </c>
      <c r="AL5840" s="2">
        <v>0.96809529773207603</v>
      </c>
      <c r="AM5840" s="2">
        <v>16432.4874111385</v>
      </c>
      <c r="AN5840" s="2">
        <v>27123.9000134856</v>
      </c>
      <c r="AO5840" s="2">
        <v>24576.1236458983</v>
      </c>
      <c r="AP5840" s="2">
        <v>37154.165391083698</v>
      </c>
      <c r="AQ5840" s="2">
        <v>18175.6548613782</v>
      </c>
      <c r="AR5840" s="2">
        <v>12213.9292288912</v>
      </c>
      <c r="AS5840" s="2">
        <v>25396.490875247899</v>
      </c>
      <c r="AT5840" s="2">
        <v>28779.956807140999</v>
      </c>
      <c r="AU5840" s="2">
        <v>13666.8132161875</v>
      </c>
      <c r="AV5840" s="2">
        <v>6993.1533138873401</v>
      </c>
      <c r="AW5840" s="2">
        <v>22977.341200766801</v>
      </c>
      <c r="AX5840" s="2">
        <v>34698.768921316099</v>
      </c>
    </row>
    <row r="5841" spans="1:50" x14ac:dyDescent="0.25">
      <c r="A5841" s="2" t="s">
        <v>38060</v>
      </c>
      <c r="B5841" s="2">
        <v>110.071849187387</v>
      </c>
      <c r="C5841" s="2">
        <v>0.59993333333333299</v>
      </c>
      <c r="D5841" s="2" t="s">
        <v>51</v>
      </c>
      <c r="E5841" s="2" t="s">
        <v>38061</v>
      </c>
      <c r="F5841" s="2">
        <v>299857</v>
      </c>
      <c r="G5841" s="3" t="str">
        <f>HYPERLINK("https://cloud.oebiotech.com/#/lm/network/299857", "https://cloud.oebiotech.com/#/lm/network/299857")</f>
        <v>https://cloud.oebiotech.com/#/lm/network/299857</v>
      </c>
      <c r="H5841" s="2"/>
      <c r="I5841" s="2">
        <v>324989</v>
      </c>
      <c r="J5841" s="2"/>
      <c r="K5841" s="2">
        <v>9956</v>
      </c>
      <c r="L5841" s="2"/>
      <c r="M5841" s="2"/>
      <c r="N5841" s="2"/>
      <c r="O5841" s="2"/>
      <c r="P5841" s="2"/>
      <c r="Q5841" s="2"/>
      <c r="R5841" s="2"/>
      <c r="S5841" s="2" t="s">
        <v>38062</v>
      </c>
      <c r="T5841" s="2" t="s">
        <v>38063</v>
      </c>
      <c r="U5841" s="2" t="s">
        <v>266</v>
      </c>
      <c r="V5841" s="2" t="s">
        <v>2143</v>
      </c>
      <c r="W5841" s="2" t="s">
        <v>16388</v>
      </c>
      <c r="X5841" s="2" t="s">
        <v>69</v>
      </c>
      <c r="Y5841" s="2">
        <v>53.4</v>
      </c>
      <c r="Z5841" s="2">
        <v>71.599999999999994</v>
      </c>
      <c r="AA5841" s="2" t="s">
        <v>259</v>
      </c>
      <c r="AB5841" s="2" t="s">
        <v>8908</v>
      </c>
      <c r="AC5841" s="2">
        <v>5.2768696473906296</v>
      </c>
      <c r="AD5841" s="2"/>
      <c r="AE5841" s="2">
        <v>6.1026535219351804E-3</v>
      </c>
      <c r="AF5841" s="2">
        <v>7228.0078250302104</v>
      </c>
      <c r="AG5841" s="2">
        <v>7192.1163470656502</v>
      </c>
      <c r="AH5841" s="5">
        <v>1.0049903917334699</v>
      </c>
      <c r="AI5841" s="5">
        <v>7.1817085039691904E-3</v>
      </c>
      <c r="AJ5841" s="5" t="s">
        <v>139</v>
      </c>
      <c r="AK5841" s="2">
        <v>0.96922166606785698</v>
      </c>
      <c r="AL5841" s="2">
        <v>0.98836637434642205</v>
      </c>
      <c r="AM5841" s="2">
        <v>8564.8800360325695</v>
      </c>
      <c r="AN5841" s="2">
        <v>7782.95052446093</v>
      </c>
      <c r="AO5841" s="2">
        <v>6430.2745975110902</v>
      </c>
      <c r="AP5841" s="2">
        <v>8086.9959186938404</v>
      </c>
      <c r="AQ5841" s="2">
        <v>6355.9478044468096</v>
      </c>
      <c r="AR5841" s="2">
        <v>6146.9980690359998</v>
      </c>
      <c r="AS5841" s="2">
        <v>4590.8888008439699</v>
      </c>
      <c r="AT5841" s="2">
        <v>5427.56842823428</v>
      </c>
      <c r="AU5841" s="2">
        <v>7747.0846968289397</v>
      </c>
      <c r="AV5841" s="2">
        <v>8145.6643955292702</v>
      </c>
      <c r="AW5841" s="2">
        <v>10055.112602945899</v>
      </c>
      <c r="AX5841" s="2">
        <v>7186.3791580115303</v>
      </c>
    </row>
    <row r="5842" spans="1:50" x14ac:dyDescent="0.25">
      <c r="A5842" s="2" t="s">
        <v>38064</v>
      </c>
      <c r="B5842" s="2">
        <v>252.16040298481599</v>
      </c>
      <c r="C5842" s="2">
        <v>9.0315999999999992</v>
      </c>
      <c r="D5842" s="2" t="s">
        <v>51</v>
      </c>
      <c r="E5842" s="2" t="s">
        <v>38065</v>
      </c>
      <c r="F5842" s="2">
        <v>53207</v>
      </c>
      <c r="G5842" s="3" t="str">
        <f>HYPERLINK("https://cloud.oebiotech.com/#/lm/network/53207", "https://cloud.oebiotech.com/#/lm/network/53207")</f>
        <v>https://cloud.oebiotech.com/#/lm/network/53207</v>
      </c>
      <c r="H5842" s="2" t="s">
        <v>38066</v>
      </c>
      <c r="I5842" s="2">
        <v>85449</v>
      </c>
      <c r="J5842" s="2"/>
      <c r="K5842" s="2">
        <v>5078</v>
      </c>
      <c r="L5842" s="2"/>
      <c r="M5842" s="2"/>
      <c r="N5842" s="2"/>
      <c r="O5842" s="2">
        <v>48273</v>
      </c>
      <c r="P5842" s="2"/>
      <c r="Q5842" s="2"/>
      <c r="R5842" s="2" t="s">
        <v>38067</v>
      </c>
      <c r="S5842" s="2" t="s">
        <v>38068</v>
      </c>
      <c r="T5842" s="2" t="s">
        <v>38069</v>
      </c>
      <c r="U5842" s="2" t="s">
        <v>266</v>
      </c>
      <c r="V5842" s="2" t="s">
        <v>445</v>
      </c>
      <c r="W5842" s="2" t="s">
        <v>3500</v>
      </c>
      <c r="X5842" s="2" t="s">
        <v>147</v>
      </c>
      <c r="Y5842" s="2">
        <v>39.1</v>
      </c>
      <c r="Z5842" s="2">
        <v>0</v>
      </c>
      <c r="AA5842" s="2" t="s">
        <v>156</v>
      </c>
      <c r="AB5842" s="2" t="s">
        <v>38070</v>
      </c>
      <c r="AC5842" s="2">
        <v>-1.3166636485766501</v>
      </c>
      <c r="AD5842" s="2"/>
      <c r="AE5842" s="2">
        <v>6.0837580118680602E-3</v>
      </c>
      <c r="AF5842" s="2">
        <v>805.70737500654195</v>
      </c>
      <c r="AG5842" s="2">
        <v>892.776852928317</v>
      </c>
      <c r="AH5842" s="4">
        <v>0.90247341467670605</v>
      </c>
      <c r="AI5842" s="4">
        <v>-0.148043661590047</v>
      </c>
      <c r="AJ5842" s="4" t="s">
        <v>62</v>
      </c>
      <c r="AK5842" s="2">
        <v>0.86170899657144795</v>
      </c>
      <c r="AL5842" s="2">
        <v>0.93991664755551796</v>
      </c>
      <c r="AM5842" s="2">
        <v>1568.5170341160299</v>
      </c>
      <c r="AN5842" s="2">
        <v>1018.72951775767</v>
      </c>
      <c r="AO5842" s="2">
        <v>236.987426304325</v>
      </c>
      <c r="AP5842" s="2">
        <v>1050.0187456210399</v>
      </c>
      <c r="AQ5842" s="2">
        <v>700.08564129343597</v>
      </c>
      <c r="AR5842" s="2">
        <v>259.90588494675001</v>
      </c>
      <c r="AS5842" s="2">
        <v>8.559877937157E-6</v>
      </c>
      <c r="AT5842" s="2">
        <v>334.65532149682701</v>
      </c>
      <c r="AU5842" s="2">
        <v>2685.4356344992898</v>
      </c>
      <c r="AV5842" s="2">
        <v>1744.6772697457</v>
      </c>
      <c r="AW5842" s="2">
        <v>435.32119581405402</v>
      </c>
      <c r="AX5842" s="2">
        <v>156.57168745415501</v>
      </c>
    </row>
    <row r="5843" spans="1:50" x14ac:dyDescent="0.25">
      <c r="A5843" s="2" t="s">
        <v>38071</v>
      </c>
      <c r="B5843" s="2">
        <v>177.02516143613599</v>
      </c>
      <c r="C5843" s="2">
        <v>0.67084999999999995</v>
      </c>
      <c r="D5843" s="2" t="s">
        <v>51</v>
      </c>
      <c r="E5843" s="2" t="s">
        <v>38072</v>
      </c>
      <c r="F5843" s="2">
        <v>61960</v>
      </c>
      <c r="G5843" s="3" t="str">
        <f>HYPERLINK("https://cloud.oebiotech.com/#/lm/network/61960", "https://cloud.oebiotech.com/#/lm/network/61960")</f>
        <v>https://cloud.oebiotech.com/#/lm/network/61960</v>
      </c>
      <c r="H5843" s="2" t="s">
        <v>38073</v>
      </c>
      <c r="I5843" s="2"/>
      <c r="J5843" s="2"/>
      <c r="K5843" s="2">
        <v>10910114</v>
      </c>
      <c r="L5843" s="2" t="s">
        <v>38074</v>
      </c>
      <c r="M5843" s="2"/>
      <c r="N5843" s="2"/>
      <c r="O5843" s="2"/>
      <c r="P5843" s="2"/>
      <c r="Q5843" s="2"/>
      <c r="R5843" s="2" t="s">
        <v>38075</v>
      </c>
      <c r="S5843" s="2" t="s">
        <v>38076</v>
      </c>
      <c r="T5843" s="2" t="s">
        <v>38077</v>
      </c>
      <c r="U5843" s="2" t="s">
        <v>266</v>
      </c>
      <c r="V5843" s="2" t="s">
        <v>445</v>
      </c>
      <c r="W5843" s="2" t="s">
        <v>446</v>
      </c>
      <c r="X5843" s="2" t="s">
        <v>147</v>
      </c>
      <c r="Y5843" s="2">
        <v>36.700000000000003</v>
      </c>
      <c r="Z5843" s="2">
        <v>0</v>
      </c>
      <c r="AA5843" s="2" t="s">
        <v>122</v>
      </c>
      <c r="AB5843" s="2" t="s">
        <v>38078</v>
      </c>
      <c r="AC5843" s="2">
        <v>1.8443021645350599</v>
      </c>
      <c r="AD5843" s="2"/>
      <c r="AE5843" s="2">
        <v>5.9835174957078999E-3</v>
      </c>
      <c r="AF5843" s="2">
        <v>3639.04427169787</v>
      </c>
      <c r="AG5843" s="2">
        <v>3647.6436584591902</v>
      </c>
      <c r="AH5843" s="4">
        <v>0.99764248167680003</v>
      </c>
      <c r="AI5843" s="4">
        <v>-3.4051954780560398E-3</v>
      </c>
      <c r="AJ5843" s="4" t="s">
        <v>62</v>
      </c>
      <c r="AK5843" s="2">
        <v>0.995854765334106</v>
      </c>
      <c r="AL5843" s="2">
        <v>0.99770329763560295</v>
      </c>
      <c r="AM5843" s="2">
        <v>3208.2322758826599</v>
      </c>
      <c r="AN5843" s="2">
        <v>5811.9249542663802</v>
      </c>
      <c r="AO5843" s="2">
        <v>4614.9827003911796</v>
      </c>
      <c r="AP5843" s="2">
        <v>5679.98168085011</v>
      </c>
      <c r="AQ5843" s="2">
        <v>1554.8781936421001</v>
      </c>
      <c r="AR5843" s="2">
        <v>964.26582515481903</v>
      </c>
      <c r="AS5843" s="2">
        <v>3187.7313760778502</v>
      </c>
      <c r="AT5843" s="2">
        <v>884.12251205080099</v>
      </c>
      <c r="AU5843" s="2">
        <v>4576.7173771636199</v>
      </c>
      <c r="AV5843" s="2">
        <v>3703.4452473494098</v>
      </c>
      <c r="AW5843" s="2">
        <v>8.559877937157E-6</v>
      </c>
      <c r="AX5843" s="2">
        <v>9533.8454295536103</v>
      </c>
    </row>
    <row r="5844" spans="1:50" x14ac:dyDescent="0.25">
      <c r="A5844" s="2" t="s">
        <v>38079</v>
      </c>
      <c r="B5844" s="2">
        <v>425.08076254477697</v>
      </c>
      <c r="C5844" s="2">
        <v>9.0696833333333302</v>
      </c>
      <c r="D5844" s="2" t="s">
        <v>51</v>
      </c>
      <c r="E5844" s="2" t="s">
        <v>38080</v>
      </c>
      <c r="F5844" s="2">
        <v>206744</v>
      </c>
      <c r="G5844" s="3" t="str">
        <f>HYPERLINK("https://cloud.oebiotech.com/#/lm/network/206744", "https://cloud.oebiotech.com/#/lm/network/206744")</f>
        <v>https://cloud.oebiotech.com/#/lm/network/206744</v>
      </c>
      <c r="H5844" s="2" t="s">
        <v>38081</v>
      </c>
      <c r="I5844" s="2"/>
      <c r="J5844" s="2"/>
      <c r="K5844" s="2">
        <v>23582412</v>
      </c>
      <c r="L5844" s="2"/>
      <c r="M5844" s="2"/>
      <c r="N5844" s="2"/>
      <c r="O5844" s="2"/>
      <c r="P5844" s="2"/>
      <c r="Q5844" s="2"/>
      <c r="R5844" s="2"/>
      <c r="S5844" s="2" t="s">
        <v>38082</v>
      </c>
      <c r="T5844" s="2" t="s">
        <v>38083</v>
      </c>
      <c r="U5844" s="2" t="s">
        <v>610</v>
      </c>
      <c r="V5844" s="2" t="s">
        <v>611</v>
      </c>
      <c r="W5844" s="2" t="s">
        <v>3746</v>
      </c>
      <c r="X5844" s="2" t="s">
        <v>147</v>
      </c>
      <c r="Y5844" s="2">
        <v>42.9</v>
      </c>
      <c r="Z5844" s="2">
        <v>33.5</v>
      </c>
      <c r="AA5844" s="2" t="s">
        <v>163</v>
      </c>
      <c r="AB5844" s="2" t="s">
        <v>38084</v>
      </c>
      <c r="AC5844" s="2">
        <v>4.5208789708078401</v>
      </c>
      <c r="AD5844" s="2"/>
      <c r="AE5844" s="2">
        <v>5.7994174099786104E-3</v>
      </c>
      <c r="AF5844" s="2">
        <v>8883.3989024508301</v>
      </c>
      <c r="AG5844" s="2">
        <v>8528.8369740322596</v>
      </c>
      <c r="AH5844" s="5">
        <v>1.04157213105352</v>
      </c>
      <c r="AI5844" s="5">
        <v>5.8762752494093302E-2</v>
      </c>
      <c r="AJ5844" s="5" t="s">
        <v>139</v>
      </c>
      <c r="AK5844" s="2">
        <v>0.88052636060511402</v>
      </c>
      <c r="AL5844" s="2">
        <v>0.94789857191825</v>
      </c>
      <c r="AM5844" s="2">
        <v>7408.13829830952</v>
      </c>
      <c r="AN5844" s="2">
        <v>9782.8481643186205</v>
      </c>
      <c r="AO5844" s="2">
        <v>5439.5341992881804</v>
      </c>
      <c r="AP5844" s="2">
        <v>7836.38021273711</v>
      </c>
      <c r="AQ5844" s="2">
        <v>4960.4129335481402</v>
      </c>
      <c r="AR5844" s="2">
        <v>17873.079606503401</v>
      </c>
      <c r="AS5844" s="2">
        <v>7836.2381743239503</v>
      </c>
      <c r="AT5844" s="2">
        <v>7358.1979092513802</v>
      </c>
      <c r="AU5844" s="2">
        <v>7393.2176613308302</v>
      </c>
      <c r="AV5844" s="2">
        <v>7928.6918896266698</v>
      </c>
      <c r="AW5844" s="2">
        <v>14600.79781469</v>
      </c>
      <c r="AX5844" s="2">
        <v>6055.8783949707404</v>
      </c>
    </row>
    <row r="5845" spans="1:50" x14ac:dyDescent="0.25">
      <c r="A5845" s="2" t="s">
        <v>38085</v>
      </c>
      <c r="B5845" s="2">
        <v>309.20730086392098</v>
      </c>
      <c r="C5845" s="2">
        <v>9.5834499999999991</v>
      </c>
      <c r="D5845" s="2" t="s">
        <v>51</v>
      </c>
      <c r="E5845" s="2" t="s">
        <v>38086</v>
      </c>
      <c r="F5845" s="2">
        <v>2980</v>
      </c>
      <c r="G5845" s="3" t="str">
        <f>HYPERLINK("https://cloud.oebiotech.com/#/lm/network/2980", "https://cloud.oebiotech.com/#/lm/network/2980")</f>
        <v>https://cloud.oebiotech.com/#/lm/network/2980</v>
      </c>
      <c r="H5845" s="2"/>
      <c r="I5845" s="2">
        <v>36027</v>
      </c>
      <c r="J5845" s="2" t="s">
        <v>38087</v>
      </c>
      <c r="K5845" s="2">
        <v>16061054</v>
      </c>
      <c r="L5845" s="2"/>
      <c r="M5845" s="2"/>
      <c r="N5845" s="2"/>
      <c r="O5845" s="2"/>
      <c r="P5845" s="2"/>
      <c r="Q5845" s="2"/>
      <c r="R5845" s="2"/>
      <c r="S5845" s="2" t="s">
        <v>38088</v>
      </c>
      <c r="T5845" s="2" t="s">
        <v>38089</v>
      </c>
      <c r="U5845" s="2" t="s">
        <v>56</v>
      </c>
      <c r="V5845" s="2" t="s">
        <v>145</v>
      </c>
      <c r="W5845" s="2" t="s">
        <v>231</v>
      </c>
      <c r="X5845" s="2" t="s">
        <v>83</v>
      </c>
      <c r="Y5845" s="2">
        <v>51.3</v>
      </c>
      <c r="Z5845" s="2">
        <v>0</v>
      </c>
      <c r="AA5845" s="2" t="s">
        <v>163</v>
      </c>
      <c r="AB5845" s="2" t="s">
        <v>5579</v>
      </c>
      <c r="AC5845" s="2">
        <v>0.54109537046099399</v>
      </c>
      <c r="AD5845" s="2"/>
      <c r="AE5845" s="2">
        <v>5.7463428645088202E-3</v>
      </c>
      <c r="AF5845" s="2">
        <v>8557.0426544348102</v>
      </c>
      <c r="AG5845" s="2">
        <v>9558.2713948103592</v>
      </c>
      <c r="AH5845" s="4">
        <v>0.89525001969297902</v>
      </c>
      <c r="AI5845" s="4">
        <v>-0.159637449606335</v>
      </c>
      <c r="AJ5845" s="4" t="s">
        <v>62</v>
      </c>
      <c r="AK5845" s="2">
        <v>0.78845799059508404</v>
      </c>
      <c r="AL5845" s="2">
        <v>0.90648239546146703</v>
      </c>
      <c r="AM5845" s="2">
        <v>10178.043979623701</v>
      </c>
      <c r="AN5845" s="2">
        <v>16234.546072405599</v>
      </c>
      <c r="AO5845" s="2">
        <v>6754.9184995065498</v>
      </c>
      <c r="AP5845" s="2">
        <v>4336.8284082114596</v>
      </c>
      <c r="AQ5845" s="2">
        <v>5547.8896260874399</v>
      </c>
      <c r="AR5845" s="2">
        <v>8290.0293407740992</v>
      </c>
      <c r="AS5845" s="2">
        <v>4467.9842830506404</v>
      </c>
      <c r="AT5845" s="2">
        <v>2182.0141296111801</v>
      </c>
      <c r="AU5845" s="2">
        <v>23328.127849772602</v>
      </c>
      <c r="AV5845" s="2">
        <v>5361.36418146507</v>
      </c>
      <c r="AW5845" s="2">
        <v>13497.2652268191</v>
      </c>
      <c r="AX5845" s="2">
        <v>8512.8726981435393</v>
      </c>
    </row>
    <row r="5846" spans="1:50" x14ac:dyDescent="0.25">
      <c r="A5846" s="2" t="s">
        <v>38090</v>
      </c>
      <c r="B5846" s="2">
        <v>200.03772529882201</v>
      </c>
      <c r="C5846" s="2">
        <v>5.5480499999999999</v>
      </c>
      <c r="D5846" s="2" t="s">
        <v>51</v>
      </c>
      <c r="E5846" s="2" t="s">
        <v>38091</v>
      </c>
      <c r="F5846" s="2">
        <v>48724</v>
      </c>
      <c r="G5846" s="3" t="str">
        <f>HYPERLINK("https://cloud.oebiotech.com/#/lm/network/48724", "https://cloud.oebiotech.com/#/lm/network/48724")</f>
        <v>https://cloud.oebiotech.com/#/lm/network/48724</v>
      </c>
      <c r="H5846" s="2" t="s">
        <v>38092</v>
      </c>
      <c r="I5846" s="2">
        <v>58408</v>
      </c>
      <c r="J5846" s="2"/>
      <c r="K5846" s="2">
        <v>153005</v>
      </c>
      <c r="L5846" s="2"/>
      <c r="M5846" s="2"/>
      <c r="N5846" s="2"/>
      <c r="O5846" s="2">
        <v>133530</v>
      </c>
      <c r="P5846" s="2"/>
      <c r="Q5846" s="2"/>
      <c r="R5846" s="2" t="s">
        <v>38093</v>
      </c>
      <c r="S5846" s="2" t="s">
        <v>38094</v>
      </c>
      <c r="T5846" s="2" t="s">
        <v>38095</v>
      </c>
      <c r="U5846" s="2" t="s">
        <v>103</v>
      </c>
      <c r="V5846" s="2" t="s">
        <v>4820</v>
      </c>
      <c r="W5846" s="2" t="s">
        <v>4821</v>
      </c>
      <c r="X5846" s="2" t="s">
        <v>147</v>
      </c>
      <c r="Y5846" s="2">
        <v>41.6</v>
      </c>
      <c r="Z5846" s="2">
        <v>13.3</v>
      </c>
      <c r="AA5846" s="2" t="s">
        <v>156</v>
      </c>
      <c r="AB5846" s="2" t="s">
        <v>38096</v>
      </c>
      <c r="AC5846" s="2">
        <v>0.62068036437842</v>
      </c>
      <c r="AD5846" s="2"/>
      <c r="AE5846" s="2">
        <v>5.69732633148498E-3</v>
      </c>
      <c r="AF5846" s="2">
        <v>3035.4008712304499</v>
      </c>
      <c r="AG5846" s="2">
        <v>3363.6178904366998</v>
      </c>
      <c r="AH5846" s="4">
        <v>0.90242143135835196</v>
      </c>
      <c r="AI5846" s="4">
        <v>-0.14812676457611201</v>
      </c>
      <c r="AJ5846" s="4" t="s">
        <v>62</v>
      </c>
      <c r="AK5846" s="2">
        <v>0.89722195996489296</v>
      </c>
      <c r="AL5846" s="2">
        <v>0.95685410028948603</v>
      </c>
      <c r="AM5846" s="2">
        <v>10833.9814060056</v>
      </c>
      <c r="AN5846" s="2">
        <v>1173.9859389194401</v>
      </c>
      <c r="AO5846" s="2">
        <v>1472.8668567872601</v>
      </c>
      <c r="AP5846" s="2">
        <v>1433.6635916141399</v>
      </c>
      <c r="AQ5846" s="2">
        <v>2260.1489175010302</v>
      </c>
      <c r="AR5846" s="2">
        <v>1037.75851655522</v>
      </c>
      <c r="AS5846" s="2">
        <v>12944.3870113599</v>
      </c>
      <c r="AT5846" s="2">
        <v>1630.5597470098701</v>
      </c>
      <c r="AU5846" s="2">
        <v>1490.6080645135801</v>
      </c>
      <c r="AV5846" s="2">
        <v>1422.0526995304999</v>
      </c>
      <c r="AW5846" s="2">
        <v>1427.5843306972999</v>
      </c>
      <c r="AX5846" s="2">
        <v>1266.51548950906</v>
      </c>
    </row>
    <row r="5847" spans="1:50" x14ac:dyDescent="0.25">
      <c r="A5847" s="2" t="s">
        <v>38097</v>
      </c>
      <c r="B5847" s="2">
        <v>283.12991731211901</v>
      </c>
      <c r="C5847" s="2">
        <v>1.75576666666667</v>
      </c>
      <c r="D5847" s="2" t="s">
        <v>51</v>
      </c>
      <c r="E5847" s="2" t="s">
        <v>38098</v>
      </c>
      <c r="F5847" s="2">
        <v>54084</v>
      </c>
      <c r="G5847" s="3" t="str">
        <f>HYPERLINK("https://cloud.oebiotech.com/#/lm/network/54084", "https://cloud.oebiotech.com/#/lm/network/54084")</f>
        <v>https://cloud.oebiotech.com/#/lm/network/54084</v>
      </c>
      <c r="H5847" s="2" t="s">
        <v>38099</v>
      </c>
      <c r="I5847" s="2"/>
      <c r="J5847" s="2"/>
      <c r="K5847" s="2">
        <v>11778518</v>
      </c>
      <c r="L5847" s="2"/>
      <c r="M5847" s="2"/>
      <c r="N5847" s="2"/>
      <c r="O5847" s="2">
        <v>73667</v>
      </c>
      <c r="P5847" s="2"/>
      <c r="Q5847" s="2"/>
      <c r="R5847" s="2" t="s">
        <v>38100</v>
      </c>
      <c r="S5847" s="2" t="s">
        <v>38101</v>
      </c>
      <c r="T5847" s="2" t="s">
        <v>38102</v>
      </c>
      <c r="U5847" s="2" t="s">
        <v>103</v>
      </c>
      <c r="V5847" s="2" t="s">
        <v>104</v>
      </c>
      <c r="W5847" s="2" t="s">
        <v>105</v>
      </c>
      <c r="X5847" s="2" t="s">
        <v>69</v>
      </c>
      <c r="Y5847" s="2">
        <v>50.2</v>
      </c>
      <c r="Z5847" s="2">
        <v>56.7</v>
      </c>
      <c r="AA5847" s="2" t="s">
        <v>259</v>
      </c>
      <c r="AB5847" s="2" t="s">
        <v>29683</v>
      </c>
      <c r="AC5847" s="2">
        <v>3.78983943982101</v>
      </c>
      <c r="AD5847" s="2"/>
      <c r="AE5847" s="2">
        <v>5.5793607693037104E-3</v>
      </c>
      <c r="AF5847" s="2">
        <v>550.52570829221395</v>
      </c>
      <c r="AG5847" s="2">
        <v>777.01568731148598</v>
      </c>
      <c r="AH5847" s="4">
        <v>0.70851299051253502</v>
      </c>
      <c r="AI5847" s="4">
        <v>-0.49713378983693801</v>
      </c>
      <c r="AJ5847" s="4" t="s">
        <v>62</v>
      </c>
      <c r="AK5847" s="2">
        <v>0.76551555039077601</v>
      </c>
      <c r="AL5847" s="2">
        <v>0.89342752558876304</v>
      </c>
      <c r="AM5847" s="2">
        <v>1065.10445453992</v>
      </c>
      <c r="AN5847" s="2">
        <v>245.709198727402</v>
      </c>
      <c r="AO5847" s="2">
        <v>126.29004914621299</v>
      </c>
      <c r="AP5847" s="2">
        <v>276.91665560848003</v>
      </c>
      <c r="AQ5847" s="2">
        <v>861.766882367937</v>
      </c>
      <c r="AR5847" s="2">
        <v>727.36700936333</v>
      </c>
      <c r="AS5847" s="2">
        <v>8.559877937157E-6</v>
      </c>
      <c r="AT5847" s="2">
        <v>8.559877937157E-6</v>
      </c>
      <c r="AU5847" s="2">
        <v>4380.9719578529903</v>
      </c>
      <c r="AV5847" s="2">
        <v>266.650488429463</v>
      </c>
      <c r="AW5847" s="2">
        <v>8.559877937157E-6</v>
      </c>
      <c r="AX5847" s="2">
        <v>14.4716519068264</v>
      </c>
    </row>
    <row r="5848" spans="1:50" x14ac:dyDescent="0.25">
      <c r="A5848" s="2" t="s">
        <v>38103</v>
      </c>
      <c r="B5848" s="2">
        <v>454.29340022615003</v>
      </c>
      <c r="C5848" s="2">
        <v>14.72875</v>
      </c>
      <c r="D5848" s="2" t="s">
        <v>51</v>
      </c>
      <c r="E5848" s="2" t="s">
        <v>38104</v>
      </c>
      <c r="F5848" s="2">
        <v>250038</v>
      </c>
      <c r="G5848" s="3" t="str">
        <f>HYPERLINK("https://cloud.oebiotech.com/#/lm/network/250038", "https://cloud.oebiotech.com/#/lm/network/250038")</f>
        <v>https://cloud.oebiotech.com/#/lm/network/250038</v>
      </c>
      <c r="H5848" s="2" t="s">
        <v>38105</v>
      </c>
      <c r="I5848" s="2"/>
      <c r="J5848" s="2"/>
      <c r="K5848" s="2"/>
      <c r="L5848" s="2"/>
      <c r="M5848" s="2"/>
      <c r="N5848" s="2"/>
      <c r="O5848" s="2"/>
      <c r="P5848" s="2"/>
      <c r="Q5848" s="2"/>
      <c r="R5848" s="2"/>
      <c r="S5848" s="2" t="s">
        <v>38106</v>
      </c>
      <c r="T5848" s="2" t="s">
        <v>38107</v>
      </c>
      <c r="U5848" s="2" t="s">
        <v>56</v>
      </c>
      <c r="V5848" s="2" t="s">
        <v>145</v>
      </c>
      <c r="W5848" s="2" t="s">
        <v>187</v>
      </c>
      <c r="X5848" s="2" t="s">
        <v>147</v>
      </c>
      <c r="Y5848" s="2">
        <v>38.9</v>
      </c>
      <c r="Z5848" s="2">
        <v>0</v>
      </c>
      <c r="AA5848" s="2" t="s">
        <v>122</v>
      </c>
      <c r="AB5848" s="2" t="s">
        <v>19122</v>
      </c>
      <c r="AC5848" s="2">
        <v>0.762596494110104</v>
      </c>
      <c r="AD5848" s="2"/>
      <c r="AE5848" s="2">
        <v>5.5374291498026303E-3</v>
      </c>
      <c r="AF5848" s="2">
        <v>5492.3801560807997</v>
      </c>
      <c r="AG5848" s="2">
        <v>5358.0728126755403</v>
      </c>
      <c r="AH5848" s="5">
        <v>1.02506635279153</v>
      </c>
      <c r="AI5848" s="5">
        <v>3.5717298750251397E-2</v>
      </c>
      <c r="AJ5848" s="5" t="s">
        <v>139</v>
      </c>
      <c r="AK5848" s="2">
        <v>0.82098727438039998</v>
      </c>
      <c r="AL5848" s="2">
        <v>0.92196063093736003</v>
      </c>
      <c r="AM5848" s="2">
        <v>4461.0167830738901</v>
      </c>
      <c r="AN5848" s="2">
        <v>4776.6116571520197</v>
      </c>
      <c r="AO5848" s="2">
        <v>7380.3804441902203</v>
      </c>
      <c r="AP5848" s="2">
        <v>6690.8446436581298</v>
      </c>
      <c r="AQ5848" s="2">
        <v>5247.8101863900001</v>
      </c>
      <c r="AR5848" s="2">
        <v>4397.6172220205099</v>
      </c>
      <c r="AS5848" s="2">
        <v>5569.15021596324</v>
      </c>
      <c r="AT5848" s="2">
        <v>5133.0754829237603</v>
      </c>
      <c r="AU5848" s="2">
        <v>4409.3342557168398</v>
      </c>
      <c r="AV5848" s="2">
        <v>5581.9838838320302</v>
      </c>
      <c r="AW5848" s="2">
        <v>5066.2537504526299</v>
      </c>
      <c r="AX5848" s="2">
        <v>6388.6392871647404</v>
      </c>
    </row>
    <row r="5849" spans="1:50" x14ac:dyDescent="0.25">
      <c r="A5849" s="2" t="s">
        <v>38108</v>
      </c>
      <c r="B5849" s="2">
        <v>287.044104813302</v>
      </c>
      <c r="C5849" s="2">
        <v>3.6067666666666698</v>
      </c>
      <c r="D5849" s="2" t="s">
        <v>51</v>
      </c>
      <c r="E5849" s="2" t="s">
        <v>38109</v>
      </c>
      <c r="F5849" s="2">
        <v>206988</v>
      </c>
      <c r="G5849" s="3" t="str">
        <f>HYPERLINK("https://cloud.oebiotech.com/#/lm/network/206988", "https://cloud.oebiotech.com/#/lm/network/206988")</f>
        <v>https://cloud.oebiotech.com/#/lm/network/206988</v>
      </c>
      <c r="H5849" s="2" t="s">
        <v>38110</v>
      </c>
      <c r="I5849" s="2"/>
      <c r="J5849" s="2"/>
      <c r="K5849" s="2">
        <v>146161009</v>
      </c>
      <c r="L5849" s="2"/>
      <c r="M5849" s="2"/>
      <c r="N5849" s="2"/>
      <c r="O5849" s="2"/>
      <c r="P5849" s="2"/>
      <c r="Q5849" s="2"/>
      <c r="R5849" s="2"/>
      <c r="S5849" s="2" t="s">
        <v>38111</v>
      </c>
      <c r="T5849" s="2" t="s">
        <v>38112</v>
      </c>
      <c r="U5849" s="2" t="s">
        <v>266</v>
      </c>
      <c r="V5849" s="2" t="s">
        <v>2128</v>
      </c>
      <c r="W5849" s="2" t="s">
        <v>240</v>
      </c>
      <c r="X5849" s="2" t="s">
        <v>147</v>
      </c>
      <c r="Y5849" s="2">
        <v>38.200000000000003</v>
      </c>
      <c r="Z5849" s="2">
        <v>5.32</v>
      </c>
      <c r="AA5849" s="2" t="s">
        <v>218</v>
      </c>
      <c r="AB5849" s="2" t="s">
        <v>38113</v>
      </c>
      <c r="AC5849" s="2">
        <v>-0.50338607638754596</v>
      </c>
      <c r="AD5849" s="2"/>
      <c r="AE5849" s="2">
        <v>5.4633489894071298E-3</v>
      </c>
      <c r="AF5849" s="2">
        <v>1665.62289678297</v>
      </c>
      <c r="AG5849" s="2">
        <v>1699.39713882004</v>
      </c>
      <c r="AH5849" s="4">
        <v>0.98012575091156995</v>
      </c>
      <c r="AI5849" s="4">
        <v>-2.8961234865809302E-2</v>
      </c>
      <c r="AJ5849" s="4" t="s">
        <v>62</v>
      </c>
      <c r="AK5849" s="2">
        <v>0.92409737202637798</v>
      </c>
      <c r="AL5849" s="2">
        <v>0.96702918223777301</v>
      </c>
      <c r="AM5849" s="2">
        <v>1544.51708869347</v>
      </c>
      <c r="AN5849" s="2">
        <v>1607.9368751592899</v>
      </c>
      <c r="AO5849" s="2">
        <v>1203.22621794627</v>
      </c>
      <c r="AP5849" s="2">
        <v>2166.8500157373501</v>
      </c>
      <c r="AQ5849" s="2">
        <v>2302.3050464981202</v>
      </c>
      <c r="AR5849" s="2">
        <v>1168.9021366633201</v>
      </c>
      <c r="AS5849" s="2">
        <v>2058.31044283254</v>
      </c>
      <c r="AT5849" s="2">
        <v>2681.1413726691098</v>
      </c>
      <c r="AU5849" s="2">
        <v>1325.67269574535</v>
      </c>
      <c r="AV5849" s="2">
        <v>722.74908699567595</v>
      </c>
      <c r="AW5849" s="2">
        <v>1341.3205775190299</v>
      </c>
      <c r="AX5849" s="2">
        <v>2067.1886571585601</v>
      </c>
    </row>
    <row r="5850" spans="1:50" x14ac:dyDescent="0.25">
      <c r="A5850" s="2" t="s">
        <v>38114</v>
      </c>
      <c r="B5850" s="2">
        <v>983.64767419504506</v>
      </c>
      <c r="C5850" s="2">
        <v>11.068</v>
      </c>
      <c r="D5850" s="2" t="s">
        <v>51</v>
      </c>
      <c r="E5850" s="2" t="s">
        <v>38115</v>
      </c>
      <c r="F5850" s="2">
        <v>204232</v>
      </c>
      <c r="G5850" s="3" t="str">
        <f>HYPERLINK("https://cloud.oebiotech.com/#/lm/network/204232", "https://cloud.oebiotech.com/#/lm/network/204232")</f>
        <v>https://cloud.oebiotech.com/#/lm/network/204232</v>
      </c>
      <c r="H5850" s="2" t="s">
        <v>38116</v>
      </c>
      <c r="I5850" s="2">
        <v>24066</v>
      </c>
      <c r="J5850" s="2"/>
      <c r="K5850" s="2">
        <v>9549196</v>
      </c>
      <c r="L5850" s="2"/>
      <c r="M5850" s="2"/>
      <c r="N5850" s="2"/>
      <c r="O5850" s="2">
        <v>138435</v>
      </c>
      <c r="P5850" s="2"/>
      <c r="Q5850" s="2"/>
      <c r="R5850" s="2"/>
      <c r="S5850" s="2" t="s">
        <v>38117</v>
      </c>
      <c r="T5850" s="2" t="s">
        <v>38118</v>
      </c>
      <c r="U5850" s="2" t="s">
        <v>266</v>
      </c>
      <c r="V5850" s="2" t="s">
        <v>1393</v>
      </c>
      <c r="W5850" s="2" t="s">
        <v>1394</v>
      </c>
      <c r="X5850" s="2" t="s">
        <v>147</v>
      </c>
      <c r="Y5850" s="2">
        <v>36</v>
      </c>
      <c r="Z5850" s="2">
        <v>0</v>
      </c>
      <c r="AA5850" s="2" t="s">
        <v>478</v>
      </c>
      <c r="AB5850" s="2" t="s">
        <v>38119</v>
      </c>
      <c r="AC5850" s="2">
        <v>4.4239277048177499</v>
      </c>
      <c r="AD5850" s="2"/>
      <c r="AE5850" s="2">
        <v>5.4412553176013002E-3</v>
      </c>
      <c r="AF5850" s="2">
        <v>10959.693327488099</v>
      </c>
      <c r="AG5850" s="2">
        <v>11377.8676514369</v>
      </c>
      <c r="AH5850" s="4">
        <v>0.96324668762552101</v>
      </c>
      <c r="AI5850" s="4">
        <v>-5.40227750764537E-2</v>
      </c>
      <c r="AJ5850" s="4" t="s">
        <v>62</v>
      </c>
      <c r="AK5850" s="2">
        <v>0.93637891126197004</v>
      </c>
      <c r="AL5850" s="2">
        <v>0.97275268524275005</v>
      </c>
      <c r="AM5850" s="2">
        <v>25849.543939572999</v>
      </c>
      <c r="AN5850" s="2">
        <v>5486.5948192115902</v>
      </c>
      <c r="AO5850" s="2">
        <v>5911.3817887227797</v>
      </c>
      <c r="AP5850" s="2">
        <v>8674.4396701204896</v>
      </c>
      <c r="AQ5850" s="2">
        <v>5302.1207272157799</v>
      </c>
      <c r="AR5850" s="2">
        <v>14534.079020085101</v>
      </c>
      <c r="AS5850" s="2">
        <v>5538.9609275416096</v>
      </c>
      <c r="AT5850" s="2">
        <v>8.559877937157E-6</v>
      </c>
      <c r="AU5850" s="2">
        <v>17722.410440315802</v>
      </c>
      <c r="AV5850" s="2">
        <v>25620.229212533999</v>
      </c>
      <c r="AW5850" s="2">
        <v>14358.2260813988</v>
      </c>
      <c r="AX5850" s="2">
        <v>5027.3792382710499</v>
      </c>
    </row>
    <row r="5851" spans="1:50" x14ac:dyDescent="0.25">
      <c r="A5851" s="2" t="s">
        <v>38120</v>
      </c>
      <c r="B5851" s="2">
        <v>347.124918997642</v>
      </c>
      <c r="C5851" s="2">
        <v>4.42221666666667</v>
      </c>
      <c r="D5851" s="2" t="s">
        <v>51</v>
      </c>
      <c r="E5851" s="2" t="s">
        <v>38121</v>
      </c>
      <c r="F5851" s="2">
        <v>274441</v>
      </c>
      <c r="G5851" s="3" t="str">
        <f>HYPERLINK("https://cloud.oebiotech.com/#/lm/network/274441", "https://cloud.oebiotech.com/#/lm/network/274441")</f>
        <v>https://cloud.oebiotech.com/#/lm/network/274441</v>
      </c>
      <c r="H5851" s="2"/>
      <c r="I5851" s="2">
        <v>64471</v>
      </c>
      <c r="J5851" s="2"/>
      <c r="K5851" s="2">
        <v>135438594</v>
      </c>
      <c r="L5851" s="2" t="s">
        <v>38122</v>
      </c>
      <c r="M5851" s="2"/>
      <c r="N5851" s="2"/>
      <c r="O5851" s="2"/>
      <c r="P5851" s="2"/>
      <c r="Q5851" s="2"/>
      <c r="R5851" s="2" t="s">
        <v>38123</v>
      </c>
      <c r="S5851" s="2" t="s">
        <v>38124</v>
      </c>
      <c r="T5851" s="2" t="s">
        <v>38125</v>
      </c>
      <c r="U5851" s="2" t="s">
        <v>103</v>
      </c>
      <c r="V5851" s="2" t="s">
        <v>104</v>
      </c>
      <c r="W5851" s="2" t="s">
        <v>105</v>
      </c>
      <c r="X5851" s="2" t="s">
        <v>83</v>
      </c>
      <c r="Y5851" s="2">
        <v>40.700000000000003</v>
      </c>
      <c r="Z5851" s="2">
        <v>6.45</v>
      </c>
      <c r="AA5851" s="2" t="s">
        <v>259</v>
      </c>
      <c r="AB5851" s="2" t="s">
        <v>38126</v>
      </c>
      <c r="AC5851" s="2">
        <v>3.3406713272066599</v>
      </c>
      <c r="AD5851" s="2"/>
      <c r="AE5851" s="2">
        <v>5.2646537729920803E-3</v>
      </c>
      <c r="AF5851" s="2">
        <v>1673.9496683873999</v>
      </c>
      <c r="AG5851" s="2">
        <v>1987.323542091</v>
      </c>
      <c r="AH5851" s="4">
        <v>0.84231361070986999</v>
      </c>
      <c r="AI5851" s="4">
        <v>-0.24757061649091799</v>
      </c>
      <c r="AJ5851" s="4" t="s">
        <v>62</v>
      </c>
      <c r="AK5851" s="2">
        <v>0.75613412547958003</v>
      </c>
      <c r="AL5851" s="2">
        <v>0.88982523349301701</v>
      </c>
      <c r="AM5851" s="2">
        <v>2121.7414136566799</v>
      </c>
      <c r="AN5851" s="2">
        <v>631.96203255208695</v>
      </c>
      <c r="AO5851" s="2">
        <v>1076.6679740218401</v>
      </c>
      <c r="AP5851" s="2">
        <v>1761.0323691144599</v>
      </c>
      <c r="AQ5851" s="2">
        <v>3282.7837913182502</v>
      </c>
      <c r="AR5851" s="2">
        <v>1169.51042966106</v>
      </c>
      <c r="AS5851" s="2">
        <v>759.46779536254701</v>
      </c>
      <c r="AT5851" s="2">
        <v>2622.6392500823899</v>
      </c>
      <c r="AU5851" s="2">
        <v>6216.8823458156303</v>
      </c>
      <c r="AV5851" s="2">
        <v>1144.09725412381</v>
      </c>
      <c r="AW5851" s="2">
        <v>539.24383123693303</v>
      </c>
      <c r="AX5851" s="2">
        <v>641.61077592466995</v>
      </c>
    </row>
    <row r="5852" spans="1:50" x14ac:dyDescent="0.25">
      <c r="A5852" s="2" t="s">
        <v>38127</v>
      </c>
      <c r="B5852" s="2">
        <v>579.32830264494805</v>
      </c>
      <c r="C5852" s="2">
        <v>11.2763333333333</v>
      </c>
      <c r="D5852" s="2" t="s">
        <v>51</v>
      </c>
      <c r="E5852" s="2" t="s">
        <v>38128</v>
      </c>
      <c r="F5852" s="2">
        <v>200230</v>
      </c>
      <c r="G5852" s="3" t="str">
        <f>HYPERLINK("https://cloud.oebiotech.com/#/lm/network/200230", "https://cloud.oebiotech.com/#/lm/network/200230")</f>
        <v>https://cloud.oebiotech.com/#/lm/network/200230</v>
      </c>
      <c r="H5852" s="2" t="s">
        <v>38129</v>
      </c>
      <c r="I5852" s="2"/>
      <c r="J5852" s="2"/>
      <c r="K5852" s="2">
        <v>14211618</v>
      </c>
      <c r="L5852" s="2"/>
      <c r="M5852" s="2"/>
      <c r="N5852" s="2"/>
      <c r="O5852" s="2"/>
      <c r="P5852" s="2"/>
      <c r="Q5852" s="2"/>
      <c r="R5852" s="2"/>
      <c r="S5852" s="2" t="s">
        <v>38130</v>
      </c>
      <c r="T5852" s="2" t="s">
        <v>38131</v>
      </c>
      <c r="U5852" s="2" t="s">
        <v>56</v>
      </c>
      <c r="V5852" s="2" t="s">
        <v>283</v>
      </c>
      <c r="W5852" s="2" t="s">
        <v>1944</v>
      </c>
      <c r="X5852" s="2" t="s">
        <v>147</v>
      </c>
      <c r="Y5852" s="2">
        <v>38</v>
      </c>
      <c r="Z5852" s="2">
        <v>0</v>
      </c>
      <c r="AA5852" s="2" t="s">
        <v>478</v>
      </c>
      <c r="AB5852" s="2" t="s">
        <v>38132</v>
      </c>
      <c r="AC5852" s="2">
        <v>-1.44281228738334</v>
      </c>
      <c r="AD5852" s="2"/>
      <c r="AE5852" s="2">
        <v>5.26083407709788E-3</v>
      </c>
      <c r="AF5852" s="2">
        <v>748.44647255013297</v>
      </c>
      <c r="AG5852" s="2">
        <v>725.63583384793799</v>
      </c>
      <c r="AH5852" s="5">
        <v>1.03143538072153</v>
      </c>
      <c r="AI5852" s="5">
        <v>4.4653439418455003E-2</v>
      </c>
      <c r="AJ5852" s="5" t="s">
        <v>139</v>
      </c>
      <c r="AK5852" s="2">
        <v>0.95597550344894999</v>
      </c>
      <c r="AL5852" s="2">
        <v>0.98216255097125205</v>
      </c>
      <c r="AM5852" s="2">
        <v>779.09284324397095</v>
      </c>
      <c r="AN5852" s="2">
        <v>1425.8351748524101</v>
      </c>
      <c r="AO5852" s="2">
        <v>791.15619583583702</v>
      </c>
      <c r="AP5852" s="2">
        <v>332.62255037928003</v>
      </c>
      <c r="AQ5852" s="2">
        <v>538.71004273185395</v>
      </c>
      <c r="AR5852" s="2">
        <v>623.26202825744303</v>
      </c>
      <c r="AS5852" s="2">
        <v>568.62585483122302</v>
      </c>
      <c r="AT5852" s="2">
        <v>409.61651951126299</v>
      </c>
      <c r="AU5852" s="2">
        <v>8.559877937157E-6</v>
      </c>
      <c r="AV5852" s="2">
        <v>8.559877937157E-6</v>
      </c>
      <c r="AW5852" s="2">
        <v>929.95048428062796</v>
      </c>
      <c r="AX5852" s="2">
        <v>2445.62212734476</v>
      </c>
    </row>
    <row r="5853" spans="1:50" x14ac:dyDescent="0.25">
      <c r="A5853" s="2" t="s">
        <v>38133</v>
      </c>
      <c r="B5853" s="2">
        <v>344.10713964976401</v>
      </c>
      <c r="C5853" s="2">
        <v>4.6280333333333301</v>
      </c>
      <c r="D5853" s="2" t="s">
        <v>51</v>
      </c>
      <c r="E5853" s="2" t="s">
        <v>38134</v>
      </c>
      <c r="F5853" s="2">
        <v>52550</v>
      </c>
      <c r="G5853" s="3" t="str">
        <f>HYPERLINK("https://cloud.oebiotech.com/#/lm/network/52550", "https://cloud.oebiotech.com/#/lm/network/52550")</f>
        <v>https://cloud.oebiotech.com/#/lm/network/52550</v>
      </c>
      <c r="H5853" s="2" t="s">
        <v>38135</v>
      </c>
      <c r="I5853" s="2">
        <v>1636</v>
      </c>
      <c r="J5853" s="2"/>
      <c r="K5853" s="2">
        <v>119560</v>
      </c>
      <c r="L5853" s="2"/>
      <c r="M5853" s="2"/>
      <c r="N5853" s="2"/>
      <c r="O5853" s="2">
        <v>63840</v>
      </c>
      <c r="P5853" s="2" t="s">
        <v>38136</v>
      </c>
      <c r="Q5853" s="2" t="s">
        <v>38137</v>
      </c>
      <c r="R5853" s="2" t="s">
        <v>38138</v>
      </c>
      <c r="S5853" s="2" t="s">
        <v>38139</v>
      </c>
      <c r="T5853" s="2" t="s">
        <v>38140</v>
      </c>
      <c r="U5853" s="2" t="s">
        <v>266</v>
      </c>
      <c r="V5853" s="2" t="s">
        <v>2963</v>
      </c>
      <c r="W5853" s="2" t="s">
        <v>2964</v>
      </c>
      <c r="X5853" s="2" t="s">
        <v>147</v>
      </c>
      <c r="Y5853" s="2">
        <v>37.5</v>
      </c>
      <c r="Z5853" s="2">
        <v>0</v>
      </c>
      <c r="AA5853" s="2" t="s">
        <v>156</v>
      </c>
      <c r="AB5853" s="2" t="s">
        <v>38141</v>
      </c>
      <c r="AC5853" s="2">
        <v>2.21760300382731</v>
      </c>
      <c r="AD5853" s="2"/>
      <c r="AE5853" s="2">
        <v>5.1921433985082201E-3</v>
      </c>
      <c r="AF5853" s="2">
        <v>286.203029317046</v>
      </c>
      <c r="AG5853" s="2">
        <v>335.93999807961501</v>
      </c>
      <c r="AH5853" s="4">
        <v>0.85194686834884703</v>
      </c>
      <c r="AI5853" s="4">
        <v>-0.23116463528109199</v>
      </c>
      <c r="AJ5853" s="4" t="s">
        <v>62</v>
      </c>
      <c r="AK5853" s="2">
        <v>0.72732251962132799</v>
      </c>
      <c r="AL5853" s="2">
        <v>0.87431905652141195</v>
      </c>
      <c r="AM5853" s="2">
        <v>809.83569363567506</v>
      </c>
      <c r="AN5853" s="2">
        <v>139.851051024735</v>
      </c>
      <c r="AO5853" s="2">
        <v>122.26210143855501</v>
      </c>
      <c r="AP5853" s="2">
        <v>8.559877937157E-6</v>
      </c>
      <c r="AQ5853" s="2">
        <v>81.878522722442995</v>
      </c>
      <c r="AR5853" s="2">
        <v>563.39079852098803</v>
      </c>
      <c r="AS5853" s="2">
        <v>232.29390818176799</v>
      </c>
      <c r="AT5853" s="2">
        <v>264.07411101531</v>
      </c>
      <c r="AU5853" s="2">
        <v>235.35860996010501</v>
      </c>
      <c r="AV5853" s="2">
        <v>389.20481383294498</v>
      </c>
      <c r="AW5853" s="2">
        <v>460.08283532019198</v>
      </c>
      <c r="AX5853" s="2">
        <v>434.62571016736899</v>
      </c>
    </row>
    <row r="5854" spans="1:50" x14ac:dyDescent="0.25">
      <c r="A5854" s="2" t="s">
        <v>38142</v>
      </c>
      <c r="B5854" s="2">
        <v>192.06237345638701</v>
      </c>
      <c r="C5854" s="2">
        <v>0.58143333333333302</v>
      </c>
      <c r="D5854" s="2" t="s">
        <v>51</v>
      </c>
      <c r="E5854" s="2" t="s">
        <v>38143</v>
      </c>
      <c r="F5854" s="2">
        <v>47638</v>
      </c>
      <c r="G5854" s="3" t="str">
        <f>HYPERLINK("https://cloud.oebiotech.com/#/lm/network/47638", "https://cloud.oebiotech.com/#/lm/network/47638")</f>
        <v>https://cloud.oebiotech.com/#/lm/network/47638</v>
      </c>
      <c r="H5854" s="2" t="s">
        <v>38144</v>
      </c>
      <c r="I5854" s="2">
        <v>6307</v>
      </c>
      <c r="J5854" s="2"/>
      <c r="K5854" s="2">
        <v>4624</v>
      </c>
      <c r="L5854" s="2"/>
      <c r="M5854" s="2"/>
      <c r="N5854" s="2"/>
      <c r="O5854" s="2">
        <v>78741</v>
      </c>
      <c r="P5854" s="2"/>
      <c r="Q5854" s="2"/>
      <c r="R5854" s="2" t="s">
        <v>38145</v>
      </c>
      <c r="S5854" s="2" t="s">
        <v>38146</v>
      </c>
      <c r="T5854" s="2" t="s">
        <v>38147</v>
      </c>
      <c r="U5854" s="2" t="s">
        <v>610</v>
      </c>
      <c r="V5854" s="2" t="s">
        <v>895</v>
      </c>
      <c r="W5854" s="2" t="s">
        <v>5219</v>
      </c>
      <c r="X5854" s="2" t="s">
        <v>147</v>
      </c>
      <c r="Y5854" s="2">
        <v>39.5</v>
      </c>
      <c r="Z5854" s="2">
        <v>10.3</v>
      </c>
      <c r="AA5854" s="2" t="s">
        <v>95</v>
      </c>
      <c r="AB5854" s="2" t="s">
        <v>35093</v>
      </c>
      <c r="AC5854" s="2">
        <v>-4.3793861331016899</v>
      </c>
      <c r="AD5854" s="2"/>
      <c r="AE5854" s="2">
        <v>5.0938768080982201E-3</v>
      </c>
      <c r="AF5854" s="2">
        <v>2857.1419212867399</v>
      </c>
      <c r="AG5854" s="2">
        <v>2695.4970265616598</v>
      </c>
      <c r="AH5854" s="5">
        <v>1.05996849305795</v>
      </c>
      <c r="AI5854" s="5">
        <v>8.4021382161487607E-2</v>
      </c>
      <c r="AJ5854" s="5" t="s">
        <v>139</v>
      </c>
      <c r="AK5854" s="2">
        <v>0.89269617698460402</v>
      </c>
      <c r="AL5854" s="2">
        <v>0.95459964026613697</v>
      </c>
      <c r="AM5854" s="2">
        <v>427.27011475172702</v>
      </c>
      <c r="AN5854" s="2">
        <v>1813.2664576063</v>
      </c>
      <c r="AO5854" s="2">
        <v>3509.3306075038799</v>
      </c>
      <c r="AP5854" s="2">
        <v>1497.08291869288</v>
      </c>
      <c r="AQ5854" s="2">
        <v>7189.1764933620598</v>
      </c>
      <c r="AR5854" s="2">
        <v>2706.7249358035801</v>
      </c>
      <c r="AS5854" s="2">
        <v>3022.8329747632702</v>
      </c>
      <c r="AT5854" s="2">
        <v>5585.3162399960302</v>
      </c>
      <c r="AU5854" s="2">
        <v>741.28522569062898</v>
      </c>
      <c r="AV5854" s="2">
        <v>2440.4922814368601</v>
      </c>
      <c r="AW5854" s="2">
        <v>2321.9839901497899</v>
      </c>
      <c r="AX5854" s="2">
        <v>2061.0714473333601</v>
      </c>
    </row>
    <row r="5855" spans="1:50" x14ac:dyDescent="0.25">
      <c r="A5855" s="2" t="s">
        <v>38148</v>
      </c>
      <c r="B5855" s="2">
        <v>204.08500000000001</v>
      </c>
      <c r="C5855" s="2">
        <v>18.32</v>
      </c>
      <c r="D5855" s="2" t="s">
        <v>125</v>
      </c>
      <c r="E5855" s="2" t="s">
        <v>38149</v>
      </c>
      <c r="F5855" s="2">
        <v>48022</v>
      </c>
      <c r="G5855" s="3" t="str">
        <f>HYPERLINK("https://cloud.oebiotech.com/#/lm/network/48022", "https://cloud.oebiotech.com/#/lm/network/48022")</f>
        <v>https://cloud.oebiotech.com/#/lm/network/48022</v>
      </c>
      <c r="H5855" s="2" t="s">
        <v>38150</v>
      </c>
      <c r="I5855" s="2">
        <v>338</v>
      </c>
      <c r="J5855" s="2"/>
      <c r="K5855" s="2">
        <v>8742</v>
      </c>
      <c r="L5855" s="2" t="s">
        <v>38151</v>
      </c>
      <c r="M5855" s="2" t="s">
        <v>13357</v>
      </c>
      <c r="N5855" s="2" t="s">
        <v>13358</v>
      </c>
      <c r="O5855" s="2">
        <v>16119</v>
      </c>
      <c r="P5855" s="2"/>
      <c r="Q5855" s="2"/>
      <c r="R5855" s="2" t="s">
        <v>38152</v>
      </c>
      <c r="S5855" s="2" t="s">
        <v>38153</v>
      </c>
      <c r="T5855" s="2" t="s">
        <v>38154</v>
      </c>
      <c r="U5855" s="2" t="s">
        <v>331</v>
      </c>
      <c r="V5855" s="2" t="s">
        <v>332</v>
      </c>
      <c r="W5855" s="2" t="s">
        <v>519</v>
      </c>
      <c r="X5855" s="2" t="s">
        <v>83</v>
      </c>
      <c r="Y5855" s="2">
        <v>82.3</v>
      </c>
      <c r="Z5855" s="2">
        <v>70.5</v>
      </c>
      <c r="AA5855" s="2"/>
      <c r="AB5855" s="2" t="s">
        <v>38155</v>
      </c>
      <c r="AC5855" s="2"/>
      <c r="AD5855" s="2">
        <v>614994.66255302704</v>
      </c>
      <c r="AE5855" s="2">
        <v>4.9890158906877504E-3</v>
      </c>
      <c r="AF5855" s="2">
        <v>14455.4967750571</v>
      </c>
      <c r="AG5855" s="2">
        <v>15845.6153033135</v>
      </c>
      <c r="AH5855" s="4">
        <v>0.91227109193003797</v>
      </c>
      <c r="AI5855" s="4">
        <v>-0.13246549323096199</v>
      </c>
      <c r="AJ5855" s="4" t="s">
        <v>62</v>
      </c>
      <c r="AK5855" s="2">
        <v>0.90386205962159005</v>
      </c>
      <c r="AL5855" s="2">
        <v>0.95998600422561597</v>
      </c>
      <c r="AM5855" s="2">
        <v>5781.1845130411602</v>
      </c>
      <c r="AN5855" s="2">
        <v>5902.8948152090197</v>
      </c>
      <c r="AO5855" s="2">
        <v>6517.28877150681</v>
      </c>
      <c r="AP5855" s="2">
        <v>2299.8352172700202</v>
      </c>
      <c r="AQ5855" s="2">
        <v>63931.942116045801</v>
      </c>
      <c r="AR5855" s="2">
        <v>2299.8352172700202</v>
      </c>
      <c r="AS5855" s="2">
        <v>37366.690028467703</v>
      </c>
      <c r="AT5855" s="2">
        <v>22978.926326940302</v>
      </c>
      <c r="AU5855" s="2">
        <v>7682.9958515458602</v>
      </c>
      <c r="AV5855" s="2">
        <v>8231.0864865540607</v>
      </c>
      <c r="AW5855" s="2">
        <v>2299.8352172700202</v>
      </c>
      <c r="AX5855" s="2">
        <v>16514.157909103102</v>
      </c>
    </row>
    <row r="5856" spans="1:50" x14ac:dyDescent="0.25">
      <c r="A5856" s="2" t="s">
        <v>38156</v>
      </c>
      <c r="B5856" s="2">
        <v>228.98586534294299</v>
      </c>
      <c r="C5856" s="2">
        <v>1.54578333333333</v>
      </c>
      <c r="D5856" s="2" t="s">
        <v>51</v>
      </c>
      <c r="E5856" s="2" t="s">
        <v>38157</v>
      </c>
      <c r="F5856" s="2">
        <v>200946</v>
      </c>
      <c r="G5856" s="3" t="str">
        <f>HYPERLINK("https://cloud.oebiotech.com/#/lm/network/200946", "https://cloud.oebiotech.com/#/lm/network/200946")</f>
        <v>https://cloud.oebiotech.com/#/lm/network/200946</v>
      </c>
      <c r="H5856" s="2" t="s">
        <v>38158</v>
      </c>
      <c r="I5856" s="2"/>
      <c r="J5856" s="2"/>
      <c r="K5856" s="2"/>
      <c r="L5856" s="2"/>
      <c r="M5856" s="2"/>
      <c r="N5856" s="2"/>
      <c r="O5856" s="2"/>
      <c r="P5856" s="2"/>
      <c r="Q5856" s="2"/>
      <c r="R5856" s="2"/>
      <c r="S5856" s="2" t="s">
        <v>38159</v>
      </c>
      <c r="T5856" s="2" t="s">
        <v>38160</v>
      </c>
      <c r="U5856" s="2" t="s">
        <v>266</v>
      </c>
      <c r="V5856" s="2" t="s">
        <v>2772</v>
      </c>
      <c r="W5856" s="2" t="s">
        <v>2773</v>
      </c>
      <c r="X5856" s="2" t="s">
        <v>147</v>
      </c>
      <c r="Y5856" s="2">
        <v>36.700000000000003</v>
      </c>
      <c r="Z5856" s="2">
        <v>0</v>
      </c>
      <c r="AA5856" s="2" t="s">
        <v>218</v>
      </c>
      <c r="AB5856" s="2" t="s">
        <v>38161</v>
      </c>
      <c r="AC5856" s="2">
        <v>-0.41130206938610803</v>
      </c>
      <c r="AD5856" s="2"/>
      <c r="AE5856" s="2">
        <v>4.9725667565340102E-3</v>
      </c>
      <c r="AF5856" s="2">
        <v>5754.7775227444799</v>
      </c>
      <c r="AG5856" s="2">
        <v>5456.2572333558501</v>
      </c>
      <c r="AH5856" s="5">
        <v>1.0547115498081101</v>
      </c>
      <c r="AI5856" s="5">
        <v>7.6848494134865802E-2</v>
      </c>
      <c r="AJ5856" s="5" t="s">
        <v>139</v>
      </c>
      <c r="AK5856" s="2">
        <v>0.74838577755045799</v>
      </c>
      <c r="AL5856" s="2">
        <v>0.88463645213384701</v>
      </c>
      <c r="AM5856" s="2">
        <v>4584.9913909958696</v>
      </c>
      <c r="AN5856" s="2">
        <v>5734.2023157405401</v>
      </c>
      <c r="AO5856" s="2">
        <v>7305.8815445598702</v>
      </c>
      <c r="AP5856" s="2">
        <v>7880.1374136350996</v>
      </c>
      <c r="AQ5856" s="2">
        <v>3575.6499575736798</v>
      </c>
      <c r="AR5856" s="2">
        <v>5447.8025139618103</v>
      </c>
      <c r="AS5856" s="2">
        <v>4736.6689476730699</v>
      </c>
      <c r="AT5856" s="2">
        <v>3921.5372979870899</v>
      </c>
      <c r="AU5856" s="2">
        <v>5119.9884971154397</v>
      </c>
      <c r="AV5856" s="2">
        <v>8070.3323750418904</v>
      </c>
      <c r="AW5856" s="2">
        <v>4541.5426056199003</v>
      </c>
      <c r="AX5856" s="2">
        <v>6347.4736766976803</v>
      </c>
    </row>
    <row r="5857" spans="1:50" x14ac:dyDescent="0.25">
      <c r="A5857" s="2" t="s">
        <v>38162</v>
      </c>
      <c r="B5857" s="2">
        <v>333.10695658769498</v>
      </c>
      <c r="C5857" s="2">
        <v>3.64218333333333</v>
      </c>
      <c r="D5857" s="2" t="s">
        <v>51</v>
      </c>
      <c r="E5857" s="2" t="s">
        <v>38163</v>
      </c>
      <c r="F5857" s="2">
        <v>82281</v>
      </c>
      <c r="G5857" s="3" t="str">
        <f>HYPERLINK("https://cloud.oebiotech.com/#/lm/network/82281", "https://cloud.oebiotech.com/#/lm/network/82281")</f>
        <v>https://cloud.oebiotech.com/#/lm/network/82281</v>
      </c>
      <c r="H5857" s="2" t="s">
        <v>38164</v>
      </c>
      <c r="I5857" s="2">
        <v>43207</v>
      </c>
      <c r="J5857" s="2"/>
      <c r="K5857" s="2">
        <v>255720</v>
      </c>
      <c r="L5857" s="2" t="s">
        <v>38165</v>
      </c>
      <c r="M5857" s="2" t="s">
        <v>15319</v>
      </c>
      <c r="N5857" s="2" t="s">
        <v>15320</v>
      </c>
      <c r="O5857" s="2">
        <v>27440</v>
      </c>
      <c r="P5857" s="2"/>
      <c r="Q5857" s="2"/>
      <c r="R5857" s="2" t="s">
        <v>38166</v>
      </c>
      <c r="S5857" s="2" t="s">
        <v>38167</v>
      </c>
      <c r="T5857" s="2" t="s">
        <v>38168</v>
      </c>
      <c r="U5857" s="2" t="s">
        <v>610</v>
      </c>
      <c r="V5857" s="2" t="s">
        <v>611</v>
      </c>
      <c r="W5857" s="2" t="s">
        <v>1122</v>
      </c>
      <c r="X5857" s="2" t="s">
        <v>83</v>
      </c>
      <c r="Y5857" s="2">
        <v>39.4</v>
      </c>
      <c r="Z5857" s="2">
        <v>0</v>
      </c>
      <c r="AA5857" s="2" t="s">
        <v>478</v>
      </c>
      <c r="AB5857" s="2" t="s">
        <v>32509</v>
      </c>
      <c r="AC5857" s="2">
        <v>-6.7440088042938502</v>
      </c>
      <c r="AD5857" s="2"/>
      <c r="AE5857" s="2">
        <v>4.9134384888753603E-3</v>
      </c>
      <c r="AF5857" s="2">
        <v>5635.5325912379603</v>
      </c>
      <c r="AG5857" s="2">
        <v>6052.78481377354</v>
      </c>
      <c r="AH5857" s="4">
        <v>0.93106442152278401</v>
      </c>
      <c r="AI5857" s="4">
        <v>-0.103047101758466</v>
      </c>
      <c r="AJ5857" s="4" t="s">
        <v>62</v>
      </c>
      <c r="AK5857" s="2">
        <v>0.84303625625109402</v>
      </c>
      <c r="AL5857" s="2">
        <v>0.93049010101556895</v>
      </c>
      <c r="AM5857" s="2">
        <v>2862.20174781272</v>
      </c>
      <c r="AN5857" s="2">
        <v>5219.6248117497598</v>
      </c>
      <c r="AO5857" s="2">
        <v>7572.7051289743804</v>
      </c>
      <c r="AP5857" s="2">
        <v>4409.5361396532198</v>
      </c>
      <c r="AQ5857" s="2">
        <v>6143.2336811591904</v>
      </c>
      <c r="AR5857" s="2">
        <v>7605.8940380784697</v>
      </c>
      <c r="AS5857" s="2">
        <v>3373.1059726573399</v>
      </c>
      <c r="AT5857" s="2">
        <v>8246.1486681605093</v>
      </c>
      <c r="AU5857" s="2">
        <v>11289.3740279147</v>
      </c>
      <c r="AV5857" s="2">
        <v>1857.60589343378</v>
      </c>
      <c r="AW5857" s="2">
        <v>674.33139327901597</v>
      </c>
      <c r="AX5857" s="2">
        <v>10876.1429271959</v>
      </c>
    </row>
    <row r="5858" spans="1:50" x14ac:dyDescent="0.25">
      <c r="A5858" s="2" t="s">
        <v>38169</v>
      </c>
      <c r="B5858" s="2">
        <v>231.056328106867</v>
      </c>
      <c r="C5858" s="2">
        <v>0.78368333333333295</v>
      </c>
      <c r="D5858" s="2" t="s">
        <v>51</v>
      </c>
      <c r="E5858" s="2" t="s">
        <v>38170</v>
      </c>
      <c r="F5858" s="2">
        <v>279703</v>
      </c>
      <c r="G5858" s="3" t="str">
        <f>HYPERLINK("https://cloud.oebiotech.com/#/lm/network/279703", "https://cloud.oebiotech.com/#/lm/network/279703")</f>
        <v>https://cloud.oebiotech.com/#/lm/network/279703</v>
      </c>
      <c r="H5858" s="2"/>
      <c r="I5858" s="2">
        <v>72448</v>
      </c>
      <c r="J5858" s="2"/>
      <c r="K5858" s="2">
        <v>14210</v>
      </c>
      <c r="L5858" s="2" t="s">
        <v>38171</v>
      </c>
      <c r="M5858" s="2"/>
      <c r="N5858" s="2"/>
      <c r="O5858" s="2"/>
      <c r="P5858" s="2"/>
      <c r="Q5858" s="2"/>
      <c r="R5858" s="2" t="s">
        <v>38172</v>
      </c>
      <c r="S5858" s="2" t="s">
        <v>38173</v>
      </c>
      <c r="T5858" s="2" t="s">
        <v>38174</v>
      </c>
      <c r="U5858" s="2" t="s">
        <v>103</v>
      </c>
      <c r="V5858" s="2" t="s">
        <v>104</v>
      </c>
      <c r="W5858" s="2" t="s">
        <v>9173</v>
      </c>
      <c r="X5858" s="2" t="s">
        <v>147</v>
      </c>
      <c r="Y5858" s="2">
        <v>37.700000000000003</v>
      </c>
      <c r="Z5858" s="2">
        <v>0</v>
      </c>
      <c r="AA5858" s="2" t="s">
        <v>512</v>
      </c>
      <c r="AB5858" s="2" t="s">
        <v>38175</v>
      </c>
      <c r="AC5858" s="2">
        <v>0.17406139323074499</v>
      </c>
      <c r="AD5858" s="2"/>
      <c r="AE5858" s="2">
        <v>4.8787178365266399E-3</v>
      </c>
      <c r="AF5858" s="2">
        <v>4743.8305319290503</v>
      </c>
      <c r="AG5858" s="2">
        <v>4745.6789562087897</v>
      </c>
      <c r="AH5858" s="4">
        <v>0.99961050372416704</v>
      </c>
      <c r="AI5858" s="4">
        <v>-5.6203380773352197E-4</v>
      </c>
      <c r="AJ5858" s="4" t="s">
        <v>62</v>
      </c>
      <c r="AK5858" s="2">
        <v>0.99831405647829596</v>
      </c>
      <c r="AL5858" s="2">
        <v>0.99920712078861496</v>
      </c>
      <c r="AM5858" s="2">
        <v>7078.0101862944302</v>
      </c>
      <c r="AN5858" s="2">
        <v>1589.4240823451901</v>
      </c>
      <c r="AO5858" s="2">
        <v>5189.0410379394698</v>
      </c>
      <c r="AP5858" s="2">
        <v>5050.8862192385004</v>
      </c>
      <c r="AQ5858" s="2">
        <v>5109.5894440618804</v>
      </c>
      <c r="AR5858" s="2">
        <v>4446.0322216948198</v>
      </c>
      <c r="AS5858" s="2">
        <v>3524.1994574137998</v>
      </c>
      <c r="AT5858" s="2">
        <v>4132.6385527873499</v>
      </c>
      <c r="AU5858" s="2">
        <v>4409.3723031188001</v>
      </c>
      <c r="AV5858" s="2">
        <v>4214.9371427318001</v>
      </c>
      <c r="AW5858" s="2">
        <v>6013.3273163581198</v>
      </c>
      <c r="AX5858" s="2">
        <v>6179.5989648428804</v>
      </c>
    </row>
    <row r="5859" spans="1:50" x14ac:dyDescent="0.25">
      <c r="A5859" s="2" t="s">
        <v>38176</v>
      </c>
      <c r="B5859" s="2">
        <v>707.28302990175098</v>
      </c>
      <c r="C5859" s="2">
        <v>5.0147000000000004</v>
      </c>
      <c r="D5859" s="2" t="s">
        <v>51</v>
      </c>
      <c r="E5859" s="2" t="s">
        <v>38177</v>
      </c>
      <c r="F5859" s="2">
        <v>33785</v>
      </c>
      <c r="G5859" s="3" t="str">
        <f>HYPERLINK("https://cloud.oebiotech.com/#/lm/network/33785", "https://cloud.oebiotech.com/#/lm/network/33785")</f>
        <v>https://cloud.oebiotech.com/#/lm/network/33785</v>
      </c>
      <c r="H5859" s="2" t="s">
        <v>38178</v>
      </c>
      <c r="I5859" s="2">
        <v>52097</v>
      </c>
      <c r="J5859" s="2" t="s">
        <v>38179</v>
      </c>
      <c r="K5859" s="2">
        <v>639665</v>
      </c>
      <c r="L5859" s="2" t="s">
        <v>38180</v>
      </c>
      <c r="M5859" s="2"/>
      <c r="N5859" s="2"/>
      <c r="O5859" s="2">
        <v>66331</v>
      </c>
      <c r="P5859" s="2"/>
      <c r="Q5859" s="2"/>
      <c r="R5859" s="2" t="s">
        <v>38181</v>
      </c>
      <c r="S5859" s="2" t="s">
        <v>38182</v>
      </c>
      <c r="T5859" s="2" t="s">
        <v>38183</v>
      </c>
      <c r="U5859" s="2" t="s">
        <v>540</v>
      </c>
      <c r="V5859" s="2" t="s">
        <v>10873</v>
      </c>
      <c r="W5859" s="2" t="s">
        <v>18007</v>
      </c>
      <c r="X5859" s="2" t="s">
        <v>147</v>
      </c>
      <c r="Y5859" s="2">
        <v>37.799999999999997</v>
      </c>
      <c r="Z5859" s="2">
        <v>0</v>
      </c>
      <c r="AA5859" s="2" t="s">
        <v>478</v>
      </c>
      <c r="AB5859" s="2" t="s">
        <v>38184</v>
      </c>
      <c r="AC5859" s="2">
        <v>-4.4349879836622303</v>
      </c>
      <c r="AD5859" s="2"/>
      <c r="AE5859" s="2">
        <v>4.7607348476099397E-3</v>
      </c>
      <c r="AF5859" s="2">
        <v>9242.9352423116306</v>
      </c>
      <c r="AG5859" s="2">
        <v>8774.2506579251203</v>
      </c>
      <c r="AH5859" s="5">
        <v>1.0534159101054601</v>
      </c>
      <c r="AI5859" s="5">
        <v>7.5075154292101806E-2</v>
      </c>
      <c r="AJ5859" s="5" t="s">
        <v>139</v>
      </c>
      <c r="AK5859" s="2">
        <v>0.91778798243367099</v>
      </c>
      <c r="AL5859" s="2">
        <v>0.964986111549196</v>
      </c>
      <c r="AM5859" s="2">
        <v>9596.6962442792101</v>
      </c>
      <c r="AN5859" s="2">
        <v>10628.694590548101</v>
      </c>
      <c r="AO5859" s="2">
        <v>12808.4042957326</v>
      </c>
      <c r="AP5859" s="2">
        <v>7491.4302502704904</v>
      </c>
      <c r="AQ5859" s="2">
        <v>3305.4754944451101</v>
      </c>
      <c r="AR5859" s="2">
        <v>11626.910578594299</v>
      </c>
      <c r="AS5859" s="2">
        <v>29.019367216525399</v>
      </c>
      <c r="AT5859" s="2">
        <v>492.39728675313</v>
      </c>
      <c r="AU5859" s="2">
        <v>6022.1376209906302</v>
      </c>
      <c r="AV5859" s="2">
        <v>28180.310107603698</v>
      </c>
      <c r="AW5859" s="2">
        <v>8924.0585316351808</v>
      </c>
      <c r="AX5859" s="2">
        <v>8997.5810333515492</v>
      </c>
    </row>
    <row r="5860" spans="1:50" x14ac:dyDescent="0.25">
      <c r="A5860" s="2" t="s">
        <v>38185</v>
      </c>
      <c r="B5860" s="2">
        <v>439.270288747498</v>
      </c>
      <c r="C5860" s="2">
        <v>10.452766666666699</v>
      </c>
      <c r="D5860" s="2" t="s">
        <v>51</v>
      </c>
      <c r="E5860" s="2" t="s">
        <v>38186</v>
      </c>
      <c r="F5860" s="2">
        <v>207126</v>
      </c>
      <c r="G5860" s="3" t="str">
        <f>HYPERLINK("https://cloud.oebiotech.com/#/lm/network/207126", "https://cloud.oebiotech.com/#/lm/network/207126")</f>
        <v>https://cloud.oebiotech.com/#/lm/network/207126</v>
      </c>
      <c r="H5860" s="2" t="s">
        <v>38187</v>
      </c>
      <c r="I5860" s="2"/>
      <c r="J5860" s="2"/>
      <c r="K5860" s="2">
        <v>3462</v>
      </c>
      <c r="L5860" s="2"/>
      <c r="M5860" s="2"/>
      <c r="N5860" s="2"/>
      <c r="O5860" s="2"/>
      <c r="P5860" s="2"/>
      <c r="Q5860" s="2"/>
      <c r="R5860" s="2"/>
      <c r="S5860" s="2" t="s">
        <v>38188</v>
      </c>
      <c r="T5860" s="2" t="s">
        <v>38189</v>
      </c>
      <c r="U5860" s="2" t="s">
        <v>56</v>
      </c>
      <c r="V5860" s="2" t="s">
        <v>145</v>
      </c>
      <c r="W5860" s="2" t="s">
        <v>146</v>
      </c>
      <c r="X5860" s="2" t="s">
        <v>83</v>
      </c>
      <c r="Y5860" s="2">
        <v>41.8</v>
      </c>
      <c r="Z5860" s="2">
        <v>0</v>
      </c>
      <c r="AA5860" s="2" t="s">
        <v>218</v>
      </c>
      <c r="AB5860" s="2" t="s">
        <v>33217</v>
      </c>
      <c r="AC5860" s="2">
        <v>0.40977058834858598</v>
      </c>
      <c r="AD5860" s="2"/>
      <c r="AE5860" s="2">
        <v>4.7106158784436698E-3</v>
      </c>
      <c r="AF5860" s="2">
        <v>951.29922296530401</v>
      </c>
      <c r="AG5860" s="2">
        <v>945.48930487647306</v>
      </c>
      <c r="AH5860" s="5">
        <v>1.0061448797557699</v>
      </c>
      <c r="AI5860" s="5">
        <v>8.8380608648472598E-3</v>
      </c>
      <c r="AJ5860" s="5" t="s">
        <v>139</v>
      </c>
      <c r="AK5860" s="2">
        <v>0.98853619590383401</v>
      </c>
      <c r="AL5860" s="2">
        <v>0.99545530263140103</v>
      </c>
      <c r="AM5860" s="2">
        <v>954.68523538376905</v>
      </c>
      <c r="AN5860" s="2">
        <v>1269.6072220116</v>
      </c>
      <c r="AO5860" s="2">
        <v>576.95021465862499</v>
      </c>
      <c r="AP5860" s="2">
        <v>1320.14299688148</v>
      </c>
      <c r="AQ5860" s="2">
        <v>768.98102332513099</v>
      </c>
      <c r="AR5860" s="2">
        <v>817.42864553122104</v>
      </c>
      <c r="AS5860" s="2">
        <v>2378.9174746962499</v>
      </c>
      <c r="AT5860" s="2">
        <v>1142.18404672419</v>
      </c>
      <c r="AU5860" s="2">
        <v>329.08632777983303</v>
      </c>
      <c r="AV5860" s="2">
        <v>8.559877937157E-6</v>
      </c>
      <c r="AW5860" s="2">
        <v>252.60074514356501</v>
      </c>
      <c r="AX5860" s="2">
        <v>1570.14722635512</v>
      </c>
    </row>
    <row r="5861" spans="1:50" x14ac:dyDescent="0.25">
      <c r="A5861" s="2" t="s">
        <v>38190</v>
      </c>
      <c r="B5861" s="2">
        <v>289.19390303925502</v>
      </c>
      <c r="C5861" s="2">
        <v>13.533483333333299</v>
      </c>
      <c r="D5861" s="2" t="s">
        <v>51</v>
      </c>
      <c r="E5861" s="2" t="s">
        <v>38191</v>
      </c>
      <c r="F5861" s="2">
        <v>2334</v>
      </c>
      <c r="G5861" s="3" t="str">
        <f>HYPERLINK("https://cloud.oebiotech.com/#/lm/network/2334", "https://cloud.oebiotech.com/#/lm/network/2334")</f>
        <v>https://cloud.oebiotech.com/#/lm/network/2334</v>
      </c>
      <c r="H5861" s="2" t="s">
        <v>38192</v>
      </c>
      <c r="I5861" s="2">
        <v>74853</v>
      </c>
      <c r="J5861" s="2" t="s">
        <v>38193</v>
      </c>
      <c r="K5861" s="2">
        <v>11087559</v>
      </c>
      <c r="L5861" s="2"/>
      <c r="M5861" s="2"/>
      <c r="N5861" s="2"/>
      <c r="O5861" s="2"/>
      <c r="P5861" s="2"/>
      <c r="Q5861" s="2"/>
      <c r="R5861" s="2"/>
      <c r="S5861" s="2" t="s">
        <v>38194</v>
      </c>
      <c r="T5861" s="2" t="s">
        <v>38195</v>
      </c>
      <c r="U5861" s="2" t="s">
        <v>56</v>
      </c>
      <c r="V5861" s="2" t="s">
        <v>145</v>
      </c>
      <c r="W5861" s="2" t="s">
        <v>231</v>
      </c>
      <c r="X5861" s="2" t="s">
        <v>83</v>
      </c>
      <c r="Y5861" s="2">
        <v>40.4</v>
      </c>
      <c r="Z5861" s="2">
        <v>0</v>
      </c>
      <c r="AA5861" s="2" t="s">
        <v>163</v>
      </c>
      <c r="AB5861" s="2" t="s">
        <v>38196</v>
      </c>
      <c r="AC5861" s="2">
        <v>-0.27037110553475702</v>
      </c>
      <c r="AD5861" s="2"/>
      <c r="AE5861" s="2">
        <v>4.6199400848813098E-3</v>
      </c>
      <c r="AF5861" s="2">
        <v>1657.7206488271499</v>
      </c>
      <c r="AG5861" s="2">
        <v>2517.2988172710402</v>
      </c>
      <c r="AH5861" s="4">
        <v>0.65853153286913102</v>
      </c>
      <c r="AI5861" s="4">
        <v>-0.60267557130043303</v>
      </c>
      <c r="AJ5861" s="4" t="s">
        <v>62</v>
      </c>
      <c r="AK5861" s="2">
        <v>0.72236082859543105</v>
      </c>
      <c r="AL5861" s="2">
        <v>0.87150096309105396</v>
      </c>
      <c r="AM5861" s="2">
        <v>6034.4997672351901</v>
      </c>
      <c r="AN5861" s="2">
        <v>451.69990484353298</v>
      </c>
      <c r="AO5861" s="2">
        <v>956.284678325134</v>
      </c>
      <c r="AP5861" s="2">
        <v>1797.16844747099</v>
      </c>
      <c r="AQ5861" s="2">
        <v>8.559877937157E-6</v>
      </c>
      <c r="AR5861" s="2">
        <v>706.67108652817205</v>
      </c>
      <c r="AS5861" s="2">
        <v>510.946510132681</v>
      </c>
      <c r="AT5861" s="2">
        <v>8.559877937157E-6</v>
      </c>
      <c r="AU5861" s="2">
        <v>13315.103035300899</v>
      </c>
      <c r="AV5861" s="2">
        <v>8.559877937157E-6</v>
      </c>
      <c r="AW5861" s="2">
        <v>1277.7433325130401</v>
      </c>
      <c r="AX5861" s="2">
        <v>8.559877937157E-6</v>
      </c>
    </row>
    <row r="5862" spans="1:50" x14ac:dyDescent="0.25">
      <c r="A5862" s="2" t="s">
        <v>38197</v>
      </c>
      <c r="B5862" s="2">
        <v>221.081589637153</v>
      </c>
      <c r="C5862" s="2">
        <v>6.3424666666666702</v>
      </c>
      <c r="D5862" s="2" t="s">
        <v>51</v>
      </c>
      <c r="E5862" s="2" t="s">
        <v>38198</v>
      </c>
      <c r="F5862" s="2">
        <v>2666</v>
      </c>
      <c r="G5862" s="3" t="str">
        <f>HYPERLINK("https://cloud.oebiotech.com/#/lm/network/2666", "https://cloud.oebiotech.com/#/lm/network/2666")</f>
        <v>https://cloud.oebiotech.com/#/lm/network/2666</v>
      </c>
      <c r="H5862" s="2"/>
      <c r="I5862" s="2"/>
      <c r="J5862" s="2" t="s">
        <v>38199</v>
      </c>
      <c r="K5862" s="2">
        <v>86139902</v>
      </c>
      <c r="L5862" s="2"/>
      <c r="M5862" s="2"/>
      <c r="N5862" s="2"/>
      <c r="O5862" s="2"/>
      <c r="P5862" s="2"/>
      <c r="Q5862" s="2"/>
      <c r="R5862" s="2"/>
      <c r="S5862" s="2" t="s">
        <v>38200</v>
      </c>
      <c r="T5862" s="2" t="s">
        <v>38201</v>
      </c>
      <c r="U5862" s="2" t="s">
        <v>56</v>
      </c>
      <c r="V5862" s="2" t="s">
        <v>145</v>
      </c>
      <c r="W5862" s="2" t="s">
        <v>231</v>
      </c>
      <c r="X5862" s="2" t="s">
        <v>69</v>
      </c>
      <c r="Y5862" s="2">
        <v>53.1</v>
      </c>
      <c r="Z5862" s="2">
        <v>48.5</v>
      </c>
      <c r="AA5862" s="2" t="s">
        <v>379</v>
      </c>
      <c r="AB5862" s="2" t="s">
        <v>5920</v>
      </c>
      <c r="AC5862" s="2">
        <v>-1.4279637246919501</v>
      </c>
      <c r="AD5862" s="2"/>
      <c r="AE5862" s="2">
        <v>4.4744700093470504E-3</v>
      </c>
      <c r="AF5862" s="2">
        <v>2703.1184059094198</v>
      </c>
      <c r="AG5862" s="2">
        <v>2657.6793254160202</v>
      </c>
      <c r="AH5862" s="5">
        <v>1.01709727733472</v>
      </c>
      <c r="AI5862" s="5">
        <v>2.4457668199247599E-2</v>
      </c>
      <c r="AJ5862" s="5" t="s">
        <v>139</v>
      </c>
      <c r="AK5862" s="2">
        <v>0.95918805933326501</v>
      </c>
      <c r="AL5862" s="2">
        <v>0.98297517973244497</v>
      </c>
      <c r="AM5862" s="2">
        <v>3396.4553832657298</v>
      </c>
      <c r="AN5862" s="2">
        <v>1858.97105824404</v>
      </c>
      <c r="AO5862" s="2">
        <v>2599.92411096248</v>
      </c>
      <c r="AP5862" s="2">
        <v>829.29106911250403</v>
      </c>
      <c r="AQ5862" s="2">
        <v>1914.1748075313001</v>
      </c>
      <c r="AR5862" s="2">
        <v>5619.8940063404598</v>
      </c>
      <c r="AS5862" s="2">
        <v>3544.68555330961</v>
      </c>
      <c r="AT5862" s="2">
        <v>2373.4822063950601</v>
      </c>
      <c r="AU5862" s="2">
        <v>1294.8680483047301</v>
      </c>
      <c r="AV5862" s="2">
        <v>1091.9997182904799</v>
      </c>
      <c r="AW5862" s="2">
        <v>3198.6112123827602</v>
      </c>
      <c r="AX5862" s="2">
        <v>4442.4292138135097</v>
      </c>
    </row>
    <row r="5863" spans="1:50" x14ac:dyDescent="0.25">
      <c r="A5863" s="2" t="s">
        <v>38202</v>
      </c>
      <c r="B5863" s="2">
        <v>494.19364518173199</v>
      </c>
      <c r="C5863" s="2">
        <v>5.8746499999999999</v>
      </c>
      <c r="D5863" s="2" t="s">
        <v>51</v>
      </c>
      <c r="E5863" s="2" t="s">
        <v>38203</v>
      </c>
      <c r="F5863" s="2">
        <v>204901</v>
      </c>
      <c r="G5863" s="3" t="str">
        <f>HYPERLINK("https://cloud.oebiotech.com/#/lm/network/204901", "https://cloud.oebiotech.com/#/lm/network/204901")</f>
        <v>https://cloud.oebiotech.com/#/lm/network/204901</v>
      </c>
      <c r="H5863" s="2" t="s">
        <v>38204</v>
      </c>
      <c r="I5863" s="2"/>
      <c r="J5863" s="2"/>
      <c r="K5863" s="2">
        <v>177357</v>
      </c>
      <c r="L5863" s="2"/>
      <c r="M5863" s="2"/>
      <c r="N5863" s="2"/>
      <c r="O5863" s="2"/>
      <c r="P5863" s="2"/>
      <c r="Q5863" s="2"/>
      <c r="R5863" s="2"/>
      <c r="S5863" s="2" t="s">
        <v>38205</v>
      </c>
      <c r="T5863" s="2" t="s">
        <v>38206</v>
      </c>
      <c r="U5863" s="2" t="s">
        <v>540</v>
      </c>
      <c r="V5863" s="2" t="s">
        <v>24973</v>
      </c>
      <c r="W5863" s="2" t="s">
        <v>240</v>
      </c>
      <c r="X5863" s="2" t="s">
        <v>147</v>
      </c>
      <c r="Y5863" s="2">
        <v>43.8</v>
      </c>
      <c r="Z5863" s="2">
        <v>31.6</v>
      </c>
      <c r="AA5863" s="2" t="s">
        <v>218</v>
      </c>
      <c r="AB5863" s="2" t="s">
        <v>38207</v>
      </c>
      <c r="AC5863" s="2">
        <v>0.82666455167576403</v>
      </c>
      <c r="AD5863" s="2"/>
      <c r="AE5863" s="2">
        <v>4.4001203572784304E-3</v>
      </c>
      <c r="AF5863" s="2">
        <v>5438.0453642663297</v>
      </c>
      <c r="AG5863" s="2">
        <v>5835.8778545766099</v>
      </c>
      <c r="AH5863" s="4">
        <v>0.93182988057258698</v>
      </c>
      <c r="AI5863" s="4">
        <v>-0.10186150144173101</v>
      </c>
      <c r="AJ5863" s="4" t="s">
        <v>62</v>
      </c>
      <c r="AK5863" s="2">
        <v>0.82769717613128202</v>
      </c>
      <c r="AL5863" s="2">
        <v>0.92429976515301204</v>
      </c>
      <c r="AM5863" s="2">
        <v>6299.9984374789401</v>
      </c>
      <c r="AN5863" s="2">
        <v>6541.1004564510904</v>
      </c>
      <c r="AO5863" s="2">
        <v>5024.4708999835902</v>
      </c>
      <c r="AP5863" s="2">
        <v>5246.8892052532501</v>
      </c>
      <c r="AQ5863" s="2">
        <v>4497.5916975314103</v>
      </c>
      <c r="AR5863" s="2">
        <v>5018.2214888997196</v>
      </c>
      <c r="AS5863" s="2">
        <v>9771.7080678666898</v>
      </c>
      <c r="AT5863" s="2">
        <v>12693.956764771099</v>
      </c>
      <c r="AU5863" s="2">
        <v>3335.3375615387699</v>
      </c>
      <c r="AV5863" s="2">
        <v>3326.24147789362</v>
      </c>
      <c r="AW5863" s="2">
        <v>3146.4132244624602</v>
      </c>
      <c r="AX5863" s="2">
        <v>2741.61003092705</v>
      </c>
    </row>
    <row r="5864" spans="1:50" x14ac:dyDescent="0.25">
      <c r="A5864" s="2" t="s">
        <v>38208</v>
      </c>
      <c r="B5864" s="2">
        <v>209.123702083468</v>
      </c>
      <c r="C5864" s="2">
        <v>11.880366666666699</v>
      </c>
      <c r="D5864" s="2" t="s">
        <v>51</v>
      </c>
      <c r="E5864" s="2" t="s">
        <v>38209</v>
      </c>
      <c r="F5864" s="2">
        <v>54346</v>
      </c>
      <c r="G5864" s="3" t="str">
        <f>HYPERLINK("https://cloud.oebiotech.com/#/lm/network/54346", "https://cloud.oebiotech.com/#/lm/network/54346")</f>
        <v>https://cloud.oebiotech.com/#/lm/network/54346</v>
      </c>
      <c r="H5864" s="2" t="s">
        <v>38210</v>
      </c>
      <c r="I5864" s="2">
        <v>86233</v>
      </c>
      <c r="J5864" s="2"/>
      <c r="K5864" s="2">
        <v>87253507</v>
      </c>
      <c r="L5864" s="2"/>
      <c r="M5864" s="2"/>
      <c r="N5864" s="2"/>
      <c r="O5864" s="2">
        <v>168371</v>
      </c>
      <c r="P5864" s="2"/>
      <c r="Q5864" s="2"/>
      <c r="R5864" s="2" t="s">
        <v>38211</v>
      </c>
      <c r="S5864" s="2" t="s">
        <v>38212</v>
      </c>
      <c r="T5864" s="2" t="s">
        <v>38213</v>
      </c>
      <c r="U5864" s="2" t="s">
        <v>103</v>
      </c>
      <c r="V5864" s="2" t="s">
        <v>104</v>
      </c>
      <c r="W5864" s="2" t="s">
        <v>105</v>
      </c>
      <c r="X5864" s="2" t="s">
        <v>147</v>
      </c>
      <c r="Y5864" s="2">
        <v>37.5</v>
      </c>
      <c r="Z5864" s="2">
        <v>0</v>
      </c>
      <c r="AA5864" s="2" t="s">
        <v>512</v>
      </c>
      <c r="AB5864" s="2" t="s">
        <v>38214</v>
      </c>
      <c r="AC5864" s="2">
        <v>-3.8168076274041298</v>
      </c>
      <c r="AD5864" s="2"/>
      <c r="AE5864" s="2">
        <v>4.3944102561025104E-3</v>
      </c>
      <c r="AF5864" s="2">
        <v>2117.3657140649102</v>
      </c>
      <c r="AG5864" s="2">
        <v>2133.1071326391602</v>
      </c>
      <c r="AH5864" s="4">
        <v>0.99262042757563296</v>
      </c>
      <c r="AI5864" s="4">
        <v>-1.0685950086286099E-2</v>
      </c>
      <c r="AJ5864" s="4" t="s">
        <v>62</v>
      </c>
      <c r="AK5864" s="2">
        <v>0.99365305130912096</v>
      </c>
      <c r="AL5864" s="2">
        <v>0.99650644689565104</v>
      </c>
      <c r="AM5864" s="2">
        <v>0.511429621310314</v>
      </c>
      <c r="AN5864" s="2">
        <v>8.559877937157E-6</v>
      </c>
      <c r="AO5864" s="2">
        <v>6862.3142021461199</v>
      </c>
      <c r="AP5864" s="2">
        <v>0.99296668150224499</v>
      </c>
      <c r="AQ5864" s="2">
        <v>5840.3756688207704</v>
      </c>
      <c r="AR5864" s="2">
        <v>8.559877937157E-6</v>
      </c>
      <c r="AS5864" s="2">
        <v>7595.8922091232198</v>
      </c>
      <c r="AT5864" s="2">
        <v>1.11114474516866</v>
      </c>
      <c r="AU5864" s="2">
        <v>5201.6394162869101</v>
      </c>
      <c r="AV5864" s="2">
        <v>8.559877937157E-6</v>
      </c>
      <c r="AW5864" s="2">
        <v>8.559877937157E-6</v>
      </c>
      <c r="AX5864" s="2">
        <v>8.559877937157E-6</v>
      </c>
    </row>
    <row r="5865" spans="1:50" x14ac:dyDescent="0.25">
      <c r="A5865" s="2" t="s">
        <v>38215</v>
      </c>
      <c r="B5865" s="2">
        <v>469.16191762885302</v>
      </c>
      <c r="C5865" s="2">
        <v>7.7465999999999999</v>
      </c>
      <c r="D5865" s="2" t="s">
        <v>51</v>
      </c>
      <c r="E5865" s="2" t="s">
        <v>38216</v>
      </c>
      <c r="F5865" s="2">
        <v>207921</v>
      </c>
      <c r="G5865" s="3" t="str">
        <f>HYPERLINK("https://cloud.oebiotech.com/#/lm/network/207921", "https://cloud.oebiotech.com/#/lm/network/207921")</f>
        <v>https://cloud.oebiotech.com/#/lm/network/207921</v>
      </c>
      <c r="H5865" s="2" t="s">
        <v>38217</v>
      </c>
      <c r="I5865" s="2"/>
      <c r="J5865" s="2"/>
      <c r="K5865" s="2">
        <v>4633677</v>
      </c>
      <c r="L5865" s="2"/>
      <c r="M5865" s="2"/>
      <c r="N5865" s="2"/>
      <c r="O5865" s="2"/>
      <c r="P5865" s="2"/>
      <c r="Q5865" s="2"/>
      <c r="R5865" s="2"/>
      <c r="S5865" s="2" t="s">
        <v>38218</v>
      </c>
      <c r="T5865" s="2" t="s">
        <v>38219</v>
      </c>
      <c r="U5865" s="2" t="s">
        <v>610</v>
      </c>
      <c r="V5865" s="2" t="s">
        <v>895</v>
      </c>
      <c r="W5865" s="2" t="s">
        <v>919</v>
      </c>
      <c r="X5865" s="2" t="s">
        <v>147</v>
      </c>
      <c r="Y5865" s="2">
        <v>39.299999999999997</v>
      </c>
      <c r="Z5865" s="2">
        <v>0</v>
      </c>
      <c r="AA5865" s="2" t="s">
        <v>478</v>
      </c>
      <c r="AB5865" s="2" t="s">
        <v>38220</v>
      </c>
      <c r="AC5865" s="2">
        <v>0.59183187959800099</v>
      </c>
      <c r="AD5865" s="2"/>
      <c r="AE5865" s="2">
        <v>4.3799306947486204E-3</v>
      </c>
      <c r="AF5865" s="2">
        <v>219.45115259135801</v>
      </c>
      <c r="AG5865" s="2">
        <v>260.14071762480501</v>
      </c>
      <c r="AH5865" s="4">
        <v>0.84358632741171602</v>
      </c>
      <c r="AI5865" s="4">
        <v>-0.24539238232470501</v>
      </c>
      <c r="AJ5865" s="4" t="s">
        <v>62</v>
      </c>
      <c r="AK5865" s="2">
        <v>0.84524015307583</v>
      </c>
      <c r="AL5865" s="2">
        <v>0.93101869922285796</v>
      </c>
      <c r="AM5865" s="2">
        <v>8.559877937157E-6</v>
      </c>
      <c r="AN5865" s="2">
        <v>149.30559681413001</v>
      </c>
      <c r="AO5865" s="2">
        <v>628.24870214897601</v>
      </c>
      <c r="AP5865" s="2">
        <v>324.33174374808402</v>
      </c>
      <c r="AQ5865" s="2">
        <v>8.559877937157E-6</v>
      </c>
      <c r="AR5865" s="2">
        <v>214.820855717201</v>
      </c>
      <c r="AS5865" s="2">
        <v>510.02858098783997</v>
      </c>
      <c r="AT5865" s="2">
        <v>1050.8156905214801</v>
      </c>
      <c r="AU5865" s="2">
        <v>8.559877937157E-6</v>
      </c>
      <c r="AV5865" s="2">
        <v>8.559877937157E-6</v>
      </c>
      <c r="AW5865" s="2">
        <v>8.559877937157E-6</v>
      </c>
      <c r="AX5865" s="2">
        <v>8.559877937157E-6</v>
      </c>
    </row>
    <row r="5866" spans="1:50" x14ac:dyDescent="0.25">
      <c r="A5866" s="2" t="s">
        <v>38221</v>
      </c>
      <c r="B5866" s="2">
        <v>200.20140948842001</v>
      </c>
      <c r="C5866" s="2">
        <v>10.2914333333333</v>
      </c>
      <c r="D5866" s="2" t="s">
        <v>51</v>
      </c>
      <c r="E5866" s="2" t="s">
        <v>38222</v>
      </c>
      <c r="F5866" s="2">
        <v>8564</v>
      </c>
      <c r="G5866" s="3" t="str">
        <f>HYPERLINK("https://cloud.oebiotech.com/#/lm/network/8564", "https://cloud.oebiotech.com/#/lm/network/8564")</f>
        <v>https://cloud.oebiotech.com/#/lm/network/8564</v>
      </c>
      <c r="H5866" s="2" t="s">
        <v>38223</v>
      </c>
      <c r="I5866" s="2">
        <v>36671</v>
      </c>
      <c r="J5866" s="2" t="s">
        <v>38224</v>
      </c>
      <c r="K5866" s="2">
        <v>14256</v>
      </c>
      <c r="L5866" s="2" t="s">
        <v>38225</v>
      </c>
      <c r="M5866" s="2"/>
      <c r="N5866" s="2"/>
      <c r="O5866" s="2">
        <v>34726</v>
      </c>
      <c r="P5866" s="2"/>
      <c r="Q5866" s="2"/>
      <c r="R5866" s="2"/>
      <c r="S5866" s="2" t="s">
        <v>38226</v>
      </c>
      <c r="T5866" s="2" t="s">
        <v>38227</v>
      </c>
      <c r="U5866" s="2" t="s">
        <v>56</v>
      </c>
      <c r="V5866" s="2" t="s">
        <v>145</v>
      </c>
      <c r="W5866" s="2" t="s">
        <v>1617</v>
      </c>
      <c r="X5866" s="2" t="s">
        <v>69</v>
      </c>
      <c r="Y5866" s="2">
        <v>63.3</v>
      </c>
      <c r="Z5866" s="2">
        <v>75.5</v>
      </c>
      <c r="AA5866" s="2" t="s">
        <v>259</v>
      </c>
      <c r="AB5866" s="2" t="s">
        <v>38228</v>
      </c>
      <c r="AC5866" s="2">
        <v>2.6036492759948402</v>
      </c>
      <c r="AD5866" s="2"/>
      <c r="AE5866" s="2">
        <v>4.3307701611170601E-3</v>
      </c>
      <c r="AF5866" s="2">
        <v>50408.046109527902</v>
      </c>
      <c r="AG5866" s="2">
        <v>50307.195122814199</v>
      </c>
      <c r="AH5866" s="5">
        <v>1.0020047030343799</v>
      </c>
      <c r="AI5866" s="5">
        <v>2.88928001860006E-3</v>
      </c>
      <c r="AJ5866" s="5" t="s">
        <v>139</v>
      </c>
      <c r="AK5866" s="2">
        <v>0.99832578437446695</v>
      </c>
      <c r="AL5866" s="2">
        <v>0.99920712078861496</v>
      </c>
      <c r="AM5866" s="2">
        <v>4461.4397469884198</v>
      </c>
      <c r="AN5866" s="2">
        <v>4933.16167893493</v>
      </c>
      <c r="AO5866" s="2">
        <v>43927.829754041697</v>
      </c>
      <c r="AP5866" s="2">
        <v>6711.56749552565</v>
      </c>
      <c r="AQ5866" s="2">
        <v>235014.76800392501</v>
      </c>
      <c r="AR5866" s="2">
        <v>7399.5099777514297</v>
      </c>
      <c r="AS5866" s="2">
        <v>72422.483476295194</v>
      </c>
      <c r="AT5866" s="2">
        <v>8122.2861605456701</v>
      </c>
      <c r="AU5866" s="2">
        <v>181936.03830634701</v>
      </c>
      <c r="AV5866" s="2">
        <v>9844.9183603746096</v>
      </c>
      <c r="AW5866" s="2">
        <v>7438.1705573710497</v>
      </c>
      <c r="AX5866" s="2">
        <v>22079.2738759514</v>
      </c>
    </row>
    <row r="5867" spans="1:50" x14ac:dyDescent="0.25">
      <c r="A5867" s="2" t="s">
        <v>38229</v>
      </c>
      <c r="B5867" s="2">
        <v>563.43204359404899</v>
      </c>
      <c r="C5867" s="2">
        <v>14.465633333333299</v>
      </c>
      <c r="D5867" s="2" t="s">
        <v>51</v>
      </c>
      <c r="E5867" s="2" t="s">
        <v>38230</v>
      </c>
      <c r="F5867" s="2">
        <v>1723</v>
      </c>
      <c r="G5867" s="3" t="str">
        <f>HYPERLINK("https://cloud.oebiotech.com/#/lm/network/1723", "https://cloud.oebiotech.com/#/lm/network/1723")</f>
        <v>https://cloud.oebiotech.com/#/lm/network/1723</v>
      </c>
      <c r="H5867" s="2"/>
      <c r="I5867" s="2">
        <v>35515</v>
      </c>
      <c r="J5867" s="2" t="s">
        <v>38231</v>
      </c>
      <c r="K5867" s="2">
        <v>5282972</v>
      </c>
      <c r="L5867" s="2"/>
      <c r="M5867" s="2"/>
      <c r="N5867" s="2"/>
      <c r="O5867" s="2"/>
      <c r="P5867" s="2"/>
      <c r="Q5867" s="2"/>
      <c r="R5867" s="2" t="s">
        <v>38232</v>
      </c>
      <c r="S5867" s="2" t="s">
        <v>38233</v>
      </c>
      <c r="T5867" s="2" t="s">
        <v>38234</v>
      </c>
      <c r="U5867" s="2" t="s">
        <v>56</v>
      </c>
      <c r="V5867" s="2" t="s">
        <v>145</v>
      </c>
      <c r="W5867" s="2" t="s">
        <v>231</v>
      </c>
      <c r="X5867" s="2" t="s">
        <v>147</v>
      </c>
      <c r="Y5867" s="2">
        <v>41.4</v>
      </c>
      <c r="Z5867" s="2">
        <v>12.8</v>
      </c>
      <c r="AA5867" s="2" t="s">
        <v>478</v>
      </c>
      <c r="AB5867" s="2" t="s">
        <v>38235</v>
      </c>
      <c r="AC5867" s="2">
        <v>0.58533250779214696</v>
      </c>
      <c r="AD5867" s="2"/>
      <c r="AE5867" s="2">
        <v>4.2686249114575097E-3</v>
      </c>
      <c r="AF5867" s="2">
        <v>1916.1880056965399</v>
      </c>
      <c r="AG5867" s="2">
        <v>1747.8331613760799</v>
      </c>
      <c r="AH5867" s="5">
        <v>1.0963220334988499</v>
      </c>
      <c r="AI5867" s="5">
        <v>0.132671637614039</v>
      </c>
      <c r="AJ5867" s="5" t="s">
        <v>139</v>
      </c>
      <c r="AK5867" s="2">
        <v>0.85607303194756001</v>
      </c>
      <c r="AL5867" s="2">
        <v>0.936349592975804</v>
      </c>
      <c r="AM5867" s="2">
        <v>698.34224474657003</v>
      </c>
      <c r="AN5867" s="2">
        <v>2651.47852251328</v>
      </c>
      <c r="AO5867" s="2">
        <v>3263.7700015226901</v>
      </c>
      <c r="AP5867" s="2">
        <v>2307.2028765773598</v>
      </c>
      <c r="AQ5867" s="2">
        <v>954.58035250331102</v>
      </c>
      <c r="AR5867" s="2">
        <v>1621.7540363160299</v>
      </c>
      <c r="AS5867" s="2">
        <v>8.559877937157E-6</v>
      </c>
      <c r="AT5867" s="2">
        <v>8.559877937157E-6</v>
      </c>
      <c r="AU5867" s="2">
        <v>2261.9046699668202</v>
      </c>
      <c r="AV5867" s="2">
        <v>1132.2232684790499</v>
      </c>
      <c r="AW5867" s="2">
        <v>5324.0190103705399</v>
      </c>
      <c r="AX5867" s="2">
        <v>1768.85200232032</v>
      </c>
    </row>
    <row r="5868" spans="1:50" x14ac:dyDescent="0.25">
      <c r="A5868" s="2" t="s">
        <v>38236</v>
      </c>
      <c r="B5868" s="2">
        <v>362.98967574799099</v>
      </c>
      <c r="C5868" s="2">
        <v>1.02813333333333</v>
      </c>
      <c r="D5868" s="2" t="s">
        <v>51</v>
      </c>
      <c r="E5868" s="2" t="s">
        <v>38237</v>
      </c>
      <c r="F5868" s="2">
        <v>53140</v>
      </c>
      <c r="G5868" s="3" t="str">
        <f>HYPERLINK("https://cloud.oebiotech.com/#/lm/network/53140", "https://cloud.oebiotech.com/#/lm/network/53140")</f>
        <v>https://cloud.oebiotech.com/#/lm/network/53140</v>
      </c>
      <c r="H5868" s="2" t="s">
        <v>38238</v>
      </c>
      <c r="I5868" s="2">
        <v>2393</v>
      </c>
      <c r="J5868" s="2"/>
      <c r="K5868" s="2">
        <v>5284549</v>
      </c>
      <c r="L5868" s="2" t="s">
        <v>38239</v>
      </c>
      <c r="M5868" s="2"/>
      <c r="N5868" s="2"/>
      <c r="O5868" s="2">
        <v>4702</v>
      </c>
      <c r="P5868" s="2"/>
      <c r="Q5868" s="2"/>
      <c r="R5868" s="2" t="s">
        <v>38240</v>
      </c>
      <c r="S5868" s="2" t="s">
        <v>38241</v>
      </c>
      <c r="T5868" s="2" t="s">
        <v>38242</v>
      </c>
      <c r="U5868" s="2" t="s">
        <v>266</v>
      </c>
      <c r="V5868" s="2" t="s">
        <v>11162</v>
      </c>
      <c r="W5868" s="2" t="s">
        <v>38243</v>
      </c>
      <c r="X5868" s="2" t="s">
        <v>147</v>
      </c>
      <c r="Y5868" s="2">
        <v>36.6</v>
      </c>
      <c r="Z5868" s="2">
        <v>0</v>
      </c>
      <c r="AA5868" s="2" t="s">
        <v>395</v>
      </c>
      <c r="AB5868" s="2" t="s">
        <v>38244</v>
      </c>
      <c r="AC5868" s="2">
        <v>-2.1675122520625498</v>
      </c>
      <c r="AD5868" s="2"/>
      <c r="AE5868" s="2">
        <v>4.2259967520050503E-3</v>
      </c>
      <c r="AF5868" s="2">
        <v>1734.31509248116</v>
      </c>
      <c r="AG5868" s="2">
        <v>1792.28525167918</v>
      </c>
      <c r="AH5868" s="4">
        <v>0.96765572938587097</v>
      </c>
      <c r="AI5868" s="4">
        <v>-4.7434235249801102E-2</v>
      </c>
      <c r="AJ5868" s="4" t="s">
        <v>62</v>
      </c>
      <c r="AK5868" s="2">
        <v>0.88974877874333003</v>
      </c>
      <c r="AL5868" s="2">
        <v>0.95226347994190097</v>
      </c>
      <c r="AM5868" s="2">
        <v>2244.0616483409799</v>
      </c>
      <c r="AN5868" s="2">
        <v>1149.80143777286</v>
      </c>
      <c r="AO5868" s="2">
        <v>633.66042657834203</v>
      </c>
      <c r="AP5868" s="2">
        <v>2146.7235064646002</v>
      </c>
      <c r="AQ5868" s="2">
        <v>2755.4057751956602</v>
      </c>
      <c r="AR5868" s="2">
        <v>1476.23776053449</v>
      </c>
      <c r="AS5868" s="2">
        <v>1814.1756331807101</v>
      </c>
      <c r="AT5868" s="2">
        <v>2024.0365336455</v>
      </c>
      <c r="AU5868" s="2">
        <v>2727.1906478954502</v>
      </c>
      <c r="AV5868" s="2">
        <v>1372.59467495731</v>
      </c>
      <c r="AW5868" s="2">
        <v>1904.7449124068301</v>
      </c>
      <c r="AX5868" s="2">
        <v>910.96910798927104</v>
      </c>
    </row>
    <row r="5869" spans="1:50" x14ac:dyDescent="0.25">
      <c r="A5869" s="2" t="s">
        <v>38245</v>
      </c>
      <c r="B5869" s="2">
        <v>606.29026502735405</v>
      </c>
      <c r="C5869" s="2">
        <v>4.4640000000000004</v>
      </c>
      <c r="D5869" s="2" t="s">
        <v>51</v>
      </c>
      <c r="E5869" s="2" t="s">
        <v>38246</v>
      </c>
      <c r="F5869" s="2">
        <v>61093</v>
      </c>
      <c r="G5869" s="3" t="str">
        <f>HYPERLINK("https://cloud.oebiotech.com/#/lm/network/61093", "https://cloud.oebiotech.com/#/lm/network/61093")</f>
        <v>https://cloud.oebiotech.com/#/lm/network/61093</v>
      </c>
      <c r="H5869" s="2" t="s">
        <v>38247</v>
      </c>
      <c r="I5869" s="2">
        <v>92412</v>
      </c>
      <c r="J5869" s="2"/>
      <c r="K5869" s="2">
        <v>3825286</v>
      </c>
      <c r="L5869" s="2"/>
      <c r="M5869" s="2"/>
      <c r="N5869" s="2"/>
      <c r="O5869" s="2"/>
      <c r="P5869" s="2"/>
      <c r="Q5869" s="2"/>
      <c r="R5869" s="2" t="s">
        <v>38248</v>
      </c>
      <c r="S5869" s="2" t="s">
        <v>38249</v>
      </c>
      <c r="T5869" s="2" t="s">
        <v>38250</v>
      </c>
      <c r="U5869" s="2" t="s">
        <v>103</v>
      </c>
      <c r="V5869" s="2" t="s">
        <v>104</v>
      </c>
      <c r="W5869" s="2" t="s">
        <v>4850</v>
      </c>
      <c r="X5869" s="2" t="s">
        <v>147</v>
      </c>
      <c r="Y5869" s="2">
        <v>41.5</v>
      </c>
      <c r="Z5869" s="2">
        <v>21.4</v>
      </c>
      <c r="AA5869" s="2" t="s">
        <v>512</v>
      </c>
      <c r="AB5869" s="2" t="s">
        <v>38251</v>
      </c>
      <c r="AC5869" s="2">
        <v>-1.0583818637815701</v>
      </c>
      <c r="AD5869" s="2"/>
      <c r="AE5869" s="2">
        <v>4.1525106175620604E-3</v>
      </c>
      <c r="AF5869" s="2">
        <v>8534.0245913536091</v>
      </c>
      <c r="AG5869" s="2">
        <v>8391.8830275700602</v>
      </c>
      <c r="AH5869" s="5">
        <v>1.01693798201388</v>
      </c>
      <c r="AI5869" s="5">
        <v>2.4231699088014001E-2</v>
      </c>
      <c r="AJ5869" s="5" t="s">
        <v>139</v>
      </c>
      <c r="AK5869" s="2">
        <v>0.957729111476878</v>
      </c>
      <c r="AL5869" s="2">
        <v>0.98245377088014596</v>
      </c>
      <c r="AM5869" s="2">
        <v>7481.1944788373303</v>
      </c>
      <c r="AN5869" s="2">
        <v>9004.1229496607702</v>
      </c>
      <c r="AO5869" s="2">
        <v>8228.5499844524493</v>
      </c>
      <c r="AP5869" s="2">
        <v>10149.449745760299</v>
      </c>
      <c r="AQ5869" s="2">
        <v>7774.4321335278801</v>
      </c>
      <c r="AR5869" s="2">
        <v>8566.3982558829593</v>
      </c>
      <c r="AS5869" s="2">
        <v>379.29053589915497</v>
      </c>
      <c r="AT5869" s="2">
        <v>6616.3078234429304</v>
      </c>
      <c r="AU5869" s="2">
        <v>11078.017414780799</v>
      </c>
      <c r="AV5869" s="2">
        <v>5154.54186032087</v>
      </c>
      <c r="AW5869" s="2">
        <v>19134.0242778221</v>
      </c>
      <c r="AX5869" s="2">
        <v>7989.1162531544896</v>
      </c>
    </row>
    <row r="5870" spans="1:50" x14ac:dyDescent="0.25">
      <c r="A5870" s="2" t="s">
        <v>38252</v>
      </c>
      <c r="B5870" s="2">
        <v>241.227965774225</v>
      </c>
      <c r="C5870" s="2">
        <v>10.2914333333333</v>
      </c>
      <c r="D5870" s="2" t="s">
        <v>51</v>
      </c>
      <c r="E5870" s="2" t="s">
        <v>38253</v>
      </c>
      <c r="F5870" s="2">
        <v>8738</v>
      </c>
      <c r="G5870" s="3" t="str">
        <f>HYPERLINK("https://cloud.oebiotech.com/#/lm/network/8738", "https://cloud.oebiotech.com/#/lm/network/8738")</f>
        <v>https://cloud.oebiotech.com/#/lm/network/8738</v>
      </c>
      <c r="H5870" s="2" t="s">
        <v>38254</v>
      </c>
      <c r="I5870" s="2">
        <v>87312</v>
      </c>
      <c r="J5870" s="2" t="s">
        <v>38255</v>
      </c>
      <c r="K5870" s="2">
        <v>11368078</v>
      </c>
      <c r="L5870" s="2"/>
      <c r="M5870" s="2"/>
      <c r="N5870" s="2"/>
      <c r="O5870" s="2"/>
      <c r="P5870" s="2"/>
      <c r="Q5870" s="2"/>
      <c r="R5870" s="2" t="s">
        <v>38256</v>
      </c>
      <c r="S5870" s="2" t="s">
        <v>38257</v>
      </c>
      <c r="T5870" s="2" t="s">
        <v>38258</v>
      </c>
      <c r="U5870" s="2" t="s">
        <v>56</v>
      </c>
      <c r="V5870" s="2" t="s">
        <v>145</v>
      </c>
      <c r="W5870" s="2" t="s">
        <v>1617</v>
      </c>
      <c r="X5870" s="2" t="s">
        <v>147</v>
      </c>
      <c r="Y5870" s="2">
        <v>37.6</v>
      </c>
      <c r="Z5870" s="2">
        <v>0</v>
      </c>
      <c r="AA5870" s="2" t="s">
        <v>512</v>
      </c>
      <c r="AB5870" s="2" t="s">
        <v>38259</v>
      </c>
      <c r="AC5870" s="2">
        <v>2.3558833277168998</v>
      </c>
      <c r="AD5870" s="2"/>
      <c r="AE5870" s="2">
        <v>4.1162476204112302E-3</v>
      </c>
      <c r="AF5870" s="2">
        <v>1120.9478737014799</v>
      </c>
      <c r="AG5870" s="2">
        <v>1107.5745850010301</v>
      </c>
      <c r="AH5870" s="5">
        <v>1.01207439108982</v>
      </c>
      <c r="AI5870" s="5">
        <v>1.7315337178409301E-2</v>
      </c>
      <c r="AJ5870" s="5" t="s">
        <v>139</v>
      </c>
      <c r="AK5870" s="2">
        <v>0.99219456826119601</v>
      </c>
      <c r="AL5870" s="2">
        <v>0.99622174053217005</v>
      </c>
      <c r="AM5870" s="2">
        <v>8.559877937157E-6</v>
      </c>
      <c r="AN5870" s="2">
        <v>8.559877937157E-6</v>
      </c>
      <c r="AO5870" s="2">
        <v>407.98942001572402</v>
      </c>
      <c r="AP5870" s="2">
        <v>8.559877937157E-6</v>
      </c>
      <c r="AQ5870" s="2">
        <v>6317.6977879536198</v>
      </c>
      <c r="AR5870" s="2">
        <v>8.559877937157E-6</v>
      </c>
      <c r="AS5870" s="2">
        <v>1580.4746921420001</v>
      </c>
      <c r="AT5870" s="2">
        <v>8.559877937157E-6</v>
      </c>
      <c r="AU5870" s="2">
        <v>5064.9727836246402</v>
      </c>
      <c r="AV5870" s="2">
        <v>8.559877937157E-6</v>
      </c>
      <c r="AW5870" s="2">
        <v>8.559877937157E-6</v>
      </c>
      <c r="AX5870" s="2">
        <v>8.559877937157E-6</v>
      </c>
    </row>
    <row r="5871" spans="1:50" x14ac:dyDescent="0.25">
      <c r="A5871" s="2" t="s">
        <v>38260</v>
      </c>
      <c r="B5871" s="2">
        <v>325.23839199667901</v>
      </c>
      <c r="C5871" s="2">
        <v>10.877549999999999</v>
      </c>
      <c r="D5871" s="2" t="s">
        <v>51</v>
      </c>
      <c r="E5871" s="2" t="s">
        <v>38261</v>
      </c>
      <c r="F5871" s="2">
        <v>2265</v>
      </c>
      <c r="G5871" s="3" t="str">
        <f>HYPERLINK("https://cloud.oebiotech.com/#/lm/network/2265", "https://cloud.oebiotech.com/#/lm/network/2265")</f>
        <v>https://cloud.oebiotech.com/#/lm/network/2265</v>
      </c>
      <c r="H5871" s="2"/>
      <c r="I5871" s="2">
        <v>74813</v>
      </c>
      <c r="J5871" s="2" t="s">
        <v>38262</v>
      </c>
      <c r="K5871" s="2">
        <v>5283022</v>
      </c>
      <c r="L5871" s="2"/>
      <c r="M5871" s="2"/>
      <c r="N5871" s="2"/>
      <c r="O5871" s="2"/>
      <c r="P5871" s="2"/>
      <c r="Q5871" s="2"/>
      <c r="R5871" s="2"/>
      <c r="S5871" s="2" t="s">
        <v>38263</v>
      </c>
      <c r="T5871" s="2" t="s">
        <v>38264</v>
      </c>
      <c r="U5871" s="2" t="s">
        <v>56</v>
      </c>
      <c r="V5871" s="2" t="s">
        <v>145</v>
      </c>
      <c r="W5871" s="2" t="s">
        <v>203</v>
      </c>
      <c r="X5871" s="2" t="s">
        <v>83</v>
      </c>
      <c r="Y5871" s="2">
        <v>44.9</v>
      </c>
      <c r="Z5871" s="2">
        <v>0</v>
      </c>
      <c r="AA5871" s="2" t="s">
        <v>163</v>
      </c>
      <c r="AB5871" s="2" t="s">
        <v>28680</v>
      </c>
      <c r="AC5871" s="2">
        <v>-0.12610109504841299</v>
      </c>
      <c r="AD5871" s="2"/>
      <c r="AE5871" s="2">
        <v>3.8989236815597898E-3</v>
      </c>
      <c r="AF5871" s="2">
        <v>7124.9482850290096</v>
      </c>
      <c r="AG5871" s="2">
        <v>7519.2059725201398</v>
      </c>
      <c r="AH5871" s="4">
        <v>0.94756657964524604</v>
      </c>
      <c r="AI5871" s="4">
        <v>-7.7700778781072205E-2</v>
      </c>
      <c r="AJ5871" s="4" t="s">
        <v>62</v>
      </c>
      <c r="AK5871" s="2">
        <v>0.86134784584702995</v>
      </c>
      <c r="AL5871" s="2">
        <v>0.93991664755551796</v>
      </c>
      <c r="AM5871" s="2">
        <v>5244.9187004442001</v>
      </c>
      <c r="AN5871" s="2">
        <v>11629.1261219265</v>
      </c>
      <c r="AO5871" s="2">
        <v>9499.2053188905993</v>
      </c>
      <c r="AP5871" s="2">
        <v>7125.6607729671896</v>
      </c>
      <c r="AQ5871" s="2">
        <v>2780.6974366426298</v>
      </c>
      <c r="AR5871" s="2">
        <v>6470.0813593029497</v>
      </c>
      <c r="AS5871" s="2">
        <v>4179.9196638605199</v>
      </c>
      <c r="AT5871" s="2">
        <v>5504.1563585042504</v>
      </c>
      <c r="AU5871" s="2">
        <v>15529.283901938101</v>
      </c>
      <c r="AV5871" s="2">
        <v>9764.5029973262499</v>
      </c>
      <c r="AW5871" s="2">
        <v>5025.3895962014403</v>
      </c>
      <c r="AX5871" s="2">
        <v>5111.98331729027</v>
      </c>
    </row>
    <row r="5872" spans="1:50" x14ac:dyDescent="0.25">
      <c r="A5872" s="2" t="s">
        <v>38265</v>
      </c>
      <c r="B5872" s="2">
        <v>464.207725316606</v>
      </c>
      <c r="C5872" s="2">
        <v>4.6064833333333297</v>
      </c>
      <c r="D5872" s="2" t="s">
        <v>51</v>
      </c>
      <c r="E5872" s="2" t="s">
        <v>38266</v>
      </c>
      <c r="F5872" s="2">
        <v>197226</v>
      </c>
      <c r="G5872" s="3" t="str">
        <f>HYPERLINK("https://cloud.oebiotech.com/#/lm/network/197226", "https://cloud.oebiotech.com/#/lm/network/197226")</f>
        <v>https://cloud.oebiotech.com/#/lm/network/197226</v>
      </c>
      <c r="H5872" s="2" t="s">
        <v>38267</v>
      </c>
      <c r="I5872" s="2"/>
      <c r="J5872" s="2"/>
      <c r="K5872" s="2">
        <v>92970719</v>
      </c>
      <c r="L5872" s="2"/>
      <c r="M5872" s="2"/>
      <c r="N5872" s="2"/>
      <c r="O5872" s="2"/>
      <c r="P5872" s="2"/>
      <c r="Q5872" s="2"/>
      <c r="R5872" s="2" t="s">
        <v>38268</v>
      </c>
      <c r="S5872" s="2" t="s">
        <v>38269</v>
      </c>
      <c r="T5872" s="2" t="s">
        <v>38270</v>
      </c>
      <c r="U5872" s="2" t="s">
        <v>103</v>
      </c>
      <c r="V5872" s="2" t="s">
        <v>104</v>
      </c>
      <c r="W5872" s="2" t="s">
        <v>105</v>
      </c>
      <c r="X5872" s="2" t="s">
        <v>69</v>
      </c>
      <c r="Y5872" s="2">
        <v>47.1</v>
      </c>
      <c r="Z5872" s="2">
        <v>57.6</v>
      </c>
      <c r="AA5872" s="2" t="s">
        <v>259</v>
      </c>
      <c r="AB5872" s="2" t="s">
        <v>38271</v>
      </c>
      <c r="AC5872" s="2">
        <v>3.48199367214613</v>
      </c>
      <c r="AD5872" s="2"/>
      <c r="AE5872" s="2">
        <v>3.7917701373126498E-3</v>
      </c>
      <c r="AF5872" s="2">
        <v>692.62808170416702</v>
      </c>
      <c r="AG5872" s="2">
        <v>669.59935421054502</v>
      </c>
      <c r="AH5872" s="5">
        <v>1.03439180063244</v>
      </c>
      <c r="AI5872" s="5">
        <v>4.8782744419935901E-2</v>
      </c>
      <c r="AJ5872" s="5" t="s">
        <v>139</v>
      </c>
      <c r="AK5872" s="2">
        <v>0.97222944780822795</v>
      </c>
      <c r="AL5872" s="2">
        <v>0.98915546194842796</v>
      </c>
      <c r="AM5872" s="2">
        <v>112.583571213391</v>
      </c>
      <c r="AN5872" s="2">
        <v>8.559877937157E-6</v>
      </c>
      <c r="AO5872" s="2">
        <v>8.559877937157E-6</v>
      </c>
      <c r="AP5872" s="2">
        <v>8.559877937157E-6</v>
      </c>
      <c r="AQ5872" s="2">
        <v>1191.8137111070801</v>
      </c>
      <c r="AR5872" s="2">
        <v>2851.3711822249002</v>
      </c>
      <c r="AS5872" s="2">
        <v>8.559877937157E-6</v>
      </c>
      <c r="AT5872" s="2">
        <v>8.559877937157E-6</v>
      </c>
      <c r="AU5872" s="2">
        <v>2468.44960161787</v>
      </c>
      <c r="AV5872" s="2">
        <v>1549.14648940589</v>
      </c>
      <c r="AW5872" s="2">
        <v>8.559877937157E-6</v>
      </c>
      <c r="AX5872" s="2">
        <v>8.559877937157E-6</v>
      </c>
    </row>
    <row r="5873" spans="1:50" x14ac:dyDescent="0.25">
      <c r="A5873" s="2" t="s">
        <v>38272</v>
      </c>
      <c r="B5873" s="2">
        <v>309.22817812767198</v>
      </c>
      <c r="C5873" s="2">
        <v>2.7461166666666701</v>
      </c>
      <c r="D5873" s="2" t="s">
        <v>51</v>
      </c>
      <c r="E5873" s="2" t="s">
        <v>38273</v>
      </c>
      <c r="F5873" s="2">
        <v>209247</v>
      </c>
      <c r="G5873" s="3" t="str">
        <f>HYPERLINK("https://cloud.oebiotech.com/#/lm/network/209247", "https://cloud.oebiotech.com/#/lm/network/209247")</f>
        <v>https://cloud.oebiotech.com/#/lm/network/209247</v>
      </c>
      <c r="H5873" s="2" t="s">
        <v>38274</v>
      </c>
      <c r="I5873" s="2"/>
      <c r="J5873" s="2"/>
      <c r="K5873" s="2">
        <v>197959</v>
      </c>
      <c r="L5873" s="2"/>
      <c r="M5873" s="2"/>
      <c r="N5873" s="2"/>
      <c r="O5873" s="2"/>
      <c r="P5873" s="2"/>
      <c r="Q5873" s="2"/>
      <c r="R5873" s="2"/>
      <c r="S5873" s="2" t="s">
        <v>38275</v>
      </c>
      <c r="T5873" s="2" t="s">
        <v>38276</v>
      </c>
      <c r="U5873" s="2" t="s">
        <v>610</v>
      </c>
      <c r="V5873" s="2" t="s">
        <v>611</v>
      </c>
      <c r="W5873" s="2" t="s">
        <v>1122</v>
      </c>
      <c r="X5873" s="2" t="s">
        <v>147</v>
      </c>
      <c r="Y5873" s="2">
        <v>39.200000000000003</v>
      </c>
      <c r="Z5873" s="2">
        <v>1.24</v>
      </c>
      <c r="AA5873" s="2" t="s">
        <v>512</v>
      </c>
      <c r="AB5873" s="2" t="s">
        <v>38277</v>
      </c>
      <c r="AC5873" s="2">
        <v>-1.114229151417</v>
      </c>
      <c r="AD5873" s="2"/>
      <c r="AE5873" s="2">
        <v>3.7648367633085402E-3</v>
      </c>
      <c r="AF5873" s="2">
        <v>32630.194087679702</v>
      </c>
      <c r="AG5873" s="2">
        <v>33353.476382380803</v>
      </c>
      <c r="AH5873" s="4">
        <v>0.978314635439823</v>
      </c>
      <c r="AI5873" s="4">
        <v>-3.1629570417537098E-2</v>
      </c>
      <c r="AJ5873" s="4" t="s">
        <v>62</v>
      </c>
      <c r="AK5873" s="2">
        <v>0.87210482760913699</v>
      </c>
      <c r="AL5873" s="2">
        <v>0.94460412029343299</v>
      </c>
      <c r="AM5873" s="2">
        <v>31665.0972525738</v>
      </c>
      <c r="AN5873" s="2">
        <v>38221.682861328401</v>
      </c>
      <c r="AO5873" s="2">
        <v>33781.545209974</v>
      </c>
      <c r="AP5873" s="2">
        <v>38509.937672316402</v>
      </c>
      <c r="AQ5873" s="2">
        <v>30330.935949160299</v>
      </c>
      <c r="AR5873" s="2">
        <v>23271.9655807251</v>
      </c>
      <c r="AS5873" s="2">
        <v>35317.052334682099</v>
      </c>
      <c r="AT5873" s="2">
        <v>46786.280491922698</v>
      </c>
      <c r="AU5873" s="2">
        <v>25937.662578519099</v>
      </c>
      <c r="AV5873" s="2">
        <v>21652.412798451602</v>
      </c>
      <c r="AW5873" s="2">
        <v>31262.619699306801</v>
      </c>
      <c r="AX5873" s="2">
        <v>39164.830391402698</v>
      </c>
    </row>
    <row r="5874" spans="1:50" x14ac:dyDescent="0.25">
      <c r="A5874" s="2" t="s">
        <v>38278</v>
      </c>
      <c r="B5874" s="2">
        <v>423.31175586968601</v>
      </c>
      <c r="C5874" s="2">
        <v>12.363666666666701</v>
      </c>
      <c r="D5874" s="2" t="s">
        <v>51</v>
      </c>
      <c r="E5874" s="2" t="s">
        <v>38279</v>
      </c>
      <c r="F5874" s="2">
        <v>45776</v>
      </c>
      <c r="G5874" s="3" t="str">
        <f>HYPERLINK("https://cloud.oebiotech.com/#/lm/network/45776", "https://cloud.oebiotech.com/#/lm/network/45776")</f>
        <v>https://cloud.oebiotech.com/#/lm/network/45776</v>
      </c>
      <c r="H5874" s="2"/>
      <c r="I5874" s="2"/>
      <c r="J5874" s="2" t="s">
        <v>38280</v>
      </c>
      <c r="K5874" s="2">
        <v>24779625</v>
      </c>
      <c r="L5874" s="2"/>
      <c r="M5874" s="2"/>
      <c r="N5874" s="2"/>
      <c r="O5874" s="2"/>
      <c r="P5874" s="2"/>
      <c r="Q5874" s="2"/>
      <c r="R5874" s="2"/>
      <c r="S5874" s="2" t="s">
        <v>38281</v>
      </c>
      <c r="T5874" s="2" t="s">
        <v>38282</v>
      </c>
      <c r="U5874" s="2" t="s">
        <v>56</v>
      </c>
      <c r="V5874" s="2" t="s">
        <v>177</v>
      </c>
      <c r="W5874" s="2" t="s">
        <v>584</v>
      </c>
      <c r="X5874" s="2" t="s">
        <v>147</v>
      </c>
      <c r="Y5874" s="2">
        <v>37.6</v>
      </c>
      <c r="Z5874" s="2">
        <v>0</v>
      </c>
      <c r="AA5874" s="2" t="s">
        <v>218</v>
      </c>
      <c r="AB5874" s="2" t="s">
        <v>38283</v>
      </c>
      <c r="AC5874" s="2">
        <v>0.41709880722894699</v>
      </c>
      <c r="AD5874" s="2"/>
      <c r="AE5874" s="2">
        <v>3.7270189978663602E-3</v>
      </c>
      <c r="AF5874" s="2">
        <v>1353.8603083223099</v>
      </c>
      <c r="AG5874" s="2">
        <v>1239.8218520770299</v>
      </c>
      <c r="AH5874" s="5">
        <v>1.09197971148374</v>
      </c>
      <c r="AI5874" s="5">
        <v>0.126946051849603</v>
      </c>
      <c r="AJ5874" s="5" t="s">
        <v>139</v>
      </c>
      <c r="AK5874" s="2">
        <v>0.87602024564211101</v>
      </c>
      <c r="AL5874" s="2">
        <v>0.947279880587512</v>
      </c>
      <c r="AM5874" s="2">
        <v>466.83046827819902</v>
      </c>
      <c r="AN5874" s="2">
        <v>1486.43717917256</v>
      </c>
      <c r="AO5874" s="2">
        <v>889.117233338299</v>
      </c>
      <c r="AP5874" s="2">
        <v>4245.2332343054604</v>
      </c>
      <c r="AQ5874" s="2">
        <v>629.98281870029905</v>
      </c>
      <c r="AR5874" s="2">
        <v>405.56091613903499</v>
      </c>
      <c r="AS5874" s="2">
        <v>8.559877937157E-6</v>
      </c>
      <c r="AT5874" s="2">
        <v>2000.5763910990199</v>
      </c>
      <c r="AU5874" s="2">
        <v>1909.0920155108099</v>
      </c>
      <c r="AV5874" s="2">
        <v>197.16840814610001</v>
      </c>
      <c r="AW5874" s="2">
        <v>2119.0537516889199</v>
      </c>
      <c r="AX5874" s="2">
        <v>1213.04053745747</v>
      </c>
    </row>
    <row r="5875" spans="1:50" x14ac:dyDescent="0.25">
      <c r="A5875" s="2" t="s">
        <v>38284</v>
      </c>
      <c r="B5875" s="2">
        <v>149.045208884793</v>
      </c>
      <c r="C5875" s="2">
        <v>1.5916999999999999</v>
      </c>
      <c r="D5875" s="2" t="s">
        <v>51</v>
      </c>
      <c r="E5875" s="2" t="s">
        <v>38285</v>
      </c>
      <c r="F5875" s="2">
        <v>47757</v>
      </c>
      <c r="G5875" s="3" t="str">
        <f>HYPERLINK("https://cloud.oebiotech.com/#/lm/network/47757", "https://cloud.oebiotech.com/#/lm/network/47757")</f>
        <v>https://cloud.oebiotech.com/#/lm/network/47757</v>
      </c>
      <c r="H5875" s="2" t="s">
        <v>38286</v>
      </c>
      <c r="I5875" s="2">
        <v>58075</v>
      </c>
      <c r="J5875" s="2"/>
      <c r="K5875" s="2">
        <v>68374</v>
      </c>
      <c r="L5875" s="2" t="s">
        <v>38287</v>
      </c>
      <c r="M5875" s="2" t="s">
        <v>2767</v>
      </c>
      <c r="N5875" s="2" t="s">
        <v>2768</v>
      </c>
      <c r="O5875" s="2">
        <v>48991</v>
      </c>
      <c r="P5875" s="2"/>
      <c r="Q5875" s="2"/>
      <c r="R5875" s="2" t="s">
        <v>38288</v>
      </c>
      <c r="S5875" s="2" t="s">
        <v>38289</v>
      </c>
      <c r="T5875" s="2" t="s">
        <v>38290</v>
      </c>
      <c r="U5875" s="2" t="s">
        <v>266</v>
      </c>
      <c r="V5875" s="2" t="s">
        <v>2772</v>
      </c>
      <c r="W5875" s="2" t="s">
        <v>2773</v>
      </c>
      <c r="X5875" s="2" t="s">
        <v>83</v>
      </c>
      <c r="Y5875" s="2">
        <v>42.8</v>
      </c>
      <c r="Z5875" s="2">
        <v>0</v>
      </c>
      <c r="AA5875" s="2" t="s">
        <v>156</v>
      </c>
      <c r="AB5875" s="2" t="s">
        <v>20718</v>
      </c>
      <c r="AC5875" s="2">
        <v>-3.48280136544928</v>
      </c>
      <c r="AD5875" s="2"/>
      <c r="AE5875" s="2">
        <v>3.7267050129125298E-3</v>
      </c>
      <c r="AF5875" s="2">
        <v>251.96704137207601</v>
      </c>
      <c r="AG5875" s="2">
        <v>252.56168442250001</v>
      </c>
      <c r="AH5875" s="4">
        <v>0.99764555319709602</v>
      </c>
      <c r="AI5875" s="4">
        <v>-3.4007537463154498E-3</v>
      </c>
      <c r="AJ5875" s="4" t="s">
        <v>62</v>
      </c>
      <c r="AK5875" s="2">
        <v>0.98849517573537105</v>
      </c>
      <c r="AL5875" s="2">
        <v>0.99545530263140103</v>
      </c>
      <c r="AM5875" s="2">
        <v>133.26951036967</v>
      </c>
      <c r="AN5875" s="2">
        <v>323.10989731639501</v>
      </c>
      <c r="AO5875" s="2">
        <v>342.30127082649801</v>
      </c>
      <c r="AP5875" s="2">
        <v>305.58195586528302</v>
      </c>
      <c r="AQ5875" s="2">
        <v>218.423425231745</v>
      </c>
      <c r="AR5875" s="2">
        <v>189.116188622864</v>
      </c>
      <c r="AS5875" s="2">
        <v>263.09205144763001</v>
      </c>
      <c r="AT5875" s="2">
        <v>311.19139100790102</v>
      </c>
      <c r="AU5875" s="2">
        <v>193.18227395598001</v>
      </c>
      <c r="AV5875" s="2">
        <v>203.52179752603899</v>
      </c>
      <c r="AW5875" s="2">
        <v>233.31384634243</v>
      </c>
      <c r="AX5875" s="2">
        <v>311.06874625502297</v>
      </c>
    </row>
    <row r="5876" spans="1:50" x14ac:dyDescent="0.25">
      <c r="A5876" s="2" t="s">
        <v>38291</v>
      </c>
      <c r="B5876" s="2">
        <v>460.28362444938699</v>
      </c>
      <c r="C5876" s="2">
        <v>10.4937</v>
      </c>
      <c r="D5876" s="2" t="s">
        <v>51</v>
      </c>
      <c r="E5876" s="2" t="s">
        <v>38292</v>
      </c>
      <c r="F5876" s="2">
        <v>21201</v>
      </c>
      <c r="G5876" s="3" t="str">
        <f>HYPERLINK("https://cloud.oebiotech.com/#/lm/network/21201", "https://cloud.oebiotech.com/#/lm/network/21201")</f>
        <v>https://cloud.oebiotech.com/#/lm/network/21201</v>
      </c>
      <c r="H5876" s="2" t="s">
        <v>38293</v>
      </c>
      <c r="I5876" s="2">
        <v>62264</v>
      </c>
      <c r="J5876" s="2" t="s">
        <v>38294</v>
      </c>
      <c r="K5876" s="2">
        <v>53480925</v>
      </c>
      <c r="L5876" s="2"/>
      <c r="M5876" s="2"/>
      <c r="N5876" s="2"/>
      <c r="O5876" s="2">
        <v>76088</v>
      </c>
      <c r="P5876" s="2"/>
      <c r="Q5876" s="2"/>
      <c r="R5876" s="2"/>
      <c r="S5876" s="2" t="s">
        <v>38295</v>
      </c>
      <c r="T5876" s="2" t="s">
        <v>38296</v>
      </c>
      <c r="U5876" s="2" t="s">
        <v>56</v>
      </c>
      <c r="V5876" s="2" t="s">
        <v>57</v>
      </c>
      <c r="W5876" s="2" t="s">
        <v>155</v>
      </c>
      <c r="X5876" s="2" t="s">
        <v>83</v>
      </c>
      <c r="Y5876" s="2">
        <v>43.8</v>
      </c>
      <c r="Z5876" s="2">
        <v>0</v>
      </c>
      <c r="AA5876" s="2" t="s">
        <v>379</v>
      </c>
      <c r="AB5876" s="2" t="s">
        <v>1981</v>
      </c>
      <c r="AC5876" s="2">
        <v>0.57609380612252903</v>
      </c>
      <c r="AD5876" s="2"/>
      <c r="AE5876" s="2">
        <v>3.7206563349440002E-3</v>
      </c>
      <c r="AF5876" s="2">
        <v>11595.3250914455</v>
      </c>
      <c r="AG5876" s="2">
        <v>11639.516834194899</v>
      </c>
      <c r="AH5876" s="4">
        <v>0.99620330092916398</v>
      </c>
      <c r="AI5876" s="4">
        <v>-5.4879034851281804E-3</v>
      </c>
      <c r="AJ5876" s="4" t="s">
        <v>62</v>
      </c>
      <c r="AK5876" s="2">
        <v>0.99121901375483501</v>
      </c>
      <c r="AL5876" s="2">
        <v>0.99588573656477897</v>
      </c>
      <c r="AM5876" s="2">
        <v>16758.142411199799</v>
      </c>
      <c r="AN5876" s="2">
        <v>11122.4502428299</v>
      </c>
      <c r="AO5876" s="2">
        <v>14126.3172876886</v>
      </c>
      <c r="AP5876" s="2">
        <v>9056.4366073935398</v>
      </c>
      <c r="AQ5876" s="2">
        <v>5542.1542090521598</v>
      </c>
      <c r="AR5876" s="2">
        <v>12966.449790509099</v>
      </c>
      <c r="AS5876" s="2">
        <v>5638.0337250922203</v>
      </c>
      <c r="AT5876" s="2">
        <v>3949.4701899742799</v>
      </c>
      <c r="AU5876" s="2">
        <v>13326.2664715499</v>
      </c>
      <c r="AV5876" s="2">
        <v>27847.052480209099</v>
      </c>
      <c r="AW5876" s="2">
        <v>12026.283902642501</v>
      </c>
      <c r="AX5876" s="2">
        <v>7049.9942357013097</v>
      </c>
    </row>
    <row r="5877" spans="1:50" x14ac:dyDescent="0.25">
      <c r="A5877" s="2" t="s">
        <v>38297</v>
      </c>
      <c r="B5877" s="2">
        <v>381.12241219782601</v>
      </c>
      <c r="C5877" s="2">
        <v>6.7833500000000004</v>
      </c>
      <c r="D5877" s="2" t="s">
        <v>51</v>
      </c>
      <c r="E5877" s="2" t="s">
        <v>38298</v>
      </c>
      <c r="F5877" s="2">
        <v>35467</v>
      </c>
      <c r="G5877" s="3" t="str">
        <f>HYPERLINK("https://cloud.oebiotech.com/#/lm/network/35467", "https://cloud.oebiotech.com/#/lm/network/35467")</f>
        <v>https://cloud.oebiotech.com/#/lm/network/35467</v>
      </c>
      <c r="H5877" s="2"/>
      <c r="I5877" s="2">
        <v>41182</v>
      </c>
      <c r="J5877" s="2" t="s">
        <v>38299</v>
      </c>
      <c r="K5877" s="2">
        <v>5280900</v>
      </c>
      <c r="L5877" s="2" t="s">
        <v>38300</v>
      </c>
      <c r="M5877" s="2"/>
      <c r="N5877" s="2"/>
      <c r="O5877" s="2">
        <v>7525</v>
      </c>
      <c r="P5877" s="2"/>
      <c r="Q5877" s="2"/>
      <c r="R5877" s="2"/>
      <c r="S5877" s="2" t="s">
        <v>38301</v>
      </c>
      <c r="T5877" s="2" t="s">
        <v>38302</v>
      </c>
      <c r="U5877" s="2" t="s">
        <v>56</v>
      </c>
      <c r="V5877" s="2" t="s">
        <v>177</v>
      </c>
      <c r="W5877" s="2" t="s">
        <v>1996</v>
      </c>
      <c r="X5877" s="2" t="s">
        <v>147</v>
      </c>
      <c r="Y5877" s="2">
        <v>38.1</v>
      </c>
      <c r="Z5877" s="2">
        <v>0</v>
      </c>
      <c r="AA5877" s="2" t="s">
        <v>163</v>
      </c>
      <c r="AB5877" s="2" t="s">
        <v>38303</v>
      </c>
      <c r="AC5877" s="2">
        <v>-3.5010636710394198</v>
      </c>
      <c r="AD5877" s="2"/>
      <c r="AE5877" s="2">
        <v>3.6688979157636801E-3</v>
      </c>
      <c r="AF5877" s="2">
        <v>1743.6868633476199</v>
      </c>
      <c r="AG5877" s="2">
        <v>1580.0578395994501</v>
      </c>
      <c r="AH5877" s="5">
        <v>1.1035588822429701</v>
      </c>
      <c r="AI5877" s="5">
        <v>0.142163609095184</v>
      </c>
      <c r="AJ5877" s="5" t="s">
        <v>139</v>
      </c>
      <c r="AK5877" s="2">
        <v>0.82004889777267698</v>
      </c>
      <c r="AL5877" s="2">
        <v>0.92139104959810403</v>
      </c>
      <c r="AM5877" s="2">
        <v>1639.2067767733599</v>
      </c>
      <c r="AN5877" s="2">
        <v>1478.3792954452399</v>
      </c>
      <c r="AO5877" s="2">
        <v>2237.3213908703901</v>
      </c>
      <c r="AP5877" s="2">
        <v>2566.2047469034301</v>
      </c>
      <c r="AQ5877" s="2">
        <v>934.74864750801203</v>
      </c>
      <c r="AR5877" s="2">
        <v>1606.2603225852799</v>
      </c>
      <c r="AS5877" s="2">
        <v>4692.3846169077797</v>
      </c>
      <c r="AT5877" s="2">
        <v>1439.95155438439</v>
      </c>
      <c r="AU5877" s="2">
        <v>231.84302720515399</v>
      </c>
      <c r="AV5877" s="2">
        <v>839.01538032783105</v>
      </c>
      <c r="AW5877" s="2">
        <v>1681.15810977658</v>
      </c>
      <c r="AX5877" s="2">
        <v>595.99434899496498</v>
      </c>
    </row>
    <row r="5878" spans="1:50" x14ac:dyDescent="0.25">
      <c r="A5878" s="2" t="s">
        <v>38304</v>
      </c>
      <c r="B5878" s="2">
        <v>198.01770497162599</v>
      </c>
      <c r="C5878" s="2">
        <v>9.9498999999999995</v>
      </c>
      <c r="D5878" s="2" t="s">
        <v>51</v>
      </c>
      <c r="E5878" s="2" t="s">
        <v>38305</v>
      </c>
      <c r="F5878" s="2">
        <v>199780</v>
      </c>
      <c r="G5878" s="3" t="str">
        <f>HYPERLINK("https://cloud.oebiotech.com/#/lm/network/199780", "https://cloud.oebiotech.com/#/lm/network/199780")</f>
        <v>https://cloud.oebiotech.com/#/lm/network/199780</v>
      </c>
      <c r="H5878" s="2" t="s">
        <v>38306</v>
      </c>
      <c r="I5878" s="2">
        <v>424740</v>
      </c>
      <c r="J5878" s="2"/>
      <c r="K5878" s="2">
        <v>104994</v>
      </c>
      <c r="L5878" s="2"/>
      <c r="M5878" s="2"/>
      <c r="N5878" s="2"/>
      <c r="O5878" s="2">
        <v>29146</v>
      </c>
      <c r="P5878" s="2" t="s">
        <v>38307</v>
      </c>
      <c r="Q5878" s="2" t="s">
        <v>38308</v>
      </c>
      <c r="R5878" s="2"/>
      <c r="S5878" s="2" t="s">
        <v>38309</v>
      </c>
      <c r="T5878" s="2" t="s">
        <v>38310</v>
      </c>
      <c r="U5878" s="2" t="s">
        <v>266</v>
      </c>
      <c r="V5878" s="2" t="s">
        <v>2772</v>
      </c>
      <c r="W5878" s="2" t="s">
        <v>2773</v>
      </c>
      <c r="X5878" s="2" t="s">
        <v>147</v>
      </c>
      <c r="Y5878" s="2">
        <v>40.200000000000003</v>
      </c>
      <c r="Z5878" s="2">
        <v>8.4700000000000006</v>
      </c>
      <c r="AA5878" s="2" t="s">
        <v>395</v>
      </c>
      <c r="AB5878" s="2" t="s">
        <v>38311</v>
      </c>
      <c r="AC5878" s="2">
        <v>0.32509157485537099</v>
      </c>
      <c r="AD5878" s="2"/>
      <c r="AE5878" s="2">
        <v>3.6501946268071698E-3</v>
      </c>
      <c r="AF5878" s="2">
        <v>6819.5592831868898</v>
      </c>
      <c r="AG5878" s="2">
        <v>6826.1861122218497</v>
      </c>
      <c r="AH5878" s="4">
        <v>0.99902920475269597</v>
      </c>
      <c r="AI5878" s="4">
        <v>-1.4012417585270399E-3</v>
      </c>
      <c r="AJ5878" s="4" t="s">
        <v>62</v>
      </c>
      <c r="AK5878" s="2">
        <v>0.98688654424014099</v>
      </c>
      <c r="AL5878" s="2">
        <v>0.99500436708409101</v>
      </c>
      <c r="AM5878" s="2">
        <v>6649.8141988581701</v>
      </c>
      <c r="AN5878" s="2">
        <v>7563.9121390853998</v>
      </c>
      <c r="AO5878" s="2">
        <v>6979.1720525629498</v>
      </c>
      <c r="AP5878" s="2">
        <v>7119.66813286873</v>
      </c>
      <c r="AQ5878" s="2">
        <v>7337.66125408686</v>
      </c>
      <c r="AR5878" s="2">
        <v>5267.1279216592502</v>
      </c>
      <c r="AS5878" s="2">
        <v>7808.0524356473898</v>
      </c>
      <c r="AT5878" s="2">
        <v>6581.0930607751297</v>
      </c>
      <c r="AU5878" s="2">
        <v>6631.1408425361496</v>
      </c>
      <c r="AV5878" s="2">
        <v>6543.7068907042903</v>
      </c>
      <c r="AW5878" s="2">
        <v>6904.9578688604297</v>
      </c>
      <c r="AX5878" s="2">
        <v>6488.1655748077301</v>
      </c>
    </row>
    <row r="5879" spans="1:50" x14ac:dyDescent="0.25">
      <c r="A5879" s="2" t="s">
        <v>38312</v>
      </c>
      <c r="B5879" s="2">
        <v>186.18576002754901</v>
      </c>
      <c r="C5879" s="2">
        <v>9.6834500000000006</v>
      </c>
      <c r="D5879" s="2" t="s">
        <v>51</v>
      </c>
      <c r="E5879" s="2" t="s">
        <v>38313</v>
      </c>
      <c r="F5879" s="2">
        <v>6530</v>
      </c>
      <c r="G5879" s="3" t="str">
        <f>HYPERLINK("https://cloud.oebiotech.com/#/lm/network/6530", "https://cloud.oebiotech.com/#/lm/network/6530")</f>
        <v>https://cloud.oebiotech.com/#/lm/network/6530</v>
      </c>
      <c r="H5879" s="2" t="s">
        <v>38314</v>
      </c>
      <c r="I5879" s="2">
        <v>36585</v>
      </c>
      <c r="J5879" s="2" t="s">
        <v>38315</v>
      </c>
      <c r="K5879" s="2">
        <v>5283356</v>
      </c>
      <c r="L5879" s="2"/>
      <c r="M5879" s="2"/>
      <c r="N5879" s="2"/>
      <c r="O5879" s="2">
        <v>132843</v>
      </c>
      <c r="P5879" s="2"/>
      <c r="Q5879" s="2"/>
      <c r="R5879" s="2" t="s">
        <v>38316</v>
      </c>
      <c r="S5879" s="2" t="s">
        <v>38317</v>
      </c>
      <c r="T5879" s="2" t="s">
        <v>38318</v>
      </c>
      <c r="U5879" s="2" t="s">
        <v>331</v>
      </c>
      <c r="V5879" s="2" t="s">
        <v>332</v>
      </c>
      <c r="W5879" s="2" t="s">
        <v>1207</v>
      </c>
      <c r="X5879" s="2" t="s">
        <v>147</v>
      </c>
      <c r="Y5879" s="2">
        <v>40.799999999999997</v>
      </c>
      <c r="Z5879" s="2">
        <v>10.6</v>
      </c>
      <c r="AA5879" s="2" t="s">
        <v>512</v>
      </c>
      <c r="AB5879" s="2" t="s">
        <v>20329</v>
      </c>
      <c r="AC5879" s="2">
        <v>3.08791090497777</v>
      </c>
      <c r="AD5879" s="2"/>
      <c r="AE5879" s="2">
        <v>3.4913599863030599E-3</v>
      </c>
      <c r="AF5879" s="2">
        <v>2472.8684837176202</v>
      </c>
      <c r="AG5879" s="2">
        <v>2399.7532581068099</v>
      </c>
      <c r="AH5879" s="5">
        <v>1.03046780970661</v>
      </c>
      <c r="AI5879" s="5">
        <v>4.3299437917438198E-2</v>
      </c>
      <c r="AJ5879" s="5" t="s">
        <v>139</v>
      </c>
      <c r="AK5879" s="2">
        <v>0.96954060677963505</v>
      </c>
      <c r="AL5879" s="2">
        <v>0.98852182422302803</v>
      </c>
      <c r="AM5879" s="2">
        <v>956.15682708796703</v>
      </c>
      <c r="AN5879" s="2">
        <v>937.70642631751195</v>
      </c>
      <c r="AO5879" s="2">
        <v>8764.0113598216503</v>
      </c>
      <c r="AP5879" s="2">
        <v>990.97089017634096</v>
      </c>
      <c r="AQ5879" s="2">
        <v>2370.2728009561602</v>
      </c>
      <c r="AR5879" s="2">
        <v>818.09259794609102</v>
      </c>
      <c r="AS5879" s="2">
        <v>9168.0289910558895</v>
      </c>
      <c r="AT5879" s="2">
        <v>874.88446757040401</v>
      </c>
      <c r="AU5879" s="2">
        <v>1660.90492669586</v>
      </c>
      <c r="AV5879" s="2">
        <v>864.65290599975594</v>
      </c>
      <c r="AW5879" s="2">
        <v>949.45888719291997</v>
      </c>
      <c r="AX5879" s="2">
        <v>880.58937012601098</v>
      </c>
    </row>
    <row r="5880" spans="1:50" x14ac:dyDescent="0.25">
      <c r="A5880" s="2" t="s">
        <v>38319</v>
      </c>
      <c r="B5880" s="2">
        <v>253.14448660821299</v>
      </c>
      <c r="C5880" s="2">
        <v>8.3676499999999994</v>
      </c>
      <c r="D5880" s="2" t="s">
        <v>51</v>
      </c>
      <c r="E5880" s="2" t="s">
        <v>38320</v>
      </c>
      <c r="F5880" s="2">
        <v>58909</v>
      </c>
      <c r="G5880" s="3" t="str">
        <f>HYPERLINK("https://cloud.oebiotech.com/#/lm/network/58909", "https://cloud.oebiotech.com/#/lm/network/58909")</f>
        <v>https://cloud.oebiotech.com/#/lm/network/58909</v>
      </c>
      <c r="H5880" s="2" t="s">
        <v>38321</v>
      </c>
      <c r="I5880" s="2">
        <v>90350</v>
      </c>
      <c r="J5880" s="2"/>
      <c r="K5880" s="2">
        <v>5352481</v>
      </c>
      <c r="L5880" s="2"/>
      <c r="M5880" s="2"/>
      <c r="N5880" s="2"/>
      <c r="O5880" s="2"/>
      <c r="P5880" s="2"/>
      <c r="Q5880" s="2"/>
      <c r="R5880" s="2"/>
      <c r="S5880" s="2" t="s">
        <v>38322</v>
      </c>
      <c r="T5880" s="2" t="s">
        <v>38323</v>
      </c>
      <c r="U5880" s="2" t="s">
        <v>266</v>
      </c>
      <c r="V5880" s="2" t="s">
        <v>4491</v>
      </c>
      <c r="W5880" s="2" t="s">
        <v>240</v>
      </c>
      <c r="X5880" s="2" t="s">
        <v>83</v>
      </c>
      <c r="Y5880" s="2">
        <v>49.4</v>
      </c>
      <c r="Z5880" s="2">
        <v>36</v>
      </c>
      <c r="AA5880" s="2" t="s">
        <v>218</v>
      </c>
      <c r="AB5880" s="2" t="s">
        <v>7088</v>
      </c>
      <c r="AC5880" s="2">
        <v>-0.22168205751657</v>
      </c>
      <c r="AD5880" s="2"/>
      <c r="AE5880" s="2">
        <v>3.4804861127644198E-3</v>
      </c>
      <c r="AF5880" s="2">
        <v>2348.1563179365999</v>
      </c>
      <c r="AG5880" s="2">
        <v>2434.2737022475199</v>
      </c>
      <c r="AH5880" s="4">
        <v>0.96462296567907901</v>
      </c>
      <c r="AI5880" s="4">
        <v>-5.1962936791590003E-2</v>
      </c>
      <c r="AJ5880" s="4" t="s">
        <v>62</v>
      </c>
      <c r="AK5880" s="2">
        <v>0.75636540762837001</v>
      </c>
      <c r="AL5880" s="2">
        <v>0.889921011710193</v>
      </c>
      <c r="AM5880" s="2">
        <v>2402.7114773078602</v>
      </c>
      <c r="AN5880" s="2">
        <v>3054.1890847597501</v>
      </c>
      <c r="AO5880" s="2">
        <v>2145.0692370081101</v>
      </c>
      <c r="AP5880" s="2">
        <v>1766.79096126934</v>
      </c>
      <c r="AQ5880" s="2">
        <v>2295.8552592717001</v>
      </c>
      <c r="AR5880" s="2">
        <v>2424.3218880028198</v>
      </c>
      <c r="AS5880" s="2">
        <v>2117.0728568754598</v>
      </c>
      <c r="AT5880" s="2">
        <v>3081.12534141063</v>
      </c>
      <c r="AU5880" s="2">
        <v>1901.7638435961601</v>
      </c>
      <c r="AV5880" s="2">
        <v>2206.5147275038998</v>
      </c>
      <c r="AW5880" s="2">
        <v>2230.4474710252198</v>
      </c>
      <c r="AX5880" s="2">
        <v>3068.7179730737698</v>
      </c>
    </row>
    <row r="5881" spans="1:50" x14ac:dyDescent="0.25">
      <c r="A5881" s="2" t="s">
        <v>38324</v>
      </c>
      <c r="B5881" s="2">
        <v>475.00376845767101</v>
      </c>
      <c r="C5881" s="2">
        <v>8.9145166666666693</v>
      </c>
      <c r="D5881" s="2" t="s">
        <v>51</v>
      </c>
      <c r="E5881" s="2" t="s">
        <v>38325</v>
      </c>
      <c r="F5881" s="2">
        <v>256604</v>
      </c>
      <c r="G5881" s="3" t="str">
        <f>HYPERLINK("https://cloud.oebiotech.com/#/lm/network/256604", "https://cloud.oebiotech.com/#/lm/network/256604")</f>
        <v>https://cloud.oebiotech.com/#/lm/network/256604</v>
      </c>
      <c r="H5881" s="2" t="s">
        <v>38326</v>
      </c>
      <c r="I5881" s="2"/>
      <c r="J5881" s="2"/>
      <c r="K5881" s="2">
        <v>9859539</v>
      </c>
      <c r="L5881" s="2"/>
      <c r="M5881" s="2"/>
      <c r="N5881" s="2"/>
      <c r="O5881" s="2"/>
      <c r="P5881" s="2"/>
      <c r="Q5881" s="2"/>
      <c r="R5881" s="2"/>
      <c r="S5881" s="2" t="s">
        <v>38327</v>
      </c>
      <c r="T5881" s="2" t="s">
        <v>38328</v>
      </c>
      <c r="U5881" s="2" t="s">
        <v>103</v>
      </c>
      <c r="V5881" s="2" t="s">
        <v>104</v>
      </c>
      <c r="W5881" s="2" t="s">
        <v>1139</v>
      </c>
      <c r="X5881" s="2" t="s">
        <v>147</v>
      </c>
      <c r="Y5881" s="2">
        <v>38.6</v>
      </c>
      <c r="Z5881" s="2">
        <v>0</v>
      </c>
      <c r="AA5881" s="2" t="s">
        <v>478</v>
      </c>
      <c r="AB5881" s="2" t="s">
        <v>38329</v>
      </c>
      <c r="AC5881" s="2">
        <v>-4.2801783494052597</v>
      </c>
      <c r="AD5881" s="2"/>
      <c r="AE5881" s="2">
        <v>3.4443555026493402E-3</v>
      </c>
      <c r="AF5881" s="2">
        <v>5761.3060221387204</v>
      </c>
      <c r="AG5881" s="2">
        <v>5690.4001435475302</v>
      </c>
      <c r="AH5881" s="5">
        <v>1.01246061380615</v>
      </c>
      <c r="AI5881" s="5">
        <v>1.78657861485986E-2</v>
      </c>
      <c r="AJ5881" s="5" t="s">
        <v>139</v>
      </c>
      <c r="AK5881" s="2">
        <v>0.864851157089359</v>
      </c>
      <c r="AL5881" s="2">
        <v>0.94126880286700698</v>
      </c>
      <c r="AM5881" s="2">
        <v>5252.2508352429004</v>
      </c>
      <c r="AN5881" s="2">
        <v>4948.0443533826601</v>
      </c>
      <c r="AO5881" s="2">
        <v>5934.3571302225</v>
      </c>
      <c r="AP5881" s="2">
        <v>6476.1575929974297</v>
      </c>
      <c r="AQ5881" s="2">
        <v>6656.7474306279901</v>
      </c>
      <c r="AR5881" s="2">
        <v>5300.2787903588496</v>
      </c>
      <c r="AS5881" s="2">
        <v>6329.0454608137097</v>
      </c>
      <c r="AT5881" s="2">
        <v>6224.6978110886503</v>
      </c>
      <c r="AU5881" s="2">
        <v>5725.1186974849497</v>
      </c>
      <c r="AV5881" s="2">
        <v>4883.1905704355004</v>
      </c>
      <c r="AW5881" s="2">
        <v>4767.8669810339998</v>
      </c>
      <c r="AX5881" s="2">
        <v>6212.4813404283996</v>
      </c>
    </row>
    <row r="5882" spans="1:50" x14ac:dyDescent="0.25">
      <c r="A5882" s="2" t="s">
        <v>38330</v>
      </c>
      <c r="B5882" s="2">
        <v>533.16176616436496</v>
      </c>
      <c r="C5882" s="2">
        <v>6.9221166666666702</v>
      </c>
      <c r="D5882" s="2" t="s">
        <v>51</v>
      </c>
      <c r="E5882" s="2" t="s">
        <v>38331</v>
      </c>
      <c r="F5882" s="2">
        <v>206615</v>
      </c>
      <c r="G5882" s="3" t="str">
        <f>HYPERLINK("https://cloud.oebiotech.com/#/lm/network/206615", "https://cloud.oebiotech.com/#/lm/network/206615")</f>
        <v>https://cloud.oebiotech.com/#/lm/network/206615</v>
      </c>
      <c r="H5882" s="2" t="s">
        <v>38332</v>
      </c>
      <c r="I5882" s="2"/>
      <c r="J5882" s="2"/>
      <c r="K5882" s="2">
        <v>405420</v>
      </c>
      <c r="L5882" s="2"/>
      <c r="M5882" s="2"/>
      <c r="N5882" s="2"/>
      <c r="O5882" s="2"/>
      <c r="P5882" s="2"/>
      <c r="Q5882" s="2"/>
      <c r="R5882" s="2"/>
      <c r="S5882" s="2" t="s">
        <v>38333</v>
      </c>
      <c r="T5882" s="2" t="s">
        <v>38334</v>
      </c>
      <c r="U5882" s="2" t="s">
        <v>295</v>
      </c>
      <c r="V5882" s="2" t="s">
        <v>1818</v>
      </c>
      <c r="W5882" s="2" t="s">
        <v>240</v>
      </c>
      <c r="X5882" s="2" t="s">
        <v>147</v>
      </c>
      <c r="Y5882" s="2">
        <v>38.700000000000003</v>
      </c>
      <c r="Z5882" s="2">
        <v>0.114</v>
      </c>
      <c r="AA5882" s="2" t="s">
        <v>478</v>
      </c>
      <c r="AB5882" s="2" t="s">
        <v>38335</v>
      </c>
      <c r="AC5882" s="2">
        <v>-3.7412396056713999</v>
      </c>
      <c r="AD5882" s="2"/>
      <c r="AE5882" s="2">
        <v>3.4169849079085002E-3</v>
      </c>
      <c r="AF5882" s="2">
        <v>9574.0712356229706</v>
      </c>
      <c r="AG5882" s="2">
        <v>10537.071529970601</v>
      </c>
      <c r="AH5882" s="4">
        <v>0.90860835559399999</v>
      </c>
      <c r="AI5882" s="4">
        <v>-0.138269522357993</v>
      </c>
      <c r="AJ5882" s="4" t="s">
        <v>62</v>
      </c>
      <c r="AK5882" s="2">
        <v>0.69586330321717504</v>
      </c>
      <c r="AL5882" s="2">
        <v>0.85378616196188595</v>
      </c>
      <c r="AM5882" s="2">
        <v>13370.124919306199</v>
      </c>
      <c r="AN5882" s="2">
        <v>9009.43374997309</v>
      </c>
      <c r="AO5882" s="2">
        <v>15345.174709139101</v>
      </c>
      <c r="AP5882" s="2">
        <v>924.32095456734396</v>
      </c>
      <c r="AQ5882" s="2">
        <v>9300.2201325236292</v>
      </c>
      <c r="AR5882" s="2">
        <v>9495.1529482284695</v>
      </c>
      <c r="AS5882" s="2">
        <v>12965.1551015481</v>
      </c>
      <c r="AT5882" s="2">
        <v>12808.4213971955</v>
      </c>
      <c r="AU5882" s="2">
        <v>11123.6019149444</v>
      </c>
      <c r="AV5882" s="2">
        <v>7889.7686453221304</v>
      </c>
      <c r="AW5882" s="2">
        <v>12891.9577333249</v>
      </c>
      <c r="AX5882" s="2">
        <v>5543.5243874887601</v>
      </c>
    </row>
    <row r="5883" spans="1:50" x14ac:dyDescent="0.25">
      <c r="A5883" s="2" t="s">
        <v>38336</v>
      </c>
      <c r="B5883" s="2">
        <v>464.33414548113001</v>
      </c>
      <c r="C5883" s="2">
        <v>9.4228166666666695</v>
      </c>
      <c r="D5883" s="2" t="s">
        <v>51</v>
      </c>
      <c r="E5883" s="2" t="s">
        <v>38337</v>
      </c>
      <c r="F5883" s="2">
        <v>46548</v>
      </c>
      <c r="G5883" s="3" t="str">
        <f>HYPERLINK("https://cloud.oebiotech.com/#/lm/network/46548", "https://cloud.oebiotech.com/#/lm/network/46548")</f>
        <v>https://cloud.oebiotech.com/#/lm/network/46548</v>
      </c>
      <c r="H5883" s="2"/>
      <c r="I5883" s="2"/>
      <c r="J5883" s="2" t="s">
        <v>38338</v>
      </c>
      <c r="K5883" s="2"/>
      <c r="L5883" s="2"/>
      <c r="M5883" s="2"/>
      <c r="N5883" s="2"/>
      <c r="O5883" s="2"/>
      <c r="P5883" s="2"/>
      <c r="Q5883" s="2"/>
      <c r="R5883" s="2"/>
      <c r="S5883" s="2" t="s">
        <v>38339</v>
      </c>
      <c r="T5883" s="2" t="s">
        <v>38340</v>
      </c>
      <c r="U5883" s="2" t="s">
        <v>56</v>
      </c>
      <c r="V5883" s="2" t="s">
        <v>283</v>
      </c>
      <c r="W5883" s="2" t="s">
        <v>2042</v>
      </c>
      <c r="X5883" s="2" t="s">
        <v>83</v>
      </c>
      <c r="Y5883" s="2">
        <v>48.4</v>
      </c>
      <c r="Z5883" s="2">
        <v>0</v>
      </c>
      <c r="AA5883" s="2" t="s">
        <v>512</v>
      </c>
      <c r="AB5883" s="2" t="s">
        <v>29530</v>
      </c>
      <c r="AC5883" s="2">
        <v>-6.5078929545272404</v>
      </c>
      <c r="AD5883" s="2"/>
      <c r="AE5883" s="2">
        <v>3.2199516974545398E-3</v>
      </c>
      <c r="AF5883" s="2">
        <v>13546.558101128399</v>
      </c>
      <c r="AG5883" s="2">
        <v>13382.2944792333</v>
      </c>
      <c r="AH5883" s="5">
        <v>1.01227469789654</v>
      </c>
      <c r="AI5883" s="5">
        <v>1.7600842913777701E-2</v>
      </c>
      <c r="AJ5883" s="5" t="s">
        <v>139</v>
      </c>
      <c r="AK5883" s="2">
        <v>0.90263168436123897</v>
      </c>
      <c r="AL5883" s="2">
        <v>0.95952091496019298</v>
      </c>
      <c r="AM5883" s="2">
        <v>9577.9246402508306</v>
      </c>
      <c r="AN5883" s="2">
        <v>11888.6482215872</v>
      </c>
      <c r="AO5883" s="2">
        <v>14860.028968664599</v>
      </c>
      <c r="AP5883" s="2">
        <v>12665.487246463999</v>
      </c>
      <c r="AQ5883" s="2">
        <v>15461.9621599933</v>
      </c>
      <c r="AR5883" s="2">
        <v>16825.297369810702</v>
      </c>
      <c r="AS5883" s="2">
        <v>13903.451317040701</v>
      </c>
      <c r="AT5883" s="2">
        <v>15962.559458646199</v>
      </c>
      <c r="AU5883" s="2">
        <v>13789.600908267599</v>
      </c>
      <c r="AV5883" s="2">
        <v>10894.9270131761</v>
      </c>
      <c r="AW5883" s="2">
        <v>13917.868777871399</v>
      </c>
      <c r="AX5883" s="2">
        <v>11825.3594003981</v>
      </c>
    </row>
    <row r="5884" spans="1:50" x14ac:dyDescent="0.25">
      <c r="A5884" s="2" t="s">
        <v>38341</v>
      </c>
      <c r="B5884" s="2">
        <v>317.22525293328403</v>
      </c>
      <c r="C5884" s="2">
        <v>14.6315166666667</v>
      </c>
      <c r="D5884" s="2" t="s">
        <v>51</v>
      </c>
      <c r="E5884" s="2" t="s">
        <v>38342</v>
      </c>
      <c r="F5884" s="2">
        <v>2451</v>
      </c>
      <c r="G5884" s="3" t="str">
        <f>HYPERLINK("https://cloud.oebiotech.com/#/lm/network/2451", "https://cloud.oebiotech.com/#/lm/network/2451")</f>
        <v>https://cloud.oebiotech.com/#/lm/network/2451</v>
      </c>
      <c r="H5884" s="2" t="s">
        <v>38343</v>
      </c>
      <c r="I5884" s="2"/>
      <c r="J5884" s="2" t="s">
        <v>38344</v>
      </c>
      <c r="K5884" s="2">
        <v>13059777</v>
      </c>
      <c r="L5884" s="2"/>
      <c r="M5884" s="2"/>
      <c r="N5884" s="2"/>
      <c r="O5884" s="2"/>
      <c r="P5884" s="2"/>
      <c r="Q5884" s="2"/>
      <c r="R5884" s="2"/>
      <c r="S5884" s="2" t="s">
        <v>38345</v>
      </c>
      <c r="T5884" s="2" t="s">
        <v>38346</v>
      </c>
      <c r="U5884" s="2" t="s">
        <v>56</v>
      </c>
      <c r="V5884" s="2" t="s">
        <v>145</v>
      </c>
      <c r="W5884" s="2" t="s">
        <v>231</v>
      </c>
      <c r="X5884" s="2" t="s">
        <v>147</v>
      </c>
      <c r="Y5884" s="2">
        <v>37.4</v>
      </c>
      <c r="Z5884" s="2">
        <v>0</v>
      </c>
      <c r="AA5884" s="2" t="s">
        <v>163</v>
      </c>
      <c r="AB5884" s="2" t="s">
        <v>38347</v>
      </c>
      <c r="AC5884" s="2">
        <v>-9.0173948428058606E-2</v>
      </c>
      <c r="AD5884" s="2"/>
      <c r="AE5884" s="2">
        <v>3.2037469467409E-3</v>
      </c>
      <c r="AF5884" s="2">
        <v>1885.41976831683</v>
      </c>
      <c r="AG5884" s="2">
        <v>2642.4125632282999</v>
      </c>
      <c r="AH5884" s="4">
        <v>0.713522102700484</v>
      </c>
      <c r="AI5884" s="4">
        <v>-0.48696997427884497</v>
      </c>
      <c r="AJ5884" s="4" t="s">
        <v>62</v>
      </c>
      <c r="AK5884" s="2">
        <v>0.74447529149647396</v>
      </c>
      <c r="AL5884" s="2">
        <v>0.88306794840433001</v>
      </c>
      <c r="AM5884" s="2">
        <v>6239.9333465495902</v>
      </c>
      <c r="AN5884" s="2">
        <v>563.17169007688801</v>
      </c>
      <c r="AO5884" s="2">
        <v>1539.3409748737199</v>
      </c>
      <c r="AP5884" s="2">
        <v>2085.2083509670902</v>
      </c>
      <c r="AQ5884" s="2">
        <v>507.52443143915599</v>
      </c>
      <c r="AR5884" s="2">
        <v>377.33981599455802</v>
      </c>
      <c r="AS5884" s="2">
        <v>762.66077625481603</v>
      </c>
      <c r="AT5884" s="2">
        <v>339.17017772544602</v>
      </c>
      <c r="AU5884" s="2">
        <v>12906.1921894433</v>
      </c>
      <c r="AV5884" s="2">
        <v>224.56100211829701</v>
      </c>
      <c r="AW5884" s="2">
        <v>1621.89122526808</v>
      </c>
      <c r="AX5884" s="2">
        <v>8.559877937157E-6</v>
      </c>
    </row>
    <row r="5885" spans="1:50" x14ac:dyDescent="0.25">
      <c r="A5885" s="2" t="s">
        <v>38348</v>
      </c>
      <c r="B5885" s="2">
        <v>117.01090000000001</v>
      </c>
      <c r="C5885" s="2">
        <v>20.94</v>
      </c>
      <c r="D5885" s="2" t="s">
        <v>125</v>
      </c>
      <c r="E5885" s="2" t="s">
        <v>38349</v>
      </c>
      <c r="F5885" s="2">
        <v>566</v>
      </c>
      <c r="G5885" s="3" t="str">
        <f>HYPERLINK("https://cloud.oebiotech.com/#/lm/network/566", "https://cloud.oebiotech.com/#/lm/network/566")</f>
        <v>https://cloud.oebiotech.com/#/lm/network/566</v>
      </c>
      <c r="H5885" s="2" t="s">
        <v>38350</v>
      </c>
      <c r="I5885" s="2">
        <v>34744</v>
      </c>
      <c r="J5885" s="2" t="s">
        <v>38351</v>
      </c>
      <c r="K5885" s="2">
        <v>5282745</v>
      </c>
      <c r="L5885" s="2" t="s">
        <v>12588</v>
      </c>
      <c r="M5885" s="2" t="s">
        <v>12589</v>
      </c>
      <c r="N5885" s="2" t="s">
        <v>12590</v>
      </c>
      <c r="O5885" s="2">
        <v>59265</v>
      </c>
      <c r="P5885" s="2"/>
      <c r="Q5885" s="2"/>
      <c r="R5885" s="2" t="s">
        <v>38352</v>
      </c>
      <c r="S5885" s="2" t="s">
        <v>38353</v>
      </c>
      <c r="T5885" s="2" t="s">
        <v>38354</v>
      </c>
      <c r="U5885" s="2" t="s">
        <v>56</v>
      </c>
      <c r="V5885" s="2" t="s">
        <v>145</v>
      </c>
      <c r="W5885" s="2" t="s">
        <v>231</v>
      </c>
      <c r="X5885" s="2" t="s">
        <v>69</v>
      </c>
      <c r="Y5885" s="2">
        <v>98.9</v>
      </c>
      <c r="Z5885" s="2">
        <v>99.1</v>
      </c>
      <c r="AA5885" s="2"/>
      <c r="AB5885" s="2" t="s">
        <v>7748</v>
      </c>
      <c r="AC5885" s="2"/>
      <c r="AD5885" s="2">
        <v>709877.30688935297</v>
      </c>
      <c r="AE5885" s="2">
        <v>3.0214397663261799E-3</v>
      </c>
      <c r="AF5885" s="2">
        <v>88420.479051345101</v>
      </c>
      <c r="AG5885" s="2">
        <v>79961.589793556501</v>
      </c>
      <c r="AH5885" s="5">
        <v>1.10578690693404</v>
      </c>
      <c r="AI5885" s="5">
        <v>0.145073394678018</v>
      </c>
      <c r="AJ5885" s="5" t="s">
        <v>139</v>
      </c>
      <c r="AK5885" s="2">
        <v>0.62736450352260698</v>
      </c>
      <c r="AL5885" s="2">
        <v>0.81682523325343204</v>
      </c>
      <c r="AM5885" s="2">
        <v>59378.641620087699</v>
      </c>
      <c r="AN5885" s="2">
        <v>63228.416559926598</v>
      </c>
      <c r="AO5885" s="2">
        <v>117204.717636662</v>
      </c>
      <c r="AP5885" s="2">
        <v>77283.242207798699</v>
      </c>
      <c r="AQ5885" s="2">
        <v>121005.767351396</v>
      </c>
      <c r="AR5885" s="2">
        <v>92422.088932199898</v>
      </c>
      <c r="AS5885" s="2">
        <v>57333.352664514001</v>
      </c>
      <c r="AT5885" s="2">
        <v>38077.830916036</v>
      </c>
      <c r="AU5885" s="2">
        <v>92166.856029767703</v>
      </c>
      <c r="AV5885" s="2">
        <v>94096.446674344596</v>
      </c>
      <c r="AW5885" s="2">
        <v>128267.36714972</v>
      </c>
      <c r="AX5885" s="2">
        <v>69827.685326956795</v>
      </c>
    </row>
    <row r="5886" spans="1:50" x14ac:dyDescent="0.25">
      <c r="A5886" s="2" t="s">
        <v>38355</v>
      </c>
      <c r="B5886" s="2">
        <v>197.01970673508299</v>
      </c>
      <c r="C5886" s="2">
        <v>8.2502666666666702</v>
      </c>
      <c r="D5886" s="2" t="s">
        <v>51</v>
      </c>
      <c r="E5886" s="2" t="s">
        <v>38356</v>
      </c>
      <c r="F5886" s="2">
        <v>200887</v>
      </c>
      <c r="G5886" s="3" t="str">
        <f>HYPERLINK("https://cloud.oebiotech.com/#/lm/network/200887", "https://cloud.oebiotech.com/#/lm/network/200887")</f>
        <v>https://cloud.oebiotech.com/#/lm/network/200887</v>
      </c>
      <c r="H5886" s="2" t="s">
        <v>38357</v>
      </c>
      <c r="I5886" s="2"/>
      <c r="J5886" s="2"/>
      <c r="K5886" s="2">
        <v>8385</v>
      </c>
      <c r="L5886" s="2"/>
      <c r="M5886" s="2"/>
      <c r="N5886" s="2"/>
      <c r="O5886" s="2">
        <v>84559</v>
      </c>
      <c r="P5886" s="2"/>
      <c r="Q5886" s="2"/>
      <c r="R5886" s="2"/>
      <c r="S5886" s="2" t="s">
        <v>38358</v>
      </c>
      <c r="T5886" s="2" t="s">
        <v>38359</v>
      </c>
      <c r="U5886" s="2" t="s">
        <v>610</v>
      </c>
      <c r="V5886" s="2" t="s">
        <v>611</v>
      </c>
      <c r="W5886" s="2" t="s">
        <v>8369</v>
      </c>
      <c r="X5886" s="2" t="s">
        <v>147</v>
      </c>
      <c r="Y5886" s="2">
        <v>38</v>
      </c>
      <c r="Z5886" s="2">
        <v>0</v>
      </c>
      <c r="AA5886" s="2" t="s">
        <v>163</v>
      </c>
      <c r="AB5886" s="2" t="s">
        <v>38360</v>
      </c>
      <c r="AC5886" s="2">
        <v>-3.4749322273735701</v>
      </c>
      <c r="AD5886" s="2"/>
      <c r="AE5886" s="2">
        <v>2.9526312478090101E-3</v>
      </c>
      <c r="AF5886" s="2">
        <v>3978.1475279507999</v>
      </c>
      <c r="AG5886" s="2">
        <v>3900.8197365761398</v>
      </c>
      <c r="AH5886" s="5">
        <v>1.0198234721408901</v>
      </c>
      <c r="AI5886" s="5">
        <v>2.83194483659946E-2</v>
      </c>
      <c r="AJ5886" s="5" t="s">
        <v>139</v>
      </c>
      <c r="AK5886" s="2">
        <v>0.95255065759444701</v>
      </c>
      <c r="AL5886" s="2">
        <v>0.98062767782557803</v>
      </c>
      <c r="AM5886" s="2">
        <v>2570.93640472366</v>
      </c>
      <c r="AN5886" s="2">
        <v>3072.9659971257001</v>
      </c>
      <c r="AO5886" s="2">
        <v>5453.3889878738701</v>
      </c>
      <c r="AP5886" s="2">
        <v>6674.5063208842703</v>
      </c>
      <c r="AQ5886" s="2">
        <v>2846.2601636064401</v>
      </c>
      <c r="AR5886" s="2">
        <v>3250.82729349085</v>
      </c>
      <c r="AS5886" s="2">
        <v>3690.8827194279902</v>
      </c>
      <c r="AT5886" s="2">
        <v>7380.8812832333997</v>
      </c>
      <c r="AU5886" s="2">
        <v>1962.24580634212</v>
      </c>
      <c r="AV5886" s="2">
        <v>2259.2601865228098</v>
      </c>
      <c r="AW5886" s="2">
        <v>6837.5508412912404</v>
      </c>
      <c r="AX5886" s="2">
        <v>1274.0975826392901</v>
      </c>
    </row>
    <row r="5887" spans="1:50" x14ac:dyDescent="0.25">
      <c r="A5887" s="2" t="s">
        <v>38361</v>
      </c>
      <c r="B5887" s="2">
        <v>223.169942275192</v>
      </c>
      <c r="C5887" s="2">
        <v>8.7827333333333293</v>
      </c>
      <c r="D5887" s="2" t="s">
        <v>51</v>
      </c>
      <c r="E5887" s="2" t="s">
        <v>38362</v>
      </c>
      <c r="F5887" s="2">
        <v>61137</v>
      </c>
      <c r="G5887" s="3" t="str">
        <f>HYPERLINK("https://cloud.oebiotech.com/#/lm/network/61137", "https://cloud.oebiotech.com/#/lm/network/61137")</f>
        <v>https://cloud.oebiotech.com/#/lm/network/61137</v>
      </c>
      <c r="H5887" s="2" t="s">
        <v>38363</v>
      </c>
      <c r="I5887" s="2">
        <v>92448</v>
      </c>
      <c r="J5887" s="2"/>
      <c r="K5887" s="2">
        <v>85186102</v>
      </c>
      <c r="L5887" s="2"/>
      <c r="M5887" s="2"/>
      <c r="N5887" s="2"/>
      <c r="O5887" s="2">
        <v>174141</v>
      </c>
      <c r="P5887" s="2"/>
      <c r="Q5887" s="2"/>
      <c r="R5887" s="2" t="s">
        <v>38364</v>
      </c>
      <c r="S5887" s="2" t="s">
        <v>38365</v>
      </c>
      <c r="T5887" s="2" t="s">
        <v>38366</v>
      </c>
      <c r="U5887" s="2" t="s">
        <v>56</v>
      </c>
      <c r="V5887" s="2" t="s">
        <v>177</v>
      </c>
      <c r="W5887" s="2" t="s">
        <v>1996</v>
      </c>
      <c r="X5887" s="2" t="s">
        <v>83</v>
      </c>
      <c r="Y5887" s="2">
        <v>45.2</v>
      </c>
      <c r="Z5887" s="2">
        <v>0</v>
      </c>
      <c r="AA5887" s="2" t="s">
        <v>259</v>
      </c>
      <c r="AB5887" s="2" t="s">
        <v>15874</v>
      </c>
      <c r="AC5887" s="2">
        <v>3.0873803525715702</v>
      </c>
      <c r="AD5887" s="2"/>
      <c r="AE5887" s="2">
        <v>2.8747792725122802E-3</v>
      </c>
      <c r="AF5887" s="2">
        <v>1752.2300219756601</v>
      </c>
      <c r="AG5887" s="2">
        <v>1722.4224590635599</v>
      </c>
      <c r="AH5887" s="5">
        <v>1.01730560511172</v>
      </c>
      <c r="AI5887" s="5">
        <v>2.4753139125280099E-2</v>
      </c>
      <c r="AJ5887" s="5" t="s">
        <v>139</v>
      </c>
      <c r="AK5887" s="2">
        <v>0.84980192026041701</v>
      </c>
      <c r="AL5887" s="2">
        <v>0.93318515058070095</v>
      </c>
      <c r="AM5887" s="2">
        <v>1612.8931536585901</v>
      </c>
      <c r="AN5887" s="2">
        <v>1815.30298638302</v>
      </c>
      <c r="AO5887" s="2">
        <v>1764.8035723957501</v>
      </c>
      <c r="AP5887" s="2">
        <v>1791.8320163717499</v>
      </c>
      <c r="AQ5887" s="2">
        <v>2222.0478847478998</v>
      </c>
      <c r="AR5887" s="2">
        <v>1306.5005182969701</v>
      </c>
      <c r="AS5887" s="2">
        <v>1687.3484007910999</v>
      </c>
      <c r="AT5887" s="2">
        <v>1586.41469439097</v>
      </c>
      <c r="AU5887" s="2">
        <v>1647.6488308677599</v>
      </c>
      <c r="AV5887" s="2">
        <v>1486.1122122468</v>
      </c>
      <c r="AW5887" s="2">
        <v>2142.1547478720599</v>
      </c>
      <c r="AX5887" s="2">
        <v>1784.85586821266</v>
      </c>
    </row>
    <row r="5888" spans="1:50" x14ac:dyDescent="0.25">
      <c r="A5888" s="2" t="s">
        <v>38367</v>
      </c>
      <c r="B5888" s="2">
        <v>405.264351795148</v>
      </c>
      <c r="C5888" s="2">
        <v>12.352033333333299</v>
      </c>
      <c r="D5888" s="2" t="s">
        <v>51</v>
      </c>
      <c r="E5888" s="2" t="s">
        <v>38368</v>
      </c>
      <c r="F5888" s="2">
        <v>256945</v>
      </c>
      <c r="G5888" s="3" t="str">
        <f>HYPERLINK("https://cloud.oebiotech.com/#/lm/network/256945", "https://cloud.oebiotech.com/#/lm/network/256945")</f>
        <v>https://cloud.oebiotech.com/#/lm/network/256945</v>
      </c>
      <c r="H5888" s="2" t="s">
        <v>38369</v>
      </c>
      <c r="I5888" s="2"/>
      <c r="J5888" s="2"/>
      <c r="K5888" s="2">
        <v>73721376</v>
      </c>
      <c r="L5888" s="2"/>
      <c r="M5888" s="2"/>
      <c r="N5888" s="2"/>
      <c r="O5888" s="2"/>
      <c r="P5888" s="2"/>
      <c r="Q5888" s="2"/>
      <c r="R5888" s="2"/>
      <c r="S5888" s="2" t="s">
        <v>38370</v>
      </c>
      <c r="T5888" s="2" t="s">
        <v>38371</v>
      </c>
      <c r="U5888" s="2" t="s">
        <v>56</v>
      </c>
      <c r="V5888" s="2" t="s">
        <v>283</v>
      </c>
      <c r="W5888" s="2" t="s">
        <v>2042</v>
      </c>
      <c r="X5888" s="2" t="s">
        <v>147</v>
      </c>
      <c r="Y5888" s="2">
        <v>36.700000000000003</v>
      </c>
      <c r="Z5888" s="2">
        <v>0</v>
      </c>
      <c r="AA5888" s="2" t="s">
        <v>122</v>
      </c>
      <c r="AB5888" s="2" t="s">
        <v>38372</v>
      </c>
      <c r="AC5888" s="2">
        <v>0.62283029341170704</v>
      </c>
      <c r="AD5888" s="2"/>
      <c r="AE5888" s="2">
        <v>2.8638511760169399E-3</v>
      </c>
      <c r="AF5888" s="2">
        <v>7131.5657343316798</v>
      </c>
      <c r="AG5888" s="2">
        <v>7057.0617317840997</v>
      </c>
      <c r="AH5888" s="5">
        <v>1.0105573686867499</v>
      </c>
      <c r="AI5888" s="5">
        <v>1.51512249047395E-2</v>
      </c>
      <c r="AJ5888" s="5" t="s">
        <v>139</v>
      </c>
      <c r="AK5888" s="2">
        <v>0.95118326921644403</v>
      </c>
      <c r="AL5888" s="2">
        <v>0.98007203563658896</v>
      </c>
      <c r="AM5888" s="2">
        <v>6440.2322793782096</v>
      </c>
      <c r="AN5888" s="2">
        <v>7201.7009743966701</v>
      </c>
      <c r="AO5888" s="2">
        <v>9261.9234787795795</v>
      </c>
      <c r="AP5888" s="2">
        <v>7957.9111825077398</v>
      </c>
      <c r="AQ5888" s="2">
        <v>7203.0412279286002</v>
      </c>
      <c r="AR5888" s="2">
        <v>4724.5852629992996</v>
      </c>
      <c r="AS5888" s="2">
        <v>8482.5940185862091</v>
      </c>
      <c r="AT5888" s="2">
        <v>9901.40769930448</v>
      </c>
      <c r="AU5888" s="2">
        <v>2726.63706104639</v>
      </c>
      <c r="AV5888" s="2">
        <v>6317.4279073445296</v>
      </c>
      <c r="AW5888" s="2">
        <v>6745.1960971232102</v>
      </c>
      <c r="AX5888" s="2">
        <v>8169.1076072998003</v>
      </c>
    </row>
    <row r="5889" spans="1:50" x14ac:dyDescent="0.25">
      <c r="A5889" s="2" t="s">
        <v>38373</v>
      </c>
      <c r="B5889" s="2">
        <v>366.07300534449001</v>
      </c>
      <c r="C5889" s="2">
        <v>5.5480499999999999</v>
      </c>
      <c r="D5889" s="2" t="s">
        <v>51</v>
      </c>
      <c r="E5889" s="2" t="s">
        <v>38374</v>
      </c>
      <c r="F5889" s="2">
        <v>204048</v>
      </c>
      <c r="G5889" s="3" t="str">
        <f>HYPERLINK("https://cloud.oebiotech.com/#/lm/network/204048", "https://cloud.oebiotech.com/#/lm/network/204048")</f>
        <v>https://cloud.oebiotech.com/#/lm/network/204048</v>
      </c>
      <c r="H5889" s="2" t="s">
        <v>38375</v>
      </c>
      <c r="I5889" s="2"/>
      <c r="J5889" s="2"/>
      <c r="K5889" s="2">
        <v>5527</v>
      </c>
      <c r="L5889" s="2"/>
      <c r="M5889" s="2"/>
      <c r="N5889" s="2"/>
      <c r="O5889" s="2">
        <v>92320</v>
      </c>
      <c r="P5889" s="2"/>
      <c r="Q5889" s="2"/>
      <c r="R5889" s="2"/>
      <c r="S5889" s="2" t="s">
        <v>38376</v>
      </c>
      <c r="T5889" s="2" t="s">
        <v>38377</v>
      </c>
      <c r="U5889" s="2" t="s">
        <v>540</v>
      </c>
      <c r="V5889" s="2" t="s">
        <v>3291</v>
      </c>
      <c r="W5889" s="2" t="s">
        <v>36501</v>
      </c>
      <c r="X5889" s="2" t="s">
        <v>147</v>
      </c>
      <c r="Y5889" s="2">
        <v>42.9</v>
      </c>
      <c r="Z5889" s="2">
        <v>21</v>
      </c>
      <c r="AA5889" s="2" t="s">
        <v>2087</v>
      </c>
      <c r="AB5889" s="2" t="s">
        <v>38378</v>
      </c>
      <c r="AC5889" s="2">
        <v>-2.52325395902534</v>
      </c>
      <c r="AD5889" s="2"/>
      <c r="AE5889" s="2">
        <v>2.8339449699300002E-3</v>
      </c>
      <c r="AF5889" s="2">
        <v>2890.4448453054401</v>
      </c>
      <c r="AG5889" s="2">
        <v>3534.73579799975</v>
      </c>
      <c r="AH5889" s="4">
        <v>0.81772585293110001</v>
      </c>
      <c r="AI5889" s="4">
        <v>-0.290310842072317</v>
      </c>
      <c r="AJ5889" s="4" t="s">
        <v>62</v>
      </c>
      <c r="AK5889" s="2">
        <v>0.87662199185818901</v>
      </c>
      <c r="AL5889" s="2">
        <v>0.94747947672711896</v>
      </c>
      <c r="AM5889" s="2">
        <v>15211.977225873999</v>
      </c>
      <c r="AN5889" s="2">
        <v>8.559877937157E-6</v>
      </c>
      <c r="AO5889" s="2">
        <v>8.559877937157E-6</v>
      </c>
      <c r="AP5889" s="2">
        <v>8.559877937157E-6</v>
      </c>
      <c r="AQ5889" s="2">
        <v>2019.59450366077</v>
      </c>
      <c r="AR5889" s="2">
        <v>111.097316618238</v>
      </c>
      <c r="AS5889" s="2">
        <v>19461.831521707001</v>
      </c>
      <c r="AT5889" s="2">
        <v>8.559877937157E-6</v>
      </c>
      <c r="AU5889" s="2">
        <v>1187.8537877352001</v>
      </c>
      <c r="AV5889" s="2">
        <v>8.559877937157E-6</v>
      </c>
      <c r="AW5889" s="2">
        <v>558.72945287669097</v>
      </c>
      <c r="AX5889" s="2">
        <v>8.559877937157E-6</v>
      </c>
    </row>
    <row r="5890" spans="1:50" x14ac:dyDescent="0.25">
      <c r="A5890" s="2" t="s">
        <v>38379</v>
      </c>
      <c r="B5890" s="2">
        <v>233.98294059263699</v>
      </c>
      <c r="C5890" s="2">
        <v>0.85943333333333305</v>
      </c>
      <c r="D5890" s="2" t="s">
        <v>51</v>
      </c>
      <c r="E5890" s="2" t="s">
        <v>38380</v>
      </c>
      <c r="F5890" s="2">
        <v>198657</v>
      </c>
      <c r="G5890" s="3" t="str">
        <f>HYPERLINK("https://cloud.oebiotech.com/#/lm/network/198657", "https://cloud.oebiotech.com/#/lm/network/198657")</f>
        <v>https://cloud.oebiotech.com/#/lm/network/198657</v>
      </c>
      <c r="H5890" s="2" t="s">
        <v>38381</v>
      </c>
      <c r="I5890" s="2"/>
      <c r="J5890" s="2"/>
      <c r="K5890" s="2">
        <v>129892430</v>
      </c>
      <c r="L5890" s="2"/>
      <c r="M5890" s="2"/>
      <c r="N5890" s="2"/>
      <c r="O5890" s="2"/>
      <c r="P5890" s="2"/>
      <c r="Q5890" s="2"/>
      <c r="R5890" s="2"/>
      <c r="S5890" s="2" t="s">
        <v>38382</v>
      </c>
      <c r="T5890" s="2" t="s">
        <v>38383</v>
      </c>
      <c r="U5890" s="2" t="s">
        <v>103</v>
      </c>
      <c r="V5890" s="2" t="s">
        <v>4820</v>
      </c>
      <c r="W5890" s="2" t="s">
        <v>4821</v>
      </c>
      <c r="X5890" s="2" t="s">
        <v>147</v>
      </c>
      <c r="Y5890" s="2">
        <v>39.299999999999997</v>
      </c>
      <c r="Z5890" s="2">
        <v>9.8800000000000008</v>
      </c>
      <c r="AA5890" s="2" t="s">
        <v>122</v>
      </c>
      <c r="AB5890" s="2" t="s">
        <v>38384</v>
      </c>
      <c r="AC5890" s="2">
        <v>-2.0644056581922898</v>
      </c>
      <c r="AD5890" s="2"/>
      <c r="AE5890" s="2">
        <v>2.6935649033623999E-3</v>
      </c>
      <c r="AF5890" s="2">
        <v>19408.539992013299</v>
      </c>
      <c r="AG5890" s="2">
        <v>19766.639247404099</v>
      </c>
      <c r="AH5890" s="4">
        <v>0.98188365503570196</v>
      </c>
      <c r="AI5890" s="4">
        <v>-2.63760074625237E-2</v>
      </c>
      <c r="AJ5890" s="4" t="s">
        <v>62</v>
      </c>
      <c r="AK5890" s="2">
        <v>0.88532257944808002</v>
      </c>
      <c r="AL5890" s="2">
        <v>0.95000757066617403</v>
      </c>
      <c r="AM5890" s="2">
        <v>23984.383243607601</v>
      </c>
      <c r="AN5890" s="2">
        <v>19090.073490676201</v>
      </c>
      <c r="AO5890" s="2">
        <v>17779.3444670221</v>
      </c>
      <c r="AP5890" s="2">
        <v>27003.897106145901</v>
      </c>
      <c r="AQ5890" s="2">
        <v>15346.7409488831</v>
      </c>
      <c r="AR5890" s="2">
        <v>13246.8006957452</v>
      </c>
      <c r="AS5890" s="2">
        <v>18651.190698054899</v>
      </c>
      <c r="AT5890" s="2">
        <v>24159.8529114189</v>
      </c>
      <c r="AU5890" s="2">
        <v>18217.4469582866</v>
      </c>
      <c r="AV5890" s="2">
        <v>18974.731290526499</v>
      </c>
      <c r="AW5890" s="2">
        <v>22117.086810017401</v>
      </c>
      <c r="AX5890" s="2">
        <v>16479.5268161206</v>
      </c>
    </row>
    <row r="5891" spans="1:50" x14ac:dyDescent="0.25">
      <c r="A5891" s="2" t="s">
        <v>38385</v>
      </c>
      <c r="B5891" s="2">
        <v>393.21848292909402</v>
      </c>
      <c r="C5891" s="2">
        <v>9.8482333333333294</v>
      </c>
      <c r="D5891" s="2" t="s">
        <v>51</v>
      </c>
      <c r="E5891" s="2" t="s">
        <v>38386</v>
      </c>
      <c r="F5891" s="2">
        <v>82991</v>
      </c>
      <c r="G5891" s="3" t="str">
        <f>HYPERLINK("https://cloud.oebiotech.com/#/lm/network/82991", "https://cloud.oebiotech.com/#/lm/network/82991")</f>
        <v>https://cloud.oebiotech.com/#/lm/network/82991</v>
      </c>
      <c r="H5891" s="2" t="s">
        <v>38387</v>
      </c>
      <c r="I5891" s="2"/>
      <c r="J5891" s="2"/>
      <c r="K5891" s="2">
        <v>71752645</v>
      </c>
      <c r="L5891" s="2"/>
      <c r="M5891" s="2"/>
      <c r="N5891" s="2"/>
      <c r="O5891" s="2"/>
      <c r="P5891" s="2"/>
      <c r="Q5891" s="2"/>
      <c r="R5891" s="2"/>
      <c r="S5891" s="2" t="s">
        <v>38388</v>
      </c>
      <c r="T5891" s="2" t="s">
        <v>38389</v>
      </c>
      <c r="U5891" s="2" t="s">
        <v>103</v>
      </c>
      <c r="V5891" s="2" t="s">
        <v>104</v>
      </c>
      <c r="W5891" s="2" t="s">
        <v>105</v>
      </c>
      <c r="X5891" s="2" t="s">
        <v>147</v>
      </c>
      <c r="Y5891" s="2">
        <v>38.299999999999997</v>
      </c>
      <c r="Z5891" s="2">
        <v>0</v>
      </c>
      <c r="AA5891" s="2" t="s">
        <v>379</v>
      </c>
      <c r="AB5891" s="2" t="s">
        <v>38390</v>
      </c>
      <c r="AC5891" s="2">
        <v>0.28268990404125299</v>
      </c>
      <c r="AD5891" s="2"/>
      <c r="AE5891" s="2">
        <v>2.6797812752133001E-3</v>
      </c>
      <c r="AF5891" s="2">
        <v>635.27077068616904</v>
      </c>
      <c r="AG5891" s="2">
        <v>519.48898290112004</v>
      </c>
      <c r="AH5891" s="5">
        <v>1.2228763103664999</v>
      </c>
      <c r="AI5891" s="5">
        <v>0.29027848772043902</v>
      </c>
      <c r="AJ5891" s="5" t="s">
        <v>139</v>
      </c>
      <c r="AK5891" s="2">
        <v>0.81151541422011397</v>
      </c>
      <c r="AL5891" s="2">
        <v>0.91596331068912895</v>
      </c>
      <c r="AM5891" s="2">
        <v>8.559877937157E-6</v>
      </c>
      <c r="AN5891" s="2">
        <v>764.67771168520505</v>
      </c>
      <c r="AO5891" s="2">
        <v>365.08418304867899</v>
      </c>
      <c r="AP5891" s="2">
        <v>8.559877937157E-6</v>
      </c>
      <c r="AQ5891" s="2">
        <v>773.07336504253601</v>
      </c>
      <c r="AR5891" s="2">
        <v>1908.78934722084</v>
      </c>
      <c r="AS5891" s="2">
        <v>876.05301153375899</v>
      </c>
      <c r="AT5891" s="2">
        <v>8.559877937157E-6</v>
      </c>
      <c r="AU5891" s="2">
        <v>8.559877937157E-6</v>
      </c>
      <c r="AV5891" s="2">
        <v>8.559877937157E-6</v>
      </c>
      <c r="AW5891" s="2">
        <v>8.559877937157E-6</v>
      </c>
      <c r="AX5891" s="2">
        <v>2240.8808516334502</v>
      </c>
    </row>
    <row r="5892" spans="1:50" x14ac:dyDescent="0.25">
      <c r="A5892" s="2" t="s">
        <v>38391</v>
      </c>
      <c r="B5892" s="2">
        <v>358.26008795461399</v>
      </c>
      <c r="C5892" s="2">
        <v>6.7257166666666697</v>
      </c>
      <c r="D5892" s="2" t="s">
        <v>51</v>
      </c>
      <c r="E5892" s="2" t="s">
        <v>38392</v>
      </c>
      <c r="F5892" s="2">
        <v>8306</v>
      </c>
      <c r="G5892" s="3" t="str">
        <f>HYPERLINK("https://cloud.oebiotech.com/#/lm/network/8306", "https://cloud.oebiotech.com/#/lm/network/8306")</f>
        <v>https://cloud.oebiotech.com/#/lm/network/8306</v>
      </c>
      <c r="H5892" s="2" t="s">
        <v>38393</v>
      </c>
      <c r="I5892" s="2"/>
      <c r="J5892" s="2" t="s">
        <v>38394</v>
      </c>
      <c r="K5892" s="2">
        <v>71464579</v>
      </c>
      <c r="L5892" s="2"/>
      <c r="M5892" s="2"/>
      <c r="N5892" s="2"/>
      <c r="O5892" s="2">
        <v>73106</v>
      </c>
      <c r="P5892" s="2"/>
      <c r="Q5892" s="2"/>
      <c r="R5892" s="2"/>
      <c r="S5892" s="2" t="s">
        <v>38395</v>
      </c>
      <c r="T5892" s="2" t="s">
        <v>38396</v>
      </c>
      <c r="U5892" s="2" t="s">
        <v>56</v>
      </c>
      <c r="V5892" s="2" t="s">
        <v>145</v>
      </c>
      <c r="W5892" s="2" t="s">
        <v>1188</v>
      </c>
      <c r="X5892" s="2" t="s">
        <v>69</v>
      </c>
      <c r="Y5892" s="2">
        <v>52.6</v>
      </c>
      <c r="Z5892" s="2">
        <v>48</v>
      </c>
      <c r="AA5892" s="2" t="s">
        <v>259</v>
      </c>
      <c r="AB5892" s="2" t="s">
        <v>22354</v>
      </c>
      <c r="AC5892" s="2">
        <v>3.6061359588570299</v>
      </c>
      <c r="AD5892" s="2"/>
      <c r="AE5892" s="2">
        <v>2.5807572772106502E-3</v>
      </c>
      <c r="AF5892" s="2">
        <v>3813.1906194241901</v>
      </c>
      <c r="AG5892" s="2">
        <v>3215.1966962501501</v>
      </c>
      <c r="AH5892" s="5">
        <v>1.1859898412658501</v>
      </c>
      <c r="AI5892" s="5">
        <v>0.24609165236439501</v>
      </c>
      <c r="AJ5892" s="5" t="s">
        <v>139</v>
      </c>
      <c r="AK5892" s="2">
        <v>0.78098731202829896</v>
      </c>
      <c r="AL5892" s="2">
        <v>0.90349214175993997</v>
      </c>
      <c r="AM5892" s="2">
        <v>513.13052697192995</v>
      </c>
      <c r="AN5892" s="2">
        <v>1692.81717212116</v>
      </c>
      <c r="AO5892" s="2">
        <v>3148.6798843103302</v>
      </c>
      <c r="AP5892" s="2">
        <v>2522.1143930602798</v>
      </c>
      <c r="AQ5892" s="2">
        <v>11980.8118429965</v>
      </c>
      <c r="AR5892" s="2">
        <v>3021.5898970849298</v>
      </c>
      <c r="AS5892" s="2">
        <v>866.55872762519698</v>
      </c>
      <c r="AT5892" s="2">
        <v>1208.2310194972799</v>
      </c>
      <c r="AU5892" s="2">
        <v>1756.97583677126</v>
      </c>
      <c r="AV5892" s="2">
        <v>4606.0293058957204</v>
      </c>
      <c r="AW5892" s="2">
        <v>8837.8974342811907</v>
      </c>
      <c r="AX5892" s="2">
        <v>2015.48785343024</v>
      </c>
    </row>
    <row r="5893" spans="1:50" x14ac:dyDescent="0.25">
      <c r="A5893" s="2" t="s">
        <v>38397</v>
      </c>
      <c r="B5893" s="2">
        <v>292.13189999999997</v>
      </c>
      <c r="C5893" s="2">
        <v>14.62</v>
      </c>
      <c r="D5893" s="2" t="s">
        <v>125</v>
      </c>
      <c r="E5893" s="2" t="s">
        <v>38398</v>
      </c>
      <c r="F5893" s="2">
        <v>266286</v>
      </c>
      <c r="G5893" s="3" t="str">
        <f>HYPERLINK("https://cloud.oebiotech.com/#/lm/network/266286", "https://cloud.oebiotech.com/#/lm/network/266286")</f>
        <v>https://cloud.oebiotech.com/#/lm/network/266286</v>
      </c>
      <c r="H5893" s="2"/>
      <c r="I5893" s="2">
        <v>35473</v>
      </c>
      <c r="J5893" s="2"/>
      <c r="K5893" s="2">
        <v>151152</v>
      </c>
      <c r="L5893" s="2"/>
      <c r="M5893" s="2"/>
      <c r="N5893" s="2"/>
      <c r="O5893" s="2"/>
      <c r="P5893" s="2"/>
      <c r="Q5893" s="2"/>
      <c r="R5893" s="2"/>
      <c r="S5893" s="2" t="s">
        <v>38399</v>
      </c>
      <c r="T5893" s="2" t="s">
        <v>38400</v>
      </c>
      <c r="U5893" s="2" t="s">
        <v>331</v>
      </c>
      <c r="V5893" s="2" t="s">
        <v>332</v>
      </c>
      <c r="W5893" s="2" t="s">
        <v>333</v>
      </c>
      <c r="X5893" s="2" t="s">
        <v>69</v>
      </c>
      <c r="Y5893" s="2">
        <v>92.4</v>
      </c>
      <c r="Z5893" s="2">
        <v>88.3</v>
      </c>
      <c r="AA5893" s="2"/>
      <c r="AB5893" s="2" t="s">
        <v>17663</v>
      </c>
      <c r="AC5893" s="2"/>
      <c r="AD5893" s="2">
        <v>492073.08089500898</v>
      </c>
      <c r="AE5893" s="2">
        <v>2.5484244015512901E-3</v>
      </c>
      <c r="AF5893" s="2">
        <v>86083.899098257301</v>
      </c>
      <c r="AG5893" s="2">
        <v>87676.105534591494</v>
      </c>
      <c r="AH5893" s="4">
        <v>0.98183990465103299</v>
      </c>
      <c r="AI5893" s="4">
        <v>-2.6440291931381799E-2</v>
      </c>
      <c r="AJ5893" s="4" t="s">
        <v>62</v>
      </c>
      <c r="AK5893" s="2">
        <v>0.81273702372307599</v>
      </c>
      <c r="AL5893" s="2">
        <v>0.916819249447825</v>
      </c>
      <c r="AM5893" s="2">
        <v>87702.062723303796</v>
      </c>
      <c r="AN5893" s="2">
        <v>85026.385519830394</v>
      </c>
      <c r="AO5893" s="2">
        <v>63097.496187944998</v>
      </c>
      <c r="AP5893" s="2">
        <v>106407.21179431101</v>
      </c>
      <c r="AQ5893" s="2">
        <v>90701.908827224106</v>
      </c>
      <c r="AR5893" s="2">
        <v>83568.329536929406</v>
      </c>
      <c r="AS5893" s="2">
        <v>75921.508928194395</v>
      </c>
      <c r="AT5893" s="2">
        <v>99591.875870327407</v>
      </c>
      <c r="AU5893" s="2">
        <v>91699.341495579501</v>
      </c>
      <c r="AV5893" s="2">
        <v>87202.894916938298</v>
      </c>
      <c r="AW5893" s="2">
        <v>83677.144120265395</v>
      </c>
      <c r="AX5893" s="2">
        <v>87963.8678762442</v>
      </c>
    </row>
    <row r="5894" spans="1:50" x14ac:dyDescent="0.25">
      <c r="A5894" s="2" t="s">
        <v>38401</v>
      </c>
      <c r="B5894" s="2">
        <v>327.22761458952698</v>
      </c>
      <c r="C5894" s="2">
        <v>13.487033333333301</v>
      </c>
      <c r="D5894" s="2" t="s">
        <v>51</v>
      </c>
      <c r="E5894" s="2" t="s">
        <v>38402</v>
      </c>
      <c r="F5894" s="2">
        <v>53417</v>
      </c>
      <c r="G5894" s="3" t="str">
        <f>HYPERLINK("https://cloud.oebiotech.com/#/lm/network/53417", "https://cloud.oebiotech.com/#/lm/network/53417")</f>
        <v>https://cloud.oebiotech.com/#/lm/network/53417</v>
      </c>
      <c r="H5894" s="2" t="s">
        <v>38403</v>
      </c>
      <c r="I5894" s="2">
        <v>1382</v>
      </c>
      <c r="J5894" s="2"/>
      <c r="K5894" s="2">
        <v>39147</v>
      </c>
      <c r="L5894" s="2" t="s">
        <v>38404</v>
      </c>
      <c r="M5894" s="2"/>
      <c r="N5894" s="2"/>
      <c r="O5894" s="2">
        <v>127570</v>
      </c>
      <c r="P5894" s="2"/>
      <c r="Q5894" s="2"/>
      <c r="R5894" s="2" t="s">
        <v>38405</v>
      </c>
      <c r="S5894" s="2" t="s">
        <v>38406</v>
      </c>
      <c r="T5894" s="2" t="s">
        <v>38407</v>
      </c>
      <c r="U5894" s="2" t="s">
        <v>610</v>
      </c>
      <c r="V5894" s="2" t="s">
        <v>9501</v>
      </c>
      <c r="W5894" s="2" t="s">
        <v>240</v>
      </c>
      <c r="X5894" s="2" t="s">
        <v>147</v>
      </c>
      <c r="Y5894" s="2">
        <v>38.9</v>
      </c>
      <c r="Z5894" s="2">
        <v>0</v>
      </c>
      <c r="AA5894" s="2" t="s">
        <v>512</v>
      </c>
      <c r="AB5894" s="2" t="s">
        <v>14113</v>
      </c>
      <c r="AC5894" s="2">
        <v>-0.70922914744016596</v>
      </c>
      <c r="AD5894" s="2"/>
      <c r="AE5894" s="2">
        <v>2.53368251894485E-3</v>
      </c>
      <c r="AF5894" s="2">
        <v>3778.3647942443199</v>
      </c>
      <c r="AG5894" s="2">
        <v>3849.5030461495799</v>
      </c>
      <c r="AH5894" s="4">
        <v>0.98152014661310205</v>
      </c>
      <c r="AI5894" s="4">
        <v>-2.6910214235636901E-2</v>
      </c>
      <c r="AJ5894" s="4" t="s">
        <v>62</v>
      </c>
      <c r="AK5894" s="2">
        <v>0.91892863439109496</v>
      </c>
      <c r="AL5894" s="2">
        <v>0.96541520383033996</v>
      </c>
      <c r="AM5894" s="2">
        <v>4178.4459107298399</v>
      </c>
      <c r="AN5894" s="2">
        <v>4839.3868547054199</v>
      </c>
      <c r="AO5894" s="2">
        <v>5560.6591623340501</v>
      </c>
      <c r="AP5894" s="2">
        <v>3195.3833167137</v>
      </c>
      <c r="AQ5894" s="2">
        <v>2909.1986671658401</v>
      </c>
      <c r="AR5894" s="2">
        <v>1987.1148538170701</v>
      </c>
      <c r="AS5894" s="2">
        <v>4607.5370431043602</v>
      </c>
      <c r="AT5894" s="2">
        <v>3454.7859362532799</v>
      </c>
      <c r="AU5894" s="2">
        <v>2839.9706935968802</v>
      </c>
      <c r="AV5894" s="2">
        <v>3213.1809629597801</v>
      </c>
      <c r="AW5894" s="2">
        <v>5537.2625176292704</v>
      </c>
      <c r="AX5894" s="2">
        <v>3444.2811233539101</v>
      </c>
    </row>
    <row r="5895" spans="1:50" x14ac:dyDescent="0.25">
      <c r="A5895" s="2" t="s">
        <v>38408</v>
      </c>
      <c r="B5895" s="2">
        <v>130.05033883250701</v>
      </c>
      <c r="C5895" s="2">
        <v>1.02813333333333</v>
      </c>
      <c r="D5895" s="2" t="s">
        <v>51</v>
      </c>
      <c r="E5895" s="2" t="s">
        <v>38409</v>
      </c>
      <c r="F5895" s="2">
        <v>46966</v>
      </c>
      <c r="G5895" s="3" t="str">
        <f>HYPERLINK("https://cloud.oebiotech.com/#/lm/network/46966", "https://cloud.oebiotech.com/#/lm/network/46966")</f>
        <v>https://cloud.oebiotech.com/#/lm/network/46966</v>
      </c>
      <c r="H5895" s="2" t="s">
        <v>38410</v>
      </c>
      <c r="I5895" s="2">
        <v>3251</v>
      </c>
      <c r="J5895" s="2"/>
      <c r="K5895" s="2">
        <v>7405</v>
      </c>
      <c r="L5895" s="2" t="s">
        <v>38411</v>
      </c>
      <c r="M5895" s="2" t="s">
        <v>38412</v>
      </c>
      <c r="N5895" s="2" t="s">
        <v>38413</v>
      </c>
      <c r="O5895" s="2">
        <v>18183</v>
      </c>
      <c r="P5895" s="2"/>
      <c r="Q5895" s="2"/>
      <c r="R5895" s="2" t="s">
        <v>38414</v>
      </c>
      <c r="S5895" s="2" t="s">
        <v>38415</v>
      </c>
      <c r="T5895" s="2" t="s">
        <v>38416</v>
      </c>
      <c r="U5895" s="2" t="s">
        <v>103</v>
      </c>
      <c r="V5895" s="2" t="s">
        <v>104</v>
      </c>
      <c r="W5895" s="2" t="s">
        <v>105</v>
      </c>
      <c r="X5895" s="2" t="s">
        <v>69</v>
      </c>
      <c r="Y5895" s="2">
        <v>55.7</v>
      </c>
      <c r="Z5895" s="2">
        <v>83.9</v>
      </c>
      <c r="AA5895" s="2" t="s">
        <v>259</v>
      </c>
      <c r="AB5895" s="2" t="s">
        <v>3147</v>
      </c>
      <c r="AC5895" s="2">
        <v>3.6368808597417801</v>
      </c>
      <c r="AD5895" s="2"/>
      <c r="AE5895" s="2">
        <v>2.4166824136271701E-3</v>
      </c>
      <c r="AF5895" s="2">
        <v>227638.984070151</v>
      </c>
      <c r="AG5895" s="2">
        <v>235006.513004782</v>
      </c>
      <c r="AH5895" s="4">
        <v>0.96864968191549405</v>
      </c>
      <c r="AI5895" s="4">
        <v>-4.5953094410191603E-2</v>
      </c>
      <c r="AJ5895" s="4" t="s">
        <v>62</v>
      </c>
      <c r="AK5895" s="2">
        <v>0.87857993239344501</v>
      </c>
      <c r="AL5895" s="2">
        <v>0.94763287790961603</v>
      </c>
      <c r="AM5895" s="2">
        <v>361557.37809194799</v>
      </c>
      <c r="AN5895" s="2">
        <v>87294.663605638503</v>
      </c>
      <c r="AO5895" s="2">
        <v>231534.74469023</v>
      </c>
      <c r="AP5895" s="2">
        <v>265619.55777287303</v>
      </c>
      <c r="AQ5895" s="2">
        <v>249046.41778863801</v>
      </c>
      <c r="AR5895" s="2">
        <v>170781.142471581</v>
      </c>
      <c r="AS5895" s="2">
        <v>147775.344797367</v>
      </c>
      <c r="AT5895" s="2">
        <v>186838.52054837201</v>
      </c>
      <c r="AU5895" s="2">
        <v>307549.772109574</v>
      </c>
      <c r="AV5895" s="2">
        <v>216524.547423957</v>
      </c>
      <c r="AW5895" s="2">
        <v>227330.250666181</v>
      </c>
      <c r="AX5895" s="2">
        <v>324020.64248323999</v>
      </c>
    </row>
    <row r="5896" spans="1:50" x14ac:dyDescent="0.25">
      <c r="A5896" s="2" t="s">
        <v>38417</v>
      </c>
      <c r="B5896" s="2">
        <v>179.107200043924</v>
      </c>
      <c r="C5896" s="2">
        <v>1.7034499999999999</v>
      </c>
      <c r="D5896" s="2" t="s">
        <v>51</v>
      </c>
      <c r="E5896" s="2" t="s">
        <v>38418</v>
      </c>
      <c r="F5896" s="2">
        <v>213102</v>
      </c>
      <c r="G5896" s="3" t="str">
        <f>HYPERLINK("https://cloud.oebiotech.com/#/lm/network/213102", "https://cloud.oebiotech.com/#/lm/network/213102")</f>
        <v>https://cloud.oebiotech.com/#/lm/network/213102</v>
      </c>
      <c r="H5896" s="2" t="s">
        <v>38419</v>
      </c>
      <c r="I5896" s="2"/>
      <c r="J5896" s="2"/>
      <c r="K5896" s="2">
        <v>3063228</v>
      </c>
      <c r="L5896" s="2"/>
      <c r="M5896" s="2"/>
      <c r="N5896" s="2"/>
      <c r="O5896" s="2"/>
      <c r="P5896" s="2"/>
      <c r="Q5896" s="2"/>
      <c r="R5896" s="2"/>
      <c r="S5896" s="2" t="s">
        <v>38420</v>
      </c>
      <c r="T5896" s="2" t="s">
        <v>38421</v>
      </c>
      <c r="U5896" s="2" t="s">
        <v>1231</v>
      </c>
      <c r="V5896" s="2" t="s">
        <v>38422</v>
      </c>
      <c r="W5896" s="2" t="s">
        <v>240</v>
      </c>
      <c r="X5896" s="2" t="s">
        <v>147</v>
      </c>
      <c r="Y5896" s="2">
        <v>37.200000000000003</v>
      </c>
      <c r="Z5896" s="2">
        <v>0</v>
      </c>
      <c r="AA5896" s="2" t="s">
        <v>512</v>
      </c>
      <c r="AB5896" s="2" t="s">
        <v>38423</v>
      </c>
      <c r="AC5896" s="2">
        <v>-0.88073352669175298</v>
      </c>
      <c r="AD5896" s="2"/>
      <c r="AE5896" s="2">
        <v>2.3860925959944398E-3</v>
      </c>
      <c r="AF5896" s="2">
        <v>9704.6470963516203</v>
      </c>
      <c r="AG5896" s="2">
        <v>9643.0702709316902</v>
      </c>
      <c r="AH5896" s="5">
        <v>1.0063856037226599</v>
      </c>
      <c r="AI5896" s="5">
        <v>9.1831898234026096E-3</v>
      </c>
      <c r="AJ5896" s="5" t="s">
        <v>139</v>
      </c>
      <c r="AK5896" s="2">
        <v>0.95744278727432497</v>
      </c>
      <c r="AL5896" s="2">
        <v>0.98245377088014596</v>
      </c>
      <c r="AM5896" s="2">
        <v>8902.85366093019</v>
      </c>
      <c r="AN5896" s="2">
        <v>10896.7798287396</v>
      </c>
      <c r="AO5896" s="2">
        <v>9290.2892773824406</v>
      </c>
      <c r="AP5896" s="2">
        <v>10769.892057306301</v>
      </c>
      <c r="AQ5896" s="2">
        <v>9812.1205474579292</v>
      </c>
      <c r="AR5896" s="2">
        <v>8555.94720629324</v>
      </c>
      <c r="AS5896" s="2">
        <v>10185.673112738001</v>
      </c>
      <c r="AT5896" s="2">
        <v>10549.5724674047</v>
      </c>
      <c r="AU5896" s="2">
        <v>7536.8445077242804</v>
      </c>
      <c r="AV5896" s="2">
        <v>6870.6941448799698</v>
      </c>
      <c r="AW5896" s="2">
        <v>8695.5858101165795</v>
      </c>
      <c r="AX5896" s="2">
        <v>14020.051582726601</v>
      </c>
    </row>
    <row r="5897" spans="1:50" x14ac:dyDescent="0.25">
      <c r="A5897" s="2" t="s">
        <v>38424</v>
      </c>
      <c r="B5897" s="2">
        <v>808.46830012922203</v>
      </c>
      <c r="C5897" s="2">
        <v>10.4101833333333</v>
      </c>
      <c r="D5897" s="2" t="s">
        <v>51</v>
      </c>
      <c r="E5897" s="2" t="s">
        <v>38425</v>
      </c>
      <c r="F5897" s="2">
        <v>219358</v>
      </c>
      <c r="G5897" s="3" t="str">
        <f>HYPERLINK("https://cloud.oebiotech.com/#/lm/network/219358", "https://cloud.oebiotech.com/#/lm/network/219358")</f>
        <v>https://cloud.oebiotech.com/#/lm/network/219358</v>
      </c>
      <c r="H5897" s="2" t="s">
        <v>38426</v>
      </c>
      <c r="I5897" s="2"/>
      <c r="J5897" s="2"/>
      <c r="K5897" s="2"/>
      <c r="L5897" s="2"/>
      <c r="M5897" s="2"/>
      <c r="N5897" s="2"/>
      <c r="O5897" s="2"/>
      <c r="P5897" s="2"/>
      <c r="Q5897" s="2"/>
      <c r="R5897" s="2"/>
      <c r="S5897" s="2" t="s">
        <v>38427</v>
      </c>
      <c r="T5897" s="2" t="s">
        <v>38428</v>
      </c>
      <c r="U5897" s="2" t="s">
        <v>56</v>
      </c>
      <c r="V5897" s="2" t="s">
        <v>57</v>
      </c>
      <c r="W5897" s="2" t="s">
        <v>702</v>
      </c>
      <c r="X5897" s="2" t="s">
        <v>147</v>
      </c>
      <c r="Y5897" s="2">
        <v>36.6</v>
      </c>
      <c r="Z5897" s="2">
        <v>0</v>
      </c>
      <c r="AA5897" s="2" t="s">
        <v>122</v>
      </c>
      <c r="AB5897" s="2" t="s">
        <v>38429</v>
      </c>
      <c r="AC5897" s="2">
        <v>0.46954287658404698</v>
      </c>
      <c r="AD5897" s="2"/>
      <c r="AE5897" s="2">
        <v>2.34692029023167E-3</v>
      </c>
      <c r="AF5897" s="2">
        <v>21897.844426634401</v>
      </c>
      <c r="AG5897" s="2">
        <v>21593.476097371102</v>
      </c>
      <c r="AH5897" s="5">
        <v>1.01409538361914</v>
      </c>
      <c r="AI5897" s="5">
        <v>2.0193355499530601E-2</v>
      </c>
      <c r="AJ5897" s="5" t="s">
        <v>139</v>
      </c>
      <c r="AK5897" s="2">
        <v>0.94919461236920399</v>
      </c>
      <c r="AL5897" s="2">
        <v>0.97875606918993896</v>
      </c>
      <c r="AM5897" s="2">
        <v>26975.493360702501</v>
      </c>
      <c r="AN5897" s="2">
        <v>29628.737421529098</v>
      </c>
      <c r="AO5897" s="2">
        <v>22492.289409230201</v>
      </c>
      <c r="AP5897" s="2">
        <v>15839.300033518701</v>
      </c>
      <c r="AQ5897" s="2">
        <v>13720.761910803099</v>
      </c>
      <c r="AR5897" s="2">
        <v>22730.484424022801</v>
      </c>
      <c r="AS5897" s="2">
        <v>22917.951208779901</v>
      </c>
      <c r="AT5897" s="2">
        <v>6578.1875181986497</v>
      </c>
      <c r="AU5897" s="2">
        <v>18275.696918332</v>
      </c>
      <c r="AV5897" s="2">
        <v>26143.414712853799</v>
      </c>
      <c r="AW5897" s="2">
        <v>35708.350860765699</v>
      </c>
      <c r="AX5897" s="2">
        <v>19937.255365296802</v>
      </c>
    </row>
    <row r="5898" spans="1:50" x14ac:dyDescent="0.25">
      <c r="A5898" s="2" t="s">
        <v>38430</v>
      </c>
      <c r="B5898" s="2">
        <v>503.28659054605299</v>
      </c>
      <c r="C5898" s="2">
        <v>9.3362833333333306</v>
      </c>
      <c r="D5898" s="2" t="s">
        <v>51</v>
      </c>
      <c r="E5898" s="2" t="s">
        <v>38431</v>
      </c>
      <c r="F5898" s="2">
        <v>199311</v>
      </c>
      <c r="G5898" s="3" t="str">
        <f>HYPERLINK("https://cloud.oebiotech.com/#/lm/network/199311", "https://cloud.oebiotech.com/#/lm/network/199311")</f>
        <v>https://cloud.oebiotech.com/#/lm/network/199311</v>
      </c>
      <c r="H5898" s="2" t="s">
        <v>38432</v>
      </c>
      <c r="I5898" s="2"/>
      <c r="J5898" s="2"/>
      <c r="K5898" s="2">
        <v>123849</v>
      </c>
      <c r="L5898" s="2"/>
      <c r="M5898" s="2"/>
      <c r="N5898" s="2"/>
      <c r="O5898" s="2"/>
      <c r="P5898" s="2"/>
      <c r="Q5898" s="2"/>
      <c r="R5898" s="2"/>
      <c r="S5898" s="2" t="s">
        <v>38433</v>
      </c>
      <c r="T5898" s="2" t="s">
        <v>38434</v>
      </c>
      <c r="U5898" s="2" t="s">
        <v>266</v>
      </c>
      <c r="V5898" s="2" t="s">
        <v>2432</v>
      </c>
      <c r="W5898" s="2" t="s">
        <v>10026</v>
      </c>
      <c r="X5898" s="2" t="s">
        <v>147</v>
      </c>
      <c r="Y5898" s="2">
        <v>39.1</v>
      </c>
      <c r="Z5898" s="2">
        <v>0</v>
      </c>
      <c r="AA5898" s="2" t="s">
        <v>478</v>
      </c>
      <c r="AB5898" s="2" t="s">
        <v>38435</v>
      </c>
      <c r="AC5898" s="2">
        <v>-1.8204457669912399</v>
      </c>
      <c r="AD5898" s="2"/>
      <c r="AE5898" s="2">
        <v>2.2482650366175902E-3</v>
      </c>
      <c r="AF5898" s="2">
        <v>779.44709784763904</v>
      </c>
      <c r="AG5898" s="2">
        <v>676.78480530043396</v>
      </c>
      <c r="AH5898" s="5">
        <v>1.1516911900846101</v>
      </c>
      <c r="AI5898" s="5">
        <v>0.20375393009796999</v>
      </c>
      <c r="AJ5898" s="5" t="s">
        <v>139</v>
      </c>
      <c r="AK5898" s="2">
        <v>0.87537024547672404</v>
      </c>
      <c r="AL5898" s="2">
        <v>0.94709997625428299</v>
      </c>
      <c r="AM5898" s="2">
        <v>8.559877937157E-6</v>
      </c>
      <c r="AN5898" s="2">
        <v>1102.3902841796901</v>
      </c>
      <c r="AO5898" s="2">
        <v>8.559877937157E-6</v>
      </c>
      <c r="AP5898" s="2">
        <v>8.559877937157E-6</v>
      </c>
      <c r="AQ5898" s="2">
        <v>329.35816169038799</v>
      </c>
      <c r="AR5898" s="2">
        <v>3244.9341155361199</v>
      </c>
      <c r="AS5898" s="2">
        <v>2197.4076524934299</v>
      </c>
      <c r="AT5898" s="2">
        <v>625.36053639040801</v>
      </c>
      <c r="AU5898" s="2">
        <v>8.559877937157E-6</v>
      </c>
      <c r="AV5898" s="2">
        <v>8.559877937157E-6</v>
      </c>
      <c r="AW5898" s="2">
        <v>8.559877937157E-6</v>
      </c>
      <c r="AX5898" s="2">
        <v>1237.94061723913</v>
      </c>
    </row>
    <row r="5899" spans="1:50" x14ac:dyDescent="0.25">
      <c r="A5899" s="2" t="s">
        <v>38436</v>
      </c>
      <c r="B5899" s="2">
        <v>200.12864022082599</v>
      </c>
      <c r="C5899" s="2">
        <v>6.2012166666666699</v>
      </c>
      <c r="D5899" s="2" t="s">
        <v>51</v>
      </c>
      <c r="E5899" s="2" t="s">
        <v>38437</v>
      </c>
      <c r="F5899" s="2">
        <v>205421</v>
      </c>
      <c r="G5899" s="3" t="str">
        <f>HYPERLINK("https://cloud.oebiotech.com/#/lm/network/205421", "https://cloud.oebiotech.com/#/lm/network/205421")</f>
        <v>https://cloud.oebiotech.com/#/lm/network/205421</v>
      </c>
      <c r="H5899" s="2" t="s">
        <v>38438</v>
      </c>
      <c r="I5899" s="2"/>
      <c r="J5899" s="2"/>
      <c r="K5899" s="2">
        <v>25012446</v>
      </c>
      <c r="L5899" s="2"/>
      <c r="M5899" s="2"/>
      <c r="N5899" s="2"/>
      <c r="O5899" s="2"/>
      <c r="P5899" s="2"/>
      <c r="Q5899" s="2"/>
      <c r="R5899" s="2"/>
      <c r="S5899" s="2" t="s">
        <v>38439</v>
      </c>
      <c r="T5899" s="2" t="s">
        <v>38440</v>
      </c>
      <c r="U5899" s="2" t="s">
        <v>103</v>
      </c>
      <c r="V5899" s="2" t="s">
        <v>104</v>
      </c>
      <c r="W5899" s="2" t="s">
        <v>38441</v>
      </c>
      <c r="X5899" s="2" t="s">
        <v>83</v>
      </c>
      <c r="Y5899" s="2">
        <v>45.1</v>
      </c>
      <c r="Z5899" s="2">
        <v>0</v>
      </c>
      <c r="AA5899" s="2" t="s">
        <v>218</v>
      </c>
      <c r="AB5899" s="2" t="s">
        <v>38442</v>
      </c>
      <c r="AC5899" s="2">
        <v>-3.71826824884202</v>
      </c>
      <c r="AD5899" s="2"/>
      <c r="AE5899" s="2">
        <v>2.2315856435917202E-3</v>
      </c>
      <c r="AF5899" s="2">
        <v>871.28446223001004</v>
      </c>
      <c r="AG5899" s="2">
        <v>812.61973098154795</v>
      </c>
      <c r="AH5899" s="5">
        <v>1.0721921078357299</v>
      </c>
      <c r="AI5899" s="5">
        <v>0.10056342089949</v>
      </c>
      <c r="AJ5899" s="5" t="s">
        <v>139</v>
      </c>
      <c r="AK5899" s="2">
        <v>0.91095167012131595</v>
      </c>
      <c r="AL5899" s="2">
        <v>0.96284850730109495</v>
      </c>
      <c r="AM5899" s="2">
        <v>40.230444450658702</v>
      </c>
      <c r="AN5899" s="2">
        <v>1437.25623540524</v>
      </c>
      <c r="AO5899" s="2">
        <v>1805.44445711704</v>
      </c>
      <c r="AP5899" s="2">
        <v>832.333455933398</v>
      </c>
      <c r="AQ5899" s="2">
        <v>177.48784181029899</v>
      </c>
      <c r="AR5899" s="2">
        <v>934.95433866342603</v>
      </c>
      <c r="AS5899" s="2">
        <v>328.734017619876</v>
      </c>
      <c r="AT5899" s="2">
        <v>472.10872304214797</v>
      </c>
      <c r="AU5899" s="2">
        <v>453.155248577691</v>
      </c>
      <c r="AV5899" s="2">
        <v>481.37380078390601</v>
      </c>
      <c r="AW5899" s="2">
        <v>2937.6830511769299</v>
      </c>
      <c r="AX5899" s="2">
        <v>202.66354468873499</v>
      </c>
    </row>
    <row r="5900" spans="1:50" x14ac:dyDescent="0.25">
      <c r="A5900" s="2" t="s">
        <v>38443</v>
      </c>
      <c r="B5900" s="2">
        <v>455.33805191137202</v>
      </c>
      <c r="C5900" s="2">
        <v>11.4227333333333</v>
      </c>
      <c r="D5900" s="2" t="s">
        <v>51</v>
      </c>
      <c r="E5900" s="2" t="s">
        <v>38444</v>
      </c>
      <c r="F5900" s="2">
        <v>10326</v>
      </c>
      <c r="G5900" s="3" t="str">
        <f>HYPERLINK("https://cloud.oebiotech.com/#/lm/network/10326", "https://cloud.oebiotech.com/#/lm/network/10326")</f>
        <v>https://cloud.oebiotech.com/#/lm/network/10326</v>
      </c>
      <c r="H5900" s="2"/>
      <c r="I5900" s="2"/>
      <c r="J5900" s="2" t="s">
        <v>38445</v>
      </c>
      <c r="K5900" s="2">
        <v>86289795</v>
      </c>
      <c r="L5900" s="2"/>
      <c r="M5900" s="2"/>
      <c r="N5900" s="2"/>
      <c r="O5900" s="2">
        <v>79157</v>
      </c>
      <c r="P5900" s="2"/>
      <c r="Q5900" s="2"/>
      <c r="R5900" s="2"/>
      <c r="S5900" s="2" t="s">
        <v>38446</v>
      </c>
      <c r="T5900" s="2" t="s">
        <v>38447</v>
      </c>
      <c r="U5900" s="2" t="s">
        <v>56</v>
      </c>
      <c r="V5900" s="2" t="s">
        <v>145</v>
      </c>
      <c r="W5900" s="2" t="s">
        <v>231</v>
      </c>
      <c r="X5900" s="2" t="s">
        <v>83</v>
      </c>
      <c r="Y5900" s="2">
        <v>43.1</v>
      </c>
      <c r="Z5900" s="2">
        <v>0</v>
      </c>
      <c r="AA5900" s="2" t="s">
        <v>163</v>
      </c>
      <c r="AB5900" s="2" t="s">
        <v>24290</v>
      </c>
      <c r="AC5900" s="2">
        <v>0.52391634549386201</v>
      </c>
      <c r="AD5900" s="2"/>
      <c r="AE5900" s="2">
        <v>2.2114842029984602E-3</v>
      </c>
      <c r="AF5900" s="2">
        <v>1506.4685832054599</v>
      </c>
      <c r="AG5900" s="2">
        <v>1352.2113409134499</v>
      </c>
      <c r="AH5900" s="5">
        <v>1.1140777610900701</v>
      </c>
      <c r="AI5900" s="5">
        <v>0.15584993431504399</v>
      </c>
      <c r="AJ5900" s="5" t="s">
        <v>139</v>
      </c>
      <c r="AK5900" s="2">
        <v>0.79955161589628798</v>
      </c>
      <c r="AL5900" s="2">
        <v>0.90954932814260703</v>
      </c>
      <c r="AM5900" s="2">
        <v>160.889809278185</v>
      </c>
      <c r="AN5900" s="2">
        <v>1943.74798403401</v>
      </c>
      <c r="AO5900" s="2">
        <v>1401.9875488228799</v>
      </c>
      <c r="AP5900" s="2">
        <v>3741.7655878840601</v>
      </c>
      <c r="AQ5900" s="2">
        <v>1035.7565575435001</v>
      </c>
      <c r="AR5900" s="2">
        <v>754.66401167011895</v>
      </c>
      <c r="AS5900" s="2">
        <v>532.33967476351904</v>
      </c>
      <c r="AT5900" s="2">
        <v>1427.43122489814</v>
      </c>
      <c r="AU5900" s="2">
        <v>1852.2275173691</v>
      </c>
      <c r="AV5900" s="2">
        <v>366.58795644941802</v>
      </c>
      <c r="AW5900" s="2">
        <v>2116.6870343015698</v>
      </c>
      <c r="AX5900" s="2">
        <v>1817.9946376989601</v>
      </c>
    </row>
    <row r="5901" spans="1:50" x14ac:dyDescent="0.25">
      <c r="A5901" s="2" t="s">
        <v>38448</v>
      </c>
      <c r="B5901" s="2">
        <v>145.097901630103</v>
      </c>
      <c r="C5901" s="2">
        <v>0.74455000000000005</v>
      </c>
      <c r="D5901" s="2" t="s">
        <v>51</v>
      </c>
      <c r="E5901" s="2" t="s">
        <v>38449</v>
      </c>
      <c r="F5901" s="2">
        <v>47038</v>
      </c>
      <c r="G5901" s="3" t="str">
        <f>HYPERLINK("https://cloud.oebiotech.com/#/lm/network/47038", "https://cloud.oebiotech.com/#/lm/network/47038")</f>
        <v>https://cloud.oebiotech.com/#/lm/network/47038</v>
      </c>
      <c r="H5901" s="2" t="s">
        <v>38450</v>
      </c>
      <c r="I5901" s="2">
        <v>47</v>
      </c>
      <c r="J5901" s="2"/>
      <c r="K5901" s="2">
        <v>3032849</v>
      </c>
      <c r="L5901" s="2" t="s">
        <v>38451</v>
      </c>
      <c r="M5901" s="2" t="s">
        <v>6725</v>
      </c>
      <c r="N5901" s="2" t="s">
        <v>6726</v>
      </c>
      <c r="O5901" s="2">
        <v>18040</v>
      </c>
      <c r="P5901" s="2"/>
      <c r="Q5901" s="2"/>
      <c r="R5901" s="2" t="s">
        <v>38452</v>
      </c>
      <c r="S5901" s="2" t="s">
        <v>38453</v>
      </c>
      <c r="T5901" s="2" t="s">
        <v>38454</v>
      </c>
      <c r="U5901" s="2" t="s">
        <v>103</v>
      </c>
      <c r="V5901" s="2" t="s">
        <v>104</v>
      </c>
      <c r="W5901" s="2" t="s">
        <v>105</v>
      </c>
      <c r="X5901" s="2" t="s">
        <v>83</v>
      </c>
      <c r="Y5901" s="2">
        <v>37.9</v>
      </c>
      <c r="Z5901" s="2">
        <v>0</v>
      </c>
      <c r="AA5901" s="2" t="s">
        <v>156</v>
      </c>
      <c r="AB5901" s="2" t="s">
        <v>38455</v>
      </c>
      <c r="AC5901" s="2">
        <v>4.6117261151792199</v>
      </c>
      <c r="AD5901" s="2"/>
      <c r="AE5901" s="2">
        <v>2.0600852157570898E-3</v>
      </c>
      <c r="AF5901" s="2">
        <v>1159.68995588338</v>
      </c>
      <c r="AG5901" s="2">
        <v>1210.73309298812</v>
      </c>
      <c r="AH5901" s="4">
        <v>0.95784113162483597</v>
      </c>
      <c r="AI5901" s="4">
        <v>-6.21417057562779E-2</v>
      </c>
      <c r="AJ5901" s="4" t="s">
        <v>62</v>
      </c>
      <c r="AK5901" s="2">
        <v>0.91529089715193401</v>
      </c>
      <c r="AL5901" s="2">
        <v>0.96366058811687005</v>
      </c>
      <c r="AM5901" s="2">
        <v>235.97690352088</v>
      </c>
      <c r="AN5901" s="2">
        <v>2479.7879735802499</v>
      </c>
      <c r="AO5901" s="2">
        <v>1681.0854355450599</v>
      </c>
      <c r="AP5901" s="2">
        <v>1155.9501817727801</v>
      </c>
      <c r="AQ5901" s="2">
        <v>502.61377478742003</v>
      </c>
      <c r="AR5901" s="2">
        <v>902.72546609390599</v>
      </c>
      <c r="AS5901" s="2">
        <v>1029.2925866348701</v>
      </c>
      <c r="AT5901" s="2">
        <v>1005.15292248284</v>
      </c>
      <c r="AU5901" s="2">
        <v>2456.54868326108</v>
      </c>
      <c r="AV5901" s="2">
        <v>8.559877937157E-6</v>
      </c>
      <c r="AW5901" s="2">
        <v>1232.47504300992</v>
      </c>
      <c r="AX5901" s="2">
        <v>1540.92931398016</v>
      </c>
    </row>
    <row r="5902" spans="1:50" x14ac:dyDescent="0.25">
      <c r="A5902" s="2" t="s">
        <v>38456</v>
      </c>
      <c r="B5902" s="2">
        <v>276.13540773887001</v>
      </c>
      <c r="C5902" s="2">
        <v>4.0044000000000004</v>
      </c>
      <c r="D5902" s="2" t="s">
        <v>51</v>
      </c>
      <c r="E5902" s="2" t="s">
        <v>38457</v>
      </c>
      <c r="F5902" s="2">
        <v>52211</v>
      </c>
      <c r="G5902" s="3" t="str">
        <f>HYPERLINK("https://cloud.oebiotech.com/#/lm/network/52211", "https://cloud.oebiotech.com/#/lm/network/52211")</f>
        <v>https://cloud.oebiotech.com/#/lm/network/52211</v>
      </c>
      <c r="H5902" s="2" t="s">
        <v>38458</v>
      </c>
      <c r="I5902" s="2">
        <v>85613</v>
      </c>
      <c r="J5902" s="2"/>
      <c r="K5902" s="2">
        <v>85362</v>
      </c>
      <c r="L5902" s="2"/>
      <c r="M5902" s="2"/>
      <c r="N5902" s="2"/>
      <c r="O5902" s="2">
        <v>73808</v>
      </c>
      <c r="P5902" s="2"/>
      <c r="Q5902" s="2"/>
      <c r="R5902" s="2" t="s">
        <v>38459</v>
      </c>
      <c r="S5902" s="2" t="s">
        <v>38460</v>
      </c>
      <c r="T5902" s="2" t="s">
        <v>38461</v>
      </c>
      <c r="U5902" s="2" t="s">
        <v>103</v>
      </c>
      <c r="V5902" s="2" t="s">
        <v>104</v>
      </c>
      <c r="W5902" s="2" t="s">
        <v>105</v>
      </c>
      <c r="X5902" s="2" t="s">
        <v>69</v>
      </c>
      <c r="Y5902" s="2">
        <v>56</v>
      </c>
      <c r="Z5902" s="2">
        <v>71.400000000000006</v>
      </c>
      <c r="AA5902" s="2" t="s">
        <v>259</v>
      </c>
      <c r="AB5902" s="2" t="s">
        <v>19040</v>
      </c>
      <c r="AC5902" s="2">
        <v>4.1431362094238198</v>
      </c>
      <c r="AD5902" s="2"/>
      <c r="AE5902" s="2">
        <v>2.0395257540530699E-3</v>
      </c>
      <c r="AF5902" s="2">
        <v>1750.74014080551</v>
      </c>
      <c r="AG5902" s="2">
        <v>2133.2670472057598</v>
      </c>
      <c r="AH5902" s="4">
        <v>0.82068494101510003</v>
      </c>
      <c r="AI5902" s="4">
        <v>-0.285099613774909</v>
      </c>
      <c r="AJ5902" s="4" t="s">
        <v>62</v>
      </c>
      <c r="AK5902" s="2">
        <v>0.74626565938614398</v>
      </c>
      <c r="AL5902" s="2">
        <v>0.88417066848444203</v>
      </c>
      <c r="AM5902" s="2">
        <v>3954.8382634242698</v>
      </c>
      <c r="AN5902" s="2">
        <v>600.45514586552395</v>
      </c>
      <c r="AO5902" s="2">
        <v>1757.9143029901099</v>
      </c>
      <c r="AP5902" s="2">
        <v>734.79969136192005</v>
      </c>
      <c r="AQ5902" s="2">
        <v>2138.5626042498302</v>
      </c>
      <c r="AR5902" s="2">
        <v>1317.8708369414301</v>
      </c>
      <c r="AS5902" s="2">
        <v>546.94678928994904</v>
      </c>
      <c r="AT5902" s="2">
        <v>850.85539251274702</v>
      </c>
      <c r="AU5902" s="2">
        <v>7131.2182479353496</v>
      </c>
      <c r="AV5902" s="2">
        <v>2330.94273069561</v>
      </c>
      <c r="AW5902" s="2">
        <v>1310.6805314419801</v>
      </c>
      <c r="AX5902" s="2">
        <v>628.95859135891101</v>
      </c>
    </row>
    <row r="5903" spans="1:50" x14ac:dyDescent="0.25">
      <c r="A5903" s="2" t="s">
        <v>38462</v>
      </c>
      <c r="B5903" s="2">
        <v>298.05450872623197</v>
      </c>
      <c r="C5903" s="2">
        <v>1.0339</v>
      </c>
      <c r="D5903" s="2" t="s">
        <v>51</v>
      </c>
      <c r="E5903" s="2" t="s">
        <v>38463</v>
      </c>
      <c r="F5903" s="2">
        <v>83372</v>
      </c>
      <c r="G5903" s="3" t="str">
        <f>HYPERLINK("https://cloud.oebiotech.com/#/lm/network/83372", "https://cloud.oebiotech.com/#/lm/network/83372")</f>
        <v>https://cloud.oebiotech.com/#/lm/network/83372</v>
      </c>
      <c r="H5903" s="2" t="s">
        <v>38464</v>
      </c>
      <c r="I5903" s="2">
        <v>64696</v>
      </c>
      <c r="J5903" s="2"/>
      <c r="K5903" s="2">
        <v>1369</v>
      </c>
      <c r="L5903" s="2" t="s">
        <v>38465</v>
      </c>
      <c r="M5903" s="2"/>
      <c r="N5903" s="2"/>
      <c r="O5903" s="2">
        <v>39708</v>
      </c>
      <c r="P5903" s="2"/>
      <c r="Q5903" s="2"/>
      <c r="R5903" s="2" t="s">
        <v>38466</v>
      </c>
      <c r="S5903" s="2" t="s">
        <v>38467</v>
      </c>
      <c r="T5903" s="2" t="s">
        <v>38468</v>
      </c>
      <c r="U5903" s="2" t="s">
        <v>610</v>
      </c>
      <c r="V5903" s="2" t="s">
        <v>813</v>
      </c>
      <c r="W5903" s="2" t="s">
        <v>814</v>
      </c>
      <c r="X5903" s="2" t="s">
        <v>147</v>
      </c>
      <c r="Y5903" s="2">
        <v>36.5</v>
      </c>
      <c r="Z5903" s="2">
        <v>0</v>
      </c>
      <c r="AA5903" s="2" t="s">
        <v>163</v>
      </c>
      <c r="AB5903" s="2" t="s">
        <v>38469</v>
      </c>
      <c r="AC5903" s="2">
        <v>0.57138005622112498</v>
      </c>
      <c r="AD5903" s="2"/>
      <c r="AE5903" s="2">
        <v>1.8850556603597799E-3</v>
      </c>
      <c r="AF5903" s="2">
        <v>1956.4839429752799</v>
      </c>
      <c r="AG5903" s="2">
        <v>2910.8045618486099</v>
      </c>
      <c r="AH5903" s="4">
        <v>0.672145415950819</v>
      </c>
      <c r="AI5903" s="4">
        <v>-0.57315470685985603</v>
      </c>
      <c r="AJ5903" s="4" t="s">
        <v>62</v>
      </c>
      <c r="AK5903" s="2">
        <v>0.75141709820125202</v>
      </c>
      <c r="AL5903" s="2">
        <v>0.88744048379169105</v>
      </c>
      <c r="AM5903" s="2">
        <v>7466.4089874131196</v>
      </c>
      <c r="AN5903" s="2">
        <v>8.559877937157E-6</v>
      </c>
      <c r="AO5903" s="2">
        <v>8.559877937157E-6</v>
      </c>
      <c r="AP5903" s="2">
        <v>3081.5795023872201</v>
      </c>
      <c r="AQ5903" s="2">
        <v>735.92599641720199</v>
      </c>
      <c r="AR5903" s="2">
        <v>454.989154514353</v>
      </c>
      <c r="AS5903" s="2">
        <v>969.29160326083695</v>
      </c>
      <c r="AT5903" s="2">
        <v>8.559877937157E-6</v>
      </c>
      <c r="AU5903" s="2">
        <v>16263.1431041422</v>
      </c>
      <c r="AV5903" s="2">
        <v>8.559877937157E-6</v>
      </c>
      <c r="AW5903" s="2">
        <v>232.39263800897501</v>
      </c>
      <c r="AX5903" s="2">
        <v>8.559877937157E-6</v>
      </c>
    </row>
    <row r="5904" spans="1:50" x14ac:dyDescent="0.25">
      <c r="A5904" s="2" t="s">
        <v>38470</v>
      </c>
      <c r="B5904" s="2">
        <v>197.06908948595901</v>
      </c>
      <c r="C5904" s="2">
        <v>3.4837333333333298</v>
      </c>
      <c r="D5904" s="2" t="s">
        <v>51</v>
      </c>
      <c r="E5904" s="2" t="s">
        <v>38471</v>
      </c>
      <c r="F5904" s="2">
        <v>203245</v>
      </c>
      <c r="G5904" s="3" t="str">
        <f>HYPERLINK("https://cloud.oebiotech.com/#/lm/network/203245", "https://cloud.oebiotech.com/#/lm/network/203245")</f>
        <v>https://cloud.oebiotech.com/#/lm/network/203245</v>
      </c>
      <c r="H5904" s="2" t="s">
        <v>38472</v>
      </c>
      <c r="I5904" s="2"/>
      <c r="J5904" s="2"/>
      <c r="K5904" s="2">
        <v>171375</v>
      </c>
      <c r="L5904" s="2"/>
      <c r="M5904" s="2"/>
      <c r="N5904" s="2"/>
      <c r="O5904" s="2"/>
      <c r="P5904" s="2"/>
      <c r="Q5904" s="2"/>
      <c r="R5904" s="2"/>
      <c r="S5904" s="2" t="s">
        <v>38473</v>
      </c>
      <c r="T5904" s="2" t="s">
        <v>38474</v>
      </c>
      <c r="U5904" s="2" t="s">
        <v>103</v>
      </c>
      <c r="V5904" s="2" t="s">
        <v>104</v>
      </c>
      <c r="W5904" s="2" t="s">
        <v>105</v>
      </c>
      <c r="X5904" s="2" t="s">
        <v>147</v>
      </c>
      <c r="Y5904" s="2">
        <v>38</v>
      </c>
      <c r="Z5904" s="2">
        <v>0</v>
      </c>
      <c r="AA5904" s="2" t="s">
        <v>259</v>
      </c>
      <c r="AB5904" s="2" t="s">
        <v>38475</v>
      </c>
      <c r="AC5904" s="2">
        <v>2.64977956599677</v>
      </c>
      <c r="AD5904" s="2"/>
      <c r="AE5904" s="2">
        <v>1.76596001773052E-3</v>
      </c>
      <c r="AF5904" s="2">
        <v>202.91028180459799</v>
      </c>
      <c r="AG5904" s="2">
        <v>197.54493449688101</v>
      </c>
      <c r="AH5904" s="5">
        <v>1.0271601361046401</v>
      </c>
      <c r="AI5904" s="5">
        <v>3.8661117930969803E-2</v>
      </c>
      <c r="AJ5904" s="5" t="s">
        <v>139</v>
      </c>
      <c r="AK5904" s="2">
        <v>0.97188804065109402</v>
      </c>
      <c r="AL5904" s="2">
        <v>0.98915546194842796</v>
      </c>
      <c r="AM5904" s="2">
        <v>175.12891851620299</v>
      </c>
      <c r="AN5904" s="2">
        <v>8.559877937157E-6</v>
      </c>
      <c r="AO5904" s="2">
        <v>8.559877937157E-6</v>
      </c>
      <c r="AP5904" s="2">
        <v>214.60481455090101</v>
      </c>
      <c r="AQ5904" s="2">
        <v>726.79382691135902</v>
      </c>
      <c r="AR5904" s="2">
        <v>100.934113729367</v>
      </c>
      <c r="AS5904" s="2">
        <v>8.559877937157E-6</v>
      </c>
      <c r="AT5904" s="2">
        <v>77.912701193888594</v>
      </c>
      <c r="AU5904" s="2">
        <v>469.883469486205</v>
      </c>
      <c r="AV5904" s="2">
        <v>8.559877937157E-6</v>
      </c>
      <c r="AW5904" s="2">
        <v>539.51637357833295</v>
      </c>
      <c r="AX5904" s="2">
        <v>97.957045603104305</v>
      </c>
    </row>
    <row r="5905" spans="1:50" x14ac:dyDescent="0.25">
      <c r="A5905" s="2" t="s">
        <v>38476</v>
      </c>
      <c r="B5905" s="2">
        <v>452.27862381587801</v>
      </c>
      <c r="C5905" s="2">
        <v>9.8078500000000002</v>
      </c>
      <c r="D5905" s="2" t="s">
        <v>51</v>
      </c>
      <c r="E5905" s="2" t="s">
        <v>38477</v>
      </c>
      <c r="F5905" s="2">
        <v>21164</v>
      </c>
      <c r="G5905" s="3" t="str">
        <f>HYPERLINK("https://cloud.oebiotech.com/#/lm/network/21164", "https://cloud.oebiotech.com/#/lm/network/21164")</f>
        <v>https://cloud.oebiotech.com/#/lm/network/21164</v>
      </c>
      <c r="H5905" s="2" t="s">
        <v>38478</v>
      </c>
      <c r="I5905" s="2">
        <v>40776</v>
      </c>
      <c r="J5905" s="2" t="s">
        <v>38479</v>
      </c>
      <c r="K5905" s="2">
        <v>9547069</v>
      </c>
      <c r="L5905" s="2"/>
      <c r="M5905" s="2"/>
      <c r="N5905" s="2"/>
      <c r="O5905" s="2">
        <v>73004</v>
      </c>
      <c r="P5905" s="2"/>
      <c r="Q5905" s="2"/>
      <c r="R5905" s="2" t="s">
        <v>38480</v>
      </c>
      <c r="S5905" s="2" t="s">
        <v>38481</v>
      </c>
      <c r="T5905" s="2" t="s">
        <v>38482</v>
      </c>
      <c r="U5905" s="2" t="s">
        <v>56</v>
      </c>
      <c r="V5905" s="2" t="s">
        <v>57</v>
      </c>
      <c r="W5905" s="2" t="s">
        <v>155</v>
      </c>
      <c r="X5905" s="2" t="s">
        <v>147</v>
      </c>
      <c r="Y5905" s="2">
        <v>38.4</v>
      </c>
      <c r="Z5905" s="2">
        <v>0</v>
      </c>
      <c r="AA5905" s="2" t="s">
        <v>163</v>
      </c>
      <c r="AB5905" s="2" t="s">
        <v>2669</v>
      </c>
      <c r="AC5905" s="2">
        <v>0.79610983897215604</v>
      </c>
      <c r="AD5905" s="2"/>
      <c r="AE5905" s="2">
        <v>1.7360417586905401E-3</v>
      </c>
      <c r="AF5905" s="2">
        <v>9366.5727371439807</v>
      </c>
      <c r="AG5905" s="2">
        <v>10440.7206319217</v>
      </c>
      <c r="AH5905" s="4">
        <v>0.89711937205813097</v>
      </c>
      <c r="AI5905" s="4">
        <v>-0.15662812978962701</v>
      </c>
      <c r="AJ5905" s="4" t="s">
        <v>62</v>
      </c>
      <c r="AK5905" s="2">
        <v>0.79298015927298304</v>
      </c>
      <c r="AL5905" s="2">
        <v>0.90869006091559501</v>
      </c>
      <c r="AM5905" s="2">
        <v>23213.822174859699</v>
      </c>
      <c r="AN5905" s="2">
        <v>10234.0952058489</v>
      </c>
      <c r="AO5905" s="2">
        <v>2629.9876024025598</v>
      </c>
      <c r="AP5905" s="2">
        <v>6813.7707000550699</v>
      </c>
      <c r="AQ5905" s="2">
        <v>4981.3114818234999</v>
      </c>
      <c r="AR5905" s="2">
        <v>8326.4492578741592</v>
      </c>
      <c r="AS5905" s="2">
        <v>3779.04300694822</v>
      </c>
      <c r="AT5905" s="2">
        <v>2743.5390529497399</v>
      </c>
      <c r="AU5905" s="2">
        <v>17186.260766757001</v>
      </c>
      <c r="AV5905" s="2">
        <v>18166.8638968714</v>
      </c>
      <c r="AW5905" s="2">
        <v>11574.1198008705</v>
      </c>
      <c r="AX5905" s="2">
        <v>9194.4972671334399</v>
      </c>
    </row>
    <row r="5906" spans="1:50" x14ac:dyDescent="0.25">
      <c r="A5906" s="2" t="s">
        <v>38483</v>
      </c>
      <c r="B5906" s="2">
        <v>415.216198829267</v>
      </c>
      <c r="C5906" s="2">
        <v>6.4193333333333298</v>
      </c>
      <c r="D5906" s="2" t="s">
        <v>51</v>
      </c>
      <c r="E5906" s="2" t="s">
        <v>38484</v>
      </c>
      <c r="F5906" s="2">
        <v>44739</v>
      </c>
      <c r="G5906" s="3" t="str">
        <f>HYPERLINK("https://cloud.oebiotech.com/#/lm/network/44739", "https://cloud.oebiotech.com/#/lm/network/44739")</f>
        <v>https://cloud.oebiotech.com/#/lm/network/44739</v>
      </c>
      <c r="H5906" s="2"/>
      <c r="I5906" s="2"/>
      <c r="J5906" s="2" t="s">
        <v>38485</v>
      </c>
      <c r="K5906" s="2"/>
      <c r="L5906" s="2"/>
      <c r="M5906" s="2"/>
      <c r="N5906" s="2"/>
      <c r="O5906" s="2"/>
      <c r="P5906" s="2"/>
      <c r="Q5906" s="2"/>
      <c r="R5906" s="2"/>
      <c r="S5906" s="2" t="s">
        <v>38486</v>
      </c>
      <c r="T5906" s="2" t="s">
        <v>38487</v>
      </c>
      <c r="U5906" s="2" t="s">
        <v>56</v>
      </c>
      <c r="V5906" s="2" t="s">
        <v>283</v>
      </c>
      <c r="W5906" s="2" t="s">
        <v>1338</v>
      </c>
      <c r="X5906" s="2" t="s">
        <v>83</v>
      </c>
      <c r="Y5906" s="2">
        <v>48.5</v>
      </c>
      <c r="Z5906" s="2">
        <v>1.54E-2</v>
      </c>
      <c r="AA5906" s="2" t="s">
        <v>379</v>
      </c>
      <c r="AB5906" s="2" t="s">
        <v>21841</v>
      </c>
      <c r="AC5906" s="2">
        <v>8.2594897208293396</v>
      </c>
      <c r="AD5906" s="2"/>
      <c r="AE5906" s="2">
        <v>1.70901828808642E-3</v>
      </c>
      <c r="AF5906" s="2">
        <v>489.97685327968298</v>
      </c>
      <c r="AG5906" s="2">
        <v>381.23534299053398</v>
      </c>
      <c r="AH5906" s="5">
        <v>1.2852345992796601</v>
      </c>
      <c r="AI5906" s="5">
        <v>0.362031724653126</v>
      </c>
      <c r="AJ5906" s="5" t="s">
        <v>139</v>
      </c>
      <c r="AK5906" s="2">
        <v>0.83863767285694302</v>
      </c>
      <c r="AL5906" s="2">
        <v>0.92909683994561798</v>
      </c>
      <c r="AM5906" s="2">
        <v>2.0687639740910799</v>
      </c>
      <c r="AN5906" s="2">
        <v>140.491686723925</v>
      </c>
      <c r="AO5906" s="2">
        <v>2.91056781612828</v>
      </c>
      <c r="AP5906" s="2">
        <v>2.4130540825523599</v>
      </c>
      <c r="AQ5906" s="2">
        <v>158.97788530538401</v>
      </c>
      <c r="AR5906" s="2">
        <v>2632.9991617760202</v>
      </c>
      <c r="AS5906" s="2">
        <v>8.559877937157E-6</v>
      </c>
      <c r="AT5906" s="2">
        <v>16.438501559370501</v>
      </c>
      <c r="AU5906" s="2">
        <v>472.49242431621298</v>
      </c>
      <c r="AV5906" s="2">
        <v>8.559877937157E-6</v>
      </c>
      <c r="AW5906" s="2">
        <v>1797.7177363524099</v>
      </c>
      <c r="AX5906" s="2">
        <v>0.76337859545723996</v>
      </c>
    </row>
    <row r="5907" spans="1:50" x14ac:dyDescent="0.25">
      <c r="A5907" s="2" t="s">
        <v>38488</v>
      </c>
      <c r="B5907" s="2">
        <v>556.17590974521602</v>
      </c>
      <c r="C5907" s="2">
        <v>9.6639666666666706</v>
      </c>
      <c r="D5907" s="2" t="s">
        <v>51</v>
      </c>
      <c r="E5907" s="2" t="s">
        <v>38489</v>
      </c>
      <c r="F5907" s="2">
        <v>204743</v>
      </c>
      <c r="G5907" s="3" t="str">
        <f>HYPERLINK("https://cloud.oebiotech.com/#/lm/network/204743", "https://cloud.oebiotech.com/#/lm/network/204743")</f>
        <v>https://cloud.oebiotech.com/#/lm/network/204743</v>
      </c>
      <c r="H5907" s="2" t="s">
        <v>38490</v>
      </c>
      <c r="I5907" s="2"/>
      <c r="J5907" s="2"/>
      <c r="K5907" s="2">
        <v>23193591</v>
      </c>
      <c r="L5907" s="2"/>
      <c r="M5907" s="2"/>
      <c r="N5907" s="2"/>
      <c r="O5907" s="2"/>
      <c r="P5907" s="2"/>
      <c r="Q5907" s="2"/>
      <c r="R5907" s="2"/>
      <c r="S5907" s="2" t="s">
        <v>38491</v>
      </c>
      <c r="T5907" s="2" t="s">
        <v>38492</v>
      </c>
      <c r="U5907" s="2" t="s">
        <v>610</v>
      </c>
      <c r="V5907" s="2" t="s">
        <v>611</v>
      </c>
      <c r="W5907" s="2" t="s">
        <v>8482</v>
      </c>
      <c r="X5907" s="2" t="s">
        <v>147</v>
      </c>
      <c r="Y5907" s="2">
        <v>36.5</v>
      </c>
      <c r="Z5907" s="2">
        <v>0</v>
      </c>
      <c r="AA5907" s="2" t="s">
        <v>218</v>
      </c>
      <c r="AB5907" s="2" t="s">
        <v>38493</v>
      </c>
      <c r="AC5907" s="2">
        <v>0.74441626492552504</v>
      </c>
      <c r="AD5907" s="2"/>
      <c r="AE5907" s="2">
        <v>1.6704070526673801E-3</v>
      </c>
      <c r="AF5907" s="2">
        <v>5584.0164388061503</v>
      </c>
      <c r="AG5907" s="2">
        <v>5647.7666046170398</v>
      </c>
      <c r="AH5907" s="4">
        <v>0.98871232289259703</v>
      </c>
      <c r="AI5907" s="4">
        <v>-1.63772813946578E-2</v>
      </c>
      <c r="AJ5907" s="4" t="s">
        <v>62</v>
      </c>
      <c r="AK5907" s="2">
        <v>0.92669609912317696</v>
      </c>
      <c r="AL5907" s="2">
        <v>0.96869836634135797</v>
      </c>
      <c r="AM5907" s="2">
        <v>5081.6027960330503</v>
      </c>
      <c r="AN5907" s="2">
        <v>5771.28585832919</v>
      </c>
      <c r="AO5907" s="2">
        <v>6818.6887258900997</v>
      </c>
      <c r="AP5907" s="2">
        <v>6179.3147856040896</v>
      </c>
      <c r="AQ5907" s="2">
        <v>4707.1978037018198</v>
      </c>
      <c r="AR5907" s="2">
        <v>4946.0086632786497</v>
      </c>
      <c r="AS5907" s="2">
        <v>7474.2770284750304</v>
      </c>
      <c r="AT5907" s="2">
        <v>6462.7791687315002</v>
      </c>
      <c r="AU5907" s="2">
        <v>5659.2743137727002</v>
      </c>
      <c r="AV5907" s="2">
        <v>4461.9736512571599</v>
      </c>
      <c r="AW5907" s="2">
        <v>3522.8364976848402</v>
      </c>
      <c r="AX5907" s="2">
        <v>6305.45896778101</v>
      </c>
    </row>
    <row r="5908" spans="1:50" x14ac:dyDescent="0.25">
      <c r="A5908" s="2" t="s">
        <v>38494</v>
      </c>
      <c r="B5908" s="2">
        <v>524.20061688671501</v>
      </c>
      <c r="C5908" s="2">
        <v>3.4208666666666701</v>
      </c>
      <c r="D5908" s="2" t="s">
        <v>51</v>
      </c>
      <c r="E5908" s="2" t="s">
        <v>38495</v>
      </c>
      <c r="F5908" s="2">
        <v>201625</v>
      </c>
      <c r="G5908" s="3" t="str">
        <f>HYPERLINK("https://cloud.oebiotech.com/#/lm/network/201625", "https://cloud.oebiotech.com/#/lm/network/201625")</f>
        <v>https://cloud.oebiotech.com/#/lm/network/201625</v>
      </c>
      <c r="H5908" s="2" t="s">
        <v>38496</v>
      </c>
      <c r="I5908" s="2"/>
      <c r="J5908" s="2"/>
      <c r="K5908" s="2">
        <v>3009421</v>
      </c>
      <c r="L5908" s="2"/>
      <c r="M5908" s="2"/>
      <c r="N5908" s="2"/>
      <c r="O5908" s="2"/>
      <c r="P5908" s="2"/>
      <c r="Q5908" s="2"/>
      <c r="R5908" s="2"/>
      <c r="S5908" s="2" t="s">
        <v>38497</v>
      </c>
      <c r="T5908" s="2" t="s">
        <v>38498</v>
      </c>
      <c r="U5908" s="2" t="s">
        <v>610</v>
      </c>
      <c r="V5908" s="2" t="s">
        <v>611</v>
      </c>
      <c r="W5908" s="2" t="s">
        <v>2327</v>
      </c>
      <c r="X5908" s="2" t="s">
        <v>147</v>
      </c>
      <c r="Y5908" s="2">
        <v>36.6</v>
      </c>
      <c r="Z5908" s="2">
        <v>0</v>
      </c>
      <c r="AA5908" s="2" t="s">
        <v>512</v>
      </c>
      <c r="AB5908" s="2" t="s">
        <v>38499</v>
      </c>
      <c r="AC5908" s="2">
        <v>-4.1971032165891904</v>
      </c>
      <c r="AD5908" s="2"/>
      <c r="AE5908" s="2">
        <v>1.6510965090599399E-3</v>
      </c>
      <c r="AF5908" s="2">
        <v>1701.2616151995701</v>
      </c>
      <c r="AG5908" s="2">
        <v>2065.6015908694199</v>
      </c>
      <c r="AH5908" s="4">
        <v>0.82361556203270603</v>
      </c>
      <c r="AI5908" s="4">
        <v>-0.27995700525801098</v>
      </c>
      <c r="AJ5908" s="4" t="s">
        <v>62</v>
      </c>
      <c r="AK5908" s="2">
        <v>0.80450339908739099</v>
      </c>
      <c r="AL5908" s="2">
        <v>0.91236727540020801</v>
      </c>
      <c r="AM5908" s="2">
        <v>3999.5586313687099</v>
      </c>
      <c r="AN5908" s="2">
        <v>938.83745870925895</v>
      </c>
      <c r="AO5908" s="2">
        <v>1437.92691108852</v>
      </c>
      <c r="AP5908" s="2">
        <v>8.559877937157E-6</v>
      </c>
      <c r="AQ5908" s="2">
        <v>666.55644476694204</v>
      </c>
      <c r="AR5908" s="2">
        <v>3164.6902367041098</v>
      </c>
      <c r="AS5908" s="2">
        <v>8.559877937157E-6</v>
      </c>
      <c r="AT5908" s="2">
        <v>8.559877937157E-6</v>
      </c>
      <c r="AU5908" s="2">
        <v>7385.2384549414901</v>
      </c>
      <c r="AV5908" s="2">
        <v>4518.3483253171798</v>
      </c>
      <c r="AW5908" s="2">
        <v>490.02273927822199</v>
      </c>
      <c r="AX5908" s="2">
        <v>8.559877937157E-6</v>
      </c>
    </row>
    <row r="5909" spans="1:50" x14ac:dyDescent="0.25">
      <c r="A5909" s="2" t="s">
        <v>38500</v>
      </c>
      <c r="B5909" s="2">
        <v>355.21283480217897</v>
      </c>
      <c r="C5909" s="2">
        <v>9.8903166666666706</v>
      </c>
      <c r="D5909" s="2" t="s">
        <v>51</v>
      </c>
      <c r="E5909" s="2" t="s">
        <v>38501</v>
      </c>
      <c r="F5909" s="2">
        <v>61863</v>
      </c>
      <c r="G5909" s="3" t="str">
        <f>HYPERLINK("https://cloud.oebiotech.com/#/lm/network/61863", "https://cloud.oebiotech.com/#/lm/network/61863")</f>
        <v>https://cloud.oebiotech.com/#/lm/network/61863</v>
      </c>
      <c r="H5909" s="2" t="s">
        <v>38502</v>
      </c>
      <c r="I5909" s="2">
        <v>93163</v>
      </c>
      <c r="J5909" s="2"/>
      <c r="K5909" s="2">
        <v>103739</v>
      </c>
      <c r="L5909" s="2"/>
      <c r="M5909" s="2"/>
      <c r="N5909" s="2"/>
      <c r="O5909" s="2">
        <v>171925</v>
      </c>
      <c r="P5909" s="2"/>
      <c r="Q5909" s="2"/>
      <c r="R5909" s="2"/>
      <c r="S5909" s="2" t="s">
        <v>38503</v>
      </c>
      <c r="T5909" s="2" t="s">
        <v>38504</v>
      </c>
      <c r="U5909" s="2" t="s">
        <v>56</v>
      </c>
      <c r="V5909" s="2" t="s">
        <v>177</v>
      </c>
      <c r="W5909" s="2" t="s">
        <v>584</v>
      </c>
      <c r="X5909" s="2" t="s">
        <v>83</v>
      </c>
      <c r="Y5909" s="2">
        <v>45.7</v>
      </c>
      <c r="Z5909" s="2">
        <v>0</v>
      </c>
      <c r="AA5909" s="2" t="s">
        <v>218</v>
      </c>
      <c r="AB5909" s="2" t="s">
        <v>5579</v>
      </c>
      <c r="AC5909" s="2">
        <v>0.71721954898193996</v>
      </c>
      <c r="AD5909" s="2"/>
      <c r="AE5909" s="2">
        <v>1.4320629094959801E-3</v>
      </c>
      <c r="AF5909" s="2">
        <v>1500.96164268078</v>
      </c>
      <c r="AG5909" s="2">
        <v>1508.4256922678501</v>
      </c>
      <c r="AH5909" s="4">
        <v>0.99505176183001198</v>
      </c>
      <c r="AI5909" s="4">
        <v>-7.1565193887398199E-3</v>
      </c>
      <c r="AJ5909" s="4" t="s">
        <v>62</v>
      </c>
      <c r="AK5909" s="2">
        <v>0.99317973382048697</v>
      </c>
      <c r="AL5909" s="2">
        <v>0.99650644689565104</v>
      </c>
      <c r="AM5909" s="2">
        <v>974.95840453945402</v>
      </c>
      <c r="AN5909" s="2">
        <v>2808.7677962938601</v>
      </c>
      <c r="AO5909" s="2">
        <v>2572.8018652584901</v>
      </c>
      <c r="AP5909" s="2">
        <v>8.559877937157E-6</v>
      </c>
      <c r="AQ5909" s="2">
        <v>1316.38577654921</v>
      </c>
      <c r="AR5909" s="2">
        <v>1332.8560048838101</v>
      </c>
      <c r="AS5909" s="2">
        <v>843.402467798977</v>
      </c>
      <c r="AT5909" s="2">
        <v>8.559877937157E-6</v>
      </c>
      <c r="AU5909" s="2">
        <v>1884.0226781363201</v>
      </c>
      <c r="AV5909" s="2">
        <v>209.74369501884701</v>
      </c>
      <c r="AW5909" s="2">
        <v>4923.4116244111001</v>
      </c>
      <c r="AX5909" s="2">
        <v>1189.973679682</v>
      </c>
    </row>
    <row r="5910" spans="1:50" x14ac:dyDescent="0.25">
      <c r="A5910" s="2" t="s">
        <v>38505</v>
      </c>
      <c r="B5910" s="2">
        <v>255.08730837923099</v>
      </c>
      <c r="C5910" s="2">
        <v>4.3825500000000002</v>
      </c>
      <c r="D5910" s="2" t="s">
        <v>51</v>
      </c>
      <c r="E5910" s="2" t="s">
        <v>38506</v>
      </c>
      <c r="F5910" s="2">
        <v>54183</v>
      </c>
      <c r="G5910" s="3" t="str">
        <f>HYPERLINK("https://cloud.oebiotech.com/#/lm/network/54183", "https://cloud.oebiotech.com/#/lm/network/54183")</f>
        <v>https://cloud.oebiotech.com/#/lm/network/54183</v>
      </c>
      <c r="H5910" s="2" t="s">
        <v>38507</v>
      </c>
      <c r="I5910" s="2">
        <v>86074</v>
      </c>
      <c r="J5910" s="2"/>
      <c r="K5910" s="2">
        <v>131750805</v>
      </c>
      <c r="L5910" s="2"/>
      <c r="M5910" s="2"/>
      <c r="N5910" s="2"/>
      <c r="O5910" s="2">
        <v>168254</v>
      </c>
      <c r="P5910" s="2"/>
      <c r="Q5910" s="2"/>
      <c r="R5910" s="2"/>
      <c r="S5910" s="2" t="s">
        <v>38508</v>
      </c>
      <c r="T5910" s="2" t="s">
        <v>38509</v>
      </c>
      <c r="U5910" s="2" t="s">
        <v>610</v>
      </c>
      <c r="V5910" s="2" t="s">
        <v>895</v>
      </c>
      <c r="W5910" s="2" t="s">
        <v>5219</v>
      </c>
      <c r="X5910" s="2" t="s">
        <v>147</v>
      </c>
      <c r="Y5910" s="2">
        <v>48.4</v>
      </c>
      <c r="Z5910" s="2">
        <v>45</v>
      </c>
      <c r="AA5910" s="2" t="s">
        <v>218</v>
      </c>
      <c r="AB5910" s="2" t="s">
        <v>20034</v>
      </c>
      <c r="AC5910" s="2">
        <v>-0.49225750347229202</v>
      </c>
      <c r="AD5910" s="2"/>
      <c r="AE5910" s="2">
        <v>1.42024221980548E-3</v>
      </c>
      <c r="AF5910" s="2">
        <v>2846.5138775239102</v>
      </c>
      <c r="AG5910" s="2">
        <v>2816.5770382822898</v>
      </c>
      <c r="AH5910" s="5">
        <v>1.01062880185229</v>
      </c>
      <c r="AI5910" s="5">
        <v>1.52532009376592E-2</v>
      </c>
      <c r="AJ5910" s="5" t="s">
        <v>139</v>
      </c>
      <c r="AK5910" s="2">
        <v>0.98992220089873495</v>
      </c>
      <c r="AL5910" s="2">
        <v>0.99545530263140103</v>
      </c>
      <c r="AM5910" s="2">
        <v>6302.0116812040496</v>
      </c>
      <c r="AN5910" s="2">
        <v>1078.7794341808501</v>
      </c>
      <c r="AO5910" s="2">
        <v>608.41614347074801</v>
      </c>
      <c r="AP5910" s="2">
        <v>8.559877937157E-6</v>
      </c>
      <c r="AQ5910" s="2">
        <v>152.59437422126399</v>
      </c>
      <c r="AR5910" s="2">
        <v>8937.2816235066803</v>
      </c>
      <c r="AS5910" s="2">
        <v>444.55790584364797</v>
      </c>
      <c r="AT5910" s="2">
        <v>1226.6327488248501</v>
      </c>
      <c r="AU5910" s="2">
        <v>717.59161809466195</v>
      </c>
      <c r="AV5910" s="2">
        <v>991.76935468418003</v>
      </c>
      <c r="AW5910" s="2">
        <v>11276.1683406387</v>
      </c>
      <c r="AX5910" s="2">
        <v>2242.7422616076901</v>
      </c>
    </row>
    <row r="5911" spans="1:50" x14ac:dyDescent="0.25">
      <c r="A5911" s="2" t="s">
        <v>38510</v>
      </c>
      <c r="B5911" s="2">
        <v>430.14533638975502</v>
      </c>
      <c r="C5911" s="2">
        <v>11.948033333333299</v>
      </c>
      <c r="D5911" s="2" t="s">
        <v>51</v>
      </c>
      <c r="E5911" s="2" t="s">
        <v>38511</v>
      </c>
      <c r="F5911" s="2">
        <v>82288</v>
      </c>
      <c r="G5911" s="3" t="str">
        <f>HYPERLINK("https://cloud.oebiotech.com/#/lm/network/82288", "https://cloud.oebiotech.com/#/lm/network/82288")</f>
        <v>https://cloud.oebiotech.com/#/lm/network/82288</v>
      </c>
      <c r="H5911" s="2" t="s">
        <v>38512</v>
      </c>
      <c r="I5911" s="2">
        <v>73260</v>
      </c>
      <c r="J5911" s="2"/>
      <c r="K5911" s="2">
        <v>183009</v>
      </c>
      <c r="L5911" s="2" t="s">
        <v>38513</v>
      </c>
      <c r="M5911" s="2" t="s">
        <v>17343</v>
      </c>
      <c r="N5911" s="2" t="s">
        <v>17344</v>
      </c>
      <c r="O5911" s="2">
        <v>82591</v>
      </c>
      <c r="P5911" s="2"/>
      <c r="Q5911" s="2"/>
      <c r="R5911" s="2" t="s">
        <v>38514</v>
      </c>
      <c r="S5911" s="2" t="s">
        <v>38515</v>
      </c>
      <c r="T5911" s="2" t="s">
        <v>38516</v>
      </c>
      <c r="U5911" s="2" t="s">
        <v>56</v>
      </c>
      <c r="V5911" s="2" t="s">
        <v>145</v>
      </c>
      <c r="W5911" s="2" t="s">
        <v>3263</v>
      </c>
      <c r="X5911" s="2" t="s">
        <v>147</v>
      </c>
      <c r="Y5911" s="2">
        <v>38.200000000000003</v>
      </c>
      <c r="Z5911" s="2">
        <v>0</v>
      </c>
      <c r="AA5911" s="2" t="s">
        <v>218</v>
      </c>
      <c r="AB5911" s="2" t="s">
        <v>38517</v>
      </c>
      <c r="AC5911" s="2">
        <v>-3.5861198531941398</v>
      </c>
      <c r="AD5911" s="2"/>
      <c r="AE5911" s="2">
        <v>1.4147613665261799E-3</v>
      </c>
      <c r="AF5911" s="2">
        <v>1303.9972282749</v>
      </c>
      <c r="AG5911" s="2">
        <v>1476.6808102975499</v>
      </c>
      <c r="AH5911" s="4">
        <v>0.88305964239634804</v>
      </c>
      <c r="AI5911" s="4">
        <v>-0.179417213204357</v>
      </c>
      <c r="AJ5911" s="4" t="s">
        <v>62</v>
      </c>
      <c r="AK5911" s="2">
        <v>0.71062253527723296</v>
      </c>
      <c r="AL5911" s="2">
        <v>0.86232283902195805</v>
      </c>
      <c r="AM5911" s="2">
        <v>2722.8284670426001</v>
      </c>
      <c r="AN5911" s="2">
        <v>1820.45710519512</v>
      </c>
      <c r="AO5911" s="2">
        <v>908.32191837385903</v>
      </c>
      <c r="AP5911" s="2">
        <v>743.75358780262604</v>
      </c>
      <c r="AQ5911" s="2">
        <v>887.83816969969303</v>
      </c>
      <c r="AR5911" s="2">
        <v>740.78412153550801</v>
      </c>
      <c r="AS5911" s="2">
        <v>1891.00526476145</v>
      </c>
      <c r="AT5911" s="2">
        <v>563.25138200906804</v>
      </c>
      <c r="AU5911" s="2">
        <v>2746.2068178721001</v>
      </c>
      <c r="AV5911" s="2">
        <v>1005.4499226232</v>
      </c>
      <c r="AW5911" s="2">
        <v>1246.8146539054601</v>
      </c>
      <c r="AX5911" s="2">
        <v>1407.3568206140001</v>
      </c>
    </row>
    <row r="5912" spans="1:50" x14ac:dyDescent="0.25">
      <c r="A5912" s="2" t="s">
        <v>38518</v>
      </c>
      <c r="B5912" s="2">
        <v>175.01586391630801</v>
      </c>
      <c r="C5912" s="2">
        <v>14.035883333333301</v>
      </c>
      <c r="D5912" s="2" t="s">
        <v>51</v>
      </c>
      <c r="E5912" s="2" t="s">
        <v>38519</v>
      </c>
      <c r="F5912" s="2">
        <v>210303</v>
      </c>
      <c r="G5912" s="3" t="str">
        <f>HYPERLINK("https://cloud.oebiotech.com/#/lm/network/210303", "https://cloud.oebiotech.com/#/lm/network/210303")</f>
        <v>https://cloud.oebiotech.com/#/lm/network/210303</v>
      </c>
      <c r="H5912" s="2" t="s">
        <v>38520</v>
      </c>
      <c r="I5912" s="2">
        <v>65822</v>
      </c>
      <c r="J5912" s="2"/>
      <c r="K5912" s="2">
        <v>12793</v>
      </c>
      <c r="L5912" s="2" t="s">
        <v>38521</v>
      </c>
      <c r="M5912" s="2"/>
      <c r="N5912" s="2"/>
      <c r="O5912" s="2">
        <v>37548</v>
      </c>
      <c r="P5912" s="2"/>
      <c r="Q5912" s="2"/>
      <c r="R5912" s="2" t="s">
        <v>38522</v>
      </c>
      <c r="S5912" s="2" t="s">
        <v>38523</v>
      </c>
      <c r="T5912" s="2" t="s">
        <v>38524</v>
      </c>
      <c r="U5912" s="2" t="s">
        <v>103</v>
      </c>
      <c r="V5912" s="2" t="s">
        <v>1567</v>
      </c>
      <c r="W5912" s="2" t="s">
        <v>1568</v>
      </c>
      <c r="X5912" s="2" t="s">
        <v>147</v>
      </c>
      <c r="Y5912" s="2">
        <v>39.1</v>
      </c>
      <c r="Z5912" s="2">
        <v>0</v>
      </c>
      <c r="AA5912" s="2" t="s">
        <v>259</v>
      </c>
      <c r="AB5912" s="2" t="s">
        <v>38525</v>
      </c>
      <c r="AC5912" s="2">
        <v>2.2536385542441901</v>
      </c>
      <c r="AD5912" s="2"/>
      <c r="AE5912" s="2">
        <v>1.4046816311106801E-3</v>
      </c>
      <c r="AF5912" s="2">
        <v>204.87652033185401</v>
      </c>
      <c r="AG5912" s="2">
        <v>194.66584750322599</v>
      </c>
      <c r="AH5912" s="5">
        <v>1.0524523071693901</v>
      </c>
      <c r="AI5912" s="5">
        <v>7.3754857738994095E-2</v>
      </c>
      <c r="AJ5912" s="5" t="s">
        <v>139</v>
      </c>
      <c r="AK5912" s="2">
        <v>0.84089697406418595</v>
      </c>
      <c r="AL5912" s="2">
        <v>0.92963204272259004</v>
      </c>
      <c r="AM5912" s="2">
        <v>86.254174694991207</v>
      </c>
      <c r="AN5912" s="2">
        <v>244.49435110771799</v>
      </c>
      <c r="AO5912" s="2">
        <v>197.66103636429901</v>
      </c>
      <c r="AP5912" s="2">
        <v>234.50399582783501</v>
      </c>
      <c r="AQ5912" s="2">
        <v>331.95110749304803</v>
      </c>
      <c r="AR5912" s="2">
        <v>134.39445650323501</v>
      </c>
      <c r="AS5912" s="2">
        <v>114.337604541652</v>
      </c>
      <c r="AT5912" s="2">
        <v>261.674736326941</v>
      </c>
      <c r="AU5912" s="2">
        <v>64.613827102052596</v>
      </c>
      <c r="AV5912" s="2">
        <v>217.28017863629699</v>
      </c>
      <c r="AW5912" s="2">
        <v>242.125712963788</v>
      </c>
      <c r="AX5912" s="2">
        <v>267.96302544862402</v>
      </c>
    </row>
    <row r="5913" spans="1:50" x14ac:dyDescent="0.25">
      <c r="A5913" s="2" t="s">
        <v>38526</v>
      </c>
      <c r="B5913" s="2">
        <v>454.17246171968497</v>
      </c>
      <c r="C5913" s="2">
        <v>9.8706166666666704</v>
      </c>
      <c r="D5913" s="2" t="s">
        <v>51</v>
      </c>
      <c r="E5913" s="2" t="s">
        <v>38527</v>
      </c>
      <c r="F5913" s="2">
        <v>52898</v>
      </c>
      <c r="G5913" s="3" t="str">
        <f>HYPERLINK("https://cloud.oebiotech.com/#/lm/network/52898", "https://cloud.oebiotech.com/#/lm/network/52898")</f>
        <v>https://cloud.oebiotech.com/#/lm/network/52898</v>
      </c>
      <c r="H5913" s="2" t="s">
        <v>38528</v>
      </c>
      <c r="I5913" s="2">
        <v>587</v>
      </c>
      <c r="J5913" s="2"/>
      <c r="K5913" s="2">
        <v>126941</v>
      </c>
      <c r="L5913" s="2" t="s">
        <v>38529</v>
      </c>
      <c r="M5913" s="2"/>
      <c r="N5913" s="2"/>
      <c r="O5913" s="2">
        <v>44185</v>
      </c>
      <c r="P5913" s="2"/>
      <c r="Q5913" s="2"/>
      <c r="R5913" s="2" t="s">
        <v>38530</v>
      </c>
      <c r="S5913" s="2" t="s">
        <v>38531</v>
      </c>
      <c r="T5913" s="2" t="s">
        <v>38532</v>
      </c>
      <c r="U5913" s="2" t="s">
        <v>103</v>
      </c>
      <c r="V5913" s="2" t="s">
        <v>104</v>
      </c>
      <c r="W5913" s="2" t="s">
        <v>105</v>
      </c>
      <c r="X5913" s="2" t="s">
        <v>147</v>
      </c>
      <c r="Y5913" s="2">
        <v>37</v>
      </c>
      <c r="Z5913" s="2">
        <v>0</v>
      </c>
      <c r="AA5913" s="2" t="s">
        <v>122</v>
      </c>
      <c r="AB5913" s="2" t="s">
        <v>38533</v>
      </c>
      <c r="AC5913" s="2">
        <v>2.5227879987859598</v>
      </c>
      <c r="AD5913" s="2"/>
      <c r="AE5913" s="2">
        <v>1.3824201240250501E-3</v>
      </c>
      <c r="AF5913" s="2">
        <v>310.53220831814502</v>
      </c>
      <c r="AG5913" s="2">
        <v>303.39912521591498</v>
      </c>
      <c r="AH5913" s="5">
        <v>1.0235105592250899</v>
      </c>
      <c r="AI5913" s="5">
        <v>3.3525986252964698E-2</v>
      </c>
      <c r="AJ5913" s="5" t="s">
        <v>139</v>
      </c>
      <c r="AK5913" s="2">
        <v>0.98015962501718001</v>
      </c>
      <c r="AL5913" s="2">
        <v>0.99157642038675697</v>
      </c>
      <c r="AM5913" s="2">
        <v>8.559877937157E-6</v>
      </c>
      <c r="AN5913" s="2">
        <v>8.559877937157E-6</v>
      </c>
      <c r="AO5913" s="2">
        <v>395.29683401469799</v>
      </c>
      <c r="AP5913" s="2">
        <v>1.5427921331293999</v>
      </c>
      <c r="AQ5913" s="2">
        <v>1466.3535980814099</v>
      </c>
      <c r="AR5913" s="2">
        <v>8.559877937157E-6</v>
      </c>
      <c r="AS5913" s="2">
        <v>424.977413998803</v>
      </c>
      <c r="AT5913" s="2">
        <v>8.559877937157E-6</v>
      </c>
      <c r="AU5913" s="2">
        <v>942.87468725535405</v>
      </c>
      <c r="AV5913" s="2">
        <v>238.21223820746201</v>
      </c>
      <c r="AW5913" s="2">
        <v>214.33039471411701</v>
      </c>
      <c r="AX5913" s="2">
        <v>8.559877937157E-6</v>
      </c>
    </row>
    <row r="5914" spans="1:50" x14ac:dyDescent="0.25">
      <c r="A5914" s="2" t="s">
        <v>38534</v>
      </c>
      <c r="B5914" s="2">
        <v>325.25599999999997</v>
      </c>
      <c r="C5914" s="2">
        <v>21.785</v>
      </c>
      <c r="D5914" s="2" t="s">
        <v>125</v>
      </c>
      <c r="E5914" s="2" t="s">
        <v>38535</v>
      </c>
      <c r="F5914" s="2">
        <v>775</v>
      </c>
      <c r="G5914" s="3" t="str">
        <f>HYPERLINK("https://cloud.oebiotech.com/#/lm/network/775", "https://cloud.oebiotech.com/#/lm/network/775")</f>
        <v>https://cloud.oebiotech.com/#/lm/network/775</v>
      </c>
      <c r="H5914" s="2"/>
      <c r="I5914" s="2">
        <v>34946</v>
      </c>
      <c r="J5914" s="2" t="s">
        <v>38536</v>
      </c>
      <c r="K5914" s="2">
        <v>5312434</v>
      </c>
      <c r="L5914" s="2"/>
      <c r="M5914" s="2"/>
      <c r="N5914" s="2"/>
      <c r="O5914" s="2">
        <v>75097</v>
      </c>
      <c r="P5914" s="2"/>
      <c r="Q5914" s="2"/>
      <c r="R5914" s="2"/>
      <c r="S5914" s="2" t="s">
        <v>38537</v>
      </c>
      <c r="T5914" s="2" t="s">
        <v>38538</v>
      </c>
      <c r="U5914" s="2" t="s">
        <v>56</v>
      </c>
      <c r="V5914" s="2" t="s">
        <v>145</v>
      </c>
      <c r="W5914" s="2" t="s">
        <v>231</v>
      </c>
      <c r="X5914" s="2" t="s">
        <v>83</v>
      </c>
      <c r="Y5914" s="2">
        <v>84.9</v>
      </c>
      <c r="Z5914" s="2">
        <v>79.5</v>
      </c>
      <c r="AA5914" s="2"/>
      <c r="AB5914" s="2" t="s">
        <v>20680</v>
      </c>
      <c r="AC5914" s="2"/>
      <c r="AD5914" s="2">
        <v>744585.81419624202</v>
      </c>
      <c r="AE5914" s="2">
        <v>1.22893640103032E-3</v>
      </c>
      <c r="AF5914" s="2">
        <v>6829.2510335848901</v>
      </c>
      <c r="AG5914" s="2">
        <v>6055.1618113248996</v>
      </c>
      <c r="AH5914" s="5">
        <v>1.12783956009437</v>
      </c>
      <c r="AI5914" s="5">
        <v>0.17356185291496001</v>
      </c>
      <c r="AJ5914" s="5" t="s">
        <v>139</v>
      </c>
      <c r="AK5914" s="2">
        <v>0.73041900145900396</v>
      </c>
      <c r="AL5914" s="2">
        <v>0.87592840640547398</v>
      </c>
      <c r="AM5914" s="2">
        <v>2299.8352172700202</v>
      </c>
      <c r="AN5914" s="2">
        <v>5634.1241999447702</v>
      </c>
      <c r="AO5914" s="2">
        <v>8579.5524577229498</v>
      </c>
      <c r="AP5914" s="2">
        <v>6782.5014530560302</v>
      </c>
      <c r="AQ5914" s="2">
        <v>11947.8455882695</v>
      </c>
      <c r="AR5914" s="2">
        <v>5731.6472852460602</v>
      </c>
      <c r="AS5914" s="2">
        <v>2299.8352172700202</v>
      </c>
      <c r="AT5914" s="2">
        <v>2299.8352172700202</v>
      </c>
      <c r="AU5914" s="2">
        <v>8619.1797668394902</v>
      </c>
      <c r="AV5914" s="2">
        <v>8993.7480071538394</v>
      </c>
      <c r="AW5914" s="2">
        <v>11818.537442146</v>
      </c>
      <c r="AX5914" s="2">
        <v>2299.8352172700202</v>
      </c>
    </row>
    <row r="5915" spans="1:50" x14ac:dyDescent="0.25">
      <c r="A5915" s="2" t="s">
        <v>38539</v>
      </c>
      <c r="B5915" s="2">
        <v>372.19657591552601</v>
      </c>
      <c r="C5915" s="2">
        <v>4.5257666666666703</v>
      </c>
      <c r="D5915" s="2" t="s">
        <v>51</v>
      </c>
      <c r="E5915" s="2" t="s">
        <v>38540</v>
      </c>
      <c r="F5915" s="2">
        <v>204861</v>
      </c>
      <c r="G5915" s="3" t="str">
        <f>HYPERLINK("https://cloud.oebiotech.com/#/lm/network/204861", "https://cloud.oebiotech.com/#/lm/network/204861")</f>
        <v>https://cloud.oebiotech.com/#/lm/network/204861</v>
      </c>
      <c r="H5915" s="2" t="s">
        <v>38541</v>
      </c>
      <c r="I5915" s="2"/>
      <c r="J5915" s="2"/>
      <c r="K5915" s="2">
        <v>53691190</v>
      </c>
      <c r="L5915" s="2"/>
      <c r="M5915" s="2"/>
      <c r="N5915" s="2"/>
      <c r="O5915" s="2"/>
      <c r="P5915" s="2"/>
      <c r="Q5915" s="2"/>
      <c r="R5915" s="2"/>
      <c r="S5915" s="2" t="s">
        <v>38542</v>
      </c>
      <c r="T5915" s="2" t="s">
        <v>38543</v>
      </c>
      <c r="U5915" s="2" t="s">
        <v>610</v>
      </c>
      <c r="V5915" s="2" t="s">
        <v>611</v>
      </c>
      <c r="W5915" s="2" t="s">
        <v>8482</v>
      </c>
      <c r="X5915" s="2" t="s">
        <v>147</v>
      </c>
      <c r="Y5915" s="2">
        <v>46</v>
      </c>
      <c r="Z5915" s="2">
        <v>42.7</v>
      </c>
      <c r="AA5915" s="2" t="s">
        <v>512</v>
      </c>
      <c r="AB5915" s="2" t="s">
        <v>38544</v>
      </c>
      <c r="AC5915" s="2">
        <v>-1.0515797371653799</v>
      </c>
      <c r="AD5915" s="2"/>
      <c r="AE5915" s="2">
        <v>1.1786400616984401E-3</v>
      </c>
      <c r="AF5915" s="2">
        <v>1815.7097075485001</v>
      </c>
      <c r="AG5915" s="2">
        <v>2025.2034032782301</v>
      </c>
      <c r="AH5915" s="4">
        <v>0.89655671356732702</v>
      </c>
      <c r="AI5915" s="4">
        <v>-0.157533248219346</v>
      </c>
      <c r="AJ5915" s="4" t="s">
        <v>62</v>
      </c>
      <c r="AK5915" s="2">
        <v>0.80677577209358298</v>
      </c>
      <c r="AL5915" s="2">
        <v>0.91339202115171703</v>
      </c>
      <c r="AM5915" s="2">
        <v>3835.8183871271599</v>
      </c>
      <c r="AN5915" s="2">
        <v>1231.6932790685601</v>
      </c>
      <c r="AO5915" s="2">
        <v>657.78738443996394</v>
      </c>
      <c r="AP5915" s="2">
        <v>1396.87179951556</v>
      </c>
      <c r="AQ5915" s="2">
        <v>1747.20968797551</v>
      </c>
      <c r="AR5915" s="2">
        <v>2024.8777071642401</v>
      </c>
      <c r="AS5915" s="2">
        <v>501.484292293387</v>
      </c>
      <c r="AT5915" s="2">
        <v>1091.6588599310501</v>
      </c>
      <c r="AU5915" s="2">
        <v>4696.2381921204296</v>
      </c>
      <c r="AV5915" s="2">
        <v>3369.0535204375301</v>
      </c>
      <c r="AW5915" s="2">
        <v>2123.49352269976</v>
      </c>
      <c r="AX5915" s="2">
        <v>369.29203218724302</v>
      </c>
    </row>
    <row r="5916" spans="1:50" x14ac:dyDescent="0.25">
      <c r="A5916" s="2" t="s">
        <v>38545</v>
      </c>
      <c r="B5916" s="2">
        <v>354.13044388348999</v>
      </c>
      <c r="C5916" s="2">
        <v>9.0521333333333303</v>
      </c>
      <c r="D5916" s="2" t="s">
        <v>51</v>
      </c>
      <c r="E5916" s="2" t="s">
        <v>38546</v>
      </c>
      <c r="F5916" s="2">
        <v>210701</v>
      </c>
      <c r="G5916" s="3" t="str">
        <f>HYPERLINK("https://cloud.oebiotech.com/#/lm/network/210701", "https://cloud.oebiotech.com/#/lm/network/210701")</f>
        <v>https://cloud.oebiotech.com/#/lm/network/210701</v>
      </c>
      <c r="H5916" s="2" t="s">
        <v>38547</v>
      </c>
      <c r="I5916" s="2"/>
      <c r="J5916" s="2"/>
      <c r="K5916" s="2">
        <v>4343649</v>
      </c>
      <c r="L5916" s="2"/>
      <c r="M5916" s="2"/>
      <c r="N5916" s="2"/>
      <c r="O5916" s="2"/>
      <c r="P5916" s="2"/>
      <c r="Q5916" s="2"/>
      <c r="R5916" s="2"/>
      <c r="S5916" s="2" t="s">
        <v>38548</v>
      </c>
      <c r="T5916" s="2" t="s">
        <v>38549</v>
      </c>
      <c r="U5916" s="2" t="s">
        <v>331</v>
      </c>
      <c r="V5916" s="2" t="s">
        <v>332</v>
      </c>
      <c r="W5916" s="2" t="s">
        <v>333</v>
      </c>
      <c r="X5916" s="2" t="s">
        <v>147</v>
      </c>
      <c r="Y5916" s="2">
        <v>42.7</v>
      </c>
      <c r="Z5916" s="2">
        <v>21.5</v>
      </c>
      <c r="AA5916" s="2" t="s">
        <v>259</v>
      </c>
      <c r="AB5916" s="2" t="s">
        <v>38550</v>
      </c>
      <c r="AC5916" s="2">
        <v>2.4566300121726798</v>
      </c>
      <c r="AD5916" s="2"/>
      <c r="AE5916" s="2">
        <v>1.14827273554946E-3</v>
      </c>
      <c r="AF5916" s="2">
        <v>2857.7842490688699</v>
      </c>
      <c r="AG5916" s="2">
        <v>2784.4152512395899</v>
      </c>
      <c r="AH5916" s="5">
        <v>1.0263498764405199</v>
      </c>
      <c r="AI5916" s="5">
        <v>3.7522620769750298E-2</v>
      </c>
      <c r="AJ5916" s="5" t="s">
        <v>139</v>
      </c>
      <c r="AK5916" s="2">
        <v>0.91153832043919703</v>
      </c>
      <c r="AL5916" s="2">
        <v>0.962914197112401</v>
      </c>
      <c r="AM5916" s="2">
        <v>2292.70804415045</v>
      </c>
      <c r="AN5916" s="2">
        <v>3713.9465705329499</v>
      </c>
      <c r="AO5916" s="2">
        <v>2415.3335383458998</v>
      </c>
      <c r="AP5916" s="2">
        <v>2430.7559873318</v>
      </c>
      <c r="AQ5916" s="2">
        <v>1649.8932729841799</v>
      </c>
      <c r="AR5916" s="2">
        <v>4644.0680810679296</v>
      </c>
      <c r="AS5916" s="2">
        <v>2744.62481397293</v>
      </c>
      <c r="AT5916" s="2">
        <v>2353.32935230164</v>
      </c>
      <c r="AU5916" s="2">
        <v>2842.6105388040901</v>
      </c>
      <c r="AV5916" s="2">
        <v>2395.0588504229499</v>
      </c>
      <c r="AW5916" s="2">
        <v>4872.7905032880699</v>
      </c>
      <c r="AX5916" s="2">
        <v>1498.0774486478799</v>
      </c>
    </row>
    <row r="5917" spans="1:50" x14ac:dyDescent="0.25">
      <c r="A5917" s="2" t="s">
        <v>38551</v>
      </c>
      <c r="B5917" s="2">
        <v>269.212161416806</v>
      </c>
      <c r="C5917" s="2">
        <v>9.99465</v>
      </c>
      <c r="D5917" s="2" t="s">
        <v>51</v>
      </c>
      <c r="E5917" s="2" t="s">
        <v>38552</v>
      </c>
      <c r="F5917" s="2">
        <v>1953</v>
      </c>
      <c r="G5917" s="3" t="str">
        <f>HYPERLINK("https://cloud.oebiotech.com/#/lm/network/1953", "https://cloud.oebiotech.com/#/lm/network/1953")</f>
        <v>https://cloud.oebiotech.com/#/lm/network/1953</v>
      </c>
      <c r="H5917" s="2"/>
      <c r="I5917" s="2"/>
      <c r="J5917" s="2" t="s">
        <v>38553</v>
      </c>
      <c r="K5917" s="2">
        <v>56927872</v>
      </c>
      <c r="L5917" s="2"/>
      <c r="M5917" s="2"/>
      <c r="N5917" s="2"/>
      <c r="O5917" s="2">
        <v>63900</v>
      </c>
      <c r="P5917" s="2"/>
      <c r="Q5917" s="2"/>
      <c r="R5917" s="2"/>
      <c r="S5917" s="2" t="s">
        <v>38554</v>
      </c>
      <c r="T5917" s="2" t="s">
        <v>38555</v>
      </c>
      <c r="U5917" s="2" t="s">
        <v>56</v>
      </c>
      <c r="V5917" s="2" t="s">
        <v>145</v>
      </c>
      <c r="W5917" s="2" t="s">
        <v>231</v>
      </c>
      <c r="X5917" s="2" t="s">
        <v>83</v>
      </c>
      <c r="Y5917" s="2">
        <v>55.1</v>
      </c>
      <c r="Z5917" s="2">
        <v>0</v>
      </c>
      <c r="AA5917" s="2" t="s">
        <v>379</v>
      </c>
      <c r="AB5917" s="2" t="s">
        <v>5226</v>
      </c>
      <c r="AC5917" s="2">
        <v>-0.19764654073705001</v>
      </c>
      <c r="AD5917" s="2"/>
      <c r="AE5917" s="2">
        <v>1.1198910055489201E-3</v>
      </c>
      <c r="AF5917" s="2">
        <v>2810.4451233794698</v>
      </c>
      <c r="AG5917" s="2">
        <v>2952.1871255040001</v>
      </c>
      <c r="AH5917" s="4">
        <v>0.95198746011050295</v>
      </c>
      <c r="AI5917" s="4">
        <v>-7.0985524878873205E-2</v>
      </c>
      <c r="AJ5917" s="4" t="s">
        <v>62</v>
      </c>
      <c r="AK5917" s="2">
        <v>0.76142086895805094</v>
      </c>
      <c r="AL5917" s="2">
        <v>0.89152062866139503</v>
      </c>
      <c r="AM5917" s="2">
        <v>3832.5258424746899</v>
      </c>
      <c r="AN5917" s="2">
        <v>2367.3113876238299</v>
      </c>
      <c r="AO5917" s="2">
        <v>2679.22432281792</v>
      </c>
      <c r="AP5917" s="2">
        <v>2365.6853328984498</v>
      </c>
      <c r="AQ5917" s="2">
        <v>2736.6679792523701</v>
      </c>
      <c r="AR5917" s="2">
        <v>2881.2558752095802</v>
      </c>
      <c r="AS5917" s="2">
        <v>2449.4444984346401</v>
      </c>
      <c r="AT5917" s="2">
        <v>2186.7440638860298</v>
      </c>
      <c r="AU5917" s="2">
        <v>4861.8991289906498</v>
      </c>
      <c r="AV5917" s="2">
        <v>2677.3451242023998</v>
      </c>
      <c r="AW5917" s="2">
        <v>2987.0987652988101</v>
      </c>
      <c r="AX5917" s="2">
        <v>2550.5911722114402</v>
      </c>
    </row>
    <row r="5918" spans="1:50" x14ac:dyDescent="0.25">
      <c r="A5918" s="2" t="s">
        <v>38556</v>
      </c>
      <c r="B5918" s="2">
        <v>243.088909106887</v>
      </c>
      <c r="C5918" s="2">
        <v>5.1816500000000003</v>
      </c>
      <c r="D5918" s="2" t="s">
        <v>51</v>
      </c>
      <c r="E5918" s="2" t="s">
        <v>38557</v>
      </c>
      <c r="F5918" s="2">
        <v>208376</v>
      </c>
      <c r="G5918" s="3" t="str">
        <f>HYPERLINK("https://cloud.oebiotech.com/#/lm/network/208376", "https://cloud.oebiotech.com/#/lm/network/208376")</f>
        <v>https://cloud.oebiotech.com/#/lm/network/208376</v>
      </c>
      <c r="H5918" s="2" t="s">
        <v>38558</v>
      </c>
      <c r="I5918" s="2">
        <v>64742</v>
      </c>
      <c r="J5918" s="2"/>
      <c r="K5918" s="2">
        <v>506</v>
      </c>
      <c r="L5918" s="2" t="s">
        <v>38559</v>
      </c>
      <c r="M5918" s="2" t="s">
        <v>19930</v>
      </c>
      <c r="N5918" s="2" t="s">
        <v>19931</v>
      </c>
      <c r="O5918" s="2">
        <v>17781</v>
      </c>
      <c r="P5918" s="2"/>
      <c r="Q5918" s="2"/>
      <c r="R5918" s="2" t="s">
        <v>38560</v>
      </c>
      <c r="S5918" s="2" t="s">
        <v>38561</v>
      </c>
      <c r="T5918" s="2" t="s">
        <v>38562</v>
      </c>
      <c r="U5918" s="2" t="s">
        <v>266</v>
      </c>
      <c r="V5918" s="2" t="s">
        <v>13201</v>
      </c>
      <c r="W5918" s="2" t="s">
        <v>15390</v>
      </c>
      <c r="X5918" s="2" t="s">
        <v>83</v>
      </c>
      <c r="Y5918" s="2">
        <v>42.3</v>
      </c>
      <c r="Z5918" s="2">
        <v>0</v>
      </c>
      <c r="AA5918" s="2" t="s">
        <v>259</v>
      </c>
      <c r="AB5918" s="2" t="s">
        <v>38563</v>
      </c>
      <c r="AC5918" s="2">
        <v>5.1928863056169696</v>
      </c>
      <c r="AD5918" s="2"/>
      <c r="AE5918" s="2">
        <v>1.0263934713082199E-3</v>
      </c>
      <c r="AF5918" s="2">
        <v>866.09484705006605</v>
      </c>
      <c r="AG5918" s="2">
        <v>801.26734678213597</v>
      </c>
      <c r="AH5918" s="5">
        <v>1.0809062050616101</v>
      </c>
      <c r="AI5918" s="5">
        <v>0.112241339572707</v>
      </c>
      <c r="AJ5918" s="5" t="s">
        <v>139</v>
      </c>
      <c r="AK5918" s="2">
        <v>0.76094888245709702</v>
      </c>
      <c r="AL5918" s="2">
        <v>0.89152062866139503</v>
      </c>
      <c r="AM5918" s="2">
        <v>802.78725045775798</v>
      </c>
      <c r="AN5918" s="2">
        <v>653.09072853566795</v>
      </c>
      <c r="AO5918" s="2">
        <v>549.48543939773504</v>
      </c>
      <c r="AP5918" s="2">
        <v>1038.4391813206</v>
      </c>
      <c r="AQ5918" s="2">
        <v>1383.68433348249</v>
      </c>
      <c r="AR5918" s="2">
        <v>769.08214910614697</v>
      </c>
      <c r="AS5918" s="2">
        <v>1062.2888844766101</v>
      </c>
      <c r="AT5918" s="2">
        <v>499.56283023879803</v>
      </c>
      <c r="AU5918" s="2">
        <v>766.71497896117296</v>
      </c>
      <c r="AV5918" s="2">
        <v>710.58017802358404</v>
      </c>
      <c r="AW5918" s="2">
        <v>1454.5797879602001</v>
      </c>
      <c r="AX5918" s="2">
        <v>313.87742103245102</v>
      </c>
    </row>
    <row r="5919" spans="1:50" x14ac:dyDescent="0.25">
      <c r="A5919" s="2" t="s">
        <v>38564</v>
      </c>
      <c r="B5919" s="2">
        <v>450.21512987803902</v>
      </c>
      <c r="C5919" s="2">
        <v>4.2577833333333297</v>
      </c>
      <c r="D5919" s="2" t="s">
        <v>51</v>
      </c>
      <c r="E5919" s="2" t="s">
        <v>38565</v>
      </c>
      <c r="F5919" s="2">
        <v>205496</v>
      </c>
      <c r="G5919" s="3" t="str">
        <f>HYPERLINK("https://cloud.oebiotech.com/#/lm/network/205496", "https://cloud.oebiotech.com/#/lm/network/205496")</f>
        <v>https://cloud.oebiotech.com/#/lm/network/205496</v>
      </c>
      <c r="H5919" s="2" t="s">
        <v>38566</v>
      </c>
      <c r="I5919" s="2"/>
      <c r="J5919" s="2"/>
      <c r="K5919" s="2">
        <v>4476692</v>
      </c>
      <c r="L5919" s="2"/>
      <c r="M5919" s="2"/>
      <c r="N5919" s="2"/>
      <c r="O5919" s="2"/>
      <c r="P5919" s="2"/>
      <c r="Q5919" s="2"/>
      <c r="R5919" s="2"/>
      <c r="S5919" s="2" t="s">
        <v>38567</v>
      </c>
      <c r="T5919" s="2" t="s">
        <v>38568</v>
      </c>
      <c r="U5919" s="2" t="s">
        <v>103</v>
      </c>
      <c r="V5919" s="2" t="s">
        <v>104</v>
      </c>
      <c r="W5919" s="2" t="s">
        <v>105</v>
      </c>
      <c r="X5919" s="2" t="s">
        <v>83</v>
      </c>
      <c r="Y5919" s="2">
        <v>38.299999999999997</v>
      </c>
      <c r="Z5919" s="2">
        <v>0</v>
      </c>
      <c r="AA5919" s="2" t="s">
        <v>3659</v>
      </c>
      <c r="AB5919" s="2" t="s">
        <v>38569</v>
      </c>
      <c r="AC5919" s="2">
        <v>1.1398927766045299</v>
      </c>
      <c r="AD5919" s="2"/>
      <c r="AE5919" s="2">
        <v>9.9561073173988707E-4</v>
      </c>
      <c r="AF5919" s="2">
        <v>51498.647322462501</v>
      </c>
      <c r="AG5919" s="2">
        <v>47784.753697866901</v>
      </c>
      <c r="AH5919" s="5">
        <v>1.0777213093548199</v>
      </c>
      <c r="AI5919" s="5">
        <v>0.10798415620466301</v>
      </c>
      <c r="AJ5919" s="5" t="s">
        <v>139</v>
      </c>
      <c r="AK5919" s="2">
        <v>0.86721937487178802</v>
      </c>
      <c r="AL5919" s="2">
        <v>0.94246410920992196</v>
      </c>
      <c r="AM5919" s="2">
        <v>32381.4818046197</v>
      </c>
      <c r="AN5919" s="2">
        <v>28891.583969231699</v>
      </c>
      <c r="AO5919" s="2">
        <v>75576.966181666794</v>
      </c>
      <c r="AP5919" s="2">
        <v>17130.8338717816</v>
      </c>
      <c r="AQ5919" s="2">
        <v>64565.037098358698</v>
      </c>
      <c r="AR5919" s="2">
        <v>90445.981009116294</v>
      </c>
      <c r="AS5919" s="2">
        <v>12839.085748200199</v>
      </c>
      <c r="AT5919" s="2">
        <v>41039.993098578198</v>
      </c>
      <c r="AU5919" s="2">
        <v>19938.405884457301</v>
      </c>
      <c r="AV5919" s="2">
        <v>114588.751332402</v>
      </c>
      <c r="AW5919" s="2">
        <v>89326.231539926899</v>
      </c>
      <c r="AX5919" s="2">
        <v>8976.0545836366891</v>
      </c>
    </row>
    <row r="5920" spans="1:50" x14ac:dyDescent="0.25">
      <c r="A5920" s="2" t="s">
        <v>38570</v>
      </c>
      <c r="B5920" s="2">
        <v>184.01903900774801</v>
      </c>
      <c r="C5920" s="2">
        <v>0.99048333333333305</v>
      </c>
      <c r="D5920" s="2" t="s">
        <v>51</v>
      </c>
      <c r="E5920" s="2" t="s">
        <v>38571</v>
      </c>
      <c r="F5920" s="2">
        <v>207513</v>
      </c>
      <c r="G5920" s="3" t="str">
        <f>HYPERLINK("https://cloud.oebiotech.com/#/lm/network/207513", "https://cloud.oebiotech.com/#/lm/network/207513")</f>
        <v>https://cloud.oebiotech.com/#/lm/network/207513</v>
      </c>
      <c r="H5920" s="2" t="s">
        <v>38572</v>
      </c>
      <c r="I5920" s="2"/>
      <c r="J5920" s="2"/>
      <c r="K5920" s="2">
        <v>9883</v>
      </c>
      <c r="L5920" s="2"/>
      <c r="M5920" s="2"/>
      <c r="N5920" s="2"/>
      <c r="O5920" s="2"/>
      <c r="P5920" s="2"/>
      <c r="Q5920" s="2"/>
      <c r="R5920" s="2"/>
      <c r="S5920" s="2" t="s">
        <v>38573</v>
      </c>
      <c r="T5920" s="2" t="s">
        <v>38574</v>
      </c>
      <c r="U5920" s="2" t="s">
        <v>266</v>
      </c>
      <c r="V5920" s="2" t="s">
        <v>1593</v>
      </c>
      <c r="W5920" s="2" t="s">
        <v>240</v>
      </c>
      <c r="X5920" s="2" t="s">
        <v>147</v>
      </c>
      <c r="Y5920" s="2">
        <v>39.6</v>
      </c>
      <c r="Z5920" s="2">
        <v>0</v>
      </c>
      <c r="AA5920" s="2" t="s">
        <v>512</v>
      </c>
      <c r="AB5920" s="2" t="s">
        <v>38575</v>
      </c>
      <c r="AC5920" s="2">
        <v>-0.72573768263597704</v>
      </c>
      <c r="AD5920" s="2"/>
      <c r="AE5920" s="2">
        <v>9.1079384381621397E-4</v>
      </c>
      <c r="AF5920" s="2">
        <v>4154.5585202829898</v>
      </c>
      <c r="AG5920" s="2">
        <v>4301.1593907831102</v>
      </c>
      <c r="AH5920" s="4">
        <v>0.96591596423646597</v>
      </c>
      <c r="AI5920" s="4">
        <v>-5.0030416440263098E-2</v>
      </c>
      <c r="AJ5920" s="4" t="s">
        <v>62</v>
      </c>
      <c r="AK5920" s="2">
        <v>0.76054976431858701</v>
      </c>
      <c r="AL5920" s="2">
        <v>0.89152062866139503</v>
      </c>
      <c r="AM5920" s="2">
        <v>4703.9319654063102</v>
      </c>
      <c r="AN5920" s="2">
        <v>4210.1305500582903</v>
      </c>
      <c r="AO5920" s="2">
        <v>4660.3291943449804</v>
      </c>
      <c r="AP5920" s="2">
        <v>4697.6038118625202</v>
      </c>
      <c r="AQ5920" s="2">
        <v>4353.3286739105297</v>
      </c>
      <c r="AR5920" s="2">
        <v>2302.0269261153298</v>
      </c>
      <c r="AS5920" s="2">
        <v>3968.5281560283602</v>
      </c>
      <c r="AT5920" s="2">
        <v>5280.6178241431899</v>
      </c>
      <c r="AU5920" s="2">
        <v>4511.5512552002101</v>
      </c>
      <c r="AV5920" s="2">
        <v>3311.6569965374101</v>
      </c>
      <c r="AW5920" s="2">
        <v>4634.6310737429503</v>
      </c>
      <c r="AX5920" s="2">
        <v>4099.9710390465198</v>
      </c>
    </row>
    <row r="5921" spans="1:50" x14ac:dyDescent="0.25">
      <c r="A5921" s="2" t="s">
        <v>38576</v>
      </c>
      <c r="B5921" s="2">
        <v>187.097176650253</v>
      </c>
      <c r="C5921" s="2">
        <v>1.87608333333333</v>
      </c>
      <c r="D5921" s="2" t="s">
        <v>51</v>
      </c>
      <c r="E5921" s="2" t="s">
        <v>38577</v>
      </c>
      <c r="F5921" s="2">
        <v>210756</v>
      </c>
      <c r="G5921" s="3" t="str">
        <f>HYPERLINK("https://cloud.oebiotech.com/#/lm/network/210756", "https://cloud.oebiotech.com/#/lm/network/210756")</f>
        <v>https://cloud.oebiotech.com/#/lm/network/210756</v>
      </c>
      <c r="H5921" s="2" t="s">
        <v>38578</v>
      </c>
      <c r="I5921" s="2"/>
      <c r="J5921" s="2"/>
      <c r="K5921" s="2">
        <v>136405576</v>
      </c>
      <c r="L5921" s="2"/>
      <c r="M5921" s="2"/>
      <c r="N5921" s="2"/>
      <c r="O5921" s="2"/>
      <c r="P5921" s="2"/>
      <c r="Q5921" s="2"/>
      <c r="R5921" s="2"/>
      <c r="S5921" s="2" t="s">
        <v>38579</v>
      </c>
      <c r="T5921" s="2" t="s">
        <v>38580</v>
      </c>
      <c r="U5921" s="2" t="s">
        <v>266</v>
      </c>
      <c r="V5921" s="2" t="s">
        <v>6667</v>
      </c>
      <c r="W5921" s="2" t="s">
        <v>6668</v>
      </c>
      <c r="X5921" s="2" t="s">
        <v>147</v>
      </c>
      <c r="Y5921" s="2">
        <v>36.4</v>
      </c>
      <c r="Z5921" s="2">
        <v>0</v>
      </c>
      <c r="AA5921" s="2" t="s">
        <v>512</v>
      </c>
      <c r="AB5921" s="2" t="s">
        <v>38581</v>
      </c>
      <c r="AC5921" s="2">
        <v>-3.82173997802599</v>
      </c>
      <c r="AD5921" s="2"/>
      <c r="AE5921" s="2">
        <v>9.09453448974424E-4</v>
      </c>
      <c r="AF5921" s="2">
        <v>4381.4203964592298</v>
      </c>
      <c r="AG5921" s="2">
        <v>4363.3677894658204</v>
      </c>
      <c r="AH5921" s="5">
        <v>1.00413731041353</v>
      </c>
      <c r="AI5921" s="5">
        <v>5.9565636190488302E-3</v>
      </c>
      <c r="AJ5921" s="5" t="s">
        <v>139</v>
      </c>
      <c r="AK5921" s="2">
        <v>0.965628479785411</v>
      </c>
      <c r="AL5921" s="2">
        <v>0.98639647014555798</v>
      </c>
      <c r="AM5921" s="2">
        <v>4279.3915126312004</v>
      </c>
      <c r="AN5921" s="2">
        <v>4341.1327643958202</v>
      </c>
      <c r="AO5921" s="2">
        <v>4387.9015925945896</v>
      </c>
      <c r="AP5921" s="2">
        <v>5339.9047339194503</v>
      </c>
      <c r="AQ5921" s="2">
        <v>4495.8744868382</v>
      </c>
      <c r="AR5921" s="2">
        <v>3444.3172883761399</v>
      </c>
      <c r="AS5921" s="2">
        <v>4214.8949155685204</v>
      </c>
      <c r="AT5921" s="2">
        <v>5150.1521632543199</v>
      </c>
      <c r="AU5921" s="2">
        <v>3633.5810660203501</v>
      </c>
      <c r="AV5921" s="2">
        <v>3435.1076105904399</v>
      </c>
      <c r="AW5921" s="2">
        <v>4311.5178292586897</v>
      </c>
      <c r="AX5921" s="2">
        <v>5434.9531521026202</v>
      </c>
    </row>
    <row r="5922" spans="1:50" x14ac:dyDescent="0.25">
      <c r="A5922" s="2" t="s">
        <v>38582</v>
      </c>
      <c r="B5922" s="2">
        <v>341.03950206631799</v>
      </c>
      <c r="C5922" s="2">
        <v>4.6687166666666702</v>
      </c>
      <c r="D5922" s="2" t="s">
        <v>51</v>
      </c>
      <c r="E5922" s="2" t="s">
        <v>38583</v>
      </c>
      <c r="F5922" s="2">
        <v>198693</v>
      </c>
      <c r="G5922" s="3" t="str">
        <f>HYPERLINK("https://cloud.oebiotech.com/#/lm/network/198693", "https://cloud.oebiotech.com/#/lm/network/198693")</f>
        <v>https://cloud.oebiotech.com/#/lm/network/198693</v>
      </c>
      <c r="H5922" s="2" t="s">
        <v>38584</v>
      </c>
      <c r="I5922" s="2"/>
      <c r="J5922" s="2"/>
      <c r="K5922" s="2">
        <v>10603</v>
      </c>
      <c r="L5922" s="2"/>
      <c r="M5922" s="2"/>
      <c r="N5922" s="2"/>
      <c r="O5922" s="2">
        <v>51686</v>
      </c>
      <c r="P5922" s="2"/>
      <c r="Q5922" s="2"/>
      <c r="R5922" s="2"/>
      <c r="S5922" s="2" t="s">
        <v>38585</v>
      </c>
      <c r="T5922" s="2" t="s">
        <v>38586</v>
      </c>
      <c r="U5922" s="2" t="s">
        <v>266</v>
      </c>
      <c r="V5922" s="2" t="s">
        <v>1785</v>
      </c>
      <c r="W5922" s="2" t="s">
        <v>1786</v>
      </c>
      <c r="X5922" s="2" t="s">
        <v>83</v>
      </c>
      <c r="Y5922" s="2">
        <v>39</v>
      </c>
      <c r="Z5922" s="2">
        <v>0</v>
      </c>
      <c r="AA5922" s="2" t="s">
        <v>395</v>
      </c>
      <c r="AB5922" s="2" t="s">
        <v>38587</v>
      </c>
      <c r="AC5922" s="2">
        <v>-8.9187917124534604</v>
      </c>
      <c r="AD5922" s="2"/>
      <c r="AE5922" s="2">
        <v>8.8936183232706195E-4</v>
      </c>
      <c r="AF5922" s="2">
        <v>1805.6139023022299</v>
      </c>
      <c r="AG5922" s="2">
        <v>1390.7776655913401</v>
      </c>
      <c r="AH5922" s="5">
        <v>1.29827645854128</v>
      </c>
      <c r="AI5922" s="5">
        <v>0.37659762748025899</v>
      </c>
      <c r="AJ5922" s="5" t="s">
        <v>139</v>
      </c>
      <c r="AK5922" s="2">
        <v>0.80038220453655995</v>
      </c>
      <c r="AL5922" s="2">
        <v>0.90997111228141703</v>
      </c>
      <c r="AM5922" s="2">
        <v>158.70179301783199</v>
      </c>
      <c r="AN5922" s="2">
        <v>1317.8344877204599</v>
      </c>
      <c r="AO5922" s="2">
        <v>613.80684858286202</v>
      </c>
      <c r="AP5922" s="2">
        <v>8.559877937157E-6</v>
      </c>
      <c r="AQ5922" s="2">
        <v>329.79741668707601</v>
      </c>
      <c r="AR5922" s="2">
        <v>8413.5428592452499</v>
      </c>
      <c r="AS5922" s="2">
        <v>8.559877937157E-6</v>
      </c>
      <c r="AT5922" s="2">
        <v>8.559877937157E-6</v>
      </c>
      <c r="AU5922" s="2">
        <v>16.4443176401094</v>
      </c>
      <c r="AV5922" s="2">
        <v>4248.0822828095297</v>
      </c>
      <c r="AW5922" s="2">
        <v>4080.1393674187598</v>
      </c>
      <c r="AX5922" s="2">
        <v>8.559877937157E-6</v>
      </c>
    </row>
    <row r="5923" spans="1:50" x14ac:dyDescent="0.25">
      <c r="A5923" s="2" t="s">
        <v>38588</v>
      </c>
      <c r="B5923" s="2">
        <v>407.389783466582</v>
      </c>
      <c r="C5923" s="2">
        <v>14.0975</v>
      </c>
      <c r="D5923" s="2" t="s">
        <v>51</v>
      </c>
      <c r="E5923" s="2" t="s">
        <v>38589</v>
      </c>
      <c r="F5923" s="2">
        <v>1167</v>
      </c>
      <c r="G5923" s="3" t="str">
        <f>HYPERLINK("https://cloud.oebiotech.com/#/lm/network/1167", "https://cloud.oebiotech.com/#/lm/network/1167")</f>
        <v>https://cloud.oebiotech.com/#/lm/network/1167</v>
      </c>
      <c r="H5923" s="2"/>
      <c r="I5923" s="2">
        <v>74340</v>
      </c>
      <c r="J5923" s="2" t="s">
        <v>38590</v>
      </c>
      <c r="K5923" s="2">
        <v>9543646</v>
      </c>
      <c r="L5923" s="2"/>
      <c r="M5923" s="2"/>
      <c r="N5923" s="2"/>
      <c r="O5923" s="2"/>
      <c r="P5923" s="2"/>
      <c r="Q5923" s="2"/>
      <c r="R5923" s="2"/>
      <c r="S5923" s="2" t="s">
        <v>38591</v>
      </c>
      <c r="T5923" s="2" t="s">
        <v>38592</v>
      </c>
      <c r="U5923" s="2" t="s">
        <v>56</v>
      </c>
      <c r="V5923" s="2" t="s">
        <v>145</v>
      </c>
      <c r="W5923" s="2" t="s">
        <v>231</v>
      </c>
      <c r="X5923" s="2" t="s">
        <v>83</v>
      </c>
      <c r="Y5923" s="2">
        <v>41.5</v>
      </c>
      <c r="Z5923" s="2">
        <v>0</v>
      </c>
      <c r="AA5923" s="2" t="s">
        <v>259</v>
      </c>
      <c r="AB5923" s="2" t="s">
        <v>19171</v>
      </c>
      <c r="AC5923" s="2">
        <v>3.5094939914518402</v>
      </c>
      <c r="AD5923" s="2"/>
      <c r="AE5923" s="2">
        <v>8.6960349383610096E-4</v>
      </c>
      <c r="AF5923" s="2">
        <v>3139.7858738826699</v>
      </c>
      <c r="AG5923" s="2">
        <v>2858.03310759551</v>
      </c>
      <c r="AH5923" s="5">
        <v>1.0985827510319499</v>
      </c>
      <c r="AI5923" s="5">
        <v>0.135643545234086</v>
      </c>
      <c r="AJ5923" s="5" t="s">
        <v>139</v>
      </c>
      <c r="AK5923" s="2">
        <v>0.83690323474336703</v>
      </c>
      <c r="AL5923" s="2">
        <v>0.928404949627333</v>
      </c>
      <c r="AM5923" s="2">
        <v>655.32400059227905</v>
      </c>
      <c r="AN5923" s="2">
        <v>2429.9449870368398</v>
      </c>
      <c r="AO5923" s="2">
        <v>2334.5920532647601</v>
      </c>
      <c r="AP5923" s="2">
        <v>7754.5844906095299</v>
      </c>
      <c r="AQ5923" s="2">
        <v>4641.5649629028803</v>
      </c>
      <c r="AR5923" s="2">
        <v>1022.70474888973</v>
      </c>
      <c r="AS5923" s="2">
        <v>644.38729297627594</v>
      </c>
      <c r="AT5923" s="2">
        <v>5632.9335610278104</v>
      </c>
      <c r="AU5923" s="2">
        <v>2398.2861792889998</v>
      </c>
      <c r="AV5923" s="2">
        <v>1763.7128096177801</v>
      </c>
      <c r="AW5923" s="2">
        <v>4674.3234995832399</v>
      </c>
      <c r="AX5923" s="2">
        <v>2034.5553030789499</v>
      </c>
    </row>
    <row r="5924" spans="1:50" x14ac:dyDescent="0.25">
      <c r="A5924" s="2" t="s">
        <v>38593</v>
      </c>
      <c r="B5924" s="2">
        <v>274.11991500884602</v>
      </c>
      <c r="C5924" s="2">
        <v>4.01643333333333</v>
      </c>
      <c r="D5924" s="2" t="s">
        <v>51</v>
      </c>
      <c r="E5924" s="2" t="s">
        <v>38594</v>
      </c>
      <c r="F5924" s="2">
        <v>258827</v>
      </c>
      <c r="G5924" s="3" t="str">
        <f>HYPERLINK("https://cloud.oebiotech.com/#/lm/network/258827", "https://cloud.oebiotech.com/#/lm/network/258827")</f>
        <v>https://cloud.oebiotech.com/#/lm/network/258827</v>
      </c>
      <c r="H5924" s="2"/>
      <c r="I5924" s="2">
        <v>16019</v>
      </c>
      <c r="J5924" s="2"/>
      <c r="K5924" s="2">
        <v>4578034</v>
      </c>
      <c r="L5924" s="2"/>
      <c r="M5924" s="2"/>
      <c r="N5924" s="2"/>
      <c r="O5924" s="2"/>
      <c r="P5924" s="2"/>
      <c r="Q5924" s="2"/>
      <c r="R5924" s="2"/>
      <c r="S5924" s="2" t="s">
        <v>38595</v>
      </c>
      <c r="T5924" s="2" t="s">
        <v>38596</v>
      </c>
      <c r="U5924" s="2" t="s">
        <v>103</v>
      </c>
      <c r="V5924" s="2" t="s">
        <v>104</v>
      </c>
      <c r="W5924" s="2" t="s">
        <v>105</v>
      </c>
      <c r="X5924" s="2" t="s">
        <v>83</v>
      </c>
      <c r="Y5924" s="2">
        <v>54</v>
      </c>
      <c r="Z5924" s="2">
        <v>0</v>
      </c>
      <c r="AA5924" s="2" t="s">
        <v>379</v>
      </c>
      <c r="AB5924" s="2" t="s">
        <v>29983</v>
      </c>
      <c r="AC5924" s="2">
        <v>0.68236523086086598</v>
      </c>
      <c r="AD5924" s="2"/>
      <c r="AE5924" s="2">
        <v>8.31320933038037E-4</v>
      </c>
      <c r="AF5924" s="2">
        <v>277.92345321710798</v>
      </c>
      <c r="AG5924" s="2">
        <v>365.07373204555802</v>
      </c>
      <c r="AH5924" s="4">
        <v>0.761280335508845</v>
      </c>
      <c r="AI5924" s="4">
        <v>-0.39350028219195199</v>
      </c>
      <c r="AJ5924" s="4" t="s">
        <v>62</v>
      </c>
      <c r="AK5924" s="2">
        <v>0.74124888346252005</v>
      </c>
      <c r="AL5924" s="2">
        <v>0.88190791048193196</v>
      </c>
      <c r="AM5924" s="2">
        <v>804.25534744562106</v>
      </c>
      <c r="AN5924" s="2">
        <v>8.559877937157E-6</v>
      </c>
      <c r="AO5924" s="2">
        <v>95.8227354376276</v>
      </c>
      <c r="AP5924" s="2">
        <v>78.997550671382399</v>
      </c>
      <c r="AQ5924" s="2">
        <v>460.186680007853</v>
      </c>
      <c r="AR5924" s="2">
        <v>228.27839718028901</v>
      </c>
      <c r="AS5924" s="2">
        <v>8.559877937157E-6</v>
      </c>
      <c r="AT5924" s="2">
        <v>110.379570611258</v>
      </c>
      <c r="AU5924" s="2">
        <v>1441.78956144467</v>
      </c>
      <c r="AV5924" s="2">
        <v>453.23932973323599</v>
      </c>
      <c r="AW5924" s="2">
        <v>104.259944878966</v>
      </c>
      <c r="AX5924" s="2">
        <v>80.773977045338697</v>
      </c>
    </row>
    <row r="5925" spans="1:50" x14ac:dyDescent="0.25">
      <c r="A5925" s="2" t="s">
        <v>38597</v>
      </c>
      <c r="B5925" s="2">
        <v>301.17327668670902</v>
      </c>
      <c r="C5925" s="2">
        <v>0.58143333333333302</v>
      </c>
      <c r="D5925" s="2" t="s">
        <v>51</v>
      </c>
      <c r="E5925" s="2" t="s">
        <v>38598</v>
      </c>
      <c r="F5925" s="2">
        <v>208612</v>
      </c>
      <c r="G5925" s="3" t="str">
        <f>HYPERLINK("https://cloud.oebiotech.com/#/lm/network/208612", "https://cloud.oebiotech.com/#/lm/network/208612")</f>
        <v>https://cloud.oebiotech.com/#/lm/network/208612</v>
      </c>
      <c r="H5925" s="2" t="s">
        <v>38599</v>
      </c>
      <c r="I5925" s="2"/>
      <c r="J5925" s="2"/>
      <c r="K5925" s="2">
        <v>114745</v>
      </c>
      <c r="L5925" s="2"/>
      <c r="M5925" s="2"/>
      <c r="N5925" s="2"/>
      <c r="O5925" s="2"/>
      <c r="P5925" s="2"/>
      <c r="Q5925" s="2"/>
      <c r="R5925" s="2"/>
      <c r="S5925" s="2" t="s">
        <v>38600</v>
      </c>
      <c r="T5925" s="2" t="s">
        <v>38601</v>
      </c>
      <c r="U5925" s="2" t="s">
        <v>119</v>
      </c>
      <c r="V5925" s="2" t="s">
        <v>120</v>
      </c>
      <c r="W5925" s="2" t="s">
        <v>1887</v>
      </c>
      <c r="X5925" s="2" t="s">
        <v>147</v>
      </c>
      <c r="Y5925" s="2">
        <v>38</v>
      </c>
      <c r="Z5925" s="2">
        <v>0</v>
      </c>
      <c r="AA5925" s="2" t="s">
        <v>259</v>
      </c>
      <c r="AB5925" s="2" t="s">
        <v>38602</v>
      </c>
      <c r="AC5925" s="2">
        <v>-6.5045907076748802E-2</v>
      </c>
      <c r="AD5925" s="2"/>
      <c r="AE5925" s="2">
        <v>7.74703320089075E-4</v>
      </c>
      <c r="AF5925" s="2">
        <v>1380.6939942659601</v>
      </c>
      <c r="AG5925" s="2">
        <v>1270.4674779848399</v>
      </c>
      <c r="AH5925" s="5">
        <v>1.0867605965451099</v>
      </c>
      <c r="AI5925" s="5">
        <v>0.120034162796631</v>
      </c>
      <c r="AJ5925" s="5" t="s">
        <v>139</v>
      </c>
      <c r="AK5925" s="2">
        <v>0.83687927268169304</v>
      </c>
      <c r="AL5925" s="2">
        <v>0.928404949627333</v>
      </c>
      <c r="AM5925" s="2">
        <v>1543.46696932327</v>
      </c>
      <c r="AN5925" s="2">
        <v>1016.55054394162</v>
      </c>
      <c r="AO5925" s="2">
        <v>1379.00352569707</v>
      </c>
      <c r="AP5925" s="2">
        <v>1573.6669762645299</v>
      </c>
      <c r="AQ5925" s="2">
        <v>1484.8409841510399</v>
      </c>
      <c r="AR5925" s="2">
        <v>1286.6349662182599</v>
      </c>
      <c r="AS5925" s="2">
        <v>12.4691489027045</v>
      </c>
      <c r="AT5925" s="2">
        <v>19.618465515597599</v>
      </c>
      <c r="AU5925" s="2">
        <v>1113.6136129644899</v>
      </c>
      <c r="AV5925" s="2">
        <v>3069.6237765527699</v>
      </c>
      <c r="AW5925" s="2">
        <v>2465.9043082575299</v>
      </c>
      <c r="AX5925" s="2">
        <v>941.57555571592502</v>
      </c>
    </row>
    <row r="5926" spans="1:50" x14ac:dyDescent="0.25">
      <c r="A5926" s="2" t="s">
        <v>38603</v>
      </c>
      <c r="B5926" s="2">
        <v>325.20221563805899</v>
      </c>
      <c r="C5926" s="2">
        <v>7.6785666666666703</v>
      </c>
      <c r="D5926" s="2" t="s">
        <v>51</v>
      </c>
      <c r="E5926" s="2" t="s">
        <v>38604</v>
      </c>
      <c r="F5926" s="2">
        <v>3397</v>
      </c>
      <c r="G5926" s="3" t="str">
        <f>HYPERLINK("https://cloud.oebiotech.com/#/lm/network/3397", "https://cloud.oebiotech.com/#/lm/network/3397")</f>
        <v>https://cloud.oebiotech.com/#/lm/network/3397</v>
      </c>
      <c r="H5926" s="2"/>
      <c r="I5926" s="2"/>
      <c r="J5926" s="2" t="s">
        <v>38605</v>
      </c>
      <c r="K5926" s="2">
        <v>126457308</v>
      </c>
      <c r="L5926" s="2"/>
      <c r="M5926" s="2"/>
      <c r="N5926" s="2"/>
      <c r="O5926" s="2"/>
      <c r="P5926" s="2"/>
      <c r="Q5926" s="2"/>
      <c r="R5926" s="2"/>
      <c r="S5926" s="2" t="s">
        <v>38606</v>
      </c>
      <c r="T5926" s="2" t="s">
        <v>38607</v>
      </c>
      <c r="U5926" s="2" t="s">
        <v>56</v>
      </c>
      <c r="V5926" s="2" t="s">
        <v>145</v>
      </c>
      <c r="W5926" s="2" t="s">
        <v>187</v>
      </c>
      <c r="X5926" s="2" t="s">
        <v>83</v>
      </c>
      <c r="Y5926" s="2">
        <v>43.8</v>
      </c>
      <c r="Z5926" s="2">
        <v>0</v>
      </c>
      <c r="AA5926" s="2" t="s">
        <v>163</v>
      </c>
      <c r="AB5926" s="2" t="s">
        <v>12004</v>
      </c>
      <c r="AC5926" s="2">
        <v>0.51503788013887597</v>
      </c>
      <c r="AD5926" s="2"/>
      <c r="AE5926" s="2">
        <v>6.7518229517268998E-4</v>
      </c>
      <c r="AF5926" s="2">
        <v>2185.1034939861602</v>
      </c>
      <c r="AG5926" s="2">
        <v>2362.9667442066102</v>
      </c>
      <c r="AH5926" s="4">
        <v>0.92472883900862202</v>
      </c>
      <c r="AI5926" s="4">
        <v>-0.11289771300835</v>
      </c>
      <c r="AJ5926" s="4" t="s">
        <v>62</v>
      </c>
      <c r="AK5926" s="2">
        <v>0.82957934898938501</v>
      </c>
      <c r="AL5926" s="2">
        <v>0.92474889127863003</v>
      </c>
      <c r="AM5926" s="2">
        <v>2281.3684002898299</v>
      </c>
      <c r="AN5926" s="2">
        <v>3961.3830200123698</v>
      </c>
      <c r="AO5926" s="2">
        <v>2184.8725969894299</v>
      </c>
      <c r="AP5926" s="2">
        <v>1292.81310576948</v>
      </c>
      <c r="AQ5926" s="2">
        <v>2027.7875270152099</v>
      </c>
      <c r="AR5926" s="2">
        <v>1362.39631384067</v>
      </c>
      <c r="AS5926" s="2">
        <v>1811.1803059859601</v>
      </c>
      <c r="AT5926" s="2">
        <v>501.84565149440101</v>
      </c>
      <c r="AU5926" s="2">
        <v>5296.0259093304103</v>
      </c>
      <c r="AV5926" s="2">
        <v>1275.7367119696901</v>
      </c>
      <c r="AW5926" s="2">
        <v>3376.1360696453899</v>
      </c>
      <c r="AX5926" s="2">
        <v>1916.8758168138199</v>
      </c>
    </row>
    <row r="5927" spans="1:50" x14ac:dyDescent="0.25">
      <c r="A5927" s="2" t="s">
        <v>38608</v>
      </c>
      <c r="B5927" s="2">
        <v>138.05530890899701</v>
      </c>
      <c r="C5927" s="2">
        <v>5.5480499999999999</v>
      </c>
      <c r="D5927" s="2" t="s">
        <v>51</v>
      </c>
      <c r="E5927" s="2" t="s">
        <v>38609</v>
      </c>
      <c r="F5927" s="2">
        <v>47275</v>
      </c>
      <c r="G5927" s="3" t="str">
        <f>HYPERLINK("https://cloud.oebiotech.com/#/lm/network/47275", "https://cloud.oebiotech.com/#/lm/network/47275")</f>
        <v>https://cloud.oebiotech.com/#/lm/network/47275</v>
      </c>
      <c r="H5927" s="2" t="s">
        <v>38610</v>
      </c>
      <c r="I5927" s="2">
        <v>273</v>
      </c>
      <c r="J5927" s="2"/>
      <c r="K5927" s="2">
        <v>5570</v>
      </c>
      <c r="L5927" s="2" t="s">
        <v>38611</v>
      </c>
      <c r="M5927" s="2"/>
      <c r="N5927" s="2"/>
      <c r="O5927" s="2">
        <v>18123</v>
      </c>
      <c r="P5927" s="2"/>
      <c r="Q5927" s="2"/>
      <c r="R5927" s="2" t="s">
        <v>38612</v>
      </c>
      <c r="S5927" s="2" t="s">
        <v>38613</v>
      </c>
      <c r="T5927" s="2" t="s">
        <v>38614</v>
      </c>
      <c r="U5927" s="2" t="s">
        <v>238</v>
      </c>
      <c r="V5927" s="2" t="s">
        <v>240</v>
      </c>
      <c r="W5927" s="2" t="s">
        <v>240</v>
      </c>
      <c r="X5927" s="2" t="s">
        <v>147</v>
      </c>
      <c r="Y5927" s="2">
        <v>40.4</v>
      </c>
      <c r="Z5927" s="2">
        <v>8.89</v>
      </c>
      <c r="AA5927" s="2" t="s">
        <v>259</v>
      </c>
      <c r="AB5927" s="2" t="s">
        <v>28582</v>
      </c>
      <c r="AC5927" s="2">
        <v>2.5831053179671399</v>
      </c>
      <c r="AD5927" s="2"/>
      <c r="AE5927" s="2">
        <v>6.5253976428200004E-4</v>
      </c>
      <c r="AF5927" s="2">
        <v>1571.7950279253</v>
      </c>
      <c r="AG5927" s="2">
        <v>1644.85392506366</v>
      </c>
      <c r="AH5927" s="4">
        <v>0.95558335240283598</v>
      </c>
      <c r="AI5927" s="4">
        <v>-6.5546374637569405E-2</v>
      </c>
      <c r="AJ5927" s="4" t="s">
        <v>62</v>
      </c>
      <c r="AK5927" s="2">
        <v>0.88300284478434798</v>
      </c>
      <c r="AL5927" s="2">
        <v>0.94899977491842702</v>
      </c>
      <c r="AM5927" s="2">
        <v>3080.21267066271</v>
      </c>
      <c r="AN5927" s="2">
        <v>1155.1343482933701</v>
      </c>
      <c r="AO5927" s="2">
        <v>1135.26788424136</v>
      </c>
      <c r="AP5927" s="2">
        <v>1103.0588724935501</v>
      </c>
      <c r="AQ5927" s="2">
        <v>1868.3284019334301</v>
      </c>
      <c r="AR5927" s="2">
        <v>1088.7679899273701</v>
      </c>
      <c r="AS5927" s="2">
        <v>3421.7251001215</v>
      </c>
      <c r="AT5927" s="2">
        <v>1449.1027582344</v>
      </c>
      <c r="AU5927" s="2">
        <v>1130.59783704549</v>
      </c>
      <c r="AV5927" s="2">
        <v>1317.62919008632</v>
      </c>
      <c r="AW5927" s="2">
        <v>1323.6087800801999</v>
      </c>
      <c r="AX5927" s="2">
        <v>1226.4598848140699</v>
      </c>
    </row>
    <row r="5928" spans="1:50" x14ac:dyDescent="0.25">
      <c r="A5928" s="2" t="s">
        <v>38615</v>
      </c>
      <c r="B5928" s="2">
        <v>193.15929474266201</v>
      </c>
      <c r="C5928" s="2">
        <v>11.251533333333301</v>
      </c>
      <c r="D5928" s="2" t="s">
        <v>51</v>
      </c>
      <c r="E5928" s="2" t="s">
        <v>38616</v>
      </c>
      <c r="F5928" s="2">
        <v>1085</v>
      </c>
      <c r="G5928" s="3" t="str">
        <f>HYPERLINK("https://cloud.oebiotech.com/#/lm/network/1085", "https://cloud.oebiotech.com/#/lm/network/1085")</f>
        <v>https://cloud.oebiotech.com/#/lm/network/1085</v>
      </c>
      <c r="H5928" s="2"/>
      <c r="I5928" s="2">
        <v>74257</v>
      </c>
      <c r="J5928" s="2" t="s">
        <v>38617</v>
      </c>
      <c r="K5928" s="2">
        <v>5312721</v>
      </c>
      <c r="L5928" s="2"/>
      <c r="M5928" s="2"/>
      <c r="N5928" s="2"/>
      <c r="O5928" s="2"/>
      <c r="P5928" s="2"/>
      <c r="Q5928" s="2"/>
      <c r="R5928" s="2"/>
      <c r="S5928" s="2" t="s">
        <v>38618</v>
      </c>
      <c r="T5928" s="2" t="s">
        <v>38619</v>
      </c>
      <c r="U5928" s="2" t="s">
        <v>56</v>
      </c>
      <c r="V5928" s="2" t="s">
        <v>145</v>
      </c>
      <c r="W5928" s="2" t="s">
        <v>231</v>
      </c>
      <c r="X5928" s="2" t="s">
        <v>83</v>
      </c>
      <c r="Y5928" s="2">
        <v>49.3</v>
      </c>
      <c r="Z5928" s="2">
        <v>0</v>
      </c>
      <c r="AA5928" s="2" t="s">
        <v>156</v>
      </c>
      <c r="AB5928" s="2" t="s">
        <v>7521</v>
      </c>
      <c r="AC5928" s="2">
        <v>2.86944385641771</v>
      </c>
      <c r="AD5928" s="2"/>
      <c r="AE5928" s="2">
        <v>6.3475436836901201E-4</v>
      </c>
      <c r="AF5928" s="2">
        <v>2121.5457393797301</v>
      </c>
      <c r="AG5928" s="2">
        <v>2106.5945990489099</v>
      </c>
      <c r="AH5928" s="5">
        <v>1.0070973030774699</v>
      </c>
      <c r="AI5928" s="5">
        <v>1.02030794575144E-2</v>
      </c>
      <c r="AJ5928" s="5" t="s">
        <v>139</v>
      </c>
      <c r="AK5928" s="2">
        <v>0.96559835088661905</v>
      </c>
      <c r="AL5928" s="2">
        <v>0.98639647014555798</v>
      </c>
      <c r="AM5928" s="2">
        <v>1628.43293326504</v>
      </c>
      <c r="AN5928" s="2">
        <v>1664.5272213717101</v>
      </c>
      <c r="AO5928" s="2">
        <v>2543.41994587306</v>
      </c>
      <c r="AP5928" s="2">
        <v>2985.0396122007301</v>
      </c>
      <c r="AQ5928" s="2">
        <v>2137.1060918815501</v>
      </c>
      <c r="AR5928" s="2">
        <v>1770.7486316862901</v>
      </c>
      <c r="AS5928" s="2">
        <v>1348.4078639440299</v>
      </c>
      <c r="AT5928" s="2">
        <v>3014.1151994833899</v>
      </c>
      <c r="AU5928" s="2">
        <v>2237.65709469697</v>
      </c>
      <c r="AV5928" s="2">
        <v>2560.70431552215</v>
      </c>
      <c r="AW5928" s="2">
        <v>1878.5471197986401</v>
      </c>
      <c r="AX5928" s="2">
        <v>1600.1360008483</v>
      </c>
    </row>
    <row r="5929" spans="1:50" x14ac:dyDescent="0.25">
      <c r="A5929" s="2" t="s">
        <v>38620</v>
      </c>
      <c r="B5929" s="2">
        <v>287.03435467176502</v>
      </c>
      <c r="C5929" s="2">
        <v>5.1289166666666697</v>
      </c>
      <c r="D5929" s="2" t="s">
        <v>51</v>
      </c>
      <c r="E5929" s="2" t="s">
        <v>38621</v>
      </c>
      <c r="F5929" s="2">
        <v>204492</v>
      </c>
      <c r="G5929" s="3" t="str">
        <f>HYPERLINK("https://cloud.oebiotech.com/#/lm/network/204492", "https://cloud.oebiotech.com/#/lm/network/204492")</f>
        <v>https://cloud.oebiotech.com/#/lm/network/204492</v>
      </c>
      <c r="H5929" s="2" t="s">
        <v>38622</v>
      </c>
      <c r="I5929" s="2"/>
      <c r="J5929" s="2"/>
      <c r="K5929" s="2">
        <v>71434413</v>
      </c>
      <c r="L5929" s="2"/>
      <c r="M5929" s="2"/>
      <c r="N5929" s="2"/>
      <c r="O5929" s="2"/>
      <c r="P5929" s="2"/>
      <c r="Q5929" s="2"/>
      <c r="R5929" s="2"/>
      <c r="S5929" s="2" t="s">
        <v>38623</v>
      </c>
      <c r="T5929" s="2" t="s">
        <v>38624</v>
      </c>
      <c r="U5929" s="2" t="s">
        <v>266</v>
      </c>
      <c r="V5929" s="2" t="s">
        <v>4611</v>
      </c>
      <c r="W5929" s="2" t="s">
        <v>240</v>
      </c>
      <c r="X5929" s="2" t="s">
        <v>147</v>
      </c>
      <c r="Y5929" s="2">
        <v>36.700000000000003</v>
      </c>
      <c r="Z5929" s="2">
        <v>0</v>
      </c>
      <c r="AA5929" s="2" t="s">
        <v>379</v>
      </c>
      <c r="AB5929" s="2" t="s">
        <v>38625</v>
      </c>
      <c r="AC5929" s="2">
        <v>-2.0507137555550901</v>
      </c>
      <c r="AD5929" s="2"/>
      <c r="AE5929" s="2">
        <v>5.5573759871796295E-4</v>
      </c>
      <c r="AF5929" s="2">
        <v>1171.3439411486399</v>
      </c>
      <c r="AG5929" s="2">
        <v>1053.1668829733801</v>
      </c>
      <c r="AH5929" s="5">
        <v>1.11221114154446</v>
      </c>
      <c r="AI5929" s="5">
        <v>0.153430694485444</v>
      </c>
      <c r="AJ5929" s="5" t="s">
        <v>139</v>
      </c>
      <c r="AK5929" s="2">
        <v>0.80188055003815095</v>
      </c>
      <c r="AL5929" s="2">
        <v>0.91089831239276597</v>
      </c>
      <c r="AM5929" s="2">
        <v>428.24301193064701</v>
      </c>
      <c r="AN5929" s="2">
        <v>660.45059298398598</v>
      </c>
      <c r="AO5929" s="2">
        <v>2361.8591496140998</v>
      </c>
      <c r="AP5929" s="2">
        <v>2580.6226210487998</v>
      </c>
      <c r="AQ5929" s="2">
        <v>534.18625185546296</v>
      </c>
      <c r="AR5929" s="2">
        <v>462.70201945884799</v>
      </c>
      <c r="AS5929" s="2">
        <v>1668.32035507609</v>
      </c>
      <c r="AT5929" s="2">
        <v>1220.43815479972</v>
      </c>
      <c r="AU5929" s="2">
        <v>597.86210805665701</v>
      </c>
      <c r="AV5929" s="2">
        <v>1341.0594830820301</v>
      </c>
      <c r="AW5929" s="2">
        <v>358.61267069673102</v>
      </c>
      <c r="AX5929" s="2">
        <v>1132.7085261290599</v>
      </c>
    </row>
    <row r="5930" spans="1:50" x14ac:dyDescent="0.25">
      <c r="A5930" s="2" t="s">
        <v>38626</v>
      </c>
      <c r="B5930" s="2">
        <v>228.26934371653101</v>
      </c>
      <c r="C5930" s="2">
        <v>9.1553166666666694</v>
      </c>
      <c r="D5930" s="2" t="s">
        <v>51</v>
      </c>
      <c r="E5930" s="2" t="s">
        <v>38627</v>
      </c>
      <c r="F5930" s="2">
        <v>9589</v>
      </c>
      <c r="G5930" s="3" t="str">
        <f>HYPERLINK("https://cloud.oebiotech.com/#/lm/network/9589", "https://cloud.oebiotech.com/#/lm/network/9589")</f>
        <v>https://cloud.oebiotech.com/#/lm/network/9589</v>
      </c>
      <c r="H5930" s="2"/>
      <c r="I5930" s="2">
        <v>97872</v>
      </c>
      <c r="J5930" s="2" t="s">
        <v>38628</v>
      </c>
      <c r="K5930" s="2">
        <v>5352262</v>
      </c>
      <c r="L5930" s="2"/>
      <c r="M5930" s="2"/>
      <c r="N5930" s="2"/>
      <c r="O5930" s="2"/>
      <c r="P5930" s="2"/>
      <c r="Q5930" s="2"/>
      <c r="R5930" s="2"/>
      <c r="S5930" s="2" t="s">
        <v>38629</v>
      </c>
      <c r="T5930" s="2" t="s">
        <v>38630</v>
      </c>
      <c r="U5930" s="2" t="s">
        <v>1491</v>
      </c>
      <c r="V5930" s="2" t="s">
        <v>1492</v>
      </c>
      <c r="W5930" s="2" t="s">
        <v>1493</v>
      </c>
      <c r="X5930" s="2" t="s">
        <v>147</v>
      </c>
      <c r="Y5930" s="2">
        <v>38.1</v>
      </c>
      <c r="Z5930" s="2">
        <v>0</v>
      </c>
      <c r="AA5930" s="2" t="s">
        <v>512</v>
      </c>
      <c r="AB5930" s="2" t="s">
        <v>38631</v>
      </c>
      <c r="AC5930" s="2">
        <v>3.6493701808695902</v>
      </c>
      <c r="AD5930" s="2"/>
      <c r="AE5930" s="2">
        <v>5.3138849230001796E-4</v>
      </c>
      <c r="AF5930" s="2">
        <v>4602.2660609613904</v>
      </c>
      <c r="AG5930" s="2">
        <v>4349.1396644896904</v>
      </c>
      <c r="AH5930" s="5">
        <v>1.05820148719032</v>
      </c>
      <c r="AI5930" s="5">
        <v>8.1614350414672798E-2</v>
      </c>
      <c r="AJ5930" s="5" t="s">
        <v>139</v>
      </c>
      <c r="AK5930" s="2">
        <v>0.71935776485427605</v>
      </c>
      <c r="AL5930" s="2">
        <v>0.86982220976371405</v>
      </c>
      <c r="AM5930" s="2">
        <v>4065.1905008147401</v>
      </c>
      <c r="AN5930" s="2">
        <v>3727.7108879795601</v>
      </c>
      <c r="AO5930" s="2">
        <v>3825.0591012745399</v>
      </c>
      <c r="AP5930" s="2">
        <v>6037.5302059140204</v>
      </c>
      <c r="AQ5930" s="2">
        <v>5062.18123658285</v>
      </c>
      <c r="AR5930" s="2">
        <v>4895.9244332026401</v>
      </c>
      <c r="AS5930" s="2">
        <v>3533.44141557901</v>
      </c>
      <c r="AT5930" s="2">
        <v>4044.3107327788898</v>
      </c>
      <c r="AU5930" s="2">
        <v>3053.4212518894101</v>
      </c>
      <c r="AV5930" s="2">
        <v>5097.0165185380301</v>
      </c>
      <c r="AW5930" s="2">
        <v>3500.3462705304701</v>
      </c>
      <c r="AX5930" s="2">
        <v>6866.30179762236</v>
      </c>
    </row>
    <row r="5931" spans="1:50" x14ac:dyDescent="0.25">
      <c r="A5931" s="2" t="s">
        <v>38632</v>
      </c>
      <c r="B5931" s="2">
        <v>489.358057269325</v>
      </c>
      <c r="C5931" s="2">
        <v>13.368783333333299</v>
      </c>
      <c r="D5931" s="2" t="s">
        <v>51</v>
      </c>
      <c r="E5931" s="2" t="s">
        <v>38633</v>
      </c>
      <c r="F5931" s="2">
        <v>59639</v>
      </c>
      <c r="G5931" s="3" t="str">
        <f>HYPERLINK("https://cloud.oebiotech.com/#/lm/network/59639", "https://cloud.oebiotech.com/#/lm/network/59639")</f>
        <v>https://cloud.oebiotech.com/#/lm/network/59639</v>
      </c>
      <c r="H5931" s="2" t="s">
        <v>38634</v>
      </c>
      <c r="I5931" s="2"/>
      <c r="J5931" s="2"/>
      <c r="K5931" s="2">
        <v>73105735</v>
      </c>
      <c r="L5931" s="2"/>
      <c r="M5931" s="2"/>
      <c r="N5931" s="2"/>
      <c r="O5931" s="2"/>
      <c r="P5931" s="2"/>
      <c r="Q5931" s="2"/>
      <c r="R5931" s="2" t="s">
        <v>38635</v>
      </c>
      <c r="S5931" s="2" t="s">
        <v>38636</v>
      </c>
      <c r="T5931" s="2" t="s">
        <v>38637</v>
      </c>
      <c r="U5931" s="2" t="s">
        <v>56</v>
      </c>
      <c r="V5931" s="2" t="s">
        <v>283</v>
      </c>
      <c r="W5931" s="2" t="s">
        <v>10738</v>
      </c>
      <c r="X5931" s="2" t="s">
        <v>83</v>
      </c>
      <c r="Y5931" s="2">
        <v>47.6</v>
      </c>
      <c r="Z5931" s="2">
        <v>0</v>
      </c>
      <c r="AA5931" s="2" t="s">
        <v>218</v>
      </c>
      <c r="AB5931" s="2" t="s">
        <v>11505</v>
      </c>
      <c r="AC5931" s="2">
        <v>-1.1049561912221999</v>
      </c>
      <c r="AD5931" s="2"/>
      <c r="AE5931" s="2">
        <v>4.6558249079372503E-4</v>
      </c>
      <c r="AF5931" s="2">
        <v>16367.9266974604</v>
      </c>
      <c r="AG5931" s="2">
        <v>15693.915568471701</v>
      </c>
      <c r="AH5931" s="5">
        <v>1.0429472890973599</v>
      </c>
      <c r="AI5931" s="5">
        <v>6.0666245413293497E-2</v>
      </c>
      <c r="AJ5931" s="5" t="s">
        <v>139</v>
      </c>
      <c r="AK5931" s="2">
        <v>0.88379067150493895</v>
      </c>
      <c r="AL5931" s="2">
        <v>0.94935140523336703</v>
      </c>
      <c r="AM5931" s="2">
        <v>12963.709673977301</v>
      </c>
      <c r="AN5931" s="2">
        <v>9828.84551364851</v>
      </c>
      <c r="AO5931" s="2">
        <v>20002.355875499001</v>
      </c>
      <c r="AP5931" s="2">
        <v>25329.2178465535</v>
      </c>
      <c r="AQ5931" s="2">
        <v>21621.374925155498</v>
      </c>
      <c r="AR5931" s="2">
        <v>8462.0563499287491</v>
      </c>
      <c r="AS5931" s="2">
        <v>13654.390590479999</v>
      </c>
      <c r="AT5931" s="2">
        <v>20512.509683545901</v>
      </c>
      <c r="AU5931" s="2">
        <v>9402.3276017093303</v>
      </c>
      <c r="AV5931" s="2">
        <v>2864.4441673447</v>
      </c>
      <c r="AW5931" s="2">
        <v>22613.9838021162</v>
      </c>
      <c r="AX5931" s="2">
        <v>25115.837565633999</v>
      </c>
    </row>
    <row r="5932" spans="1:50" x14ac:dyDescent="0.25">
      <c r="A5932" s="2" t="s">
        <v>38638</v>
      </c>
      <c r="B5932" s="2">
        <v>355.14328986880003</v>
      </c>
      <c r="C5932" s="2">
        <v>1.2938333333333301</v>
      </c>
      <c r="D5932" s="2" t="s">
        <v>51</v>
      </c>
      <c r="E5932" s="2" t="s">
        <v>38639</v>
      </c>
      <c r="F5932" s="2">
        <v>200056</v>
      </c>
      <c r="G5932" s="3" t="str">
        <f>HYPERLINK("https://cloud.oebiotech.com/#/lm/network/200056", "https://cloud.oebiotech.com/#/lm/network/200056")</f>
        <v>https://cloud.oebiotech.com/#/lm/network/200056</v>
      </c>
      <c r="H5932" s="2" t="s">
        <v>38640</v>
      </c>
      <c r="I5932" s="2"/>
      <c r="J5932" s="2"/>
      <c r="K5932" s="2">
        <v>9839925</v>
      </c>
      <c r="L5932" s="2"/>
      <c r="M5932" s="2"/>
      <c r="N5932" s="2"/>
      <c r="O5932" s="2"/>
      <c r="P5932" s="2"/>
      <c r="Q5932" s="2"/>
      <c r="R5932" s="2"/>
      <c r="S5932" s="2" t="s">
        <v>38641</v>
      </c>
      <c r="T5932" s="2" t="s">
        <v>38642</v>
      </c>
      <c r="U5932" s="2" t="s">
        <v>56</v>
      </c>
      <c r="V5932" s="2" t="s">
        <v>177</v>
      </c>
      <c r="W5932" s="2" t="s">
        <v>584</v>
      </c>
      <c r="X5932" s="2" t="s">
        <v>147</v>
      </c>
      <c r="Y5932" s="2">
        <v>39.200000000000003</v>
      </c>
      <c r="Z5932" s="2">
        <v>11.8</v>
      </c>
      <c r="AA5932" s="2" t="s">
        <v>395</v>
      </c>
      <c r="AB5932" s="2" t="s">
        <v>38643</v>
      </c>
      <c r="AC5932" s="2">
        <v>4.5517009011756198</v>
      </c>
      <c r="AD5932" s="2"/>
      <c r="AE5932" s="2">
        <v>4.6241586149273802E-4</v>
      </c>
      <c r="AF5932" s="2">
        <v>9273.9535958085307</v>
      </c>
      <c r="AG5932" s="2">
        <v>9082.6463414487498</v>
      </c>
      <c r="AH5932" s="5">
        <v>1.02106294213909</v>
      </c>
      <c r="AI5932" s="5">
        <v>3.0071802075708299E-2</v>
      </c>
      <c r="AJ5932" s="5" t="s">
        <v>139</v>
      </c>
      <c r="AK5932" s="2">
        <v>0.91299069094176499</v>
      </c>
      <c r="AL5932" s="2">
        <v>0.96328873860338704</v>
      </c>
      <c r="AM5932" s="2">
        <v>9785.6432777299106</v>
      </c>
      <c r="AN5932" s="2">
        <v>8721.7037929270791</v>
      </c>
      <c r="AO5932" s="2">
        <v>6454.9195499139496</v>
      </c>
      <c r="AP5932" s="2">
        <v>12445.578948561501</v>
      </c>
      <c r="AQ5932" s="2">
        <v>7775.5721991494302</v>
      </c>
      <c r="AR5932" s="2">
        <v>10460.3038065693</v>
      </c>
      <c r="AS5932" s="2">
        <v>4713.2151242277896</v>
      </c>
      <c r="AT5932" s="2">
        <v>6716.5362735173803</v>
      </c>
      <c r="AU5932" s="2">
        <v>11330.477889685601</v>
      </c>
      <c r="AV5932" s="2">
        <v>6521.1401423492498</v>
      </c>
      <c r="AW5932" s="2">
        <v>14030.894611835</v>
      </c>
      <c r="AX5932" s="2">
        <v>11183.6140070775</v>
      </c>
    </row>
    <row r="5933" spans="1:50" x14ac:dyDescent="0.25">
      <c r="A5933" s="2" t="s">
        <v>38644</v>
      </c>
      <c r="B5933" s="2">
        <v>138.04315345733801</v>
      </c>
      <c r="C5933" s="2">
        <v>1.27196666666667</v>
      </c>
      <c r="D5933" s="2" t="s">
        <v>51</v>
      </c>
      <c r="E5933" s="2" t="s">
        <v>38645</v>
      </c>
      <c r="F5933" s="2">
        <v>201799</v>
      </c>
      <c r="G5933" s="3" t="str">
        <f>HYPERLINK("https://cloud.oebiotech.com/#/lm/network/201799", "https://cloud.oebiotech.com/#/lm/network/201799")</f>
        <v>https://cloud.oebiotech.com/#/lm/network/201799</v>
      </c>
      <c r="H5933" s="2" t="s">
        <v>38646</v>
      </c>
      <c r="I5933" s="2"/>
      <c r="J5933" s="2"/>
      <c r="K5933" s="2">
        <v>12043122</v>
      </c>
      <c r="L5933" s="2"/>
      <c r="M5933" s="2"/>
      <c r="N5933" s="2"/>
      <c r="O5933" s="2"/>
      <c r="P5933" s="2"/>
      <c r="Q5933" s="2"/>
      <c r="R5933" s="2"/>
      <c r="S5933" s="2" t="s">
        <v>38647</v>
      </c>
      <c r="T5933" s="2" t="s">
        <v>38648</v>
      </c>
      <c r="U5933" s="2" t="s">
        <v>266</v>
      </c>
      <c r="V5933" s="2" t="s">
        <v>2143</v>
      </c>
      <c r="W5933" s="2" t="s">
        <v>2624</v>
      </c>
      <c r="X5933" s="2" t="s">
        <v>83</v>
      </c>
      <c r="Y5933" s="2">
        <v>39</v>
      </c>
      <c r="Z5933" s="2">
        <v>0</v>
      </c>
      <c r="AA5933" s="2" t="s">
        <v>122</v>
      </c>
      <c r="AB5933" s="2" t="s">
        <v>17900</v>
      </c>
      <c r="AC5933" s="2">
        <v>1.63656481445029</v>
      </c>
      <c r="AD5933" s="2"/>
      <c r="AE5933" s="2">
        <v>4.5546484915934997E-4</v>
      </c>
      <c r="AF5933" s="2">
        <v>508.891026934161</v>
      </c>
      <c r="AG5933" s="2">
        <v>673.47696942433197</v>
      </c>
      <c r="AH5933" s="4">
        <v>0.75561756383317102</v>
      </c>
      <c r="AI5933" s="4">
        <v>-0.40427185827421502</v>
      </c>
      <c r="AJ5933" s="4" t="s">
        <v>62</v>
      </c>
      <c r="AK5933" s="2">
        <v>0.80656550660672499</v>
      </c>
      <c r="AL5933" s="2">
        <v>0.91332813517530498</v>
      </c>
      <c r="AM5933" s="2">
        <v>8.559877937157E-6</v>
      </c>
      <c r="AN5933" s="2">
        <v>817.70674008100298</v>
      </c>
      <c r="AO5933" s="2">
        <v>616.46650826669702</v>
      </c>
      <c r="AP5933" s="2">
        <v>8.559877937157E-6</v>
      </c>
      <c r="AQ5933" s="2">
        <v>1619.17288757763</v>
      </c>
      <c r="AR5933" s="2">
        <v>8.559877937157E-6</v>
      </c>
      <c r="AS5933" s="2">
        <v>8.559877937157E-6</v>
      </c>
      <c r="AT5933" s="2">
        <v>3647.4767685521902</v>
      </c>
      <c r="AU5933" s="2">
        <v>8.559877937157E-6</v>
      </c>
      <c r="AV5933" s="2">
        <v>8.559877937157E-6</v>
      </c>
      <c r="AW5933" s="2">
        <v>8.559877937157E-6</v>
      </c>
      <c r="AX5933" s="2">
        <v>393.38501375429001</v>
      </c>
    </row>
    <row r="5934" spans="1:50" x14ac:dyDescent="0.25">
      <c r="A5934" s="2" t="s">
        <v>38649</v>
      </c>
      <c r="B5934" s="2">
        <v>300.01270373269102</v>
      </c>
      <c r="C5934" s="2">
        <v>4.6687166666666702</v>
      </c>
      <c r="D5934" s="2" t="s">
        <v>51</v>
      </c>
      <c r="E5934" s="2" t="s">
        <v>38650</v>
      </c>
      <c r="F5934" s="2">
        <v>213313</v>
      </c>
      <c r="G5934" s="3" t="str">
        <f>HYPERLINK("https://cloud.oebiotech.com/#/lm/network/213313", "https://cloud.oebiotech.com/#/lm/network/213313")</f>
        <v>https://cloud.oebiotech.com/#/lm/network/213313</v>
      </c>
      <c r="H5934" s="2" t="s">
        <v>38651</v>
      </c>
      <c r="I5934" s="2"/>
      <c r="J5934" s="2"/>
      <c r="K5934" s="2">
        <v>20029727</v>
      </c>
      <c r="L5934" s="2"/>
      <c r="M5934" s="2"/>
      <c r="N5934" s="2"/>
      <c r="O5934" s="2"/>
      <c r="P5934" s="2"/>
      <c r="Q5934" s="2"/>
      <c r="R5934" s="2"/>
      <c r="S5934" s="2" t="s">
        <v>38652</v>
      </c>
      <c r="T5934" s="2" t="s">
        <v>38653</v>
      </c>
      <c r="U5934" s="2" t="s">
        <v>103</v>
      </c>
      <c r="V5934" s="2" t="s">
        <v>104</v>
      </c>
      <c r="W5934" s="2" t="s">
        <v>105</v>
      </c>
      <c r="X5934" s="2" t="s">
        <v>147</v>
      </c>
      <c r="Y5934" s="2">
        <v>40.5</v>
      </c>
      <c r="Z5934" s="2">
        <v>11.1</v>
      </c>
      <c r="AA5934" s="2" t="s">
        <v>395</v>
      </c>
      <c r="AB5934" s="2" t="s">
        <v>38654</v>
      </c>
      <c r="AC5934" s="2">
        <v>4.1346293131591603</v>
      </c>
      <c r="AD5934" s="2"/>
      <c r="AE5934" s="2">
        <v>3.7687248971614702E-4</v>
      </c>
      <c r="AF5934" s="2">
        <v>2105.1448254167999</v>
      </c>
      <c r="AG5934" s="2">
        <v>1642.75530204763</v>
      </c>
      <c r="AH5934" s="5">
        <v>1.2814719409475099</v>
      </c>
      <c r="AI5934" s="5">
        <v>0.35780188978902899</v>
      </c>
      <c r="AJ5934" s="5" t="s">
        <v>139</v>
      </c>
      <c r="AK5934" s="2">
        <v>0.80519341514070197</v>
      </c>
      <c r="AL5934" s="2">
        <v>0.91260400941862796</v>
      </c>
      <c r="AM5934" s="2">
        <v>89.183338242477902</v>
      </c>
      <c r="AN5934" s="2">
        <v>1701.4778492452201</v>
      </c>
      <c r="AO5934" s="2">
        <v>692.45669390006901</v>
      </c>
      <c r="AP5934" s="2">
        <v>8.559877937157E-6</v>
      </c>
      <c r="AQ5934" s="2">
        <v>588.50105894296701</v>
      </c>
      <c r="AR5934" s="2">
        <v>9559.2500036101592</v>
      </c>
      <c r="AS5934" s="2">
        <v>8.559877937157E-6</v>
      </c>
      <c r="AT5934" s="2">
        <v>236.20974093474999</v>
      </c>
      <c r="AU5934" s="2">
        <v>8.559877937157E-6</v>
      </c>
      <c r="AV5934" s="2">
        <v>3991.9764596630598</v>
      </c>
      <c r="AW5934" s="2">
        <v>5628.3455860083304</v>
      </c>
      <c r="AX5934" s="2">
        <v>8.559877937157E-6</v>
      </c>
    </row>
    <row r="5935" spans="1:50" x14ac:dyDescent="0.25">
      <c r="A5935" s="2" t="s">
        <v>38655</v>
      </c>
      <c r="B5935" s="2">
        <v>169.12274482298099</v>
      </c>
      <c r="C5935" s="2">
        <v>1.04843333333333</v>
      </c>
      <c r="D5935" s="2" t="s">
        <v>51</v>
      </c>
      <c r="E5935" s="2" t="s">
        <v>38656</v>
      </c>
      <c r="F5935" s="2">
        <v>1732</v>
      </c>
      <c r="G5935" s="3" t="str">
        <f>HYPERLINK("https://cloud.oebiotech.com/#/lm/network/1732", "https://cloud.oebiotech.com/#/lm/network/1732")</f>
        <v>https://cloud.oebiotech.com/#/lm/network/1732</v>
      </c>
      <c r="H5935" s="2"/>
      <c r="I5935" s="2">
        <v>35523</v>
      </c>
      <c r="J5935" s="2" t="s">
        <v>38657</v>
      </c>
      <c r="K5935" s="2">
        <v>5312738</v>
      </c>
      <c r="L5935" s="2"/>
      <c r="M5935" s="2"/>
      <c r="N5935" s="2"/>
      <c r="O5935" s="2">
        <v>78668</v>
      </c>
      <c r="P5935" s="2"/>
      <c r="Q5935" s="2"/>
      <c r="R5935" s="2"/>
      <c r="S5935" s="2" t="s">
        <v>38658</v>
      </c>
      <c r="T5935" s="2" t="s">
        <v>38659</v>
      </c>
      <c r="U5935" s="2" t="s">
        <v>103</v>
      </c>
      <c r="V5935" s="2" t="s">
        <v>377</v>
      </c>
      <c r="W5935" s="2" t="s">
        <v>378</v>
      </c>
      <c r="X5935" s="2" t="s">
        <v>147</v>
      </c>
      <c r="Y5935" s="2">
        <v>37.700000000000003</v>
      </c>
      <c r="Z5935" s="2">
        <v>0</v>
      </c>
      <c r="AA5935" s="2" t="s">
        <v>156</v>
      </c>
      <c r="AB5935" s="2" t="s">
        <v>5454</v>
      </c>
      <c r="AC5935" s="2">
        <v>2.3566723417714699</v>
      </c>
      <c r="AD5935" s="2"/>
      <c r="AE5935" s="2">
        <v>3.5823942239260299E-4</v>
      </c>
      <c r="AF5935" s="2">
        <v>5292.5777886370697</v>
      </c>
      <c r="AG5935" s="2">
        <v>5376.6765154527402</v>
      </c>
      <c r="AH5935" s="4">
        <v>0.984358603949119</v>
      </c>
      <c r="AI5935" s="4">
        <v>-2.27441066697819E-2</v>
      </c>
      <c r="AJ5935" s="4" t="s">
        <v>62</v>
      </c>
      <c r="AK5935" s="2">
        <v>0.89850302253637604</v>
      </c>
      <c r="AL5935" s="2">
        <v>0.957649454809404</v>
      </c>
      <c r="AM5935" s="2">
        <v>4519.7655262462404</v>
      </c>
      <c r="AN5935" s="2">
        <v>7471.2586455281598</v>
      </c>
      <c r="AO5935" s="2">
        <v>5181.7543283779696</v>
      </c>
      <c r="AP5935" s="2">
        <v>5185.9377373234202</v>
      </c>
      <c r="AQ5935" s="2">
        <v>5164.7931213671</v>
      </c>
      <c r="AR5935" s="2">
        <v>4231.9573729795202</v>
      </c>
      <c r="AS5935" s="2">
        <v>6207.6655441232497</v>
      </c>
      <c r="AT5935" s="2">
        <v>7053.7374147431801</v>
      </c>
      <c r="AU5935" s="2">
        <v>4163.4648741229903</v>
      </c>
      <c r="AV5935" s="2">
        <v>4605.4727271917</v>
      </c>
      <c r="AW5935" s="2">
        <v>4814.7010096998401</v>
      </c>
      <c r="AX5935" s="2">
        <v>5415.0175228354601</v>
      </c>
    </row>
    <row r="5936" spans="1:50" x14ac:dyDescent="0.25">
      <c r="A5936" s="2" t="s">
        <v>38660</v>
      </c>
      <c r="B5936" s="2">
        <v>242.114437031374</v>
      </c>
      <c r="C5936" s="2">
        <v>0.74113333333333298</v>
      </c>
      <c r="D5936" s="2" t="s">
        <v>51</v>
      </c>
      <c r="E5936" s="2" t="s">
        <v>38661</v>
      </c>
      <c r="F5936" s="2">
        <v>54380</v>
      </c>
      <c r="G5936" s="3" t="str">
        <f>HYPERLINK("https://cloud.oebiotech.com/#/lm/network/54380", "https://cloud.oebiotech.com/#/lm/network/54380")</f>
        <v>https://cloud.oebiotech.com/#/lm/network/54380</v>
      </c>
      <c r="H5936" s="2" t="s">
        <v>38662</v>
      </c>
      <c r="I5936" s="2"/>
      <c r="J5936" s="2"/>
      <c r="K5936" s="2">
        <v>3083620</v>
      </c>
      <c r="L5936" s="2" t="s">
        <v>38663</v>
      </c>
      <c r="M5936" s="2" t="s">
        <v>2506</v>
      </c>
      <c r="N5936" s="2" t="s">
        <v>2507</v>
      </c>
      <c r="O5936" s="2">
        <v>15781</v>
      </c>
      <c r="P5936" s="2"/>
      <c r="Q5936" s="2"/>
      <c r="R5936" s="2" t="s">
        <v>38664</v>
      </c>
      <c r="S5936" s="2" t="s">
        <v>38665</v>
      </c>
      <c r="T5936" s="2" t="s">
        <v>38666</v>
      </c>
      <c r="U5936" s="2" t="s">
        <v>103</v>
      </c>
      <c r="V5936" s="2" t="s">
        <v>104</v>
      </c>
      <c r="W5936" s="2" t="s">
        <v>105</v>
      </c>
      <c r="X5936" s="2" t="s">
        <v>83</v>
      </c>
      <c r="Y5936" s="2">
        <v>38.299999999999997</v>
      </c>
      <c r="Z5936" s="2">
        <v>0</v>
      </c>
      <c r="AA5936" s="2" t="s">
        <v>218</v>
      </c>
      <c r="AB5936" s="2" t="s">
        <v>38667</v>
      </c>
      <c r="AC5936" s="2">
        <v>-0.97695153487585895</v>
      </c>
      <c r="AD5936" s="2"/>
      <c r="AE5936" s="2">
        <v>3.4774580108836302E-4</v>
      </c>
      <c r="AF5936" s="2">
        <v>1133.0501011205099</v>
      </c>
      <c r="AG5936" s="2">
        <v>1027.3534039067199</v>
      </c>
      <c r="AH5936" s="5">
        <v>1.1028825103531501</v>
      </c>
      <c r="AI5936" s="5">
        <v>0.14127910937080401</v>
      </c>
      <c r="AJ5936" s="5" t="s">
        <v>139</v>
      </c>
      <c r="AK5936" s="2">
        <v>0.91869972269497202</v>
      </c>
      <c r="AL5936" s="2">
        <v>0.96541520383033996</v>
      </c>
      <c r="AM5936" s="2">
        <v>1425.3153676240399</v>
      </c>
      <c r="AN5936" s="2">
        <v>484.49781275363102</v>
      </c>
      <c r="AO5936" s="2">
        <v>8.559877937157E-6</v>
      </c>
      <c r="AP5936" s="2">
        <v>8.559877937157E-6</v>
      </c>
      <c r="AQ5936" s="2">
        <v>3261.97635302253</v>
      </c>
      <c r="AR5936" s="2">
        <v>1626.51105620308</v>
      </c>
      <c r="AS5936" s="2">
        <v>8.559877937157E-6</v>
      </c>
      <c r="AT5936" s="2">
        <v>390.30326756606001</v>
      </c>
      <c r="AU5936" s="2">
        <v>412.22444413875797</v>
      </c>
      <c r="AV5936" s="2">
        <v>5361.5926860558902</v>
      </c>
      <c r="AW5936" s="2">
        <v>8.559877937157E-6</v>
      </c>
      <c r="AX5936" s="2">
        <v>8.559877937157E-6</v>
      </c>
    </row>
    <row r="5937" spans="1:50" x14ac:dyDescent="0.25">
      <c r="A5937" s="2" t="s">
        <v>38668</v>
      </c>
      <c r="B5937" s="2">
        <v>310.154451925589</v>
      </c>
      <c r="C5937" s="2">
        <v>11.5544166666667</v>
      </c>
      <c r="D5937" s="2" t="s">
        <v>51</v>
      </c>
      <c r="E5937" s="2" t="s">
        <v>38669</v>
      </c>
      <c r="F5937" s="2">
        <v>205646</v>
      </c>
      <c r="G5937" s="3" t="str">
        <f>HYPERLINK("https://cloud.oebiotech.com/#/lm/network/205646", "https://cloud.oebiotech.com/#/lm/network/205646")</f>
        <v>https://cloud.oebiotech.com/#/lm/network/205646</v>
      </c>
      <c r="H5937" s="2" t="s">
        <v>38670</v>
      </c>
      <c r="I5937" s="2"/>
      <c r="J5937" s="2"/>
      <c r="K5937" s="2">
        <v>50913622</v>
      </c>
      <c r="L5937" s="2"/>
      <c r="M5937" s="2"/>
      <c r="N5937" s="2"/>
      <c r="O5937" s="2"/>
      <c r="P5937" s="2"/>
      <c r="Q5937" s="2"/>
      <c r="R5937" s="2"/>
      <c r="S5937" s="2" t="s">
        <v>38671</v>
      </c>
      <c r="T5937" s="2" t="s">
        <v>38672</v>
      </c>
      <c r="U5937" s="2" t="s">
        <v>266</v>
      </c>
      <c r="V5937" s="2" t="s">
        <v>8153</v>
      </c>
      <c r="W5937" s="2" t="s">
        <v>16542</v>
      </c>
      <c r="X5937" s="2" t="s">
        <v>147</v>
      </c>
      <c r="Y5937" s="2">
        <v>36.200000000000003</v>
      </c>
      <c r="Z5937" s="2">
        <v>0</v>
      </c>
      <c r="AA5937" s="2" t="s">
        <v>122</v>
      </c>
      <c r="AB5937" s="2" t="s">
        <v>38673</v>
      </c>
      <c r="AC5937" s="2">
        <v>0.78219144508276195</v>
      </c>
      <c r="AD5937" s="2"/>
      <c r="AE5937" s="2">
        <v>3.02290977501266E-4</v>
      </c>
      <c r="AF5937" s="2">
        <v>1442.87229582605</v>
      </c>
      <c r="AG5937" s="2">
        <v>1738.44567051524</v>
      </c>
      <c r="AH5937" s="4">
        <v>0.82997836532815505</v>
      </c>
      <c r="AI5937" s="4">
        <v>-0.26885436401885499</v>
      </c>
      <c r="AJ5937" s="4" t="s">
        <v>62</v>
      </c>
      <c r="AK5937" s="2">
        <v>0.67951982370421604</v>
      </c>
      <c r="AL5937" s="2">
        <v>0.84541284391507099</v>
      </c>
      <c r="AM5937" s="2">
        <v>3177.8220484121898</v>
      </c>
      <c r="AN5937" s="2">
        <v>1905.2139994599199</v>
      </c>
      <c r="AO5937" s="2">
        <v>1558.8358995001599</v>
      </c>
      <c r="AP5937" s="2">
        <v>733.20413751596095</v>
      </c>
      <c r="AQ5937" s="2">
        <v>808.23236224846505</v>
      </c>
      <c r="AR5937" s="2">
        <v>473.92532781958698</v>
      </c>
      <c r="AS5937" s="2">
        <v>8.559877937157E-6</v>
      </c>
      <c r="AT5937" s="2">
        <v>759.061978167191</v>
      </c>
      <c r="AU5937" s="2">
        <v>4047.6590116216198</v>
      </c>
      <c r="AV5937" s="2">
        <v>1749.4031023795101</v>
      </c>
      <c r="AW5937" s="2">
        <v>1982.2519844543999</v>
      </c>
      <c r="AX5937" s="2">
        <v>1892.2979379088399</v>
      </c>
    </row>
    <row r="5938" spans="1:50" x14ac:dyDescent="0.25">
      <c r="A5938" s="2" t="s">
        <v>38674</v>
      </c>
      <c r="B5938" s="2">
        <v>443.27421314740798</v>
      </c>
      <c r="C5938" s="2">
        <v>4.9338333333333297</v>
      </c>
      <c r="D5938" s="2" t="s">
        <v>51</v>
      </c>
      <c r="E5938" s="2" t="s">
        <v>38675</v>
      </c>
      <c r="F5938" s="2">
        <v>207259</v>
      </c>
      <c r="G5938" s="3" t="str">
        <f>HYPERLINK("https://cloud.oebiotech.com/#/lm/network/207259", "https://cloud.oebiotech.com/#/lm/network/207259")</f>
        <v>https://cloud.oebiotech.com/#/lm/network/207259</v>
      </c>
      <c r="H5938" s="2" t="s">
        <v>38676</v>
      </c>
      <c r="I5938" s="2">
        <v>148571</v>
      </c>
      <c r="J5938" s="2"/>
      <c r="K5938" s="2">
        <v>3988351</v>
      </c>
      <c r="L5938" s="2"/>
      <c r="M5938" s="2"/>
      <c r="N5938" s="2"/>
      <c r="O5938" s="2"/>
      <c r="P5938" s="2"/>
      <c r="Q5938" s="2"/>
      <c r="R5938" s="2"/>
      <c r="S5938" s="2" t="s">
        <v>38677</v>
      </c>
      <c r="T5938" s="2" t="s">
        <v>38678</v>
      </c>
      <c r="U5938" s="2" t="s">
        <v>103</v>
      </c>
      <c r="V5938" s="2" t="s">
        <v>104</v>
      </c>
      <c r="W5938" s="2" t="s">
        <v>105</v>
      </c>
      <c r="X5938" s="2" t="s">
        <v>147</v>
      </c>
      <c r="Y5938" s="2">
        <v>42.8</v>
      </c>
      <c r="Z5938" s="2">
        <v>25.4</v>
      </c>
      <c r="AA5938" s="2" t="s">
        <v>512</v>
      </c>
      <c r="AB5938" s="2" t="s">
        <v>38679</v>
      </c>
      <c r="AC5938" s="2">
        <v>4.0459440099530397</v>
      </c>
      <c r="AD5938" s="2"/>
      <c r="AE5938" s="2">
        <v>2.8644576080410502E-4</v>
      </c>
      <c r="AF5938" s="2">
        <v>1053.74779519714</v>
      </c>
      <c r="AG5938" s="2">
        <v>1084.17697464548</v>
      </c>
      <c r="AH5938" s="4">
        <v>0.97193338342358904</v>
      </c>
      <c r="AI5938" s="4">
        <v>-4.1070660375202302E-2</v>
      </c>
      <c r="AJ5938" s="4" t="s">
        <v>62</v>
      </c>
      <c r="AK5938" s="2">
        <v>0.96597228490293596</v>
      </c>
      <c r="AL5938" s="2">
        <v>0.98657792111968601</v>
      </c>
      <c r="AM5938" s="2">
        <v>125.949759455188</v>
      </c>
      <c r="AN5938" s="2">
        <v>460.64749232837102</v>
      </c>
      <c r="AO5938" s="2">
        <v>1000.3219259655</v>
      </c>
      <c r="AP5938" s="2">
        <v>2420.4130110445299</v>
      </c>
      <c r="AQ5938" s="2">
        <v>1579.7361482098199</v>
      </c>
      <c r="AR5938" s="2">
        <v>735.41843417940504</v>
      </c>
      <c r="AS5938" s="2">
        <v>187.61035630519501</v>
      </c>
      <c r="AT5938" s="2">
        <v>4016.2419490186398</v>
      </c>
      <c r="AU5938" s="2">
        <v>911.76611065138502</v>
      </c>
      <c r="AV5938" s="2">
        <v>422.40614287179898</v>
      </c>
      <c r="AW5938" s="2">
        <v>967.03728046600304</v>
      </c>
      <c r="AX5938" s="2">
        <v>8.559877937157E-6</v>
      </c>
    </row>
    <row r="5939" spans="1:50" x14ac:dyDescent="0.25">
      <c r="A5939" s="2" t="s">
        <v>38680</v>
      </c>
      <c r="B5939" s="2">
        <v>283.13207093291902</v>
      </c>
      <c r="C5939" s="2">
        <v>9.6046833333333304</v>
      </c>
      <c r="D5939" s="2" t="s">
        <v>51</v>
      </c>
      <c r="E5939" s="2" t="s">
        <v>38681</v>
      </c>
      <c r="F5939" s="2">
        <v>205574</v>
      </c>
      <c r="G5939" s="3" t="str">
        <f>HYPERLINK("https://cloud.oebiotech.com/#/lm/network/205574", "https://cloud.oebiotech.com/#/lm/network/205574")</f>
        <v>https://cloud.oebiotech.com/#/lm/network/205574</v>
      </c>
      <c r="H5939" s="2" t="s">
        <v>38682</v>
      </c>
      <c r="I5939" s="2">
        <v>314621</v>
      </c>
      <c r="J5939" s="2"/>
      <c r="K5939" s="2">
        <v>53555</v>
      </c>
      <c r="L5939" s="2"/>
      <c r="M5939" s="2"/>
      <c r="N5939" s="2"/>
      <c r="O5939" s="2"/>
      <c r="P5939" s="2"/>
      <c r="Q5939" s="2"/>
      <c r="R5939" s="2"/>
      <c r="S5939" s="2" t="s">
        <v>38683</v>
      </c>
      <c r="T5939" s="2" t="s">
        <v>38684</v>
      </c>
      <c r="U5939" s="2" t="s">
        <v>266</v>
      </c>
      <c r="V5939" s="2" t="s">
        <v>445</v>
      </c>
      <c r="W5939" s="2" t="s">
        <v>3768</v>
      </c>
      <c r="X5939" s="2" t="s">
        <v>147</v>
      </c>
      <c r="Y5939" s="2">
        <v>36.1</v>
      </c>
      <c r="Z5939" s="2">
        <v>0</v>
      </c>
      <c r="AA5939" s="2" t="s">
        <v>122</v>
      </c>
      <c r="AB5939" s="2" t="s">
        <v>38685</v>
      </c>
      <c r="AC5939" s="2">
        <v>-2.10707013924533E-2</v>
      </c>
      <c r="AD5939" s="2"/>
      <c r="AE5939" s="2">
        <v>5.88380194432642E-5</v>
      </c>
      <c r="AF5939" s="2">
        <v>1358.48100239014</v>
      </c>
      <c r="AG5939" s="2">
        <v>1454.22180304174</v>
      </c>
      <c r="AH5939" s="4">
        <v>0.93416355025667697</v>
      </c>
      <c r="AI5939" s="4">
        <v>-9.8252940575452904E-2</v>
      </c>
      <c r="AJ5939" s="4" t="s">
        <v>62</v>
      </c>
      <c r="AK5939" s="2">
        <v>0.83922276996380696</v>
      </c>
      <c r="AL5939" s="2">
        <v>0.92909683994561798</v>
      </c>
      <c r="AM5939" s="2">
        <v>2933.3911580418298</v>
      </c>
      <c r="AN5939" s="2">
        <v>1698.9979486047</v>
      </c>
      <c r="AO5939" s="2">
        <v>776.87680505369497</v>
      </c>
      <c r="AP5939" s="2">
        <v>1470.6207684000599</v>
      </c>
      <c r="AQ5939" s="2">
        <v>623.11262911755398</v>
      </c>
      <c r="AR5939" s="2">
        <v>647.886705123007</v>
      </c>
      <c r="AS5939" s="2">
        <v>852.22911372915303</v>
      </c>
      <c r="AT5939" s="2">
        <v>551.91107701895203</v>
      </c>
      <c r="AU5939" s="2">
        <v>1745.64177677321</v>
      </c>
      <c r="AV5939" s="2">
        <v>2477.6305647614799</v>
      </c>
      <c r="AW5939" s="2">
        <v>1653.5305084199599</v>
      </c>
      <c r="AX5939" s="2">
        <v>1444.3877775476999</v>
      </c>
    </row>
  </sheetData>
  <mergeCells count="1">
    <mergeCell ref="A1:XFD1"/>
  </mergeCells>
  <phoneticPr fontId="4" type="noConversion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zheping chen</cp:lastModifiedBy>
  <dcterms:created xsi:type="dcterms:W3CDTF">2025-10-31T18:29:29Z</dcterms:created>
  <dcterms:modified xsi:type="dcterms:W3CDTF">2026-03-13T03:01:15Z</dcterms:modified>
</cp:coreProperties>
</file>